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A-AVP-100 Briefings\Daily Accident-Incident Data Folder\2021\Feb\Feb 10\ADS-B for ALNOT N8080G\"/>
    </mc:Choice>
  </mc:AlternateContent>
  <bookViews>
    <workbookView xWindow="0" yWindow="0" windowWidth="22992" windowHeight="8592"/>
  </bookViews>
  <sheets>
    <sheet name="20210208_AB01F4_446387571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W2" i="1"/>
  <c r="A3" i="1"/>
  <c r="C3" i="1"/>
  <c r="S3" i="1"/>
  <c r="T3" i="1"/>
  <c r="U3" i="1"/>
  <c r="BB3" i="1"/>
  <c r="BW3" i="1"/>
  <c r="A4" i="1"/>
  <c r="C4" i="1"/>
  <c r="S4" i="1"/>
  <c r="T4" i="1"/>
  <c r="U4" i="1"/>
  <c r="BW4" i="1"/>
  <c r="A5" i="1"/>
  <c r="C5" i="1"/>
  <c r="S5" i="1"/>
  <c r="T5" i="1"/>
  <c r="U5" i="1"/>
  <c r="BB5" i="1"/>
  <c r="BW5" i="1"/>
  <c r="A6" i="1"/>
  <c r="C6" i="1"/>
  <c r="S6" i="1"/>
  <c r="T6" i="1"/>
  <c r="U6" i="1"/>
  <c r="BW6" i="1"/>
  <c r="A7" i="1"/>
  <c r="C7" i="1"/>
  <c r="S7" i="1"/>
  <c r="T7" i="1"/>
  <c r="U7" i="1"/>
  <c r="BB7" i="1"/>
  <c r="BW7" i="1"/>
  <c r="A8" i="1"/>
  <c r="C8" i="1"/>
  <c r="S8" i="1"/>
  <c r="T8" i="1"/>
  <c r="U8" i="1"/>
  <c r="BW8" i="1"/>
  <c r="A9" i="1"/>
  <c r="C9" i="1"/>
  <c r="S9" i="1"/>
  <c r="T9" i="1"/>
  <c r="U9" i="1"/>
  <c r="BW9" i="1"/>
  <c r="A10" i="1"/>
  <c r="C10" i="1"/>
  <c r="S10" i="1"/>
  <c r="T10" i="1"/>
  <c r="U10" i="1"/>
  <c r="BW10" i="1"/>
  <c r="A11" i="1"/>
  <c r="C11" i="1"/>
  <c r="S11" i="1"/>
  <c r="T11" i="1"/>
  <c r="U11" i="1"/>
  <c r="BW11" i="1"/>
  <c r="A12" i="1"/>
  <c r="C12" i="1"/>
  <c r="S12" i="1"/>
  <c r="T12" i="1"/>
  <c r="U12" i="1"/>
  <c r="BW12" i="1"/>
  <c r="A13" i="1"/>
  <c r="C13" i="1"/>
  <c r="S13" i="1"/>
  <c r="T13" i="1"/>
  <c r="U13" i="1"/>
  <c r="BW13" i="1"/>
  <c r="A14" i="1"/>
  <c r="C14" i="1"/>
  <c r="S14" i="1"/>
  <c r="T14" i="1"/>
  <c r="U14" i="1"/>
  <c r="BW14" i="1"/>
  <c r="A15" i="1"/>
  <c r="C15" i="1"/>
  <c r="S15" i="1"/>
  <c r="T15" i="1"/>
  <c r="U15" i="1"/>
  <c r="BB15" i="1"/>
  <c r="BW15" i="1"/>
  <c r="A16" i="1"/>
  <c r="C16" i="1"/>
  <c r="S16" i="1"/>
  <c r="T16" i="1"/>
  <c r="U16" i="1"/>
  <c r="BB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B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U45" i="1"/>
  <c r="BB45" i="1"/>
  <c r="BW45" i="1"/>
  <c r="A46" i="1"/>
  <c r="C46" i="1"/>
  <c r="S46" i="1"/>
  <c r="U46" i="1"/>
  <c r="BB46" i="1"/>
  <c r="BW46" i="1"/>
  <c r="A47" i="1"/>
  <c r="C47" i="1"/>
  <c r="S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U90" i="1"/>
  <c r="BB90" i="1"/>
  <c r="BW90" i="1"/>
  <c r="A91" i="1"/>
  <c r="C91" i="1"/>
  <c r="S91" i="1"/>
  <c r="U91" i="1"/>
  <c r="BB91" i="1"/>
  <c r="BW91" i="1"/>
  <c r="A92" i="1"/>
  <c r="C92" i="1"/>
  <c r="S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T97" i="1"/>
  <c r="U97" i="1"/>
  <c r="BB97" i="1"/>
  <c r="BW97" i="1"/>
  <c r="A98" i="1"/>
  <c r="C98" i="1"/>
  <c r="S98" i="1"/>
  <c r="T98" i="1"/>
  <c r="U98" i="1"/>
  <c r="BB98" i="1"/>
  <c r="BW98" i="1"/>
  <c r="A99" i="1"/>
  <c r="C99" i="1"/>
  <c r="S99" i="1"/>
  <c r="U99" i="1"/>
  <c r="BB99" i="1"/>
  <c r="BW99" i="1"/>
  <c r="A100" i="1"/>
  <c r="C100" i="1"/>
  <c r="S100" i="1"/>
  <c r="U100" i="1"/>
  <c r="BB100" i="1"/>
  <c r="BW100" i="1"/>
  <c r="A101" i="1"/>
  <c r="C101" i="1"/>
  <c r="S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U105" i="1"/>
  <c r="BB105" i="1"/>
  <c r="BW105" i="1"/>
  <c r="A106" i="1"/>
  <c r="C106" i="1"/>
  <c r="S106" i="1"/>
  <c r="U106" i="1"/>
  <c r="BB106" i="1"/>
  <c r="BW106" i="1"/>
  <c r="A107" i="1"/>
  <c r="C107" i="1"/>
  <c r="S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B111" i="1"/>
  <c r="BW111" i="1"/>
  <c r="A112" i="1"/>
  <c r="C112" i="1"/>
  <c r="S112" i="1"/>
  <c r="T112" i="1"/>
  <c r="U112" i="1"/>
  <c r="BB112" i="1"/>
  <c r="BW112" i="1"/>
  <c r="A113" i="1"/>
  <c r="C113" i="1"/>
  <c r="S113" i="1"/>
  <c r="T113" i="1"/>
  <c r="U113" i="1"/>
  <c r="BB113" i="1"/>
  <c r="BW113" i="1"/>
  <c r="A114" i="1"/>
  <c r="C114" i="1"/>
  <c r="S114" i="1"/>
  <c r="U114" i="1"/>
  <c r="BB114" i="1"/>
  <c r="BW114" i="1"/>
  <c r="A115" i="1"/>
  <c r="C115" i="1"/>
  <c r="S115" i="1"/>
  <c r="U115" i="1"/>
  <c r="BB115" i="1"/>
  <c r="BW115" i="1"/>
  <c r="A116" i="1"/>
  <c r="C116" i="1"/>
  <c r="S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B118" i="1"/>
  <c r="BW118" i="1"/>
  <c r="A119" i="1"/>
  <c r="C119" i="1"/>
  <c r="S119" i="1"/>
  <c r="T119" i="1"/>
  <c r="U119" i="1"/>
  <c r="BB119" i="1"/>
  <c r="BW119" i="1"/>
  <c r="A120" i="1"/>
  <c r="C120" i="1"/>
  <c r="S120" i="1"/>
  <c r="T120" i="1"/>
  <c r="U120" i="1"/>
  <c r="BB120" i="1"/>
  <c r="BW120" i="1"/>
  <c r="A121" i="1"/>
  <c r="C121" i="1"/>
  <c r="S121" i="1"/>
  <c r="T121" i="1"/>
  <c r="U121" i="1"/>
  <c r="BB121" i="1"/>
  <c r="BW121" i="1"/>
  <c r="A122" i="1"/>
  <c r="C122" i="1"/>
  <c r="S122" i="1"/>
  <c r="T122" i="1"/>
  <c r="U122" i="1"/>
  <c r="BB122" i="1"/>
  <c r="BW122" i="1"/>
  <c r="A123" i="1"/>
  <c r="C123" i="1"/>
  <c r="S123" i="1"/>
  <c r="U123" i="1"/>
  <c r="BB123" i="1"/>
  <c r="BW123" i="1"/>
  <c r="A124" i="1"/>
  <c r="C124" i="1"/>
  <c r="S124" i="1"/>
  <c r="U124" i="1"/>
  <c r="BB124" i="1"/>
  <c r="BW124" i="1"/>
  <c r="A125" i="1"/>
  <c r="C125" i="1"/>
  <c r="S125" i="1"/>
  <c r="U125" i="1"/>
  <c r="BB125" i="1"/>
  <c r="BW125" i="1"/>
  <c r="A126" i="1"/>
  <c r="C126" i="1"/>
  <c r="S126" i="1"/>
  <c r="U126" i="1"/>
  <c r="BB126" i="1"/>
  <c r="BW126" i="1"/>
  <c r="A127" i="1"/>
  <c r="C127" i="1"/>
  <c r="S127" i="1"/>
  <c r="U127" i="1"/>
  <c r="BB127" i="1"/>
  <c r="BW127" i="1"/>
  <c r="A128" i="1"/>
  <c r="C128" i="1"/>
  <c r="S128" i="1"/>
  <c r="U128" i="1"/>
  <c r="BB128" i="1"/>
  <c r="BW128" i="1"/>
  <c r="A129" i="1"/>
  <c r="C129" i="1"/>
  <c r="S129" i="1"/>
  <c r="U129" i="1"/>
  <c r="BB129" i="1"/>
  <c r="BW129" i="1"/>
  <c r="A130" i="1"/>
  <c r="C130" i="1"/>
  <c r="S130" i="1"/>
  <c r="U130" i="1"/>
  <c r="BB130" i="1"/>
  <c r="BW130" i="1"/>
  <c r="A131" i="1"/>
  <c r="C131" i="1"/>
  <c r="S131" i="1"/>
  <c r="U131" i="1"/>
  <c r="BB131" i="1"/>
  <c r="BW131" i="1"/>
  <c r="A132" i="1"/>
  <c r="C132" i="1"/>
  <c r="S132" i="1"/>
  <c r="T132" i="1"/>
  <c r="U132" i="1"/>
  <c r="BB132" i="1"/>
  <c r="BW132" i="1"/>
  <c r="A133" i="1"/>
  <c r="C133" i="1"/>
  <c r="S133" i="1"/>
  <c r="T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U150" i="1"/>
  <c r="BB150" i="1"/>
  <c r="BW150" i="1"/>
  <c r="A151" i="1"/>
  <c r="C151" i="1"/>
  <c r="S151" i="1"/>
  <c r="U151" i="1"/>
  <c r="BB151" i="1"/>
  <c r="BW151" i="1"/>
  <c r="A152" i="1"/>
  <c r="C152" i="1"/>
  <c r="S152" i="1"/>
  <c r="U152" i="1"/>
  <c r="BB152" i="1"/>
  <c r="BW152" i="1"/>
  <c r="A153" i="1"/>
  <c r="C153" i="1"/>
  <c r="S153" i="1"/>
  <c r="U153" i="1"/>
  <c r="BB153" i="1"/>
  <c r="BW153" i="1"/>
  <c r="A154" i="1"/>
  <c r="C154" i="1"/>
  <c r="S154" i="1"/>
  <c r="U154" i="1"/>
  <c r="BB154" i="1"/>
  <c r="BW154" i="1"/>
  <c r="A155" i="1"/>
  <c r="C155" i="1"/>
  <c r="S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T164" i="1"/>
  <c r="U164" i="1"/>
  <c r="BB164" i="1"/>
  <c r="BW164" i="1"/>
  <c r="A165" i="1"/>
  <c r="C165" i="1"/>
  <c r="S165" i="1"/>
  <c r="U165" i="1"/>
  <c r="BB165" i="1"/>
  <c r="BW165" i="1"/>
  <c r="A166" i="1"/>
  <c r="C166" i="1"/>
  <c r="S166" i="1"/>
  <c r="U166" i="1"/>
  <c r="BB166" i="1"/>
  <c r="BW166" i="1"/>
  <c r="A167" i="1"/>
  <c r="C167" i="1"/>
  <c r="S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T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U177" i="1"/>
  <c r="BB177" i="1"/>
  <c r="BW177" i="1"/>
  <c r="A178" i="1"/>
  <c r="C178" i="1"/>
  <c r="S178" i="1"/>
  <c r="U178" i="1"/>
  <c r="BB178" i="1"/>
  <c r="BW178" i="1"/>
  <c r="A179" i="1"/>
  <c r="C179" i="1"/>
  <c r="S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T182" i="1"/>
  <c r="U182" i="1"/>
  <c r="BB182" i="1"/>
  <c r="BW182" i="1"/>
  <c r="A183" i="1"/>
  <c r="C183" i="1"/>
  <c r="S183" i="1"/>
  <c r="T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U192" i="1"/>
  <c r="BB192" i="1"/>
  <c r="BW192" i="1"/>
  <c r="A193" i="1"/>
  <c r="C193" i="1"/>
  <c r="S193" i="1"/>
  <c r="U193" i="1"/>
  <c r="BB193" i="1"/>
  <c r="BW193" i="1"/>
  <c r="A194" i="1"/>
  <c r="C194" i="1"/>
  <c r="S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T197" i="1"/>
  <c r="U197" i="1"/>
  <c r="BB197" i="1"/>
  <c r="BW197" i="1"/>
  <c r="A198" i="1"/>
  <c r="C198" i="1"/>
  <c r="S198" i="1"/>
  <c r="T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B200" i="1"/>
  <c r="BW200" i="1"/>
  <c r="A201" i="1"/>
  <c r="C201" i="1"/>
  <c r="S201" i="1"/>
  <c r="T201" i="1"/>
  <c r="U201" i="1"/>
  <c r="BB201" i="1"/>
  <c r="BW201" i="1"/>
  <c r="A202" i="1"/>
  <c r="C202" i="1"/>
  <c r="S202" i="1"/>
  <c r="T202" i="1"/>
  <c r="U202" i="1"/>
  <c r="BB202" i="1"/>
  <c r="BW202" i="1"/>
  <c r="A203" i="1"/>
  <c r="C203" i="1"/>
  <c r="S203" i="1"/>
  <c r="T203" i="1"/>
  <c r="U203" i="1"/>
  <c r="BB203" i="1"/>
  <c r="BW203" i="1"/>
  <c r="A204" i="1"/>
  <c r="C204" i="1"/>
  <c r="S204" i="1"/>
  <c r="T204" i="1"/>
  <c r="U204" i="1"/>
  <c r="BB204" i="1"/>
  <c r="BW204" i="1"/>
  <c r="A205" i="1"/>
  <c r="C205" i="1"/>
  <c r="S205" i="1"/>
  <c r="T205" i="1"/>
  <c r="U205" i="1"/>
  <c r="BB205" i="1"/>
  <c r="BW205" i="1"/>
  <c r="A206" i="1"/>
  <c r="C206" i="1"/>
  <c r="S206" i="1"/>
  <c r="T206" i="1"/>
  <c r="U206" i="1"/>
  <c r="BB206" i="1"/>
  <c r="BW206" i="1"/>
  <c r="A207" i="1"/>
  <c r="C207" i="1"/>
  <c r="S207" i="1"/>
  <c r="T207" i="1"/>
  <c r="U207" i="1"/>
  <c r="BB207" i="1"/>
  <c r="BW207" i="1"/>
  <c r="A208" i="1"/>
  <c r="C208" i="1"/>
  <c r="S208" i="1"/>
  <c r="T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T212" i="1"/>
  <c r="U212" i="1"/>
  <c r="BB212" i="1"/>
  <c r="BW212" i="1"/>
  <c r="A213" i="1"/>
  <c r="C213" i="1"/>
  <c r="S213" i="1"/>
  <c r="T213" i="1"/>
  <c r="U213" i="1"/>
  <c r="BB213" i="1"/>
  <c r="BW213" i="1"/>
  <c r="A214" i="1"/>
  <c r="C214" i="1"/>
  <c r="S214" i="1"/>
  <c r="T214" i="1"/>
  <c r="U214" i="1"/>
  <c r="BB214" i="1"/>
  <c r="BW214" i="1"/>
  <c r="A215" i="1"/>
  <c r="C215" i="1"/>
  <c r="S215" i="1"/>
  <c r="T215" i="1"/>
  <c r="U215" i="1"/>
  <c r="BB215" i="1"/>
  <c r="BW215" i="1"/>
  <c r="A216" i="1"/>
  <c r="C216" i="1"/>
  <c r="S216" i="1"/>
  <c r="T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B218" i="1"/>
  <c r="BW218" i="1"/>
  <c r="A219" i="1"/>
  <c r="C219" i="1"/>
  <c r="S219" i="1"/>
  <c r="T219" i="1"/>
  <c r="U219" i="1"/>
  <c r="BB219" i="1"/>
  <c r="BW219" i="1"/>
  <c r="A220" i="1"/>
  <c r="C220" i="1"/>
  <c r="S220" i="1"/>
  <c r="T220" i="1"/>
  <c r="U220" i="1"/>
  <c r="BB220" i="1"/>
  <c r="BW220" i="1"/>
  <c r="A221" i="1"/>
  <c r="C221" i="1"/>
  <c r="S221" i="1"/>
  <c r="T221" i="1"/>
  <c r="U221" i="1"/>
  <c r="BB221" i="1"/>
  <c r="BW221" i="1"/>
  <c r="A222" i="1"/>
  <c r="C222" i="1"/>
  <c r="S222" i="1"/>
  <c r="T222" i="1"/>
  <c r="U222" i="1"/>
  <c r="BB222" i="1"/>
  <c r="BW222" i="1"/>
  <c r="A223" i="1"/>
  <c r="C223" i="1"/>
  <c r="S223" i="1"/>
  <c r="T223" i="1"/>
  <c r="U223" i="1"/>
  <c r="BB223" i="1"/>
  <c r="BW223" i="1"/>
  <c r="A224" i="1"/>
  <c r="C224" i="1"/>
  <c r="S224" i="1"/>
  <c r="T224" i="1"/>
  <c r="U224" i="1"/>
  <c r="BB224" i="1"/>
  <c r="BW224" i="1"/>
  <c r="A225" i="1"/>
  <c r="C225" i="1"/>
  <c r="S225" i="1"/>
  <c r="T225" i="1"/>
  <c r="U225" i="1"/>
  <c r="BB225" i="1"/>
  <c r="BW225" i="1"/>
  <c r="A226" i="1"/>
  <c r="C226" i="1"/>
  <c r="S226" i="1"/>
  <c r="T226" i="1"/>
  <c r="U226" i="1"/>
  <c r="BB226" i="1"/>
  <c r="BW226" i="1"/>
  <c r="A227" i="1"/>
  <c r="C227" i="1"/>
  <c r="S227" i="1"/>
  <c r="T227" i="1"/>
  <c r="U227" i="1"/>
  <c r="BB227" i="1"/>
  <c r="BW227" i="1"/>
  <c r="A228" i="1"/>
  <c r="C228" i="1"/>
  <c r="S228" i="1"/>
  <c r="T228" i="1"/>
  <c r="U228" i="1"/>
  <c r="BB228" i="1"/>
  <c r="BW228" i="1"/>
  <c r="A229" i="1"/>
  <c r="C229" i="1"/>
  <c r="S229" i="1"/>
  <c r="T229" i="1"/>
  <c r="U229" i="1"/>
  <c r="BB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T234" i="1"/>
  <c r="U234" i="1"/>
  <c r="BB234" i="1"/>
  <c r="BW234" i="1"/>
  <c r="A235" i="1"/>
  <c r="C235" i="1"/>
  <c r="S235" i="1"/>
  <c r="T235" i="1"/>
  <c r="U235" i="1"/>
  <c r="BB235" i="1"/>
  <c r="BW235" i="1"/>
  <c r="A236" i="1"/>
  <c r="C236" i="1"/>
  <c r="S236" i="1"/>
  <c r="T236" i="1"/>
  <c r="U236" i="1"/>
  <c r="BB236" i="1"/>
  <c r="BW236" i="1"/>
  <c r="A237" i="1"/>
  <c r="C237" i="1"/>
  <c r="S237" i="1"/>
  <c r="U237" i="1"/>
  <c r="BB237" i="1"/>
  <c r="BW237" i="1"/>
  <c r="A238" i="1"/>
  <c r="C238" i="1"/>
  <c r="S238" i="1"/>
  <c r="U238" i="1"/>
  <c r="BB238" i="1"/>
  <c r="BW238" i="1"/>
  <c r="A239" i="1"/>
  <c r="C239" i="1"/>
  <c r="S239" i="1"/>
  <c r="U239" i="1"/>
  <c r="BB239" i="1"/>
  <c r="BW239" i="1"/>
  <c r="A240" i="1"/>
  <c r="C240" i="1"/>
  <c r="S240" i="1"/>
  <c r="T240" i="1"/>
  <c r="U240" i="1"/>
  <c r="BB240" i="1"/>
  <c r="BW240" i="1"/>
  <c r="A241" i="1"/>
  <c r="C241" i="1"/>
  <c r="S241" i="1"/>
  <c r="T241" i="1"/>
  <c r="U241" i="1"/>
  <c r="BB241" i="1"/>
  <c r="BW241" i="1"/>
  <c r="A242" i="1"/>
  <c r="C242" i="1"/>
  <c r="S242" i="1"/>
  <c r="T242" i="1"/>
  <c r="U242" i="1"/>
  <c r="BB242" i="1"/>
  <c r="BW242" i="1"/>
  <c r="A243" i="1"/>
  <c r="C243" i="1"/>
  <c r="S243" i="1"/>
  <c r="T243" i="1"/>
  <c r="U243" i="1"/>
  <c r="BB243" i="1"/>
  <c r="BW243" i="1"/>
  <c r="A244" i="1"/>
  <c r="C244" i="1"/>
  <c r="S244" i="1"/>
  <c r="T244" i="1"/>
  <c r="U244" i="1"/>
  <c r="BB244" i="1"/>
  <c r="BW244" i="1"/>
  <c r="A245" i="1"/>
  <c r="C245" i="1"/>
  <c r="S245" i="1"/>
  <c r="T245" i="1"/>
  <c r="U245" i="1"/>
  <c r="BB245" i="1"/>
  <c r="BW245" i="1"/>
  <c r="A246" i="1"/>
  <c r="C246" i="1"/>
  <c r="S246" i="1"/>
  <c r="T246" i="1"/>
  <c r="U246" i="1"/>
  <c r="BB246" i="1"/>
  <c r="BW246" i="1"/>
  <c r="A247" i="1"/>
  <c r="C247" i="1"/>
  <c r="S247" i="1"/>
  <c r="T247" i="1"/>
  <c r="U247" i="1"/>
  <c r="BB247" i="1"/>
  <c r="BW247" i="1"/>
  <c r="A248" i="1"/>
  <c r="C248" i="1"/>
  <c r="S248" i="1"/>
  <c r="T248" i="1"/>
  <c r="U248" i="1"/>
  <c r="BB248" i="1"/>
  <c r="BW248" i="1"/>
  <c r="A249" i="1"/>
  <c r="C249" i="1"/>
  <c r="S249" i="1"/>
  <c r="U249" i="1"/>
  <c r="BB249" i="1"/>
  <c r="BW249" i="1"/>
  <c r="A250" i="1"/>
  <c r="C250" i="1"/>
  <c r="S250" i="1"/>
  <c r="U250" i="1"/>
  <c r="BB250" i="1"/>
  <c r="BW250" i="1"/>
  <c r="A251" i="1"/>
  <c r="C251" i="1"/>
  <c r="S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B255" i="1"/>
  <c r="BW255" i="1"/>
  <c r="A256" i="1"/>
  <c r="C256" i="1"/>
  <c r="S256" i="1"/>
  <c r="T256" i="1"/>
  <c r="U256" i="1"/>
  <c r="BB256" i="1"/>
  <c r="BW256" i="1"/>
  <c r="A257" i="1"/>
  <c r="C257" i="1"/>
  <c r="S257" i="1"/>
  <c r="T257" i="1"/>
  <c r="U257" i="1"/>
  <c r="BB257" i="1"/>
  <c r="BW257" i="1"/>
  <c r="A258" i="1"/>
  <c r="C258" i="1"/>
  <c r="S258" i="1"/>
  <c r="T258" i="1"/>
  <c r="U258" i="1"/>
  <c r="BB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T275" i="1"/>
  <c r="U275" i="1"/>
  <c r="BB275" i="1"/>
  <c r="BW275" i="1"/>
  <c r="A276" i="1"/>
  <c r="C276" i="1"/>
  <c r="S276" i="1"/>
  <c r="T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U279" i="1"/>
  <c r="BB279" i="1"/>
  <c r="BW279" i="1"/>
  <c r="A280" i="1"/>
  <c r="C280" i="1"/>
  <c r="S280" i="1"/>
  <c r="U280" i="1"/>
  <c r="BB280" i="1"/>
  <c r="BW280" i="1"/>
  <c r="A281" i="1"/>
  <c r="C281" i="1"/>
  <c r="S281" i="1"/>
  <c r="U281" i="1"/>
  <c r="BB281" i="1"/>
  <c r="BW281" i="1"/>
  <c r="A282" i="1"/>
  <c r="C282" i="1"/>
  <c r="S282" i="1"/>
  <c r="T282" i="1"/>
  <c r="U282" i="1"/>
  <c r="BB282" i="1"/>
  <c r="BW282" i="1"/>
  <c r="A283" i="1"/>
  <c r="C283" i="1"/>
  <c r="S283" i="1"/>
  <c r="T283" i="1"/>
  <c r="U283" i="1"/>
  <c r="BB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  <c r="A287" i="1"/>
  <c r="C287" i="1"/>
  <c r="S287" i="1"/>
  <c r="T287" i="1"/>
  <c r="U287" i="1"/>
  <c r="BB287" i="1"/>
  <c r="BW287" i="1"/>
  <c r="A288" i="1"/>
  <c r="C288" i="1"/>
  <c r="S288" i="1"/>
  <c r="T288" i="1"/>
  <c r="U288" i="1"/>
  <c r="BB288" i="1"/>
  <c r="BW288" i="1"/>
  <c r="A289" i="1"/>
  <c r="C289" i="1"/>
  <c r="S289" i="1"/>
  <c r="T289" i="1"/>
  <c r="U289" i="1"/>
  <c r="BB289" i="1"/>
  <c r="BW289" i="1"/>
  <c r="A290" i="1"/>
  <c r="C290" i="1"/>
  <c r="S290" i="1"/>
  <c r="T290" i="1"/>
  <c r="U290" i="1"/>
  <c r="BB290" i="1"/>
  <c r="BW290" i="1"/>
  <c r="A291" i="1"/>
  <c r="C291" i="1"/>
  <c r="S291" i="1"/>
  <c r="U291" i="1"/>
  <c r="BB291" i="1"/>
  <c r="BW291" i="1"/>
  <c r="A292" i="1"/>
  <c r="C292" i="1"/>
  <c r="S292" i="1"/>
  <c r="U292" i="1"/>
  <c r="BB292" i="1"/>
  <c r="BW292" i="1"/>
  <c r="A293" i="1"/>
  <c r="C293" i="1"/>
  <c r="S293" i="1"/>
  <c r="U293" i="1"/>
  <c r="BB293" i="1"/>
  <c r="BW293" i="1"/>
  <c r="A294" i="1"/>
  <c r="C294" i="1"/>
  <c r="S294" i="1"/>
  <c r="U294" i="1"/>
  <c r="BB294" i="1"/>
  <c r="BW294" i="1"/>
  <c r="A295" i="1"/>
  <c r="C295" i="1"/>
  <c r="S295" i="1"/>
  <c r="U295" i="1"/>
  <c r="BB295" i="1"/>
  <c r="BW295" i="1"/>
  <c r="A296" i="1"/>
  <c r="C296" i="1"/>
  <c r="S296" i="1"/>
  <c r="U296" i="1"/>
  <c r="BB296" i="1"/>
  <c r="BW296" i="1"/>
  <c r="A297" i="1"/>
  <c r="C297" i="1"/>
  <c r="S297" i="1"/>
  <c r="T297" i="1"/>
  <c r="U297" i="1"/>
  <c r="BB297" i="1"/>
  <c r="BW297" i="1"/>
  <c r="A298" i="1"/>
  <c r="C298" i="1"/>
  <c r="S298" i="1"/>
  <c r="T298" i="1"/>
  <c r="U298" i="1"/>
  <c r="BB298" i="1"/>
  <c r="BW298" i="1"/>
  <c r="A299" i="1"/>
  <c r="C299" i="1"/>
  <c r="S299" i="1"/>
  <c r="T299" i="1"/>
  <c r="U299" i="1"/>
  <c r="BB299" i="1"/>
  <c r="BW299" i="1"/>
  <c r="A300" i="1"/>
  <c r="C300" i="1"/>
  <c r="S300" i="1"/>
  <c r="U300" i="1"/>
  <c r="BB300" i="1"/>
  <c r="BW300" i="1"/>
  <c r="A301" i="1"/>
  <c r="C301" i="1"/>
  <c r="S301" i="1"/>
  <c r="U301" i="1"/>
  <c r="BB301" i="1"/>
  <c r="BW301" i="1"/>
  <c r="A302" i="1"/>
  <c r="C302" i="1"/>
  <c r="S302" i="1"/>
  <c r="U302" i="1"/>
  <c r="BB302" i="1"/>
  <c r="BW302" i="1"/>
  <c r="A303" i="1"/>
  <c r="C303" i="1"/>
  <c r="S303" i="1"/>
  <c r="U303" i="1"/>
  <c r="BB303" i="1"/>
  <c r="BW303" i="1"/>
  <c r="A304" i="1"/>
  <c r="C304" i="1"/>
  <c r="S304" i="1"/>
  <c r="U304" i="1"/>
  <c r="BB304" i="1"/>
  <c r="BW304" i="1"/>
  <c r="A305" i="1"/>
  <c r="C305" i="1"/>
  <c r="S305" i="1"/>
  <c r="U305" i="1"/>
  <c r="BB305" i="1"/>
  <c r="BW305" i="1"/>
  <c r="A306" i="1"/>
  <c r="C306" i="1"/>
  <c r="S306" i="1"/>
  <c r="T306" i="1"/>
  <c r="U306" i="1"/>
  <c r="BB306" i="1"/>
  <c r="BW306" i="1"/>
  <c r="A307" i="1"/>
  <c r="C307" i="1"/>
  <c r="S307" i="1"/>
  <c r="T307" i="1"/>
  <c r="U307" i="1"/>
  <c r="BB307" i="1"/>
  <c r="BW307" i="1"/>
  <c r="A308" i="1"/>
  <c r="C308" i="1"/>
  <c r="S308" i="1"/>
  <c r="T308" i="1"/>
  <c r="U308" i="1"/>
  <c r="BB308" i="1"/>
  <c r="BW308" i="1"/>
  <c r="A309" i="1"/>
  <c r="C309" i="1"/>
  <c r="S309" i="1"/>
  <c r="U309" i="1"/>
  <c r="BB309" i="1"/>
  <c r="BW309" i="1"/>
  <c r="A310" i="1"/>
  <c r="C310" i="1"/>
  <c r="S310" i="1"/>
  <c r="U310" i="1"/>
  <c r="BB310" i="1"/>
  <c r="BW310" i="1"/>
  <c r="A311" i="1"/>
  <c r="C311" i="1"/>
  <c r="S311" i="1"/>
  <c r="U311" i="1"/>
  <c r="BB311" i="1"/>
  <c r="BW311" i="1"/>
  <c r="A312" i="1"/>
  <c r="C312" i="1"/>
  <c r="S312" i="1"/>
  <c r="T312" i="1"/>
  <c r="U312" i="1"/>
  <c r="BB312" i="1"/>
  <c r="BW312" i="1"/>
  <c r="A313" i="1"/>
  <c r="C313" i="1"/>
  <c r="S313" i="1"/>
  <c r="T313" i="1"/>
  <c r="U313" i="1"/>
  <c r="BB313" i="1"/>
  <c r="BW313" i="1"/>
  <c r="A314" i="1"/>
  <c r="C314" i="1"/>
  <c r="S314" i="1"/>
  <c r="T314" i="1"/>
  <c r="U314" i="1"/>
  <c r="BB314" i="1"/>
  <c r="BW314" i="1"/>
  <c r="A315" i="1"/>
  <c r="C315" i="1"/>
  <c r="S315" i="1"/>
  <c r="T315" i="1"/>
  <c r="U315" i="1"/>
  <c r="BB315" i="1"/>
  <c r="BW315" i="1"/>
  <c r="A316" i="1"/>
  <c r="C316" i="1"/>
  <c r="S316" i="1"/>
  <c r="T316" i="1"/>
  <c r="U316" i="1"/>
  <c r="BB316" i="1"/>
  <c r="BW316" i="1"/>
  <c r="A317" i="1"/>
  <c r="C317" i="1"/>
  <c r="S317" i="1"/>
  <c r="T317" i="1"/>
  <c r="U317" i="1"/>
  <c r="BB317" i="1"/>
  <c r="BW317" i="1"/>
  <c r="A318" i="1"/>
  <c r="C318" i="1"/>
  <c r="S318" i="1"/>
  <c r="T318" i="1"/>
  <c r="U318" i="1"/>
  <c r="BB318" i="1"/>
  <c r="BW318" i="1"/>
  <c r="A319" i="1"/>
  <c r="C319" i="1"/>
  <c r="S319" i="1"/>
  <c r="T319" i="1"/>
  <c r="U319" i="1"/>
  <c r="BB319" i="1"/>
  <c r="BW319" i="1"/>
  <c r="A320" i="1"/>
  <c r="C320" i="1"/>
  <c r="S320" i="1"/>
  <c r="T320" i="1"/>
  <c r="U320" i="1"/>
  <c r="BB320" i="1"/>
  <c r="BW320" i="1"/>
  <c r="A321" i="1"/>
  <c r="C321" i="1"/>
  <c r="S321" i="1"/>
  <c r="T321" i="1"/>
  <c r="U321" i="1"/>
  <c r="BB321" i="1"/>
  <c r="BW321" i="1"/>
  <c r="A322" i="1"/>
  <c r="C322" i="1"/>
  <c r="S322" i="1"/>
  <c r="T322" i="1"/>
  <c r="U322" i="1"/>
  <c r="BB322" i="1"/>
  <c r="BW322" i="1"/>
  <c r="A323" i="1"/>
  <c r="C323" i="1"/>
  <c r="S323" i="1"/>
  <c r="T323" i="1"/>
  <c r="U323" i="1"/>
  <c r="BB323" i="1"/>
  <c r="BW323" i="1"/>
  <c r="A324" i="1"/>
  <c r="C324" i="1"/>
  <c r="S324" i="1"/>
  <c r="T324" i="1"/>
  <c r="U324" i="1"/>
  <c r="BB324" i="1"/>
  <c r="BW324" i="1"/>
  <c r="A325" i="1"/>
  <c r="C325" i="1"/>
  <c r="S325" i="1"/>
  <c r="T325" i="1"/>
  <c r="U325" i="1"/>
  <c r="BB325" i="1"/>
  <c r="BW325" i="1"/>
  <c r="A326" i="1"/>
  <c r="C326" i="1"/>
  <c r="S326" i="1"/>
  <c r="T326" i="1"/>
  <c r="U326" i="1"/>
  <c r="BB326" i="1"/>
  <c r="BW326" i="1"/>
  <c r="A327" i="1"/>
  <c r="C327" i="1"/>
  <c r="S327" i="1"/>
  <c r="T327" i="1"/>
  <c r="U327" i="1"/>
  <c r="BB327" i="1"/>
  <c r="BW327" i="1"/>
  <c r="A328" i="1"/>
  <c r="C328" i="1"/>
  <c r="S328" i="1"/>
  <c r="T328" i="1"/>
  <c r="U328" i="1"/>
  <c r="BB328" i="1"/>
  <c r="BW328" i="1"/>
  <c r="A329" i="1"/>
  <c r="C329" i="1"/>
  <c r="S329" i="1"/>
  <c r="U329" i="1"/>
  <c r="BB329" i="1"/>
  <c r="BW329" i="1"/>
  <c r="A330" i="1"/>
  <c r="C330" i="1"/>
  <c r="S330" i="1"/>
  <c r="U330" i="1"/>
  <c r="BB330" i="1"/>
  <c r="BW330" i="1"/>
  <c r="A331" i="1"/>
  <c r="C331" i="1"/>
  <c r="S331" i="1"/>
  <c r="U331" i="1"/>
  <c r="BB331" i="1"/>
  <c r="BW331" i="1"/>
  <c r="A332" i="1"/>
  <c r="C332" i="1"/>
  <c r="S332" i="1"/>
  <c r="T332" i="1"/>
  <c r="U332" i="1"/>
  <c r="BB332" i="1"/>
  <c r="BW332" i="1"/>
  <c r="A333" i="1"/>
  <c r="C333" i="1"/>
  <c r="S333" i="1"/>
  <c r="T333" i="1"/>
  <c r="U333" i="1"/>
  <c r="BB333" i="1"/>
  <c r="BW333" i="1"/>
  <c r="A334" i="1"/>
  <c r="C334" i="1"/>
  <c r="S334" i="1"/>
  <c r="T334" i="1"/>
  <c r="U334" i="1"/>
  <c r="BB334" i="1"/>
  <c r="BW334" i="1"/>
  <c r="A335" i="1"/>
  <c r="C335" i="1"/>
  <c r="S335" i="1"/>
  <c r="T335" i="1"/>
  <c r="U335" i="1"/>
  <c r="BB335" i="1"/>
  <c r="BW335" i="1"/>
  <c r="A336" i="1"/>
  <c r="C336" i="1"/>
  <c r="S336" i="1"/>
  <c r="T336" i="1"/>
  <c r="U336" i="1"/>
  <c r="BB336" i="1"/>
  <c r="BW336" i="1"/>
  <c r="A337" i="1"/>
  <c r="C337" i="1"/>
  <c r="S337" i="1"/>
  <c r="T337" i="1"/>
  <c r="U337" i="1"/>
  <c r="BB337" i="1"/>
  <c r="BW337" i="1"/>
  <c r="A338" i="1"/>
  <c r="C338" i="1"/>
  <c r="S338" i="1"/>
  <c r="T338" i="1"/>
  <c r="U338" i="1"/>
  <c r="BB338" i="1"/>
  <c r="BW338" i="1"/>
  <c r="A339" i="1"/>
  <c r="C339" i="1"/>
  <c r="S339" i="1"/>
  <c r="T339" i="1"/>
  <c r="U339" i="1"/>
  <c r="BB339" i="1"/>
  <c r="BW339" i="1"/>
  <c r="A340" i="1"/>
  <c r="C340" i="1"/>
  <c r="S340" i="1"/>
  <c r="T340" i="1"/>
  <c r="U340" i="1"/>
  <c r="BB340" i="1"/>
  <c r="BW340" i="1"/>
  <c r="A341" i="1"/>
  <c r="C341" i="1"/>
  <c r="S341" i="1"/>
  <c r="T341" i="1"/>
  <c r="U341" i="1"/>
  <c r="BB341" i="1"/>
  <c r="BW341" i="1"/>
  <c r="A342" i="1"/>
  <c r="C342" i="1"/>
  <c r="S342" i="1"/>
  <c r="T342" i="1"/>
  <c r="U342" i="1"/>
  <c r="BB342" i="1"/>
  <c r="BW342" i="1"/>
  <c r="A343" i="1"/>
  <c r="C343" i="1"/>
  <c r="S343" i="1"/>
  <c r="T343" i="1"/>
  <c r="U343" i="1"/>
  <c r="BB343" i="1"/>
  <c r="BW343" i="1"/>
  <c r="A344" i="1"/>
  <c r="C344" i="1"/>
  <c r="S344" i="1"/>
  <c r="T344" i="1"/>
  <c r="U344" i="1"/>
  <c r="BB344" i="1"/>
  <c r="BW344" i="1"/>
  <c r="A345" i="1"/>
  <c r="C345" i="1"/>
  <c r="S345" i="1"/>
  <c r="T345" i="1"/>
  <c r="U345" i="1"/>
  <c r="BB345" i="1"/>
  <c r="BW345" i="1"/>
  <c r="A346" i="1"/>
  <c r="C346" i="1"/>
  <c r="S346" i="1"/>
  <c r="T346" i="1"/>
  <c r="U346" i="1"/>
  <c r="BB346" i="1"/>
  <c r="BW346" i="1"/>
  <c r="A347" i="1"/>
  <c r="C347" i="1"/>
  <c r="S347" i="1"/>
  <c r="U347" i="1"/>
  <c r="BB347" i="1"/>
  <c r="BW347" i="1"/>
  <c r="A348" i="1"/>
  <c r="C348" i="1"/>
  <c r="S348" i="1"/>
  <c r="U348" i="1"/>
  <c r="BB348" i="1"/>
  <c r="BW348" i="1"/>
  <c r="A349" i="1"/>
  <c r="C349" i="1"/>
  <c r="S349" i="1"/>
  <c r="U349" i="1"/>
  <c r="BB349" i="1"/>
  <c r="BW349" i="1"/>
  <c r="A350" i="1"/>
  <c r="C350" i="1"/>
  <c r="S350" i="1"/>
  <c r="U350" i="1"/>
  <c r="BB350" i="1"/>
  <c r="BW350" i="1"/>
  <c r="A351" i="1"/>
  <c r="C351" i="1"/>
  <c r="S351" i="1"/>
  <c r="U351" i="1"/>
  <c r="BB351" i="1"/>
  <c r="BW351" i="1"/>
  <c r="A352" i="1"/>
  <c r="C352" i="1"/>
  <c r="S352" i="1"/>
  <c r="U352" i="1"/>
  <c r="BB352" i="1"/>
  <c r="BW352" i="1"/>
  <c r="A353" i="1"/>
  <c r="C353" i="1"/>
  <c r="S353" i="1"/>
  <c r="T353" i="1"/>
  <c r="U353" i="1"/>
  <c r="BB353" i="1"/>
  <c r="BW353" i="1"/>
  <c r="A354" i="1"/>
  <c r="C354" i="1"/>
  <c r="S354" i="1"/>
  <c r="T354" i="1"/>
  <c r="U354" i="1"/>
  <c r="BB354" i="1"/>
  <c r="BW354" i="1"/>
  <c r="A355" i="1"/>
  <c r="C355" i="1"/>
  <c r="S355" i="1"/>
  <c r="T355" i="1"/>
  <c r="U355" i="1"/>
  <c r="BB355" i="1"/>
  <c r="BW355" i="1"/>
  <c r="A356" i="1"/>
  <c r="C356" i="1"/>
  <c r="S356" i="1"/>
  <c r="U356" i="1"/>
  <c r="BB356" i="1"/>
  <c r="BW356" i="1"/>
  <c r="A357" i="1"/>
  <c r="C357" i="1"/>
  <c r="S357" i="1"/>
  <c r="U357" i="1"/>
  <c r="BB357" i="1"/>
  <c r="BW357" i="1"/>
  <c r="A358" i="1"/>
  <c r="C358" i="1"/>
  <c r="S358" i="1"/>
  <c r="U358" i="1"/>
  <c r="BB358" i="1"/>
  <c r="BW358" i="1"/>
  <c r="A359" i="1"/>
  <c r="C359" i="1"/>
  <c r="S359" i="1"/>
  <c r="T359" i="1"/>
  <c r="U359" i="1"/>
  <c r="BB359" i="1"/>
  <c r="BW359" i="1"/>
  <c r="A360" i="1"/>
  <c r="C360" i="1"/>
  <c r="S360" i="1"/>
  <c r="T360" i="1"/>
  <c r="U360" i="1"/>
  <c r="BB360" i="1"/>
  <c r="BW360" i="1"/>
  <c r="A361" i="1"/>
  <c r="C361" i="1"/>
  <c r="S361" i="1"/>
  <c r="T361" i="1"/>
  <c r="U361" i="1"/>
  <c r="BB361" i="1"/>
  <c r="BW361" i="1"/>
  <c r="A362" i="1"/>
  <c r="C362" i="1"/>
  <c r="S362" i="1"/>
  <c r="T362" i="1"/>
  <c r="U362" i="1"/>
  <c r="BB362" i="1"/>
  <c r="BW362" i="1"/>
  <c r="A363" i="1"/>
  <c r="C363" i="1"/>
  <c r="S363" i="1"/>
  <c r="T363" i="1"/>
  <c r="U363" i="1"/>
  <c r="BB363" i="1"/>
  <c r="BW363" i="1"/>
  <c r="A364" i="1"/>
  <c r="C364" i="1"/>
  <c r="S364" i="1"/>
  <c r="T364" i="1"/>
  <c r="U364" i="1"/>
  <c r="BB364" i="1"/>
  <c r="BW364" i="1"/>
  <c r="A365" i="1"/>
  <c r="C365" i="1"/>
  <c r="S365" i="1"/>
  <c r="T365" i="1"/>
  <c r="U365" i="1"/>
  <c r="BB365" i="1"/>
  <c r="BW365" i="1"/>
  <c r="A366" i="1"/>
  <c r="C366" i="1"/>
  <c r="S366" i="1"/>
  <c r="T366" i="1"/>
  <c r="U366" i="1"/>
  <c r="BB366" i="1"/>
  <c r="BW366" i="1"/>
  <c r="A367" i="1"/>
  <c r="C367" i="1"/>
  <c r="S367" i="1"/>
  <c r="T367" i="1"/>
  <c r="U367" i="1"/>
  <c r="BB367" i="1"/>
  <c r="BW367" i="1"/>
  <c r="A368" i="1"/>
  <c r="C368" i="1"/>
  <c r="S368" i="1"/>
  <c r="U368" i="1"/>
  <c r="BB368" i="1"/>
  <c r="BW368" i="1"/>
  <c r="A369" i="1"/>
  <c r="C369" i="1"/>
  <c r="S369" i="1"/>
  <c r="U369" i="1"/>
  <c r="BB369" i="1"/>
  <c r="BW369" i="1"/>
  <c r="A370" i="1"/>
  <c r="C370" i="1"/>
  <c r="S370" i="1"/>
  <c r="U370" i="1"/>
  <c r="BB370" i="1"/>
  <c r="BW370" i="1"/>
  <c r="A371" i="1"/>
  <c r="C371" i="1"/>
  <c r="S371" i="1"/>
  <c r="T371" i="1"/>
  <c r="U371" i="1"/>
  <c r="BB371" i="1"/>
  <c r="BW371" i="1"/>
  <c r="A372" i="1"/>
  <c r="C372" i="1"/>
  <c r="S372" i="1"/>
  <c r="T372" i="1"/>
  <c r="U372" i="1"/>
  <c r="BB372" i="1"/>
  <c r="BW372" i="1"/>
  <c r="A373" i="1"/>
  <c r="C373" i="1"/>
  <c r="S373" i="1"/>
  <c r="T373" i="1"/>
  <c r="U373" i="1"/>
  <c r="BB373" i="1"/>
  <c r="BW373" i="1"/>
  <c r="A374" i="1"/>
  <c r="C374" i="1"/>
  <c r="S374" i="1"/>
  <c r="T374" i="1"/>
  <c r="U374" i="1"/>
  <c r="BB374" i="1"/>
  <c r="BW374" i="1"/>
  <c r="A375" i="1"/>
  <c r="C375" i="1"/>
  <c r="S375" i="1"/>
  <c r="T375" i="1"/>
  <c r="U375" i="1"/>
  <c r="BB375" i="1"/>
  <c r="BW375" i="1"/>
  <c r="A376" i="1"/>
  <c r="C376" i="1"/>
  <c r="S376" i="1"/>
  <c r="T376" i="1"/>
  <c r="U376" i="1"/>
  <c r="BB376" i="1"/>
  <c r="BW376" i="1"/>
  <c r="A377" i="1"/>
  <c r="C377" i="1"/>
  <c r="S377" i="1"/>
  <c r="T377" i="1"/>
  <c r="U377" i="1"/>
  <c r="BB377" i="1"/>
  <c r="BW377" i="1"/>
  <c r="A378" i="1"/>
  <c r="C378" i="1"/>
  <c r="S378" i="1"/>
  <c r="T378" i="1"/>
  <c r="U378" i="1"/>
  <c r="BB378" i="1"/>
  <c r="BW378" i="1"/>
  <c r="A379" i="1"/>
  <c r="C379" i="1"/>
  <c r="S379" i="1"/>
  <c r="T379" i="1"/>
  <c r="U379" i="1"/>
  <c r="BB379" i="1"/>
  <c r="BW379" i="1"/>
  <c r="A380" i="1"/>
  <c r="C380" i="1"/>
  <c r="S380" i="1"/>
  <c r="T380" i="1"/>
  <c r="U380" i="1"/>
  <c r="BB380" i="1"/>
  <c r="BW380" i="1"/>
  <c r="A381" i="1"/>
  <c r="C381" i="1"/>
  <c r="S381" i="1"/>
  <c r="T381" i="1"/>
  <c r="U381" i="1"/>
  <c r="BB381" i="1"/>
  <c r="BW381" i="1"/>
  <c r="A382" i="1"/>
  <c r="C382" i="1"/>
  <c r="S382" i="1"/>
  <c r="T382" i="1"/>
  <c r="U382" i="1"/>
  <c r="BB382" i="1"/>
  <c r="BW382" i="1"/>
  <c r="A383" i="1"/>
  <c r="C383" i="1"/>
  <c r="S383" i="1"/>
  <c r="T383" i="1"/>
  <c r="U383" i="1"/>
  <c r="BB383" i="1"/>
  <c r="BW383" i="1"/>
  <c r="A384" i="1"/>
  <c r="C384" i="1"/>
  <c r="S384" i="1"/>
  <c r="T384" i="1"/>
  <c r="U384" i="1"/>
  <c r="BB384" i="1"/>
  <c r="BW384" i="1"/>
  <c r="A385" i="1"/>
  <c r="C385" i="1"/>
  <c r="S385" i="1"/>
  <c r="T385" i="1"/>
  <c r="U385" i="1"/>
  <c r="BB385" i="1"/>
  <c r="BW385" i="1"/>
  <c r="A386" i="1"/>
  <c r="C386" i="1"/>
  <c r="S386" i="1"/>
  <c r="T386" i="1"/>
  <c r="U386" i="1"/>
  <c r="BB386" i="1"/>
  <c r="BW386" i="1"/>
  <c r="A387" i="1"/>
  <c r="C387" i="1"/>
  <c r="S387" i="1"/>
  <c r="T387" i="1"/>
  <c r="U387" i="1"/>
  <c r="BB387" i="1"/>
  <c r="BW387" i="1"/>
  <c r="A388" i="1"/>
  <c r="C388" i="1"/>
  <c r="S388" i="1"/>
  <c r="T388" i="1"/>
  <c r="U388" i="1"/>
  <c r="BB388" i="1"/>
  <c r="BW388" i="1"/>
  <c r="A389" i="1"/>
  <c r="C389" i="1"/>
  <c r="S389" i="1"/>
  <c r="T389" i="1"/>
  <c r="U389" i="1"/>
  <c r="BB389" i="1"/>
  <c r="BW389" i="1"/>
  <c r="A390" i="1"/>
  <c r="C390" i="1"/>
  <c r="S390" i="1"/>
  <c r="T390" i="1"/>
  <c r="U390" i="1"/>
  <c r="BB390" i="1"/>
  <c r="BW390" i="1"/>
  <c r="A391" i="1"/>
  <c r="C391" i="1"/>
  <c r="S391" i="1"/>
  <c r="T391" i="1"/>
  <c r="U391" i="1"/>
  <c r="BB391" i="1"/>
  <c r="BW391" i="1"/>
  <c r="A392" i="1"/>
  <c r="C392" i="1"/>
  <c r="S392" i="1"/>
  <c r="U392" i="1"/>
  <c r="BB392" i="1"/>
  <c r="BW392" i="1"/>
  <c r="A393" i="1"/>
  <c r="C393" i="1"/>
  <c r="S393" i="1"/>
  <c r="U393" i="1"/>
  <c r="BB393" i="1"/>
  <c r="BW393" i="1"/>
  <c r="A394" i="1"/>
  <c r="C394" i="1"/>
  <c r="S394" i="1"/>
  <c r="U394" i="1"/>
  <c r="BB394" i="1"/>
  <c r="BW394" i="1"/>
  <c r="A395" i="1"/>
  <c r="C395" i="1"/>
  <c r="S395" i="1"/>
  <c r="T395" i="1"/>
  <c r="U395" i="1"/>
  <c r="BB395" i="1"/>
  <c r="BW395" i="1"/>
  <c r="A396" i="1"/>
  <c r="C396" i="1"/>
  <c r="S396" i="1"/>
  <c r="T396" i="1"/>
  <c r="U396" i="1"/>
  <c r="BB396" i="1"/>
  <c r="BW396" i="1"/>
  <c r="A397" i="1"/>
  <c r="C397" i="1"/>
  <c r="S397" i="1"/>
  <c r="T397" i="1"/>
  <c r="U397" i="1"/>
  <c r="BB397" i="1"/>
  <c r="BW397" i="1"/>
  <c r="A398" i="1"/>
  <c r="C398" i="1"/>
  <c r="S398" i="1"/>
  <c r="T398" i="1"/>
  <c r="U398" i="1"/>
  <c r="BB398" i="1"/>
  <c r="BW398" i="1"/>
  <c r="A399" i="1"/>
  <c r="C399" i="1"/>
  <c r="S399" i="1"/>
  <c r="T399" i="1"/>
  <c r="U399" i="1"/>
  <c r="BB399" i="1"/>
  <c r="BW399" i="1"/>
  <c r="A400" i="1"/>
  <c r="C400" i="1"/>
  <c r="S400" i="1"/>
  <c r="T400" i="1"/>
  <c r="U400" i="1"/>
  <c r="BB400" i="1"/>
  <c r="BW400" i="1"/>
  <c r="A401" i="1"/>
  <c r="C401" i="1"/>
  <c r="S401" i="1"/>
  <c r="U401" i="1"/>
  <c r="BB401" i="1"/>
  <c r="BW401" i="1"/>
  <c r="A402" i="1"/>
  <c r="C402" i="1"/>
  <c r="S402" i="1"/>
  <c r="U402" i="1"/>
  <c r="BB402" i="1"/>
  <c r="BW402" i="1"/>
  <c r="A403" i="1"/>
  <c r="C403" i="1"/>
  <c r="S403" i="1"/>
  <c r="U403" i="1"/>
  <c r="BB403" i="1"/>
  <c r="BW403" i="1"/>
  <c r="A404" i="1"/>
  <c r="C404" i="1"/>
  <c r="S404" i="1"/>
  <c r="T404" i="1"/>
  <c r="U404" i="1"/>
  <c r="BB404" i="1"/>
  <c r="BW404" i="1"/>
  <c r="A405" i="1"/>
  <c r="C405" i="1"/>
  <c r="S405" i="1"/>
  <c r="T405" i="1"/>
  <c r="U405" i="1"/>
  <c r="BB405" i="1"/>
  <c r="BW405" i="1"/>
  <c r="A406" i="1"/>
  <c r="C406" i="1"/>
  <c r="S406" i="1"/>
  <c r="T406" i="1"/>
  <c r="U406" i="1"/>
  <c r="BB406" i="1"/>
  <c r="BW406" i="1"/>
  <c r="A407" i="1"/>
  <c r="C407" i="1"/>
  <c r="S407" i="1"/>
  <c r="T407" i="1"/>
  <c r="U407" i="1"/>
  <c r="BB407" i="1"/>
  <c r="BW407" i="1"/>
  <c r="A408" i="1"/>
  <c r="C408" i="1"/>
  <c r="S408" i="1"/>
  <c r="T408" i="1"/>
  <c r="U408" i="1"/>
  <c r="BB408" i="1"/>
  <c r="BW408" i="1"/>
  <c r="A409" i="1"/>
  <c r="C409" i="1"/>
  <c r="S409" i="1"/>
  <c r="T409" i="1"/>
  <c r="U409" i="1"/>
  <c r="BB409" i="1"/>
  <c r="BW409" i="1"/>
  <c r="A410" i="1"/>
  <c r="C410" i="1"/>
  <c r="S410" i="1"/>
  <c r="T410" i="1"/>
  <c r="U410" i="1"/>
  <c r="BB410" i="1"/>
  <c r="BW410" i="1"/>
  <c r="A411" i="1"/>
  <c r="C411" i="1"/>
  <c r="S411" i="1"/>
  <c r="T411" i="1"/>
  <c r="U411" i="1"/>
  <c r="BB411" i="1"/>
  <c r="BW411" i="1"/>
  <c r="A412" i="1"/>
  <c r="C412" i="1"/>
  <c r="S412" i="1"/>
  <c r="T412" i="1"/>
  <c r="U412" i="1"/>
  <c r="BB412" i="1"/>
  <c r="BW412" i="1"/>
  <c r="A413" i="1"/>
  <c r="C413" i="1"/>
  <c r="S413" i="1"/>
  <c r="T413" i="1"/>
  <c r="U413" i="1"/>
  <c r="BB413" i="1"/>
  <c r="BW413" i="1"/>
  <c r="A414" i="1"/>
  <c r="C414" i="1"/>
  <c r="S414" i="1"/>
  <c r="T414" i="1"/>
  <c r="U414" i="1"/>
  <c r="BB414" i="1"/>
  <c r="BW414" i="1"/>
  <c r="A415" i="1"/>
  <c r="C415" i="1"/>
  <c r="S415" i="1"/>
  <c r="T415" i="1"/>
  <c r="U415" i="1"/>
  <c r="BB415" i="1"/>
  <c r="BW415" i="1"/>
  <c r="A416" i="1"/>
  <c r="C416" i="1"/>
  <c r="S416" i="1"/>
  <c r="T416" i="1"/>
  <c r="U416" i="1"/>
  <c r="BB416" i="1"/>
  <c r="BW416" i="1"/>
  <c r="A417" i="1"/>
  <c r="C417" i="1"/>
  <c r="S417" i="1"/>
  <c r="T417" i="1"/>
  <c r="U417" i="1"/>
  <c r="BB417" i="1"/>
  <c r="BW417" i="1"/>
  <c r="A418" i="1"/>
  <c r="C418" i="1"/>
  <c r="S418" i="1"/>
  <c r="T418" i="1"/>
  <c r="U418" i="1"/>
  <c r="BB418" i="1"/>
  <c r="BW418" i="1"/>
  <c r="A419" i="1"/>
  <c r="C419" i="1"/>
  <c r="S419" i="1"/>
  <c r="T419" i="1"/>
  <c r="U419" i="1"/>
  <c r="BB419" i="1"/>
  <c r="BW419" i="1"/>
  <c r="A420" i="1"/>
  <c r="C420" i="1"/>
  <c r="S420" i="1"/>
  <c r="T420" i="1"/>
  <c r="U420" i="1"/>
  <c r="BB420" i="1"/>
  <c r="BW420" i="1"/>
  <c r="A421" i="1"/>
  <c r="C421" i="1"/>
  <c r="S421" i="1"/>
  <c r="T421" i="1"/>
  <c r="U421" i="1"/>
  <c r="BB421" i="1"/>
  <c r="BW421" i="1"/>
  <c r="A422" i="1"/>
  <c r="C422" i="1"/>
  <c r="S422" i="1"/>
  <c r="T422" i="1"/>
  <c r="U422" i="1"/>
  <c r="BB422" i="1"/>
  <c r="BW422" i="1"/>
  <c r="A423" i="1"/>
  <c r="C423" i="1"/>
  <c r="S423" i="1"/>
  <c r="T423" i="1"/>
  <c r="U423" i="1"/>
  <c r="BB423" i="1"/>
  <c r="BW423" i="1"/>
  <c r="A424" i="1"/>
  <c r="C424" i="1"/>
  <c r="S424" i="1"/>
  <c r="T424" i="1"/>
  <c r="U424" i="1"/>
  <c r="BB424" i="1"/>
  <c r="BW424" i="1"/>
  <c r="A425" i="1"/>
  <c r="C425" i="1"/>
  <c r="S425" i="1"/>
  <c r="T425" i="1"/>
  <c r="U425" i="1"/>
  <c r="BB425" i="1"/>
  <c r="BW425" i="1"/>
  <c r="A426" i="1"/>
  <c r="C426" i="1"/>
  <c r="S426" i="1"/>
  <c r="T426" i="1"/>
  <c r="U426" i="1"/>
  <c r="BB426" i="1"/>
  <c r="BW426" i="1"/>
  <c r="A427" i="1"/>
  <c r="C427" i="1"/>
  <c r="S427" i="1"/>
  <c r="T427" i="1"/>
  <c r="U427" i="1"/>
  <c r="BB427" i="1"/>
  <c r="BW427" i="1"/>
  <c r="A428" i="1"/>
  <c r="C428" i="1"/>
  <c r="S428" i="1"/>
  <c r="T428" i="1"/>
  <c r="U428" i="1"/>
  <c r="BB428" i="1"/>
  <c r="BW428" i="1"/>
  <c r="A429" i="1"/>
  <c r="C429" i="1"/>
  <c r="S429" i="1"/>
  <c r="T429" i="1"/>
  <c r="U429" i="1"/>
  <c r="BB429" i="1"/>
  <c r="BW429" i="1"/>
  <c r="A430" i="1"/>
  <c r="C430" i="1"/>
  <c r="S430" i="1"/>
  <c r="T430" i="1"/>
  <c r="U430" i="1"/>
  <c r="BB430" i="1"/>
  <c r="BW430" i="1"/>
  <c r="A431" i="1"/>
  <c r="C431" i="1"/>
  <c r="S431" i="1"/>
  <c r="T431" i="1"/>
  <c r="U431" i="1"/>
  <c r="BB431" i="1"/>
  <c r="BW431" i="1"/>
  <c r="A432" i="1"/>
  <c r="C432" i="1"/>
  <c r="S432" i="1"/>
  <c r="T432" i="1"/>
  <c r="U432" i="1"/>
  <c r="BB432" i="1"/>
  <c r="BW432" i="1"/>
  <c r="A433" i="1"/>
  <c r="C433" i="1"/>
  <c r="S433" i="1"/>
  <c r="T433" i="1"/>
  <c r="U433" i="1"/>
  <c r="BB433" i="1"/>
  <c r="BW433" i="1"/>
  <c r="A434" i="1"/>
  <c r="C434" i="1"/>
  <c r="S434" i="1"/>
  <c r="T434" i="1"/>
  <c r="U434" i="1"/>
  <c r="BB434" i="1"/>
  <c r="BW434" i="1"/>
  <c r="A435" i="1"/>
  <c r="C435" i="1"/>
  <c r="S435" i="1"/>
  <c r="T435" i="1"/>
  <c r="U435" i="1"/>
  <c r="BB435" i="1"/>
  <c r="BW435" i="1"/>
  <c r="A436" i="1"/>
  <c r="C436" i="1"/>
  <c r="S436" i="1"/>
  <c r="T436" i="1"/>
  <c r="U436" i="1"/>
  <c r="BB436" i="1"/>
  <c r="BW436" i="1"/>
  <c r="A437" i="1"/>
  <c r="C437" i="1"/>
  <c r="S437" i="1"/>
  <c r="T437" i="1"/>
  <c r="U437" i="1"/>
  <c r="BB437" i="1"/>
  <c r="BW437" i="1"/>
  <c r="A438" i="1"/>
  <c r="C438" i="1"/>
  <c r="S438" i="1"/>
  <c r="T438" i="1"/>
  <c r="U438" i="1"/>
  <c r="BB438" i="1"/>
  <c r="BW438" i="1"/>
  <c r="A439" i="1"/>
  <c r="C439" i="1"/>
  <c r="S439" i="1"/>
  <c r="T439" i="1"/>
  <c r="U439" i="1"/>
  <c r="BB439" i="1"/>
  <c r="BW439" i="1"/>
  <c r="A440" i="1"/>
  <c r="C440" i="1"/>
  <c r="S440" i="1"/>
  <c r="T440" i="1"/>
  <c r="U440" i="1"/>
  <c r="BB440" i="1"/>
  <c r="BW440" i="1"/>
  <c r="A441" i="1"/>
  <c r="C441" i="1"/>
  <c r="S441" i="1"/>
  <c r="T441" i="1"/>
  <c r="U441" i="1"/>
  <c r="BB441" i="1"/>
  <c r="BW441" i="1"/>
  <c r="A442" i="1"/>
  <c r="C442" i="1"/>
  <c r="S442" i="1"/>
  <c r="T442" i="1"/>
  <c r="U442" i="1"/>
  <c r="BB442" i="1"/>
  <c r="BW442" i="1"/>
  <c r="A443" i="1"/>
  <c r="C443" i="1"/>
  <c r="S443" i="1"/>
  <c r="T443" i="1"/>
  <c r="U443" i="1"/>
  <c r="BB443" i="1"/>
  <c r="BW443" i="1"/>
  <c r="A444" i="1"/>
  <c r="C444" i="1"/>
  <c r="S444" i="1"/>
  <c r="T444" i="1"/>
  <c r="U444" i="1"/>
  <c r="BB444" i="1"/>
  <c r="BW444" i="1"/>
  <c r="A445" i="1"/>
  <c r="C445" i="1"/>
  <c r="S445" i="1"/>
  <c r="T445" i="1"/>
  <c r="U445" i="1"/>
  <c r="BB445" i="1"/>
  <c r="BW445" i="1"/>
  <c r="A446" i="1"/>
  <c r="C446" i="1"/>
  <c r="S446" i="1"/>
  <c r="T446" i="1"/>
  <c r="U446" i="1"/>
  <c r="BB446" i="1"/>
  <c r="BW446" i="1"/>
  <c r="A447" i="1"/>
  <c r="C447" i="1"/>
  <c r="S447" i="1"/>
  <c r="T447" i="1"/>
  <c r="U447" i="1"/>
  <c r="BB447" i="1"/>
  <c r="BW447" i="1"/>
  <c r="A448" i="1"/>
  <c r="C448" i="1"/>
  <c r="S448" i="1"/>
  <c r="T448" i="1"/>
  <c r="U448" i="1"/>
  <c r="BB448" i="1"/>
  <c r="BW448" i="1"/>
  <c r="A449" i="1"/>
  <c r="C449" i="1"/>
  <c r="S449" i="1"/>
  <c r="T449" i="1"/>
  <c r="U449" i="1"/>
  <c r="BB449" i="1"/>
  <c r="BW449" i="1"/>
  <c r="A450" i="1"/>
  <c r="C450" i="1"/>
  <c r="S450" i="1"/>
  <c r="T450" i="1"/>
  <c r="U450" i="1"/>
  <c r="BB450" i="1"/>
  <c r="BW450" i="1"/>
  <c r="A451" i="1"/>
  <c r="C451" i="1"/>
  <c r="S451" i="1"/>
  <c r="T451" i="1"/>
  <c r="U451" i="1"/>
  <c r="BB451" i="1"/>
  <c r="BW451" i="1"/>
  <c r="A452" i="1"/>
  <c r="C452" i="1"/>
  <c r="S452" i="1"/>
  <c r="T452" i="1"/>
  <c r="U452" i="1"/>
  <c r="BB452" i="1"/>
  <c r="BW452" i="1"/>
  <c r="A453" i="1"/>
  <c r="C453" i="1"/>
  <c r="S453" i="1"/>
  <c r="T453" i="1"/>
  <c r="U453" i="1"/>
  <c r="BB453" i="1"/>
  <c r="BW453" i="1"/>
  <c r="A454" i="1"/>
  <c r="C454" i="1"/>
  <c r="S454" i="1"/>
  <c r="T454" i="1"/>
  <c r="U454" i="1"/>
  <c r="BB454" i="1"/>
  <c r="BW454" i="1"/>
  <c r="A455" i="1"/>
  <c r="C455" i="1"/>
  <c r="S455" i="1"/>
  <c r="T455" i="1"/>
  <c r="U455" i="1"/>
  <c r="BB455" i="1"/>
  <c r="BW455" i="1"/>
  <c r="A456" i="1"/>
  <c r="C456" i="1"/>
  <c r="S456" i="1"/>
  <c r="T456" i="1"/>
  <c r="U456" i="1"/>
  <c r="BB456" i="1"/>
  <c r="BW456" i="1"/>
  <c r="A457" i="1"/>
  <c r="C457" i="1"/>
  <c r="S457" i="1"/>
  <c r="T457" i="1"/>
  <c r="U457" i="1"/>
  <c r="BB457" i="1"/>
  <c r="BW457" i="1"/>
  <c r="A458" i="1"/>
  <c r="C458" i="1"/>
  <c r="S458" i="1"/>
  <c r="T458" i="1"/>
  <c r="U458" i="1"/>
  <c r="BB458" i="1"/>
  <c r="BW458" i="1"/>
  <c r="A459" i="1"/>
  <c r="C459" i="1"/>
  <c r="S459" i="1"/>
  <c r="T459" i="1"/>
  <c r="U459" i="1"/>
  <c r="BB459" i="1"/>
  <c r="BW459" i="1"/>
  <c r="A460" i="1"/>
  <c r="C460" i="1"/>
  <c r="S460" i="1"/>
  <c r="T460" i="1"/>
  <c r="U460" i="1"/>
  <c r="BB460" i="1"/>
  <c r="BW460" i="1"/>
  <c r="A461" i="1"/>
  <c r="C461" i="1"/>
  <c r="S461" i="1"/>
  <c r="T461" i="1"/>
  <c r="U461" i="1"/>
  <c r="BB461" i="1"/>
  <c r="BW461" i="1"/>
  <c r="A462" i="1"/>
  <c r="C462" i="1"/>
  <c r="S462" i="1"/>
  <c r="T462" i="1"/>
  <c r="U462" i="1"/>
  <c r="BB462" i="1"/>
  <c r="BW462" i="1"/>
  <c r="A463" i="1"/>
  <c r="C463" i="1"/>
  <c r="S463" i="1"/>
  <c r="T463" i="1"/>
  <c r="U463" i="1"/>
  <c r="BB463" i="1"/>
  <c r="BW463" i="1"/>
  <c r="A464" i="1"/>
  <c r="C464" i="1"/>
  <c r="S464" i="1"/>
  <c r="T464" i="1"/>
  <c r="U464" i="1"/>
  <c r="BB464" i="1"/>
  <c r="BW464" i="1"/>
  <c r="A465" i="1"/>
  <c r="C465" i="1"/>
  <c r="S465" i="1"/>
  <c r="T465" i="1"/>
  <c r="U465" i="1"/>
  <c r="BB465" i="1"/>
  <c r="BW465" i="1"/>
  <c r="A466" i="1"/>
  <c r="C466" i="1"/>
  <c r="S466" i="1"/>
  <c r="T466" i="1"/>
  <c r="U466" i="1"/>
  <c r="BB466" i="1"/>
  <c r="BW466" i="1"/>
  <c r="A467" i="1"/>
  <c r="C467" i="1"/>
  <c r="S467" i="1"/>
  <c r="T467" i="1"/>
  <c r="U467" i="1"/>
  <c r="BB467" i="1"/>
  <c r="BW467" i="1"/>
  <c r="A468" i="1"/>
  <c r="C468" i="1"/>
  <c r="S468" i="1"/>
  <c r="T468" i="1"/>
  <c r="U468" i="1"/>
  <c r="BB468" i="1"/>
  <c r="BW468" i="1"/>
  <c r="A469" i="1"/>
  <c r="C469" i="1"/>
  <c r="S469" i="1"/>
  <c r="T469" i="1"/>
  <c r="U469" i="1"/>
  <c r="BB469" i="1"/>
  <c r="BW469" i="1"/>
  <c r="A470" i="1"/>
  <c r="C470" i="1"/>
  <c r="S470" i="1"/>
  <c r="T470" i="1"/>
  <c r="U470" i="1"/>
  <c r="BB470" i="1"/>
  <c r="BW470" i="1"/>
  <c r="A471" i="1"/>
  <c r="C471" i="1"/>
  <c r="S471" i="1"/>
  <c r="T471" i="1"/>
  <c r="U471" i="1"/>
  <c r="BB471" i="1"/>
  <c r="BW471" i="1"/>
  <c r="A472" i="1"/>
  <c r="C472" i="1"/>
  <c r="S472" i="1"/>
  <c r="T472" i="1"/>
  <c r="U472" i="1"/>
  <c r="BB472" i="1"/>
  <c r="BW472" i="1"/>
  <c r="A473" i="1"/>
  <c r="C473" i="1"/>
  <c r="S473" i="1"/>
  <c r="U473" i="1"/>
  <c r="BB473" i="1"/>
  <c r="BW473" i="1"/>
  <c r="A474" i="1"/>
  <c r="C474" i="1"/>
  <c r="S474" i="1"/>
  <c r="U474" i="1"/>
  <c r="BB474" i="1"/>
  <c r="BW474" i="1"/>
  <c r="A475" i="1"/>
  <c r="C475" i="1"/>
  <c r="S475" i="1"/>
  <c r="U475" i="1"/>
  <c r="BB475" i="1"/>
  <c r="BW475" i="1"/>
  <c r="A476" i="1"/>
  <c r="C476" i="1"/>
  <c r="S476" i="1"/>
  <c r="T476" i="1"/>
  <c r="U476" i="1"/>
  <c r="BB476" i="1"/>
  <c r="BW476" i="1"/>
  <c r="A477" i="1"/>
  <c r="C477" i="1"/>
  <c r="S477" i="1"/>
  <c r="T477" i="1"/>
  <c r="U477" i="1"/>
  <c r="BB477" i="1"/>
  <c r="BW477" i="1"/>
  <c r="A478" i="1"/>
  <c r="C478" i="1"/>
  <c r="S478" i="1"/>
  <c r="T478" i="1"/>
  <c r="U478" i="1"/>
  <c r="BB478" i="1"/>
  <c r="BW478" i="1"/>
  <c r="A479" i="1"/>
  <c r="C479" i="1"/>
  <c r="S479" i="1"/>
  <c r="U479" i="1"/>
  <c r="BB479" i="1"/>
  <c r="BW479" i="1"/>
  <c r="A480" i="1"/>
  <c r="C480" i="1"/>
  <c r="S480" i="1"/>
  <c r="U480" i="1"/>
  <c r="BB480" i="1"/>
  <c r="BW480" i="1"/>
  <c r="A481" i="1"/>
  <c r="C481" i="1"/>
  <c r="S481" i="1"/>
  <c r="U481" i="1"/>
  <c r="BB481" i="1"/>
  <c r="BW481" i="1"/>
  <c r="A482" i="1"/>
  <c r="C482" i="1"/>
  <c r="S482" i="1"/>
  <c r="T482" i="1"/>
  <c r="U482" i="1"/>
  <c r="BB482" i="1"/>
  <c r="BW482" i="1"/>
  <c r="A483" i="1"/>
  <c r="C483" i="1"/>
  <c r="S483" i="1"/>
  <c r="T483" i="1"/>
  <c r="U483" i="1"/>
  <c r="BB483" i="1"/>
  <c r="BW483" i="1"/>
  <c r="A484" i="1"/>
  <c r="C484" i="1"/>
  <c r="S484" i="1"/>
  <c r="T484" i="1"/>
  <c r="U484" i="1"/>
  <c r="BB484" i="1"/>
  <c r="BW484" i="1"/>
  <c r="A485" i="1"/>
  <c r="C485" i="1"/>
  <c r="S485" i="1"/>
  <c r="T485" i="1"/>
  <c r="U485" i="1"/>
  <c r="BB485" i="1"/>
  <c r="BW485" i="1"/>
  <c r="A486" i="1"/>
  <c r="C486" i="1"/>
  <c r="S486" i="1"/>
  <c r="T486" i="1"/>
  <c r="U486" i="1"/>
  <c r="BB486" i="1"/>
  <c r="BW486" i="1"/>
  <c r="A487" i="1"/>
  <c r="C487" i="1"/>
  <c r="S487" i="1"/>
  <c r="T487" i="1"/>
  <c r="U487" i="1"/>
  <c r="BB487" i="1"/>
  <c r="BW487" i="1"/>
  <c r="A488" i="1"/>
  <c r="C488" i="1"/>
  <c r="S488" i="1"/>
  <c r="U488" i="1"/>
  <c r="BB488" i="1"/>
  <c r="BW488" i="1"/>
  <c r="A489" i="1"/>
  <c r="C489" i="1"/>
  <c r="S489" i="1"/>
  <c r="U489" i="1"/>
  <c r="BB489" i="1"/>
  <c r="BW489" i="1"/>
  <c r="A490" i="1"/>
  <c r="C490" i="1"/>
  <c r="S490" i="1"/>
  <c r="U490" i="1"/>
  <c r="BB490" i="1"/>
  <c r="BW490" i="1"/>
  <c r="A491" i="1"/>
  <c r="C491" i="1"/>
  <c r="S491" i="1"/>
  <c r="T491" i="1"/>
  <c r="U491" i="1"/>
  <c r="BB491" i="1"/>
  <c r="BW491" i="1"/>
  <c r="A492" i="1"/>
  <c r="C492" i="1"/>
  <c r="S492" i="1"/>
  <c r="T492" i="1"/>
  <c r="U492" i="1"/>
  <c r="BB492" i="1"/>
  <c r="BW492" i="1"/>
  <c r="A493" i="1"/>
  <c r="C493" i="1"/>
  <c r="S493" i="1"/>
  <c r="T493" i="1"/>
  <c r="U493" i="1"/>
  <c r="BB493" i="1"/>
  <c r="BW493" i="1"/>
  <c r="A494" i="1"/>
  <c r="C494" i="1"/>
  <c r="S494" i="1"/>
  <c r="T494" i="1"/>
  <c r="U494" i="1"/>
  <c r="BB494" i="1"/>
  <c r="BW494" i="1"/>
  <c r="A495" i="1"/>
  <c r="C495" i="1"/>
  <c r="S495" i="1"/>
  <c r="T495" i="1"/>
  <c r="U495" i="1"/>
  <c r="BB495" i="1"/>
  <c r="BW495" i="1"/>
  <c r="A496" i="1"/>
  <c r="C496" i="1"/>
  <c r="S496" i="1"/>
  <c r="T496" i="1"/>
  <c r="U496" i="1"/>
  <c r="BB496" i="1"/>
  <c r="BW496" i="1"/>
  <c r="A497" i="1"/>
  <c r="C497" i="1"/>
  <c r="S497" i="1"/>
  <c r="T497" i="1"/>
  <c r="U497" i="1"/>
  <c r="BB497" i="1"/>
  <c r="BW497" i="1"/>
  <c r="A498" i="1"/>
  <c r="C498" i="1"/>
  <c r="S498" i="1"/>
  <c r="T498" i="1"/>
  <c r="U498" i="1"/>
  <c r="BB498" i="1"/>
  <c r="BW498" i="1"/>
  <c r="A499" i="1"/>
  <c r="C499" i="1"/>
  <c r="S499" i="1"/>
  <c r="T499" i="1"/>
  <c r="U499" i="1"/>
  <c r="BB499" i="1"/>
  <c r="BW499" i="1"/>
  <c r="A500" i="1"/>
  <c r="C500" i="1"/>
  <c r="S500" i="1"/>
  <c r="T500" i="1"/>
  <c r="U500" i="1"/>
  <c r="BB500" i="1"/>
  <c r="BW500" i="1"/>
  <c r="A501" i="1"/>
  <c r="C501" i="1"/>
  <c r="S501" i="1"/>
  <c r="T501" i="1"/>
  <c r="U501" i="1"/>
  <c r="BB501" i="1"/>
  <c r="BW501" i="1"/>
  <c r="A502" i="1"/>
  <c r="C502" i="1"/>
  <c r="S502" i="1"/>
  <c r="T502" i="1"/>
  <c r="U502" i="1"/>
  <c r="BB502" i="1"/>
  <c r="BW502" i="1"/>
  <c r="A503" i="1"/>
  <c r="C503" i="1"/>
  <c r="S503" i="1"/>
  <c r="T503" i="1"/>
  <c r="U503" i="1"/>
  <c r="BB503" i="1"/>
  <c r="BW503" i="1"/>
  <c r="A504" i="1"/>
  <c r="C504" i="1"/>
  <c r="S504" i="1"/>
  <c r="T504" i="1"/>
  <c r="U504" i="1"/>
  <c r="BB504" i="1"/>
  <c r="BW504" i="1"/>
  <c r="A505" i="1"/>
  <c r="C505" i="1"/>
  <c r="S505" i="1"/>
  <c r="T505" i="1"/>
  <c r="U505" i="1"/>
  <c r="BB505" i="1"/>
  <c r="BW505" i="1"/>
  <c r="A506" i="1"/>
  <c r="C506" i="1"/>
  <c r="S506" i="1"/>
  <c r="T506" i="1"/>
  <c r="U506" i="1"/>
  <c r="BB506" i="1"/>
  <c r="BW506" i="1"/>
  <c r="A507" i="1"/>
  <c r="C507" i="1"/>
  <c r="S507" i="1"/>
  <c r="T507" i="1"/>
  <c r="U507" i="1"/>
  <c r="BB507" i="1"/>
  <c r="BW507" i="1"/>
  <c r="A508" i="1"/>
  <c r="C508" i="1"/>
  <c r="S508" i="1"/>
  <c r="T508" i="1"/>
  <c r="U508" i="1"/>
  <c r="BB508" i="1"/>
  <c r="BW508" i="1"/>
  <c r="A509" i="1"/>
  <c r="C509" i="1"/>
  <c r="S509" i="1"/>
  <c r="T509" i="1"/>
  <c r="U509" i="1"/>
  <c r="BB509" i="1"/>
  <c r="BW509" i="1"/>
  <c r="A510" i="1"/>
  <c r="C510" i="1"/>
  <c r="S510" i="1"/>
  <c r="T510" i="1"/>
  <c r="U510" i="1"/>
  <c r="BB510" i="1"/>
  <c r="BW510" i="1"/>
  <c r="A511" i="1"/>
  <c r="C511" i="1"/>
  <c r="S511" i="1"/>
  <c r="T511" i="1"/>
  <c r="U511" i="1"/>
  <c r="BB511" i="1"/>
  <c r="BW511" i="1"/>
  <c r="A512" i="1"/>
  <c r="C512" i="1"/>
  <c r="S512" i="1"/>
  <c r="T512" i="1"/>
  <c r="U512" i="1"/>
  <c r="BB512" i="1"/>
  <c r="BW512" i="1"/>
  <c r="A513" i="1"/>
  <c r="C513" i="1"/>
  <c r="S513" i="1"/>
  <c r="T513" i="1"/>
  <c r="U513" i="1"/>
  <c r="BB513" i="1"/>
  <c r="BW513" i="1"/>
  <c r="A514" i="1"/>
  <c r="C514" i="1"/>
  <c r="S514" i="1"/>
  <c r="T514" i="1"/>
  <c r="U514" i="1"/>
  <c r="BB514" i="1"/>
  <c r="BW514" i="1"/>
  <c r="A515" i="1"/>
  <c r="C515" i="1"/>
  <c r="S515" i="1"/>
  <c r="U515" i="1"/>
  <c r="BB515" i="1"/>
  <c r="BW515" i="1"/>
  <c r="A516" i="1"/>
  <c r="C516" i="1"/>
  <c r="S516" i="1"/>
  <c r="U516" i="1"/>
  <c r="BB516" i="1"/>
  <c r="BW516" i="1"/>
  <c r="A517" i="1"/>
  <c r="C517" i="1"/>
  <c r="S517" i="1"/>
  <c r="U517" i="1"/>
  <c r="BB517" i="1"/>
  <c r="BW517" i="1"/>
  <c r="A518" i="1"/>
  <c r="C518" i="1"/>
  <c r="S518" i="1"/>
  <c r="U518" i="1"/>
  <c r="BB518" i="1"/>
  <c r="BW518" i="1"/>
  <c r="A519" i="1"/>
  <c r="C519" i="1"/>
  <c r="S519" i="1"/>
  <c r="U519" i="1"/>
  <c r="BB519" i="1"/>
  <c r="BW519" i="1"/>
  <c r="A520" i="1"/>
  <c r="C520" i="1"/>
  <c r="S520" i="1"/>
  <c r="U520" i="1"/>
  <c r="BB520" i="1"/>
  <c r="BW520" i="1"/>
  <c r="A521" i="1"/>
  <c r="C521" i="1"/>
  <c r="S521" i="1"/>
  <c r="T521" i="1"/>
  <c r="U521" i="1"/>
  <c r="BB521" i="1"/>
  <c r="BW521" i="1"/>
  <c r="A522" i="1"/>
  <c r="C522" i="1"/>
  <c r="S522" i="1"/>
  <c r="T522" i="1"/>
  <c r="U522" i="1"/>
  <c r="BB522" i="1"/>
  <c r="BW522" i="1"/>
  <c r="A523" i="1"/>
  <c r="C523" i="1"/>
  <c r="S523" i="1"/>
  <c r="T523" i="1"/>
  <c r="U523" i="1"/>
  <c r="BB523" i="1"/>
  <c r="BW523" i="1"/>
  <c r="A524" i="1"/>
  <c r="C524" i="1"/>
  <c r="S524" i="1"/>
  <c r="U524" i="1"/>
  <c r="BB524" i="1"/>
  <c r="BW524" i="1"/>
  <c r="A525" i="1"/>
  <c r="C525" i="1"/>
  <c r="S525" i="1"/>
  <c r="U525" i="1"/>
  <c r="BB525" i="1"/>
  <c r="BW525" i="1"/>
  <c r="A526" i="1"/>
  <c r="C526" i="1"/>
  <c r="S526" i="1"/>
  <c r="U526" i="1"/>
  <c r="BB526" i="1"/>
  <c r="BW526" i="1"/>
  <c r="A527" i="1"/>
  <c r="C527" i="1"/>
  <c r="S527" i="1"/>
  <c r="T527" i="1"/>
  <c r="U527" i="1"/>
  <c r="BB527" i="1"/>
  <c r="BW527" i="1"/>
  <c r="A528" i="1"/>
  <c r="C528" i="1"/>
  <c r="S528" i="1"/>
  <c r="T528" i="1"/>
  <c r="U528" i="1"/>
  <c r="BB528" i="1"/>
  <c r="BW528" i="1"/>
  <c r="A529" i="1"/>
  <c r="C529" i="1"/>
  <c r="S529" i="1"/>
  <c r="T529" i="1"/>
  <c r="U529" i="1"/>
  <c r="BB529" i="1"/>
  <c r="BW529" i="1"/>
  <c r="A530" i="1"/>
  <c r="C530" i="1"/>
  <c r="S530" i="1"/>
  <c r="U530" i="1"/>
  <c r="BB530" i="1"/>
  <c r="BW530" i="1"/>
  <c r="A531" i="1"/>
  <c r="C531" i="1"/>
  <c r="S531" i="1"/>
  <c r="U531" i="1"/>
  <c r="BB531" i="1"/>
  <c r="BW531" i="1"/>
  <c r="A532" i="1"/>
  <c r="C532" i="1"/>
  <c r="S532" i="1"/>
  <c r="U532" i="1"/>
  <c r="BB532" i="1"/>
  <c r="BW532" i="1"/>
  <c r="A533" i="1"/>
  <c r="C533" i="1"/>
  <c r="S533" i="1"/>
  <c r="T533" i="1"/>
  <c r="U533" i="1"/>
  <c r="BB533" i="1"/>
  <c r="BW533" i="1"/>
  <c r="A534" i="1"/>
  <c r="C534" i="1"/>
  <c r="S534" i="1"/>
  <c r="T534" i="1"/>
  <c r="U534" i="1"/>
  <c r="BB534" i="1"/>
  <c r="BW534" i="1"/>
  <c r="A535" i="1"/>
  <c r="C535" i="1"/>
  <c r="S535" i="1"/>
  <c r="T535" i="1"/>
  <c r="U535" i="1"/>
  <c r="BB535" i="1"/>
  <c r="BW535" i="1"/>
  <c r="A536" i="1"/>
  <c r="C536" i="1"/>
  <c r="S536" i="1"/>
  <c r="T536" i="1"/>
  <c r="U536" i="1"/>
  <c r="BB536" i="1"/>
  <c r="BW536" i="1"/>
  <c r="A537" i="1"/>
  <c r="C537" i="1"/>
  <c r="S537" i="1"/>
  <c r="T537" i="1"/>
  <c r="U537" i="1"/>
  <c r="BB537" i="1"/>
  <c r="BW537" i="1"/>
  <c r="A538" i="1"/>
  <c r="C538" i="1"/>
  <c r="S538" i="1"/>
  <c r="T538" i="1"/>
  <c r="U538" i="1"/>
  <c r="BB538" i="1"/>
  <c r="BW538" i="1"/>
  <c r="A539" i="1"/>
  <c r="C539" i="1"/>
  <c r="S539" i="1"/>
  <c r="T539" i="1"/>
  <c r="U539" i="1"/>
  <c r="BB539" i="1"/>
  <c r="BW539" i="1"/>
  <c r="A540" i="1"/>
  <c r="C540" i="1"/>
  <c r="S540" i="1"/>
  <c r="T540" i="1"/>
  <c r="U540" i="1"/>
  <c r="BB540" i="1"/>
  <c r="BW540" i="1"/>
  <c r="A541" i="1"/>
  <c r="C541" i="1"/>
  <c r="S541" i="1"/>
  <c r="T541" i="1"/>
  <c r="U541" i="1"/>
  <c r="BB541" i="1"/>
  <c r="BW541" i="1"/>
  <c r="A542" i="1"/>
  <c r="C542" i="1"/>
  <c r="S542" i="1"/>
  <c r="T542" i="1"/>
  <c r="U542" i="1"/>
  <c r="BB542" i="1"/>
  <c r="BW542" i="1"/>
  <c r="A543" i="1"/>
  <c r="C543" i="1"/>
  <c r="S543" i="1"/>
  <c r="T543" i="1"/>
  <c r="U543" i="1"/>
  <c r="BB543" i="1"/>
  <c r="BW543" i="1"/>
  <c r="A544" i="1"/>
  <c r="C544" i="1"/>
  <c r="S544" i="1"/>
  <c r="T544" i="1"/>
  <c r="U544" i="1"/>
  <c r="BB544" i="1"/>
  <c r="BW544" i="1"/>
  <c r="A545" i="1"/>
  <c r="C545" i="1"/>
  <c r="S545" i="1"/>
  <c r="T545" i="1"/>
  <c r="U545" i="1"/>
  <c r="BB545" i="1"/>
  <c r="BW545" i="1"/>
  <c r="A546" i="1"/>
  <c r="C546" i="1"/>
  <c r="S546" i="1"/>
  <c r="T546" i="1"/>
  <c r="U546" i="1"/>
  <c r="BB546" i="1"/>
  <c r="BW546" i="1"/>
  <c r="A547" i="1"/>
  <c r="C547" i="1"/>
  <c r="S547" i="1"/>
  <c r="T547" i="1"/>
  <c r="U547" i="1"/>
  <c r="BB547" i="1"/>
  <c r="BW547" i="1"/>
  <c r="A548" i="1"/>
  <c r="C548" i="1"/>
  <c r="S548" i="1"/>
  <c r="T548" i="1"/>
  <c r="U548" i="1"/>
  <c r="BB548" i="1"/>
  <c r="BW548" i="1"/>
  <c r="A549" i="1"/>
  <c r="C549" i="1"/>
  <c r="S549" i="1"/>
  <c r="T549" i="1"/>
  <c r="U549" i="1"/>
  <c r="BB549" i="1"/>
  <c r="BW549" i="1"/>
  <c r="A550" i="1"/>
  <c r="C550" i="1"/>
  <c r="S550" i="1"/>
  <c r="T550" i="1"/>
  <c r="U550" i="1"/>
  <c r="BB550" i="1"/>
  <c r="BW550" i="1"/>
  <c r="A551" i="1"/>
  <c r="C551" i="1"/>
  <c r="S551" i="1"/>
  <c r="U551" i="1"/>
  <c r="BB551" i="1"/>
  <c r="BW551" i="1"/>
  <c r="A552" i="1"/>
  <c r="C552" i="1"/>
  <c r="S552" i="1"/>
  <c r="U552" i="1"/>
  <c r="BB552" i="1"/>
  <c r="BW552" i="1"/>
  <c r="A553" i="1"/>
  <c r="C553" i="1"/>
  <c r="S553" i="1"/>
  <c r="U553" i="1"/>
  <c r="BB553" i="1"/>
  <c r="BW553" i="1"/>
  <c r="A554" i="1"/>
  <c r="C554" i="1"/>
  <c r="S554" i="1"/>
  <c r="T554" i="1"/>
  <c r="U554" i="1"/>
  <c r="BB554" i="1"/>
  <c r="BW554" i="1"/>
  <c r="A555" i="1"/>
  <c r="C555" i="1"/>
  <c r="S555" i="1"/>
  <c r="T555" i="1"/>
  <c r="U555" i="1"/>
  <c r="BB555" i="1"/>
  <c r="BW555" i="1"/>
  <c r="A556" i="1"/>
  <c r="C556" i="1"/>
  <c r="S556" i="1"/>
  <c r="T556" i="1"/>
  <c r="U556" i="1"/>
  <c r="BB556" i="1"/>
  <c r="BW556" i="1"/>
  <c r="A557" i="1"/>
  <c r="C557" i="1"/>
  <c r="S557" i="1"/>
  <c r="T557" i="1"/>
  <c r="U557" i="1"/>
  <c r="BB557" i="1"/>
  <c r="BW557" i="1"/>
  <c r="A558" i="1"/>
  <c r="C558" i="1"/>
  <c r="S558" i="1"/>
  <c r="T558" i="1"/>
  <c r="U558" i="1"/>
  <c r="BB558" i="1"/>
  <c r="BW558" i="1"/>
  <c r="A559" i="1"/>
  <c r="C559" i="1"/>
  <c r="S559" i="1"/>
  <c r="T559" i="1"/>
  <c r="U559" i="1"/>
  <c r="BB559" i="1"/>
  <c r="BW559" i="1"/>
  <c r="A560" i="1"/>
  <c r="C560" i="1"/>
  <c r="S560" i="1"/>
  <c r="T560" i="1"/>
  <c r="U560" i="1"/>
  <c r="BB560" i="1"/>
  <c r="BW560" i="1"/>
  <c r="A561" i="1"/>
  <c r="C561" i="1"/>
  <c r="S561" i="1"/>
  <c r="T561" i="1"/>
  <c r="U561" i="1"/>
  <c r="BB561" i="1"/>
  <c r="BW561" i="1"/>
  <c r="A562" i="1"/>
  <c r="C562" i="1"/>
  <c r="S562" i="1"/>
  <c r="T562" i="1"/>
  <c r="U562" i="1"/>
  <c r="BB562" i="1"/>
  <c r="BW562" i="1"/>
  <c r="A563" i="1"/>
  <c r="C563" i="1"/>
  <c r="S563" i="1"/>
  <c r="T563" i="1"/>
  <c r="U563" i="1"/>
  <c r="BB563" i="1"/>
  <c r="BW563" i="1"/>
  <c r="A564" i="1"/>
  <c r="C564" i="1"/>
  <c r="S564" i="1"/>
  <c r="T564" i="1"/>
  <c r="U564" i="1"/>
  <c r="BB564" i="1"/>
  <c r="BW564" i="1"/>
  <c r="A565" i="1"/>
  <c r="C565" i="1"/>
  <c r="S565" i="1"/>
  <c r="T565" i="1"/>
  <c r="U565" i="1"/>
  <c r="BB565" i="1"/>
  <c r="BW565" i="1"/>
  <c r="A566" i="1"/>
  <c r="C566" i="1"/>
  <c r="S566" i="1"/>
  <c r="T566" i="1"/>
  <c r="U566" i="1"/>
  <c r="BB566" i="1"/>
  <c r="BW566" i="1"/>
  <c r="A567" i="1"/>
  <c r="C567" i="1"/>
  <c r="S567" i="1"/>
  <c r="T567" i="1"/>
  <c r="U567" i="1"/>
  <c r="BB567" i="1"/>
  <c r="BW567" i="1"/>
  <c r="A568" i="1"/>
  <c r="C568" i="1"/>
  <c r="S568" i="1"/>
  <c r="T568" i="1"/>
  <c r="U568" i="1"/>
  <c r="BB568" i="1"/>
  <c r="BW568" i="1"/>
  <c r="A569" i="1"/>
  <c r="C569" i="1"/>
  <c r="S569" i="1"/>
  <c r="U569" i="1"/>
  <c r="BB569" i="1"/>
  <c r="BW569" i="1"/>
  <c r="A570" i="1"/>
  <c r="C570" i="1"/>
  <c r="S570" i="1"/>
  <c r="U570" i="1"/>
  <c r="BB570" i="1"/>
  <c r="BW570" i="1"/>
  <c r="A571" i="1"/>
  <c r="C571" i="1"/>
  <c r="S571" i="1"/>
  <c r="U571" i="1"/>
  <c r="BB571" i="1"/>
  <c r="BW571" i="1"/>
  <c r="A572" i="1"/>
  <c r="C572" i="1"/>
  <c r="S572" i="1"/>
  <c r="T572" i="1"/>
  <c r="U572" i="1"/>
  <c r="BB572" i="1"/>
  <c r="BW572" i="1"/>
  <c r="A573" i="1"/>
  <c r="C573" i="1"/>
  <c r="S573" i="1"/>
  <c r="T573" i="1"/>
  <c r="U573" i="1"/>
  <c r="BB573" i="1"/>
  <c r="BW573" i="1"/>
  <c r="A574" i="1"/>
  <c r="C574" i="1"/>
  <c r="S574" i="1"/>
  <c r="T574" i="1"/>
  <c r="U574" i="1"/>
  <c r="BB574" i="1"/>
  <c r="BW574" i="1"/>
  <c r="A575" i="1"/>
  <c r="C575" i="1"/>
  <c r="S575" i="1"/>
  <c r="T575" i="1"/>
  <c r="U575" i="1"/>
  <c r="BB575" i="1"/>
  <c r="BW575" i="1"/>
  <c r="A576" i="1"/>
  <c r="C576" i="1"/>
  <c r="S576" i="1"/>
  <c r="T576" i="1"/>
  <c r="U576" i="1"/>
  <c r="BB576" i="1"/>
  <c r="BW576" i="1"/>
  <c r="A577" i="1"/>
  <c r="C577" i="1"/>
  <c r="S577" i="1"/>
  <c r="T577" i="1"/>
  <c r="U577" i="1"/>
  <c r="BB577" i="1"/>
  <c r="BW577" i="1"/>
  <c r="A578" i="1"/>
  <c r="C578" i="1"/>
  <c r="S578" i="1"/>
  <c r="T578" i="1"/>
  <c r="U578" i="1"/>
  <c r="BB578" i="1"/>
  <c r="BW578" i="1"/>
  <c r="A579" i="1"/>
  <c r="C579" i="1"/>
  <c r="S579" i="1"/>
  <c r="T579" i="1"/>
  <c r="U579" i="1"/>
  <c r="BB579" i="1"/>
  <c r="BW579" i="1"/>
  <c r="A580" i="1"/>
  <c r="C580" i="1"/>
  <c r="S580" i="1"/>
  <c r="T580" i="1"/>
  <c r="U580" i="1"/>
  <c r="BB580" i="1"/>
  <c r="BW580" i="1"/>
  <c r="A581" i="1"/>
  <c r="C581" i="1"/>
  <c r="S581" i="1"/>
  <c r="T581" i="1"/>
  <c r="U581" i="1"/>
  <c r="BB581" i="1"/>
  <c r="BW581" i="1"/>
  <c r="A582" i="1"/>
  <c r="C582" i="1"/>
  <c r="S582" i="1"/>
  <c r="T582" i="1"/>
  <c r="U582" i="1"/>
  <c r="BB582" i="1"/>
  <c r="BW582" i="1"/>
  <c r="A583" i="1"/>
  <c r="C583" i="1"/>
  <c r="S583" i="1"/>
  <c r="T583" i="1"/>
  <c r="U583" i="1"/>
  <c r="BB583" i="1"/>
  <c r="BW583" i="1"/>
  <c r="A584" i="1"/>
  <c r="C584" i="1"/>
  <c r="S584" i="1"/>
  <c r="T584" i="1"/>
  <c r="U584" i="1"/>
  <c r="BB584" i="1"/>
  <c r="BW584" i="1"/>
  <c r="A585" i="1"/>
  <c r="C585" i="1"/>
  <c r="S585" i="1"/>
  <c r="T585" i="1"/>
  <c r="U585" i="1"/>
  <c r="BB585" i="1"/>
  <c r="BW585" i="1"/>
  <c r="A586" i="1"/>
  <c r="C586" i="1"/>
  <c r="S586" i="1"/>
  <c r="T586" i="1"/>
  <c r="U586" i="1"/>
  <c r="BB586" i="1"/>
  <c r="BW586" i="1"/>
  <c r="A587" i="1"/>
  <c r="C587" i="1"/>
  <c r="S587" i="1"/>
  <c r="T587" i="1"/>
  <c r="U587" i="1"/>
  <c r="BB587" i="1"/>
  <c r="BW587" i="1"/>
  <c r="A588" i="1"/>
  <c r="C588" i="1"/>
  <c r="S588" i="1"/>
  <c r="T588" i="1"/>
  <c r="U588" i="1"/>
  <c r="BB588" i="1"/>
  <c r="BW588" i="1"/>
  <c r="A589" i="1"/>
  <c r="C589" i="1"/>
  <c r="S589" i="1"/>
  <c r="T589" i="1"/>
  <c r="U589" i="1"/>
  <c r="BB589" i="1"/>
  <c r="BW589" i="1"/>
  <c r="A590" i="1"/>
  <c r="C590" i="1"/>
  <c r="S590" i="1"/>
  <c r="U590" i="1"/>
  <c r="BB590" i="1"/>
  <c r="BW590" i="1"/>
  <c r="A591" i="1"/>
  <c r="C591" i="1"/>
  <c r="S591" i="1"/>
  <c r="U591" i="1"/>
  <c r="BB591" i="1"/>
  <c r="BW591" i="1"/>
  <c r="A592" i="1"/>
  <c r="C592" i="1"/>
  <c r="S592" i="1"/>
  <c r="U592" i="1"/>
  <c r="BB592" i="1"/>
  <c r="BW592" i="1"/>
  <c r="A593" i="1"/>
  <c r="C593" i="1"/>
  <c r="S593" i="1"/>
  <c r="T593" i="1"/>
  <c r="U593" i="1"/>
  <c r="BB593" i="1"/>
  <c r="BW593" i="1"/>
  <c r="A594" i="1"/>
  <c r="C594" i="1"/>
  <c r="S594" i="1"/>
  <c r="T594" i="1"/>
  <c r="U594" i="1"/>
  <c r="BB594" i="1"/>
  <c r="BW594" i="1"/>
  <c r="A595" i="1"/>
  <c r="C595" i="1"/>
  <c r="S595" i="1"/>
  <c r="T595" i="1"/>
  <c r="U595" i="1"/>
  <c r="BB595" i="1"/>
  <c r="BW595" i="1"/>
  <c r="A596" i="1"/>
  <c r="C596" i="1"/>
  <c r="S596" i="1"/>
  <c r="T596" i="1"/>
  <c r="U596" i="1"/>
  <c r="BB596" i="1"/>
  <c r="BW596" i="1"/>
  <c r="A597" i="1"/>
  <c r="C597" i="1"/>
  <c r="S597" i="1"/>
  <c r="T597" i="1"/>
  <c r="U597" i="1"/>
  <c r="BB597" i="1"/>
  <c r="BW597" i="1"/>
  <c r="A598" i="1"/>
  <c r="C598" i="1"/>
  <c r="S598" i="1"/>
  <c r="T598" i="1"/>
  <c r="U598" i="1"/>
  <c r="BB598" i="1"/>
  <c r="BW598" i="1"/>
  <c r="A599" i="1"/>
  <c r="C599" i="1"/>
  <c r="S599" i="1"/>
  <c r="T599" i="1"/>
  <c r="U599" i="1"/>
  <c r="BB599" i="1"/>
  <c r="BW599" i="1"/>
  <c r="A600" i="1"/>
  <c r="C600" i="1"/>
  <c r="S600" i="1"/>
  <c r="T600" i="1"/>
  <c r="U600" i="1"/>
  <c r="BB600" i="1"/>
  <c r="BW600" i="1"/>
  <c r="A601" i="1"/>
  <c r="C601" i="1"/>
  <c r="S601" i="1"/>
  <c r="T601" i="1"/>
  <c r="U601" i="1"/>
  <c r="BB601" i="1"/>
  <c r="BW601" i="1"/>
  <c r="A602" i="1"/>
  <c r="C602" i="1"/>
  <c r="S602" i="1"/>
  <c r="T602" i="1"/>
  <c r="U602" i="1"/>
  <c r="BB602" i="1"/>
  <c r="BW602" i="1"/>
  <c r="A603" i="1"/>
  <c r="C603" i="1"/>
  <c r="S603" i="1"/>
  <c r="T603" i="1"/>
  <c r="U603" i="1"/>
  <c r="BB603" i="1"/>
  <c r="BW603" i="1"/>
  <c r="A604" i="1"/>
  <c r="C604" i="1"/>
  <c r="S604" i="1"/>
  <c r="T604" i="1"/>
  <c r="U604" i="1"/>
  <c r="BB604" i="1"/>
  <c r="BW604" i="1"/>
  <c r="A605" i="1"/>
  <c r="C605" i="1"/>
  <c r="S605" i="1"/>
  <c r="U605" i="1"/>
  <c r="BB605" i="1"/>
  <c r="BW605" i="1"/>
  <c r="A606" i="1"/>
  <c r="C606" i="1"/>
  <c r="S606" i="1"/>
  <c r="U606" i="1"/>
  <c r="BB606" i="1"/>
  <c r="BW606" i="1"/>
  <c r="A607" i="1"/>
  <c r="C607" i="1"/>
  <c r="S607" i="1"/>
  <c r="U607" i="1"/>
  <c r="BB607" i="1"/>
  <c r="BW607" i="1"/>
  <c r="A608" i="1"/>
  <c r="C608" i="1"/>
  <c r="S608" i="1"/>
  <c r="T608" i="1"/>
  <c r="U608" i="1"/>
  <c r="BB608" i="1"/>
  <c r="BW608" i="1"/>
  <c r="A609" i="1"/>
  <c r="C609" i="1"/>
  <c r="S609" i="1"/>
  <c r="T609" i="1"/>
  <c r="U609" i="1"/>
  <c r="BB609" i="1"/>
  <c r="BW609" i="1"/>
  <c r="A610" i="1"/>
  <c r="C610" i="1"/>
  <c r="S610" i="1"/>
  <c r="T610" i="1"/>
  <c r="U610" i="1"/>
  <c r="BB610" i="1"/>
  <c r="BW610" i="1"/>
  <c r="A611" i="1"/>
  <c r="C611" i="1"/>
  <c r="S611" i="1"/>
  <c r="T611" i="1"/>
  <c r="U611" i="1"/>
  <c r="BB611" i="1"/>
  <c r="BW611" i="1"/>
  <c r="A612" i="1"/>
  <c r="C612" i="1"/>
  <c r="S612" i="1"/>
  <c r="T612" i="1"/>
  <c r="U612" i="1"/>
  <c r="BB612" i="1"/>
  <c r="BW612" i="1"/>
  <c r="A613" i="1"/>
  <c r="C613" i="1"/>
  <c r="S613" i="1"/>
  <c r="T613" i="1"/>
  <c r="U613" i="1"/>
  <c r="BB613" i="1"/>
  <c r="BW613" i="1"/>
  <c r="A614" i="1"/>
  <c r="C614" i="1"/>
  <c r="S614" i="1"/>
  <c r="T614" i="1"/>
  <c r="U614" i="1"/>
  <c r="BB614" i="1"/>
  <c r="BW614" i="1"/>
  <c r="A615" i="1"/>
  <c r="C615" i="1"/>
  <c r="S615" i="1"/>
  <c r="T615" i="1"/>
  <c r="U615" i="1"/>
  <c r="BB615" i="1"/>
  <c r="BW615" i="1"/>
  <c r="A616" i="1"/>
  <c r="C616" i="1"/>
  <c r="S616" i="1"/>
  <c r="T616" i="1"/>
  <c r="U616" i="1"/>
  <c r="BB616" i="1"/>
  <c r="BW616" i="1"/>
  <c r="A617" i="1"/>
  <c r="C617" i="1"/>
  <c r="S617" i="1"/>
  <c r="T617" i="1"/>
  <c r="U617" i="1"/>
  <c r="BB617" i="1"/>
  <c r="BW617" i="1"/>
  <c r="A618" i="1"/>
  <c r="C618" i="1"/>
  <c r="S618" i="1"/>
  <c r="T618" i="1"/>
  <c r="U618" i="1"/>
  <c r="BB618" i="1"/>
  <c r="BW618" i="1"/>
  <c r="A619" i="1"/>
  <c r="C619" i="1"/>
  <c r="S619" i="1"/>
  <c r="T619" i="1"/>
  <c r="U619" i="1"/>
  <c r="BB619" i="1"/>
  <c r="BW619" i="1"/>
  <c r="A620" i="1"/>
  <c r="C620" i="1"/>
  <c r="S620" i="1"/>
  <c r="T620" i="1"/>
  <c r="U620" i="1"/>
  <c r="BB620" i="1"/>
  <c r="BW620" i="1"/>
  <c r="A621" i="1"/>
  <c r="C621" i="1"/>
  <c r="S621" i="1"/>
  <c r="T621" i="1"/>
  <c r="U621" i="1"/>
  <c r="BB621" i="1"/>
  <c r="BW621" i="1"/>
  <c r="A622" i="1"/>
  <c r="C622" i="1"/>
  <c r="S622" i="1"/>
  <c r="T622" i="1"/>
  <c r="U622" i="1"/>
  <c r="BB622" i="1"/>
  <c r="BW622" i="1"/>
  <c r="A623" i="1"/>
  <c r="C623" i="1"/>
  <c r="S623" i="1"/>
  <c r="U623" i="1"/>
  <c r="BB623" i="1"/>
  <c r="BW623" i="1"/>
  <c r="A624" i="1"/>
  <c r="C624" i="1"/>
  <c r="S624" i="1"/>
  <c r="U624" i="1"/>
  <c r="BB624" i="1"/>
  <c r="BW624" i="1"/>
  <c r="A625" i="1"/>
  <c r="C625" i="1"/>
  <c r="S625" i="1"/>
  <c r="U625" i="1"/>
  <c r="BB625" i="1"/>
  <c r="BW625" i="1"/>
  <c r="A626" i="1"/>
  <c r="C626" i="1"/>
  <c r="S626" i="1"/>
  <c r="T626" i="1"/>
  <c r="U626" i="1"/>
  <c r="BB626" i="1"/>
  <c r="BW626" i="1"/>
  <c r="A627" i="1"/>
  <c r="C627" i="1"/>
  <c r="S627" i="1"/>
  <c r="T627" i="1"/>
  <c r="U627" i="1"/>
  <c r="BB627" i="1"/>
  <c r="BW627" i="1"/>
  <c r="A628" i="1"/>
  <c r="C628" i="1"/>
  <c r="S628" i="1"/>
  <c r="T628" i="1"/>
  <c r="U628" i="1"/>
  <c r="BB628" i="1"/>
  <c r="BW628" i="1"/>
  <c r="A629" i="1"/>
  <c r="C629" i="1"/>
  <c r="S629" i="1"/>
  <c r="T629" i="1"/>
  <c r="U629" i="1"/>
  <c r="BB629" i="1"/>
  <c r="BW629" i="1"/>
  <c r="A630" i="1"/>
  <c r="C630" i="1"/>
  <c r="S630" i="1"/>
  <c r="T630" i="1"/>
  <c r="U630" i="1"/>
  <c r="BB630" i="1"/>
  <c r="BW630" i="1"/>
  <c r="A631" i="1"/>
  <c r="C631" i="1"/>
  <c r="S631" i="1"/>
  <c r="T631" i="1"/>
  <c r="U631" i="1"/>
  <c r="BB631" i="1"/>
  <c r="BW631" i="1"/>
  <c r="A632" i="1"/>
  <c r="C632" i="1"/>
  <c r="S632" i="1"/>
  <c r="T632" i="1"/>
  <c r="U632" i="1"/>
  <c r="BB632" i="1"/>
  <c r="BW632" i="1"/>
  <c r="A633" i="1"/>
  <c r="C633" i="1"/>
  <c r="S633" i="1"/>
  <c r="T633" i="1"/>
  <c r="U633" i="1"/>
  <c r="BB633" i="1"/>
  <c r="BW633" i="1"/>
  <c r="A634" i="1"/>
  <c r="C634" i="1"/>
  <c r="S634" i="1"/>
  <c r="T634" i="1"/>
  <c r="U634" i="1"/>
  <c r="BB634" i="1"/>
  <c r="BW634" i="1"/>
  <c r="A635" i="1"/>
  <c r="C635" i="1"/>
  <c r="S635" i="1"/>
  <c r="T635" i="1"/>
  <c r="U635" i="1"/>
  <c r="BB635" i="1"/>
  <c r="BW635" i="1"/>
  <c r="A636" i="1"/>
  <c r="C636" i="1"/>
  <c r="S636" i="1"/>
  <c r="T636" i="1"/>
  <c r="U636" i="1"/>
  <c r="BB636" i="1"/>
  <c r="BW636" i="1"/>
  <c r="A637" i="1"/>
  <c r="C637" i="1"/>
  <c r="S637" i="1"/>
  <c r="T637" i="1"/>
  <c r="U637" i="1"/>
  <c r="BB637" i="1"/>
  <c r="BW637" i="1"/>
  <c r="A638" i="1"/>
  <c r="C638" i="1"/>
  <c r="S638" i="1"/>
  <c r="T638" i="1"/>
  <c r="U638" i="1"/>
  <c r="BB638" i="1"/>
  <c r="BW638" i="1"/>
  <c r="A639" i="1"/>
  <c r="C639" i="1"/>
  <c r="S639" i="1"/>
  <c r="T639" i="1"/>
  <c r="U639" i="1"/>
  <c r="BB639" i="1"/>
  <c r="BW639" i="1"/>
  <c r="A640" i="1"/>
  <c r="C640" i="1"/>
  <c r="S640" i="1"/>
  <c r="T640" i="1"/>
  <c r="U640" i="1"/>
  <c r="BB640" i="1"/>
  <c r="BW640" i="1"/>
  <c r="A641" i="1"/>
  <c r="C641" i="1"/>
  <c r="S641" i="1"/>
  <c r="T641" i="1"/>
  <c r="U641" i="1"/>
  <c r="BB641" i="1"/>
  <c r="BW641" i="1"/>
  <c r="A642" i="1"/>
  <c r="C642" i="1"/>
  <c r="S642" i="1"/>
  <c r="T642" i="1"/>
  <c r="U642" i="1"/>
  <c r="BB642" i="1"/>
  <c r="BW642" i="1"/>
  <c r="A643" i="1"/>
  <c r="C643" i="1"/>
  <c r="S643" i="1"/>
  <c r="T643" i="1"/>
  <c r="U643" i="1"/>
  <c r="BB643" i="1"/>
  <c r="BW643" i="1"/>
  <c r="A644" i="1"/>
  <c r="C644" i="1"/>
  <c r="S644" i="1"/>
  <c r="T644" i="1"/>
  <c r="U644" i="1"/>
  <c r="BB644" i="1"/>
  <c r="BW644" i="1"/>
  <c r="A645" i="1"/>
  <c r="C645" i="1"/>
  <c r="S645" i="1"/>
  <c r="T645" i="1"/>
  <c r="U645" i="1"/>
  <c r="BB645" i="1"/>
  <c r="BW645" i="1"/>
  <c r="A646" i="1"/>
  <c r="C646" i="1"/>
  <c r="S646" i="1"/>
  <c r="T646" i="1"/>
  <c r="U646" i="1"/>
  <c r="BB646" i="1"/>
  <c r="BW646" i="1"/>
  <c r="A647" i="1"/>
  <c r="C647" i="1"/>
  <c r="S647" i="1"/>
  <c r="T647" i="1"/>
  <c r="U647" i="1"/>
  <c r="BB647" i="1"/>
  <c r="BW647" i="1"/>
  <c r="A648" i="1"/>
  <c r="C648" i="1"/>
  <c r="S648" i="1"/>
  <c r="T648" i="1"/>
  <c r="U648" i="1"/>
  <c r="BB648" i="1"/>
  <c r="BW648" i="1"/>
  <c r="A649" i="1"/>
  <c r="C649" i="1"/>
  <c r="S649" i="1"/>
  <c r="T649" i="1"/>
  <c r="U649" i="1"/>
  <c r="BB649" i="1"/>
  <c r="BW649" i="1"/>
  <c r="A650" i="1"/>
  <c r="C650" i="1"/>
  <c r="S650" i="1"/>
  <c r="T650" i="1"/>
  <c r="U650" i="1"/>
  <c r="BB650" i="1"/>
  <c r="BW650" i="1"/>
  <c r="A651" i="1"/>
  <c r="C651" i="1"/>
  <c r="S651" i="1"/>
  <c r="T651" i="1"/>
  <c r="U651" i="1"/>
  <c r="BB651" i="1"/>
  <c r="BW651" i="1"/>
  <c r="A652" i="1"/>
  <c r="C652" i="1"/>
  <c r="S652" i="1"/>
  <c r="T652" i="1"/>
  <c r="U652" i="1"/>
  <c r="BB652" i="1"/>
  <c r="BW652" i="1"/>
  <c r="A653" i="1"/>
  <c r="C653" i="1"/>
  <c r="S653" i="1"/>
  <c r="T653" i="1"/>
  <c r="U653" i="1"/>
  <c r="BB653" i="1"/>
  <c r="BW653" i="1"/>
  <c r="A654" i="1"/>
  <c r="C654" i="1"/>
  <c r="S654" i="1"/>
  <c r="T654" i="1"/>
  <c r="U654" i="1"/>
  <c r="BB654" i="1"/>
  <c r="BW654" i="1"/>
  <c r="A655" i="1"/>
  <c r="C655" i="1"/>
  <c r="S655" i="1"/>
  <c r="T655" i="1"/>
  <c r="U655" i="1"/>
  <c r="BB655" i="1"/>
  <c r="BW655" i="1"/>
  <c r="A656" i="1"/>
  <c r="C656" i="1"/>
  <c r="S656" i="1"/>
  <c r="T656" i="1"/>
  <c r="U656" i="1"/>
  <c r="BB656" i="1"/>
  <c r="BW656" i="1"/>
  <c r="A657" i="1"/>
  <c r="C657" i="1"/>
  <c r="S657" i="1"/>
  <c r="T657" i="1"/>
  <c r="U657" i="1"/>
  <c r="BB657" i="1"/>
  <c r="BW657" i="1"/>
  <c r="A658" i="1"/>
  <c r="C658" i="1"/>
  <c r="S658" i="1"/>
  <c r="T658" i="1"/>
  <c r="U658" i="1"/>
  <c r="BB658" i="1"/>
  <c r="BW658" i="1"/>
  <c r="A659" i="1"/>
  <c r="C659" i="1"/>
  <c r="S659" i="1"/>
  <c r="T659" i="1"/>
  <c r="U659" i="1"/>
  <c r="BB659" i="1"/>
  <c r="BW659" i="1"/>
  <c r="A660" i="1"/>
  <c r="C660" i="1"/>
  <c r="S660" i="1"/>
  <c r="T660" i="1"/>
  <c r="U660" i="1"/>
  <c r="BB660" i="1"/>
  <c r="BW660" i="1"/>
  <c r="A661" i="1"/>
  <c r="C661" i="1"/>
  <c r="S661" i="1"/>
  <c r="T661" i="1"/>
  <c r="U661" i="1"/>
  <c r="BB661" i="1"/>
  <c r="BW661" i="1"/>
  <c r="A662" i="1"/>
  <c r="C662" i="1"/>
  <c r="S662" i="1"/>
  <c r="T662" i="1"/>
  <c r="U662" i="1"/>
  <c r="BB662" i="1"/>
  <c r="BW662" i="1"/>
  <c r="A663" i="1"/>
  <c r="C663" i="1"/>
  <c r="S663" i="1"/>
  <c r="T663" i="1"/>
  <c r="U663" i="1"/>
  <c r="BB663" i="1"/>
  <c r="BW663" i="1"/>
  <c r="A664" i="1"/>
  <c r="C664" i="1"/>
  <c r="S664" i="1"/>
  <c r="T664" i="1"/>
  <c r="U664" i="1"/>
  <c r="BB664" i="1"/>
  <c r="BW664" i="1"/>
  <c r="A665" i="1"/>
  <c r="C665" i="1"/>
  <c r="S665" i="1"/>
  <c r="T665" i="1"/>
  <c r="U665" i="1"/>
  <c r="BB665" i="1"/>
  <c r="BW665" i="1"/>
  <c r="A666" i="1"/>
  <c r="C666" i="1"/>
  <c r="S666" i="1"/>
  <c r="T666" i="1"/>
  <c r="U666" i="1"/>
  <c r="BB666" i="1"/>
  <c r="BW666" i="1"/>
  <c r="A667" i="1"/>
  <c r="C667" i="1"/>
  <c r="S667" i="1"/>
  <c r="T667" i="1"/>
  <c r="U667" i="1"/>
  <c r="BB667" i="1"/>
  <c r="BW667" i="1"/>
  <c r="A668" i="1"/>
  <c r="C668" i="1"/>
  <c r="S668" i="1"/>
  <c r="T668" i="1"/>
  <c r="U668" i="1"/>
  <c r="BB668" i="1"/>
  <c r="BW668" i="1"/>
  <c r="A669" i="1"/>
  <c r="C669" i="1"/>
  <c r="S669" i="1"/>
  <c r="T669" i="1"/>
  <c r="U669" i="1"/>
  <c r="BB669" i="1"/>
  <c r="BW669" i="1"/>
  <c r="A670" i="1"/>
  <c r="C670" i="1"/>
  <c r="S670" i="1"/>
  <c r="T670" i="1"/>
  <c r="U670" i="1"/>
  <c r="BB670" i="1"/>
  <c r="BW670" i="1"/>
  <c r="A671" i="1"/>
  <c r="C671" i="1"/>
  <c r="S671" i="1"/>
  <c r="T671" i="1"/>
  <c r="U671" i="1"/>
  <c r="BB671" i="1"/>
  <c r="BW671" i="1"/>
  <c r="A672" i="1"/>
  <c r="C672" i="1"/>
  <c r="S672" i="1"/>
  <c r="T672" i="1"/>
  <c r="U672" i="1"/>
  <c r="BB672" i="1"/>
  <c r="BW672" i="1"/>
  <c r="A673" i="1"/>
  <c r="C673" i="1"/>
  <c r="S673" i="1"/>
  <c r="T673" i="1"/>
  <c r="U673" i="1"/>
  <c r="BB673" i="1"/>
  <c r="BW673" i="1"/>
  <c r="A674" i="1"/>
  <c r="C674" i="1"/>
  <c r="S674" i="1"/>
  <c r="T674" i="1"/>
  <c r="U674" i="1"/>
  <c r="BB674" i="1"/>
  <c r="BW674" i="1"/>
  <c r="A675" i="1"/>
  <c r="C675" i="1"/>
  <c r="S675" i="1"/>
  <c r="T675" i="1"/>
  <c r="U675" i="1"/>
  <c r="BB675" i="1"/>
  <c r="BW675" i="1"/>
  <c r="A676" i="1"/>
  <c r="C676" i="1"/>
  <c r="S676" i="1"/>
  <c r="T676" i="1"/>
  <c r="U676" i="1"/>
  <c r="BB676" i="1"/>
  <c r="BW676" i="1"/>
  <c r="A677" i="1"/>
  <c r="C677" i="1"/>
  <c r="S677" i="1"/>
  <c r="T677" i="1"/>
  <c r="U677" i="1"/>
  <c r="BB677" i="1"/>
  <c r="BW677" i="1"/>
  <c r="A678" i="1"/>
  <c r="C678" i="1"/>
  <c r="S678" i="1"/>
  <c r="T678" i="1"/>
  <c r="U678" i="1"/>
  <c r="BB678" i="1"/>
  <c r="BW678" i="1"/>
  <c r="A679" i="1"/>
  <c r="C679" i="1"/>
  <c r="S679" i="1"/>
  <c r="T679" i="1"/>
  <c r="U679" i="1"/>
  <c r="BB679" i="1"/>
  <c r="BW679" i="1"/>
  <c r="A680" i="1"/>
  <c r="C680" i="1"/>
  <c r="S680" i="1"/>
  <c r="T680" i="1"/>
  <c r="U680" i="1"/>
  <c r="BB680" i="1"/>
  <c r="BW680" i="1"/>
  <c r="A681" i="1"/>
  <c r="C681" i="1"/>
  <c r="S681" i="1"/>
  <c r="T681" i="1"/>
  <c r="U681" i="1"/>
  <c r="BB681" i="1"/>
  <c r="BW681" i="1"/>
  <c r="A682" i="1"/>
  <c r="C682" i="1"/>
  <c r="S682" i="1"/>
  <c r="T682" i="1"/>
  <c r="U682" i="1"/>
  <c r="BB682" i="1"/>
  <c r="BW682" i="1"/>
  <c r="A683" i="1"/>
  <c r="C683" i="1"/>
  <c r="S683" i="1"/>
  <c r="T683" i="1"/>
  <c r="U683" i="1"/>
  <c r="BB683" i="1"/>
  <c r="BW683" i="1"/>
  <c r="A684" i="1"/>
  <c r="C684" i="1"/>
  <c r="S684" i="1"/>
  <c r="T684" i="1"/>
  <c r="U684" i="1"/>
  <c r="BB684" i="1"/>
  <c r="BW684" i="1"/>
  <c r="A685" i="1"/>
  <c r="C685" i="1"/>
  <c r="S685" i="1"/>
  <c r="T685" i="1"/>
  <c r="U685" i="1"/>
  <c r="BB685" i="1"/>
  <c r="BW685" i="1"/>
  <c r="A686" i="1"/>
  <c r="C686" i="1"/>
  <c r="S686" i="1"/>
  <c r="T686" i="1"/>
  <c r="U686" i="1"/>
  <c r="BB686" i="1"/>
  <c r="BW686" i="1"/>
  <c r="A687" i="1"/>
  <c r="C687" i="1"/>
  <c r="S687" i="1"/>
  <c r="T687" i="1"/>
  <c r="U687" i="1"/>
  <c r="BB687" i="1"/>
  <c r="BW687" i="1"/>
  <c r="A688" i="1"/>
  <c r="C688" i="1"/>
  <c r="S688" i="1"/>
  <c r="T688" i="1"/>
  <c r="U688" i="1"/>
  <c r="BB688" i="1"/>
  <c r="BW688" i="1"/>
  <c r="A689" i="1"/>
  <c r="C689" i="1"/>
  <c r="S689" i="1"/>
  <c r="T689" i="1"/>
  <c r="U689" i="1"/>
  <c r="BB689" i="1"/>
  <c r="BW689" i="1"/>
  <c r="A690" i="1"/>
  <c r="C690" i="1"/>
  <c r="S690" i="1"/>
  <c r="T690" i="1"/>
  <c r="U690" i="1"/>
  <c r="BB690" i="1"/>
  <c r="BW690" i="1"/>
  <c r="A691" i="1"/>
  <c r="C691" i="1"/>
  <c r="S691" i="1"/>
  <c r="T691" i="1"/>
  <c r="U691" i="1"/>
  <c r="BB691" i="1"/>
  <c r="BW691" i="1"/>
  <c r="A692" i="1"/>
  <c r="C692" i="1"/>
  <c r="S692" i="1"/>
  <c r="T692" i="1"/>
  <c r="U692" i="1"/>
  <c r="BB692" i="1"/>
  <c r="BW692" i="1"/>
  <c r="A693" i="1"/>
  <c r="C693" i="1"/>
  <c r="S693" i="1"/>
  <c r="T693" i="1"/>
  <c r="U693" i="1"/>
  <c r="BB693" i="1"/>
  <c r="BW693" i="1"/>
  <c r="A694" i="1"/>
  <c r="C694" i="1"/>
  <c r="S694" i="1"/>
  <c r="T694" i="1"/>
  <c r="U694" i="1"/>
  <c r="BB694" i="1"/>
  <c r="BW694" i="1"/>
  <c r="A695" i="1"/>
  <c r="C695" i="1"/>
  <c r="S695" i="1"/>
  <c r="T695" i="1"/>
  <c r="U695" i="1"/>
  <c r="BB695" i="1"/>
  <c r="BW695" i="1"/>
  <c r="A696" i="1"/>
  <c r="C696" i="1"/>
  <c r="S696" i="1"/>
  <c r="T696" i="1"/>
  <c r="U696" i="1"/>
  <c r="BB696" i="1"/>
  <c r="BW696" i="1"/>
  <c r="A697" i="1"/>
  <c r="C697" i="1"/>
  <c r="S697" i="1"/>
  <c r="T697" i="1"/>
  <c r="U697" i="1"/>
  <c r="BB697" i="1"/>
  <c r="BW697" i="1"/>
  <c r="A698" i="1"/>
  <c r="C698" i="1"/>
  <c r="S698" i="1"/>
  <c r="T698" i="1"/>
  <c r="U698" i="1"/>
  <c r="BB698" i="1"/>
  <c r="BW698" i="1"/>
  <c r="A699" i="1"/>
  <c r="C699" i="1"/>
  <c r="S699" i="1"/>
  <c r="T699" i="1"/>
  <c r="U699" i="1"/>
  <c r="BB699" i="1"/>
  <c r="BW699" i="1"/>
  <c r="A700" i="1"/>
  <c r="C700" i="1"/>
  <c r="S700" i="1"/>
  <c r="T700" i="1"/>
  <c r="U700" i="1"/>
  <c r="BB700" i="1"/>
  <c r="BW700" i="1"/>
  <c r="A701" i="1"/>
  <c r="C701" i="1"/>
  <c r="S701" i="1"/>
  <c r="T701" i="1"/>
  <c r="U701" i="1"/>
  <c r="BB701" i="1"/>
  <c r="BW701" i="1"/>
  <c r="A702" i="1"/>
  <c r="C702" i="1"/>
  <c r="S702" i="1"/>
  <c r="T702" i="1"/>
  <c r="U702" i="1"/>
  <c r="BB702" i="1"/>
  <c r="BW702" i="1"/>
  <c r="A703" i="1"/>
  <c r="C703" i="1"/>
  <c r="S703" i="1"/>
  <c r="T703" i="1"/>
  <c r="U703" i="1"/>
  <c r="BB703" i="1"/>
  <c r="BW703" i="1"/>
  <c r="A704" i="1"/>
  <c r="C704" i="1"/>
  <c r="S704" i="1"/>
  <c r="T704" i="1"/>
  <c r="U704" i="1"/>
  <c r="BB704" i="1"/>
  <c r="BW704" i="1"/>
  <c r="A705" i="1"/>
  <c r="C705" i="1"/>
  <c r="S705" i="1"/>
  <c r="T705" i="1"/>
  <c r="U705" i="1"/>
  <c r="BB705" i="1"/>
  <c r="BW705" i="1"/>
  <c r="A706" i="1"/>
  <c r="C706" i="1"/>
  <c r="S706" i="1"/>
  <c r="T706" i="1"/>
  <c r="U706" i="1"/>
  <c r="BB706" i="1"/>
  <c r="BW706" i="1"/>
  <c r="A707" i="1"/>
  <c r="C707" i="1"/>
  <c r="S707" i="1"/>
  <c r="T707" i="1"/>
  <c r="U707" i="1"/>
  <c r="BB707" i="1"/>
  <c r="BW707" i="1"/>
  <c r="A708" i="1"/>
  <c r="C708" i="1"/>
  <c r="S708" i="1"/>
  <c r="T708" i="1"/>
  <c r="U708" i="1"/>
  <c r="BB708" i="1"/>
  <c r="BW708" i="1"/>
  <c r="A709" i="1"/>
  <c r="C709" i="1"/>
  <c r="S709" i="1"/>
  <c r="T709" i="1"/>
  <c r="U709" i="1"/>
  <c r="BB709" i="1"/>
  <c r="BW709" i="1"/>
  <c r="A710" i="1"/>
  <c r="C710" i="1"/>
  <c r="S710" i="1"/>
  <c r="T710" i="1"/>
  <c r="U710" i="1"/>
  <c r="BB710" i="1"/>
  <c r="BW710" i="1"/>
  <c r="A711" i="1"/>
  <c r="C711" i="1"/>
  <c r="S711" i="1"/>
  <c r="T711" i="1"/>
  <c r="U711" i="1"/>
  <c r="BB711" i="1"/>
  <c r="BW711" i="1"/>
  <c r="A712" i="1"/>
  <c r="C712" i="1"/>
  <c r="S712" i="1"/>
  <c r="T712" i="1"/>
  <c r="U712" i="1"/>
  <c r="BB712" i="1"/>
  <c r="BW712" i="1"/>
  <c r="A713" i="1"/>
  <c r="C713" i="1"/>
  <c r="S713" i="1"/>
  <c r="T713" i="1"/>
  <c r="U713" i="1"/>
  <c r="BB713" i="1"/>
  <c r="BW713" i="1"/>
  <c r="A714" i="1"/>
  <c r="C714" i="1"/>
  <c r="S714" i="1"/>
  <c r="T714" i="1"/>
  <c r="U714" i="1"/>
  <c r="BB714" i="1"/>
  <c r="BW714" i="1"/>
  <c r="A715" i="1"/>
  <c r="C715" i="1"/>
  <c r="S715" i="1"/>
  <c r="T715" i="1"/>
  <c r="U715" i="1"/>
  <c r="BB715" i="1"/>
  <c r="BW715" i="1"/>
  <c r="A716" i="1"/>
  <c r="C716" i="1"/>
  <c r="S716" i="1"/>
  <c r="T716" i="1"/>
  <c r="U716" i="1"/>
  <c r="BB716" i="1"/>
  <c r="BW716" i="1"/>
  <c r="A717" i="1"/>
  <c r="C717" i="1"/>
  <c r="S717" i="1"/>
  <c r="T717" i="1"/>
  <c r="U717" i="1"/>
  <c r="BB717" i="1"/>
  <c r="BW717" i="1"/>
  <c r="A718" i="1"/>
  <c r="C718" i="1"/>
  <c r="S718" i="1"/>
  <c r="T718" i="1"/>
  <c r="U718" i="1"/>
  <c r="BB718" i="1"/>
  <c r="BW718" i="1"/>
  <c r="A719" i="1"/>
  <c r="C719" i="1"/>
  <c r="S719" i="1"/>
  <c r="T719" i="1"/>
  <c r="U719" i="1"/>
  <c r="BB719" i="1"/>
  <c r="BW719" i="1"/>
  <c r="A720" i="1"/>
  <c r="C720" i="1"/>
  <c r="S720" i="1"/>
  <c r="T720" i="1"/>
  <c r="U720" i="1"/>
  <c r="BB720" i="1"/>
  <c r="BW720" i="1"/>
  <c r="A721" i="1"/>
  <c r="C721" i="1"/>
  <c r="S721" i="1"/>
  <c r="T721" i="1"/>
  <c r="U721" i="1"/>
  <c r="BB721" i="1"/>
  <c r="BW721" i="1"/>
  <c r="A722" i="1"/>
  <c r="C722" i="1"/>
  <c r="S722" i="1"/>
  <c r="T722" i="1"/>
  <c r="U722" i="1"/>
  <c r="BB722" i="1"/>
  <c r="BW722" i="1"/>
  <c r="A723" i="1"/>
  <c r="C723" i="1"/>
  <c r="S723" i="1"/>
  <c r="T723" i="1"/>
  <c r="U723" i="1"/>
  <c r="BB723" i="1"/>
  <c r="BW723" i="1"/>
  <c r="A724" i="1"/>
  <c r="C724" i="1"/>
  <c r="S724" i="1"/>
  <c r="T724" i="1"/>
  <c r="U724" i="1"/>
  <c r="BB724" i="1"/>
  <c r="BW724" i="1"/>
  <c r="A725" i="1"/>
  <c r="C725" i="1"/>
  <c r="S725" i="1"/>
  <c r="T725" i="1"/>
  <c r="U725" i="1"/>
  <c r="BB725" i="1"/>
  <c r="BW725" i="1"/>
  <c r="A726" i="1"/>
  <c r="C726" i="1"/>
  <c r="S726" i="1"/>
  <c r="T726" i="1"/>
  <c r="U726" i="1"/>
  <c r="BB726" i="1"/>
  <c r="BW726" i="1"/>
  <c r="A727" i="1"/>
  <c r="C727" i="1"/>
  <c r="S727" i="1"/>
  <c r="T727" i="1"/>
  <c r="U727" i="1"/>
  <c r="BB727" i="1"/>
  <c r="BW727" i="1"/>
  <c r="A728" i="1"/>
  <c r="C728" i="1"/>
  <c r="S728" i="1"/>
  <c r="T728" i="1"/>
  <c r="U728" i="1"/>
  <c r="BB728" i="1"/>
  <c r="BW728" i="1"/>
  <c r="A729" i="1"/>
  <c r="C729" i="1"/>
  <c r="S729" i="1"/>
  <c r="T729" i="1"/>
  <c r="U729" i="1"/>
  <c r="BB729" i="1"/>
  <c r="BW729" i="1"/>
  <c r="A730" i="1"/>
  <c r="C730" i="1"/>
  <c r="S730" i="1"/>
  <c r="T730" i="1"/>
  <c r="U730" i="1"/>
  <c r="BB730" i="1"/>
  <c r="BW730" i="1"/>
  <c r="A731" i="1"/>
  <c r="C731" i="1"/>
  <c r="S731" i="1"/>
  <c r="T731" i="1"/>
  <c r="U731" i="1"/>
  <c r="BB731" i="1"/>
  <c r="BW731" i="1"/>
  <c r="A732" i="1"/>
  <c r="C732" i="1"/>
  <c r="S732" i="1"/>
  <c r="T732" i="1"/>
  <c r="U732" i="1"/>
  <c r="BB732" i="1"/>
  <c r="BW732" i="1"/>
  <c r="A733" i="1"/>
  <c r="C733" i="1"/>
  <c r="S733" i="1"/>
  <c r="T733" i="1"/>
  <c r="U733" i="1"/>
  <c r="BB733" i="1"/>
  <c r="BW733" i="1"/>
  <c r="A734" i="1"/>
  <c r="C734" i="1"/>
  <c r="S734" i="1"/>
  <c r="T734" i="1"/>
  <c r="U734" i="1"/>
  <c r="BB734" i="1"/>
  <c r="BW734" i="1"/>
  <c r="A735" i="1"/>
  <c r="C735" i="1"/>
  <c r="S735" i="1"/>
  <c r="T735" i="1"/>
  <c r="U735" i="1"/>
  <c r="BB735" i="1"/>
  <c r="BW735" i="1"/>
  <c r="A736" i="1"/>
  <c r="C736" i="1"/>
  <c r="S736" i="1"/>
  <c r="T736" i="1"/>
  <c r="U736" i="1"/>
  <c r="BB736" i="1"/>
  <c r="BW736" i="1"/>
  <c r="A737" i="1"/>
  <c r="C737" i="1"/>
  <c r="S737" i="1"/>
  <c r="T737" i="1"/>
  <c r="U737" i="1"/>
  <c r="BB737" i="1"/>
  <c r="BW737" i="1"/>
  <c r="A738" i="1"/>
  <c r="C738" i="1"/>
  <c r="S738" i="1"/>
  <c r="T738" i="1"/>
  <c r="U738" i="1"/>
  <c r="BB738" i="1"/>
  <c r="BW738" i="1"/>
  <c r="A739" i="1"/>
  <c r="C739" i="1"/>
  <c r="S739" i="1"/>
  <c r="T739" i="1"/>
  <c r="U739" i="1"/>
  <c r="BB739" i="1"/>
  <c r="BW739" i="1"/>
  <c r="A740" i="1"/>
  <c r="C740" i="1"/>
  <c r="S740" i="1"/>
  <c r="T740" i="1"/>
  <c r="U740" i="1"/>
  <c r="BB740" i="1"/>
  <c r="BW740" i="1"/>
  <c r="A741" i="1"/>
  <c r="C741" i="1"/>
  <c r="S741" i="1"/>
  <c r="T741" i="1"/>
  <c r="U741" i="1"/>
  <c r="BB741" i="1"/>
  <c r="BW741" i="1"/>
  <c r="A742" i="1"/>
  <c r="C742" i="1"/>
  <c r="S742" i="1"/>
  <c r="T742" i="1"/>
  <c r="U742" i="1"/>
  <c r="BB742" i="1"/>
  <c r="BW742" i="1"/>
  <c r="A743" i="1"/>
  <c r="C743" i="1"/>
  <c r="S743" i="1"/>
  <c r="T743" i="1"/>
  <c r="U743" i="1"/>
  <c r="BB743" i="1"/>
  <c r="BW743" i="1"/>
  <c r="A744" i="1"/>
  <c r="C744" i="1"/>
  <c r="S744" i="1"/>
  <c r="T744" i="1"/>
  <c r="U744" i="1"/>
  <c r="BB744" i="1"/>
  <c r="BW744" i="1"/>
  <c r="A745" i="1"/>
  <c r="C745" i="1"/>
  <c r="S745" i="1"/>
  <c r="T745" i="1"/>
  <c r="U745" i="1"/>
  <c r="BB745" i="1"/>
  <c r="BW745" i="1"/>
  <c r="A746" i="1"/>
  <c r="C746" i="1"/>
  <c r="S746" i="1"/>
  <c r="T746" i="1"/>
  <c r="U746" i="1"/>
  <c r="BB746" i="1"/>
  <c r="BW746" i="1"/>
  <c r="A747" i="1"/>
  <c r="C747" i="1"/>
  <c r="S747" i="1"/>
  <c r="T747" i="1"/>
  <c r="U747" i="1"/>
  <c r="BB747" i="1"/>
  <c r="BW747" i="1"/>
  <c r="A748" i="1"/>
  <c r="C748" i="1"/>
  <c r="S748" i="1"/>
  <c r="T748" i="1"/>
  <c r="U748" i="1"/>
  <c r="BB748" i="1"/>
  <c r="BW748" i="1"/>
  <c r="A749" i="1"/>
  <c r="C749" i="1"/>
  <c r="S749" i="1"/>
  <c r="T749" i="1"/>
  <c r="U749" i="1"/>
  <c r="BB749" i="1"/>
  <c r="BW749" i="1"/>
  <c r="A750" i="1"/>
  <c r="C750" i="1"/>
  <c r="S750" i="1"/>
  <c r="T750" i="1"/>
  <c r="U750" i="1"/>
  <c r="BB750" i="1"/>
  <c r="BW750" i="1"/>
  <c r="A751" i="1"/>
  <c r="C751" i="1"/>
  <c r="S751" i="1"/>
  <c r="T751" i="1"/>
  <c r="U751" i="1"/>
  <c r="BB751" i="1"/>
  <c r="BW751" i="1"/>
  <c r="A752" i="1"/>
  <c r="C752" i="1"/>
  <c r="S752" i="1"/>
  <c r="T752" i="1"/>
  <c r="U752" i="1"/>
  <c r="BB752" i="1"/>
  <c r="BW752" i="1"/>
  <c r="A753" i="1"/>
  <c r="C753" i="1"/>
  <c r="S753" i="1"/>
  <c r="T753" i="1"/>
  <c r="U753" i="1"/>
  <c r="BB753" i="1"/>
  <c r="BW753" i="1"/>
  <c r="A754" i="1"/>
  <c r="C754" i="1"/>
  <c r="S754" i="1"/>
  <c r="T754" i="1"/>
  <c r="U754" i="1"/>
  <c r="BB754" i="1"/>
  <c r="BW754" i="1"/>
  <c r="A755" i="1"/>
  <c r="C755" i="1"/>
  <c r="S755" i="1"/>
  <c r="T755" i="1"/>
  <c r="U755" i="1"/>
  <c r="BB755" i="1"/>
  <c r="BW755" i="1"/>
  <c r="A756" i="1"/>
  <c r="C756" i="1"/>
  <c r="S756" i="1"/>
  <c r="T756" i="1"/>
  <c r="U756" i="1"/>
  <c r="BB756" i="1"/>
  <c r="BW756" i="1"/>
  <c r="A757" i="1"/>
  <c r="C757" i="1"/>
  <c r="S757" i="1"/>
  <c r="T757" i="1"/>
  <c r="U757" i="1"/>
  <c r="BB757" i="1"/>
  <c r="BW757" i="1"/>
  <c r="A758" i="1"/>
  <c r="C758" i="1"/>
  <c r="S758" i="1"/>
  <c r="T758" i="1"/>
  <c r="U758" i="1"/>
  <c r="BB758" i="1"/>
  <c r="BW758" i="1"/>
  <c r="A759" i="1"/>
  <c r="C759" i="1"/>
  <c r="S759" i="1"/>
  <c r="T759" i="1"/>
  <c r="U759" i="1"/>
  <c r="BB759" i="1"/>
  <c r="BW759" i="1"/>
  <c r="A760" i="1"/>
  <c r="C760" i="1"/>
  <c r="S760" i="1"/>
  <c r="T760" i="1"/>
  <c r="U760" i="1"/>
  <c r="BB760" i="1"/>
  <c r="BW760" i="1"/>
  <c r="A761" i="1"/>
  <c r="C761" i="1"/>
  <c r="S761" i="1"/>
  <c r="T761" i="1"/>
  <c r="U761" i="1"/>
  <c r="BB761" i="1"/>
  <c r="BW761" i="1"/>
  <c r="A762" i="1"/>
  <c r="C762" i="1"/>
  <c r="S762" i="1"/>
  <c r="T762" i="1"/>
  <c r="U762" i="1"/>
  <c r="BB762" i="1"/>
  <c r="BW762" i="1"/>
  <c r="A763" i="1"/>
  <c r="C763" i="1"/>
  <c r="S763" i="1"/>
  <c r="T763" i="1"/>
  <c r="U763" i="1"/>
  <c r="BB763" i="1"/>
  <c r="BW763" i="1"/>
  <c r="A764" i="1"/>
  <c r="C764" i="1"/>
  <c r="S764" i="1"/>
  <c r="T764" i="1"/>
  <c r="U764" i="1"/>
  <c r="BB764" i="1"/>
  <c r="BW764" i="1"/>
  <c r="A765" i="1"/>
  <c r="C765" i="1"/>
  <c r="S765" i="1"/>
  <c r="T765" i="1"/>
  <c r="U765" i="1"/>
  <c r="BB765" i="1"/>
  <c r="BW765" i="1"/>
  <c r="A766" i="1"/>
  <c r="C766" i="1"/>
  <c r="S766" i="1"/>
  <c r="T766" i="1"/>
  <c r="U766" i="1"/>
  <c r="BB766" i="1"/>
  <c r="BW766" i="1"/>
  <c r="A767" i="1"/>
  <c r="C767" i="1"/>
  <c r="S767" i="1"/>
  <c r="T767" i="1"/>
  <c r="U767" i="1"/>
  <c r="BB767" i="1"/>
  <c r="BW767" i="1"/>
  <c r="A768" i="1"/>
  <c r="C768" i="1"/>
  <c r="S768" i="1"/>
  <c r="T768" i="1"/>
  <c r="U768" i="1"/>
  <c r="BB768" i="1"/>
  <c r="BW768" i="1"/>
  <c r="A769" i="1"/>
  <c r="C769" i="1"/>
  <c r="S769" i="1"/>
  <c r="T769" i="1"/>
  <c r="U769" i="1"/>
  <c r="BB769" i="1"/>
  <c r="BW769" i="1"/>
  <c r="A770" i="1"/>
  <c r="C770" i="1"/>
  <c r="S770" i="1"/>
  <c r="T770" i="1"/>
  <c r="U770" i="1"/>
  <c r="BB770" i="1"/>
  <c r="BW770" i="1"/>
  <c r="A771" i="1"/>
  <c r="C771" i="1"/>
  <c r="S771" i="1"/>
  <c r="T771" i="1"/>
  <c r="U771" i="1"/>
  <c r="BB771" i="1"/>
  <c r="BW771" i="1"/>
  <c r="A772" i="1"/>
  <c r="C772" i="1"/>
  <c r="S772" i="1"/>
  <c r="T772" i="1"/>
  <c r="U772" i="1"/>
  <c r="BB772" i="1"/>
  <c r="BW772" i="1"/>
  <c r="A773" i="1"/>
  <c r="C773" i="1"/>
  <c r="S773" i="1"/>
  <c r="T773" i="1"/>
  <c r="U773" i="1"/>
  <c r="BB773" i="1"/>
  <c r="BW773" i="1"/>
  <c r="A774" i="1"/>
  <c r="C774" i="1"/>
  <c r="S774" i="1"/>
  <c r="T774" i="1"/>
  <c r="U774" i="1"/>
  <c r="BB774" i="1"/>
  <c r="BW774" i="1"/>
  <c r="A775" i="1"/>
  <c r="C775" i="1"/>
  <c r="S775" i="1"/>
  <c r="T775" i="1"/>
  <c r="U775" i="1"/>
  <c r="BB775" i="1"/>
  <c r="BW775" i="1"/>
  <c r="A776" i="1"/>
  <c r="C776" i="1"/>
  <c r="S776" i="1"/>
  <c r="T776" i="1"/>
  <c r="U776" i="1"/>
  <c r="BB776" i="1"/>
  <c r="BW776" i="1"/>
  <c r="A777" i="1"/>
  <c r="C777" i="1"/>
  <c r="S777" i="1"/>
  <c r="T777" i="1"/>
  <c r="U777" i="1"/>
  <c r="BB777" i="1"/>
  <c r="BW777" i="1"/>
  <c r="A778" i="1"/>
  <c r="C778" i="1"/>
  <c r="S778" i="1"/>
  <c r="T778" i="1"/>
  <c r="U778" i="1"/>
  <c r="BB778" i="1"/>
  <c r="BW778" i="1"/>
  <c r="A779" i="1"/>
  <c r="C779" i="1"/>
  <c r="S779" i="1"/>
  <c r="T779" i="1"/>
  <c r="U779" i="1"/>
  <c r="BB779" i="1"/>
  <c r="BW779" i="1"/>
  <c r="A780" i="1"/>
  <c r="C780" i="1"/>
  <c r="S780" i="1"/>
  <c r="T780" i="1"/>
  <c r="U780" i="1"/>
  <c r="BB780" i="1"/>
  <c r="BW780" i="1"/>
  <c r="A781" i="1"/>
  <c r="C781" i="1"/>
  <c r="S781" i="1"/>
  <c r="T781" i="1"/>
  <c r="U781" i="1"/>
  <c r="BB781" i="1"/>
  <c r="BW781" i="1"/>
  <c r="A782" i="1"/>
  <c r="C782" i="1"/>
  <c r="S782" i="1"/>
  <c r="T782" i="1"/>
  <c r="U782" i="1"/>
  <c r="BB782" i="1"/>
  <c r="BW782" i="1"/>
  <c r="A783" i="1"/>
  <c r="C783" i="1"/>
  <c r="S783" i="1"/>
  <c r="T783" i="1"/>
  <c r="U783" i="1"/>
  <c r="BB783" i="1"/>
  <c r="BW783" i="1"/>
  <c r="A784" i="1"/>
  <c r="C784" i="1"/>
  <c r="S784" i="1"/>
  <c r="T784" i="1"/>
  <c r="U784" i="1"/>
  <c r="BB784" i="1"/>
  <c r="BW784" i="1"/>
  <c r="A785" i="1"/>
  <c r="C785" i="1"/>
  <c r="S785" i="1"/>
  <c r="T785" i="1"/>
  <c r="U785" i="1"/>
  <c r="BB785" i="1"/>
  <c r="BW785" i="1"/>
  <c r="A786" i="1"/>
  <c r="C786" i="1"/>
  <c r="S786" i="1"/>
  <c r="T786" i="1"/>
  <c r="U786" i="1"/>
  <c r="BB786" i="1"/>
  <c r="BW786" i="1"/>
  <c r="A787" i="1"/>
  <c r="C787" i="1"/>
  <c r="S787" i="1"/>
  <c r="T787" i="1"/>
  <c r="U787" i="1"/>
  <c r="BB787" i="1"/>
  <c r="BW787" i="1"/>
  <c r="A788" i="1"/>
  <c r="C788" i="1"/>
  <c r="S788" i="1"/>
  <c r="T788" i="1"/>
  <c r="U788" i="1"/>
  <c r="BB788" i="1"/>
  <c r="BW788" i="1"/>
  <c r="A789" i="1"/>
  <c r="C789" i="1"/>
  <c r="S789" i="1"/>
  <c r="T789" i="1"/>
  <c r="U789" i="1"/>
  <c r="BB789" i="1"/>
  <c r="BW789" i="1"/>
  <c r="A790" i="1"/>
  <c r="C790" i="1"/>
  <c r="S790" i="1"/>
  <c r="T790" i="1"/>
  <c r="U790" i="1"/>
  <c r="BB790" i="1"/>
  <c r="BW790" i="1"/>
  <c r="A791" i="1"/>
  <c r="C791" i="1"/>
  <c r="S791" i="1"/>
  <c r="T791" i="1"/>
  <c r="U791" i="1"/>
  <c r="BB791" i="1"/>
  <c r="BW791" i="1"/>
  <c r="A792" i="1"/>
  <c r="C792" i="1"/>
  <c r="S792" i="1"/>
  <c r="T792" i="1"/>
  <c r="U792" i="1"/>
  <c r="BB792" i="1"/>
  <c r="BW792" i="1"/>
  <c r="A793" i="1"/>
  <c r="C793" i="1"/>
  <c r="S793" i="1"/>
  <c r="T793" i="1"/>
  <c r="U793" i="1"/>
  <c r="BB793" i="1"/>
  <c r="BW793" i="1"/>
  <c r="A794" i="1"/>
  <c r="C794" i="1"/>
  <c r="S794" i="1"/>
  <c r="T794" i="1"/>
  <c r="U794" i="1"/>
  <c r="BB794" i="1"/>
  <c r="BW794" i="1"/>
  <c r="A795" i="1"/>
  <c r="C795" i="1"/>
  <c r="S795" i="1"/>
  <c r="T795" i="1"/>
  <c r="U795" i="1"/>
  <c r="BB795" i="1"/>
  <c r="BW795" i="1"/>
  <c r="A796" i="1"/>
  <c r="C796" i="1"/>
  <c r="S796" i="1"/>
  <c r="T796" i="1"/>
  <c r="U796" i="1"/>
  <c r="BB796" i="1"/>
  <c r="BW796" i="1"/>
  <c r="A797" i="1"/>
  <c r="C797" i="1"/>
  <c r="S797" i="1"/>
  <c r="T797" i="1"/>
  <c r="U797" i="1"/>
  <c r="BB797" i="1"/>
  <c r="BW797" i="1"/>
  <c r="A798" i="1"/>
  <c r="C798" i="1"/>
  <c r="S798" i="1"/>
  <c r="T798" i="1"/>
  <c r="U798" i="1"/>
  <c r="BB798" i="1"/>
  <c r="BW798" i="1"/>
  <c r="A799" i="1"/>
  <c r="C799" i="1"/>
  <c r="S799" i="1"/>
  <c r="T799" i="1"/>
  <c r="U799" i="1"/>
  <c r="BB799" i="1"/>
  <c r="BW799" i="1"/>
  <c r="A800" i="1"/>
  <c r="C800" i="1"/>
  <c r="S800" i="1"/>
  <c r="T800" i="1"/>
  <c r="U800" i="1"/>
  <c r="BB800" i="1"/>
  <c r="BW800" i="1"/>
  <c r="A801" i="1"/>
  <c r="C801" i="1"/>
  <c r="S801" i="1"/>
  <c r="T801" i="1"/>
  <c r="U801" i="1"/>
  <c r="BB801" i="1"/>
  <c r="BW801" i="1"/>
  <c r="A802" i="1"/>
  <c r="C802" i="1"/>
  <c r="S802" i="1"/>
  <c r="T802" i="1"/>
  <c r="U802" i="1"/>
  <c r="BB802" i="1"/>
  <c r="BW802" i="1"/>
  <c r="A803" i="1"/>
  <c r="C803" i="1"/>
  <c r="S803" i="1"/>
  <c r="T803" i="1"/>
  <c r="U803" i="1"/>
  <c r="BB803" i="1"/>
  <c r="BW803" i="1"/>
  <c r="A804" i="1"/>
  <c r="C804" i="1"/>
  <c r="S804" i="1"/>
  <c r="T804" i="1"/>
  <c r="U804" i="1"/>
  <c r="BB804" i="1"/>
  <c r="BW804" i="1"/>
  <c r="A805" i="1"/>
  <c r="C805" i="1"/>
  <c r="S805" i="1"/>
  <c r="T805" i="1"/>
  <c r="U805" i="1"/>
  <c r="BB805" i="1"/>
  <c r="BW805" i="1"/>
  <c r="A806" i="1"/>
  <c r="C806" i="1"/>
  <c r="S806" i="1"/>
  <c r="T806" i="1"/>
  <c r="U806" i="1"/>
  <c r="BB806" i="1"/>
  <c r="BW806" i="1"/>
  <c r="A807" i="1"/>
  <c r="C807" i="1"/>
  <c r="S807" i="1"/>
  <c r="T807" i="1"/>
  <c r="U807" i="1"/>
  <c r="BB807" i="1"/>
  <c r="BW807" i="1"/>
  <c r="A808" i="1"/>
  <c r="C808" i="1"/>
  <c r="S808" i="1"/>
  <c r="T808" i="1"/>
  <c r="U808" i="1"/>
  <c r="BB808" i="1"/>
  <c r="BW808" i="1"/>
  <c r="A809" i="1"/>
  <c r="C809" i="1"/>
  <c r="S809" i="1"/>
  <c r="T809" i="1"/>
  <c r="U809" i="1"/>
  <c r="BB809" i="1"/>
  <c r="BW809" i="1"/>
  <c r="A810" i="1"/>
  <c r="C810" i="1"/>
  <c r="S810" i="1"/>
  <c r="T810" i="1"/>
  <c r="U810" i="1"/>
  <c r="BB810" i="1"/>
  <c r="BW810" i="1"/>
  <c r="A811" i="1"/>
  <c r="C811" i="1"/>
  <c r="S811" i="1"/>
  <c r="T811" i="1"/>
  <c r="U811" i="1"/>
  <c r="BB811" i="1"/>
  <c r="BW811" i="1"/>
  <c r="A812" i="1"/>
  <c r="C812" i="1"/>
  <c r="S812" i="1"/>
  <c r="T812" i="1"/>
  <c r="U812" i="1"/>
  <c r="BB812" i="1"/>
  <c r="BW812" i="1"/>
  <c r="A813" i="1"/>
  <c r="C813" i="1"/>
  <c r="S813" i="1"/>
  <c r="T813" i="1"/>
  <c r="U813" i="1"/>
  <c r="BB813" i="1"/>
  <c r="BW813" i="1"/>
  <c r="A814" i="1"/>
  <c r="C814" i="1"/>
  <c r="S814" i="1"/>
  <c r="T814" i="1"/>
  <c r="U814" i="1"/>
  <c r="BB814" i="1"/>
  <c r="BW814" i="1"/>
  <c r="A815" i="1"/>
  <c r="C815" i="1"/>
  <c r="S815" i="1"/>
  <c r="T815" i="1"/>
  <c r="U815" i="1"/>
  <c r="BB815" i="1"/>
  <c r="BW815" i="1"/>
  <c r="A816" i="1"/>
  <c r="C816" i="1"/>
  <c r="S816" i="1"/>
  <c r="T816" i="1"/>
  <c r="U816" i="1"/>
  <c r="BB816" i="1"/>
  <c r="BW816" i="1"/>
  <c r="A817" i="1"/>
  <c r="C817" i="1"/>
  <c r="S817" i="1"/>
  <c r="T817" i="1"/>
  <c r="U817" i="1"/>
  <c r="BB817" i="1"/>
  <c r="BW817" i="1"/>
  <c r="A818" i="1"/>
  <c r="C818" i="1"/>
  <c r="S818" i="1"/>
  <c r="T818" i="1"/>
  <c r="U818" i="1"/>
  <c r="BB818" i="1"/>
  <c r="BW818" i="1"/>
  <c r="A819" i="1"/>
  <c r="C819" i="1"/>
  <c r="S819" i="1"/>
  <c r="T819" i="1"/>
  <c r="U819" i="1"/>
  <c r="BB819" i="1"/>
  <c r="BW819" i="1"/>
  <c r="A820" i="1"/>
  <c r="C820" i="1"/>
  <c r="S820" i="1"/>
  <c r="T820" i="1"/>
  <c r="U820" i="1"/>
  <c r="BB820" i="1"/>
  <c r="BW820" i="1"/>
  <c r="A821" i="1"/>
  <c r="C821" i="1"/>
  <c r="S821" i="1"/>
  <c r="T821" i="1"/>
  <c r="U821" i="1"/>
  <c r="BB821" i="1"/>
  <c r="BW821" i="1"/>
  <c r="A822" i="1"/>
  <c r="C822" i="1"/>
  <c r="S822" i="1"/>
  <c r="T822" i="1"/>
  <c r="U822" i="1"/>
  <c r="BB822" i="1"/>
  <c r="BW822" i="1"/>
  <c r="A823" i="1"/>
  <c r="C823" i="1"/>
  <c r="S823" i="1"/>
  <c r="T823" i="1"/>
  <c r="U823" i="1"/>
  <c r="BB823" i="1"/>
  <c r="BW823" i="1"/>
  <c r="A824" i="1"/>
  <c r="C824" i="1"/>
  <c r="S824" i="1"/>
  <c r="T824" i="1"/>
  <c r="U824" i="1"/>
  <c r="BB824" i="1"/>
  <c r="BW824" i="1"/>
  <c r="A825" i="1"/>
  <c r="C825" i="1"/>
  <c r="S825" i="1"/>
  <c r="T825" i="1"/>
  <c r="U825" i="1"/>
  <c r="BB825" i="1"/>
  <c r="BW825" i="1"/>
  <c r="A826" i="1"/>
  <c r="C826" i="1"/>
  <c r="S826" i="1"/>
  <c r="T826" i="1"/>
  <c r="U826" i="1"/>
  <c r="BB826" i="1"/>
  <c r="BW826" i="1"/>
  <c r="A827" i="1"/>
  <c r="C827" i="1"/>
  <c r="S827" i="1"/>
  <c r="T827" i="1"/>
  <c r="U827" i="1"/>
  <c r="BB827" i="1"/>
  <c r="BW827" i="1"/>
  <c r="A828" i="1"/>
  <c r="C828" i="1"/>
  <c r="S828" i="1"/>
  <c r="T828" i="1"/>
  <c r="U828" i="1"/>
  <c r="BB828" i="1"/>
  <c r="BW828" i="1"/>
  <c r="A829" i="1"/>
  <c r="C829" i="1"/>
  <c r="S829" i="1"/>
  <c r="T829" i="1"/>
  <c r="U829" i="1"/>
  <c r="BB829" i="1"/>
  <c r="BW829" i="1"/>
  <c r="A830" i="1"/>
  <c r="C830" i="1"/>
  <c r="S830" i="1"/>
  <c r="T830" i="1"/>
  <c r="U830" i="1"/>
  <c r="BB830" i="1"/>
  <c r="BW830" i="1"/>
  <c r="A831" i="1"/>
  <c r="C831" i="1"/>
  <c r="S831" i="1"/>
  <c r="T831" i="1"/>
  <c r="U831" i="1"/>
  <c r="BB831" i="1"/>
  <c r="BW831" i="1"/>
  <c r="A832" i="1"/>
  <c r="C832" i="1"/>
  <c r="S832" i="1"/>
  <c r="T832" i="1"/>
  <c r="U832" i="1"/>
  <c r="BB832" i="1"/>
  <c r="BW832" i="1"/>
  <c r="A833" i="1"/>
  <c r="C833" i="1"/>
  <c r="S833" i="1"/>
  <c r="T833" i="1"/>
  <c r="U833" i="1"/>
  <c r="BB833" i="1"/>
  <c r="BW833" i="1"/>
  <c r="A834" i="1"/>
  <c r="C834" i="1"/>
  <c r="S834" i="1"/>
  <c r="T834" i="1"/>
  <c r="U834" i="1"/>
  <c r="BB834" i="1"/>
  <c r="BW834" i="1"/>
  <c r="A835" i="1"/>
  <c r="C835" i="1"/>
  <c r="S835" i="1"/>
  <c r="T835" i="1"/>
  <c r="U835" i="1"/>
  <c r="BB835" i="1"/>
  <c r="BW835" i="1"/>
  <c r="A836" i="1"/>
  <c r="C836" i="1"/>
  <c r="S836" i="1"/>
  <c r="T836" i="1"/>
  <c r="U836" i="1"/>
  <c r="BB836" i="1"/>
  <c r="BW836" i="1"/>
  <c r="A837" i="1"/>
  <c r="C837" i="1"/>
  <c r="S837" i="1"/>
  <c r="T837" i="1"/>
  <c r="U837" i="1"/>
  <c r="BB837" i="1"/>
  <c r="BW837" i="1"/>
  <c r="A838" i="1"/>
  <c r="C838" i="1"/>
  <c r="S838" i="1"/>
  <c r="T838" i="1"/>
  <c r="U838" i="1"/>
  <c r="BB838" i="1"/>
  <c r="BW838" i="1"/>
  <c r="A839" i="1"/>
  <c r="C839" i="1"/>
  <c r="S839" i="1"/>
  <c r="T839" i="1"/>
  <c r="U839" i="1"/>
  <c r="BB839" i="1"/>
  <c r="BW839" i="1"/>
  <c r="A840" i="1"/>
  <c r="C840" i="1"/>
  <c r="S840" i="1"/>
  <c r="T840" i="1"/>
  <c r="U840" i="1"/>
  <c r="BB840" i="1"/>
  <c r="BW840" i="1"/>
  <c r="A841" i="1"/>
  <c r="C841" i="1"/>
  <c r="S841" i="1"/>
  <c r="T841" i="1"/>
  <c r="U841" i="1"/>
  <c r="BB841" i="1"/>
  <c r="BW841" i="1"/>
  <c r="A842" i="1"/>
  <c r="C842" i="1"/>
  <c r="S842" i="1"/>
  <c r="T842" i="1"/>
  <c r="U842" i="1"/>
  <c r="BB842" i="1"/>
  <c r="BW842" i="1"/>
  <c r="A843" i="1"/>
  <c r="C843" i="1"/>
  <c r="S843" i="1"/>
  <c r="T843" i="1"/>
  <c r="U843" i="1"/>
  <c r="BB843" i="1"/>
  <c r="BW843" i="1"/>
  <c r="A844" i="1"/>
  <c r="C844" i="1"/>
  <c r="S844" i="1"/>
  <c r="T844" i="1"/>
  <c r="U844" i="1"/>
  <c r="BB844" i="1"/>
  <c r="BW844" i="1"/>
  <c r="A845" i="1"/>
  <c r="C845" i="1"/>
  <c r="S845" i="1"/>
  <c r="T845" i="1"/>
  <c r="U845" i="1"/>
  <c r="BB845" i="1"/>
  <c r="BW845" i="1"/>
  <c r="A846" i="1"/>
  <c r="C846" i="1"/>
  <c r="S846" i="1"/>
  <c r="T846" i="1"/>
  <c r="U846" i="1"/>
  <c r="BB846" i="1"/>
  <c r="BW846" i="1"/>
  <c r="A847" i="1"/>
  <c r="C847" i="1"/>
  <c r="S847" i="1"/>
  <c r="T847" i="1"/>
  <c r="U847" i="1"/>
  <c r="BB847" i="1"/>
  <c r="BW847" i="1"/>
  <c r="A848" i="1"/>
  <c r="C848" i="1"/>
  <c r="S848" i="1"/>
  <c r="T848" i="1"/>
  <c r="U848" i="1"/>
  <c r="BB848" i="1"/>
  <c r="BW848" i="1"/>
  <c r="A849" i="1"/>
  <c r="C849" i="1"/>
  <c r="S849" i="1"/>
  <c r="T849" i="1"/>
  <c r="U849" i="1"/>
  <c r="BB849" i="1"/>
  <c r="BW849" i="1"/>
  <c r="A850" i="1"/>
  <c r="C850" i="1"/>
  <c r="S850" i="1"/>
  <c r="T850" i="1"/>
  <c r="U850" i="1"/>
  <c r="BB850" i="1"/>
  <c r="BW850" i="1"/>
  <c r="A851" i="1"/>
  <c r="C851" i="1"/>
  <c r="S851" i="1"/>
  <c r="T851" i="1"/>
  <c r="U851" i="1"/>
  <c r="BB851" i="1"/>
  <c r="BW851" i="1"/>
  <c r="A852" i="1"/>
  <c r="C852" i="1"/>
  <c r="S852" i="1"/>
  <c r="T852" i="1"/>
  <c r="U852" i="1"/>
  <c r="BB852" i="1"/>
  <c r="BW852" i="1"/>
  <c r="A853" i="1"/>
  <c r="C853" i="1"/>
  <c r="S853" i="1"/>
  <c r="T853" i="1"/>
  <c r="U853" i="1"/>
  <c r="BB853" i="1"/>
  <c r="BW853" i="1"/>
  <c r="A854" i="1"/>
  <c r="C854" i="1"/>
  <c r="S854" i="1"/>
  <c r="T854" i="1"/>
  <c r="U854" i="1"/>
  <c r="BB854" i="1"/>
  <c r="BW854" i="1"/>
  <c r="A855" i="1"/>
  <c r="C855" i="1"/>
  <c r="S855" i="1"/>
  <c r="T855" i="1"/>
  <c r="U855" i="1"/>
  <c r="BB855" i="1"/>
  <c r="BW855" i="1"/>
  <c r="A856" i="1"/>
  <c r="C856" i="1"/>
  <c r="S856" i="1"/>
  <c r="T856" i="1"/>
  <c r="U856" i="1"/>
  <c r="BB856" i="1"/>
  <c r="BW856" i="1"/>
  <c r="A857" i="1"/>
  <c r="C857" i="1"/>
  <c r="S857" i="1"/>
  <c r="T857" i="1"/>
  <c r="U857" i="1"/>
  <c r="BB857" i="1"/>
  <c r="BW857" i="1"/>
  <c r="A858" i="1"/>
  <c r="C858" i="1"/>
  <c r="S858" i="1"/>
  <c r="T858" i="1"/>
  <c r="U858" i="1"/>
  <c r="BB858" i="1"/>
  <c r="BW858" i="1"/>
  <c r="A859" i="1"/>
  <c r="C859" i="1"/>
  <c r="S859" i="1"/>
  <c r="T859" i="1"/>
  <c r="U859" i="1"/>
  <c r="BB859" i="1"/>
  <c r="BW859" i="1"/>
  <c r="A860" i="1"/>
  <c r="C860" i="1"/>
  <c r="S860" i="1"/>
  <c r="T860" i="1"/>
  <c r="U860" i="1"/>
  <c r="BB860" i="1"/>
  <c r="BW860" i="1"/>
  <c r="A861" i="1"/>
  <c r="C861" i="1"/>
  <c r="S861" i="1"/>
  <c r="T861" i="1"/>
  <c r="U861" i="1"/>
  <c r="BB861" i="1"/>
  <c r="BW861" i="1"/>
  <c r="A862" i="1"/>
  <c r="C862" i="1"/>
  <c r="S862" i="1"/>
  <c r="T862" i="1"/>
  <c r="U862" i="1"/>
  <c r="BB862" i="1"/>
  <c r="BW862" i="1"/>
  <c r="A863" i="1"/>
  <c r="C863" i="1"/>
  <c r="S863" i="1"/>
  <c r="T863" i="1"/>
  <c r="U863" i="1"/>
  <c r="BB863" i="1"/>
  <c r="BW863" i="1"/>
  <c r="A864" i="1"/>
  <c r="C864" i="1"/>
  <c r="S864" i="1"/>
  <c r="T864" i="1"/>
  <c r="U864" i="1"/>
  <c r="BB864" i="1"/>
  <c r="BW864" i="1"/>
  <c r="A865" i="1"/>
  <c r="C865" i="1"/>
  <c r="S865" i="1"/>
  <c r="T865" i="1"/>
  <c r="U865" i="1"/>
  <c r="BB865" i="1"/>
  <c r="BW865" i="1"/>
  <c r="A866" i="1"/>
  <c r="C866" i="1"/>
  <c r="S866" i="1"/>
  <c r="T866" i="1"/>
  <c r="U866" i="1"/>
  <c r="BB866" i="1"/>
  <c r="BW866" i="1"/>
  <c r="A867" i="1"/>
  <c r="C867" i="1"/>
  <c r="S867" i="1"/>
  <c r="T867" i="1"/>
  <c r="U867" i="1"/>
  <c r="BB867" i="1"/>
  <c r="BW867" i="1"/>
  <c r="A868" i="1"/>
  <c r="C868" i="1"/>
  <c r="S868" i="1"/>
  <c r="T868" i="1"/>
  <c r="U868" i="1"/>
  <c r="BB868" i="1"/>
  <c r="BW868" i="1"/>
  <c r="A869" i="1"/>
  <c r="C869" i="1"/>
  <c r="S869" i="1"/>
  <c r="T869" i="1"/>
  <c r="U869" i="1"/>
  <c r="BB869" i="1"/>
  <c r="BW869" i="1"/>
  <c r="A870" i="1"/>
  <c r="C870" i="1"/>
  <c r="S870" i="1"/>
  <c r="T870" i="1"/>
  <c r="U870" i="1"/>
  <c r="BB870" i="1"/>
  <c r="BW870" i="1"/>
  <c r="A871" i="1"/>
  <c r="C871" i="1"/>
  <c r="S871" i="1"/>
  <c r="T871" i="1"/>
  <c r="U871" i="1"/>
  <c r="BB871" i="1"/>
  <c r="BW871" i="1"/>
  <c r="A872" i="1"/>
  <c r="C872" i="1"/>
  <c r="S872" i="1"/>
  <c r="T872" i="1"/>
  <c r="U872" i="1"/>
  <c r="BB872" i="1"/>
  <c r="BW872" i="1"/>
  <c r="A873" i="1"/>
  <c r="C873" i="1"/>
  <c r="S873" i="1"/>
  <c r="T873" i="1"/>
  <c r="U873" i="1"/>
  <c r="BB873" i="1"/>
  <c r="BW873" i="1"/>
  <c r="A874" i="1"/>
  <c r="C874" i="1"/>
  <c r="S874" i="1"/>
  <c r="T874" i="1"/>
  <c r="U874" i="1"/>
  <c r="BB874" i="1"/>
  <c r="BW874" i="1"/>
  <c r="A875" i="1"/>
  <c r="C875" i="1"/>
  <c r="S875" i="1"/>
  <c r="T875" i="1"/>
  <c r="U875" i="1"/>
  <c r="BB875" i="1"/>
  <c r="BW875" i="1"/>
  <c r="A876" i="1"/>
  <c r="C876" i="1"/>
  <c r="S876" i="1"/>
  <c r="T876" i="1"/>
  <c r="U876" i="1"/>
  <c r="BB876" i="1"/>
  <c r="BW876" i="1"/>
  <c r="A877" i="1"/>
  <c r="C877" i="1"/>
  <c r="S877" i="1"/>
  <c r="T877" i="1"/>
  <c r="U877" i="1"/>
  <c r="BB877" i="1"/>
  <c r="BW877" i="1"/>
  <c r="A878" i="1"/>
  <c r="C878" i="1"/>
  <c r="S878" i="1"/>
  <c r="T878" i="1"/>
  <c r="U878" i="1"/>
  <c r="BB878" i="1"/>
  <c r="BW878" i="1"/>
  <c r="A879" i="1"/>
  <c r="C879" i="1"/>
  <c r="S879" i="1"/>
  <c r="T879" i="1"/>
  <c r="U879" i="1"/>
  <c r="BB879" i="1"/>
  <c r="BW879" i="1"/>
  <c r="A880" i="1"/>
  <c r="C880" i="1"/>
  <c r="S880" i="1"/>
  <c r="T880" i="1"/>
  <c r="U880" i="1"/>
  <c r="BB880" i="1"/>
  <c r="BW880" i="1"/>
  <c r="A881" i="1"/>
  <c r="C881" i="1"/>
  <c r="S881" i="1"/>
  <c r="T881" i="1"/>
  <c r="U881" i="1"/>
  <c r="BB881" i="1"/>
  <c r="BW881" i="1"/>
  <c r="A882" i="1"/>
  <c r="C882" i="1"/>
  <c r="S882" i="1"/>
  <c r="T882" i="1"/>
  <c r="U882" i="1"/>
  <c r="BB882" i="1"/>
  <c r="BW882" i="1"/>
  <c r="A883" i="1"/>
  <c r="C883" i="1"/>
  <c r="S883" i="1"/>
  <c r="T883" i="1"/>
  <c r="U883" i="1"/>
  <c r="BB883" i="1"/>
  <c r="BW883" i="1"/>
  <c r="A884" i="1"/>
  <c r="C884" i="1"/>
  <c r="S884" i="1"/>
  <c r="T884" i="1"/>
  <c r="U884" i="1"/>
  <c r="BB884" i="1"/>
  <c r="BW884" i="1"/>
  <c r="A885" i="1"/>
  <c r="C885" i="1"/>
  <c r="S885" i="1"/>
  <c r="T885" i="1"/>
  <c r="U885" i="1"/>
  <c r="BB885" i="1"/>
  <c r="BW885" i="1"/>
  <c r="A886" i="1"/>
  <c r="C886" i="1"/>
  <c r="S886" i="1"/>
  <c r="T886" i="1"/>
  <c r="U886" i="1"/>
  <c r="BB886" i="1"/>
  <c r="BW886" i="1"/>
  <c r="A887" i="1"/>
  <c r="C887" i="1"/>
  <c r="S887" i="1"/>
  <c r="T887" i="1"/>
  <c r="U887" i="1"/>
  <c r="BB887" i="1"/>
  <c r="BW887" i="1"/>
  <c r="A888" i="1"/>
  <c r="C888" i="1"/>
  <c r="S888" i="1"/>
  <c r="T888" i="1"/>
  <c r="U888" i="1"/>
  <c r="BB888" i="1"/>
  <c r="BW888" i="1"/>
  <c r="A889" i="1"/>
  <c r="C889" i="1"/>
  <c r="S889" i="1"/>
  <c r="T889" i="1"/>
  <c r="U889" i="1"/>
  <c r="BB889" i="1"/>
  <c r="BW889" i="1"/>
  <c r="A890" i="1"/>
  <c r="C890" i="1"/>
  <c r="S890" i="1"/>
  <c r="T890" i="1"/>
  <c r="U890" i="1"/>
  <c r="BB890" i="1"/>
  <c r="BW890" i="1"/>
  <c r="A891" i="1"/>
  <c r="C891" i="1"/>
  <c r="S891" i="1"/>
  <c r="T891" i="1"/>
  <c r="U891" i="1"/>
  <c r="BB891" i="1"/>
  <c r="BW891" i="1"/>
  <c r="A892" i="1"/>
  <c r="C892" i="1"/>
  <c r="S892" i="1"/>
  <c r="T892" i="1"/>
  <c r="U892" i="1"/>
  <c r="BB892" i="1"/>
  <c r="BW892" i="1"/>
  <c r="A893" i="1"/>
  <c r="C893" i="1"/>
  <c r="S893" i="1"/>
  <c r="T893" i="1"/>
  <c r="U893" i="1"/>
  <c r="BB893" i="1"/>
  <c r="BW893" i="1"/>
  <c r="A894" i="1"/>
  <c r="C894" i="1"/>
  <c r="S894" i="1"/>
  <c r="T894" i="1"/>
  <c r="U894" i="1"/>
  <c r="BB894" i="1"/>
  <c r="BW894" i="1"/>
  <c r="A895" i="1"/>
  <c r="C895" i="1"/>
  <c r="S895" i="1"/>
  <c r="T895" i="1"/>
  <c r="U895" i="1"/>
  <c r="BB895" i="1"/>
  <c r="BW895" i="1"/>
  <c r="A896" i="1"/>
  <c r="C896" i="1"/>
  <c r="S896" i="1"/>
  <c r="T896" i="1"/>
  <c r="U896" i="1"/>
  <c r="BB896" i="1"/>
  <c r="BW896" i="1"/>
  <c r="A897" i="1"/>
  <c r="C897" i="1"/>
  <c r="S897" i="1"/>
  <c r="T897" i="1"/>
  <c r="U897" i="1"/>
  <c r="BB897" i="1"/>
  <c r="BW897" i="1"/>
  <c r="A898" i="1"/>
  <c r="C898" i="1"/>
  <c r="S898" i="1"/>
  <c r="T898" i="1"/>
  <c r="U898" i="1"/>
  <c r="BB898" i="1"/>
  <c r="BW898" i="1"/>
  <c r="A899" i="1"/>
  <c r="C899" i="1"/>
  <c r="S899" i="1"/>
  <c r="T899" i="1"/>
  <c r="U899" i="1"/>
  <c r="BB899" i="1"/>
  <c r="BW899" i="1"/>
  <c r="A900" i="1"/>
  <c r="C900" i="1"/>
  <c r="S900" i="1"/>
  <c r="T900" i="1"/>
  <c r="U900" i="1"/>
  <c r="BB900" i="1"/>
  <c r="BW900" i="1"/>
  <c r="A901" i="1"/>
  <c r="C901" i="1"/>
  <c r="S901" i="1"/>
  <c r="T901" i="1"/>
  <c r="U901" i="1"/>
  <c r="BB901" i="1"/>
  <c r="BW901" i="1"/>
  <c r="A902" i="1"/>
  <c r="C902" i="1"/>
  <c r="S902" i="1"/>
  <c r="T902" i="1"/>
  <c r="U902" i="1"/>
  <c r="BB902" i="1"/>
  <c r="BW902" i="1"/>
  <c r="A903" i="1"/>
  <c r="C903" i="1"/>
  <c r="S903" i="1"/>
  <c r="T903" i="1"/>
  <c r="U903" i="1"/>
  <c r="BB903" i="1"/>
  <c r="BW903" i="1"/>
  <c r="A904" i="1"/>
  <c r="C904" i="1"/>
  <c r="S904" i="1"/>
  <c r="T904" i="1"/>
  <c r="U904" i="1"/>
  <c r="BB904" i="1"/>
  <c r="BW904" i="1"/>
  <c r="A905" i="1"/>
  <c r="C905" i="1"/>
  <c r="S905" i="1"/>
  <c r="T905" i="1"/>
  <c r="U905" i="1"/>
  <c r="BB905" i="1"/>
  <c r="BW905" i="1"/>
  <c r="A906" i="1"/>
  <c r="C906" i="1"/>
  <c r="S906" i="1"/>
  <c r="T906" i="1"/>
  <c r="U906" i="1"/>
  <c r="BB906" i="1"/>
  <c r="BW906" i="1"/>
  <c r="A907" i="1"/>
  <c r="C907" i="1"/>
  <c r="S907" i="1"/>
  <c r="T907" i="1"/>
  <c r="U907" i="1"/>
  <c r="BB907" i="1"/>
  <c r="BW907" i="1"/>
  <c r="A908" i="1"/>
  <c r="C908" i="1"/>
  <c r="S908" i="1"/>
  <c r="T908" i="1"/>
  <c r="U908" i="1"/>
  <c r="BB908" i="1"/>
  <c r="BW908" i="1"/>
  <c r="A909" i="1"/>
  <c r="C909" i="1"/>
  <c r="S909" i="1"/>
  <c r="T909" i="1"/>
  <c r="U909" i="1"/>
  <c r="BB909" i="1"/>
  <c r="BW909" i="1"/>
  <c r="A910" i="1"/>
  <c r="C910" i="1"/>
  <c r="S910" i="1"/>
  <c r="T910" i="1"/>
  <c r="U910" i="1"/>
  <c r="BB910" i="1"/>
  <c r="BW910" i="1"/>
  <c r="A911" i="1"/>
  <c r="C911" i="1"/>
  <c r="S911" i="1"/>
  <c r="T911" i="1"/>
  <c r="U911" i="1"/>
  <c r="BB911" i="1"/>
  <c r="BW911" i="1"/>
  <c r="A912" i="1"/>
  <c r="C912" i="1"/>
  <c r="S912" i="1"/>
  <c r="T912" i="1"/>
  <c r="U912" i="1"/>
  <c r="BB912" i="1"/>
  <c r="BW912" i="1"/>
  <c r="A913" i="1"/>
  <c r="C913" i="1"/>
  <c r="S913" i="1"/>
  <c r="T913" i="1"/>
  <c r="U913" i="1"/>
  <c r="BB913" i="1"/>
  <c r="BW913" i="1"/>
  <c r="A914" i="1"/>
  <c r="C914" i="1"/>
  <c r="S914" i="1"/>
  <c r="T914" i="1"/>
  <c r="U914" i="1"/>
  <c r="BB914" i="1"/>
  <c r="BW914" i="1"/>
  <c r="A915" i="1"/>
  <c r="C915" i="1"/>
  <c r="S915" i="1"/>
  <c r="T915" i="1"/>
  <c r="U915" i="1"/>
  <c r="BB915" i="1"/>
  <c r="BW915" i="1"/>
  <c r="A916" i="1"/>
  <c r="C916" i="1"/>
  <c r="S916" i="1"/>
  <c r="T916" i="1"/>
  <c r="U916" i="1"/>
  <c r="BB916" i="1"/>
  <c r="BW916" i="1"/>
  <c r="A917" i="1"/>
  <c r="C917" i="1"/>
  <c r="S917" i="1"/>
  <c r="T917" i="1"/>
  <c r="U917" i="1"/>
  <c r="BB917" i="1"/>
  <c r="BW917" i="1"/>
  <c r="A918" i="1"/>
  <c r="C918" i="1"/>
  <c r="S918" i="1"/>
  <c r="T918" i="1"/>
  <c r="U918" i="1"/>
  <c r="BB918" i="1"/>
  <c r="BW918" i="1"/>
  <c r="A919" i="1"/>
  <c r="C919" i="1"/>
  <c r="S919" i="1"/>
  <c r="T919" i="1"/>
  <c r="U919" i="1"/>
  <c r="BB919" i="1"/>
  <c r="BW919" i="1"/>
  <c r="A920" i="1"/>
  <c r="C920" i="1"/>
  <c r="S920" i="1"/>
  <c r="T920" i="1"/>
  <c r="U920" i="1"/>
  <c r="BB920" i="1"/>
  <c r="BW920" i="1"/>
  <c r="A921" i="1"/>
  <c r="C921" i="1"/>
  <c r="S921" i="1"/>
  <c r="T921" i="1"/>
  <c r="U921" i="1"/>
  <c r="BB921" i="1"/>
  <c r="BW921" i="1"/>
  <c r="A922" i="1"/>
  <c r="C922" i="1"/>
  <c r="S922" i="1"/>
  <c r="T922" i="1"/>
  <c r="U922" i="1"/>
  <c r="BB922" i="1"/>
  <c r="BW922" i="1"/>
  <c r="A923" i="1"/>
  <c r="C923" i="1"/>
  <c r="S923" i="1"/>
  <c r="T923" i="1"/>
  <c r="U923" i="1"/>
  <c r="BB923" i="1"/>
  <c r="BW923" i="1"/>
  <c r="A924" i="1"/>
  <c r="C924" i="1"/>
  <c r="S924" i="1"/>
  <c r="T924" i="1"/>
  <c r="U924" i="1"/>
  <c r="BB924" i="1"/>
  <c r="BW924" i="1"/>
  <c r="A925" i="1"/>
  <c r="C925" i="1"/>
  <c r="S925" i="1"/>
  <c r="T925" i="1"/>
  <c r="U925" i="1"/>
  <c r="BB925" i="1"/>
  <c r="BW925" i="1"/>
  <c r="A926" i="1"/>
  <c r="C926" i="1"/>
  <c r="S926" i="1"/>
  <c r="T926" i="1"/>
  <c r="U926" i="1"/>
  <c r="BB926" i="1"/>
  <c r="BW926" i="1"/>
  <c r="A927" i="1"/>
  <c r="C927" i="1"/>
  <c r="S927" i="1"/>
  <c r="T927" i="1"/>
  <c r="U927" i="1"/>
  <c r="BB927" i="1"/>
  <c r="BW927" i="1"/>
  <c r="A928" i="1"/>
  <c r="C928" i="1"/>
  <c r="S928" i="1"/>
  <c r="T928" i="1"/>
  <c r="U928" i="1"/>
  <c r="BB928" i="1"/>
  <c r="BW928" i="1"/>
  <c r="A929" i="1"/>
  <c r="C929" i="1"/>
  <c r="S929" i="1"/>
  <c r="T929" i="1"/>
  <c r="U929" i="1"/>
  <c r="BB929" i="1"/>
  <c r="BW929" i="1"/>
  <c r="A930" i="1"/>
  <c r="C930" i="1"/>
  <c r="S930" i="1"/>
  <c r="T930" i="1"/>
  <c r="U930" i="1"/>
  <c r="BB930" i="1"/>
  <c r="BW930" i="1"/>
  <c r="A931" i="1"/>
  <c r="C931" i="1"/>
  <c r="S931" i="1"/>
  <c r="T931" i="1"/>
  <c r="U931" i="1"/>
  <c r="BB931" i="1"/>
  <c r="BW931" i="1"/>
  <c r="A932" i="1"/>
  <c r="C932" i="1"/>
  <c r="S932" i="1"/>
  <c r="T932" i="1"/>
  <c r="U932" i="1"/>
  <c r="BB932" i="1"/>
  <c r="BW932" i="1"/>
  <c r="A933" i="1"/>
  <c r="C933" i="1"/>
  <c r="S933" i="1"/>
  <c r="T933" i="1"/>
  <c r="U933" i="1"/>
  <c r="BB933" i="1"/>
  <c r="BW933" i="1"/>
  <c r="A934" i="1"/>
  <c r="C934" i="1"/>
  <c r="S934" i="1"/>
  <c r="T934" i="1"/>
  <c r="U934" i="1"/>
  <c r="BB934" i="1"/>
  <c r="BW934" i="1"/>
  <c r="A935" i="1"/>
  <c r="C935" i="1"/>
  <c r="S935" i="1"/>
  <c r="T935" i="1"/>
  <c r="U935" i="1"/>
  <c r="BB935" i="1"/>
  <c r="BW935" i="1"/>
  <c r="A936" i="1"/>
  <c r="C936" i="1"/>
  <c r="S936" i="1"/>
  <c r="T936" i="1"/>
  <c r="U936" i="1"/>
  <c r="BB936" i="1"/>
  <c r="BW936" i="1"/>
  <c r="A937" i="1"/>
  <c r="C937" i="1"/>
  <c r="S937" i="1"/>
  <c r="T937" i="1"/>
  <c r="U937" i="1"/>
  <c r="BB937" i="1"/>
  <c r="BW937" i="1"/>
  <c r="A938" i="1"/>
  <c r="C938" i="1"/>
  <c r="S938" i="1"/>
  <c r="T938" i="1"/>
  <c r="U938" i="1"/>
  <c r="BB938" i="1"/>
  <c r="BW938" i="1"/>
  <c r="A939" i="1"/>
  <c r="C939" i="1"/>
  <c r="S939" i="1"/>
  <c r="T939" i="1"/>
  <c r="U939" i="1"/>
  <c r="BB939" i="1"/>
  <c r="BW939" i="1"/>
  <c r="A940" i="1"/>
  <c r="C940" i="1"/>
  <c r="S940" i="1"/>
  <c r="T940" i="1"/>
  <c r="U940" i="1"/>
  <c r="BB940" i="1"/>
  <c r="BW940" i="1"/>
  <c r="A941" i="1"/>
  <c r="C941" i="1"/>
  <c r="S941" i="1"/>
  <c r="T941" i="1"/>
  <c r="U941" i="1"/>
  <c r="BB941" i="1"/>
  <c r="BW941" i="1"/>
  <c r="A942" i="1"/>
  <c r="C942" i="1"/>
  <c r="S942" i="1"/>
  <c r="T942" i="1"/>
  <c r="U942" i="1"/>
  <c r="BB942" i="1"/>
  <c r="BW942" i="1"/>
  <c r="A943" i="1"/>
  <c r="C943" i="1"/>
  <c r="S943" i="1"/>
  <c r="T943" i="1"/>
  <c r="U943" i="1"/>
  <c r="BB943" i="1"/>
  <c r="BW943" i="1"/>
  <c r="A944" i="1"/>
  <c r="C944" i="1"/>
  <c r="S944" i="1"/>
  <c r="T944" i="1"/>
  <c r="U944" i="1"/>
  <c r="BB944" i="1"/>
  <c r="BW944" i="1"/>
  <c r="A945" i="1"/>
  <c r="C945" i="1"/>
  <c r="S945" i="1"/>
  <c r="T945" i="1"/>
  <c r="U945" i="1"/>
  <c r="BB945" i="1"/>
  <c r="BW945" i="1"/>
  <c r="A946" i="1"/>
  <c r="C946" i="1"/>
  <c r="S946" i="1"/>
  <c r="T946" i="1"/>
  <c r="U946" i="1"/>
  <c r="BB946" i="1"/>
  <c r="BW946" i="1"/>
  <c r="A947" i="1"/>
  <c r="C947" i="1"/>
  <c r="S947" i="1"/>
  <c r="T947" i="1"/>
  <c r="U947" i="1"/>
  <c r="BB947" i="1"/>
  <c r="BW947" i="1"/>
  <c r="A948" i="1"/>
  <c r="C948" i="1"/>
  <c r="S948" i="1"/>
  <c r="T948" i="1"/>
  <c r="U948" i="1"/>
  <c r="BB948" i="1"/>
  <c r="BW948" i="1"/>
  <c r="A949" i="1"/>
  <c r="C949" i="1"/>
  <c r="S949" i="1"/>
  <c r="T949" i="1"/>
  <c r="U949" i="1"/>
  <c r="BB949" i="1"/>
  <c r="BW949" i="1"/>
  <c r="A950" i="1"/>
  <c r="C950" i="1"/>
  <c r="S950" i="1"/>
  <c r="T950" i="1"/>
  <c r="U950" i="1"/>
  <c r="BB950" i="1"/>
  <c r="BW950" i="1"/>
  <c r="A951" i="1"/>
  <c r="C951" i="1"/>
  <c r="S951" i="1"/>
  <c r="T951" i="1"/>
  <c r="U951" i="1"/>
  <c r="BB951" i="1"/>
  <c r="BW951" i="1"/>
  <c r="A952" i="1"/>
  <c r="C952" i="1"/>
  <c r="S952" i="1"/>
  <c r="T952" i="1"/>
  <c r="U952" i="1"/>
  <c r="BB952" i="1"/>
  <c r="BW952" i="1"/>
  <c r="A953" i="1"/>
  <c r="C953" i="1"/>
  <c r="S953" i="1"/>
  <c r="T953" i="1"/>
  <c r="U953" i="1"/>
  <c r="BB953" i="1"/>
  <c r="BW953" i="1"/>
  <c r="A954" i="1"/>
  <c r="C954" i="1"/>
  <c r="S954" i="1"/>
  <c r="T954" i="1"/>
  <c r="U954" i="1"/>
  <c r="BB954" i="1"/>
  <c r="BW954" i="1"/>
  <c r="A955" i="1"/>
  <c r="C955" i="1"/>
  <c r="S955" i="1"/>
  <c r="T955" i="1"/>
  <c r="U955" i="1"/>
  <c r="BB955" i="1"/>
  <c r="BW955" i="1"/>
  <c r="A956" i="1"/>
  <c r="C956" i="1"/>
  <c r="S956" i="1"/>
  <c r="T956" i="1"/>
  <c r="U956" i="1"/>
  <c r="BB956" i="1"/>
  <c r="BW956" i="1"/>
  <c r="A957" i="1"/>
  <c r="C957" i="1"/>
  <c r="S957" i="1"/>
  <c r="T957" i="1"/>
  <c r="U957" i="1"/>
  <c r="BB957" i="1"/>
  <c r="BW957" i="1"/>
  <c r="A958" i="1"/>
  <c r="C958" i="1"/>
  <c r="S958" i="1"/>
  <c r="T958" i="1"/>
  <c r="U958" i="1"/>
  <c r="BB958" i="1"/>
  <c r="BW958" i="1"/>
  <c r="A959" i="1"/>
  <c r="C959" i="1"/>
  <c r="S959" i="1"/>
  <c r="T959" i="1"/>
  <c r="U959" i="1"/>
  <c r="BB959" i="1"/>
  <c r="BW959" i="1"/>
  <c r="A960" i="1"/>
  <c r="C960" i="1"/>
  <c r="S960" i="1"/>
  <c r="T960" i="1"/>
  <c r="U960" i="1"/>
  <c r="BB960" i="1"/>
  <c r="BW960" i="1"/>
  <c r="A961" i="1"/>
  <c r="C961" i="1"/>
  <c r="S961" i="1"/>
  <c r="T961" i="1"/>
  <c r="U961" i="1"/>
  <c r="BB961" i="1"/>
  <c r="BW961" i="1"/>
  <c r="A962" i="1"/>
  <c r="C962" i="1"/>
  <c r="S962" i="1"/>
  <c r="T962" i="1"/>
  <c r="U962" i="1"/>
  <c r="BB962" i="1"/>
  <c r="BW962" i="1"/>
  <c r="A963" i="1"/>
  <c r="C963" i="1"/>
  <c r="S963" i="1"/>
  <c r="T963" i="1"/>
  <c r="U963" i="1"/>
  <c r="BB963" i="1"/>
  <c r="BW963" i="1"/>
  <c r="A964" i="1"/>
  <c r="C964" i="1"/>
  <c r="S964" i="1"/>
  <c r="T964" i="1"/>
  <c r="U964" i="1"/>
  <c r="BB964" i="1"/>
  <c r="BW964" i="1"/>
  <c r="A965" i="1"/>
  <c r="C965" i="1"/>
  <c r="S965" i="1"/>
  <c r="T965" i="1"/>
  <c r="U965" i="1"/>
  <c r="BB965" i="1"/>
  <c r="BW965" i="1"/>
  <c r="A966" i="1"/>
  <c r="C966" i="1"/>
  <c r="S966" i="1"/>
  <c r="T966" i="1"/>
  <c r="U966" i="1"/>
  <c r="BB966" i="1"/>
  <c r="BW966" i="1"/>
  <c r="A967" i="1"/>
  <c r="C967" i="1"/>
  <c r="S967" i="1"/>
  <c r="T967" i="1"/>
  <c r="U967" i="1"/>
  <c r="BB967" i="1"/>
  <c r="BW967" i="1"/>
  <c r="A968" i="1"/>
  <c r="C968" i="1"/>
  <c r="S968" i="1"/>
  <c r="T968" i="1"/>
  <c r="U968" i="1"/>
  <c r="BB968" i="1"/>
  <c r="BW968" i="1"/>
  <c r="A969" i="1"/>
  <c r="C969" i="1"/>
  <c r="S969" i="1"/>
  <c r="T969" i="1"/>
  <c r="U969" i="1"/>
  <c r="BB969" i="1"/>
  <c r="BW969" i="1"/>
  <c r="A970" i="1"/>
  <c r="C970" i="1"/>
  <c r="S970" i="1"/>
  <c r="T970" i="1"/>
  <c r="U970" i="1"/>
  <c r="BB970" i="1"/>
  <c r="BW970" i="1"/>
  <c r="A971" i="1"/>
  <c r="C971" i="1"/>
  <c r="S971" i="1"/>
  <c r="T971" i="1"/>
  <c r="U971" i="1"/>
  <c r="BB971" i="1"/>
  <c r="BW971" i="1"/>
  <c r="A972" i="1"/>
  <c r="C972" i="1"/>
  <c r="S972" i="1"/>
  <c r="T972" i="1"/>
  <c r="U972" i="1"/>
  <c r="BB972" i="1"/>
  <c r="BW972" i="1"/>
  <c r="A973" i="1"/>
  <c r="C973" i="1"/>
  <c r="S973" i="1"/>
  <c r="T973" i="1"/>
  <c r="U973" i="1"/>
  <c r="BB973" i="1"/>
  <c r="BW973" i="1"/>
  <c r="A974" i="1"/>
  <c r="C974" i="1"/>
  <c r="S974" i="1"/>
  <c r="T974" i="1"/>
  <c r="U974" i="1"/>
  <c r="BB974" i="1"/>
  <c r="BW974" i="1"/>
  <c r="A975" i="1"/>
  <c r="C975" i="1"/>
  <c r="S975" i="1"/>
  <c r="T975" i="1"/>
  <c r="U975" i="1"/>
  <c r="BB975" i="1"/>
  <c r="BW975" i="1"/>
  <c r="A976" i="1"/>
  <c r="C976" i="1"/>
  <c r="S976" i="1"/>
  <c r="T976" i="1"/>
  <c r="U976" i="1"/>
  <c r="BB976" i="1"/>
  <c r="BW976" i="1"/>
  <c r="A977" i="1"/>
  <c r="C977" i="1"/>
  <c r="S977" i="1"/>
  <c r="T977" i="1"/>
  <c r="U977" i="1"/>
  <c r="BB977" i="1"/>
  <c r="BW977" i="1"/>
  <c r="A978" i="1"/>
  <c r="C978" i="1"/>
  <c r="S978" i="1"/>
  <c r="T978" i="1"/>
  <c r="U978" i="1"/>
  <c r="BB978" i="1"/>
  <c r="BW978" i="1"/>
  <c r="A979" i="1"/>
  <c r="C979" i="1"/>
  <c r="S979" i="1"/>
  <c r="T979" i="1"/>
  <c r="U979" i="1"/>
  <c r="BB979" i="1"/>
  <c r="BW979" i="1"/>
  <c r="A980" i="1"/>
  <c r="C980" i="1"/>
  <c r="S980" i="1"/>
  <c r="T980" i="1"/>
  <c r="U980" i="1"/>
  <c r="BB980" i="1"/>
  <c r="BW980" i="1"/>
  <c r="A981" i="1"/>
  <c r="C981" i="1"/>
  <c r="S981" i="1"/>
  <c r="T981" i="1"/>
  <c r="U981" i="1"/>
  <c r="BB981" i="1"/>
  <c r="BW981" i="1"/>
  <c r="A982" i="1"/>
  <c r="C982" i="1"/>
  <c r="S982" i="1"/>
  <c r="T982" i="1"/>
  <c r="U982" i="1"/>
  <c r="BB982" i="1"/>
  <c r="BW982" i="1"/>
  <c r="A983" i="1"/>
  <c r="C983" i="1"/>
  <c r="S983" i="1"/>
  <c r="T983" i="1"/>
  <c r="U983" i="1"/>
  <c r="BB983" i="1"/>
  <c r="BW983" i="1"/>
  <c r="A984" i="1"/>
  <c r="C984" i="1"/>
  <c r="S984" i="1"/>
  <c r="T984" i="1"/>
  <c r="U984" i="1"/>
  <c r="BB984" i="1"/>
  <c r="BW984" i="1"/>
  <c r="A985" i="1"/>
  <c r="C985" i="1"/>
  <c r="S985" i="1"/>
  <c r="T985" i="1"/>
  <c r="U985" i="1"/>
  <c r="BB985" i="1"/>
  <c r="BW985" i="1"/>
  <c r="A986" i="1"/>
  <c r="C986" i="1"/>
  <c r="S986" i="1"/>
  <c r="T986" i="1"/>
  <c r="U986" i="1"/>
  <c r="BB986" i="1"/>
  <c r="BW986" i="1"/>
  <c r="A987" i="1"/>
  <c r="C987" i="1"/>
  <c r="S987" i="1"/>
  <c r="T987" i="1"/>
  <c r="U987" i="1"/>
  <c r="BB987" i="1"/>
  <c r="BW987" i="1"/>
  <c r="A988" i="1"/>
  <c r="C988" i="1"/>
  <c r="S988" i="1"/>
  <c r="T988" i="1"/>
  <c r="U988" i="1"/>
  <c r="BB988" i="1"/>
  <c r="BW988" i="1"/>
  <c r="A989" i="1"/>
  <c r="C989" i="1"/>
  <c r="S989" i="1"/>
  <c r="T989" i="1"/>
  <c r="U989" i="1"/>
  <c r="BB989" i="1"/>
  <c r="BW989" i="1"/>
  <c r="A990" i="1"/>
  <c r="C990" i="1"/>
  <c r="S990" i="1"/>
  <c r="T990" i="1"/>
  <c r="U990" i="1"/>
  <c r="BB990" i="1"/>
  <c r="BW990" i="1"/>
  <c r="A991" i="1"/>
  <c r="C991" i="1"/>
  <c r="S991" i="1"/>
  <c r="T991" i="1"/>
  <c r="U991" i="1"/>
  <c r="BB991" i="1"/>
  <c r="BW991" i="1"/>
  <c r="A992" i="1"/>
  <c r="C992" i="1"/>
  <c r="S992" i="1"/>
  <c r="T992" i="1"/>
  <c r="U992" i="1"/>
  <c r="BB992" i="1"/>
  <c r="BW992" i="1"/>
  <c r="A993" i="1"/>
  <c r="C993" i="1"/>
  <c r="S993" i="1"/>
  <c r="T993" i="1"/>
  <c r="U993" i="1"/>
  <c r="BB993" i="1"/>
  <c r="BW993" i="1"/>
  <c r="A994" i="1"/>
  <c r="C994" i="1"/>
  <c r="S994" i="1"/>
  <c r="T994" i="1"/>
  <c r="U994" i="1"/>
  <c r="BB994" i="1"/>
  <c r="BW994" i="1"/>
  <c r="A995" i="1"/>
  <c r="C995" i="1"/>
  <c r="S995" i="1"/>
  <c r="T995" i="1"/>
  <c r="U995" i="1"/>
  <c r="BB995" i="1"/>
  <c r="BW995" i="1"/>
  <c r="A996" i="1"/>
  <c r="C996" i="1"/>
  <c r="S996" i="1"/>
  <c r="T996" i="1"/>
  <c r="U996" i="1"/>
  <c r="BB996" i="1"/>
  <c r="BW996" i="1"/>
  <c r="A997" i="1"/>
  <c r="C997" i="1"/>
  <c r="S997" i="1"/>
  <c r="T997" i="1"/>
  <c r="U997" i="1"/>
  <c r="BB997" i="1"/>
  <c r="BW997" i="1"/>
  <c r="A998" i="1"/>
  <c r="C998" i="1"/>
  <c r="S998" i="1"/>
  <c r="T998" i="1"/>
  <c r="U998" i="1"/>
  <c r="BB998" i="1"/>
  <c r="BW998" i="1"/>
  <c r="A999" i="1"/>
  <c r="C999" i="1"/>
  <c r="S999" i="1"/>
  <c r="T999" i="1"/>
  <c r="U999" i="1"/>
  <c r="BB999" i="1"/>
  <c r="BW999" i="1"/>
  <c r="A1000" i="1"/>
  <c r="C1000" i="1"/>
  <c r="S1000" i="1"/>
  <c r="T1000" i="1"/>
  <c r="U1000" i="1"/>
  <c r="BB1000" i="1"/>
  <c r="BW1000" i="1"/>
  <c r="A1001" i="1"/>
  <c r="C1001" i="1"/>
  <c r="S1001" i="1"/>
  <c r="T1001" i="1"/>
  <c r="U1001" i="1"/>
  <c r="BB1001" i="1"/>
  <c r="BW1001" i="1"/>
  <c r="A1002" i="1"/>
  <c r="C1002" i="1"/>
  <c r="S1002" i="1"/>
  <c r="T1002" i="1"/>
  <c r="U1002" i="1"/>
  <c r="BB1002" i="1"/>
  <c r="BW1002" i="1"/>
  <c r="A1003" i="1"/>
  <c r="C1003" i="1"/>
  <c r="S1003" i="1"/>
  <c r="T1003" i="1"/>
  <c r="U1003" i="1"/>
  <c r="BB1003" i="1"/>
  <c r="BW1003" i="1"/>
  <c r="A1004" i="1"/>
  <c r="C1004" i="1"/>
  <c r="S1004" i="1"/>
  <c r="T1004" i="1"/>
  <c r="U1004" i="1"/>
  <c r="BB1004" i="1"/>
  <c r="BW1004" i="1"/>
  <c r="A1005" i="1"/>
  <c r="C1005" i="1"/>
  <c r="S1005" i="1"/>
  <c r="T1005" i="1"/>
  <c r="U1005" i="1"/>
  <c r="BB1005" i="1"/>
  <c r="BW1005" i="1"/>
  <c r="A1006" i="1"/>
  <c r="C1006" i="1"/>
  <c r="S1006" i="1"/>
  <c r="T1006" i="1"/>
  <c r="U1006" i="1"/>
  <c r="BB1006" i="1"/>
  <c r="BW1006" i="1"/>
  <c r="A1007" i="1"/>
  <c r="C1007" i="1"/>
  <c r="S1007" i="1"/>
  <c r="T1007" i="1"/>
  <c r="U1007" i="1"/>
  <c r="BB1007" i="1"/>
  <c r="BW1007" i="1"/>
  <c r="A1008" i="1"/>
  <c r="C1008" i="1"/>
  <c r="S1008" i="1"/>
  <c r="T1008" i="1"/>
  <c r="U1008" i="1"/>
  <c r="BB1008" i="1"/>
  <c r="BW1008" i="1"/>
  <c r="A1009" i="1"/>
  <c r="C1009" i="1"/>
  <c r="S1009" i="1"/>
  <c r="T1009" i="1"/>
  <c r="U1009" i="1"/>
  <c r="BB1009" i="1"/>
  <c r="BW1009" i="1"/>
  <c r="A1010" i="1"/>
  <c r="C1010" i="1"/>
  <c r="S1010" i="1"/>
  <c r="T1010" i="1"/>
  <c r="U1010" i="1"/>
  <c r="BB1010" i="1"/>
  <c r="BW1010" i="1"/>
  <c r="A1011" i="1"/>
  <c r="C1011" i="1"/>
  <c r="S1011" i="1"/>
  <c r="T1011" i="1"/>
  <c r="U1011" i="1"/>
  <c r="BB1011" i="1"/>
  <c r="BW1011" i="1"/>
  <c r="A1012" i="1"/>
  <c r="C1012" i="1"/>
  <c r="S1012" i="1"/>
  <c r="T1012" i="1"/>
  <c r="U1012" i="1"/>
  <c r="BB1012" i="1"/>
  <c r="BW1012" i="1"/>
  <c r="A1013" i="1"/>
  <c r="C1013" i="1"/>
  <c r="S1013" i="1"/>
  <c r="T1013" i="1"/>
  <c r="U1013" i="1"/>
  <c r="BB1013" i="1"/>
  <c r="BW1013" i="1"/>
  <c r="A1014" i="1"/>
  <c r="C1014" i="1"/>
  <c r="S1014" i="1"/>
  <c r="T1014" i="1"/>
  <c r="U1014" i="1"/>
  <c r="BB1014" i="1"/>
  <c r="BW1014" i="1"/>
  <c r="A1015" i="1"/>
  <c r="C1015" i="1"/>
  <c r="S1015" i="1"/>
  <c r="T1015" i="1"/>
  <c r="U1015" i="1"/>
  <c r="BB1015" i="1"/>
  <c r="BW1015" i="1"/>
  <c r="A1016" i="1"/>
  <c r="C1016" i="1"/>
  <c r="S1016" i="1"/>
  <c r="T1016" i="1"/>
  <c r="U1016" i="1"/>
  <c r="BB1016" i="1"/>
  <c r="BW1016" i="1"/>
  <c r="A1017" i="1"/>
  <c r="C1017" i="1"/>
  <c r="S1017" i="1"/>
  <c r="T1017" i="1"/>
  <c r="U1017" i="1"/>
  <c r="BB1017" i="1"/>
  <c r="BW1017" i="1"/>
  <c r="A1018" i="1"/>
  <c r="C1018" i="1"/>
  <c r="S1018" i="1"/>
  <c r="T1018" i="1"/>
  <c r="U1018" i="1"/>
  <c r="BB1018" i="1"/>
  <c r="BW1018" i="1"/>
  <c r="A1019" i="1"/>
  <c r="C1019" i="1"/>
  <c r="S1019" i="1"/>
  <c r="T1019" i="1"/>
  <c r="U1019" i="1"/>
  <c r="BB1019" i="1"/>
  <c r="BW1019" i="1"/>
  <c r="A1020" i="1"/>
  <c r="C1020" i="1"/>
  <c r="S1020" i="1"/>
  <c r="T1020" i="1"/>
  <c r="U1020" i="1"/>
  <c r="BB1020" i="1"/>
  <c r="BW1020" i="1"/>
  <c r="A1021" i="1"/>
  <c r="C1021" i="1"/>
  <c r="S1021" i="1"/>
  <c r="T1021" i="1"/>
  <c r="U1021" i="1"/>
  <c r="BB1021" i="1"/>
  <c r="BW1021" i="1"/>
  <c r="A1022" i="1"/>
  <c r="C1022" i="1"/>
  <c r="S1022" i="1"/>
  <c r="T1022" i="1"/>
  <c r="U1022" i="1"/>
  <c r="BB1022" i="1"/>
  <c r="BW1022" i="1"/>
  <c r="A1023" i="1"/>
  <c r="C1023" i="1"/>
  <c r="S1023" i="1"/>
  <c r="T1023" i="1"/>
  <c r="U1023" i="1"/>
  <c r="BB1023" i="1"/>
  <c r="BW1023" i="1"/>
  <c r="A1024" i="1"/>
  <c r="C1024" i="1"/>
  <c r="S1024" i="1"/>
  <c r="T1024" i="1"/>
  <c r="U1024" i="1"/>
  <c r="BB1024" i="1"/>
  <c r="BW1024" i="1"/>
  <c r="A1025" i="1"/>
  <c r="C1025" i="1"/>
  <c r="S1025" i="1"/>
  <c r="T1025" i="1"/>
  <c r="U1025" i="1"/>
  <c r="BB1025" i="1"/>
  <c r="BW1025" i="1"/>
  <c r="A1026" i="1"/>
  <c r="C1026" i="1"/>
  <c r="S1026" i="1"/>
  <c r="T1026" i="1"/>
  <c r="U1026" i="1"/>
  <c r="BB1026" i="1"/>
  <c r="BW1026" i="1"/>
  <c r="A1027" i="1"/>
  <c r="C1027" i="1"/>
  <c r="S1027" i="1"/>
  <c r="T1027" i="1"/>
  <c r="U1027" i="1"/>
  <c r="BB1027" i="1"/>
  <c r="BW1027" i="1"/>
  <c r="A1028" i="1"/>
  <c r="C1028" i="1"/>
  <c r="S1028" i="1"/>
  <c r="T1028" i="1"/>
  <c r="U1028" i="1"/>
  <c r="BB1028" i="1"/>
  <c r="BW1028" i="1"/>
  <c r="A1029" i="1"/>
  <c r="C1029" i="1"/>
  <c r="S1029" i="1"/>
  <c r="T1029" i="1"/>
  <c r="U1029" i="1"/>
  <c r="BB1029" i="1"/>
  <c r="BW1029" i="1"/>
  <c r="A1030" i="1"/>
  <c r="C1030" i="1"/>
  <c r="S1030" i="1"/>
  <c r="T1030" i="1"/>
  <c r="U1030" i="1"/>
  <c r="BB1030" i="1"/>
  <c r="BW1030" i="1"/>
  <c r="A1031" i="1"/>
  <c r="C1031" i="1"/>
  <c r="S1031" i="1"/>
  <c r="T1031" i="1"/>
  <c r="U1031" i="1"/>
  <c r="BB1031" i="1"/>
  <c r="BW1031" i="1"/>
  <c r="A1032" i="1"/>
  <c r="C1032" i="1"/>
  <c r="S1032" i="1"/>
  <c r="T1032" i="1"/>
  <c r="U1032" i="1"/>
  <c r="BB1032" i="1"/>
  <c r="BW1032" i="1"/>
  <c r="A1033" i="1"/>
  <c r="C1033" i="1"/>
  <c r="S1033" i="1"/>
  <c r="T1033" i="1"/>
  <c r="U1033" i="1"/>
  <c r="BB1033" i="1"/>
  <c r="BW1033" i="1"/>
  <c r="A1034" i="1"/>
  <c r="C1034" i="1"/>
  <c r="S1034" i="1"/>
  <c r="T1034" i="1"/>
  <c r="U1034" i="1"/>
  <c r="BB1034" i="1"/>
  <c r="BW1034" i="1"/>
  <c r="A1035" i="1"/>
  <c r="C1035" i="1"/>
  <c r="S1035" i="1"/>
  <c r="T1035" i="1"/>
  <c r="U1035" i="1"/>
  <c r="BB1035" i="1"/>
  <c r="BW1035" i="1"/>
  <c r="A1036" i="1"/>
  <c r="C1036" i="1"/>
  <c r="S1036" i="1"/>
  <c r="T1036" i="1"/>
  <c r="U1036" i="1"/>
  <c r="BB1036" i="1"/>
  <c r="BW1036" i="1"/>
  <c r="A1037" i="1"/>
  <c r="C1037" i="1"/>
  <c r="S1037" i="1"/>
  <c r="T1037" i="1"/>
  <c r="U1037" i="1"/>
  <c r="BB1037" i="1"/>
  <c r="BW1037" i="1"/>
  <c r="A1038" i="1"/>
  <c r="C1038" i="1"/>
  <c r="S1038" i="1"/>
  <c r="T1038" i="1"/>
  <c r="U1038" i="1"/>
  <c r="BB1038" i="1"/>
  <c r="BW1038" i="1"/>
  <c r="A1039" i="1"/>
  <c r="C1039" i="1"/>
  <c r="S1039" i="1"/>
  <c r="T1039" i="1"/>
  <c r="U1039" i="1"/>
  <c r="BB1039" i="1"/>
  <c r="BW1039" i="1"/>
  <c r="A1040" i="1"/>
  <c r="C1040" i="1"/>
  <c r="S1040" i="1"/>
  <c r="T1040" i="1"/>
  <c r="U1040" i="1"/>
  <c r="BB1040" i="1"/>
  <c r="BW1040" i="1"/>
  <c r="A1041" i="1"/>
  <c r="C1041" i="1"/>
  <c r="S1041" i="1"/>
  <c r="T1041" i="1"/>
  <c r="U1041" i="1"/>
  <c r="BB1041" i="1"/>
  <c r="BW1041" i="1"/>
  <c r="A1042" i="1"/>
  <c r="C1042" i="1"/>
  <c r="S1042" i="1"/>
  <c r="T1042" i="1"/>
  <c r="U1042" i="1"/>
  <c r="BB1042" i="1"/>
  <c r="BW1042" i="1"/>
  <c r="A1043" i="1"/>
  <c r="C1043" i="1"/>
  <c r="S1043" i="1"/>
  <c r="T1043" i="1"/>
  <c r="U1043" i="1"/>
  <c r="BB1043" i="1"/>
  <c r="BW1043" i="1"/>
  <c r="A1044" i="1"/>
  <c r="C1044" i="1"/>
  <c r="S1044" i="1"/>
  <c r="T1044" i="1"/>
  <c r="U1044" i="1"/>
  <c r="BB1044" i="1"/>
  <c r="BW1044" i="1"/>
  <c r="A1045" i="1"/>
  <c r="C1045" i="1"/>
  <c r="S1045" i="1"/>
  <c r="T1045" i="1"/>
  <c r="U1045" i="1"/>
  <c r="BB1045" i="1"/>
  <c r="BW1045" i="1"/>
  <c r="A1046" i="1"/>
  <c r="C1046" i="1"/>
  <c r="S1046" i="1"/>
  <c r="T1046" i="1"/>
  <c r="U1046" i="1"/>
  <c r="BB1046" i="1"/>
  <c r="BW1046" i="1"/>
  <c r="A1047" i="1"/>
  <c r="C1047" i="1"/>
  <c r="S1047" i="1"/>
  <c r="T1047" i="1"/>
  <c r="U1047" i="1"/>
  <c r="BB1047" i="1"/>
  <c r="BW1047" i="1"/>
  <c r="A1048" i="1"/>
  <c r="C1048" i="1"/>
  <c r="S1048" i="1"/>
  <c r="T1048" i="1"/>
  <c r="U1048" i="1"/>
  <c r="BB1048" i="1"/>
  <c r="BW1048" i="1"/>
  <c r="A1049" i="1"/>
  <c r="C1049" i="1"/>
  <c r="S1049" i="1"/>
  <c r="T1049" i="1"/>
  <c r="U1049" i="1"/>
  <c r="BB1049" i="1"/>
  <c r="BW1049" i="1"/>
  <c r="A1050" i="1"/>
  <c r="C1050" i="1"/>
  <c r="S1050" i="1"/>
  <c r="T1050" i="1"/>
  <c r="U1050" i="1"/>
  <c r="BB1050" i="1"/>
  <c r="BW1050" i="1"/>
  <c r="A1051" i="1"/>
  <c r="C1051" i="1"/>
  <c r="S1051" i="1"/>
  <c r="T1051" i="1"/>
  <c r="U1051" i="1"/>
  <c r="BB1051" i="1"/>
  <c r="BW1051" i="1"/>
  <c r="A1052" i="1"/>
  <c r="C1052" i="1"/>
  <c r="S1052" i="1"/>
  <c r="T1052" i="1"/>
  <c r="U1052" i="1"/>
  <c r="BB1052" i="1"/>
  <c r="BW1052" i="1"/>
  <c r="A1053" i="1"/>
  <c r="C1053" i="1"/>
  <c r="S1053" i="1"/>
  <c r="T1053" i="1"/>
  <c r="U1053" i="1"/>
  <c r="BB1053" i="1"/>
  <c r="BW1053" i="1"/>
  <c r="A1054" i="1"/>
  <c r="C1054" i="1"/>
  <c r="S1054" i="1"/>
  <c r="T1054" i="1"/>
  <c r="U1054" i="1"/>
  <c r="BB1054" i="1"/>
  <c r="BW1054" i="1"/>
  <c r="A1055" i="1"/>
  <c r="C1055" i="1"/>
  <c r="S1055" i="1"/>
  <c r="T1055" i="1"/>
  <c r="U1055" i="1"/>
  <c r="BB1055" i="1"/>
  <c r="BW1055" i="1"/>
  <c r="A1056" i="1"/>
  <c r="C1056" i="1"/>
  <c r="S1056" i="1"/>
  <c r="T1056" i="1"/>
  <c r="U1056" i="1"/>
  <c r="BB1056" i="1"/>
  <c r="BW1056" i="1"/>
  <c r="A1057" i="1"/>
  <c r="C1057" i="1"/>
  <c r="S1057" i="1"/>
  <c r="T1057" i="1"/>
  <c r="U1057" i="1"/>
  <c r="BB1057" i="1"/>
  <c r="BW1057" i="1"/>
  <c r="A1058" i="1"/>
  <c r="C1058" i="1"/>
  <c r="S1058" i="1"/>
  <c r="T1058" i="1"/>
  <c r="U1058" i="1"/>
  <c r="BB1058" i="1"/>
  <c r="BW1058" i="1"/>
  <c r="A1059" i="1"/>
  <c r="C1059" i="1"/>
  <c r="S1059" i="1"/>
  <c r="T1059" i="1"/>
  <c r="U1059" i="1"/>
  <c r="BB1059" i="1"/>
  <c r="BW1059" i="1"/>
  <c r="A1060" i="1"/>
  <c r="C1060" i="1"/>
  <c r="S1060" i="1"/>
  <c r="T1060" i="1"/>
  <c r="U1060" i="1"/>
  <c r="BB1060" i="1"/>
  <c r="BW1060" i="1"/>
  <c r="A1061" i="1"/>
  <c r="C1061" i="1"/>
  <c r="S1061" i="1"/>
  <c r="T1061" i="1"/>
  <c r="U1061" i="1"/>
  <c r="BB1061" i="1"/>
  <c r="BW1061" i="1"/>
  <c r="A1062" i="1"/>
  <c r="C1062" i="1"/>
  <c r="S1062" i="1"/>
  <c r="T1062" i="1"/>
  <c r="U1062" i="1"/>
  <c r="BB1062" i="1"/>
  <c r="BW1062" i="1"/>
  <c r="A1063" i="1"/>
  <c r="C1063" i="1"/>
  <c r="S1063" i="1"/>
  <c r="T1063" i="1"/>
  <c r="U1063" i="1"/>
  <c r="BB1063" i="1"/>
  <c r="BW1063" i="1"/>
  <c r="A1064" i="1"/>
  <c r="C1064" i="1"/>
  <c r="S1064" i="1"/>
  <c r="T1064" i="1"/>
  <c r="U1064" i="1"/>
  <c r="BB1064" i="1"/>
  <c r="BW1064" i="1"/>
  <c r="A1065" i="1"/>
  <c r="C1065" i="1"/>
  <c r="S1065" i="1"/>
  <c r="T1065" i="1"/>
  <c r="U1065" i="1"/>
  <c r="BB1065" i="1"/>
  <c r="BW1065" i="1"/>
  <c r="A1066" i="1"/>
  <c r="C1066" i="1"/>
  <c r="S1066" i="1"/>
  <c r="T1066" i="1"/>
  <c r="U1066" i="1"/>
  <c r="BB1066" i="1"/>
  <c r="BW1066" i="1"/>
  <c r="A1067" i="1"/>
  <c r="C1067" i="1"/>
  <c r="S1067" i="1"/>
  <c r="T1067" i="1"/>
  <c r="U1067" i="1"/>
  <c r="BB1067" i="1"/>
  <c r="BW1067" i="1"/>
  <c r="A1068" i="1"/>
  <c r="C1068" i="1"/>
  <c r="S1068" i="1"/>
  <c r="T1068" i="1"/>
  <c r="U1068" i="1"/>
  <c r="BB1068" i="1"/>
  <c r="BW1068" i="1"/>
  <c r="A1069" i="1"/>
  <c r="C1069" i="1"/>
  <c r="S1069" i="1"/>
  <c r="T1069" i="1"/>
  <c r="U1069" i="1"/>
  <c r="BB1069" i="1"/>
  <c r="BW1069" i="1"/>
  <c r="A1070" i="1"/>
  <c r="C1070" i="1"/>
  <c r="S1070" i="1"/>
  <c r="T1070" i="1"/>
  <c r="U1070" i="1"/>
  <c r="BB1070" i="1"/>
  <c r="BW1070" i="1"/>
  <c r="A1071" i="1"/>
  <c r="C1071" i="1"/>
  <c r="S1071" i="1"/>
  <c r="T1071" i="1"/>
  <c r="U1071" i="1"/>
  <c r="BB1071" i="1"/>
  <c r="BW1071" i="1"/>
  <c r="A1072" i="1"/>
  <c r="C1072" i="1"/>
  <c r="S1072" i="1"/>
  <c r="T1072" i="1"/>
  <c r="U1072" i="1"/>
  <c r="BB1072" i="1"/>
  <c r="BW1072" i="1"/>
  <c r="A1073" i="1"/>
  <c r="C1073" i="1"/>
  <c r="S1073" i="1"/>
  <c r="T1073" i="1"/>
  <c r="U1073" i="1"/>
  <c r="BB1073" i="1"/>
  <c r="BW1073" i="1"/>
  <c r="A1074" i="1"/>
  <c r="C1074" i="1"/>
  <c r="S1074" i="1"/>
  <c r="T1074" i="1"/>
  <c r="U1074" i="1"/>
  <c r="BB1074" i="1"/>
  <c r="BW1074" i="1"/>
  <c r="A1075" i="1"/>
  <c r="C1075" i="1"/>
  <c r="S1075" i="1"/>
  <c r="T1075" i="1"/>
  <c r="U1075" i="1"/>
  <c r="BB1075" i="1"/>
  <c r="BW1075" i="1"/>
  <c r="A1076" i="1"/>
  <c r="C1076" i="1"/>
  <c r="S1076" i="1"/>
  <c r="T1076" i="1"/>
  <c r="U1076" i="1"/>
  <c r="BB1076" i="1"/>
  <c r="BW1076" i="1"/>
  <c r="A1077" i="1"/>
  <c r="C1077" i="1"/>
  <c r="S1077" i="1"/>
  <c r="T1077" i="1"/>
  <c r="U1077" i="1"/>
  <c r="BB1077" i="1"/>
  <c r="BW1077" i="1"/>
  <c r="A1078" i="1"/>
  <c r="C1078" i="1"/>
  <c r="S1078" i="1"/>
  <c r="T1078" i="1"/>
  <c r="U1078" i="1"/>
  <c r="BB1078" i="1"/>
  <c r="BW1078" i="1"/>
  <c r="A1079" i="1"/>
  <c r="C1079" i="1"/>
  <c r="S1079" i="1"/>
  <c r="T1079" i="1"/>
  <c r="U1079" i="1"/>
  <c r="BB1079" i="1"/>
  <c r="BW1079" i="1"/>
  <c r="A1080" i="1"/>
  <c r="C1080" i="1"/>
  <c r="S1080" i="1"/>
  <c r="T1080" i="1"/>
  <c r="U1080" i="1"/>
  <c r="BB1080" i="1"/>
  <c r="BW1080" i="1"/>
  <c r="A1081" i="1"/>
  <c r="C1081" i="1"/>
  <c r="S1081" i="1"/>
  <c r="T1081" i="1"/>
  <c r="U1081" i="1"/>
  <c r="BB1081" i="1"/>
  <c r="BW1081" i="1"/>
  <c r="A1082" i="1"/>
  <c r="C1082" i="1"/>
  <c r="S1082" i="1"/>
  <c r="T1082" i="1"/>
  <c r="U1082" i="1"/>
  <c r="BB1082" i="1"/>
  <c r="BW1082" i="1"/>
  <c r="A1083" i="1"/>
  <c r="C1083" i="1"/>
  <c r="S1083" i="1"/>
  <c r="T1083" i="1"/>
  <c r="U1083" i="1"/>
  <c r="BB1083" i="1"/>
  <c r="BW1083" i="1"/>
  <c r="A1084" i="1"/>
  <c r="C1084" i="1"/>
  <c r="S1084" i="1"/>
  <c r="T1084" i="1"/>
  <c r="U1084" i="1"/>
  <c r="BB1084" i="1"/>
  <c r="BW1084" i="1"/>
  <c r="A1085" i="1"/>
  <c r="C1085" i="1"/>
  <c r="S1085" i="1"/>
  <c r="T1085" i="1"/>
  <c r="U1085" i="1"/>
  <c r="BB1085" i="1"/>
  <c r="BW1085" i="1"/>
  <c r="A1086" i="1"/>
  <c r="C1086" i="1"/>
  <c r="S1086" i="1"/>
  <c r="T1086" i="1"/>
  <c r="U1086" i="1"/>
  <c r="BB1086" i="1"/>
  <c r="BW1086" i="1"/>
  <c r="A1087" i="1"/>
  <c r="C1087" i="1"/>
  <c r="S1087" i="1"/>
  <c r="T1087" i="1"/>
  <c r="U1087" i="1"/>
  <c r="BB1087" i="1"/>
  <c r="BW1087" i="1"/>
  <c r="A1088" i="1"/>
  <c r="C1088" i="1"/>
  <c r="S1088" i="1"/>
  <c r="T1088" i="1"/>
  <c r="U1088" i="1"/>
  <c r="BB1088" i="1"/>
  <c r="BW1088" i="1"/>
  <c r="A1089" i="1"/>
  <c r="C1089" i="1"/>
  <c r="S1089" i="1"/>
  <c r="T1089" i="1"/>
  <c r="U1089" i="1"/>
  <c r="BB1089" i="1"/>
  <c r="BW1089" i="1"/>
  <c r="A1090" i="1"/>
  <c r="C1090" i="1"/>
  <c r="S1090" i="1"/>
  <c r="T1090" i="1"/>
  <c r="U1090" i="1"/>
  <c r="BB1090" i="1"/>
  <c r="BW1090" i="1"/>
  <c r="A1091" i="1"/>
  <c r="C1091" i="1"/>
  <c r="S1091" i="1"/>
  <c r="T1091" i="1"/>
  <c r="U1091" i="1"/>
  <c r="BB1091" i="1"/>
  <c r="BW1091" i="1"/>
  <c r="A1092" i="1"/>
  <c r="C1092" i="1"/>
  <c r="S1092" i="1"/>
  <c r="T1092" i="1"/>
  <c r="U1092" i="1"/>
  <c r="BB1092" i="1"/>
  <c r="BW1092" i="1"/>
  <c r="A1093" i="1"/>
  <c r="C1093" i="1"/>
  <c r="S1093" i="1"/>
  <c r="T1093" i="1"/>
  <c r="U1093" i="1"/>
  <c r="BB1093" i="1"/>
  <c r="BW1093" i="1"/>
  <c r="A1094" i="1"/>
  <c r="C1094" i="1"/>
  <c r="S1094" i="1"/>
  <c r="T1094" i="1"/>
  <c r="U1094" i="1"/>
  <c r="BB1094" i="1"/>
  <c r="BW1094" i="1"/>
  <c r="A1095" i="1"/>
  <c r="C1095" i="1"/>
  <c r="S1095" i="1"/>
  <c r="T1095" i="1"/>
  <c r="U1095" i="1"/>
  <c r="BB1095" i="1"/>
  <c r="BW1095" i="1"/>
  <c r="A1096" i="1"/>
  <c r="C1096" i="1"/>
  <c r="S1096" i="1"/>
  <c r="T1096" i="1"/>
  <c r="U1096" i="1"/>
  <c r="BB1096" i="1"/>
  <c r="BW1096" i="1"/>
  <c r="A1097" i="1"/>
  <c r="C1097" i="1"/>
  <c r="S1097" i="1"/>
  <c r="T1097" i="1"/>
  <c r="U1097" i="1"/>
  <c r="BB1097" i="1"/>
  <c r="BW1097" i="1"/>
  <c r="A1098" i="1"/>
  <c r="C1098" i="1"/>
  <c r="S1098" i="1"/>
  <c r="T1098" i="1"/>
  <c r="U1098" i="1"/>
  <c r="BB1098" i="1"/>
  <c r="BW1098" i="1"/>
  <c r="A1099" i="1"/>
  <c r="C1099" i="1"/>
  <c r="S1099" i="1"/>
  <c r="T1099" i="1"/>
  <c r="U1099" i="1"/>
  <c r="BB1099" i="1"/>
  <c r="BW1099" i="1"/>
  <c r="A1100" i="1"/>
  <c r="C1100" i="1"/>
  <c r="S1100" i="1"/>
  <c r="T1100" i="1"/>
  <c r="U1100" i="1"/>
  <c r="BB1100" i="1"/>
  <c r="BW1100" i="1"/>
  <c r="A1101" i="1"/>
  <c r="C1101" i="1"/>
  <c r="S1101" i="1"/>
  <c r="T1101" i="1"/>
  <c r="U1101" i="1"/>
  <c r="BB1101" i="1"/>
  <c r="BW1101" i="1"/>
  <c r="A1102" i="1"/>
  <c r="C1102" i="1"/>
  <c r="S1102" i="1"/>
  <c r="T1102" i="1"/>
  <c r="U1102" i="1"/>
  <c r="BB1102" i="1"/>
  <c r="BW1102" i="1"/>
  <c r="A1103" i="1"/>
  <c r="C1103" i="1"/>
  <c r="S1103" i="1"/>
  <c r="T1103" i="1"/>
  <c r="U1103" i="1"/>
  <c r="BB1103" i="1"/>
  <c r="BW1103" i="1"/>
  <c r="A1104" i="1"/>
  <c r="C1104" i="1"/>
  <c r="S1104" i="1"/>
  <c r="T1104" i="1"/>
  <c r="U1104" i="1"/>
  <c r="BB1104" i="1"/>
  <c r="BW1104" i="1"/>
  <c r="A1105" i="1"/>
  <c r="C1105" i="1"/>
  <c r="S1105" i="1"/>
  <c r="T1105" i="1"/>
  <c r="U1105" i="1"/>
  <c r="BB1105" i="1"/>
  <c r="BW1105" i="1"/>
  <c r="A1106" i="1"/>
  <c r="C1106" i="1"/>
  <c r="S1106" i="1"/>
  <c r="T1106" i="1"/>
  <c r="U1106" i="1"/>
  <c r="BB1106" i="1"/>
  <c r="BW1106" i="1"/>
  <c r="A1107" i="1"/>
  <c r="C1107" i="1"/>
  <c r="S1107" i="1"/>
  <c r="T1107" i="1"/>
  <c r="U1107" i="1"/>
  <c r="BB1107" i="1"/>
  <c r="BW1107" i="1"/>
  <c r="A1108" i="1"/>
  <c r="C1108" i="1"/>
  <c r="S1108" i="1"/>
  <c r="T1108" i="1"/>
  <c r="U1108" i="1"/>
  <c r="BB1108" i="1"/>
  <c r="BW1108" i="1"/>
  <c r="A1109" i="1"/>
  <c r="C1109" i="1"/>
  <c r="S1109" i="1"/>
  <c r="T1109" i="1"/>
  <c r="U1109" i="1"/>
  <c r="BB1109" i="1"/>
  <c r="BW1109" i="1"/>
  <c r="A1110" i="1"/>
  <c r="C1110" i="1"/>
  <c r="S1110" i="1"/>
  <c r="T1110" i="1"/>
  <c r="U1110" i="1"/>
  <c r="BB1110" i="1"/>
  <c r="BW1110" i="1"/>
  <c r="A1111" i="1"/>
  <c r="C1111" i="1"/>
  <c r="S1111" i="1"/>
  <c r="T1111" i="1"/>
  <c r="U1111" i="1"/>
  <c r="BB1111" i="1"/>
  <c r="BW1111" i="1"/>
  <c r="A1112" i="1"/>
  <c r="C1112" i="1"/>
  <c r="S1112" i="1"/>
  <c r="T1112" i="1"/>
  <c r="U1112" i="1"/>
  <c r="BB1112" i="1"/>
  <c r="BW1112" i="1"/>
  <c r="A1113" i="1"/>
  <c r="C1113" i="1"/>
  <c r="S1113" i="1"/>
  <c r="T1113" i="1"/>
  <c r="U1113" i="1"/>
  <c r="BB1113" i="1"/>
  <c r="BW1113" i="1"/>
  <c r="A1114" i="1"/>
  <c r="C1114" i="1"/>
  <c r="S1114" i="1"/>
  <c r="T1114" i="1"/>
  <c r="U1114" i="1"/>
  <c r="BB1114" i="1"/>
  <c r="BW1114" i="1"/>
  <c r="A1115" i="1"/>
  <c r="C1115" i="1"/>
  <c r="S1115" i="1"/>
  <c r="T1115" i="1"/>
  <c r="U1115" i="1"/>
  <c r="BB1115" i="1"/>
  <c r="BW1115" i="1"/>
  <c r="A1116" i="1"/>
  <c r="C1116" i="1"/>
  <c r="S1116" i="1"/>
  <c r="T1116" i="1"/>
  <c r="U1116" i="1"/>
  <c r="BB1116" i="1"/>
  <c r="BW1116" i="1"/>
  <c r="A1117" i="1"/>
  <c r="C1117" i="1"/>
  <c r="S1117" i="1"/>
  <c r="T1117" i="1"/>
  <c r="U1117" i="1"/>
  <c r="BB1117" i="1"/>
  <c r="BW1117" i="1"/>
  <c r="A1118" i="1"/>
  <c r="C1118" i="1"/>
  <c r="S1118" i="1"/>
  <c r="T1118" i="1"/>
  <c r="U1118" i="1"/>
  <c r="BB1118" i="1"/>
  <c r="BW1118" i="1"/>
  <c r="A1119" i="1"/>
  <c r="C1119" i="1"/>
  <c r="S1119" i="1"/>
  <c r="T1119" i="1"/>
  <c r="U1119" i="1"/>
  <c r="BB1119" i="1"/>
  <c r="BW1119" i="1"/>
  <c r="A1120" i="1"/>
  <c r="C1120" i="1"/>
  <c r="S1120" i="1"/>
  <c r="T1120" i="1"/>
  <c r="U1120" i="1"/>
  <c r="BB1120" i="1"/>
  <c r="BW1120" i="1"/>
  <c r="A1121" i="1"/>
  <c r="C1121" i="1"/>
  <c r="S1121" i="1"/>
  <c r="T1121" i="1"/>
  <c r="U1121" i="1"/>
  <c r="BB1121" i="1"/>
  <c r="BW1121" i="1"/>
  <c r="A1122" i="1"/>
  <c r="C1122" i="1"/>
  <c r="S1122" i="1"/>
  <c r="T1122" i="1"/>
  <c r="U1122" i="1"/>
  <c r="BB1122" i="1"/>
  <c r="BW1122" i="1"/>
  <c r="A1123" i="1"/>
  <c r="C1123" i="1"/>
  <c r="S1123" i="1"/>
  <c r="T1123" i="1"/>
  <c r="U1123" i="1"/>
  <c r="BB1123" i="1"/>
  <c r="BW1123" i="1"/>
  <c r="A1124" i="1"/>
  <c r="C1124" i="1"/>
  <c r="S1124" i="1"/>
  <c r="T1124" i="1"/>
  <c r="U1124" i="1"/>
  <c r="BB1124" i="1"/>
  <c r="BW1124" i="1"/>
  <c r="A1125" i="1"/>
  <c r="C1125" i="1"/>
  <c r="S1125" i="1"/>
  <c r="T1125" i="1"/>
  <c r="U1125" i="1"/>
  <c r="BB1125" i="1"/>
  <c r="BW1125" i="1"/>
  <c r="A1126" i="1"/>
  <c r="C1126" i="1"/>
  <c r="S1126" i="1"/>
  <c r="T1126" i="1"/>
  <c r="U1126" i="1"/>
  <c r="BB1126" i="1"/>
  <c r="BW1126" i="1"/>
  <c r="A1127" i="1"/>
  <c r="C1127" i="1"/>
  <c r="S1127" i="1"/>
  <c r="T1127" i="1"/>
  <c r="U1127" i="1"/>
  <c r="BB1127" i="1"/>
  <c r="BW1127" i="1"/>
  <c r="A1128" i="1"/>
  <c r="C1128" i="1"/>
  <c r="S1128" i="1"/>
  <c r="T1128" i="1"/>
  <c r="U1128" i="1"/>
  <c r="BB1128" i="1"/>
  <c r="BW1128" i="1"/>
  <c r="A1129" i="1"/>
  <c r="C1129" i="1"/>
  <c r="S1129" i="1"/>
  <c r="T1129" i="1"/>
  <c r="U1129" i="1"/>
  <c r="BB1129" i="1"/>
  <c r="BW1129" i="1"/>
  <c r="A1130" i="1"/>
  <c r="C1130" i="1"/>
  <c r="S1130" i="1"/>
  <c r="T1130" i="1"/>
  <c r="U1130" i="1"/>
  <c r="BB1130" i="1"/>
  <c r="BW1130" i="1"/>
  <c r="A1131" i="1"/>
  <c r="C1131" i="1"/>
  <c r="S1131" i="1"/>
  <c r="T1131" i="1"/>
  <c r="U1131" i="1"/>
  <c r="BB1131" i="1"/>
  <c r="BW1131" i="1"/>
  <c r="A1132" i="1"/>
  <c r="C1132" i="1"/>
  <c r="S1132" i="1"/>
  <c r="T1132" i="1"/>
  <c r="U1132" i="1"/>
  <c r="BB1132" i="1"/>
  <c r="BW1132" i="1"/>
  <c r="A1133" i="1"/>
  <c r="C1133" i="1"/>
  <c r="S1133" i="1"/>
  <c r="T1133" i="1"/>
  <c r="U1133" i="1"/>
  <c r="BB1133" i="1"/>
  <c r="BW1133" i="1"/>
  <c r="A1134" i="1"/>
  <c r="C1134" i="1"/>
  <c r="S1134" i="1"/>
  <c r="T1134" i="1"/>
  <c r="U1134" i="1"/>
  <c r="BB1134" i="1"/>
  <c r="BW1134" i="1"/>
  <c r="A1135" i="1"/>
  <c r="C1135" i="1"/>
  <c r="S1135" i="1"/>
  <c r="T1135" i="1"/>
  <c r="U1135" i="1"/>
  <c r="BB1135" i="1"/>
  <c r="BW1135" i="1"/>
  <c r="A1136" i="1"/>
  <c r="C1136" i="1"/>
  <c r="S1136" i="1"/>
  <c r="T1136" i="1"/>
  <c r="U1136" i="1"/>
  <c r="BB1136" i="1"/>
  <c r="BW1136" i="1"/>
  <c r="A1137" i="1"/>
  <c r="C1137" i="1"/>
  <c r="S1137" i="1"/>
  <c r="T1137" i="1"/>
  <c r="U1137" i="1"/>
  <c r="BB1137" i="1"/>
  <c r="BW1137" i="1"/>
  <c r="A1138" i="1"/>
  <c r="C1138" i="1"/>
  <c r="S1138" i="1"/>
  <c r="T1138" i="1"/>
  <c r="U1138" i="1"/>
  <c r="BB1138" i="1"/>
  <c r="BW1138" i="1"/>
  <c r="A1139" i="1"/>
  <c r="C1139" i="1"/>
  <c r="S1139" i="1"/>
  <c r="T1139" i="1"/>
  <c r="U1139" i="1"/>
  <c r="BB1139" i="1"/>
  <c r="BW1139" i="1"/>
  <c r="A1140" i="1"/>
  <c r="C1140" i="1"/>
  <c r="S1140" i="1"/>
  <c r="T1140" i="1"/>
  <c r="U1140" i="1"/>
  <c r="BB1140" i="1"/>
  <c r="BW1140" i="1"/>
  <c r="A1141" i="1"/>
  <c r="C1141" i="1"/>
  <c r="S1141" i="1"/>
  <c r="T1141" i="1"/>
  <c r="U1141" i="1"/>
  <c r="BB1141" i="1"/>
  <c r="BW1141" i="1"/>
  <c r="A1142" i="1"/>
  <c r="C1142" i="1"/>
  <c r="S1142" i="1"/>
  <c r="T1142" i="1"/>
  <c r="U1142" i="1"/>
  <c r="BB1142" i="1"/>
  <c r="BW1142" i="1"/>
  <c r="A1143" i="1"/>
  <c r="C1143" i="1"/>
  <c r="S1143" i="1"/>
  <c r="T1143" i="1"/>
  <c r="U1143" i="1"/>
  <c r="BB1143" i="1"/>
  <c r="BW1143" i="1"/>
  <c r="A1144" i="1"/>
  <c r="C1144" i="1"/>
  <c r="S1144" i="1"/>
  <c r="T1144" i="1"/>
  <c r="U1144" i="1"/>
  <c r="BB1144" i="1"/>
  <c r="BW1144" i="1"/>
  <c r="A1145" i="1"/>
  <c r="C1145" i="1"/>
  <c r="S1145" i="1"/>
  <c r="T1145" i="1"/>
  <c r="U1145" i="1"/>
  <c r="BB1145" i="1"/>
  <c r="BW1145" i="1"/>
  <c r="A1146" i="1"/>
  <c r="C1146" i="1"/>
  <c r="S1146" i="1"/>
  <c r="T1146" i="1"/>
  <c r="U1146" i="1"/>
  <c r="BB1146" i="1"/>
  <c r="BW1146" i="1"/>
  <c r="A1147" i="1"/>
  <c r="C1147" i="1"/>
  <c r="S1147" i="1"/>
  <c r="T1147" i="1"/>
  <c r="U1147" i="1"/>
  <c r="BB1147" i="1"/>
  <c r="BW1147" i="1"/>
  <c r="A1148" i="1"/>
  <c r="C1148" i="1"/>
  <c r="S1148" i="1"/>
  <c r="T1148" i="1"/>
  <c r="U1148" i="1"/>
  <c r="BB1148" i="1"/>
  <c r="BW1148" i="1"/>
  <c r="A1149" i="1"/>
  <c r="C1149" i="1"/>
  <c r="S1149" i="1"/>
  <c r="T1149" i="1"/>
  <c r="U1149" i="1"/>
  <c r="BB1149" i="1"/>
  <c r="BW1149" i="1"/>
  <c r="A1150" i="1"/>
  <c r="C1150" i="1"/>
  <c r="S1150" i="1"/>
  <c r="T1150" i="1"/>
  <c r="U1150" i="1"/>
  <c r="BB1150" i="1"/>
  <c r="BW1150" i="1"/>
  <c r="A1151" i="1"/>
  <c r="C1151" i="1"/>
  <c r="S1151" i="1"/>
  <c r="T1151" i="1"/>
  <c r="U1151" i="1"/>
  <c r="BB1151" i="1"/>
  <c r="BW1151" i="1"/>
  <c r="A1152" i="1"/>
  <c r="C1152" i="1"/>
  <c r="S1152" i="1"/>
  <c r="T1152" i="1"/>
  <c r="U1152" i="1"/>
  <c r="BB1152" i="1"/>
  <c r="BW1152" i="1"/>
  <c r="A1153" i="1"/>
  <c r="C1153" i="1"/>
  <c r="S1153" i="1"/>
  <c r="T1153" i="1"/>
  <c r="U1153" i="1"/>
  <c r="BB1153" i="1"/>
  <c r="BW1153" i="1"/>
  <c r="A1154" i="1"/>
  <c r="C1154" i="1"/>
  <c r="S1154" i="1"/>
  <c r="T1154" i="1"/>
  <c r="U1154" i="1"/>
  <c r="BB1154" i="1"/>
  <c r="BW1154" i="1"/>
  <c r="A1155" i="1"/>
  <c r="C1155" i="1"/>
  <c r="S1155" i="1"/>
  <c r="T1155" i="1"/>
  <c r="U1155" i="1"/>
  <c r="BB1155" i="1"/>
  <c r="BW1155" i="1"/>
  <c r="A1156" i="1"/>
  <c r="C1156" i="1"/>
  <c r="S1156" i="1"/>
  <c r="T1156" i="1"/>
  <c r="U1156" i="1"/>
  <c r="BB1156" i="1"/>
  <c r="BW1156" i="1"/>
  <c r="A1157" i="1"/>
  <c r="C1157" i="1"/>
  <c r="S1157" i="1"/>
  <c r="T1157" i="1"/>
  <c r="U1157" i="1"/>
  <c r="BB1157" i="1"/>
  <c r="BW1157" i="1"/>
  <c r="A1158" i="1"/>
  <c r="C1158" i="1"/>
  <c r="S1158" i="1"/>
  <c r="T1158" i="1"/>
  <c r="U1158" i="1"/>
  <c r="BB1158" i="1"/>
  <c r="BW1158" i="1"/>
  <c r="A1159" i="1"/>
  <c r="C1159" i="1"/>
  <c r="S1159" i="1"/>
  <c r="T1159" i="1"/>
  <c r="U1159" i="1"/>
  <c r="BB1159" i="1"/>
  <c r="BW1159" i="1"/>
  <c r="A1160" i="1"/>
  <c r="C1160" i="1"/>
  <c r="S1160" i="1"/>
  <c r="T1160" i="1"/>
  <c r="U1160" i="1"/>
  <c r="BB1160" i="1"/>
  <c r="BW1160" i="1"/>
  <c r="A1161" i="1"/>
  <c r="C1161" i="1"/>
  <c r="S1161" i="1"/>
  <c r="T1161" i="1"/>
  <c r="U1161" i="1"/>
  <c r="BB1161" i="1"/>
  <c r="BW1161" i="1"/>
  <c r="A1162" i="1"/>
  <c r="C1162" i="1"/>
  <c r="S1162" i="1"/>
  <c r="T1162" i="1"/>
  <c r="U1162" i="1"/>
  <c r="BB1162" i="1"/>
  <c r="BW1162" i="1"/>
  <c r="A1163" i="1"/>
  <c r="C1163" i="1"/>
  <c r="S1163" i="1"/>
  <c r="T1163" i="1"/>
  <c r="U1163" i="1"/>
  <c r="BB1163" i="1"/>
  <c r="BW1163" i="1"/>
  <c r="A1164" i="1"/>
  <c r="C1164" i="1"/>
  <c r="S1164" i="1"/>
  <c r="T1164" i="1"/>
  <c r="U1164" i="1"/>
  <c r="BB1164" i="1"/>
  <c r="BW1164" i="1"/>
  <c r="A1165" i="1"/>
  <c r="C1165" i="1"/>
  <c r="S1165" i="1"/>
  <c r="T1165" i="1"/>
  <c r="U1165" i="1"/>
  <c r="BB1165" i="1"/>
  <c r="BW1165" i="1"/>
  <c r="A1166" i="1"/>
  <c r="C1166" i="1"/>
  <c r="S1166" i="1"/>
  <c r="T1166" i="1"/>
  <c r="U1166" i="1"/>
  <c r="BB1166" i="1"/>
  <c r="BW1166" i="1"/>
  <c r="A1167" i="1"/>
  <c r="C1167" i="1"/>
  <c r="S1167" i="1"/>
  <c r="T1167" i="1"/>
  <c r="U1167" i="1"/>
  <c r="BB1167" i="1"/>
  <c r="BW1167" i="1"/>
  <c r="A1168" i="1"/>
  <c r="C1168" i="1"/>
  <c r="S1168" i="1"/>
  <c r="T1168" i="1"/>
  <c r="U1168" i="1"/>
  <c r="BB1168" i="1"/>
  <c r="BW1168" i="1"/>
  <c r="A1169" i="1"/>
  <c r="C1169" i="1"/>
  <c r="S1169" i="1"/>
  <c r="T1169" i="1"/>
  <c r="U1169" i="1"/>
  <c r="BB1169" i="1"/>
  <c r="BW1169" i="1"/>
  <c r="A1170" i="1"/>
  <c r="C1170" i="1"/>
  <c r="S1170" i="1"/>
  <c r="T1170" i="1"/>
  <c r="U1170" i="1"/>
  <c r="BB1170" i="1"/>
  <c r="BW1170" i="1"/>
  <c r="A1171" i="1"/>
  <c r="C1171" i="1"/>
  <c r="S1171" i="1"/>
  <c r="T1171" i="1"/>
  <c r="U1171" i="1"/>
  <c r="BB1171" i="1"/>
  <c r="BW1171" i="1"/>
  <c r="A1172" i="1"/>
  <c r="C1172" i="1"/>
  <c r="S1172" i="1"/>
  <c r="T1172" i="1"/>
  <c r="U1172" i="1"/>
  <c r="BB1172" i="1"/>
  <c r="BW1172" i="1"/>
  <c r="A1173" i="1"/>
  <c r="C1173" i="1"/>
  <c r="S1173" i="1"/>
  <c r="T1173" i="1"/>
  <c r="U1173" i="1"/>
  <c r="BB1173" i="1"/>
  <c r="BW1173" i="1"/>
  <c r="A1174" i="1"/>
  <c r="C1174" i="1"/>
  <c r="S1174" i="1"/>
  <c r="T1174" i="1"/>
  <c r="U1174" i="1"/>
  <c r="BB1174" i="1"/>
  <c r="BW1174" i="1"/>
  <c r="A1175" i="1"/>
  <c r="C1175" i="1"/>
  <c r="S1175" i="1"/>
  <c r="T1175" i="1"/>
  <c r="U1175" i="1"/>
  <c r="BB1175" i="1"/>
  <c r="BW1175" i="1"/>
  <c r="A1176" i="1"/>
  <c r="C1176" i="1"/>
  <c r="S1176" i="1"/>
  <c r="T1176" i="1"/>
  <c r="U1176" i="1"/>
  <c r="BB1176" i="1"/>
  <c r="BW1176" i="1"/>
  <c r="A1177" i="1"/>
  <c r="C1177" i="1"/>
  <c r="S1177" i="1"/>
  <c r="T1177" i="1"/>
  <c r="U1177" i="1"/>
  <c r="BB1177" i="1"/>
  <c r="BW1177" i="1"/>
  <c r="A1178" i="1"/>
  <c r="C1178" i="1"/>
  <c r="S1178" i="1"/>
  <c r="T1178" i="1"/>
  <c r="U1178" i="1"/>
  <c r="BB1178" i="1"/>
  <c r="BW1178" i="1"/>
  <c r="A1179" i="1"/>
  <c r="C1179" i="1"/>
  <c r="S1179" i="1"/>
  <c r="T1179" i="1"/>
  <c r="U1179" i="1"/>
  <c r="BB1179" i="1"/>
  <c r="BW1179" i="1"/>
  <c r="A1180" i="1"/>
  <c r="C1180" i="1"/>
  <c r="S1180" i="1"/>
  <c r="T1180" i="1"/>
  <c r="U1180" i="1"/>
  <c r="BB1180" i="1"/>
  <c r="BW1180" i="1"/>
  <c r="A1181" i="1"/>
  <c r="C1181" i="1"/>
  <c r="S1181" i="1"/>
  <c r="T1181" i="1"/>
  <c r="U1181" i="1"/>
  <c r="BB1181" i="1"/>
  <c r="BW1181" i="1"/>
  <c r="A1182" i="1"/>
  <c r="C1182" i="1"/>
  <c r="S1182" i="1"/>
  <c r="T1182" i="1"/>
  <c r="U1182" i="1"/>
  <c r="BB1182" i="1"/>
  <c r="BW1182" i="1"/>
  <c r="A1183" i="1"/>
  <c r="C1183" i="1"/>
  <c r="S1183" i="1"/>
  <c r="T1183" i="1"/>
  <c r="U1183" i="1"/>
  <c r="BB1183" i="1"/>
  <c r="BW1183" i="1"/>
  <c r="A1184" i="1"/>
  <c r="C1184" i="1"/>
  <c r="S1184" i="1"/>
  <c r="T1184" i="1"/>
  <c r="U1184" i="1"/>
  <c r="BB1184" i="1"/>
  <c r="BW1184" i="1"/>
  <c r="A1185" i="1"/>
  <c r="C1185" i="1"/>
  <c r="S1185" i="1"/>
  <c r="T1185" i="1"/>
  <c r="U1185" i="1"/>
  <c r="BB1185" i="1"/>
  <c r="BW1185" i="1"/>
  <c r="A1186" i="1"/>
  <c r="C1186" i="1"/>
  <c r="S1186" i="1"/>
  <c r="T1186" i="1"/>
  <c r="U1186" i="1"/>
  <c r="BB1186" i="1"/>
  <c r="BW1186" i="1"/>
  <c r="A1187" i="1"/>
  <c r="C1187" i="1"/>
  <c r="S1187" i="1"/>
  <c r="T1187" i="1"/>
  <c r="U1187" i="1"/>
  <c r="BB1187" i="1"/>
  <c r="BW1187" i="1"/>
  <c r="A1188" i="1"/>
  <c r="C1188" i="1"/>
  <c r="S1188" i="1"/>
  <c r="T1188" i="1"/>
  <c r="U1188" i="1"/>
  <c r="BB1188" i="1"/>
  <c r="BW1188" i="1"/>
  <c r="A1189" i="1"/>
  <c r="C1189" i="1"/>
  <c r="S1189" i="1"/>
  <c r="T1189" i="1"/>
  <c r="U1189" i="1"/>
  <c r="BB1189" i="1"/>
  <c r="BW1189" i="1"/>
  <c r="A1190" i="1"/>
  <c r="C1190" i="1"/>
  <c r="S1190" i="1"/>
  <c r="T1190" i="1"/>
  <c r="U1190" i="1"/>
  <c r="BB1190" i="1"/>
  <c r="BW1190" i="1"/>
  <c r="A1191" i="1"/>
  <c r="C1191" i="1"/>
  <c r="S1191" i="1"/>
  <c r="T1191" i="1"/>
  <c r="U1191" i="1"/>
  <c r="BB1191" i="1"/>
  <c r="BW1191" i="1"/>
  <c r="A1192" i="1"/>
  <c r="C1192" i="1"/>
  <c r="S1192" i="1"/>
  <c r="T1192" i="1"/>
  <c r="U1192" i="1"/>
  <c r="BB1192" i="1"/>
  <c r="BW1192" i="1"/>
  <c r="A1193" i="1"/>
  <c r="C1193" i="1"/>
  <c r="S1193" i="1"/>
  <c r="T1193" i="1"/>
  <c r="U1193" i="1"/>
  <c r="BB1193" i="1"/>
  <c r="BW1193" i="1"/>
  <c r="A1194" i="1"/>
  <c r="C1194" i="1"/>
  <c r="S1194" i="1"/>
  <c r="T1194" i="1"/>
  <c r="U1194" i="1"/>
  <c r="BB1194" i="1"/>
  <c r="BW1194" i="1"/>
  <c r="A1195" i="1"/>
  <c r="C1195" i="1"/>
  <c r="S1195" i="1"/>
  <c r="T1195" i="1"/>
  <c r="U1195" i="1"/>
  <c r="BB1195" i="1"/>
  <c r="BW1195" i="1"/>
  <c r="A1196" i="1"/>
  <c r="C1196" i="1"/>
  <c r="S1196" i="1"/>
  <c r="T1196" i="1"/>
  <c r="U1196" i="1"/>
  <c r="BB1196" i="1"/>
  <c r="BW1196" i="1"/>
  <c r="A1197" i="1"/>
  <c r="C1197" i="1"/>
  <c r="S1197" i="1"/>
  <c r="T1197" i="1"/>
  <c r="U1197" i="1"/>
  <c r="BB1197" i="1"/>
  <c r="BW1197" i="1"/>
  <c r="A1198" i="1"/>
  <c r="C1198" i="1"/>
  <c r="S1198" i="1"/>
  <c r="T1198" i="1"/>
  <c r="U1198" i="1"/>
  <c r="BB1198" i="1"/>
  <c r="BW1198" i="1"/>
  <c r="A1199" i="1"/>
  <c r="C1199" i="1"/>
  <c r="S1199" i="1"/>
  <c r="T1199" i="1"/>
  <c r="U1199" i="1"/>
  <c r="BB1199" i="1"/>
  <c r="BW1199" i="1"/>
  <c r="A1200" i="1"/>
  <c r="C1200" i="1"/>
  <c r="S1200" i="1"/>
  <c r="T1200" i="1"/>
  <c r="U1200" i="1"/>
  <c r="BB1200" i="1"/>
  <c r="BW1200" i="1"/>
  <c r="A1201" i="1"/>
  <c r="C1201" i="1"/>
  <c r="S1201" i="1"/>
  <c r="T1201" i="1"/>
  <c r="U1201" i="1"/>
  <c r="BB1201" i="1"/>
  <c r="BW1201" i="1"/>
  <c r="A1202" i="1"/>
  <c r="C1202" i="1"/>
  <c r="S1202" i="1"/>
  <c r="T1202" i="1"/>
  <c r="U1202" i="1"/>
  <c r="BB1202" i="1"/>
  <c r="BW1202" i="1"/>
  <c r="A1203" i="1"/>
  <c r="C1203" i="1"/>
  <c r="S1203" i="1"/>
  <c r="T1203" i="1"/>
  <c r="U1203" i="1"/>
  <c r="BB1203" i="1"/>
  <c r="BW1203" i="1"/>
  <c r="A1204" i="1"/>
  <c r="C1204" i="1"/>
  <c r="S1204" i="1"/>
  <c r="T1204" i="1"/>
  <c r="U1204" i="1"/>
  <c r="BB1204" i="1"/>
  <c r="BW1204" i="1"/>
  <c r="A1205" i="1"/>
  <c r="C1205" i="1"/>
  <c r="S1205" i="1"/>
  <c r="T1205" i="1"/>
  <c r="U1205" i="1"/>
  <c r="BB1205" i="1"/>
  <c r="BW1205" i="1"/>
  <c r="A1206" i="1"/>
  <c r="C1206" i="1"/>
  <c r="S1206" i="1"/>
  <c r="T1206" i="1"/>
  <c r="U1206" i="1"/>
  <c r="BB1206" i="1"/>
  <c r="BW1206" i="1"/>
  <c r="A1207" i="1"/>
  <c r="C1207" i="1"/>
  <c r="S1207" i="1"/>
  <c r="T1207" i="1"/>
  <c r="U1207" i="1"/>
  <c r="BB1207" i="1"/>
  <c r="BW1207" i="1"/>
  <c r="A1208" i="1"/>
  <c r="C1208" i="1"/>
  <c r="S1208" i="1"/>
  <c r="T1208" i="1"/>
  <c r="U1208" i="1"/>
  <c r="BB1208" i="1"/>
  <c r="BW1208" i="1"/>
  <c r="A1209" i="1"/>
  <c r="C1209" i="1"/>
  <c r="S1209" i="1"/>
  <c r="T1209" i="1"/>
  <c r="U1209" i="1"/>
  <c r="BB1209" i="1"/>
  <c r="BW1209" i="1"/>
  <c r="A1210" i="1"/>
  <c r="C1210" i="1"/>
  <c r="S1210" i="1"/>
  <c r="T1210" i="1"/>
  <c r="U1210" i="1"/>
  <c r="BB1210" i="1"/>
  <c r="BW1210" i="1"/>
  <c r="A1211" i="1"/>
  <c r="C1211" i="1"/>
  <c r="S1211" i="1"/>
  <c r="T1211" i="1"/>
  <c r="U1211" i="1"/>
  <c r="BB1211" i="1"/>
  <c r="BW1211" i="1"/>
  <c r="A1212" i="1"/>
  <c r="C1212" i="1"/>
  <c r="S1212" i="1"/>
  <c r="T1212" i="1"/>
  <c r="U1212" i="1"/>
  <c r="BB1212" i="1"/>
  <c r="BW1212" i="1"/>
  <c r="A1213" i="1"/>
  <c r="C1213" i="1"/>
  <c r="S1213" i="1"/>
  <c r="T1213" i="1"/>
  <c r="U1213" i="1"/>
  <c r="BB1213" i="1"/>
  <c r="BW1213" i="1"/>
  <c r="A1214" i="1"/>
  <c r="C1214" i="1"/>
  <c r="S1214" i="1"/>
  <c r="T1214" i="1"/>
  <c r="U1214" i="1"/>
  <c r="BB1214" i="1"/>
  <c r="BW1214" i="1"/>
  <c r="A1215" i="1"/>
  <c r="C1215" i="1"/>
  <c r="S1215" i="1"/>
  <c r="T1215" i="1"/>
  <c r="U1215" i="1"/>
  <c r="BB1215" i="1"/>
  <c r="BW1215" i="1"/>
  <c r="A1216" i="1"/>
  <c r="C1216" i="1"/>
  <c r="S1216" i="1"/>
  <c r="T1216" i="1"/>
  <c r="U1216" i="1"/>
  <c r="BB1216" i="1"/>
  <c r="BW1216" i="1"/>
  <c r="A1217" i="1"/>
  <c r="C1217" i="1"/>
  <c r="S1217" i="1"/>
  <c r="T1217" i="1"/>
  <c r="U1217" i="1"/>
  <c r="BB1217" i="1"/>
  <c r="BW1217" i="1"/>
  <c r="A1218" i="1"/>
  <c r="C1218" i="1"/>
  <c r="S1218" i="1"/>
  <c r="T1218" i="1"/>
  <c r="U1218" i="1"/>
  <c r="BB1218" i="1"/>
  <c r="BW1218" i="1"/>
  <c r="A1219" i="1"/>
  <c r="C1219" i="1"/>
  <c r="S1219" i="1"/>
  <c r="T1219" i="1"/>
  <c r="U1219" i="1"/>
  <c r="BB1219" i="1"/>
  <c r="BW1219" i="1"/>
  <c r="A1220" i="1"/>
  <c r="C1220" i="1"/>
  <c r="S1220" i="1"/>
  <c r="T1220" i="1"/>
  <c r="U1220" i="1"/>
  <c r="BB1220" i="1"/>
  <c r="BW1220" i="1"/>
  <c r="A1221" i="1"/>
  <c r="C1221" i="1"/>
  <c r="S1221" i="1"/>
  <c r="T1221" i="1"/>
  <c r="U1221" i="1"/>
  <c r="BB1221" i="1"/>
  <c r="BW1221" i="1"/>
  <c r="A1222" i="1"/>
  <c r="C1222" i="1"/>
  <c r="S1222" i="1"/>
  <c r="T1222" i="1"/>
  <c r="U1222" i="1"/>
  <c r="BB1222" i="1"/>
  <c r="BW1222" i="1"/>
  <c r="A1223" i="1"/>
  <c r="C1223" i="1"/>
  <c r="S1223" i="1"/>
  <c r="T1223" i="1"/>
  <c r="U1223" i="1"/>
  <c r="BB1223" i="1"/>
  <c r="BW1223" i="1"/>
  <c r="A1224" i="1"/>
  <c r="C1224" i="1"/>
  <c r="S1224" i="1"/>
  <c r="T1224" i="1"/>
  <c r="U1224" i="1"/>
  <c r="BB1224" i="1"/>
  <c r="BW1224" i="1"/>
  <c r="A1225" i="1"/>
  <c r="C1225" i="1"/>
  <c r="S1225" i="1"/>
  <c r="T1225" i="1"/>
  <c r="U1225" i="1"/>
  <c r="BB1225" i="1"/>
  <c r="BW1225" i="1"/>
  <c r="A1226" i="1"/>
  <c r="C1226" i="1"/>
  <c r="S1226" i="1"/>
  <c r="T1226" i="1"/>
  <c r="U1226" i="1"/>
  <c r="BB1226" i="1"/>
  <c r="BW1226" i="1"/>
  <c r="A1227" i="1"/>
  <c r="C1227" i="1"/>
  <c r="S1227" i="1"/>
  <c r="T1227" i="1"/>
  <c r="U1227" i="1"/>
  <c r="BB1227" i="1"/>
  <c r="BW1227" i="1"/>
  <c r="A1228" i="1"/>
  <c r="C1228" i="1"/>
  <c r="S1228" i="1"/>
  <c r="T1228" i="1"/>
  <c r="U1228" i="1"/>
  <c r="BB1228" i="1"/>
  <c r="BW1228" i="1"/>
  <c r="A1229" i="1"/>
  <c r="C1229" i="1"/>
  <c r="S1229" i="1"/>
  <c r="T1229" i="1"/>
  <c r="U1229" i="1"/>
  <c r="BB1229" i="1"/>
  <c r="BW1229" i="1"/>
  <c r="A1230" i="1"/>
  <c r="C1230" i="1"/>
  <c r="S1230" i="1"/>
  <c r="T1230" i="1"/>
  <c r="U1230" i="1"/>
  <c r="BB1230" i="1"/>
  <c r="BW1230" i="1"/>
  <c r="A1231" i="1"/>
  <c r="C1231" i="1"/>
  <c r="S1231" i="1"/>
  <c r="T1231" i="1"/>
  <c r="U1231" i="1"/>
  <c r="BB1231" i="1"/>
  <c r="BW1231" i="1"/>
  <c r="A1232" i="1"/>
  <c r="C1232" i="1"/>
  <c r="S1232" i="1"/>
  <c r="T1232" i="1"/>
  <c r="U1232" i="1"/>
  <c r="BB1232" i="1"/>
  <c r="BW1232" i="1"/>
  <c r="A1233" i="1"/>
  <c r="C1233" i="1"/>
  <c r="S1233" i="1"/>
  <c r="T1233" i="1"/>
  <c r="U1233" i="1"/>
  <c r="BB1233" i="1"/>
  <c r="BW1233" i="1"/>
  <c r="A1234" i="1"/>
  <c r="C1234" i="1"/>
  <c r="S1234" i="1"/>
  <c r="T1234" i="1"/>
  <c r="U1234" i="1"/>
  <c r="BB1234" i="1"/>
  <c r="BW1234" i="1"/>
  <c r="A1235" i="1"/>
  <c r="C1235" i="1"/>
  <c r="S1235" i="1"/>
  <c r="T1235" i="1"/>
  <c r="U1235" i="1"/>
  <c r="BB1235" i="1"/>
  <c r="BW1235" i="1"/>
  <c r="A1236" i="1"/>
  <c r="C1236" i="1"/>
  <c r="S1236" i="1"/>
  <c r="T1236" i="1"/>
  <c r="U1236" i="1"/>
  <c r="BB1236" i="1"/>
  <c r="BW1236" i="1"/>
  <c r="A1237" i="1"/>
  <c r="C1237" i="1"/>
  <c r="S1237" i="1"/>
  <c r="T1237" i="1"/>
  <c r="U1237" i="1"/>
  <c r="BB1237" i="1"/>
  <c r="BW1237" i="1"/>
  <c r="A1238" i="1"/>
  <c r="C1238" i="1"/>
  <c r="S1238" i="1"/>
  <c r="T1238" i="1"/>
  <c r="U1238" i="1"/>
  <c r="BB1238" i="1"/>
  <c r="BW1238" i="1"/>
  <c r="A1239" i="1"/>
  <c r="C1239" i="1"/>
  <c r="S1239" i="1"/>
  <c r="T1239" i="1"/>
  <c r="U1239" i="1"/>
  <c r="BB1239" i="1"/>
  <c r="BW1239" i="1"/>
  <c r="A1240" i="1"/>
  <c r="C1240" i="1"/>
  <c r="S1240" i="1"/>
  <c r="T1240" i="1"/>
  <c r="U1240" i="1"/>
  <c r="BB1240" i="1"/>
  <c r="BW1240" i="1"/>
  <c r="A1241" i="1"/>
  <c r="C1241" i="1"/>
  <c r="S1241" i="1"/>
  <c r="T1241" i="1"/>
  <c r="U1241" i="1"/>
  <c r="BB1241" i="1"/>
  <c r="BW1241" i="1"/>
  <c r="A1242" i="1"/>
  <c r="C1242" i="1"/>
  <c r="S1242" i="1"/>
  <c r="T1242" i="1"/>
  <c r="U1242" i="1"/>
  <c r="BB1242" i="1"/>
  <c r="BW1242" i="1"/>
  <c r="A1243" i="1"/>
  <c r="C1243" i="1"/>
  <c r="S1243" i="1"/>
  <c r="T1243" i="1"/>
  <c r="U1243" i="1"/>
  <c r="BB1243" i="1"/>
  <c r="BW1243" i="1"/>
  <c r="A1244" i="1"/>
  <c r="C1244" i="1"/>
  <c r="S1244" i="1"/>
  <c r="T1244" i="1"/>
  <c r="U1244" i="1"/>
  <c r="BB1244" i="1"/>
  <c r="BW1244" i="1"/>
  <c r="A1245" i="1"/>
  <c r="C1245" i="1"/>
  <c r="S1245" i="1"/>
  <c r="T1245" i="1"/>
  <c r="U1245" i="1"/>
  <c r="BB1245" i="1"/>
  <c r="BW1245" i="1"/>
  <c r="A1246" i="1"/>
  <c r="C1246" i="1"/>
  <c r="S1246" i="1"/>
  <c r="T1246" i="1"/>
  <c r="U1246" i="1"/>
  <c r="BB1246" i="1"/>
  <c r="BW1246" i="1"/>
  <c r="A1247" i="1"/>
  <c r="C1247" i="1"/>
  <c r="S1247" i="1"/>
  <c r="T1247" i="1"/>
  <c r="U1247" i="1"/>
  <c r="BB1247" i="1"/>
  <c r="BW1247" i="1"/>
  <c r="A1248" i="1"/>
  <c r="C1248" i="1"/>
  <c r="S1248" i="1"/>
  <c r="T1248" i="1"/>
  <c r="U1248" i="1"/>
  <c r="BB1248" i="1"/>
  <c r="BW1248" i="1"/>
  <c r="A1249" i="1"/>
  <c r="C1249" i="1"/>
  <c r="S1249" i="1"/>
  <c r="T1249" i="1"/>
  <c r="U1249" i="1"/>
  <c r="BB1249" i="1"/>
  <c r="BW1249" i="1"/>
  <c r="A1250" i="1"/>
  <c r="C1250" i="1"/>
  <c r="S1250" i="1"/>
  <c r="T1250" i="1"/>
  <c r="U1250" i="1"/>
  <c r="BB1250" i="1"/>
  <c r="BW1250" i="1"/>
  <c r="A1251" i="1"/>
  <c r="C1251" i="1"/>
  <c r="S1251" i="1"/>
  <c r="T1251" i="1"/>
  <c r="U1251" i="1"/>
  <c r="BB1251" i="1"/>
  <c r="BW1251" i="1"/>
  <c r="A1252" i="1"/>
  <c r="C1252" i="1"/>
  <c r="S1252" i="1"/>
  <c r="T1252" i="1"/>
  <c r="U1252" i="1"/>
  <c r="BB1252" i="1"/>
  <c r="BW1252" i="1"/>
  <c r="A1253" i="1"/>
  <c r="C1253" i="1"/>
  <c r="S1253" i="1"/>
  <c r="T1253" i="1"/>
  <c r="U1253" i="1"/>
  <c r="BB1253" i="1"/>
  <c r="BW1253" i="1"/>
  <c r="A1254" i="1"/>
  <c r="C1254" i="1"/>
  <c r="S1254" i="1"/>
  <c r="T1254" i="1"/>
  <c r="U1254" i="1"/>
  <c r="BB1254" i="1"/>
  <c r="BW1254" i="1"/>
  <c r="A1255" i="1"/>
  <c r="C1255" i="1"/>
  <c r="S1255" i="1"/>
  <c r="T1255" i="1"/>
  <c r="U1255" i="1"/>
  <c r="BB1255" i="1"/>
  <c r="BW1255" i="1"/>
  <c r="A1256" i="1"/>
  <c r="C1256" i="1"/>
  <c r="S1256" i="1"/>
  <c r="T1256" i="1"/>
  <c r="U1256" i="1"/>
  <c r="BB1256" i="1"/>
  <c r="BW1256" i="1"/>
  <c r="A1257" i="1"/>
  <c r="C1257" i="1"/>
  <c r="S1257" i="1"/>
  <c r="T1257" i="1"/>
  <c r="U1257" i="1"/>
  <c r="BB1257" i="1"/>
  <c r="BW1257" i="1"/>
  <c r="A1258" i="1"/>
  <c r="C1258" i="1"/>
  <c r="S1258" i="1"/>
  <c r="T1258" i="1"/>
  <c r="U1258" i="1"/>
  <c r="BB1258" i="1"/>
  <c r="BW1258" i="1"/>
  <c r="A1259" i="1"/>
  <c r="C1259" i="1"/>
  <c r="S1259" i="1"/>
  <c r="T1259" i="1"/>
  <c r="U1259" i="1"/>
  <c r="BB1259" i="1"/>
  <c r="BW1259" i="1"/>
  <c r="A1260" i="1"/>
  <c r="C1260" i="1"/>
  <c r="S1260" i="1"/>
  <c r="T1260" i="1"/>
  <c r="U1260" i="1"/>
  <c r="BB1260" i="1"/>
  <c r="BW1260" i="1"/>
  <c r="A1261" i="1"/>
  <c r="C1261" i="1"/>
  <c r="S1261" i="1"/>
  <c r="T1261" i="1"/>
  <c r="U1261" i="1"/>
  <c r="BB1261" i="1"/>
  <c r="BW1261" i="1"/>
  <c r="A1262" i="1"/>
  <c r="C1262" i="1"/>
  <c r="S1262" i="1"/>
  <c r="T1262" i="1"/>
  <c r="U1262" i="1"/>
  <c r="BB1262" i="1"/>
  <c r="BW1262" i="1"/>
  <c r="A1263" i="1"/>
  <c r="C1263" i="1"/>
  <c r="S1263" i="1"/>
  <c r="T1263" i="1"/>
  <c r="U1263" i="1"/>
  <c r="BB1263" i="1"/>
  <c r="BW1263" i="1"/>
  <c r="A1264" i="1"/>
  <c r="C1264" i="1"/>
  <c r="S1264" i="1"/>
  <c r="T1264" i="1"/>
  <c r="U1264" i="1"/>
  <c r="BB1264" i="1"/>
  <c r="BW1264" i="1"/>
  <c r="A1265" i="1"/>
  <c r="C1265" i="1"/>
  <c r="S1265" i="1"/>
  <c r="T1265" i="1"/>
  <c r="U1265" i="1"/>
  <c r="BB1265" i="1"/>
  <c r="BW1265" i="1"/>
  <c r="A1266" i="1"/>
  <c r="C1266" i="1"/>
  <c r="S1266" i="1"/>
  <c r="T1266" i="1"/>
  <c r="U1266" i="1"/>
  <c r="BB1266" i="1"/>
  <c r="BW1266" i="1"/>
  <c r="A1267" i="1"/>
  <c r="C1267" i="1"/>
  <c r="S1267" i="1"/>
  <c r="T1267" i="1"/>
  <c r="U1267" i="1"/>
  <c r="BB1267" i="1"/>
  <c r="BW1267" i="1"/>
  <c r="A1268" i="1"/>
  <c r="C1268" i="1"/>
  <c r="S1268" i="1"/>
  <c r="T1268" i="1"/>
  <c r="U1268" i="1"/>
  <c r="BB1268" i="1"/>
  <c r="BW1268" i="1"/>
  <c r="A1269" i="1"/>
  <c r="C1269" i="1"/>
  <c r="S1269" i="1"/>
  <c r="T1269" i="1"/>
  <c r="U1269" i="1"/>
  <c r="BB1269" i="1"/>
  <c r="BW1269" i="1"/>
  <c r="A1270" i="1"/>
  <c r="C1270" i="1"/>
  <c r="S1270" i="1"/>
  <c r="T1270" i="1"/>
  <c r="U1270" i="1"/>
  <c r="BB1270" i="1"/>
  <c r="BW1270" i="1"/>
  <c r="A1271" i="1"/>
  <c r="C1271" i="1"/>
  <c r="S1271" i="1"/>
  <c r="T1271" i="1"/>
  <c r="U1271" i="1"/>
  <c r="BB1271" i="1"/>
  <c r="BW1271" i="1"/>
  <c r="A1272" i="1"/>
  <c r="C1272" i="1"/>
  <c r="S1272" i="1"/>
  <c r="T1272" i="1"/>
  <c r="U1272" i="1"/>
  <c r="BB1272" i="1"/>
  <c r="BW1272" i="1"/>
  <c r="A1273" i="1"/>
  <c r="C1273" i="1"/>
  <c r="S1273" i="1"/>
  <c r="T1273" i="1"/>
  <c r="U1273" i="1"/>
  <c r="BB1273" i="1"/>
  <c r="BW1273" i="1"/>
  <c r="A1274" i="1"/>
  <c r="C1274" i="1"/>
  <c r="S1274" i="1"/>
  <c r="T1274" i="1"/>
  <c r="U1274" i="1"/>
  <c r="BB1274" i="1"/>
  <c r="BW1274" i="1"/>
  <c r="A1275" i="1"/>
  <c r="C1275" i="1"/>
  <c r="S1275" i="1"/>
  <c r="T1275" i="1"/>
  <c r="U1275" i="1"/>
  <c r="BB1275" i="1"/>
  <c r="BW1275" i="1"/>
  <c r="A1276" i="1"/>
  <c r="C1276" i="1"/>
  <c r="S1276" i="1"/>
  <c r="T1276" i="1"/>
  <c r="U1276" i="1"/>
  <c r="BB1276" i="1"/>
  <c r="BW1276" i="1"/>
  <c r="A1277" i="1"/>
  <c r="C1277" i="1"/>
  <c r="S1277" i="1"/>
  <c r="T1277" i="1"/>
  <c r="U1277" i="1"/>
  <c r="BB1277" i="1"/>
  <c r="BW1277" i="1"/>
  <c r="A1278" i="1"/>
  <c r="C1278" i="1"/>
  <c r="S1278" i="1"/>
  <c r="T1278" i="1"/>
  <c r="U1278" i="1"/>
  <c r="BB1278" i="1"/>
  <c r="BW1278" i="1"/>
  <c r="A1279" i="1"/>
  <c r="C1279" i="1"/>
  <c r="S1279" i="1"/>
  <c r="T1279" i="1"/>
  <c r="U1279" i="1"/>
  <c r="BB1279" i="1"/>
  <c r="BW1279" i="1"/>
  <c r="A1280" i="1"/>
  <c r="C1280" i="1"/>
  <c r="S1280" i="1"/>
  <c r="T1280" i="1"/>
  <c r="U1280" i="1"/>
  <c r="BB1280" i="1"/>
  <c r="BW1280" i="1"/>
  <c r="A1281" i="1"/>
  <c r="C1281" i="1"/>
  <c r="S1281" i="1"/>
  <c r="T1281" i="1"/>
  <c r="U1281" i="1"/>
  <c r="BB1281" i="1"/>
  <c r="BW1281" i="1"/>
  <c r="A1282" i="1"/>
  <c r="C1282" i="1"/>
  <c r="S1282" i="1"/>
  <c r="T1282" i="1"/>
  <c r="U1282" i="1"/>
  <c r="BB1282" i="1"/>
  <c r="BW1282" i="1"/>
  <c r="A1283" i="1"/>
  <c r="C1283" i="1"/>
  <c r="S1283" i="1"/>
  <c r="T1283" i="1"/>
  <c r="U1283" i="1"/>
  <c r="BB1283" i="1"/>
  <c r="BW1283" i="1"/>
  <c r="A1284" i="1"/>
  <c r="C1284" i="1"/>
  <c r="S1284" i="1"/>
  <c r="T1284" i="1"/>
  <c r="U1284" i="1"/>
  <c r="BB1284" i="1"/>
  <c r="BW1284" i="1"/>
  <c r="A1285" i="1"/>
  <c r="C1285" i="1"/>
  <c r="S1285" i="1"/>
  <c r="T1285" i="1"/>
  <c r="U1285" i="1"/>
  <c r="BB1285" i="1"/>
  <c r="BW1285" i="1"/>
  <c r="A1286" i="1"/>
  <c r="C1286" i="1"/>
  <c r="S1286" i="1"/>
  <c r="T1286" i="1"/>
  <c r="U1286" i="1"/>
  <c r="BB1286" i="1"/>
  <c r="BW1286" i="1"/>
  <c r="A1287" i="1"/>
  <c r="C1287" i="1"/>
  <c r="S1287" i="1"/>
  <c r="T1287" i="1"/>
  <c r="U1287" i="1"/>
  <c r="BB1287" i="1"/>
  <c r="BW1287" i="1"/>
  <c r="A1288" i="1"/>
  <c r="C1288" i="1"/>
  <c r="S1288" i="1"/>
  <c r="T1288" i="1"/>
  <c r="U1288" i="1"/>
  <c r="BB1288" i="1"/>
  <c r="BW1288" i="1"/>
  <c r="A1289" i="1"/>
  <c r="C1289" i="1"/>
  <c r="S1289" i="1"/>
  <c r="T1289" i="1"/>
  <c r="U1289" i="1"/>
  <c r="BB1289" i="1"/>
  <c r="BW1289" i="1"/>
  <c r="A1290" i="1"/>
  <c r="C1290" i="1"/>
  <c r="S1290" i="1"/>
  <c r="T1290" i="1"/>
  <c r="U1290" i="1"/>
  <c r="BB1290" i="1"/>
  <c r="BW1290" i="1"/>
  <c r="A1291" i="1"/>
  <c r="C1291" i="1"/>
  <c r="S1291" i="1"/>
  <c r="T1291" i="1"/>
  <c r="U1291" i="1"/>
  <c r="BB1291" i="1"/>
  <c r="BW1291" i="1"/>
  <c r="A1292" i="1"/>
  <c r="C1292" i="1"/>
  <c r="S1292" i="1"/>
  <c r="T1292" i="1"/>
  <c r="U1292" i="1"/>
  <c r="BB1292" i="1"/>
  <c r="BW1292" i="1"/>
  <c r="A1293" i="1"/>
  <c r="C1293" i="1"/>
  <c r="S1293" i="1"/>
  <c r="T1293" i="1"/>
  <c r="U1293" i="1"/>
  <c r="BB1293" i="1"/>
  <c r="BW1293" i="1"/>
  <c r="A1294" i="1"/>
  <c r="C1294" i="1"/>
  <c r="S1294" i="1"/>
  <c r="T1294" i="1"/>
  <c r="U1294" i="1"/>
  <c r="BB1294" i="1"/>
  <c r="BW1294" i="1"/>
  <c r="A1295" i="1"/>
  <c r="C1295" i="1"/>
  <c r="S1295" i="1"/>
  <c r="T1295" i="1"/>
  <c r="U1295" i="1"/>
  <c r="BB1295" i="1"/>
  <c r="BW1295" i="1"/>
  <c r="A1296" i="1"/>
  <c r="C1296" i="1"/>
  <c r="S1296" i="1"/>
  <c r="T1296" i="1"/>
  <c r="U1296" i="1"/>
  <c r="BB1296" i="1"/>
  <c r="BW1296" i="1"/>
  <c r="A1297" i="1"/>
  <c r="C1297" i="1"/>
  <c r="S1297" i="1"/>
  <c r="T1297" i="1"/>
  <c r="U1297" i="1"/>
  <c r="BB1297" i="1"/>
  <c r="BW1297" i="1"/>
  <c r="A1298" i="1"/>
  <c r="C1298" i="1"/>
  <c r="S1298" i="1"/>
  <c r="T1298" i="1"/>
  <c r="U1298" i="1"/>
  <c r="BB1298" i="1"/>
  <c r="BW1298" i="1"/>
  <c r="A1299" i="1"/>
  <c r="C1299" i="1"/>
  <c r="S1299" i="1"/>
  <c r="T1299" i="1"/>
  <c r="U1299" i="1"/>
  <c r="BB1299" i="1"/>
  <c r="BW1299" i="1"/>
  <c r="A1300" i="1"/>
  <c r="C1300" i="1"/>
  <c r="S1300" i="1"/>
  <c r="T1300" i="1"/>
  <c r="U1300" i="1"/>
  <c r="BB1300" i="1"/>
  <c r="BW1300" i="1"/>
  <c r="A1301" i="1"/>
  <c r="C1301" i="1"/>
  <c r="S1301" i="1"/>
  <c r="T1301" i="1"/>
  <c r="U1301" i="1"/>
  <c r="BB1301" i="1"/>
  <c r="BW1301" i="1"/>
  <c r="A1302" i="1"/>
  <c r="C1302" i="1"/>
  <c r="S1302" i="1"/>
  <c r="T1302" i="1"/>
  <c r="U1302" i="1"/>
  <c r="BB1302" i="1"/>
  <c r="BW1302" i="1"/>
  <c r="A1303" i="1"/>
  <c r="C1303" i="1"/>
  <c r="S1303" i="1"/>
  <c r="T1303" i="1"/>
  <c r="U1303" i="1"/>
  <c r="BB1303" i="1"/>
  <c r="BW1303" i="1"/>
  <c r="A1304" i="1"/>
  <c r="C1304" i="1"/>
  <c r="S1304" i="1"/>
  <c r="T1304" i="1"/>
  <c r="U1304" i="1"/>
  <c r="BB1304" i="1"/>
  <c r="BW1304" i="1"/>
  <c r="A1305" i="1"/>
  <c r="C1305" i="1"/>
  <c r="S1305" i="1"/>
  <c r="T1305" i="1"/>
  <c r="U1305" i="1"/>
  <c r="BB1305" i="1"/>
  <c r="BW1305" i="1"/>
  <c r="A1306" i="1"/>
  <c r="C1306" i="1"/>
  <c r="S1306" i="1"/>
  <c r="T1306" i="1"/>
  <c r="U1306" i="1"/>
  <c r="BB1306" i="1"/>
  <c r="BW1306" i="1"/>
  <c r="A1307" i="1"/>
  <c r="C1307" i="1"/>
  <c r="S1307" i="1"/>
  <c r="T1307" i="1"/>
  <c r="U1307" i="1"/>
  <c r="BB1307" i="1"/>
  <c r="BW1307" i="1"/>
  <c r="A1308" i="1"/>
  <c r="C1308" i="1"/>
  <c r="S1308" i="1"/>
  <c r="T1308" i="1"/>
  <c r="U1308" i="1"/>
  <c r="BB1308" i="1"/>
  <c r="BW1308" i="1"/>
  <c r="A1309" i="1"/>
  <c r="C1309" i="1"/>
  <c r="S1309" i="1"/>
  <c r="T1309" i="1"/>
  <c r="U1309" i="1"/>
  <c r="BB1309" i="1"/>
  <c r="BW1309" i="1"/>
  <c r="A1310" i="1"/>
  <c r="C1310" i="1"/>
  <c r="S1310" i="1"/>
  <c r="T1310" i="1"/>
  <c r="U1310" i="1"/>
  <c r="BB1310" i="1"/>
  <c r="BW1310" i="1"/>
  <c r="A1311" i="1"/>
  <c r="C1311" i="1"/>
  <c r="S1311" i="1"/>
  <c r="T1311" i="1"/>
  <c r="U1311" i="1"/>
  <c r="BB1311" i="1"/>
  <c r="BW1311" i="1"/>
  <c r="A1312" i="1"/>
  <c r="C1312" i="1"/>
  <c r="S1312" i="1"/>
  <c r="T1312" i="1"/>
  <c r="U1312" i="1"/>
  <c r="BB1312" i="1"/>
  <c r="BW1312" i="1"/>
  <c r="A1313" i="1"/>
  <c r="C1313" i="1"/>
  <c r="S1313" i="1"/>
  <c r="T1313" i="1"/>
  <c r="U1313" i="1"/>
  <c r="BB1313" i="1"/>
  <c r="BW1313" i="1"/>
  <c r="A1314" i="1"/>
  <c r="C1314" i="1"/>
  <c r="S1314" i="1"/>
  <c r="T1314" i="1"/>
  <c r="U1314" i="1"/>
  <c r="BB1314" i="1"/>
  <c r="BW1314" i="1"/>
  <c r="A1315" i="1"/>
  <c r="C1315" i="1"/>
  <c r="S1315" i="1"/>
  <c r="T1315" i="1"/>
  <c r="U1315" i="1"/>
  <c r="BB1315" i="1"/>
  <c r="BW1315" i="1"/>
  <c r="A1316" i="1"/>
  <c r="C1316" i="1"/>
  <c r="S1316" i="1"/>
  <c r="T1316" i="1"/>
  <c r="U1316" i="1"/>
  <c r="BB1316" i="1"/>
  <c r="BW1316" i="1"/>
  <c r="A1317" i="1"/>
  <c r="C1317" i="1"/>
  <c r="S1317" i="1"/>
  <c r="T1317" i="1"/>
  <c r="U1317" i="1"/>
  <c r="BB1317" i="1"/>
  <c r="BW1317" i="1"/>
  <c r="A1318" i="1"/>
  <c r="C1318" i="1"/>
  <c r="S1318" i="1"/>
  <c r="T1318" i="1"/>
  <c r="U1318" i="1"/>
  <c r="BB1318" i="1"/>
  <c r="BW1318" i="1"/>
  <c r="A1319" i="1"/>
  <c r="C1319" i="1"/>
  <c r="S1319" i="1"/>
  <c r="T1319" i="1"/>
  <c r="U1319" i="1"/>
  <c r="BB1319" i="1"/>
  <c r="BW1319" i="1"/>
  <c r="A1320" i="1"/>
  <c r="C1320" i="1"/>
  <c r="S1320" i="1"/>
  <c r="T1320" i="1"/>
  <c r="U1320" i="1"/>
  <c r="BB1320" i="1"/>
  <c r="BW1320" i="1"/>
  <c r="A1321" i="1"/>
  <c r="C1321" i="1"/>
  <c r="S1321" i="1"/>
  <c r="T1321" i="1"/>
  <c r="U1321" i="1"/>
  <c r="BB1321" i="1"/>
  <c r="BW1321" i="1"/>
  <c r="A1322" i="1"/>
  <c r="C1322" i="1"/>
  <c r="S1322" i="1"/>
  <c r="T1322" i="1"/>
  <c r="U1322" i="1"/>
  <c r="BB1322" i="1"/>
  <c r="BW1322" i="1"/>
  <c r="A1323" i="1"/>
  <c r="C1323" i="1"/>
  <c r="S1323" i="1"/>
  <c r="T1323" i="1"/>
  <c r="U1323" i="1"/>
  <c r="BB1323" i="1"/>
  <c r="BW1323" i="1"/>
  <c r="A1324" i="1"/>
  <c r="C1324" i="1"/>
  <c r="S1324" i="1"/>
  <c r="T1324" i="1"/>
  <c r="U1324" i="1"/>
  <c r="BB1324" i="1"/>
  <c r="BW1324" i="1"/>
  <c r="A1325" i="1"/>
  <c r="C1325" i="1"/>
  <c r="S1325" i="1"/>
  <c r="T1325" i="1"/>
  <c r="U1325" i="1"/>
  <c r="BB1325" i="1"/>
  <c r="BW1325" i="1"/>
  <c r="A1326" i="1"/>
  <c r="C1326" i="1"/>
  <c r="S1326" i="1"/>
  <c r="T1326" i="1"/>
  <c r="U1326" i="1"/>
  <c r="BB1326" i="1"/>
  <c r="BW1326" i="1"/>
  <c r="A1327" i="1"/>
  <c r="C1327" i="1"/>
  <c r="S1327" i="1"/>
  <c r="T1327" i="1"/>
  <c r="U1327" i="1"/>
  <c r="BB1327" i="1"/>
  <c r="BW1327" i="1"/>
  <c r="A1328" i="1"/>
  <c r="C1328" i="1"/>
  <c r="S1328" i="1"/>
  <c r="T1328" i="1"/>
  <c r="U1328" i="1"/>
  <c r="BB1328" i="1"/>
  <c r="BW1328" i="1"/>
  <c r="A1329" i="1"/>
  <c r="C1329" i="1"/>
  <c r="S1329" i="1"/>
  <c r="T1329" i="1"/>
  <c r="U1329" i="1"/>
  <c r="BB1329" i="1"/>
  <c r="BW1329" i="1"/>
  <c r="A1330" i="1"/>
  <c r="C1330" i="1"/>
  <c r="S1330" i="1"/>
  <c r="T1330" i="1"/>
  <c r="U1330" i="1"/>
  <c r="BB1330" i="1"/>
  <c r="BW1330" i="1"/>
  <c r="A1331" i="1"/>
  <c r="C1331" i="1"/>
  <c r="S1331" i="1"/>
  <c r="T1331" i="1"/>
  <c r="U1331" i="1"/>
  <c r="BB1331" i="1"/>
  <c r="BW1331" i="1"/>
  <c r="A1332" i="1"/>
  <c r="C1332" i="1"/>
  <c r="S1332" i="1"/>
  <c r="T1332" i="1"/>
  <c r="U1332" i="1"/>
  <c r="BB1332" i="1"/>
  <c r="BW1332" i="1"/>
  <c r="A1333" i="1"/>
  <c r="C1333" i="1"/>
  <c r="S1333" i="1"/>
  <c r="T1333" i="1"/>
  <c r="U1333" i="1"/>
  <c r="BB1333" i="1"/>
  <c r="BW1333" i="1"/>
  <c r="A1334" i="1"/>
  <c r="C1334" i="1"/>
  <c r="S1334" i="1"/>
  <c r="T1334" i="1"/>
  <c r="U1334" i="1"/>
  <c r="BB1334" i="1"/>
  <c r="BW1334" i="1"/>
  <c r="A1335" i="1"/>
  <c r="C1335" i="1"/>
  <c r="S1335" i="1"/>
  <c r="T1335" i="1"/>
  <c r="U1335" i="1"/>
  <c r="BB1335" i="1"/>
  <c r="BW1335" i="1"/>
  <c r="A1336" i="1"/>
  <c r="C1336" i="1"/>
  <c r="S1336" i="1"/>
  <c r="T1336" i="1"/>
  <c r="U1336" i="1"/>
  <c r="BB1336" i="1"/>
  <c r="BW1336" i="1"/>
  <c r="A1337" i="1"/>
  <c r="C1337" i="1"/>
  <c r="S1337" i="1"/>
  <c r="T1337" i="1"/>
  <c r="U1337" i="1"/>
  <c r="BB1337" i="1"/>
  <c r="BW1337" i="1"/>
  <c r="A1338" i="1"/>
  <c r="C1338" i="1"/>
  <c r="S1338" i="1"/>
  <c r="T1338" i="1"/>
  <c r="U1338" i="1"/>
  <c r="BB1338" i="1"/>
  <c r="BW1338" i="1"/>
  <c r="A1339" i="1"/>
  <c r="C1339" i="1"/>
  <c r="S1339" i="1"/>
  <c r="T1339" i="1"/>
  <c r="U1339" i="1"/>
  <c r="BB1339" i="1"/>
  <c r="BW1339" i="1"/>
  <c r="A1340" i="1"/>
  <c r="C1340" i="1"/>
  <c r="S1340" i="1"/>
  <c r="T1340" i="1"/>
  <c r="U1340" i="1"/>
  <c r="BB1340" i="1"/>
  <c r="BW1340" i="1"/>
  <c r="A1341" i="1"/>
  <c r="C1341" i="1"/>
  <c r="S1341" i="1"/>
  <c r="T1341" i="1"/>
  <c r="U1341" i="1"/>
  <c r="BB1341" i="1"/>
  <c r="BW1341" i="1"/>
  <c r="A1342" i="1"/>
  <c r="C1342" i="1"/>
  <c r="S1342" i="1"/>
  <c r="T1342" i="1"/>
  <c r="U1342" i="1"/>
  <c r="BB1342" i="1"/>
  <c r="BW1342" i="1"/>
  <c r="A1343" i="1"/>
  <c r="C1343" i="1"/>
  <c r="S1343" i="1"/>
  <c r="T1343" i="1"/>
  <c r="U1343" i="1"/>
  <c r="BB1343" i="1"/>
  <c r="BW1343" i="1"/>
  <c r="A1344" i="1"/>
  <c r="C1344" i="1"/>
  <c r="S1344" i="1"/>
  <c r="T1344" i="1"/>
  <c r="U1344" i="1"/>
  <c r="BB1344" i="1"/>
  <c r="BW1344" i="1"/>
  <c r="A1345" i="1"/>
  <c r="C1345" i="1"/>
  <c r="S1345" i="1"/>
  <c r="T1345" i="1"/>
  <c r="U1345" i="1"/>
  <c r="BB1345" i="1"/>
  <c r="BW1345" i="1"/>
  <c r="A1346" i="1"/>
  <c r="C1346" i="1"/>
  <c r="S1346" i="1"/>
  <c r="T1346" i="1"/>
  <c r="U1346" i="1"/>
  <c r="BB1346" i="1"/>
  <c r="BW1346" i="1"/>
  <c r="A1347" i="1"/>
  <c r="C1347" i="1"/>
  <c r="S1347" i="1"/>
  <c r="T1347" i="1"/>
  <c r="U1347" i="1"/>
  <c r="BB1347" i="1"/>
  <c r="BW1347" i="1"/>
  <c r="A1348" i="1"/>
  <c r="C1348" i="1"/>
  <c r="S1348" i="1"/>
  <c r="T1348" i="1"/>
  <c r="U1348" i="1"/>
  <c r="BB1348" i="1"/>
  <c r="BW1348" i="1"/>
  <c r="A1349" i="1"/>
  <c r="C1349" i="1"/>
  <c r="S1349" i="1"/>
  <c r="T1349" i="1"/>
  <c r="U1349" i="1"/>
  <c r="BB1349" i="1"/>
  <c r="BW1349" i="1"/>
  <c r="A1350" i="1"/>
  <c r="C1350" i="1"/>
  <c r="S1350" i="1"/>
  <c r="T1350" i="1"/>
  <c r="U1350" i="1"/>
  <c r="BB1350" i="1"/>
  <c r="BW1350" i="1"/>
  <c r="A1351" i="1"/>
  <c r="C1351" i="1"/>
  <c r="S1351" i="1"/>
  <c r="T1351" i="1"/>
  <c r="U1351" i="1"/>
  <c r="BB1351" i="1"/>
  <c r="BW1351" i="1"/>
  <c r="A1352" i="1"/>
  <c r="C1352" i="1"/>
  <c r="S1352" i="1"/>
  <c r="T1352" i="1"/>
  <c r="U1352" i="1"/>
  <c r="BB1352" i="1"/>
  <c r="BW1352" i="1"/>
  <c r="A1353" i="1"/>
  <c r="C1353" i="1"/>
  <c r="S1353" i="1"/>
  <c r="T1353" i="1"/>
  <c r="U1353" i="1"/>
  <c r="BB1353" i="1"/>
  <c r="BW1353" i="1"/>
  <c r="A1354" i="1"/>
  <c r="C1354" i="1"/>
  <c r="S1354" i="1"/>
  <c r="T1354" i="1"/>
  <c r="U1354" i="1"/>
  <c r="BB1354" i="1"/>
  <c r="BW1354" i="1"/>
  <c r="A1355" i="1"/>
  <c r="C1355" i="1"/>
  <c r="S1355" i="1"/>
  <c r="T1355" i="1"/>
  <c r="U1355" i="1"/>
  <c r="BB1355" i="1"/>
  <c r="BW1355" i="1"/>
  <c r="A1356" i="1"/>
  <c r="C1356" i="1"/>
  <c r="S1356" i="1"/>
  <c r="T1356" i="1"/>
  <c r="U1356" i="1"/>
  <c r="BB1356" i="1"/>
  <c r="BW1356" i="1"/>
  <c r="A1357" i="1"/>
  <c r="C1357" i="1"/>
  <c r="S1357" i="1"/>
  <c r="T1357" i="1"/>
  <c r="U1357" i="1"/>
  <c r="BB1357" i="1"/>
  <c r="BW1357" i="1"/>
  <c r="A1358" i="1"/>
  <c r="C1358" i="1"/>
  <c r="S1358" i="1"/>
  <c r="T1358" i="1"/>
  <c r="U1358" i="1"/>
  <c r="BB1358" i="1"/>
  <c r="BW1358" i="1"/>
  <c r="A1359" i="1"/>
  <c r="C1359" i="1"/>
  <c r="S1359" i="1"/>
  <c r="T1359" i="1"/>
  <c r="U1359" i="1"/>
  <c r="BB1359" i="1"/>
  <c r="BW1359" i="1"/>
  <c r="A1360" i="1"/>
  <c r="C1360" i="1"/>
  <c r="S1360" i="1"/>
  <c r="T1360" i="1"/>
  <c r="U1360" i="1"/>
  <c r="BB1360" i="1"/>
  <c r="BW1360" i="1"/>
  <c r="A1361" i="1"/>
  <c r="C1361" i="1"/>
  <c r="S1361" i="1"/>
  <c r="T1361" i="1"/>
  <c r="U1361" i="1"/>
  <c r="BB1361" i="1"/>
  <c r="BW1361" i="1"/>
  <c r="A1362" i="1"/>
  <c r="C1362" i="1"/>
  <c r="S1362" i="1"/>
  <c r="T1362" i="1"/>
  <c r="U1362" i="1"/>
  <c r="BB1362" i="1"/>
  <c r="BW1362" i="1"/>
  <c r="A1363" i="1"/>
  <c r="C1363" i="1"/>
  <c r="S1363" i="1"/>
  <c r="T1363" i="1"/>
  <c r="U1363" i="1"/>
  <c r="BB1363" i="1"/>
  <c r="BW1363" i="1"/>
  <c r="A1364" i="1"/>
  <c r="C1364" i="1"/>
  <c r="S1364" i="1"/>
  <c r="T1364" i="1"/>
  <c r="U1364" i="1"/>
  <c r="BB1364" i="1"/>
  <c r="BW1364" i="1"/>
  <c r="A1365" i="1"/>
  <c r="C1365" i="1"/>
  <c r="S1365" i="1"/>
  <c r="T1365" i="1"/>
  <c r="U1365" i="1"/>
  <c r="BB1365" i="1"/>
  <c r="BW1365" i="1"/>
  <c r="A1366" i="1"/>
  <c r="C1366" i="1"/>
  <c r="S1366" i="1"/>
  <c r="T1366" i="1"/>
  <c r="U1366" i="1"/>
  <c r="BB1366" i="1"/>
  <c r="BW1366" i="1"/>
  <c r="A1367" i="1"/>
  <c r="C1367" i="1"/>
  <c r="S1367" i="1"/>
  <c r="T1367" i="1"/>
  <c r="U1367" i="1"/>
  <c r="BB1367" i="1"/>
  <c r="BW1367" i="1"/>
  <c r="A1368" i="1"/>
  <c r="C1368" i="1"/>
  <c r="S1368" i="1"/>
  <c r="T1368" i="1"/>
  <c r="U1368" i="1"/>
  <c r="BB1368" i="1"/>
  <c r="BW1368" i="1"/>
  <c r="A1369" i="1"/>
  <c r="C1369" i="1"/>
  <c r="S1369" i="1"/>
  <c r="T1369" i="1"/>
  <c r="U1369" i="1"/>
  <c r="BB1369" i="1"/>
  <c r="BW1369" i="1"/>
  <c r="A1370" i="1"/>
  <c r="C1370" i="1"/>
  <c r="S1370" i="1"/>
  <c r="T1370" i="1"/>
  <c r="U1370" i="1"/>
  <c r="BB1370" i="1"/>
  <c r="BW1370" i="1"/>
  <c r="A1371" i="1"/>
  <c r="C1371" i="1"/>
  <c r="S1371" i="1"/>
  <c r="T1371" i="1"/>
  <c r="U1371" i="1"/>
  <c r="BB1371" i="1"/>
  <c r="BW1371" i="1"/>
  <c r="A1372" i="1"/>
  <c r="C1372" i="1"/>
  <c r="S1372" i="1"/>
  <c r="T1372" i="1"/>
  <c r="U1372" i="1"/>
  <c r="BB1372" i="1"/>
  <c r="BW1372" i="1"/>
  <c r="A1373" i="1"/>
  <c r="C1373" i="1"/>
  <c r="S1373" i="1"/>
  <c r="T1373" i="1"/>
  <c r="U1373" i="1"/>
  <c r="BB1373" i="1"/>
  <c r="BW1373" i="1"/>
  <c r="A1374" i="1"/>
  <c r="C1374" i="1"/>
  <c r="S1374" i="1"/>
  <c r="T1374" i="1"/>
  <c r="U1374" i="1"/>
  <c r="BB1374" i="1"/>
  <c r="BW1374" i="1"/>
  <c r="A1375" i="1"/>
  <c r="C1375" i="1"/>
  <c r="S1375" i="1"/>
  <c r="T1375" i="1"/>
  <c r="U1375" i="1"/>
  <c r="BB1375" i="1"/>
  <c r="BW1375" i="1"/>
  <c r="A1376" i="1"/>
  <c r="C1376" i="1"/>
  <c r="S1376" i="1"/>
  <c r="T1376" i="1"/>
  <c r="U1376" i="1"/>
  <c r="BB1376" i="1"/>
  <c r="BW1376" i="1"/>
  <c r="A1377" i="1"/>
  <c r="C1377" i="1"/>
  <c r="S1377" i="1"/>
  <c r="T1377" i="1"/>
  <c r="U1377" i="1"/>
  <c r="BB1377" i="1"/>
  <c r="BW1377" i="1"/>
  <c r="A1378" i="1"/>
  <c r="C1378" i="1"/>
  <c r="S1378" i="1"/>
  <c r="T1378" i="1"/>
  <c r="U1378" i="1"/>
  <c r="BB1378" i="1"/>
  <c r="BW1378" i="1"/>
  <c r="A1379" i="1"/>
  <c r="C1379" i="1"/>
  <c r="S1379" i="1"/>
  <c r="T1379" i="1"/>
  <c r="U1379" i="1"/>
  <c r="BB1379" i="1"/>
  <c r="BW1379" i="1"/>
  <c r="A1380" i="1"/>
  <c r="C1380" i="1"/>
  <c r="S1380" i="1"/>
  <c r="T1380" i="1"/>
  <c r="U1380" i="1"/>
  <c r="BB1380" i="1"/>
  <c r="BW1380" i="1"/>
  <c r="A1381" i="1"/>
  <c r="C1381" i="1"/>
  <c r="S1381" i="1"/>
  <c r="T1381" i="1"/>
  <c r="U1381" i="1"/>
  <c r="BB1381" i="1"/>
  <c r="BW1381" i="1"/>
  <c r="A1382" i="1"/>
  <c r="C1382" i="1"/>
  <c r="S1382" i="1"/>
  <c r="T1382" i="1"/>
  <c r="U1382" i="1"/>
  <c r="BB1382" i="1"/>
  <c r="BW1382" i="1"/>
  <c r="A1383" i="1"/>
  <c r="C1383" i="1"/>
  <c r="S1383" i="1"/>
  <c r="T1383" i="1"/>
  <c r="U1383" i="1"/>
  <c r="BB1383" i="1"/>
  <c r="BW1383" i="1"/>
  <c r="A1384" i="1"/>
  <c r="C1384" i="1"/>
  <c r="S1384" i="1"/>
  <c r="T1384" i="1"/>
  <c r="U1384" i="1"/>
  <c r="BB1384" i="1"/>
  <c r="BW1384" i="1"/>
  <c r="A1385" i="1"/>
  <c r="C1385" i="1"/>
  <c r="S1385" i="1"/>
  <c r="T1385" i="1"/>
  <c r="U1385" i="1"/>
  <c r="BB1385" i="1"/>
  <c r="BW1385" i="1"/>
  <c r="A1386" i="1"/>
  <c r="C1386" i="1"/>
  <c r="S1386" i="1"/>
  <c r="T1386" i="1"/>
  <c r="U1386" i="1"/>
  <c r="BB1386" i="1"/>
  <c r="BW1386" i="1"/>
  <c r="A1387" i="1"/>
  <c r="C1387" i="1"/>
  <c r="S1387" i="1"/>
  <c r="T1387" i="1"/>
  <c r="U1387" i="1"/>
  <c r="BB1387" i="1"/>
  <c r="BW1387" i="1"/>
  <c r="A1388" i="1"/>
  <c r="C1388" i="1"/>
  <c r="S1388" i="1"/>
  <c r="T1388" i="1"/>
  <c r="U1388" i="1"/>
  <c r="BB1388" i="1"/>
  <c r="BW1388" i="1"/>
  <c r="A1389" i="1"/>
  <c r="C1389" i="1"/>
  <c r="S1389" i="1"/>
  <c r="T1389" i="1"/>
  <c r="U1389" i="1"/>
  <c r="BB1389" i="1"/>
  <c r="BW1389" i="1"/>
  <c r="A1390" i="1"/>
  <c r="C1390" i="1"/>
  <c r="S1390" i="1"/>
  <c r="T1390" i="1"/>
  <c r="U1390" i="1"/>
  <c r="BB1390" i="1"/>
  <c r="BW1390" i="1"/>
  <c r="A1391" i="1"/>
  <c r="C1391" i="1"/>
  <c r="S1391" i="1"/>
  <c r="T1391" i="1"/>
  <c r="U1391" i="1"/>
  <c r="BB1391" i="1"/>
  <c r="BW1391" i="1"/>
  <c r="A1392" i="1"/>
  <c r="C1392" i="1"/>
  <c r="S1392" i="1"/>
  <c r="T1392" i="1"/>
  <c r="U1392" i="1"/>
  <c r="BB1392" i="1"/>
  <c r="BW1392" i="1"/>
  <c r="A1393" i="1"/>
  <c r="C1393" i="1"/>
  <c r="S1393" i="1"/>
  <c r="T1393" i="1"/>
  <c r="U1393" i="1"/>
  <c r="BB1393" i="1"/>
  <c r="BW1393" i="1"/>
  <c r="A1394" i="1"/>
  <c r="C1394" i="1"/>
  <c r="S1394" i="1"/>
  <c r="T1394" i="1"/>
  <c r="U1394" i="1"/>
  <c r="BB1394" i="1"/>
  <c r="BW1394" i="1"/>
  <c r="A1395" i="1"/>
  <c r="C1395" i="1"/>
  <c r="S1395" i="1"/>
  <c r="T1395" i="1"/>
  <c r="U1395" i="1"/>
  <c r="BB1395" i="1"/>
  <c r="BW1395" i="1"/>
  <c r="A1396" i="1"/>
  <c r="C1396" i="1"/>
  <c r="S1396" i="1"/>
  <c r="T1396" i="1"/>
  <c r="U1396" i="1"/>
  <c r="BB1396" i="1"/>
  <c r="BW1396" i="1"/>
  <c r="A1397" i="1"/>
  <c r="C1397" i="1"/>
  <c r="S1397" i="1"/>
  <c r="T1397" i="1"/>
  <c r="U1397" i="1"/>
  <c r="BB1397" i="1"/>
  <c r="BW1397" i="1"/>
  <c r="A1398" i="1"/>
  <c r="C1398" i="1"/>
  <c r="S1398" i="1"/>
  <c r="T1398" i="1"/>
  <c r="U1398" i="1"/>
  <c r="BB1398" i="1"/>
  <c r="BW1398" i="1"/>
  <c r="A1399" i="1"/>
  <c r="C1399" i="1"/>
  <c r="S1399" i="1"/>
  <c r="T1399" i="1"/>
  <c r="U1399" i="1"/>
  <c r="BB1399" i="1"/>
  <c r="BW1399" i="1"/>
  <c r="A1400" i="1"/>
  <c r="C1400" i="1"/>
  <c r="S1400" i="1"/>
  <c r="T1400" i="1"/>
  <c r="U1400" i="1"/>
  <c r="BB1400" i="1"/>
  <c r="BW1400" i="1"/>
  <c r="A1401" i="1"/>
  <c r="C1401" i="1"/>
  <c r="S1401" i="1"/>
  <c r="T1401" i="1"/>
  <c r="U1401" i="1"/>
  <c r="BB1401" i="1"/>
  <c r="BW1401" i="1"/>
  <c r="A1402" i="1"/>
  <c r="C1402" i="1"/>
  <c r="S1402" i="1"/>
  <c r="T1402" i="1"/>
  <c r="U1402" i="1"/>
  <c r="BB1402" i="1"/>
  <c r="BW1402" i="1"/>
  <c r="A1403" i="1"/>
  <c r="C1403" i="1"/>
  <c r="S1403" i="1"/>
  <c r="T1403" i="1"/>
  <c r="U1403" i="1"/>
  <c r="BB1403" i="1"/>
  <c r="BW1403" i="1"/>
  <c r="A1404" i="1"/>
  <c r="C1404" i="1"/>
  <c r="S1404" i="1"/>
  <c r="T1404" i="1"/>
  <c r="U1404" i="1"/>
  <c r="BB1404" i="1"/>
  <c r="BW1404" i="1"/>
  <c r="A1405" i="1"/>
  <c r="C1405" i="1"/>
  <c r="S1405" i="1"/>
  <c r="T1405" i="1"/>
  <c r="U1405" i="1"/>
  <c r="BB1405" i="1"/>
  <c r="BW1405" i="1"/>
  <c r="A1406" i="1"/>
  <c r="C1406" i="1"/>
  <c r="S1406" i="1"/>
  <c r="T1406" i="1"/>
  <c r="U1406" i="1"/>
  <c r="BB1406" i="1"/>
  <c r="BW1406" i="1"/>
  <c r="A1407" i="1"/>
  <c r="C1407" i="1"/>
  <c r="S1407" i="1"/>
  <c r="T1407" i="1"/>
  <c r="U1407" i="1"/>
  <c r="BB1407" i="1"/>
  <c r="BW1407" i="1"/>
  <c r="A1408" i="1"/>
  <c r="C1408" i="1"/>
  <c r="S1408" i="1"/>
  <c r="T1408" i="1"/>
  <c r="U1408" i="1"/>
  <c r="BB1408" i="1"/>
  <c r="BW1408" i="1"/>
  <c r="A1409" i="1"/>
  <c r="C1409" i="1"/>
  <c r="S1409" i="1"/>
  <c r="T1409" i="1"/>
  <c r="U1409" i="1"/>
  <c r="BB1409" i="1"/>
  <c r="BW1409" i="1"/>
  <c r="A1410" i="1"/>
  <c r="C1410" i="1"/>
  <c r="S1410" i="1"/>
  <c r="T1410" i="1"/>
  <c r="U1410" i="1"/>
  <c r="BB1410" i="1"/>
  <c r="BW1410" i="1"/>
  <c r="A1411" i="1"/>
  <c r="C1411" i="1"/>
  <c r="S1411" i="1"/>
  <c r="T1411" i="1"/>
  <c r="U1411" i="1"/>
  <c r="BB1411" i="1"/>
  <c r="BW1411" i="1"/>
  <c r="A1412" i="1"/>
  <c r="C1412" i="1"/>
  <c r="S1412" i="1"/>
  <c r="T1412" i="1"/>
  <c r="U1412" i="1"/>
  <c r="BB1412" i="1"/>
  <c r="BW1412" i="1"/>
  <c r="A1413" i="1"/>
  <c r="C1413" i="1"/>
  <c r="S1413" i="1"/>
  <c r="T1413" i="1"/>
  <c r="U1413" i="1"/>
  <c r="BB1413" i="1"/>
  <c r="BW1413" i="1"/>
  <c r="A1414" i="1"/>
  <c r="C1414" i="1"/>
  <c r="S1414" i="1"/>
  <c r="T1414" i="1"/>
  <c r="U1414" i="1"/>
  <c r="BB1414" i="1"/>
  <c r="BW1414" i="1"/>
  <c r="A1415" i="1"/>
  <c r="C1415" i="1"/>
  <c r="S1415" i="1"/>
  <c r="T1415" i="1"/>
  <c r="U1415" i="1"/>
  <c r="BB1415" i="1"/>
  <c r="BW1415" i="1"/>
  <c r="A1416" i="1"/>
  <c r="C1416" i="1"/>
  <c r="S1416" i="1"/>
  <c r="T1416" i="1"/>
  <c r="U1416" i="1"/>
  <c r="BB1416" i="1"/>
  <c r="BW1416" i="1"/>
  <c r="A1417" i="1"/>
  <c r="C1417" i="1"/>
  <c r="S1417" i="1"/>
  <c r="T1417" i="1"/>
  <c r="U1417" i="1"/>
  <c r="BB1417" i="1"/>
  <c r="BW1417" i="1"/>
  <c r="A1418" i="1"/>
  <c r="C1418" i="1"/>
  <c r="S1418" i="1"/>
  <c r="T1418" i="1"/>
  <c r="U1418" i="1"/>
  <c r="BB1418" i="1"/>
  <c r="BW1418" i="1"/>
  <c r="A1419" i="1"/>
  <c r="C1419" i="1"/>
  <c r="S1419" i="1"/>
  <c r="T1419" i="1"/>
  <c r="U1419" i="1"/>
  <c r="BB1419" i="1"/>
  <c r="BW1419" i="1"/>
  <c r="A1420" i="1"/>
  <c r="C1420" i="1"/>
  <c r="S1420" i="1"/>
  <c r="T1420" i="1"/>
  <c r="U1420" i="1"/>
  <c r="BB1420" i="1"/>
  <c r="BW1420" i="1"/>
  <c r="A1421" i="1"/>
  <c r="C1421" i="1"/>
  <c r="S1421" i="1"/>
  <c r="T1421" i="1"/>
  <c r="U1421" i="1"/>
  <c r="BB1421" i="1"/>
  <c r="BW1421" i="1"/>
  <c r="A1422" i="1"/>
  <c r="C1422" i="1"/>
  <c r="S1422" i="1"/>
  <c r="T1422" i="1"/>
  <c r="U1422" i="1"/>
  <c r="BB1422" i="1"/>
  <c r="BW1422" i="1"/>
  <c r="A1423" i="1"/>
  <c r="C1423" i="1"/>
  <c r="S1423" i="1"/>
  <c r="T1423" i="1"/>
  <c r="U1423" i="1"/>
  <c r="BB1423" i="1"/>
  <c r="BW1423" i="1"/>
  <c r="A1424" i="1"/>
  <c r="C1424" i="1"/>
  <c r="S1424" i="1"/>
  <c r="T1424" i="1"/>
  <c r="U1424" i="1"/>
  <c r="BB1424" i="1"/>
  <c r="BW1424" i="1"/>
  <c r="A1425" i="1"/>
  <c r="C1425" i="1"/>
  <c r="S1425" i="1"/>
  <c r="T1425" i="1"/>
  <c r="U1425" i="1"/>
  <c r="BB1425" i="1"/>
  <c r="BW1425" i="1"/>
  <c r="A1426" i="1"/>
  <c r="C1426" i="1"/>
  <c r="S1426" i="1"/>
  <c r="T1426" i="1"/>
  <c r="U1426" i="1"/>
  <c r="BB1426" i="1"/>
  <c r="BW1426" i="1"/>
  <c r="A1427" i="1"/>
  <c r="C1427" i="1"/>
  <c r="S1427" i="1"/>
  <c r="T1427" i="1"/>
  <c r="U1427" i="1"/>
  <c r="BB1427" i="1"/>
  <c r="BW1427" i="1"/>
  <c r="A1428" i="1"/>
  <c r="C1428" i="1"/>
  <c r="S1428" i="1"/>
  <c r="T1428" i="1"/>
  <c r="U1428" i="1"/>
  <c r="BB1428" i="1"/>
  <c r="BW1428" i="1"/>
  <c r="A1429" i="1"/>
  <c r="C1429" i="1"/>
  <c r="S1429" i="1"/>
  <c r="T1429" i="1"/>
  <c r="U1429" i="1"/>
  <c r="BB1429" i="1"/>
  <c r="BW1429" i="1"/>
  <c r="A1430" i="1"/>
  <c r="C1430" i="1"/>
  <c r="S1430" i="1"/>
  <c r="T1430" i="1"/>
  <c r="U1430" i="1"/>
  <c r="BB1430" i="1"/>
  <c r="BW1430" i="1"/>
  <c r="A1431" i="1"/>
  <c r="C1431" i="1"/>
  <c r="S1431" i="1"/>
  <c r="T1431" i="1"/>
  <c r="U1431" i="1"/>
  <c r="BB1431" i="1"/>
  <c r="BW1431" i="1"/>
  <c r="A1432" i="1"/>
  <c r="C1432" i="1"/>
  <c r="S1432" i="1"/>
  <c r="T1432" i="1"/>
  <c r="U1432" i="1"/>
  <c r="BB1432" i="1"/>
  <c r="BW1432" i="1"/>
  <c r="A1433" i="1"/>
  <c r="C1433" i="1"/>
  <c r="S1433" i="1"/>
  <c r="T1433" i="1"/>
  <c r="U1433" i="1"/>
  <c r="BB1433" i="1"/>
  <c r="BW1433" i="1"/>
  <c r="A1434" i="1"/>
  <c r="C1434" i="1"/>
  <c r="S1434" i="1"/>
  <c r="T1434" i="1"/>
  <c r="U1434" i="1"/>
  <c r="BB1434" i="1"/>
  <c r="BW1434" i="1"/>
  <c r="A1435" i="1"/>
  <c r="C1435" i="1"/>
  <c r="S1435" i="1"/>
  <c r="T1435" i="1"/>
  <c r="U1435" i="1"/>
  <c r="BB1435" i="1"/>
  <c r="BW1435" i="1"/>
  <c r="A1436" i="1"/>
  <c r="C1436" i="1"/>
  <c r="S1436" i="1"/>
  <c r="T1436" i="1"/>
  <c r="U1436" i="1"/>
  <c r="BB1436" i="1"/>
  <c r="BW1436" i="1"/>
  <c r="A1437" i="1"/>
  <c r="C1437" i="1"/>
  <c r="S1437" i="1"/>
  <c r="T1437" i="1"/>
  <c r="U1437" i="1"/>
  <c r="BB1437" i="1"/>
  <c r="BW1437" i="1"/>
  <c r="A1438" i="1"/>
  <c r="C1438" i="1"/>
  <c r="S1438" i="1"/>
  <c r="T1438" i="1"/>
  <c r="U1438" i="1"/>
  <c r="BB1438" i="1"/>
  <c r="BW1438" i="1"/>
  <c r="A1439" i="1"/>
  <c r="C1439" i="1"/>
  <c r="S1439" i="1"/>
  <c r="T1439" i="1"/>
  <c r="U1439" i="1"/>
  <c r="BB1439" i="1"/>
  <c r="BW1439" i="1"/>
  <c r="A1440" i="1"/>
  <c r="C1440" i="1"/>
  <c r="S1440" i="1"/>
  <c r="T1440" i="1"/>
  <c r="U1440" i="1"/>
  <c r="BB1440" i="1"/>
  <c r="BW1440" i="1"/>
  <c r="A1441" i="1"/>
  <c r="C1441" i="1"/>
  <c r="S1441" i="1"/>
  <c r="T1441" i="1"/>
  <c r="U1441" i="1"/>
  <c r="BB1441" i="1"/>
  <c r="BW1441" i="1"/>
  <c r="A1442" i="1"/>
  <c r="C1442" i="1"/>
  <c r="S1442" i="1"/>
  <c r="T1442" i="1"/>
  <c r="U1442" i="1"/>
  <c r="BB1442" i="1"/>
  <c r="BW1442" i="1"/>
  <c r="A1443" i="1"/>
  <c r="C1443" i="1"/>
  <c r="S1443" i="1"/>
  <c r="T1443" i="1"/>
  <c r="U1443" i="1"/>
  <c r="BB1443" i="1"/>
  <c r="BW1443" i="1"/>
  <c r="A1444" i="1"/>
  <c r="C1444" i="1"/>
  <c r="S1444" i="1"/>
  <c r="T1444" i="1"/>
  <c r="U1444" i="1"/>
  <c r="BB1444" i="1"/>
  <c r="BW1444" i="1"/>
  <c r="A1445" i="1"/>
  <c r="C1445" i="1"/>
  <c r="S1445" i="1"/>
  <c r="T1445" i="1"/>
  <c r="U1445" i="1"/>
  <c r="BB1445" i="1"/>
  <c r="BW1445" i="1"/>
  <c r="A1446" i="1"/>
  <c r="C1446" i="1"/>
  <c r="S1446" i="1"/>
  <c r="T1446" i="1"/>
  <c r="U1446" i="1"/>
  <c r="BB1446" i="1"/>
  <c r="BW1446" i="1"/>
  <c r="A1447" i="1"/>
  <c r="C1447" i="1"/>
  <c r="S1447" i="1"/>
  <c r="T1447" i="1"/>
  <c r="U1447" i="1"/>
  <c r="BB1447" i="1"/>
  <c r="BW1447" i="1"/>
  <c r="A1448" i="1"/>
  <c r="C1448" i="1"/>
  <c r="S1448" i="1"/>
  <c r="T1448" i="1"/>
  <c r="U1448" i="1"/>
  <c r="BB1448" i="1"/>
  <c r="BW1448" i="1"/>
  <c r="A1449" i="1"/>
  <c r="C1449" i="1"/>
  <c r="S1449" i="1"/>
  <c r="T1449" i="1"/>
  <c r="U1449" i="1"/>
  <c r="BB1449" i="1"/>
  <c r="BW1449" i="1"/>
  <c r="A1450" i="1"/>
  <c r="C1450" i="1"/>
  <c r="S1450" i="1"/>
  <c r="T1450" i="1"/>
  <c r="U1450" i="1"/>
  <c r="BB1450" i="1"/>
  <c r="BW1450" i="1"/>
  <c r="A1451" i="1"/>
  <c r="C1451" i="1"/>
  <c r="S1451" i="1"/>
  <c r="T1451" i="1"/>
  <c r="U1451" i="1"/>
  <c r="BB1451" i="1"/>
  <c r="BW1451" i="1"/>
  <c r="A1452" i="1"/>
  <c r="C1452" i="1"/>
  <c r="S1452" i="1"/>
  <c r="T1452" i="1"/>
  <c r="U1452" i="1"/>
  <c r="BB1452" i="1"/>
  <c r="BW1452" i="1"/>
  <c r="A1453" i="1"/>
  <c r="C1453" i="1"/>
  <c r="S1453" i="1"/>
  <c r="T1453" i="1"/>
  <c r="U1453" i="1"/>
  <c r="BB1453" i="1"/>
  <c r="BW1453" i="1"/>
  <c r="A1454" i="1"/>
  <c r="C1454" i="1"/>
  <c r="S1454" i="1"/>
  <c r="T1454" i="1"/>
  <c r="U1454" i="1"/>
  <c r="BB1454" i="1"/>
  <c r="BW1454" i="1"/>
  <c r="A1455" i="1"/>
  <c r="C1455" i="1"/>
  <c r="S1455" i="1"/>
  <c r="T1455" i="1"/>
  <c r="U1455" i="1"/>
  <c r="BB1455" i="1"/>
  <c r="BW1455" i="1"/>
  <c r="A1456" i="1"/>
  <c r="C1456" i="1"/>
  <c r="S1456" i="1"/>
  <c r="T1456" i="1"/>
  <c r="U1456" i="1"/>
  <c r="BB1456" i="1"/>
  <c r="BW1456" i="1"/>
  <c r="A1457" i="1"/>
  <c r="C1457" i="1"/>
  <c r="S1457" i="1"/>
  <c r="T1457" i="1"/>
  <c r="U1457" i="1"/>
  <c r="BB1457" i="1"/>
  <c r="BW1457" i="1"/>
  <c r="A1458" i="1"/>
  <c r="C1458" i="1"/>
  <c r="S1458" i="1"/>
  <c r="T1458" i="1"/>
  <c r="U1458" i="1"/>
  <c r="BB1458" i="1"/>
  <c r="BW1458" i="1"/>
  <c r="A1459" i="1"/>
  <c r="C1459" i="1"/>
  <c r="S1459" i="1"/>
  <c r="T1459" i="1"/>
  <c r="U1459" i="1"/>
  <c r="BB1459" i="1"/>
  <c r="BW1459" i="1"/>
  <c r="A1460" i="1"/>
  <c r="C1460" i="1"/>
  <c r="S1460" i="1"/>
  <c r="T1460" i="1"/>
  <c r="U1460" i="1"/>
  <c r="BB1460" i="1"/>
  <c r="BW1460" i="1"/>
  <c r="A1461" i="1"/>
  <c r="C1461" i="1"/>
  <c r="S1461" i="1"/>
  <c r="T1461" i="1"/>
  <c r="U1461" i="1"/>
  <c r="BB1461" i="1"/>
  <c r="BW1461" i="1"/>
  <c r="A1462" i="1"/>
  <c r="C1462" i="1"/>
  <c r="S1462" i="1"/>
  <c r="T1462" i="1"/>
  <c r="U1462" i="1"/>
  <c r="BB1462" i="1"/>
  <c r="BW1462" i="1"/>
  <c r="A1463" i="1"/>
  <c r="C1463" i="1"/>
  <c r="S1463" i="1"/>
  <c r="T1463" i="1"/>
  <c r="U1463" i="1"/>
  <c r="BB1463" i="1"/>
  <c r="BW1463" i="1"/>
  <c r="A1464" i="1"/>
  <c r="C1464" i="1"/>
  <c r="S1464" i="1"/>
  <c r="T1464" i="1"/>
  <c r="U1464" i="1"/>
  <c r="BB1464" i="1"/>
  <c r="BW1464" i="1"/>
  <c r="A1465" i="1"/>
  <c r="C1465" i="1"/>
  <c r="S1465" i="1"/>
  <c r="T1465" i="1"/>
  <c r="U1465" i="1"/>
  <c r="BB1465" i="1"/>
  <c r="BW1465" i="1"/>
  <c r="A1466" i="1"/>
  <c r="C1466" i="1"/>
  <c r="S1466" i="1"/>
  <c r="T1466" i="1"/>
  <c r="U1466" i="1"/>
  <c r="BB1466" i="1"/>
  <c r="BW1466" i="1"/>
  <c r="A1467" i="1"/>
  <c r="C1467" i="1"/>
  <c r="S1467" i="1"/>
  <c r="T1467" i="1"/>
  <c r="U1467" i="1"/>
  <c r="BB1467" i="1"/>
  <c r="BW1467" i="1"/>
  <c r="A1468" i="1"/>
  <c r="C1468" i="1"/>
  <c r="S1468" i="1"/>
  <c r="T1468" i="1"/>
  <c r="U1468" i="1"/>
  <c r="BB1468" i="1"/>
  <c r="BW1468" i="1"/>
  <c r="A1469" i="1"/>
  <c r="C1469" i="1"/>
  <c r="S1469" i="1"/>
  <c r="T1469" i="1"/>
  <c r="U1469" i="1"/>
  <c r="BB1469" i="1"/>
  <c r="BW1469" i="1"/>
  <c r="A1470" i="1"/>
  <c r="C1470" i="1"/>
  <c r="S1470" i="1"/>
  <c r="T1470" i="1"/>
  <c r="U1470" i="1"/>
  <c r="BB1470" i="1"/>
  <c r="BW1470" i="1"/>
  <c r="A1471" i="1"/>
  <c r="C1471" i="1"/>
  <c r="S1471" i="1"/>
  <c r="T1471" i="1"/>
  <c r="U1471" i="1"/>
  <c r="BB1471" i="1"/>
  <c r="BW1471" i="1"/>
  <c r="A1472" i="1"/>
  <c r="C1472" i="1"/>
  <c r="S1472" i="1"/>
  <c r="T1472" i="1"/>
  <c r="U1472" i="1"/>
  <c r="BB1472" i="1"/>
  <c r="BW1472" i="1"/>
  <c r="A1473" i="1"/>
  <c r="C1473" i="1"/>
  <c r="S1473" i="1"/>
  <c r="T1473" i="1"/>
  <c r="U1473" i="1"/>
  <c r="BB1473" i="1"/>
  <c r="BW1473" i="1"/>
  <c r="A1474" i="1"/>
  <c r="C1474" i="1"/>
  <c r="S1474" i="1"/>
  <c r="T1474" i="1"/>
  <c r="U1474" i="1"/>
  <c r="BB1474" i="1"/>
  <c r="BW1474" i="1"/>
  <c r="A1475" i="1"/>
  <c r="C1475" i="1"/>
  <c r="S1475" i="1"/>
  <c r="T1475" i="1"/>
  <c r="U1475" i="1"/>
  <c r="BB1475" i="1"/>
  <c r="BW1475" i="1"/>
  <c r="A1476" i="1"/>
  <c r="C1476" i="1"/>
  <c r="S1476" i="1"/>
  <c r="T1476" i="1"/>
  <c r="U1476" i="1"/>
  <c r="BB1476" i="1"/>
  <c r="BW1476" i="1"/>
  <c r="A1477" i="1"/>
  <c r="C1477" i="1"/>
  <c r="S1477" i="1"/>
  <c r="T1477" i="1"/>
  <c r="U1477" i="1"/>
  <c r="BB1477" i="1"/>
  <c r="BW1477" i="1"/>
  <c r="A1478" i="1"/>
  <c r="C1478" i="1"/>
  <c r="S1478" i="1"/>
  <c r="T1478" i="1"/>
  <c r="U1478" i="1"/>
  <c r="BB1478" i="1"/>
  <c r="BW1478" i="1"/>
  <c r="A1479" i="1"/>
  <c r="C1479" i="1"/>
  <c r="S1479" i="1"/>
  <c r="T1479" i="1"/>
  <c r="U1479" i="1"/>
  <c r="BB1479" i="1"/>
  <c r="BW1479" i="1"/>
  <c r="A1480" i="1"/>
  <c r="C1480" i="1"/>
  <c r="S1480" i="1"/>
  <c r="T1480" i="1"/>
  <c r="U1480" i="1"/>
  <c r="BB1480" i="1"/>
  <c r="BW1480" i="1"/>
  <c r="A1481" i="1"/>
  <c r="C1481" i="1"/>
  <c r="S1481" i="1"/>
  <c r="T1481" i="1"/>
  <c r="U1481" i="1"/>
  <c r="BB1481" i="1"/>
  <c r="BW1481" i="1"/>
  <c r="A1482" i="1"/>
  <c r="C1482" i="1"/>
  <c r="S1482" i="1"/>
  <c r="T1482" i="1"/>
  <c r="U1482" i="1"/>
  <c r="BB1482" i="1"/>
  <c r="BW1482" i="1"/>
  <c r="A1483" i="1"/>
  <c r="C1483" i="1"/>
  <c r="S1483" i="1"/>
  <c r="T1483" i="1"/>
  <c r="U1483" i="1"/>
  <c r="BB1483" i="1"/>
  <c r="BW1483" i="1"/>
  <c r="A1484" i="1"/>
  <c r="C1484" i="1"/>
  <c r="S1484" i="1"/>
  <c r="T1484" i="1"/>
  <c r="U1484" i="1"/>
  <c r="BB1484" i="1"/>
  <c r="BW1484" i="1"/>
  <c r="A1485" i="1"/>
  <c r="C1485" i="1"/>
  <c r="S1485" i="1"/>
  <c r="T1485" i="1"/>
  <c r="U1485" i="1"/>
  <c r="BB1485" i="1"/>
  <c r="BW1485" i="1"/>
  <c r="A1486" i="1"/>
  <c r="C1486" i="1"/>
  <c r="S1486" i="1"/>
  <c r="T1486" i="1"/>
  <c r="U1486" i="1"/>
  <c r="BB1486" i="1"/>
  <c r="BW1486" i="1"/>
  <c r="A1487" i="1"/>
  <c r="C1487" i="1"/>
  <c r="S1487" i="1"/>
  <c r="T1487" i="1"/>
  <c r="U1487" i="1"/>
  <c r="BB1487" i="1"/>
  <c r="BW1487" i="1"/>
  <c r="A1488" i="1"/>
  <c r="C1488" i="1"/>
  <c r="S1488" i="1"/>
  <c r="T1488" i="1"/>
  <c r="U1488" i="1"/>
  <c r="BB1488" i="1"/>
  <c r="BW1488" i="1"/>
  <c r="A1489" i="1"/>
  <c r="C1489" i="1"/>
  <c r="S1489" i="1"/>
  <c r="T1489" i="1"/>
  <c r="U1489" i="1"/>
  <c r="BB1489" i="1"/>
  <c r="BW1489" i="1"/>
  <c r="A1490" i="1"/>
  <c r="C1490" i="1"/>
  <c r="S1490" i="1"/>
  <c r="T1490" i="1"/>
  <c r="U1490" i="1"/>
  <c r="BB1490" i="1"/>
  <c r="BW1490" i="1"/>
  <c r="A1491" i="1"/>
  <c r="C1491" i="1"/>
  <c r="S1491" i="1"/>
  <c r="T1491" i="1"/>
  <c r="U1491" i="1"/>
  <c r="BB1491" i="1"/>
  <c r="BW1491" i="1"/>
  <c r="A1492" i="1"/>
  <c r="C1492" i="1"/>
  <c r="S1492" i="1"/>
  <c r="T1492" i="1"/>
  <c r="U1492" i="1"/>
  <c r="BB1492" i="1"/>
  <c r="BW1492" i="1"/>
  <c r="A1493" i="1"/>
  <c r="C1493" i="1"/>
  <c r="S1493" i="1"/>
  <c r="T1493" i="1"/>
  <c r="U1493" i="1"/>
  <c r="BB1493" i="1"/>
  <c r="BW1493" i="1"/>
  <c r="A1494" i="1"/>
  <c r="C1494" i="1"/>
  <c r="S1494" i="1"/>
  <c r="T1494" i="1"/>
  <c r="U1494" i="1"/>
  <c r="BB1494" i="1"/>
  <c r="BW1494" i="1"/>
  <c r="A1495" i="1"/>
  <c r="C1495" i="1"/>
  <c r="S1495" i="1"/>
  <c r="T1495" i="1"/>
  <c r="U1495" i="1"/>
  <c r="BB1495" i="1"/>
  <c r="BW1495" i="1"/>
  <c r="A1496" i="1"/>
  <c r="C1496" i="1"/>
  <c r="S1496" i="1"/>
  <c r="T1496" i="1"/>
  <c r="U1496" i="1"/>
  <c r="BB1496" i="1"/>
  <c r="BW1496" i="1"/>
  <c r="A1497" i="1"/>
  <c r="C1497" i="1"/>
  <c r="S1497" i="1"/>
  <c r="T1497" i="1"/>
  <c r="U1497" i="1"/>
  <c r="BB1497" i="1"/>
  <c r="BW1497" i="1"/>
  <c r="A1498" i="1"/>
  <c r="C1498" i="1"/>
  <c r="S1498" i="1"/>
  <c r="T1498" i="1"/>
  <c r="U1498" i="1"/>
  <c r="BB1498" i="1"/>
  <c r="BW1498" i="1"/>
  <c r="A1499" i="1"/>
  <c r="C1499" i="1"/>
  <c r="S1499" i="1"/>
  <c r="T1499" i="1"/>
  <c r="U1499" i="1"/>
  <c r="BB1499" i="1"/>
  <c r="BW1499" i="1"/>
  <c r="A1500" i="1"/>
  <c r="C1500" i="1"/>
  <c r="S1500" i="1"/>
  <c r="T1500" i="1"/>
  <c r="U1500" i="1"/>
  <c r="BB1500" i="1"/>
  <c r="BW1500" i="1"/>
  <c r="A1501" i="1"/>
  <c r="C1501" i="1"/>
  <c r="S1501" i="1"/>
  <c r="T1501" i="1"/>
  <c r="U1501" i="1"/>
  <c r="BB1501" i="1"/>
  <c r="BW1501" i="1"/>
  <c r="A1502" i="1"/>
  <c r="C1502" i="1"/>
  <c r="S1502" i="1"/>
  <c r="T1502" i="1"/>
  <c r="U1502" i="1"/>
  <c r="BB1502" i="1"/>
  <c r="BW1502" i="1"/>
  <c r="A1503" i="1"/>
  <c r="C1503" i="1"/>
  <c r="S1503" i="1"/>
  <c r="T1503" i="1"/>
  <c r="U1503" i="1"/>
  <c r="BB1503" i="1"/>
  <c r="BW1503" i="1"/>
  <c r="A1504" i="1"/>
  <c r="C1504" i="1"/>
  <c r="S1504" i="1"/>
  <c r="T1504" i="1"/>
  <c r="U1504" i="1"/>
  <c r="BB1504" i="1"/>
  <c r="BW1504" i="1"/>
  <c r="A1505" i="1"/>
  <c r="C1505" i="1"/>
  <c r="S1505" i="1"/>
  <c r="T1505" i="1"/>
  <c r="U1505" i="1"/>
  <c r="BB1505" i="1"/>
  <c r="BW1505" i="1"/>
  <c r="A1506" i="1"/>
  <c r="C1506" i="1"/>
  <c r="S1506" i="1"/>
  <c r="T1506" i="1"/>
  <c r="U1506" i="1"/>
  <c r="BB1506" i="1"/>
  <c r="BW1506" i="1"/>
  <c r="A1507" i="1"/>
  <c r="C1507" i="1"/>
  <c r="S1507" i="1"/>
  <c r="T1507" i="1"/>
  <c r="U1507" i="1"/>
  <c r="BB1507" i="1"/>
  <c r="BW1507" i="1"/>
  <c r="A1508" i="1"/>
  <c r="C1508" i="1"/>
  <c r="S1508" i="1"/>
  <c r="T1508" i="1"/>
  <c r="U1508" i="1"/>
  <c r="BB1508" i="1"/>
  <c r="BW1508" i="1"/>
  <c r="A1509" i="1"/>
  <c r="C1509" i="1"/>
  <c r="S1509" i="1"/>
  <c r="T1509" i="1"/>
  <c r="U1509" i="1"/>
  <c r="BB1509" i="1"/>
  <c r="BW1509" i="1"/>
  <c r="A1510" i="1"/>
  <c r="C1510" i="1"/>
  <c r="S1510" i="1"/>
  <c r="T1510" i="1"/>
  <c r="U1510" i="1"/>
  <c r="BB1510" i="1"/>
  <c r="BW1510" i="1"/>
  <c r="A1511" i="1"/>
  <c r="C1511" i="1"/>
  <c r="S1511" i="1"/>
  <c r="T1511" i="1"/>
  <c r="U1511" i="1"/>
  <c r="BB1511" i="1"/>
  <c r="BW1511" i="1"/>
  <c r="A1512" i="1"/>
  <c r="C1512" i="1"/>
  <c r="S1512" i="1"/>
  <c r="T1512" i="1"/>
  <c r="U1512" i="1"/>
  <c r="BB1512" i="1"/>
  <c r="BW1512" i="1"/>
  <c r="A1513" i="1"/>
  <c r="C1513" i="1"/>
  <c r="S1513" i="1"/>
  <c r="T1513" i="1"/>
  <c r="U1513" i="1"/>
  <c r="BB1513" i="1"/>
  <c r="BW1513" i="1"/>
  <c r="A1514" i="1"/>
  <c r="C1514" i="1"/>
  <c r="S1514" i="1"/>
  <c r="T1514" i="1"/>
  <c r="U1514" i="1"/>
  <c r="BB1514" i="1"/>
  <c r="BW1514" i="1"/>
  <c r="A1515" i="1"/>
  <c r="C1515" i="1"/>
  <c r="S1515" i="1"/>
  <c r="T1515" i="1"/>
  <c r="U1515" i="1"/>
  <c r="BB1515" i="1"/>
  <c r="BW1515" i="1"/>
  <c r="A1516" i="1"/>
  <c r="C1516" i="1"/>
  <c r="S1516" i="1"/>
  <c r="T1516" i="1"/>
  <c r="U1516" i="1"/>
  <c r="BB1516" i="1"/>
  <c r="BW1516" i="1"/>
  <c r="A1517" i="1"/>
  <c r="C1517" i="1"/>
  <c r="S1517" i="1"/>
  <c r="T1517" i="1"/>
  <c r="U1517" i="1"/>
  <c r="BB1517" i="1"/>
  <c r="BW1517" i="1"/>
  <c r="A1518" i="1"/>
  <c r="C1518" i="1"/>
  <c r="S1518" i="1"/>
  <c r="T1518" i="1"/>
  <c r="U1518" i="1"/>
  <c r="BB1518" i="1"/>
  <c r="BW1518" i="1"/>
  <c r="A1519" i="1"/>
  <c r="C1519" i="1"/>
  <c r="S1519" i="1"/>
  <c r="T1519" i="1"/>
  <c r="U1519" i="1"/>
  <c r="BB1519" i="1"/>
  <c r="BW1519" i="1"/>
  <c r="A1520" i="1"/>
  <c r="C1520" i="1"/>
  <c r="S1520" i="1"/>
  <c r="T1520" i="1"/>
  <c r="U1520" i="1"/>
  <c r="BB1520" i="1"/>
  <c r="BW1520" i="1"/>
  <c r="A1521" i="1"/>
  <c r="C1521" i="1"/>
  <c r="S1521" i="1"/>
  <c r="T1521" i="1"/>
  <c r="U1521" i="1"/>
  <c r="BB1521" i="1"/>
  <c r="BW1521" i="1"/>
  <c r="A1522" i="1"/>
  <c r="C1522" i="1"/>
  <c r="S1522" i="1"/>
  <c r="T1522" i="1"/>
  <c r="U1522" i="1"/>
  <c r="BB1522" i="1"/>
  <c r="BW1522" i="1"/>
  <c r="A1523" i="1"/>
  <c r="C1523" i="1"/>
  <c r="S1523" i="1"/>
  <c r="T1523" i="1"/>
  <c r="U1523" i="1"/>
  <c r="BB1523" i="1"/>
  <c r="BW1523" i="1"/>
  <c r="A1524" i="1"/>
  <c r="C1524" i="1"/>
  <c r="S1524" i="1"/>
  <c r="T1524" i="1"/>
  <c r="U1524" i="1"/>
  <c r="BB1524" i="1"/>
  <c r="BW1524" i="1"/>
  <c r="A1525" i="1"/>
  <c r="C1525" i="1"/>
  <c r="S1525" i="1"/>
  <c r="T1525" i="1"/>
  <c r="U1525" i="1"/>
  <c r="BB1525" i="1"/>
  <c r="BW1525" i="1"/>
  <c r="A1526" i="1"/>
  <c r="C1526" i="1"/>
  <c r="S1526" i="1"/>
  <c r="T1526" i="1"/>
  <c r="U1526" i="1"/>
  <c r="BB1526" i="1"/>
  <c r="BW1526" i="1"/>
  <c r="A1527" i="1"/>
  <c r="C1527" i="1"/>
  <c r="S1527" i="1"/>
  <c r="T1527" i="1"/>
  <c r="U1527" i="1"/>
  <c r="BB1527" i="1"/>
  <c r="BW1527" i="1"/>
  <c r="A1528" i="1"/>
  <c r="C1528" i="1"/>
  <c r="S1528" i="1"/>
  <c r="T1528" i="1"/>
  <c r="U1528" i="1"/>
  <c r="BB1528" i="1"/>
  <c r="BW1528" i="1"/>
  <c r="A1529" i="1"/>
  <c r="C1529" i="1"/>
  <c r="S1529" i="1"/>
  <c r="T1529" i="1"/>
  <c r="U1529" i="1"/>
  <c r="BB1529" i="1"/>
  <c r="BW1529" i="1"/>
  <c r="A1530" i="1"/>
  <c r="C1530" i="1"/>
  <c r="S1530" i="1"/>
  <c r="T1530" i="1"/>
  <c r="U1530" i="1"/>
  <c r="BB1530" i="1"/>
  <c r="BW1530" i="1"/>
  <c r="A1531" i="1"/>
  <c r="C1531" i="1"/>
  <c r="S1531" i="1"/>
  <c r="T1531" i="1"/>
  <c r="U1531" i="1"/>
  <c r="BB1531" i="1"/>
  <c r="BW1531" i="1"/>
  <c r="A1532" i="1"/>
  <c r="C1532" i="1"/>
  <c r="S1532" i="1"/>
  <c r="T1532" i="1"/>
  <c r="U1532" i="1"/>
  <c r="BB1532" i="1"/>
  <c r="BW1532" i="1"/>
  <c r="A1533" i="1"/>
  <c r="C1533" i="1"/>
  <c r="S1533" i="1"/>
  <c r="T1533" i="1"/>
  <c r="U1533" i="1"/>
  <c r="BB1533" i="1"/>
  <c r="BW1533" i="1"/>
  <c r="A1534" i="1"/>
  <c r="C1534" i="1"/>
  <c r="S1534" i="1"/>
  <c r="T1534" i="1"/>
  <c r="U1534" i="1"/>
  <c r="BB1534" i="1"/>
  <c r="BW1534" i="1"/>
  <c r="A1535" i="1"/>
  <c r="C1535" i="1"/>
  <c r="S1535" i="1"/>
  <c r="T1535" i="1"/>
  <c r="U1535" i="1"/>
  <c r="BB1535" i="1"/>
  <c r="BW1535" i="1"/>
  <c r="A1536" i="1"/>
  <c r="C1536" i="1"/>
  <c r="S1536" i="1"/>
  <c r="T1536" i="1"/>
  <c r="U1536" i="1"/>
  <c r="BB1536" i="1"/>
  <c r="BW1536" i="1"/>
  <c r="A1537" i="1"/>
  <c r="C1537" i="1"/>
  <c r="S1537" i="1"/>
  <c r="T1537" i="1"/>
  <c r="U1537" i="1"/>
  <c r="BB1537" i="1"/>
  <c r="BW1537" i="1"/>
  <c r="A1538" i="1"/>
  <c r="C1538" i="1"/>
  <c r="S1538" i="1"/>
  <c r="T1538" i="1"/>
  <c r="U1538" i="1"/>
  <c r="BB1538" i="1"/>
  <c r="BW1538" i="1"/>
  <c r="A1539" i="1"/>
  <c r="C1539" i="1"/>
  <c r="S1539" i="1"/>
  <c r="T1539" i="1"/>
  <c r="U1539" i="1"/>
  <c r="BB1539" i="1"/>
  <c r="BW1539" i="1"/>
  <c r="A1540" i="1"/>
  <c r="C1540" i="1"/>
  <c r="S1540" i="1"/>
  <c r="T1540" i="1"/>
  <c r="U1540" i="1"/>
  <c r="BB1540" i="1"/>
  <c r="BW1540" i="1"/>
  <c r="A1541" i="1"/>
  <c r="C1541" i="1"/>
  <c r="S1541" i="1"/>
  <c r="T1541" i="1"/>
  <c r="U1541" i="1"/>
  <c r="BB1541" i="1"/>
  <c r="BW1541" i="1"/>
  <c r="A1542" i="1"/>
  <c r="C1542" i="1"/>
  <c r="S1542" i="1"/>
  <c r="T1542" i="1"/>
  <c r="U1542" i="1"/>
  <c r="BB1542" i="1"/>
  <c r="BW1542" i="1"/>
  <c r="A1543" i="1"/>
  <c r="C1543" i="1"/>
  <c r="S1543" i="1"/>
  <c r="T1543" i="1"/>
  <c r="U1543" i="1"/>
  <c r="BB1543" i="1"/>
  <c r="BW1543" i="1"/>
  <c r="A1544" i="1"/>
  <c r="C1544" i="1"/>
  <c r="S1544" i="1"/>
  <c r="T1544" i="1"/>
  <c r="U1544" i="1"/>
  <c r="BB1544" i="1"/>
  <c r="BW1544" i="1"/>
  <c r="A1545" i="1"/>
  <c r="C1545" i="1"/>
  <c r="S1545" i="1"/>
  <c r="T1545" i="1"/>
  <c r="U1545" i="1"/>
  <c r="BB1545" i="1"/>
  <c r="BW1545" i="1"/>
  <c r="A1546" i="1"/>
  <c r="C1546" i="1"/>
  <c r="S1546" i="1"/>
  <c r="T1546" i="1"/>
  <c r="U1546" i="1"/>
  <c r="BB1546" i="1"/>
  <c r="BW1546" i="1"/>
  <c r="A1547" i="1"/>
  <c r="C1547" i="1"/>
  <c r="S1547" i="1"/>
  <c r="T1547" i="1"/>
  <c r="U1547" i="1"/>
  <c r="BB1547" i="1"/>
  <c r="BW1547" i="1"/>
  <c r="A1548" i="1"/>
  <c r="C1548" i="1"/>
  <c r="S1548" i="1"/>
  <c r="T1548" i="1"/>
  <c r="U1548" i="1"/>
  <c r="BB1548" i="1"/>
  <c r="BW1548" i="1"/>
  <c r="A1549" i="1"/>
  <c r="C1549" i="1"/>
  <c r="S1549" i="1"/>
  <c r="T1549" i="1"/>
  <c r="U1549" i="1"/>
  <c r="BB1549" i="1"/>
  <c r="BW1549" i="1"/>
  <c r="A1550" i="1"/>
  <c r="C1550" i="1"/>
  <c r="S1550" i="1"/>
  <c r="T1550" i="1"/>
  <c r="U1550" i="1"/>
  <c r="BB1550" i="1"/>
  <c r="BW1550" i="1"/>
  <c r="A1551" i="1"/>
  <c r="C1551" i="1"/>
  <c r="S1551" i="1"/>
  <c r="T1551" i="1"/>
  <c r="U1551" i="1"/>
  <c r="BB1551" i="1"/>
  <c r="BW1551" i="1"/>
  <c r="A1552" i="1"/>
  <c r="C1552" i="1"/>
  <c r="S1552" i="1"/>
  <c r="T1552" i="1"/>
  <c r="U1552" i="1"/>
  <c r="BB1552" i="1"/>
  <c r="BW1552" i="1"/>
  <c r="A1553" i="1"/>
  <c r="C1553" i="1"/>
  <c r="S1553" i="1"/>
  <c r="T1553" i="1"/>
  <c r="U1553" i="1"/>
  <c r="BB1553" i="1"/>
  <c r="BW1553" i="1"/>
  <c r="A1554" i="1"/>
  <c r="C1554" i="1"/>
  <c r="S1554" i="1"/>
  <c r="T1554" i="1"/>
  <c r="U1554" i="1"/>
  <c r="BB1554" i="1"/>
  <c r="BW1554" i="1"/>
  <c r="A1555" i="1"/>
  <c r="C1555" i="1"/>
  <c r="S1555" i="1"/>
  <c r="T1555" i="1"/>
  <c r="U1555" i="1"/>
  <c r="BB1555" i="1"/>
  <c r="BW1555" i="1"/>
  <c r="A1556" i="1"/>
  <c r="C1556" i="1"/>
  <c r="S1556" i="1"/>
  <c r="T1556" i="1"/>
  <c r="U1556" i="1"/>
  <c r="BB1556" i="1"/>
  <c r="BW1556" i="1"/>
  <c r="A1557" i="1"/>
  <c r="C1557" i="1"/>
  <c r="S1557" i="1"/>
  <c r="T1557" i="1"/>
  <c r="U1557" i="1"/>
  <c r="BB1557" i="1"/>
  <c r="BW1557" i="1"/>
  <c r="A1558" i="1"/>
  <c r="C1558" i="1"/>
  <c r="S1558" i="1"/>
  <c r="T1558" i="1"/>
  <c r="U1558" i="1"/>
  <c r="BB1558" i="1"/>
  <c r="BW1558" i="1"/>
  <c r="A1559" i="1"/>
  <c r="C1559" i="1"/>
  <c r="S1559" i="1"/>
  <c r="T1559" i="1"/>
  <c r="U1559" i="1"/>
  <c r="BB1559" i="1"/>
  <c r="BW1559" i="1"/>
  <c r="A1560" i="1"/>
  <c r="C1560" i="1"/>
  <c r="S1560" i="1"/>
  <c r="T1560" i="1"/>
  <c r="U1560" i="1"/>
  <c r="BB1560" i="1"/>
  <c r="BW1560" i="1"/>
  <c r="A1561" i="1"/>
  <c r="C1561" i="1"/>
  <c r="S1561" i="1"/>
  <c r="T1561" i="1"/>
  <c r="U1561" i="1"/>
  <c r="BB1561" i="1"/>
  <c r="BW1561" i="1"/>
  <c r="A1562" i="1"/>
  <c r="C1562" i="1"/>
  <c r="S1562" i="1"/>
  <c r="T1562" i="1"/>
  <c r="U1562" i="1"/>
  <c r="BB1562" i="1"/>
  <c r="BW1562" i="1"/>
  <c r="A1563" i="1"/>
  <c r="C1563" i="1"/>
  <c r="S1563" i="1"/>
  <c r="T1563" i="1"/>
  <c r="U1563" i="1"/>
  <c r="BB1563" i="1"/>
  <c r="BW1563" i="1"/>
  <c r="A1564" i="1"/>
  <c r="C1564" i="1"/>
  <c r="S1564" i="1"/>
  <c r="T1564" i="1"/>
  <c r="U1564" i="1"/>
  <c r="BB1564" i="1"/>
  <c r="BW1564" i="1"/>
  <c r="A1565" i="1"/>
  <c r="C1565" i="1"/>
  <c r="S1565" i="1"/>
  <c r="T1565" i="1"/>
  <c r="U1565" i="1"/>
  <c r="BB1565" i="1"/>
  <c r="BW1565" i="1"/>
  <c r="A1566" i="1"/>
  <c r="C1566" i="1"/>
  <c r="S1566" i="1"/>
  <c r="T1566" i="1"/>
  <c r="U1566" i="1"/>
  <c r="BB1566" i="1"/>
  <c r="BW1566" i="1"/>
  <c r="A1567" i="1"/>
  <c r="C1567" i="1"/>
  <c r="S1567" i="1"/>
  <c r="T1567" i="1"/>
  <c r="U1567" i="1"/>
  <c r="BB1567" i="1"/>
  <c r="BW1567" i="1"/>
  <c r="A1568" i="1"/>
  <c r="C1568" i="1"/>
  <c r="S1568" i="1"/>
  <c r="T1568" i="1"/>
  <c r="U1568" i="1"/>
  <c r="BB1568" i="1"/>
  <c r="BW1568" i="1"/>
  <c r="A1569" i="1"/>
  <c r="C1569" i="1"/>
  <c r="S1569" i="1"/>
  <c r="T1569" i="1"/>
  <c r="U1569" i="1"/>
  <c r="BB1569" i="1"/>
  <c r="BW1569" i="1"/>
  <c r="A1570" i="1"/>
  <c r="C1570" i="1"/>
  <c r="S1570" i="1"/>
  <c r="T1570" i="1"/>
  <c r="U1570" i="1"/>
  <c r="BB1570" i="1"/>
  <c r="BW1570" i="1"/>
  <c r="A1571" i="1"/>
  <c r="C1571" i="1"/>
  <c r="S1571" i="1"/>
  <c r="T1571" i="1"/>
  <c r="U1571" i="1"/>
  <c r="BB1571" i="1"/>
  <c r="BW1571" i="1"/>
  <c r="A1572" i="1"/>
  <c r="C1572" i="1"/>
  <c r="S1572" i="1"/>
  <c r="T1572" i="1"/>
  <c r="U1572" i="1"/>
  <c r="BB1572" i="1"/>
  <c r="BW1572" i="1"/>
  <c r="A1573" i="1"/>
  <c r="C1573" i="1"/>
  <c r="S1573" i="1"/>
  <c r="T1573" i="1"/>
  <c r="U1573" i="1"/>
  <c r="BB1573" i="1"/>
  <c r="BW1573" i="1"/>
  <c r="A1574" i="1"/>
  <c r="C1574" i="1"/>
  <c r="S1574" i="1"/>
  <c r="T1574" i="1"/>
  <c r="U1574" i="1"/>
  <c r="BB1574" i="1"/>
  <c r="BW1574" i="1"/>
  <c r="A1575" i="1"/>
  <c r="C1575" i="1"/>
  <c r="S1575" i="1"/>
  <c r="T1575" i="1"/>
  <c r="U1575" i="1"/>
  <c r="BB1575" i="1"/>
  <c r="BW1575" i="1"/>
  <c r="A1576" i="1"/>
  <c r="C1576" i="1"/>
  <c r="S1576" i="1"/>
  <c r="T1576" i="1"/>
  <c r="U1576" i="1"/>
  <c r="BB1576" i="1"/>
  <c r="BW1576" i="1"/>
  <c r="A1577" i="1"/>
  <c r="C1577" i="1"/>
  <c r="S1577" i="1"/>
  <c r="T1577" i="1"/>
  <c r="U1577" i="1"/>
  <c r="BB1577" i="1"/>
  <c r="BW1577" i="1"/>
  <c r="A1578" i="1"/>
  <c r="C1578" i="1"/>
  <c r="S1578" i="1"/>
  <c r="T1578" i="1"/>
  <c r="U1578" i="1"/>
  <c r="BB1578" i="1"/>
  <c r="BW1578" i="1"/>
  <c r="A1579" i="1"/>
  <c r="C1579" i="1"/>
  <c r="S1579" i="1"/>
  <c r="T1579" i="1"/>
  <c r="U1579" i="1"/>
  <c r="BB1579" i="1"/>
  <c r="BW1579" i="1"/>
  <c r="A1580" i="1"/>
  <c r="C1580" i="1"/>
  <c r="S1580" i="1"/>
  <c r="T1580" i="1"/>
  <c r="U1580" i="1"/>
  <c r="BB1580" i="1"/>
  <c r="BW1580" i="1"/>
  <c r="A1581" i="1"/>
  <c r="C1581" i="1"/>
  <c r="S1581" i="1"/>
  <c r="T1581" i="1"/>
  <c r="U1581" i="1"/>
  <c r="BB1581" i="1"/>
  <c r="BW1581" i="1"/>
  <c r="A1582" i="1"/>
  <c r="C1582" i="1"/>
  <c r="S1582" i="1"/>
  <c r="T1582" i="1"/>
  <c r="U1582" i="1"/>
  <c r="BB1582" i="1"/>
  <c r="BW1582" i="1"/>
  <c r="A1583" i="1"/>
  <c r="C1583" i="1"/>
  <c r="S1583" i="1"/>
  <c r="T1583" i="1"/>
  <c r="U1583" i="1"/>
  <c r="BB1583" i="1"/>
  <c r="BW1583" i="1"/>
  <c r="A1584" i="1"/>
  <c r="C1584" i="1"/>
  <c r="S1584" i="1"/>
  <c r="T1584" i="1"/>
  <c r="U1584" i="1"/>
  <c r="BB1584" i="1"/>
  <c r="BW1584" i="1"/>
  <c r="A1585" i="1"/>
  <c r="C1585" i="1"/>
  <c r="S1585" i="1"/>
  <c r="T1585" i="1"/>
  <c r="U1585" i="1"/>
  <c r="BB1585" i="1"/>
  <c r="BW1585" i="1"/>
  <c r="A1586" i="1"/>
  <c r="C1586" i="1"/>
  <c r="S1586" i="1"/>
  <c r="T1586" i="1"/>
  <c r="U1586" i="1"/>
  <c r="BB1586" i="1"/>
  <c r="BW1586" i="1"/>
  <c r="A1587" i="1"/>
  <c r="C1587" i="1"/>
  <c r="S1587" i="1"/>
  <c r="T1587" i="1"/>
  <c r="U1587" i="1"/>
  <c r="BB1587" i="1"/>
  <c r="BW1587" i="1"/>
  <c r="A1588" i="1"/>
  <c r="C1588" i="1"/>
  <c r="S1588" i="1"/>
  <c r="T1588" i="1"/>
  <c r="U1588" i="1"/>
  <c r="BB1588" i="1"/>
  <c r="BW1588" i="1"/>
  <c r="A1589" i="1"/>
  <c r="C1589" i="1"/>
  <c r="S1589" i="1"/>
  <c r="T1589" i="1"/>
  <c r="U1589" i="1"/>
  <c r="BB1589" i="1"/>
  <c r="BW1589" i="1"/>
  <c r="A1590" i="1"/>
  <c r="C1590" i="1"/>
  <c r="S1590" i="1"/>
  <c r="T1590" i="1"/>
  <c r="U1590" i="1"/>
  <c r="BB1590" i="1"/>
  <c r="BW1590" i="1"/>
  <c r="A1591" i="1"/>
  <c r="C1591" i="1"/>
  <c r="S1591" i="1"/>
  <c r="T1591" i="1"/>
  <c r="U1591" i="1"/>
  <c r="BB1591" i="1"/>
  <c r="BW1591" i="1"/>
  <c r="A1592" i="1"/>
  <c r="C1592" i="1"/>
  <c r="S1592" i="1"/>
  <c r="T1592" i="1"/>
  <c r="U1592" i="1"/>
  <c r="BB1592" i="1"/>
  <c r="BW1592" i="1"/>
  <c r="A1593" i="1"/>
  <c r="C1593" i="1"/>
  <c r="S1593" i="1"/>
  <c r="T1593" i="1"/>
  <c r="U1593" i="1"/>
  <c r="BB1593" i="1"/>
  <c r="BW1593" i="1"/>
  <c r="A1594" i="1"/>
  <c r="C1594" i="1"/>
  <c r="S1594" i="1"/>
  <c r="T1594" i="1"/>
  <c r="U1594" i="1"/>
  <c r="BB1594" i="1"/>
  <c r="BW1594" i="1"/>
  <c r="A1595" i="1"/>
  <c r="C1595" i="1"/>
  <c r="S1595" i="1"/>
  <c r="T1595" i="1"/>
  <c r="U1595" i="1"/>
  <c r="BB1595" i="1"/>
  <c r="BW1595" i="1"/>
  <c r="A1596" i="1"/>
  <c r="C1596" i="1"/>
  <c r="S1596" i="1"/>
  <c r="T1596" i="1"/>
  <c r="U1596" i="1"/>
  <c r="BB1596" i="1"/>
  <c r="BW1596" i="1"/>
  <c r="A1597" i="1"/>
  <c r="C1597" i="1"/>
  <c r="S1597" i="1"/>
  <c r="T1597" i="1"/>
  <c r="U1597" i="1"/>
  <c r="BB1597" i="1"/>
  <c r="BW1597" i="1"/>
  <c r="A1598" i="1"/>
  <c r="C1598" i="1"/>
  <c r="S1598" i="1"/>
  <c r="T1598" i="1"/>
  <c r="U1598" i="1"/>
  <c r="BB1598" i="1"/>
  <c r="BW1598" i="1"/>
  <c r="A1599" i="1"/>
  <c r="C1599" i="1"/>
  <c r="S1599" i="1"/>
  <c r="T1599" i="1"/>
  <c r="U1599" i="1"/>
  <c r="BB1599" i="1"/>
  <c r="BW1599" i="1"/>
  <c r="A1600" i="1"/>
  <c r="C1600" i="1"/>
  <c r="S1600" i="1"/>
  <c r="T1600" i="1"/>
  <c r="U1600" i="1"/>
  <c r="BB1600" i="1"/>
  <c r="BW1600" i="1"/>
  <c r="A1601" i="1"/>
  <c r="C1601" i="1"/>
  <c r="S1601" i="1"/>
  <c r="T1601" i="1"/>
  <c r="U1601" i="1"/>
  <c r="BB1601" i="1"/>
  <c r="BW1601" i="1"/>
  <c r="A1602" i="1"/>
  <c r="C1602" i="1"/>
  <c r="S1602" i="1"/>
  <c r="T1602" i="1"/>
  <c r="U1602" i="1"/>
  <c r="BB1602" i="1"/>
  <c r="BW1602" i="1"/>
  <c r="A1603" i="1"/>
  <c r="C1603" i="1"/>
  <c r="S1603" i="1"/>
  <c r="T1603" i="1"/>
  <c r="U1603" i="1"/>
  <c r="BB1603" i="1"/>
  <c r="BW1603" i="1"/>
  <c r="A1604" i="1"/>
  <c r="C1604" i="1"/>
  <c r="S1604" i="1"/>
  <c r="T1604" i="1"/>
  <c r="U1604" i="1"/>
  <c r="BB1604" i="1"/>
  <c r="BW1604" i="1"/>
  <c r="A1605" i="1"/>
  <c r="C1605" i="1"/>
  <c r="S1605" i="1"/>
  <c r="T1605" i="1"/>
  <c r="U1605" i="1"/>
  <c r="BB1605" i="1"/>
  <c r="BW1605" i="1"/>
  <c r="A1606" i="1"/>
  <c r="C1606" i="1"/>
  <c r="S1606" i="1"/>
  <c r="T1606" i="1"/>
  <c r="U1606" i="1"/>
  <c r="BB1606" i="1"/>
  <c r="BW1606" i="1"/>
  <c r="A1607" i="1"/>
  <c r="C1607" i="1"/>
  <c r="S1607" i="1"/>
  <c r="T1607" i="1"/>
  <c r="U1607" i="1"/>
  <c r="BB1607" i="1"/>
  <c r="BW1607" i="1"/>
  <c r="A1608" i="1"/>
  <c r="C1608" i="1"/>
  <c r="S1608" i="1"/>
  <c r="T1608" i="1"/>
  <c r="U1608" i="1"/>
  <c r="BB1608" i="1"/>
  <c r="BW1608" i="1"/>
  <c r="A1609" i="1"/>
  <c r="C1609" i="1"/>
  <c r="S1609" i="1"/>
  <c r="T1609" i="1"/>
  <c r="U1609" i="1"/>
  <c r="BB1609" i="1"/>
  <c r="BW1609" i="1"/>
  <c r="A1610" i="1"/>
  <c r="C1610" i="1"/>
  <c r="S1610" i="1"/>
  <c r="T1610" i="1"/>
  <c r="U1610" i="1"/>
  <c r="BB1610" i="1"/>
  <c r="BW1610" i="1"/>
  <c r="A1611" i="1"/>
  <c r="C1611" i="1"/>
  <c r="S1611" i="1"/>
  <c r="T1611" i="1"/>
  <c r="U1611" i="1"/>
  <c r="BB1611" i="1"/>
  <c r="BW1611" i="1"/>
  <c r="A1612" i="1"/>
  <c r="C1612" i="1"/>
  <c r="S1612" i="1"/>
  <c r="T1612" i="1"/>
  <c r="U1612" i="1"/>
  <c r="BB1612" i="1"/>
  <c r="BW1612" i="1"/>
  <c r="A1613" i="1"/>
  <c r="C1613" i="1"/>
  <c r="S1613" i="1"/>
  <c r="T1613" i="1"/>
  <c r="U1613" i="1"/>
  <c r="BB1613" i="1"/>
  <c r="BW1613" i="1"/>
  <c r="A1614" i="1"/>
  <c r="C1614" i="1"/>
  <c r="S1614" i="1"/>
  <c r="T1614" i="1"/>
  <c r="U1614" i="1"/>
  <c r="BB1614" i="1"/>
  <c r="BW1614" i="1"/>
  <c r="A1615" i="1"/>
  <c r="C1615" i="1"/>
  <c r="S1615" i="1"/>
  <c r="T1615" i="1"/>
  <c r="U1615" i="1"/>
  <c r="BB1615" i="1"/>
  <c r="BW1615" i="1"/>
  <c r="A1616" i="1"/>
  <c r="C1616" i="1"/>
  <c r="S1616" i="1"/>
  <c r="T1616" i="1"/>
  <c r="U1616" i="1"/>
  <c r="BB1616" i="1"/>
  <c r="BW1616" i="1"/>
  <c r="A1617" i="1"/>
  <c r="C1617" i="1"/>
  <c r="S1617" i="1"/>
  <c r="T1617" i="1"/>
  <c r="U1617" i="1"/>
  <c r="BB1617" i="1"/>
  <c r="BW1617" i="1"/>
  <c r="A1618" i="1"/>
  <c r="C1618" i="1"/>
  <c r="S1618" i="1"/>
  <c r="T1618" i="1"/>
  <c r="U1618" i="1"/>
  <c r="BB1618" i="1"/>
  <c r="BW1618" i="1"/>
  <c r="A1619" i="1"/>
  <c r="C1619" i="1"/>
  <c r="S1619" i="1"/>
  <c r="T1619" i="1"/>
  <c r="U1619" i="1"/>
  <c r="BB1619" i="1"/>
  <c r="BW1619" i="1"/>
  <c r="A1620" i="1"/>
  <c r="C1620" i="1"/>
  <c r="S1620" i="1"/>
  <c r="T1620" i="1"/>
  <c r="U1620" i="1"/>
  <c r="BB1620" i="1"/>
  <c r="BW1620" i="1"/>
  <c r="A1621" i="1"/>
  <c r="C1621" i="1"/>
  <c r="S1621" i="1"/>
  <c r="T1621" i="1"/>
  <c r="U1621" i="1"/>
  <c r="BB1621" i="1"/>
  <c r="BW1621" i="1"/>
  <c r="A1622" i="1"/>
  <c r="C1622" i="1"/>
  <c r="S1622" i="1"/>
  <c r="T1622" i="1"/>
  <c r="U1622" i="1"/>
  <c r="BB1622" i="1"/>
  <c r="BW1622" i="1"/>
  <c r="A1623" i="1"/>
  <c r="C1623" i="1"/>
  <c r="S1623" i="1"/>
  <c r="T1623" i="1"/>
  <c r="U1623" i="1"/>
  <c r="BB1623" i="1"/>
  <c r="BW1623" i="1"/>
  <c r="A1624" i="1"/>
  <c r="C1624" i="1"/>
  <c r="S1624" i="1"/>
  <c r="T1624" i="1"/>
  <c r="U1624" i="1"/>
  <c r="BB1624" i="1"/>
  <c r="BW1624" i="1"/>
  <c r="A1625" i="1"/>
  <c r="C1625" i="1"/>
  <c r="S1625" i="1"/>
  <c r="T1625" i="1"/>
  <c r="U1625" i="1"/>
  <c r="BB1625" i="1"/>
  <c r="BW1625" i="1"/>
  <c r="A1626" i="1"/>
  <c r="C1626" i="1"/>
  <c r="S1626" i="1"/>
  <c r="T1626" i="1"/>
  <c r="U1626" i="1"/>
  <c r="BB1626" i="1"/>
  <c r="BW1626" i="1"/>
  <c r="A1627" i="1"/>
  <c r="C1627" i="1"/>
  <c r="S1627" i="1"/>
  <c r="T1627" i="1"/>
  <c r="U1627" i="1"/>
  <c r="BB1627" i="1"/>
  <c r="BW1627" i="1"/>
  <c r="A1628" i="1"/>
  <c r="C1628" i="1"/>
  <c r="S1628" i="1"/>
  <c r="T1628" i="1"/>
  <c r="U1628" i="1"/>
  <c r="BB1628" i="1"/>
  <c r="BW1628" i="1"/>
  <c r="A1629" i="1"/>
  <c r="C1629" i="1"/>
  <c r="S1629" i="1"/>
  <c r="T1629" i="1"/>
  <c r="U1629" i="1"/>
  <c r="BB1629" i="1"/>
  <c r="BW1629" i="1"/>
  <c r="A1630" i="1"/>
  <c r="C1630" i="1"/>
  <c r="S1630" i="1"/>
  <c r="T1630" i="1"/>
  <c r="U1630" i="1"/>
  <c r="BB1630" i="1"/>
  <c r="BW1630" i="1"/>
  <c r="A1631" i="1"/>
  <c r="C1631" i="1"/>
  <c r="S1631" i="1"/>
  <c r="T1631" i="1"/>
  <c r="U1631" i="1"/>
  <c r="BB1631" i="1"/>
  <c r="BW1631" i="1"/>
  <c r="A1632" i="1"/>
  <c r="C1632" i="1"/>
  <c r="S1632" i="1"/>
  <c r="T1632" i="1"/>
  <c r="U1632" i="1"/>
  <c r="BB1632" i="1"/>
  <c r="BW1632" i="1"/>
  <c r="A1633" i="1"/>
  <c r="C1633" i="1"/>
  <c r="S1633" i="1"/>
  <c r="T1633" i="1"/>
  <c r="U1633" i="1"/>
  <c r="BB1633" i="1"/>
  <c r="BW1633" i="1"/>
  <c r="A1634" i="1"/>
  <c r="C1634" i="1"/>
  <c r="S1634" i="1"/>
  <c r="T1634" i="1"/>
  <c r="U1634" i="1"/>
  <c r="BB1634" i="1"/>
  <c r="BW1634" i="1"/>
  <c r="A1635" i="1"/>
  <c r="C1635" i="1"/>
  <c r="S1635" i="1"/>
  <c r="T1635" i="1"/>
  <c r="U1635" i="1"/>
  <c r="BB1635" i="1"/>
  <c r="BW1635" i="1"/>
  <c r="A1636" i="1"/>
  <c r="C1636" i="1"/>
  <c r="S1636" i="1"/>
  <c r="T1636" i="1"/>
  <c r="U1636" i="1"/>
  <c r="BB1636" i="1"/>
  <c r="BW1636" i="1"/>
  <c r="A1637" i="1"/>
  <c r="C1637" i="1"/>
  <c r="S1637" i="1"/>
  <c r="T1637" i="1"/>
  <c r="U1637" i="1"/>
  <c r="BB1637" i="1"/>
  <c r="BW1637" i="1"/>
  <c r="A1638" i="1"/>
  <c r="C1638" i="1"/>
  <c r="S1638" i="1"/>
  <c r="T1638" i="1"/>
  <c r="U1638" i="1"/>
  <c r="BB1638" i="1"/>
  <c r="BW1638" i="1"/>
  <c r="A1639" i="1"/>
  <c r="C1639" i="1"/>
  <c r="S1639" i="1"/>
  <c r="T1639" i="1"/>
  <c r="U1639" i="1"/>
  <c r="BB1639" i="1"/>
  <c r="BW1639" i="1"/>
  <c r="A1640" i="1"/>
  <c r="C1640" i="1"/>
  <c r="S1640" i="1"/>
  <c r="T1640" i="1"/>
  <c r="U1640" i="1"/>
  <c r="BB1640" i="1"/>
  <c r="BW1640" i="1"/>
  <c r="A1641" i="1"/>
  <c r="C1641" i="1"/>
  <c r="S1641" i="1"/>
  <c r="T1641" i="1"/>
  <c r="U1641" i="1"/>
  <c r="BB1641" i="1"/>
  <c r="BW1641" i="1"/>
  <c r="A1642" i="1"/>
  <c r="C1642" i="1"/>
  <c r="S1642" i="1"/>
  <c r="T1642" i="1"/>
  <c r="U1642" i="1"/>
  <c r="BB1642" i="1"/>
  <c r="BW1642" i="1"/>
  <c r="A1643" i="1"/>
  <c r="C1643" i="1"/>
  <c r="S1643" i="1"/>
  <c r="T1643" i="1"/>
  <c r="U1643" i="1"/>
  <c r="BB1643" i="1"/>
  <c r="BW1643" i="1"/>
  <c r="A1644" i="1"/>
  <c r="C1644" i="1"/>
  <c r="S1644" i="1"/>
  <c r="T1644" i="1"/>
  <c r="U1644" i="1"/>
  <c r="BB1644" i="1"/>
  <c r="BW1644" i="1"/>
  <c r="A1645" i="1"/>
  <c r="C1645" i="1"/>
  <c r="S1645" i="1"/>
  <c r="T1645" i="1"/>
  <c r="U1645" i="1"/>
  <c r="BB1645" i="1"/>
  <c r="BW1645" i="1"/>
  <c r="A1646" i="1"/>
  <c r="C1646" i="1"/>
  <c r="S1646" i="1"/>
  <c r="T1646" i="1"/>
  <c r="U1646" i="1"/>
  <c r="BB1646" i="1"/>
  <c r="BW1646" i="1"/>
  <c r="A1647" i="1"/>
  <c r="C1647" i="1"/>
  <c r="S1647" i="1"/>
  <c r="T1647" i="1"/>
  <c r="U1647" i="1"/>
  <c r="BB1647" i="1"/>
  <c r="BW1647" i="1"/>
  <c r="A1648" i="1"/>
  <c r="C1648" i="1"/>
  <c r="S1648" i="1"/>
  <c r="T1648" i="1"/>
  <c r="U1648" i="1"/>
  <c r="BB1648" i="1"/>
  <c r="BW1648" i="1"/>
  <c r="A1649" i="1"/>
  <c r="C1649" i="1"/>
  <c r="S1649" i="1"/>
  <c r="T1649" i="1"/>
  <c r="U1649" i="1"/>
  <c r="BB1649" i="1"/>
  <c r="BW1649" i="1"/>
  <c r="A1650" i="1"/>
  <c r="C1650" i="1"/>
  <c r="S1650" i="1"/>
  <c r="T1650" i="1"/>
  <c r="U1650" i="1"/>
  <c r="BB1650" i="1"/>
  <c r="BW1650" i="1"/>
  <c r="A1651" i="1"/>
  <c r="C1651" i="1"/>
  <c r="S1651" i="1"/>
  <c r="T1651" i="1"/>
  <c r="U1651" i="1"/>
  <c r="BB1651" i="1"/>
  <c r="BW1651" i="1"/>
  <c r="A1652" i="1"/>
  <c r="C1652" i="1"/>
  <c r="S1652" i="1"/>
  <c r="T1652" i="1"/>
  <c r="U1652" i="1"/>
  <c r="BB1652" i="1"/>
  <c r="BW1652" i="1"/>
  <c r="A1653" i="1"/>
  <c r="C1653" i="1"/>
  <c r="S1653" i="1"/>
  <c r="T1653" i="1"/>
  <c r="U1653" i="1"/>
  <c r="BB1653" i="1"/>
  <c r="BW1653" i="1"/>
  <c r="A1654" i="1"/>
  <c r="C1654" i="1"/>
  <c r="S1654" i="1"/>
  <c r="T1654" i="1"/>
  <c r="U1654" i="1"/>
  <c r="BB1654" i="1"/>
  <c r="BW1654" i="1"/>
  <c r="A1655" i="1"/>
  <c r="C1655" i="1"/>
  <c r="S1655" i="1"/>
  <c r="T1655" i="1"/>
  <c r="U1655" i="1"/>
  <c r="BB1655" i="1"/>
  <c r="BW1655" i="1"/>
  <c r="A1656" i="1"/>
  <c r="C1656" i="1"/>
  <c r="S1656" i="1"/>
  <c r="T1656" i="1"/>
  <c r="U1656" i="1"/>
  <c r="BB1656" i="1"/>
  <c r="BW1656" i="1"/>
  <c r="A1657" i="1"/>
  <c r="C1657" i="1"/>
  <c r="S1657" i="1"/>
  <c r="T1657" i="1"/>
  <c r="U1657" i="1"/>
  <c r="BB1657" i="1"/>
  <c r="BW1657" i="1"/>
  <c r="A1658" i="1"/>
  <c r="C1658" i="1"/>
  <c r="S1658" i="1"/>
  <c r="T1658" i="1"/>
  <c r="U1658" i="1"/>
  <c r="BB1658" i="1"/>
  <c r="BW1658" i="1"/>
  <c r="A1659" i="1"/>
  <c r="C1659" i="1"/>
  <c r="S1659" i="1"/>
  <c r="T1659" i="1"/>
  <c r="U1659" i="1"/>
  <c r="BB1659" i="1"/>
  <c r="BW1659" i="1"/>
  <c r="A1660" i="1"/>
  <c r="C1660" i="1"/>
  <c r="S1660" i="1"/>
  <c r="T1660" i="1"/>
  <c r="U1660" i="1"/>
  <c r="BB1660" i="1"/>
  <c r="BW1660" i="1"/>
  <c r="A1661" i="1"/>
  <c r="C1661" i="1"/>
  <c r="S1661" i="1"/>
  <c r="T1661" i="1"/>
  <c r="U1661" i="1"/>
  <c r="BB1661" i="1"/>
  <c r="BW1661" i="1"/>
  <c r="A1662" i="1"/>
  <c r="C1662" i="1"/>
  <c r="S1662" i="1"/>
  <c r="T1662" i="1"/>
  <c r="U1662" i="1"/>
  <c r="BB1662" i="1"/>
  <c r="BW1662" i="1"/>
  <c r="A1663" i="1"/>
  <c r="C1663" i="1"/>
  <c r="S1663" i="1"/>
  <c r="T1663" i="1"/>
  <c r="U1663" i="1"/>
  <c r="BB1663" i="1"/>
  <c r="BW1663" i="1"/>
  <c r="A1664" i="1"/>
  <c r="C1664" i="1"/>
  <c r="S1664" i="1"/>
  <c r="T1664" i="1"/>
  <c r="U1664" i="1"/>
  <c r="BB1664" i="1"/>
  <c r="BW1664" i="1"/>
  <c r="A1665" i="1"/>
  <c r="C1665" i="1"/>
  <c r="S1665" i="1"/>
  <c r="T1665" i="1"/>
  <c r="U1665" i="1"/>
  <c r="BB1665" i="1"/>
  <c r="BW1665" i="1"/>
  <c r="A1666" i="1"/>
  <c r="C1666" i="1"/>
  <c r="S1666" i="1"/>
  <c r="T1666" i="1"/>
  <c r="U1666" i="1"/>
  <c r="BB1666" i="1"/>
  <c r="BW1666" i="1"/>
  <c r="A1667" i="1"/>
  <c r="C1667" i="1"/>
  <c r="S1667" i="1"/>
  <c r="T1667" i="1"/>
  <c r="U1667" i="1"/>
  <c r="BB1667" i="1"/>
  <c r="BW1667" i="1"/>
  <c r="A1668" i="1"/>
  <c r="C1668" i="1"/>
  <c r="S1668" i="1"/>
  <c r="T1668" i="1"/>
  <c r="U1668" i="1"/>
  <c r="BB1668" i="1"/>
  <c r="BW1668" i="1"/>
  <c r="A1669" i="1"/>
  <c r="C1669" i="1"/>
  <c r="S1669" i="1"/>
  <c r="T1669" i="1"/>
  <c r="U1669" i="1"/>
  <c r="BB1669" i="1"/>
  <c r="BW1669" i="1"/>
  <c r="A1670" i="1"/>
  <c r="C1670" i="1"/>
  <c r="S1670" i="1"/>
  <c r="T1670" i="1"/>
  <c r="U1670" i="1"/>
  <c r="BB1670" i="1"/>
  <c r="BW1670" i="1"/>
  <c r="A1671" i="1"/>
  <c r="C1671" i="1"/>
  <c r="S1671" i="1"/>
  <c r="T1671" i="1"/>
  <c r="U1671" i="1"/>
  <c r="BB1671" i="1"/>
  <c r="BW1671" i="1"/>
  <c r="A1672" i="1"/>
  <c r="C1672" i="1"/>
  <c r="S1672" i="1"/>
  <c r="T1672" i="1"/>
  <c r="U1672" i="1"/>
  <c r="BB1672" i="1"/>
  <c r="BW1672" i="1"/>
  <c r="A1673" i="1"/>
  <c r="C1673" i="1"/>
  <c r="S1673" i="1"/>
  <c r="T1673" i="1"/>
  <c r="U1673" i="1"/>
  <c r="BB1673" i="1"/>
  <c r="BW1673" i="1"/>
  <c r="A1674" i="1"/>
  <c r="C1674" i="1"/>
  <c r="S1674" i="1"/>
  <c r="T1674" i="1"/>
  <c r="U1674" i="1"/>
  <c r="BB1674" i="1"/>
  <c r="BW1674" i="1"/>
  <c r="A1675" i="1"/>
  <c r="C1675" i="1"/>
  <c r="S1675" i="1"/>
  <c r="T1675" i="1"/>
  <c r="U1675" i="1"/>
  <c r="BB1675" i="1"/>
  <c r="BW1675" i="1"/>
  <c r="A1676" i="1"/>
  <c r="C1676" i="1"/>
  <c r="S1676" i="1"/>
  <c r="T1676" i="1"/>
  <c r="U1676" i="1"/>
  <c r="BB1676" i="1"/>
  <c r="BW1676" i="1"/>
  <c r="A1677" i="1"/>
  <c r="C1677" i="1"/>
  <c r="S1677" i="1"/>
  <c r="T1677" i="1"/>
  <c r="U1677" i="1"/>
  <c r="BB1677" i="1"/>
  <c r="BW1677" i="1"/>
  <c r="A1678" i="1"/>
  <c r="C1678" i="1"/>
  <c r="S1678" i="1"/>
  <c r="T1678" i="1"/>
  <c r="U1678" i="1"/>
  <c r="BB1678" i="1"/>
  <c r="BW1678" i="1"/>
  <c r="A1679" i="1"/>
  <c r="C1679" i="1"/>
  <c r="S1679" i="1"/>
  <c r="T1679" i="1"/>
  <c r="U1679" i="1"/>
  <c r="BB1679" i="1"/>
  <c r="BW1679" i="1"/>
  <c r="A1680" i="1"/>
  <c r="C1680" i="1"/>
  <c r="S1680" i="1"/>
  <c r="T1680" i="1"/>
  <c r="U1680" i="1"/>
  <c r="BB1680" i="1"/>
  <c r="BW1680" i="1"/>
  <c r="A1681" i="1"/>
  <c r="C1681" i="1"/>
  <c r="S1681" i="1"/>
  <c r="T1681" i="1"/>
  <c r="U1681" i="1"/>
  <c r="BB1681" i="1"/>
  <c r="BW1681" i="1"/>
  <c r="A1682" i="1"/>
  <c r="C1682" i="1"/>
  <c r="S1682" i="1"/>
  <c r="T1682" i="1"/>
  <c r="U1682" i="1"/>
  <c r="BB1682" i="1"/>
  <c r="BW1682" i="1"/>
  <c r="A1683" i="1"/>
  <c r="C1683" i="1"/>
  <c r="S1683" i="1"/>
  <c r="T1683" i="1"/>
  <c r="U1683" i="1"/>
  <c r="BB1683" i="1"/>
  <c r="BW1683" i="1"/>
  <c r="A1684" i="1"/>
  <c r="C1684" i="1"/>
  <c r="S1684" i="1"/>
  <c r="T1684" i="1"/>
  <c r="U1684" i="1"/>
  <c r="BB1684" i="1"/>
  <c r="BW1684" i="1"/>
  <c r="A1685" i="1"/>
  <c r="C1685" i="1"/>
  <c r="S1685" i="1"/>
  <c r="T1685" i="1"/>
  <c r="U1685" i="1"/>
  <c r="BB1685" i="1"/>
  <c r="BW1685" i="1"/>
  <c r="A1686" i="1"/>
  <c r="C1686" i="1"/>
  <c r="S1686" i="1"/>
  <c r="T1686" i="1"/>
  <c r="U1686" i="1"/>
  <c r="BB1686" i="1"/>
  <c r="BW1686" i="1"/>
  <c r="A1687" i="1"/>
  <c r="C1687" i="1"/>
  <c r="S1687" i="1"/>
  <c r="T1687" i="1"/>
  <c r="U1687" i="1"/>
  <c r="BB1687" i="1"/>
  <c r="BW1687" i="1"/>
  <c r="A1688" i="1"/>
  <c r="C1688" i="1"/>
  <c r="S1688" i="1"/>
  <c r="T1688" i="1"/>
  <c r="U1688" i="1"/>
  <c r="BB1688" i="1"/>
  <c r="BW1688" i="1"/>
  <c r="A1689" i="1"/>
  <c r="C1689" i="1"/>
  <c r="S1689" i="1"/>
  <c r="T1689" i="1"/>
  <c r="U1689" i="1"/>
  <c r="BB1689" i="1"/>
  <c r="BW1689" i="1"/>
  <c r="A1690" i="1"/>
  <c r="C1690" i="1"/>
  <c r="S1690" i="1"/>
  <c r="T1690" i="1"/>
  <c r="U1690" i="1"/>
  <c r="BB1690" i="1"/>
  <c r="BW1690" i="1"/>
  <c r="A1691" i="1"/>
  <c r="C1691" i="1"/>
  <c r="S1691" i="1"/>
  <c r="T1691" i="1"/>
  <c r="U1691" i="1"/>
  <c r="BB1691" i="1"/>
  <c r="BW1691" i="1"/>
  <c r="A1692" i="1"/>
  <c r="C1692" i="1"/>
  <c r="S1692" i="1"/>
  <c r="T1692" i="1"/>
  <c r="U1692" i="1"/>
  <c r="BB1692" i="1"/>
  <c r="BW1692" i="1"/>
  <c r="A1693" i="1"/>
  <c r="C1693" i="1"/>
  <c r="S1693" i="1"/>
  <c r="T1693" i="1"/>
  <c r="U1693" i="1"/>
  <c r="BB1693" i="1"/>
  <c r="BW1693" i="1"/>
  <c r="A1694" i="1"/>
  <c r="C1694" i="1"/>
  <c r="S1694" i="1"/>
  <c r="T1694" i="1"/>
  <c r="U1694" i="1"/>
  <c r="BB1694" i="1"/>
  <c r="BW1694" i="1"/>
  <c r="A1695" i="1"/>
  <c r="C1695" i="1"/>
  <c r="S1695" i="1"/>
  <c r="T1695" i="1"/>
  <c r="U1695" i="1"/>
  <c r="BB1695" i="1"/>
  <c r="BW1695" i="1"/>
  <c r="A1696" i="1"/>
  <c r="C1696" i="1"/>
  <c r="S1696" i="1"/>
  <c r="T1696" i="1"/>
  <c r="U1696" i="1"/>
  <c r="BB1696" i="1"/>
  <c r="BW1696" i="1"/>
  <c r="A1697" i="1"/>
  <c r="C1697" i="1"/>
  <c r="S1697" i="1"/>
  <c r="T1697" i="1"/>
  <c r="U1697" i="1"/>
  <c r="BB1697" i="1"/>
  <c r="BW1697" i="1"/>
  <c r="A1698" i="1"/>
  <c r="C1698" i="1"/>
  <c r="S1698" i="1"/>
  <c r="T1698" i="1"/>
  <c r="U1698" i="1"/>
  <c r="BB1698" i="1"/>
  <c r="BW1698" i="1"/>
  <c r="A1699" i="1"/>
  <c r="C1699" i="1"/>
  <c r="S1699" i="1"/>
  <c r="T1699" i="1"/>
  <c r="U1699" i="1"/>
  <c r="BB1699" i="1"/>
  <c r="BW1699" i="1"/>
  <c r="A1700" i="1"/>
  <c r="C1700" i="1"/>
  <c r="S1700" i="1"/>
  <c r="T1700" i="1"/>
  <c r="U1700" i="1"/>
  <c r="BB1700" i="1"/>
  <c r="BW1700" i="1"/>
  <c r="A1701" i="1"/>
  <c r="C1701" i="1"/>
  <c r="S1701" i="1"/>
  <c r="T1701" i="1"/>
  <c r="U1701" i="1"/>
  <c r="BB1701" i="1"/>
  <c r="BW1701" i="1"/>
  <c r="A1702" i="1"/>
  <c r="C1702" i="1"/>
  <c r="S1702" i="1"/>
  <c r="T1702" i="1"/>
  <c r="U1702" i="1"/>
  <c r="BB1702" i="1"/>
  <c r="BW1702" i="1"/>
  <c r="A1703" i="1"/>
  <c r="C1703" i="1"/>
  <c r="S1703" i="1"/>
  <c r="T1703" i="1"/>
  <c r="U1703" i="1"/>
  <c r="BB1703" i="1"/>
  <c r="BW1703" i="1"/>
  <c r="A1704" i="1"/>
  <c r="C1704" i="1"/>
  <c r="S1704" i="1"/>
  <c r="T1704" i="1"/>
  <c r="U1704" i="1"/>
  <c r="BB1704" i="1"/>
  <c r="BW1704" i="1"/>
  <c r="A1705" i="1"/>
  <c r="C1705" i="1"/>
  <c r="S1705" i="1"/>
  <c r="T1705" i="1"/>
  <c r="U1705" i="1"/>
  <c r="BB1705" i="1"/>
  <c r="BW1705" i="1"/>
  <c r="A1706" i="1"/>
  <c r="C1706" i="1"/>
  <c r="S1706" i="1"/>
  <c r="T1706" i="1"/>
  <c r="U1706" i="1"/>
  <c r="BB1706" i="1"/>
  <c r="BW1706" i="1"/>
  <c r="A1707" i="1"/>
  <c r="C1707" i="1"/>
  <c r="S1707" i="1"/>
  <c r="T1707" i="1"/>
  <c r="U1707" i="1"/>
  <c r="BB1707" i="1"/>
  <c r="BW1707" i="1"/>
  <c r="A1708" i="1"/>
  <c r="C1708" i="1"/>
  <c r="S1708" i="1"/>
  <c r="T1708" i="1"/>
  <c r="U1708" i="1"/>
  <c r="BB1708" i="1"/>
  <c r="BW1708" i="1"/>
  <c r="A1709" i="1"/>
  <c r="C1709" i="1"/>
  <c r="S1709" i="1"/>
  <c r="T1709" i="1"/>
  <c r="U1709" i="1"/>
  <c r="BB1709" i="1"/>
  <c r="BW1709" i="1"/>
  <c r="A1710" i="1"/>
  <c r="C1710" i="1"/>
  <c r="S1710" i="1"/>
  <c r="T1710" i="1"/>
  <c r="U1710" i="1"/>
  <c r="BB1710" i="1"/>
  <c r="BW1710" i="1"/>
  <c r="A1711" i="1"/>
  <c r="C1711" i="1"/>
  <c r="S1711" i="1"/>
  <c r="T1711" i="1"/>
  <c r="U1711" i="1"/>
  <c r="BB1711" i="1"/>
  <c r="BW1711" i="1"/>
  <c r="A1712" i="1"/>
  <c r="C1712" i="1"/>
  <c r="S1712" i="1"/>
  <c r="T1712" i="1"/>
  <c r="U1712" i="1"/>
  <c r="BB1712" i="1"/>
  <c r="BW1712" i="1"/>
  <c r="A1713" i="1"/>
  <c r="C1713" i="1"/>
  <c r="S1713" i="1"/>
  <c r="T1713" i="1"/>
  <c r="U1713" i="1"/>
  <c r="BB1713" i="1"/>
  <c r="BW1713" i="1"/>
  <c r="A1714" i="1"/>
  <c r="C1714" i="1"/>
  <c r="S1714" i="1"/>
  <c r="T1714" i="1"/>
  <c r="U1714" i="1"/>
  <c r="BB1714" i="1"/>
  <c r="BW1714" i="1"/>
  <c r="A1715" i="1"/>
  <c r="C1715" i="1"/>
  <c r="S1715" i="1"/>
  <c r="T1715" i="1"/>
  <c r="U1715" i="1"/>
  <c r="BB1715" i="1"/>
  <c r="BW1715" i="1"/>
  <c r="A1716" i="1"/>
  <c r="C1716" i="1"/>
  <c r="S1716" i="1"/>
  <c r="T1716" i="1"/>
  <c r="U1716" i="1"/>
  <c r="BB1716" i="1"/>
  <c r="BW1716" i="1"/>
  <c r="A1717" i="1"/>
  <c r="C1717" i="1"/>
  <c r="S1717" i="1"/>
  <c r="T1717" i="1"/>
  <c r="U1717" i="1"/>
  <c r="BB1717" i="1"/>
  <c r="BW1717" i="1"/>
  <c r="A1718" i="1"/>
  <c r="C1718" i="1"/>
  <c r="S1718" i="1"/>
  <c r="T1718" i="1"/>
  <c r="U1718" i="1"/>
  <c r="BB1718" i="1"/>
  <c r="BW1718" i="1"/>
  <c r="A1719" i="1"/>
  <c r="C1719" i="1"/>
  <c r="S1719" i="1"/>
  <c r="T1719" i="1"/>
  <c r="U1719" i="1"/>
  <c r="BB1719" i="1"/>
  <c r="BW1719" i="1"/>
  <c r="A1720" i="1"/>
  <c r="C1720" i="1"/>
  <c r="S1720" i="1"/>
  <c r="T1720" i="1"/>
  <c r="U1720" i="1"/>
  <c r="BB1720" i="1"/>
  <c r="BW1720" i="1"/>
  <c r="A1721" i="1"/>
  <c r="C1721" i="1"/>
  <c r="S1721" i="1"/>
  <c r="T1721" i="1"/>
  <c r="U1721" i="1"/>
  <c r="BB1721" i="1"/>
  <c r="BW1721" i="1"/>
  <c r="A1722" i="1"/>
  <c r="C1722" i="1"/>
  <c r="S1722" i="1"/>
  <c r="T1722" i="1"/>
  <c r="U1722" i="1"/>
  <c r="BB1722" i="1"/>
  <c r="BW1722" i="1"/>
  <c r="A1723" i="1"/>
  <c r="C1723" i="1"/>
  <c r="S1723" i="1"/>
  <c r="T1723" i="1"/>
  <c r="U1723" i="1"/>
  <c r="BB1723" i="1"/>
  <c r="BW1723" i="1"/>
  <c r="A1724" i="1"/>
  <c r="C1724" i="1"/>
  <c r="S1724" i="1"/>
  <c r="T1724" i="1"/>
  <c r="U1724" i="1"/>
  <c r="BB1724" i="1"/>
  <c r="BW1724" i="1"/>
  <c r="A1725" i="1"/>
  <c r="C1725" i="1"/>
  <c r="S1725" i="1"/>
  <c r="T1725" i="1"/>
  <c r="U1725" i="1"/>
  <c r="BB1725" i="1"/>
  <c r="BW1725" i="1"/>
  <c r="A1726" i="1"/>
  <c r="C1726" i="1"/>
  <c r="S1726" i="1"/>
  <c r="T1726" i="1"/>
  <c r="U1726" i="1"/>
  <c r="BB1726" i="1"/>
  <c r="BW1726" i="1"/>
  <c r="A1727" i="1"/>
  <c r="C1727" i="1"/>
  <c r="S1727" i="1"/>
  <c r="T1727" i="1"/>
  <c r="U1727" i="1"/>
  <c r="BB1727" i="1"/>
  <c r="BW1727" i="1"/>
  <c r="A1728" i="1"/>
  <c r="C1728" i="1"/>
  <c r="S1728" i="1"/>
  <c r="T1728" i="1"/>
  <c r="U1728" i="1"/>
  <c r="BB1728" i="1"/>
  <c r="BW1728" i="1"/>
  <c r="A1729" i="1"/>
  <c r="C1729" i="1"/>
  <c r="S1729" i="1"/>
  <c r="T1729" i="1"/>
  <c r="U1729" i="1"/>
  <c r="BB1729" i="1"/>
  <c r="BW1729" i="1"/>
  <c r="A1730" i="1"/>
  <c r="C1730" i="1"/>
  <c r="S1730" i="1"/>
  <c r="T1730" i="1"/>
  <c r="U1730" i="1"/>
  <c r="BB1730" i="1"/>
  <c r="BW1730" i="1"/>
  <c r="A1731" i="1"/>
  <c r="C1731" i="1"/>
  <c r="S1731" i="1"/>
  <c r="T1731" i="1"/>
  <c r="U1731" i="1"/>
  <c r="BB1731" i="1"/>
  <c r="BW1731" i="1"/>
  <c r="A1732" i="1"/>
  <c r="C1732" i="1"/>
  <c r="S1732" i="1"/>
  <c r="T1732" i="1"/>
  <c r="U1732" i="1"/>
  <c r="BB1732" i="1"/>
  <c r="BW1732" i="1"/>
  <c r="A1733" i="1"/>
  <c r="C1733" i="1"/>
  <c r="S1733" i="1"/>
  <c r="T1733" i="1"/>
  <c r="U1733" i="1"/>
  <c r="BB1733" i="1"/>
  <c r="BW1733" i="1"/>
  <c r="A1734" i="1"/>
  <c r="C1734" i="1"/>
  <c r="S1734" i="1"/>
  <c r="T1734" i="1"/>
  <c r="U1734" i="1"/>
  <c r="BB1734" i="1"/>
  <c r="BW1734" i="1"/>
  <c r="A1735" i="1"/>
  <c r="C1735" i="1"/>
  <c r="S1735" i="1"/>
  <c r="T1735" i="1"/>
  <c r="U1735" i="1"/>
  <c r="BW1735" i="1"/>
  <c r="A1736" i="1"/>
  <c r="C1736" i="1"/>
  <c r="S1736" i="1"/>
  <c r="T1736" i="1"/>
  <c r="U1736" i="1"/>
  <c r="BW1736" i="1"/>
  <c r="A1737" i="1"/>
  <c r="C1737" i="1"/>
  <c r="S1737" i="1"/>
  <c r="T1737" i="1"/>
  <c r="U1737" i="1"/>
  <c r="BW1737" i="1"/>
  <c r="A1738" i="1"/>
  <c r="C1738" i="1"/>
  <c r="S1738" i="1"/>
  <c r="T1738" i="1"/>
  <c r="U1738" i="1"/>
  <c r="BW1738" i="1"/>
  <c r="A1739" i="1"/>
  <c r="C1739" i="1"/>
  <c r="S1739" i="1"/>
  <c r="T1739" i="1"/>
  <c r="U1739" i="1"/>
  <c r="BB1739" i="1"/>
  <c r="BW1739" i="1"/>
  <c r="A1740" i="1"/>
  <c r="C1740" i="1"/>
  <c r="S1740" i="1"/>
  <c r="T1740" i="1"/>
  <c r="U1740" i="1"/>
  <c r="BB1740" i="1"/>
  <c r="BW1740" i="1"/>
  <c r="A1741" i="1"/>
  <c r="C1741" i="1"/>
  <c r="S1741" i="1"/>
  <c r="T1741" i="1"/>
  <c r="U1741" i="1"/>
  <c r="BB1741" i="1"/>
  <c r="BW1741" i="1"/>
  <c r="A1742" i="1"/>
  <c r="C1742" i="1"/>
  <c r="S1742" i="1"/>
  <c r="T1742" i="1"/>
  <c r="U1742" i="1"/>
  <c r="BB1742" i="1"/>
  <c r="BW1742" i="1"/>
  <c r="A1743" i="1"/>
  <c r="C1743" i="1"/>
  <c r="S1743" i="1"/>
  <c r="T1743" i="1"/>
  <c r="U1743" i="1"/>
  <c r="BB1743" i="1"/>
  <c r="BW1743" i="1"/>
  <c r="A1744" i="1"/>
  <c r="C1744" i="1"/>
  <c r="S1744" i="1"/>
  <c r="T1744" i="1"/>
  <c r="U1744" i="1"/>
  <c r="BB1744" i="1"/>
  <c r="BW1744" i="1"/>
  <c r="A1745" i="1"/>
  <c r="C1745" i="1"/>
  <c r="S1745" i="1"/>
  <c r="T1745" i="1"/>
  <c r="U1745" i="1"/>
  <c r="BB1745" i="1"/>
  <c r="BW1745" i="1"/>
  <c r="A1746" i="1"/>
  <c r="C1746" i="1"/>
  <c r="S1746" i="1"/>
  <c r="T1746" i="1"/>
  <c r="U1746" i="1"/>
  <c r="BB1746" i="1"/>
  <c r="BW1746" i="1"/>
  <c r="A1747" i="1"/>
  <c r="C1747" i="1"/>
  <c r="S1747" i="1"/>
  <c r="T1747" i="1"/>
  <c r="U1747" i="1"/>
  <c r="BB1747" i="1"/>
  <c r="BW1747" i="1"/>
  <c r="A1748" i="1"/>
  <c r="C1748" i="1"/>
  <c r="S1748" i="1"/>
  <c r="T1748" i="1"/>
  <c r="U1748" i="1"/>
  <c r="BB1748" i="1"/>
  <c r="BW1748" i="1"/>
  <c r="A1749" i="1"/>
  <c r="C1749" i="1"/>
  <c r="S1749" i="1"/>
  <c r="T1749" i="1"/>
  <c r="U1749" i="1"/>
  <c r="BB1749" i="1"/>
  <c r="BW1749" i="1"/>
  <c r="A1750" i="1"/>
  <c r="C1750" i="1"/>
  <c r="S1750" i="1"/>
  <c r="T1750" i="1"/>
  <c r="U1750" i="1"/>
  <c r="BB1750" i="1"/>
  <c r="BW1750" i="1"/>
  <c r="A1751" i="1"/>
  <c r="C1751" i="1"/>
  <c r="S1751" i="1"/>
  <c r="T1751" i="1"/>
  <c r="U1751" i="1"/>
  <c r="BB1751" i="1"/>
  <c r="BW1751" i="1"/>
  <c r="A1752" i="1"/>
  <c r="C1752" i="1"/>
  <c r="S1752" i="1"/>
  <c r="T1752" i="1"/>
  <c r="U1752" i="1"/>
  <c r="BB1752" i="1"/>
  <c r="BW1752" i="1"/>
  <c r="A1753" i="1"/>
  <c r="C1753" i="1"/>
  <c r="S1753" i="1"/>
  <c r="T1753" i="1"/>
  <c r="U1753" i="1"/>
  <c r="BB1753" i="1"/>
  <c r="BW1753" i="1"/>
  <c r="A1754" i="1"/>
  <c r="C1754" i="1"/>
  <c r="S1754" i="1"/>
  <c r="T1754" i="1"/>
  <c r="U1754" i="1"/>
  <c r="BB1754" i="1"/>
  <c r="BW1754" i="1"/>
  <c r="A1755" i="1"/>
  <c r="C1755" i="1"/>
  <c r="S1755" i="1"/>
  <c r="U1755" i="1"/>
  <c r="BW1755" i="1"/>
  <c r="A1756" i="1"/>
  <c r="C1756" i="1"/>
  <c r="S1756" i="1"/>
  <c r="U1756" i="1"/>
  <c r="BW1756" i="1"/>
  <c r="A1757" i="1"/>
  <c r="C1757" i="1"/>
  <c r="S1757" i="1"/>
  <c r="U1757" i="1"/>
  <c r="BW1757" i="1"/>
  <c r="A1758" i="1"/>
  <c r="C1758" i="1"/>
  <c r="S1758" i="1"/>
  <c r="U1758" i="1"/>
  <c r="BW1758" i="1"/>
  <c r="A1759" i="1"/>
  <c r="C1759" i="1"/>
  <c r="S1759" i="1"/>
  <c r="T1759" i="1"/>
  <c r="U1759" i="1"/>
  <c r="BB1759" i="1"/>
  <c r="BW1759" i="1"/>
  <c r="A1760" i="1"/>
  <c r="C1760" i="1"/>
  <c r="S1760" i="1"/>
  <c r="T1760" i="1"/>
  <c r="U1760" i="1"/>
  <c r="BB1760" i="1"/>
  <c r="BW1760" i="1"/>
  <c r="A1761" i="1"/>
  <c r="C1761" i="1"/>
  <c r="S1761" i="1"/>
  <c r="T1761" i="1"/>
  <c r="U1761" i="1"/>
  <c r="BB1761" i="1"/>
  <c r="BW1761" i="1"/>
  <c r="A1762" i="1"/>
  <c r="C1762" i="1"/>
  <c r="S1762" i="1"/>
  <c r="T1762" i="1"/>
  <c r="U1762" i="1"/>
  <c r="BB1762" i="1"/>
  <c r="BW1762" i="1"/>
  <c r="A1763" i="1"/>
  <c r="C1763" i="1"/>
  <c r="S1763" i="1"/>
  <c r="T1763" i="1"/>
  <c r="U1763" i="1"/>
  <c r="BB1763" i="1"/>
  <c r="BW1763" i="1"/>
  <c r="A1764" i="1"/>
  <c r="C1764" i="1"/>
  <c r="S1764" i="1"/>
  <c r="T1764" i="1"/>
  <c r="U1764" i="1"/>
  <c r="BB1764" i="1"/>
  <c r="BW1764" i="1"/>
  <c r="A1765" i="1"/>
  <c r="C1765" i="1"/>
  <c r="S1765" i="1"/>
  <c r="T1765" i="1"/>
  <c r="U1765" i="1"/>
  <c r="BB1765" i="1"/>
  <c r="BW1765" i="1"/>
  <c r="A1766" i="1"/>
  <c r="C1766" i="1"/>
  <c r="S1766" i="1"/>
  <c r="T1766" i="1"/>
  <c r="U1766" i="1"/>
  <c r="BB1766" i="1"/>
  <c r="BW1766" i="1"/>
  <c r="A1767" i="1"/>
  <c r="C1767" i="1"/>
  <c r="S1767" i="1"/>
  <c r="T1767" i="1"/>
  <c r="U1767" i="1"/>
  <c r="BB1767" i="1"/>
  <c r="BW1767" i="1"/>
  <c r="A1768" i="1"/>
  <c r="C1768" i="1"/>
  <c r="S1768" i="1"/>
  <c r="T1768" i="1"/>
  <c r="U1768" i="1"/>
  <c r="BB1768" i="1"/>
  <c r="BW1768" i="1"/>
  <c r="A1769" i="1"/>
  <c r="C1769" i="1"/>
  <c r="S1769" i="1"/>
  <c r="T1769" i="1"/>
  <c r="U1769" i="1"/>
  <c r="BB1769" i="1"/>
  <c r="BW1769" i="1"/>
  <c r="A1770" i="1"/>
  <c r="C1770" i="1"/>
  <c r="S1770" i="1"/>
  <c r="T1770" i="1"/>
  <c r="U1770" i="1"/>
  <c r="BB1770" i="1"/>
  <c r="BW1770" i="1"/>
  <c r="A1771" i="1"/>
  <c r="C1771" i="1"/>
  <c r="S1771" i="1"/>
  <c r="T1771" i="1"/>
  <c r="U1771" i="1"/>
  <c r="BW1771" i="1"/>
  <c r="A1772" i="1"/>
  <c r="C1772" i="1"/>
  <c r="S1772" i="1"/>
  <c r="T1772" i="1"/>
  <c r="U1772" i="1"/>
  <c r="BW1772" i="1"/>
  <c r="A1773" i="1"/>
  <c r="C1773" i="1"/>
  <c r="S1773" i="1"/>
  <c r="T1773" i="1"/>
  <c r="U1773" i="1"/>
  <c r="BW1773" i="1"/>
  <c r="A1774" i="1"/>
  <c r="C1774" i="1"/>
  <c r="S1774" i="1"/>
  <c r="T1774" i="1"/>
  <c r="U1774" i="1"/>
  <c r="BW1774" i="1"/>
  <c r="A1775" i="1"/>
  <c r="C1775" i="1"/>
  <c r="S1775" i="1"/>
  <c r="T1775" i="1"/>
  <c r="U1775" i="1"/>
  <c r="BB1775" i="1"/>
  <c r="BW1775" i="1"/>
  <c r="A1776" i="1"/>
  <c r="C1776" i="1"/>
  <c r="S1776" i="1"/>
  <c r="T1776" i="1"/>
  <c r="U1776" i="1"/>
  <c r="BB1776" i="1"/>
  <c r="BW1776" i="1"/>
  <c r="A1777" i="1"/>
  <c r="C1777" i="1"/>
  <c r="S1777" i="1"/>
  <c r="T1777" i="1"/>
  <c r="U1777" i="1"/>
  <c r="BB1777" i="1"/>
  <c r="BW1777" i="1"/>
  <c r="A1778" i="1"/>
  <c r="C1778" i="1"/>
  <c r="S1778" i="1"/>
  <c r="T1778" i="1"/>
  <c r="U1778" i="1"/>
  <c r="BB1778" i="1"/>
  <c r="BW1778" i="1"/>
  <c r="A1779" i="1"/>
  <c r="C1779" i="1"/>
  <c r="S1779" i="1"/>
  <c r="T1779" i="1"/>
  <c r="U1779" i="1"/>
  <c r="BB1779" i="1"/>
  <c r="BW1779" i="1"/>
  <c r="A1780" i="1"/>
  <c r="C1780" i="1"/>
  <c r="S1780" i="1"/>
  <c r="T1780" i="1"/>
  <c r="U1780" i="1"/>
  <c r="BB1780" i="1"/>
  <c r="BW1780" i="1"/>
  <c r="A1781" i="1"/>
  <c r="C1781" i="1"/>
  <c r="S1781" i="1"/>
  <c r="T1781" i="1"/>
  <c r="U1781" i="1"/>
  <c r="BB1781" i="1"/>
  <c r="BW1781" i="1"/>
  <c r="A1782" i="1"/>
  <c r="C1782" i="1"/>
  <c r="S1782" i="1"/>
  <c r="T1782" i="1"/>
  <c r="U1782" i="1"/>
  <c r="BB1782" i="1"/>
  <c r="BW1782" i="1"/>
  <c r="A1783" i="1"/>
  <c r="C1783" i="1"/>
  <c r="S1783" i="1"/>
  <c r="T1783" i="1"/>
  <c r="U1783" i="1"/>
  <c r="BB1783" i="1"/>
  <c r="BW1783" i="1"/>
  <c r="A1784" i="1"/>
  <c r="C1784" i="1"/>
  <c r="S1784" i="1"/>
  <c r="T1784" i="1"/>
  <c r="U1784" i="1"/>
  <c r="BB1784" i="1"/>
  <c r="BW1784" i="1"/>
  <c r="A1785" i="1"/>
  <c r="C1785" i="1"/>
  <c r="S1785" i="1"/>
  <c r="T1785" i="1"/>
  <c r="U1785" i="1"/>
  <c r="BB1785" i="1"/>
  <c r="BW1785" i="1"/>
  <c r="A1786" i="1"/>
  <c r="C1786" i="1"/>
  <c r="S1786" i="1"/>
  <c r="T1786" i="1"/>
  <c r="U1786" i="1"/>
  <c r="BB1786" i="1"/>
  <c r="BW1786" i="1"/>
  <c r="A1787" i="1"/>
  <c r="C1787" i="1"/>
  <c r="S1787" i="1"/>
  <c r="T1787" i="1"/>
  <c r="U1787" i="1"/>
  <c r="BB1787" i="1"/>
  <c r="BW1787" i="1"/>
  <c r="A1788" i="1"/>
  <c r="C1788" i="1"/>
  <c r="S1788" i="1"/>
  <c r="T1788" i="1"/>
  <c r="U1788" i="1"/>
  <c r="BB1788" i="1"/>
  <c r="BW1788" i="1"/>
  <c r="A1789" i="1"/>
  <c r="C1789" i="1"/>
  <c r="S1789" i="1"/>
  <c r="T1789" i="1"/>
  <c r="U1789" i="1"/>
  <c r="BB1789" i="1"/>
  <c r="BW1789" i="1"/>
  <c r="A1790" i="1"/>
  <c r="C1790" i="1"/>
  <c r="S1790" i="1"/>
  <c r="T1790" i="1"/>
  <c r="U1790" i="1"/>
  <c r="BB1790" i="1"/>
  <c r="BW1790" i="1"/>
  <c r="A1791" i="1"/>
  <c r="C1791" i="1"/>
  <c r="S1791" i="1"/>
  <c r="T1791" i="1"/>
  <c r="U1791" i="1"/>
  <c r="BB1791" i="1"/>
  <c r="BW1791" i="1"/>
  <c r="A1792" i="1"/>
  <c r="C1792" i="1"/>
  <c r="S1792" i="1"/>
  <c r="T1792" i="1"/>
  <c r="U1792" i="1"/>
  <c r="BB1792" i="1"/>
  <c r="BW1792" i="1"/>
  <c r="A1793" i="1"/>
  <c r="C1793" i="1"/>
  <c r="S1793" i="1"/>
  <c r="T1793" i="1"/>
  <c r="U1793" i="1"/>
  <c r="BB1793" i="1"/>
  <c r="BW1793" i="1"/>
  <c r="A1794" i="1"/>
  <c r="C1794" i="1"/>
  <c r="S1794" i="1"/>
  <c r="T1794" i="1"/>
  <c r="U1794" i="1"/>
  <c r="BB1794" i="1"/>
  <c r="BW1794" i="1"/>
  <c r="A1795" i="1"/>
  <c r="C1795" i="1"/>
  <c r="S1795" i="1"/>
  <c r="T1795" i="1"/>
  <c r="U1795" i="1"/>
  <c r="BB1795" i="1"/>
  <c r="BW1795" i="1"/>
  <c r="A1796" i="1"/>
  <c r="C1796" i="1"/>
  <c r="S1796" i="1"/>
  <c r="T1796" i="1"/>
  <c r="U1796" i="1"/>
  <c r="BB1796" i="1"/>
  <c r="BW1796" i="1"/>
  <c r="A1797" i="1"/>
  <c r="C1797" i="1"/>
  <c r="S1797" i="1"/>
  <c r="T1797" i="1"/>
  <c r="U1797" i="1"/>
  <c r="BB1797" i="1"/>
  <c r="BW1797" i="1"/>
  <c r="A1798" i="1"/>
  <c r="C1798" i="1"/>
  <c r="S1798" i="1"/>
  <c r="T1798" i="1"/>
  <c r="U1798" i="1"/>
  <c r="BB1798" i="1"/>
  <c r="BW1798" i="1"/>
  <c r="A1799" i="1"/>
  <c r="C1799" i="1"/>
  <c r="S1799" i="1"/>
  <c r="T1799" i="1"/>
  <c r="U1799" i="1"/>
  <c r="BB1799" i="1"/>
  <c r="BW1799" i="1"/>
  <c r="A1800" i="1"/>
  <c r="C1800" i="1"/>
  <c r="S1800" i="1"/>
  <c r="T1800" i="1"/>
  <c r="U1800" i="1"/>
  <c r="BB1800" i="1"/>
  <c r="BW1800" i="1"/>
  <c r="A1801" i="1"/>
  <c r="C1801" i="1"/>
  <c r="S1801" i="1"/>
  <c r="T1801" i="1"/>
  <c r="U1801" i="1"/>
  <c r="BB1801" i="1"/>
  <c r="BW1801" i="1"/>
  <c r="A1802" i="1"/>
  <c r="C1802" i="1"/>
  <c r="S1802" i="1"/>
  <c r="T1802" i="1"/>
  <c r="U1802" i="1"/>
  <c r="BB1802" i="1"/>
  <c r="BW1802" i="1"/>
  <c r="A1803" i="1"/>
  <c r="C1803" i="1"/>
  <c r="S1803" i="1"/>
  <c r="T1803" i="1"/>
  <c r="U1803" i="1"/>
  <c r="BB1803" i="1"/>
  <c r="BW1803" i="1"/>
  <c r="A1804" i="1"/>
  <c r="C1804" i="1"/>
  <c r="S1804" i="1"/>
  <c r="T1804" i="1"/>
  <c r="U1804" i="1"/>
  <c r="BB1804" i="1"/>
  <c r="BW1804" i="1"/>
  <c r="A1805" i="1"/>
  <c r="C1805" i="1"/>
  <c r="S1805" i="1"/>
  <c r="T1805" i="1"/>
  <c r="U1805" i="1"/>
  <c r="BB1805" i="1"/>
  <c r="BW1805" i="1"/>
  <c r="A1806" i="1"/>
  <c r="C1806" i="1"/>
  <c r="S1806" i="1"/>
  <c r="T1806" i="1"/>
  <c r="U1806" i="1"/>
  <c r="BB1806" i="1"/>
  <c r="BW1806" i="1"/>
  <c r="A1807" i="1"/>
  <c r="C1807" i="1"/>
  <c r="S1807" i="1"/>
  <c r="T1807" i="1"/>
  <c r="U1807" i="1"/>
  <c r="BB1807" i="1"/>
  <c r="BW1807" i="1"/>
  <c r="A1808" i="1"/>
  <c r="C1808" i="1"/>
  <c r="S1808" i="1"/>
  <c r="T1808" i="1"/>
  <c r="U1808" i="1"/>
  <c r="BB1808" i="1"/>
  <c r="BW1808" i="1"/>
  <c r="A1809" i="1"/>
  <c r="C1809" i="1"/>
  <c r="S1809" i="1"/>
  <c r="T1809" i="1"/>
  <c r="U1809" i="1"/>
  <c r="BB1809" i="1"/>
  <c r="BW1809" i="1"/>
  <c r="A1810" i="1"/>
  <c r="C1810" i="1"/>
  <c r="S1810" i="1"/>
  <c r="T1810" i="1"/>
  <c r="U1810" i="1"/>
  <c r="BB1810" i="1"/>
  <c r="BW1810" i="1"/>
  <c r="A1811" i="1"/>
  <c r="C1811" i="1"/>
  <c r="S1811" i="1"/>
  <c r="T1811" i="1"/>
  <c r="U1811" i="1"/>
  <c r="BB1811" i="1"/>
  <c r="BW1811" i="1"/>
  <c r="A1812" i="1"/>
  <c r="C1812" i="1"/>
  <c r="S1812" i="1"/>
  <c r="T1812" i="1"/>
  <c r="U1812" i="1"/>
  <c r="BB1812" i="1"/>
  <c r="BW1812" i="1"/>
  <c r="A1813" i="1"/>
  <c r="C1813" i="1"/>
  <c r="S1813" i="1"/>
  <c r="T1813" i="1"/>
  <c r="U1813" i="1"/>
  <c r="BB1813" i="1"/>
  <c r="BW1813" i="1"/>
  <c r="A1814" i="1"/>
  <c r="C1814" i="1"/>
  <c r="S1814" i="1"/>
  <c r="T1814" i="1"/>
  <c r="U1814" i="1"/>
  <c r="BB1814" i="1"/>
  <c r="BW1814" i="1"/>
  <c r="A1815" i="1"/>
  <c r="C1815" i="1"/>
  <c r="S1815" i="1"/>
  <c r="T1815" i="1"/>
  <c r="U1815" i="1"/>
  <c r="BB1815" i="1"/>
  <c r="BW1815" i="1"/>
  <c r="A1816" i="1"/>
  <c r="C1816" i="1"/>
  <c r="S1816" i="1"/>
  <c r="T1816" i="1"/>
  <c r="U1816" i="1"/>
  <c r="BB1816" i="1"/>
  <c r="BW1816" i="1"/>
  <c r="A1817" i="1"/>
  <c r="C1817" i="1"/>
  <c r="S1817" i="1"/>
  <c r="T1817" i="1"/>
  <c r="U1817" i="1"/>
  <c r="BB1817" i="1"/>
  <c r="BW1817" i="1"/>
  <c r="A1818" i="1"/>
  <c r="C1818" i="1"/>
  <c r="S1818" i="1"/>
  <c r="T1818" i="1"/>
  <c r="U1818" i="1"/>
  <c r="BB1818" i="1"/>
  <c r="BW1818" i="1"/>
  <c r="A1819" i="1"/>
  <c r="C1819" i="1"/>
  <c r="S1819" i="1"/>
  <c r="T1819" i="1"/>
  <c r="U1819" i="1"/>
  <c r="BB1819" i="1"/>
  <c r="BW1819" i="1"/>
  <c r="A1820" i="1"/>
  <c r="C1820" i="1"/>
  <c r="S1820" i="1"/>
  <c r="T1820" i="1"/>
  <c r="U1820" i="1"/>
  <c r="BB1820" i="1"/>
  <c r="BW1820" i="1"/>
  <c r="A1821" i="1"/>
  <c r="C1821" i="1"/>
  <c r="S1821" i="1"/>
  <c r="T1821" i="1"/>
  <c r="U1821" i="1"/>
  <c r="BB1821" i="1"/>
  <c r="BW1821" i="1"/>
  <c r="A1822" i="1"/>
  <c r="C1822" i="1"/>
  <c r="S1822" i="1"/>
  <c r="T1822" i="1"/>
  <c r="U1822" i="1"/>
  <c r="BB1822" i="1"/>
  <c r="BW1822" i="1"/>
  <c r="A1823" i="1"/>
  <c r="C1823" i="1"/>
  <c r="S1823" i="1"/>
  <c r="T1823" i="1"/>
  <c r="U1823" i="1"/>
  <c r="BB1823" i="1"/>
  <c r="BW1823" i="1"/>
  <c r="A1824" i="1"/>
  <c r="C1824" i="1"/>
  <c r="S1824" i="1"/>
  <c r="T1824" i="1"/>
  <c r="U1824" i="1"/>
  <c r="BB1824" i="1"/>
  <c r="BW1824" i="1"/>
  <c r="A1825" i="1"/>
  <c r="C1825" i="1"/>
  <c r="S1825" i="1"/>
  <c r="T1825" i="1"/>
  <c r="U1825" i="1"/>
  <c r="BB1825" i="1"/>
  <c r="BW1825" i="1"/>
  <c r="A1826" i="1"/>
  <c r="C1826" i="1"/>
  <c r="S1826" i="1"/>
  <c r="T1826" i="1"/>
  <c r="U1826" i="1"/>
  <c r="BB1826" i="1"/>
  <c r="BW1826" i="1"/>
  <c r="A1827" i="1"/>
  <c r="C1827" i="1"/>
  <c r="S1827" i="1"/>
  <c r="T1827" i="1"/>
  <c r="U1827" i="1"/>
  <c r="BB1827" i="1"/>
  <c r="BW1827" i="1"/>
  <c r="A1828" i="1"/>
  <c r="C1828" i="1"/>
  <c r="S1828" i="1"/>
  <c r="T1828" i="1"/>
  <c r="U1828" i="1"/>
  <c r="BB1828" i="1"/>
  <c r="BW1828" i="1"/>
  <c r="A1829" i="1"/>
  <c r="C1829" i="1"/>
  <c r="S1829" i="1"/>
  <c r="T1829" i="1"/>
  <c r="U1829" i="1"/>
  <c r="BB1829" i="1"/>
  <c r="BW1829" i="1"/>
  <c r="A1830" i="1"/>
  <c r="C1830" i="1"/>
  <c r="S1830" i="1"/>
  <c r="T1830" i="1"/>
  <c r="U1830" i="1"/>
  <c r="BB1830" i="1"/>
  <c r="BW1830" i="1"/>
  <c r="A1831" i="1"/>
  <c r="C1831" i="1"/>
  <c r="S1831" i="1"/>
  <c r="T1831" i="1"/>
  <c r="U1831" i="1"/>
  <c r="BB1831" i="1"/>
  <c r="BW1831" i="1"/>
  <c r="A1832" i="1"/>
  <c r="C1832" i="1"/>
  <c r="S1832" i="1"/>
  <c r="T1832" i="1"/>
  <c r="U1832" i="1"/>
  <c r="BB1832" i="1"/>
  <c r="BW1832" i="1"/>
  <c r="A1833" i="1"/>
  <c r="C1833" i="1"/>
  <c r="S1833" i="1"/>
  <c r="T1833" i="1"/>
  <c r="U1833" i="1"/>
  <c r="BB1833" i="1"/>
  <c r="BW1833" i="1"/>
  <c r="A1834" i="1"/>
  <c r="C1834" i="1"/>
  <c r="S1834" i="1"/>
  <c r="T1834" i="1"/>
  <c r="U1834" i="1"/>
  <c r="BB1834" i="1"/>
  <c r="BW1834" i="1"/>
  <c r="A1835" i="1"/>
  <c r="C1835" i="1"/>
  <c r="S1835" i="1"/>
  <c r="T1835" i="1"/>
  <c r="U1835" i="1"/>
  <c r="BB1835" i="1"/>
  <c r="BW1835" i="1"/>
  <c r="A1836" i="1"/>
  <c r="C1836" i="1"/>
  <c r="S1836" i="1"/>
  <c r="T1836" i="1"/>
  <c r="U1836" i="1"/>
  <c r="BB1836" i="1"/>
  <c r="BW1836" i="1"/>
  <c r="A1837" i="1"/>
  <c r="C1837" i="1"/>
  <c r="S1837" i="1"/>
  <c r="T1837" i="1"/>
  <c r="U1837" i="1"/>
  <c r="BB1837" i="1"/>
  <c r="BW1837" i="1"/>
  <c r="A1838" i="1"/>
  <c r="C1838" i="1"/>
  <c r="S1838" i="1"/>
  <c r="T1838" i="1"/>
  <c r="U1838" i="1"/>
  <c r="BB1838" i="1"/>
  <c r="BW1838" i="1"/>
  <c r="A1839" i="1"/>
  <c r="C1839" i="1"/>
  <c r="S1839" i="1"/>
  <c r="T1839" i="1"/>
  <c r="U1839" i="1"/>
  <c r="BB1839" i="1"/>
  <c r="BW1839" i="1"/>
  <c r="A1840" i="1"/>
  <c r="C1840" i="1"/>
  <c r="S1840" i="1"/>
  <c r="T1840" i="1"/>
  <c r="U1840" i="1"/>
  <c r="BB1840" i="1"/>
  <c r="BW1840" i="1"/>
  <c r="A1841" i="1"/>
  <c r="C1841" i="1"/>
  <c r="S1841" i="1"/>
  <c r="T1841" i="1"/>
  <c r="U1841" i="1"/>
  <c r="BB1841" i="1"/>
  <c r="BW1841" i="1"/>
  <c r="A1842" i="1"/>
  <c r="C1842" i="1"/>
  <c r="S1842" i="1"/>
  <c r="T1842" i="1"/>
  <c r="U1842" i="1"/>
  <c r="BB1842" i="1"/>
  <c r="BW1842" i="1"/>
  <c r="A1843" i="1"/>
  <c r="C1843" i="1"/>
  <c r="S1843" i="1"/>
  <c r="T1843" i="1"/>
  <c r="U1843" i="1"/>
  <c r="BB1843" i="1"/>
  <c r="BW1843" i="1"/>
  <c r="A1844" i="1"/>
  <c r="C1844" i="1"/>
  <c r="S1844" i="1"/>
  <c r="T1844" i="1"/>
  <c r="U1844" i="1"/>
  <c r="BB1844" i="1"/>
  <c r="BW1844" i="1"/>
  <c r="A1845" i="1"/>
  <c r="C1845" i="1"/>
  <c r="S1845" i="1"/>
  <c r="T1845" i="1"/>
  <c r="U1845" i="1"/>
  <c r="BB1845" i="1"/>
  <c r="BW1845" i="1"/>
  <c r="A1846" i="1"/>
  <c r="C1846" i="1"/>
  <c r="S1846" i="1"/>
  <c r="T1846" i="1"/>
  <c r="U1846" i="1"/>
  <c r="BB1846" i="1"/>
  <c r="BW1846" i="1"/>
  <c r="A1847" i="1"/>
  <c r="C1847" i="1"/>
  <c r="S1847" i="1"/>
  <c r="T1847" i="1"/>
  <c r="U1847" i="1"/>
  <c r="BB1847" i="1"/>
  <c r="BW1847" i="1"/>
  <c r="A1848" i="1"/>
  <c r="C1848" i="1"/>
  <c r="S1848" i="1"/>
  <c r="T1848" i="1"/>
  <c r="U1848" i="1"/>
  <c r="BB1848" i="1"/>
  <c r="BW1848" i="1"/>
  <c r="A1849" i="1"/>
  <c r="C1849" i="1"/>
  <c r="S1849" i="1"/>
  <c r="T1849" i="1"/>
  <c r="U1849" i="1"/>
  <c r="BB1849" i="1"/>
  <c r="BW1849" i="1"/>
  <c r="A1850" i="1"/>
  <c r="C1850" i="1"/>
  <c r="S1850" i="1"/>
  <c r="T1850" i="1"/>
  <c r="U1850" i="1"/>
  <c r="BB1850" i="1"/>
  <c r="BW1850" i="1"/>
  <c r="A1851" i="1"/>
  <c r="C1851" i="1"/>
  <c r="S1851" i="1"/>
  <c r="T1851" i="1"/>
  <c r="U1851" i="1"/>
  <c r="BB1851" i="1"/>
  <c r="BW1851" i="1"/>
  <c r="A1852" i="1"/>
  <c r="C1852" i="1"/>
  <c r="S1852" i="1"/>
  <c r="T1852" i="1"/>
  <c r="U1852" i="1"/>
  <c r="BB1852" i="1"/>
  <c r="BW1852" i="1"/>
  <c r="A1853" i="1"/>
  <c r="C1853" i="1"/>
  <c r="S1853" i="1"/>
  <c r="T1853" i="1"/>
  <c r="U1853" i="1"/>
  <c r="BB1853" i="1"/>
  <c r="BW1853" i="1"/>
  <c r="A1854" i="1"/>
  <c r="C1854" i="1"/>
  <c r="S1854" i="1"/>
  <c r="T1854" i="1"/>
  <c r="U1854" i="1"/>
  <c r="BB1854" i="1"/>
  <c r="BW1854" i="1"/>
  <c r="A1855" i="1"/>
  <c r="C1855" i="1"/>
  <c r="S1855" i="1"/>
  <c r="T1855" i="1"/>
  <c r="U1855" i="1"/>
  <c r="BB1855" i="1"/>
  <c r="BW1855" i="1"/>
  <c r="A1856" i="1"/>
  <c r="C1856" i="1"/>
  <c r="S1856" i="1"/>
  <c r="T1856" i="1"/>
  <c r="U1856" i="1"/>
  <c r="BB1856" i="1"/>
  <c r="BW1856" i="1"/>
  <c r="A1857" i="1"/>
  <c r="C1857" i="1"/>
  <c r="S1857" i="1"/>
  <c r="T1857" i="1"/>
  <c r="U1857" i="1"/>
  <c r="BB1857" i="1"/>
  <c r="BW1857" i="1"/>
  <c r="A1858" i="1"/>
  <c r="C1858" i="1"/>
  <c r="S1858" i="1"/>
  <c r="T1858" i="1"/>
  <c r="U1858" i="1"/>
  <c r="BB1858" i="1"/>
  <c r="BW1858" i="1"/>
  <c r="A1859" i="1"/>
  <c r="C1859" i="1"/>
  <c r="S1859" i="1"/>
  <c r="T1859" i="1"/>
  <c r="U1859" i="1"/>
  <c r="BB1859" i="1"/>
  <c r="BW1859" i="1"/>
  <c r="A1860" i="1"/>
  <c r="C1860" i="1"/>
  <c r="S1860" i="1"/>
  <c r="T1860" i="1"/>
  <c r="U1860" i="1"/>
  <c r="BB1860" i="1"/>
  <c r="BW1860" i="1"/>
  <c r="A1861" i="1"/>
  <c r="C1861" i="1"/>
  <c r="S1861" i="1"/>
  <c r="T1861" i="1"/>
  <c r="U1861" i="1"/>
  <c r="BB1861" i="1"/>
  <c r="BW1861" i="1"/>
  <c r="A1862" i="1"/>
  <c r="C1862" i="1"/>
  <c r="S1862" i="1"/>
  <c r="T1862" i="1"/>
  <c r="U1862" i="1"/>
  <c r="BB1862" i="1"/>
  <c r="BW1862" i="1"/>
  <c r="A1863" i="1"/>
  <c r="C1863" i="1"/>
  <c r="S1863" i="1"/>
  <c r="T1863" i="1"/>
  <c r="U1863" i="1"/>
  <c r="BB1863" i="1"/>
  <c r="BW1863" i="1"/>
  <c r="A1864" i="1"/>
  <c r="C1864" i="1"/>
  <c r="S1864" i="1"/>
  <c r="T1864" i="1"/>
  <c r="U1864" i="1"/>
  <c r="BB1864" i="1"/>
  <c r="BW1864" i="1"/>
  <c r="A1865" i="1"/>
  <c r="C1865" i="1"/>
  <c r="S1865" i="1"/>
  <c r="T1865" i="1"/>
  <c r="U1865" i="1"/>
  <c r="BB1865" i="1"/>
  <c r="BW1865" i="1"/>
  <c r="A1866" i="1"/>
  <c r="C1866" i="1"/>
  <c r="S1866" i="1"/>
  <c r="T1866" i="1"/>
  <c r="U1866" i="1"/>
  <c r="BB1866" i="1"/>
  <c r="BW1866" i="1"/>
  <c r="A1867" i="1"/>
  <c r="C1867" i="1"/>
  <c r="S1867" i="1"/>
  <c r="T1867" i="1"/>
  <c r="U1867" i="1"/>
  <c r="BB1867" i="1"/>
  <c r="BW1867" i="1"/>
  <c r="A1868" i="1"/>
  <c r="C1868" i="1"/>
  <c r="S1868" i="1"/>
  <c r="T1868" i="1"/>
  <c r="U1868" i="1"/>
  <c r="BB1868" i="1"/>
  <c r="BW1868" i="1"/>
  <c r="A1869" i="1"/>
  <c r="C1869" i="1"/>
  <c r="S1869" i="1"/>
  <c r="T1869" i="1"/>
  <c r="U1869" i="1"/>
  <c r="BB1869" i="1"/>
  <c r="BW1869" i="1"/>
  <c r="A1870" i="1"/>
  <c r="C1870" i="1"/>
  <c r="S1870" i="1"/>
  <c r="T1870" i="1"/>
  <c r="U1870" i="1"/>
  <c r="BB1870" i="1"/>
  <c r="BW1870" i="1"/>
  <c r="A1871" i="1"/>
  <c r="C1871" i="1"/>
  <c r="S1871" i="1"/>
  <c r="T1871" i="1"/>
  <c r="U1871" i="1"/>
  <c r="BB1871" i="1"/>
  <c r="BW1871" i="1"/>
  <c r="A1872" i="1"/>
  <c r="C1872" i="1"/>
  <c r="S1872" i="1"/>
  <c r="T1872" i="1"/>
  <c r="U1872" i="1"/>
  <c r="BB1872" i="1"/>
  <c r="BW1872" i="1"/>
  <c r="A1873" i="1"/>
  <c r="C1873" i="1"/>
  <c r="S1873" i="1"/>
  <c r="T1873" i="1"/>
  <c r="U1873" i="1"/>
  <c r="BB1873" i="1"/>
  <c r="BW1873" i="1"/>
  <c r="A1874" i="1"/>
  <c r="C1874" i="1"/>
  <c r="S1874" i="1"/>
  <c r="T1874" i="1"/>
  <c r="U1874" i="1"/>
  <c r="BB1874" i="1"/>
  <c r="BW1874" i="1"/>
  <c r="A1875" i="1"/>
  <c r="C1875" i="1"/>
  <c r="S1875" i="1"/>
  <c r="T1875" i="1"/>
  <c r="U1875" i="1"/>
  <c r="BB1875" i="1"/>
  <c r="BW1875" i="1"/>
  <c r="A1876" i="1"/>
  <c r="C1876" i="1"/>
  <c r="S1876" i="1"/>
  <c r="T1876" i="1"/>
  <c r="U1876" i="1"/>
  <c r="BB1876" i="1"/>
  <c r="BW1876" i="1"/>
  <c r="A1877" i="1"/>
  <c r="C1877" i="1"/>
  <c r="S1877" i="1"/>
  <c r="T1877" i="1"/>
  <c r="U1877" i="1"/>
  <c r="BB1877" i="1"/>
  <c r="BW1877" i="1"/>
  <c r="A1878" i="1"/>
  <c r="C1878" i="1"/>
  <c r="S1878" i="1"/>
  <c r="T1878" i="1"/>
  <c r="U1878" i="1"/>
  <c r="BB1878" i="1"/>
  <c r="BW1878" i="1"/>
  <c r="A1879" i="1"/>
  <c r="C1879" i="1"/>
  <c r="S1879" i="1"/>
  <c r="T1879" i="1"/>
  <c r="U1879" i="1"/>
  <c r="BB1879" i="1"/>
  <c r="BW1879" i="1"/>
  <c r="A1880" i="1"/>
  <c r="C1880" i="1"/>
  <c r="S1880" i="1"/>
  <c r="T1880" i="1"/>
  <c r="U1880" i="1"/>
  <c r="BB1880" i="1"/>
  <c r="BW1880" i="1"/>
  <c r="A1881" i="1"/>
  <c r="C1881" i="1"/>
  <c r="S1881" i="1"/>
  <c r="T1881" i="1"/>
  <c r="U1881" i="1"/>
  <c r="BB1881" i="1"/>
  <c r="BW1881" i="1"/>
  <c r="A1882" i="1"/>
  <c r="C1882" i="1"/>
  <c r="S1882" i="1"/>
  <c r="T1882" i="1"/>
  <c r="U1882" i="1"/>
  <c r="BB1882" i="1"/>
  <c r="BW1882" i="1"/>
  <c r="A1883" i="1"/>
  <c r="C1883" i="1"/>
  <c r="S1883" i="1"/>
  <c r="T1883" i="1"/>
  <c r="U1883" i="1"/>
  <c r="BB1883" i="1"/>
  <c r="BW1883" i="1"/>
  <c r="A1884" i="1"/>
  <c r="C1884" i="1"/>
  <c r="S1884" i="1"/>
  <c r="T1884" i="1"/>
  <c r="U1884" i="1"/>
  <c r="BB1884" i="1"/>
  <c r="BW1884" i="1"/>
  <c r="A1885" i="1"/>
  <c r="C1885" i="1"/>
  <c r="S1885" i="1"/>
  <c r="T1885" i="1"/>
  <c r="U1885" i="1"/>
  <c r="BB1885" i="1"/>
  <c r="BW1885" i="1"/>
  <c r="A1886" i="1"/>
  <c r="C1886" i="1"/>
  <c r="S1886" i="1"/>
  <c r="T1886" i="1"/>
  <c r="U1886" i="1"/>
  <c r="BB1886" i="1"/>
  <c r="BW1886" i="1"/>
  <c r="A1887" i="1"/>
  <c r="C1887" i="1"/>
  <c r="S1887" i="1"/>
  <c r="T1887" i="1"/>
  <c r="U1887" i="1"/>
  <c r="BB1887" i="1"/>
  <c r="BW1887" i="1"/>
  <c r="A1888" i="1"/>
  <c r="C1888" i="1"/>
  <c r="S1888" i="1"/>
  <c r="T1888" i="1"/>
  <c r="U1888" i="1"/>
  <c r="BB1888" i="1"/>
  <c r="BW1888" i="1"/>
  <c r="A1889" i="1"/>
  <c r="C1889" i="1"/>
  <c r="S1889" i="1"/>
  <c r="T1889" i="1"/>
  <c r="U1889" i="1"/>
  <c r="BB1889" i="1"/>
  <c r="BW1889" i="1"/>
  <c r="A1890" i="1"/>
  <c r="C1890" i="1"/>
  <c r="S1890" i="1"/>
  <c r="T1890" i="1"/>
  <c r="U1890" i="1"/>
  <c r="BB1890" i="1"/>
  <c r="BW1890" i="1"/>
  <c r="A1891" i="1"/>
  <c r="C1891" i="1"/>
  <c r="S1891" i="1"/>
  <c r="T1891" i="1"/>
  <c r="U1891" i="1"/>
  <c r="BB1891" i="1"/>
  <c r="BW1891" i="1"/>
  <c r="A1892" i="1"/>
  <c r="C1892" i="1"/>
  <c r="S1892" i="1"/>
  <c r="T1892" i="1"/>
  <c r="U1892" i="1"/>
  <c r="BB1892" i="1"/>
  <c r="BW1892" i="1"/>
  <c r="A1893" i="1"/>
  <c r="C1893" i="1"/>
  <c r="S1893" i="1"/>
  <c r="T1893" i="1"/>
  <c r="U1893" i="1"/>
  <c r="BB1893" i="1"/>
  <c r="BW1893" i="1"/>
  <c r="A1894" i="1"/>
  <c r="C1894" i="1"/>
  <c r="S1894" i="1"/>
  <c r="T1894" i="1"/>
  <c r="U1894" i="1"/>
  <c r="BB1894" i="1"/>
  <c r="BW1894" i="1"/>
  <c r="A1895" i="1"/>
  <c r="C1895" i="1"/>
  <c r="S1895" i="1"/>
  <c r="T1895" i="1"/>
  <c r="U1895" i="1"/>
  <c r="BB1895" i="1"/>
  <c r="BW1895" i="1"/>
  <c r="A1896" i="1"/>
  <c r="C1896" i="1"/>
  <c r="S1896" i="1"/>
  <c r="T1896" i="1"/>
  <c r="U1896" i="1"/>
  <c r="BB1896" i="1"/>
  <c r="BW1896" i="1"/>
  <c r="A1897" i="1"/>
  <c r="C1897" i="1"/>
  <c r="S1897" i="1"/>
  <c r="T1897" i="1"/>
  <c r="U1897" i="1"/>
  <c r="BB1897" i="1"/>
  <c r="BW1897" i="1"/>
  <c r="A1898" i="1"/>
  <c r="C1898" i="1"/>
  <c r="S1898" i="1"/>
  <c r="T1898" i="1"/>
  <c r="U1898" i="1"/>
  <c r="BB1898" i="1"/>
  <c r="BW1898" i="1"/>
  <c r="A1899" i="1"/>
  <c r="C1899" i="1"/>
  <c r="S1899" i="1"/>
  <c r="T1899" i="1"/>
  <c r="U1899" i="1"/>
  <c r="BB1899" i="1"/>
  <c r="BW1899" i="1"/>
  <c r="A1900" i="1"/>
  <c r="C1900" i="1"/>
  <c r="S1900" i="1"/>
  <c r="T1900" i="1"/>
  <c r="U1900" i="1"/>
  <c r="BB1900" i="1"/>
  <c r="BW1900" i="1"/>
  <c r="A1901" i="1"/>
  <c r="C1901" i="1"/>
  <c r="S1901" i="1"/>
  <c r="T1901" i="1"/>
  <c r="U1901" i="1"/>
  <c r="BB1901" i="1"/>
  <c r="BW1901" i="1"/>
  <c r="A1902" i="1"/>
  <c r="C1902" i="1"/>
  <c r="S1902" i="1"/>
  <c r="T1902" i="1"/>
  <c r="U1902" i="1"/>
  <c r="BB1902" i="1"/>
  <c r="BW1902" i="1"/>
  <c r="A1903" i="1"/>
  <c r="C1903" i="1"/>
  <c r="S1903" i="1"/>
  <c r="T1903" i="1"/>
  <c r="U1903" i="1"/>
  <c r="BB1903" i="1"/>
  <c r="BW1903" i="1"/>
  <c r="A1904" i="1"/>
  <c r="C1904" i="1"/>
  <c r="S1904" i="1"/>
  <c r="T1904" i="1"/>
  <c r="U1904" i="1"/>
  <c r="BB1904" i="1"/>
  <c r="BW1904" i="1"/>
  <c r="A1905" i="1"/>
  <c r="C1905" i="1"/>
  <c r="S1905" i="1"/>
  <c r="T1905" i="1"/>
  <c r="U1905" i="1"/>
  <c r="BB1905" i="1"/>
  <c r="BW1905" i="1"/>
  <c r="A1906" i="1"/>
  <c r="C1906" i="1"/>
  <c r="S1906" i="1"/>
  <c r="T1906" i="1"/>
  <c r="U1906" i="1"/>
  <c r="BB1906" i="1"/>
  <c r="BW1906" i="1"/>
  <c r="A1907" i="1"/>
  <c r="C1907" i="1"/>
  <c r="S1907" i="1"/>
  <c r="T1907" i="1"/>
  <c r="U1907" i="1"/>
  <c r="BB1907" i="1"/>
  <c r="BW1907" i="1"/>
  <c r="A1908" i="1"/>
  <c r="C1908" i="1"/>
  <c r="S1908" i="1"/>
  <c r="T1908" i="1"/>
  <c r="U1908" i="1"/>
  <c r="BB1908" i="1"/>
  <c r="BW1908" i="1"/>
  <c r="A1909" i="1"/>
  <c r="C1909" i="1"/>
  <c r="S1909" i="1"/>
  <c r="T1909" i="1"/>
  <c r="U1909" i="1"/>
  <c r="BB1909" i="1"/>
  <c r="BW1909" i="1"/>
  <c r="A1910" i="1"/>
  <c r="C1910" i="1"/>
  <c r="S1910" i="1"/>
  <c r="T1910" i="1"/>
  <c r="U1910" i="1"/>
  <c r="BB1910" i="1"/>
  <c r="BW1910" i="1"/>
  <c r="A1911" i="1"/>
  <c r="C1911" i="1"/>
  <c r="S1911" i="1"/>
  <c r="T1911" i="1"/>
  <c r="U1911" i="1"/>
  <c r="BB1911" i="1"/>
  <c r="BW1911" i="1"/>
  <c r="A1912" i="1"/>
  <c r="C1912" i="1"/>
  <c r="S1912" i="1"/>
  <c r="T1912" i="1"/>
  <c r="U1912" i="1"/>
  <c r="BB1912" i="1"/>
  <c r="BW1912" i="1"/>
  <c r="A1913" i="1"/>
  <c r="C1913" i="1"/>
  <c r="S1913" i="1"/>
  <c r="T1913" i="1"/>
  <c r="U1913" i="1"/>
  <c r="BB1913" i="1"/>
  <c r="BW1913" i="1"/>
  <c r="A1914" i="1"/>
  <c r="C1914" i="1"/>
  <c r="S1914" i="1"/>
  <c r="T1914" i="1"/>
  <c r="U1914" i="1"/>
  <c r="BB1914" i="1"/>
  <c r="BW1914" i="1"/>
  <c r="A1915" i="1"/>
  <c r="C1915" i="1"/>
  <c r="S1915" i="1"/>
  <c r="T1915" i="1"/>
  <c r="U1915" i="1"/>
  <c r="BB1915" i="1"/>
  <c r="BW1915" i="1"/>
  <c r="A1916" i="1"/>
  <c r="C1916" i="1"/>
  <c r="S1916" i="1"/>
  <c r="T1916" i="1"/>
  <c r="U1916" i="1"/>
  <c r="BB1916" i="1"/>
  <c r="BW1916" i="1"/>
  <c r="A1917" i="1"/>
  <c r="C1917" i="1"/>
  <c r="S1917" i="1"/>
  <c r="T1917" i="1"/>
  <c r="U1917" i="1"/>
  <c r="BB1917" i="1"/>
  <c r="BW1917" i="1"/>
  <c r="A1918" i="1"/>
  <c r="C1918" i="1"/>
  <c r="S1918" i="1"/>
  <c r="T1918" i="1"/>
  <c r="U1918" i="1"/>
  <c r="BB1918" i="1"/>
  <c r="BW1918" i="1"/>
  <c r="A1919" i="1"/>
  <c r="C1919" i="1"/>
  <c r="S1919" i="1"/>
  <c r="T1919" i="1"/>
  <c r="U1919" i="1"/>
  <c r="BB1919" i="1"/>
  <c r="BW1919" i="1"/>
  <c r="A1920" i="1"/>
  <c r="C1920" i="1"/>
  <c r="S1920" i="1"/>
  <c r="T1920" i="1"/>
  <c r="U1920" i="1"/>
  <c r="BB1920" i="1"/>
  <c r="BW1920" i="1"/>
  <c r="A1921" i="1"/>
  <c r="C1921" i="1"/>
  <c r="S1921" i="1"/>
  <c r="T1921" i="1"/>
  <c r="U1921" i="1"/>
  <c r="BB1921" i="1"/>
  <c r="BW1921" i="1"/>
  <c r="A1922" i="1"/>
  <c r="C1922" i="1"/>
  <c r="S1922" i="1"/>
  <c r="T1922" i="1"/>
  <c r="U1922" i="1"/>
  <c r="BB1922" i="1"/>
  <c r="BW1922" i="1"/>
  <c r="A1923" i="1"/>
  <c r="C1923" i="1"/>
  <c r="S1923" i="1"/>
  <c r="T1923" i="1"/>
  <c r="U1923" i="1"/>
  <c r="BB1923" i="1"/>
  <c r="BW1923" i="1"/>
  <c r="A1924" i="1"/>
  <c r="C1924" i="1"/>
  <c r="S1924" i="1"/>
  <c r="T1924" i="1"/>
  <c r="U1924" i="1"/>
  <c r="BB1924" i="1"/>
  <c r="BW1924" i="1"/>
  <c r="A1925" i="1"/>
  <c r="C1925" i="1"/>
  <c r="S1925" i="1"/>
  <c r="T1925" i="1"/>
  <c r="U1925" i="1"/>
  <c r="BB1925" i="1"/>
  <c r="BW1925" i="1"/>
  <c r="A1926" i="1"/>
  <c r="C1926" i="1"/>
  <c r="S1926" i="1"/>
  <c r="T1926" i="1"/>
  <c r="U1926" i="1"/>
  <c r="BB1926" i="1"/>
  <c r="BW1926" i="1"/>
  <c r="A1927" i="1"/>
  <c r="C1927" i="1"/>
  <c r="S1927" i="1"/>
  <c r="T1927" i="1"/>
  <c r="U1927" i="1"/>
  <c r="BB1927" i="1"/>
  <c r="BW1927" i="1"/>
  <c r="A1928" i="1"/>
  <c r="C1928" i="1"/>
  <c r="S1928" i="1"/>
  <c r="T1928" i="1"/>
  <c r="U1928" i="1"/>
  <c r="BB1928" i="1"/>
  <c r="BW1928" i="1"/>
  <c r="A1929" i="1"/>
  <c r="C1929" i="1"/>
  <c r="S1929" i="1"/>
  <c r="T1929" i="1"/>
  <c r="U1929" i="1"/>
  <c r="BB1929" i="1"/>
  <c r="BW1929" i="1"/>
  <c r="A1930" i="1"/>
  <c r="C1930" i="1"/>
  <c r="S1930" i="1"/>
  <c r="T1930" i="1"/>
  <c r="U1930" i="1"/>
  <c r="BB1930" i="1"/>
  <c r="BW1930" i="1"/>
  <c r="A1931" i="1"/>
  <c r="C1931" i="1"/>
  <c r="S1931" i="1"/>
  <c r="T1931" i="1"/>
  <c r="U1931" i="1"/>
  <c r="BB1931" i="1"/>
  <c r="BW1931" i="1"/>
  <c r="A1932" i="1"/>
  <c r="C1932" i="1"/>
  <c r="S1932" i="1"/>
  <c r="T1932" i="1"/>
  <c r="U1932" i="1"/>
  <c r="BB1932" i="1"/>
  <c r="BW1932" i="1"/>
  <c r="A1933" i="1"/>
  <c r="C1933" i="1"/>
  <c r="S1933" i="1"/>
  <c r="T1933" i="1"/>
  <c r="U1933" i="1"/>
  <c r="BB1933" i="1"/>
  <c r="BW1933" i="1"/>
  <c r="A1934" i="1"/>
  <c r="C1934" i="1"/>
  <c r="S1934" i="1"/>
  <c r="T1934" i="1"/>
  <c r="U1934" i="1"/>
  <c r="BB1934" i="1"/>
  <c r="BW1934" i="1"/>
  <c r="A1935" i="1"/>
  <c r="C1935" i="1"/>
  <c r="S1935" i="1"/>
  <c r="T1935" i="1"/>
  <c r="U1935" i="1"/>
  <c r="BB1935" i="1"/>
  <c r="BW1935" i="1"/>
  <c r="A1936" i="1"/>
  <c r="C1936" i="1"/>
  <c r="S1936" i="1"/>
  <c r="T1936" i="1"/>
  <c r="U1936" i="1"/>
  <c r="BB1936" i="1"/>
  <c r="BW1936" i="1"/>
  <c r="A1937" i="1"/>
  <c r="C1937" i="1"/>
  <c r="S1937" i="1"/>
  <c r="T1937" i="1"/>
  <c r="U1937" i="1"/>
  <c r="BB1937" i="1"/>
  <c r="BW1937" i="1"/>
  <c r="A1938" i="1"/>
  <c r="C1938" i="1"/>
  <c r="S1938" i="1"/>
  <c r="T1938" i="1"/>
  <c r="U1938" i="1"/>
  <c r="BB1938" i="1"/>
  <c r="BW1938" i="1"/>
  <c r="A1939" i="1"/>
  <c r="C1939" i="1"/>
  <c r="S1939" i="1"/>
  <c r="T1939" i="1"/>
  <c r="U1939" i="1"/>
  <c r="BB1939" i="1"/>
  <c r="BW1939" i="1"/>
  <c r="A1940" i="1"/>
  <c r="C1940" i="1"/>
  <c r="S1940" i="1"/>
  <c r="T1940" i="1"/>
  <c r="U1940" i="1"/>
  <c r="BB1940" i="1"/>
  <c r="BW1940" i="1"/>
  <c r="A1941" i="1"/>
  <c r="C1941" i="1"/>
  <c r="S1941" i="1"/>
  <c r="T1941" i="1"/>
  <c r="U1941" i="1"/>
  <c r="BB1941" i="1"/>
  <c r="BW1941" i="1"/>
  <c r="A1942" i="1"/>
  <c r="C1942" i="1"/>
  <c r="S1942" i="1"/>
  <c r="T1942" i="1"/>
  <c r="U1942" i="1"/>
  <c r="BB1942" i="1"/>
  <c r="BW1942" i="1"/>
  <c r="A1943" i="1"/>
  <c r="C1943" i="1"/>
  <c r="S1943" i="1"/>
  <c r="T1943" i="1"/>
  <c r="U1943" i="1"/>
  <c r="BB1943" i="1"/>
  <c r="BW1943" i="1"/>
  <c r="A1944" i="1"/>
  <c r="C1944" i="1"/>
  <c r="S1944" i="1"/>
  <c r="T1944" i="1"/>
  <c r="U1944" i="1"/>
  <c r="BB1944" i="1"/>
  <c r="BW1944" i="1"/>
  <c r="A1945" i="1"/>
  <c r="C1945" i="1"/>
  <c r="S1945" i="1"/>
  <c r="T1945" i="1"/>
  <c r="U1945" i="1"/>
  <c r="BB1945" i="1"/>
  <c r="BW1945" i="1"/>
  <c r="A1946" i="1"/>
  <c r="C1946" i="1"/>
  <c r="S1946" i="1"/>
  <c r="T1946" i="1"/>
  <c r="U1946" i="1"/>
  <c r="BB1946" i="1"/>
  <c r="BW1946" i="1"/>
  <c r="A1947" i="1"/>
  <c r="C1947" i="1"/>
  <c r="S1947" i="1"/>
  <c r="T1947" i="1"/>
  <c r="U1947" i="1"/>
  <c r="BB1947" i="1"/>
  <c r="BW1947" i="1"/>
  <c r="A1948" i="1"/>
  <c r="C1948" i="1"/>
  <c r="S1948" i="1"/>
  <c r="T1948" i="1"/>
  <c r="U1948" i="1"/>
  <c r="BB1948" i="1"/>
  <c r="BW1948" i="1"/>
  <c r="A1949" i="1"/>
  <c r="C1949" i="1"/>
  <c r="S1949" i="1"/>
  <c r="T1949" i="1"/>
  <c r="U1949" i="1"/>
  <c r="BB1949" i="1"/>
  <c r="BW1949" i="1"/>
  <c r="A1950" i="1"/>
  <c r="C1950" i="1"/>
  <c r="S1950" i="1"/>
  <c r="T1950" i="1"/>
  <c r="U1950" i="1"/>
  <c r="BB1950" i="1"/>
  <c r="BW1950" i="1"/>
  <c r="A1951" i="1"/>
  <c r="C1951" i="1"/>
  <c r="S1951" i="1"/>
  <c r="T1951" i="1"/>
  <c r="U1951" i="1"/>
  <c r="BB1951" i="1"/>
  <c r="BW1951" i="1"/>
  <c r="A1952" i="1"/>
  <c r="C1952" i="1"/>
  <c r="S1952" i="1"/>
  <c r="T1952" i="1"/>
  <c r="U1952" i="1"/>
  <c r="BB1952" i="1"/>
  <c r="BW1952" i="1"/>
  <c r="A1953" i="1"/>
  <c r="C1953" i="1"/>
  <c r="S1953" i="1"/>
  <c r="T1953" i="1"/>
  <c r="U1953" i="1"/>
  <c r="BB1953" i="1"/>
  <c r="BW1953" i="1"/>
  <c r="A1954" i="1"/>
  <c r="C1954" i="1"/>
  <c r="S1954" i="1"/>
  <c r="T1954" i="1"/>
  <c r="U1954" i="1"/>
  <c r="BB1954" i="1"/>
  <c r="BW1954" i="1"/>
  <c r="A1955" i="1"/>
  <c r="C1955" i="1"/>
  <c r="S1955" i="1"/>
  <c r="T1955" i="1"/>
  <c r="U1955" i="1"/>
  <c r="BB1955" i="1"/>
  <c r="BW1955" i="1"/>
  <c r="A1956" i="1"/>
  <c r="C1956" i="1"/>
  <c r="S1956" i="1"/>
  <c r="T1956" i="1"/>
  <c r="U1956" i="1"/>
  <c r="BB1956" i="1"/>
  <c r="BW1956" i="1"/>
  <c r="A1957" i="1"/>
  <c r="C1957" i="1"/>
  <c r="S1957" i="1"/>
  <c r="T1957" i="1"/>
  <c r="U1957" i="1"/>
  <c r="BB1957" i="1"/>
  <c r="BW1957" i="1"/>
  <c r="A1958" i="1"/>
  <c r="C1958" i="1"/>
  <c r="S1958" i="1"/>
  <c r="T1958" i="1"/>
  <c r="U1958" i="1"/>
  <c r="BB1958" i="1"/>
  <c r="BW1958" i="1"/>
  <c r="A1959" i="1"/>
  <c r="C1959" i="1"/>
  <c r="S1959" i="1"/>
  <c r="T1959" i="1"/>
  <c r="U1959" i="1"/>
  <c r="BB1959" i="1"/>
  <c r="BW1959" i="1"/>
  <c r="A1960" i="1"/>
  <c r="C1960" i="1"/>
  <c r="S1960" i="1"/>
  <c r="T1960" i="1"/>
  <c r="U1960" i="1"/>
  <c r="BB1960" i="1"/>
  <c r="BW1960" i="1"/>
  <c r="A1961" i="1"/>
  <c r="C1961" i="1"/>
  <c r="S1961" i="1"/>
  <c r="T1961" i="1"/>
  <c r="U1961" i="1"/>
  <c r="BB1961" i="1"/>
  <c r="BW1961" i="1"/>
  <c r="A1962" i="1"/>
  <c r="C1962" i="1"/>
  <c r="S1962" i="1"/>
  <c r="T1962" i="1"/>
  <c r="U1962" i="1"/>
  <c r="BB1962" i="1"/>
  <c r="BW1962" i="1"/>
  <c r="A1963" i="1"/>
  <c r="C1963" i="1"/>
  <c r="S1963" i="1"/>
  <c r="T1963" i="1"/>
  <c r="U1963" i="1"/>
  <c r="BB1963" i="1"/>
  <c r="BW1963" i="1"/>
  <c r="A1964" i="1"/>
  <c r="C1964" i="1"/>
  <c r="S1964" i="1"/>
  <c r="T1964" i="1"/>
  <c r="U1964" i="1"/>
  <c r="BB1964" i="1"/>
  <c r="BW1964" i="1"/>
  <c r="A1965" i="1"/>
  <c r="C1965" i="1"/>
  <c r="S1965" i="1"/>
  <c r="T1965" i="1"/>
  <c r="U1965" i="1"/>
  <c r="BB1965" i="1"/>
  <c r="BW1965" i="1"/>
  <c r="A1966" i="1"/>
  <c r="C1966" i="1"/>
  <c r="S1966" i="1"/>
  <c r="T1966" i="1"/>
  <c r="U1966" i="1"/>
  <c r="BB1966" i="1"/>
  <c r="BW1966" i="1"/>
  <c r="A1967" i="1"/>
  <c r="C1967" i="1"/>
  <c r="S1967" i="1"/>
  <c r="T1967" i="1"/>
  <c r="U1967" i="1"/>
  <c r="BB1967" i="1"/>
  <c r="BW1967" i="1"/>
  <c r="A1968" i="1"/>
  <c r="C1968" i="1"/>
  <c r="S1968" i="1"/>
  <c r="T1968" i="1"/>
  <c r="U1968" i="1"/>
  <c r="BB1968" i="1"/>
  <c r="BW1968" i="1"/>
  <c r="A1969" i="1"/>
  <c r="C1969" i="1"/>
  <c r="S1969" i="1"/>
  <c r="T1969" i="1"/>
  <c r="U1969" i="1"/>
  <c r="BB1969" i="1"/>
  <c r="BW1969" i="1"/>
  <c r="A1970" i="1"/>
  <c r="C1970" i="1"/>
  <c r="S1970" i="1"/>
  <c r="T1970" i="1"/>
  <c r="U1970" i="1"/>
  <c r="BB1970" i="1"/>
  <c r="BW1970" i="1"/>
  <c r="A1971" i="1"/>
  <c r="C1971" i="1"/>
  <c r="S1971" i="1"/>
  <c r="T1971" i="1"/>
  <c r="U1971" i="1"/>
  <c r="BB1971" i="1"/>
  <c r="BW1971" i="1"/>
  <c r="A1972" i="1"/>
  <c r="C1972" i="1"/>
  <c r="S1972" i="1"/>
  <c r="T1972" i="1"/>
  <c r="U1972" i="1"/>
  <c r="BB1972" i="1"/>
  <c r="BW1972" i="1"/>
  <c r="A1973" i="1"/>
  <c r="C1973" i="1"/>
  <c r="S1973" i="1"/>
  <c r="T1973" i="1"/>
  <c r="U1973" i="1"/>
  <c r="BB1973" i="1"/>
  <c r="BW1973" i="1"/>
  <c r="A1974" i="1"/>
  <c r="C1974" i="1"/>
  <c r="S1974" i="1"/>
  <c r="T1974" i="1"/>
  <c r="U1974" i="1"/>
  <c r="BB1974" i="1"/>
  <c r="BW1974" i="1"/>
  <c r="A1975" i="1"/>
  <c r="C1975" i="1"/>
  <c r="S1975" i="1"/>
  <c r="T1975" i="1"/>
  <c r="U1975" i="1"/>
  <c r="BB1975" i="1"/>
  <c r="BW1975" i="1"/>
  <c r="A1976" i="1"/>
  <c r="C1976" i="1"/>
  <c r="S1976" i="1"/>
  <c r="T1976" i="1"/>
  <c r="U1976" i="1"/>
  <c r="BB1976" i="1"/>
  <c r="BW1976" i="1"/>
  <c r="A1977" i="1"/>
  <c r="C1977" i="1"/>
  <c r="S1977" i="1"/>
  <c r="T1977" i="1"/>
  <c r="U1977" i="1"/>
  <c r="BB1977" i="1"/>
  <c r="BW1977" i="1"/>
  <c r="A1978" i="1"/>
  <c r="C1978" i="1"/>
  <c r="S1978" i="1"/>
  <c r="T1978" i="1"/>
  <c r="U1978" i="1"/>
  <c r="BB1978" i="1"/>
  <c r="BW1978" i="1"/>
  <c r="A1979" i="1"/>
  <c r="C1979" i="1"/>
  <c r="S1979" i="1"/>
  <c r="T1979" i="1"/>
  <c r="U1979" i="1"/>
  <c r="BB1979" i="1"/>
  <c r="BW1979" i="1"/>
  <c r="A1980" i="1"/>
  <c r="C1980" i="1"/>
  <c r="S1980" i="1"/>
  <c r="T1980" i="1"/>
  <c r="U1980" i="1"/>
  <c r="BB1980" i="1"/>
  <c r="BW1980" i="1"/>
  <c r="A1981" i="1"/>
  <c r="C1981" i="1"/>
  <c r="S1981" i="1"/>
  <c r="T1981" i="1"/>
  <c r="U1981" i="1"/>
  <c r="BB1981" i="1"/>
  <c r="BW1981" i="1"/>
  <c r="A1982" i="1"/>
  <c r="C1982" i="1"/>
  <c r="S1982" i="1"/>
  <c r="T1982" i="1"/>
  <c r="U1982" i="1"/>
  <c r="BB1982" i="1"/>
  <c r="BW1982" i="1"/>
  <c r="A1983" i="1"/>
  <c r="C1983" i="1"/>
  <c r="S1983" i="1"/>
  <c r="T1983" i="1"/>
  <c r="U1983" i="1"/>
  <c r="BB1983" i="1"/>
  <c r="BW1983" i="1"/>
  <c r="A1984" i="1"/>
  <c r="C1984" i="1"/>
  <c r="S1984" i="1"/>
  <c r="T1984" i="1"/>
  <c r="U1984" i="1"/>
  <c r="BB1984" i="1"/>
  <c r="BW1984" i="1"/>
  <c r="A1985" i="1"/>
  <c r="C1985" i="1"/>
  <c r="S1985" i="1"/>
  <c r="T1985" i="1"/>
  <c r="U1985" i="1"/>
  <c r="BB1985" i="1"/>
  <c r="BW1985" i="1"/>
  <c r="A1986" i="1"/>
  <c r="C1986" i="1"/>
  <c r="S1986" i="1"/>
  <c r="T1986" i="1"/>
  <c r="U1986" i="1"/>
  <c r="BB1986" i="1"/>
  <c r="BW1986" i="1"/>
  <c r="A1987" i="1"/>
  <c r="C1987" i="1"/>
  <c r="S1987" i="1"/>
  <c r="T1987" i="1"/>
  <c r="U1987" i="1"/>
  <c r="BB1987" i="1"/>
  <c r="BW1987" i="1"/>
  <c r="A1988" i="1"/>
  <c r="C1988" i="1"/>
  <c r="S1988" i="1"/>
  <c r="T1988" i="1"/>
  <c r="U1988" i="1"/>
  <c r="BB1988" i="1"/>
  <c r="BW1988" i="1"/>
  <c r="A1989" i="1"/>
  <c r="C1989" i="1"/>
  <c r="S1989" i="1"/>
  <c r="T1989" i="1"/>
  <c r="U1989" i="1"/>
  <c r="BB1989" i="1"/>
  <c r="BW1989" i="1"/>
  <c r="A1990" i="1"/>
  <c r="C1990" i="1"/>
  <c r="S1990" i="1"/>
  <c r="T1990" i="1"/>
  <c r="U1990" i="1"/>
  <c r="BB1990" i="1"/>
  <c r="BW1990" i="1"/>
  <c r="A1991" i="1"/>
  <c r="C1991" i="1"/>
  <c r="S1991" i="1"/>
  <c r="T1991" i="1"/>
  <c r="U1991" i="1"/>
  <c r="BB1991" i="1"/>
  <c r="BW1991" i="1"/>
  <c r="A1992" i="1"/>
  <c r="C1992" i="1"/>
  <c r="S1992" i="1"/>
  <c r="T1992" i="1"/>
  <c r="U1992" i="1"/>
  <c r="BB1992" i="1"/>
  <c r="BW1992" i="1"/>
  <c r="A1993" i="1"/>
  <c r="C1993" i="1"/>
  <c r="S1993" i="1"/>
  <c r="T1993" i="1"/>
  <c r="U1993" i="1"/>
  <c r="BB1993" i="1"/>
  <c r="BW1993" i="1"/>
  <c r="A1994" i="1"/>
  <c r="C1994" i="1"/>
  <c r="S1994" i="1"/>
  <c r="T1994" i="1"/>
  <c r="U1994" i="1"/>
  <c r="BB1994" i="1"/>
  <c r="BW1994" i="1"/>
  <c r="A1995" i="1"/>
  <c r="C1995" i="1"/>
  <c r="S1995" i="1"/>
  <c r="T1995" i="1"/>
  <c r="U1995" i="1"/>
  <c r="BB1995" i="1"/>
  <c r="BW1995" i="1"/>
  <c r="A1996" i="1"/>
  <c r="C1996" i="1"/>
  <c r="S1996" i="1"/>
  <c r="T1996" i="1"/>
  <c r="U1996" i="1"/>
  <c r="BB1996" i="1"/>
  <c r="BW1996" i="1"/>
  <c r="A1997" i="1"/>
  <c r="C1997" i="1"/>
  <c r="S1997" i="1"/>
  <c r="T1997" i="1"/>
  <c r="U1997" i="1"/>
  <c r="BB1997" i="1"/>
  <c r="BW1997" i="1"/>
  <c r="A1998" i="1"/>
  <c r="C1998" i="1"/>
  <c r="S1998" i="1"/>
  <c r="T1998" i="1"/>
  <c r="U1998" i="1"/>
  <c r="BB1998" i="1"/>
  <c r="BW1998" i="1"/>
  <c r="A1999" i="1"/>
  <c r="C1999" i="1"/>
  <c r="S1999" i="1"/>
  <c r="T1999" i="1"/>
  <c r="U1999" i="1"/>
  <c r="BB1999" i="1"/>
  <c r="BW1999" i="1"/>
  <c r="A2000" i="1"/>
  <c r="C2000" i="1"/>
  <c r="S2000" i="1"/>
  <c r="T2000" i="1"/>
  <c r="U2000" i="1"/>
  <c r="BB2000" i="1"/>
  <c r="BW2000" i="1"/>
  <c r="A2001" i="1"/>
  <c r="C2001" i="1"/>
  <c r="S2001" i="1"/>
  <c r="T2001" i="1"/>
  <c r="U2001" i="1"/>
  <c r="BB2001" i="1"/>
  <c r="BW2001" i="1"/>
  <c r="A2002" i="1"/>
  <c r="C2002" i="1"/>
  <c r="S2002" i="1"/>
  <c r="T2002" i="1"/>
  <c r="U2002" i="1"/>
  <c r="BB2002" i="1"/>
  <c r="BW2002" i="1"/>
  <c r="A2003" i="1"/>
  <c r="C2003" i="1"/>
  <c r="S2003" i="1"/>
  <c r="T2003" i="1"/>
  <c r="U2003" i="1"/>
  <c r="BB2003" i="1"/>
  <c r="BW2003" i="1"/>
  <c r="A2004" i="1"/>
  <c r="C2004" i="1"/>
  <c r="S2004" i="1"/>
  <c r="T2004" i="1"/>
  <c r="U2004" i="1"/>
  <c r="BB2004" i="1"/>
  <c r="BW2004" i="1"/>
  <c r="A2005" i="1"/>
  <c r="C2005" i="1"/>
  <c r="S2005" i="1"/>
  <c r="T2005" i="1"/>
  <c r="U2005" i="1"/>
  <c r="BB2005" i="1"/>
  <c r="BW2005" i="1"/>
  <c r="A2006" i="1"/>
  <c r="C2006" i="1"/>
  <c r="S2006" i="1"/>
  <c r="T2006" i="1"/>
  <c r="U2006" i="1"/>
  <c r="BB2006" i="1"/>
  <c r="BW2006" i="1"/>
  <c r="A2007" i="1"/>
  <c r="C2007" i="1"/>
  <c r="S2007" i="1"/>
  <c r="T2007" i="1"/>
  <c r="U2007" i="1"/>
  <c r="BB2007" i="1"/>
  <c r="BW2007" i="1"/>
  <c r="A2008" i="1"/>
  <c r="C2008" i="1"/>
  <c r="S2008" i="1"/>
  <c r="T2008" i="1"/>
  <c r="U2008" i="1"/>
  <c r="BB2008" i="1"/>
  <c r="BW2008" i="1"/>
  <c r="A2009" i="1"/>
  <c r="C2009" i="1"/>
  <c r="S2009" i="1"/>
  <c r="T2009" i="1"/>
  <c r="U2009" i="1"/>
  <c r="BB2009" i="1"/>
  <c r="BW2009" i="1"/>
  <c r="A2010" i="1"/>
  <c r="C2010" i="1"/>
  <c r="S2010" i="1"/>
  <c r="T2010" i="1"/>
  <c r="U2010" i="1"/>
  <c r="BB2010" i="1"/>
  <c r="BW2010" i="1"/>
  <c r="A2011" i="1"/>
  <c r="C2011" i="1"/>
  <c r="S2011" i="1"/>
  <c r="T2011" i="1"/>
  <c r="U2011" i="1"/>
  <c r="BB2011" i="1"/>
  <c r="BW2011" i="1"/>
  <c r="A2012" i="1"/>
  <c r="C2012" i="1"/>
  <c r="S2012" i="1"/>
  <c r="T2012" i="1"/>
  <c r="U2012" i="1"/>
  <c r="BB2012" i="1"/>
  <c r="BW2012" i="1"/>
  <c r="A2013" i="1"/>
  <c r="C2013" i="1"/>
  <c r="S2013" i="1"/>
  <c r="T2013" i="1"/>
  <c r="U2013" i="1"/>
  <c r="BB2013" i="1"/>
  <c r="BW2013" i="1"/>
  <c r="A2014" i="1"/>
  <c r="C2014" i="1"/>
  <c r="S2014" i="1"/>
  <c r="T2014" i="1"/>
  <c r="U2014" i="1"/>
  <c r="BB2014" i="1"/>
  <c r="BW2014" i="1"/>
  <c r="A2015" i="1"/>
  <c r="C2015" i="1"/>
  <c r="S2015" i="1"/>
  <c r="T2015" i="1"/>
  <c r="U2015" i="1"/>
  <c r="BB2015" i="1"/>
  <c r="BW2015" i="1"/>
  <c r="A2016" i="1"/>
  <c r="C2016" i="1"/>
  <c r="S2016" i="1"/>
  <c r="T2016" i="1"/>
  <c r="U2016" i="1"/>
  <c r="BB2016" i="1"/>
  <c r="BW2016" i="1"/>
  <c r="A2017" i="1"/>
  <c r="C2017" i="1"/>
  <c r="S2017" i="1"/>
  <c r="T2017" i="1"/>
  <c r="U2017" i="1"/>
  <c r="BB2017" i="1"/>
  <c r="BW2017" i="1"/>
  <c r="A2018" i="1"/>
  <c r="C2018" i="1"/>
  <c r="S2018" i="1"/>
  <c r="T2018" i="1"/>
  <c r="U2018" i="1"/>
  <c r="BB2018" i="1"/>
  <c r="BW2018" i="1"/>
  <c r="A2019" i="1"/>
  <c r="C2019" i="1"/>
  <c r="S2019" i="1"/>
  <c r="T2019" i="1"/>
  <c r="U2019" i="1"/>
  <c r="BB2019" i="1"/>
  <c r="BW2019" i="1"/>
  <c r="A2020" i="1"/>
  <c r="C2020" i="1"/>
  <c r="S2020" i="1"/>
  <c r="T2020" i="1"/>
  <c r="U2020" i="1"/>
  <c r="BB2020" i="1"/>
  <c r="BW2020" i="1"/>
  <c r="A2021" i="1"/>
  <c r="C2021" i="1"/>
  <c r="S2021" i="1"/>
  <c r="T2021" i="1"/>
  <c r="U2021" i="1"/>
  <c r="BB2021" i="1"/>
  <c r="BW2021" i="1"/>
  <c r="A2022" i="1"/>
  <c r="C2022" i="1"/>
  <c r="S2022" i="1"/>
  <c r="T2022" i="1"/>
  <c r="U2022" i="1"/>
  <c r="BB2022" i="1"/>
  <c r="BW2022" i="1"/>
  <c r="A2023" i="1"/>
  <c r="C2023" i="1"/>
  <c r="S2023" i="1"/>
  <c r="T2023" i="1"/>
  <c r="U2023" i="1"/>
  <c r="BB2023" i="1"/>
  <c r="BW2023" i="1"/>
  <c r="A2024" i="1"/>
  <c r="C2024" i="1"/>
  <c r="S2024" i="1"/>
  <c r="T2024" i="1"/>
  <c r="U2024" i="1"/>
  <c r="BB2024" i="1"/>
  <c r="BW2024" i="1"/>
  <c r="A2025" i="1"/>
  <c r="C2025" i="1"/>
  <c r="S2025" i="1"/>
  <c r="T2025" i="1"/>
  <c r="U2025" i="1"/>
  <c r="BB2025" i="1"/>
  <c r="BW2025" i="1"/>
  <c r="A2026" i="1"/>
  <c r="C2026" i="1"/>
  <c r="S2026" i="1"/>
  <c r="T2026" i="1"/>
  <c r="U2026" i="1"/>
  <c r="BB2026" i="1"/>
  <c r="BW2026" i="1"/>
  <c r="A2027" i="1"/>
  <c r="C2027" i="1"/>
  <c r="S2027" i="1"/>
  <c r="T2027" i="1"/>
  <c r="U2027" i="1"/>
  <c r="BB2027" i="1"/>
  <c r="BW2027" i="1"/>
  <c r="A2028" i="1"/>
  <c r="C2028" i="1"/>
  <c r="S2028" i="1"/>
  <c r="T2028" i="1"/>
  <c r="U2028" i="1"/>
  <c r="BB2028" i="1"/>
  <c r="BW2028" i="1"/>
  <c r="A2029" i="1"/>
  <c r="C2029" i="1"/>
  <c r="S2029" i="1"/>
  <c r="T2029" i="1"/>
  <c r="U2029" i="1"/>
  <c r="BB2029" i="1"/>
  <c r="BW2029" i="1"/>
  <c r="A2030" i="1"/>
  <c r="C2030" i="1"/>
  <c r="S2030" i="1"/>
  <c r="T2030" i="1"/>
  <c r="U2030" i="1"/>
  <c r="BB2030" i="1"/>
  <c r="BW2030" i="1"/>
  <c r="A2031" i="1"/>
  <c r="C2031" i="1"/>
  <c r="S2031" i="1"/>
  <c r="T2031" i="1"/>
  <c r="U2031" i="1"/>
  <c r="BB2031" i="1"/>
  <c r="BW2031" i="1"/>
  <c r="A2032" i="1"/>
  <c r="C2032" i="1"/>
  <c r="S2032" i="1"/>
  <c r="T2032" i="1"/>
  <c r="U2032" i="1"/>
  <c r="BB2032" i="1"/>
  <c r="BW2032" i="1"/>
  <c r="A2033" i="1"/>
  <c r="C2033" i="1"/>
  <c r="S2033" i="1"/>
  <c r="T2033" i="1"/>
  <c r="U2033" i="1"/>
  <c r="BB2033" i="1"/>
  <c r="BW2033" i="1"/>
  <c r="A2034" i="1"/>
  <c r="C2034" i="1"/>
  <c r="S2034" i="1"/>
  <c r="T2034" i="1"/>
  <c r="U2034" i="1"/>
  <c r="BB2034" i="1"/>
  <c r="BW2034" i="1"/>
  <c r="A2035" i="1"/>
  <c r="C2035" i="1"/>
  <c r="S2035" i="1"/>
  <c r="T2035" i="1"/>
  <c r="U2035" i="1"/>
  <c r="BB2035" i="1"/>
  <c r="BW2035" i="1"/>
  <c r="A2036" i="1"/>
  <c r="C2036" i="1"/>
  <c r="S2036" i="1"/>
  <c r="T2036" i="1"/>
  <c r="U2036" i="1"/>
  <c r="BB2036" i="1"/>
  <c r="BW2036" i="1"/>
  <c r="A2037" i="1"/>
  <c r="C2037" i="1"/>
  <c r="S2037" i="1"/>
  <c r="T2037" i="1"/>
  <c r="U2037" i="1"/>
  <c r="BB2037" i="1"/>
  <c r="BW2037" i="1"/>
  <c r="A2038" i="1"/>
  <c r="C2038" i="1"/>
  <c r="S2038" i="1"/>
  <c r="T2038" i="1"/>
  <c r="U2038" i="1"/>
  <c r="BB2038" i="1"/>
  <c r="BW2038" i="1"/>
  <c r="A2039" i="1"/>
  <c r="C2039" i="1"/>
  <c r="S2039" i="1"/>
  <c r="T2039" i="1"/>
  <c r="U2039" i="1"/>
  <c r="BB2039" i="1"/>
  <c r="BW2039" i="1"/>
  <c r="A2040" i="1"/>
  <c r="C2040" i="1"/>
  <c r="S2040" i="1"/>
  <c r="T2040" i="1"/>
  <c r="U2040" i="1"/>
  <c r="BB2040" i="1"/>
  <c r="BW2040" i="1"/>
  <c r="A2041" i="1"/>
  <c r="C2041" i="1"/>
  <c r="S2041" i="1"/>
  <c r="T2041" i="1"/>
  <c r="U2041" i="1"/>
  <c r="BB2041" i="1"/>
  <c r="BW2041" i="1"/>
  <c r="A2042" i="1"/>
  <c r="C2042" i="1"/>
  <c r="S2042" i="1"/>
  <c r="T2042" i="1"/>
  <c r="U2042" i="1"/>
  <c r="BB2042" i="1"/>
  <c r="BW2042" i="1"/>
  <c r="A2043" i="1"/>
  <c r="C2043" i="1"/>
  <c r="S2043" i="1"/>
  <c r="T2043" i="1"/>
  <c r="U2043" i="1"/>
  <c r="BB2043" i="1"/>
  <c r="BW2043" i="1"/>
  <c r="A2044" i="1"/>
  <c r="C2044" i="1"/>
  <c r="S2044" i="1"/>
  <c r="T2044" i="1"/>
  <c r="U2044" i="1"/>
  <c r="BB2044" i="1"/>
  <c r="BW2044" i="1"/>
  <c r="A2045" i="1"/>
  <c r="C2045" i="1"/>
  <c r="S2045" i="1"/>
  <c r="T2045" i="1"/>
  <c r="U2045" i="1"/>
  <c r="BB2045" i="1"/>
  <c r="BW2045" i="1"/>
  <c r="A2046" i="1"/>
  <c r="C2046" i="1"/>
  <c r="S2046" i="1"/>
  <c r="T2046" i="1"/>
  <c r="U2046" i="1"/>
  <c r="BB2046" i="1"/>
  <c r="BW2046" i="1"/>
  <c r="A2047" i="1"/>
  <c r="C2047" i="1"/>
  <c r="S2047" i="1"/>
  <c r="T2047" i="1"/>
  <c r="U2047" i="1"/>
  <c r="BB2047" i="1"/>
  <c r="BW2047" i="1"/>
  <c r="A2048" i="1"/>
  <c r="C2048" i="1"/>
  <c r="S2048" i="1"/>
  <c r="T2048" i="1"/>
  <c r="U2048" i="1"/>
  <c r="BB2048" i="1"/>
  <c r="BW2048" i="1"/>
  <c r="A2049" i="1"/>
  <c r="C2049" i="1"/>
  <c r="S2049" i="1"/>
  <c r="T2049" i="1"/>
  <c r="U2049" i="1"/>
  <c r="BB2049" i="1"/>
  <c r="BW2049" i="1"/>
  <c r="A2050" i="1"/>
  <c r="C2050" i="1"/>
  <c r="S2050" i="1"/>
  <c r="T2050" i="1"/>
  <c r="U2050" i="1"/>
  <c r="BB2050" i="1"/>
  <c r="BW2050" i="1"/>
  <c r="A2051" i="1"/>
  <c r="C2051" i="1"/>
  <c r="S2051" i="1"/>
  <c r="T2051" i="1"/>
  <c r="U2051" i="1"/>
  <c r="BB2051" i="1"/>
  <c r="BW2051" i="1"/>
  <c r="A2052" i="1"/>
  <c r="C2052" i="1"/>
  <c r="S2052" i="1"/>
  <c r="T2052" i="1"/>
  <c r="U2052" i="1"/>
  <c r="BB2052" i="1"/>
  <c r="BW2052" i="1"/>
  <c r="A2053" i="1"/>
  <c r="C2053" i="1"/>
  <c r="S2053" i="1"/>
  <c r="T2053" i="1"/>
  <c r="U2053" i="1"/>
  <c r="BB2053" i="1"/>
  <c r="BW2053" i="1"/>
  <c r="A2054" i="1"/>
  <c r="C2054" i="1"/>
  <c r="S2054" i="1"/>
  <c r="T2054" i="1"/>
  <c r="U2054" i="1"/>
  <c r="BB2054" i="1"/>
  <c r="BW2054" i="1"/>
  <c r="A2055" i="1"/>
  <c r="C2055" i="1"/>
  <c r="S2055" i="1"/>
  <c r="T2055" i="1"/>
  <c r="U2055" i="1"/>
  <c r="BB2055" i="1"/>
  <c r="BW2055" i="1"/>
  <c r="A2056" i="1"/>
  <c r="C2056" i="1"/>
  <c r="S2056" i="1"/>
  <c r="T2056" i="1"/>
  <c r="U2056" i="1"/>
  <c r="BB2056" i="1"/>
  <c r="BW2056" i="1"/>
  <c r="A2057" i="1"/>
  <c r="C2057" i="1"/>
  <c r="S2057" i="1"/>
  <c r="T2057" i="1"/>
  <c r="U2057" i="1"/>
  <c r="BB2057" i="1"/>
  <c r="BW2057" i="1"/>
  <c r="A2058" i="1"/>
  <c r="C2058" i="1"/>
  <c r="S2058" i="1"/>
  <c r="T2058" i="1"/>
  <c r="U2058" i="1"/>
  <c r="BB2058" i="1"/>
  <c r="BW2058" i="1"/>
  <c r="A2059" i="1"/>
  <c r="C2059" i="1"/>
  <c r="S2059" i="1"/>
  <c r="T2059" i="1"/>
  <c r="U2059" i="1"/>
  <c r="BB2059" i="1"/>
  <c r="BW2059" i="1"/>
  <c r="A2060" i="1"/>
  <c r="C2060" i="1"/>
  <c r="S2060" i="1"/>
  <c r="T2060" i="1"/>
  <c r="U2060" i="1"/>
  <c r="BB2060" i="1"/>
  <c r="BW2060" i="1"/>
  <c r="A2061" i="1"/>
  <c r="C2061" i="1"/>
  <c r="S2061" i="1"/>
  <c r="T2061" i="1"/>
  <c r="U2061" i="1"/>
  <c r="BB2061" i="1"/>
  <c r="BW2061" i="1"/>
  <c r="A2062" i="1"/>
  <c r="C2062" i="1"/>
  <c r="S2062" i="1"/>
  <c r="T2062" i="1"/>
  <c r="U2062" i="1"/>
  <c r="BB2062" i="1"/>
  <c r="BW2062" i="1"/>
  <c r="A2063" i="1"/>
  <c r="C2063" i="1"/>
  <c r="S2063" i="1"/>
  <c r="T2063" i="1"/>
  <c r="U2063" i="1"/>
  <c r="BB2063" i="1"/>
  <c r="BW2063" i="1"/>
  <c r="A2064" i="1"/>
  <c r="C2064" i="1"/>
  <c r="S2064" i="1"/>
  <c r="T2064" i="1"/>
  <c r="U2064" i="1"/>
  <c r="BB2064" i="1"/>
  <c r="BW2064" i="1"/>
  <c r="A2065" i="1"/>
  <c r="C2065" i="1"/>
  <c r="S2065" i="1"/>
  <c r="T2065" i="1"/>
  <c r="U2065" i="1"/>
  <c r="BB2065" i="1"/>
  <c r="BW2065" i="1"/>
  <c r="A2066" i="1"/>
  <c r="C2066" i="1"/>
  <c r="S2066" i="1"/>
  <c r="T2066" i="1"/>
  <c r="U2066" i="1"/>
  <c r="BB2066" i="1"/>
  <c r="BW2066" i="1"/>
  <c r="A2067" i="1"/>
  <c r="C2067" i="1"/>
  <c r="S2067" i="1"/>
  <c r="T2067" i="1"/>
  <c r="U2067" i="1"/>
  <c r="BB2067" i="1"/>
  <c r="BW2067" i="1"/>
  <c r="A2068" i="1"/>
  <c r="C2068" i="1"/>
  <c r="S2068" i="1"/>
  <c r="T2068" i="1"/>
  <c r="U2068" i="1"/>
  <c r="BB2068" i="1"/>
  <c r="BW2068" i="1"/>
  <c r="A2069" i="1"/>
  <c r="C2069" i="1"/>
  <c r="S2069" i="1"/>
  <c r="T2069" i="1"/>
  <c r="U2069" i="1"/>
  <c r="BB2069" i="1"/>
  <c r="BW2069" i="1"/>
  <c r="A2070" i="1"/>
  <c r="C2070" i="1"/>
  <c r="S2070" i="1"/>
  <c r="T2070" i="1"/>
  <c r="U2070" i="1"/>
  <c r="BB2070" i="1"/>
  <c r="BW2070" i="1"/>
  <c r="A2071" i="1"/>
  <c r="C2071" i="1"/>
  <c r="S2071" i="1"/>
  <c r="T2071" i="1"/>
  <c r="U2071" i="1"/>
  <c r="BB2071" i="1"/>
  <c r="BW2071" i="1"/>
  <c r="A2072" i="1"/>
  <c r="C2072" i="1"/>
  <c r="S2072" i="1"/>
  <c r="T2072" i="1"/>
  <c r="U2072" i="1"/>
  <c r="BB2072" i="1"/>
  <c r="BW2072" i="1"/>
  <c r="A2073" i="1"/>
  <c r="C2073" i="1"/>
  <c r="S2073" i="1"/>
  <c r="T2073" i="1"/>
  <c r="U2073" i="1"/>
  <c r="BB2073" i="1"/>
  <c r="BW2073" i="1"/>
  <c r="A2074" i="1"/>
  <c r="C2074" i="1"/>
  <c r="S2074" i="1"/>
  <c r="T2074" i="1"/>
  <c r="U2074" i="1"/>
  <c r="BB2074" i="1"/>
  <c r="BW2074" i="1"/>
  <c r="A2075" i="1"/>
  <c r="C2075" i="1"/>
  <c r="S2075" i="1"/>
  <c r="T2075" i="1"/>
  <c r="U2075" i="1"/>
  <c r="BB2075" i="1"/>
  <c r="BW2075" i="1"/>
  <c r="A2076" i="1"/>
  <c r="C2076" i="1"/>
  <c r="S2076" i="1"/>
  <c r="T2076" i="1"/>
  <c r="U2076" i="1"/>
  <c r="BB2076" i="1"/>
  <c r="BW2076" i="1"/>
  <c r="A2077" i="1"/>
  <c r="C2077" i="1"/>
  <c r="S2077" i="1"/>
  <c r="T2077" i="1"/>
  <c r="U2077" i="1"/>
  <c r="BB2077" i="1"/>
  <c r="BW2077" i="1"/>
  <c r="A2078" i="1"/>
  <c r="C2078" i="1"/>
  <c r="S2078" i="1"/>
  <c r="T2078" i="1"/>
  <c r="U2078" i="1"/>
  <c r="BB2078" i="1"/>
  <c r="BW2078" i="1"/>
  <c r="A2079" i="1"/>
  <c r="C2079" i="1"/>
  <c r="S2079" i="1"/>
  <c r="T2079" i="1"/>
  <c r="U2079" i="1"/>
  <c r="BB2079" i="1"/>
  <c r="BW2079" i="1"/>
  <c r="A2080" i="1"/>
  <c r="C2080" i="1"/>
  <c r="S2080" i="1"/>
  <c r="T2080" i="1"/>
  <c r="U2080" i="1"/>
  <c r="BB2080" i="1"/>
  <c r="BW2080" i="1"/>
  <c r="A2081" i="1"/>
  <c r="C2081" i="1"/>
  <c r="S2081" i="1"/>
  <c r="T2081" i="1"/>
  <c r="U2081" i="1"/>
  <c r="BB2081" i="1"/>
  <c r="BW2081" i="1"/>
  <c r="A2082" i="1"/>
  <c r="C2082" i="1"/>
  <c r="S2082" i="1"/>
  <c r="T2082" i="1"/>
  <c r="U2082" i="1"/>
  <c r="BB2082" i="1"/>
  <c r="BW2082" i="1"/>
  <c r="A2083" i="1"/>
  <c r="C2083" i="1"/>
  <c r="S2083" i="1"/>
  <c r="T2083" i="1"/>
  <c r="U2083" i="1"/>
  <c r="BB2083" i="1"/>
  <c r="BW2083" i="1"/>
  <c r="A2084" i="1"/>
  <c r="C2084" i="1"/>
  <c r="S2084" i="1"/>
  <c r="T2084" i="1"/>
  <c r="U2084" i="1"/>
  <c r="BB2084" i="1"/>
  <c r="BW2084" i="1"/>
  <c r="A2085" i="1"/>
  <c r="C2085" i="1"/>
  <c r="S2085" i="1"/>
  <c r="T2085" i="1"/>
  <c r="U2085" i="1"/>
  <c r="BB2085" i="1"/>
  <c r="BW2085" i="1"/>
  <c r="A2086" i="1"/>
  <c r="C2086" i="1"/>
  <c r="S2086" i="1"/>
  <c r="T2086" i="1"/>
  <c r="U2086" i="1"/>
  <c r="BB2086" i="1"/>
  <c r="BW2086" i="1"/>
  <c r="A2087" i="1"/>
  <c r="C2087" i="1"/>
  <c r="S2087" i="1"/>
  <c r="T2087" i="1"/>
  <c r="U2087" i="1"/>
  <c r="BB2087" i="1"/>
  <c r="BW2087" i="1"/>
  <c r="A2088" i="1"/>
  <c r="C2088" i="1"/>
  <c r="S2088" i="1"/>
  <c r="T2088" i="1"/>
  <c r="U2088" i="1"/>
  <c r="BB2088" i="1"/>
  <c r="BW2088" i="1"/>
  <c r="A2089" i="1"/>
  <c r="C2089" i="1"/>
  <c r="S2089" i="1"/>
  <c r="T2089" i="1"/>
  <c r="U2089" i="1"/>
  <c r="BB2089" i="1"/>
  <c r="BW2089" i="1"/>
  <c r="A2090" i="1"/>
  <c r="C2090" i="1"/>
  <c r="S2090" i="1"/>
  <c r="T2090" i="1"/>
  <c r="U2090" i="1"/>
  <c r="BB2090" i="1"/>
  <c r="BW2090" i="1"/>
  <c r="A2091" i="1"/>
  <c r="C2091" i="1"/>
  <c r="S2091" i="1"/>
  <c r="T2091" i="1"/>
  <c r="U2091" i="1"/>
  <c r="BB2091" i="1"/>
  <c r="BW2091" i="1"/>
  <c r="A2092" i="1"/>
  <c r="C2092" i="1"/>
  <c r="S2092" i="1"/>
  <c r="T2092" i="1"/>
  <c r="U2092" i="1"/>
  <c r="BB2092" i="1"/>
  <c r="BW2092" i="1"/>
  <c r="A2093" i="1"/>
  <c r="C2093" i="1"/>
  <c r="S2093" i="1"/>
  <c r="T2093" i="1"/>
  <c r="U2093" i="1"/>
  <c r="BB2093" i="1"/>
  <c r="BW2093" i="1"/>
  <c r="A2094" i="1"/>
  <c r="C2094" i="1"/>
  <c r="S2094" i="1"/>
  <c r="T2094" i="1"/>
  <c r="U2094" i="1"/>
  <c r="BB2094" i="1"/>
  <c r="BW2094" i="1"/>
  <c r="A2095" i="1"/>
  <c r="C2095" i="1"/>
  <c r="S2095" i="1"/>
  <c r="T2095" i="1"/>
  <c r="U2095" i="1"/>
  <c r="BB2095" i="1"/>
  <c r="BW2095" i="1"/>
  <c r="A2096" i="1"/>
  <c r="C2096" i="1"/>
  <c r="S2096" i="1"/>
  <c r="T2096" i="1"/>
  <c r="U2096" i="1"/>
  <c r="BB2096" i="1"/>
  <c r="BW2096" i="1"/>
  <c r="A2097" i="1"/>
  <c r="C2097" i="1"/>
  <c r="S2097" i="1"/>
  <c r="T2097" i="1"/>
  <c r="U2097" i="1"/>
  <c r="BB2097" i="1"/>
  <c r="BW2097" i="1"/>
  <c r="A2098" i="1"/>
  <c r="C2098" i="1"/>
  <c r="S2098" i="1"/>
  <c r="T2098" i="1"/>
  <c r="U2098" i="1"/>
  <c r="BB2098" i="1"/>
  <c r="BW2098" i="1"/>
  <c r="A2099" i="1"/>
  <c r="C2099" i="1"/>
  <c r="S2099" i="1"/>
  <c r="T2099" i="1"/>
  <c r="U2099" i="1"/>
  <c r="BB2099" i="1"/>
  <c r="BW2099" i="1"/>
  <c r="A2100" i="1"/>
  <c r="C2100" i="1"/>
  <c r="S2100" i="1"/>
  <c r="T2100" i="1"/>
  <c r="U2100" i="1"/>
  <c r="BB2100" i="1"/>
  <c r="BW2100" i="1"/>
  <c r="A2101" i="1"/>
  <c r="C2101" i="1"/>
  <c r="S2101" i="1"/>
  <c r="T2101" i="1"/>
  <c r="U2101" i="1"/>
  <c r="BB2101" i="1"/>
  <c r="BW2101" i="1"/>
  <c r="A2102" i="1"/>
  <c r="C2102" i="1"/>
  <c r="S2102" i="1"/>
  <c r="T2102" i="1"/>
  <c r="U2102" i="1"/>
  <c r="BB2102" i="1"/>
  <c r="BW2102" i="1"/>
  <c r="A2103" i="1"/>
  <c r="C2103" i="1"/>
  <c r="S2103" i="1"/>
  <c r="T2103" i="1"/>
  <c r="U2103" i="1"/>
  <c r="BB2103" i="1"/>
  <c r="BW2103" i="1"/>
  <c r="A2104" i="1"/>
  <c r="C2104" i="1"/>
  <c r="S2104" i="1"/>
  <c r="T2104" i="1"/>
  <c r="U2104" i="1"/>
  <c r="BB2104" i="1"/>
  <c r="BW2104" i="1"/>
  <c r="A2105" i="1"/>
  <c r="C2105" i="1"/>
  <c r="S2105" i="1"/>
  <c r="T2105" i="1"/>
  <c r="U2105" i="1"/>
  <c r="BB2105" i="1"/>
  <c r="BW2105" i="1"/>
  <c r="A2106" i="1"/>
  <c r="C2106" i="1"/>
  <c r="S2106" i="1"/>
  <c r="T2106" i="1"/>
  <c r="U2106" i="1"/>
  <c r="BB2106" i="1"/>
  <c r="BW2106" i="1"/>
  <c r="A2107" i="1"/>
  <c r="C2107" i="1"/>
  <c r="S2107" i="1"/>
  <c r="T2107" i="1"/>
  <c r="U2107" i="1"/>
  <c r="BB2107" i="1"/>
  <c r="BW2107" i="1"/>
  <c r="A2108" i="1"/>
  <c r="C2108" i="1"/>
  <c r="S2108" i="1"/>
  <c r="T2108" i="1"/>
  <c r="U2108" i="1"/>
  <c r="BB2108" i="1"/>
  <c r="BW2108" i="1"/>
  <c r="A2109" i="1"/>
  <c r="C2109" i="1"/>
  <c r="S2109" i="1"/>
  <c r="T2109" i="1"/>
  <c r="U2109" i="1"/>
  <c r="BB2109" i="1"/>
  <c r="BW2109" i="1"/>
  <c r="A2110" i="1"/>
  <c r="C2110" i="1"/>
  <c r="S2110" i="1"/>
  <c r="T2110" i="1"/>
  <c r="U2110" i="1"/>
  <c r="BB2110" i="1"/>
  <c r="BW2110" i="1"/>
  <c r="A2111" i="1"/>
  <c r="C2111" i="1"/>
  <c r="S2111" i="1"/>
  <c r="T2111" i="1"/>
  <c r="U2111" i="1"/>
  <c r="BB2111" i="1"/>
  <c r="BW2111" i="1"/>
  <c r="A2112" i="1"/>
  <c r="C2112" i="1"/>
  <c r="S2112" i="1"/>
  <c r="T2112" i="1"/>
  <c r="U2112" i="1"/>
  <c r="BB2112" i="1"/>
  <c r="BW2112" i="1"/>
  <c r="A2113" i="1"/>
  <c r="C2113" i="1"/>
  <c r="S2113" i="1"/>
  <c r="T2113" i="1"/>
  <c r="U2113" i="1"/>
  <c r="BB2113" i="1"/>
  <c r="BW2113" i="1"/>
  <c r="A2114" i="1"/>
  <c r="C2114" i="1"/>
  <c r="S2114" i="1"/>
  <c r="T2114" i="1"/>
  <c r="U2114" i="1"/>
  <c r="BB2114" i="1"/>
  <c r="BW2114" i="1"/>
  <c r="A2115" i="1"/>
  <c r="C2115" i="1"/>
  <c r="S2115" i="1"/>
  <c r="T2115" i="1"/>
  <c r="U2115" i="1"/>
  <c r="BB2115" i="1"/>
  <c r="BW2115" i="1"/>
  <c r="A2116" i="1"/>
  <c r="C2116" i="1"/>
  <c r="S2116" i="1"/>
  <c r="T2116" i="1"/>
  <c r="U2116" i="1"/>
  <c r="BB2116" i="1"/>
  <c r="BW2116" i="1"/>
  <c r="A2117" i="1"/>
  <c r="C2117" i="1"/>
  <c r="S2117" i="1"/>
  <c r="T2117" i="1"/>
  <c r="U2117" i="1"/>
  <c r="BB2117" i="1"/>
  <c r="BW2117" i="1"/>
  <c r="A2118" i="1"/>
  <c r="C2118" i="1"/>
  <c r="S2118" i="1"/>
  <c r="T2118" i="1"/>
  <c r="U2118" i="1"/>
  <c r="BB2118" i="1"/>
  <c r="BW2118" i="1"/>
  <c r="A2119" i="1"/>
  <c r="C2119" i="1"/>
  <c r="S2119" i="1"/>
  <c r="T2119" i="1"/>
  <c r="U2119" i="1"/>
  <c r="BB2119" i="1"/>
  <c r="BW2119" i="1"/>
  <c r="A2120" i="1"/>
  <c r="C2120" i="1"/>
  <c r="S2120" i="1"/>
  <c r="T2120" i="1"/>
  <c r="U2120" i="1"/>
  <c r="BB2120" i="1"/>
  <c r="BW2120" i="1"/>
  <c r="A2121" i="1"/>
  <c r="C2121" i="1"/>
  <c r="S2121" i="1"/>
  <c r="T2121" i="1"/>
  <c r="U2121" i="1"/>
  <c r="BB2121" i="1"/>
  <c r="BW2121" i="1"/>
  <c r="A2122" i="1"/>
  <c r="C2122" i="1"/>
  <c r="S2122" i="1"/>
  <c r="T2122" i="1"/>
  <c r="U2122" i="1"/>
  <c r="BB2122" i="1"/>
  <c r="BW2122" i="1"/>
  <c r="A2123" i="1"/>
  <c r="C2123" i="1"/>
  <c r="S2123" i="1"/>
  <c r="T2123" i="1"/>
  <c r="U2123" i="1"/>
  <c r="BB2123" i="1"/>
  <c r="BW2123" i="1"/>
  <c r="A2124" i="1"/>
  <c r="C2124" i="1"/>
  <c r="S2124" i="1"/>
  <c r="T2124" i="1"/>
  <c r="U2124" i="1"/>
  <c r="BB2124" i="1"/>
  <c r="BW2124" i="1"/>
  <c r="A2125" i="1"/>
  <c r="C2125" i="1"/>
  <c r="S2125" i="1"/>
  <c r="T2125" i="1"/>
  <c r="U2125" i="1"/>
  <c r="BB2125" i="1"/>
  <c r="BW2125" i="1"/>
  <c r="A2126" i="1"/>
  <c r="C2126" i="1"/>
  <c r="S2126" i="1"/>
  <c r="T2126" i="1"/>
  <c r="U2126" i="1"/>
  <c r="BB2126" i="1"/>
  <c r="BW2126" i="1"/>
  <c r="A2127" i="1"/>
  <c r="C2127" i="1"/>
  <c r="S2127" i="1"/>
  <c r="T2127" i="1"/>
  <c r="U2127" i="1"/>
  <c r="BB2127" i="1"/>
  <c r="BW2127" i="1"/>
  <c r="A2128" i="1"/>
  <c r="C2128" i="1"/>
  <c r="S2128" i="1"/>
  <c r="T2128" i="1"/>
  <c r="U2128" i="1"/>
  <c r="BB2128" i="1"/>
  <c r="BW2128" i="1"/>
  <c r="A2129" i="1"/>
  <c r="C2129" i="1"/>
  <c r="S2129" i="1"/>
  <c r="T2129" i="1"/>
  <c r="U2129" i="1"/>
  <c r="BB2129" i="1"/>
  <c r="BW2129" i="1"/>
  <c r="A2130" i="1"/>
  <c r="C2130" i="1"/>
  <c r="S2130" i="1"/>
  <c r="T2130" i="1"/>
  <c r="U2130" i="1"/>
  <c r="BB2130" i="1"/>
  <c r="BW2130" i="1"/>
  <c r="A2131" i="1"/>
  <c r="C2131" i="1"/>
  <c r="S2131" i="1"/>
  <c r="T2131" i="1"/>
  <c r="U2131" i="1"/>
  <c r="BB2131" i="1"/>
  <c r="BW2131" i="1"/>
  <c r="A2132" i="1"/>
  <c r="C2132" i="1"/>
  <c r="S2132" i="1"/>
  <c r="T2132" i="1"/>
  <c r="U2132" i="1"/>
  <c r="BB2132" i="1"/>
  <c r="BW2132" i="1"/>
  <c r="A2133" i="1"/>
  <c r="C2133" i="1"/>
  <c r="S2133" i="1"/>
  <c r="T2133" i="1"/>
  <c r="U2133" i="1"/>
  <c r="BB2133" i="1"/>
  <c r="BW2133" i="1"/>
  <c r="A2134" i="1"/>
  <c r="C2134" i="1"/>
  <c r="S2134" i="1"/>
  <c r="T2134" i="1"/>
  <c r="U2134" i="1"/>
  <c r="BB2134" i="1"/>
  <c r="BW2134" i="1"/>
  <c r="A2135" i="1"/>
  <c r="C2135" i="1"/>
  <c r="S2135" i="1"/>
  <c r="T2135" i="1"/>
  <c r="U2135" i="1"/>
  <c r="BB2135" i="1"/>
  <c r="BW2135" i="1"/>
  <c r="A2136" i="1"/>
  <c r="C2136" i="1"/>
  <c r="S2136" i="1"/>
  <c r="T2136" i="1"/>
  <c r="U2136" i="1"/>
  <c r="BB2136" i="1"/>
  <c r="BW2136" i="1"/>
  <c r="A2137" i="1"/>
  <c r="C2137" i="1"/>
  <c r="S2137" i="1"/>
  <c r="T2137" i="1"/>
  <c r="U2137" i="1"/>
  <c r="BB2137" i="1"/>
  <c r="BW2137" i="1"/>
  <c r="A2138" i="1"/>
  <c r="C2138" i="1"/>
  <c r="S2138" i="1"/>
  <c r="T2138" i="1"/>
  <c r="U2138" i="1"/>
  <c r="BB2138" i="1"/>
  <c r="BW2138" i="1"/>
  <c r="A2139" i="1"/>
  <c r="C2139" i="1"/>
  <c r="S2139" i="1"/>
  <c r="T2139" i="1"/>
  <c r="U2139" i="1"/>
  <c r="BB2139" i="1"/>
  <c r="BW2139" i="1"/>
  <c r="A2140" i="1"/>
  <c r="C2140" i="1"/>
  <c r="S2140" i="1"/>
  <c r="T2140" i="1"/>
  <c r="U2140" i="1"/>
  <c r="BB2140" i="1"/>
  <c r="BW2140" i="1"/>
  <c r="A2141" i="1"/>
  <c r="C2141" i="1"/>
  <c r="S2141" i="1"/>
  <c r="T2141" i="1"/>
  <c r="U2141" i="1"/>
  <c r="BB2141" i="1"/>
  <c r="BW2141" i="1"/>
  <c r="A2142" i="1"/>
  <c r="C2142" i="1"/>
  <c r="S2142" i="1"/>
  <c r="T2142" i="1"/>
  <c r="U2142" i="1"/>
  <c r="BB2142" i="1"/>
  <c r="BW2142" i="1"/>
  <c r="A2143" i="1"/>
  <c r="C2143" i="1"/>
  <c r="S2143" i="1"/>
  <c r="T2143" i="1"/>
  <c r="U2143" i="1"/>
  <c r="BB2143" i="1"/>
  <c r="BW2143" i="1"/>
  <c r="A2144" i="1"/>
  <c r="C2144" i="1"/>
  <c r="S2144" i="1"/>
  <c r="T2144" i="1"/>
  <c r="U2144" i="1"/>
  <c r="BB2144" i="1"/>
  <c r="BW2144" i="1"/>
  <c r="A2145" i="1"/>
  <c r="C2145" i="1"/>
  <c r="S2145" i="1"/>
  <c r="T2145" i="1"/>
  <c r="U2145" i="1"/>
  <c r="BB2145" i="1"/>
  <c r="BW2145" i="1"/>
  <c r="A2146" i="1"/>
  <c r="C2146" i="1"/>
  <c r="S2146" i="1"/>
  <c r="T2146" i="1"/>
  <c r="U2146" i="1"/>
  <c r="BB2146" i="1"/>
  <c r="BW2146" i="1"/>
  <c r="A2147" i="1"/>
  <c r="C2147" i="1"/>
  <c r="S2147" i="1"/>
  <c r="T2147" i="1"/>
  <c r="U2147" i="1"/>
  <c r="BB2147" i="1"/>
  <c r="BW2147" i="1"/>
  <c r="A2148" i="1"/>
  <c r="C2148" i="1"/>
  <c r="S2148" i="1"/>
  <c r="T2148" i="1"/>
  <c r="U2148" i="1"/>
  <c r="BB2148" i="1"/>
  <c r="BW2148" i="1"/>
  <c r="A2149" i="1"/>
  <c r="C2149" i="1"/>
  <c r="S2149" i="1"/>
  <c r="T2149" i="1"/>
  <c r="U2149" i="1"/>
  <c r="BB2149" i="1"/>
  <c r="BW2149" i="1"/>
  <c r="A2150" i="1"/>
  <c r="C2150" i="1"/>
  <c r="S2150" i="1"/>
  <c r="T2150" i="1"/>
  <c r="U2150" i="1"/>
  <c r="BB2150" i="1"/>
  <c r="BW2150" i="1"/>
  <c r="A2151" i="1"/>
  <c r="C2151" i="1"/>
  <c r="S2151" i="1"/>
  <c r="T2151" i="1"/>
  <c r="U2151" i="1"/>
  <c r="BB2151" i="1"/>
  <c r="BW2151" i="1"/>
  <c r="A2152" i="1"/>
  <c r="C2152" i="1"/>
  <c r="S2152" i="1"/>
  <c r="T2152" i="1"/>
  <c r="U2152" i="1"/>
  <c r="BB2152" i="1"/>
  <c r="BW2152" i="1"/>
  <c r="A2153" i="1"/>
  <c r="C2153" i="1"/>
  <c r="S2153" i="1"/>
  <c r="T2153" i="1"/>
  <c r="U2153" i="1"/>
  <c r="BB2153" i="1"/>
  <c r="BW2153" i="1"/>
  <c r="A2154" i="1"/>
  <c r="C2154" i="1"/>
  <c r="S2154" i="1"/>
  <c r="T2154" i="1"/>
  <c r="U2154" i="1"/>
  <c r="BB2154" i="1"/>
  <c r="BW2154" i="1"/>
  <c r="A2155" i="1"/>
  <c r="C2155" i="1"/>
  <c r="S2155" i="1"/>
  <c r="T2155" i="1"/>
  <c r="U2155" i="1"/>
  <c r="BB2155" i="1"/>
  <c r="BW2155" i="1"/>
  <c r="A2156" i="1"/>
  <c r="C2156" i="1"/>
  <c r="S2156" i="1"/>
  <c r="T2156" i="1"/>
  <c r="U2156" i="1"/>
  <c r="BB2156" i="1"/>
  <c r="BW2156" i="1"/>
  <c r="A2157" i="1"/>
  <c r="C2157" i="1"/>
  <c r="S2157" i="1"/>
  <c r="T2157" i="1"/>
  <c r="U2157" i="1"/>
  <c r="BB2157" i="1"/>
  <c r="BW2157" i="1"/>
  <c r="A2158" i="1"/>
  <c r="C2158" i="1"/>
  <c r="S2158" i="1"/>
  <c r="T2158" i="1"/>
  <c r="U2158" i="1"/>
  <c r="BB2158" i="1"/>
  <c r="BW2158" i="1"/>
  <c r="A2159" i="1"/>
  <c r="C2159" i="1"/>
  <c r="S2159" i="1"/>
  <c r="T2159" i="1"/>
  <c r="U2159" i="1"/>
  <c r="BB2159" i="1"/>
  <c r="BW2159" i="1"/>
  <c r="A2160" i="1"/>
  <c r="C2160" i="1"/>
  <c r="S2160" i="1"/>
  <c r="T2160" i="1"/>
  <c r="U2160" i="1"/>
  <c r="BB2160" i="1"/>
  <c r="BW2160" i="1"/>
  <c r="A2161" i="1"/>
  <c r="C2161" i="1"/>
  <c r="S2161" i="1"/>
  <c r="T2161" i="1"/>
  <c r="U2161" i="1"/>
  <c r="BB2161" i="1"/>
  <c r="BW2161" i="1"/>
  <c r="A2162" i="1"/>
  <c r="C2162" i="1"/>
  <c r="S2162" i="1"/>
  <c r="T2162" i="1"/>
  <c r="U2162" i="1"/>
  <c r="BB2162" i="1"/>
  <c r="BW2162" i="1"/>
  <c r="A2163" i="1"/>
  <c r="C2163" i="1"/>
  <c r="S2163" i="1"/>
  <c r="T2163" i="1"/>
  <c r="U2163" i="1"/>
  <c r="BB2163" i="1"/>
  <c r="BW2163" i="1"/>
  <c r="A2164" i="1"/>
  <c r="C2164" i="1"/>
  <c r="S2164" i="1"/>
  <c r="T2164" i="1"/>
  <c r="U2164" i="1"/>
  <c r="BB2164" i="1"/>
  <c r="BW2164" i="1"/>
  <c r="A2165" i="1"/>
  <c r="C2165" i="1"/>
  <c r="S2165" i="1"/>
  <c r="T2165" i="1"/>
  <c r="U2165" i="1"/>
  <c r="BB2165" i="1"/>
  <c r="BW2165" i="1"/>
  <c r="A2166" i="1"/>
  <c r="C2166" i="1"/>
  <c r="S2166" i="1"/>
  <c r="T2166" i="1"/>
  <c r="U2166" i="1"/>
  <c r="BB2166" i="1"/>
  <c r="BW2166" i="1"/>
  <c r="A2167" i="1"/>
  <c r="C2167" i="1"/>
  <c r="S2167" i="1"/>
  <c r="T2167" i="1"/>
  <c r="U2167" i="1"/>
  <c r="BB2167" i="1"/>
  <c r="BW2167" i="1"/>
  <c r="A2168" i="1"/>
  <c r="C2168" i="1"/>
  <c r="S2168" i="1"/>
  <c r="T2168" i="1"/>
  <c r="U2168" i="1"/>
  <c r="BB2168" i="1"/>
  <c r="BW2168" i="1"/>
  <c r="A2169" i="1"/>
  <c r="C2169" i="1"/>
  <c r="S2169" i="1"/>
  <c r="T2169" i="1"/>
  <c r="U2169" i="1"/>
  <c r="BB2169" i="1"/>
  <c r="BW2169" i="1"/>
  <c r="A2170" i="1"/>
  <c r="C2170" i="1"/>
  <c r="S2170" i="1"/>
  <c r="T2170" i="1"/>
  <c r="U2170" i="1"/>
  <c r="BB2170" i="1"/>
  <c r="BW2170" i="1"/>
  <c r="A2171" i="1"/>
  <c r="C2171" i="1"/>
  <c r="S2171" i="1"/>
  <c r="T2171" i="1"/>
  <c r="U2171" i="1"/>
  <c r="BB2171" i="1"/>
  <c r="BW2171" i="1"/>
  <c r="A2172" i="1"/>
  <c r="C2172" i="1"/>
  <c r="S2172" i="1"/>
  <c r="T2172" i="1"/>
  <c r="U2172" i="1"/>
  <c r="BB2172" i="1"/>
  <c r="BW2172" i="1"/>
  <c r="A2173" i="1"/>
  <c r="C2173" i="1"/>
  <c r="S2173" i="1"/>
  <c r="T2173" i="1"/>
  <c r="U2173" i="1"/>
  <c r="BB2173" i="1"/>
  <c r="BW2173" i="1"/>
  <c r="A2174" i="1"/>
  <c r="C2174" i="1"/>
  <c r="S2174" i="1"/>
  <c r="T2174" i="1"/>
  <c r="U2174" i="1"/>
  <c r="BB2174" i="1"/>
  <c r="BW2174" i="1"/>
  <c r="A2175" i="1"/>
  <c r="C2175" i="1"/>
  <c r="S2175" i="1"/>
  <c r="T2175" i="1"/>
  <c r="U2175" i="1"/>
  <c r="BB2175" i="1"/>
  <c r="BW2175" i="1"/>
  <c r="A2176" i="1"/>
  <c r="C2176" i="1"/>
  <c r="S2176" i="1"/>
  <c r="T2176" i="1"/>
  <c r="U2176" i="1"/>
  <c r="BB2176" i="1"/>
  <c r="BW2176" i="1"/>
  <c r="A2177" i="1"/>
  <c r="C2177" i="1"/>
  <c r="S2177" i="1"/>
  <c r="T2177" i="1"/>
  <c r="U2177" i="1"/>
  <c r="BB2177" i="1"/>
  <c r="BW2177" i="1"/>
  <c r="A2178" i="1"/>
  <c r="C2178" i="1"/>
  <c r="S2178" i="1"/>
  <c r="T2178" i="1"/>
  <c r="U2178" i="1"/>
  <c r="BB2178" i="1"/>
  <c r="BW2178" i="1"/>
  <c r="A2179" i="1"/>
  <c r="C2179" i="1"/>
  <c r="S2179" i="1"/>
  <c r="T2179" i="1"/>
  <c r="U2179" i="1"/>
  <c r="BB2179" i="1"/>
  <c r="BW2179" i="1"/>
  <c r="A2180" i="1"/>
  <c r="C2180" i="1"/>
  <c r="S2180" i="1"/>
  <c r="T2180" i="1"/>
  <c r="U2180" i="1"/>
  <c r="BB2180" i="1"/>
  <c r="BW2180" i="1"/>
  <c r="A2181" i="1"/>
  <c r="C2181" i="1"/>
  <c r="S2181" i="1"/>
  <c r="T2181" i="1"/>
  <c r="U2181" i="1"/>
  <c r="BB2181" i="1"/>
  <c r="BW2181" i="1"/>
  <c r="A2182" i="1"/>
  <c r="C2182" i="1"/>
  <c r="S2182" i="1"/>
  <c r="T2182" i="1"/>
  <c r="U2182" i="1"/>
  <c r="BB2182" i="1"/>
  <c r="BW2182" i="1"/>
  <c r="A2183" i="1"/>
  <c r="C2183" i="1"/>
  <c r="S2183" i="1"/>
  <c r="T2183" i="1"/>
  <c r="U2183" i="1"/>
  <c r="BB2183" i="1"/>
  <c r="BW2183" i="1"/>
  <c r="A2184" i="1"/>
  <c r="C2184" i="1"/>
  <c r="S2184" i="1"/>
  <c r="T2184" i="1"/>
  <c r="U2184" i="1"/>
  <c r="BB2184" i="1"/>
  <c r="BW2184" i="1"/>
  <c r="A2185" i="1"/>
  <c r="C2185" i="1"/>
  <c r="S2185" i="1"/>
  <c r="T2185" i="1"/>
  <c r="U2185" i="1"/>
  <c r="BB2185" i="1"/>
  <c r="BW2185" i="1"/>
  <c r="A2186" i="1"/>
  <c r="C2186" i="1"/>
  <c r="S2186" i="1"/>
  <c r="T2186" i="1"/>
  <c r="U2186" i="1"/>
  <c r="BB2186" i="1"/>
  <c r="BW2186" i="1"/>
  <c r="A2187" i="1"/>
  <c r="C2187" i="1"/>
  <c r="S2187" i="1"/>
  <c r="T2187" i="1"/>
  <c r="U2187" i="1"/>
  <c r="BB2187" i="1"/>
  <c r="BW2187" i="1"/>
  <c r="A2188" i="1"/>
  <c r="C2188" i="1"/>
  <c r="S2188" i="1"/>
  <c r="T2188" i="1"/>
  <c r="U2188" i="1"/>
  <c r="BB2188" i="1"/>
  <c r="BW2188" i="1"/>
  <c r="A2189" i="1"/>
  <c r="C2189" i="1"/>
  <c r="S2189" i="1"/>
  <c r="T2189" i="1"/>
  <c r="U2189" i="1"/>
  <c r="BB2189" i="1"/>
  <c r="BW2189" i="1"/>
  <c r="A2190" i="1"/>
  <c r="C2190" i="1"/>
  <c r="S2190" i="1"/>
  <c r="T2190" i="1"/>
  <c r="U2190" i="1"/>
  <c r="BB2190" i="1"/>
  <c r="BW2190" i="1"/>
  <c r="A2191" i="1"/>
  <c r="C2191" i="1"/>
  <c r="S2191" i="1"/>
  <c r="T2191" i="1"/>
  <c r="U2191" i="1"/>
  <c r="BB2191" i="1"/>
  <c r="BW2191" i="1"/>
  <c r="A2192" i="1"/>
  <c r="C2192" i="1"/>
  <c r="S2192" i="1"/>
  <c r="T2192" i="1"/>
  <c r="U2192" i="1"/>
  <c r="BB2192" i="1"/>
  <c r="BW2192" i="1"/>
  <c r="A2193" i="1"/>
  <c r="C2193" i="1"/>
  <c r="S2193" i="1"/>
  <c r="T2193" i="1"/>
  <c r="U2193" i="1"/>
  <c r="BB2193" i="1"/>
  <c r="BW2193" i="1"/>
  <c r="A2194" i="1"/>
  <c r="C2194" i="1"/>
  <c r="S2194" i="1"/>
  <c r="T2194" i="1"/>
  <c r="U2194" i="1"/>
  <c r="BB2194" i="1"/>
  <c r="BW2194" i="1"/>
  <c r="A2195" i="1"/>
  <c r="C2195" i="1"/>
  <c r="S2195" i="1"/>
  <c r="T2195" i="1"/>
  <c r="U2195" i="1"/>
  <c r="BB2195" i="1"/>
  <c r="BW2195" i="1"/>
  <c r="A2196" i="1"/>
  <c r="C2196" i="1"/>
  <c r="S2196" i="1"/>
  <c r="T2196" i="1"/>
  <c r="U2196" i="1"/>
  <c r="BB2196" i="1"/>
  <c r="BW2196" i="1"/>
  <c r="A2197" i="1"/>
  <c r="C2197" i="1"/>
  <c r="S2197" i="1"/>
  <c r="T2197" i="1"/>
  <c r="U2197" i="1"/>
  <c r="BB2197" i="1"/>
  <c r="BW2197" i="1"/>
  <c r="A2198" i="1"/>
  <c r="C2198" i="1"/>
  <c r="S2198" i="1"/>
  <c r="T2198" i="1"/>
  <c r="U2198" i="1"/>
  <c r="BB2198" i="1"/>
  <c r="BW2198" i="1"/>
  <c r="A2199" i="1"/>
  <c r="C2199" i="1"/>
  <c r="S2199" i="1"/>
  <c r="T2199" i="1"/>
  <c r="U2199" i="1"/>
  <c r="BB2199" i="1"/>
  <c r="BW2199" i="1"/>
  <c r="A2200" i="1"/>
  <c r="C2200" i="1"/>
  <c r="S2200" i="1"/>
  <c r="T2200" i="1"/>
  <c r="U2200" i="1"/>
  <c r="BB2200" i="1"/>
  <c r="BW2200" i="1"/>
  <c r="A2201" i="1"/>
  <c r="C2201" i="1"/>
  <c r="S2201" i="1"/>
  <c r="T2201" i="1"/>
  <c r="U2201" i="1"/>
  <c r="BB2201" i="1"/>
  <c r="BW2201" i="1"/>
  <c r="A2202" i="1"/>
  <c r="C2202" i="1"/>
  <c r="S2202" i="1"/>
  <c r="T2202" i="1"/>
  <c r="U2202" i="1"/>
  <c r="BB2202" i="1"/>
  <c r="BW2202" i="1"/>
  <c r="A2203" i="1"/>
  <c r="C2203" i="1"/>
  <c r="S2203" i="1"/>
  <c r="T2203" i="1"/>
  <c r="U2203" i="1"/>
  <c r="BB2203" i="1"/>
  <c r="BW2203" i="1"/>
  <c r="A2204" i="1"/>
  <c r="C2204" i="1"/>
  <c r="S2204" i="1"/>
  <c r="T2204" i="1"/>
  <c r="U2204" i="1"/>
  <c r="BB2204" i="1"/>
  <c r="BW2204" i="1"/>
  <c r="A2205" i="1"/>
  <c r="C2205" i="1"/>
  <c r="S2205" i="1"/>
  <c r="T2205" i="1"/>
  <c r="U2205" i="1"/>
  <c r="BB2205" i="1"/>
  <c r="BW2205" i="1"/>
  <c r="A2206" i="1"/>
  <c r="C2206" i="1"/>
  <c r="S2206" i="1"/>
  <c r="T2206" i="1"/>
  <c r="U2206" i="1"/>
  <c r="BB2206" i="1"/>
  <c r="BW2206" i="1"/>
  <c r="A2207" i="1"/>
  <c r="C2207" i="1"/>
  <c r="S2207" i="1"/>
  <c r="T2207" i="1"/>
  <c r="U2207" i="1"/>
  <c r="BB2207" i="1"/>
  <c r="BW2207" i="1"/>
  <c r="A2208" i="1"/>
  <c r="C2208" i="1"/>
  <c r="S2208" i="1"/>
  <c r="T2208" i="1"/>
  <c r="U2208" i="1"/>
  <c r="BB2208" i="1"/>
  <c r="BW2208" i="1"/>
  <c r="A2209" i="1"/>
  <c r="C2209" i="1"/>
  <c r="S2209" i="1"/>
  <c r="T2209" i="1"/>
  <c r="U2209" i="1"/>
  <c r="BB2209" i="1"/>
  <c r="BW2209" i="1"/>
  <c r="A2210" i="1"/>
  <c r="C2210" i="1"/>
  <c r="S2210" i="1"/>
  <c r="T2210" i="1"/>
  <c r="U2210" i="1"/>
  <c r="BB2210" i="1"/>
  <c r="BW2210" i="1"/>
  <c r="A2211" i="1"/>
  <c r="C2211" i="1"/>
  <c r="S2211" i="1"/>
  <c r="T2211" i="1"/>
  <c r="U2211" i="1"/>
  <c r="BB2211" i="1"/>
  <c r="BW2211" i="1"/>
  <c r="A2212" i="1"/>
  <c r="C2212" i="1"/>
  <c r="S2212" i="1"/>
  <c r="T2212" i="1"/>
  <c r="U2212" i="1"/>
  <c r="BB2212" i="1"/>
  <c r="BW2212" i="1"/>
  <c r="A2213" i="1"/>
  <c r="C2213" i="1"/>
  <c r="S2213" i="1"/>
  <c r="T2213" i="1"/>
  <c r="U2213" i="1"/>
  <c r="BB2213" i="1"/>
  <c r="BW2213" i="1"/>
  <c r="A2214" i="1"/>
  <c r="C2214" i="1"/>
  <c r="S2214" i="1"/>
  <c r="T2214" i="1"/>
  <c r="U2214" i="1"/>
  <c r="BB2214" i="1"/>
  <c r="BW2214" i="1"/>
  <c r="A2215" i="1"/>
  <c r="C2215" i="1"/>
  <c r="S2215" i="1"/>
  <c r="T2215" i="1"/>
  <c r="U2215" i="1"/>
  <c r="BB2215" i="1"/>
  <c r="BW2215" i="1"/>
  <c r="A2216" i="1"/>
  <c r="C2216" i="1"/>
  <c r="S2216" i="1"/>
  <c r="T2216" i="1"/>
  <c r="U2216" i="1"/>
  <c r="BB2216" i="1"/>
  <c r="BW2216" i="1"/>
  <c r="A2217" i="1"/>
  <c r="C2217" i="1"/>
  <c r="S2217" i="1"/>
  <c r="T2217" i="1"/>
  <c r="U2217" i="1"/>
  <c r="BB2217" i="1"/>
  <c r="BW2217" i="1"/>
  <c r="A2218" i="1"/>
  <c r="C2218" i="1"/>
  <c r="S2218" i="1"/>
  <c r="T2218" i="1"/>
  <c r="U2218" i="1"/>
  <c r="BB2218" i="1"/>
  <c r="BW2218" i="1"/>
  <c r="A2219" i="1"/>
  <c r="C2219" i="1"/>
  <c r="S2219" i="1"/>
  <c r="T2219" i="1"/>
  <c r="U2219" i="1"/>
  <c r="BB2219" i="1"/>
  <c r="BW2219" i="1"/>
  <c r="A2220" i="1"/>
  <c r="C2220" i="1"/>
  <c r="S2220" i="1"/>
  <c r="T2220" i="1"/>
  <c r="U2220" i="1"/>
  <c r="BB2220" i="1"/>
  <c r="BW2220" i="1"/>
  <c r="A2221" i="1"/>
  <c r="C2221" i="1"/>
  <c r="S2221" i="1"/>
  <c r="T2221" i="1"/>
  <c r="U2221" i="1"/>
  <c r="BB2221" i="1"/>
  <c r="BW2221" i="1"/>
  <c r="A2222" i="1"/>
  <c r="C2222" i="1"/>
  <c r="S2222" i="1"/>
  <c r="T2222" i="1"/>
  <c r="U2222" i="1"/>
  <c r="BB2222" i="1"/>
  <c r="BW2222" i="1"/>
  <c r="A2223" i="1"/>
  <c r="C2223" i="1"/>
  <c r="S2223" i="1"/>
  <c r="T2223" i="1"/>
  <c r="U2223" i="1"/>
  <c r="BB2223" i="1"/>
  <c r="BW2223" i="1"/>
  <c r="A2224" i="1"/>
  <c r="C2224" i="1"/>
  <c r="S2224" i="1"/>
  <c r="T2224" i="1"/>
  <c r="U2224" i="1"/>
  <c r="BB2224" i="1"/>
  <c r="BW2224" i="1"/>
  <c r="A2225" i="1"/>
  <c r="C2225" i="1"/>
  <c r="S2225" i="1"/>
  <c r="T2225" i="1"/>
  <c r="U2225" i="1"/>
  <c r="BB2225" i="1"/>
  <c r="BW2225" i="1"/>
  <c r="A2226" i="1"/>
  <c r="C2226" i="1"/>
  <c r="S2226" i="1"/>
  <c r="T2226" i="1"/>
  <c r="U2226" i="1"/>
  <c r="BB2226" i="1"/>
  <c r="BW2226" i="1"/>
  <c r="A2227" i="1"/>
  <c r="C2227" i="1"/>
  <c r="S2227" i="1"/>
  <c r="T2227" i="1"/>
  <c r="U2227" i="1"/>
  <c r="BB2227" i="1"/>
  <c r="BW2227" i="1"/>
  <c r="A2228" i="1"/>
  <c r="C2228" i="1"/>
  <c r="S2228" i="1"/>
  <c r="T2228" i="1"/>
  <c r="U2228" i="1"/>
  <c r="BB2228" i="1"/>
  <c r="BW2228" i="1"/>
  <c r="A2229" i="1"/>
  <c r="C2229" i="1"/>
  <c r="S2229" i="1"/>
  <c r="T2229" i="1"/>
  <c r="U2229" i="1"/>
  <c r="BB2229" i="1"/>
  <c r="BW2229" i="1"/>
  <c r="A2230" i="1"/>
  <c r="C2230" i="1"/>
  <c r="S2230" i="1"/>
  <c r="T2230" i="1"/>
  <c r="U2230" i="1"/>
  <c r="BB2230" i="1"/>
  <c r="BW2230" i="1"/>
  <c r="A2231" i="1"/>
  <c r="C2231" i="1"/>
  <c r="S2231" i="1"/>
  <c r="T2231" i="1"/>
  <c r="U2231" i="1"/>
  <c r="BB2231" i="1"/>
  <c r="BW2231" i="1"/>
  <c r="A2232" i="1"/>
  <c r="C2232" i="1"/>
  <c r="S2232" i="1"/>
  <c r="T2232" i="1"/>
  <c r="U2232" i="1"/>
  <c r="BB2232" i="1"/>
  <c r="BW2232" i="1"/>
  <c r="A2233" i="1"/>
  <c r="C2233" i="1"/>
  <c r="S2233" i="1"/>
  <c r="T2233" i="1"/>
  <c r="U2233" i="1"/>
  <c r="BB2233" i="1"/>
  <c r="BW2233" i="1"/>
  <c r="A2234" i="1"/>
  <c r="C2234" i="1"/>
  <c r="S2234" i="1"/>
  <c r="T2234" i="1"/>
  <c r="U2234" i="1"/>
  <c r="BB2234" i="1"/>
  <c r="BW2234" i="1"/>
  <c r="A2235" i="1"/>
  <c r="C2235" i="1"/>
  <c r="S2235" i="1"/>
  <c r="T2235" i="1"/>
  <c r="U2235" i="1"/>
  <c r="BB2235" i="1"/>
  <c r="BW2235" i="1"/>
  <c r="A2236" i="1"/>
  <c r="C2236" i="1"/>
  <c r="S2236" i="1"/>
  <c r="T2236" i="1"/>
  <c r="U2236" i="1"/>
  <c r="BB2236" i="1"/>
  <c r="BW2236" i="1"/>
  <c r="A2237" i="1"/>
  <c r="C2237" i="1"/>
  <c r="S2237" i="1"/>
  <c r="T2237" i="1"/>
  <c r="U2237" i="1"/>
  <c r="BB2237" i="1"/>
  <c r="BW2237" i="1"/>
  <c r="A2238" i="1"/>
  <c r="C2238" i="1"/>
  <c r="S2238" i="1"/>
  <c r="T2238" i="1"/>
  <c r="U2238" i="1"/>
  <c r="BB2238" i="1"/>
  <c r="BW2238" i="1"/>
  <c r="A2239" i="1"/>
  <c r="C2239" i="1"/>
  <c r="S2239" i="1"/>
  <c r="T2239" i="1"/>
  <c r="U2239" i="1"/>
  <c r="BB2239" i="1"/>
  <c r="BW2239" i="1"/>
  <c r="A2240" i="1"/>
  <c r="C2240" i="1"/>
  <c r="S2240" i="1"/>
  <c r="T2240" i="1"/>
  <c r="U2240" i="1"/>
  <c r="BB2240" i="1"/>
  <c r="BW2240" i="1"/>
  <c r="A2241" i="1"/>
  <c r="C2241" i="1"/>
  <c r="S2241" i="1"/>
  <c r="T2241" i="1"/>
  <c r="U2241" i="1"/>
  <c r="BB2241" i="1"/>
  <c r="BW2241" i="1"/>
  <c r="A2242" i="1"/>
  <c r="C2242" i="1"/>
  <c r="S2242" i="1"/>
  <c r="T2242" i="1"/>
  <c r="U2242" i="1"/>
  <c r="BB2242" i="1"/>
  <c r="BW2242" i="1"/>
  <c r="A2243" i="1"/>
  <c r="C2243" i="1"/>
  <c r="S2243" i="1"/>
  <c r="T2243" i="1"/>
  <c r="U2243" i="1"/>
  <c r="BB2243" i="1"/>
  <c r="BW2243" i="1"/>
  <c r="A2244" i="1"/>
  <c r="C2244" i="1"/>
  <c r="S2244" i="1"/>
  <c r="T2244" i="1"/>
  <c r="U2244" i="1"/>
  <c r="BB2244" i="1"/>
  <c r="BW2244" i="1"/>
  <c r="A2245" i="1"/>
  <c r="C2245" i="1"/>
  <c r="S2245" i="1"/>
  <c r="T2245" i="1"/>
  <c r="U2245" i="1"/>
  <c r="BB2245" i="1"/>
  <c r="BW2245" i="1"/>
  <c r="A2246" i="1"/>
  <c r="C2246" i="1"/>
  <c r="S2246" i="1"/>
  <c r="T2246" i="1"/>
  <c r="U2246" i="1"/>
  <c r="BB2246" i="1"/>
  <c r="BW2246" i="1"/>
  <c r="A2247" i="1"/>
  <c r="C2247" i="1"/>
  <c r="S2247" i="1"/>
  <c r="T2247" i="1"/>
  <c r="U2247" i="1"/>
  <c r="BB2247" i="1"/>
  <c r="BW2247" i="1"/>
  <c r="A2248" i="1"/>
  <c r="C2248" i="1"/>
  <c r="S2248" i="1"/>
  <c r="T2248" i="1"/>
  <c r="U2248" i="1"/>
  <c r="BB2248" i="1"/>
  <c r="BW2248" i="1"/>
  <c r="A2249" i="1"/>
  <c r="C2249" i="1"/>
  <c r="S2249" i="1"/>
  <c r="T2249" i="1"/>
  <c r="U2249" i="1"/>
  <c r="BB2249" i="1"/>
  <c r="BW2249" i="1"/>
  <c r="A2250" i="1"/>
  <c r="C2250" i="1"/>
  <c r="S2250" i="1"/>
  <c r="T2250" i="1"/>
  <c r="U2250" i="1"/>
  <c r="BB2250" i="1"/>
  <c r="BW2250" i="1"/>
  <c r="A2251" i="1"/>
  <c r="C2251" i="1"/>
  <c r="S2251" i="1"/>
  <c r="T2251" i="1"/>
  <c r="U2251" i="1"/>
  <c r="BB2251" i="1"/>
  <c r="BW2251" i="1"/>
  <c r="A2252" i="1"/>
  <c r="C2252" i="1"/>
  <c r="S2252" i="1"/>
  <c r="T2252" i="1"/>
  <c r="U2252" i="1"/>
  <c r="BB2252" i="1"/>
  <c r="BW2252" i="1"/>
  <c r="A2253" i="1"/>
  <c r="C2253" i="1"/>
  <c r="S2253" i="1"/>
  <c r="T2253" i="1"/>
  <c r="U2253" i="1"/>
  <c r="BB2253" i="1"/>
  <c r="BW2253" i="1"/>
  <c r="A2254" i="1"/>
  <c r="C2254" i="1"/>
  <c r="S2254" i="1"/>
  <c r="T2254" i="1"/>
  <c r="U2254" i="1"/>
  <c r="BB2254" i="1"/>
  <c r="BW2254" i="1"/>
  <c r="A2255" i="1"/>
  <c r="C2255" i="1"/>
  <c r="S2255" i="1"/>
  <c r="T2255" i="1"/>
  <c r="U2255" i="1"/>
  <c r="BB2255" i="1"/>
  <c r="BW2255" i="1"/>
  <c r="A2256" i="1"/>
  <c r="C2256" i="1"/>
  <c r="S2256" i="1"/>
  <c r="T2256" i="1"/>
  <c r="U2256" i="1"/>
  <c r="BB2256" i="1"/>
  <c r="BW2256" i="1"/>
  <c r="A2257" i="1"/>
  <c r="C2257" i="1"/>
  <c r="S2257" i="1"/>
  <c r="T2257" i="1"/>
  <c r="U2257" i="1"/>
  <c r="BB2257" i="1"/>
  <c r="BW2257" i="1"/>
  <c r="A2258" i="1"/>
  <c r="C2258" i="1"/>
  <c r="S2258" i="1"/>
  <c r="T2258" i="1"/>
  <c r="U2258" i="1"/>
  <c r="BB2258" i="1"/>
  <c r="BW2258" i="1"/>
  <c r="A2259" i="1"/>
  <c r="C2259" i="1"/>
  <c r="S2259" i="1"/>
  <c r="T2259" i="1"/>
  <c r="U2259" i="1"/>
  <c r="BB2259" i="1"/>
  <c r="BW2259" i="1"/>
  <c r="A2260" i="1"/>
  <c r="C2260" i="1"/>
  <c r="S2260" i="1"/>
  <c r="T2260" i="1"/>
  <c r="U2260" i="1"/>
  <c r="BB2260" i="1"/>
  <c r="BW2260" i="1"/>
  <c r="A2261" i="1"/>
  <c r="C2261" i="1"/>
  <c r="S2261" i="1"/>
  <c r="T2261" i="1"/>
  <c r="U2261" i="1"/>
  <c r="BB2261" i="1"/>
  <c r="BW2261" i="1"/>
  <c r="A2262" i="1"/>
  <c r="C2262" i="1"/>
  <c r="S2262" i="1"/>
  <c r="T2262" i="1"/>
  <c r="U2262" i="1"/>
  <c r="BB2262" i="1"/>
  <c r="BW2262" i="1"/>
  <c r="A2263" i="1"/>
  <c r="C2263" i="1"/>
  <c r="S2263" i="1"/>
  <c r="T2263" i="1"/>
  <c r="U2263" i="1"/>
  <c r="BB2263" i="1"/>
  <c r="BW2263" i="1"/>
  <c r="A2264" i="1"/>
  <c r="C2264" i="1"/>
  <c r="S2264" i="1"/>
  <c r="T2264" i="1"/>
  <c r="U2264" i="1"/>
  <c r="BB2264" i="1"/>
  <c r="BW2264" i="1"/>
  <c r="A2265" i="1"/>
  <c r="C2265" i="1"/>
  <c r="S2265" i="1"/>
  <c r="T2265" i="1"/>
  <c r="U2265" i="1"/>
  <c r="BB2265" i="1"/>
  <c r="BW2265" i="1"/>
  <c r="A2266" i="1"/>
  <c r="C2266" i="1"/>
  <c r="S2266" i="1"/>
  <c r="T2266" i="1"/>
  <c r="U2266" i="1"/>
  <c r="BB2266" i="1"/>
  <c r="BW2266" i="1"/>
  <c r="A2267" i="1"/>
  <c r="C2267" i="1"/>
  <c r="S2267" i="1"/>
  <c r="T2267" i="1"/>
  <c r="U2267" i="1"/>
  <c r="BB2267" i="1"/>
  <c r="BW2267" i="1"/>
  <c r="A2268" i="1"/>
  <c r="C2268" i="1"/>
  <c r="S2268" i="1"/>
  <c r="T2268" i="1"/>
  <c r="U2268" i="1"/>
  <c r="BB2268" i="1"/>
  <c r="BW2268" i="1"/>
  <c r="A2269" i="1"/>
  <c r="C2269" i="1"/>
  <c r="S2269" i="1"/>
  <c r="T2269" i="1"/>
  <c r="U2269" i="1"/>
  <c r="BB2269" i="1"/>
  <c r="BW2269" i="1"/>
  <c r="A2270" i="1"/>
  <c r="C2270" i="1"/>
  <c r="S2270" i="1"/>
  <c r="T2270" i="1"/>
  <c r="U2270" i="1"/>
  <c r="BB2270" i="1"/>
  <c r="BW2270" i="1"/>
  <c r="A2271" i="1"/>
  <c r="C2271" i="1"/>
  <c r="S2271" i="1"/>
  <c r="T2271" i="1"/>
  <c r="U2271" i="1"/>
  <c r="BB2271" i="1"/>
  <c r="BW2271" i="1"/>
  <c r="A2272" i="1"/>
  <c r="C2272" i="1"/>
  <c r="S2272" i="1"/>
  <c r="T2272" i="1"/>
  <c r="U2272" i="1"/>
  <c r="BB2272" i="1"/>
  <c r="BW2272" i="1"/>
  <c r="A2273" i="1"/>
  <c r="C2273" i="1"/>
  <c r="S2273" i="1"/>
  <c r="T2273" i="1"/>
  <c r="U2273" i="1"/>
  <c r="BB2273" i="1"/>
  <c r="BW2273" i="1"/>
  <c r="A2274" i="1"/>
  <c r="C2274" i="1"/>
  <c r="S2274" i="1"/>
  <c r="T2274" i="1"/>
  <c r="U2274" i="1"/>
  <c r="BB2274" i="1"/>
  <c r="BW2274" i="1"/>
  <c r="A2275" i="1"/>
  <c r="C2275" i="1"/>
  <c r="S2275" i="1"/>
  <c r="T2275" i="1"/>
  <c r="U2275" i="1"/>
  <c r="BB2275" i="1"/>
  <c r="BW2275" i="1"/>
  <c r="A2276" i="1"/>
  <c r="C2276" i="1"/>
  <c r="S2276" i="1"/>
  <c r="T2276" i="1"/>
  <c r="U2276" i="1"/>
  <c r="BB2276" i="1"/>
  <c r="BW2276" i="1"/>
  <c r="A2277" i="1"/>
  <c r="C2277" i="1"/>
  <c r="S2277" i="1"/>
  <c r="T2277" i="1"/>
  <c r="U2277" i="1"/>
  <c r="BB2277" i="1"/>
  <c r="BW2277" i="1"/>
  <c r="A2278" i="1"/>
  <c r="C2278" i="1"/>
  <c r="S2278" i="1"/>
  <c r="T2278" i="1"/>
  <c r="U2278" i="1"/>
  <c r="BB2278" i="1"/>
  <c r="BW2278" i="1"/>
  <c r="A2279" i="1"/>
  <c r="C2279" i="1"/>
  <c r="S2279" i="1"/>
  <c r="T2279" i="1"/>
  <c r="U2279" i="1"/>
  <c r="BB2279" i="1"/>
  <c r="BW2279" i="1"/>
  <c r="A2280" i="1"/>
  <c r="C2280" i="1"/>
  <c r="S2280" i="1"/>
  <c r="T2280" i="1"/>
  <c r="U2280" i="1"/>
  <c r="BB2280" i="1"/>
  <c r="BW2280" i="1"/>
  <c r="A2281" i="1"/>
  <c r="C2281" i="1"/>
  <c r="S2281" i="1"/>
  <c r="T2281" i="1"/>
  <c r="U2281" i="1"/>
  <c r="BB2281" i="1"/>
  <c r="BW2281" i="1"/>
  <c r="A2282" i="1"/>
  <c r="C2282" i="1"/>
  <c r="S2282" i="1"/>
  <c r="T2282" i="1"/>
  <c r="U2282" i="1"/>
  <c r="BB2282" i="1"/>
  <c r="BW2282" i="1"/>
  <c r="A2283" i="1"/>
  <c r="C2283" i="1"/>
  <c r="S2283" i="1"/>
  <c r="T2283" i="1"/>
  <c r="U2283" i="1"/>
  <c r="BB2283" i="1"/>
  <c r="BW2283" i="1"/>
  <c r="A2284" i="1"/>
  <c r="C2284" i="1"/>
  <c r="S2284" i="1"/>
  <c r="T2284" i="1"/>
  <c r="U2284" i="1"/>
  <c r="BB2284" i="1"/>
  <c r="BW2284" i="1"/>
  <c r="A2285" i="1"/>
  <c r="C2285" i="1"/>
  <c r="S2285" i="1"/>
  <c r="T2285" i="1"/>
  <c r="U2285" i="1"/>
  <c r="BB2285" i="1"/>
  <c r="BW2285" i="1"/>
  <c r="A2286" i="1"/>
  <c r="C2286" i="1"/>
  <c r="S2286" i="1"/>
  <c r="T2286" i="1"/>
  <c r="U2286" i="1"/>
  <c r="BB2286" i="1"/>
  <c r="BW2286" i="1"/>
  <c r="A2287" i="1"/>
  <c r="C2287" i="1"/>
  <c r="S2287" i="1"/>
  <c r="T2287" i="1"/>
  <c r="U2287" i="1"/>
  <c r="BB2287" i="1"/>
  <c r="BW2287" i="1"/>
  <c r="A2288" i="1"/>
  <c r="C2288" i="1"/>
  <c r="S2288" i="1"/>
  <c r="T2288" i="1"/>
  <c r="U2288" i="1"/>
  <c r="BB2288" i="1"/>
  <c r="BW2288" i="1"/>
  <c r="A2289" i="1"/>
  <c r="C2289" i="1"/>
  <c r="S2289" i="1"/>
  <c r="T2289" i="1"/>
  <c r="U2289" i="1"/>
  <c r="BB2289" i="1"/>
  <c r="BW2289" i="1"/>
  <c r="A2290" i="1"/>
  <c r="C2290" i="1"/>
  <c r="S2290" i="1"/>
  <c r="T2290" i="1"/>
  <c r="U2290" i="1"/>
  <c r="BB2290" i="1"/>
  <c r="BW2290" i="1"/>
  <c r="A2291" i="1"/>
  <c r="C2291" i="1"/>
  <c r="S2291" i="1"/>
  <c r="T2291" i="1"/>
  <c r="U2291" i="1"/>
  <c r="BB2291" i="1"/>
  <c r="BW2291" i="1"/>
  <c r="A2292" i="1"/>
  <c r="C2292" i="1"/>
  <c r="S2292" i="1"/>
  <c r="T2292" i="1"/>
  <c r="U2292" i="1"/>
  <c r="BB2292" i="1"/>
  <c r="BW2292" i="1"/>
  <c r="A2293" i="1"/>
  <c r="C2293" i="1"/>
  <c r="S2293" i="1"/>
  <c r="T2293" i="1"/>
  <c r="U2293" i="1"/>
  <c r="BB2293" i="1"/>
  <c r="BW2293" i="1"/>
  <c r="A2294" i="1"/>
  <c r="C2294" i="1"/>
  <c r="S2294" i="1"/>
  <c r="T2294" i="1"/>
  <c r="U2294" i="1"/>
  <c r="BB2294" i="1"/>
  <c r="BW2294" i="1"/>
  <c r="A2295" i="1"/>
  <c r="C2295" i="1"/>
  <c r="S2295" i="1"/>
  <c r="T2295" i="1"/>
  <c r="U2295" i="1"/>
  <c r="BB2295" i="1"/>
  <c r="BW2295" i="1"/>
  <c r="A2296" i="1"/>
  <c r="C2296" i="1"/>
  <c r="S2296" i="1"/>
  <c r="T2296" i="1"/>
  <c r="U2296" i="1"/>
  <c r="BB2296" i="1"/>
  <c r="BW2296" i="1"/>
  <c r="A2297" i="1"/>
  <c r="C2297" i="1"/>
  <c r="S2297" i="1"/>
  <c r="T2297" i="1"/>
  <c r="U2297" i="1"/>
  <c r="BB2297" i="1"/>
  <c r="BW2297" i="1"/>
  <c r="A2298" i="1"/>
  <c r="C2298" i="1"/>
  <c r="S2298" i="1"/>
  <c r="T2298" i="1"/>
  <c r="U2298" i="1"/>
  <c r="BB2298" i="1"/>
  <c r="BW2298" i="1"/>
  <c r="A2299" i="1"/>
  <c r="C2299" i="1"/>
  <c r="S2299" i="1"/>
  <c r="T2299" i="1"/>
  <c r="U2299" i="1"/>
  <c r="BB2299" i="1"/>
  <c r="BW2299" i="1"/>
  <c r="A2300" i="1"/>
  <c r="C2300" i="1"/>
  <c r="S2300" i="1"/>
  <c r="T2300" i="1"/>
  <c r="U2300" i="1"/>
  <c r="BB2300" i="1"/>
  <c r="BW2300" i="1"/>
  <c r="A2301" i="1"/>
  <c r="C2301" i="1"/>
  <c r="S2301" i="1"/>
  <c r="T2301" i="1"/>
  <c r="U2301" i="1"/>
  <c r="BB2301" i="1"/>
  <c r="BW2301" i="1"/>
  <c r="A2302" i="1"/>
  <c r="C2302" i="1"/>
  <c r="S2302" i="1"/>
  <c r="T2302" i="1"/>
  <c r="U2302" i="1"/>
  <c r="BB2302" i="1"/>
  <c r="BW2302" i="1"/>
  <c r="A2303" i="1"/>
  <c r="C2303" i="1"/>
  <c r="S2303" i="1"/>
  <c r="T2303" i="1"/>
  <c r="U2303" i="1"/>
  <c r="BB2303" i="1"/>
  <c r="BW2303" i="1"/>
  <c r="A2304" i="1"/>
  <c r="C2304" i="1"/>
  <c r="S2304" i="1"/>
  <c r="T2304" i="1"/>
  <c r="U2304" i="1"/>
  <c r="BB2304" i="1"/>
  <c r="BW2304" i="1"/>
  <c r="A2305" i="1"/>
  <c r="C2305" i="1"/>
  <c r="S2305" i="1"/>
  <c r="T2305" i="1"/>
  <c r="U2305" i="1"/>
  <c r="BB2305" i="1"/>
  <c r="BW2305" i="1"/>
  <c r="A2306" i="1"/>
  <c r="C2306" i="1"/>
  <c r="S2306" i="1"/>
  <c r="T2306" i="1"/>
  <c r="U2306" i="1"/>
  <c r="BB2306" i="1"/>
  <c r="BW2306" i="1"/>
  <c r="A2307" i="1"/>
  <c r="C2307" i="1"/>
  <c r="S2307" i="1"/>
  <c r="T2307" i="1"/>
  <c r="U2307" i="1"/>
  <c r="BB2307" i="1"/>
  <c r="BW2307" i="1"/>
  <c r="A2308" i="1"/>
  <c r="C2308" i="1"/>
  <c r="S2308" i="1"/>
  <c r="T2308" i="1"/>
  <c r="U2308" i="1"/>
  <c r="BB2308" i="1"/>
  <c r="BW2308" i="1"/>
  <c r="A2309" i="1"/>
  <c r="C2309" i="1"/>
  <c r="S2309" i="1"/>
  <c r="T2309" i="1"/>
  <c r="U2309" i="1"/>
  <c r="BB2309" i="1"/>
  <c r="BW2309" i="1"/>
  <c r="A2310" i="1"/>
  <c r="C2310" i="1"/>
  <c r="S2310" i="1"/>
  <c r="T2310" i="1"/>
  <c r="U2310" i="1"/>
  <c r="BB2310" i="1"/>
  <c r="BW2310" i="1"/>
  <c r="A2311" i="1"/>
  <c r="C2311" i="1"/>
  <c r="S2311" i="1"/>
  <c r="T2311" i="1"/>
  <c r="U2311" i="1"/>
  <c r="BB2311" i="1"/>
  <c r="BW2311" i="1"/>
  <c r="A2312" i="1"/>
  <c r="C2312" i="1"/>
  <c r="S2312" i="1"/>
  <c r="T2312" i="1"/>
  <c r="U2312" i="1"/>
  <c r="BB2312" i="1"/>
  <c r="BW2312" i="1"/>
  <c r="A2313" i="1"/>
  <c r="C2313" i="1"/>
  <c r="S2313" i="1"/>
  <c r="T2313" i="1"/>
  <c r="U2313" i="1"/>
  <c r="BB2313" i="1"/>
  <c r="BW2313" i="1"/>
  <c r="A2314" i="1"/>
  <c r="C2314" i="1"/>
  <c r="S2314" i="1"/>
  <c r="T2314" i="1"/>
  <c r="U2314" i="1"/>
  <c r="BB2314" i="1"/>
  <c r="BW2314" i="1"/>
  <c r="A2315" i="1"/>
  <c r="C2315" i="1"/>
  <c r="S2315" i="1"/>
  <c r="T2315" i="1"/>
  <c r="U2315" i="1"/>
  <c r="BB2315" i="1"/>
  <c r="BW2315" i="1"/>
  <c r="A2316" i="1"/>
  <c r="C2316" i="1"/>
  <c r="S2316" i="1"/>
  <c r="T2316" i="1"/>
  <c r="U2316" i="1"/>
  <c r="BB2316" i="1"/>
  <c r="BW2316" i="1"/>
  <c r="A2317" i="1"/>
  <c r="C2317" i="1"/>
  <c r="S2317" i="1"/>
  <c r="T2317" i="1"/>
  <c r="U2317" i="1"/>
  <c r="BB2317" i="1"/>
  <c r="BW2317" i="1"/>
  <c r="A2318" i="1"/>
  <c r="C2318" i="1"/>
  <c r="S2318" i="1"/>
  <c r="T2318" i="1"/>
  <c r="U2318" i="1"/>
  <c r="BB2318" i="1"/>
  <c r="BW2318" i="1"/>
  <c r="A2319" i="1"/>
  <c r="C2319" i="1"/>
  <c r="S2319" i="1"/>
  <c r="T2319" i="1"/>
  <c r="U2319" i="1"/>
  <c r="BB2319" i="1"/>
  <c r="BW2319" i="1"/>
  <c r="A2320" i="1"/>
  <c r="C2320" i="1"/>
  <c r="S2320" i="1"/>
  <c r="T2320" i="1"/>
  <c r="U2320" i="1"/>
  <c r="BB2320" i="1"/>
  <c r="BW2320" i="1"/>
  <c r="A2321" i="1"/>
  <c r="C2321" i="1"/>
  <c r="S2321" i="1"/>
  <c r="T2321" i="1"/>
  <c r="U2321" i="1"/>
  <c r="BB2321" i="1"/>
  <c r="BW2321" i="1"/>
  <c r="A2322" i="1"/>
  <c r="C2322" i="1"/>
  <c r="S2322" i="1"/>
  <c r="T2322" i="1"/>
  <c r="U2322" i="1"/>
  <c r="BB2322" i="1"/>
  <c r="BW2322" i="1"/>
  <c r="A2323" i="1"/>
  <c r="C2323" i="1"/>
  <c r="S2323" i="1"/>
  <c r="T2323" i="1"/>
  <c r="U2323" i="1"/>
  <c r="BB2323" i="1"/>
  <c r="BW2323" i="1"/>
  <c r="A2324" i="1"/>
  <c r="C2324" i="1"/>
  <c r="S2324" i="1"/>
  <c r="T2324" i="1"/>
  <c r="U2324" i="1"/>
  <c r="BB2324" i="1"/>
  <c r="BW2324" i="1"/>
  <c r="A2325" i="1"/>
  <c r="C2325" i="1"/>
  <c r="S2325" i="1"/>
  <c r="T2325" i="1"/>
  <c r="U2325" i="1"/>
  <c r="BB2325" i="1"/>
  <c r="BW2325" i="1"/>
  <c r="A2326" i="1"/>
  <c r="C2326" i="1"/>
  <c r="S2326" i="1"/>
  <c r="T2326" i="1"/>
  <c r="U2326" i="1"/>
  <c r="BB2326" i="1"/>
  <c r="BW2326" i="1"/>
  <c r="A2327" i="1"/>
  <c r="C2327" i="1"/>
  <c r="S2327" i="1"/>
  <c r="T2327" i="1"/>
  <c r="U2327" i="1"/>
  <c r="BB2327" i="1"/>
  <c r="BW2327" i="1"/>
  <c r="A2328" i="1"/>
  <c r="C2328" i="1"/>
  <c r="S2328" i="1"/>
  <c r="T2328" i="1"/>
  <c r="U2328" i="1"/>
  <c r="BB2328" i="1"/>
  <c r="BW2328" i="1"/>
  <c r="A2329" i="1"/>
  <c r="C2329" i="1"/>
  <c r="S2329" i="1"/>
  <c r="T2329" i="1"/>
  <c r="U2329" i="1"/>
  <c r="BB2329" i="1"/>
  <c r="BW2329" i="1"/>
  <c r="A2330" i="1"/>
  <c r="C2330" i="1"/>
  <c r="S2330" i="1"/>
  <c r="T2330" i="1"/>
  <c r="U2330" i="1"/>
  <c r="BB2330" i="1"/>
  <c r="BW2330" i="1"/>
  <c r="A2331" i="1"/>
  <c r="C2331" i="1"/>
  <c r="S2331" i="1"/>
  <c r="T2331" i="1"/>
  <c r="U2331" i="1"/>
  <c r="BB2331" i="1"/>
  <c r="BW2331" i="1"/>
  <c r="A2332" i="1"/>
  <c r="C2332" i="1"/>
  <c r="S2332" i="1"/>
  <c r="T2332" i="1"/>
  <c r="U2332" i="1"/>
  <c r="BB2332" i="1"/>
  <c r="BW2332" i="1"/>
  <c r="A2333" i="1"/>
  <c r="C2333" i="1"/>
  <c r="S2333" i="1"/>
  <c r="T2333" i="1"/>
  <c r="U2333" i="1"/>
  <c r="BB2333" i="1"/>
  <c r="BW2333" i="1"/>
  <c r="A2334" i="1"/>
  <c r="C2334" i="1"/>
  <c r="S2334" i="1"/>
  <c r="T2334" i="1"/>
  <c r="U2334" i="1"/>
  <c r="BB2334" i="1"/>
  <c r="BW2334" i="1"/>
  <c r="A2335" i="1"/>
  <c r="C2335" i="1"/>
  <c r="S2335" i="1"/>
  <c r="T2335" i="1"/>
  <c r="U2335" i="1"/>
  <c r="BB2335" i="1"/>
  <c r="BW2335" i="1"/>
  <c r="A2336" i="1"/>
  <c r="C2336" i="1"/>
  <c r="S2336" i="1"/>
  <c r="T2336" i="1"/>
  <c r="U2336" i="1"/>
  <c r="BB2336" i="1"/>
  <c r="BW2336" i="1"/>
  <c r="A2337" i="1"/>
  <c r="C2337" i="1"/>
  <c r="S2337" i="1"/>
  <c r="T2337" i="1"/>
  <c r="U2337" i="1"/>
  <c r="BB2337" i="1"/>
  <c r="BW2337" i="1"/>
  <c r="A2338" i="1"/>
  <c r="C2338" i="1"/>
  <c r="S2338" i="1"/>
  <c r="T2338" i="1"/>
  <c r="U2338" i="1"/>
  <c r="BB2338" i="1"/>
  <c r="BW2338" i="1"/>
  <c r="A2339" i="1"/>
  <c r="C2339" i="1"/>
  <c r="S2339" i="1"/>
  <c r="T2339" i="1"/>
  <c r="U2339" i="1"/>
  <c r="BB2339" i="1"/>
  <c r="BW2339" i="1"/>
  <c r="A2340" i="1"/>
  <c r="C2340" i="1"/>
  <c r="S2340" i="1"/>
  <c r="T2340" i="1"/>
  <c r="U2340" i="1"/>
  <c r="BB2340" i="1"/>
  <c r="BW2340" i="1"/>
  <c r="A2341" i="1"/>
  <c r="C2341" i="1"/>
  <c r="S2341" i="1"/>
  <c r="T2341" i="1"/>
  <c r="U2341" i="1"/>
  <c r="BB2341" i="1"/>
  <c r="BW2341" i="1"/>
  <c r="A2342" i="1"/>
  <c r="C2342" i="1"/>
  <c r="S2342" i="1"/>
  <c r="T2342" i="1"/>
  <c r="U2342" i="1"/>
  <c r="BB2342" i="1"/>
  <c r="BW2342" i="1"/>
  <c r="A2343" i="1"/>
  <c r="C2343" i="1"/>
  <c r="S2343" i="1"/>
  <c r="T2343" i="1"/>
  <c r="U2343" i="1"/>
  <c r="BB2343" i="1"/>
  <c r="BW2343" i="1"/>
  <c r="A2344" i="1"/>
  <c r="C2344" i="1"/>
  <c r="S2344" i="1"/>
  <c r="T2344" i="1"/>
  <c r="U2344" i="1"/>
  <c r="BB2344" i="1"/>
  <c r="BW2344" i="1"/>
  <c r="A2345" i="1"/>
  <c r="C2345" i="1"/>
  <c r="S2345" i="1"/>
  <c r="T2345" i="1"/>
  <c r="U2345" i="1"/>
  <c r="BB2345" i="1"/>
  <c r="BW2345" i="1"/>
  <c r="A2346" i="1"/>
  <c r="C2346" i="1"/>
  <c r="S2346" i="1"/>
  <c r="T2346" i="1"/>
  <c r="U2346" i="1"/>
  <c r="BB2346" i="1"/>
  <c r="BW2346" i="1"/>
  <c r="A2347" i="1"/>
  <c r="C2347" i="1"/>
  <c r="S2347" i="1"/>
  <c r="T2347" i="1"/>
  <c r="U2347" i="1"/>
  <c r="BB2347" i="1"/>
  <c r="BW2347" i="1"/>
  <c r="A2348" i="1"/>
  <c r="C2348" i="1"/>
  <c r="S2348" i="1"/>
  <c r="T2348" i="1"/>
  <c r="U2348" i="1"/>
  <c r="BB2348" i="1"/>
  <c r="BW2348" i="1"/>
  <c r="A2349" i="1"/>
  <c r="C2349" i="1"/>
  <c r="S2349" i="1"/>
  <c r="T2349" i="1"/>
  <c r="U2349" i="1"/>
  <c r="BB2349" i="1"/>
  <c r="BW2349" i="1"/>
  <c r="A2350" i="1"/>
  <c r="C2350" i="1"/>
  <c r="S2350" i="1"/>
  <c r="T2350" i="1"/>
  <c r="U2350" i="1"/>
  <c r="BB2350" i="1"/>
  <c r="BW2350" i="1"/>
  <c r="A2351" i="1"/>
  <c r="C2351" i="1"/>
  <c r="S2351" i="1"/>
  <c r="T2351" i="1"/>
  <c r="U2351" i="1"/>
  <c r="BB2351" i="1"/>
  <c r="BW2351" i="1"/>
  <c r="A2352" i="1"/>
  <c r="C2352" i="1"/>
  <c r="S2352" i="1"/>
  <c r="T2352" i="1"/>
  <c r="U2352" i="1"/>
  <c r="BB2352" i="1"/>
  <c r="BW2352" i="1"/>
  <c r="A2353" i="1"/>
  <c r="C2353" i="1"/>
  <c r="S2353" i="1"/>
  <c r="T2353" i="1"/>
  <c r="U2353" i="1"/>
  <c r="BB2353" i="1"/>
  <c r="BW2353" i="1"/>
  <c r="A2354" i="1"/>
  <c r="C2354" i="1"/>
  <c r="S2354" i="1"/>
  <c r="T2354" i="1"/>
  <c r="U2354" i="1"/>
  <c r="BB2354" i="1"/>
  <c r="BW2354" i="1"/>
  <c r="A2355" i="1"/>
  <c r="C2355" i="1"/>
  <c r="S2355" i="1"/>
  <c r="T2355" i="1"/>
  <c r="U2355" i="1"/>
  <c r="BB2355" i="1"/>
  <c r="BW2355" i="1"/>
  <c r="A2356" i="1"/>
  <c r="C2356" i="1"/>
  <c r="S2356" i="1"/>
  <c r="T2356" i="1"/>
  <c r="U2356" i="1"/>
  <c r="BB2356" i="1"/>
  <c r="BW2356" i="1"/>
  <c r="A2357" i="1"/>
  <c r="C2357" i="1"/>
  <c r="S2357" i="1"/>
  <c r="T2357" i="1"/>
  <c r="U2357" i="1"/>
  <c r="BB2357" i="1"/>
  <c r="BW2357" i="1"/>
  <c r="A2358" i="1"/>
  <c r="C2358" i="1"/>
  <c r="S2358" i="1"/>
  <c r="T2358" i="1"/>
  <c r="U2358" i="1"/>
  <c r="BB2358" i="1"/>
  <c r="BW2358" i="1"/>
  <c r="A2359" i="1"/>
  <c r="C2359" i="1"/>
  <c r="S2359" i="1"/>
  <c r="T2359" i="1"/>
  <c r="U2359" i="1"/>
  <c r="BB2359" i="1"/>
  <c r="BW2359" i="1"/>
  <c r="A2360" i="1"/>
  <c r="C2360" i="1"/>
  <c r="S2360" i="1"/>
  <c r="T2360" i="1"/>
  <c r="U2360" i="1"/>
  <c r="BB2360" i="1"/>
  <c r="BW2360" i="1"/>
  <c r="A2361" i="1"/>
  <c r="C2361" i="1"/>
  <c r="S2361" i="1"/>
  <c r="T2361" i="1"/>
  <c r="U2361" i="1"/>
  <c r="BB2361" i="1"/>
  <c r="BW2361" i="1"/>
  <c r="A2362" i="1"/>
  <c r="C2362" i="1"/>
  <c r="S2362" i="1"/>
  <c r="T2362" i="1"/>
  <c r="U2362" i="1"/>
  <c r="BB2362" i="1"/>
  <c r="BW2362" i="1"/>
  <c r="A2363" i="1"/>
  <c r="C2363" i="1"/>
  <c r="S2363" i="1"/>
  <c r="T2363" i="1"/>
  <c r="U2363" i="1"/>
  <c r="BB2363" i="1"/>
  <c r="BW2363" i="1"/>
  <c r="A2364" i="1"/>
  <c r="C2364" i="1"/>
  <c r="S2364" i="1"/>
  <c r="T2364" i="1"/>
  <c r="U2364" i="1"/>
  <c r="BB2364" i="1"/>
  <c r="BW2364" i="1"/>
  <c r="A2365" i="1"/>
  <c r="C2365" i="1"/>
  <c r="S2365" i="1"/>
  <c r="T2365" i="1"/>
  <c r="U2365" i="1"/>
  <c r="BB2365" i="1"/>
  <c r="BW2365" i="1"/>
  <c r="A2366" i="1"/>
  <c r="C2366" i="1"/>
  <c r="S2366" i="1"/>
  <c r="T2366" i="1"/>
  <c r="U2366" i="1"/>
  <c r="BB2366" i="1"/>
  <c r="BW2366" i="1"/>
  <c r="A2367" i="1"/>
  <c r="C2367" i="1"/>
  <c r="S2367" i="1"/>
  <c r="T2367" i="1"/>
  <c r="U2367" i="1"/>
  <c r="BB2367" i="1"/>
  <c r="BW2367" i="1"/>
  <c r="A2368" i="1"/>
  <c r="C2368" i="1"/>
  <c r="S2368" i="1"/>
  <c r="T2368" i="1"/>
  <c r="U2368" i="1"/>
  <c r="BB2368" i="1"/>
  <c r="BW2368" i="1"/>
  <c r="A2369" i="1"/>
  <c r="C2369" i="1"/>
  <c r="S2369" i="1"/>
  <c r="T2369" i="1"/>
  <c r="U2369" i="1"/>
  <c r="BB2369" i="1"/>
  <c r="BW2369" i="1"/>
  <c r="A2370" i="1"/>
  <c r="C2370" i="1"/>
  <c r="S2370" i="1"/>
  <c r="T2370" i="1"/>
  <c r="U2370" i="1"/>
  <c r="BB2370" i="1"/>
  <c r="BW2370" i="1"/>
  <c r="A2371" i="1"/>
  <c r="C2371" i="1"/>
  <c r="S2371" i="1"/>
  <c r="T2371" i="1"/>
  <c r="U2371" i="1"/>
  <c r="BB2371" i="1"/>
  <c r="BW2371" i="1"/>
  <c r="A2372" i="1"/>
  <c r="C2372" i="1"/>
  <c r="S2372" i="1"/>
  <c r="T2372" i="1"/>
  <c r="U2372" i="1"/>
  <c r="BB2372" i="1"/>
  <c r="BW2372" i="1"/>
  <c r="A2373" i="1"/>
  <c r="C2373" i="1"/>
  <c r="S2373" i="1"/>
  <c r="T2373" i="1"/>
  <c r="U2373" i="1"/>
  <c r="BB2373" i="1"/>
  <c r="BW2373" i="1"/>
  <c r="A2374" i="1"/>
  <c r="C2374" i="1"/>
  <c r="S2374" i="1"/>
  <c r="T2374" i="1"/>
  <c r="U2374" i="1"/>
  <c r="BB2374" i="1"/>
  <c r="BW2374" i="1"/>
  <c r="A2375" i="1"/>
  <c r="C2375" i="1"/>
  <c r="S2375" i="1"/>
  <c r="T2375" i="1"/>
  <c r="U2375" i="1"/>
  <c r="BB2375" i="1"/>
  <c r="BW2375" i="1"/>
  <c r="A2376" i="1"/>
  <c r="C2376" i="1"/>
  <c r="S2376" i="1"/>
  <c r="T2376" i="1"/>
  <c r="U2376" i="1"/>
  <c r="BB2376" i="1"/>
  <c r="BW2376" i="1"/>
  <c r="A2377" i="1"/>
  <c r="C2377" i="1"/>
  <c r="S2377" i="1"/>
  <c r="T2377" i="1"/>
  <c r="U2377" i="1"/>
  <c r="BB2377" i="1"/>
  <c r="BW2377" i="1"/>
  <c r="A2378" i="1"/>
  <c r="C2378" i="1"/>
  <c r="S2378" i="1"/>
  <c r="T2378" i="1"/>
  <c r="U2378" i="1"/>
  <c r="BB2378" i="1"/>
  <c r="BW2378" i="1"/>
  <c r="A2379" i="1"/>
  <c r="C2379" i="1"/>
  <c r="S2379" i="1"/>
  <c r="T2379" i="1"/>
  <c r="U2379" i="1"/>
  <c r="BB2379" i="1"/>
  <c r="BW2379" i="1"/>
  <c r="A2380" i="1"/>
  <c r="C2380" i="1"/>
  <c r="S2380" i="1"/>
  <c r="T2380" i="1"/>
  <c r="U2380" i="1"/>
  <c r="BB2380" i="1"/>
  <c r="BW2380" i="1"/>
  <c r="A2381" i="1"/>
  <c r="C2381" i="1"/>
  <c r="S2381" i="1"/>
  <c r="T2381" i="1"/>
  <c r="U2381" i="1"/>
  <c r="BB2381" i="1"/>
  <c r="BW2381" i="1"/>
  <c r="A2382" i="1"/>
  <c r="C2382" i="1"/>
  <c r="S2382" i="1"/>
  <c r="T2382" i="1"/>
  <c r="U2382" i="1"/>
  <c r="BB2382" i="1"/>
  <c r="BW2382" i="1"/>
  <c r="A2383" i="1"/>
  <c r="C2383" i="1"/>
  <c r="S2383" i="1"/>
  <c r="T2383" i="1"/>
  <c r="U2383" i="1"/>
  <c r="BB2383" i="1"/>
  <c r="BW2383" i="1"/>
  <c r="A2384" i="1"/>
  <c r="C2384" i="1"/>
  <c r="S2384" i="1"/>
  <c r="T2384" i="1"/>
  <c r="U2384" i="1"/>
  <c r="BB2384" i="1"/>
  <c r="BW2384" i="1"/>
  <c r="A2385" i="1"/>
  <c r="C2385" i="1"/>
  <c r="S2385" i="1"/>
  <c r="T2385" i="1"/>
  <c r="U2385" i="1"/>
  <c r="BB2385" i="1"/>
  <c r="BW2385" i="1"/>
  <c r="A2386" i="1"/>
  <c r="C2386" i="1"/>
  <c r="S2386" i="1"/>
  <c r="T2386" i="1"/>
  <c r="U2386" i="1"/>
  <c r="BB2386" i="1"/>
  <c r="BW2386" i="1"/>
  <c r="A2387" i="1"/>
  <c r="C2387" i="1"/>
  <c r="S2387" i="1"/>
  <c r="T2387" i="1"/>
  <c r="U2387" i="1"/>
  <c r="BB2387" i="1"/>
  <c r="BW2387" i="1"/>
  <c r="A2388" i="1"/>
  <c r="C2388" i="1"/>
  <c r="S2388" i="1"/>
  <c r="T2388" i="1"/>
  <c r="U2388" i="1"/>
  <c r="BB2388" i="1"/>
  <c r="BW2388" i="1"/>
  <c r="A2389" i="1"/>
  <c r="C2389" i="1"/>
  <c r="S2389" i="1"/>
  <c r="T2389" i="1"/>
  <c r="U2389" i="1"/>
  <c r="BB2389" i="1"/>
  <c r="BW2389" i="1"/>
  <c r="A2390" i="1"/>
  <c r="C2390" i="1"/>
  <c r="S2390" i="1"/>
  <c r="T2390" i="1"/>
  <c r="U2390" i="1"/>
  <c r="BB2390" i="1"/>
  <c r="BW2390" i="1"/>
  <c r="A2391" i="1"/>
  <c r="C2391" i="1"/>
  <c r="S2391" i="1"/>
  <c r="T2391" i="1"/>
  <c r="U2391" i="1"/>
  <c r="BB2391" i="1"/>
  <c r="BW2391" i="1"/>
  <c r="A2392" i="1"/>
  <c r="C2392" i="1"/>
  <c r="S2392" i="1"/>
  <c r="T2392" i="1"/>
  <c r="U2392" i="1"/>
  <c r="BB2392" i="1"/>
  <c r="BW2392" i="1"/>
  <c r="A2393" i="1"/>
  <c r="C2393" i="1"/>
  <c r="S2393" i="1"/>
  <c r="T2393" i="1"/>
  <c r="U2393" i="1"/>
  <c r="BB2393" i="1"/>
  <c r="BW2393" i="1"/>
  <c r="A2394" i="1"/>
  <c r="C2394" i="1"/>
  <c r="S2394" i="1"/>
  <c r="T2394" i="1"/>
  <c r="U2394" i="1"/>
  <c r="BB2394" i="1"/>
  <c r="BW2394" i="1"/>
  <c r="A2395" i="1"/>
  <c r="C2395" i="1"/>
  <c r="S2395" i="1"/>
  <c r="T2395" i="1"/>
  <c r="U2395" i="1"/>
  <c r="BB2395" i="1"/>
  <c r="BW2395" i="1"/>
  <c r="A2396" i="1"/>
  <c r="C2396" i="1"/>
  <c r="S2396" i="1"/>
  <c r="T2396" i="1"/>
  <c r="U2396" i="1"/>
  <c r="BB2396" i="1"/>
  <c r="BW2396" i="1"/>
  <c r="A2397" i="1"/>
  <c r="C2397" i="1"/>
  <c r="S2397" i="1"/>
  <c r="T2397" i="1"/>
  <c r="U2397" i="1"/>
  <c r="BB2397" i="1"/>
  <c r="BW2397" i="1"/>
  <c r="A2398" i="1"/>
  <c r="C2398" i="1"/>
  <c r="S2398" i="1"/>
  <c r="T2398" i="1"/>
  <c r="U2398" i="1"/>
  <c r="BB2398" i="1"/>
  <c r="BW2398" i="1"/>
  <c r="A2399" i="1"/>
  <c r="C2399" i="1"/>
  <c r="S2399" i="1"/>
  <c r="T2399" i="1"/>
  <c r="U2399" i="1"/>
  <c r="BB2399" i="1"/>
  <c r="BW2399" i="1"/>
  <c r="A2400" i="1"/>
  <c r="C2400" i="1"/>
  <c r="S2400" i="1"/>
  <c r="T2400" i="1"/>
  <c r="U2400" i="1"/>
  <c r="BB2400" i="1"/>
  <c r="BW2400" i="1"/>
  <c r="A2401" i="1"/>
  <c r="C2401" i="1"/>
  <c r="S2401" i="1"/>
  <c r="T2401" i="1"/>
  <c r="U2401" i="1"/>
  <c r="BB2401" i="1"/>
  <c r="BW2401" i="1"/>
  <c r="A2402" i="1"/>
  <c r="C2402" i="1"/>
  <c r="S2402" i="1"/>
  <c r="T2402" i="1"/>
  <c r="U2402" i="1"/>
  <c r="BB2402" i="1"/>
  <c r="BW2402" i="1"/>
  <c r="A2403" i="1"/>
  <c r="C2403" i="1"/>
  <c r="S2403" i="1"/>
  <c r="T2403" i="1"/>
  <c r="U2403" i="1"/>
  <c r="BB2403" i="1"/>
  <c r="BW2403" i="1"/>
  <c r="A2404" i="1"/>
  <c r="C2404" i="1"/>
  <c r="S2404" i="1"/>
  <c r="T2404" i="1"/>
  <c r="U2404" i="1"/>
  <c r="BB2404" i="1"/>
  <c r="BW2404" i="1"/>
  <c r="A2405" i="1"/>
  <c r="C2405" i="1"/>
  <c r="S2405" i="1"/>
  <c r="T2405" i="1"/>
  <c r="U2405" i="1"/>
  <c r="BB2405" i="1"/>
  <c r="BW2405" i="1"/>
  <c r="A2406" i="1"/>
  <c r="C2406" i="1"/>
  <c r="S2406" i="1"/>
  <c r="T2406" i="1"/>
  <c r="U2406" i="1"/>
  <c r="BB2406" i="1"/>
  <c r="BW2406" i="1"/>
  <c r="A2407" i="1"/>
  <c r="C2407" i="1"/>
  <c r="S2407" i="1"/>
  <c r="T2407" i="1"/>
  <c r="U2407" i="1"/>
  <c r="BB2407" i="1"/>
  <c r="BW2407" i="1"/>
  <c r="A2408" i="1"/>
  <c r="C2408" i="1"/>
  <c r="S2408" i="1"/>
  <c r="T2408" i="1"/>
  <c r="U2408" i="1"/>
  <c r="BB2408" i="1"/>
  <c r="BW2408" i="1"/>
  <c r="A2409" i="1"/>
  <c r="C2409" i="1"/>
  <c r="S2409" i="1"/>
  <c r="T2409" i="1"/>
  <c r="U2409" i="1"/>
  <c r="BB2409" i="1"/>
  <c r="BW2409" i="1"/>
  <c r="A2410" i="1"/>
  <c r="C2410" i="1"/>
  <c r="S2410" i="1"/>
  <c r="T2410" i="1"/>
  <c r="U2410" i="1"/>
  <c r="BB2410" i="1"/>
  <c r="BW2410" i="1"/>
  <c r="A2411" i="1"/>
  <c r="C2411" i="1"/>
  <c r="S2411" i="1"/>
  <c r="T2411" i="1"/>
  <c r="U2411" i="1"/>
  <c r="BB2411" i="1"/>
  <c r="BW2411" i="1"/>
  <c r="A2412" i="1"/>
  <c r="C2412" i="1"/>
  <c r="S2412" i="1"/>
  <c r="T2412" i="1"/>
  <c r="U2412" i="1"/>
  <c r="BB2412" i="1"/>
  <c r="BW2412" i="1"/>
  <c r="A2413" i="1"/>
  <c r="C2413" i="1"/>
  <c r="S2413" i="1"/>
  <c r="T2413" i="1"/>
  <c r="U2413" i="1"/>
  <c r="BB2413" i="1"/>
  <c r="BW2413" i="1"/>
  <c r="A2414" i="1"/>
  <c r="C2414" i="1"/>
  <c r="S2414" i="1"/>
  <c r="T2414" i="1"/>
  <c r="U2414" i="1"/>
  <c r="BB2414" i="1"/>
  <c r="BW2414" i="1"/>
  <c r="A2415" i="1"/>
  <c r="C2415" i="1"/>
  <c r="S2415" i="1"/>
  <c r="T2415" i="1"/>
  <c r="U2415" i="1"/>
  <c r="BB2415" i="1"/>
  <c r="BW2415" i="1"/>
  <c r="A2416" i="1"/>
  <c r="C2416" i="1"/>
  <c r="S2416" i="1"/>
  <c r="T2416" i="1"/>
  <c r="U2416" i="1"/>
  <c r="BB2416" i="1"/>
  <c r="BW2416" i="1"/>
  <c r="A2417" i="1"/>
  <c r="C2417" i="1"/>
  <c r="S2417" i="1"/>
  <c r="T2417" i="1"/>
  <c r="U2417" i="1"/>
  <c r="BB2417" i="1"/>
  <c r="BW2417" i="1"/>
  <c r="A2418" i="1"/>
  <c r="C2418" i="1"/>
  <c r="S2418" i="1"/>
  <c r="T2418" i="1"/>
  <c r="U2418" i="1"/>
  <c r="BB2418" i="1"/>
  <c r="BW2418" i="1"/>
  <c r="A2419" i="1"/>
  <c r="C2419" i="1"/>
  <c r="S2419" i="1"/>
  <c r="T2419" i="1"/>
  <c r="U2419" i="1"/>
  <c r="BB2419" i="1"/>
  <c r="BW2419" i="1"/>
  <c r="A2420" i="1"/>
  <c r="C2420" i="1"/>
  <c r="S2420" i="1"/>
  <c r="T2420" i="1"/>
  <c r="U2420" i="1"/>
  <c r="BB2420" i="1"/>
  <c r="BW2420" i="1"/>
  <c r="A2421" i="1"/>
  <c r="C2421" i="1"/>
  <c r="S2421" i="1"/>
  <c r="T2421" i="1"/>
  <c r="U2421" i="1"/>
  <c r="BB2421" i="1"/>
  <c r="BW2421" i="1"/>
  <c r="A2422" i="1"/>
  <c r="C2422" i="1"/>
  <c r="S2422" i="1"/>
  <c r="T2422" i="1"/>
  <c r="U2422" i="1"/>
  <c r="BB2422" i="1"/>
  <c r="BW2422" i="1"/>
  <c r="A2423" i="1"/>
  <c r="C2423" i="1"/>
  <c r="S2423" i="1"/>
  <c r="T2423" i="1"/>
  <c r="U2423" i="1"/>
  <c r="BB2423" i="1"/>
  <c r="BW2423" i="1"/>
  <c r="A2424" i="1"/>
  <c r="C2424" i="1"/>
  <c r="S2424" i="1"/>
  <c r="T2424" i="1"/>
  <c r="U2424" i="1"/>
  <c r="BB2424" i="1"/>
  <c r="BW2424" i="1"/>
  <c r="A2425" i="1"/>
  <c r="C2425" i="1"/>
  <c r="S2425" i="1"/>
  <c r="T2425" i="1"/>
  <c r="U2425" i="1"/>
  <c r="BB2425" i="1"/>
  <c r="BW2425" i="1"/>
  <c r="A2426" i="1"/>
  <c r="C2426" i="1"/>
  <c r="S2426" i="1"/>
  <c r="T2426" i="1"/>
  <c r="U2426" i="1"/>
  <c r="BB2426" i="1"/>
  <c r="BW2426" i="1"/>
  <c r="A2427" i="1"/>
  <c r="C2427" i="1"/>
  <c r="S2427" i="1"/>
  <c r="T2427" i="1"/>
  <c r="U2427" i="1"/>
  <c r="BB2427" i="1"/>
  <c r="BW2427" i="1"/>
  <c r="A2428" i="1"/>
  <c r="C2428" i="1"/>
  <c r="S2428" i="1"/>
  <c r="T2428" i="1"/>
  <c r="U2428" i="1"/>
  <c r="BB2428" i="1"/>
  <c r="BW2428" i="1"/>
  <c r="A2429" i="1"/>
  <c r="C2429" i="1"/>
  <c r="S2429" i="1"/>
  <c r="T2429" i="1"/>
  <c r="U2429" i="1"/>
  <c r="BB2429" i="1"/>
  <c r="BW2429" i="1"/>
  <c r="A2430" i="1"/>
  <c r="C2430" i="1"/>
  <c r="S2430" i="1"/>
  <c r="T2430" i="1"/>
  <c r="U2430" i="1"/>
  <c r="BB2430" i="1"/>
  <c r="BW2430" i="1"/>
  <c r="A2431" i="1"/>
  <c r="C2431" i="1"/>
  <c r="S2431" i="1"/>
  <c r="T2431" i="1"/>
  <c r="U2431" i="1"/>
  <c r="BB2431" i="1"/>
  <c r="BW2431" i="1"/>
  <c r="A2432" i="1"/>
  <c r="C2432" i="1"/>
  <c r="S2432" i="1"/>
  <c r="T2432" i="1"/>
  <c r="U2432" i="1"/>
  <c r="BB2432" i="1"/>
  <c r="BW2432" i="1"/>
  <c r="A2433" i="1"/>
  <c r="C2433" i="1"/>
  <c r="S2433" i="1"/>
  <c r="T2433" i="1"/>
  <c r="U2433" i="1"/>
  <c r="BB2433" i="1"/>
  <c r="BW2433" i="1"/>
  <c r="A2434" i="1"/>
  <c r="C2434" i="1"/>
  <c r="S2434" i="1"/>
  <c r="T2434" i="1"/>
  <c r="U2434" i="1"/>
  <c r="BB2434" i="1"/>
  <c r="BW2434" i="1"/>
  <c r="A2435" i="1"/>
  <c r="C2435" i="1"/>
  <c r="S2435" i="1"/>
  <c r="T2435" i="1"/>
  <c r="U2435" i="1"/>
  <c r="BB2435" i="1"/>
  <c r="BW2435" i="1"/>
  <c r="A2436" i="1"/>
  <c r="C2436" i="1"/>
  <c r="S2436" i="1"/>
  <c r="T2436" i="1"/>
  <c r="U2436" i="1"/>
  <c r="BB2436" i="1"/>
  <c r="BW2436" i="1"/>
  <c r="A2437" i="1"/>
  <c r="C2437" i="1"/>
  <c r="S2437" i="1"/>
  <c r="T2437" i="1"/>
  <c r="U2437" i="1"/>
  <c r="BB2437" i="1"/>
  <c r="BW2437" i="1"/>
  <c r="A2438" i="1"/>
  <c r="C2438" i="1"/>
  <c r="S2438" i="1"/>
  <c r="T2438" i="1"/>
  <c r="U2438" i="1"/>
  <c r="BB2438" i="1"/>
  <c r="BW2438" i="1"/>
  <c r="A2439" i="1"/>
  <c r="C2439" i="1"/>
  <c r="S2439" i="1"/>
  <c r="T2439" i="1"/>
  <c r="U2439" i="1"/>
  <c r="BB2439" i="1"/>
  <c r="BW2439" i="1"/>
  <c r="A2440" i="1"/>
  <c r="C2440" i="1"/>
  <c r="S2440" i="1"/>
  <c r="T2440" i="1"/>
  <c r="U2440" i="1"/>
  <c r="BB2440" i="1"/>
  <c r="BW2440" i="1"/>
  <c r="A2441" i="1"/>
  <c r="C2441" i="1"/>
  <c r="S2441" i="1"/>
  <c r="T2441" i="1"/>
  <c r="U2441" i="1"/>
  <c r="BB2441" i="1"/>
  <c r="BW2441" i="1"/>
  <c r="A2442" i="1"/>
  <c r="C2442" i="1"/>
  <c r="S2442" i="1"/>
  <c r="T2442" i="1"/>
  <c r="U2442" i="1"/>
  <c r="BB2442" i="1"/>
  <c r="BW2442" i="1"/>
  <c r="A2443" i="1"/>
  <c r="C2443" i="1"/>
  <c r="S2443" i="1"/>
  <c r="T2443" i="1"/>
  <c r="U2443" i="1"/>
  <c r="BB2443" i="1"/>
  <c r="BW2443" i="1"/>
  <c r="A2444" i="1"/>
  <c r="C2444" i="1"/>
  <c r="S2444" i="1"/>
  <c r="T2444" i="1"/>
  <c r="U2444" i="1"/>
  <c r="BB2444" i="1"/>
  <c r="BW2444" i="1"/>
  <c r="A2445" i="1"/>
  <c r="C2445" i="1"/>
  <c r="S2445" i="1"/>
  <c r="T2445" i="1"/>
  <c r="U2445" i="1"/>
  <c r="BB2445" i="1"/>
  <c r="BW2445" i="1"/>
  <c r="A2446" i="1"/>
  <c r="C2446" i="1"/>
  <c r="S2446" i="1"/>
  <c r="T2446" i="1"/>
  <c r="U2446" i="1"/>
  <c r="BB2446" i="1"/>
  <c r="BW2446" i="1"/>
  <c r="A2447" i="1"/>
  <c r="C2447" i="1"/>
  <c r="S2447" i="1"/>
  <c r="T2447" i="1"/>
  <c r="U2447" i="1"/>
  <c r="BB2447" i="1"/>
  <c r="BW2447" i="1"/>
  <c r="A2448" i="1"/>
  <c r="C2448" i="1"/>
  <c r="S2448" i="1"/>
  <c r="T2448" i="1"/>
  <c r="U2448" i="1"/>
  <c r="BB2448" i="1"/>
  <c r="BW2448" i="1"/>
  <c r="A2449" i="1"/>
  <c r="C2449" i="1"/>
  <c r="S2449" i="1"/>
  <c r="T2449" i="1"/>
  <c r="U2449" i="1"/>
  <c r="BB2449" i="1"/>
  <c r="BW2449" i="1"/>
  <c r="A2450" i="1"/>
  <c r="C2450" i="1"/>
  <c r="S2450" i="1"/>
  <c r="T2450" i="1"/>
  <c r="U2450" i="1"/>
  <c r="BB2450" i="1"/>
  <c r="BW2450" i="1"/>
  <c r="A2451" i="1"/>
  <c r="C2451" i="1"/>
  <c r="S2451" i="1"/>
  <c r="T2451" i="1"/>
  <c r="U2451" i="1"/>
  <c r="BB2451" i="1"/>
  <c r="BW2451" i="1"/>
  <c r="A2452" i="1"/>
  <c r="C2452" i="1"/>
  <c r="S2452" i="1"/>
  <c r="T2452" i="1"/>
  <c r="U2452" i="1"/>
  <c r="BB2452" i="1"/>
  <c r="BW2452" i="1"/>
  <c r="A2453" i="1"/>
  <c r="C2453" i="1"/>
  <c r="S2453" i="1"/>
  <c r="T2453" i="1"/>
  <c r="U2453" i="1"/>
  <c r="BB2453" i="1"/>
  <c r="BW2453" i="1"/>
  <c r="A2454" i="1"/>
  <c r="C2454" i="1"/>
  <c r="S2454" i="1"/>
  <c r="T2454" i="1"/>
  <c r="U2454" i="1"/>
  <c r="BB2454" i="1"/>
  <c r="BW2454" i="1"/>
  <c r="A2455" i="1"/>
  <c r="C2455" i="1"/>
  <c r="S2455" i="1"/>
  <c r="T2455" i="1"/>
  <c r="U2455" i="1"/>
  <c r="BB2455" i="1"/>
  <c r="BW2455" i="1"/>
  <c r="A2456" i="1"/>
  <c r="C2456" i="1"/>
  <c r="S2456" i="1"/>
  <c r="T2456" i="1"/>
  <c r="U2456" i="1"/>
  <c r="BB2456" i="1"/>
  <c r="BW2456" i="1"/>
  <c r="A2457" i="1"/>
  <c r="C2457" i="1"/>
  <c r="S2457" i="1"/>
  <c r="T2457" i="1"/>
  <c r="U2457" i="1"/>
  <c r="BB2457" i="1"/>
  <c r="BW2457" i="1"/>
  <c r="A2458" i="1"/>
  <c r="C2458" i="1"/>
  <c r="S2458" i="1"/>
  <c r="T2458" i="1"/>
  <c r="U2458" i="1"/>
  <c r="BB2458" i="1"/>
  <c r="BW2458" i="1"/>
  <c r="A2459" i="1"/>
  <c r="C2459" i="1"/>
  <c r="S2459" i="1"/>
  <c r="T2459" i="1"/>
  <c r="U2459" i="1"/>
  <c r="BB2459" i="1"/>
  <c r="BW2459" i="1"/>
  <c r="A2460" i="1"/>
  <c r="C2460" i="1"/>
  <c r="S2460" i="1"/>
  <c r="T2460" i="1"/>
  <c r="U2460" i="1"/>
  <c r="BB2460" i="1"/>
  <c r="BW2460" i="1"/>
  <c r="A2461" i="1"/>
  <c r="C2461" i="1"/>
  <c r="S2461" i="1"/>
  <c r="T2461" i="1"/>
  <c r="U2461" i="1"/>
  <c r="BB2461" i="1"/>
  <c r="BW2461" i="1"/>
  <c r="A2462" i="1"/>
  <c r="C2462" i="1"/>
  <c r="S2462" i="1"/>
  <c r="T2462" i="1"/>
  <c r="U2462" i="1"/>
  <c r="BB2462" i="1"/>
  <c r="BW2462" i="1"/>
  <c r="A2463" i="1"/>
  <c r="C2463" i="1"/>
  <c r="S2463" i="1"/>
  <c r="T2463" i="1"/>
  <c r="U2463" i="1"/>
  <c r="BB2463" i="1"/>
  <c r="BW2463" i="1"/>
  <c r="A2464" i="1"/>
  <c r="C2464" i="1"/>
  <c r="S2464" i="1"/>
  <c r="T2464" i="1"/>
  <c r="U2464" i="1"/>
  <c r="BB2464" i="1"/>
  <c r="BW2464" i="1"/>
  <c r="A2465" i="1"/>
  <c r="C2465" i="1"/>
  <c r="S2465" i="1"/>
  <c r="T2465" i="1"/>
  <c r="U2465" i="1"/>
  <c r="BB2465" i="1"/>
  <c r="BW2465" i="1"/>
  <c r="A2466" i="1"/>
  <c r="C2466" i="1"/>
  <c r="S2466" i="1"/>
  <c r="T2466" i="1"/>
  <c r="U2466" i="1"/>
  <c r="BB2466" i="1"/>
  <c r="BW2466" i="1"/>
  <c r="A2467" i="1"/>
  <c r="C2467" i="1"/>
  <c r="S2467" i="1"/>
  <c r="T2467" i="1"/>
  <c r="U2467" i="1"/>
  <c r="BB2467" i="1"/>
  <c r="BW2467" i="1"/>
  <c r="A2468" i="1"/>
  <c r="C2468" i="1"/>
  <c r="S2468" i="1"/>
  <c r="T2468" i="1"/>
  <c r="U2468" i="1"/>
  <c r="BB2468" i="1"/>
  <c r="BW2468" i="1"/>
  <c r="A2469" i="1"/>
  <c r="C2469" i="1"/>
  <c r="S2469" i="1"/>
  <c r="T2469" i="1"/>
  <c r="U2469" i="1"/>
  <c r="BB2469" i="1"/>
  <c r="BW2469" i="1"/>
  <c r="A2470" i="1"/>
  <c r="C2470" i="1"/>
  <c r="S2470" i="1"/>
  <c r="T2470" i="1"/>
  <c r="U2470" i="1"/>
  <c r="BB2470" i="1"/>
  <c r="BW2470" i="1"/>
  <c r="A2471" i="1"/>
  <c r="C2471" i="1"/>
  <c r="S2471" i="1"/>
  <c r="T2471" i="1"/>
  <c r="U2471" i="1"/>
  <c r="BB2471" i="1"/>
  <c r="BW2471" i="1"/>
  <c r="A2472" i="1"/>
  <c r="C2472" i="1"/>
  <c r="S2472" i="1"/>
  <c r="T2472" i="1"/>
  <c r="U2472" i="1"/>
  <c r="BB2472" i="1"/>
  <c r="BW2472" i="1"/>
  <c r="A2473" i="1"/>
  <c r="C2473" i="1"/>
  <c r="S2473" i="1"/>
  <c r="T2473" i="1"/>
  <c r="U2473" i="1"/>
  <c r="BB2473" i="1"/>
  <c r="BW2473" i="1"/>
  <c r="A2474" i="1"/>
  <c r="C2474" i="1"/>
  <c r="S2474" i="1"/>
  <c r="T2474" i="1"/>
  <c r="U2474" i="1"/>
  <c r="BB2474" i="1"/>
  <c r="BW2474" i="1"/>
  <c r="A2475" i="1"/>
  <c r="C2475" i="1"/>
  <c r="S2475" i="1"/>
  <c r="T2475" i="1"/>
  <c r="U2475" i="1"/>
  <c r="BB2475" i="1"/>
  <c r="BW2475" i="1"/>
  <c r="A2476" i="1"/>
  <c r="C2476" i="1"/>
  <c r="S2476" i="1"/>
  <c r="T2476" i="1"/>
  <c r="U2476" i="1"/>
  <c r="BB2476" i="1"/>
  <c r="BW2476" i="1"/>
  <c r="A2477" i="1"/>
  <c r="C2477" i="1"/>
  <c r="S2477" i="1"/>
  <c r="T2477" i="1"/>
  <c r="U2477" i="1"/>
  <c r="BB2477" i="1"/>
  <c r="BW2477" i="1"/>
  <c r="A2478" i="1"/>
  <c r="C2478" i="1"/>
  <c r="S2478" i="1"/>
  <c r="T2478" i="1"/>
  <c r="U2478" i="1"/>
  <c r="BB2478" i="1"/>
  <c r="BW2478" i="1"/>
  <c r="A2479" i="1"/>
  <c r="C2479" i="1"/>
  <c r="S2479" i="1"/>
  <c r="T2479" i="1"/>
  <c r="U2479" i="1"/>
  <c r="BB2479" i="1"/>
  <c r="BW2479" i="1"/>
  <c r="A2480" i="1"/>
  <c r="C2480" i="1"/>
  <c r="S2480" i="1"/>
  <c r="T2480" i="1"/>
  <c r="U2480" i="1"/>
  <c r="BB2480" i="1"/>
  <c r="BW2480" i="1"/>
  <c r="A2481" i="1"/>
  <c r="C2481" i="1"/>
  <c r="S2481" i="1"/>
  <c r="T2481" i="1"/>
  <c r="U2481" i="1"/>
  <c r="BB2481" i="1"/>
  <c r="BW2481" i="1"/>
  <c r="A2482" i="1"/>
  <c r="C2482" i="1"/>
  <c r="S2482" i="1"/>
  <c r="T2482" i="1"/>
  <c r="U2482" i="1"/>
  <c r="BB2482" i="1"/>
  <c r="BW2482" i="1"/>
  <c r="A2483" i="1"/>
  <c r="C2483" i="1"/>
  <c r="S2483" i="1"/>
  <c r="T2483" i="1"/>
  <c r="U2483" i="1"/>
  <c r="BB2483" i="1"/>
  <c r="BW2483" i="1"/>
  <c r="A2484" i="1"/>
  <c r="C2484" i="1"/>
  <c r="S2484" i="1"/>
  <c r="T2484" i="1"/>
  <c r="U2484" i="1"/>
  <c r="BB2484" i="1"/>
  <c r="BW2484" i="1"/>
  <c r="A2485" i="1"/>
  <c r="C2485" i="1"/>
  <c r="S2485" i="1"/>
  <c r="T2485" i="1"/>
  <c r="U2485" i="1"/>
  <c r="BB2485" i="1"/>
  <c r="BW2485" i="1"/>
  <c r="A2486" i="1"/>
  <c r="C2486" i="1"/>
  <c r="S2486" i="1"/>
  <c r="T2486" i="1"/>
  <c r="U2486" i="1"/>
  <c r="BB2486" i="1"/>
  <c r="BW2486" i="1"/>
  <c r="A2487" i="1"/>
  <c r="C2487" i="1"/>
  <c r="S2487" i="1"/>
  <c r="T2487" i="1"/>
  <c r="U2487" i="1"/>
  <c r="BB2487" i="1"/>
  <c r="BW2487" i="1"/>
  <c r="A2488" i="1"/>
  <c r="C2488" i="1"/>
  <c r="S2488" i="1"/>
  <c r="T2488" i="1"/>
  <c r="U2488" i="1"/>
  <c r="BB2488" i="1"/>
  <c r="BW2488" i="1"/>
  <c r="A2489" i="1"/>
  <c r="C2489" i="1"/>
  <c r="S2489" i="1"/>
  <c r="T2489" i="1"/>
  <c r="U2489" i="1"/>
  <c r="BB2489" i="1"/>
  <c r="BW2489" i="1"/>
  <c r="A2490" i="1"/>
  <c r="C2490" i="1"/>
  <c r="S2490" i="1"/>
  <c r="T2490" i="1"/>
  <c r="U2490" i="1"/>
  <c r="BB2490" i="1"/>
  <c r="BW2490" i="1"/>
  <c r="A2491" i="1"/>
  <c r="C2491" i="1"/>
  <c r="S2491" i="1"/>
  <c r="T2491" i="1"/>
  <c r="U2491" i="1"/>
  <c r="BB2491" i="1"/>
  <c r="BW2491" i="1"/>
  <c r="A2492" i="1"/>
  <c r="C2492" i="1"/>
  <c r="S2492" i="1"/>
  <c r="T2492" i="1"/>
  <c r="U2492" i="1"/>
  <c r="BB2492" i="1"/>
  <c r="BW2492" i="1"/>
  <c r="A2493" i="1"/>
  <c r="C2493" i="1"/>
  <c r="S2493" i="1"/>
  <c r="T2493" i="1"/>
  <c r="U2493" i="1"/>
  <c r="BB2493" i="1"/>
  <c r="BW2493" i="1"/>
  <c r="A2494" i="1"/>
  <c r="C2494" i="1"/>
  <c r="S2494" i="1"/>
  <c r="T2494" i="1"/>
  <c r="U2494" i="1"/>
  <c r="BB2494" i="1"/>
  <c r="BW2494" i="1"/>
  <c r="A2495" i="1"/>
  <c r="C2495" i="1"/>
  <c r="S2495" i="1"/>
  <c r="T2495" i="1"/>
  <c r="U2495" i="1"/>
  <c r="BB2495" i="1"/>
  <c r="BW2495" i="1"/>
  <c r="A2496" i="1"/>
  <c r="C2496" i="1"/>
  <c r="S2496" i="1"/>
  <c r="T2496" i="1"/>
  <c r="U2496" i="1"/>
  <c r="BB2496" i="1"/>
  <c r="BW2496" i="1"/>
  <c r="A2497" i="1"/>
  <c r="C2497" i="1"/>
  <c r="S2497" i="1"/>
  <c r="T2497" i="1"/>
  <c r="U2497" i="1"/>
  <c r="BB2497" i="1"/>
  <c r="BW2497" i="1"/>
  <c r="A2498" i="1"/>
  <c r="C2498" i="1"/>
  <c r="S2498" i="1"/>
  <c r="T2498" i="1"/>
  <c r="U2498" i="1"/>
  <c r="BB2498" i="1"/>
  <c r="BW2498" i="1"/>
  <c r="A2499" i="1"/>
  <c r="C2499" i="1"/>
  <c r="S2499" i="1"/>
  <c r="T2499" i="1"/>
  <c r="U2499" i="1"/>
  <c r="BB2499" i="1"/>
  <c r="BW2499" i="1"/>
  <c r="A2500" i="1"/>
  <c r="C2500" i="1"/>
  <c r="S2500" i="1"/>
  <c r="T2500" i="1"/>
  <c r="U2500" i="1"/>
  <c r="BB2500" i="1"/>
  <c r="BW2500" i="1"/>
  <c r="A2501" i="1"/>
  <c r="C2501" i="1"/>
  <c r="S2501" i="1"/>
  <c r="T2501" i="1"/>
  <c r="U2501" i="1"/>
  <c r="BB2501" i="1"/>
  <c r="BW2501" i="1"/>
  <c r="A2502" i="1"/>
  <c r="C2502" i="1"/>
  <c r="S2502" i="1"/>
  <c r="T2502" i="1"/>
  <c r="U2502" i="1"/>
  <c r="BB2502" i="1"/>
  <c r="BW2502" i="1"/>
  <c r="A2503" i="1"/>
  <c r="C2503" i="1"/>
  <c r="S2503" i="1"/>
  <c r="T2503" i="1"/>
  <c r="U2503" i="1"/>
  <c r="BB2503" i="1"/>
  <c r="BW2503" i="1"/>
  <c r="A2504" i="1"/>
  <c r="C2504" i="1"/>
  <c r="S2504" i="1"/>
  <c r="T2504" i="1"/>
  <c r="U2504" i="1"/>
  <c r="BB2504" i="1"/>
  <c r="BW2504" i="1"/>
  <c r="A2505" i="1"/>
  <c r="C2505" i="1"/>
  <c r="S2505" i="1"/>
  <c r="T2505" i="1"/>
  <c r="U2505" i="1"/>
  <c r="BB2505" i="1"/>
  <c r="BW2505" i="1"/>
  <c r="A2506" i="1"/>
  <c r="C2506" i="1"/>
  <c r="S2506" i="1"/>
  <c r="T2506" i="1"/>
  <c r="U2506" i="1"/>
  <c r="BB2506" i="1"/>
  <c r="BW2506" i="1"/>
  <c r="A2507" i="1"/>
  <c r="C2507" i="1"/>
  <c r="S2507" i="1"/>
  <c r="T2507" i="1"/>
  <c r="U2507" i="1"/>
  <c r="BB2507" i="1"/>
  <c r="BW2507" i="1"/>
  <c r="A2508" i="1"/>
  <c r="C2508" i="1"/>
  <c r="S2508" i="1"/>
  <c r="T2508" i="1"/>
  <c r="U2508" i="1"/>
  <c r="BB2508" i="1"/>
  <c r="BW2508" i="1"/>
  <c r="A2509" i="1"/>
  <c r="C2509" i="1"/>
  <c r="S2509" i="1"/>
  <c r="T2509" i="1"/>
  <c r="U2509" i="1"/>
  <c r="BB2509" i="1"/>
  <c r="BW2509" i="1"/>
  <c r="A2510" i="1"/>
  <c r="C2510" i="1"/>
  <c r="S2510" i="1"/>
  <c r="T2510" i="1"/>
  <c r="U2510" i="1"/>
  <c r="BB2510" i="1"/>
  <c r="BW2510" i="1"/>
  <c r="A2511" i="1"/>
  <c r="C2511" i="1"/>
  <c r="S2511" i="1"/>
  <c r="T2511" i="1"/>
  <c r="U2511" i="1"/>
  <c r="BB2511" i="1"/>
  <c r="BW2511" i="1"/>
  <c r="A2512" i="1"/>
  <c r="C2512" i="1"/>
  <c r="S2512" i="1"/>
  <c r="T2512" i="1"/>
  <c r="U2512" i="1"/>
  <c r="BB2512" i="1"/>
  <c r="BW2512" i="1"/>
  <c r="A2513" i="1"/>
  <c r="C2513" i="1"/>
  <c r="S2513" i="1"/>
  <c r="T2513" i="1"/>
  <c r="U2513" i="1"/>
  <c r="BB2513" i="1"/>
  <c r="BW2513" i="1"/>
  <c r="A2514" i="1"/>
  <c r="C2514" i="1"/>
  <c r="S2514" i="1"/>
  <c r="T2514" i="1"/>
  <c r="U2514" i="1"/>
  <c r="BB2514" i="1"/>
  <c r="BW2514" i="1"/>
  <c r="A2515" i="1"/>
  <c r="C2515" i="1"/>
  <c r="S2515" i="1"/>
  <c r="T2515" i="1"/>
  <c r="U2515" i="1"/>
  <c r="BB2515" i="1"/>
  <c r="BW2515" i="1"/>
  <c r="A2516" i="1"/>
  <c r="C2516" i="1"/>
  <c r="S2516" i="1"/>
  <c r="T2516" i="1"/>
  <c r="U2516" i="1"/>
  <c r="BB2516" i="1"/>
  <c r="BW2516" i="1"/>
  <c r="A2517" i="1"/>
  <c r="C2517" i="1"/>
  <c r="S2517" i="1"/>
  <c r="T2517" i="1"/>
  <c r="U2517" i="1"/>
  <c r="BB2517" i="1"/>
  <c r="BW2517" i="1"/>
  <c r="A2518" i="1"/>
  <c r="C2518" i="1"/>
  <c r="S2518" i="1"/>
  <c r="T2518" i="1"/>
  <c r="U2518" i="1"/>
  <c r="BB2518" i="1"/>
  <c r="BW2518" i="1"/>
  <c r="A2519" i="1"/>
  <c r="C2519" i="1"/>
  <c r="S2519" i="1"/>
  <c r="T2519" i="1"/>
  <c r="U2519" i="1"/>
  <c r="BB2519" i="1"/>
  <c r="BW2519" i="1"/>
  <c r="A2520" i="1"/>
  <c r="C2520" i="1"/>
  <c r="S2520" i="1"/>
  <c r="T2520" i="1"/>
  <c r="U2520" i="1"/>
  <c r="BB2520" i="1"/>
  <c r="BW2520" i="1"/>
  <c r="A2521" i="1"/>
  <c r="C2521" i="1"/>
  <c r="S2521" i="1"/>
  <c r="T2521" i="1"/>
  <c r="U2521" i="1"/>
  <c r="BB2521" i="1"/>
  <c r="BW2521" i="1"/>
  <c r="A2522" i="1"/>
  <c r="C2522" i="1"/>
  <c r="S2522" i="1"/>
  <c r="T2522" i="1"/>
  <c r="U2522" i="1"/>
  <c r="BB2522" i="1"/>
  <c r="BW2522" i="1"/>
  <c r="A2523" i="1"/>
  <c r="C2523" i="1"/>
  <c r="S2523" i="1"/>
  <c r="T2523" i="1"/>
  <c r="U2523" i="1"/>
  <c r="BB2523" i="1"/>
  <c r="BW2523" i="1"/>
  <c r="A2524" i="1"/>
  <c r="C2524" i="1"/>
  <c r="S2524" i="1"/>
  <c r="T2524" i="1"/>
  <c r="U2524" i="1"/>
  <c r="BB2524" i="1"/>
  <c r="BW2524" i="1"/>
  <c r="A2525" i="1"/>
  <c r="C2525" i="1"/>
  <c r="S2525" i="1"/>
  <c r="T2525" i="1"/>
  <c r="U2525" i="1"/>
  <c r="BB2525" i="1"/>
  <c r="BW2525" i="1"/>
  <c r="A2526" i="1"/>
  <c r="C2526" i="1"/>
  <c r="S2526" i="1"/>
  <c r="T2526" i="1"/>
  <c r="U2526" i="1"/>
  <c r="BB2526" i="1"/>
  <c r="BW2526" i="1"/>
  <c r="A2527" i="1"/>
  <c r="C2527" i="1"/>
  <c r="S2527" i="1"/>
  <c r="T2527" i="1"/>
  <c r="U2527" i="1"/>
  <c r="BB2527" i="1"/>
  <c r="BW2527" i="1"/>
  <c r="A2528" i="1"/>
  <c r="C2528" i="1"/>
  <c r="S2528" i="1"/>
  <c r="T2528" i="1"/>
  <c r="U2528" i="1"/>
  <c r="BB2528" i="1"/>
  <c r="BW2528" i="1"/>
  <c r="A2529" i="1"/>
  <c r="C2529" i="1"/>
  <c r="S2529" i="1"/>
  <c r="T2529" i="1"/>
  <c r="U2529" i="1"/>
  <c r="BB2529" i="1"/>
  <c r="BW2529" i="1"/>
  <c r="A2530" i="1"/>
  <c r="C2530" i="1"/>
  <c r="S2530" i="1"/>
  <c r="T2530" i="1"/>
  <c r="U2530" i="1"/>
  <c r="BB2530" i="1"/>
  <c r="BW2530" i="1"/>
  <c r="A2531" i="1"/>
  <c r="C2531" i="1"/>
  <c r="S2531" i="1"/>
  <c r="T2531" i="1"/>
  <c r="U2531" i="1"/>
  <c r="BB2531" i="1"/>
  <c r="BW2531" i="1"/>
  <c r="A2532" i="1"/>
  <c r="C2532" i="1"/>
  <c r="S2532" i="1"/>
  <c r="T2532" i="1"/>
  <c r="U2532" i="1"/>
  <c r="BB2532" i="1"/>
  <c r="BW2532" i="1"/>
  <c r="A2533" i="1"/>
  <c r="C2533" i="1"/>
  <c r="S2533" i="1"/>
  <c r="T2533" i="1"/>
  <c r="U2533" i="1"/>
  <c r="BB2533" i="1"/>
  <c r="BW2533" i="1"/>
  <c r="A2534" i="1"/>
  <c r="C2534" i="1"/>
  <c r="S2534" i="1"/>
  <c r="T2534" i="1"/>
  <c r="U2534" i="1"/>
  <c r="BB2534" i="1"/>
  <c r="BW2534" i="1"/>
  <c r="A2535" i="1"/>
  <c r="C2535" i="1"/>
  <c r="S2535" i="1"/>
  <c r="T2535" i="1"/>
  <c r="U2535" i="1"/>
  <c r="BB2535" i="1"/>
  <c r="BW2535" i="1"/>
  <c r="A2536" i="1"/>
  <c r="C2536" i="1"/>
  <c r="S2536" i="1"/>
  <c r="T2536" i="1"/>
  <c r="U2536" i="1"/>
  <c r="BB2536" i="1"/>
  <c r="BW2536" i="1"/>
  <c r="A2537" i="1"/>
  <c r="C2537" i="1"/>
  <c r="S2537" i="1"/>
  <c r="T2537" i="1"/>
  <c r="U2537" i="1"/>
  <c r="BB2537" i="1"/>
  <c r="BW2537" i="1"/>
  <c r="A2538" i="1"/>
  <c r="C2538" i="1"/>
  <c r="S2538" i="1"/>
  <c r="T2538" i="1"/>
  <c r="U2538" i="1"/>
  <c r="BB2538" i="1"/>
  <c r="BW2538" i="1"/>
  <c r="A2539" i="1"/>
  <c r="C2539" i="1"/>
  <c r="S2539" i="1"/>
  <c r="T2539" i="1"/>
  <c r="U2539" i="1"/>
  <c r="BB2539" i="1"/>
  <c r="BW2539" i="1"/>
  <c r="A2540" i="1"/>
  <c r="C2540" i="1"/>
  <c r="S2540" i="1"/>
  <c r="T2540" i="1"/>
  <c r="U2540" i="1"/>
  <c r="BB2540" i="1"/>
  <c r="BW2540" i="1"/>
  <c r="A2541" i="1"/>
  <c r="C2541" i="1"/>
  <c r="S2541" i="1"/>
  <c r="T2541" i="1"/>
  <c r="U2541" i="1"/>
  <c r="BB2541" i="1"/>
  <c r="BW2541" i="1"/>
  <c r="A2542" i="1"/>
  <c r="C2542" i="1"/>
  <c r="S2542" i="1"/>
  <c r="T2542" i="1"/>
  <c r="U2542" i="1"/>
  <c r="BB2542" i="1"/>
  <c r="BW2542" i="1"/>
  <c r="A2543" i="1"/>
  <c r="C2543" i="1"/>
  <c r="S2543" i="1"/>
  <c r="T2543" i="1"/>
  <c r="U2543" i="1"/>
  <c r="BB2543" i="1"/>
  <c r="BW2543" i="1"/>
  <c r="A2544" i="1"/>
  <c r="C2544" i="1"/>
  <c r="S2544" i="1"/>
  <c r="T2544" i="1"/>
  <c r="U2544" i="1"/>
  <c r="BB2544" i="1"/>
  <c r="BW2544" i="1"/>
  <c r="A2545" i="1"/>
  <c r="C2545" i="1"/>
  <c r="S2545" i="1"/>
  <c r="T2545" i="1"/>
  <c r="U2545" i="1"/>
  <c r="BB2545" i="1"/>
  <c r="BW2545" i="1"/>
  <c r="A2546" i="1"/>
  <c r="C2546" i="1"/>
  <c r="S2546" i="1"/>
  <c r="T2546" i="1"/>
  <c r="U2546" i="1"/>
  <c r="BB2546" i="1"/>
  <c r="BW2546" i="1"/>
  <c r="A2547" i="1"/>
  <c r="C2547" i="1"/>
  <c r="S2547" i="1"/>
  <c r="T2547" i="1"/>
  <c r="U2547" i="1"/>
  <c r="BB2547" i="1"/>
  <c r="BW2547" i="1"/>
  <c r="A2548" i="1"/>
  <c r="C2548" i="1"/>
  <c r="S2548" i="1"/>
  <c r="T2548" i="1"/>
  <c r="U2548" i="1"/>
  <c r="BB2548" i="1"/>
  <c r="BW2548" i="1"/>
  <c r="A2549" i="1"/>
  <c r="C2549" i="1"/>
  <c r="S2549" i="1"/>
  <c r="T2549" i="1"/>
  <c r="U2549" i="1"/>
  <c r="BB2549" i="1"/>
  <c r="BW2549" i="1"/>
  <c r="A2550" i="1"/>
  <c r="C2550" i="1"/>
  <c r="S2550" i="1"/>
  <c r="T2550" i="1"/>
  <c r="U2550" i="1"/>
  <c r="BB2550" i="1"/>
  <c r="BW2550" i="1"/>
  <c r="A2551" i="1"/>
  <c r="C2551" i="1"/>
  <c r="S2551" i="1"/>
  <c r="T2551" i="1"/>
  <c r="U2551" i="1"/>
  <c r="BB2551" i="1"/>
  <c r="BW2551" i="1"/>
  <c r="A2552" i="1"/>
  <c r="C2552" i="1"/>
  <c r="S2552" i="1"/>
  <c r="T2552" i="1"/>
  <c r="U2552" i="1"/>
  <c r="BB2552" i="1"/>
  <c r="BW2552" i="1"/>
  <c r="A2553" i="1"/>
  <c r="C2553" i="1"/>
  <c r="S2553" i="1"/>
  <c r="T2553" i="1"/>
  <c r="U2553" i="1"/>
  <c r="BB2553" i="1"/>
  <c r="BW2553" i="1"/>
  <c r="A2554" i="1"/>
  <c r="C2554" i="1"/>
  <c r="S2554" i="1"/>
  <c r="T2554" i="1"/>
  <c r="U2554" i="1"/>
  <c r="BB2554" i="1"/>
  <c r="BW2554" i="1"/>
  <c r="A2555" i="1"/>
  <c r="C2555" i="1"/>
  <c r="S2555" i="1"/>
  <c r="T2555" i="1"/>
  <c r="U2555" i="1"/>
  <c r="BB2555" i="1"/>
  <c r="BW2555" i="1"/>
  <c r="A2556" i="1"/>
  <c r="C2556" i="1"/>
  <c r="S2556" i="1"/>
  <c r="T2556" i="1"/>
  <c r="U2556" i="1"/>
  <c r="BB2556" i="1"/>
  <c r="BW2556" i="1"/>
  <c r="A2557" i="1"/>
  <c r="C2557" i="1"/>
  <c r="S2557" i="1"/>
  <c r="T2557" i="1"/>
  <c r="U2557" i="1"/>
  <c r="BB2557" i="1"/>
  <c r="BW2557" i="1"/>
  <c r="A2558" i="1"/>
  <c r="C2558" i="1"/>
  <c r="S2558" i="1"/>
  <c r="T2558" i="1"/>
  <c r="U2558" i="1"/>
  <c r="BB2558" i="1"/>
  <c r="BW2558" i="1"/>
  <c r="A2559" i="1"/>
  <c r="C2559" i="1"/>
  <c r="S2559" i="1"/>
  <c r="T2559" i="1"/>
  <c r="U2559" i="1"/>
  <c r="BB2559" i="1"/>
  <c r="BW2559" i="1"/>
  <c r="A2560" i="1"/>
  <c r="C2560" i="1"/>
  <c r="S2560" i="1"/>
  <c r="T2560" i="1"/>
  <c r="U2560" i="1"/>
  <c r="BB2560" i="1"/>
  <c r="BW2560" i="1"/>
  <c r="A2561" i="1"/>
  <c r="C2561" i="1"/>
  <c r="S2561" i="1"/>
  <c r="T2561" i="1"/>
  <c r="U2561" i="1"/>
  <c r="BB2561" i="1"/>
  <c r="BW2561" i="1"/>
  <c r="A2562" i="1"/>
  <c r="C2562" i="1"/>
  <c r="S2562" i="1"/>
  <c r="T2562" i="1"/>
  <c r="U2562" i="1"/>
  <c r="BB2562" i="1"/>
  <c r="BW2562" i="1"/>
  <c r="A2563" i="1"/>
  <c r="C2563" i="1"/>
  <c r="S2563" i="1"/>
  <c r="T2563" i="1"/>
  <c r="U2563" i="1"/>
  <c r="BB2563" i="1"/>
  <c r="BW2563" i="1"/>
  <c r="A2564" i="1"/>
  <c r="C2564" i="1"/>
  <c r="S2564" i="1"/>
  <c r="T2564" i="1"/>
  <c r="U2564" i="1"/>
  <c r="BB2564" i="1"/>
  <c r="BW2564" i="1"/>
  <c r="A2565" i="1"/>
  <c r="C2565" i="1"/>
  <c r="S2565" i="1"/>
  <c r="T2565" i="1"/>
  <c r="U2565" i="1"/>
  <c r="BB2565" i="1"/>
  <c r="BW2565" i="1"/>
  <c r="A2566" i="1"/>
  <c r="C2566" i="1"/>
  <c r="S2566" i="1"/>
  <c r="T2566" i="1"/>
  <c r="U2566" i="1"/>
  <c r="BB2566" i="1"/>
  <c r="BW2566" i="1"/>
  <c r="A2567" i="1"/>
  <c r="C2567" i="1"/>
  <c r="S2567" i="1"/>
  <c r="T2567" i="1"/>
  <c r="U2567" i="1"/>
  <c r="BB2567" i="1"/>
  <c r="BW2567" i="1"/>
  <c r="A2568" i="1"/>
  <c r="C2568" i="1"/>
  <c r="S2568" i="1"/>
  <c r="T2568" i="1"/>
  <c r="U2568" i="1"/>
  <c r="BB2568" i="1"/>
  <c r="BW2568" i="1"/>
  <c r="A2569" i="1"/>
  <c r="C2569" i="1"/>
  <c r="S2569" i="1"/>
  <c r="T2569" i="1"/>
  <c r="U2569" i="1"/>
  <c r="BB2569" i="1"/>
  <c r="BW2569" i="1"/>
  <c r="A2570" i="1"/>
  <c r="C2570" i="1"/>
  <c r="S2570" i="1"/>
  <c r="T2570" i="1"/>
  <c r="U2570" i="1"/>
  <c r="BB2570" i="1"/>
  <c r="BW2570" i="1"/>
  <c r="A2571" i="1"/>
  <c r="C2571" i="1"/>
  <c r="S2571" i="1"/>
  <c r="T2571" i="1"/>
  <c r="U2571" i="1"/>
  <c r="BB2571" i="1"/>
  <c r="BW2571" i="1"/>
  <c r="A2572" i="1"/>
  <c r="C2572" i="1"/>
  <c r="S2572" i="1"/>
  <c r="T2572" i="1"/>
  <c r="U2572" i="1"/>
  <c r="BB2572" i="1"/>
  <c r="BW2572" i="1"/>
  <c r="A2573" i="1"/>
  <c r="C2573" i="1"/>
  <c r="S2573" i="1"/>
  <c r="T2573" i="1"/>
  <c r="U2573" i="1"/>
  <c r="BB2573" i="1"/>
  <c r="BW2573" i="1"/>
  <c r="A2574" i="1"/>
  <c r="C2574" i="1"/>
  <c r="S2574" i="1"/>
  <c r="T2574" i="1"/>
  <c r="U2574" i="1"/>
  <c r="BB2574" i="1"/>
  <c r="BW2574" i="1"/>
  <c r="A2575" i="1"/>
  <c r="C2575" i="1"/>
  <c r="S2575" i="1"/>
  <c r="T2575" i="1"/>
  <c r="U2575" i="1"/>
  <c r="BB2575" i="1"/>
  <c r="BW2575" i="1"/>
  <c r="A2576" i="1"/>
  <c r="C2576" i="1"/>
  <c r="S2576" i="1"/>
  <c r="T2576" i="1"/>
  <c r="U2576" i="1"/>
  <c r="BB2576" i="1"/>
  <c r="BW2576" i="1"/>
  <c r="A2577" i="1"/>
  <c r="C2577" i="1"/>
  <c r="S2577" i="1"/>
  <c r="T2577" i="1"/>
  <c r="U2577" i="1"/>
  <c r="BB2577" i="1"/>
  <c r="BW2577" i="1"/>
  <c r="A2578" i="1"/>
  <c r="C2578" i="1"/>
  <c r="S2578" i="1"/>
  <c r="T2578" i="1"/>
  <c r="U2578" i="1"/>
  <c r="BB2578" i="1"/>
  <c r="BW2578" i="1"/>
  <c r="A2579" i="1"/>
  <c r="C2579" i="1"/>
  <c r="S2579" i="1"/>
  <c r="T2579" i="1"/>
  <c r="U2579" i="1"/>
  <c r="BB2579" i="1"/>
  <c r="BW2579" i="1"/>
  <c r="A2580" i="1"/>
  <c r="C2580" i="1"/>
  <c r="S2580" i="1"/>
  <c r="T2580" i="1"/>
  <c r="U2580" i="1"/>
  <c r="BB2580" i="1"/>
  <c r="BW2580" i="1"/>
  <c r="A2581" i="1"/>
  <c r="C2581" i="1"/>
  <c r="S2581" i="1"/>
  <c r="T2581" i="1"/>
  <c r="U2581" i="1"/>
  <c r="BB2581" i="1"/>
  <c r="BW2581" i="1"/>
  <c r="A2582" i="1"/>
  <c r="C2582" i="1"/>
  <c r="S2582" i="1"/>
  <c r="T2582" i="1"/>
  <c r="U2582" i="1"/>
  <c r="BB2582" i="1"/>
  <c r="BW2582" i="1"/>
  <c r="A2583" i="1"/>
  <c r="C2583" i="1"/>
  <c r="S2583" i="1"/>
  <c r="T2583" i="1"/>
  <c r="U2583" i="1"/>
  <c r="BB2583" i="1"/>
  <c r="BW2583" i="1"/>
  <c r="A2584" i="1"/>
  <c r="C2584" i="1"/>
  <c r="S2584" i="1"/>
  <c r="T2584" i="1"/>
  <c r="U2584" i="1"/>
  <c r="BB2584" i="1"/>
  <c r="BW2584" i="1"/>
  <c r="A2585" i="1"/>
  <c r="C2585" i="1"/>
  <c r="S2585" i="1"/>
  <c r="T2585" i="1"/>
  <c r="U2585" i="1"/>
  <c r="BB2585" i="1"/>
  <c r="BW2585" i="1"/>
  <c r="A2586" i="1"/>
  <c r="C2586" i="1"/>
  <c r="S2586" i="1"/>
  <c r="T2586" i="1"/>
  <c r="U2586" i="1"/>
  <c r="BB2586" i="1"/>
  <c r="BW2586" i="1"/>
  <c r="A2587" i="1"/>
  <c r="C2587" i="1"/>
  <c r="S2587" i="1"/>
  <c r="T2587" i="1"/>
  <c r="U2587" i="1"/>
  <c r="BB2587" i="1"/>
  <c r="BW2587" i="1"/>
  <c r="A2588" i="1"/>
  <c r="C2588" i="1"/>
  <c r="S2588" i="1"/>
  <c r="T2588" i="1"/>
  <c r="U2588" i="1"/>
  <c r="BB2588" i="1"/>
  <c r="BW2588" i="1"/>
  <c r="A2589" i="1"/>
  <c r="C2589" i="1"/>
  <c r="S2589" i="1"/>
  <c r="T2589" i="1"/>
  <c r="U2589" i="1"/>
  <c r="BB2589" i="1"/>
  <c r="BW2589" i="1"/>
  <c r="A2590" i="1"/>
  <c r="C2590" i="1"/>
  <c r="S2590" i="1"/>
  <c r="T2590" i="1"/>
  <c r="U2590" i="1"/>
  <c r="BB2590" i="1"/>
  <c r="BW2590" i="1"/>
  <c r="A2591" i="1"/>
  <c r="C2591" i="1"/>
  <c r="S2591" i="1"/>
  <c r="T2591" i="1"/>
  <c r="U2591" i="1"/>
  <c r="BB2591" i="1"/>
  <c r="BW2591" i="1"/>
  <c r="A2592" i="1"/>
  <c r="C2592" i="1"/>
  <c r="S2592" i="1"/>
  <c r="T2592" i="1"/>
  <c r="U2592" i="1"/>
  <c r="BB2592" i="1"/>
  <c r="BW2592" i="1"/>
  <c r="A2593" i="1"/>
  <c r="C2593" i="1"/>
  <c r="S2593" i="1"/>
  <c r="T2593" i="1"/>
  <c r="U2593" i="1"/>
  <c r="BB2593" i="1"/>
  <c r="BW2593" i="1"/>
  <c r="A2594" i="1"/>
  <c r="C2594" i="1"/>
  <c r="S2594" i="1"/>
  <c r="T2594" i="1"/>
  <c r="U2594" i="1"/>
  <c r="BB2594" i="1"/>
  <c r="BW2594" i="1"/>
  <c r="A2595" i="1"/>
  <c r="C2595" i="1"/>
  <c r="S2595" i="1"/>
  <c r="T2595" i="1"/>
  <c r="U2595" i="1"/>
  <c r="BB2595" i="1"/>
  <c r="BW2595" i="1"/>
  <c r="A2596" i="1"/>
  <c r="C2596" i="1"/>
  <c r="S2596" i="1"/>
  <c r="T2596" i="1"/>
  <c r="U2596" i="1"/>
  <c r="BB2596" i="1"/>
  <c r="BW2596" i="1"/>
  <c r="A2597" i="1"/>
  <c r="C2597" i="1"/>
  <c r="S2597" i="1"/>
  <c r="T2597" i="1"/>
  <c r="U2597" i="1"/>
  <c r="BB2597" i="1"/>
  <c r="BW2597" i="1"/>
  <c r="A2598" i="1"/>
  <c r="C2598" i="1"/>
  <c r="S2598" i="1"/>
  <c r="T2598" i="1"/>
  <c r="U2598" i="1"/>
  <c r="BB2598" i="1"/>
  <c r="BW2598" i="1"/>
  <c r="A2599" i="1"/>
  <c r="C2599" i="1"/>
  <c r="S2599" i="1"/>
  <c r="T2599" i="1"/>
  <c r="U2599" i="1"/>
  <c r="BB2599" i="1"/>
  <c r="BW2599" i="1"/>
  <c r="A2600" i="1"/>
  <c r="C2600" i="1"/>
  <c r="S2600" i="1"/>
  <c r="T2600" i="1"/>
  <c r="U2600" i="1"/>
  <c r="BB2600" i="1"/>
  <c r="BW2600" i="1"/>
  <c r="A2601" i="1"/>
  <c r="C2601" i="1"/>
  <c r="S2601" i="1"/>
  <c r="T2601" i="1"/>
  <c r="U2601" i="1"/>
  <c r="BB2601" i="1"/>
  <c r="BW2601" i="1"/>
  <c r="A2602" i="1"/>
  <c r="C2602" i="1"/>
  <c r="S2602" i="1"/>
  <c r="T2602" i="1"/>
  <c r="U2602" i="1"/>
  <c r="BB2602" i="1"/>
  <c r="BW2602" i="1"/>
  <c r="A2603" i="1"/>
  <c r="C2603" i="1"/>
  <c r="S2603" i="1"/>
  <c r="T2603" i="1"/>
  <c r="U2603" i="1"/>
  <c r="BB2603" i="1"/>
  <c r="BW2603" i="1"/>
  <c r="A2604" i="1"/>
  <c r="C2604" i="1"/>
  <c r="S2604" i="1"/>
  <c r="T2604" i="1"/>
  <c r="U2604" i="1"/>
  <c r="BB2604" i="1"/>
  <c r="BW2604" i="1"/>
  <c r="A2605" i="1"/>
  <c r="C2605" i="1"/>
  <c r="S2605" i="1"/>
  <c r="T2605" i="1"/>
  <c r="U2605" i="1"/>
  <c r="BB2605" i="1"/>
  <c r="BW2605" i="1"/>
  <c r="A2606" i="1"/>
  <c r="C2606" i="1"/>
  <c r="S2606" i="1"/>
  <c r="T2606" i="1"/>
  <c r="U2606" i="1"/>
  <c r="BB2606" i="1"/>
  <c r="BW2606" i="1"/>
  <c r="A2607" i="1"/>
  <c r="C2607" i="1"/>
  <c r="S2607" i="1"/>
  <c r="T2607" i="1"/>
  <c r="U2607" i="1"/>
  <c r="BB2607" i="1"/>
  <c r="BW2607" i="1"/>
  <c r="A2608" i="1"/>
  <c r="C2608" i="1"/>
  <c r="S2608" i="1"/>
  <c r="T2608" i="1"/>
  <c r="U2608" i="1"/>
  <c r="BB2608" i="1"/>
  <c r="BW2608" i="1"/>
  <c r="A2609" i="1"/>
  <c r="C2609" i="1"/>
  <c r="S2609" i="1"/>
  <c r="T2609" i="1"/>
  <c r="U2609" i="1"/>
  <c r="BB2609" i="1"/>
  <c r="BW2609" i="1"/>
  <c r="A2610" i="1"/>
  <c r="C2610" i="1"/>
  <c r="S2610" i="1"/>
  <c r="T2610" i="1"/>
  <c r="U2610" i="1"/>
  <c r="BB2610" i="1"/>
  <c r="BW2610" i="1"/>
  <c r="A2611" i="1"/>
  <c r="C2611" i="1"/>
  <c r="S2611" i="1"/>
  <c r="T2611" i="1"/>
  <c r="U2611" i="1"/>
  <c r="BB2611" i="1"/>
  <c r="BW2611" i="1"/>
  <c r="A2612" i="1"/>
  <c r="C2612" i="1"/>
  <c r="S2612" i="1"/>
  <c r="T2612" i="1"/>
  <c r="U2612" i="1"/>
  <c r="BB2612" i="1"/>
  <c r="BW2612" i="1"/>
  <c r="A2613" i="1"/>
  <c r="C2613" i="1"/>
  <c r="S2613" i="1"/>
  <c r="T2613" i="1"/>
  <c r="U2613" i="1"/>
  <c r="BB2613" i="1"/>
  <c r="BW2613" i="1"/>
  <c r="A2614" i="1"/>
  <c r="C2614" i="1"/>
  <c r="S2614" i="1"/>
  <c r="T2614" i="1"/>
  <c r="U2614" i="1"/>
  <c r="BB2614" i="1"/>
  <c r="BW2614" i="1"/>
  <c r="A2615" i="1"/>
  <c r="C2615" i="1"/>
  <c r="S2615" i="1"/>
  <c r="T2615" i="1"/>
  <c r="U2615" i="1"/>
  <c r="BB2615" i="1"/>
  <c r="BW2615" i="1"/>
  <c r="A2616" i="1"/>
  <c r="C2616" i="1"/>
  <c r="S2616" i="1"/>
  <c r="T2616" i="1"/>
  <c r="U2616" i="1"/>
  <c r="BB2616" i="1"/>
  <c r="BW2616" i="1"/>
  <c r="A2617" i="1"/>
  <c r="C2617" i="1"/>
  <c r="S2617" i="1"/>
  <c r="T2617" i="1"/>
  <c r="U2617" i="1"/>
  <c r="BB2617" i="1"/>
  <c r="BW2617" i="1"/>
  <c r="A2618" i="1"/>
  <c r="C2618" i="1"/>
  <c r="S2618" i="1"/>
  <c r="T2618" i="1"/>
  <c r="U2618" i="1"/>
  <c r="BB2618" i="1"/>
  <c r="BW2618" i="1"/>
  <c r="A2619" i="1"/>
  <c r="C2619" i="1"/>
  <c r="S2619" i="1"/>
  <c r="T2619" i="1"/>
  <c r="U2619" i="1"/>
  <c r="BB2619" i="1"/>
  <c r="BW2619" i="1"/>
  <c r="A2620" i="1"/>
  <c r="C2620" i="1"/>
  <c r="S2620" i="1"/>
  <c r="T2620" i="1"/>
  <c r="U2620" i="1"/>
  <c r="BB2620" i="1"/>
  <c r="BW2620" i="1"/>
  <c r="A2621" i="1"/>
  <c r="C2621" i="1"/>
  <c r="S2621" i="1"/>
  <c r="T2621" i="1"/>
  <c r="U2621" i="1"/>
  <c r="BB2621" i="1"/>
  <c r="BW2621" i="1"/>
  <c r="A2622" i="1"/>
  <c r="C2622" i="1"/>
  <c r="S2622" i="1"/>
  <c r="T2622" i="1"/>
  <c r="U2622" i="1"/>
  <c r="BB2622" i="1"/>
  <c r="BW2622" i="1"/>
  <c r="A2623" i="1"/>
  <c r="C2623" i="1"/>
  <c r="S2623" i="1"/>
  <c r="T2623" i="1"/>
  <c r="U2623" i="1"/>
  <c r="BB2623" i="1"/>
  <c r="BW2623" i="1"/>
  <c r="A2624" i="1"/>
  <c r="C2624" i="1"/>
  <c r="S2624" i="1"/>
  <c r="T2624" i="1"/>
  <c r="U2624" i="1"/>
  <c r="BB2624" i="1"/>
  <c r="BW2624" i="1"/>
  <c r="A2625" i="1"/>
  <c r="C2625" i="1"/>
  <c r="S2625" i="1"/>
  <c r="T2625" i="1"/>
  <c r="U2625" i="1"/>
  <c r="BB2625" i="1"/>
  <c r="BW2625" i="1"/>
  <c r="A2626" i="1"/>
  <c r="C2626" i="1"/>
  <c r="S2626" i="1"/>
  <c r="T2626" i="1"/>
  <c r="U2626" i="1"/>
  <c r="BB2626" i="1"/>
  <c r="BW2626" i="1"/>
  <c r="A2627" i="1"/>
  <c r="C2627" i="1"/>
  <c r="S2627" i="1"/>
  <c r="T2627" i="1"/>
  <c r="U2627" i="1"/>
  <c r="BB2627" i="1"/>
  <c r="BW2627" i="1"/>
  <c r="A2628" i="1"/>
  <c r="C2628" i="1"/>
  <c r="S2628" i="1"/>
  <c r="T2628" i="1"/>
  <c r="U2628" i="1"/>
  <c r="BB2628" i="1"/>
  <c r="BW2628" i="1"/>
  <c r="A2629" i="1"/>
  <c r="C2629" i="1"/>
  <c r="S2629" i="1"/>
  <c r="T2629" i="1"/>
  <c r="U2629" i="1"/>
  <c r="BB2629" i="1"/>
  <c r="BW2629" i="1"/>
  <c r="A2630" i="1"/>
  <c r="C2630" i="1"/>
  <c r="S2630" i="1"/>
  <c r="T2630" i="1"/>
  <c r="U2630" i="1"/>
  <c r="BB2630" i="1"/>
  <c r="BW2630" i="1"/>
  <c r="A2631" i="1"/>
  <c r="C2631" i="1"/>
  <c r="S2631" i="1"/>
  <c r="T2631" i="1"/>
  <c r="U2631" i="1"/>
  <c r="BB2631" i="1"/>
  <c r="BW2631" i="1"/>
  <c r="A2632" i="1"/>
  <c r="C2632" i="1"/>
  <c r="S2632" i="1"/>
  <c r="T2632" i="1"/>
  <c r="U2632" i="1"/>
  <c r="BB2632" i="1"/>
  <c r="BW2632" i="1"/>
  <c r="A2633" i="1"/>
  <c r="C2633" i="1"/>
  <c r="S2633" i="1"/>
  <c r="T2633" i="1"/>
  <c r="U2633" i="1"/>
  <c r="BB2633" i="1"/>
  <c r="BW2633" i="1"/>
  <c r="A2634" i="1"/>
  <c r="C2634" i="1"/>
  <c r="S2634" i="1"/>
  <c r="T2634" i="1"/>
  <c r="U2634" i="1"/>
  <c r="BB2634" i="1"/>
  <c r="BW2634" i="1"/>
  <c r="A2635" i="1"/>
  <c r="C2635" i="1"/>
  <c r="S2635" i="1"/>
  <c r="T2635" i="1"/>
  <c r="U2635" i="1"/>
  <c r="BB2635" i="1"/>
  <c r="BW2635" i="1"/>
  <c r="A2636" i="1"/>
  <c r="C2636" i="1"/>
  <c r="S2636" i="1"/>
  <c r="T2636" i="1"/>
  <c r="U2636" i="1"/>
  <c r="BB2636" i="1"/>
  <c r="BW2636" i="1"/>
  <c r="A2637" i="1"/>
  <c r="C2637" i="1"/>
  <c r="S2637" i="1"/>
  <c r="T2637" i="1"/>
  <c r="U2637" i="1"/>
  <c r="BB2637" i="1"/>
  <c r="BW2637" i="1"/>
  <c r="A2638" i="1"/>
  <c r="C2638" i="1"/>
  <c r="S2638" i="1"/>
  <c r="T2638" i="1"/>
  <c r="U2638" i="1"/>
  <c r="BB2638" i="1"/>
  <c r="BW2638" i="1"/>
  <c r="A2639" i="1"/>
  <c r="C2639" i="1"/>
  <c r="S2639" i="1"/>
  <c r="T2639" i="1"/>
  <c r="U2639" i="1"/>
  <c r="BB2639" i="1"/>
  <c r="BW2639" i="1"/>
  <c r="A2640" i="1"/>
  <c r="C2640" i="1"/>
  <c r="S2640" i="1"/>
  <c r="T2640" i="1"/>
  <c r="U2640" i="1"/>
  <c r="BB2640" i="1"/>
  <c r="BW2640" i="1"/>
  <c r="A2641" i="1"/>
  <c r="C2641" i="1"/>
  <c r="S2641" i="1"/>
  <c r="T2641" i="1"/>
  <c r="U2641" i="1"/>
  <c r="BB2641" i="1"/>
  <c r="BW2641" i="1"/>
  <c r="A2642" i="1"/>
  <c r="C2642" i="1"/>
  <c r="S2642" i="1"/>
  <c r="T2642" i="1"/>
  <c r="U2642" i="1"/>
  <c r="BB2642" i="1"/>
  <c r="BW2642" i="1"/>
  <c r="A2643" i="1"/>
  <c r="C2643" i="1"/>
  <c r="S2643" i="1"/>
  <c r="T2643" i="1"/>
  <c r="U2643" i="1"/>
  <c r="BB2643" i="1"/>
  <c r="BW2643" i="1"/>
  <c r="A2644" i="1"/>
  <c r="C2644" i="1"/>
  <c r="S2644" i="1"/>
  <c r="T2644" i="1"/>
  <c r="U2644" i="1"/>
  <c r="BB2644" i="1"/>
  <c r="BW2644" i="1"/>
  <c r="A2645" i="1"/>
  <c r="C2645" i="1"/>
  <c r="S2645" i="1"/>
  <c r="T2645" i="1"/>
  <c r="U2645" i="1"/>
  <c r="BB2645" i="1"/>
  <c r="BW2645" i="1"/>
  <c r="A2646" i="1"/>
  <c r="C2646" i="1"/>
  <c r="S2646" i="1"/>
  <c r="T2646" i="1"/>
  <c r="U2646" i="1"/>
  <c r="BB2646" i="1"/>
  <c r="BW2646" i="1"/>
  <c r="A2647" i="1"/>
  <c r="C2647" i="1"/>
  <c r="S2647" i="1"/>
  <c r="T2647" i="1"/>
  <c r="U2647" i="1"/>
  <c r="BB2647" i="1"/>
  <c r="BW2647" i="1"/>
  <c r="A2648" i="1"/>
  <c r="C2648" i="1"/>
  <c r="S2648" i="1"/>
  <c r="T2648" i="1"/>
  <c r="U2648" i="1"/>
  <c r="BB2648" i="1"/>
  <c r="BW2648" i="1"/>
  <c r="A2649" i="1"/>
  <c r="C2649" i="1"/>
  <c r="S2649" i="1"/>
  <c r="T2649" i="1"/>
  <c r="U2649" i="1"/>
  <c r="BB2649" i="1"/>
  <c r="BW2649" i="1"/>
  <c r="A2650" i="1"/>
  <c r="C2650" i="1"/>
  <c r="S2650" i="1"/>
  <c r="T2650" i="1"/>
  <c r="U2650" i="1"/>
  <c r="BB2650" i="1"/>
  <c r="BW2650" i="1"/>
  <c r="A2651" i="1"/>
  <c r="C2651" i="1"/>
  <c r="S2651" i="1"/>
  <c r="T2651" i="1"/>
  <c r="U2651" i="1"/>
  <c r="BB2651" i="1"/>
  <c r="BW2651" i="1"/>
  <c r="A2652" i="1"/>
  <c r="C2652" i="1"/>
  <c r="S2652" i="1"/>
  <c r="T2652" i="1"/>
  <c r="U2652" i="1"/>
  <c r="BB2652" i="1"/>
  <c r="BW2652" i="1"/>
  <c r="A2653" i="1"/>
  <c r="C2653" i="1"/>
  <c r="S2653" i="1"/>
  <c r="T2653" i="1"/>
  <c r="U2653" i="1"/>
  <c r="BB2653" i="1"/>
  <c r="BW2653" i="1"/>
  <c r="A2654" i="1"/>
  <c r="C2654" i="1"/>
  <c r="S2654" i="1"/>
  <c r="T2654" i="1"/>
  <c r="U2654" i="1"/>
  <c r="BB2654" i="1"/>
  <c r="BW2654" i="1"/>
  <c r="A2655" i="1"/>
  <c r="C2655" i="1"/>
  <c r="S2655" i="1"/>
  <c r="T2655" i="1"/>
  <c r="U2655" i="1"/>
  <c r="BB2655" i="1"/>
  <c r="BW2655" i="1"/>
  <c r="A2656" i="1"/>
  <c r="C2656" i="1"/>
  <c r="S2656" i="1"/>
  <c r="T2656" i="1"/>
  <c r="U2656" i="1"/>
  <c r="BB2656" i="1"/>
  <c r="BW2656" i="1"/>
  <c r="A2657" i="1"/>
  <c r="C2657" i="1"/>
  <c r="S2657" i="1"/>
  <c r="T2657" i="1"/>
  <c r="U2657" i="1"/>
  <c r="BB2657" i="1"/>
  <c r="BW2657" i="1"/>
  <c r="A2658" i="1"/>
  <c r="C2658" i="1"/>
  <c r="S2658" i="1"/>
  <c r="T2658" i="1"/>
  <c r="U2658" i="1"/>
  <c r="BB2658" i="1"/>
  <c r="BW2658" i="1"/>
  <c r="A2659" i="1"/>
  <c r="C2659" i="1"/>
  <c r="S2659" i="1"/>
  <c r="T2659" i="1"/>
  <c r="U2659" i="1"/>
  <c r="BB2659" i="1"/>
  <c r="BW2659" i="1"/>
  <c r="A2660" i="1"/>
  <c r="C2660" i="1"/>
  <c r="S2660" i="1"/>
  <c r="T2660" i="1"/>
  <c r="U2660" i="1"/>
  <c r="BB2660" i="1"/>
  <c r="BW2660" i="1"/>
  <c r="A2661" i="1"/>
  <c r="C2661" i="1"/>
  <c r="S2661" i="1"/>
  <c r="T2661" i="1"/>
  <c r="U2661" i="1"/>
  <c r="BB2661" i="1"/>
  <c r="BW2661" i="1"/>
  <c r="A2662" i="1"/>
  <c r="C2662" i="1"/>
  <c r="S2662" i="1"/>
  <c r="T2662" i="1"/>
  <c r="U2662" i="1"/>
  <c r="BB2662" i="1"/>
  <c r="BW2662" i="1"/>
  <c r="A2663" i="1"/>
  <c r="C2663" i="1"/>
  <c r="S2663" i="1"/>
  <c r="T2663" i="1"/>
  <c r="U2663" i="1"/>
  <c r="BB2663" i="1"/>
  <c r="BW2663" i="1"/>
  <c r="A2664" i="1"/>
  <c r="C2664" i="1"/>
  <c r="S2664" i="1"/>
  <c r="T2664" i="1"/>
  <c r="U2664" i="1"/>
  <c r="BB2664" i="1"/>
  <c r="BW2664" i="1"/>
  <c r="A2665" i="1"/>
  <c r="C2665" i="1"/>
  <c r="S2665" i="1"/>
  <c r="T2665" i="1"/>
  <c r="U2665" i="1"/>
  <c r="BB2665" i="1"/>
  <c r="BW2665" i="1"/>
  <c r="A2666" i="1"/>
  <c r="C2666" i="1"/>
  <c r="S2666" i="1"/>
  <c r="T2666" i="1"/>
  <c r="U2666" i="1"/>
  <c r="BB2666" i="1"/>
  <c r="BW2666" i="1"/>
  <c r="A2667" i="1"/>
  <c r="C2667" i="1"/>
  <c r="S2667" i="1"/>
  <c r="T2667" i="1"/>
  <c r="U2667" i="1"/>
  <c r="BB2667" i="1"/>
  <c r="BW2667" i="1"/>
  <c r="A2668" i="1"/>
  <c r="C2668" i="1"/>
  <c r="S2668" i="1"/>
  <c r="T2668" i="1"/>
  <c r="U2668" i="1"/>
  <c r="BB2668" i="1"/>
  <c r="BW2668" i="1"/>
  <c r="A2669" i="1"/>
  <c r="C2669" i="1"/>
  <c r="S2669" i="1"/>
  <c r="T2669" i="1"/>
  <c r="U2669" i="1"/>
  <c r="BB2669" i="1"/>
  <c r="BW2669" i="1"/>
  <c r="A2670" i="1"/>
  <c r="C2670" i="1"/>
  <c r="S2670" i="1"/>
  <c r="T2670" i="1"/>
  <c r="U2670" i="1"/>
  <c r="BB2670" i="1"/>
  <c r="BW2670" i="1"/>
  <c r="A2671" i="1"/>
  <c r="C2671" i="1"/>
  <c r="S2671" i="1"/>
  <c r="T2671" i="1"/>
  <c r="U2671" i="1"/>
  <c r="BB2671" i="1"/>
  <c r="BW2671" i="1"/>
  <c r="A2672" i="1"/>
  <c r="C2672" i="1"/>
  <c r="S2672" i="1"/>
  <c r="T2672" i="1"/>
  <c r="U2672" i="1"/>
  <c r="BB2672" i="1"/>
  <c r="BW2672" i="1"/>
  <c r="A2673" i="1"/>
  <c r="C2673" i="1"/>
  <c r="S2673" i="1"/>
  <c r="T2673" i="1"/>
  <c r="U2673" i="1"/>
  <c r="BB2673" i="1"/>
  <c r="BW2673" i="1"/>
  <c r="A2674" i="1"/>
  <c r="C2674" i="1"/>
  <c r="S2674" i="1"/>
  <c r="T2674" i="1"/>
  <c r="U2674" i="1"/>
  <c r="BB2674" i="1"/>
  <c r="BW2674" i="1"/>
  <c r="A2675" i="1"/>
  <c r="C2675" i="1"/>
  <c r="S2675" i="1"/>
  <c r="T2675" i="1"/>
  <c r="U2675" i="1"/>
  <c r="BB2675" i="1"/>
  <c r="BW2675" i="1"/>
  <c r="A2676" i="1"/>
  <c r="C2676" i="1"/>
  <c r="S2676" i="1"/>
  <c r="T2676" i="1"/>
  <c r="U2676" i="1"/>
  <c r="BB2676" i="1"/>
  <c r="BW2676" i="1"/>
  <c r="A2677" i="1"/>
  <c r="C2677" i="1"/>
  <c r="S2677" i="1"/>
  <c r="T2677" i="1"/>
  <c r="U2677" i="1"/>
  <c r="BB2677" i="1"/>
  <c r="BW2677" i="1"/>
  <c r="A2678" i="1"/>
  <c r="C2678" i="1"/>
  <c r="S2678" i="1"/>
  <c r="T2678" i="1"/>
  <c r="U2678" i="1"/>
  <c r="BB2678" i="1"/>
  <c r="BW2678" i="1"/>
  <c r="A2679" i="1"/>
  <c r="C2679" i="1"/>
  <c r="S2679" i="1"/>
  <c r="T2679" i="1"/>
  <c r="U2679" i="1"/>
  <c r="BB2679" i="1"/>
  <c r="BW2679" i="1"/>
  <c r="A2680" i="1"/>
  <c r="C2680" i="1"/>
  <c r="S2680" i="1"/>
  <c r="T2680" i="1"/>
  <c r="U2680" i="1"/>
  <c r="BB2680" i="1"/>
  <c r="BW2680" i="1"/>
  <c r="A2681" i="1"/>
  <c r="C2681" i="1"/>
  <c r="S2681" i="1"/>
  <c r="T2681" i="1"/>
  <c r="U2681" i="1"/>
  <c r="BB2681" i="1"/>
  <c r="BW2681" i="1"/>
  <c r="A2682" i="1"/>
  <c r="C2682" i="1"/>
  <c r="S2682" i="1"/>
  <c r="T2682" i="1"/>
  <c r="U2682" i="1"/>
  <c r="BB2682" i="1"/>
  <c r="BW2682" i="1"/>
  <c r="A2683" i="1"/>
  <c r="C2683" i="1"/>
  <c r="S2683" i="1"/>
  <c r="T2683" i="1"/>
  <c r="U2683" i="1"/>
  <c r="BB2683" i="1"/>
  <c r="BW2683" i="1"/>
  <c r="A2684" i="1"/>
  <c r="C2684" i="1"/>
  <c r="S2684" i="1"/>
  <c r="T2684" i="1"/>
  <c r="U2684" i="1"/>
  <c r="BB2684" i="1"/>
  <c r="BW2684" i="1"/>
  <c r="A2685" i="1"/>
  <c r="C2685" i="1"/>
  <c r="S2685" i="1"/>
  <c r="T2685" i="1"/>
  <c r="U2685" i="1"/>
  <c r="BB2685" i="1"/>
  <c r="BW2685" i="1"/>
  <c r="A2686" i="1"/>
  <c r="C2686" i="1"/>
  <c r="S2686" i="1"/>
  <c r="T2686" i="1"/>
  <c r="U2686" i="1"/>
  <c r="BB2686" i="1"/>
  <c r="BW2686" i="1"/>
  <c r="A2687" i="1"/>
  <c r="C2687" i="1"/>
  <c r="S2687" i="1"/>
  <c r="T2687" i="1"/>
  <c r="U2687" i="1"/>
  <c r="BB2687" i="1"/>
  <c r="BW2687" i="1"/>
  <c r="A2688" i="1"/>
  <c r="C2688" i="1"/>
  <c r="S2688" i="1"/>
  <c r="T2688" i="1"/>
  <c r="U2688" i="1"/>
  <c r="BB2688" i="1"/>
  <c r="BW2688" i="1"/>
  <c r="A2689" i="1"/>
  <c r="C2689" i="1"/>
  <c r="S2689" i="1"/>
  <c r="T2689" i="1"/>
  <c r="U2689" i="1"/>
  <c r="BB2689" i="1"/>
  <c r="BW2689" i="1"/>
  <c r="A2690" i="1"/>
  <c r="C2690" i="1"/>
  <c r="S2690" i="1"/>
  <c r="T2690" i="1"/>
  <c r="U2690" i="1"/>
  <c r="BB2690" i="1"/>
  <c r="BW2690" i="1"/>
  <c r="A2691" i="1"/>
  <c r="C2691" i="1"/>
  <c r="S2691" i="1"/>
  <c r="T2691" i="1"/>
  <c r="U2691" i="1"/>
  <c r="BB2691" i="1"/>
  <c r="BW2691" i="1"/>
  <c r="A2692" i="1"/>
  <c r="C2692" i="1"/>
  <c r="S2692" i="1"/>
  <c r="T2692" i="1"/>
  <c r="U2692" i="1"/>
  <c r="BB2692" i="1"/>
  <c r="BW2692" i="1"/>
  <c r="A2693" i="1"/>
  <c r="C2693" i="1"/>
  <c r="S2693" i="1"/>
  <c r="T2693" i="1"/>
  <c r="U2693" i="1"/>
  <c r="BB2693" i="1"/>
  <c r="BW2693" i="1"/>
  <c r="A2694" i="1"/>
  <c r="C2694" i="1"/>
  <c r="S2694" i="1"/>
  <c r="T2694" i="1"/>
  <c r="U2694" i="1"/>
  <c r="BB2694" i="1"/>
  <c r="BW2694" i="1"/>
  <c r="A2695" i="1"/>
  <c r="C2695" i="1"/>
  <c r="S2695" i="1"/>
  <c r="T2695" i="1"/>
  <c r="U2695" i="1"/>
  <c r="BB2695" i="1"/>
  <c r="BW2695" i="1"/>
  <c r="A2696" i="1"/>
  <c r="C2696" i="1"/>
  <c r="S2696" i="1"/>
  <c r="T2696" i="1"/>
  <c r="U2696" i="1"/>
  <c r="BB2696" i="1"/>
  <c r="BW2696" i="1"/>
  <c r="A2697" i="1"/>
  <c r="C2697" i="1"/>
  <c r="S2697" i="1"/>
  <c r="T2697" i="1"/>
  <c r="U2697" i="1"/>
  <c r="BB2697" i="1"/>
  <c r="BW2697" i="1"/>
  <c r="A2698" i="1"/>
  <c r="C2698" i="1"/>
  <c r="S2698" i="1"/>
  <c r="T2698" i="1"/>
  <c r="U2698" i="1"/>
  <c r="BB2698" i="1"/>
  <c r="BW2698" i="1"/>
  <c r="A2699" i="1"/>
  <c r="C2699" i="1"/>
  <c r="S2699" i="1"/>
  <c r="T2699" i="1"/>
  <c r="U2699" i="1"/>
  <c r="BB2699" i="1"/>
  <c r="BW2699" i="1"/>
  <c r="A2700" i="1"/>
  <c r="C2700" i="1"/>
  <c r="S2700" i="1"/>
  <c r="T2700" i="1"/>
  <c r="U2700" i="1"/>
  <c r="BB2700" i="1"/>
  <c r="BW2700" i="1"/>
  <c r="A2701" i="1"/>
  <c r="C2701" i="1"/>
  <c r="S2701" i="1"/>
  <c r="T2701" i="1"/>
  <c r="U2701" i="1"/>
  <c r="BB2701" i="1"/>
  <c r="BW2701" i="1"/>
  <c r="A2702" i="1"/>
  <c r="C2702" i="1"/>
  <c r="S2702" i="1"/>
  <c r="T2702" i="1"/>
  <c r="U2702" i="1"/>
  <c r="BB2702" i="1"/>
  <c r="BW2702" i="1"/>
  <c r="A2703" i="1"/>
  <c r="C2703" i="1"/>
  <c r="S2703" i="1"/>
  <c r="T2703" i="1"/>
  <c r="U2703" i="1"/>
  <c r="BB2703" i="1"/>
  <c r="BW2703" i="1"/>
  <c r="A2704" i="1"/>
  <c r="C2704" i="1"/>
  <c r="S2704" i="1"/>
  <c r="T2704" i="1"/>
  <c r="U2704" i="1"/>
  <c r="BB2704" i="1"/>
  <c r="BW2704" i="1"/>
  <c r="A2705" i="1"/>
  <c r="C2705" i="1"/>
  <c r="S2705" i="1"/>
  <c r="T2705" i="1"/>
  <c r="U2705" i="1"/>
  <c r="BB2705" i="1"/>
  <c r="BW2705" i="1"/>
  <c r="A2706" i="1"/>
  <c r="C2706" i="1"/>
  <c r="S2706" i="1"/>
  <c r="T2706" i="1"/>
  <c r="U2706" i="1"/>
  <c r="BB2706" i="1"/>
  <c r="BW2706" i="1"/>
  <c r="A2707" i="1"/>
  <c r="C2707" i="1"/>
  <c r="S2707" i="1"/>
  <c r="T2707" i="1"/>
  <c r="U2707" i="1"/>
  <c r="BB2707" i="1"/>
  <c r="BW2707" i="1"/>
  <c r="A2708" i="1"/>
  <c r="C2708" i="1"/>
  <c r="S2708" i="1"/>
  <c r="T2708" i="1"/>
  <c r="U2708" i="1"/>
  <c r="BB2708" i="1"/>
  <c r="BW2708" i="1"/>
  <c r="A2709" i="1"/>
  <c r="C2709" i="1"/>
  <c r="S2709" i="1"/>
  <c r="T2709" i="1"/>
  <c r="U2709" i="1"/>
  <c r="BB2709" i="1"/>
  <c r="BW2709" i="1"/>
  <c r="A2710" i="1"/>
  <c r="C2710" i="1"/>
  <c r="S2710" i="1"/>
  <c r="T2710" i="1"/>
  <c r="U2710" i="1"/>
  <c r="BB2710" i="1"/>
  <c r="BW2710" i="1"/>
  <c r="A2711" i="1"/>
  <c r="C2711" i="1"/>
  <c r="S2711" i="1"/>
  <c r="T2711" i="1"/>
  <c r="U2711" i="1"/>
  <c r="BB2711" i="1"/>
  <c r="BW2711" i="1"/>
  <c r="A2712" i="1"/>
  <c r="C2712" i="1"/>
  <c r="S2712" i="1"/>
  <c r="T2712" i="1"/>
  <c r="U2712" i="1"/>
  <c r="BB2712" i="1"/>
  <c r="BW2712" i="1"/>
  <c r="A2713" i="1"/>
  <c r="C2713" i="1"/>
  <c r="S2713" i="1"/>
  <c r="T2713" i="1"/>
  <c r="U2713" i="1"/>
  <c r="BB2713" i="1"/>
  <c r="BW2713" i="1"/>
  <c r="A2714" i="1"/>
  <c r="C2714" i="1"/>
  <c r="S2714" i="1"/>
  <c r="T2714" i="1"/>
  <c r="U2714" i="1"/>
  <c r="BB2714" i="1"/>
  <c r="BW2714" i="1"/>
  <c r="A2715" i="1"/>
  <c r="C2715" i="1"/>
  <c r="S2715" i="1"/>
  <c r="T2715" i="1"/>
  <c r="U2715" i="1"/>
  <c r="BB2715" i="1"/>
  <c r="BW2715" i="1"/>
  <c r="A2716" i="1"/>
  <c r="C2716" i="1"/>
  <c r="S2716" i="1"/>
  <c r="T2716" i="1"/>
  <c r="U2716" i="1"/>
  <c r="BB2716" i="1"/>
  <c r="BW2716" i="1"/>
  <c r="A2717" i="1"/>
  <c r="C2717" i="1"/>
  <c r="S2717" i="1"/>
  <c r="T2717" i="1"/>
  <c r="U2717" i="1"/>
  <c r="BB2717" i="1"/>
  <c r="BW2717" i="1"/>
  <c r="A2718" i="1"/>
  <c r="C2718" i="1"/>
  <c r="S2718" i="1"/>
  <c r="T2718" i="1"/>
  <c r="U2718" i="1"/>
  <c r="BB2718" i="1"/>
  <c r="BW2718" i="1"/>
  <c r="A2719" i="1"/>
  <c r="C2719" i="1"/>
  <c r="S2719" i="1"/>
  <c r="T2719" i="1"/>
  <c r="U2719" i="1"/>
  <c r="BB2719" i="1"/>
  <c r="BW2719" i="1"/>
  <c r="A2720" i="1"/>
  <c r="C2720" i="1"/>
  <c r="S2720" i="1"/>
  <c r="T2720" i="1"/>
  <c r="U2720" i="1"/>
  <c r="BB2720" i="1"/>
  <c r="BW2720" i="1"/>
  <c r="A2721" i="1"/>
  <c r="C2721" i="1"/>
  <c r="S2721" i="1"/>
  <c r="T2721" i="1"/>
  <c r="U2721" i="1"/>
  <c r="BB2721" i="1"/>
  <c r="BW2721" i="1"/>
  <c r="A2722" i="1"/>
  <c r="C2722" i="1"/>
  <c r="S2722" i="1"/>
  <c r="T2722" i="1"/>
  <c r="U2722" i="1"/>
  <c r="BB2722" i="1"/>
  <c r="BW2722" i="1"/>
  <c r="A2723" i="1"/>
  <c r="C2723" i="1"/>
  <c r="S2723" i="1"/>
  <c r="T2723" i="1"/>
  <c r="U2723" i="1"/>
  <c r="BB2723" i="1"/>
  <c r="BW2723" i="1"/>
  <c r="A2724" i="1"/>
  <c r="C2724" i="1"/>
  <c r="S2724" i="1"/>
  <c r="T2724" i="1"/>
  <c r="U2724" i="1"/>
  <c r="BB2724" i="1"/>
  <c r="BW2724" i="1"/>
  <c r="A2725" i="1"/>
  <c r="C2725" i="1"/>
  <c r="S2725" i="1"/>
  <c r="T2725" i="1"/>
  <c r="U2725" i="1"/>
  <c r="BB2725" i="1"/>
  <c r="BW2725" i="1"/>
  <c r="A2726" i="1"/>
  <c r="C2726" i="1"/>
  <c r="S2726" i="1"/>
  <c r="T2726" i="1"/>
  <c r="U2726" i="1"/>
  <c r="BB2726" i="1"/>
  <c r="BW2726" i="1"/>
  <c r="A2727" i="1"/>
  <c r="C2727" i="1"/>
  <c r="S2727" i="1"/>
  <c r="T2727" i="1"/>
  <c r="U2727" i="1"/>
  <c r="BB2727" i="1"/>
  <c r="BW2727" i="1"/>
  <c r="A2728" i="1"/>
  <c r="C2728" i="1"/>
  <c r="S2728" i="1"/>
  <c r="T2728" i="1"/>
  <c r="U2728" i="1"/>
  <c r="BB2728" i="1"/>
  <c r="BW2728" i="1"/>
  <c r="A2729" i="1"/>
  <c r="C2729" i="1"/>
  <c r="S2729" i="1"/>
  <c r="T2729" i="1"/>
  <c r="U2729" i="1"/>
  <c r="BB2729" i="1"/>
  <c r="BW2729" i="1"/>
  <c r="A2730" i="1"/>
  <c r="C2730" i="1"/>
  <c r="S2730" i="1"/>
  <c r="T2730" i="1"/>
  <c r="U2730" i="1"/>
  <c r="BB2730" i="1"/>
  <c r="BW2730" i="1"/>
  <c r="A2731" i="1"/>
  <c r="C2731" i="1"/>
  <c r="S2731" i="1"/>
  <c r="T2731" i="1"/>
  <c r="U2731" i="1"/>
  <c r="BB2731" i="1"/>
  <c r="BW2731" i="1"/>
  <c r="A2732" i="1"/>
  <c r="C2732" i="1"/>
  <c r="S2732" i="1"/>
  <c r="T2732" i="1"/>
  <c r="U2732" i="1"/>
  <c r="BB2732" i="1"/>
  <c r="BW2732" i="1"/>
  <c r="A2733" i="1"/>
  <c r="C2733" i="1"/>
  <c r="S2733" i="1"/>
  <c r="T2733" i="1"/>
  <c r="U2733" i="1"/>
  <c r="BB2733" i="1"/>
  <c r="BW2733" i="1"/>
  <c r="A2734" i="1"/>
  <c r="C2734" i="1"/>
  <c r="S2734" i="1"/>
  <c r="T2734" i="1"/>
  <c r="U2734" i="1"/>
  <c r="BB2734" i="1"/>
  <c r="BW2734" i="1"/>
  <c r="A2735" i="1"/>
  <c r="C2735" i="1"/>
  <c r="S2735" i="1"/>
  <c r="T2735" i="1"/>
  <c r="U2735" i="1"/>
  <c r="BB2735" i="1"/>
  <c r="BW2735" i="1"/>
  <c r="A2736" i="1"/>
  <c r="C2736" i="1"/>
  <c r="S2736" i="1"/>
  <c r="T2736" i="1"/>
  <c r="U2736" i="1"/>
  <c r="BB2736" i="1"/>
  <c r="BW2736" i="1"/>
  <c r="A2737" i="1"/>
  <c r="C2737" i="1"/>
  <c r="S2737" i="1"/>
  <c r="T2737" i="1"/>
  <c r="U2737" i="1"/>
  <c r="BB2737" i="1"/>
  <c r="BW2737" i="1"/>
  <c r="A2738" i="1"/>
  <c r="C2738" i="1"/>
  <c r="S2738" i="1"/>
  <c r="T2738" i="1"/>
  <c r="U2738" i="1"/>
  <c r="BB2738" i="1"/>
  <c r="BW2738" i="1"/>
  <c r="A2739" i="1"/>
  <c r="C2739" i="1"/>
  <c r="S2739" i="1"/>
  <c r="T2739" i="1"/>
  <c r="U2739" i="1"/>
  <c r="BB2739" i="1"/>
  <c r="BW2739" i="1"/>
  <c r="A2740" i="1"/>
  <c r="C2740" i="1"/>
  <c r="S2740" i="1"/>
  <c r="T2740" i="1"/>
  <c r="U2740" i="1"/>
  <c r="BB2740" i="1"/>
  <c r="BW2740" i="1"/>
  <c r="A2741" i="1"/>
  <c r="C2741" i="1"/>
  <c r="S2741" i="1"/>
  <c r="T2741" i="1"/>
  <c r="U2741" i="1"/>
  <c r="BB2741" i="1"/>
  <c r="BW2741" i="1"/>
  <c r="A2742" i="1"/>
  <c r="C2742" i="1"/>
  <c r="S2742" i="1"/>
  <c r="T2742" i="1"/>
  <c r="U2742" i="1"/>
  <c r="BB2742" i="1"/>
  <c r="BW2742" i="1"/>
  <c r="A2743" i="1"/>
  <c r="C2743" i="1"/>
  <c r="S2743" i="1"/>
  <c r="T2743" i="1"/>
  <c r="U2743" i="1"/>
  <c r="BB2743" i="1"/>
  <c r="BW2743" i="1"/>
  <c r="A2744" i="1"/>
  <c r="C2744" i="1"/>
  <c r="S2744" i="1"/>
  <c r="T2744" i="1"/>
  <c r="U2744" i="1"/>
  <c r="BB2744" i="1"/>
  <c r="BW2744" i="1"/>
  <c r="A2745" i="1"/>
  <c r="C2745" i="1"/>
  <c r="S2745" i="1"/>
  <c r="T2745" i="1"/>
  <c r="U2745" i="1"/>
  <c r="BB2745" i="1"/>
  <c r="BW2745" i="1"/>
  <c r="A2746" i="1"/>
  <c r="C2746" i="1"/>
  <c r="S2746" i="1"/>
  <c r="T2746" i="1"/>
  <c r="U2746" i="1"/>
  <c r="BB2746" i="1"/>
  <c r="BW2746" i="1"/>
  <c r="A2747" i="1"/>
  <c r="C2747" i="1"/>
  <c r="S2747" i="1"/>
  <c r="T2747" i="1"/>
  <c r="U2747" i="1"/>
  <c r="BB2747" i="1"/>
  <c r="BW2747" i="1"/>
  <c r="A2748" i="1"/>
  <c r="C2748" i="1"/>
  <c r="S2748" i="1"/>
  <c r="T2748" i="1"/>
  <c r="U2748" i="1"/>
  <c r="BB2748" i="1"/>
  <c r="BW2748" i="1"/>
  <c r="A2749" i="1"/>
  <c r="C2749" i="1"/>
  <c r="S2749" i="1"/>
  <c r="T2749" i="1"/>
  <c r="U2749" i="1"/>
  <c r="BB2749" i="1"/>
  <c r="BW2749" i="1"/>
  <c r="A2750" i="1"/>
  <c r="C2750" i="1"/>
  <c r="S2750" i="1"/>
  <c r="T2750" i="1"/>
  <c r="U2750" i="1"/>
  <c r="BB2750" i="1"/>
  <c r="BW2750" i="1"/>
  <c r="A2751" i="1"/>
  <c r="C2751" i="1"/>
  <c r="S2751" i="1"/>
  <c r="T2751" i="1"/>
  <c r="U2751" i="1"/>
  <c r="BB2751" i="1"/>
  <c r="BW2751" i="1"/>
  <c r="A2752" i="1"/>
  <c r="C2752" i="1"/>
  <c r="S2752" i="1"/>
  <c r="T2752" i="1"/>
  <c r="U2752" i="1"/>
  <c r="BB2752" i="1"/>
  <c r="BW2752" i="1"/>
  <c r="A2753" i="1"/>
  <c r="C2753" i="1"/>
  <c r="S2753" i="1"/>
  <c r="T2753" i="1"/>
  <c r="U2753" i="1"/>
  <c r="BB2753" i="1"/>
  <c r="BW2753" i="1"/>
  <c r="A2754" i="1"/>
  <c r="C2754" i="1"/>
  <c r="S2754" i="1"/>
  <c r="T2754" i="1"/>
  <c r="U2754" i="1"/>
  <c r="BB2754" i="1"/>
  <c r="BW2754" i="1"/>
  <c r="A2755" i="1"/>
  <c r="C2755" i="1"/>
  <c r="S2755" i="1"/>
  <c r="T2755" i="1"/>
  <c r="U2755" i="1"/>
  <c r="BB2755" i="1"/>
  <c r="BW2755" i="1"/>
  <c r="A2756" i="1"/>
  <c r="C2756" i="1"/>
  <c r="S2756" i="1"/>
  <c r="T2756" i="1"/>
  <c r="U2756" i="1"/>
  <c r="BB2756" i="1"/>
  <c r="BW2756" i="1"/>
  <c r="A2757" i="1"/>
  <c r="C2757" i="1"/>
  <c r="S2757" i="1"/>
  <c r="T2757" i="1"/>
  <c r="U2757" i="1"/>
  <c r="BB2757" i="1"/>
  <c r="BW2757" i="1"/>
  <c r="A2758" i="1"/>
  <c r="C2758" i="1"/>
  <c r="S2758" i="1"/>
  <c r="T2758" i="1"/>
  <c r="U2758" i="1"/>
  <c r="BB2758" i="1"/>
  <c r="BW2758" i="1"/>
  <c r="A2759" i="1"/>
  <c r="C2759" i="1"/>
  <c r="S2759" i="1"/>
  <c r="T2759" i="1"/>
  <c r="U2759" i="1"/>
  <c r="BB2759" i="1"/>
  <c r="BW2759" i="1"/>
  <c r="A2760" i="1"/>
  <c r="C2760" i="1"/>
  <c r="S2760" i="1"/>
  <c r="T2760" i="1"/>
  <c r="U2760" i="1"/>
  <c r="BB2760" i="1"/>
  <c r="BW2760" i="1"/>
  <c r="A2761" i="1"/>
  <c r="C2761" i="1"/>
  <c r="S2761" i="1"/>
  <c r="T2761" i="1"/>
  <c r="U2761" i="1"/>
  <c r="BB2761" i="1"/>
  <c r="BW2761" i="1"/>
  <c r="A2762" i="1"/>
  <c r="C2762" i="1"/>
  <c r="S2762" i="1"/>
  <c r="T2762" i="1"/>
  <c r="U2762" i="1"/>
  <c r="BB2762" i="1"/>
  <c r="BW2762" i="1"/>
  <c r="A2763" i="1"/>
  <c r="C2763" i="1"/>
  <c r="S2763" i="1"/>
  <c r="T2763" i="1"/>
  <c r="U2763" i="1"/>
  <c r="BB2763" i="1"/>
  <c r="BW2763" i="1"/>
  <c r="A2764" i="1"/>
  <c r="C2764" i="1"/>
  <c r="S2764" i="1"/>
  <c r="T2764" i="1"/>
  <c r="U2764" i="1"/>
  <c r="BB2764" i="1"/>
  <c r="BW2764" i="1"/>
  <c r="A2765" i="1"/>
  <c r="C2765" i="1"/>
  <c r="S2765" i="1"/>
  <c r="T2765" i="1"/>
  <c r="U2765" i="1"/>
  <c r="BB2765" i="1"/>
  <c r="BW2765" i="1"/>
  <c r="A2766" i="1"/>
  <c r="C2766" i="1"/>
  <c r="S2766" i="1"/>
  <c r="T2766" i="1"/>
  <c r="U2766" i="1"/>
  <c r="BB2766" i="1"/>
  <c r="BW2766" i="1"/>
  <c r="A2767" i="1"/>
  <c r="C2767" i="1"/>
  <c r="S2767" i="1"/>
  <c r="T2767" i="1"/>
  <c r="U2767" i="1"/>
  <c r="BB2767" i="1"/>
  <c r="BW2767" i="1"/>
  <c r="A2768" i="1"/>
  <c r="C2768" i="1"/>
  <c r="S2768" i="1"/>
  <c r="T2768" i="1"/>
  <c r="U2768" i="1"/>
  <c r="BB2768" i="1"/>
  <c r="BW2768" i="1"/>
  <c r="A2769" i="1"/>
  <c r="C2769" i="1"/>
  <c r="S2769" i="1"/>
  <c r="T2769" i="1"/>
  <c r="U2769" i="1"/>
  <c r="BB2769" i="1"/>
  <c r="BW2769" i="1"/>
  <c r="A2770" i="1"/>
  <c r="C2770" i="1"/>
  <c r="S2770" i="1"/>
  <c r="T2770" i="1"/>
  <c r="U2770" i="1"/>
  <c r="BB2770" i="1"/>
  <c r="BW2770" i="1"/>
  <c r="A2771" i="1"/>
  <c r="C2771" i="1"/>
  <c r="S2771" i="1"/>
  <c r="T2771" i="1"/>
  <c r="U2771" i="1"/>
  <c r="BB2771" i="1"/>
  <c r="BW2771" i="1"/>
  <c r="A2772" i="1"/>
  <c r="C2772" i="1"/>
  <c r="S2772" i="1"/>
  <c r="T2772" i="1"/>
  <c r="U2772" i="1"/>
  <c r="BB2772" i="1"/>
  <c r="BW2772" i="1"/>
  <c r="A2773" i="1"/>
  <c r="C2773" i="1"/>
  <c r="S2773" i="1"/>
  <c r="T2773" i="1"/>
  <c r="U2773" i="1"/>
  <c r="BB2773" i="1"/>
  <c r="BW2773" i="1"/>
  <c r="A2774" i="1"/>
  <c r="C2774" i="1"/>
  <c r="S2774" i="1"/>
  <c r="T2774" i="1"/>
  <c r="U2774" i="1"/>
  <c r="BB2774" i="1"/>
  <c r="BW2774" i="1"/>
  <c r="A2775" i="1"/>
  <c r="C2775" i="1"/>
  <c r="S2775" i="1"/>
  <c r="T2775" i="1"/>
  <c r="U2775" i="1"/>
  <c r="BB2775" i="1"/>
  <c r="BW2775" i="1"/>
  <c r="A2776" i="1"/>
  <c r="C2776" i="1"/>
  <c r="S2776" i="1"/>
  <c r="T2776" i="1"/>
  <c r="U2776" i="1"/>
  <c r="BB2776" i="1"/>
  <c r="BW2776" i="1"/>
  <c r="A2777" i="1"/>
  <c r="C2777" i="1"/>
  <c r="S2777" i="1"/>
  <c r="T2777" i="1"/>
  <c r="U2777" i="1"/>
  <c r="BB2777" i="1"/>
  <c r="BW2777" i="1"/>
  <c r="A2778" i="1"/>
  <c r="C2778" i="1"/>
  <c r="S2778" i="1"/>
  <c r="T2778" i="1"/>
  <c r="U2778" i="1"/>
  <c r="BB2778" i="1"/>
  <c r="BW2778" i="1"/>
  <c r="A2779" i="1"/>
  <c r="C2779" i="1"/>
  <c r="S2779" i="1"/>
  <c r="T2779" i="1"/>
  <c r="U2779" i="1"/>
  <c r="BB2779" i="1"/>
  <c r="BW2779" i="1"/>
  <c r="A2780" i="1"/>
  <c r="C2780" i="1"/>
  <c r="S2780" i="1"/>
  <c r="T2780" i="1"/>
  <c r="U2780" i="1"/>
  <c r="BB2780" i="1"/>
  <c r="BW2780" i="1"/>
  <c r="A2781" i="1"/>
  <c r="C2781" i="1"/>
  <c r="S2781" i="1"/>
  <c r="T2781" i="1"/>
  <c r="U2781" i="1"/>
  <c r="BB2781" i="1"/>
  <c r="BW2781" i="1"/>
  <c r="A2782" i="1"/>
  <c r="C2782" i="1"/>
  <c r="S2782" i="1"/>
  <c r="T2782" i="1"/>
  <c r="U2782" i="1"/>
  <c r="BB2782" i="1"/>
  <c r="BW2782" i="1"/>
  <c r="A2783" i="1"/>
  <c r="C2783" i="1"/>
  <c r="S2783" i="1"/>
  <c r="T2783" i="1"/>
  <c r="U2783" i="1"/>
  <c r="BB2783" i="1"/>
  <c r="BW2783" i="1"/>
  <c r="A2784" i="1"/>
  <c r="C2784" i="1"/>
  <c r="S2784" i="1"/>
  <c r="T2784" i="1"/>
  <c r="U2784" i="1"/>
  <c r="BB2784" i="1"/>
  <c r="BW2784" i="1"/>
  <c r="A2785" i="1"/>
  <c r="C2785" i="1"/>
  <c r="S2785" i="1"/>
  <c r="T2785" i="1"/>
  <c r="U2785" i="1"/>
  <c r="BB2785" i="1"/>
  <c r="BW2785" i="1"/>
  <c r="A2786" i="1"/>
  <c r="C2786" i="1"/>
  <c r="S2786" i="1"/>
  <c r="T2786" i="1"/>
  <c r="U2786" i="1"/>
  <c r="BB2786" i="1"/>
  <c r="BW2786" i="1"/>
  <c r="A2787" i="1"/>
  <c r="C2787" i="1"/>
  <c r="S2787" i="1"/>
  <c r="T2787" i="1"/>
  <c r="U2787" i="1"/>
  <c r="BB2787" i="1"/>
  <c r="BW2787" i="1"/>
  <c r="A2788" i="1"/>
  <c r="C2788" i="1"/>
  <c r="S2788" i="1"/>
  <c r="T2788" i="1"/>
  <c r="U2788" i="1"/>
  <c r="BB2788" i="1"/>
  <c r="BW2788" i="1"/>
  <c r="A2789" i="1"/>
  <c r="C2789" i="1"/>
  <c r="S2789" i="1"/>
  <c r="T2789" i="1"/>
  <c r="U2789" i="1"/>
  <c r="BB2789" i="1"/>
  <c r="BW2789" i="1"/>
  <c r="A2790" i="1"/>
  <c r="C2790" i="1"/>
  <c r="S2790" i="1"/>
  <c r="T2790" i="1"/>
  <c r="U2790" i="1"/>
  <c r="BB2790" i="1"/>
  <c r="BW2790" i="1"/>
  <c r="A2791" i="1"/>
  <c r="C2791" i="1"/>
  <c r="S2791" i="1"/>
  <c r="T2791" i="1"/>
  <c r="U2791" i="1"/>
  <c r="BB2791" i="1"/>
  <c r="BW2791" i="1"/>
  <c r="A2792" i="1"/>
  <c r="C2792" i="1"/>
  <c r="S2792" i="1"/>
  <c r="T2792" i="1"/>
  <c r="U2792" i="1"/>
  <c r="BB2792" i="1"/>
  <c r="BW2792" i="1"/>
  <c r="A2793" i="1"/>
  <c r="C2793" i="1"/>
  <c r="S2793" i="1"/>
  <c r="T2793" i="1"/>
  <c r="U2793" i="1"/>
  <c r="BB2793" i="1"/>
  <c r="BW2793" i="1"/>
  <c r="A2794" i="1"/>
  <c r="C2794" i="1"/>
  <c r="S2794" i="1"/>
  <c r="T2794" i="1"/>
  <c r="U2794" i="1"/>
  <c r="BB2794" i="1"/>
  <c r="BW2794" i="1"/>
  <c r="A2795" i="1"/>
  <c r="C2795" i="1"/>
  <c r="S2795" i="1"/>
  <c r="T2795" i="1"/>
  <c r="U2795" i="1"/>
  <c r="BB2795" i="1"/>
  <c r="BW2795" i="1"/>
  <c r="A2796" i="1"/>
  <c r="C2796" i="1"/>
  <c r="S2796" i="1"/>
  <c r="T2796" i="1"/>
  <c r="U2796" i="1"/>
  <c r="BB2796" i="1"/>
  <c r="BW2796" i="1"/>
  <c r="A2797" i="1"/>
  <c r="C2797" i="1"/>
  <c r="S2797" i="1"/>
  <c r="T2797" i="1"/>
  <c r="U2797" i="1"/>
  <c r="BB2797" i="1"/>
  <c r="BW2797" i="1"/>
  <c r="A2798" i="1"/>
  <c r="C2798" i="1"/>
  <c r="S2798" i="1"/>
  <c r="T2798" i="1"/>
  <c r="U2798" i="1"/>
  <c r="BB2798" i="1"/>
  <c r="BW2798" i="1"/>
  <c r="A2799" i="1"/>
  <c r="C2799" i="1"/>
  <c r="S2799" i="1"/>
  <c r="T2799" i="1"/>
  <c r="U2799" i="1"/>
  <c r="BB2799" i="1"/>
  <c r="BW2799" i="1"/>
  <c r="A2800" i="1"/>
  <c r="C2800" i="1"/>
  <c r="S2800" i="1"/>
  <c r="T2800" i="1"/>
  <c r="U2800" i="1"/>
  <c r="BB2800" i="1"/>
  <c r="BW2800" i="1"/>
  <c r="A2801" i="1"/>
  <c r="C2801" i="1"/>
  <c r="S2801" i="1"/>
  <c r="T2801" i="1"/>
  <c r="U2801" i="1"/>
  <c r="BB2801" i="1"/>
  <c r="BW2801" i="1"/>
  <c r="A2802" i="1"/>
  <c r="C2802" i="1"/>
  <c r="S2802" i="1"/>
  <c r="T2802" i="1"/>
  <c r="U2802" i="1"/>
  <c r="BB2802" i="1"/>
  <c r="BW2802" i="1"/>
  <c r="A2803" i="1"/>
  <c r="C2803" i="1"/>
  <c r="S2803" i="1"/>
  <c r="T2803" i="1"/>
  <c r="U2803" i="1"/>
  <c r="BB2803" i="1"/>
  <c r="BW2803" i="1"/>
  <c r="A2804" i="1"/>
  <c r="C2804" i="1"/>
  <c r="S2804" i="1"/>
  <c r="T2804" i="1"/>
  <c r="U2804" i="1"/>
  <c r="BB2804" i="1"/>
  <c r="BW2804" i="1"/>
  <c r="A2805" i="1"/>
  <c r="C2805" i="1"/>
  <c r="S2805" i="1"/>
  <c r="T2805" i="1"/>
  <c r="U2805" i="1"/>
  <c r="BB2805" i="1"/>
  <c r="BW2805" i="1"/>
  <c r="A2806" i="1"/>
  <c r="C2806" i="1"/>
  <c r="S2806" i="1"/>
  <c r="T2806" i="1"/>
  <c r="U2806" i="1"/>
  <c r="BB2806" i="1"/>
  <c r="BW2806" i="1"/>
  <c r="A2807" i="1"/>
  <c r="C2807" i="1"/>
  <c r="S2807" i="1"/>
  <c r="T2807" i="1"/>
  <c r="U2807" i="1"/>
  <c r="BB2807" i="1"/>
  <c r="BW2807" i="1"/>
  <c r="A2808" i="1"/>
  <c r="C2808" i="1"/>
  <c r="S2808" i="1"/>
  <c r="T2808" i="1"/>
  <c r="U2808" i="1"/>
  <c r="BB2808" i="1"/>
  <c r="BW2808" i="1"/>
  <c r="A2809" i="1"/>
  <c r="C2809" i="1"/>
  <c r="S2809" i="1"/>
  <c r="T2809" i="1"/>
  <c r="U2809" i="1"/>
  <c r="BB2809" i="1"/>
  <c r="BW2809" i="1"/>
  <c r="A2810" i="1"/>
  <c r="C2810" i="1"/>
  <c r="S2810" i="1"/>
  <c r="T2810" i="1"/>
  <c r="U2810" i="1"/>
  <c r="BB2810" i="1"/>
  <c r="BW2810" i="1"/>
  <c r="A2811" i="1"/>
  <c r="C2811" i="1"/>
  <c r="S2811" i="1"/>
  <c r="T2811" i="1"/>
  <c r="U2811" i="1"/>
  <c r="BB2811" i="1"/>
  <c r="BW2811" i="1"/>
  <c r="A2812" i="1"/>
  <c r="C2812" i="1"/>
  <c r="S2812" i="1"/>
  <c r="T2812" i="1"/>
  <c r="U2812" i="1"/>
  <c r="BB2812" i="1"/>
  <c r="BW2812" i="1"/>
  <c r="A2813" i="1"/>
  <c r="C2813" i="1"/>
  <c r="S2813" i="1"/>
  <c r="T2813" i="1"/>
  <c r="U2813" i="1"/>
  <c r="BB2813" i="1"/>
  <c r="BW2813" i="1"/>
  <c r="A2814" i="1"/>
  <c r="C2814" i="1"/>
  <c r="S2814" i="1"/>
  <c r="T2814" i="1"/>
  <c r="U2814" i="1"/>
  <c r="BB2814" i="1"/>
  <c r="BW2814" i="1"/>
  <c r="A2815" i="1"/>
  <c r="C2815" i="1"/>
  <c r="S2815" i="1"/>
  <c r="T2815" i="1"/>
  <c r="U2815" i="1"/>
  <c r="BB2815" i="1"/>
  <c r="BW2815" i="1"/>
  <c r="A2816" i="1"/>
  <c r="C2816" i="1"/>
  <c r="S2816" i="1"/>
  <c r="T2816" i="1"/>
  <c r="U2816" i="1"/>
  <c r="BB2816" i="1"/>
  <c r="BW2816" i="1"/>
  <c r="A2817" i="1"/>
  <c r="C2817" i="1"/>
  <c r="S2817" i="1"/>
  <c r="T2817" i="1"/>
  <c r="U2817" i="1"/>
  <c r="BB2817" i="1"/>
  <c r="BW2817" i="1"/>
  <c r="A2818" i="1"/>
  <c r="C2818" i="1"/>
  <c r="S2818" i="1"/>
  <c r="T2818" i="1"/>
  <c r="U2818" i="1"/>
  <c r="BB2818" i="1"/>
  <c r="BW2818" i="1"/>
  <c r="A2819" i="1"/>
  <c r="C2819" i="1"/>
  <c r="S2819" i="1"/>
  <c r="T2819" i="1"/>
  <c r="U2819" i="1"/>
  <c r="BB2819" i="1"/>
  <c r="BW2819" i="1"/>
  <c r="A2820" i="1"/>
  <c r="C2820" i="1"/>
  <c r="S2820" i="1"/>
  <c r="T2820" i="1"/>
  <c r="U2820" i="1"/>
  <c r="BB2820" i="1"/>
  <c r="BW2820" i="1"/>
  <c r="A2821" i="1"/>
  <c r="C2821" i="1"/>
  <c r="S2821" i="1"/>
  <c r="T2821" i="1"/>
  <c r="U2821" i="1"/>
  <c r="BB2821" i="1"/>
  <c r="BW2821" i="1"/>
  <c r="A2822" i="1"/>
  <c r="C2822" i="1"/>
  <c r="S2822" i="1"/>
  <c r="T2822" i="1"/>
  <c r="U2822" i="1"/>
  <c r="BB2822" i="1"/>
  <c r="BW2822" i="1"/>
  <c r="A2823" i="1"/>
  <c r="C2823" i="1"/>
  <c r="S2823" i="1"/>
  <c r="T2823" i="1"/>
  <c r="U2823" i="1"/>
  <c r="BB2823" i="1"/>
  <c r="BW2823" i="1"/>
  <c r="A2824" i="1"/>
  <c r="C2824" i="1"/>
  <c r="S2824" i="1"/>
  <c r="T2824" i="1"/>
  <c r="U2824" i="1"/>
  <c r="BB2824" i="1"/>
  <c r="BW2824" i="1"/>
  <c r="A2825" i="1"/>
  <c r="C2825" i="1"/>
  <c r="S2825" i="1"/>
  <c r="T2825" i="1"/>
  <c r="U2825" i="1"/>
  <c r="BB2825" i="1"/>
  <c r="BW2825" i="1"/>
  <c r="A2826" i="1"/>
  <c r="C2826" i="1"/>
  <c r="S2826" i="1"/>
  <c r="T2826" i="1"/>
  <c r="U2826" i="1"/>
  <c r="BB2826" i="1"/>
  <c r="BW2826" i="1"/>
  <c r="A2827" i="1"/>
  <c r="C2827" i="1"/>
  <c r="S2827" i="1"/>
  <c r="T2827" i="1"/>
  <c r="U2827" i="1"/>
  <c r="BB2827" i="1"/>
  <c r="BW2827" i="1"/>
  <c r="A2828" i="1"/>
  <c r="C2828" i="1"/>
  <c r="S2828" i="1"/>
  <c r="T2828" i="1"/>
  <c r="U2828" i="1"/>
  <c r="BB2828" i="1"/>
  <c r="BW2828" i="1"/>
  <c r="A2829" i="1"/>
  <c r="C2829" i="1"/>
  <c r="S2829" i="1"/>
  <c r="T2829" i="1"/>
  <c r="U2829" i="1"/>
  <c r="BB2829" i="1"/>
  <c r="BW2829" i="1"/>
  <c r="A2830" i="1"/>
  <c r="C2830" i="1"/>
  <c r="S2830" i="1"/>
  <c r="T2830" i="1"/>
  <c r="U2830" i="1"/>
  <c r="BB2830" i="1"/>
  <c r="BW2830" i="1"/>
  <c r="A2831" i="1"/>
  <c r="C2831" i="1"/>
  <c r="S2831" i="1"/>
  <c r="T2831" i="1"/>
  <c r="U2831" i="1"/>
  <c r="BB2831" i="1"/>
  <c r="BW2831" i="1"/>
  <c r="A2832" i="1"/>
  <c r="C2832" i="1"/>
  <c r="S2832" i="1"/>
  <c r="T2832" i="1"/>
  <c r="U2832" i="1"/>
  <c r="BB2832" i="1"/>
  <c r="BW2832" i="1"/>
  <c r="A2833" i="1"/>
  <c r="C2833" i="1"/>
  <c r="S2833" i="1"/>
  <c r="T2833" i="1"/>
  <c r="U2833" i="1"/>
  <c r="BB2833" i="1"/>
  <c r="BW2833" i="1"/>
  <c r="A2834" i="1"/>
  <c r="C2834" i="1"/>
  <c r="S2834" i="1"/>
  <c r="T2834" i="1"/>
  <c r="U2834" i="1"/>
  <c r="BB2834" i="1"/>
  <c r="BW2834" i="1"/>
  <c r="A2835" i="1"/>
  <c r="C2835" i="1"/>
  <c r="S2835" i="1"/>
  <c r="T2835" i="1"/>
  <c r="U2835" i="1"/>
  <c r="BB2835" i="1"/>
  <c r="BW2835" i="1"/>
  <c r="A2836" i="1"/>
  <c r="C2836" i="1"/>
  <c r="S2836" i="1"/>
  <c r="T2836" i="1"/>
  <c r="U2836" i="1"/>
  <c r="BB2836" i="1"/>
  <c r="BW2836" i="1"/>
  <c r="A2837" i="1"/>
  <c r="C2837" i="1"/>
  <c r="S2837" i="1"/>
  <c r="T2837" i="1"/>
  <c r="U2837" i="1"/>
  <c r="BB2837" i="1"/>
  <c r="BW2837" i="1"/>
  <c r="A2838" i="1"/>
  <c r="C2838" i="1"/>
  <c r="S2838" i="1"/>
  <c r="T2838" i="1"/>
  <c r="U2838" i="1"/>
  <c r="BB2838" i="1"/>
  <c r="BW2838" i="1"/>
  <c r="A2839" i="1"/>
  <c r="C2839" i="1"/>
  <c r="S2839" i="1"/>
  <c r="T2839" i="1"/>
  <c r="U2839" i="1"/>
  <c r="BB2839" i="1"/>
  <c r="BW2839" i="1"/>
  <c r="A2840" i="1"/>
  <c r="C2840" i="1"/>
  <c r="S2840" i="1"/>
  <c r="T2840" i="1"/>
  <c r="U2840" i="1"/>
  <c r="BB2840" i="1"/>
  <c r="BW2840" i="1"/>
  <c r="A2841" i="1"/>
  <c r="C2841" i="1"/>
  <c r="S2841" i="1"/>
  <c r="T2841" i="1"/>
  <c r="U2841" i="1"/>
  <c r="BB2841" i="1"/>
  <c r="BW2841" i="1"/>
  <c r="A2842" i="1"/>
  <c r="C2842" i="1"/>
  <c r="S2842" i="1"/>
  <c r="T2842" i="1"/>
  <c r="U2842" i="1"/>
  <c r="BB2842" i="1"/>
  <c r="BW2842" i="1"/>
  <c r="A2843" i="1"/>
  <c r="C2843" i="1"/>
  <c r="S2843" i="1"/>
  <c r="T2843" i="1"/>
  <c r="U2843" i="1"/>
  <c r="BB2843" i="1"/>
  <c r="BW2843" i="1"/>
  <c r="A2844" i="1"/>
  <c r="C2844" i="1"/>
  <c r="S2844" i="1"/>
  <c r="T2844" i="1"/>
  <c r="U2844" i="1"/>
  <c r="BB2844" i="1"/>
  <c r="BW2844" i="1"/>
  <c r="A2845" i="1"/>
  <c r="C2845" i="1"/>
  <c r="S2845" i="1"/>
  <c r="T2845" i="1"/>
  <c r="U2845" i="1"/>
  <c r="BB2845" i="1"/>
  <c r="BW2845" i="1"/>
  <c r="A2846" i="1"/>
  <c r="C2846" i="1"/>
  <c r="S2846" i="1"/>
  <c r="T2846" i="1"/>
  <c r="U2846" i="1"/>
  <c r="BB2846" i="1"/>
  <c r="BW2846" i="1"/>
  <c r="A2847" i="1"/>
  <c r="C2847" i="1"/>
  <c r="S2847" i="1"/>
  <c r="T2847" i="1"/>
  <c r="U2847" i="1"/>
  <c r="BB2847" i="1"/>
  <c r="BW2847" i="1"/>
  <c r="A2848" i="1"/>
  <c r="C2848" i="1"/>
  <c r="S2848" i="1"/>
  <c r="T2848" i="1"/>
  <c r="U2848" i="1"/>
  <c r="BB2848" i="1"/>
  <c r="BW2848" i="1"/>
  <c r="A2849" i="1"/>
  <c r="C2849" i="1"/>
  <c r="S2849" i="1"/>
  <c r="T2849" i="1"/>
  <c r="U2849" i="1"/>
  <c r="BB2849" i="1"/>
  <c r="BW2849" i="1"/>
  <c r="A2850" i="1"/>
  <c r="C2850" i="1"/>
  <c r="S2850" i="1"/>
  <c r="T2850" i="1"/>
  <c r="U2850" i="1"/>
  <c r="BB2850" i="1"/>
  <c r="BW2850" i="1"/>
  <c r="A2851" i="1"/>
  <c r="C2851" i="1"/>
  <c r="S2851" i="1"/>
  <c r="T2851" i="1"/>
  <c r="U2851" i="1"/>
  <c r="BB2851" i="1"/>
  <c r="BW2851" i="1"/>
  <c r="A2852" i="1"/>
  <c r="C2852" i="1"/>
  <c r="S2852" i="1"/>
  <c r="T2852" i="1"/>
  <c r="U2852" i="1"/>
  <c r="BB2852" i="1"/>
  <c r="BW2852" i="1"/>
  <c r="A2853" i="1"/>
  <c r="C2853" i="1"/>
  <c r="S2853" i="1"/>
  <c r="T2853" i="1"/>
  <c r="U2853" i="1"/>
  <c r="BB2853" i="1"/>
  <c r="BW2853" i="1"/>
  <c r="A2854" i="1"/>
  <c r="C2854" i="1"/>
  <c r="S2854" i="1"/>
  <c r="T2854" i="1"/>
  <c r="U2854" i="1"/>
  <c r="BB2854" i="1"/>
  <c r="BW2854" i="1"/>
  <c r="A2855" i="1"/>
  <c r="C2855" i="1"/>
  <c r="S2855" i="1"/>
  <c r="T2855" i="1"/>
  <c r="U2855" i="1"/>
  <c r="BB2855" i="1"/>
  <c r="BW2855" i="1"/>
  <c r="A2856" i="1"/>
  <c r="C2856" i="1"/>
  <c r="S2856" i="1"/>
  <c r="T2856" i="1"/>
  <c r="U2856" i="1"/>
  <c r="BB2856" i="1"/>
  <c r="BW2856" i="1"/>
  <c r="A2857" i="1"/>
  <c r="C2857" i="1"/>
  <c r="S2857" i="1"/>
  <c r="T2857" i="1"/>
  <c r="U2857" i="1"/>
  <c r="BB2857" i="1"/>
  <c r="BW2857" i="1"/>
  <c r="A2858" i="1"/>
  <c r="C2858" i="1"/>
  <c r="S2858" i="1"/>
  <c r="T2858" i="1"/>
  <c r="U2858" i="1"/>
  <c r="BB2858" i="1"/>
  <c r="BW2858" i="1"/>
  <c r="A2859" i="1"/>
  <c r="C2859" i="1"/>
  <c r="S2859" i="1"/>
  <c r="T2859" i="1"/>
  <c r="U2859" i="1"/>
  <c r="BB2859" i="1"/>
  <c r="BW2859" i="1"/>
  <c r="A2860" i="1"/>
  <c r="C2860" i="1"/>
  <c r="S2860" i="1"/>
  <c r="T2860" i="1"/>
  <c r="U2860" i="1"/>
  <c r="BB2860" i="1"/>
  <c r="BW2860" i="1"/>
  <c r="A2861" i="1"/>
  <c r="C2861" i="1"/>
  <c r="S2861" i="1"/>
  <c r="T2861" i="1"/>
  <c r="U2861" i="1"/>
  <c r="BB2861" i="1"/>
  <c r="BW2861" i="1"/>
  <c r="A2862" i="1"/>
  <c r="C2862" i="1"/>
  <c r="S2862" i="1"/>
  <c r="T2862" i="1"/>
  <c r="U2862" i="1"/>
  <c r="BB2862" i="1"/>
  <c r="BW2862" i="1"/>
  <c r="A2863" i="1"/>
  <c r="C2863" i="1"/>
  <c r="S2863" i="1"/>
  <c r="T2863" i="1"/>
  <c r="U2863" i="1"/>
  <c r="BB2863" i="1"/>
  <c r="BW2863" i="1"/>
  <c r="A2864" i="1"/>
  <c r="C2864" i="1"/>
  <c r="S2864" i="1"/>
  <c r="T2864" i="1"/>
  <c r="U2864" i="1"/>
  <c r="BB2864" i="1"/>
  <c r="BW2864" i="1"/>
  <c r="A2865" i="1"/>
  <c r="C2865" i="1"/>
  <c r="S2865" i="1"/>
  <c r="T2865" i="1"/>
  <c r="U2865" i="1"/>
  <c r="BB2865" i="1"/>
  <c r="BW2865" i="1"/>
  <c r="A2866" i="1"/>
  <c r="C2866" i="1"/>
  <c r="S2866" i="1"/>
  <c r="T2866" i="1"/>
  <c r="U2866" i="1"/>
  <c r="BB2866" i="1"/>
  <c r="BW2866" i="1"/>
  <c r="A2867" i="1"/>
  <c r="C2867" i="1"/>
  <c r="S2867" i="1"/>
  <c r="T2867" i="1"/>
  <c r="U2867" i="1"/>
  <c r="BB2867" i="1"/>
  <c r="BW2867" i="1"/>
  <c r="A2868" i="1"/>
  <c r="C2868" i="1"/>
  <c r="S2868" i="1"/>
  <c r="T2868" i="1"/>
  <c r="U2868" i="1"/>
  <c r="BB2868" i="1"/>
  <c r="BW2868" i="1"/>
  <c r="A2869" i="1"/>
  <c r="C2869" i="1"/>
  <c r="S2869" i="1"/>
  <c r="T2869" i="1"/>
  <c r="U2869" i="1"/>
  <c r="BB2869" i="1"/>
  <c r="BW2869" i="1"/>
  <c r="A2870" i="1"/>
  <c r="C2870" i="1"/>
  <c r="S2870" i="1"/>
  <c r="T2870" i="1"/>
  <c r="U2870" i="1"/>
  <c r="BB2870" i="1"/>
  <c r="BW2870" i="1"/>
  <c r="A2871" i="1"/>
  <c r="C2871" i="1"/>
  <c r="S2871" i="1"/>
  <c r="T2871" i="1"/>
  <c r="U2871" i="1"/>
  <c r="BB2871" i="1"/>
  <c r="BW2871" i="1"/>
  <c r="A2872" i="1"/>
  <c r="C2872" i="1"/>
  <c r="S2872" i="1"/>
  <c r="T2872" i="1"/>
  <c r="U2872" i="1"/>
  <c r="BB2872" i="1"/>
  <c r="BW2872" i="1"/>
  <c r="A2873" i="1"/>
  <c r="C2873" i="1"/>
  <c r="S2873" i="1"/>
  <c r="T2873" i="1"/>
  <c r="U2873" i="1"/>
  <c r="BB2873" i="1"/>
  <c r="BW2873" i="1"/>
  <c r="A2874" i="1"/>
  <c r="C2874" i="1"/>
  <c r="S2874" i="1"/>
  <c r="T2874" i="1"/>
  <c r="U2874" i="1"/>
  <c r="BB2874" i="1"/>
  <c r="BW2874" i="1"/>
  <c r="A2875" i="1"/>
  <c r="C2875" i="1"/>
  <c r="S2875" i="1"/>
  <c r="T2875" i="1"/>
  <c r="U2875" i="1"/>
  <c r="BB2875" i="1"/>
  <c r="BW2875" i="1"/>
  <c r="A2876" i="1"/>
  <c r="C2876" i="1"/>
  <c r="S2876" i="1"/>
  <c r="T2876" i="1"/>
  <c r="U2876" i="1"/>
  <c r="BB2876" i="1"/>
  <c r="BW2876" i="1"/>
  <c r="A2877" i="1"/>
  <c r="C2877" i="1"/>
  <c r="S2877" i="1"/>
  <c r="T2877" i="1"/>
  <c r="U2877" i="1"/>
  <c r="BB2877" i="1"/>
  <c r="BW2877" i="1"/>
  <c r="A2878" i="1"/>
  <c r="C2878" i="1"/>
  <c r="S2878" i="1"/>
  <c r="T2878" i="1"/>
  <c r="U2878" i="1"/>
  <c r="BB2878" i="1"/>
  <c r="BW2878" i="1"/>
  <c r="A2879" i="1"/>
  <c r="C2879" i="1"/>
  <c r="S2879" i="1"/>
  <c r="T2879" i="1"/>
  <c r="U2879" i="1"/>
  <c r="BB2879" i="1"/>
  <c r="BW2879" i="1"/>
  <c r="A2880" i="1"/>
  <c r="C2880" i="1"/>
  <c r="S2880" i="1"/>
  <c r="T2880" i="1"/>
  <c r="U2880" i="1"/>
  <c r="BB2880" i="1"/>
  <c r="BW2880" i="1"/>
  <c r="A2881" i="1"/>
  <c r="C2881" i="1"/>
  <c r="S2881" i="1"/>
  <c r="T2881" i="1"/>
  <c r="U2881" i="1"/>
  <c r="BB2881" i="1"/>
  <c r="BW2881" i="1"/>
  <c r="A2882" i="1"/>
  <c r="C2882" i="1"/>
  <c r="S2882" i="1"/>
  <c r="T2882" i="1"/>
  <c r="U2882" i="1"/>
  <c r="BB2882" i="1"/>
  <c r="BW2882" i="1"/>
  <c r="A2883" i="1"/>
  <c r="C2883" i="1"/>
  <c r="S2883" i="1"/>
  <c r="T2883" i="1"/>
  <c r="U2883" i="1"/>
  <c r="BB2883" i="1"/>
  <c r="BW2883" i="1"/>
  <c r="A2884" i="1"/>
  <c r="C2884" i="1"/>
  <c r="S2884" i="1"/>
  <c r="T2884" i="1"/>
  <c r="U2884" i="1"/>
  <c r="BB2884" i="1"/>
  <c r="BW2884" i="1"/>
  <c r="A2885" i="1"/>
  <c r="C2885" i="1"/>
  <c r="S2885" i="1"/>
  <c r="T2885" i="1"/>
  <c r="U2885" i="1"/>
  <c r="BB2885" i="1"/>
  <c r="BW2885" i="1"/>
  <c r="A2886" i="1"/>
  <c r="C2886" i="1"/>
  <c r="S2886" i="1"/>
  <c r="T2886" i="1"/>
  <c r="U2886" i="1"/>
  <c r="BB2886" i="1"/>
  <c r="BW2886" i="1"/>
  <c r="A2887" i="1"/>
  <c r="C2887" i="1"/>
  <c r="S2887" i="1"/>
  <c r="T2887" i="1"/>
  <c r="U2887" i="1"/>
  <c r="BB2887" i="1"/>
  <c r="BW2887" i="1"/>
  <c r="A2888" i="1"/>
  <c r="C2888" i="1"/>
  <c r="S2888" i="1"/>
  <c r="T2888" i="1"/>
  <c r="U2888" i="1"/>
  <c r="BB2888" i="1"/>
  <c r="BW2888" i="1"/>
  <c r="A2889" i="1"/>
  <c r="C2889" i="1"/>
  <c r="S2889" i="1"/>
  <c r="T2889" i="1"/>
  <c r="U2889" i="1"/>
  <c r="BB2889" i="1"/>
  <c r="BW2889" i="1"/>
  <c r="A2890" i="1"/>
  <c r="C2890" i="1"/>
  <c r="S2890" i="1"/>
  <c r="T2890" i="1"/>
  <c r="U2890" i="1"/>
  <c r="BB2890" i="1"/>
  <c r="BW2890" i="1"/>
  <c r="A2891" i="1"/>
  <c r="C2891" i="1"/>
  <c r="S2891" i="1"/>
  <c r="T2891" i="1"/>
  <c r="U2891" i="1"/>
  <c r="BB2891" i="1"/>
  <c r="BW2891" i="1"/>
  <c r="A2892" i="1"/>
  <c r="C2892" i="1"/>
  <c r="S2892" i="1"/>
  <c r="T2892" i="1"/>
  <c r="U2892" i="1"/>
  <c r="BB2892" i="1"/>
  <c r="BW2892" i="1"/>
  <c r="A2893" i="1"/>
  <c r="C2893" i="1"/>
  <c r="S2893" i="1"/>
  <c r="T2893" i="1"/>
  <c r="U2893" i="1"/>
  <c r="BB2893" i="1"/>
  <c r="BW2893" i="1"/>
  <c r="A2894" i="1"/>
  <c r="C2894" i="1"/>
  <c r="S2894" i="1"/>
  <c r="T2894" i="1"/>
  <c r="U2894" i="1"/>
  <c r="BB2894" i="1"/>
  <c r="BW2894" i="1"/>
  <c r="A2895" i="1"/>
  <c r="C2895" i="1"/>
  <c r="S2895" i="1"/>
  <c r="T2895" i="1"/>
  <c r="U2895" i="1"/>
  <c r="BB2895" i="1"/>
  <c r="BW2895" i="1"/>
  <c r="A2896" i="1"/>
  <c r="C2896" i="1"/>
  <c r="S2896" i="1"/>
  <c r="T2896" i="1"/>
  <c r="U2896" i="1"/>
  <c r="BB2896" i="1"/>
  <c r="BW2896" i="1"/>
  <c r="A2897" i="1"/>
  <c r="C2897" i="1"/>
  <c r="S2897" i="1"/>
  <c r="T2897" i="1"/>
  <c r="U2897" i="1"/>
  <c r="BB2897" i="1"/>
  <c r="BW2897" i="1"/>
  <c r="A2898" i="1"/>
  <c r="C2898" i="1"/>
  <c r="S2898" i="1"/>
  <c r="T2898" i="1"/>
  <c r="U2898" i="1"/>
  <c r="BB2898" i="1"/>
  <c r="BW2898" i="1"/>
  <c r="A2899" i="1"/>
  <c r="C2899" i="1"/>
  <c r="S2899" i="1"/>
  <c r="T2899" i="1"/>
  <c r="U2899" i="1"/>
  <c r="BB2899" i="1"/>
  <c r="BW2899" i="1"/>
  <c r="A2900" i="1"/>
  <c r="C2900" i="1"/>
  <c r="S2900" i="1"/>
  <c r="T2900" i="1"/>
  <c r="U2900" i="1"/>
  <c r="BB2900" i="1"/>
  <c r="BW2900" i="1"/>
  <c r="A2901" i="1"/>
  <c r="C2901" i="1"/>
  <c r="S2901" i="1"/>
  <c r="T2901" i="1"/>
  <c r="U2901" i="1"/>
  <c r="BB2901" i="1"/>
  <c r="BW2901" i="1"/>
  <c r="A2902" i="1"/>
  <c r="C2902" i="1"/>
  <c r="S2902" i="1"/>
  <c r="T2902" i="1"/>
  <c r="U2902" i="1"/>
  <c r="BB2902" i="1"/>
  <c r="BW2902" i="1"/>
  <c r="A2903" i="1"/>
  <c r="C2903" i="1"/>
  <c r="S2903" i="1"/>
  <c r="T2903" i="1"/>
  <c r="U2903" i="1"/>
  <c r="BB2903" i="1"/>
  <c r="BW2903" i="1"/>
  <c r="A2904" i="1"/>
  <c r="C2904" i="1"/>
  <c r="S2904" i="1"/>
  <c r="T2904" i="1"/>
  <c r="U2904" i="1"/>
  <c r="BB2904" i="1"/>
  <c r="BW2904" i="1"/>
  <c r="A2905" i="1"/>
  <c r="C2905" i="1"/>
  <c r="S2905" i="1"/>
  <c r="T2905" i="1"/>
  <c r="U2905" i="1"/>
  <c r="BB2905" i="1"/>
  <c r="BW2905" i="1"/>
  <c r="A2906" i="1"/>
  <c r="C2906" i="1"/>
  <c r="S2906" i="1"/>
  <c r="T2906" i="1"/>
  <c r="U2906" i="1"/>
  <c r="BB2906" i="1"/>
  <c r="BW2906" i="1"/>
  <c r="A2907" i="1"/>
  <c r="C2907" i="1"/>
  <c r="S2907" i="1"/>
  <c r="T2907" i="1"/>
  <c r="U2907" i="1"/>
  <c r="BB2907" i="1"/>
  <c r="BW2907" i="1"/>
  <c r="A2908" i="1"/>
  <c r="C2908" i="1"/>
  <c r="S2908" i="1"/>
  <c r="T2908" i="1"/>
  <c r="U2908" i="1"/>
  <c r="BB2908" i="1"/>
  <c r="BW2908" i="1"/>
  <c r="A2909" i="1"/>
  <c r="C2909" i="1"/>
  <c r="S2909" i="1"/>
  <c r="T2909" i="1"/>
  <c r="U2909" i="1"/>
  <c r="BB2909" i="1"/>
  <c r="BW2909" i="1"/>
  <c r="A2910" i="1"/>
  <c r="C2910" i="1"/>
  <c r="S2910" i="1"/>
  <c r="T2910" i="1"/>
  <c r="U2910" i="1"/>
  <c r="BB2910" i="1"/>
  <c r="BW2910" i="1"/>
  <c r="A2911" i="1"/>
  <c r="C2911" i="1"/>
  <c r="S2911" i="1"/>
  <c r="T2911" i="1"/>
  <c r="U2911" i="1"/>
  <c r="BB2911" i="1"/>
  <c r="BW2911" i="1"/>
  <c r="A2912" i="1"/>
  <c r="C2912" i="1"/>
  <c r="S2912" i="1"/>
  <c r="T2912" i="1"/>
  <c r="U2912" i="1"/>
  <c r="BB2912" i="1"/>
  <c r="BW2912" i="1"/>
  <c r="A2913" i="1"/>
  <c r="C2913" i="1"/>
  <c r="S2913" i="1"/>
  <c r="T2913" i="1"/>
  <c r="U2913" i="1"/>
  <c r="BB2913" i="1"/>
  <c r="BW2913" i="1"/>
  <c r="A2914" i="1"/>
  <c r="C2914" i="1"/>
  <c r="S2914" i="1"/>
  <c r="T2914" i="1"/>
  <c r="U2914" i="1"/>
  <c r="BB2914" i="1"/>
  <c r="BW2914" i="1"/>
  <c r="A2915" i="1"/>
  <c r="C2915" i="1"/>
  <c r="S2915" i="1"/>
  <c r="T2915" i="1"/>
  <c r="U2915" i="1"/>
  <c r="BB2915" i="1"/>
  <c r="BW2915" i="1"/>
  <c r="A2916" i="1"/>
  <c r="C2916" i="1"/>
  <c r="S2916" i="1"/>
  <c r="T2916" i="1"/>
  <c r="U2916" i="1"/>
  <c r="BB2916" i="1"/>
  <c r="BW2916" i="1"/>
  <c r="A2917" i="1"/>
  <c r="C2917" i="1"/>
  <c r="S2917" i="1"/>
  <c r="T2917" i="1"/>
  <c r="U2917" i="1"/>
  <c r="BB2917" i="1"/>
  <c r="BW2917" i="1"/>
  <c r="A2918" i="1"/>
  <c r="C2918" i="1"/>
  <c r="S2918" i="1"/>
  <c r="T2918" i="1"/>
  <c r="U2918" i="1"/>
  <c r="BB2918" i="1"/>
  <c r="BW2918" i="1"/>
  <c r="A2919" i="1"/>
  <c r="C2919" i="1"/>
  <c r="S2919" i="1"/>
  <c r="T2919" i="1"/>
  <c r="U2919" i="1"/>
  <c r="BB2919" i="1"/>
  <c r="BW2919" i="1"/>
  <c r="A2920" i="1"/>
  <c r="C2920" i="1"/>
  <c r="S2920" i="1"/>
  <c r="T2920" i="1"/>
  <c r="U2920" i="1"/>
  <c r="BB2920" i="1"/>
  <c r="BW2920" i="1"/>
  <c r="A2921" i="1"/>
  <c r="C2921" i="1"/>
  <c r="S2921" i="1"/>
  <c r="T2921" i="1"/>
  <c r="U2921" i="1"/>
  <c r="BB2921" i="1"/>
  <c r="BW2921" i="1"/>
  <c r="A2922" i="1"/>
  <c r="C2922" i="1"/>
  <c r="S2922" i="1"/>
  <c r="T2922" i="1"/>
  <c r="U2922" i="1"/>
  <c r="BB2922" i="1"/>
  <c r="BW2922" i="1"/>
  <c r="A2923" i="1"/>
  <c r="C2923" i="1"/>
  <c r="S2923" i="1"/>
  <c r="T2923" i="1"/>
  <c r="U2923" i="1"/>
  <c r="BB2923" i="1"/>
  <c r="BW2923" i="1"/>
  <c r="A2924" i="1"/>
  <c r="C2924" i="1"/>
  <c r="S2924" i="1"/>
  <c r="T2924" i="1"/>
  <c r="U2924" i="1"/>
  <c r="BB2924" i="1"/>
  <c r="BW2924" i="1"/>
  <c r="A2925" i="1"/>
  <c r="C2925" i="1"/>
  <c r="S2925" i="1"/>
  <c r="T2925" i="1"/>
  <c r="U2925" i="1"/>
  <c r="BB2925" i="1"/>
  <c r="BW2925" i="1"/>
  <c r="A2926" i="1"/>
  <c r="C2926" i="1"/>
  <c r="S2926" i="1"/>
  <c r="T2926" i="1"/>
  <c r="U2926" i="1"/>
  <c r="BB2926" i="1"/>
  <c r="BW2926" i="1"/>
  <c r="A2927" i="1"/>
  <c r="C2927" i="1"/>
  <c r="S2927" i="1"/>
  <c r="T2927" i="1"/>
  <c r="U2927" i="1"/>
  <c r="BB2927" i="1"/>
  <c r="BW2927" i="1"/>
  <c r="A2928" i="1"/>
  <c r="C2928" i="1"/>
  <c r="S2928" i="1"/>
  <c r="T2928" i="1"/>
  <c r="U2928" i="1"/>
  <c r="BB2928" i="1"/>
  <c r="BW2928" i="1"/>
  <c r="A2929" i="1"/>
  <c r="C2929" i="1"/>
  <c r="S2929" i="1"/>
  <c r="T2929" i="1"/>
  <c r="U2929" i="1"/>
  <c r="BB2929" i="1"/>
  <c r="BW2929" i="1"/>
  <c r="A2930" i="1"/>
  <c r="C2930" i="1"/>
  <c r="S2930" i="1"/>
  <c r="T2930" i="1"/>
  <c r="U2930" i="1"/>
  <c r="BB2930" i="1"/>
  <c r="BW2930" i="1"/>
  <c r="A2931" i="1"/>
  <c r="C2931" i="1"/>
  <c r="S2931" i="1"/>
  <c r="T2931" i="1"/>
  <c r="U2931" i="1"/>
  <c r="BB2931" i="1"/>
  <c r="BW2931" i="1"/>
  <c r="A2932" i="1"/>
  <c r="C2932" i="1"/>
  <c r="S2932" i="1"/>
  <c r="T2932" i="1"/>
  <c r="U2932" i="1"/>
  <c r="BB2932" i="1"/>
  <c r="BW2932" i="1"/>
  <c r="A2933" i="1"/>
  <c r="C2933" i="1"/>
  <c r="S2933" i="1"/>
  <c r="T2933" i="1"/>
  <c r="U2933" i="1"/>
  <c r="BB2933" i="1"/>
  <c r="BW2933" i="1"/>
  <c r="A2934" i="1"/>
  <c r="C2934" i="1"/>
  <c r="S2934" i="1"/>
  <c r="T2934" i="1"/>
  <c r="U2934" i="1"/>
  <c r="BB2934" i="1"/>
  <c r="BW2934" i="1"/>
  <c r="A2935" i="1"/>
  <c r="C2935" i="1"/>
  <c r="S2935" i="1"/>
  <c r="T2935" i="1"/>
  <c r="U2935" i="1"/>
  <c r="BB2935" i="1"/>
  <c r="BW2935" i="1"/>
  <c r="A2936" i="1"/>
  <c r="C2936" i="1"/>
  <c r="S2936" i="1"/>
  <c r="T2936" i="1"/>
  <c r="U2936" i="1"/>
  <c r="BB2936" i="1"/>
  <c r="BW2936" i="1"/>
  <c r="A2937" i="1"/>
  <c r="C2937" i="1"/>
  <c r="S2937" i="1"/>
  <c r="T2937" i="1"/>
  <c r="U2937" i="1"/>
  <c r="BB2937" i="1"/>
  <c r="BW2937" i="1"/>
  <c r="A2938" i="1"/>
  <c r="C2938" i="1"/>
  <c r="S2938" i="1"/>
  <c r="T2938" i="1"/>
  <c r="U2938" i="1"/>
  <c r="BB2938" i="1"/>
  <c r="BW2938" i="1"/>
  <c r="A2939" i="1"/>
  <c r="C2939" i="1"/>
  <c r="S2939" i="1"/>
  <c r="T2939" i="1"/>
  <c r="U2939" i="1"/>
  <c r="BB2939" i="1"/>
  <c r="BW2939" i="1"/>
  <c r="A2940" i="1"/>
  <c r="C2940" i="1"/>
  <c r="S2940" i="1"/>
  <c r="T2940" i="1"/>
  <c r="U2940" i="1"/>
  <c r="BB2940" i="1"/>
  <c r="BW2940" i="1"/>
  <c r="A2941" i="1"/>
  <c r="C2941" i="1"/>
  <c r="S2941" i="1"/>
  <c r="T2941" i="1"/>
  <c r="U2941" i="1"/>
  <c r="BB2941" i="1"/>
  <c r="BW2941" i="1"/>
  <c r="A2942" i="1"/>
  <c r="C2942" i="1"/>
  <c r="S2942" i="1"/>
  <c r="T2942" i="1"/>
  <c r="U2942" i="1"/>
  <c r="BB2942" i="1"/>
  <c r="BW2942" i="1"/>
  <c r="A2943" i="1"/>
  <c r="C2943" i="1"/>
  <c r="S2943" i="1"/>
  <c r="T2943" i="1"/>
  <c r="U2943" i="1"/>
  <c r="BB2943" i="1"/>
  <c r="BW2943" i="1"/>
  <c r="A2944" i="1"/>
  <c r="C2944" i="1"/>
  <c r="S2944" i="1"/>
  <c r="T2944" i="1"/>
  <c r="U2944" i="1"/>
  <c r="BB2944" i="1"/>
  <c r="BW2944" i="1"/>
  <c r="A2945" i="1"/>
  <c r="C2945" i="1"/>
  <c r="S2945" i="1"/>
  <c r="T2945" i="1"/>
  <c r="U2945" i="1"/>
  <c r="BB2945" i="1"/>
  <c r="BW2945" i="1"/>
  <c r="A2946" i="1"/>
  <c r="C2946" i="1"/>
  <c r="S2946" i="1"/>
  <c r="T2946" i="1"/>
  <c r="U2946" i="1"/>
  <c r="BB2946" i="1"/>
  <c r="BW2946" i="1"/>
  <c r="A2947" i="1"/>
  <c r="C2947" i="1"/>
  <c r="S2947" i="1"/>
  <c r="T2947" i="1"/>
  <c r="U2947" i="1"/>
  <c r="BB2947" i="1"/>
  <c r="BW2947" i="1"/>
  <c r="A2948" i="1"/>
  <c r="C2948" i="1"/>
  <c r="S2948" i="1"/>
  <c r="T2948" i="1"/>
  <c r="U2948" i="1"/>
  <c r="BB2948" i="1"/>
  <c r="BW2948" i="1"/>
  <c r="A2949" i="1"/>
  <c r="C2949" i="1"/>
  <c r="S2949" i="1"/>
  <c r="T2949" i="1"/>
  <c r="U2949" i="1"/>
  <c r="BB2949" i="1"/>
  <c r="BW2949" i="1"/>
  <c r="A2950" i="1"/>
  <c r="C2950" i="1"/>
  <c r="S2950" i="1"/>
  <c r="T2950" i="1"/>
  <c r="U2950" i="1"/>
  <c r="BB2950" i="1"/>
  <c r="BW2950" i="1"/>
  <c r="A2951" i="1"/>
  <c r="C2951" i="1"/>
  <c r="S2951" i="1"/>
  <c r="T2951" i="1"/>
  <c r="U2951" i="1"/>
  <c r="BB2951" i="1"/>
  <c r="BW2951" i="1"/>
  <c r="A2952" i="1"/>
  <c r="C2952" i="1"/>
  <c r="S2952" i="1"/>
  <c r="T2952" i="1"/>
  <c r="U2952" i="1"/>
  <c r="BB2952" i="1"/>
  <c r="BW2952" i="1"/>
  <c r="A2953" i="1"/>
  <c r="C2953" i="1"/>
  <c r="S2953" i="1"/>
  <c r="T2953" i="1"/>
  <c r="U2953" i="1"/>
  <c r="BB2953" i="1"/>
  <c r="BW2953" i="1"/>
  <c r="A2954" i="1"/>
  <c r="C2954" i="1"/>
  <c r="S2954" i="1"/>
  <c r="T2954" i="1"/>
  <c r="U2954" i="1"/>
  <c r="BB2954" i="1"/>
  <c r="BW2954" i="1"/>
  <c r="A2955" i="1"/>
  <c r="C2955" i="1"/>
  <c r="S2955" i="1"/>
  <c r="T2955" i="1"/>
  <c r="U2955" i="1"/>
  <c r="BB2955" i="1"/>
  <c r="BW2955" i="1"/>
  <c r="A2956" i="1"/>
  <c r="C2956" i="1"/>
  <c r="S2956" i="1"/>
  <c r="T2956" i="1"/>
  <c r="U2956" i="1"/>
  <c r="BB2956" i="1"/>
  <c r="BW2956" i="1"/>
  <c r="A2957" i="1"/>
  <c r="C2957" i="1"/>
  <c r="S2957" i="1"/>
  <c r="T2957" i="1"/>
  <c r="U2957" i="1"/>
  <c r="BB2957" i="1"/>
  <c r="BW2957" i="1"/>
  <c r="A2958" i="1"/>
  <c r="C2958" i="1"/>
  <c r="S2958" i="1"/>
  <c r="T2958" i="1"/>
  <c r="U2958" i="1"/>
  <c r="BB2958" i="1"/>
  <c r="BW2958" i="1"/>
  <c r="A2959" i="1"/>
  <c r="C2959" i="1"/>
  <c r="S2959" i="1"/>
  <c r="T2959" i="1"/>
  <c r="U2959" i="1"/>
  <c r="BB2959" i="1"/>
  <c r="BW2959" i="1"/>
  <c r="A2960" i="1"/>
  <c r="C2960" i="1"/>
  <c r="S2960" i="1"/>
  <c r="T2960" i="1"/>
  <c r="U2960" i="1"/>
  <c r="BB2960" i="1"/>
  <c r="BW2960" i="1"/>
  <c r="A2961" i="1"/>
  <c r="C2961" i="1"/>
  <c r="S2961" i="1"/>
  <c r="T2961" i="1"/>
  <c r="U2961" i="1"/>
  <c r="BB2961" i="1"/>
  <c r="BW2961" i="1"/>
  <c r="A2962" i="1"/>
  <c r="C2962" i="1"/>
  <c r="S2962" i="1"/>
  <c r="T2962" i="1"/>
  <c r="U2962" i="1"/>
  <c r="BB2962" i="1"/>
  <c r="BW2962" i="1"/>
  <c r="A2963" i="1"/>
  <c r="C2963" i="1"/>
  <c r="S2963" i="1"/>
  <c r="T2963" i="1"/>
  <c r="U2963" i="1"/>
  <c r="BB2963" i="1"/>
  <c r="BW2963" i="1"/>
  <c r="A2964" i="1"/>
  <c r="C2964" i="1"/>
  <c r="S2964" i="1"/>
  <c r="T2964" i="1"/>
  <c r="U2964" i="1"/>
  <c r="BB2964" i="1"/>
  <c r="BW2964" i="1"/>
  <c r="A2965" i="1"/>
  <c r="C2965" i="1"/>
  <c r="S2965" i="1"/>
  <c r="T2965" i="1"/>
  <c r="U2965" i="1"/>
  <c r="BB2965" i="1"/>
  <c r="BW2965" i="1"/>
  <c r="A2966" i="1"/>
  <c r="C2966" i="1"/>
  <c r="S2966" i="1"/>
  <c r="T2966" i="1"/>
  <c r="U2966" i="1"/>
  <c r="BB2966" i="1"/>
  <c r="BW2966" i="1"/>
  <c r="A2967" i="1"/>
  <c r="C2967" i="1"/>
  <c r="S2967" i="1"/>
  <c r="T2967" i="1"/>
  <c r="U2967" i="1"/>
  <c r="BB2967" i="1"/>
  <c r="BW2967" i="1"/>
  <c r="A2968" i="1"/>
  <c r="C2968" i="1"/>
  <c r="S2968" i="1"/>
  <c r="T2968" i="1"/>
  <c r="U2968" i="1"/>
  <c r="BB2968" i="1"/>
  <c r="BW2968" i="1"/>
  <c r="A2969" i="1"/>
  <c r="C2969" i="1"/>
  <c r="S2969" i="1"/>
  <c r="T2969" i="1"/>
  <c r="U2969" i="1"/>
  <c r="BB2969" i="1"/>
  <c r="BW2969" i="1"/>
  <c r="A2970" i="1"/>
  <c r="C2970" i="1"/>
  <c r="S2970" i="1"/>
  <c r="T2970" i="1"/>
  <c r="U2970" i="1"/>
  <c r="BB2970" i="1"/>
  <c r="BW2970" i="1"/>
  <c r="A2971" i="1"/>
  <c r="C2971" i="1"/>
  <c r="S2971" i="1"/>
  <c r="T2971" i="1"/>
  <c r="U2971" i="1"/>
  <c r="BB2971" i="1"/>
  <c r="BW2971" i="1"/>
  <c r="A2972" i="1"/>
  <c r="C2972" i="1"/>
  <c r="S2972" i="1"/>
  <c r="T2972" i="1"/>
  <c r="U2972" i="1"/>
  <c r="BB2972" i="1"/>
  <c r="BW2972" i="1"/>
  <c r="A2973" i="1"/>
  <c r="C2973" i="1"/>
  <c r="S2973" i="1"/>
  <c r="T2973" i="1"/>
  <c r="U2973" i="1"/>
  <c r="BB2973" i="1"/>
  <c r="BW2973" i="1"/>
  <c r="A2974" i="1"/>
  <c r="C2974" i="1"/>
  <c r="S2974" i="1"/>
  <c r="T2974" i="1"/>
  <c r="U2974" i="1"/>
  <c r="BB2974" i="1"/>
  <c r="BW2974" i="1"/>
  <c r="A2975" i="1"/>
  <c r="C2975" i="1"/>
  <c r="S2975" i="1"/>
  <c r="T2975" i="1"/>
  <c r="U2975" i="1"/>
  <c r="BB2975" i="1"/>
  <c r="BW2975" i="1"/>
  <c r="A2976" i="1"/>
  <c r="C2976" i="1"/>
  <c r="S2976" i="1"/>
  <c r="T2976" i="1"/>
  <c r="U2976" i="1"/>
  <c r="BB2976" i="1"/>
  <c r="BW2976" i="1"/>
  <c r="A2977" i="1"/>
  <c r="C2977" i="1"/>
  <c r="S2977" i="1"/>
  <c r="T2977" i="1"/>
  <c r="U2977" i="1"/>
  <c r="BB2977" i="1"/>
  <c r="BW2977" i="1"/>
  <c r="A2978" i="1"/>
  <c r="C2978" i="1"/>
  <c r="S2978" i="1"/>
  <c r="T2978" i="1"/>
  <c r="U2978" i="1"/>
  <c r="BB2978" i="1"/>
  <c r="BW2978" i="1"/>
  <c r="A2979" i="1"/>
  <c r="C2979" i="1"/>
  <c r="S2979" i="1"/>
  <c r="T2979" i="1"/>
  <c r="U2979" i="1"/>
  <c r="BB2979" i="1"/>
  <c r="BW2979" i="1"/>
  <c r="A2980" i="1"/>
  <c r="C2980" i="1"/>
  <c r="S2980" i="1"/>
  <c r="T2980" i="1"/>
  <c r="U2980" i="1"/>
  <c r="BB2980" i="1"/>
  <c r="BW2980" i="1"/>
  <c r="A2981" i="1"/>
  <c r="C2981" i="1"/>
  <c r="S2981" i="1"/>
  <c r="T2981" i="1"/>
  <c r="U2981" i="1"/>
  <c r="BB2981" i="1"/>
  <c r="BW2981" i="1"/>
  <c r="A2982" i="1"/>
  <c r="C2982" i="1"/>
  <c r="S2982" i="1"/>
  <c r="T2982" i="1"/>
  <c r="U2982" i="1"/>
  <c r="BB2982" i="1"/>
  <c r="BW2982" i="1"/>
  <c r="A2983" i="1"/>
  <c r="C2983" i="1"/>
  <c r="S2983" i="1"/>
  <c r="T2983" i="1"/>
  <c r="U2983" i="1"/>
  <c r="BB2983" i="1"/>
  <c r="BW2983" i="1"/>
  <c r="A2984" i="1"/>
  <c r="C2984" i="1"/>
  <c r="S2984" i="1"/>
  <c r="T2984" i="1"/>
  <c r="U2984" i="1"/>
  <c r="BB2984" i="1"/>
  <c r="BW2984" i="1"/>
  <c r="A2985" i="1"/>
  <c r="C2985" i="1"/>
  <c r="S2985" i="1"/>
  <c r="T2985" i="1"/>
  <c r="U2985" i="1"/>
  <c r="BB2985" i="1"/>
  <c r="BW2985" i="1"/>
  <c r="A2986" i="1"/>
  <c r="C2986" i="1"/>
  <c r="S2986" i="1"/>
  <c r="T2986" i="1"/>
  <c r="U2986" i="1"/>
  <c r="BB2986" i="1"/>
  <c r="BW2986" i="1"/>
  <c r="A2987" i="1"/>
  <c r="C2987" i="1"/>
  <c r="S2987" i="1"/>
  <c r="T2987" i="1"/>
  <c r="U2987" i="1"/>
  <c r="BB2987" i="1"/>
  <c r="BW2987" i="1"/>
  <c r="A2988" i="1"/>
  <c r="C2988" i="1"/>
  <c r="S2988" i="1"/>
  <c r="T2988" i="1"/>
  <c r="U2988" i="1"/>
  <c r="BB2988" i="1"/>
  <c r="BW2988" i="1"/>
  <c r="A2989" i="1"/>
  <c r="C2989" i="1"/>
  <c r="S2989" i="1"/>
  <c r="T2989" i="1"/>
  <c r="U2989" i="1"/>
  <c r="BB2989" i="1"/>
  <c r="BW2989" i="1"/>
  <c r="A2990" i="1"/>
  <c r="C2990" i="1"/>
  <c r="S2990" i="1"/>
  <c r="T2990" i="1"/>
  <c r="U2990" i="1"/>
  <c r="BB2990" i="1"/>
  <c r="BW2990" i="1"/>
  <c r="A2991" i="1"/>
  <c r="C2991" i="1"/>
  <c r="S2991" i="1"/>
  <c r="T2991" i="1"/>
  <c r="U2991" i="1"/>
  <c r="BB2991" i="1"/>
  <c r="BW2991" i="1"/>
  <c r="A2992" i="1"/>
  <c r="C2992" i="1"/>
  <c r="S2992" i="1"/>
  <c r="T2992" i="1"/>
  <c r="U2992" i="1"/>
  <c r="BB2992" i="1"/>
  <c r="BW2992" i="1"/>
  <c r="A2993" i="1"/>
  <c r="C2993" i="1"/>
  <c r="S2993" i="1"/>
  <c r="T2993" i="1"/>
  <c r="U2993" i="1"/>
  <c r="BB2993" i="1"/>
  <c r="BW2993" i="1"/>
  <c r="A2994" i="1"/>
  <c r="C2994" i="1"/>
  <c r="S2994" i="1"/>
  <c r="T2994" i="1"/>
  <c r="U2994" i="1"/>
  <c r="BB2994" i="1"/>
  <c r="BW2994" i="1"/>
  <c r="A2995" i="1"/>
  <c r="C2995" i="1"/>
  <c r="S2995" i="1"/>
  <c r="T2995" i="1"/>
  <c r="U2995" i="1"/>
  <c r="BB2995" i="1"/>
  <c r="BW2995" i="1"/>
  <c r="A2996" i="1"/>
  <c r="C2996" i="1"/>
  <c r="S2996" i="1"/>
  <c r="T2996" i="1"/>
  <c r="U2996" i="1"/>
  <c r="BB2996" i="1"/>
  <c r="BW2996" i="1"/>
  <c r="A2997" i="1"/>
  <c r="C2997" i="1"/>
  <c r="S2997" i="1"/>
  <c r="T2997" i="1"/>
  <c r="U2997" i="1"/>
  <c r="BB2997" i="1"/>
  <c r="BW2997" i="1"/>
  <c r="A2998" i="1"/>
  <c r="C2998" i="1"/>
  <c r="S2998" i="1"/>
  <c r="T2998" i="1"/>
  <c r="U2998" i="1"/>
  <c r="BB2998" i="1"/>
  <c r="BW2998" i="1"/>
  <c r="A2999" i="1"/>
  <c r="C2999" i="1"/>
  <c r="S2999" i="1"/>
  <c r="T2999" i="1"/>
  <c r="U2999" i="1"/>
  <c r="BB2999" i="1"/>
  <c r="BW2999" i="1"/>
  <c r="A3000" i="1"/>
  <c r="C3000" i="1"/>
  <c r="S3000" i="1"/>
  <c r="T3000" i="1"/>
  <c r="U3000" i="1"/>
  <c r="BB3000" i="1"/>
  <c r="BW3000" i="1"/>
  <c r="A3001" i="1"/>
  <c r="C3001" i="1"/>
  <c r="S3001" i="1"/>
  <c r="T3001" i="1"/>
  <c r="U3001" i="1"/>
  <c r="BB3001" i="1"/>
  <c r="BW3001" i="1"/>
  <c r="A3002" i="1"/>
  <c r="C3002" i="1"/>
  <c r="S3002" i="1"/>
  <c r="T3002" i="1"/>
  <c r="U3002" i="1"/>
  <c r="BB3002" i="1"/>
  <c r="BW3002" i="1"/>
  <c r="A3003" i="1"/>
  <c r="C3003" i="1"/>
  <c r="S3003" i="1"/>
  <c r="T3003" i="1"/>
  <c r="U3003" i="1"/>
  <c r="BB3003" i="1"/>
  <c r="BW3003" i="1"/>
  <c r="A3004" i="1"/>
  <c r="C3004" i="1"/>
  <c r="S3004" i="1"/>
  <c r="T3004" i="1"/>
  <c r="U3004" i="1"/>
  <c r="BB3004" i="1"/>
  <c r="BW3004" i="1"/>
  <c r="A3005" i="1"/>
  <c r="C3005" i="1"/>
  <c r="S3005" i="1"/>
  <c r="T3005" i="1"/>
  <c r="U3005" i="1"/>
  <c r="BB3005" i="1"/>
  <c r="BW3005" i="1"/>
  <c r="A3006" i="1"/>
  <c r="C3006" i="1"/>
  <c r="S3006" i="1"/>
  <c r="T3006" i="1"/>
  <c r="U3006" i="1"/>
  <c r="BB3006" i="1"/>
  <c r="BW3006" i="1"/>
  <c r="A3007" i="1"/>
  <c r="C3007" i="1"/>
  <c r="S3007" i="1"/>
  <c r="T3007" i="1"/>
  <c r="U3007" i="1"/>
  <c r="BB3007" i="1"/>
  <c r="BW3007" i="1"/>
  <c r="A3008" i="1"/>
  <c r="C3008" i="1"/>
  <c r="S3008" i="1"/>
  <c r="T3008" i="1"/>
  <c r="U3008" i="1"/>
  <c r="BB3008" i="1"/>
  <c r="BW3008" i="1"/>
  <c r="A3009" i="1"/>
  <c r="C3009" i="1"/>
  <c r="S3009" i="1"/>
  <c r="T3009" i="1"/>
  <c r="U3009" i="1"/>
  <c r="BB3009" i="1"/>
  <c r="BW3009" i="1"/>
  <c r="A3010" i="1"/>
  <c r="C3010" i="1"/>
  <c r="S3010" i="1"/>
  <c r="T3010" i="1"/>
  <c r="U3010" i="1"/>
  <c r="BB3010" i="1"/>
  <c r="BW3010" i="1"/>
  <c r="A3011" i="1"/>
  <c r="C3011" i="1"/>
  <c r="S3011" i="1"/>
  <c r="T3011" i="1"/>
  <c r="U3011" i="1"/>
  <c r="BB3011" i="1"/>
  <c r="BW3011" i="1"/>
  <c r="A3012" i="1"/>
  <c r="C3012" i="1"/>
  <c r="S3012" i="1"/>
  <c r="T3012" i="1"/>
  <c r="U3012" i="1"/>
  <c r="BB3012" i="1"/>
  <c r="BW3012" i="1"/>
  <c r="A3013" i="1"/>
  <c r="C3013" i="1"/>
  <c r="S3013" i="1"/>
  <c r="T3013" i="1"/>
  <c r="U3013" i="1"/>
  <c r="BB3013" i="1"/>
  <c r="BW3013" i="1"/>
  <c r="A3014" i="1"/>
  <c r="C3014" i="1"/>
  <c r="S3014" i="1"/>
  <c r="T3014" i="1"/>
  <c r="U3014" i="1"/>
  <c r="BB3014" i="1"/>
  <c r="BW3014" i="1"/>
  <c r="A3015" i="1"/>
  <c r="C3015" i="1"/>
  <c r="S3015" i="1"/>
  <c r="T3015" i="1"/>
  <c r="U3015" i="1"/>
  <c r="BB3015" i="1"/>
  <c r="BW3015" i="1"/>
  <c r="A3016" i="1"/>
  <c r="C3016" i="1"/>
  <c r="S3016" i="1"/>
  <c r="T3016" i="1"/>
  <c r="U3016" i="1"/>
  <c r="BB3016" i="1"/>
  <c r="BW3016" i="1"/>
  <c r="A3017" i="1"/>
  <c r="C3017" i="1"/>
  <c r="S3017" i="1"/>
  <c r="T3017" i="1"/>
  <c r="U3017" i="1"/>
  <c r="BB3017" i="1"/>
  <c r="BW3017" i="1"/>
  <c r="A3018" i="1"/>
  <c r="C3018" i="1"/>
  <c r="S3018" i="1"/>
  <c r="T3018" i="1"/>
  <c r="U3018" i="1"/>
  <c r="BB3018" i="1"/>
  <c r="BW3018" i="1"/>
  <c r="A3019" i="1"/>
  <c r="C3019" i="1"/>
  <c r="S3019" i="1"/>
  <c r="T3019" i="1"/>
  <c r="U3019" i="1"/>
  <c r="BB3019" i="1"/>
  <c r="BW3019" i="1"/>
  <c r="A3020" i="1"/>
  <c r="C3020" i="1"/>
  <c r="S3020" i="1"/>
  <c r="T3020" i="1"/>
  <c r="U3020" i="1"/>
  <c r="BB3020" i="1"/>
  <c r="BW3020" i="1"/>
  <c r="A3021" i="1"/>
  <c r="C3021" i="1"/>
  <c r="S3021" i="1"/>
  <c r="T3021" i="1"/>
  <c r="U3021" i="1"/>
  <c r="BB3021" i="1"/>
  <c r="BW3021" i="1"/>
  <c r="A3022" i="1"/>
  <c r="C3022" i="1"/>
  <c r="S3022" i="1"/>
  <c r="T3022" i="1"/>
  <c r="U3022" i="1"/>
  <c r="BB3022" i="1"/>
  <c r="BW3022" i="1"/>
  <c r="A3023" i="1"/>
  <c r="C3023" i="1"/>
  <c r="S3023" i="1"/>
  <c r="T3023" i="1"/>
  <c r="U3023" i="1"/>
  <c r="BB3023" i="1"/>
  <c r="BW3023" i="1"/>
  <c r="A3024" i="1"/>
  <c r="C3024" i="1"/>
  <c r="S3024" i="1"/>
  <c r="T3024" i="1"/>
  <c r="U3024" i="1"/>
  <c r="BB3024" i="1"/>
  <c r="BW3024" i="1"/>
  <c r="A3025" i="1"/>
  <c r="C3025" i="1"/>
  <c r="S3025" i="1"/>
  <c r="T3025" i="1"/>
  <c r="U3025" i="1"/>
  <c r="BB3025" i="1"/>
  <c r="BW3025" i="1"/>
  <c r="A3026" i="1"/>
  <c r="C3026" i="1"/>
  <c r="S3026" i="1"/>
  <c r="T3026" i="1"/>
  <c r="U3026" i="1"/>
  <c r="BB3026" i="1"/>
  <c r="BW3026" i="1"/>
  <c r="A3027" i="1"/>
  <c r="C3027" i="1"/>
  <c r="S3027" i="1"/>
  <c r="T3027" i="1"/>
  <c r="U3027" i="1"/>
  <c r="BB3027" i="1"/>
  <c r="BW3027" i="1"/>
  <c r="A3028" i="1"/>
  <c r="C3028" i="1"/>
  <c r="S3028" i="1"/>
  <c r="T3028" i="1"/>
  <c r="U3028" i="1"/>
  <c r="BB3028" i="1"/>
  <c r="BW3028" i="1"/>
  <c r="A3029" i="1"/>
  <c r="C3029" i="1"/>
  <c r="S3029" i="1"/>
  <c r="T3029" i="1"/>
  <c r="U3029" i="1"/>
  <c r="BB3029" i="1"/>
  <c r="BW3029" i="1"/>
  <c r="A3030" i="1"/>
  <c r="C3030" i="1"/>
  <c r="S3030" i="1"/>
  <c r="T3030" i="1"/>
  <c r="U3030" i="1"/>
  <c r="BB3030" i="1"/>
  <c r="BW3030" i="1"/>
  <c r="A3031" i="1"/>
  <c r="C3031" i="1"/>
  <c r="S3031" i="1"/>
  <c r="T3031" i="1"/>
  <c r="U3031" i="1"/>
  <c r="BB3031" i="1"/>
  <c r="BW3031" i="1"/>
  <c r="A3032" i="1"/>
  <c r="C3032" i="1"/>
  <c r="S3032" i="1"/>
  <c r="T3032" i="1"/>
  <c r="U3032" i="1"/>
  <c r="BB3032" i="1"/>
  <c r="BW3032" i="1"/>
  <c r="A3033" i="1"/>
  <c r="C3033" i="1"/>
  <c r="S3033" i="1"/>
  <c r="T3033" i="1"/>
  <c r="U3033" i="1"/>
  <c r="BB3033" i="1"/>
  <c r="BW3033" i="1"/>
  <c r="A3034" i="1"/>
  <c r="C3034" i="1"/>
  <c r="S3034" i="1"/>
  <c r="T3034" i="1"/>
  <c r="U3034" i="1"/>
  <c r="BB3034" i="1"/>
  <c r="BW3034" i="1"/>
  <c r="A3035" i="1"/>
  <c r="C3035" i="1"/>
  <c r="S3035" i="1"/>
  <c r="T3035" i="1"/>
  <c r="U3035" i="1"/>
  <c r="BB3035" i="1"/>
  <c r="BW3035" i="1"/>
  <c r="A3036" i="1"/>
  <c r="C3036" i="1"/>
  <c r="S3036" i="1"/>
  <c r="T3036" i="1"/>
  <c r="U3036" i="1"/>
  <c r="BB3036" i="1"/>
  <c r="BW3036" i="1"/>
  <c r="A3037" i="1"/>
  <c r="C3037" i="1"/>
  <c r="S3037" i="1"/>
  <c r="T3037" i="1"/>
  <c r="U3037" i="1"/>
  <c r="BB3037" i="1"/>
  <c r="BW3037" i="1"/>
  <c r="A3038" i="1"/>
  <c r="C3038" i="1"/>
  <c r="S3038" i="1"/>
  <c r="T3038" i="1"/>
  <c r="U3038" i="1"/>
  <c r="BB3038" i="1"/>
  <c r="BW3038" i="1"/>
  <c r="A3039" i="1"/>
  <c r="C3039" i="1"/>
  <c r="S3039" i="1"/>
  <c r="T3039" i="1"/>
  <c r="U3039" i="1"/>
  <c r="BB3039" i="1"/>
  <c r="BW3039" i="1"/>
  <c r="A3040" i="1"/>
  <c r="C3040" i="1"/>
  <c r="S3040" i="1"/>
  <c r="T3040" i="1"/>
  <c r="U3040" i="1"/>
  <c r="BB3040" i="1"/>
  <c r="BW3040" i="1"/>
  <c r="A3041" i="1"/>
  <c r="C3041" i="1"/>
  <c r="S3041" i="1"/>
  <c r="T3041" i="1"/>
  <c r="U3041" i="1"/>
  <c r="BB3041" i="1"/>
  <c r="BW3041" i="1"/>
  <c r="A3042" i="1"/>
  <c r="C3042" i="1"/>
  <c r="S3042" i="1"/>
  <c r="T3042" i="1"/>
  <c r="U3042" i="1"/>
  <c r="BB3042" i="1"/>
  <c r="BW3042" i="1"/>
  <c r="A3043" i="1"/>
  <c r="C3043" i="1"/>
  <c r="S3043" i="1"/>
  <c r="T3043" i="1"/>
  <c r="U3043" i="1"/>
  <c r="BB3043" i="1"/>
  <c r="BW3043" i="1"/>
  <c r="A3044" i="1"/>
  <c r="C3044" i="1"/>
  <c r="S3044" i="1"/>
  <c r="T3044" i="1"/>
  <c r="U3044" i="1"/>
  <c r="BB3044" i="1"/>
  <c r="BW3044" i="1"/>
  <c r="A3045" i="1"/>
  <c r="C3045" i="1"/>
  <c r="S3045" i="1"/>
  <c r="T3045" i="1"/>
  <c r="U3045" i="1"/>
  <c r="BB3045" i="1"/>
  <c r="BW3045" i="1"/>
  <c r="A3046" i="1"/>
  <c r="C3046" i="1"/>
  <c r="S3046" i="1"/>
  <c r="T3046" i="1"/>
  <c r="U3046" i="1"/>
  <c r="BB3046" i="1"/>
  <c r="BW3046" i="1"/>
  <c r="A3047" i="1"/>
  <c r="C3047" i="1"/>
  <c r="S3047" i="1"/>
  <c r="T3047" i="1"/>
  <c r="U3047" i="1"/>
  <c r="BB3047" i="1"/>
  <c r="BW3047" i="1"/>
  <c r="A3048" i="1"/>
  <c r="C3048" i="1"/>
  <c r="S3048" i="1"/>
  <c r="T3048" i="1"/>
  <c r="U3048" i="1"/>
  <c r="BB3048" i="1"/>
  <c r="BW3048" i="1"/>
  <c r="A3049" i="1"/>
  <c r="C3049" i="1"/>
  <c r="S3049" i="1"/>
  <c r="T3049" i="1"/>
  <c r="U3049" i="1"/>
  <c r="BB3049" i="1"/>
  <c r="BW3049" i="1"/>
  <c r="A3050" i="1"/>
  <c r="C3050" i="1"/>
  <c r="S3050" i="1"/>
  <c r="T3050" i="1"/>
  <c r="U3050" i="1"/>
  <c r="BB3050" i="1"/>
  <c r="BW3050" i="1"/>
  <c r="A3051" i="1"/>
  <c r="C3051" i="1"/>
  <c r="S3051" i="1"/>
  <c r="T3051" i="1"/>
  <c r="U3051" i="1"/>
  <c r="BB3051" i="1"/>
  <c r="BW3051" i="1"/>
  <c r="A3052" i="1"/>
  <c r="C3052" i="1"/>
  <c r="S3052" i="1"/>
  <c r="T3052" i="1"/>
  <c r="U3052" i="1"/>
  <c r="BB3052" i="1"/>
  <c r="BW3052" i="1"/>
  <c r="A3053" i="1"/>
  <c r="C3053" i="1"/>
  <c r="S3053" i="1"/>
  <c r="T3053" i="1"/>
  <c r="U3053" i="1"/>
  <c r="BB3053" i="1"/>
  <c r="BW3053" i="1"/>
  <c r="A3054" i="1"/>
  <c r="C3054" i="1"/>
  <c r="S3054" i="1"/>
  <c r="T3054" i="1"/>
  <c r="U3054" i="1"/>
  <c r="BB3054" i="1"/>
  <c r="BW3054" i="1"/>
  <c r="A3055" i="1"/>
  <c r="C3055" i="1"/>
  <c r="S3055" i="1"/>
  <c r="T3055" i="1"/>
  <c r="U3055" i="1"/>
  <c r="BB3055" i="1"/>
  <c r="BW3055" i="1"/>
  <c r="A3056" i="1"/>
  <c r="C3056" i="1"/>
  <c r="S3056" i="1"/>
  <c r="T3056" i="1"/>
  <c r="U3056" i="1"/>
  <c r="BB3056" i="1"/>
  <c r="BW3056" i="1"/>
  <c r="A3057" i="1"/>
  <c r="C3057" i="1"/>
  <c r="S3057" i="1"/>
  <c r="T3057" i="1"/>
  <c r="U3057" i="1"/>
  <c r="BB3057" i="1"/>
  <c r="BW3057" i="1"/>
  <c r="A3058" i="1"/>
  <c r="C3058" i="1"/>
  <c r="S3058" i="1"/>
  <c r="T3058" i="1"/>
  <c r="U3058" i="1"/>
  <c r="BB3058" i="1"/>
  <c r="BW3058" i="1"/>
  <c r="A3059" i="1"/>
  <c r="C3059" i="1"/>
  <c r="S3059" i="1"/>
  <c r="T3059" i="1"/>
  <c r="U3059" i="1"/>
  <c r="BB3059" i="1"/>
  <c r="BW3059" i="1"/>
  <c r="A3060" i="1"/>
  <c r="C3060" i="1"/>
  <c r="S3060" i="1"/>
  <c r="T3060" i="1"/>
  <c r="U3060" i="1"/>
  <c r="BB3060" i="1"/>
  <c r="BW3060" i="1"/>
  <c r="A3061" i="1"/>
  <c r="C3061" i="1"/>
  <c r="S3061" i="1"/>
  <c r="T3061" i="1"/>
  <c r="U3061" i="1"/>
  <c r="BB3061" i="1"/>
  <c r="BW3061" i="1"/>
  <c r="A3062" i="1"/>
  <c r="C3062" i="1"/>
  <c r="S3062" i="1"/>
  <c r="T3062" i="1"/>
  <c r="U3062" i="1"/>
  <c r="BB3062" i="1"/>
  <c r="BW3062" i="1"/>
  <c r="A3063" i="1"/>
  <c r="C3063" i="1"/>
  <c r="S3063" i="1"/>
  <c r="T3063" i="1"/>
  <c r="U3063" i="1"/>
  <c r="BB3063" i="1"/>
  <c r="BW3063" i="1"/>
  <c r="A3064" i="1"/>
  <c r="C3064" i="1"/>
  <c r="S3064" i="1"/>
  <c r="T3064" i="1"/>
  <c r="U3064" i="1"/>
  <c r="BB3064" i="1"/>
  <c r="BW3064" i="1"/>
  <c r="A3065" i="1"/>
  <c r="C3065" i="1"/>
  <c r="S3065" i="1"/>
  <c r="T3065" i="1"/>
  <c r="U3065" i="1"/>
  <c r="BB3065" i="1"/>
  <c r="BW3065" i="1"/>
  <c r="A3066" i="1"/>
  <c r="C3066" i="1"/>
  <c r="S3066" i="1"/>
  <c r="T3066" i="1"/>
  <c r="U3066" i="1"/>
  <c r="BB3066" i="1"/>
  <c r="BW3066" i="1"/>
  <c r="A3067" i="1"/>
  <c r="C3067" i="1"/>
  <c r="S3067" i="1"/>
  <c r="T3067" i="1"/>
  <c r="U3067" i="1"/>
  <c r="BB3067" i="1"/>
  <c r="BW3067" i="1"/>
  <c r="A3068" i="1"/>
  <c r="C3068" i="1"/>
  <c r="S3068" i="1"/>
  <c r="T3068" i="1"/>
  <c r="U3068" i="1"/>
  <c r="BB3068" i="1"/>
  <c r="BW3068" i="1"/>
  <c r="A3069" i="1"/>
  <c r="C3069" i="1"/>
  <c r="S3069" i="1"/>
  <c r="T3069" i="1"/>
  <c r="U3069" i="1"/>
  <c r="BB3069" i="1"/>
  <c r="BW3069" i="1"/>
  <c r="A3070" i="1"/>
  <c r="C3070" i="1"/>
  <c r="S3070" i="1"/>
  <c r="T3070" i="1"/>
  <c r="U3070" i="1"/>
  <c r="BB3070" i="1"/>
  <c r="BW3070" i="1"/>
  <c r="A3071" i="1"/>
  <c r="C3071" i="1"/>
  <c r="S3071" i="1"/>
  <c r="T3071" i="1"/>
  <c r="U3071" i="1"/>
  <c r="BB3071" i="1"/>
  <c r="BW3071" i="1"/>
  <c r="A3072" i="1"/>
  <c r="C3072" i="1"/>
  <c r="S3072" i="1"/>
  <c r="T3072" i="1"/>
  <c r="U3072" i="1"/>
  <c r="BB3072" i="1"/>
  <c r="BW3072" i="1"/>
  <c r="A3073" i="1"/>
  <c r="C3073" i="1"/>
  <c r="S3073" i="1"/>
  <c r="T3073" i="1"/>
  <c r="U3073" i="1"/>
  <c r="BB3073" i="1"/>
  <c r="BW3073" i="1"/>
  <c r="A3074" i="1"/>
  <c r="C3074" i="1"/>
  <c r="S3074" i="1"/>
  <c r="T3074" i="1"/>
  <c r="U3074" i="1"/>
  <c r="BB3074" i="1"/>
  <c r="BW3074" i="1"/>
  <c r="A3075" i="1"/>
  <c r="C3075" i="1"/>
  <c r="S3075" i="1"/>
  <c r="T3075" i="1"/>
  <c r="U3075" i="1"/>
  <c r="BB3075" i="1"/>
  <c r="BW3075" i="1"/>
  <c r="A3076" i="1"/>
  <c r="C3076" i="1"/>
  <c r="S3076" i="1"/>
  <c r="T3076" i="1"/>
  <c r="U3076" i="1"/>
  <c r="BB3076" i="1"/>
  <c r="BW3076" i="1"/>
  <c r="A3077" i="1"/>
  <c r="C3077" i="1"/>
  <c r="S3077" i="1"/>
  <c r="T3077" i="1"/>
  <c r="U3077" i="1"/>
  <c r="BB3077" i="1"/>
  <c r="BW3077" i="1"/>
  <c r="A3078" i="1"/>
  <c r="C3078" i="1"/>
  <c r="S3078" i="1"/>
  <c r="T3078" i="1"/>
  <c r="U3078" i="1"/>
  <c r="BB3078" i="1"/>
  <c r="BW3078" i="1"/>
  <c r="A3079" i="1"/>
  <c r="C3079" i="1"/>
  <c r="S3079" i="1"/>
  <c r="T3079" i="1"/>
  <c r="U3079" i="1"/>
  <c r="BB3079" i="1"/>
  <c r="BW3079" i="1"/>
  <c r="A3080" i="1"/>
  <c r="C3080" i="1"/>
  <c r="S3080" i="1"/>
  <c r="T3080" i="1"/>
  <c r="U3080" i="1"/>
  <c r="BB3080" i="1"/>
  <c r="BW3080" i="1"/>
  <c r="A3081" i="1"/>
  <c r="C3081" i="1"/>
  <c r="S3081" i="1"/>
  <c r="T3081" i="1"/>
  <c r="U3081" i="1"/>
  <c r="BB3081" i="1"/>
  <c r="BW3081" i="1"/>
  <c r="A3082" i="1"/>
  <c r="C3082" i="1"/>
  <c r="S3082" i="1"/>
  <c r="T3082" i="1"/>
  <c r="U3082" i="1"/>
  <c r="BB3082" i="1"/>
  <c r="BW3082" i="1"/>
  <c r="A3083" i="1"/>
  <c r="C3083" i="1"/>
  <c r="S3083" i="1"/>
  <c r="T3083" i="1"/>
  <c r="U3083" i="1"/>
  <c r="BB3083" i="1"/>
  <c r="BW3083" i="1"/>
  <c r="A3084" i="1"/>
  <c r="C3084" i="1"/>
  <c r="S3084" i="1"/>
  <c r="T3084" i="1"/>
  <c r="U3084" i="1"/>
  <c r="BB3084" i="1"/>
  <c r="BW3084" i="1"/>
  <c r="A3085" i="1"/>
  <c r="C3085" i="1"/>
  <c r="S3085" i="1"/>
  <c r="T3085" i="1"/>
  <c r="U3085" i="1"/>
  <c r="BB3085" i="1"/>
  <c r="BW3085" i="1"/>
  <c r="A3086" i="1"/>
  <c r="C3086" i="1"/>
  <c r="S3086" i="1"/>
  <c r="T3086" i="1"/>
  <c r="U3086" i="1"/>
  <c r="BB3086" i="1"/>
  <c r="BW3086" i="1"/>
  <c r="A3087" i="1"/>
  <c r="C3087" i="1"/>
  <c r="S3087" i="1"/>
  <c r="T3087" i="1"/>
  <c r="U3087" i="1"/>
  <c r="BB3087" i="1"/>
  <c r="BW3087" i="1"/>
  <c r="A3088" i="1"/>
  <c r="C3088" i="1"/>
  <c r="S3088" i="1"/>
  <c r="T3088" i="1"/>
  <c r="U3088" i="1"/>
  <c r="BB3088" i="1"/>
  <c r="BW3088" i="1"/>
  <c r="A3089" i="1"/>
  <c r="C3089" i="1"/>
  <c r="S3089" i="1"/>
  <c r="T3089" i="1"/>
  <c r="U3089" i="1"/>
  <c r="BB3089" i="1"/>
  <c r="BW3089" i="1"/>
  <c r="A3090" i="1"/>
  <c r="C3090" i="1"/>
  <c r="S3090" i="1"/>
  <c r="T3090" i="1"/>
  <c r="U3090" i="1"/>
  <c r="BB3090" i="1"/>
  <c r="BW3090" i="1"/>
  <c r="A3091" i="1"/>
  <c r="C3091" i="1"/>
  <c r="S3091" i="1"/>
  <c r="T3091" i="1"/>
  <c r="U3091" i="1"/>
  <c r="BB3091" i="1"/>
  <c r="BW3091" i="1"/>
  <c r="A3092" i="1"/>
  <c r="C3092" i="1"/>
  <c r="S3092" i="1"/>
  <c r="T3092" i="1"/>
  <c r="U3092" i="1"/>
  <c r="BB3092" i="1"/>
  <c r="BW3092" i="1"/>
  <c r="A3093" i="1"/>
  <c r="C3093" i="1"/>
  <c r="S3093" i="1"/>
  <c r="T3093" i="1"/>
  <c r="U3093" i="1"/>
  <c r="BB3093" i="1"/>
  <c r="BW3093" i="1"/>
  <c r="A3094" i="1"/>
  <c r="C3094" i="1"/>
  <c r="S3094" i="1"/>
  <c r="T3094" i="1"/>
  <c r="U3094" i="1"/>
  <c r="BB3094" i="1"/>
  <c r="BW3094" i="1"/>
  <c r="A3095" i="1"/>
  <c r="C3095" i="1"/>
  <c r="S3095" i="1"/>
  <c r="T3095" i="1"/>
  <c r="U3095" i="1"/>
  <c r="BB3095" i="1"/>
  <c r="BW3095" i="1"/>
  <c r="A3096" i="1"/>
  <c r="C3096" i="1"/>
  <c r="S3096" i="1"/>
  <c r="T3096" i="1"/>
  <c r="U3096" i="1"/>
  <c r="BB3096" i="1"/>
  <c r="BW3096" i="1"/>
  <c r="A3097" i="1"/>
  <c r="C3097" i="1"/>
  <c r="S3097" i="1"/>
  <c r="T3097" i="1"/>
  <c r="U3097" i="1"/>
  <c r="BB3097" i="1"/>
  <c r="BW3097" i="1"/>
  <c r="A3098" i="1"/>
  <c r="C3098" i="1"/>
  <c r="S3098" i="1"/>
  <c r="T3098" i="1"/>
  <c r="U3098" i="1"/>
  <c r="BB3098" i="1"/>
  <c r="BW3098" i="1"/>
  <c r="A3099" i="1"/>
  <c r="C3099" i="1"/>
  <c r="S3099" i="1"/>
  <c r="T3099" i="1"/>
  <c r="U3099" i="1"/>
  <c r="BB3099" i="1"/>
  <c r="BW3099" i="1"/>
  <c r="A3100" i="1"/>
  <c r="C3100" i="1"/>
  <c r="S3100" i="1"/>
  <c r="T3100" i="1"/>
  <c r="U3100" i="1"/>
  <c r="BB3100" i="1"/>
  <c r="BW3100" i="1"/>
  <c r="A3101" i="1"/>
  <c r="C3101" i="1"/>
  <c r="S3101" i="1"/>
  <c r="T3101" i="1"/>
  <c r="U3101" i="1"/>
  <c r="BB3101" i="1"/>
  <c r="BW3101" i="1"/>
  <c r="A3102" i="1"/>
  <c r="C3102" i="1"/>
  <c r="S3102" i="1"/>
  <c r="T3102" i="1"/>
  <c r="U3102" i="1"/>
  <c r="BB3102" i="1"/>
  <c r="BW3102" i="1"/>
  <c r="A3103" i="1"/>
  <c r="C3103" i="1"/>
  <c r="S3103" i="1"/>
  <c r="T3103" i="1"/>
  <c r="U3103" i="1"/>
  <c r="BB3103" i="1"/>
  <c r="BW3103" i="1"/>
  <c r="A3104" i="1"/>
  <c r="C3104" i="1"/>
  <c r="S3104" i="1"/>
  <c r="T3104" i="1"/>
  <c r="U3104" i="1"/>
  <c r="BB3104" i="1"/>
  <c r="BW3104" i="1"/>
  <c r="A3105" i="1"/>
  <c r="C3105" i="1"/>
  <c r="S3105" i="1"/>
  <c r="T3105" i="1"/>
  <c r="U3105" i="1"/>
  <c r="BB3105" i="1"/>
  <c r="BW3105" i="1"/>
  <c r="A3106" i="1"/>
  <c r="C3106" i="1"/>
  <c r="S3106" i="1"/>
  <c r="T3106" i="1"/>
  <c r="U3106" i="1"/>
  <c r="BB3106" i="1"/>
  <c r="BW3106" i="1"/>
  <c r="A3107" i="1"/>
  <c r="C3107" i="1"/>
  <c r="S3107" i="1"/>
  <c r="T3107" i="1"/>
  <c r="U3107" i="1"/>
  <c r="BB3107" i="1"/>
  <c r="BW3107" i="1"/>
  <c r="A3108" i="1"/>
  <c r="C3108" i="1"/>
  <c r="S3108" i="1"/>
  <c r="T3108" i="1"/>
  <c r="U3108" i="1"/>
  <c r="BB3108" i="1"/>
  <c r="BW3108" i="1"/>
  <c r="A3109" i="1"/>
  <c r="C3109" i="1"/>
  <c r="S3109" i="1"/>
  <c r="T3109" i="1"/>
  <c r="U3109" i="1"/>
  <c r="BB3109" i="1"/>
  <c r="BW3109" i="1"/>
  <c r="A3110" i="1"/>
  <c r="C3110" i="1"/>
  <c r="S3110" i="1"/>
  <c r="T3110" i="1"/>
  <c r="U3110" i="1"/>
  <c r="BB3110" i="1"/>
  <c r="BW3110" i="1"/>
  <c r="A3111" i="1"/>
  <c r="C3111" i="1"/>
  <c r="S3111" i="1"/>
  <c r="T3111" i="1"/>
  <c r="U3111" i="1"/>
  <c r="BB3111" i="1"/>
  <c r="BW3111" i="1"/>
  <c r="A3112" i="1"/>
  <c r="C3112" i="1"/>
  <c r="S3112" i="1"/>
  <c r="T3112" i="1"/>
  <c r="U3112" i="1"/>
  <c r="BB3112" i="1"/>
  <c r="BW3112" i="1"/>
  <c r="A3113" i="1"/>
  <c r="C3113" i="1"/>
  <c r="S3113" i="1"/>
  <c r="T3113" i="1"/>
  <c r="U3113" i="1"/>
  <c r="BB3113" i="1"/>
  <c r="BW3113" i="1"/>
  <c r="A3114" i="1"/>
  <c r="C3114" i="1"/>
  <c r="S3114" i="1"/>
  <c r="T3114" i="1"/>
  <c r="U3114" i="1"/>
  <c r="BB3114" i="1"/>
  <c r="BW3114" i="1"/>
  <c r="A3115" i="1"/>
  <c r="C3115" i="1"/>
  <c r="S3115" i="1"/>
  <c r="T3115" i="1"/>
  <c r="U3115" i="1"/>
  <c r="BB3115" i="1"/>
  <c r="BW3115" i="1"/>
  <c r="A3116" i="1"/>
  <c r="C3116" i="1"/>
  <c r="S3116" i="1"/>
  <c r="T3116" i="1"/>
  <c r="U3116" i="1"/>
  <c r="BB3116" i="1"/>
  <c r="BW3116" i="1"/>
  <c r="A3117" i="1"/>
  <c r="C3117" i="1"/>
  <c r="S3117" i="1"/>
  <c r="T3117" i="1"/>
  <c r="U3117" i="1"/>
  <c r="BB3117" i="1"/>
  <c r="BW3117" i="1"/>
  <c r="A3118" i="1"/>
  <c r="C3118" i="1"/>
  <c r="S3118" i="1"/>
  <c r="T3118" i="1"/>
  <c r="U3118" i="1"/>
  <c r="BB3118" i="1"/>
  <c r="BW3118" i="1"/>
  <c r="A3119" i="1"/>
  <c r="C3119" i="1"/>
  <c r="S3119" i="1"/>
  <c r="T3119" i="1"/>
  <c r="U3119" i="1"/>
  <c r="BB3119" i="1"/>
  <c r="BW3119" i="1"/>
  <c r="A3120" i="1"/>
  <c r="C3120" i="1"/>
  <c r="S3120" i="1"/>
  <c r="T3120" i="1"/>
  <c r="U3120" i="1"/>
  <c r="BB3120" i="1"/>
  <c r="BW3120" i="1"/>
  <c r="A3121" i="1"/>
  <c r="C3121" i="1"/>
  <c r="S3121" i="1"/>
  <c r="T3121" i="1"/>
  <c r="U3121" i="1"/>
  <c r="BB3121" i="1"/>
  <c r="BW3121" i="1"/>
  <c r="A3122" i="1"/>
  <c r="C3122" i="1"/>
  <c r="S3122" i="1"/>
  <c r="T3122" i="1"/>
  <c r="U3122" i="1"/>
  <c r="BB3122" i="1"/>
  <c r="BW3122" i="1"/>
  <c r="A3123" i="1"/>
  <c r="C3123" i="1"/>
  <c r="S3123" i="1"/>
  <c r="T3123" i="1"/>
  <c r="U3123" i="1"/>
  <c r="BB3123" i="1"/>
  <c r="BW3123" i="1"/>
  <c r="A3124" i="1"/>
  <c r="C3124" i="1"/>
  <c r="S3124" i="1"/>
  <c r="T3124" i="1"/>
  <c r="U3124" i="1"/>
  <c r="BB3124" i="1"/>
  <c r="BW3124" i="1"/>
  <c r="A3125" i="1"/>
  <c r="C3125" i="1"/>
  <c r="S3125" i="1"/>
  <c r="T3125" i="1"/>
  <c r="U3125" i="1"/>
  <c r="BB3125" i="1"/>
  <c r="BW3125" i="1"/>
  <c r="A3126" i="1"/>
  <c r="C3126" i="1"/>
  <c r="S3126" i="1"/>
  <c r="T3126" i="1"/>
  <c r="U3126" i="1"/>
  <c r="BB3126" i="1"/>
  <c r="BW3126" i="1"/>
  <c r="A3127" i="1"/>
  <c r="C3127" i="1"/>
  <c r="S3127" i="1"/>
  <c r="T3127" i="1"/>
  <c r="U3127" i="1"/>
  <c r="BB3127" i="1"/>
  <c r="BW3127" i="1"/>
  <c r="A3128" i="1"/>
  <c r="C3128" i="1"/>
  <c r="S3128" i="1"/>
  <c r="T3128" i="1"/>
  <c r="U3128" i="1"/>
  <c r="BB3128" i="1"/>
  <c r="BW3128" i="1"/>
  <c r="A3129" i="1"/>
  <c r="C3129" i="1"/>
  <c r="S3129" i="1"/>
  <c r="T3129" i="1"/>
  <c r="U3129" i="1"/>
  <c r="BB3129" i="1"/>
  <c r="BW3129" i="1"/>
  <c r="A3130" i="1"/>
  <c r="C3130" i="1"/>
  <c r="S3130" i="1"/>
  <c r="T3130" i="1"/>
  <c r="U3130" i="1"/>
  <c r="BB3130" i="1"/>
  <c r="BW3130" i="1"/>
  <c r="A3131" i="1"/>
  <c r="C3131" i="1"/>
  <c r="S3131" i="1"/>
  <c r="T3131" i="1"/>
  <c r="U3131" i="1"/>
  <c r="BB3131" i="1"/>
  <c r="BW3131" i="1"/>
  <c r="A3132" i="1"/>
  <c r="C3132" i="1"/>
  <c r="S3132" i="1"/>
  <c r="T3132" i="1"/>
  <c r="U3132" i="1"/>
  <c r="BB3132" i="1"/>
  <c r="BW3132" i="1"/>
  <c r="A3133" i="1"/>
  <c r="C3133" i="1"/>
  <c r="S3133" i="1"/>
  <c r="T3133" i="1"/>
  <c r="U3133" i="1"/>
  <c r="BB3133" i="1"/>
  <c r="BW3133" i="1"/>
  <c r="A3134" i="1"/>
  <c r="C3134" i="1"/>
  <c r="S3134" i="1"/>
  <c r="T3134" i="1"/>
  <c r="U3134" i="1"/>
  <c r="BB3134" i="1"/>
  <c r="BW3134" i="1"/>
  <c r="A3135" i="1"/>
  <c r="C3135" i="1"/>
  <c r="S3135" i="1"/>
  <c r="T3135" i="1"/>
  <c r="U3135" i="1"/>
  <c r="BB3135" i="1"/>
  <c r="BW3135" i="1"/>
  <c r="A3136" i="1"/>
  <c r="C3136" i="1"/>
  <c r="S3136" i="1"/>
  <c r="T3136" i="1"/>
  <c r="U3136" i="1"/>
  <c r="BB3136" i="1"/>
  <c r="BW3136" i="1"/>
  <c r="A3137" i="1"/>
  <c r="C3137" i="1"/>
  <c r="S3137" i="1"/>
  <c r="T3137" i="1"/>
  <c r="U3137" i="1"/>
  <c r="BB3137" i="1"/>
  <c r="BW3137" i="1"/>
  <c r="A3138" i="1"/>
  <c r="C3138" i="1"/>
  <c r="S3138" i="1"/>
  <c r="T3138" i="1"/>
  <c r="U3138" i="1"/>
  <c r="BB3138" i="1"/>
  <c r="BW3138" i="1"/>
  <c r="A3139" i="1"/>
  <c r="C3139" i="1"/>
  <c r="S3139" i="1"/>
  <c r="T3139" i="1"/>
  <c r="U3139" i="1"/>
  <c r="BB3139" i="1"/>
  <c r="BW3139" i="1"/>
  <c r="A3140" i="1"/>
  <c r="C3140" i="1"/>
  <c r="S3140" i="1"/>
  <c r="T3140" i="1"/>
  <c r="U3140" i="1"/>
  <c r="BB3140" i="1"/>
  <c r="BW3140" i="1"/>
  <c r="A3141" i="1"/>
  <c r="C3141" i="1"/>
  <c r="S3141" i="1"/>
  <c r="T3141" i="1"/>
  <c r="U3141" i="1"/>
  <c r="BB3141" i="1"/>
  <c r="BW3141" i="1"/>
  <c r="A3142" i="1"/>
  <c r="C3142" i="1"/>
  <c r="S3142" i="1"/>
  <c r="T3142" i="1"/>
  <c r="U3142" i="1"/>
  <c r="BB3142" i="1"/>
  <c r="BW3142" i="1"/>
  <c r="A3143" i="1"/>
  <c r="C3143" i="1"/>
  <c r="S3143" i="1"/>
  <c r="T3143" i="1"/>
  <c r="U3143" i="1"/>
  <c r="BB3143" i="1"/>
  <c r="BW3143" i="1"/>
  <c r="A3144" i="1"/>
  <c r="C3144" i="1"/>
  <c r="S3144" i="1"/>
  <c r="T3144" i="1"/>
  <c r="U3144" i="1"/>
  <c r="BB3144" i="1"/>
  <c r="BW3144" i="1"/>
  <c r="A3145" i="1"/>
  <c r="C3145" i="1"/>
  <c r="S3145" i="1"/>
  <c r="T3145" i="1"/>
  <c r="U3145" i="1"/>
  <c r="BB3145" i="1"/>
  <c r="BW3145" i="1"/>
  <c r="A3146" i="1"/>
  <c r="C3146" i="1"/>
  <c r="S3146" i="1"/>
  <c r="T3146" i="1"/>
  <c r="U3146" i="1"/>
  <c r="BB3146" i="1"/>
  <c r="BW3146" i="1"/>
  <c r="A3147" i="1"/>
  <c r="C3147" i="1"/>
  <c r="S3147" i="1"/>
  <c r="T3147" i="1"/>
  <c r="U3147" i="1"/>
  <c r="BB3147" i="1"/>
  <c r="BW3147" i="1"/>
  <c r="A3148" i="1"/>
  <c r="C3148" i="1"/>
  <c r="S3148" i="1"/>
  <c r="T3148" i="1"/>
  <c r="U3148" i="1"/>
  <c r="BB3148" i="1"/>
  <c r="BW3148" i="1"/>
  <c r="A3149" i="1"/>
  <c r="C3149" i="1"/>
  <c r="S3149" i="1"/>
  <c r="T3149" i="1"/>
  <c r="U3149" i="1"/>
  <c r="BB3149" i="1"/>
  <c r="BW3149" i="1"/>
  <c r="A3150" i="1"/>
  <c r="C3150" i="1"/>
  <c r="S3150" i="1"/>
  <c r="T3150" i="1"/>
  <c r="U3150" i="1"/>
  <c r="BB3150" i="1"/>
  <c r="BW3150" i="1"/>
  <c r="A3151" i="1"/>
  <c r="C3151" i="1"/>
  <c r="S3151" i="1"/>
  <c r="T3151" i="1"/>
  <c r="U3151" i="1"/>
  <c r="BB3151" i="1"/>
  <c r="BW3151" i="1"/>
  <c r="A3152" i="1"/>
  <c r="C3152" i="1"/>
  <c r="S3152" i="1"/>
  <c r="T3152" i="1"/>
  <c r="U3152" i="1"/>
  <c r="BB3152" i="1"/>
  <c r="BW3152" i="1"/>
  <c r="A3153" i="1"/>
  <c r="C3153" i="1"/>
  <c r="S3153" i="1"/>
  <c r="T3153" i="1"/>
  <c r="U3153" i="1"/>
  <c r="BB3153" i="1"/>
  <c r="BW3153" i="1"/>
  <c r="A3154" i="1"/>
  <c r="C3154" i="1"/>
  <c r="S3154" i="1"/>
  <c r="T3154" i="1"/>
  <c r="U3154" i="1"/>
  <c r="BB3154" i="1"/>
  <c r="BW3154" i="1"/>
  <c r="A3155" i="1"/>
  <c r="C3155" i="1"/>
  <c r="S3155" i="1"/>
  <c r="T3155" i="1"/>
  <c r="U3155" i="1"/>
  <c r="BB3155" i="1"/>
  <c r="BW3155" i="1"/>
  <c r="A3156" i="1"/>
  <c r="C3156" i="1"/>
  <c r="S3156" i="1"/>
  <c r="T3156" i="1"/>
  <c r="U3156" i="1"/>
  <c r="BB3156" i="1"/>
  <c r="BW3156" i="1"/>
  <c r="A3157" i="1"/>
  <c r="C3157" i="1"/>
  <c r="S3157" i="1"/>
  <c r="T3157" i="1"/>
  <c r="U3157" i="1"/>
  <c r="BB3157" i="1"/>
  <c r="BW3157" i="1"/>
  <c r="A3158" i="1"/>
  <c r="C3158" i="1"/>
  <c r="S3158" i="1"/>
  <c r="T3158" i="1"/>
  <c r="U3158" i="1"/>
  <c r="BB3158" i="1"/>
  <c r="BW3158" i="1"/>
  <c r="A3159" i="1"/>
  <c r="C3159" i="1"/>
  <c r="S3159" i="1"/>
  <c r="T3159" i="1"/>
  <c r="U3159" i="1"/>
  <c r="BB3159" i="1"/>
  <c r="BW3159" i="1"/>
  <c r="A3160" i="1"/>
  <c r="C3160" i="1"/>
  <c r="S3160" i="1"/>
  <c r="T3160" i="1"/>
  <c r="U3160" i="1"/>
  <c r="BB3160" i="1"/>
  <c r="BW3160" i="1"/>
  <c r="A3161" i="1"/>
  <c r="C3161" i="1"/>
  <c r="S3161" i="1"/>
  <c r="T3161" i="1"/>
  <c r="U3161" i="1"/>
  <c r="BB3161" i="1"/>
  <c r="BW3161" i="1"/>
  <c r="A3162" i="1"/>
  <c r="C3162" i="1"/>
  <c r="S3162" i="1"/>
  <c r="T3162" i="1"/>
  <c r="U3162" i="1"/>
  <c r="BB3162" i="1"/>
  <c r="BW3162" i="1"/>
  <c r="A3163" i="1"/>
  <c r="C3163" i="1"/>
  <c r="S3163" i="1"/>
  <c r="T3163" i="1"/>
  <c r="U3163" i="1"/>
  <c r="BB3163" i="1"/>
  <c r="BW3163" i="1"/>
  <c r="A3164" i="1"/>
  <c r="C3164" i="1"/>
  <c r="S3164" i="1"/>
  <c r="T3164" i="1"/>
  <c r="U3164" i="1"/>
  <c r="BB3164" i="1"/>
  <c r="BW3164" i="1"/>
  <c r="A3165" i="1"/>
  <c r="C3165" i="1"/>
  <c r="S3165" i="1"/>
  <c r="T3165" i="1"/>
  <c r="U3165" i="1"/>
  <c r="BB3165" i="1"/>
  <c r="BW3165" i="1"/>
  <c r="A3166" i="1"/>
  <c r="C3166" i="1"/>
  <c r="S3166" i="1"/>
  <c r="T3166" i="1"/>
  <c r="U3166" i="1"/>
  <c r="BB3166" i="1"/>
  <c r="BW3166" i="1"/>
  <c r="A3167" i="1"/>
  <c r="C3167" i="1"/>
  <c r="S3167" i="1"/>
  <c r="T3167" i="1"/>
  <c r="U3167" i="1"/>
  <c r="BB3167" i="1"/>
  <c r="BW3167" i="1"/>
  <c r="A3168" i="1"/>
  <c r="C3168" i="1"/>
  <c r="S3168" i="1"/>
  <c r="T3168" i="1"/>
  <c r="U3168" i="1"/>
  <c r="BB3168" i="1"/>
  <c r="BW3168" i="1"/>
  <c r="A3169" i="1"/>
  <c r="C3169" i="1"/>
  <c r="S3169" i="1"/>
  <c r="T3169" i="1"/>
  <c r="U3169" i="1"/>
  <c r="BB3169" i="1"/>
  <c r="BW3169" i="1"/>
  <c r="A3170" i="1"/>
  <c r="C3170" i="1"/>
  <c r="S3170" i="1"/>
  <c r="T3170" i="1"/>
  <c r="U3170" i="1"/>
  <c r="BB3170" i="1"/>
  <c r="BW3170" i="1"/>
  <c r="A3171" i="1"/>
  <c r="C3171" i="1"/>
  <c r="S3171" i="1"/>
  <c r="T3171" i="1"/>
  <c r="U3171" i="1"/>
  <c r="BB3171" i="1"/>
  <c r="BW3171" i="1"/>
  <c r="A3172" i="1"/>
  <c r="C3172" i="1"/>
  <c r="S3172" i="1"/>
  <c r="T3172" i="1"/>
  <c r="U3172" i="1"/>
  <c r="BB3172" i="1"/>
  <c r="BW3172" i="1"/>
  <c r="A3173" i="1"/>
  <c r="C3173" i="1"/>
  <c r="S3173" i="1"/>
  <c r="T3173" i="1"/>
  <c r="U3173" i="1"/>
  <c r="BB3173" i="1"/>
  <c r="BW3173" i="1"/>
  <c r="A3174" i="1"/>
  <c r="C3174" i="1"/>
  <c r="S3174" i="1"/>
  <c r="T3174" i="1"/>
  <c r="U3174" i="1"/>
  <c r="BB3174" i="1"/>
  <c r="BW3174" i="1"/>
  <c r="A3175" i="1"/>
  <c r="C3175" i="1"/>
  <c r="S3175" i="1"/>
  <c r="T3175" i="1"/>
  <c r="U3175" i="1"/>
  <c r="BB3175" i="1"/>
  <c r="BW3175" i="1"/>
  <c r="A3176" i="1"/>
  <c r="C3176" i="1"/>
  <c r="S3176" i="1"/>
  <c r="T3176" i="1"/>
  <c r="U3176" i="1"/>
  <c r="BB3176" i="1"/>
  <c r="BW3176" i="1"/>
  <c r="A3177" i="1"/>
  <c r="C3177" i="1"/>
  <c r="S3177" i="1"/>
  <c r="T3177" i="1"/>
  <c r="U3177" i="1"/>
  <c r="BB3177" i="1"/>
  <c r="BW3177" i="1"/>
  <c r="A3178" i="1"/>
  <c r="C3178" i="1"/>
  <c r="S3178" i="1"/>
  <c r="T3178" i="1"/>
  <c r="U3178" i="1"/>
  <c r="BB3178" i="1"/>
  <c r="BW3178" i="1"/>
  <c r="A3179" i="1"/>
  <c r="C3179" i="1"/>
  <c r="S3179" i="1"/>
  <c r="T3179" i="1"/>
  <c r="U3179" i="1"/>
  <c r="BB3179" i="1"/>
  <c r="BW3179" i="1"/>
  <c r="A3180" i="1"/>
  <c r="C3180" i="1"/>
  <c r="S3180" i="1"/>
  <c r="T3180" i="1"/>
  <c r="U3180" i="1"/>
  <c r="BB3180" i="1"/>
  <c r="BW3180" i="1"/>
  <c r="A3181" i="1"/>
  <c r="C3181" i="1"/>
  <c r="S3181" i="1"/>
  <c r="T3181" i="1"/>
  <c r="U3181" i="1"/>
  <c r="BB3181" i="1"/>
  <c r="BW3181" i="1"/>
  <c r="A3182" i="1"/>
  <c r="C3182" i="1"/>
  <c r="S3182" i="1"/>
  <c r="T3182" i="1"/>
  <c r="U3182" i="1"/>
  <c r="BB3182" i="1"/>
  <c r="BW3182" i="1"/>
  <c r="A3183" i="1"/>
  <c r="C3183" i="1"/>
  <c r="S3183" i="1"/>
  <c r="T3183" i="1"/>
  <c r="U3183" i="1"/>
  <c r="BB3183" i="1"/>
  <c r="BW3183" i="1"/>
  <c r="A3184" i="1"/>
  <c r="C3184" i="1"/>
  <c r="S3184" i="1"/>
  <c r="T3184" i="1"/>
  <c r="U3184" i="1"/>
  <c r="BB3184" i="1"/>
  <c r="BW3184" i="1"/>
  <c r="A3185" i="1"/>
  <c r="C3185" i="1"/>
  <c r="S3185" i="1"/>
  <c r="T3185" i="1"/>
  <c r="U3185" i="1"/>
  <c r="BB3185" i="1"/>
  <c r="BW3185" i="1"/>
  <c r="A3186" i="1"/>
  <c r="C3186" i="1"/>
  <c r="S3186" i="1"/>
  <c r="T3186" i="1"/>
  <c r="U3186" i="1"/>
  <c r="BB3186" i="1"/>
  <c r="BW3186" i="1"/>
  <c r="A3187" i="1"/>
  <c r="C3187" i="1"/>
  <c r="S3187" i="1"/>
  <c r="T3187" i="1"/>
  <c r="U3187" i="1"/>
  <c r="BB3187" i="1"/>
  <c r="BW3187" i="1"/>
  <c r="A3188" i="1"/>
  <c r="C3188" i="1"/>
  <c r="S3188" i="1"/>
  <c r="T3188" i="1"/>
  <c r="U3188" i="1"/>
  <c r="BB3188" i="1"/>
  <c r="BW3188" i="1"/>
  <c r="A3189" i="1"/>
  <c r="C3189" i="1"/>
  <c r="S3189" i="1"/>
  <c r="T3189" i="1"/>
  <c r="U3189" i="1"/>
  <c r="BB3189" i="1"/>
  <c r="BW3189" i="1"/>
  <c r="A3190" i="1"/>
  <c r="C3190" i="1"/>
  <c r="S3190" i="1"/>
  <c r="T3190" i="1"/>
  <c r="U3190" i="1"/>
  <c r="BB3190" i="1"/>
  <c r="BW3190" i="1"/>
  <c r="A3191" i="1"/>
  <c r="C3191" i="1"/>
  <c r="S3191" i="1"/>
  <c r="T3191" i="1"/>
  <c r="U3191" i="1"/>
  <c r="BB3191" i="1"/>
  <c r="BW3191" i="1"/>
  <c r="A3192" i="1"/>
  <c r="C3192" i="1"/>
  <c r="S3192" i="1"/>
  <c r="T3192" i="1"/>
  <c r="U3192" i="1"/>
  <c r="BB3192" i="1"/>
  <c r="BW3192" i="1"/>
  <c r="A3193" i="1"/>
  <c r="C3193" i="1"/>
  <c r="S3193" i="1"/>
  <c r="T3193" i="1"/>
  <c r="U3193" i="1"/>
  <c r="BB3193" i="1"/>
  <c r="BW3193" i="1"/>
  <c r="A3194" i="1"/>
  <c r="C3194" i="1"/>
  <c r="S3194" i="1"/>
  <c r="T3194" i="1"/>
  <c r="U3194" i="1"/>
  <c r="BB3194" i="1"/>
  <c r="BW3194" i="1"/>
  <c r="A3195" i="1"/>
  <c r="C3195" i="1"/>
  <c r="S3195" i="1"/>
  <c r="T3195" i="1"/>
  <c r="U3195" i="1"/>
  <c r="BB3195" i="1"/>
  <c r="BW3195" i="1"/>
  <c r="A3196" i="1"/>
  <c r="C3196" i="1"/>
  <c r="S3196" i="1"/>
  <c r="T3196" i="1"/>
  <c r="U3196" i="1"/>
  <c r="BB3196" i="1"/>
  <c r="BW3196" i="1"/>
  <c r="A3197" i="1"/>
  <c r="C3197" i="1"/>
  <c r="S3197" i="1"/>
  <c r="T3197" i="1"/>
  <c r="U3197" i="1"/>
  <c r="BB3197" i="1"/>
  <c r="BW3197" i="1"/>
  <c r="A3198" i="1"/>
  <c r="C3198" i="1"/>
  <c r="S3198" i="1"/>
  <c r="T3198" i="1"/>
  <c r="U3198" i="1"/>
  <c r="BB3198" i="1"/>
  <c r="BW3198" i="1"/>
  <c r="A3199" i="1"/>
  <c r="C3199" i="1"/>
  <c r="S3199" i="1"/>
  <c r="T3199" i="1"/>
  <c r="U3199" i="1"/>
  <c r="BB3199" i="1"/>
  <c r="BW3199" i="1"/>
  <c r="A3200" i="1"/>
  <c r="C3200" i="1"/>
  <c r="S3200" i="1"/>
  <c r="T3200" i="1"/>
  <c r="U3200" i="1"/>
  <c r="BB3200" i="1"/>
  <c r="BW3200" i="1"/>
  <c r="A3201" i="1"/>
  <c r="C3201" i="1"/>
  <c r="S3201" i="1"/>
  <c r="T3201" i="1"/>
  <c r="U3201" i="1"/>
  <c r="BB3201" i="1"/>
  <c r="BW3201" i="1"/>
  <c r="A3202" i="1"/>
  <c r="C3202" i="1"/>
  <c r="S3202" i="1"/>
  <c r="T3202" i="1"/>
  <c r="U3202" i="1"/>
  <c r="BB3202" i="1"/>
  <c r="BW3202" i="1"/>
  <c r="A3203" i="1"/>
  <c r="C3203" i="1"/>
  <c r="S3203" i="1"/>
  <c r="T3203" i="1"/>
  <c r="U3203" i="1"/>
  <c r="BB3203" i="1"/>
  <c r="BW3203" i="1"/>
  <c r="A3204" i="1"/>
  <c r="C3204" i="1"/>
  <c r="S3204" i="1"/>
  <c r="T3204" i="1"/>
  <c r="U3204" i="1"/>
  <c r="BB3204" i="1"/>
  <c r="BW3204" i="1"/>
  <c r="A3205" i="1"/>
  <c r="C3205" i="1"/>
  <c r="S3205" i="1"/>
  <c r="T3205" i="1"/>
  <c r="U3205" i="1"/>
  <c r="BB3205" i="1"/>
  <c r="BW3205" i="1"/>
  <c r="A3206" i="1"/>
  <c r="C3206" i="1"/>
  <c r="S3206" i="1"/>
  <c r="T3206" i="1"/>
  <c r="U3206" i="1"/>
  <c r="BB3206" i="1"/>
  <c r="BW3206" i="1"/>
  <c r="A3207" i="1"/>
  <c r="C3207" i="1"/>
  <c r="S3207" i="1"/>
  <c r="T3207" i="1"/>
  <c r="U3207" i="1"/>
  <c r="BB3207" i="1"/>
  <c r="BW3207" i="1"/>
  <c r="A3208" i="1"/>
  <c r="C3208" i="1"/>
  <c r="S3208" i="1"/>
  <c r="T3208" i="1"/>
  <c r="U3208" i="1"/>
  <c r="BB3208" i="1"/>
  <c r="BW3208" i="1"/>
  <c r="A3209" i="1"/>
  <c r="C3209" i="1"/>
  <c r="S3209" i="1"/>
  <c r="T3209" i="1"/>
  <c r="U3209" i="1"/>
  <c r="BB3209" i="1"/>
  <c r="BW3209" i="1"/>
  <c r="A3210" i="1"/>
  <c r="C3210" i="1"/>
  <c r="S3210" i="1"/>
  <c r="T3210" i="1"/>
  <c r="U3210" i="1"/>
  <c r="BB3210" i="1"/>
  <c r="BW3210" i="1"/>
  <c r="A3211" i="1"/>
  <c r="C3211" i="1"/>
  <c r="S3211" i="1"/>
  <c r="T3211" i="1"/>
  <c r="U3211" i="1"/>
  <c r="BB3211" i="1"/>
  <c r="BW3211" i="1"/>
  <c r="A3212" i="1"/>
  <c r="C3212" i="1"/>
  <c r="S3212" i="1"/>
  <c r="T3212" i="1"/>
  <c r="U3212" i="1"/>
  <c r="BB3212" i="1"/>
  <c r="BW3212" i="1"/>
  <c r="A3213" i="1"/>
  <c r="C3213" i="1"/>
  <c r="S3213" i="1"/>
  <c r="T3213" i="1"/>
  <c r="U3213" i="1"/>
  <c r="BB3213" i="1"/>
  <c r="BW3213" i="1"/>
  <c r="A3214" i="1"/>
  <c r="C3214" i="1"/>
  <c r="S3214" i="1"/>
  <c r="T3214" i="1"/>
  <c r="U3214" i="1"/>
  <c r="BB3214" i="1"/>
  <c r="BW3214" i="1"/>
  <c r="A3215" i="1"/>
  <c r="C3215" i="1"/>
  <c r="S3215" i="1"/>
  <c r="T3215" i="1"/>
  <c r="U3215" i="1"/>
  <c r="BB3215" i="1"/>
  <c r="BW3215" i="1"/>
  <c r="A3216" i="1"/>
  <c r="C3216" i="1"/>
  <c r="S3216" i="1"/>
  <c r="T3216" i="1"/>
  <c r="U3216" i="1"/>
  <c r="BB3216" i="1"/>
  <c r="BW3216" i="1"/>
  <c r="A3217" i="1"/>
  <c r="C3217" i="1"/>
  <c r="S3217" i="1"/>
  <c r="T3217" i="1"/>
  <c r="U3217" i="1"/>
  <c r="BB3217" i="1"/>
  <c r="BW3217" i="1"/>
  <c r="A3218" i="1"/>
  <c r="C3218" i="1"/>
  <c r="S3218" i="1"/>
  <c r="T3218" i="1"/>
  <c r="U3218" i="1"/>
  <c r="BB3218" i="1"/>
  <c r="BW3218" i="1"/>
  <c r="A3219" i="1"/>
  <c r="C3219" i="1"/>
  <c r="S3219" i="1"/>
  <c r="T3219" i="1"/>
  <c r="U3219" i="1"/>
  <c r="BB3219" i="1"/>
  <c r="BW3219" i="1"/>
  <c r="A3220" i="1"/>
  <c r="C3220" i="1"/>
  <c r="S3220" i="1"/>
  <c r="T3220" i="1"/>
  <c r="U3220" i="1"/>
  <c r="BB3220" i="1"/>
  <c r="BW3220" i="1"/>
  <c r="A3221" i="1"/>
  <c r="C3221" i="1"/>
  <c r="S3221" i="1"/>
  <c r="T3221" i="1"/>
  <c r="U3221" i="1"/>
  <c r="BB3221" i="1"/>
  <c r="BW3221" i="1"/>
  <c r="A3222" i="1"/>
  <c r="C3222" i="1"/>
  <c r="S3222" i="1"/>
  <c r="T3222" i="1"/>
  <c r="U3222" i="1"/>
  <c r="BB3222" i="1"/>
  <c r="BW3222" i="1"/>
  <c r="A3223" i="1"/>
  <c r="C3223" i="1"/>
  <c r="S3223" i="1"/>
  <c r="T3223" i="1"/>
  <c r="U3223" i="1"/>
  <c r="BB3223" i="1"/>
  <c r="BW3223" i="1"/>
  <c r="A3224" i="1"/>
  <c r="C3224" i="1"/>
  <c r="S3224" i="1"/>
  <c r="T3224" i="1"/>
  <c r="U3224" i="1"/>
  <c r="BB3224" i="1"/>
  <c r="BW3224" i="1"/>
  <c r="A3225" i="1"/>
  <c r="C3225" i="1"/>
  <c r="S3225" i="1"/>
  <c r="T3225" i="1"/>
  <c r="U3225" i="1"/>
  <c r="BB3225" i="1"/>
  <c r="BW3225" i="1"/>
  <c r="A3226" i="1"/>
  <c r="C3226" i="1"/>
  <c r="S3226" i="1"/>
  <c r="T3226" i="1"/>
  <c r="U3226" i="1"/>
  <c r="BB3226" i="1"/>
  <c r="BW3226" i="1"/>
  <c r="A3227" i="1"/>
  <c r="C3227" i="1"/>
  <c r="S3227" i="1"/>
  <c r="T3227" i="1"/>
  <c r="U3227" i="1"/>
  <c r="BB3227" i="1"/>
  <c r="BW3227" i="1"/>
  <c r="A3228" i="1"/>
  <c r="C3228" i="1"/>
  <c r="S3228" i="1"/>
  <c r="T3228" i="1"/>
  <c r="U3228" i="1"/>
  <c r="BB3228" i="1"/>
  <c r="BW3228" i="1"/>
  <c r="A3229" i="1"/>
  <c r="C3229" i="1"/>
  <c r="S3229" i="1"/>
  <c r="T3229" i="1"/>
  <c r="U3229" i="1"/>
  <c r="BB3229" i="1"/>
  <c r="BW3229" i="1"/>
  <c r="A3230" i="1"/>
  <c r="C3230" i="1"/>
  <c r="S3230" i="1"/>
  <c r="T3230" i="1"/>
  <c r="U3230" i="1"/>
  <c r="BB3230" i="1"/>
  <c r="BW3230" i="1"/>
  <c r="A3231" i="1"/>
  <c r="C3231" i="1"/>
  <c r="S3231" i="1"/>
  <c r="T3231" i="1"/>
  <c r="U3231" i="1"/>
  <c r="BB3231" i="1"/>
  <c r="BW3231" i="1"/>
  <c r="A3232" i="1"/>
  <c r="C3232" i="1"/>
  <c r="S3232" i="1"/>
  <c r="T3232" i="1"/>
  <c r="U3232" i="1"/>
  <c r="BB3232" i="1"/>
  <c r="BW3232" i="1"/>
  <c r="A3233" i="1"/>
  <c r="C3233" i="1"/>
  <c r="S3233" i="1"/>
  <c r="T3233" i="1"/>
  <c r="U3233" i="1"/>
  <c r="BB3233" i="1"/>
  <c r="BW3233" i="1"/>
  <c r="A3234" i="1"/>
  <c r="C3234" i="1"/>
  <c r="S3234" i="1"/>
  <c r="T3234" i="1"/>
  <c r="U3234" i="1"/>
  <c r="BB3234" i="1"/>
  <c r="BW3234" i="1"/>
  <c r="A3235" i="1"/>
  <c r="C3235" i="1"/>
  <c r="S3235" i="1"/>
  <c r="T3235" i="1"/>
  <c r="U3235" i="1"/>
  <c r="BB3235" i="1"/>
  <c r="BW3235" i="1"/>
  <c r="A3236" i="1"/>
  <c r="C3236" i="1"/>
  <c r="S3236" i="1"/>
  <c r="T3236" i="1"/>
  <c r="U3236" i="1"/>
  <c r="BB3236" i="1"/>
  <c r="BW3236" i="1"/>
  <c r="A3237" i="1"/>
  <c r="C3237" i="1"/>
  <c r="S3237" i="1"/>
  <c r="T3237" i="1"/>
  <c r="U3237" i="1"/>
  <c r="BB3237" i="1"/>
  <c r="BW3237" i="1"/>
  <c r="A3238" i="1"/>
  <c r="C3238" i="1"/>
  <c r="S3238" i="1"/>
  <c r="T3238" i="1"/>
  <c r="U3238" i="1"/>
  <c r="BB3238" i="1"/>
  <c r="BW3238" i="1"/>
  <c r="A3239" i="1"/>
  <c r="C3239" i="1"/>
  <c r="S3239" i="1"/>
  <c r="T3239" i="1"/>
  <c r="U3239" i="1"/>
  <c r="BB3239" i="1"/>
  <c r="BW3239" i="1"/>
  <c r="A3240" i="1"/>
  <c r="C3240" i="1"/>
  <c r="S3240" i="1"/>
  <c r="T3240" i="1"/>
  <c r="U3240" i="1"/>
  <c r="BB3240" i="1"/>
  <c r="BW3240" i="1"/>
  <c r="A3241" i="1"/>
  <c r="C3241" i="1"/>
  <c r="S3241" i="1"/>
  <c r="T3241" i="1"/>
  <c r="U3241" i="1"/>
  <c r="BB3241" i="1"/>
  <c r="BW3241" i="1"/>
  <c r="A3242" i="1"/>
  <c r="C3242" i="1"/>
  <c r="S3242" i="1"/>
  <c r="T3242" i="1"/>
  <c r="U3242" i="1"/>
  <c r="BB3242" i="1"/>
  <c r="BW3242" i="1"/>
  <c r="A3243" i="1"/>
  <c r="C3243" i="1"/>
  <c r="S3243" i="1"/>
  <c r="T3243" i="1"/>
  <c r="U3243" i="1"/>
  <c r="BB3243" i="1"/>
  <c r="BW3243" i="1"/>
  <c r="A3244" i="1"/>
  <c r="C3244" i="1"/>
  <c r="S3244" i="1"/>
  <c r="T3244" i="1"/>
  <c r="U3244" i="1"/>
  <c r="BB3244" i="1"/>
  <c r="BW3244" i="1"/>
  <c r="A3245" i="1"/>
  <c r="C3245" i="1"/>
  <c r="S3245" i="1"/>
  <c r="T3245" i="1"/>
  <c r="U3245" i="1"/>
  <c r="BB3245" i="1"/>
  <c r="BW3245" i="1"/>
  <c r="A3246" i="1"/>
  <c r="C3246" i="1"/>
  <c r="S3246" i="1"/>
  <c r="T3246" i="1"/>
  <c r="U3246" i="1"/>
  <c r="BB3246" i="1"/>
  <c r="BW3246" i="1"/>
  <c r="A3247" i="1"/>
  <c r="C3247" i="1"/>
  <c r="S3247" i="1"/>
  <c r="T3247" i="1"/>
  <c r="U3247" i="1"/>
  <c r="BB3247" i="1"/>
  <c r="BW3247" i="1"/>
  <c r="A3248" i="1"/>
  <c r="C3248" i="1"/>
  <c r="S3248" i="1"/>
  <c r="T3248" i="1"/>
  <c r="U3248" i="1"/>
  <c r="BB3248" i="1"/>
  <c r="BW3248" i="1"/>
  <c r="A3249" i="1"/>
  <c r="C3249" i="1"/>
  <c r="S3249" i="1"/>
  <c r="T3249" i="1"/>
  <c r="U3249" i="1"/>
  <c r="BB3249" i="1"/>
  <c r="BW3249" i="1"/>
  <c r="A3250" i="1"/>
  <c r="C3250" i="1"/>
  <c r="S3250" i="1"/>
  <c r="T3250" i="1"/>
  <c r="U3250" i="1"/>
  <c r="BB3250" i="1"/>
  <c r="BW3250" i="1"/>
  <c r="A3251" i="1"/>
  <c r="C3251" i="1"/>
  <c r="S3251" i="1"/>
  <c r="T3251" i="1"/>
  <c r="U3251" i="1"/>
  <c r="BB3251" i="1"/>
  <c r="BW3251" i="1"/>
  <c r="A3252" i="1"/>
  <c r="C3252" i="1"/>
  <c r="S3252" i="1"/>
  <c r="T3252" i="1"/>
  <c r="U3252" i="1"/>
  <c r="BB3252" i="1"/>
  <c r="BW3252" i="1"/>
  <c r="A3253" i="1"/>
  <c r="C3253" i="1"/>
  <c r="S3253" i="1"/>
  <c r="T3253" i="1"/>
  <c r="U3253" i="1"/>
  <c r="BB3253" i="1"/>
  <c r="BW3253" i="1"/>
  <c r="A3254" i="1"/>
  <c r="C3254" i="1"/>
  <c r="S3254" i="1"/>
  <c r="T3254" i="1"/>
  <c r="U3254" i="1"/>
  <c r="BB3254" i="1"/>
  <c r="BW3254" i="1"/>
  <c r="A3255" i="1"/>
  <c r="C3255" i="1"/>
  <c r="S3255" i="1"/>
  <c r="T3255" i="1"/>
  <c r="U3255" i="1"/>
  <c r="BB3255" i="1"/>
  <c r="BW3255" i="1"/>
  <c r="A3256" i="1"/>
  <c r="C3256" i="1"/>
  <c r="S3256" i="1"/>
  <c r="T3256" i="1"/>
  <c r="U3256" i="1"/>
  <c r="BB3256" i="1"/>
  <c r="BW3256" i="1"/>
  <c r="A3257" i="1"/>
  <c r="C3257" i="1"/>
  <c r="S3257" i="1"/>
  <c r="T3257" i="1"/>
  <c r="U3257" i="1"/>
  <c r="BB3257" i="1"/>
  <c r="BW3257" i="1"/>
  <c r="A3258" i="1"/>
  <c r="C3258" i="1"/>
  <c r="S3258" i="1"/>
  <c r="T3258" i="1"/>
  <c r="U3258" i="1"/>
  <c r="BB3258" i="1"/>
  <c r="BW3258" i="1"/>
  <c r="A3259" i="1"/>
  <c r="C3259" i="1"/>
  <c r="S3259" i="1"/>
  <c r="T3259" i="1"/>
  <c r="U3259" i="1"/>
  <c r="BB3259" i="1"/>
  <c r="BW3259" i="1"/>
  <c r="A3260" i="1"/>
  <c r="C3260" i="1"/>
  <c r="S3260" i="1"/>
  <c r="T3260" i="1"/>
  <c r="U3260" i="1"/>
  <c r="BB3260" i="1"/>
  <c r="BW3260" i="1"/>
  <c r="A3261" i="1"/>
  <c r="C3261" i="1"/>
  <c r="S3261" i="1"/>
  <c r="T3261" i="1"/>
  <c r="U3261" i="1"/>
  <c r="BB3261" i="1"/>
  <c r="BW3261" i="1"/>
  <c r="A3262" i="1"/>
  <c r="C3262" i="1"/>
  <c r="S3262" i="1"/>
  <c r="T3262" i="1"/>
  <c r="U3262" i="1"/>
  <c r="BB3262" i="1"/>
  <c r="BW3262" i="1"/>
  <c r="A3263" i="1"/>
  <c r="C3263" i="1"/>
  <c r="S3263" i="1"/>
  <c r="T3263" i="1"/>
  <c r="U3263" i="1"/>
  <c r="BB3263" i="1"/>
  <c r="BW3263" i="1"/>
  <c r="A3264" i="1"/>
  <c r="C3264" i="1"/>
  <c r="S3264" i="1"/>
  <c r="T3264" i="1"/>
  <c r="U3264" i="1"/>
  <c r="BB3264" i="1"/>
  <c r="BW3264" i="1"/>
  <c r="A3265" i="1"/>
  <c r="C3265" i="1"/>
  <c r="S3265" i="1"/>
  <c r="T3265" i="1"/>
  <c r="U3265" i="1"/>
  <c r="BB3265" i="1"/>
  <c r="BW3265" i="1"/>
  <c r="A3266" i="1"/>
  <c r="C3266" i="1"/>
  <c r="S3266" i="1"/>
  <c r="T3266" i="1"/>
  <c r="U3266" i="1"/>
  <c r="BB3266" i="1"/>
  <c r="BW3266" i="1"/>
  <c r="A3267" i="1"/>
  <c r="C3267" i="1"/>
  <c r="S3267" i="1"/>
  <c r="T3267" i="1"/>
  <c r="U3267" i="1"/>
  <c r="BB3267" i="1"/>
  <c r="BW3267" i="1"/>
  <c r="A3268" i="1"/>
  <c r="C3268" i="1"/>
  <c r="S3268" i="1"/>
  <c r="T3268" i="1"/>
  <c r="U3268" i="1"/>
  <c r="BB3268" i="1"/>
  <c r="BW3268" i="1"/>
  <c r="A3269" i="1"/>
  <c r="C3269" i="1"/>
  <c r="S3269" i="1"/>
  <c r="T3269" i="1"/>
  <c r="U3269" i="1"/>
  <c r="BB3269" i="1"/>
  <c r="BW3269" i="1"/>
  <c r="A3270" i="1"/>
  <c r="C3270" i="1"/>
  <c r="S3270" i="1"/>
  <c r="T3270" i="1"/>
  <c r="U3270" i="1"/>
  <c r="BB3270" i="1"/>
  <c r="BW3270" i="1"/>
  <c r="A3271" i="1"/>
  <c r="C3271" i="1"/>
  <c r="S3271" i="1"/>
  <c r="T3271" i="1"/>
  <c r="U3271" i="1"/>
  <c r="BB3271" i="1"/>
  <c r="BW3271" i="1"/>
  <c r="A3272" i="1"/>
  <c r="C3272" i="1"/>
  <c r="S3272" i="1"/>
  <c r="T3272" i="1"/>
  <c r="U3272" i="1"/>
  <c r="BB3272" i="1"/>
  <c r="BW3272" i="1"/>
  <c r="A3273" i="1"/>
  <c r="C3273" i="1"/>
  <c r="S3273" i="1"/>
  <c r="T3273" i="1"/>
  <c r="U3273" i="1"/>
  <c r="BB3273" i="1"/>
  <c r="BW3273" i="1"/>
  <c r="A3274" i="1"/>
  <c r="C3274" i="1"/>
  <c r="S3274" i="1"/>
  <c r="T3274" i="1"/>
  <c r="U3274" i="1"/>
  <c r="BB3274" i="1"/>
  <c r="BW3274" i="1"/>
  <c r="A3275" i="1"/>
  <c r="C3275" i="1"/>
  <c r="S3275" i="1"/>
  <c r="T3275" i="1"/>
  <c r="U3275" i="1"/>
  <c r="BB3275" i="1"/>
  <c r="BW3275" i="1"/>
  <c r="A3276" i="1"/>
  <c r="C3276" i="1"/>
  <c r="S3276" i="1"/>
  <c r="T3276" i="1"/>
  <c r="U3276" i="1"/>
  <c r="BB3276" i="1"/>
  <c r="BW3276" i="1"/>
  <c r="A3277" i="1"/>
  <c r="C3277" i="1"/>
  <c r="S3277" i="1"/>
  <c r="T3277" i="1"/>
  <c r="U3277" i="1"/>
  <c r="BB3277" i="1"/>
  <c r="BW3277" i="1"/>
  <c r="A3278" i="1"/>
  <c r="C3278" i="1"/>
  <c r="S3278" i="1"/>
  <c r="T3278" i="1"/>
  <c r="U3278" i="1"/>
  <c r="BB3278" i="1"/>
  <c r="BW3278" i="1"/>
  <c r="A3279" i="1"/>
  <c r="C3279" i="1"/>
  <c r="S3279" i="1"/>
  <c r="T3279" i="1"/>
  <c r="U3279" i="1"/>
  <c r="BB3279" i="1"/>
  <c r="BW3279" i="1"/>
  <c r="A3280" i="1"/>
  <c r="C3280" i="1"/>
  <c r="S3280" i="1"/>
  <c r="T3280" i="1"/>
  <c r="U3280" i="1"/>
  <c r="BB3280" i="1"/>
  <c r="BW3280" i="1"/>
  <c r="A3281" i="1"/>
  <c r="C3281" i="1"/>
  <c r="S3281" i="1"/>
  <c r="T3281" i="1"/>
  <c r="U3281" i="1"/>
  <c r="BB3281" i="1"/>
  <c r="BW3281" i="1"/>
  <c r="A3282" i="1"/>
  <c r="C3282" i="1"/>
  <c r="S3282" i="1"/>
  <c r="T3282" i="1"/>
  <c r="U3282" i="1"/>
  <c r="BB3282" i="1"/>
  <c r="BW3282" i="1"/>
  <c r="A3283" i="1"/>
  <c r="C3283" i="1"/>
  <c r="S3283" i="1"/>
  <c r="T3283" i="1"/>
  <c r="U3283" i="1"/>
  <c r="BB3283" i="1"/>
  <c r="BW3283" i="1"/>
  <c r="A3284" i="1"/>
  <c r="C3284" i="1"/>
  <c r="S3284" i="1"/>
  <c r="T3284" i="1"/>
  <c r="U3284" i="1"/>
  <c r="BB3284" i="1"/>
  <c r="BW3284" i="1"/>
  <c r="A3285" i="1"/>
  <c r="C3285" i="1"/>
  <c r="S3285" i="1"/>
  <c r="T3285" i="1"/>
  <c r="U3285" i="1"/>
  <c r="BB3285" i="1"/>
  <c r="BW3285" i="1"/>
  <c r="A3286" i="1"/>
  <c r="C3286" i="1"/>
  <c r="S3286" i="1"/>
  <c r="T3286" i="1"/>
  <c r="U3286" i="1"/>
  <c r="BB3286" i="1"/>
  <c r="BW3286" i="1"/>
  <c r="A3287" i="1"/>
  <c r="C3287" i="1"/>
  <c r="S3287" i="1"/>
  <c r="T3287" i="1"/>
  <c r="U3287" i="1"/>
  <c r="BB3287" i="1"/>
  <c r="BW3287" i="1"/>
  <c r="A3288" i="1"/>
  <c r="C3288" i="1"/>
  <c r="S3288" i="1"/>
  <c r="T3288" i="1"/>
  <c r="U3288" i="1"/>
  <c r="BB3288" i="1"/>
  <c r="BW3288" i="1"/>
  <c r="A3289" i="1"/>
  <c r="C3289" i="1"/>
  <c r="S3289" i="1"/>
  <c r="T3289" i="1"/>
  <c r="U3289" i="1"/>
  <c r="BB3289" i="1"/>
  <c r="BW3289" i="1"/>
  <c r="A3290" i="1"/>
  <c r="C3290" i="1"/>
  <c r="S3290" i="1"/>
  <c r="T3290" i="1"/>
  <c r="U3290" i="1"/>
  <c r="BB3290" i="1"/>
  <c r="BW3290" i="1"/>
  <c r="A3291" i="1"/>
  <c r="C3291" i="1"/>
  <c r="S3291" i="1"/>
  <c r="T3291" i="1"/>
  <c r="U3291" i="1"/>
  <c r="BB3291" i="1"/>
  <c r="BW3291" i="1"/>
  <c r="A3292" i="1"/>
  <c r="C3292" i="1"/>
  <c r="S3292" i="1"/>
  <c r="T3292" i="1"/>
  <c r="U3292" i="1"/>
  <c r="BB3292" i="1"/>
  <c r="BW3292" i="1"/>
  <c r="A3293" i="1"/>
  <c r="C3293" i="1"/>
  <c r="S3293" i="1"/>
  <c r="T3293" i="1"/>
  <c r="U3293" i="1"/>
  <c r="BB3293" i="1"/>
  <c r="BW3293" i="1"/>
  <c r="A3294" i="1"/>
  <c r="C3294" i="1"/>
  <c r="S3294" i="1"/>
  <c r="T3294" i="1"/>
  <c r="U3294" i="1"/>
  <c r="BB3294" i="1"/>
  <c r="BW3294" i="1"/>
  <c r="A3295" i="1"/>
  <c r="C3295" i="1"/>
  <c r="S3295" i="1"/>
  <c r="T3295" i="1"/>
  <c r="U3295" i="1"/>
  <c r="BB3295" i="1"/>
  <c r="BW3295" i="1"/>
  <c r="A3296" i="1"/>
  <c r="C3296" i="1"/>
  <c r="S3296" i="1"/>
  <c r="T3296" i="1"/>
  <c r="U3296" i="1"/>
  <c r="BB3296" i="1"/>
  <c r="BW3296" i="1"/>
  <c r="A3297" i="1"/>
  <c r="C3297" i="1"/>
  <c r="S3297" i="1"/>
  <c r="T3297" i="1"/>
  <c r="U3297" i="1"/>
  <c r="BB3297" i="1"/>
  <c r="BW3297" i="1"/>
  <c r="A3298" i="1"/>
  <c r="C3298" i="1"/>
  <c r="S3298" i="1"/>
  <c r="T3298" i="1"/>
  <c r="U3298" i="1"/>
  <c r="BB3298" i="1"/>
  <c r="BW3298" i="1"/>
  <c r="A3299" i="1"/>
  <c r="C3299" i="1"/>
  <c r="S3299" i="1"/>
  <c r="U3299" i="1"/>
  <c r="BB3299" i="1"/>
  <c r="BW3299" i="1"/>
  <c r="A3300" i="1"/>
  <c r="C3300" i="1"/>
  <c r="S3300" i="1"/>
  <c r="U3300" i="1"/>
  <c r="BB3300" i="1"/>
  <c r="BW3300" i="1"/>
  <c r="A3301" i="1"/>
  <c r="C3301" i="1"/>
  <c r="S3301" i="1"/>
  <c r="U3301" i="1"/>
  <c r="BB3301" i="1"/>
  <c r="BW3301" i="1"/>
  <c r="A3302" i="1"/>
  <c r="C3302" i="1"/>
  <c r="S3302" i="1"/>
  <c r="U3302" i="1"/>
  <c r="BB3302" i="1"/>
  <c r="BW3302" i="1"/>
  <c r="A3303" i="1"/>
  <c r="C3303" i="1"/>
  <c r="S3303" i="1"/>
  <c r="T3303" i="1"/>
  <c r="U3303" i="1"/>
  <c r="BB3303" i="1"/>
  <c r="BW3303" i="1"/>
  <c r="A3304" i="1"/>
  <c r="C3304" i="1"/>
  <c r="S3304" i="1"/>
  <c r="T3304" i="1"/>
  <c r="U3304" i="1"/>
  <c r="BB3304" i="1"/>
  <c r="BW3304" i="1"/>
  <c r="A3305" i="1"/>
  <c r="C3305" i="1"/>
  <c r="S3305" i="1"/>
  <c r="T3305" i="1"/>
  <c r="U3305" i="1"/>
  <c r="BB3305" i="1"/>
  <c r="BW3305" i="1"/>
  <c r="A3306" i="1"/>
  <c r="C3306" i="1"/>
  <c r="S3306" i="1"/>
  <c r="T3306" i="1"/>
  <c r="U3306" i="1"/>
  <c r="BB3306" i="1"/>
  <c r="BW3306" i="1"/>
  <c r="A3307" i="1"/>
  <c r="C3307" i="1"/>
  <c r="S3307" i="1"/>
  <c r="T3307" i="1"/>
  <c r="U3307" i="1"/>
  <c r="BB3307" i="1"/>
  <c r="BW3307" i="1"/>
  <c r="A3308" i="1"/>
  <c r="C3308" i="1"/>
  <c r="S3308" i="1"/>
  <c r="T3308" i="1"/>
  <c r="U3308" i="1"/>
  <c r="BB3308" i="1"/>
  <c r="BW3308" i="1"/>
  <c r="A3309" i="1"/>
  <c r="C3309" i="1"/>
  <c r="S3309" i="1"/>
  <c r="T3309" i="1"/>
  <c r="U3309" i="1"/>
  <c r="BB3309" i="1"/>
  <c r="BW3309" i="1"/>
  <c r="A3310" i="1"/>
  <c r="C3310" i="1"/>
  <c r="S3310" i="1"/>
  <c r="T3310" i="1"/>
  <c r="U3310" i="1"/>
  <c r="BB3310" i="1"/>
  <c r="BW3310" i="1"/>
  <c r="A3311" i="1"/>
  <c r="C3311" i="1"/>
  <c r="S3311" i="1"/>
  <c r="T3311" i="1"/>
  <c r="U3311" i="1"/>
  <c r="BB3311" i="1"/>
  <c r="BW3311" i="1"/>
  <c r="A3312" i="1"/>
  <c r="C3312" i="1"/>
  <c r="S3312" i="1"/>
  <c r="T3312" i="1"/>
  <c r="U3312" i="1"/>
  <c r="BB3312" i="1"/>
  <c r="BW3312" i="1"/>
  <c r="A3313" i="1"/>
  <c r="C3313" i="1"/>
  <c r="S3313" i="1"/>
  <c r="T3313" i="1"/>
  <c r="U3313" i="1"/>
  <c r="BB3313" i="1"/>
  <c r="BW3313" i="1"/>
  <c r="A3314" i="1"/>
  <c r="C3314" i="1"/>
  <c r="S3314" i="1"/>
  <c r="T3314" i="1"/>
  <c r="U3314" i="1"/>
  <c r="BB3314" i="1"/>
  <c r="BW3314" i="1"/>
  <c r="A3315" i="1"/>
  <c r="C3315" i="1"/>
  <c r="S3315" i="1"/>
  <c r="T3315" i="1"/>
  <c r="U3315" i="1"/>
  <c r="BB3315" i="1"/>
  <c r="BW3315" i="1"/>
  <c r="A3316" i="1"/>
  <c r="C3316" i="1"/>
  <c r="S3316" i="1"/>
  <c r="T3316" i="1"/>
  <c r="U3316" i="1"/>
  <c r="BB3316" i="1"/>
  <c r="BW3316" i="1"/>
  <c r="A3317" i="1"/>
  <c r="C3317" i="1"/>
  <c r="S3317" i="1"/>
  <c r="T3317" i="1"/>
  <c r="U3317" i="1"/>
  <c r="BB3317" i="1"/>
  <c r="BW3317" i="1"/>
  <c r="A3318" i="1"/>
  <c r="C3318" i="1"/>
  <c r="S3318" i="1"/>
  <c r="T3318" i="1"/>
  <c r="U3318" i="1"/>
  <c r="BB3318" i="1"/>
  <c r="BW3318" i="1"/>
  <c r="A3319" i="1"/>
  <c r="C3319" i="1"/>
  <c r="S3319" i="1"/>
  <c r="T3319" i="1"/>
  <c r="U3319" i="1"/>
  <c r="BB3319" i="1"/>
  <c r="BW3319" i="1"/>
  <c r="A3320" i="1"/>
  <c r="C3320" i="1"/>
  <c r="S3320" i="1"/>
  <c r="T3320" i="1"/>
  <c r="U3320" i="1"/>
  <c r="BB3320" i="1"/>
  <c r="BW3320" i="1"/>
  <c r="A3321" i="1"/>
  <c r="C3321" i="1"/>
  <c r="S3321" i="1"/>
  <c r="T3321" i="1"/>
  <c r="U3321" i="1"/>
  <c r="BB3321" i="1"/>
  <c r="BW3321" i="1"/>
  <c r="A3322" i="1"/>
  <c r="C3322" i="1"/>
  <c r="S3322" i="1"/>
  <c r="T3322" i="1"/>
  <c r="U3322" i="1"/>
  <c r="BB3322" i="1"/>
  <c r="BW3322" i="1"/>
  <c r="A3323" i="1"/>
  <c r="C3323" i="1"/>
  <c r="S3323" i="1"/>
  <c r="T3323" i="1"/>
  <c r="U3323" i="1"/>
  <c r="BB3323" i="1"/>
  <c r="BW3323" i="1"/>
  <c r="A3324" i="1"/>
  <c r="C3324" i="1"/>
  <c r="S3324" i="1"/>
  <c r="T3324" i="1"/>
  <c r="U3324" i="1"/>
  <c r="BB3324" i="1"/>
  <c r="BW3324" i="1"/>
  <c r="A3325" i="1"/>
  <c r="C3325" i="1"/>
  <c r="S3325" i="1"/>
  <c r="T3325" i="1"/>
  <c r="U3325" i="1"/>
  <c r="BB3325" i="1"/>
  <c r="BW3325" i="1"/>
  <c r="A3326" i="1"/>
  <c r="C3326" i="1"/>
  <c r="S3326" i="1"/>
  <c r="T3326" i="1"/>
  <c r="U3326" i="1"/>
  <c r="BB3326" i="1"/>
  <c r="BW3326" i="1"/>
  <c r="A3327" i="1"/>
  <c r="C3327" i="1"/>
  <c r="S3327" i="1"/>
  <c r="T3327" i="1"/>
  <c r="U3327" i="1"/>
  <c r="BB3327" i="1"/>
  <c r="BW3327" i="1"/>
  <c r="A3328" i="1"/>
  <c r="C3328" i="1"/>
  <c r="S3328" i="1"/>
  <c r="T3328" i="1"/>
  <c r="U3328" i="1"/>
  <c r="BB3328" i="1"/>
  <c r="BW3328" i="1"/>
  <c r="A3329" i="1"/>
  <c r="C3329" i="1"/>
  <c r="S3329" i="1"/>
  <c r="T3329" i="1"/>
  <c r="U3329" i="1"/>
  <c r="BB3329" i="1"/>
  <c r="BW3329" i="1"/>
  <c r="A3330" i="1"/>
  <c r="C3330" i="1"/>
  <c r="S3330" i="1"/>
  <c r="T3330" i="1"/>
  <c r="U3330" i="1"/>
  <c r="BB3330" i="1"/>
  <c r="BW3330" i="1"/>
  <c r="A3331" i="1"/>
  <c r="C3331" i="1"/>
  <c r="S3331" i="1"/>
  <c r="T3331" i="1"/>
  <c r="U3331" i="1"/>
  <c r="BB3331" i="1"/>
  <c r="BW3331" i="1"/>
  <c r="A3332" i="1"/>
  <c r="C3332" i="1"/>
  <c r="S3332" i="1"/>
  <c r="T3332" i="1"/>
  <c r="U3332" i="1"/>
  <c r="BB3332" i="1"/>
  <c r="BW3332" i="1"/>
  <c r="A3333" i="1"/>
  <c r="C3333" i="1"/>
  <c r="S3333" i="1"/>
  <c r="T3333" i="1"/>
  <c r="U3333" i="1"/>
  <c r="BB3333" i="1"/>
  <c r="BW3333" i="1"/>
  <c r="A3334" i="1"/>
  <c r="C3334" i="1"/>
  <c r="S3334" i="1"/>
  <c r="T3334" i="1"/>
  <c r="U3334" i="1"/>
  <c r="BB3334" i="1"/>
  <c r="BW3334" i="1"/>
  <c r="A3335" i="1"/>
  <c r="C3335" i="1"/>
  <c r="S3335" i="1"/>
  <c r="T3335" i="1"/>
  <c r="U3335" i="1"/>
  <c r="BB3335" i="1"/>
  <c r="BW3335" i="1"/>
  <c r="A3336" i="1"/>
  <c r="C3336" i="1"/>
  <c r="S3336" i="1"/>
  <c r="T3336" i="1"/>
  <c r="U3336" i="1"/>
  <c r="BB3336" i="1"/>
  <c r="BW3336" i="1"/>
  <c r="A3337" i="1"/>
  <c r="C3337" i="1"/>
  <c r="S3337" i="1"/>
  <c r="T3337" i="1"/>
  <c r="U3337" i="1"/>
  <c r="BB3337" i="1"/>
  <c r="BW3337" i="1"/>
  <c r="A3338" i="1"/>
  <c r="C3338" i="1"/>
  <c r="S3338" i="1"/>
  <c r="T3338" i="1"/>
  <c r="U3338" i="1"/>
  <c r="BB3338" i="1"/>
  <c r="BW3338" i="1"/>
  <c r="A3339" i="1"/>
  <c r="C3339" i="1"/>
  <c r="S3339" i="1"/>
  <c r="T3339" i="1"/>
  <c r="U3339" i="1"/>
  <c r="BB3339" i="1"/>
  <c r="BW3339" i="1"/>
  <c r="A3340" i="1"/>
  <c r="C3340" i="1"/>
  <c r="S3340" i="1"/>
  <c r="T3340" i="1"/>
  <c r="U3340" i="1"/>
  <c r="BB3340" i="1"/>
  <c r="BW3340" i="1"/>
  <c r="A3341" i="1"/>
  <c r="C3341" i="1"/>
  <c r="S3341" i="1"/>
  <c r="T3341" i="1"/>
  <c r="U3341" i="1"/>
  <c r="BB3341" i="1"/>
  <c r="BW3341" i="1"/>
  <c r="A3342" i="1"/>
  <c r="C3342" i="1"/>
  <c r="S3342" i="1"/>
  <c r="T3342" i="1"/>
  <c r="U3342" i="1"/>
  <c r="BB3342" i="1"/>
  <c r="BW3342" i="1"/>
  <c r="A3343" i="1"/>
  <c r="C3343" i="1"/>
  <c r="S3343" i="1"/>
  <c r="T3343" i="1"/>
  <c r="U3343" i="1"/>
  <c r="BB3343" i="1"/>
  <c r="BW3343" i="1"/>
  <c r="A3344" i="1"/>
  <c r="C3344" i="1"/>
  <c r="S3344" i="1"/>
  <c r="T3344" i="1"/>
  <c r="U3344" i="1"/>
  <c r="BB3344" i="1"/>
  <c r="BW3344" i="1"/>
  <c r="A3345" i="1"/>
  <c r="C3345" i="1"/>
  <c r="S3345" i="1"/>
  <c r="T3345" i="1"/>
  <c r="U3345" i="1"/>
  <c r="BB3345" i="1"/>
  <c r="BW3345" i="1"/>
  <c r="A3346" i="1"/>
  <c r="C3346" i="1"/>
  <c r="S3346" i="1"/>
  <c r="T3346" i="1"/>
  <c r="U3346" i="1"/>
  <c r="BB3346" i="1"/>
  <c r="BW3346" i="1"/>
  <c r="A3347" i="1"/>
  <c r="C3347" i="1"/>
  <c r="S3347" i="1"/>
  <c r="T3347" i="1"/>
  <c r="U3347" i="1"/>
  <c r="BB3347" i="1"/>
  <c r="BW3347" i="1"/>
  <c r="A3348" i="1"/>
  <c r="C3348" i="1"/>
  <c r="S3348" i="1"/>
  <c r="T3348" i="1"/>
  <c r="U3348" i="1"/>
  <c r="BB3348" i="1"/>
  <c r="BW3348" i="1"/>
  <c r="A3349" i="1"/>
  <c r="C3349" i="1"/>
  <c r="S3349" i="1"/>
  <c r="T3349" i="1"/>
  <c r="U3349" i="1"/>
  <c r="BB3349" i="1"/>
  <c r="BW3349" i="1"/>
  <c r="A3350" i="1"/>
  <c r="C3350" i="1"/>
  <c r="S3350" i="1"/>
  <c r="T3350" i="1"/>
  <c r="U3350" i="1"/>
  <c r="BB3350" i="1"/>
  <c r="BW3350" i="1"/>
  <c r="A3351" i="1"/>
  <c r="C3351" i="1"/>
  <c r="S3351" i="1"/>
  <c r="U3351" i="1"/>
  <c r="BB3351" i="1"/>
  <c r="BW3351" i="1"/>
  <c r="A3352" i="1"/>
  <c r="C3352" i="1"/>
  <c r="S3352" i="1"/>
  <c r="U3352" i="1"/>
  <c r="BB3352" i="1"/>
  <c r="BW3352" i="1"/>
  <c r="A3353" i="1"/>
  <c r="C3353" i="1"/>
  <c r="S3353" i="1"/>
  <c r="U3353" i="1"/>
  <c r="BB3353" i="1"/>
  <c r="BW3353" i="1"/>
  <c r="A3354" i="1"/>
  <c r="C3354" i="1"/>
  <c r="S3354" i="1"/>
  <c r="U3354" i="1"/>
  <c r="BB3354" i="1"/>
  <c r="BW3354" i="1"/>
  <c r="A3355" i="1"/>
  <c r="C3355" i="1"/>
  <c r="S3355" i="1"/>
  <c r="U3355" i="1"/>
  <c r="BB3355" i="1"/>
  <c r="BW3355" i="1"/>
  <c r="A3356" i="1"/>
  <c r="C3356" i="1"/>
  <c r="S3356" i="1"/>
  <c r="U3356" i="1"/>
  <c r="BB3356" i="1"/>
  <c r="BW3356" i="1"/>
  <c r="A3357" i="1"/>
  <c r="C3357" i="1"/>
  <c r="S3357" i="1"/>
  <c r="U3357" i="1"/>
  <c r="BB3357" i="1"/>
  <c r="BW3357" i="1"/>
  <c r="A3358" i="1"/>
  <c r="C3358" i="1"/>
  <c r="S3358" i="1"/>
  <c r="U3358" i="1"/>
  <c r="BB3358" i="1"/>
  <c r="BW3358" i="1"/>
  <c r="A3359" i="1"/>
  <c r="C3359" i="1"/>
  <c r="S3359" i="1"/>
  <c r="T3359" i="1"/>
  <c r="U3359" i="1"/>
  <c r="BB3359" i="1"/>
  <c r="BW3359" i="1"/>
  <c r="A3360" i="1"/>
  <c r="C3360" i="1"/>
  <c r="S3360" i="1"/>
  <c r="T3360" i="1"/>
  <c r="U3360" i="1"/>
  <c r="BB3360" i="1"/>
  <c r="BW3360" i="1"/>
  <c r="A3361" i="1"/>
  <c r="C3361" i="1"/>
  <c r="S3361" i="1"/>
  <c r="T3361" i="1"/>
  <c r="U3361" i="1"/>
  <c r="BB3361" i="1"/>
  <c r="BW3361" i="1"/>
  <c r="A3362" i="1"/>
  <c r="C3362" i="1"/>
  <c r="S3362" i="1"/>
  <c r="T3362" i="1"/>
  <c r="U3362" i="1"/>
  <c r="BB3362" i="1"/>
  <c r="BW3362" i="1"/>
  <c r="A3363" i="1"/>
  <c r="C3363" i="1"/>
  <c r="S3363" i="1"/>
  <c r="T3363" i="1"/>
  <c r="U3363" i="1"/>
  <c r="BB3363" i="1"/>
  <c r="BW3363" i="1"/>
  <c r="A3364" i="1"/>
  <c r="C3364" i="1"/>
  <c r="S3364" i="1"/>
  <c r="T3364" i="1"/>
  <c r="U3364" i="1"/>
  <c r="BB3364" i="1"/>
  <c r="BW3364" i="1"/>
  <c r="A3365" i="1"/>
  <c r="C3365" i="1"/>
  <c r="S3365" i="1"/>
  <c r="T3365" i="1"/>
  <c r="U3365" i="1"/>
  <c r="BB3365" i="1"/>
  <c r="BW3365" i="1"/>
  <c r="A3366" i="1"/>
  <c r="C3366" i="1"/>
  <c r="S3366" i="1"/>
  <c r="T3366" i="1"/>
  <c r="U3366" i="1"/>
  <c r="BB3366" i="1"/>
  <c r="BW3366" i="1"/>
  <c r="A3367" i="1"/>
  <c r="C3367" i="1"/>
  <c r="S3367" i="1"/>
  <c r="T3367" i="1"/>
  <c r="U3367" i="1"/>
  <c r="BB3367" i="1"/>
  <c r="BW3367" i="1"/>
  <c r="A3368" i="1"/>
  <c r="C3368" i="1"/>
  <c r="S3368" i="1"/>
  <c r="T3368" i="1"/>
  <c r="U3368" i="1"/>
  <c r="BB3368" i="1"/>
  <c r="BW3368" i="1"/>
  <c r="A3369" i="1"/>
  <c r="C3369" i="1"/>
  <c r="S3369" i="1"/>
  <c r="T3369" i="1"/>
  <c r="U3369" i="1"/>
  <c r="BB3369" i="1"/>
  <c r="BW3369" i="1"/>
  <c r="A3370" i="1"/>
  <c r="C3370" i="1"/>
  <c r="S3370" i="1"/>
  <c r="T3370" i="1"/>
  <c r="U3370" i="1"/>
  <c r="BB3370" i="1"/>
  <c r="BW3370" i="1"/>
  <c r="A3371" i="1"/>
  <c r="C3371" i="1"/>
  <c r="S3371" i="1"/>
  <c r="T3371" i="1"/>
  <c r="U3371" i="1"/>
  <c r="BB3371" i="1"/>
  <c r="BW3371" i="1"/>
  <c r="A3372" i="1"/>
  <c r="C3372" i="1"/>
  <c r="S3372" i="1"/>
  <c r="T3372" i="1"/>
  <c r="U3372" i="1"/>
  <c r="BB3372" i="1"/>
  <c r="BW3372" i="1"/>
  <c r="A3373" i="1"/>
  <c r="C3373" i="1"/>
  <c r="S3373" i="1"/>
  <c r="T3373" i="1"/>
  <c r="U3373" i="1"/>
  <c r="BB3373" i="1"/>
  <c r="BW3373" i="1"/>
  <c r="A3374" i="1"/>
  <c r="C3374" i="1"/>
  <c r="S3374" i="1"/>
  <c r="T3374" i="1"/>
  <c r="U3374" i="1"/>
  <c r="BB3374" i="1"/>
  <c r="BW3374" i="1"/>
  <c r="A3375" i="1"/>
  <c r="C3375" i="1"/>
  <c r="S3375" i="1"/>
  <c r="T3375" i="1"/>
  <c r="U3375" i="1"/>
  <c r="BB3375" i="1"/>
  <c r="BW3375" i="1"/>
  <c r="A3376" i="1"/>
  <c r="C3376" i="1"/>
  <c r="S3376" i="1"/>
  <c r="T3376" i="1"/>
  <c r="U3376" i="1"/>
  <c r="BB3376" i="1"/>
  <c r="BW3376" i="1"/>
  <c r="A3377" i="1"/>
  <c r="C3377" i="1"/>
  <c r="S3377" i="1"/>
  <c r="T3377" i="1"/>
  <c r="U3377" i="1"/>
  <c r="BB3377" i="1"/>
  <c r="BW3377" i="1"/>
  <c r="A3378" i="1"/>
  <c r="C3378" i="1"/>
  <c r="S3378" i="1"/>
  <c r="T3378" i="1"/>
  <c r="U3378" i="1"/>
  <c r="BB3378" i="1"/>
  <c r="BW3378" i="1"/>
  <c r="A3379" i="1"/>
  <c r="C3379" i="1"/>
  <c r="S3379" i="1"/>
  <c r="T3379" i="1"/>
  <c r="U3379" i="1"/>
  <c r="BB3379" i="1"/>
  <c r="BW3379" i="1"/>
  <c r="A3380" i="1"/>
  <c r="C3380" i="1"/>
  <c r="S3380" i="1"/>
  <c r="T3380" i="1"/>
  <c r="U3380" i="1"/>
  <c r="BB3380" i="1"/>
  <c r="BW3380" i="1"/>
  <c r="A3381" i="1"/>
  <c r="C3381" i="1"/>
  <c r="S3381" i="1"/>
  <c r="T3381" i="1"/>
  <c r="U3381" i="1"/>
  <c r="BB3381" i="1"/>
  <c r="BW3381" i="1"/>
  <c r="A3382" i="1"/>
  <c r="C3382" i="1"/>
  <c r="S3382" i="1"/>
  <c r="T3382" i="1"/>
  <c r="U3382" i="1"/>
  <c r="BB3382" i="1"/>
  <c r="BW3382" i="1"/>
  <c r="A3383" i="1"/>
  <c r="C3383" i="1"/>
  <c r="S3383" i="1"/>
  <c r="T3383" i="1"/>
  <c r="U3383" i="1"/>
  <c r="BB3383" i="1"/>
  <c r="BW3383" i="1"/>
  <c r="A3384" i="1"/>
  <c r="C3384" i="1"/>
  <c r="S3384" i="1"/>
  <c r="T3384" i="1"/>
  <c r="U3384" i="1"/>
  <c r="BB3384" i="1"/>
  <c r="BW3384" i="1"/>
  <c r="A3385" i="1"/>
  <c r="C3385" i="1"/>
  <c r="S3385" i="1"/>
  <c r="T3385" i="1"/>
  <c r="U3385" i="1"/>
  <c r="BB3385" i="1"/>
  <c r="BW3385" i="1"/>
  <c r="A3386" i="1"/>
  <c r="C3386" i="1"/>
  <c r="S3386" i="1"/>
  <c r="T3386" i="1"/>
  <c r="U3386" i="1"/>
  <c r="BB3386" i="1"/>
  <c r="BW3386" i="1"/>
  <c r="A3387" i="1"/>
  <c r="C3387" i="1"/>
  <c r="S3387" i="1"/>
  <c r="T3387" i="1"/>
  <c r="U3387" i="1"/>
  <c r="BB3387" i="1"/>
  <c r="BW3387" i="1"/>
  <c r="A3388" i="1"/>
  <c r="C3388" i="1"/>
  <c r="S3388" i="1"/>
  <c r="T3388" i="1"/>
  <c r="U3388" i="1"/>
  <c r="BB3388" i="1"/>
  <c r="BW3388" i="1"/>
  <c r="A3389" i="1"/>
  <c r="C3389" i="1"/>
  <c r="S3389" i="1"/>
  <c r="T3389" i="1"/>
  <c r="U3389" i="1"/>
  <c r="BB3389" i="1"/>
  <c r="BW3389" i="1"/>
  <c r="A3390" i="1"/>
  <c r="C3390" i="1"/>
  <c r="S3390" i="1"/>
  <c r="T3390" i="1"/>
  <c r="U3390" i="1"/>
  <c r="BB3390" i="1"/>
  <c r="BW3390" i="1"/>
  <c r="A3391" i="1"/>
  <c r="C3391" i="1"/>
  <c r="S3391" i="1"/>
  <c r="T3391" i="1"/>
  <c r="U3391" i="1"/>
  <c r="BB3391" i="1"/>
  <c r="BW3391" i="1"/>
  <c r="A3392" i="1"/>
  <c r="C3392" i="1"/>
  <c r="S3392" i="1"/>
  <c r="T3392" i="1"/>
  <c r="U3392" i="1"/>
  <c r="BB3392" i="1"/>
  <c r="BW3392" i="1"/>
  <c r="A3393" i="1"/>
  <c r="C3393" i="1"/>
  <c r="S3393" i="1"/>
  <c r="T3393" i="1"/>
  <c r="U3393" i="1"/>
  <c r="BB3393" i="1"/>
  <c r="BW3393" i="1"/>
  <c r="A3394" i="1"/>
  <c r="C3394" i="1"/>
  <c r="S3394" i="1"/>
  <c r="T3394" i="1"/>
  <c r="U3394" i="1"/>
  <c r="BB3394" i="1"/>
  <c r="BW3394" i="1"/>
  <c r="A3395" i="1"/>
  <c r="C3395" i="1"/>
  <c r="S3395" i="1"/>
  <c r="T3395" i="1"/>
  <c r="U3395" i="1"/>
  <c r="BB3395" i="1"/>
  <c r="BW3395" i="1"/>
  <c r="A3396" i="1"/>
  <c r="C3396" i="1"/>
  <c r="S3396" i="1"/>
  <c r="T3396" i="1"/>
  <c r="U3396" i="1"/>
  <c r="BB3396" i="1"/>
  <c r="BW3396" i="1"/>
  <c r="A3397" i="1"/>
  <c r="C3397" i="1"/>
  <c r="S3397" i="1"/>
  <c r="T3397" i="1"/>
  <c r="U3397" i="1"/>
  <c r="BB3397" i="1"/>
  <c r="BW3397" i="1"/>
  <c r="A3398" i="1"/>
  <c r="C3398" i="1"/>
  <c r="S3398" i="1"/>
  <c r="T3398" i="1"/>
  <c r="U3398" i="1"/>
  <c r="BB3398" i="1"/>
  <c r="BW3398" i="1"/>
  <c r="A3399" i="1"/>
  <c r="C3399" i="1"/>
  <c r="S3399" i="1"/>
  <c r="T3399" i="1"/>
  <c r="U3399" i="1"/>
  <c r="BB3399" i="1"/>
  <c r="BW3399" i="1"/>
  <c r="A3400" i="1"/>
  <c r="C3400" i="1"/>
  <c r="S3400" i="1"/>
  <c r="T3400" i="1"/>
  <c r="U3400" i="1"/>
  <c r="BB3400" i="1"/>
  <c r="BW3400" i="1"/>
  <c r="A3401" i="1"/>
  <c r="C3401" i="1"/>
  <c r="S3401" i="1"/>
  <c r="T3401" i="1"/>
  <c r="U3401" i="1"/>
  <c r="BB3401" i="1"/>
  <c r="BW3401" i="1"/>
  <c r="A3402" i="1"/>
  <c r="C3402" i="1"/>
  <c r="S3402" i="1"/>
  <c r="T3402" i="1"/>
  <c r="U3402" i="1"/>
  <c r="BB3402" i="1"/>
  <c r="BW3402" i="1"/>
  <c r="A3403" i="1"/>
  <c r="C3403" i="1"/>
  <c r="S3403" i="1"/>
  <c r="T3403" i="1"/>
  <c r="U3403" i="1"/>
  <c r="BB3403" i="1"/>
  <c r="BW3403" i="1"/>
  <c r="A3404" i="1"/>
  <c r="C3404" i="1"/>
  <c r="S3404" i="1"/>
  <c r="T3404" i="1"/>
  <c r="U3404" i="1"/>
  <c r="BB3404" i="1"/>
  <c r="BW3404" i="1"/>
  <c r="A3405" i="1"/>
  <c r="C3405" i="1"/>
  <c r="S3405" i="1"/>
  <c r="T3405" i="1"/>
  <c r="U3405" i="1"/>
  <c r="BB3405" i="1"/>
  <c r="BW3405" i="1"/>
  <c r="A3406" i="1"/>
  <c r="C3406" i="1"/>
  <c r="S3406" i="1"/>
  <c r="T3406" i="1"/>
  <c r="U3406" i="1"/>
  <c r="BB3406" i="1"/>
  <c r="BW3406" i="1"/>
  <c r="A3407" i="1"/>
  <c r="C3407" i="1"/>
  <c r="S3407" i="1"/>
  <c r="T3407" i="1"/>
  <c r="U3407" i="1"/>
  <c r="BB3407" i="1"/>
  <c r="BW3407" i="1"/>
  <c r="A3408" i="1"/>
  <c r="C3408" i="1"/>
  <c r="S3408" i="1"/>
  <c r="T3408" i="1"/>
  <c r="U3408" i="1"/>
  <c r="BB3408" i="1"/>
  <c r="BW3408" i="1"/>
  <c r="A3409" i="1"/>
  <c r="C3409" i="1"/>
  <c r="S3409" i="1"/>
  <c r="T3409" i="1"/>
  <c r="U3409" i="1"/>
  <c r="BB3409" i="1"/>
  <c r="BW3409" i="1"/>
  <c r="A3410" i="1"/>
  <c r="C3410" i="1"/>
  <c r="S3410" i="1"/>
  <c r="T3410" i="1"/>
  <c r="U3410" i="1"/>
  <c r="BB3410" i="1"/>
  <c r="BW3410" i="1"/>
  <c r="A3411" i="1"/>
  <c r="C3411" i="1"/>
  <c r="S3411" i="1"/>
  <c r="T3411" i="1"/>
  <c r="U3411" i="1"/>
  <c r="BB3411" i="1"/>
  <c r="BW3411" i="1"/>
  <c r="A3412" i="1"/>
  <c r="C3412" i="1"/>
  <c r="S3412" i="1"/>
  <c r="T3412" i="1"/>
  <c r="U3412" i="1"/>
  <c r="BB3412" i="1"/>
  <c r="BW3412" i="1"/>
  <c r="A3413" i="1"/>
  <c r="C3413" i="1"/>
  <c r="S3413" i="1"/>
  <c r="T3413" i="1"/>
  <c r="U3413" i="1"/>
  <c r="BB3413" i="1"/>
  <c r="BW3413" i="1"/>
  <c r="A3414" i="1"/>
  <c r="C3414" i="1"/>
  <c r="S3414" i="1"/>
  <c r="T3414" i="1"/>
  <c r="U3414" i="1"/>
  <c r="BB3414" i="1"/>
  <c r="BW3414" i="1"/>
  <c r="A3415" i="1"/>
  <c r="C3415" i="1"/>
  <c r="S3415" i="1"/>
  <c r="T3415" i="1"/>
  <c r="U3415" i="1"/>
  <c r="BB3415" i="1"/>
  <c r="BW3415" i="1"/>
  <c r="A3416" i="1"/>
  <c r="C3416" i="1"/>
  <c r="S3416" i="1"/>
  <c r="T3416" i="1"/>
  <c r="U3416" i="1"/>
  <c r="BB3416" i="1"/>
  <c r="BW3416" i="1"/>
  <c r="A3417" i="1"/>
  <c r="C3417" i="1"/>
  <c r="S3417" i="1"/>
  <c r="T3417" i="1"/>
  <c r="U3417" i="1"/>
  <c r="BB3417" i="1"/>
  <c r="BW3417" i="1"/>
  <c r="A3418" i="1"/>
  <c r="C3418" i="1"/>
  <c r="S3418" i="1"/>
  <c r="T3418" i="1"/>
  <c r="U3418" i="1"/>
  <c r="BB3418" i="1"/>
  <c r="BW3418" i="1"/>
  <c r="A3419" i="1"/>
  <c r="C3419" i="1"/>
  <c r="S3419" i="1"/>
  <c r="T3419" i="1"/>
  <c r="U3419" i="1"/>
  <c r="BB3419" i="1"/>
  <c r="BW3419" i="1"/>
  <c r="A3420" i="1"/>
  <c r="C3420" i="1"/>
  <c r="S3420" i="1"/>
  <c r="T3420" i="1"/>
  <c r="U3420" i="1"/>
  <c r="BB3420" i="1"/>
  <c r="BW3420" i="1"/>
  <c r="A3421" i="1"/>
  <c r="C3421" i="1"/>
  <c r="S3421" i="1"/>
  <c r="T3421" i="1"/>
  <c r="U3421" i="1"/>
  <c r="BB3421" i="1"/>
  <c r="BW3421" i="1"/>
  <c r="A3422" i="1"/>
  <c r="C3422" i="1"/>
  <c r="S3422" i="1"/>
  <c r="T3422" i="1"/>
  <c r="U3422" i="1"/>
  <c r="BB3422" i="1"/>
  <c r="BW3422" i="1"/>
  <c r="A3423" i="1"/>
  <c r="C3423" i="1"/>
  <c r="S3423" i="1"/>
  <c r="T3423" i="1"/>
  <c r="U3423" i="1"/>
  <c r="BB3423" i="1"/>
  <c r="BW3423" i="1"/>
  <c r="A3424" i="1"/>
  <c r="C3424" i="1"/>
  <c r="S3424" i="1"/>
  <c r="T3424" i="1"/>
  <c r="U3424" i="1"/>
  <c r="BB3424" i="1"/>
  <c r="BW3424" i="1"/>
  <c r="A3425" i="1"/>
  <c r="C3425" i="1"/>
  <c r="S3425" i="1"/>
  <c r="T3425" i="1"/>
  <c r="U3425" i="1"/>
  <c r="BB3425" i="1"/>
  <c r="BW3425" i="1"/>
  <c r="A3426" i="1"/>
  <c r="C3426" i="1"/>
  <c r="S3426" i="1"/>
  <c r="T3426" i="1"/>
  <c r="U3426" i="1"/>
  <c r="BB3426" i="1"/>
  <c r="BW3426" i="1"/>
  <c r="A3427" i="1"/>
  <c r="C3427" i="1"/>
  <c r="S3427" i="1"/>
  <c r="T3427" i="1"/>
  <c r="U3427" i="1"/>
  <c r="BB3427" i="1"/>
  <c r="BW3427" i="1"/>
  <c r="A3428" i="1"/>
  <c r="C3428" i="1"/>
  <c r="S3428" i="1"/>
  <c r="T3428" i="1"/>
  <c r="U3428" i="1"/>
  <c r="BB3428" i="1"/>
  <c r="BW3428" i="1"/>
  <c r="A3429" i="1"/>
  <c r="C3429" i="1"/>
  <c r="S3429" i="1"/>
  <c r="T3429" i="1"/>
  <c r="U3429" i="1"/>
  <c r="BB3429" i="1"/>
  <c r="BW3429" i="1"/>
  <c r="A3430" i="1"/>
  <c r="C3430" i="1"/>
  <c r="S3430" i="1"/>
  <c r="T3430" i="1"/>
  <c r="U3430" i="1"/>
  <c r="BB3430" i="1"/>
  <c r="BW3430" i="1"/>
  <c r="A3431" i="1"/>
  <c r="C3431" i="1"/>
  <c r="S3431" i="1"/>
  <c r="T3431" i="1"/>
  <c r="U3431" i="1"/>
  <c r="BB3431" i="1"/>
  <c r="BW3431" i="1"/>
  <c r="A3432" i="1"/>
  <c r="C3432" i="1"/>
  <c r="S3432" i="1"/>
  <c r="T3432" i="1"/>
  <c r="U3432" i="1"/>
  <c r="BB3432" i="1"/>
  <c r="BW3432" i="1"/>
  <c r="A3433" i="1"/>
  <c r="C3433" i="1"/>
  <c r="S3433" i="1"/>
  <c r="T3433" i="1"/>
  <c r="U3433" i="1"/>
  <c r="BB3433" i="1"/>
  <c r="BW3433" i="1"/>
  <c r="A3434" i="1"/>
  <c r="C3434" i="1"/>
  <c r="S3434" i="1"/>
  <c r="T3434" i="1"/>
  <c r="U3434" i="1"/>
  <c r="BB3434" i="1"/>
  <c r="BW3434" i="1"/>
  <c r="A3435" i="1"/>
  <c r="C3435" i="1"/>
  <c r="S3435" i="1"/>
  <c r="T3435" i="1"/>
  <c r="U3435" i="1"/>
  <c r="BB3435" i="1"/>
  <c r="BW3435" i="1"/>
  <c r="A3436" i="1"/>
  <c r="C3436" i="1"/>
  <c r="S3436" i="1"/>
  <c r="T3436" i="1"/>
  <c r="U3436" i="1"/>
  <c r="BB3436" i="1"/>
  <c r="BW3436" i="1"/>
  <c r="A3437" i="1"/>
  <c r="C3437" i="1"/>
  <c r="S3437" i="1"/>
  <c r="T3437" i="1"/>
  <c r="U3437" i="1"/>
  <c r="BB3437" i="1"/>
  <c r="BW3437" i="1"/>
  <c r="A3438" i="1"/>
  <c r="C3438" i="1"/>
  <c r="S3438" i="1"/>
  <c r="T3438" i="1"/>
  <c r="U3438" i="1"/>
  <c r="BB3438" i="1"/>
  <c r="BW3438" i="1"/>
  <c r="A3439" i="1"/>
  <c r="C3439" i="1"/>
  <c r="S3439" i="1"/>
  <c r="T3439" i="1"/>
  <c r="U3439" i="1"/>
  <c r="BB3439" i="1"/>
  <c r="BW3439" i="1"/>
  <c r="A3440" i="1"/>
  <c r="C3440" i="1"/>
  <c r="S3440" i="1"/>
  <c r="T3440" i="1"/>
  <c r="U3440" i="1"/>
  <c r="BB3440" i="1"/>
  <c r="BW3440" i="1"/>
  <c r="A3441" i="1"/>
  <c r="C3441" i="1"/>
  <c r="S3441" i="1"/>
  <c r="T3441" i="1"/>
  <c r="U3441" i="1"/>
  <c r="BB3441" i="1"/>
  <c r="BW3441" i="1"/>
  <c r="A3442" i="1"/>
  <c r="C3442" i="1"/>
  <c r="S3442" i="1"/>
  <c r="T3442" i="1"/>
  <c r="U3442" i="1"/>
  <c r="BB3442" i="1"/>
  <c r="BW3442" i="1"/>
  <c r="A3443" i="1"/>
  <c r="C3443" i="1"/>
  <c r="S3443" i="1"/>
  <c r="T3443" i="1"/>
  <c r="U3443" i="1"/>
  <c r="BB3443" i="1"/>
  <c r="BW3443" i="1"/>
  <c r="A3444" i="1"/>
  <c r="C3444" i="1"/>
  <c r="S3444" i="1"/>
  <c r="T3444" i="1"/>
  <c r="U3444" i="1"/>
  <c r="BB3444" i="1"/>
  <c r="BW3444" i="1"/>
  <c r="A3445" i="1"/>
  <c r="C3445" i="1"/>
  <c r="S3445" i="1"/>
  <c r="T3445" i="1"/>
  <c r="U3445" i="1"/>
  <c r="BB3445" i="1"/>
  <c r="BW3445" i="1"/>
  <c r="A3446" i="1"/>
  <c r="C3446" i="1"/>
  <c r="S3446" i="1"/>
  <c r="T3446" i="1"/>
  <c r="U3446" i="1"/>
  <c r="BB3446" i="1"/>
  <c r="BW3446" i="1"/>
  <c r="A3447" i="1"/>
  <c r="C3447" i="1"/>
  <c r="S3447" i="1"/>
  <c r="T3447" i="1"/>
  <c r="U3447" i="1"/>
  <c r="BB3447" i="1"/>
  <c r="BW3447" i="1"/>
  <c r="A3448" i="1"/>
  <c r="C3448" i="1"/>
  <c r="S3448" i="1"/>
  <c r="T3448" i="1"/>
  <c r="U3448" i="1"/>
  <c r="BB3448" i="1"/>
  <c r="BW3448" i="1"/>
  <c r="A3449" i="1"/>
  <c r="C3449" i="1"/>
  <c r="S3449" i="1"/>
  <c r="T3449" i="1"/>
  <c r="U3449" i="1"/>
  <c r="BB3449" i="1"/>
  <c r="BW3449" i="1"/>
  <c r="A3450" i="1"/>
  <c r="C3450" i="1"/>
  <c r="S3450" i="1"/>
  <c r="T3450" i="1"/>
  <c r="U3450" i="1"/>
  <c r="BB3450" i="1"/>
  <c r="BW3450" i="1"/>
  <c r="A3451" i="1"/>
  <c r="C3451" i="1"/>
  <c r="S3451" i="1"/>
  <c r="T3451" i="1"/>
  <c r="U3451" i="1"/>
  <c r="BB3451" i="1"/>
  <c r="BW3451" i="1"/>
  <c r="A3452" i="1"/>
  <c r="C3452" i="1"/>
  <c r="S3452" i="1"/>
  <c r="T3452" i="1"/>
  <c r="U3452" i="1"/>
  <c r="BB3452" i="1"/>
  <c r="BW3452" i="1"/>
  <c r="A3453" i="1"/>
  <c r="C3453" i="1"/>
  <c r="S3453" i="1"/>
  <c r="T3453" i="1"/>
  <c r="U3453" i="1"/>
  <c r="BB3453" i="1"/>
  <c r="BW3453" i="1"/>
  <c r="A3454" i="1"/>
  <c r="C3454" i="1"/>
  <c r="S3454" i="1"/>
  <c r="T3454" i="1"/>
  <c r="U3454" i="1"/>
  <c r="BB3454" i="1"/>
  <c r="BW3454" i="1"/>
  <c r="A3455" i="1"/>
  <c r="C3455" i="1"/>
  <c r="S3455" i="1"/>
  <c r="T3455" i="1"/>
  <c r="U3455" i="1"/>
  <c r="BB3455" i="1"/>
  <c r="BW3455" i="1"/>
  <c r="A3456" i="1"/>
  <c r="C3456" i="1"/>
  <c r="S3456" i="1"/>
  <c r="T3456" i="1"/>
  <c r="U3456" i="1"/>
  <c r="BB3456" i="1"/>
  <c r="BW3456" i="1"/>
  <c r="A3457" i="1"/>
  <c r="C3457" i="1"/>
  <c r="S3457" i="1"/>
  <c r="T3457" i="1"/>
  <c r="U3457" i="1"/>
  <c r="BB3457" i="1"/>
  <c r="BW3457" i="1"/>
  <c r="A3458" i="1"/>
  <c r="C3458" i="1"/>
  <c r="S3458" i="1"/>
  <c r="T3458" i="1"/>
  <c r="U3458" i="1"/>
  <c r="BB3458" i="1"/>
  <c r="BW3458" i="1"/>
  <c r="A3459" i="1"/>
  <c r="C3459" i="1"/>
  <c r="S3459" i="1"/>
  <c r="T3459" i="1"/>
  <c r="U3459" i="1"/>
  <c r="BB3459" i="1"/>
  <c r="BW3459" i="1"/>
  <c r="A3460" i="1"/>
  <c r="C3460" i="1"/>
  <c r="S3460" i="1"/>
  <c r="T3460" i="1"/>
  <c r="U3460" i="1"/>
  <c r="BB3460" i="1"/>
  <c r="BW3460" i="1"/>
  <c r="A3461" i="1"/>
  <c r="C3461" i="1"/>
  <c r="S3461" i="1"/>
  <c r="T3461" i="1"/>
  <c r="U3461" i="1"/>
  <c r="BB3461" i="1"/>
  <c r="BW3461" i="1"/>
  <c r="A3462" i="1"/>
  <c r="C3462" i="1"/>
  <c r="S3462" i="1"/>
  <c r="T3462" i="1"/>
  <c r="U3462" i="1"/>
  <c r="BB3462" i="1"/>
  <c r="BW3462" i="1"/>
  <c r="A3463" i="1"/>
  <c r="C3463" i="1"/>
  <c r="S3463" i="1"/>
  <c r="T3463" i="1"/>
  <c r="U3463" i="1"/>
  <c r="BB3463" i="1"/>
  <c r="BW3463" i="1"/>
  <c r="A3464" i="1"/>
  <c r="C3464" i="1"/>
  <c r="S3464" i="1"/>
  <c r="T3464" i="1"/>
  <c r="U3464" i="1"/>
  <c r="BB3464" i="1"/>
  <c r="BW3464" i="1"/>
  <c r="A3465" i="1"/>
  <c r="C3465" i="1"/>
  <c r="S3465" i="1"/>
  <c r="T3465" i="1"/>
  <c r="U3465" i="1"/>
  <c r="BB3465" i="1"/>
  <c r="BW3465" i="1"/>
  <c r="A3466" i="1"/>
  <c r="C3466" i="1"/>
  <c r="S3466" i="1"/>
  <c r="T3466" i="1"/>
  <c r="U3466" i="1"/>
  <c r="BB3466" i="1"/>
  <c r="BW3466" i="1"/>
  <c r="A3467" i="1"/>
  <c r="C3467" i="1"/>
  <c r="S3467" i="1"/>
  <c r="T3467" i="1"/>
  <c r="U3467" i="1"/>
  <c r="BB3467" i="1"/>
  <c r="BW3467" i="1"/>
  <c r="A3468" i="1"/>
  <c r="C3468" i="1"/>
  <c r="S3468" i="1"/>
  <c r="T3468" i="1"/>
  <c r="U3468" i="1"/>
  <c r="BB3468" i="1"/>
  <c r="BW3468" i="1"/>
  <c r="A3469" i="1"/>
  <c r="C3469" i="1"/>
  <c r="S3469" i="1"/>
  <c r="T3469" i="1"/>
  <c r="U3469" i="1"/>
  <c r="BB3469" i="1"/>
  <c r="BW3469" i="1"/>
  <c r="A3470" i="1"/>
  <c r="C3470" i="1"/>
  <c r="S3470" i="1"/>
  <c r="T3470" i="1"/>
  <c r="U3470" i="1"/>
  <c r="BB3470" i="1"/>
  <c r="BW3470" i="1"/>
  <c r="A3471" i="1"/>
  <c r="C3471" i="1"/>
  <c r="S3471" i="1"/>
  <c r="T3471" i="1"/>
  <c r="U3471" i="1"/>
  <c r="BB3471" i="1"/>
  <c r="BW3471" i="1"/>
  <c r="A3472" i="1"/>
  <c r="C3472" i="1"/>
  <c r="S3472" i="1"/>
  <c r="T3472" i="1"/>
  <c r="U3472" i="1"/>
  <c r="BB3472" i="1"/>
  <c r="BW3472" i="1"/>
  <c r="A3473" i="1"/>
  <c r="C3473" i="1"/>
  <c r="S3473" i="1"/>
  <c r="T3473" i="1"/>
  <c r="U3473" i="1"/>
  <c r="BB3473" i="1"/>
  <c r="BW3473" i="1"/>
  <c r="A3474" i="1"/>
  <c r="C3474" i="1"/>
  <c r="S3474" i="1"/>
  <c r="T3474" i="1"/>
  <c r="U3474" i="1"/>
  <c r="BB3474" i="1"/>
  <c r="BW3474" i="1"/>
  <c r="A3475" i="1"/>
  <c r="C3475" i="1"/>
  <c r="S3475" i="1"/>
  <c r="T3475" i="1"/>
  <c r="U3475" i="1"/>
  <c r="BB3475" i="1"/>
  <c r="BW3475" i="1"/>
  <c r="A3476" i="1"/>
  <c r="C3476" i="1"/>
  <c r="S3476" i="1"/>
  <c r="T3476" i="1"/>
  <c r="U3476" i="1"/>
  <c r="BB3476" i="1"/>
  <c r="BW3476" i="1"/>
  <c r="A3477" i="1"/>
  <c r="C3477" i="1"/>
  <c r="S3477" i="1"/>
  <c r="T3477" i="1"/>
  <c r="U3477" i="1"/>
  <c r="BB3477" i="1"/>
  <c r="BW3477" i="1"/>
  <c r="A3478" i="1"/>
  <c r="C3478" i="1"/>
  <c r="S3478" i="1"/>
  <c r="T3478" i="1"/>
  <c r="U3478" i="1"/>
  <c r="BB3478" i="1"/>
  <c r="BW3478" i="1"/>
  <c r="A3479" i="1"/>
  <c r="C3479" i="1"/>
  <c r="S3479" i="1"/>
  <c r="T3479" i="1"/>
  <c r="U3479" i="1"/>
  <c r="BB3479" i="1"/>
  <c r="BW3479" i="1"/>
  <c r="A3480" i="1"/>
  <c r="C3480" i="1"/>
  <c r="S3480" i="1"/>
  <c r="T3480" i="1"/>
  <c r="U3480" i="1"/>
  <c r="BB3480" i="1"/>
  <c r="BW3480" i="1"/>
  <c r="A3481" i="1"/>
  <c r="C3481" i="1"/>
  <c r="S3481" i="1"/>
  <c r="T3481" i="1"/>
  <c r="U3481" i="1"/>
  <c r="BB3481" i="1"/>
  <c r="BW3481" i="1"/>
  <c r="A3482" i="1"/>
  <c r="C3482" i="1"/>
  <c r="S3482" i="1"/>
  <c r="T3482" i="1"/>
  <c r="U3482" i="1"/>
  <c r="BB3482" i="1"/>
  <c r="BW3482" i="1"/>
  <c r="A3483" i="1"/>
  <c r="C3483" i="1"/>
  <c r="S3483" i="1"/>
  <c r="T3483" i="1"/>
  <c r="U3483" i="1"/>
  <c r="BB3483" i="1"/>
  <c r="BW3483" i="1"/>
  <c r="A3484" i="1"/>
  <c r="C3484" i="1"/>
  <c r="S3484" i="1"/>
  <c r="T3484" i="1"/>
  <c r="U3484" i="1"/>
  <c r="BB3484" i="1"/>
  <c r="BW3484" i="1"/>
  <c r="A3485" i="1"/>
  <c r="C3485" i="1"/>
  <c r="S3485" i="1"/>
  <c r="T3485" i="1"/>
  <c r="U3485" i="1"/>
  <c r="BB3485" i="1"/>
  <c r="BW3485" i="1"/>
  <c r="A3486" i="1"/>
  <c r="C3486" i="1"/>
  <c r="S3486" i="1"/>
  <c r="T3486" i="1"/>
  <c r="U3486" i="1"/>
  <c r="BB3486" i="1"/>
  <c r="BW3486" i="1"/>
  <c r="A3487" i="1"/>
  <c r="C3487" i="1"/>
  <c r="S3487" i="1"/>
  <c r="T3487" i="1"/>
  <c r="U3487" i="1"/>
  <c r="BB3487" i="1"/>
  <c r="BW3487" i="1"/>
  <c r="A3488" i="1"/>
  <c r="C3488" i="1"/>
  <c r="S3488" i="1"/>
  <c r="T3488" i="1"/>
  <c r="U3488" i="1"/>
  <c r="BB3488" i="1"/>
  <c r="BW3488" i="1"/>
  <c r="A3489" i="1"/>
  <c r="C3489" i="1"/>
  <c r="S3489" i="1"/>
  <c r="T3489" i="1"/>
  <c r="U3489" i="1"/>
  <c r="BB3489" i="1"/>
  <c r="BW3489" i="1"/>
  <c r="A3490" i="1"/>
  <c r="C3490" i="1"/>
  <c r="S3490" i="1"/>
  <c r="T3490" i="1"/>
  <c r="U3490" i="1"/>
  <c r="BB3490" i="1"/>
  <c r="BW3490" i="1"/>
  <c r="A3491" i="1"/>
  <c r="C3491" i="1"/>
  <c r="S3491" i="1"/>
  <c r="T3491" i="1"/>
  <c r="U3491" i="1"/>
  <c r="BB3491" i="1"/>
  <c r="BW3491" i="1"/>
  <c r="A3492" i="1"/>
  <c r="C3492" i="1"/>
  <c r="S3492" i="1"/>
  <c r="T3492" i="1"/>
  <c r="U3492" i="1"/>
  <c r="BB3492" i="1"/>
  <c r="BW3492" i="1"/>
  <c r="A3493" i="1"/>
  <c r="C3493" i="1"/>
  <c r="S3493" i="1"/>
  <c r="T3493" i="1"/>
  <c r="U3493" i="1"/>
  <c r="BB3493" i="1"/>
  <c r="BW3493" i="1"/>
  <c r="A3494" i="1"/>
  <c r="C3494" i="1"/>
  <c r="S3494" i="1"/>
  <c r="T3494" i="1"/>
  <c r="U3494" i="1"/>
  <c r="BB3494" i="1"/>
  <c r="BW3494" i="1"/>
  <c r="A3495" i="1"/>
  <c r="C3495" i="1"/>
  <c r="S3495" i="1"/>
  <c r="T3495" i="1"/>
  <c r="U3495" i="1"/>
  <c r="BB3495" i="1"/>
  <c r="BW3495" i="1"/>
  <c r="A3496" i="1"/>
  <c r="C3496" i="1"/>
  <c r="S3496" i="1"/>
  <c r="T3496" i="1"/>
  <c r="U3496" i="1"/>
  <c r="BB3496" i="1"/>
  <c r="BW3496" i="1"/>
  <c r="A3497" i="1"/>
  <c r="C3497" i="1"/>
  <c r="S3497" i="1"/>
  <c r="T3497" i="1"/>
  <c r="U3497" i="1"/>
  <c r="BB3497" i="1"/>
  <c r="BW3497" i="1"/>
  <c r="A3498" i="1"/>
  <c r="C3498" i="1"/>
  <c r="S3498" i="1"/>
  <c r="T3498" i="1"/>
  <c r="U3498" i="1"/>
  <c r="BB3498" i="1"/>
  <c r="BW3498" i="1"/>
  <c r="A3499" i="1"/>
  <c r="C3499" i="1"/>
  <c r="S3499" i="1"/>
  <c r="T3499" i="1"/>
  <c r="U3499" i="1"/>
  <c r="BB3499" i="1"/>
  <c r="BW3499" i="1"/>
  <c r="A3500" i="1"/>
  <c r="C3500" i="1"/>
  <c r="S3500" i="1"/>
  <c r="T3500" i="1"/>
  <c r="U3500" i="1"/>
  <c r="BB3500" i="1"/>
  <c r="BW3500" i="1"/>
  <c r="A3501" i="1"/>
  <c r="C3501" i="1"/>
  <c r="S3501" i="1"/>
  <c r="T3501" i="1"/>
  <c r="U3501" i="1"/>
  <c r="BB3501" i="1"/>
  <c r="BW3501" i="1"/>
  <c r="A3502" i="1"/>
  <c r="C3502" i="1"/>
  <c r="S3502" i="1"/>
  <c r="T3502" i="1"/>
  <c r="U3502" i="1"/>
  <c r="BB3502" i="1"/>
  <c r="BW3502" i="1"/>
  <c r="A3503" i="1"/>
  <c r="C3503" i="1"/>
  <c r="S3503" i="1"/>
  <c r="T3503" i="1"/>
  <c r="U3503" i="1"/>
  <c r="BB3503" i="1"/>
  <c r="BW3503" i="1"/>
  <c r="A3504" i="1"/>
  <c r="C3504" i="1"/>
  <c r="S3504" i="1"/>
  <c r="T3504" i="1"/>
  <c r="U3504" i="1"/>
  <c r="BB3504" i="1"/>
  <c r="BW3504" i="1"/>
  <c r="A3505" i="1"/>
  <c r="C3505" i="1"/>
  <c r="S3505" i="1"/>
  <c r="T3505" i="1"/>
  <c r="U3505" i="1"/>
  <c r="BB3505" i="1"/>
  <c r="BW3505" i="1"/>
  <c r="A3506" i="1"/>
  <c r="C3506" i="1"/>
  <c r="S3506" i="1"/>
  <c r="T3506" i="1"/>
  <c r="U3506" i="1"/>
  <c r="BB3506" i="1"/>
  <c r="BW3506" i="1"/>
  <c r="A3507" i="1"/>
  <c r="C3507" i="1"/>
  <c r="S3507" i="1"/>
  <c r="T3507" i="1"/>
  <c r="U3507" i="1"/>
  <c r="BB3507" i="1"/>
  <c r="BW3507" i="1"/>
  <c r="A3508" i="1"/>
  <c r="C3508" i="1"/>
  <c r="S3508" i="1"/>
  <c r="T3508" i="1"/>
  <c r="U3508" i="1"/>
  <c r="BB3508" i="1"/>
  <c r="BW3508" i="1"/>
  <c r="A3509" i="1"/>
  <c r="C3509" i="1"/>
  <c r="S3509" i="1"/>
  <c r="T3509" i="1"/>
  <c r="U3509" i="1"/>
  <c r="BB3509" i="1"/>
  <c r="BW3509" i="1"/>
  <c r="A3510" i="1"/>
  <c r="C3510" i="1"/>
  <c r="S3510" i="1"/>
  <c r="T3510" i="1"/>
  <c r="U3510" i="1"/>
  <c r="BB3510" i="1"/>
  <c r="BW3510" i="1"/>
  <c r="A3511" i="1"/>
  <c r="C3511" i="1"/>
  <c r="S3511" i="1"/>
  <c r="T3511" i="1"/>
  <c r="U3511" i="1"/>
  <c r="BB3511" i="1"/>
  <c r="BW3511" i="1"/>
  <c r="A3512" i="1"/>
  <c r="C3512" i="1"/>
  <c r="S3512" i="1"/>
  <c r="T3512" i="1"/>
  <c r="U3512" i="1"/>
  <c r="BB3512" i="1"/>
  <c r="BW3512" i="1"/>
  <c r="A3513" i="1"/>
  <c r="C3513" i="1"/>
  <c r="S3513" i="1"/>
  <c r="T3513" i="1"/>
  <c r="U3513" i="1"/>
  <c r="BB3513" i="1"/>
  <c r="BW3513" i="1"/>
  <c r="A3514" i="1"/>
  <c r="C3514" i="1"/>
  <c r="S3514" i="1"/>
  <c r="T3514" i="1"/>
  <c r="U3514" i="1"/>
  <c r="BB3514" i="1"/>
  <c r="BW3514" i="1"/>
  <c r="A3515" i="1"/>
  <c r="C3515" i="1"/>
  <c r="S3515" i="1"/>
  <c r="T3515" i="1"/>
  <c r="U3515" i="1"/>
  <c r="BB3515" i="1"/>
  <c r="BW3515" i="1"/>
  <c r="A3516" i="1"/>
  <c r="C3516" i="1"/>
  <c r="S3516" i="1"/>
  <c r="T3516" i="1"/>
  <c r="U3516" i="1"/>
  <c r="BB3516" i="1"/>
  <c r="BW3516" i="1"/>
  <c r="A3517" i="1"/>
  <c r="C3517" i="1"/>
  <c r="S3517" i="1"/>
  <c r="T3517" i="1"/>
  <c r="U3517" i="1"/>
  <c r="BB3517" i="1"/>
  <c r="BW3517" i="1"/>
  <c r="A3518" i="1"/>
  <c r="C3518" i="1"/>
  <c r="S3518" i="1"/>
  <c r="T3518" i="1"/>
  <c r="U3518" i="1"/>
  <c r="BB3518" i="1"/>
  <c r="BW3518" i="1"/>
  <c r="A3519" i="1"/>
  <c r="C3519" i="1"/>
  <c r="S3519" i="1"/>
  <c r="T3519" i="1"/>
  <c r="U3519" i="1"/>
  <c r="BB3519" i="1"/>
  <c r="BW3519" i="1"/>
  <c r="A3520" i="1"/>
  <c r="C3520" i="1"/>
  <c r="S3520" i="1"/>
  <c r="T3520" i="1"/>
  <c r="U3520" i="1"/>
  <c r="BB3520" i="1"/>
  <c r="BW3520" i="1"/>
  <c r="A3521" i="1"/>
  <c r="C3521" i="1"/>
  <c r="S3521" i="1"/>
  <c r="T3521" i="1"/>
  <c r="U3521" i="1"/>
  <c r="BB3521" i="1"/>
  <c r="BW3521" i="1"/>
  <c r="A3522" i="1"/>
  <c r="C3522" i="1"/>
  <c r="S3522" i="1"/>
  <c r="T3522" i="1"/>
  <c r="U3522" i="1"/>
  <c r="BB3522" i="1"/>
  <c r="BW3522" i="1"/>
  <c r="A3523" i="1"/>
  <c r="C3523" i="1"/>
  <c r="S3523" i="1"/>
  <c r="T3523" i="1"/>
  <c r="U3523" i="1"/>
  <c r="BB3523" i="1"/>
  <c r="BW3523" i="1"/>
  <c r="A3524" i="1"/>
  <c r="C3524" i="1"/>
  <c r="S3524" i="1"/>
  <c r="T3524" i="1"/>
  <c r="U3524" i="1"/>
  <c r="BB3524" i="1"/>
  <c r="BW3524" i="1"/>
  <c r="A3525" i="1"/>
  <c r="C3525" i="1"/>
  <c r="S3525" i="1"/>
  <c r="T3525" i="1"/>
  <c r="U3525" i="1"/>
  <c r="BB3525" i="1"/>
  <c r="BW3525" i="1"/>
  <c r="A3526" i="1"/>
  <c r="C3526" i="1"/>
  <c r="S3526" i="1"/>
  <c r="T3526" i="1"/>
  <c r="U3526" i="1"/>
  <c r="BB3526" i="1"/>
  <c r="BW3526" i="1"/>
  <c r="A3527" i="1"/>
  <c r="C3527" i="1"/>
  <c r="S3527" i="1"/>
  <c r="T3527" i="1"/>
  <c r="U3527" i="1"/>
  <c r="BB3527" i="1"/>
  <c r="BW3527" i="1"/>
  <c r="A3528" i="1"/>
  <c r="C3528" i="1"/>
  <c r="S3528" i="1"/>
  <c r="T3528" i="1"/>
  <c r="U3528" i="1"/>
  <c r="BB3528" i="1"/>
  <c r="BW3528" i="1"/>
  <c r="A3529" i="1"/>
  <c r="C3529" i="1"/>
  <c r="S3529" i="1"/>
  <c r="T3529" i="1"/>
  <c r="U3529" i="1"/>
  <c r="BB3529" i="1"/>
  <c r="BW3529" i="1"/>
  <c r="A3530" i="1"/>
  <c r="C3530" i="1"/>
  <c r="S3530" i="1"/>
  <c r="T3530" i="1"/>
  <c r="U3530" i="1"/>
  <c r="BB3530" i="1"/>
  <c r="BW3530" i="1"/>
  <c r="A3531" i="1"/>
  <c r="C3531" i="1"/>
  <c r="S3531" i="1"/>
  <c r="T3531" i="1"/>
  <c r="U3531" i="1"/>
  <c r="BB3531" i="1"/>
  <c r="BW3531" i="1"/>
  <c r="A3532" i="1"/>
  <c r="C3532" i="1"/>
  <c r="S3532" i="1"/>
  <c r="T3532" i="1"/>
  <c r="U3532" i="1"/>
  <c r="BB3532" i="1"/>
  <c r="BW3532" i="1"/>
  <c r="A3533" i="1"/>
  <c r="C3533" i="1"/>
  <c r="S3533" i="1"/>
  <c r="T3533" i="1"/>
  <c r="U3533" i="1"/>
  <c r="BB3533" i="1"/>
  <c r="BW3533" i="1"/>
  <c r="A3534" i="1"/>
  <c r="C3534" i="1"/>
  <c r="S3534" i="1"/>
  <c r="T3534" i="1"/>
  <c r="U3534" i="1"/>
  <c r="BB3534" i="1"/>
  <c r="BW3534" i="1"/>
  <c r="A3535" i="1"/>
  <c r="C3535" i="1"/>
  <c r="S3535" i="1"/>
  <c r="T3535" i="1"/>
  <c r="U3535" i="1"/>
  <c r="BB3535" i="1"/>
  <c r="BW3535" i="1"/>
  <c r="A3536" i="1"/>
  <c r="C3536" i="1"/>
  <c r="S3536" i="1"/>
  <c r="T3536" i="1"/>
  <c r="U3536" i="1"/>
  <c r="BB3536" i="1"/>
  <c r="BW3536" i="1"/>
  <c r="A3537" i="1"/>
  <c r="C3537" i="1"/>
  <c r="S3537" i="1"/>
  <c r="T3537" i="1"/>
  <c r="U3537" i="1"/>
  <c r="BB3537" i="1"/>
  <c r="BW3537" i="1"/>
  <c r="A3538" i="1"/>
  <c r="C3538" i="1"/>
  <c r="S3538" i="1"/>
  <c r="T3538" i="1"/>
  <c r="U3538" i="1"/>
  <c r="BB3538" i="1"/>
  <c r="BW3538" i="1"/>
  <c r="A3539" i="1"/>
  <c r="C3539" i="1"/>
  <c r="S3539" i="1"/>
  <c r="T3539" i="1"/>
  <c r="U3539" i="1"/>
  <c r="BB3539" i="1"/>
  <c r="BW3539" i="1"/>
  <c r="A3540" i="1"/>
  <c r="C3540" i="1"/>
  <c r="S3540" i="1"/>
  <c r="T3540" i="1"/>
  <c r="U3540" i="1"/>
  <c r="BB3540" i="1"/>
  <c r="BW3540" i="1"/>
  <c r="A3541" i="1"/>
  <c r="C3541" i="1"/>
  <c r="S3541" i="1"/>
  <c r="T3541" i="1"/>
  <c r="U3541" i="1"/>
  <c r="BB3541" i="1"/>
  <c r="BW3541" i="1"/>
  <c r="A3542" i="1"/>
  <c r="C3542" i="1"/>
  <c r="S3542" i="1"/>
  <c r="T3542" i="1"/>
  <c r="U3542" i="1"/>
  <c r="BB3542" i="1"/>
  <c r="BW3542" i="1"/>
  <c r="A3543" i="1"/>
  <c r="C3543" i="1"/>
  <c r="S3543" i="1"/>
  <c r="T3543" i="1"/>
  <c r="U3543" i="1"/>
  <c r="BB3543" i="1"/>
  <c r="BW3543" i="1"/>
  <c r="A3544" i="1"/>
  <c r="C3544" i="1"/>
  <c r="S3544" i="1"/>
  <c r="T3544" i="1"/>
  <c r="U3544" i="1"/>
  <c r="BB3544" i="1"/>
  <c r="BW3544" i="1"/>
  <c r="A3545" i="1"/>
  <c r="C3545" i="1"/>
  <c r="S3545" i="1"/>
  <c r="T3545" i="1"/>
  <c r="U3545" i="1"/>
  <c r="BB3545" i="1"/>
  <c r="BW3545" i="1"/>
  <c r="A3546" i="1"/>
  <c r="C3546" i="1"/>
  <c r="S3546" i="1"/>
  <c r="T3546" i="1"/>
  <c r="U3546" i="1"/>
  <c r="BB3546" i="1"/>
  <c r="BW3546" i="1"/>
  <c r="A3547" i="1"/>
  <c r="C3547" i="1"/>
  <c r="S3547" i="1"/>
  <c r="T3547" i="1"/>
  <c r="U3547" i="1"/>
  <c r="BB3547" i="1"/>
  <c r="BW3547" i="1"/>
  <c r="A3548" i="1"/>
  <c r="C3548" i="1"/>
  <c r="S3548" i="1"/>
  <c r="T3548" i="1"/>
  <c r="U3548" i="1"/>
  <c r="BB3548" i="1"/>
  <c r="BW3548" i="1"/>
  <c r="A3549" i="1"/>
  <c r="C3549" i="1"/>
  <c r="S3549" i="1"/>
  <c r="T3549" i="1"/>
  <c r="U3549" i="1"/>
  <c r="BB3549" i="1"/>
  <c r="BW3549" i="1"/>
  <c r="A3550" i="1"/>
  <c r="C3550" i="1"/>
  <c r="S3550" i="1"/>
  <c r="T3550" i="1"/>
  <c r="U3550" i="1"/>
  <c r="BB3550" i="1"/>
  <c r="BW3550" i="1"/>
  <c r="A3551" i="1"/>
  <c r="C3551" i="1"/>
  <c r="S3551" i="1"/>
  <c r="T3551" i="1"/>
  <c r="U3551" i="1"/>
  <c r="BB3551" i="1"/>
  <c r="BW3551" i="1"/>
  <c r="A3552" i="1"/>
  <c r="C3552" i="1"/>
  <c r="S3552" i="1"/>
  <c r="T3552" i="1"/>
  <c r="U3552" i="1"/>
  <c r="BB3552" i="1"/>
  <c r="BW3552" i="1"/>
  <c r="A3553" i="1"/>
  <c r="C3553" i="1"/>
  <c r="S3553" i="1"/>
  <c r="T3553" i="1"/>
  <c r="U3553" i="1"/>
  <c r="BB3553" i="1"/>
  <c r="BW3553" i="1"/>
  <c r="A3554" i="1"/>
  <c r="C3554" i="1"/>
  <c r="S3554" i="1"/>
  <c r="T3554" i="1"/>
  <c r="U3554" i="1"/>
  <c r="BB3554" i="1"/>
  <c r="BW3554" i="1"/>
  <c r="A3555" i="1"/>
  <c r="C3555" i="1"/>
  <c r="S3555" i="1"/>
  <c r="T3555" i="1"/>
  <c r="U3555" i="1"/>
  <c r="BB3555" i="1"/>
  <c r="BW3555" i="1"/>
  <c r="A3556" i="1"/>
  <c r="C3556" i="1"/>
  <c r="S3556" i="1"/>
  <c r="T3556" i="1"/>
  <c r="U3556" i="1"/>
  <c r="BB3556" i="1"/>
  <c r="BW3556" i="1"/>
  <c r="A3557" i="1"/>
  <c r="C3557" i="1"/>
  <c r="S3557" i="1"/>
  <c r="T3557" i="1"/>
  <c r="U3557" i="1"/>
  <c r="BB3557" i="1"/>
  <c r="BW3557" i="1"/>
  <c r="A3558" i="1"/>
  <c r="C3558" i="1"/>
  <c r="S3558" i="1"/>
  <c r="T3558" i="1"/>
  <c r="U3558" i="1"/>
  <c r="BB3558" i="1"/>
  <c r="BW3558" i="1"/>
  <c r="A3559" i="1"/>
  <c r="C3559" i="1"/>
  <c r="S3559" i="1"/>
  <c r="T3559" i="1"/>
  <c r="U3559" i="1"/>
  <c r="BB3559" i="1"/>
  <c r="BW3559" i="1"/>
  <c r="A3560" i="1"/>
  <c r="C3560" i="1"/>
  <c r="S3560" i="1"/>
  <c r="T3560" i="1"/>
  <c r="U3560" i="1"/>
  <c r="BB3560" i="1"/>
  <c r="BW3560" i="1"/>
  <c r="A3561" i="1"/>
  <c r="C3561" i="1"/>
  <c r="S3561" i="1"/>
  <c r="T3561" i="1"/>
  <c r="U3561" i="1"/>
  <c r="BB3561" i="1"/>
  <c r="BW3561" i="1"/>
  <c r="A3562" i="1"/>
  <c r="C3562" i="1"/>
  <c r="S3562" i="1"/>
  <c r="T3562" i="1"/>
  <c r="U3562" i="1"/>
  <c r="BB3562" i="1"/>
  <c r="BW3562" i="1"/>
  <c r="A3563" i="1"/>
  <c r="C3563" i="1"/>
  <c r="S3563" i="1"/>
  <c r="T3563" i="1"/>
  <c r="U3563" i="1"/>
  <c r="BB3563" i="1"/>
  <c r="BW3563" i="1"/>
  <c r="A3564" i="1"/>
  <c r="C3564" i="1"/>
  <c r="S3564" i="1"/>
  <c r="T3564" i="1"/>
  <c r="U3564" i="1"/>
  <c r="BB3564" i="1"/>
  <c r="BW3564" i="1"/>
  <c r="A3565" i="1"/>
  <c r="C3565" i="1"/>
  <c r="S3565" i="1"/>
  <c r="T3565" i="1"/>
  <c r="U3565" i="1"/>
  <c r="BB3565" i="1"/>
  <c r="BW3565" i="1"/>
  <c r="A3566" i="1"/>
  <c r="C3566" i="1"/>
  <c r="S3566" i="1"/>
  <c r="T3566" i="1"/>
  <c r="U3566" i="1"/>
  <c r="BB3566" i="1"/>
  <c r="BW3566" i="1"/>
  <c r="A3567" i="1"/>
  <c r="C3567" i="1"/>
  <c r="S3567" i="1"/>
  <c r="T3567" i="1"/>
  <c r="U3567" i="1"/>
  <c r="BB3567" i="1"/>
  <c r="BW3567" i="1"/>
  <c r="A3568" i="1"/>
  <c r="C3568" i="1"/>
  <c r="S3568" i="1"/>
  <c r="T3568" i="1"/>
  <c r="U3568" i="1"/>
  <c r="BB3568" i="1"/>
  <c r="BW3568" i="1"/>
  <c r="A3569" i="1"/>
  <c r="C3569" i="1"/>
  <c r="S3569" i="1"/>
  <c r="T3569" i="1"/>
  <c r="U3569" i="1"/>
  <c r="BB3569" i="1"/>
  <c r="BW3569" i="1"/>
  <c r="A3570" i="1"/>
  <c r="C3570" i="1"/>
  <c r="S3570" i="1"/>
  <c r="T3570" i="1"/>
  <c r="U3570" i="1"/>
  <c r="BB3570" i="1"/>
  <c r="BW3570" i="1"/>
  <c r="A3571" i="1"/>
  <c r="C3571" i="1"/>
  <c r="S3571" i="1"/>
  <c r="T3571" i="1"/>
  <c r="U3571" i="1"/>
  <c r="BB3571" i="1"/>
  <c r="BW3571" i="1"/>
  <c r="A3572" i="1"/>
  <c r="C3572" i="1"/>
  <c r="S3572" i="1"/>
  <c r="T3572" i="1"/>
  <c r="U3572" i="1"/>
  <c r="BB3572" i="1"/>
  <c r="BW3572" i="1"/>
  <c r="A3573" i="1"/>
  <c r="C3573" i="1"/>
  <c r="S3573" i="1"/>
  <c r="T3573" i="1"/>
  <c r="U3573" i="1"/>
  <c r="BB3573" i="1"/>
  <c r="BW3573" i="1"/>
  <c r="A3574" i="1"/>
  <c r="C3574" i="1"/>
  <c r="S3574" i="1"/>
  <c r="T3574" i="1"/>
  <c r="U3574" i="1"/>
  <c r="BB3574" i="1"/>
  <c r="BW3574" i="1"/>
  <c r="A3575" i="1"/>
  <c r="C3575" i="1"/>
  <c r="S3575" i="1"/>
  <c r="T3575" i="1"/>
  <c r="U3575" i="1"/>
  <c r="BB3575" i="1"/>
  <c r="BW3575" i="1"/>
  <c r="A3576" i="1"/>
  <c r="C3576" i="1"/>
  <c r="S3576" i="1"/>
  <c r="T3576" i="1"/>
  <c r="U3576" i="1"/>
  <c r="BB3576" i="1"/>
  <c r="BW3576" i="1"/>
  <c r="A3577" i="1"/>
  <c r="C3577" i="1"/>
  <c r="S3577" i="1"/>
  <c r="T3577" i="1"/>
  <c r="U3577" i="1"/>
  <c r="BB3577" i="1"/>
  <c r="BW3577" i="1"/>
  <c r="A3578" i="1"/>
  <c r="C3578" i="1"/>
  <c r="S3578" i="1"/>
  <c r="T3578" i="1"/>
  <c r="U3578" i="1"/>
  <c r="BB3578" i="1"/>
  <c r="BW3578" i="1"/>
  <c r="A3579" i="1"/>
  <c r="C3579" i="1"/>
  <c r="S3579" i="1"/>
  <c r="T3579" i="1"/>
  <c r="U3579" i="1"/>
  <c r="BB3579" i="1"/>
  <c r="BW3579" i="1"/>
  <c r="A3580" i="1"/>
  <c r="C3580" i="1"/>
  <c r="S3580" i="1"/>
  <c r="T3580" i="1"/>
  <c r="U3580" i="1"/>
  <c r="BB3580" i="1"/>
  <c r="BW3580" i="1"/>
  <c r="A3581" i="1"/>
  <c r="C3581" i="1"/>
  <c r="S3581" i="1"/>
  <c r="T3581" i="1"/>
  <c r="U3581" i="1"/>
  <c r="BB3581" i="1"/>
  <c r="BW3581" i="1"/>
  <c r="A3582" i="1"/>
  <c r="C3582" i="1"/>
  <c r="S3582" i="1"/>
  <c r="T3582" i="1"/>
  <c r="U3582" i="1"/>
  <c r="BB3582" i="1"/>
  <c r="BW3582" i="1"/>
  <c r="A3583" i="1"/>
  <c r="C3583" i="1"/>
  <c r="S3583" i="1"/>
  <c r="T3583" i="1"/>
  <c r="U3583" i="1"/>
  <c r="BB3583" i="1"/>
  <c r="BW3583" i="1"/>
  <c r="A3584" i="1"/>
  <c r="C3584" i="1"/>
  <c r="S3584" i="1"/>
  <c r="T3584" i="1"/>
  <c r="U3584" i="1"/>
  <c r="BB3584" i="1"/>
  <c r="BW3584" i="1"/>
  <c r="A3585" i="1"/>
  <c r="C3585" i="1"/>
  <c r="S3585" i="1"/>
  <c r="T3585" i="1"/>
  <c r="U3585" i="1"/>
  <c r="BB3585" i="1"/>
  <c r="BW3585" i="1"/>
  <c r="A3586" i="1"/>
  <c r="C3586" i="1"/>
  <c r="S3586" i="1"/>
  <c r="T3586" i="1"/>
  <c r="U3586" i="1"/>
  <c r="BB3586" i="1"/>
  <c r="BW3586" i="1"/>
  <c r="A3587" i="1"/>
  <c r="C3587" i="1"/>
  <c r="S3587" i="1"/>
  <c r="T3587" i="1"/>
  <c r="U3587" i="1"/>
  <c r="BB3587" i="1"/>
  <c r="BW3587" i="1"/>
  <c r="A3588" i="1"/>
  <c r="C3588" i="1"/>
  <c r="S3588" i="1"/>
  <c r="T3588" i="1"/>
  <c r="U3588" i="1"/>
  <c r="BB3588" i="1"/>
  <c r="BW3588" i="1"/>
  <c r="A3589" i="1"/>
  <c r="C3589" i="1"/>
  <c r="S3589" i="1"/>
  <c r="T3589" i="1"/>
  <c r="U3589" i="1"/>
  <c r="BB3589" i="1"/>
  <c r="BW3589" i="1"/>
  <c r="A3590" i="1"/>
  <c r="C3590" i="1"/>
  <c r="S3590" i="1"/>
  <c r="T3590" i="1"/>
  <c r="U3590" i="1"/>
  <c r="BB3590" i="1"/>
  <c r="BW3590" i="1"/>
  <c r="A3591" i="1"/>
  <c r="C3591" i="1"/>
  <c r="S3591" i="1"/>
  <c r="T3591" i="1"/>
  <c r="U3591" i="1"/>
  <c r="BB3591" i="1"/>
  <c r="BW3591" i="1"/>
  <c r="A3592" i="1"/>
  <c r="C3592" i="1"/>
  <c r="S3592" i="1"/>
  <c r="T3592" i="1"/>
  <c r="U3592" i="1"/>
  <c r="BB3592" i="1"/>
  <c r="BW3592" i="1"/>
  <c r="A3593" i="1"/>
  <c r="C3593" i="1"/>
  <c r="S3593" i="1"/>
  <c r="T3593" i="1"/>
  <c r="U3593" i="1"/>
  <c r="BB3593" i="1"/>
  <c r="BW3593" i="1"/>
  <c r="A3594" i="1"/>
  <c r="C3594" i="1"/>
  <c r="S3594" i="1"/>
  <c r="T3594" i="1"/>
  <c r="U3594" i="1"/>
  <c r="BB3594" i="1"/>
  <c r="BW3594" i="1"/>
  <c r="A3595" i="1"/>
  <c r="C3595" i="1"/>
  <c r="S3595" i="1"/>
  <c r="T3595" i="1"/>
  <c r="U3595" i="1"/>
  <c r="BB3595" i="1"/>
  <c r="BW3595" i="1"/>
  <c r="A3596" i="1"/>
  <c r="C3596" i="1"/>
  <c r="S3596" i="1"/>
  <c r="T3596" i="1"/>
  <c r="U3596" i="1"/>
  <c r="BB3596" i="1"/>
  <c r="BW3596" i="1"/>
  <c r="A3597" i="1"/>
  <c r="C3597" i="1"/>
  <c r="S3597" i="1"/>
  <c r="T3597" i="1"/>
  <c r="U3597" i="1"/>
  <c r="BB3597" i="1"/>
  <c r="BW3597" i="1"/>
  <c r="A3598" i="1"/>
  <c r="C3598" i="1"/>
  <c r="S3598" i="1"/>
  <c r="T3598" i="1"/>
  <c r="U3598" i="1"/>
  <c r="BB3598" i="1"/>
  <c r="BW3598" i="1"/>
  <c r="A3599" i="1"/>
  <c r="C3599" i="1"/>
  <c r="S3599" i="1"/>
  <c r="T3599" i="1"/>
  <c r="U3599" i="1"/>
  <c r="BB3599" i="1"/>
  <c r="BW3599" i="1"/>
  <c r="A3600" i="1"/>
  <c r="C3600" i="1"/>
  <c r="S3600" i="1"/>
  <c r="T3600" i="1"/>
  <c r="U3600" i="1"/>
  <c r="BB3600" i="1"/>
  <c r="BW3600" i="1"/>
  <c r="A3601" i="1"/>
  <c r="C3601" i="1"/>
  <c r="S3601" i="1"/>
  <c r="T3601" i="1"/>
  <c r="U3601" i="1"/>
  <c r="BB3601" i="1"/>
  <c r="BW3601" i="1"/>
  <c r="A3602" i="1"/>
  <c r="C3602" i="1"/>
  <c r="S3602" i="1"/>
  <c r="T3602" i="1"/>
  <c r="U3602" i="1"/>
  <c r="BB3602" i="1"/>
  <c r="BW3602" i="1"/>
  <c r="A3603" i="1"/>
  <c r="C3603" i="1"/>
  <c r="S3603" i="1"/>
  <c r="T3603" i="1"/>
  <c r="U3603" i="1"/>
  <c r="BB3603" i="1"/>
  <c r="BW3603" i="1"/>
  <c r="A3604" i="1"/>
  <c r="C3604" i="1"/>
  <c r="S3604" i="1"/>
  <c r="T3604" i="1"/>
  <c r="U3604" i="1"/>
  <c r="BB3604" i="1"/>
  <c r="BW3604" i="1"/>
  <c r="A3605" i="1"/>
  <c r="C3605" i="1"/>
  <c r="S3605" i="1"/>
  <c r="T3605" i="1"/>
  <c r="U3605" i="1"/>
  <c r="BB3605" i="1"/>
  <c r="BW3605" i="1"/>
  <c r="A3606" i="1"/>
  <c r="C3606" i="1"/>
  <c r="S3606" i="1"/>
  <c r="T3606" i="1"/>
  <c r="U3606" i="1"/>
  <c r="BB3606" i="1"/>
  <c r="BW3606" i="1"/>
  <c r="A3607" i="1"/>
  <c r="C3607" i="1"/>
  <c r="S3607" i="1"/>
  <c r="T3607" i="1"/>
  <c r="U3607" i="1"/>
  <c r="BB3607" i="1"/>
  <c r="BW3607" i="1"/>
  <c r="A3608" i="1"/>
  <c r="C3608" i="1"/>
  <c r="S3608" i="1"/>
  <c r="T3608" i="1"/>
  <c r="U3608" i="1"/>
  <c r="BB3608" i="1"/>
  <c r="BW3608" i="1"/>
  <c r="A3609" i="1"/>
  <c r="C3609" i="1"/>
  <c r="S3609" i="1"/>
  <c r="T3609" i="1"/>
  <c r="U3609" i="1"/>
  <c r="BB3609" i="1"/>
  <c r="BW3609" i="1"/>
  <c r="A3610" i="1"/>
  <c r="C3610" i="1"/>
  <c r="S3610" i="1"/>
  <c r="T3610" i="1"/>
  <c r="U3610" i="1"/>
  <c r="BB3610" i="1"/>
  <c r="BW3610" i="1"/>
  <c r="A3611" i="1"/>
  <c r="C3611" i="1"/>
  <c r="S3611" i="1"/>
  <c r="T3611" i="1"/>
  <c r="U3611" i="1"/>
  <c r="BB3611" i="1"/>
  <c r="BW3611" i="1"/>
  <c r="A3612" i="1"/>
  <c r="C3612" i="1"/>
  <c r="S3612" i="1"/>
  <c r="T3612" i="1"/>
  <c r="U3612" i="1"/>
  <c r="BB3612" i="1"/>
  <c r="BW3612" i="1"/>
  <c r="A3613" i="1"/>
  <c r="C3613" i="1"/>
  <c r="S3613" i="1"/>
  <c r="T3613" i="1"/>
  <c r="U3613" i="1"/>
  <c r="BB3613" i="1"/>
  <c r="BW3613" i="1"/>
  <c r="A3614" i="1"/>
  <c r="C3614" i="1"/>
  <c r="S3614" i="1"/>
  <c r="T3614" i="1"/>
  <c r="U3614" i="1"/>
  <c r="BB3614" i="1"/>
  <c r="BW3614" i="1"/>
  <c r="A3615" i="1"/>
  <c r="C3615" i="1"/>
  <c r="S3615" i="1"/>
  <c r="T3615" i="1"/>
  <c r="U3615" i="1"/>
  <c r="BB3615" i="1"/>
  <c r="BW3615" i="1"/>
  <c r="A3616" i="1"/>
  <c r="C3616" i="1"/>
  <c r="S3616" i="1"/>
  <c r="T3616" i="1"/>
  <c r="U3616" i="1"/>
  <c r="BB3616" i="1"/>
  <c r="BW3616" i="1"/>
  <c r="A3617" i="1"/>
  <c r="C3617" i="1"/>
  <c r="S3617" i="1"/>
  <c r="T3617" i="1"/>
  <c r="U3617" i="1"/>
  <c r="BB3617" i="1"/>
  <c r="BW3617" i="1"/>
  <c r="A3618" i="1"/>
  <c r="C3618" i="1"/>
  <c r="S3618" i="1"/>
  <c r="T3618" i="1"/>
  <c r="U3618" i="1"/>
  <c r="BB3618" i="1"/>
  <c r="BW3618" i="1"/>
  <c r="A3619" i="1"/>
  <c r="C3619" i="1"/>
  <c r="S3619" i="1"/>
  <c r="T3619" i="1"/>
  <c r="U3619" i="1"/>
  <c r="BB3619" i="1"/>
  <c r="BW3619" i="1"/>
  <c r="A3620" i="1"/>
  <c r="C3620" i="1"/>
  <c r="S3620" i="1"/>
  <c r="T3620" i="1"/>
  <c r="U3620" i="1"/>
  <c r="BB3620" i="1"/>
  <c r="BW3620" i="1"/>
  <c r="A3621" i="1"/>
  <c r="C3621" i="1"/>
  <c r="S3621" i="1"/>
  <c r="T3621" i="1"/>
  <c r="U3621" i="1"/>
  <c r="BB3621" i="1"/>
  <c r="BW3621" i="1"/>
  <c r="A3622" i="1"/>
  <c r="C3622" i="1"/>
  <c r="S3622" i="1"/>
  <c r="T3622" i="1"/>
  <c r="U3622" i="1"/>
  <c r="BB3622" i="1"/>
  <c r="BW3622" i="1"/>
  <c r="A3623" i="1"/>
  <c r="C3623" i="1"/>
  <c r="S3623" i="1"/>
  <c r="T3623" i="1"/>
  <c r="U3623" i="1"/>
  <c r="BB3623" i="1"/>
  <c r="BW3623" i="1"/>
  <c r="A3624" i="1"/>
  <c r="C3624" i="1"/>
  <c r="S3624" i="1"/>
  <c r="T3624" i="1"/>
  <c r="U3624" i="1"/>
  <c r="BB3624" i="1"/>
  <c r="BW3624" i="1"/>
  <c r="A3625" i="1"/>
  <c r="C3625" i="1"/>
  <c r="S3625" i="1"/>
  <c r="T3625" i="1"/>
  <c r="U3625" i="1"/>
  <c r="BB3625" i="1"/>
  <c r="BW3625" i="1"/>
  <c r="A3626" i="1"/>
  <c r="C3626" i="1"/>
  <c r="S3626" i="1"/>
  <c r="T3626" i="1"/>
  <c r="U3626" i="1"/>
  <c r="BB3626" i="1"/>
  <c r="BW3626" i="1"/>
  <c r="A3627" i="1"/>
  <c r="C3627" i="1"/>
  <c r="S3627" i="1"/>
  <c r="T3627" i="1"/>
  <c r="U3627" i="1"/>
  <c r="BB3627" i="1"/>
  <c r="BW3627" i="1"/>
  <c r="A3628" i="1"/>
  <c r="C3628" i="1"/>
  <c r="S3628" i="1"/>
  <c r="T3628" i="1"/>
  <c r="U3628" i="1"/>
  <c r="BB3628" i="1"/>
  <c r="BW3628" i="1"/>
  <c r="A3629" i="1"/>
  <c r="C3629" i="1"/>
  <c r="S3629" i="1"/>
  <c r="T3629" i="1"/>
  <c r="U3629" i="1"/>
  <c r="BB3629" i="1"/>
  <c r="BW3629" i="1"/>
  <c r="A3630" i="1"/>
  <c r="C3630" i="1"/>
  <c r="S3630" i="1"/>
  <c r="T3630" i="1"/>
  <c r="U3630" i="1"/>
  <c r="BB3630" i="1"/>
  <c r="BW3630" i="1"/>
  <c r="A3631" i="1"/>
  <c r="C3631" i="1"/>
  <c r="S3631" i="1"/>
  <c r="T3631" i="1"/>
  <c r="U3631" i="1"/>
  <c r="BB3631" i="1"/>
  <c r="BW3631" i="1"/>
  <c r="A3632" i="1"/>
  <c r="C3632" i="1"/>
  <c r="S3632" i="1"/>
  <c r="T3632" i="1"/>
  <c r="U3632" i="1"/>
  <c r="BB3632" i="1"/>
  <c r="BW3632" i="1"/>
  <c r="A3633" i="1"/>
  <c r="C3633" i="1"/>
  <c r="S3633" i="1"/>
  <c r="T3633" i="1"/>
  <c r="U3633" i="1"/>
  <c r="BB3633" i="1"/>
  <c r="BW3633" i="1"/>
  <c r="A3634" i="1"/>
  <c r="C3634" i="1"/>
  <c r="S3634" i="1"/>
  <c r="T3634" i="1"/>
  <c r="U3634" i="1"/>
  <c r="BB3634" i="1"/>
  <c r="BW3634" i="1"/>
  <c r="A3635" i="1"/>
  <c r="C3635" i="1"/>
  <c r="S3635" i="1"/>
  <c r="T3635" i="1"/>
  <c r="U3635" i="1"/>
  <c r="BB3635" i="1"/>
  <c r="BW3635" i="1"/>
  <c r="A3636" i="1"/>
  <c r="C3636" i="1"/>
  <c r="S3636" i="1"/>
  <c r="T3636" i="1"/>
  <c r="U3636" i="1"/>
  <c r="BB3636" i="1"/>
  <c r="BW3636" i="1"/>
  <c r="A3637" i="1"/>
  <c r="C3637" i="1"/>
  <c r="S3637" i="1"/>
  <c r="T3637" i="1"/>
  <c r="U3637" i="1"/>
  <c r="BB3637" i="1"/>
  <c r="BW3637" i="1"/>
  <c r="A3638" i="1"/>
  <c r="C3638" i="1"/>
  <c r="S3638" i="1"/>
  <c r="T3638" i="1"/>
  <c r="U3638" i="1"/>
  <c r="BB3638" i="1"/>
  <c r="BW3638" i="1"/>
  <c r="A3639" i="1"/>
  <c r="C3639" i="1"/>
  <c r="S3639" i="1"/>
  <c r="T3639" i="1"/>
  <c r="U3639" i="1"/>
  <c r="BB3639" i="1"/>
  <c r="BW3639" i="1"/>
  <c r="A3640" i="1"/>
  <c r="C3640" i="1"/>
  <c r="S3640" i="1"/>
  <c r="T3640" i="1"/>
  <c r="U3640" i="1"/>
  <c r="BB3640" i="1"/>
  <c r="BW3640" i="1"/>
  <c r="A3641" i="1"/>
  <c r="C3641" i="1"/>
  <c r="S3641" i="1"/>
  <c r="T3641" i="1"/>
  <c r="U3641" i="1"/>
  <c r="BB3641" i="1"/>
  <c r="BW3641" i="1"/>
  <c r="A3642" i="1"/>
  <c r="C3642" i="1"/>
  <c r="S3642" i="1"/>
  <c r="T3642" i="1"/>
  <c r="U3642" i="1"/>
  <c r="BB3642" i="1"/>
  <c r="BW3642" i="1"/>
  <c r="A3643" i="1"/>
  <c r="C3643" i="1"/>
  <c r="S3643" i="1"/>
  <c r="T3643" i="1"/>
  <c r="U3643" i="1"/>
  <c r="BB3643" i="1"/>
  <c r="BW3643" i="1"/>
  <c r="A3644" i="1"/>
  <c r="C3644" i="1"/>
  <c r="S3644" i="1"/>
  <c r="T3644" i="1"/>
  <c r="U3644" i="1"/>
  <c r="BB3644" i="1"/>
  <c r="BW3644" i="1"/>
  <c r="A3645" i="1"/>
  <c r="C3645" i="1"/>
  <c r="S3645" i="1"/>
  <c r="T3645" i="1"/>
  <c r="U3645" i="1"/>
  <c r="BB3645" i="1"/>
  <c r="BW3645" i="1"/>
  <c r="A3646" i="1"/>
  <c r="C3646" i="1"/>
  <c r="S3646" i="1"/>
  <c r="T3646" i="1"/>
  <c r="U3646" i="1"/>
  <c r="BB3646" i="1"/>
  <c r="BW3646" i="1"/>
  <c r="A3647" i="1"/>
  <c r="C3647" i="1"/>
  <c r="S3647" i="1"/>
  <c r="T3647" i="1"/>
  <c r="U3647" i="1"/>
  <c r="BB3647" i="1"/>
  <c r="BW3647" i="1"/>
  <c r="A3648" i="1"/>
  <c r="C3648" i="1"/>
  <c r="S3648" i="1"/>
  <c r="T3648" i="1"/>
  <c r="U3648" i="1"/>
  <c r="BB3648" i="1"/>
  <c r="BW3648" i="1"/>
  <c r="A3649" i="1"/>
  <c r="C3649" i="1"/>
  <c r="S3649" i="1"/>
  <c r="T3649" i="1"/>
  <c r="U3649" i="1"/>
  <c r="BB3649" i="1"/>
  <c r="BW3649" i="1"/>
  <c r="A3650" i="1"/>
  <c r="C3650" i="1"/>
  <c r="S3650" i="1"/>
  <c r="T3650" i="1"/>
  <c r="U3650" i="1"/>
  <c r="BB3650" i="1"/>
  <c r="BW3650" i="1"/>
  <c r="A3651" i="1"/>
  <c r="C3651" i="1"/>
  <c r="S3651" i="1"/>
  <c r="T3651" i="1"/>
  <c r="U3651" i="1"/>
  <c r="BB3651" i="1"/>
  <c r="BW3651" i="1"/>
  <c r="A3652" i="1"/>
  <c r="C3652" i="1"/>
  <c r="S3652" i="1"/>
  <c r="T3652" i="1"/>
  <c r="U3652" i="1"/>
  <c r="BB3652" i="1"/>
  <c r="BW3652" i="1"/>
  <c r="A3653" i="1"/>
  <c r="C3653" i="1"/>
  <c r="S3653" i="1"/>
  <c r="T3653" i="1"/>
  <c r="U3653" i="1"/>
  <c r="BB3653" i="1"/>
  <c r="BW3653" i="1"/>
  <c r="A3654" i="1"/>
  <c r="C3654" i="1"/>
  <c r="S3654" i="1"/>
  <c r="T3654" i="1"/>
  <c r="U3654" i="1"/>
  <c r="BB3654" i="1"/>
  <c r="BW3654" i="1"/>
  <c r="A3655" i="1"/>
  <c r="C3655" i="1"/>
  <c r="S3655" i="1"/>
  <c r="T3655" i="1"/>
  <c r="U3655" i="1"/>
  <c r="BB3655" i="1"/>
  <c r="BW3655" i="1"/>
  <c r="A3656" i="1"/>
  <c r="C3656" i="1"/>
  <c r="S3656" i="1"/>
  <c r="T3656" i="1"/>
  <c r="U3656" i="1"/>
  <c r="BB3656" i="1"/>
  <c r="BW3656" i="1"/>
  <c r="A3657" i="1"/>
  <c r="C3657" i="1"/>
  <c r="S3657" i="1"/>
  <c r="T3657" i="1"/>
  <c r="U3657" i="1"/>
  <c r="BB3657" i="1"/>
  <c r="BW3657" i="1"/>
  <c r="A3658" i="1"/>
  <c r="C3658" i="1"/>
  <c r="S3658" i="1"/>
  <c r="T3658" i="1"/>
  <c r="U3658" i="1"/>
  <c r="BB3658" i="1"/>
  <c r="BW3658" i="1"/>
  <c r="A3659" i="1"/>
  <c r="C3659" i="1"/>
  <c r="S3659" i="1"/>
  <c r="T3659" i="1"/>
  <c r="U3659" i="1"/>
  <c r="BB3659" i="1"/>
  <c r="BW3659" i="1"/>
  <c r="A3660" i="1"/>
  <c r="C3660" i="1"/>
  <c r="S3660" i="1"/>
  <c r="T3660" i="1"/>
  <c r="U3660" i="1"/>
  <c r="BB3660" i="1"/>
  <c r="BW3660" i="1"/>
  <c r="A3661" i="1"/>
  <c r="C3661" i="1"/>
  <c r="S3661" i="1"/>
  <c r="T3661" i="1"/>
  <c r="U3661" i="1"/>
  <c r="BB3661" i="1"/>
  <c r="BW3661" i="1"/>
  <c r="A3662" i="1"/>
  <c r="C3662" i="1"/>
  <c r="S3662" i="1"/>
  <c r="T3662" i="1"/>
  <c r="U3662" i="1"/>
  <c r="BB3662" i="1"/>
  <c r="BW3662" i="1"/>
  <c r="A3663" i="1"/>
  <c r="C3663" i="1"/>
  <c r="S3663" i="1"/>
  <c r="T3663" i="1"/>
  <c r="U3663" i="1"/>
  <c r="BB3663" i="1"/>
  <c r="BW3663" i="1"/>
  <c r="A3664" i="1"/>
  <c r="C3664" i="1"/>
  <c r="S3664" i="1"/>
  <c r="T3664" i="1"/>
  <c r="U3664" i="1"/>
  <c r="BB3664" i="1"/>
  <c r="BW3664" i="1"/>
  <c r="A3665" i="1"/>
  <c r="C3665" i="1"/>
  <c r="S3665" i="1"/>
  <c r="T3665" i="1"/>
  <c r="U3665" i="1"/>
  <c r="BB3665" i="1"/>
  <c r="BW3665" i="1"/>
  <c r="A3666" i="1"/>
  <c r="C3666" i="1"/>
  <c r="S3666" i="1"/>
  <c r="T3666" i="1"/>
  <c r="U3666" i="1"/>
  <c r="BB3666" i="1"/>
  <c r="BW3666" i="1"/>
  <c r="A3667" i="1"/>
  <c r="C3667" i="1"/>
  <c r="S3667" i="1"/>
  <c r="T3667" i="1"/>
  <c r="U3667" i="1"/>
  <c r="BB3667" i="1"/>
  <c r="BW3667" i="1"/>
  <c r="A3668" i="1"/>
  <c r="C3668" i="1"/>
  <c r="S3668" i="1"/>
  <c r="T3668" i="1"/>
  <c r="U3668" i="1"/>
  <c r="BB3668" i="1"/>
  <c r="BW3668" i="1"/>
  <c r="A3669" i="1"/>
  <c r="C3669" i="1"/>
  <c r="S3669" i="1"/>
  <c r="T3669" i="1"/>
  <c r="U3669" i="1"/>
  <c r="BB3669" i="1"/>
  <c r="BW3669" i="1"/>
  <c r="A3670" i="1"/>
  <c r="C3670" i="1"/>
  <c r="S3670" i="1"/>
  <c r="T3670" i="1"/>
  <c r="U3670" i="1"/>
  <c r="BB3670" i="1"/>
  <c r="BW3670" i="1"/>
  <c r="A3671" i="1"/>
  <c r="C3671" i="1"/>
  <c r="S3671" i="1"/>
  <c r="T3671" i="1"/>
  <c r="U3671" i="1"/>
  <c r="BB3671" i="1"/>
  <c r="BW3671" i="1"/>
  <c r="A3672" i="1"/>
  <c r="C3672" i="1"/>
  <c r="S3672" i="1"/>
  <c r="T3672" i="1"/>
  <c r="U3672" i="1"/>
  <c r="BB3672" i="1"/>
  <c r="BW3672" i="1"/>
  <c r="A3673" i="1"/>
  <c r="C3673" i="1"/>
  <c r="S3673" i="1"/>
  <c r="T3673" i="1"/>
  <c r="U3673" i="1"/>
  <c r="BB3673" i="1"/>
  <c r="BW3673" i="1"/>
  <c r="A3674" i="1"/>
  <c r="C3674" i="1"/>
  <c r="S3674" i="1"/>
  <c r="T3674" i="1"/>
  <c r="U3674" i="1"/>
  <c r="BB3674" i="1"/>
  <c r="BW3674" i="1"/>
  <c r="A3675" i="1"/>
  <c r="C3675" i="1"/>
  <c r="S3675" i="1"/>
  <c r="T3675" i="1"/>
  <c r="U3675" i="1"/>
  <c r="BB3675" i="1"/>
  <c r="BW3675" i="1"/>
  <c r="A3676" i="1"/>
  <c r="C3676" i="1"/>
  <c r="S3676" i="1"/>
  <c r="T3676" i="1"/>
  <c r="U3676" i="1"/>
  <c r="BB3676" i="1"/>
  <c r="BW3676" i="1"/>
  <c r="A3677" i="1"/>
  <c r="C3677" i="1"/>
  <c r="S3677" i="1"/>
  <c r="T3677" i="1"/>
  <c r="U3677" i="1"/>
  <c r="BB3677" i="1"/>
  <c r="BW3677" i="1"/>
  <c r="A3678" i="1"/>
  <c r="C3678" i="1"/>
  <c r="S3678" i="1"/>
  <c r="T3678" i="1"/>
  <c r="U3678" i="1"/>
  <c r="BB3678" i="1"/>
  <c r="BW3678" i="1"/>
  <c r="A3679" i="1"/>
  <c r="C3679" i="1"/>
  <c r="S3679" i="1"/>
  <c r="T3679" i="1"/>
  <c r="U3679" i="1"/>
  <c r="BB3679" i="1"/>
  <c r="BW3679" i="1"/>
  <c r="A3680" i="1"/>
  <c r="C3680" i="1"/>
  <c r="S3680" i="1"/>
  <c r="T3680" i="1"/>
  <c r="U3680" i="1"/>
  <c r="BB3680" i="1"/>
  <c r="BW3680" i="1"/>
  <c r="A3681" i="1"/>
  <c r="C3681" i="1"/>
  <c r="S3681" i="1"/>
  <c r="T3681" i="1"/>
  <c r="U3681" i="1"/>
  <c r="BB3681" i="1"/>
  <c r="BW3681" i="1"/>
  <c r="A3682" i="1"/>
  <c r="C3682" i="1"/>
  <c r="S3682" i="1"/>
  <c r="T3682" i="1"/>
  <c r="U3682" i="1"/>
  <c r="BB3682" i="1"/>
  <c r="BW3682" i="1"/>
  <c r="A3683" i="1"/>
  <c r="C3683" i="1"/>
  <c r="S3683" i="1"/>
  <c r="T3683" i="1"/>
  <c r="U3683" i="1"/>
  <c r="BB3683" i="1"/>
  <c r="BW3683" i="1"/>
  <c r="A3684" i="1"/>
  <c r="C3684" i="1"/>
  <c r="S3684" i="1"/>
  <c r="T3684" i="1"/>
  <c r="U3684" i="1"/>
  <c r="BB3684" i="1"/>
  <c r="BW3684" i="1"/>
  <c r="A3685" i="1"/>
  <c r="C3685" i="1"/>
  <c r="S3685" i="1"/>
  <c r="T3685" i="1"/>
  <c r="U3685" i="1"/>
  <c r="BB3685" i="1"/>
  <c r="BW3685" i="1"/>
  <c r="A3686" i="1"/>
  <c r="C3686" i="1"/>
  <c r="S3686" i="1"/>
  <c r="T3686" i="1"/>
  <c r="U3686" i="1"/>
  <c r="BB3686" i="1"/>
  <c r="BW3686" i="1"/>
  <c r="A3687" i="1"/>
  <c r="C3687" i="1"/>
  <c r="S3687" i="1"/>
  <c r="T3687" i="1"/>
  <c r="U3687" i="1"/>
  <c r="BB3687" i="1"/>
  <c r="BW3687" i="1"/>
  <c r="A3688" i="1"/>
  <c r="C3688" i="1"/>
  <c r="S3688" i="1"/>
  <c r="T3688" i="1"/>
  <c r="U3688" i="1"/>
  <c r="BB3688" i="1"/>
  <c r="BW3688" i="1"/>
  <c r="A3689" i="1"/>
  <c r="C3689" i="1"/>
  <c r="S3689" i="1"/>
  <c r="T3689" i="1"/>
  <c r="U3689" i="1"/>
  <c r="BB3689" i="1"/>
  <c r="BW3689" i="1"/>
  <c r="A3690" i="1"/>
  <c r="C3690" i="1"/>
  <c r="S3690" i="1"/>
  <c r="T3690" i="1"/>
  <c r="U3690" i="1"/>
  <c r="BB3690" i="1"/>
  <c r="BW3690" i="1"/>
  <c r="A3691" i="1"/>
  <c r="C3691" i="1"/>
  <c r="S3691" i="1"/>
  <c r="T3691" i="1"/>
  <c r="U3691" i="1"/>
  <c r="BB3691" i="1"/>
  <c r="BW3691" i="1"/>
  <c r="A3692" i="1"/>
  <c r="C3692" i="1"/>
  <c r="S3692" i="1"/>
  <c r="T3692" i="1"/>
  <c r="U3692" i="1"/>
  <c r="BB3692" i="1"/>
  <c r="BW3692" i="1"/>
  <c r="A3693" i="1"/>
  <c r="C3693" i="1"/>
  <c r="S3693" i="1"/>
  <c r="T3693" i="1"/>
  <c r="U3693" i="1"/>
  <c r="BB3693" i="1"/>
  <c r="BW3693" i="1"/>
  <c r="A3694" i="1"/>
  <c r="C3694" i="1"/>
  <c r="S3694" i="1"/>
  <c r="T3694" i="1"/>
  <c r="U3694" i="1"/>
  <c r="BB3694" i="1"/>
  <c r="BW3694" i="1"/>
  <c r="A3695" i="1"/>
  <c r="C3695" i="1"/>
  <c r="S3695" i="1"/>
  <c r="T3695" i="1"/>
  <c r="U3695" i="1"/>
  <c r="BB3695" i="1"/>
  <c r="BW3695" i="1"/>
  <c r="A3696" i="1"/>
  <c r="C3696" i="1"/>
  <c r="S3696" i="1"/>
  <c r="T3696" i="1"/>
  <c r="U3696" i="1"/>
  <c r="BB3696" i="1"/>
  <c r="BW3696" i="1"/>
  <c r="A3697" i="1"/>
  <c r="C3697" i="1"/>
  <c r="S3697" i="1"/>
  <c r="T3697" i="1"/>
  <c r="U3697" i="1"/>
  <c r="BB3697" i="1"/>
  <c r="BW3697" i="1"/>
  <c r="A3698" i="1"/>
  <c r="C3698" i="1"/>
  <c r="S3698" i="1"/>
  <c r="T3698" i="1"/>
  <c r="U3698" i="1"/>
  <c r="BB3698" i="1"/>
  <c r="BW3698" i="1"/>
  <c r="A3699" i="1"/>
  <c r="C3699" i="1"/>
  <c r="S3699" i="1"/>
  <c r="T3699" i="1"/>
  <c r="U3699" i="1"/>
  <c r="BB3699" i="1"/>
  <c r="BW3699" i="1"/>
  <c r="A3700" i="1"/>
  <c r="C3700" i="1"/>
  <c r="S3700" i="1"/>
  <c r="T3700" i="1"/>
  <c r="U3700" i="1"/>
  <c r="BB3700" i="1"/>
  <c r="BW3700" i="1"/>
  <c r="A3701" i="1"/>
  <c r="C3701" i="1"/>
  <c r="S3701" i="1"/>
  <c r="T3701" i="1"/>
  <c r="U3701" i="1"/>
  <c r="BB3701" i="1"/>
  <c r="BW3701" i="1"/>
  <c r="A3702" i="1"/>
  <c r="C3702" i="1"/>
  <c r="S3702" i="1"/>
  <c r="T3702" i="1"/>
  <c r="U3702" i="1"/>
  <c r="BB3702" i="1"/>
  <c r="BW3702" i="1"/>
  <c r="A3703" i="1"/>
  <c r="C3703" i="1"/>
  <c r="S3703" i="1"/>
  <c r="T3703" i="1"/>
  <c r="U3703" i="1"/>
  <c r="BB3703" i="1"/>
  <c r="BW3703" i="1"/>
  <c r="A3704" i="1"/>
  <c r="C3704" i="1"/>
  <c r="S3704" i="1"/>
  <c r="T3704" i="1"/>
  <c r="U3704" i="1"/>
  <c r="BB3704" i="1"/>
  <c r="BW3704" i="1"/>
  <c r="A3705" i="1"/>
  <c r="C3705" i="1"/>
  <c r="S3705" i="1"/>
  <c r="T3705" i="1"/>
  <c r="U3705" i="1"/>
  <c r="BB3705" i="1"/>
  <c r="BW3705" i="1"/>
  <c r="A3706" i="1"/>
  <c r="C3706" i="1"/>
  <c r="S3706" i="1"/>
  <c r="T3706" i="1"/>
  <c r="U3706" i="1"/>
  <c r="BB3706" i="1"/>
  <c r="BW3706" i="1"/>
  <c r="A3707" i="1"/>
  <c r="C3707" i="1"/>
  <c r="S3707" i="1"/>
  <c r="T3707" i="1"/>
  <c r="U3707" i="1"/>
  <c r="BB3707" i="1"/>
  <c r="BW3707" i="1"/>
  <c r="A3708" i="1"/>
  <c r="C3708" i="1"/>
  <c r="S3708" i="1"/>
  <c r="T3708" i="1"/>
  <c r="U3708" i="1"/>
  <c r="BB3708" i="1"/>
  <c r="BW3708" i="1"/>
  <c r="A3709" i="1"/>
  <c r="C3709" i="1"/>
  <c r="S3709" i="1"/>
  <c r="T3709" i="1"/>
  <c r="U3709" i="1"/>
  <c r="BB3709" i="1"/>
  <c r="BW3709" i="1"/>
  <c r="A3710" i="1"/>
  <c r="C3710" i="1"/>
  <c r="S3710" i="1"/>
  <c r="T3710" i="1"/>
  <c r="U3710" i="1"/>
  <c r="BB3710" i="1"/>
  <c r="BW3710" i="1"/>
  <c r="A3711" i="1"/>
  <c r="C3711" i="1"/>
  <c r="S3711" i="1"/>
  <c r="T3711" i="1"/>
  <c r="U3711" i="1"/>
  <c r="BB3711" i="1"/>
  <c r="BW3711" i="1"/>
  <c r="A3712" i="1"/>
  <c r="C3712" i="1"/>
  <c r="S3712" i="1"/>
  <c r="T3712" i="1"/>
  <c r="U3712" i="1"/>
  <c r="BB3712" i="1"/>
  <c r="BW3712" i="1"/>
  <c r="A3713" i="1"/>
  <c r="C3713" i="1"/>
  <c r="S3713" i="1"/>
  <c r="T3713" i="1"/>
  <c r="U3713" i="1"/>
  <c r="BB3713" i="1"/>
  <c r="BW3713" i="1"/>
  <c r="A3714" i="1"/>
  <c r="C3714" i="1"/>
  <c r="S3714" i="1"/>
  <c r="T3714" i="1"/>
  <c r="U3714" i="1"/>
  <c r="BB3714" i="1"/>
  <c r="BW3714" i="1"/>
  <c r="A3715" i="1"/>
  <c r="C3715" i="1"/>
  <c r="S3715" i="1"/>
  <c r="T3715" i="1"/>
  <c r="U3715" i="1"/>
  <c r="BB3715" i="1"/>
  <c r="BW3715" i="1"/>
  <c r="A3716" i="1"/>
  <c r="C3716" i="1"/>
  <c r="S3716" i="1"/>
  <c r="T3716" i="1"/>
  <c r="U3716" i="1"/>
  <c r="BB3716" i="1"/>
  <c r="BW3716" i="1"/>
  <c r="A3717" i="1"/>
  <c r="C3717" i="1"/>
  <c r="S3717" i="1"/>
  <c r="T3717" i="1"/>
  <c r="U3717" i="1"/>
  <c r="BB3717" i="1"/>
  <c r="BW3717" i="1"/>
  <c r="A3718" i="1"/>
  <c r="C3718" i="1"/>
  <c r="S3718" i="1"/>
  <c r="T3718" i="1"/>
  <c r="U3718" i="1"/>
  <c r="BB3718" i="1"/>
  <c r="BW3718" i="1"/>
  <c r="A3719" i="1"/>
  <c r="C3719" i="1"/>
  <c r="S3719" i="1"/>
  <c r="T3719" i="1"/>
  <c r="U3719" i="1"/>
  <c r="BB3719" i="1"/>
  <c r="BW3719" i="1"/>
  <c r="A3720" i="1"/>
  <c r="C3720" i="1"/>
  <c r="S3720" i="1"/>
  <c r="T3720" i="1"/>
  <c r="U3720" i="1"/>
  <c r="BB3720" i="1"/>
  <c r="BW3720" i="1"/>
  <c r="A3721" i="1"/>
  <c r="C3721" i="1"/>
  <c r="S3721" i="1"/>
  <c r="T3721" i="1"/>
  <c r="U3721" i="1"/>
  <c r="BB3721" i="1"/>
  <c r="BW3721" i="1"/>
  <c r="A3722" i="1"/>
  <c r="C3722" i="1"/>
  <c r="S3722" i="1"/>
  <c r="T3722" i="1"/>
  <c r="U3722" i="1"/>
  <c r="BB3722" i="1"/>
  <c r="BW3722" i="1"/>
  <c r="A3723" i="1"/>
  <c r="C3723" i="1"/>
  <c r="S3723" i="1"/>
  <c r="T3723" i="1"/>
  <c r="U3723" i="1"/>
  <c r="BB3723" i="1"/>
  <c r="BW3723" i="1"/>
  <c r="A3724" i="1"/>
  <c r="C3724" i="1"/>
  <c r="S3724" i="1"/>
  <c r="T3724" i="1"/>
  <c r="U3724" i="1"/>
  <c r="BB3724" i="1"/>
  <c r="BW3724" i="1"/>
  <c r="A3725" i="1"/>
  <c r="C3725" i="1"/>
  <c r="S3725" i="1"/>
  <c r="T3725" i="1"/>
  <c r="U3725" i="1"/>
  <c r="BB3725" i="1"/>
  <c r="BW3725" i="1"/>
  <c r="A3726" i="1"/>
  <c r="C3726" i="1"/>
  <c r="S3726" i="1"/>
  <c r="T3726" i="1"/>
  <c r="U3726" i="1"/>
  <c r="BB3726" i="1"/>
  <c r="BW3726" i="1"/>
  <c r="A3727" i="1"/>
  <c r="C3727" i="1"/>
  <c r="S3727" i="1"/>
  <c r="T3727" i="1"/>
  <c r="U3727" i="1"/>
  <c r="BB3727" i="1"/>
  <c r="BW3727" i="1"/>
  <c r="A3728" i="1"/>
  <c r="C3728" i="1"/>
  <c r="S3728" i="1"/>
  <c r="T3728" i="1"/>
  <c r="U3728" i="1"/>
  <c r="BB3728" i="1"/>
  <c r="BW3728" i="1"/>
  <c r="A3729" i="1"/>
  <c r="C3729" i="1"/>
  <c r="S3729" i="1"/>
  <c r="T3729" i="1"/>
  <c r="U3729" i="1"/>
  <c r="BB3729" i="1"/>
  <c r="BW3729" i="1"/>
  <c r="A3730" i="1"/>
  <c r="C3730" i="1"/>
  <c r="S3730" i="1"/>
  <c r="T3730" i="1"/>
  <c r="U3730" i="1"/>
  <c r="BB3730" i="1"/>
  <c r="BW3730" i="1"/>
  <c r="A3731" i="1"/>
  <c r="C3731" i="1"/>
  <c r="S3731" i="1"/>
  <c r="T3731" i="1"/>
  <c r="U3731" i="1"/>
  <c r="BB3731" i="1"/>
  <c r="BW3731" i="1"/>
  <c r="A3732" i="1"/>
  <c r="C3732" i="1"/>
  <c r="S3732" i="1"/>
  <c r="T3732" i="1"/>
  <c r="U3732" i="1"/>
  <c r="BB3732" i="1"/>
  <c r="BW3732" i="1"/>
  <c r="A3733" i="1"/>
  <c r="C3733" i="1"/>
  <c r="S3733" i="1"/>
  <c r="T3733" i="1"/>
  <c r="U3733" i="1"/>
  <c r="BB3733" i="1"/>
  <c r="BW3733" i="1"/>
  <c r="A3734" i="1"/>
  <c r="C3734" i="1"/>
  <c r="S3734" i="1"/>
  <c r="T3734" i="1"/>
  <c r="U3734" i="1"/>
  <c r="BB3734" i="1"/>
  <c r="BW3734" i="1"/>
  <c r="A3735" i="1"/>
  <c r="C3735" i="1"/>
  <c r="S3735" i="1"/>
  <c r="T3735" i="1"/>
  <c r="U3735" i="1"/>
  <c r="BB3735" i="1"/>
  <c r="BW3735" i="1"/>
  <c r="A3736" i="1"/>
  <c r="C3736" i="1"/>
  <c r="S3736" i="1"/>
  <c r="T3736" i="1"/>
  <c r="U3736" i="1"/>
  <c r="BB3736" i="1"/>
  <c r="BW3736" i="1"/>
  <c r="A3737" i="1"/>
  <c r="C3737" i="1"/>
  <c r="S3737" i="1"/>
  <c r="T3737" i="1"/>
  <c r="U3737" i="1"/>
  <c r="BB3737" i="1"/>
  <c r="BW3737" i="1"/>
  <c r="A3738" i="1"/>
  <c r="C3738" i="1"/>
  <c r="S3738" i="1"/>
  <c r="T3738" i="1"/>
  <c r="U3738" i="1"/>
  <c r="BB3738" i="1"/>
  <c r="BW3738" i="1"/>
  <c r="A3739" i="1"/>
  <c r="C3739" i="1"/>
  <c r="S3739" i="1"/>
  <c r="T3739" i="1"/>
  <c r="U3739" i="1"/>
  <c r="BB3739" i="1"/>
  <c r="BW3739" i="1"/>
  <c r="A3740" i="1"/>
  <c r="C3740" i="1"/>
  <c r="S3740" i="1"/>
  <c r="T3740" i="1"/>
  <c r="U3740" i="1"/>
  <c r="BB3740" i="1"/>
  <c r="BW3740" i="1"/>
  <c r="A3741" i="1"/>
  <c r="C3741" i="1"/>
  <c r="S3741" i="1"/>
  <c r="T3741" i="1"/>
  <c r="U3741" i="1"/>
  <c r="BB3741" i="1"/>
  <c r="BW3741" i="1"/>
  <c r="A3742" i="1"/>
  <c r="C3742" i="1"/>
  <c r="S3742" i="1"/>
  <c r="T3742" i="1"/>
  <c r="U3742" i="1"/>
  <c r="BB3742" i="1"/>
  <c r="BW3742" i="1"/>
  <c r="A3743" i="1"/>
  <c r="C3743" i="1"/>
  <c r="S3743" i="1"/>
  <c r="T3743" i="1"/>
  <c r="U3743" i="1"/>
  <c r="BB3743" i="1"/>
  <c r="BW3743" i="1"/>
  <c r="A3744" i="1"/>
  <c r="C3744" i="1"/>
  <c r="S3744" i="1"/>
  <c r="T3744" i="1"/>
  <c r="U3744" i="1"/>
  <c r="BB3744" i="1"/>
  <c r="BW3744" i="1"/>
  <c r="A3745" i="1"/>
  <c r="C3745" i="1"/>
  <c r="S3745" i="1"/>
  <c r="T3745" i="1"/>
  <c r="U3745" i="1"/>
  <c r="BB3745" i="1"/>
  <c r="BW3745" i="1"/>
  <c r="A3746" i="1"/>
  <c r="C3746" i="1"/>
  <c r="S3746" i="1"/>
  <c r="T3746" i="1"/>
  <c r="U3746" i="1"/>
  <c r="BB3746" i="1"/>
  <c r="BW3746" i="1"/>
  <c r="A3747" i="1"/>
  <c r="C3747" i="1"/>
  <c r="S3747" i="1"/>
  <c r="T3747" i="1"/>
  <c r="U3747" i="1"/>
  <c r="BB3747" i="1"/>
  <c r="BW3747" i="1"/>
  <c r="A3748" i="1"/>
  <c r="C3748" i="1"/>
  <c r="S3748" i="1"/>
  <c r="T3748" i="1"/>
  <c r="U3748" i="1"/>
  <c r="BB3748" i="1"/>
  <c r="BW3748" i="1"/>
  <c r="A3749" i="1"/>
  <c r="C3749" i="1"/>
  <c r="S3749" i="1"/>
  <c r="T3749" i="1"/>
  <c r="U3749" i="1"/>
  <c r="BB3749" i="1"/>
  <c r="BW3749" i="1"/>
  <c r="A3750" i="1"/>
  <c r="C3750" i="1"/>
  <c r="S3750" i="1"/>
  <c r="T3750" i="1"/>
  <c r="U3750" i="1"/>
  <c r="BB3750" i="1"/>
  <c r="BW3750" i="1"/>
  <c r="A3751" i="1"/>
  <c r="C3751" i="1"/>
  <c r="S3751" i="1"/>
  <c r="T3751" i="1"/>
  <c r="U3751" i="1"/>
  <c r="BB3751" i="1"/>
  <c r="BW3751" i="1"/>
  <c r="A3752" i="1"/>
  <c r="C3752" i="1"/>
  <c r="S3752" i="1"/>
  <c r="T3752" i="1"/>
  <c r="U3752" i="1"/>
  <c r="BB3752" i="1"/>
  <c r="BW3752" i="1"/>
  <c r="A3753" i="1"/>
  <c r="C3753" i="1"/>
  <c r="S3753" i="1"/>
  <c r="T3753" i="1"/>
  <c r="U3753" i="1"/>
  <c r="BB3753" i="1"/>
  <c r="BW3753" i="1"/>
  <c r="A3754" i="1"/>
  <c r="C3754" i="1"/>
  <c r="S3754" i="1"/>
  <c r="T3754" i="1"/>
  <c r="U3754" i="1"/>
  <c r="BB3754" i="1"/>
  <c r="BW3754" i="1"/>
  <c r="A3755" i="1"/>
  <c r="C3755" i="1"/>
  <c r="S3755" i="1"/>
  <c r="T3755" i="1"/>
  <c r="U3755" i="1"/>
  <c r="BB3755" i="1"/>
  <c r="BW3755" i="1"/>
  <c r="A3756" i="1"/>
  <c r="C3756" i="1"/>
  <c r="S3756" i="1"/>
  <c r="T3756" i="1"/>
  <c r="U3756" i="1"/>
  <c r="BB3756" i="1"/>
  <c r="BW3756" i="1"/>
  <c r="A3757" i="1"/>
  <c r="C3757" i="1"/>
  <c r="S3757" i="1"/>
  <c r="T3757" i="1"/>
  <c r="U3757" i="1"/>
  <c r="BB3757" i="1"/>
  <c r="BW3757" i="1"/>
  <c r="A3758" i="1"/>
  <c r="C3758" i="1"/>
  <c r="S3758" i="1"/>
  <c r="T3758" i="1"/>
  <c r="U3758" i="1"/>
  <c r="BB3758" i="1"/>
  <c r="BW3758" i="1"/>
  <c r="A3759" i="1"/>
  <c r="C3759" i="1"/>
  <c r="S3759" i="1"/>
  <c r="T3759" i="1"/>
  <c r="U3759" i="1"/>
  <c r="BB3759" i="1"/>
  <c r="BW3759" i="1"/>
  <c r="A3760" i="1"/>
  <c r="C3760" i="1"/>
  <c r="S3760" i="1"/>
  <c r="T3760" i="1"/>
  <c r="U3760" i="1"/>
  <c r="BB3760" i="1"/>
  <c r="BW3760" i="1"/>
  <c r="A3761" i="1"/>
  <c r="C3761" i="1"/>
  <c r="S3761" i="1"/>
  <c r="T3761" i="1"/>
  <c r="U3761" i="1"/>
  <c r="BB3761" i="1"/>
  <c r="BW3761" i="1"/>
  <c r="A3762" i="1"/>
  <c r="C3762" i="1"/>
  <c r="S3762" i="1"/>
  <c r="T3762" i="1"/>
  <c r="U3762" i="1"/>
  <c r="BB3762" i="1"/>
  <c r="BW3762" i="1"/>
  <c r="A3763" i="1"/>
  <c r="C3763" i="1"/>
  <c r="S3763" i="1"/>
  <c r="T3763" i="1"/>
  <c r="U3763" i="1"/>
  <c r="BB3763" i="1"/>
  <c r="BW3763" i="1"/>
  <c r="A3764" i="1"/>
  <c r="C3764" i="1"/>
  <c r="S3764" i="1"/>
  <c r="T3764" i="1"/>
  <c r="U3764" i="1"/>
  <c r="BB3764" i="1"/>
  <c r="BW3764" i="1"/>
  <c r="A3765" i="1"/>
  <c r="C3765" i="1"/>
  <c r="S3765" i="1"/>
  <c r="T3765" i="1"/>
  <c r="U3765" i="1"/>
  <c r="BB3765" i="1"/>
  <c r="BW3765" i="1"/>
  <c r="A3766" i="1"/>
  <c r="C3766" i="1"/>
  <c r="S3766" i="1"/>
  <c r="T3766" i="1"/>
  <c r="U3766" i="1"/>
  <c r="BB3766" i="1"/>
  <c r="BW3766" i="1"/>
  <c r="A3767" i="1"/>
  <c r="C3767" i="1"/>
  <c r="S3767" i="1"/>
  <c r="T3767" i="1"/>
  <c r="U3767" i="1"/>
  <c r="BB3767" i="1"/>
  <c r="BW3767" i="1"/>
  <c r="A3768" i="1"/>
  <c r="C3768" i="1"/>
  <c r="S3768" i="1"/>
  <c r="T3768" i="1"/>
  <c r="U3768" i="1"/>
  <c r="BB3768" i="1"/>
  <c r="BW3768" i="1"/>
  <c r="A3769" i="1"/>
  <c r="C3769" i="1"/>
  <c r="S3769" i="1"/>
  <c r="T3769" i="1"/>
  <c r="U3769" i="1"/>
  <c r="BB3769" i="1"/>
  <c r="BW3769" i="1"/>
  <c r="A3770" i="1"/>
  <c r="C3770" i="1"/>
  <c r="S3770" i="1"/>
  <c r="T3770" i="1"/>
  <c r="U3770" i="1"/>
  <c r="BB3770" i="1"/>
  <c r="BW3770" i="1"/>
  <c r="A3771" i="1"/>
  <c r="C3771" i="1"/>
  <c r="S3771" i="1"/>
  <c r="T3771" i="1"/>
  <c r="U3771" i="1"/>
  <c r="BB3771" i="1"/>
  <c r="BW3771" i="1"/>
  <c r="A3772" i="1"/>
  <c r="C3772" i="1"/>
  <c r="S3772" i="1"/>
  <c r="T3772" i="1"/>
  <c r="U3772" i="1"/>
  <c r="BB3772" i="1"/>
  <c r="BW3772" i="1"/>
  <c r="A3773" i="1"/>
  <c r="C3773" i="1"/>
  <c r="S3773" i="1"/>
  <c r="T3773" i="1"/>
  <c r="U3773" i="1"/>
  <c r="BB3773" i="1"/>
  <c r="BW3773" i="1"/>
  <c r="A3774" i="1"/>
  <c r="C3774" i="1"/>
  <c r="S3774" i="1"/>
  <c r="T3774" i="1"/>
  <c r="U3774" i="1"/>
  <c r="BB3774" i="1"/>
  <c r="BW3774" i="1"/>
  <c r="A3775" i="1"/>
  <c r="C3775" i="1"/>
  <c r="S3775" i="1"/>
  <c r="T3775" i="1"/>
  <c r="U3775" i="1"/>
  <c r="BB3775" i="1"/>
  <c r="BW3775" i="1"/>
  <c r="A3776" i="1"/>
  <c r="C3776" i="1"/>
  <c r="S3776" i="1"/>
  <c r="T3776" i="1"/>
  <c r="U3776" i="1"/>
  <c r="BB3776" i="1"/>
  <c r="BW3776" i="1"/>
  <c r="A3777" i="1"/>
  <c r="C3777" i="1"/>
  <c r="S3777" i="1"/>
  <c r="T3777" i="1"/>
  <c r="U3777" i="1"/>
  <c r="BB3777" i="1"/>
  <c r="BW3777" i="1"/>
  <c r="A3778" i="1"/>
  <c r="C3778" i="1"/>
  <c r="S3778" i="1"/>
  <c r="T3778" i="1"/>
  <c r="U3778" i="1"/>
  <c r="BB3778" i="1"/>
  <c r="BW3778" i="1"/>
  <c r="A3779" i="1"/>
  <c r="C3779" i="1"/>
  <c r="S3779" i="1"/>
  <c r="T3779" i="1"/>
  <c r="U3779" i="1"/>
  <c r="BB3779" i="1"/>
  <c r="BW3779" i="1"/>
  <c r="A3780" i="1"/>
  <c r="C3780" i="1"/>
  <c r="S3780" i="1"/>
  <c r="T3780" i="1"/>
  <c r="U3780" i="1"/>
  <c r="BB3780" i="1"/>
  <c r="BW3780" i="1"/>
  <c r="A3781" i="1"/>
  <c r="C3781" i="1"/>
  <c r="S3781" i="1"/>
  <c r="T3781" i="1"/>
  <c r="U3781" i="1"/>
  <c r="BB3781" i="1"/>
  <c r="BW3781" i="1"/>
  <c r="A3782" i="1"/>
  <c r="C3782" i="1"/>
  <c r="S3782" i="1"/>
  <c r="T3782" i="1"/>
  <c r="U3782" i="1"/>
  <c r="BB3782" i="1"/>
  <c r="BW3782" i="1"/>
  <c r="A3783" i="1"/>
  <c r="C3783" i="1"/>
  <c r="S3783" i="1"/>
  <c r="T3783" i="1"/>
  <c r="U3783" i="1"/>
  <c r="BB3783" i="1"/>
  <c r="BW3783" i="1"/>
  <c r="A3784" i="1"/>
  <c r="C3784" i="1"/>
  <c r="S3784" i="1"/>
  <c r="T3784" i="1"/>
  <c r="U3784" i="1"/>
  <c r="BB3784" i="1"/>
  <c r="BW3784" i="1"/>
  <c r="A3785" i="1"/>
  <c r="C3785" i="1"/>
  <c r="S3785" i="1"/>
  <c r="T3785" i="1"/>
  <c r="U3785" i="1"/>
  <c r="BB3785" i="1"/>
  <c r="BW3785" i="1"/>
  <c r="A3786" i="1"/>
  <c r="C3786" i="1"/>
  <c r="S3786" i="1"/>
  <c r="T3786" i="1"/>
  <c r="U3786" i="1"/>
  <c r="BB3786" i="1"/>
  <c r="BW3786" i="1"/>
  <c r="A3787" i="1"/>
  <c r="C3787" i="1"/>
  <c r="S3787" i="1"/>
  <c r="T3787" i="1"/>
  <c r="U3787" i="1"/>
  <c r="BB3787" i="1"/>
  <c r="BW3787" i="1"/>
  <c r="A3788" i="1"/>
  <c r="C3788" i="1"/>
  <c r="S3788" i="1"/>
  <c r="T3788" i="1"/>
  <c r="U3788" i="1"/>
  <c r="BB3788" i="1"/>
  <c r="BW3788" i="1"/>
  <c r="A3789" i="1"/>
  <c r="C3789" i="1"/>
  <c r="S3789" i="1"/>
  <c r="T3789" i="1"/>
  <c r="U3789" i="1"/>
  <c r="BB3789" i="1"/>
  <c r="BW3789" i="1"/>
  <c r="A3790" i="1"/>
  <c r="C3790" i="1"/>
  <c r="S3790" i="1"/>
  <c r="T3790" i="1"/>
  <c r="U3790" i="1"/>
  <c r="BB3790" i="1"/>
  <c r="BW3790" i="1"/>
  <c r="A3791" i="1"/>
  <c r="C3791" i="1"/>
  <c r="S3791" i="1"/>
  <c r="T3791" i="1"/>
  <c r="U3791" i="1"/>
  <c r="BB3791" i="1"/>
  <c r="BW3791" i="1"/>
  <c r="A3792" i="1"/>
  <c r="C3792" i="1"/>
  <c r="S3792" i="1"/>
  <c r="T3792" i="1"/>
  <c r="U3792" i="1"/>
  <c r="BB3792" i="1"/>
  <c r="BW3792" i="1"/>
  <c r="A3793" i="1"/>
  <c r="C3793" i="1"/>
  <c r="S3793" i="1"/>
  <c r="T3793" i="1"/>
  <c r="U3793" i="1"/>
  <c r="BB3793" i="1"/>
  <c r="BW3793" i="1"/>
  <c r="A3794" i="1"/>
  <c r="C3794" i="1"/>
  <c r="S3794" i="1"/>
  <c r="T3794" i="1"/>
  <c r="U3794" i="1"/>
  <c r="BB3794" i="1"/>
  <c r="BW3794" i="1"/>
  <c r="A3795" i="1"/>
  <c r="C3795" i="1"/>
  <c r="S3795" i="1"/>
  <c r="T3795" i="1"/>
  <c r="U3795" i="1"/>
  <c r="BB3795" i="1"/>
  <c r="BW3795" i="1"/>
  <c r="A3796" i="1"/>
  <c r="C3796" i="1"/>
  <c r="S3796" i="1"/>
  <c r="T3796" i="1"/>
  <c r="U3796" i="1"/>
  <c r="BB3796" i="1"/>
  <c r="BW3796" i="1"/>
  <c r="A3797" i="1"/>
  <c r="C3797" i="1"/>
  <c r="S3797" i="1"/>
  <c r="T3797" i="1"/>
  <c r="U3797" i="1"/>
  <c r="BB3797" i="1"/>
  <c r="BW3797" i="1"/>
  <c r="A3798" i="1"/>
  <c r="C3798" i="1"/>
  <c r="S3798" i="1"/>
  <c r="T3798" i="1"/>
  <c r="U3798" i="1"/>
  <c r="BB3798" i="1"/>
  <c r="BW3798" i="1"/>
  <c r="A3799" i="1"/>
  <c r="C3799" i="1"/>
  <c r="S3799" i="1"/>
  <c r="T3799" i="1"/>
  <c r="U3799" i="1"/>
  <c r="BB3799" i="1"/>
  <c r="BW3799" i="1"/>
  <c r="A3800" i="1"/>
  <c r="C3800" i="1"/>
  <c r="S3800" i="1"/>
  <c r="T3800" i="1"/>
  <c r="U3800" i="1"/>
  <c r="BB3800" i="1"/>
  <c r="BW3800" i="1"/>
  <c r="A3801" i="1"/>
  <c r="C3801" i="1"/>
  <c r="S3801" i="1"/>
  <c r="T3801" i="1"/>
  <c r="U3801" i="1"/>
  <c r="BB3801" i="1"/>
  <c r="BW3801" i="1"/>
  <c r="A3802" i="1"/>
  <c r="C3802" i="1"/>
  <c r="S3802" i="1"/>
  <c r="T3802" i="1"/>
  <c r="U3802" i="1"/>
  <c r="BB3802" i="1"/>
  <c r="BW3802" i="1"/>
  <c r="A3803" i="1"/>
  <c r="C3803" i="1"/>
  <c r="S3803" i="1"/>
  <c r="T3803" i="1"/>
  <c r="U3803" i="1"/>
  <c r="BB3803" i="1"/>
  <c r="BW3803" i="1"/>
  <c r="A3804" i="1"/>
  <c r="C3804" i="1"/>
  <c r="S3804" i="1"/>
  <c r="T3804" i="1"/>
  <c r="U3804" i="1"/>
  <c r="BB3804" i="1"/>
  <c r="BW3804" i="1"/>
  <c r="A3805" i="1"/>
  <c r="C3805" i="1"/>
  <c r="S3805" i="1"/>
  <c r="T3805" i="1"/>
  <c r="U3805" i="1"/>
  <c r="BB3805" i="1"/>
  <c r="BW3805" i="1"/>
  <c r="A3806" i="1"/>
  <c r="C3806" i="1"/>
  <c r="S3806" i="1"/>
  <c r="T3806" i="1"/>
  <c r="U3806" i="1"/>
  <c r="BB3806" i="1"/>
  <c r="BW3806" i="1"/>
  <c r="A3807" i="1"/>
  <c r="C3807" i="1"/>
  <c r="S3807" i="1"/>
  <c r="T3807" i="1"/>
  <c r="U3807" i="1"/>
  <c r="BB3807" i="1"/>
  <c r="BW3807" i="1"/>
  <c r="A3808" i="1"/>
  <c r="C3808" i="1"/>
  <c r="S3808" i="1"/>
  <c r="T3808" i="1"/>
  <c r="U3808" i="1"/>
  <c r="BB3808" i="1"/>
  <c r="BW3808" i="1"/>
  <c r="A3809" i="1"/>
  <c r="C3809" i="1"/>
  <c r="S3809" i="1"/>
  <c r="T3809" i="1"/>
  <c r="U3809" i="1"/>
  <c r="BB3809" i="1"/>
  <c r="BW3809" i="1"/>
  <c r="A3810" i="1"/>
  <c r="C3810" i="1"/>
  <c r="S3810" i="1"/>
  <c r="T3810" i="1"/>
  <c r="U3810" i="1"/>
  <c r="BB3810" i="1"/>
  <c r="BW3810" i="1"/>
  <c r="A3811" i="1"/>
  <c r="C3811" i="1"/>
  <c r="S3811" i="1"/>
  <c r="T3811" i="1"/>
  <c r="U3811" i="1"/>
  <c r="BB3811" i="1"/>
  <c r="BW3811" i="1"/>
  <c r="A3812" i="1"/>
  <c r="C3812" i="1"/>
  <c r="S3812" i="1"/>
  <c r="T3812" i="1"/>
  <c r="U3812" i="1"/>
  <c r="BB3812" i="1"/>
  <c r="BW3812" i="1"/>
  <c r="A3813" i="1"/>
  <c r="C3813" i="1"/>
  <c r="S3813" i="1"/>
  <c r="T3813" i="1"/>
  <c r="U3813" i="1"/>
  <c r="BB3813" i="1"/>
  <c r="BW3813" i="1"/>
  <c r="A3814" i="1"/>
  <c r="C3814" i="1"/>
  <c r="S3814" i="1"/>
  <c r="T3814" i="1"/>
  <c r="U3814" i="1"/>
  <c r="BB3814" i="1"/>
  <c r="BW3814" i="1"/>
  <c r="A3815" i="1"/>
  <c r="C3815" i="1"/>
  <c r="S3815" i="1"/>
  <c r="T3815" i="1"/>
  <c r="U3815" i="1"/>
  <c r="BB3815" i="1"/>
  <c r="BW3815" i="1"/>
  <c r="A3816" i="1"/>
  <c r="C3816" i="1"/>
  <c r="S3816" i="1"/>
  <c r="T3816" i="1"/>
  <c r="U3816" i="1"/>
  <c r="BB3816" i="1"/>
  <c r="BW3816" i="1"/>
  <c r="A3817" i="1"/>
  <c r="C3817" i="1"/>
  <c r="S3817" i="1"/>
  <c r="T3817" i="1"/>
  <c r="U3817" i="1"/>
  <c r="BB3817" i="1"/>
  <c r="BW3817" i="1"/>
  <c r="A3818" i="1"/>
  <c r="C3818" i="1"/>
  <c r="S3818" i="1"/>
  <c r="T3818" i="1"/>
  <c r="U3818" i="1"/>
  <c r="BB3818" i="1"/>
  <c r="BW3818" i="1"/>
  <c r="A3819" i="1"/>
  <c r="C3819" i="1"/>
  <c r="S3819" i="1"/>
  <c r="T3819" i="1"/>
  <c r="U3819" i="1"/>
  <c r="BB3819" i="1"/>
  <c r="BW3819" i="1"/>
  <c r="A3820" i="1"/>
  <c r="C3820" i="1"/>
  <c r="S3820" i="1"/>
  <c r="T3820" i="1"/>
  <c r="U3820" i="1"/>
  <c r="BB3820" i="1"/>
  <c r="BW3820" i="1"/>
  <c r="A3821" i="1"/>
  <c r="C3821" i="1"/>
  <c r="S3821" i="1"/>
  <c r="T3821" i="1"/>
  <c r="U3821" i="1"/>
  <c r="BB3821" i="1"/>
  <c r="BW3821" i="1"/>
  <c r="A3822" i="1"/>
  <c r="C3822" i="1"/>
  <c r="S3822" i="1"/>
  <c r="T3822" i="1"/>
  <c r="U3822" i="1"/>
  <c r="BB3822" i="1"/>
  <c r="BW3822" i="1"/>
  <c r="A3823" i="1"/>
  <c r="C3823" i="1"/>
  <c r="S3823" i="1"/>
  <c r="T3823" i="1"/>
  <c r="U3823" i="1"/>
  <c r="BB3823" i="1"/>
  <c r="BW3823" i="1"/>
  <c r="A3824" i="1"/>
  <c r="C3824" i="1"/>
  <c r="S3824" i="1"/>
  <c r="T3824" i="1"/>
  <c r="U3824" i="1"/>
  <c r="BB3824" i="1"/>
  <c r="BW3824" i="1"/>
  <c r="A3825" i="1"/>
  <c r="C3825" i="1"/>
  <c r="S3825" i="1"/>
  <c r="T3825" i="1"/>
  <c r="U3825" i="1"/>
  <c r="BB3825" i="1"/>
  <c r="BW3825" i="1"/>
  <c r="A3826" i="1"/>
  <c r="C3826" i="1"/>
  <c r="S3826" i="1"/>
  <c r="T3826" i="1"/>
  <c r="U3826" i="1"/>
  <c r="BB3826" i="1"/>
  <c r="BW3826" i="1"/>
  <c r="A3827" i="1"/>
  <c r="C3827" i="1"/>
  <c r="S3827" i="1"/>
  <c r="T3827" i="1"/>
  <c r="U3827" i="1"/>
  <c r="BB3827" i="1"/>
  <c r="BW3827" i="1"/>
  <c r="A3828" i="1"/>
  <c r="C3828" i="1"/>
  <c r="S3828" i="1"/>
  <c r="T3828" i="1"/>
  <c r="U3828" i="1"/>
  <c r="BB3828" i="1"/>
  <c r="BW3828" i="1"/>
  <c r="A3829" i="1"/>
  <c r="C3829" i="1"/>
  <c r="S3829" i="1"/>
  <c r="T3829" i="1"/>
  <c r="U3829" i="1"/>
  <c r="BB3829" i="1"/>
  <c r="BW3829" i="1"/>
  <c r="A3830" i="1"/>
  <c r="C3830" i="1"/>
  <c r="S3830" i="1"/>
  <c r="T3830" i="1"/>
  <c r="U3830" i="1"/>
  <c r="BB3830" i="1"/>
  <c r="BW3830" i="1"/>
  <c r="A3831" i="1"/>
  <c r="C3831" i="1"/>
  <c r="S3831" i="1"/>
  <c r="T3831" i="1"/>
  <c r="U3831" i="1"/>
  <c r="BB3831" i="1"/>
  <c r="BW3831" i="1"/>
  <c r="A3832" i="1"/>
  <c r="C3832" i="1"/>
  <c r="S3832" i="1"/>
  <c r="T3832" i="1"/>
  <c r="U3832" i="1"/>
  <c r="BB3832" i="1"/>
  <c r="BW3832" i="1"/>
  <c r="A3833" i="1"/>
  <c r="C3833" i="1"/>
  <c r="S3833" i="1"/>
  <c r="T3833" i="1"/>
  <c r="U3833" i="1"/>
  <c r="BB3833" i="1"/>
  <c r="BW3833" i="1"/>
  <c r="A3834" i="1"/>
  <c r="C3834" i="1"/>
  <c r="S3834" i="1"/>
  <c r="T3834" i="1"/>
  <c r="U3834" i="1"/>
  <c r="BB3834" i="1"/>
  <c r="BW3834" i="1"/>
  <c r="A3835" i="1"/>
  <c r="C3835" i="1"/>
  <c r="S3835" i="1"/>
  <c r="T3835" i="1"/>
  <c r="U3835" i="1"/>
  <c r="BB3835" i="1"/>
  <c r="BW3835" i="1"/>
  <c r="A3836" i="1"/>
  <c r="C3836" i="1"/>
  <c r="S3836" i="1"/>
  <c r="T3836" i="1"/>
  <c r="U3836" i="1"/>
  <c r="BB3836" i="1"/>
  <c r="BW3836" i="1"/>
  <c r="A3837" i="1"/>
  <c r="C3837" i="1"/>
  <c r="S3837" i="1"/>
  <c r="T3837" i="1"/>
  <c r="U3837" i="1"/>
  <c r="BB3837" i="1"/>
  <c r="BW3837" i="1"/>
  <c r="A3838" i="1"/>
  <c r="C3838" i="1"/>
  <c r="S3838" i="1"/>
  <c r="T3838" i="1"/>
  <c r="U3838" i="1"/>
  <c r="BB3838" i="1"/>
  <c r="BW3838" i="1"/>
  <c r="A3839" i="1"/>
  <c r="C3839" i="1"/>
  <c r="S3839" i="1"/>
  <c r="T3839" i="1"/>
  <c r="U3839" i="1"/>
  <c r="BB3839" i="1"/>
  <c r="BW3839" i="1"/>
  <c r="A3840" i="1"/>
  <c r="C3840" i="1"/>
  <c r="S3840" i="1"/>
  <c r="T3840" i="1"/>
  <c r="U3840" i="1"/>
  <c r="BB3840" i="1"/>
  <c r="BW3840" i="1"/>
  <c r="A3841" i="1"/>
  <c r="C3841" i="1"/>
  <c r="S3841" i="1"/>
  <c r="T3841" i="1"/>
  <c r="U3841" i="1"/>
  <c r="BB3841" i="1"/>
  <c r="BW3841" i="1"/>
  <c r="A3842" i="1"/>
  <c r="C3842" i="1"/>
  <c r="S3842" i="1"/>
  <c r="T3842" i="1"/>
  <c r="U3842" i="1"/>
  <c r="BB3842" i="1"/>
  <c r="BW3842" i="1"/>
  <c r="A3843" i="1"/>
  <c r="C3843" i="1"/>
  <c r="S3843" i="1"/>
  <c r="T3843" i="1"/>
  <c r="U3843" i="1"/>
  <c r="BB3843" i="1"/>
  <c r="BW3843" i="1"/>
  <c r="A3844" i="1"/>
  <c r="C3844" i="1"/>
  <c r="S3844" i="1"/>
  <c r="T3844" i="1"/>
  <c r="U3844" i="1"/>
  <c r="BB3844" i="1"/>
  <c r="BW3844" i="1"/>
  <c r="A3845" i="1"/>
  <c r="C3845" i="1"/>
  <c r="S3845" i="1"/>
  <c r="T3845" i="1"/>
  <c r="U3845" i="1"/>
  <c r="BB3845" i="1"/>
  <c r="BW3845" i="1"/>
  <c r="A3846" i="1"/>
  <c r="C3846" i="1"/>
  <c r="S3846" i="1"/>
  <c r="T3846" i="1"/>
  <c r="U3846" i="1"/>
  <c r="BB3846" i="1"/>
  <c r="BW3846" i="1"/>
  <c r="A3847" i="1"/>
  <c r="C3847" i="1"/>
  <c r="S3847" i="1"/>
  <c r="T3847" i="1"/>
  <c r="U3847" i="1"/>
  <c r="BB3847" i="1"/>
  <c r="BW3847" i="1"/>
  <c r="A3848" i="1"/>
  <c r="C3848" i="1"/>
  <c r="S3848" i="1"/>
  <c r="T3848" i="1"/>
  <c r="U3848" i="1"/>
  <c r="BB3848" i="1"/>
  <c r="BW3848" i="1"/>
  <c r="A3849" i="1"/>
  <c r="C3849" i="1"/>
  <c r="S3849" i="1"/>
  <c r="T3849" i="1"/>
  <c r="U3849" i="1"/>
  <c r="BB3849" i="1"/>
  <c r="BW3849" i="1"/>
  <c r="A3850" i="1"/>
  <c r="C3850" i="1"/>
  <c r="S3850" i="1"/>
  <c r="T3850" i="1"/>
  <c r="U3850" i="1"/>
  <c r="BB3850" i="1"/>
  <c r="BW3850" i="1"/>
  <c r="A3851" i="1"/>
  <c r="C3851" i="1"/>
  <c r="S3851" i="1"/>
  <c r="T3851" i="1"/>
  <c r="U3851" i="1"/>
  <c r="BB3851" i="1"/>
  <c r="BW3851" i="1"/>
  <c r="A3852" i="1"/>
  <c r="C3852" i="1"/>
  <c r="S3852" i="1"/>
  <c r="T3852" i="1"/>
  <c r="U3852" i="1"/>
  <c r="BB3852" i="1"/>
  <c r="BW3852" i="1"/>
  <c r="A3853" i="1"/>
  <c r="C3853" i="1"/>
  <c r="S3853" i="1"/>
  <c r="T3853" i="1"/>
  <c r="U3853" i="1"/>
  <c r="BB3853" i="1"/>
  <c r="BW3853" i="1"/>
  <c r="A3854" i="1"/>
  <c r="C3854" i="1"/>
  <c r="S3854" i="1"/>
  <c r="T3854" i="1"/>
  <c r="U3854" i="1"/>
  <c r="BB3854" i="1"/>
  <c r="BW3854" i="1"/>
  <c r="A3855" i="1"/>
  <c r="C3855" i="1"/>
  <c r="S3855" i="1"/>
  <c r="T3855" i="1"/>
  <c r="U3855" i="1"/>
  <c r="BB3855" i="1"/>
  <c r="BW3855" i="1"/>
  <c r="A3856" i="1"/>
  <c r="C3856" i="1"/>
  <c r="S3856" i="1"/>
  <c r="T3856" i="1"/>
  <c r="U3856" i="1"/>
  <c r="BB3856" i="1"/>
  <c r="BW3856" i="1"/>
  <c r="A3857" i="1"/>
  <c r="C3857" i="1"/>
  <c r="S3857" i="1"/>
  <c r="T3857" i="1"/>
  <c r="U3857" i="1"/>
  <c r="BB3857" i="1"/>
  <c r="BW3857" i="1"/>
  <c r="A3858" i="1"/>
  <c r="C3858" i="1"/>
  <c r="S3858" i="1"/>
  <c r="T3858" i="1"/>
  <c r="U3858" i="1"/>
  <c r="BB3858" i="1"/>
  <c r="BW3858" i="1"/>
  <c r="A3859" i="1"/>
  <c r="C3859" i="1"/>
  <c r="S3859" i="1"/>
  <c r="T3859" i="1"/>
  <c r="U3859" i="1"/>
  <c r="BB3859" i="1"/>
  <c r="BW3859" i="1"/>
  <c r="A3860" i="1"/>
  <c r="C3860" i="1"/>
  <c r="S3860" i="1"/>
  <c r="T3860" i="1"/>
  <c r="U3860" i="1"/>
  <c r="BB3860" i="1"/>
  <c r="BW3860" i="1"/>
  <c r="A3861" i="1"/>
  <c r="C3861" i="1"/>
  <c r="S3861" i="1"/>
  <c r="T3861" i="1"/>
  <c r="U3861" i="1"/>
  <c r="BB3861" i="1"/>
  <c r="BW3861" i="1"/>
  <c r="A3862" i="1"/>
  <c r="C3862" i="1"/>
  <c r="S3862" i="1"/>
  <c r="T3862" i="1"/>
  <c r="U3862" i="1"/>
  <c r="BB3862" i="1"/>
  <c r="BW3862" i="1"/>
  <c r="A3863" i="1"/>
  <c r="C3863" i="1"/>
  <c r="S3863" i="1"/>
  <c r="T3863" i="1"/>
  <c r="U3863" i="1"/>
  <c r="BB3863" i="1"/>
  <c r="BW3863" i="1"/>
  <c r="A3864" i="1"/>
  <c r="C3864" i="1"/>
  <c r="S3864" i="1"/>
  <c r="T3864" i="1"/>
  <c r="U3864" i="1"/>
  <c r="BB3864" i="1"/>
  <c r="BW3864" i="1"/>
  <c r="A3865" i="1"/>
  <c r="C3865" i="1"/>
  <c r="S3865" i="1"/>
  <c r="T3865" i="1"/>
  <c r="U3865" i="1"/>
  <c r="BB3865" i="1"/>
  <c r="BW3865" i="1"/>
  <c r="A3866" i="1"/>
  <c r="C3866" i="1"/>
  <c r="S3866" i="1"/>
  <c r="T3866" i="1"/>
  <c r="U3866" i="1"/>
  <c r="BB3866" i="1"/>
  <c r="BW3866" i="1"/>
  <c r="A3867" i="1"/>
  <c r="C3867" i="1"/>
  <c r="S3867" i="1"/>
  <c r="T3867" i="1"/>
  <c r="U3867" i="1"/>
  <c r="BB3867" i="1"/>
  <c r="BW3867" i="1"/>
  <c r="A3868" i="1"/>
  <c r="C3868" i="1"/>
  <c r="S3868" i="1"/>
  <c r="T3868" i="1"/>
  <c r="U3868" i="1"/>
  <c r="BB3868" i="1"/>
  <c r="BW3868" i="1"/>
  <c r="A3869" i="1"/>
  <c r="C3869" i="1"/>
  <c r="S3869" i="1"/>
  <c r="T3869" i="1"/>
  <c r="U3869" i="1"/>
  <c r="BB3869" i="1"/>
  <c r="BW3869" i="1"/>
  <c r="A3870" i="1"/>
  <c r="C3870" i="1"/>
  <c r="S3870" i="1"/>
  <c r="T3870" i="1"/>
  <c r="U3870" i="1"/>
  <c r="BB3870" i="1"/>
  <c r="BW3870" i="1"/>
  <c r="A3871" i="1"/>
  <c r="C3871" i="1"/>
  <c r="S3871" i="1"/>
  <c r="T3871" i="1"/>
  <c r="U3871" i="1"/>
  <c r="BB3871" i="1"/>
  <c r="BW3871" i="1"/>
  <c r="A3872" i="1"/>
  <c r="C3872" i="1"/>
  <c r="S3872" i="1"/>
  <c r="T3872" i="1"/>
  <c r="U3872" i="1"/>
  <c r="BB3872" i="1"/>
  <c r="BW3872" i="1"/>
  <c r="A3873" i="1"/>
  <c r="C3873" i="1"/>
  <c r="S3873" i="1"/>
  <c r="T3873" i="1"/>
  <c r="U3873" i="1"/>
  <c r="BB3873" i="1"/>
  <c r="BW3873" i="1"/>
  <c r="A3874" i="1"/>
  <c r="C3874" i="1"/>
  <c r="S3874" i="1"/>
  <c r="T3874" i="1"/>
  <c r="U3874" i="1"/>
  <c r="BB3874" i="1"/>
  <c r="BW3874" i="1"/>
  <c r="A3875" i="1"/>
  <c r="C3875" i="1"/>
  <c r="S3875" i="1"/>
  <c r="T3875" i="1"/>
  <c r="U3875" i="1"/>
  <c r="BB3875" i="1"/>
  <c r="BW3875" i="1"/>
  <c r="A3876" i="1"/>
  <c r="C3876" i="1"/>
  <c r="S3876" i="1"/>
  <c r="T3876" i="1"/>
  <c r="U3876" i="1"/>
  <c r="BB3876" i="1"/>
  <c r="BW3876" i="1"/>
  <c r="A3877" i="1"/>
  <c r="C3877" i="1"/>
  <c r="S3877" i="1"/>
  <c r="T3877" i="1"/>
  <c r="U3877" i="1"/>
  <c r="BB3877" i="1"/>
  <c r="BW3877" i="1"/>
  <c r="A3878" i="1"/>
  <c r="C3878" i="1"/>
  <c r="S3878" i="1"/>
  <c r="T3878" i="1"/>
  <c r="U3878" i="1"/>
  <c r="BB3878" i="1"/>
  <c r="BW3878" i="1"/>
  <c r="A3879" i="1"/>
  <c r="C3879" i="1"/>
  <c r="S3879" i="1"/>
  <c r="T3879" i="1"/>
  <c r="U3879" i="1"/>
  <c r="BB3879" i="1"/>
  <c r="BW3879" i="1"/>
  <c r="A3880" i="1"/>
  <c r="C3880" i="1"/>
  <c r="S3880" i="1"/>
  <c r="T3880" i="1"/>
  <c r="U3880" i="1"/>
  <c r="BB3880" i="1"/>
  <c r="BW3880" i="1"/>
  <c r="A3881" i="1"/>
  <c r="C3881" i="1"/>
  <c r="S3881" i="1"/>
  <c r="T3881" i="1"/>
  <c r="U3881" i="1"/>
  <c r="BB3881" i="1"/>
  <c r="BW3881" i="1"/>
  <c r="A3882" i="1"/>
  <c r="C3882" i="1"/>
  <c r="S3882" i="1"/>
  <c r="T3882" i="1"/>
  <c r="U3882" i="1"/>
  <c r="BB3882" i="1"/>
  <c r="BW3882" i="1"/>
  <c r="A3883" i="1"/>
  <c r="C3883" i="1"/>
  <c r="S3883" i="1"/>
  <c r="T3883" i="1"/>
  <c r="U3883" i="1"/>
  <c r="BB3883" i="1"/>
  <c r="BW3883" i="1"/>
  <c r="A3884" i="1"/>
  <c r="C3884" i="1"/>
  <c r="S3884" i="1"/>
  <c r="T3884" i="1"/>
  <c r="U3884" i="1"/>
  <c r="BB3884" i="1"/>
  <c r="BW3884" i="1"/>
  <c r="A3885" i="1"/>
  <c r="C3885" i="1"/>
  <c r="S3885" i="1"/>
  <c r="T3885" i="1"/>
  <c r="U3885" i="1"/>
  <c r="BB3885" i="1"/>
  <c r="BW3885" i="1"/>
  <c r="A3886" i="1"/>
  <c r="C3886" i="1"/>
  <c r="S3886" i="1"/>
  <c r="T3886" i="1"/>
  <c r="U3886" i="1"/>
  <c r="BB3886" i="1"/>
  <c r="BW3886" i="1"/>
  <c r="A3887" i="1"/>
  <c r="C3887" i="1"/>
  <c r="S3887" i="1"/>
  <c r="T3887" i="1"/>
  <c r="U3887" i="1"/>
  <c r="BB3887" i="1"/>
  <c r="BW3887" i="1"/>
  <c r="A3888" i="1"/>
  <c r="C3888" i="1"/>
  <c r="S3888" i="1"/>
  <c r="T3888" i="1"/>
  <c r="U3888" i="1"/>
  <c r="BB3888" i="1"/>
  <c r="BW3888" i="1"/>
  <c r="A3889" i="1"/>
  <c r="C3889" i="1"/>
  <c r="S3889" i="1"/>
  <c r="T3889" i="1"/>
  <c r="U3889" i="1"/>
  <c r="BB3889" i="1"/>
  <c r="BW3889" i="1"/>
  <c r="A3890" i="1"/>
  <c r="C3890" i="1"/>
  <c r="S3890" i="1"/>
  <c r="T3890" i="1"/>
  <c r="U3890" i="1"/>
  <c r="BB3890" i="1"/>
  <c r="BW3890" i="1"/>
  <c r="A3891" i="1"/>
  <c r="C3891" i="1"/>
  <c r="S3891" i="1"/>
  <c r="T3891" i="1"/>
  <c r="U3891" i="1"/>
  <c r="BB3891" i="1"/>
  <c r="BW3891" i="1"/>
  <c r="A3892" i="1"/>
  <c r="C3892" i="1"/>
  <c r="S3892" i="1"/>
  <c r="T3892" i="1"/>
  <c r="U3892" i="1"/>
  <c r="BB3892" i="1"/>
  <c r="BW3892" i="1"/>
  <c r="A3893" i="1"/>
  <c r="C3893" i="1"/>
  <c r="S3893" i="1"/>
  <c r="T3893" i="1"/>
  <c r="U3893" i="1"/>
  <c r="BB3893" i="1"/>
  <c r="BW3893" i="1"/>
  <c r="A3894" i="1"/>
  <c r="C3894" i="1"/>
  <c r="S3894" i="1"/>
  <c r="T3894" i="1"/>
  <c r="U3894" i="1"/>
  <c r="BB3894" i="1"/>
  <c r="BW3894" i="1"/>
  <c r="A3895" i="1"/>
  <c r="C3895" i="1"/>
  <c r="S3895" i="1"/>
  <c r="T3895" i="1"/>
  <c r="U3895" i="1"/>
  <c r="BB3895" i="1"/>
  <c r="BW3895" i="1"/>
  <c r="A3896" i="1"/>
  <c r="C3896" i="1"/>
  <c r="S3896" i="1"/>
  <c r="T3896" i="1"/>
  <c r="U3896" i="1"/>
  <c r="BB3896" i="1"/>
  <c r="BW3896" i="1"/>
  <c r="A3897" i="1"/>
  <c r="C3897" i="1"/>
  <c r="S3897" i="1"/>
  <c r="T3897" i="1"/>
  <c r="U3897" i="1"/>
  <c r="BB3897" i="1"/>
  <c r="BW3897" i="1"/>
  <c r="A3898" i="1"/>
  <c r="C3898" i="1"/>
  <c r="S3898" i="1"/>
  <c r="T3898" i="1"/>
  <c r="U3898" i="1"/>
  <c r="BB3898" i="1"/>
  <c r="BW3898" i="1"/>
  <c r="A3899" i="1"/>
  <c r="C3899" i="1"/>
  <c r="S3899" i="1"/>
  <c r="T3899" i="1"/>
  <c r="U3899" i="1"/>
  <c r="BB3899" i="1"/>
  <c r="BW3899" i="1"/>
  <c r="A3900" i="1"/>
  <c r="C3900" i="1"/>
  <c r="S3900" i="1"/>
  <c r="T3900" i="1"/>
  <c r="U3900" i="1"/>
  <c r="BB3900" i="1"/>
  <c r="BW3900" i="1"/>
  <c r="A3901" i="1"/>
  <c r="C3901" i="1"/>
  <c r="S3901" i="1"/>
  <c r="T3901" i="1"/>
  <c r="U3901" i="1"/>
  <c r="BB3901" i="1"/>
  <c r="BW3901" i="1"/>
  <c r="A3902" i="1"/>
  <c r="C3902" i="1"/>
  <c r="S3902" i="1"/>
  <c r="T3902" i="1"/>
  <c r="U3902" i="1"/>
  <c r="BB3902" i="1"/>
  <c r="BW3902" i="1"/>
  <c r="A3903" i="1"/>
  <c r="C3903" i="1"/>
  <c r="S3903" i="1"/>
  <c r="T3903" i="1"/>
  <c r="U3903" i="1"/>
  <c r="BB3903" i="1"/>
  <c r="BW3903" i="1"/>
  <c r="A3904" i="1"/>
  <c r="C3904" i="1"/>
  <c r="S3904" i="1"/>
  <c r="T3904" i="1"/>
  <c r="U3904" i="1"/>
  <c r="BB3904" i="1"/>
  <c r="BW3904" i="1"/>
  <c r="A3905" i="1"/>
  <c r="C3905" i="1"/>
  <c r="S3905" i="1"/>
  <c r="T3905" i="1"/>
  <c r="U3905" i="1"/>
  <c r="BB3905" i="1"/>
  <c r="BW3905" i="1"/>
  <c r="A3906" i="1"/>
  <c r="C3906" i="1"/>
  <c r="S3906" i="1"/>
  <c r="T3906" i="1"/>
  <c r="U3906" i="1"/>
  <c r="BB3906" i="1"/>
  <c r="BW3906" i="1"/>
  <c r="A3907" i="1"/>
  <c r="C3907" i="1"/>
  <c r="S3907" i="1"/>
  <c r="T3907" i="1"/>
  <c r="U3907" i="1"/>
  <c r="BB3907" i="1"/>
  <c r="BW3907" i="1"/>
  <c r="A3908" i="1"/>
  <c r="C3908" i="1"/>
  <c r="S3908" i="1"/>
  <c r="T3908" i="1"/>
  <c r="U3908" i="1"/>
  <c r="BB3908" i="1"/>
  <c r="BW3908" i="1"/>
  <c r="A3909" i="1"/>
  <c r="C3909" i="1"/>
  <c r="S3909" i="1"/>
  <c r="T3909" i="1"/>
  <c r="U3909" i="1"/>
  <c r="BB3909" i="1"/>
  <c r="BW3909" i="1"/>
  <c r="A3910" i="1"/>
  <c r="C3910" i="1"/>
  <c r="S3910" i="1"/>
  <c r="T3910" i="1"/>
  <c r="U3910" i="1"/>
  <c r="BB3910" i="1"/>
  <c r="BW3910" i="1"/>
  <c r="A3911" i="1"/>
  <c r="C3911" i="1"/>
  <c r="S3911" i="1"/>
  <c r="T3911" i="1"/>
  <c r="U3911" i="1"/>
  <c r="BB3911" i="1"/>
  <c r="BW3911" i="1"/>
  <c r="A3912" i="1"/>
  <c r="C3912" i="1"/>
  <c r="S3912" i="1"/>
  <c r="T3912" i="1"/>
  <c r="U3912" i="1"/>
  <c r="BB3912" i="1"/>
  <c r="BW3912" i="1"/>
  <c r="A3913" i="1"/>
  <c r="C3913" i="1"/>
  <c r="S3913" i="1"/>
  <c r="T3913" i="1"/>
  <c r="U3913" i="1"/>
  <c r="BB3913" i="1"/>
  <c r="BW3913" i="1"/>
  <c r="A3914" i="1"/>
  <c r="C3914" i="1"/>
  <c r="S3914" i="1"/>
  <c r="T3914" i="1"/>
  <c r="U3914" i="1"/>
  <c r="BB3914" i="1"/>
  <c r="BW3914" i="1"/>
  <c r="A3915" i="1"/>
  <c r="C3915" i="1"/>
  <c r="S3915" i="1"/>
  <c r="T3915" i="1"/>
  <c r="U3915" i="1"/>
  <c r="BB3915" i="1"/>
  <c r="BW3915" i="1"/>
  <c r="A3916" i="1"/>
  <c r="C3916" i="1"/>
  <c r="S3916" i="1"/>
  <c r="T3916" i="1"/>
  <c r="U3916" i="1"/>
  <c r="BB3916" i="1"/>
  <c r="BW3916" i="1"/>
  <c r="A3917" i="1"/>
  <c r="C3917" i="1"/>
  <c r="S3917" i="1"/>
  <c r="T3917" i="1"/>
  <c r="U3917" i="1"/>
  <c r="BB3917" i="1"/>
  <c r="BW3917" i="1"/>
  <c r="A3918" i="1"/>
  <c r="C3918" i="1"/>
  <c r="S3918" i="1"/>
  <c r="T3918" i="1"/>
  <c r="U3918" i="1"/>
  <c r="BB3918" i="1"/>
  <c r="BW3918" i="1"/>
  <c r="A3919" i="1"/>
  <c r="C3919" i="1"/>
  <c r="S3919" i="1"/>
  <c r="T3919" i="1"/>
  <c r="U3919" i="1"/>
  <c r="BB3919" i="1"/>
  <c r="BW3919" i="1"/>
  <c r="A3920" i="1"/>
  <c r="C3920" i="1"/>
  <c r="S3920" i="1"/>
  <c r="T3920" i="1"/>
  <c r="U3920" i="1"/>
  <c r="BB3920" i="1"/>
  <c r="BW3920" i="1"/>
  <c r="A3921" i="1"/>
  <c r="C3921" i="1"/>
  <c r="S3921" i="1"/>
  <c r="T3921" i="1"/>
  <c r="U3921" i="1"/>
  <c r="BB3921" i="1"/>
  <c r="BW3921" i="1"/>
  <c r="A3922" i="1"/>
  <c r="C3922" i="1"/>
  <c r="S3922" i="1"/>
  <c r="T3922" i="1"/>
  <c r="U3922" i="1"/>
  <c r="BB3922" i="1"/>
  <c r="BW3922" i="1"/>
  <c r="A3923" i="1"/>
  <c r="C3923" i="1"/>
  <c r="S3923" i="1"/>
  <c r="T3923" i="1"/>
  <c r="U3923" i="1"/>
  <c r="BB3923" i="1"/>
  <c r="BW3923" i="1"/>
  <c r="A3924" i="1"/>
  <c r="C3924" i="1"/>
  <c r="S3924" i="1"/>
  <c r="T3924" i="1"/>
  <c r="U3924" i="1"/>
  <c r="BB3924" i="1"/>
  <c r="BW3924" i="1"/>
  <c r="A3925" i="1"/>
  <c r="C3925" i="1"/>
  <c r="S3925" i="1"/>
  <c r="T3925" i="1"/>
  <c r="U3925" i="1"/>
  <c r="BB3925" i="1"/>
  <c r="BW3925" i="1"/>
  <c r="A3926" i="1"/>
  <c r="C3926" i="1"/>
  <c r="S3926" i="1"/>
  <c r="T3926" i="1"/>
  <c r="U3926" i="1"/>
  <c r="BB3926" i="1"/>
  <c r="BW3926" i="1"/>
  <c r="A3927" i="1"/>
  <c r="C3927" i="1"/>
  <c r="S3927" i="1"/>
  <c r="T3927" i="1"/>
  <c r="U3927" i="1"/>
  <c r="BB3927" i="1"/>
  <c r="BW3927" i="1"/>
  <c r="A3928" i="1"/>
  <c r="C3928" i="1"/>
  <c r="S3928" i="1"/>
  <c r="T3928" i="1"/>
  <c r="U3928" i="1"/>
  <c r="BB3928" i="1"/>
  <c r="BW3928" i="1"/>
  <c r="A3929" i="1"/>
  <c r="C3929" i="1"/>
  <c r="S3929" i="1"/>
  <c r="T3929" i="1"/>
  <c r="U3929" i="1"/>
  <c r="BB3929" i="1"/>
  <c r="BW3929" i="1"/>
  <c r="A3930" i="1"/>
  <c r="C3930" i="1"/>
  <c r="S3930" i="1"/>
  <c r="T3930" i="1"/>
  <c r="U3930" i="1"/>
  <c r="BB3930" i="1"/>
  <c r="BW3930" i="1"/>
  <c r="A3931" i="1"/>
  <c r="C3931" i="1"/>
  <c r="S3931" i="1"/>
  <c r="T3931" i="1"/>
  <c r="U3931" i="1"/>
  <c r="BB3931" i="1"/>
  <c r="BW3931" i="1"/>
  <c r="A3932" i="1"/>
  <c r="C3932" i="1"/>
  <c r="S3932" i="1"/>
  <c r="T3932" i="1"/>
  <c r="U3932" i="1"/>
  <c r="BB3932" i="1"/>
  <c r="BW3932" i="1"/>
  <c r="A3933" i="1"/>
  <c r="C3933" i="1"/>
  <c r="S3933" i="1"/>
  <c r="T3933" i="1"/>
  <c r="U3933" i="1"/>
  <c r="BB3933" i="1"/>
  <c r="BW3933" i="1"/>
  <c r="A3934" i="1"/>
  <c r="C3934" i="1"/>
  <c r="S3934" i="1"/>
  <c r="T3934" i="1"/>
  <c r="U3934" i="1"/>
  <c r="BB3934" i="1"/>
  <c r="BW3934" i="1"/>
  <c r="A3935" i="1"/>
  <c r="C3935" i="1"/>
  <c r="S3935" i="1"/>
  <c r="T3935" i="1"/>
  <c r="U3935" i="1"/>
  <c r="BB3935" i="1"/>
  <c r="BW3935" i="1"/>
  <c r="A3936" i="1"/>
  <c r="C3936" i="1"/>
  <c r="S3936" i="1"/>
  <c r="T3936" i="1"/>
  <c r="U3936" i="1"/>
  <c r="BB3936" i="1"/>
  <c r="BW3936" i="1"/>
  <c r="A3937" i="1"/>
  <c r="C3937" i="1"/>
  <c r="S3937" i="1"/>
  <c r="T3937" i="1"/>
  <c r="U3937" i="1"/>
  <c r="BB3937" i="1"/>
  <c r="BW3937" i="1"/>
  <c r="A3938" i="1"/>
  <c r="C3938" i="1"/>
  <c r="S3938" i="1"/>
  <c r="T3938" i="1"/>
  <c r="U3938" i="1"/>
  <c r="BB3938" i="1"/>
  <c r="BW3938" i="1"/>
  <c r="A3939" i="1"/>
  <c r="C3939" i="1"/>
  <c r="S3939" i="1"/>
  <c r="T3939" i="1"/>
  <c r="U3939" i="1"/>
  <c r="BB3939" i="1"/>
  <c r="BW3939" i="1"/>
  <c r="A3940" i="1"/>
  <c r="C3940" i="1"/>
  <c r="S3940" i="1"/>
  <c r="T3940" i="1"/>
  <c r="U3940" i="1"/>
  <c r="BB3940" i="1"/>
  <c r="BW3940" i="1"/>
  <c r="A3941" i="1"/>
  <c r="C3941" i="1"/>
  <c r="S3941" i="1"/>
  <c r="T3941" i="1"/>
  <c r="U3941" i="1"/>
  <c r="BB3941" i="1"/>
  <c r="BW3941" i="1"/>
  <c r="A3942" i="1"/>
  <c r="C3942" i="1"/>
  <c r="S3942" i="1"/>
  <c r="T3942" i="1"/>
  <c r="U3942" i="1"/>
  <c r="BB3942" i="1"/>
  <c r="BW3942" i="1"/>
  <c r="A3943" i="1"/>
  <c r="C3943" i="1"/>
  <c r="S3943" i="1"/>
  <c r="T3943" i="1"/>
  <c r="U3943" i="1"/>
  <c r="BB3943" i="1"/>
  <c r="BW3943" i="1"/>
  <c r="A3944" i="1"/>
  <c r="C3944" i="1"/>
  <c r="S3944" i="1"/>
  <c r="T3944" i="1"/>
  <c r="U3944" i="1"/>
  <c r="BB3944" i="1"/>
  <c r="BW3944" i="1"/>
  <c r="A3945" i="1"/>
  <c r="C3945" i="1"/>
  <c r="S3945" i="1"/>
  <c r="T3945" i="1"/>
  <c r="U3945" i="1"/>
  <c r="BB3945" i="1"/>
  <c r="BW3945" i="1"/>
  <c r="A3946" i="1"/>
  <c r="C3946" i="1"/>
  <c r="S3946" i="1"/>
  <c r="T3946" i="1"/>
  <c r="U3946" i="1"/>
  <c r="BB3946" i="1"/>
  <c r="BW3946" i="1"/>
  <c r="A3947" i="1"/>
  <c r="C3947" i="1"/>
  <c r="S3947" i="1"/>
  <c r="T3947" i="1"/>
  <c r="U3947" i="1"/>
  <c r="BB3947" i="1"/>
  <c r="BW3947" i="1"/>
  <c r="A3948" i="1"/>
  <c r="C3948" i="1"/>
  <c r="S3948" i="1"/>
  <c r="T3948" i="1"/>
  <c r="U3948" i="1"/>
  <c r="BB3948" i="1"/>
  <c r="BW3948" i="1"/>
  <c r="A3949" i="1"/>
  <c r="C3949" i="1"/>
  <c r="S3949" i="1"/>
  <c r="T3949" i="1"/>
  <c r="U3949" i="1"/>
  <c r="BB3949" i="1"/>
  <c r="BW3949" i="1"/>
  <c r="A3950" i="1"/>
  <c r="C3950" i="1"/>
  <c r="S3950" i="1"/>
  <c r="T3950" i="1"/>
  <c r="U3950" i="1"/>
  <c r="BB3950" i="1"/>
  <c r="BW3950" i="1"/>
  <c r="A3951" i="1"/>
  <c r="C3951" i="1"/>
  <c r="S3951" i="1"/>
  <c r="T3951" i="1"/>
  <c r="U3951" i="1"/>
  <c r="BB3951" i="1"/>
  <c r="BW3951" i="1"/>
  <c r="A3952" i="1"/>
  <c r="C3952" i="1"/>
  <c r="S3952" i="1"/>
  <c r="T3952" i="1"/>
  <c r="U3952" i="1"/>
  <c r="BB3952" i="1"/>
  <c r="BW3952" i="1"/>
  <c r="A3953" i="1"/>
  <c r="C3953" i="1"/>
  <c r="S3953" i="1"/>
  <c r="T3953" i="1"/>
  <c r="U3953" i="1"/>
  <c r="BB3953" i="1"/>
  <c r="BW3953" i="1"/>
  <c r="A3954" i="1"/>
  <c r="C3954" i="1"/>
  <c r="S3954" i="1"/>
  <c r="T3954" i="1"/>
  <c r="U3954" i="1"/>
  <c r="BB3954" i="1"/>
  <c r="BW3954" i="1"/>
  <c r="A3955" i="1"/>
  <c r="C3955" i="1"/>
  <c r="S3955" i="1"/>
  <c r="T3955" i="1"/>
  <c r="U3955" i="1"/>
  <c r="BB3955" i="1"/>
  <c r="BW3955" i="1"/>
  <c r="A3956" i="1"/>
  <c r="C3956" i="1"/>
  <c r="S3956" i="1"/>
  <c r="T3956" i="1"/>
  <c r="U3956" i="1"/>
  <c r="BB3956" i="1"/>
  <c r="BW3956" i="1"/>
  <c r="A3957" i="1"/>
  <c r="C3957" i="1"/>
  <c r="S3957" i="1"/>
  <c r="T3957" i="1"/>
  <c r="U3957" i="1"/>
  <c r="BB3957" i="1"/>
  <c r="BW3957" i="1"/>
  <c r="A3958" i="1"/>
  <c r="C3958" i="1"/>
  <c r="S3958" i="1"/>
  <c r="T3958" i="1"/>
  <c r="U3958" i="1"/>
  <c r="BB3958" i="1"/>
  <c r="BW3958" i="1"/>
  <c r="A3959" i="1"/>
  <c r="C3959" i="1"/>
  <c r="S3959" i="1"/>
  <c r="T3959" i="1"/>
  <c r="U3959" i="1"/>
  <c r="BB3959" i="1"/>
  <c r="BW3959" i="1"/>
  <c r="A3960" i="1"/>
  <c r="C3960" i="1"/>
  <c r="S3960" i="1"/>
  <c r="T3960" i="1"/>
  <c r="U3960" i="1"/>
  <c r="BB3960" i="1"/>
  <c r="BW3960" i="1"/>
  <c r="A3961" i="1"/>
  <c r="C3961" i="1"/>
  <c r="S3961" i="1"/>
  <c r="T3961" i="1"/>
  <c r="U3961" i="1"/>
  <c r="BB3961" i="1"/>
  <c r="BW3961" i="1"/>
  <c r="A3962" i="1"/>
  <c r="C3962" i="1"/>
  <c r="S3962" i="1"/>
  <c r="T3962" i="1"/>
  <c r="U3962" i="1"/>
  <c r="BB3962" i="1"/>
  <c r="BW3962" i="1"/>
  <c r="A3963" i="1"/>
  <c r="C3963" i="1"/>
  <c r="S3963" i="1"/>
  <c r="T3963" i="1"/>
  <c r="U3963" i="1"/>
  <c r="BB3963" i="1"/>
  <c r="BW3963" i="1"/>
  <c r="A3964" i="1"/>
  <c r="C3964" i="1"/>
  <c r="S3964" i="1"/>
  <c r="T3964" i="1"/>
  <c r="U3964" i="1"/>
  <c r="BB3964" i="1"/>
  <c r="BW3964" i="1"/>
  <c r="A3965" i="1"/>
  <c r="C3965" i="1"/>
  <c r="S3965" i="1"/>
  <c r="T3965" i="1"/>
  <c r="U3965" i="1"/>
  <c r="BB3965" i="1"/>
  <c r="BW3965" i="1"/>
  <c r="A3966" i="1"/>
  <c r="C3966" i="1"/>
  <c r="S3966" i="1"/>
  <c r="T3966" i="1"/>
  <c r="U3966" i="1"/>
  <c r="BB3966" i="1"/>
  <c r="BW3966" i="1"/>
  <c r="A3967" i="1"/>
  <c r="C3967" i="1"/>
  <c r="S3967" i="1"/>
  <c r="T3967" i="1"/>
  <c r="U3967" i="1"/>
  <c r="BB3967" i="1"/>
  <c r="BW3967" i="1"/>
  <c r="A3968" i="1"/>
  <c r="C3968" i="1"/>
  <c r="S3968" i="1"/>
  <c r="T3968" i="1"/>
  <c r="U3968" i="1"/>
  <c r="BB3968" i="1"/>
  <c r="BW3968" i="1"/>
  <c r="A3969" i="1"/>
  <c r="C3969" i="1"/>
  <c r="S3969" i="1"/>
  <c r="T3969" i="1"/>
  <c r="U3969" i="1"/>
  <c r="BB3969" i="1"/>
  <c r="BW3969" i="1"/>
  <c r="A3970" i="1"/>
  <c r="C3970" i="1"/>
  <c r="S3970" i="1"/>
  <c r="T3970" i="1"/>
  <c r="U3970" i="1"/>
  <c r="BB3970" i="1"/>
  <c r="BW3970" i="1"/>
  <c r="A3971" i="1"/>
  <c r="C3971" i="1"/>
  <c r="S3971" i="1"/>
  <c r="T3971" i="1"/>
  <c r="U3971" i="1"/>
  <c r="BB3971" i="1"/>
  <c r="BW3971" i="1"/>
  <c r="A3972" i="1"/>
  <c r="C3972" i="1"/>
  <c r="S3972" i="1"/>
  <c r="T3972" i="1"/>
  <c r="U3972" i="1"/>
  <c r="BB3972" i="1"/>
  <c r="BW3972" i="1"/>
  <c r="A3973" i="1"/>
  <c r="C3973" i="1"/>
  <c r="S3973" i="1"/>
  <c r="T3973" i="1"/>
  <c r="U3973" i="1"/>
  <c r="BB3973" i="1"/>
  <c r="BW3973" i="1"/>
  <c r="A3974" i="1"/>
  <c r="C3974" i="1"/>
  <c r="S3974" i="1"/>
  <c r="T3974" i="1"/>
  <c r="U3974" i="1"/>
  <c r="BB3974" i="1"/>
  <c r="BW3974" i="1"/>
  <c r="A3975" i="1"/>
  <c r="C3975" i="1"/>
  <c r="S3975" i="1"/>
  <c r="T3975" i="1"/>
  <c r="U3975" i="1"/>
  <c r="BB3975" i="1"/>
  <c r="BW3975" i="1"/>
  <c r="A3976" i="1"/>
  <c r="C3976" i="1"/>
  <c r="S3976" i="1"/>
  <c r="T3976" i="1"/>
  <c r="U3976" i="1"/>
  <c r="BB3976" i="1"/>
  <c r="BW3976" i="1"/>
  <c r="A3977" i="1"/>
  <c r="C3977" i="1"/>
  <c r="S3977" i="1"/>
  <c r="T3977" i="1"/>
  <c r="U3977" i="1"/>
  <c r="BB3977" i="1"/>
  <c r="BW3977" i="1"/>
  <c r="A3978" i="1"/>
  <c r="C3978" i="1"/>
  <c r="S3978" i="1"/>
  <c r="T3978" i="1"/>
  <c r="U3978" i="1"/>
  <c r="BB3978" i="1"/>
  <c r="BW3978" i="1"/>
  <c r="A3979" i="1"/>
  <c r="C3979" i="1"/>
  <c r="S3979" i="1"/>
  <c r="T3979" i="1"/>
  <c r="U3979" i="1"/>
  <c r="BB3979" i="1"/>
  <c r="BW3979" i="1"/>
  <c r="A3980" i="1"/>
  <c r="C3980" i="1"/>
  <c r="S3980" i="1"/>
  <c r="T3980" i="1"/>
  <c r="U3980" i="1"/>
  <c r="BB3980" i="1"/>
  <c r="BW3980" i="1"/>
  <c r="A3981" i="1"/>
  <c r="C3981" i="1"/>
  <c r="S3981" i="1"/>
  <c r="T3981" i="1"/>
  <c r="U3981" i="1"/>
  <c r="BB3981" i="1"/>
  <c r="BW3981" i="1"/>
  <c r="A3982" i="1"/>
  <c r="C3982" i="1"/>
  <c r="S3982" i="1"/>
  <c r="T3982" i="1"/>
  <c r="U3982" i="1"/>
  <c r="BB3982" i="1"/>
  <c r="BW3982" i="1"/>
  <c r="A3983" i="1"/>
  <c r="C3983" i="1"/>
  <c r="S3983" i="1"/>
  <c r="T3983" i="1"/>
  <c r="U3983" i="1"/>
  <c r="BB3983" i="1"/>
  <c r="BW3983" i="1"/>
  <c r="A3984" i="1"/>
  <c r="C3984" i="1"/>
  <c r="S3984" i="1"/>
  <c r="T3984" i="1"/>
  <c r="U3984" i="1"/>
  <c r="BB3984" i="1"/>
  <c r="BW3984" i="1"/>
  <c r="A3985" i="1"/>
  <c r="C3985" i="1"/>
  <c r="S3985" i="1"/>
  <c r="T3985" i="1"/>
  <c r="U3985" i="1"/>
  <c r="BB3985" i="1"/>
  <c r="BW3985" i="1"/>
  <c r="A3986" i="1"/>
  <c r="C3986" i="1"/>
  <c r="S3986" i="1"/>
  <c r="T3986" i="1"/>
  <c r="U3986" i="1"/>
  <c r="BB3986" i="1"/>
  <c r="BW3986" i="1"/>
  <c r="A3987" i="1"/>
  <c r="C3987" i="1"/>
  <c r="S3987" i="1"/>
  <c r="T3987" i="1"/>
  <c r="U3987" i="1"/>
  <c r="BB3987" i="1"/>
  <c r="BW3987" i="1"/>
  <c r="A3988" i="1"/>
  <c r="C3988" i="1"/>
  <c r="S3988" i="1"/>
  <c r="T3988" i="1"/>
  <c r="U3988" i="1"/>
  <c r="BB3988" i="1"/>
  <c r="BW3988" i="1"/>
  <c r="A3989" i="1"/>
  <c r="C3989" i="1"/>
  <c r="S3989" i="1"/>
  <c r="T3989" i="1"/>
  <c r="U3989" i="1"/>
  <c r="BB3989" i="1"/>
  <c r="BW3989" i="1"/>
  <c r="A3990" i="1"/>
  <c r="C3990" i="1"/>
  <c r="S3990" i="1"/>
  <c r="T3990" i="1"/>
  <c r="U3990" i="1"/>
  <c r="BB3990" i="1"/>
  <c r="BW3990" i="1"/>
  <c r="A3991" i="1"/>
  <c r="C3991" i="1"/>
  <c r="S3991" i="1"/>
  <c r="T3991" i="1"/>
  <c r="U3991" i="1"/>
  <c r="BB3991" i="1"/>
  <c r="BW3991" i="1"/>
  <c r="A3992" i="1"/>
  <c r="C3992" i="1"/>
  <c r="S3992" i="1"/>
  <c r="T3992" i="1"/>
  <c r="U3992" i="1"/>
  <c r="BB3992" i="1"/>
  <c r="BW3992" i="1"/>
  <c r="A3993" i="1"/>
  <c r="C3993" i="1"/>
  <c r="S3993" i="1"/>
  <c r="T3993" i="1"/>
  <c r="U3993" i="1"/>
  <c r="BB3993" i="1"/>
  <c r="BW3993" i="1"/>
  <c r="A3994" i="1"/>
  <c r="C3994" i="1"/>
  <c r="S3994" i="1"/>
  <c r="T3994" i="1"/>
  <c r="U3994" i="1"/>
  <c r="BB3994" i="1"/>
  <c r="BW3994" i="1"/>
  <c r="A3995" i="1"/>
  <c r="C3995" i="1"/>
  <c r="S3995" i="1"/>
  <c r="T3995" i="1"/>
  <c r="U3995" i="1"/>
  <c r="BB3995" i="1"/>
  <c r="BW3995" i="1"/>
  <c r="A3996" i="1"/>
  <c r="C3996" i="1"/>
  <c r="S3996" i="1"/>
  <c r="T3996" i="1"/>
  <c r="U3996" i="1"/>
  <c r="BB3996" i="1"/>
  <c r="BW3996" i="1"/>
  <c r="A3997" i="1"/>
  <c r="C3997" i="1"/>
  <c r="S3997" i="1"/>
  <c r="T3997" i="1"/>
  <c r="U3997" i="1"/>
  <c r="BB3997" i="1"/>
  <c r="BW3997" i="1"/>
  <c r="A3998" i="1"/>
  <c r="C3998" i="1"/>
  <c r="S3998" i="1"/>
  <c r="T3998" i="1"/>
  <c r="U3998" i="1"/>
  <c r="BB3998" i="1"/>
  <c r="BW3998" i="1"/>
  <c r="A3999" i="1"/>
  <c r="C3999" i="1"/>
  <c r="S3999" i="1"/>
  <c r="T3999" i="1"/>
  <c r="U3999" i="1"/>
  <c r="BB3999" i="1"/>
  <c r="BW3999" i="1"/>
  <c r="A4000" i="1"/>
  <c r="C4000" i="1"/>
  <c r="S4000" i="1"/>
  <c r="T4000" i="1"/>
  <c r="U4000" i="1"/>
  <c r="BB4000" i="1"/>
  <c r="BW4000" i="1"/>
  <c r="A4001" i="1"/>
  <c r="C4001" i="1"/>
  <c r="S4001" i="1"/>
  <c r="T4001" i="1"/>
  <c r="U4001" i="1"/>
  <c r="BB4001" i="1"/>
  <c r="BW4001" i="1"/>
  <c r="A4002" i="1"/>
  <c r="C4002" i="1"/>
  <c r="S4002" i="1"/>
  <c r="T4002" i="1"/>
  <c r="U4002" i="1"/>
  <c r="BB4002" i="1"/>
  <c r="BW4002" i="1"/>
  <c r="A4003" i="1"/>
  <c r="C4003" i="1"/>
  <c r="S4003" i="1"/>
  <c r="T4003" i="1"/>
  <c r="U4003" i="1"/>
  <c r="BB4003" i="1"/>
  <c r="BW4003" i="1"/>
  <c r="A4004" i="1"/>
  <c r="C4004" i="1"/>
  <c r="S4004" i="1"/>
  <c r="T4004" i="1"/>
  <c r="U4004" i="1"/>
  <c r="BB4004" i="1"/>
  <c r="BW4004" i="1"/>
  <c r="A4005" i="1"/>
  <c r="C4005" i="1"/>
  <c r="S4005" i="1"/>
  <c r="T4005" i="1"/>
  <c r="U4005" i="1"/>
  <c r="BB4005" i="1"/>
  <c r="BW4005" i="1"/>
  <c r="A4006" i="1"/>
  <c r="C4006" i="1"/>
  <c r="S4006" i="1"/>
  <c r="T4006" i="1"/>
  <c r="U4006" i="1"/>
  <c r="BB4006" i="1"/>
  <c r="BW4006" i="1"/>
  <c r="A4007" i="1"/>
  <c r="C4007" i="1"/>
  <c r="S4007" i="1"/>
  <c r="T4007" i="1"/>
  <c r="U4007" i="1"/>
  <c r="BB4007" i="1"/>
  <c r="BW4007" i="1"/>
  <c r="A4008" i="1"/>
  <c r="C4008" i="1"/>
  <c r="S4008" i="1"/>
  <c r="T4008" i="1"/>
  <c r="U4008" i="1"/>
  <c r="BB4008" i="1"/>
  <c r="BW4008" i="1"/>
  <c r="A4009" i="1"/>
  <c r="C4009" i="1"/>
  <c r="S4009" i="1"/>
  <c r="T4009" i="1"/>
  <c r="U4009" i="1"/>
  <c r="BB4009" i="1"/>
  <c r="BW4009" i="1"/>
  <c r="A4010" i="1"/>
  <c r="C4010" i="1"/>
  <c r="S4010" i="1"/>
  <c r="T4010" i="1"/>
  <c r="U4010" i="1"/>
  <c r="BB4010" i="1"/>
  <c r="BW4010" i="1"/>
  <c r="A4011" i="1"/>
  <c r="C4011" i="1"/>
  <c r="S4011" i="1"/>
  <c r="T4011" i="1"/>
  <c r="U4011" i="1"/>
  <c r="BB4011" i="1"/>
  <c r="BW4011" i="1"/>
  <c r="A4012" i="1"/>
  <c r="C4012" i="1"/>
  <c r="S4012" i="1"/>
  <c r="T4012" i="1"/>
  <c r="U4012" i="1"/>
  <c r="BB4012" i="1"/>
  <c r="BW4012" i="1"/>
  <c r="A4013" i="1"/>
  <c r="C4013" i="1"/>
  <c r="S4013" i="1"/>
  <c r="T4013" i="1"/>
  <c r="U4013" i="1"/>
  <c r="BB4013" i="1"/>
  <c r="BW4013" i="1"/>
  <c r="A4014" i="1"/>
  <c r="C4014" i="1"/>
  <c r="S4014" i="1"/>
  <c r="T4014" i="1"/>
  <c r="U4014" i="1"/>
  <c r="BB4014" i="1"/>
  <c r="BW4014" i="1"/>
  <c r="A4015" i="1"/>
  <c r="C4015" i="1"/>
  <c r="S4015" i="1"/>
  <c r="T4015" i="1"/>
  <c r="U4015" i="1"/>
  <c r="BB4015" i="1"/>
  <c r="BW4015" i="1"/>
  <c r="A4016" i="1"/>
  <c r="C4016" i="1"/>
  <c r="S4016" i="1"/>
  <c r="T4016" i="1"/>
  <c r="U4016" i="1"/>
  <c r="BB4016" i="1"/>
  <c r="BW4016" i="1"/>
  <c r="A4017" i="1"/>
  <c r="C4017" i="1"/>
  <c r="S4017" i="1"/>
  <c r="T4017" i="1"/>
  <c r="U4017" i="1"/>
  <c r="BB4017" i="1"/>
  <c r="BW4017" i="1"/>
  <c r="A4018" i="1"/>
  <c r="C4018" i="1"/>
  <c r="S4018" i="1"/>
  <c r="T4018" i="1"/>
  <c r="U4018" i="1"/>
  <c r="BB4018" i="1"/>
  <c r="BW4018" i="1"/>
  <c r="A4019" i="1"/>
  <c r="C4019" i="1"/>
  <c r="S4019" i="1"/>
  <c r="T4019" i="1"/>
  <c r="U4019" i="1"/>
  <c r="BB4019" i="1"/>
  <c r="BW4019" i="1"/>
  <c r="A4020" i="1"/>
  <c r="C4020" i="1"/>
  <c r="S4020" i="1"/>
  <c r="T4020" i="1"/>
  <c r="U4020" i="1"/>
  <c r="BB4020" i="1"/>
  <c r="BW4020" i="1"/>
  <c r="A4021" i="1"/>
  <c r="C4021" i="1"/>
  <c r="S4021" i="1"/>
  <c r="T4021" i="1"/>
  <c r="U4021" i="1"/>
  <c r="BB4021" i="1"/>
  <c r="BW4021" i="1"/>
  <c r="A4022" i="1"/>
  <c r="C4022" i="1"/>
  <c r="S4022" i="1"/>
  <c r="T4022" i="1"/>
  <c r="U4022" i="1"/>
  <c r="BB4022" i="1"/>
  <c r="BW4022" i="1"/>
  <c r="A4023" i="1"/>
  <c r="C4023" i="1"/>
  <c r="S4023" i="1"/>
  <c r="T4023" i="1"/>
  <c r="U4023" i="1"/>
  <c r="BB4023" i="1"/>
  <c r="BW4023" i="1"/>
  <c r="A4024" i="1"/>
  <c r="C4024" i="1"/>
  <c r="S4024" i="1"/>
  <c r="T4024" i="1"/>
  <c r="U4024" i="1"/>
  <c r="BB4024" i="1"/>
  <c r="BW4024" i="1"/>
  <c r="A4025" i="1"/>
  <c r="C4025" i="1"/>
  <c r="S4025" i="1"/>
  <c r="T4025" i="1"/>
  <c r="U4025" i="1"/>
  <c r="BB4025" i="1"/>
  <c r="BW4025" i="1"/>
  <c r="A4026" i="1"/>
  <c r="C4026" i="1"/>
  <c r="S4026" i="1"/>
  <c r="T4026" i="1"/>
  <c r="U4026" i="1"/>
  <c r="BB4026" i="1"/>
  <c r="BW4026" i="1"/>
  <c r="A4027" i="1"/>
  <c r="C4027" i="1"/>
  <c r="S4027" i="1"/>
  <c r="T4027" i="1"/>
  <c r="U4027" i="1"/>
  <c r="BB4027" i="1"/>
  <c r="BW4027" i="1"/>
  <c r="A4028" i="1"/>
  <c r="C4028" i="1"/>
  <c r="S4028" i="1"/>
  <c r="T4028" i="1"/>
  <c r="U4028" i="1"/>
  <c r="BB4028" i="1"/>
  <c r="BW4028" i="1"/>
  <c r="A4029" i="1"/>
  <c r="C4029" i="1"/>
  <c r="S4029" i="1"/>
  <c r="T4029" i="1"/>
  <c r="U4029" i="1"/>
  <c r="BB4029" i="1"/>
  <c r="BW4029" i="1"/>
  <c r="A4030" i="1"/>
  <c r="C4030" i="1"/>
  <c r="S4030" i="1"/>
  <c r="T4030" i="1"/>
  <c r="U4030" i="1"/>
  <c r="BB4030" i="1"/>
  <c r="BW4030" i="1"/>
  <c r="A4031" i="1"/>
  <c r="C4031" i="1"/>
  <c r="S4031" i="1"/>
  <c r="T4031" i="1"/>
  <c r="U4031" i="1"/>
  <c r="BB4031" i="1"/>
  <c r="BW4031" i="1"/>
  <c r="A4032" i="1"/>
  <c r="C4032" i="1"/>
  <c r="S4032" i="1"/>
  <c r="T4032" i="1"/>
  <c r="U4032" i="1"/>
  <c r="BB4032" i="1"/>
  <c r="BW4032" i="1"/>
  <c r="A4033" i="1"/>
  <c r="C4033" i="1"/>
  <c r="S4033" i="1"/>
  <c r="T4033" i="1"/>
  <c r="U4033" i="1"/>
  <c r="BB4033" i="1"/>
  <c r="BW4033" i="1"/>
  <c r="A4034" i="1"/>
  <c r="C4034" i="1"/>
  <c r="S4034" i="1"/>
  <c r="T4034" i="1"/>
  <c r="U4034" i="1"/>
  <c r="BB4034" i="1"/>
  <c r="BW4034" i="1"/>
  <c r="A4035" i="1"/>
  <c r="C4035" i="1"/>
  <c r="S4035" i="1"/>
  <c r="T4035" i="1"/>
  <c r="U4035" i="1"/>
  <c r="BB4035" i="1"/>
  <c r="BW4035" i="1"/>
  <c r="A4036" i="1"/>
  <c r="C4036" i="1"/>
  <c r="S4036" i="1"/>
  <c r="T4036" i="1"/>
  <c r="U4036" i="1"/>
  <c r="BB4036" i="1"/>
  <c r="BW4036" i="1"/>
  <c r="A4037" i="1"/>
  <c r="C4037" i="1"/>
  <c r="S4037" i="1"/>
  <c r="T4037" i="1"/>
  <c r="U4037" i="1"/>
  <c r="BB4037" i="1"/>
  <c r="BW4037" i="1"/>
  <c r="A4038" i="1"/>
  <c r="C4038" i="1"/>
  <c r="S4038" i="1"/>
  <c r="T4038" i="1"/>
  <c r="U4038" i="1"/>
  <c r="BB4038" i="1"/>
  <c r="BW4038" i="1"/>
  <c r="A4039" i="1"/>
  <c r="C4039" i="1"/>
  <c r="S4039" i="1"/>
  <c r="T4039" i="1"/>
  <c r="U4039" i="1"/>
  <c r="BB4039" i="1"/>
  <c r="BW4039" i="1"/>
  <c r="A4040" i="1"/>
  <c r="C4040" i="1"/>
  <c r="S4040" i="1"/>
  <c r="T4040" i="1"/>
  <c r="U4040" i="1"/>
  <c r="BB4040" i="1"/>
  <c r="BW4040" i="1"/>
  <c r="A4041" i="1"/>
  <c r="C4041" i="1"/>
  <c r="S4041" i="1"/>
  <c r="T4041" i="1"/>
  <c r="U4041" i="1"/>
  <c r="BB4041" i="1"/>
  <c r="BW4041" i="1"/>
  <c r="A4042" i="1"/>
  <c r="C4042" i="1"/>
  <c r="S4042" i="1"/>
  <c r="T4042" i="1"/>
  <c r="U4042" i="1"/>
  <c r="BB4042" i="1"/>
  <c r="BW4042" i="1"/>
  <c r="A4043" i="1"/>
  <c r="C4043" i="1"/>
  <c r="S4043" i="1"/>
  <c r="T4043" i="1"/>
  <c r="U4043" i="1"/>
  <c r="BB4043" i="1"/>
  <c r="BW4043" i="1"/>
  <c r="A4044" i="1"/>
  <c r="C4044" i="1"/>
  <c r="S4044" i="1"/>
  <c r="T4044" i="1"/>
  <c r="U4044" i="1"/>
  <c r="BB4044" i="1"/>
  <c r="BW4044" i="1"/>
  <c r="A4045" i="1"/>
  <c r="C4045" i="1"/>
  <c r="S4045" i="1"/>
  <c r="T4045" i="1"/>
  <c r="U4045" i="1"/>
  <c r="BB4045" i="1"/>
  <c r="BW4045" i="1"/>
  <c r="A4046" i="1"/>
  <c r="C4046" i="1"/>
  <c r="S4046" i="1"/>
  <c r="T4046" i="1"/>
  <c r="U4046" i="1"/>
  <c r="BB4046" i="1"/>
  <c r="BW4046" i="1"/>
  <c r="A4047" i="1"/>
  <c r="C4047" i="1"/>
  <c r="S4047" i="1"/>
  <c r="T4047" i="1"/>
  <c r="U4047" i="1"/>
  <c r="BB4047" i="1"/>
  <c r="BW4047" i="1"/>
  <c r="A4048" i="1"/>
  <c r="C4048" i="1"/>
  <c r="S4048" i="1"/>
  <c r="T4048" i="1"/>
  <c r="U4048" i="1"/>
  <c r="BB4048" i="1"/>
  <c r="BW4048" i="1"/>
  <c r="A4049" i="1"/>
  <c r="C4049" i="1"/>
  <c r="S4049" i="1"/>
  <c r="T4049" i="1"/>
  <c r="U4049" i="1"/>
  <c r="BB4049" i="1"/>
  <c r="BW4049" i="1"/>
  <c r="A4050" i="1"/>
  <c r="C4050" i="1"/>
  <c r="S4050" i="1"/>
  <c r="T4050" i="1"/>
  <c r="U4050" i="1"/>
  <c r="BB4050" i="1"/>
  <c r="BW4050" i="1"/>
  <c r="A4051" i="1"/>
  <c r="C4051" i="1"/>
  <c r="S4051" i="1"/>
  <c r="T4051" i="1"/>
  <c r="U4051" i="1"/>
  <c r="BB4051" i="1"/>
  <c r="BW4051" i="1"/>
  <c r="A4052" i="1"/>
  <c r="C4052" i="1"/>
  <c r="S4052" i="1"/>
  <c r="T4052" i="1"/>
  <c r="U4052" i="1"/>
  <c r="BB4052" i="1"/>
  <c r="BW4052" i="1"/>
  <c r="A4053" i="1"/>
  <c r="C4053" i="1"/>
  <c r="S4053" i="1"/>
  <c r="T4053" i="1"/>
  <c r="U4053" i="1"/>
  <c r="BB4053" i="1"/>
  <c r="BW4053" i="1"/>
  <c r="A4054" i="1"/>
  <c r="C4054" i="1"/>
  <c r="S4054" i="1"/>
  <c r="T4054" i="1"/>
  <c r="U4054" i="1"/>
  <c r="BB4054" i="1"/>
  <c r="BW4054" i="1"/>
  <c r="A4055" i="1"/>
  <c r="C4055" i="1"/>
  <c r="S4055" i="1"/>
  <c r="T4055" i="1"/>
  <c r="U4055" i="1"/>
  <c r="BB4055" i="1"/>
  <c r="BW4055" i="1"/>
  <c r="A4056" i="1"/>
  <c r="C4056" i="1"/>
  <c r="S4056" i="1"/>
  <c r="T4056" i="1"/>
  <c r="U4056" i="1"/>
  <c r="BB4056" i="1"/>
  <c r="BW4056" i="1"/>
  <c r="A4057" i="1"/>
  <c r="C4057" i="1"/>
  <c r="S4057" i="1"/>
  <c r="T4057" i="1"/>
  <c r="U4057" i="1"/>
  <c r="BB4057" i="1"/>
  <c r="BW4057" i="1"/>
  <c r="A4058" i="1"/>
  <c r="C4058" i="1"/>
  <c r="S4058" i="1"/>
  <c r="T4058" i="1"/>
  <c r="U4058" i="1"/>
  <c r="BB4058" i="1"/>
  <c r="BW4058" i="1"/>
  <c r="A4059" i="1"/>
  <c r="C4059" i="1"/>
  <c r="S4059" i="1"/>
  <c r="T4059" i="1"/>
  <c r="U4059" i="1"/>
  <c r="BB4059" i="1"/>
  <c r="BW4059" i="1"/>
  <c r="A4060" i="1"/>
  <c r="C4060" i="1"/>
  <c r="S4060" i="1"/>
  <c r="T4060" i="1"/>
  <c r="U4060" i="1"/>
  <c r="BB4060" i="1"/>
  <c r="BW4060" i="1"/>
  <c r="A4061" i="1"/>
  <c r="C4061" i="1"/>
  <c r="S4061" i="1"/>
  <c r="T4061" i="1"/>
  <c r="U4061" i="1"/>
  <c r="BB4061" i="1"/>
  <c r="BW4061" i="1"/>
  <c r="A4062" i="1"/>
  <c r="C4062" i="1"/>
  <c r="S4062" i="1"/>
  <c r="T4062" i="1"/>
  <c r="U4062" i="1"/>
  <c r="BB4062" i="1"/>
  <c r="BW4062" i="1"/>
  <c r="A4063" i="1"/>
  <c r="C4063" i="1"/>
  <c r="S4063" i="1"/>
  <c r="T4063" i="1"/>
  <c r="U4063" i="1"/>
  <c r="BB4063" i="1"/>
  <c r="BW4063" i="1"/>
  <c r="A4064" i="1"/>
  <c r="C4064" i="1"/>
  <c r="S4064" i="1"/>
  <c r="T4064" i="1"/>
  <c r="U4064" i="1"/>
  <c r="BB4064" i="1"/>
  <c r="BW4064" i="1"/>
  <c r="A4065" i="1"/>
  <c r="C4065" i="1"/>
  <c r="S4065" i="1"/>
  <c r="T4065" i="1"/>
  <c r="U4065" i="1"/>
  <c r="BB4065" i="1"/>
  <c r="BW4065" i="1"/>
  <c r="A4066" i="1"/>
  <c r="C4066" i="1"/>
  <c r="S4066" i="1"/>
  <c r="T4066" i="1"/>
  <c r="U4066" i="1"/>
  <c r="BB4066" i="1"/>
  <c r="BW4066" i="1"/>
  <c r="A4067" i="1"/>
  <c r="C4067" i="1"/>
  <c r="S4067" i="1"/>
  <c r="T4067" i="1"/>
  <c r="U4067" i="1"/>
  <c r="BB4067" i="1"/>
  <c r="BW4067" i="1"/>
  <c r="A4068" i="1"/>
  <c r="C4068" i="1"/>
  <c r="S4068" i="1"/>
  <c r="T4068" i="1"/>
  <c r="U4068" i="1"/>
  <c r="BB4068" i="1"/>
  <c r="BW4068" i="1"/>
  <c r="A4069" i="1"/>
  <c r="C4069" i="1"/>
  <c r="S4069" i="1"/>
  <c r="T4069" i="1"/>
  <c r="U4069" i="1"/>
  <c r="BB4069" i="1"/>
  <c r="BW4069" i="1"/>
  <c r="A4070" i="1"/>
  <c r="C4070" i="1"/>
  <c r="S4070" i="1"/>
  <c r="T4070" i="1"/>
  <c r="U4070" i="1"/>
  <c r="BB4070" i="1"/>
  <c r="BW4070" i="1"/>
  <c r="A4071" i="1"/>
  <c r="C4071" i="1"/>
  <c r="S4071" i="1"/>
  <c r="T4071" i="1"/>
  <c r="U4071" i="1"/>
  <c r="BB4071" i="1"/>
  <c r="BW4071" i="1"/>
  <c r="A4072" i="1"/>
  <c r="C4072" i="1"/>
  <c r="S4072" i="1"/>
  <c r="T4072" i="1"/>
  <c r="U4072" i="1"/>
  <c r="BB4072" i="1"/>
  <c r="BW4072" i="1"/>
  <c r="A4073" i="1"/>
  <c r="C4073" i="1"/>
  <c r="S4073" i="1"/>
  <c r="T4073" i="1"/>
  <c r="U4073" i="1"/>
  <c r="BB4073" i="1"/>
  <c r="BW4073" i="1"/>
  <c r="A4074" i="1"/>
  <c r="C4074" i="1"/>
  <c r="S4074" i="1"/>
  <c r="T4074" i="1"/>
  <c r="U4074" i="1"/>
  <c r="BB4074" i="1"/>
  <c r="BW4074" i="1"/>
  <c r="A4075" i="1"/>
  <c r="C4075" i="1"/>
  <c r="S4075" i="1"/>
  <c r="T4075" i="1"/>
  <c r="U4075" i="1"/>
  <c r="BB4075" i="1"/>
  <c r="BW4075" i="1"/>
  <c r="A4076" i="1"/>
  <c r="C4076" i="1"/>
  <c r="S4076" i="1"/>
  <c r="T4076" i="1"/>
  <c r="U4076" i="1"/>
  <c r="BB4076" i="1"/>
  <c r="BW4076" i="1"/>
  <c r="A4077" i="1"/>
  <c r="C4077" i="1"/>
  <c r="S4077" i="1"/>
  <c r="T4077" i="1"/>
  <c r="U4077" i="1"/>
  <c r="BB4077" i="1"/>
  <c r="BW4077" i="1"/>
  <c r="A4078" i="1"/>
  <c r="C4078" i="1"/>
  <c r="S4078" i="1"/>
  <c r="T4078" i="1"/>
  <c r="U4078" i="1"/>
  <c r="BB4078" i="1"/>
  <c r="BW4078" i="1"/>
  <c r="A4079" i="1"/>
  <c r="C4079" i="1"/>
  <c r="S4079" i="1"/>
  <c r="T4079" i="1"/>
  <c r="U4079" i="1"/>
  <c r="BB4079" i="1"/>
  <c r="BW4079" i="1"/>
  <c r="A4080" i="1"/>
  <c r="C4080" i="1"/>
  <c r="S4080" i="1"/>
  <c r="T4080" i="1"/>
  <c r="U4080" i="1"/>
  <c r="BB4080" i="1"/>
  <c r="BW4080" i="1"/>
  <c r="A4081" i="1"/>
  <c r="C4081" i="1"/>
  <c r="S4081" i="1"/>
  <c r="T4081" i="1"/>
  <c r="U4081" i="1"/>
  <c r="BB4081" i="1"/>
  <c r="BW4081" i="1"/>
  <c r="A4082" i="1"/>
  <c r="C4082" i="1"/>
  <c r="S4082" i="1"/>
  <c r="T4082" i="1"/>
  <c r="U4082" i="1"/>
  <c r="BB4082" i="1"/>
  <c r="BW4082" i="1"/>
  <c r="A4083" i="1"/>
  <c r="C4083" i="1"/>
  <c r="S4083" i="1"/>
  <c r="T4083" i="1"/>
  <c r="U4083" i="1"/>
  <c r="BB4083" i="1"/>
  <c r="BW4083" i="1"/>
  <c r="A4084" i="1"/>
  <c r="C4084" i="1"/>
  <c r="S4084" i="1"/>
  <c r="T4084" i="1"/>
  <c r="U4084" i="1"/>
  <c r="BB4084" i="1"/>
  <c r="BW4084" i="1"/>
  <c r="A4085" i="1"/>
  <c r="C4085" i="1"/>
  <c r="S4085" i="1"/>
  <c r="T4085" i="1"/>
  <c r="U4085" i="1"/>
  <c r="BB4085" i="1"/>
  <c r="BW4085" i="1"/>
  <c r="A4086" i="1"/>
  <c r="C4086" i="1"/>
  <c r="S4086" i="1"/>
  <c r="T4086" i="1"/>
  <c r="U4086" i="1"/>
  <c r="BB4086" i="1"/>
  <c r="BW4086" i="1"/>
  <c r="A4087" i="1"/>
  <c r="C4087" i="1"/>
  <c r="S4087" i="1"/>
  <c r="T4087" i="1"/>
  <c r="U4087" i="1"/>
  <c r="BB4087" i="1"/>
  <c r="BW4087" i="1"/>
  <c r="A4088" i="1"/>
  <c r="C4088" i="1"/>
  <c r="S4088" i="1"/>
  <c r="T4088" i="1"/>
  <c r="U4088" i="1"/>
  <c r="BB4088" i="1"/>
  <c r="BW4088" i="1"/>
  <c r="A4089" i="1"/>
  <c r="C4089" i="1"/>
  <c r="S4089" i="1"/>
  <c r="T4089" i="1"/>
  <c r="U4089" i="1"/>
  <c r="BB4089" i="1"/>
  <c r="BW4089" i="1"/>
  <c r="A4090" i="1"/>
  <c r="C4090" i="1"/>
  <c r="S4090" i="1"/>
  <c r="T4090" i="1"/>
  <c r="U4090" i="1"/>
  <c r="BB4090" i="1"/>
  <c r="BW4090" i="1"/>
  <c r="A4091" i="1"/>
  <c r="C4091" i="1"/>
  <c r="S4091" i="1"/>
  <c r="T4091" i="1"/>
  <c r="U4091" i="1"/>
  <c r="BB4091" i="1"/>
  <c r="BW4091" i="1"/>
  <c r="A4092" i="1"/>
  <c r="C4092" i="1"/>
  <c r="S4092" i="1"/>
  <c r="T4092" i="1"/>
  <c r="U4092" i="1"/>
  <c r="BB4092" i="1"/>
  <c r="BW4092" i="1"/>
  <c r="A4093" i="1"/>
  <c r="C4093" i="1"/>
  <c r="S4093" i="1"/>
  <c r="T4093" i="1"/>
  <c r="U4093" i="1"/>
  <c r="BB4093" i="1"/>
  <c r="BW4093" i="1"/>
  <c r="A4094" i="1"/>
  <c r="C4094" i="1"/>
  <c r="S4094" i="1"/>
  <c r="T4094" i="1"/>
  <c r="U4094" i="1"/>
  <c r="BB4094" i="1"/>
  <c r="BW4094" i="1"/>
  <c r="A4095" i="1"/>
  <c r="C4095" i="1"/>
  <c r="S4095" i="1"/>
  <c r="T4095" i="1"/>
  <c r="U4095" i="1"/>
  <c r="BB4095" i="1"/>
  <c r="BW4095" i="1"/>
  <c r="A4096" i="1"/>
  <c r="C4096" i="1"/>
  <c r="S4096" i="1"/>
  <c r="T4096" i="1"/>
  <c r="U4096" i="1"/>
  <c r="BB4096" i="1"/>
  <c r="BW4096" i="1"/>
  <c r="A4097" i="1"/>
  <c r="C4097" i="1"/>
  <c r="S4097" i="1"/>
  <c r="T4097" i="1"/>
  <c r="U4097" i="1"/>
  <c r="BB4097" i="1"/>
  <c r="BW4097" i="1"/>
  <c r="A4098" i="1"/>
  <c r="C4098" i="1"/>
  <c r="S4098" i="1"/>
  <c r="T4098" i="1"/>
  <c r="U4098" i="1"/>
  <c r="BB4098" i="1"/>
  <c r="BW4098" i="1"/>
  <c r="A4099" i="1"/>
  <c r="C4099" i="1"/>
  <c r="S4099" i="1"/>
  <c r="T4099" i="1"/>
  <c r="U4099" i="1"/>
  <c r="BB4099" i="1"/>
  <c r="BW4099" i="1"/>
  <c r="A4100" i="1"/>
  <c r="C4100" i="1"/>
  <c r="S4100" i="1"/>
  <c r="T4100" i="1"/>
  <c r="U4100" i="1"/>
  <c r="BB4100" i="1"/>
  <c r="BW4100" i="1"/>
  <c r="A4101" i="1"/>
  <c r="C4101" i="1"/>
  <c r="S4101" i="1"/>
  <c r="T4101" i="1"/>
  <c r="U4101" i="1"/>
  <c r="BB4101" i="1"/>
  <c r="BW4101" i="1"/>
  <c r="A4102" i="1"/>
  <c r="C4102" i="1"/>
  <c r="S4102" i="1"/>
  <c r="T4102" i="1"/>
  <c r="U4102" i="1"/>
  <c r="BB4102" i="1"/>
  <c r="BW4102" i="1"/>
  <c r="A4103" i="1"/>
  <c r="C4103" i="1"/>
  <c r="S4103" i="1"/>
  <c r="T4103" i="1"/>
  <c r="U4103" i="1"/>
  <c r="BB4103" i="1"/>
  <c r="BW4103" i="1"/>
  <c r="A4104" i="1"/>
  <c r="C4104" i="1"/>
  <c r="S4104" i="1"/>
  <c r="T4104" i="1"/>
  <c r="U4104" i="1"/>
  <c r="BB4104" i="1"/>
  <c r="BW4104" i="1"/>
  <c r="A4105" i="1"/>
  <c r="C4105" i="1"/>
  <c r="S4105" i="1"/>
  <c r="T4105" i="1"/>
  <c r="U4105" i="1"/>
  <c r="BB4105" i="1"/>
  <c r="BW4105" i="1"/>
  <c r="A4106" i="1"/>
  <c r="C4106" i="1"/>
  <c r="S4106" i="1"/>
  <c r="T4106" i="1"/>
  <c r="U4106" i="1"/>
  <c r="BB4106" i="1"/>
  <c r="BW4106" i="1"/>
  <c r="A4107" i="1"/>
  <c r="C4107" i="1"/>
  <c r="S4107" i="1"/>
  <c r="T4107" i="1"/>
  <c r="U4107" i="1"/>
  <c r="BB4107" i="1"/>
  <c r="BW4107" i="1"/>
  <c r="A4108" i="1"/>
  <c r="C4108" i="1"/>
  <c r="S4108" i="1"/>
  <c r="T4108" i="1"/>
  <c r="U4108" i="1"/>
  <c r="BB4108" i="1"/>
  <c r="BW4108" i="1"/>
  <c r="A4109" i="1"/>
  <c r="C4109" i="1"/>
  <c r="S4109" i="1"/>
  <c r="T4109" i="1"/>
  <c r="U4109" i="1"/>
  <c r="BB4109" i="1"/>
  <c r="BW4109" i="1"/>
  <c r="A4110" i="1"/>
  <c r="C4110" i="1"/>
  <c r="S4110" i="1"/>
  <c r="T4110" i="1"/>
  <c r="U4110" i="1"/>
  <c r="BB4110" i="1"/>
  <c r="BW4110" i="1"/>
  <c r="A4111" i="1"/>
  <c r="C4111" i="1"/>
  <c r="S4111" i="1"/>
  <c r="T4111" i="1"/>
  <c r="U4111" i="1"/>
  <c r="BB4111" i="1"/>
  <c r="BW4111" i="1"/>
  <c r="A4112" i="1"/>
  <c r="C4112" i="1"/>
  <c r="S4112" i="1"/>
  <c r="T4112" i="1"/>
  <c r="U4112" i="1"/>
  <c r="BB4112" i="1"/>
  <c r="BW4112" i="1"/>
  <c r="A4113" i="1"/>
  <c r="C4113" i="1"/>
  <c r="S4113" i="1"/>
  <c r="T4113" i="1"/>
  <c r="U4113" i="1"/>
  <c r="BB4113" i="1"/>
  <c r="BW4113" i="1"/>
  <c r="A4114" i="1"/>
  <c r="C4114" i="1"/>
  <c r="S4114" i="1"/>
  <c r="T4114" i="1"/>
  <c r="U4114" i="1"/>
  <c r="BB4114" i="1"/>
  <c r="BW4114" i="1"/>
  <c r="A4115" i="1"/>
  <c r="C4115" i="1"/>
  <c r="S4115" i="1"/>
  <c r="T4115" i="1"/>
  <c r="U4115" i="1"/>
  <c r="BB4115" i="1"/>
  <c r="BW4115" i="1"/>
  <c r="A4116" i="1"/>
  <c r="C4116" i="1"/>
  <c r="S4116" i="1"/>
  <c r="T4116" i="1"/>
  <c r="U4116" i="1"/>
  <c r="BB4116" i="1"/>
  <c r="BW4116" i="1"/>
  <c r="A4117" i="1"/>
  <c r="C4117" i="1"/>
  <c r="S4117" i="1"/>
  <c r="T4117" i="1"/>
  <c r="U4117" i="1"/>
  <c r="BB4117" i="1"/>
  <c r="BW4117" i="1"/>
  <c r="A4118" i="1"/>
  <c r="C4118" i="1"/>
  <c r="S4118" i="1"/>
  <c r="T4118" i="1"/>
  <c r="U4118" i="1"/>
  <c r="BB4118" i="1"/>
  <c r="BW4118" i="1"/>
  <c r="A4119" i="1"/>
  <c r="C4119" i="1"/>
  <c r="S4119" i="1"/>
  <c r="T4119" i="1"/>
  <c r="U4119" i="1"/>
  <c r="BB4119" i="1"/>
  <c r="BW4119" i="1"/>
  <c r="A4120" i="1"/>
  <c r="C4120" i="1"/>
  <c r="S4120" i="1"/>
  <c r="T4120" i="1"/>
  <c r="U4120" i="1"/>
  <c r="BB4120" i="1"/>
  <c r="BW4120" i="1"/>
  <c r="A4121" i="1"/>
  <c r="C4121" i="1"/>
  <c r="S4121" i="1"/>
  <c r="T4121" i="1"/>
  <c r="U4121" i="1"/>
  <c r="BB4121" i="1"/>
  <c r="BW4121" i="1"/>
  <c r="A4122" i="1"/>
  <c r="C4122" i="1"/>
  <c r="S4122" i="1"/>
  <c r="T4122" i="1"/>
  <c r="U4122" i="1"/>
  <c r="BB4122" i="1"/>
  <c r="BW4122" i="1"/>
  <c r="A4123" i="1"/>
  <c r="C4123" i="1"/>
  <c r="S4123" i="1"/>
  <c r="T4123" i="1"/>
  <c r="U4123" i="1"/>
  <c r="BB4123" i="1"/>
  <c r="BW4123" i="1"/>
  <c r="A4124" i="1"/>
  <c r="C4124" i="1"/>
  <c r="S4124" i="1"/>
  <c r="T4124" i="1"/>
  <c r="U4124" i="1"/>
  <c r="BB4124" i="1"/>
  <c r="BW4124" i="1"/>
  <c r="A4125" i="1"/>
  <c r="C4125" i="1"/>
  <c r="S4125" i="1"/>
  <c r="T4125" i="1"/>
  <c r="U4125" i="1"/>
  <c r="BB4125" i="1"/>
  <c r="BW4125" i="1"/>
  <c r="A4126" i="1"/>
  <c r="C4126" i="1"/>
  <c r="S4126" i="1"/>
  <c r="T4126" i="1"/>
  <c r="U4126" i="1"/>
  <c r="BB4126" i="1"/>
  <c r="BW4126" i="1"/>
  <c r="A4127" i="1"/>
  <c r="C4127" i="1"/>
  <c r="S4127" i="1"/>
  <c r="T4127" i="1"/>
  <c r="U4127" i="1"/>
  <c r="BB4127" i="1"/>
  <c r="BW4127" i="1"/>
  <c r="A4128" i="1"/>
  <c r="C4128" i="1"/>
  <c r="S4128" i="1"/>
  <c r="T4128" i="1"/>
  <c r="U4128" i="1"/>
  <c r="BB4128" i="1"/>
  <c r="BW4128" i="1"/>
  <c r="A4129" i="1"/>
  <c r="C4129" i="1"/>
  <c r="S4129" i="1"/>
  <c r="T4129" i="1"/>
  <c r="U4129" i="1"/>
  <c r="BB4129" i="1"/>
  <c r="BW4129" i="1"/>
  <c r="A4130" i="1"/>
  <c r="C4130" i="1"/>
  <c r="S4130" i="1"/>
  <c r="T4130" i="1"/>
  <c r="U4130" i="1"/>
  <c r="BB4130" i="1"/>
  <c r="BW4130" i="1"/>
  <c r="A4131" i="1"/>
  <c r="C4131" i="1"/>
  <c r="S4131" i="1"/>
  <c r="T4131" i="1"/>
  <c r="U4131" i="1"/>
  <c r="BB4131" i="1"/>
  <c r="BW4131" i="1"/>
  <c r="A4132" i="1"/>
  <c r="C4132" i="1"/>
  <c r="S4132" i="1"/>
  <c r="T4132" i="1"/>
  <c r="U4132" i="1"/>
  <c r="BB4132" i="1"/>
  <c r="BW4132" i="1"/>
  <c r="A4133" i="1"/>
  <c r="C4133" i="1"/>
  <c r="S4133" i="1"/>
  <c r="T4133" i="1"/>
  <c r="U4133" i="1"/>
  <c r="BB4133" i="1"/>
  <c r="BW4133" i="1"/>
  <c r="A4134" i="1"/>
  <c r="C4134" i="1"/>
  <c r="S4134" i="1"/>
  <c r="T4134" i="1"/>
  <c r="U4134" i="1"/>
  <c r="BB4134" i="1"/>
  <c r="BW4134" i="1"/>
  <c r="A4135" i="1"/>
  <c r="C4135" i="1"/>
  <c r="S4135" i="1"/>
  <c r="T4135" i="1"/>
  <c r="U4135" i="1"/>
  <c r="BB4135" i="1"/>
  <c r="BW4135" i="1"/>
  <c r="A4136" i="1"/>
  <c r="C4136" i="1"/>
  <c r="S4136" i="1"/>
  <c r="T4136" i="1"/>
  <c r="U4136" i="1"/>
  <c r="BB4136" i="1"/>
  <c r="BW4136" i="1"/>
  <c r="A4137" i="1"/>
  <c r="C4137" i="1"/>
  <c r="S4137" i="1"/>
  <c r="T4137" i="1"/>
  <c r="U4137" i="1"/>
  <c r="BB4137" i="1"/>
  <c r="BW4137" i="1"/>
  <c r="A4138" i="1"/>
  <c r="C4138" i="1"/>
  <c r="S4138" i="1"/>
  <c r="T4138" i="1"/>
  <c r="U4138" i="1"/>
  <c r="BB4138" i="1"/>
  <c r="BW4138" i="1"/>
  <c r="A4139" i="1"/>
  <c r="C4139" i="1"/>
  <c r="S4139" i="1"/>
  <c r="T4139" i="1"/>
  <c r="U4139" i="1"/>
  <c r="BB4139" i="1"/>
  <c r="BW4139" i="1"/>
  <c r="A4140" i="1"/>
  <c r="C4140" i="1"/>
  <c r="S4140" i="1"/>
  <c r="T4140" i="1"/>
  <c r="U4140" i="1"/>
  <c r="BB4140" i="1"/>
  <c r="BW4140" i="1"/>
  <c r="A4141" i="1"/>
  <c r="C4141" i="1"/>
  <c r="S4141" i="1"/>
  <c r="T4141" i="1"/>
  <c r="U4141" i="1"/>
  <c r="BB4141" i="1"/>
  <c r="BW4141" i="1"/>
  <c r="A4142" i="1"/>
  <c r="C4142" i="1"/>
  <c r="S4142" i="1"/>
  <c r="T4142" i="1"/>
  <c r="U4142" i="1"/>
  <c r="BB4142" i="1"/>
  <c r="BW4142" i="1"/>
  <c r="A4143" i="1"/>
  <c r="C4143" i="1"/>
  <c r="S4143" i="1"/>
  <c r="T4143" i="1"/>
  <c r="U4143" i="1"/>
  <c r="BB4143" i="1"/>
  <c r="BW4143" i="1"/>
  <c r="A4144" i="1"/>
  <c r="C4144" i="1"/>
  <c r="S4144" i="1"/>
  <c r="T4144" i="1"/>
  <c r="U4144" i="1"/>
  <c r="BB4144" i="1"/>
  <c r="BW4144" i="1"/>
  <c r="A4145" i="1"/>
  <c r="C4145" i="1"/>
  <c r="S4145" i="1"/>
  <c r="T4145" i="1"/>
  <c r="U4145" i="1"/>
  <c r="BB4145" i="1"/>
  <c r="BW4145" i="1"/>
  <c r="A4146" i="1"/>
  <c r="C4146" i="1"/>
  <c r="S4146" i="1"/>
  <c r="T4146" i="1"/>
  <c r="U4146" i="1"/>
  <c r="BB4146" i="1"/>
  <c r="BW4146" i="1"/>
  <c r="A4147" i="1"/>
  <c r="C4147" i="1"/>
  <c r="S4147" i="1"/>
  <c r="T4147" i="1"/>
  <c r="U4147" i="1"/>
  <c r="BB4147" i="1"/>
  <c r="BW4147" i="1"/>
  <c r="A4148" i="1"/>
  <c r="C4148" i="1"/>
  <c r="S4148" i="1"/>
  <c r="T4148" i="1"/>
  <c r="U4148" i="1"/>
  <c r="BB4148" i="1"/>
  <c r="BW4148" i="1"/>
  <c r="A4149" i="1"/>
  <c r="C4149" i="1"/>
  <c r="S4149" i="1"/>
  <c r="T4149" i="1"/>
  <c r="U4149" i="1"/>
  <c r="BB4149" i="1"/>
  <c r="BW4149" i="1"/>
  <c r="A4150" i="1"/>
  <c r="C4150" i="1"/>
  <c r="S4150" i="1"/>
  <c r="T4150" i="1"/>
  <c r="U4150" i="1"/>
  <c r="BB4150" i="1"/>
  <c r="BW4150" i="1"/>
  <c r="A4151" i="1"/>
  <c r="C4151" i="1"/>
  <c r="S4151" i="1"/>
  <c r="T4151" i="1"/>
  <c r="U4151" i="1"/>
  <c r="BB4151" i="1"/>
  <c r="BW4151" i="1"/>
  <c r="A4152" i="1"/>
  <c r="C4152" i="1"/>
  <c r="S4152" i="1"/>
  <c r="T4152" i="1"/>
  <c r="U4152" i="1"/>
  <c r="BB4152" i="1"/>
  <c r="BW4152" i="1"/>
  <c r="A4153" i="1"/>
  <c r="C4153" i="1"/>
  <c r="S4153" i="1"/>
  <c r="T4153" i="1"/>
  <c r="U4153" i="1"/>
  <c r="BB4153" i="1"/>
  <c r="BW4153" i="1"/>
  <c r="A4154" i="1"/>
  <c r="C4154" i="1"/>
  <c r="S4154" i="1"/>
  <c r="T4154" i="1"/>
  <c r="U4154" i="1"/>
  <c r="BB4154" i="1"/>
  <c r="BW4154" i="1"/>
  <c r="A4155" i="1"/>
  <c r="C4155" i="1"/>
  <c r="S4155" i="1"/>
  <c r="T4155" i="1"/>
  <c r="U4155" i="1"/>
  <c r="BB4155" i="1"/>
  <c r="BW4155" i="1"/>
  <c r="A4156" i="1"/>
  <c r="C4156" i="1"/>
  <c r="S4156" i="1"/>
  <c r="T4156" i="1"/>
  <c r="U4156" i="1"/>
  <c r="BB4156" i="1"/>
  <c r="BW4156" i="1"/>
  <c r="A4157" i="1"/>
  <c r="C4157" i="1"/>
  <c r="S4157" i="1"/>
  <c r="T4157" i="1"/>
  <c r="U4157" i="1"/>
  <c r="BB4157" i="1"/>
  <c r="BW4157" i="1"/>
  <c r="A4158" i="1"/>
  <c r="C4158" i="1"/>
  <c r="S4158" i="1"/>
  <c r="T4158" i="1"/>
  <c r="U4158" i="1"/>
  <c r="BB4158" i="1"/>
  <c r="BW4158" i="1"/>
  <c r="A4159" i="1"/>
  <c r="C4159" i="1"/>
  <c r="S4159" i="1"/>
  <c r="T4159" i="1"/>
  <c r="U4159" i="1"/>
  <c r="BB4159" i="1"/>
  <c r="BW4159" i="1"/>
  <c r="A4160" i="1"/>
  <c r="C4160" i="1"/>
  <c r="S4160" i="1"/>
  <c r="T4160" i="1"/>
  <c r="U4160" i="1"/>
  <c r="BB4160" i="1"/>
  <c r="BW4160" i="1"/>
  <c r="A4161" i="1"/>
  <c r="C4161" i="1"/>
  <c r="S4161" i="1"/>
  <c r="T4161" i="1"/>
  <c r="U4161" i="1"/>
  <c r="BB4161" i="1"/>
  <c r="BW4161" i="1"/>
  <c r="A4162" i="1"/>
  <c r="C4162" i="1"/>
  <c r="S4162" i="1"/>
  <c r="T4162" i="1"/>
  <c r="U4162" i="1"/>
  <c r="BB4162" i="1"/>
  <c r="BW4162" i="1"/>
  <c r="A4163" i="1"/>
  <c r="C4163" i="1"/>
  <c r="S4163" i="1"/>
  <c r="T4163" i="1"/>
  <c r="U4163" i="1"/>
  <c r="BB4163" i="1"/>
  <c r="BW4163" i="1"/>
  <c r="A4164" i="1"/>
  <c r="C4164" i="1"/>
  <c r="S4164" i="1"/>
  <c r="T4164" i="1"/>
  <c r="U4164" i="1"/>
  <c r="BB4164" i="1"/>
  <c r="BW4164" i="1"/>
  <c r="A4165" i="1"/>
  <c r="C4165" i="1"/>
  <c r="S4165" i="1"/>
  <c r="T4165" i="1"/>
  <c r="U4165" i="1"/>
  <c r="BB4165" i="1"/>
  <c r="BW4165" i="1"/>
  <c r="A4166" i="1"/>
  <c r="C4166" i="1"/>
  <c r="S4166" i="1"/>
  <c r="T4166" i="1"/>
  <c r="U4166" i="1"/>
  <c r="BB4166" i="1"/>
  <c r="BW4166" i="1"/>
  <c r="A4167" i="1"/>
  <c r="C4167" i="1"/>
  <c r="S4167" i="1"/>
  <c r="T4167" i="1"/>
  <c r="U4167" i="1"/>
  <c r="BB4167" i="1"/>
  <c r="BW4167" i="1"/>
  <c r="A4168" i="1"/>
  <c r="C4168" i="1"/>
  <c r="S4168" i="1"/>
  <c r="T4168" i="1"/>
  <c r="U4168" i="1"/>
  <c r="BB4168" i="1"/>
  <c r="BW4168" i="1"/>
  <c r="A4169" i="1"/>
  <c r="C4169" i="1"/>
  <c r="S4169" i="1"/>
  <c r="T4169" i="1"/>
  <c r="U4169" i="1"/>
  <c r="BB4169" i="1"/>
  <c r="BW4169" i="1"/>
  <c r="A4170" i="1"/>
  <c r="C4170" i="1"/>
  <c r="S4170" i="1"/>
  <c r="T4170" i="1"/>
  <c r="U4170" i="1"/>
  <c r="BB4170" i="1"/>
  <c r="BW4170" i="1"/>
  <c r="A4171" i="1"/>
  <c r="C4171" i="1"/>
  <c r="S4171" i="1"/>
  <c r="T4171" i="1"/>
  <c r="U4171" i="1"/>
  <c r="BB4171" i="1"/>
  <c r="BW4171" i="1"/>
  <c r="A4172" i="1"/>
  <c r="C4172" i="1"/>
  <c r="S4172" i="1"/>
  <c r="T4172" i="1"/>
  <c r="U4172" i="1"/>
  <c r="BB4172" i="1"/>
  <c r="BW4172" i="1"/>
  <c r="A4173" i="1"/>
  <c r="C4173" i="1"/>
  <c r="S4173" i="1"/>
  <c r="T4173" i="1"/>
  <c r="U4173" i="1"/>
  <c r="BB4173" i="1"/>
  <c r="BW4173" i="1"/>
  <c r="A4174" i="1"/>
  <c r="C4174" i="1"/>
  <c r="S4174" i="1"/>
  <c r="T4174" i="1"/>
  <c r="U4174" i="1"/>
  <c r="BB4174" i="1"/>
  <c r="BW4174" i="1"/>
  <c r="A4175" i="1"/>
  <c r="C4175" i="1"/>
  <c r="S4175" i="1"/>
  <c r="T4175" i="1"/>
  <c r="U4175" i="1"/>
  <c r="BB4175" i="1"/>
  <c r="BW4175" i="1"/>
  <c r="A4176" i="1"/>
  <c r="C4176" i="1"/>
  <c r="S4176" i="1"/>
  <c r="T4176" i="1"/>
  <c r="U4176" i="1"/>
  <c r="BB4176" i="1"/>
  <c r="BW4176" i="1"/>
  <c r="A4177" i="1"/>
  <c r="C4177" i="1"/>
  <c r="S4177" i="1"/>
  <c r="T4177" i="1"/>
  <c r="U4177" i="1"/>
  <c r="BB4177" i="1"/>
  <c r="BW4177" i="1"/>
  <c r="A4178" i="1"/>
  <c r="C4178" i="1"/>
  <c r="S4178" i="1"/>
  <c r="T4178" i="1"/>
  <c r="U4178" i="1"/>
  <c r="BB4178" i="1"/>
  <c r="BW4178" i="1"/>
  <c r="A4179" i="1"/>
  <c r="C4179" i="1"/>
  <c r="S4179" i="1"/>
  <c r="T4179" i="1"/>
  <c r="U4179" i="1"/>
  <c r="BB4179" i="1"/>
  <c r="BW4179" i="1"/>
  <c r="A4180" i="1"/>
  <c r="C4180" i="1"/>
  <c r="S4180" i="1"/>
  <c r="T4180" i="1"/>
  <c r="U4180" i="1"/>
  <c r="BB4180" i="1"/>
  <c r="BW4180" i="1"/>
  <c r="A4181" i="1"/>
  <c r="C4181" i="1"/>
  <c r="S4181" i="1"/>
  <c r="T4181" i="1"/>
  <c r="U4181" i="1"/>
  <c r="BB4181" i="1"/>
  <c r="BW4181" i="1"/>
  <c r="A4182" i="1"/>
  <c r="C4182" i="1"/>
  <c r="S4182" i="1"/>
  <c r="T4182" i="1"/>
  <c r="U4182" i="1"/>
  <c r="BB4182" i="1"/>
  <c r="BW4182" i="1"/>
  <c r="A4183" i="1"/>
  <c r="C4183" i="1"/>
  <c r="S4183" i="1"/>
  <c r="T4183" i="1"/>
  <c r="U4183" i="1"/>
  <c r="BB4183" i="1"/>
  <c r="BW4183" i="1"/>
  <c r="A4184" i="1"/>
  <c r="C4184" i="1"/>
  <c r="S4184" i="1"/>
  <c r="T4184" i="1"/>
  <c r="U4184" i="1"/>
  <c r="BB4184" i="1"/>
  <c r="BW4184" i="1"/>
  <c r="A4185" i="1"/>
  <c r="C4185" i="1"/>
  <c r="S4185" i="1"/>
  <c r="T4185" i="1"/>
  <c r="U4185" i="1"/>
  <c r="BB4185" i="1"/>
  <c r="BW4185" i="1"/>
  <c r="A4186" i="1"/>
  <c r="C4186" i="1"/>
  <c r="S4186" i="1"/>
  <c r="T4186" i="1"/>
  <c r="U4186" i="1"/>
  <c r="BB4186" i="1"/>
  <c r="BW4186" i="1"/>
  <c r="A4187" i="1"/>
  <c r="C4187" i="1"/>
  <c r="S4187" i="1"/>
  <c r="T4187" i="1"/>
  <c r="U4187" i="1"/>
  <c r="BB4187" i="1"/>
  <c r="BW4187" i="1"/>
  <c r="A4188" i="1"/>
  <c r="C4188" i="1"/>
  <c r="S4188" i="1"/>
  <c r="T4188" i="1"/>
  <c r="U4188" i="1"/>
  <c r="BB4188" i="1"/>
  <c r="BW4188" i="1"/>
  <c r="A4189" i="1"/>
  <c r="C4189" i="1"/>
  <c r="S4189" i="1"/>
  <c r="T4189" i="1"/>
  <c r="U4189" i="1"/>
  <c r="BB4189" i="1"/>
  <c r="BW4189" i="1"/>
  <c r="A4190" i="1"/>
  <c r="C4190" i="1"/>
  <c r="S4190" i="1"/>
  <c r="T4190" i="1"/>
  <c r="U4190" i="1"/>
  <c r="BB4190" i="1"/>
  <c r="BW4190" i="1"/>
  <c r="A4191" i="1"/>
  <c r="C4191" i="1"/>
  <c r="S4191" i="1"/>
  <c r="T4191" i="1"/>
  <c r="U4191" i="1"/>
  <c r="BB4191" i="1"/>
  <c r="BW4191" i="1"/>
  <c r="A4192" i="1"/>
  <c r="C4192" i="1"/>
  <c r="S4192" i="1"/>
  <c r="T4192" i="1"/>
  <c r="U4192" i="1"/>
  <c r="BB4192" i="1"/>
  <c r="BW4192" i="1"/>
  <c r="A4193" i="1"/>
  <c r="C4193" i="1"/>
  <c r="S4193" i="1"/>
  <c r="T4193" i="1"/>
  <c r="U4193" i="1"/>
  <c r="BB4193" i="1"/>
  <c r="BW4193" i="1"/>
  <c r="A4194" i="1"/>
  <c r="C4194" i="1"/>
  <c r="S4194" i="1"/>
  <c r="T4194" i="1"/>
  <c r="U4194" i="1"/>
  <c r="BB4194" i="1"/>
  <c r="BW4194" i="1"/>
  <c r="A4195" i="1"/>
  <c r="C4195" i="1"/>
  <c r="S4195" i="1"/>
  <c r="T4195" i="1"/>
  <c r="U4195" i="1"/>
  <c r="BB4195" i="1"/>
  <c r="BW4195" i="1"/>
  <c r="A4196" i="1"/>
  <c r="C4196" i="1"/>
  <c r="S4196" i="1"/>
  <c r="T4196" i="1"/>
  <c r="U4196" i="1"/>
  <c r="BB4196" i="1"/>
  <c r="BW4196" i="1"/>
  <c r="A4197" i="1"/>
  <c r="C4197" i="1"/>
  <c r="S4197" i="1"/>
  <c r="T4197" i="1"/>
  <c r="U4197" i="1"/>
  <c r="BB4197" i="1"/>
  <c r="BW4197" i="1"/>
  <c r="A4198" i="1"/>
  <c r="C4198" i="1"/>
  <c r="S4198" i="1"/>
  <c r="T4198" i="1"/>
  <c r="U4198" i="1"/>
  <c r="BB4198" i="1"/>
  <c r="BW4198" i="1"/>
  <c r="A4199" i="1"/>
  <c r="C4199" i="1"/>
  <c r="S4199" i="1"/>
  <c r="T4199" i="1"/>
  <c r="U4199" i="1"/>
  <c r="BB4199" i="1"/>
  <c r="BW4199" i="1"/>
  <c r="A4200" i="1"/>
  <c r="C4200" i="1"/>
  <c r="S4200" i="1"/>
  <c r="T4200" i="1"/>
  <c r="U4200" i="1"/>
  <c r="BB4200" i="1"/>
  <c r="BW4200" i="1"/>
  <c r="A4201" i="1"/>
  <c r="C4201" i="1"/>
  <c r="S4201" i="1"/>
  <c r="T4201" i="1"/>
  <c r="U4201" i="1"/>
  <c r="BB4201" i="1"/>
  <c r="BW4201" i="1"/>
  <c r="A4202" i="1"/>
  <c r="C4202" i="1"/>
  <c r="S4202" i="1"/>
  <c r="T4202" i="1"/>
  <c r="U4202" i="1"/>
  <c r="BB4202" i="1"/>
  <c r="BW4202" i="1"/>
  <c r="A4203" i="1"/>
  <c r="C4203" i="1"/>
  <c r="S4203" i="1"/>
  <c r="T4203" i="1"/>
  <c r="U4203" i="1"/>
  <c r="BB4203" i="1"/>
  <c r="BW4203" i="1"/>
  <c r="A4204" i="1"/>
  <c r="C4204" i="1"/>
  <c r="S4204" i="1"/>
  <c r="T4204" i="1"/>
  <c r="U4204" i="1"/>
  <c r="BB4204" i="1"/>
  <c r="BW4204" i="1"/>
  <c r="A4205" i="1"/>
  <c r="C4205" i="1"/>
  <c r="S4205" i="1"/>
  <c r="T4205" i="1"/>
  <c r="U4205" i="1"/>
  <c r="BB4205" i="1"/>
  <c r="BW4205" i="1"/>
  <c r="A4206" i="1"/>
  <c r="C4206" i="1"/>
  <c r="S4206" i="1"/>
  <c r="T4206" i="1"/>
  <c r="U4206" i="1"/>
  <c r="BB4206" i="1"/>
  <c r="BW4206" i="1"/>
  <c r="A4207" i="1"/>
  <c r="C4207" i="1"/>
  <c r="S4207" i="1"/>
  <c r="T4207" i="1"/>
  <c r="U4207" i="1"/>
  <c r="BB4207" i="1"/>
  <c r="BW4207" i="1"/>
  <c r="A4208" i="1"/>
  <c r="C4208" i="1"/>
  <c r="S4208" i="1"/>
  <c r="T4208" i="1"/>
  <c r="U4208" i="1"/>
  <c r="BB4208" i="1"/>
  <c r="BW4208" i="1"/>
  <c r="A4209" i="1"/>
  <c r="C4209" i="1"/>
  <c r="S4209" i="1"/>
  <c r="T4209" i="1"/>
  <c r="U4209" i="1"/>
  <c r="BB4209" i="1"/>
  <c r="BW4209" i="1"/>
  <c r="A4210" i="1"/>
  <c r="C4210" i="1"/>
  <c r="S4210" i="1"/>
  <c r="T4210" i="1"/>
  <c r="U4210" i="1"/>
  <c r="BB4210" i="1"/>
  <c r="BW4210" i="1"/>
  <c r="A4211" i="1"/>
  <c r="C4211" i="1"/>
  <c r="S4211" i="1"/>
  <c r="T4211" i="1"/>
  <c r="U4211" i="1"/>
  <c r="BB4211" i="1"/>
  <c r="BW4211" i="1"/>
  <c r="A4212" i="1"/>
  <c r="C4212" i="1"/>
  <c r="S4212" i="1"/>
  <c r="T4212" i="1"/>
  <c r="U4212" i="1"/>
  <c r="BB4212" i="1"/>
  <c r="BW4212" i="1"/>
  <c r="A4213" i="1"/>
  <c r="C4213" i="1"/>
  <c r="S4213" i="1"/>
  <c r="T4213" i="1"/>
  <c r="U4213" i="1"/>
  <c r="BB4213" i="1"/>
  <c r="BW4213" i="1"/>
  <c r="A4214" i="1"/>
  <c r="C4214" i="1"/>
  <c r="S4214" i="1"/>
  <c r="T4214" i="1"/>
  <c r="U4214" i="1"/>
  <c r="BB4214" i="1"/>
  <c r="BW4214" i="1"/>
  <c r="A4215" i="1"/>
  <c r="C4215" i="1"/>
  <c r="S4215" i="1"/>
  <c r="T4215" i="1"/>
  <c r="U4215" i="1"/>
  <c r="BB4215" i="1"/>
  <c r="BW4215" i="1"/>
  <c r="A4216" i="1"/>
  <c r="C4216" i="1"/>
  <c r="S4216" i="1"/>
  <c r="T4216" i="1"/>
  <c r="U4216" i="1"/>
  <c r="BB4216" i="1"/>
  <c r="BW4216" i="1"/>
  <c r="A4217" i="1"/>
  <c r="C4217" i="1"/>
  <c r="S4217" i="1"/>
  <c r="T4217" i="1"/>
  <c r="U4217" i="1"/>
  <c r="BB4217" i="1"/>
  <c r="BW4217" i="1"/>
  <c r="A4218" i="1"/>
  <c r="C4218" i="1"/>
  <c r="S4218" i="1"/>
  <c r="T4218" i="1"/>
  <c r="U4218" i="1"/>
  <c r="BB4218" i="1"/>
  <c r="BW4218" i="1"/>
  <c r="A4219" i="1"/>
  <c r="C4219" i="1"/>
  <c r="S4219" i="1"/>
  <c r="T4219" i="1"/>
  <c r="U4219" i="1"/>
  <c r="BB4219" i="1"/>
  <c r="BW4219" i="1"/>
  <c r="A4220" i="1"/>
  <c r="C4220" i="1"/>
  <c r="S4220" i="1"/>
  <c r="T4220" i="1"/>
  <c r="U4220" i="1"/>
  <c r="BB4220" i="1"/>
  <c r="BW4220" i="1"/>
  <c r="A4221" i="1"/>
  <c r="C4221" i="1"/>
  <c r="S4221" i="1"/>
  <c r="T4221" i="1"/>
  <c r="U4221" i="1"/>
  <c r="BB4221" i="1"/>
  <c r="BW4221" i="1"/>
  <c r="A4222" i="1"/>
  <c r="C4222" i="1"/>
  <c r="S4222" i="1"/>
  <c r="T4222" i="1"/>
  <c r="U4222" i="1"/>
  <c r="BB4222" i="1"/>
  <c r="BW4222" i="1"/>
  <c r="A4223" i="1"/>
  <c r="C4223" i="1"/>
  <c r="S4223" i="1"/>
  <c r="T4223" i="1"/>
  <c r="U4223" i="1"/>
  <c r="BB4223" i="1"/>
  <c r="BW4223" i="1"/>
  <c r="A4224" i="1"/>
  <c r="C4224" i="1"/>
  <c r="S4224" i="1"/>
  <c r="T4224" i="1"/>
  <c r="U4224" i="1"/>
  <c r="BB4224" i="1"/>
  <c r="BW4224" i="1"/>
  <c r="A4225" i="1"/>
  <c r="C4225" i="1"/>
  <c r="S4225" i="1"/>
  <c r="T4225" i="1"/>
  <c r="U4225" i="1"/>
  <c r="BB4225" i="1"/>
  <c r="BW4225" i="1"/>
  <c r="A4226" i="1"/>
  <c r="C4226" i="1"/>
  <c r="S4226" i="1"/>
  <c r="T4226" i="1"/>
  <c r="U4226" i="1"/>
  <c r="BB4226" i="1"/>
  <c r="BW4226" i="1"/>
  <c r="A4227" i="1"/>
  <c r="C4227" i="1"/>
  <c r="S4227" i="1"/>
  <c r="T4227" i="1"/>
  <c r="U4227" i="1"/>
  <c r="BB4227" i="1"/>
  <c r="BW4227" i="1"/>
  <c r="A4228" i="1"/>
  <c r="C4228" i="1"/>
  <c r="S4228" i="1"/>
  <c r="T4228" i="1"/>
  <c r="U4228" i="1"/>
  <c r="BB4228" i="1"/>
  <c r="BW4228" i="1"/>
  <c r="A4229" i="1"/>
  <c r="C4229" i="1"/>
  <c r="S4229" i="1"/>
  <c r="T4229" i="1"/>
  <c r="U4229" i="1"/>
  <c r="BB4229" i="1"/>
  <c r="BW4229" i="1"/>
  <c r="A4230" i="1"/>
  <c r="C4230" i="1"/>
  <c r="S4230" i="1"/>
  <c r="T4230" i="1"/>
  <c r="U4230" i="1"/>
  <c r="BB4230" i="1"/>
  <c r="BW4230" i="1"/>
  <c r="A4231" i="1"/>
  <c r="C4231" i="1"/>
  <c r="S4231" i="1"/>
  <c r="T4231" i="1"/>
  <c r="U4231" i="1"/>
  <c r="BB4231" i="1"/>
  <c r="BW4231" i="1"/>
  <c r="A4232" i="1"/>
  <c r="C4232" i="1"/>
  <c r="S4232" i="1"/>
  <c r="T4232" i="1"/>
  <c r="U4232" i="1"/>
  <c r="BB4232" i="1"/>
  <c r="BW4232" i="1"/>
  <c r="A4233" i="1"/>
  <c r="C4233" i="1"/>
  <c r="S4233" i="1"/>
  <c r="T4233" i="1"/>
  <c r="U4233" i="1"/>
  <c r="BB4233" i="1"/>
  <c r="BW4233" i="1"/>
  <c r="A4234" i="1"/>
  <c r="C4234" i="1"/>
  <c r="S4234" i="1"/>
  <c r="T4234" i="1"/>
  <c r="U4234" i="1"/>
  <c r="BB4234" i="1"/>
  <c r="BW4234" i="1"/>
  <c r="A4235" i="1"/>
  <c r="C4235" i="1"/>
  <c r="S4235" i="1"/>
  <c r="T4235" i="1"/>
  <c r="U4235" i="1"/>
  <c r="BB4235" i="1"/>
  <c r="BW4235" i="1"/>
  <c r="A4236" i="1"/>
  <c r="C4236" i="1"/>
  <c r="S4236" i="1"/>
  <c r="T4236" i="1"/>
  <c r="U4236" i="1"/>
  <c r="BB4236" i="1"/>
  <c r="BW4236" i="1"/>
  <c r="A4237" i="1"/>
  <c r="C4237" i="1"/>
  <c r="S4237" i="1"/>
  <c r="T4237" i="1"/>
  <c r="U4237" i="1"/>
  <c r="BB4237" i="1"/>
  <c r="BW4237" i="1"/>
  <c r="A4238" i="1"/>
  <c r="C4238" i="1"/>
  <c r="S4238" i="1"/>
  <c r="T4238" i="1"/>
  <c r="U4238" i="1"/>
  <c r="BB4238" i="1"/>
  <c r="BW4238" i="1"/>
  <c r="A4239" i="1"/>
  <c r="C4239" i="1"/>
  <c r="S4239" i="1"/>
  <c r="T4239" i="1"/>
  <c r="U4239" i="1"/>
  <c r="BB4239" i="1"/>
  <c r="BW4239" i="1"/>
  <c r="A4240" i="1"/>
  <c r="C4240" i="1"/>
  <c r="S4240" i="1"/>
  <c r="T4240" i="1"/>
  <c r="U4240" i="1"/>
  <c r="BB4240" i="1"/>
  <c r="BW4240" i="1"/>
  <c r="A4241" i="1"/>
  <c r="C4241" i="1"/>
  <c r="S4241" i="1"/>
  <c r="T4241" i="1"/>
  <c r="U4241" i="1"/>
  <c r="BB4241" i="1"/>
  <c r="BW4241" i="1"/>
  <c r="A4242" i="1"/>
  <c r="C4242" i="1"/>
  <c r="S4242" i="1"/>
  <c r="T4242" i="1"/>
  <c r="U4242" i="1"/>
  <c r="BB4242" i="1"/>
  <c r="BW4242" i="1"/>
  <c r="A4243" i="1"/>
  <c r="C4243" i="1"/>
  <c r="S4243" i="1"/>
  <c r="T4243" i="1"/>
  <c r="U4243" i="1"/>
  <c r="BB4243" i="1"/>
  <c r="BW4243" i="1"/>
  <c r="A4244" i="1"/>
  <c r="C4244" i="1"/>
  <c r="S4244" i="1"/>
  <c r="T4244" i="1"/>
  <c r="U4244" i="1"/>
  <c r="BB4244" i="1"/>
  <c r="BW4244" i="1"/>
  <c r="A4245" i="1"/>
  <c r="C4245" i="1"/>
  <c r="S4245" i="1"/>
  <c r="T4245" i="1"/>
  <c r="U4245" i="1"/>
  <c r="BB4245" i="1"/>
  <c r="BW4245" i="1"/>
  <c r="A4246" i="1"/>
  <c r="C4246" i="1"/>
  <c r="S4246" i="1"/>
  <c r="T4246" i="1"/>
  <c r="U4246" i="1"/>
  <c r="BB4246" i="1"/>
  <c r="BW4246" i="1"/>
  <c r="A4247" i="1"/>
  <c r="C4247" i="1"/>
  <c r="S4247" i="1"/>
  <c r="T4247" i="1"/>
  <c r="U4247" i="1"/>
  <c r="BB4247" i="1"/>
  <c r="BW4247" i="1"/>
  <c r="A4248" i="1"/>
  <c r="C4248" i="1"/>
  <c r="S4248" i="1"/>
  <c r="T4248" i="1"/>
  <c r="U4248" i="1"/>
  <c r="BB4248" i="1"/>
  <c r="BW4248" i="1"/>
  <c r="A4249" i="1"/>
  <c r="C4249" i="1"/>
  <c r="S4249" i="1"/>
  <c r="T4249" i="1"/>
  <c r="U4249" i="1"/>
  <c r="BB4249" i="1"/>
  <c r="BW4249" i="1"/>
  <c r="A4250" i="1"/>
  <c r="C4250" i="1"/>
  <c r="S4250" i="1"/>
  <c r="T4250" i="1"/>
  <c r="U4250" i="1"/>
  <c r="BB4250" i="1"/>
  <c r="BW4250" i="1"/>
  <c r="A4251" i="1"/>
  <c r="C4251" i="1"/>
  <c r="S4251" i="1"/>
  <c r="T4251" i="1"/>
  <c r="U4251" i="1"/>
  <c r="BB4251" i="1"/>
  <c r="BW4251" i="1"/>
  <c r="A4252" i="1"/>
  <c r="C4252" i="1"/>
  <c r="S4252" i="1"/>
  <c r="T4252" i="1"/>
  <c r="U4252" i="1"/>
  <c r="BB4252" i="1"/>
  <c r="BW4252" i="1"/>
  <c r="A4253" i="1"/>
  <c r="C4253" i="1"/>
  <c r="S4253" i="1"/>
  <c r="T4253" i="1"/>
  <c r="U4253" i="1"/>
  <c r="BB4253" i="1"/>
  <c r="BW4253" i="1"/>
  <c r="A4254" i="1"/>
  <c r="C4254" i="1"/>
  <c r="S4254" i="1"/>
  <c r="T4254" i="1"/>
  <c r="U4254" i="1"/>
  <c r="BB4254" i="1"/>
  <c r="BW4254" i="1"/>
  <c r="A4255" i="1"/>
  <c r="C4255" i="1"/>
  <c r="S4255" i="1"/>
  <c r="T4255" i="1"/>
  <c r="U4255" i="1"/>
  <c r="BB4255" i="1"/>
  <c r="BW4255" i="1"/>
  <c r="A4256" i="1"/>
  <c r="C4256" i="1"/>
  <c r="S4256" i="1"/>
  <c r="T4256" i="1"/>
  <c r="U4256" i="1"/>
  <c r="BB4256" i="1"/>
  <c r="BW4256" i="1"/>
  <c r="A4257" i="1"/>
  <c r="C4257" i="1"/>
  <c r="S4257" i="1"/>
  <c r="T4257" i="1"/>
  <c r="U4257" i="1"/>
  <c r="BB4257" i="1"/>
  <c r="BW4257" i="1"/>
  <c r="A4258" i="1"/>
  <c r="C4258" i="1"/>
  <c r="S4258" i="1"/>
  <c r="T4258" i="1"/>
  <c r="U4258" i="1"/>
  <c r="BB4258" i="1"/>
  <c r="BW4258" i="1"/>
  <c r="A4259" i="1"/>
  <c r="C4259" i="1"/>
  <c r="S4259" i="1"/>
  <c r="T4259" i="1"/>
  <c r="U4259" i="1"/>
  <c r="BB4259" i="1"/>
  <c r="BW4259" i="1"/>
  <c r="A4260" i="1"/>
  <c r="C4260" i="1"/>
  <c r="S4260" i="1"/>
  <c r="T4260" i="1"/>
  <c r="U4260" i="1"/>
  <c r="BB4260" i="1"/>
  <c r="BW4260" i="1"/>
  <c r="A4261" i="1"/>
  <c r="C4261" i="1"/>
  <c r="S4261" i="1"/>
  <c r="T4261" i="1"/>
  <c r="U4261" i="1"/>
  <c r="BB4261" i="1"/>
  <c r="BW4261" i="1"/>
  <c r="A4262" i="1"/>
  <c r="C4262" i="1"/>
  <c r="S4262" i="1"/>
  <c r="T4262" i="1"/>
  <c r="U4262" i="1"/>
  <c r="BB4262" i="1"/>
  <c r="BW4262" i="1"/>
  <c r="A4263" i="1"/>
  <c r="C4263" i="1"/>
  <c r="S4263" i="1"/>
  <c r="T4263" i="1"/>
  <c r="U4263" i="1"/>
  <c r="BB4263" i="1"/>
  <c r="BW4263" i="1"/>
  <c r="A4264" i="1"/>
  <c r="C4264" i="1"/>
  <c r="S4264" i="1"/>
  <c r="T4264" i="1"/>
  <c r="U4264" i="1"/>
  <c r="BB4264" i="1"/>
  <c r="BW4264" i="1"/>
  <c r="A4265" i="1"/>
  <c r="C4265" i="1"/>
  <c r="S4265" i="1"/>
  <c r="T4265" i="1"/>
  <c r="U4265" i="1"/>
  <c r="BB4265" i="1"/>
  <c r="BW4265" i="1"/>
  <c r="A4266" i="1"/>
  <c r="C4266" i="1"/>
  <c r="S4266" i="1"/>
  <c r="T4266" i="1"/>
  <c r="U4266" i="1"/>
  <c r="BB4266" i="1"/>
  <c r="BW4266" i="1"/>
  <c r="A4267" i="1"/>
  <c r="C4267" i="1"/>
  <c r="S4267" i="1"/>
  <c r="T4267" i="1"/>
  <c r="U4267" i="1"/>
  <c r="BB4267" i="1"/>
  <c r="BW4267" i="1"/>
  <c r="A4268" i="1"/>
  <c r="C4268" i="1"/>
  <c r="S4268" i="1"/>
  <c r="T4268" i="1"/>
  <c r="U4268" i="1"/>
  <c r="BB4268" i="1"/>
  <c r="BW4268" i="1"/>
  <c r="A4269" i="1"/>
  <c r="C4269" i="1"/>
  <c r="S4269" i="1"/>
  <c r="T4269" i="1"/>
  <c r="U4269" i="1"/>
  <c r="BB4269" i="1"/>
  <c r="BW4269" i="1"/>
  <c r="A4270" i="1"/>
  <c r="C4270" i="1"/>
  <c r="S4270" i="1"/>
  <c r="T4270" i="1"/>
  <c r="U4270" i="1"/>
  <c r="BB4270" i="1"/>
  <c r="BW4270" i="1"/>
  <c r="A4271" i="1"/>
  <c r="C4271" i="1"/>
  <c r="S4271" i="1"/>
  <c r="T4271" i="1"/>
  <c r="U4271" i="1"/>
  <c r="BB4271" i="1"/>
  <c r="BW4271" i="1"/>
  <c r="A4272" i="1"/>
  <c r="C4272" i="1"/>
  <c r="S4272" i="1"/>
  <c r="T4272" i="1"/>
  <c r="U4272" i="1"/>
  <c r="BB4272" i="1"/>
  <c r="BW4272" i="1"/>
  <c r="A4273" i="1"/>
  <c r="C4273" i="1"/>
  <c r="S4273" i="1"/>
  <c r="T4273" i="1"/>
  <c r="U4273" i="1"/>
  <c r="BB4273" i="1"/>
  <c r="BW4273" i="1"/>
  <c r="A4274" i="1"/>
  <c r="C4274" i="1"/>
  <c r="S4274" i="1"/>
  <c r="T4274" i="1"/>
  <c r="U4274" i="1"/>
  <c r="BB4274" i="1"/>
  <c r="BW4274" i="1"/>
  <c r="A4275" i="1"/>
  <c r="C4275" i="1"/>
  <c r="S4275" i="1"/>
  <c r="T4275" i="1"/>
  <c r="U4275" i="1"/>
  <c r="BB4275" i="1"/>
  <c r="BW4275" i="1"/>
  <c r="A4276" i="1"/>
  <c r="C4276" i="1"/>
  <c r="S4276" i="1"/>
  <c r="T4276" i="1"/>
  <c r="U4276" i="1"/>
  <c r="BB4276" i="1"/>
  <c r="BW4276" i="1"/>
  <c r="A4277" i="1"/>
  <c r="C4277" i="1"/>
  <c r="S4277" i="1"/>
  <c r="T4277" i="1"/>
  <c r="U4277" i="1"/>
  <c r="BB4277" i="1"/>
  <c r="BW4277" i="1"/>
  <c r="A4278" i="1"/>
  <c r="C4278" i="1"/>
  <c r="S4278" i="1"/>
  <c r="T4278" i="1"/>
  <c r="U4278" i="1"/>
  <c r="BB4278" i="1"/>
  <c r="BW4278" i="1"/>
  <c r="A4279" i="1"/>
  <c r="C4279" i="1"/>
  <c r="S4279" i="1"/>
  <c r="T4279" i="1"/>
  <c r="U4279" i="1"/>
  <c r="BB4279" i="1"/>
  <c r="BW4279" i="1"/>
  <c r="A4280" i="1"/>
  <c r="C4280" i="1"/>
  <c r="S4280" i="1"/>
  <c r="T4280" i="1"/>
  <c r="U4280" i="1"/>
  <c r="BB4280" i="1"/>
  <c r="BW4280" i="1"/>
  <c r="A4281" i="1"/>
  <c r="C4281" i="1"/>
  <c r="S4281" i="1"/>
  <c r="T4281" i="1"/>
  <c r="U4281" i="1"/>
  <c r="BB4281" i="1"/>
  <c r="BW4281" i="1"/>
  <c r="A4282" i="1"/>
  <c r="C4282" i="1"/>
  <c r="S4282" i="1"/>
  <c r="T4282" i="1"/>
  <c r="U4282" i="1"/>
  <c r="BB4282" i="1"/>
  <c r="BW4282" i="1"/>
  <c r="A4283" i="1"/>
  <c r="C4283" i="1"/>
  <c r="S4283" i="1"/>
  <c r="T4283" i="1"/>
  <c r="U4283" i="1"/>
  <c r="BB4283" i="1"/>
  <c r="BW4283" i="1"/>
  <c r="A4284" i="1"/>
  <c r="C4284" i="1"/>
  <c r="S4284" i="1"/>
  <c r="T4284" i="1"/>
  <c r="U4284" i="1"/>
  <c r="BB4284" i="1"/>
  <c r="BW4284" i="1"/>
  <c r="A4285" i="1"/>
  <c r="C4285" i="1"/>
  <c r="S4285" i="1"/>
  <c r="T4285" i="1"/>
  <c r="U4285" i="1"/>
  <c r="BB4285" i="1"/>
  <c r="BW4285" i="1"/>
  <c r="A4286" i="1"/>
  <c r="C4286" i="1"/>
  <c r="S4286" i="1"/>
  <c r="T4286" i="1"/>
  <c r="U4286" i="1"/>
  <c r="BB4286" i="1"/>
  <c r="BW4286" i="1"/>
  <c r="A4287" i="1"/>
  <c r="C4287" i="1"/>
  <c r="S4287" i="1"/>
  <c r="T4287" i="1"/>
  <c r="U4287" i="1"/>
  <c r="BB4287" i="1"/>
  <c r="BW4287" i="1"/>
  <c r="A4288" i="1"/>
  <c r="C4288" i="1"/>
  <c r="S4288" i="1"/>
  <c r="T4288" i="1"/>
  <c r="U4288" i="1"/>
  <c r="BB4288" i="1"/>
  <c r="BW4288" i="1"/>
  <c r="A4289" i="1"/>
  <c r="C4289" i="1"/>
  <c r="S4289" i="1"/>
  <c r="T4289" i="1"/>
  <c r="U4289" i="1"/>
  <c r="BB4289" i="1"/>
  <c r="BW4289" i="1"/>
  <c r="A4290" i="1"/>
  <c r="C4290" i="1"/>
  <c r="S4290" i="1"/>
  <c r="T4290" i="1"/>
  <c r="U4290" i="1"/>
  <c r="BB4290" i="1"/>
  <c r="BW4290" i="1"/>
  <c r="A4291" i="1"/>
  <c r="C4291" i="1"/>
  <c r="S4291" i="1"/>
  <c r="T4291" i="1"/>
  <c r="U4291" i="1"/>
  <c r="BB4291" i="1"/>
  <c r="BW4291" i="1"/>
  <c r="A4292" i="1"/>
  <c r="C4292" i="1"/>
  <c r="S4292" i="1"/>
  <c r="T4292" i="1"/>
  <c r="U4292" i="1"/>
  <c r="BB4292" i="1"/>
  <c r="BW4292" i="1"/>
  <c r="A4293" i="1"/>
  <c r="C4293" i="1"/>
  <c r="S4293" i="1"/>
  <c r="T4293" i="1"/>
  <c r="U4293" i="1"/>
  <c r="BB4293" i="1"/>
  <c r="BW4293" i="1"/>
  <c r="A4294" i="1"/>
  <c r="C4294" i="1"/>
  <c r="S4294" i="1"/>
  <c r="T4294" i="1"/>
  <c r="U4294" i="1"/>
  <c r="BB4294" i="1"/>
  <c r="BW4294" i="1"/>
  <c r="A4295" i="1"/>
  <c r="C4295" i="1"/>
  <c r="S4295" i="1"/>
  <c r="T4295" i="1"/>
  <c r="U4295" i="1"/>
  <c r="BB4295" i="1"/>
  <c r="BW4295" i="1"/>
  <c r="A4296" i="1"/>
  <c r="C4296" i="1"/>
  <c r="S4296" i="1"/>
  <c r="T4296" i="1"/>
  <c r="U4296" i="1"/>
  <c r="BB4296" i="1"/>
  <c r="BW4296" i="1"/>
  <c r="A4297" i="1"/>
  <c r="C4297" i="1"/>
  <c r="S4297" i="1"/>
  <c r="T4297" i="1"/>
  <c r="U4297" i="1"/>
  <c r="BB4297" i="1"/>
  <c r="BW4297" i="1"/>
  <c r="A4298" i="1"/>
  <c r="C4298" i="1"/>
  <c r="S4298" i="1"/>
  <c r="T4298" i="1"/>
  <c r="U4298" i="1"/>
  <c r="BB4298" i="1"/>
  <c r="BW4298" i="1"/>
  <c r="A4299" i="1"/>
  <c r="C4299" i="1"/>
  <c r="S4299" i="1"/>
  <c r="T4299" i="1"/>
  <c r="U4299" i="1"/>
  <c r="BB4299" i="1"/>
  <c r="BW4299" i="1"/>
  <c r="A4300" i="1"/>
  <c r="C4300" i="1"/>
  <c r="S4300" i="1"/>
  <c r="T4300" i="1"/>
  <c r="U4300" i="1"/>
  <c r="BB4300" i="1"/>
  <c r="BW4300" i="1"/>
  <c r="A4301" i="1"/>
  <c r="C4301" i="1"/>
  <c r="S4301" i="1"/>
  <c r="T4301" i="1"/>
  <c r="U4301" i="1"/>
  <c r="BB4301" i="1"/>
  <c r="BW4301" i="1"/>
  <c r="A4302" i="1"/>
  <c r="C4302" i="1"/>
  <c r="S4302" i="1"/>
  <c r="T4302" i="1"/>
  <c r="U4302" i="1"/>
  <c r="BB4302" i="1"/>
  <c r="BW4302" i="1"/>
  <c r="A4303" i="1"/>
  <c r="C4303" i="1"/>
  <c r="S4303" i="1"/>
  <c r="T4303" i="1"/>
  <c r="U4303" i="1"/>
  <c r="BB4303" i="1"/>
  <c r="BW4303" i="1"/>
  <c r="A4304" i="1"/>
  <c r="C4304" i="1"/>
  <c r="S4304" i="1"/>
  <c r="T4304" i="1"/>
  <c r="U4304" i="1"/>
  <c r="BB4304" i="1"/>
  <c r="BW4304" i="1"/>
  <c r="A4305" i="1"/>
  <c r="C4305" i="1"/>
  <c r="S4305" i="1"/>
  <c r="T4305" i="1"/>
  <c r="U4305" i="1"/>
  <c r="BB4305" i="1"/>
  <c r="BW4305" i="1"/>
  <c r="A4306" i="1"/>
  <c r="C4306" i="1"/>
  <c r="S4306" i="1"/>
  <c r="T4306" i="1"/>
  <c r="U4306" i="1"/>
  <c r="BB4306" i="1"/>
  <c r="BW4306" i="1"/>
  <c r="A4307" i="1"/>
  <c r="C4307" i="1"/>
  <c r="S4307" i="1"/>
  <c r="T4307" i="1"/>
  <c r="U4307" i="1"/>
  <c r="BB4307" i="1"/>
  <c r="BW4307" i="1"/>
  <c r="A4308" i="1"/>
  <c r="C4308" i="1"/>
  <c r="S4308" i="1"/>
  <c r="T4308" i="1"/>
  <c r="U4308" i="1"/>
  <c r="BB4308" i="1"/>
  <c r="BW4308" i="1"/>
  <c r="A4309" i="1"/>
  <c r="C4309" i="1"/>
  <c r="S4309" i="1"/>
  <c r="T4309" i="1"/>
  <c r="U4309" i="1"/>
  <c r="BB4309" i="1"/>
  <c r="BW4309" i="1"/>
  <c r="A4310" i="1"/>
  <c r="C4310" i="1"/>
  <c r="S4310" i="1"/>
  <c r="T4310" i="1"/>
  <c r="U4310" i="1"/>
  <c r="BB4310" i="1"/>
  <c r="BW4310" i="1"/>
  <c r="A4311" i="1"/>
  <c r="C4311" i="1"/>
  <c r="S4311" i="1"/>
  <c r="T4311" i="1"/>
  <c r="U4311" i="1"/>
  <c r="BB4311" i="1"/>
  <c r="BW4311" i="1"/>
  <c r="A4312" i="1"/>
  <c r="C4312" i="1"/>
  <c r="S4312" i="1"/>
  <c r="T4312" i="1"/>
  <c r="U4312" i="1"/>
  <c r="BB4312" i="1"/>
  <c r="BW4312" i="1"/>
  <c r="A4313" i="1"/>
  <c r="C4313" i="1"/>
  <c r="S4313" i="1"/>
  <c r="T4313" i="1"/>
  <c r="U4313" i="1"/>
  <c r="BB4313" i="1"/>
  <c r="BW4313" i="1"/>
  <c r="A4314" i="1"/>
  <c r="C4314" i="1"/>
  <c r="S4314" i="1"/>
  <c r="T4314" i="1"/>
  <c r="U4314" i="1"/>
  <c r="BB4314" i="1"/>
  <c r="BW4314" i="1"/>
  <c r="A4315" i="1"/>
  <c r="C4315" i="1"/>
  <c r="S4315" i="1"/>
  <c r="T4315" i="1"/>
  <c r="U4315" i="1"/>
  <c r="BB4315" i="1"/>
  <c r="BW4315" i="1"/>
  <c r="A4316" i="1"/>
  <c r="C4316" i="1"/>
  <c r="S4316" i="1"/>
  <c r="T4316" i="1"/>
  <c r="U4316" i="1"/>
  <c r="BB4316" i="1"/>
  <c r="BW4316" i="1"/>
  <c r="A4317" i="1"/>
  <c r="C4317" i="1"/>
  <c r="S4317" i="1"/>
  <c r="T4317" i="1"/>
  <c r="U4317" i="1"/>
  <c r="BB4317" i="1"/>
  <c r="BW4317" i="1"/>
  <c r="A4318" i="1"/>
  <c r="C4318" i="1"/>
  <c r="S4318" i="1"/>
  <c r="T4318" i="1"/>
  <c r="U4318" i="1"/>
  <c r="BB4318" i="1"/>
  <c r="BW4318" i="1"/>
  <c r="A4319" i="1"/>
  <c r="C4319" i="1"/>
  <c r="S4319" i="1"/>
  <c r="T4319" i="1"/>
  <c r="U4319" i="1"/>
  <c r="BB4319" i="1"/>
  <c r="BW4319" i="1"/>
  <c r="A4320" i="1"/>
  <c r="C4320" i="1"/>
  <c r="S4320" i="1"/>
  <c r="T4320" i="1"/>
  <c r="U4320" i="1"/>
  <c r="BB4320" i="1"/>
  <c r="BW4320" i="1"/>
  <c r="A4321" i="1"/>
  <c r="C4321" i="1"/>
  <c r="S4321" i="1"/>
  <c r="T4321" i="1"/>
  <c r="U4321" i="1"/>
  <c r="BB4321" i="1"/>
  <c r="BW4321" i="1"/>
  <c r="A4322" i="1"/>
  <c r="C4322" i="1"/>
  <c r="S4322" i="1"/>
  <c r="T4322" i="1"/>
  <c r="U4322" i="1"/>
  <c r="BB4322" i="1"/>
  <c r="BW4322" i="1"/>
  <c r="A4323" i="1"/>
  <c r="C4323" i="1"/>
  <c r="S4323" i="1"/>
  <c r="T4323" i="1"/>
  <c r="U4323" i="1"/>
  <c r="BB4323" i="1"/>
  <c r="BW4323" i="1"/>
  <c r="A4324" i="1"/>
  <c r="C4324" i="1"/>
  <c r="S4324" i="1"/>
  <c r="T4324" i="1"/>
  <c r="U4324" i="1"/>
  <c r="BB4324" i="1"/>
  <c r="BW4324" i="1"/>
  <c r="A4325" i="1"/>
  <c r="C4325" i="1"/>
  <c r="S4325" i="1"/>
  <c r="T4325" i="1"/>
  <c r="U4325" i="1"/>
  <c r="BB4325" i="1"/>
  <c r="BW4325" i="1"/>
  <c r="A4326" i="1"/>
  <c r="C4326" i="1"/>
  <c r="S4326" i="1"/>
  <c r="T4326" i="1"/>
  <c r="U4326" i="1"/>
  <c r="BB4326" i="1"/>
  <c r="BW4326" i="1"/>
  <c r="A4327" i="1"/>
  <c r="C4327" i="1"/>
  <c r="S4327" i="1"/>
  <c r="T4327" i="1"/>
  <c r="U4327" i="1"/>
  <c r="BB4327" i="1"/>
  <c r="BW4327" i="1"/>
  <c r="A4328" i="1"/>
  <c r="C4328" i="1"/>
  <c r="S4328" i="1"/>
  <c r="T4328" i="1"/>
  <c r="U4328" i="1"/>
  <c r="BB4328" i="1"/>
  <c r="BW4328" i="1"/>
  <c r="A4329" i="1"/>
  <c r="C4329" i="1"/>
  <c r="S4329" i="1"/>
  <c r="T4329" i="1"/>
  <c r="U4329" i="1"/>
  <c r="BB4329" i="1"/>
  <c r="BW4329" i="1"/>
  <c r="A4330" i="1"/>
  <c r="C4330" i="1"/>
  <c r="S4330" i="1"/>
  <c r="T4330" i="1"/>
  <c r="U4330" i="1"/>
  <c r="BB4330" i="1"/>
  <c r="BW4330" i="1"/>
  <c r="A4331" i="1"/>
  <c r="C4331" i="1"/>
  <c r="S4331" i="1"/>
  <c r="T4331" i="1"/>
  <c r="U4331" i="1"/>
  <c r="BB4331" i="1"/>
  <c r="BW4331" i="1"/>
  <c r="A4332" i="1"/>
  <c r="C4332" i="1"/>
  <c r="S4332" i="1"/>
  <c r="T4332" i="1"/>
  <c r="U4332" i="1"/>
  <c r="BB4332" i="1"/>
  <c r="BW4332" i="1"/>
  <c r="A4333" i="1"/>
  <c r="C4333" i="1"/>
  <c r="S4333" i="1"/>
  <c r="T4333" i="1"/>
  <c r="U4333" i="1"/>
  <c r="BB4333" i="1"/>
  <c r="BW4333" i="1"/>
  <c r="A4334" i="1"/>
  <c r="C4334" i="1"/>
  <c r="S4334" i="1"/>
  <c r="T4334" i="1"/>
  <c r="U4334" i="1"/>
  <c r="BB4334" i="1"/>
  <c r="BW4334" i="1"/>
  <c r="A4335" i="1"/>
  <c r="C4335" i="1"/>
  <c r="S4335" i="1"/>
  <c r="T4335" i="1"/>
  <c r="U4335" i="1"/>
  <c r="BB4335" i="1"/>
  <c r="BW4335" i="1"/>
  <c r="A4336" i="1"/>
  <c r="C4336" i="1"/>
  <c r="S4336" i="1"/>
  <c r="T4336" i="1"/>
  <c r="U4336" i="1"/>
  <c r="BB4336" i="1"/>
  <c r="BW4336" i="1"/>
  <c r="A4337" i="1"/>
  <c r="C4337" i="1"/>
  <c r="S4337" i="1"/>
  <c r="T4337" i="1"/>
  <c r="U4337" i="1"/>
  <c r="BB4337" i="1"/>
  <c r="BW4337" i="1"/>
  <c r="A4338" i="1"/>
  <c r="C4338" i="1"/>
  <c r="S4338" i="1"/>
  <c r="T4338" i="1"/>
  <c r="U4338" i="1"/>
  <c r="BB4338" i="1"/>
  <c r="BW4338" i="1"/>
  <c r="A4339" i="1"/>
  <c r="C4339" i="1"/>
  <c r="S4339" i="1"/>
  <c r="T4339" i="1"/>
  <c r="U4339" i="1"/>
  <c r="BB4339" i="1"/>
  <c r="BW4339" i="1"/>
  <c r="A4340" i="1"/>
  <c r="C4340" i="1"/>
  <c r="S4340" i="1"/>
  <c r="T4340" i="1"/>
  <c r="U4340" i="1"/>
  <c r="BB4340" i="1"/>
  <c r="BW4340" i="1"/>
  <c r="A4341" i="1"/>
  <c r="C4341" i="1"/>
  <c r="S4341" i="1"/>
  <c r="T4341" i="1"/>
  <c r="U4341" i="1"/>
  <c r="BB4341" i="1"/>
  <c r="BW4341" i="1"/>
  <c r="A4342" i="1"/>
  <c r="C4342" i="1"/>
  <c r="S4342" i="1"/>
  <c r="T4342" i="1"/>
  <c r="U4342" i="1"/>
  <c r="BB4342" i="1"/>
  <c r="BW4342" i="1"/>
  <c r="A4343" i="1"/>
  <c r="C4343" i="1"/>
  <c r="S4343" i="1"/>
  <c r="T4343" i="1"/>
  <c r="U4343" i="1"/>
  <c r="BB4343" i="1"/>
  <c r="BW4343" i="1"/>
  <c r="A4344" i="1"/>
  <c r="C4344" i="1"/>
  <c r="S4344" i="1"/>
  <c r="T4344" i="1"/>
  <c r="U4344" i="1"/>
  <c r="BB4344" i="1"/>
  <c r="BW4344" i="1"/>
  <c r="A4345" i="1"/>
  <c r="C4345" i="1"/>
  <c r="S4345" i="1"/>
  <c r="T4345" i="1"/>
  <c r="U4345" i="1"/>
  <c r="BB4345" i="1"/>
  <c r="BW4345" i="1"/>
  <c r="A4346" i="1"/>
  <c r="C4346" i="1"/>
  <c r="S4346" i="1"/>
  <c r="T4346" i="1"/>
  <c r="U4346" i="1"/>
  <c r="BB4346" i="1"/>
  <c r="BW4346" i="1"/>
  <c r="A4347" i="1"/>
  <c r="C4347" i="1"/>
  <c r="S4347" i="1"/>
  <c r="T4347" i="1"/>
  <c r="U4347" i="1"/>
  <c r="BB4347" i="1"/>
  <c r="BW4347" i="1"/>
  <c r="A4348" i="1"/>
  <c r="C4348" i="1"/>
  <c r="S4348" i="1"/>
  <c r="T4348" i="1"/>
  <c r="U4348" i="1"/>
  <c r="BB4348" i="1"/>
  <c r="BW4348" i="1"/>
  <c r="A4349" i="1"/>
  <c r="C4349" i="1"/>
  <c r="S4349" i="1"/>
  <c r="T4349" i="1"/>
  <c r="U4349" i="1"/>
  <c r="BB4349" i="1"/>
  <c r="BW4349" i="1"/>
  <c r="A4350" i="1"/>
  <c r="C4350" i="1"/>
  <c r="S4350" i="1"/>
  <c r="T4350" i="1"/>
  <c r="U4350" i="1"/>
  <c r="BB4350" i="1"/>
  <c r="BW4350" i="1"/>
  <c r="A4351" i="1"/>
  <c r="C4351" i="1"/>
  <c r="S4351" i="1"/>
  <c r="T4351" i="1"/>
  <c r="U4351" i="1"/>
  <c r="BB4351" i="1"/>
  <c r="BW4351" i="1"/>
  <c r="A4352" i="1"/>
  <c r="C4352" i="1"/>
  <c r="S4352" i="1"/>
  <c r="T4352" i="1"/>
  <c r="U4352" i="1"/>
  <c r="BB4352" i="1"/>
  <c r="BW4352" i="1"/>
  <c r="A4353" i="1"/>
  <c r="C4353" i="1"/>
  <c r="S4353" i="1"/>
  <c r="T4353" i="1"/>
  <c r="U4353" i="1"/>
  <c r="BB4353" i="1"/>
  <c r="BW4353" i="1"/>
  <c r="A4354" i="1"/>
  <c r="C4354" i="1"/>
  <c r="S4354" i="1"/>
  <c r="T4354" i="1"/>
  <c r="U4354" i="1"/>
  <c r="BB4354" i="1"/>
  <c r="BW4354" i="1"/>
  <c r="A4355" i="1"/>
  <c r="C4355" i="1"/>
  <c r="S4355" i="1"/>
  <c r="T4355" i="1"/>
  <c r="U4355" i="1"/>
  <c r="BB4355" i="1"/>
  <c r="BW4355" i="1"/>
  <c r="A4356" i="1"/>
  <c r="C4356" i="1"/>
  <c r="S4356" i="1"/>
  <c r="T4356" i="1"/>
  <c r="U4356" i="1"/>
  <c r="BB4356" i="1"/>
  <c r="BW4356" i="1"/>
  <c r="A4357" i="1"/>
  <c r="C4357" i="1"/>
  <c r="S4357" i="1"/>
  <c r="T4357" i="1"/>
  <c r="U4357" i="1"/>
  <c r="BB4357" i="1"/>
  <c r="BW4357" i="1"/>
  <c r="A4358" i="1"/>
  <c r="C4358" i="1"/>
  <c r="S4358" i="1"/>
  <c r="T4358" i="1"/>
  <c r="U4358" i="1"/>
  <c r="BB4358" i="1"/>
  <c r="BW4358" i="1"/>
  <c r="A4359" i="1"/>
  <c r="C4359" i="1"/>
  <c r="S4359" i="1"/>
  <c r="T4359" i="1"/>
  <c r="U4359" i="1"/>
  <c r="BB4359" i="1"/>
  <c r="BW4359" i="1"/>
  <c r="A4360" i="1"/>
  <c r="C4360" i="1"/>
  <c r="S4360" i="1"/>
  <c r="T4360" i="1"/>
  <c r="U4360" i="1"/>
  <c r="BB4360" i="1"/>
  <c r="BW4360" i="1"/>
  <c r="A4361" i="1"/>
  <c r="C4361" i="1"/>
  <c r="S4361" i="1"/>
  <c r="T4361" i="1"/>
  <c r="U4361" i="1"/>
  <c r="BB4361" i="1"/>
  <c r="BW4361" i="1"/>
  <c r="A4362" i="1"/>
  <c r="C4362" i="1"/>
  <c r="S4362" i="1"/>
  <c r="T4362" i="1"/>
  <c r="U4362" i="1"/>
  <c r="BB4362" i="1"/>
  <c r="BW4362" i="1"/>
  <c r="A4363" i="1"/>
  <c r="C4363" i="1"/>
  <c r="S4363" i="1"/>
  <c r="T4363" i="1"/>
  <c r="U4363" i="1"/>
  <c r="BB4363" i="1"/>
  <c r="BW4363" i="1"/>
  <c r="A4364" i="1"/>
  <c r="C4364" i="1"/>
  <c r="S4364" i="1"/>
  <c r="T4364" i="1"/>
  <c r="U4364" i="1"/>
  <c r="BB4364" i="1"/>
  <c r="BW4364" i="1"/>
  <c r="A4365" i="1"/>
  <c r="C4365" i="1"/>
  <c r="S4365" i="1"/>
  <c r="T4365" i="1"/>
  <c r="U4365" i="1"/>
  <c r="BB4365" i="1"/>
  <c r="BW4365" i="1"/>
  <c r="A4366" i="1"/>
  <c r="C4366" i="1"/>
  <c r="S4366" i="1"/>
  <c r="T4366" i="1"/>
  <c r="U4366" i="1"/>
  <c r="BB4366" i="1"/>
  <c r="BW4366" i="1"/>
  <c r="A4367" i="1"/>
  <c r="C4367" i="1"/>
  <c r="S4367" i="1"/>
  <c r="T4367" i="1"/>
  <c r="U4367" i="1"/>
  <c r="BB4367" i="1"/>
  <c r="BW4367" i="1"/>
  <c r="A4368" i="1"/>
  <c r="C4368" i="1"/>
  <c r="S4368" i="1"/>
  <c r="T4368" i="1"/>
  <c r="U4368" i="1"/>
  <c r="BB4368" i="1"/>
  <c r="BW4368" i="1"/>
  <c r="A4369" i="1"/>
  <c r="C4369" i="1"/>
  <c r="S4369" i="1"/>
  <c r="T4369" i="1"/>
  <c r="U4369" i="1"/>
  <c r="BB4369" i="1"/>
  <c r="BW4369" i="1"/>
  <c r="A4370" i="1"/>
  <c r="C4370" i="1"/>
  <c r="S4370" i="1"/>
  <c r="T4370" i="1"/>
  <c r="U4370" i="1"/>
  <c r="BB4370" i="1"/>
  <c r="BW4370" i="1"/>
  <c r="A4371" i="1"/>
  <c r="C4371" i="1"/>
  <c r="S4371" i="1"/>
  <c r="T4371" i="1"/>
  <c r="U4371" i="1"/>
  <c r="BB4371" i="1"/>
  <c r="BW4371" i="1"/>
  <c r="A4372" i="1"/>
  <c r="C4372" i="1"/>
  <c r="S4372" i="1"/>
  <c r="T4372" i="1"/>
  <c r="U4372" i="1"/>
  <c r="BB4372" i="1"/>
  <c r="BW4372" i="1"/>
  <c r="A4373" i="1"/>
  <c r="C4373" i="1"/>
  <c r="S4373" i="1"/>
  <c r="T4373" i="1"/>
  <c r="U4373" i="1"/>
  <c r="BB4373" i="1"/>
  <c r="BW4373" i="1"/>
  <c r="A4374" i="1"/>
  <c r="C4374" i="1"/>
  <c r="S4374" i="1"/>
  <c r="T4374" i="1"/>
  <c r="U4374" i="1"/>
  <c r="BB4374" i="1"/>
  <c r="BW4374" i="1"/>
  <c r="A4375" i="1"/>
  <c r="C4375" i="1"/>
  <c r="S4375" i="1"/>
  <c r="T4375" i="1"/>
  <c r="U4375" i="1"/>
  <c r="BB4375" i="1"/>
  <c r="BW4375" i="1"/>
  <c r="A4376" i="1"/>
  <c r="C4376" i="1"/>
  <c r="S4376" i="1"/>
  <c r="T4376" i="1"/>
  <c r="U4376" i="1"/>
  <c r="BB4376" i="1"/>
  <c r="BW4376" i="1"/>
  <c r="A4377" i="1"/>
  <c r="C4377" i="1"/>
  <c r="S4377" i="1"/>
  <c r="T4377" i="1"/>
  <c r="U4377" i="1"/>
  <c r="BB4377" i="1"/>
  <c r="BW4377" i="1"/>
  <c r="A4378" i="1"/>
  <c r="C4378" i="1"/>
  <c r="S4378" i="1"/>
  <c r="T4378" i="1"/>
  <c r="U4378" i="1"/>
  <c r="BB4378" i="1"/>
  <c r="BW4378" i="1"/>
  <c r="A4379" i="1"/>
  <c r="C4379" i="1"/>
  <c r="S4379" i="1"/>
  <c r="T4379" i="1"/>
  <c r="U4379" i="1"/>
  <c r="BB4379" i="1"/>
  <c r="BW4379" i="1"/>
  <c r="A4380" i="1"/>
  <c r="C4380" i="1"/>
  <c r="S4380" i="1"/>
  <c r="T4380" i="1"/>
  <c r="U4380" i="1"/>
  <c r="BB4380" i="1"/>
  <c r="BW4380" i="1"/>
  <c r="A4381" i="1"/>
  <c r="C4381" i="1"/>
  <c r="S4381" i="1"/>
  <c r="T4381" i="1"/>
  <c r="U4381" i="1"/>
  <c r="BB4381" i="1"/>
  <c r="BW4381" i="1"/>
  <c r="A4382" i="1"/>
  <c r="C4382" i="1"/>
  <c r="S4382" i="1"/>
  <c r="T4382" i="1"/>
  <c r="U4382" i="1"/>
  <c r="BB4382" i="1"/>
  <c r="BW4382" i="1"/>
  <c r="A4383" i="1"/>
  <c r="C4383" i="1"/>
  <c r="S4383" i="1"/>
  <c r="T4383" i="1"/>
  <c r="U4383" i="1"/>
  <c r="BB4383" i="1"/>
  <c r="BW4383" i="1"/>
  <c r="A4384" i="1"/>
  <c r="C4384" i="1"/>
  <c r="S4384" i="1"/>
  <c r="T4384" i="1"/>
  <c r="U4384" i="1"/>
  <c r="BB4384" i="1"/>
  <c r="BW4384" i="1"/>
  <c r="A4385" i="1"/>
  <c r="C4385" i="1"/>
  <c r="S4385" i="1"/>
  <c r="T4385" i="1"/>
  <c r="U4385" i="1"/>
  <c r="BB4385" i="1"/>
  <c r="BW4385" i="1"/>
  <c r="A4386" i="1"/>
  <c r="C4386" i="1"/>
  <c r="S4386" i="1"/>
  <c r="T4386" i="1"/>
  <c r="U4386" i="1"/>
  <c r="BB4386" i="1"/>
  <c r="BW4386" i="1"/>
  <c r="A4387" i="1"/>
  <c r="C4387" i="1"/>
  <c r="S4387" i="1"/>
  <c r="T4387" i="1"/>
  <c r="U4387" i="1"/>
  <c r="BB4387" i="1"/>
  <c r="BW4387" i="1"/>
  <c r="A4388" i="1"/>
  <c r="C4388" i="1"/>
  <c r="S4388" i="1"/>
  <c r="T4388" i="1"/>
  <c r="U4388" i="1"/>
  <c r="BB4388" i="1"/>
  <c r="BW4388" i="1"/>
  <c r="A4389" i="1"/>
  <c r="C4389" i="1"/>
  <c r="S4389" i="1"/>
  <c r="T4389" i="1"/>
  <c r="U4389" i="1"/>
  <c r="BB4389" i="1"/>
  <c r="BW4389" i="1"/>
  <c r="A4390" i="1"/>
  <c r="C4390" i="1"/>
  <c r="S4390" i="1"/>
  <c r="T4390" i="1"/>
  <c r="U4390" i="1"/>
  <c r="BB4390" i="1"/>
  <c r="BW4390" i="1"/>
  <c r="A4391" i="1"/>
  <c r="C4391" i="1"/>
  <c r="S4391" i="1"/>
  <c r="T4391" i="1"/>
  <c r="U4391" i="1"/>
  <c r="BB4391" i="1"/>
  <c r="BW4391" i="1"/>
  <c r="A4392" i="1"/>
  <c r="C4392" i="1"/>
  <c r="S4392" i="1"/>
  <c r="T4392" i="1"/>
  <c r="U4392" i="1"/>
  <c r="BB4392" i="1"/>
  <c r="BW4392" i="1"/>
  <c r="A4393" i="1"/>
  <c r="C4393" i="1"/>
  <c r="S4393" i="1"/>
  <c r="T4393" i="1"/>
  <c r="U4393" i="1"/>
  <c r="BB4393" i="1"/>
  <c r="BW4393" i="1"/>
  <c r="A4394" i="1"/>
  <c r="C4394" i="1"/>
  <c r="S4394" i="1"/>
  <c r="T4394" i="1"/>
  <c r="U4394" i="1"/>
  <c r="BB4394" i="1"/>
  <c r="BW4394" i="1"/>
  <c r="A4395" i="1"/>
  <c r="C4395" i="1"/>
  <c r="S4395" i="1"/>
  <c r="T4395" i="1"/>
  <c r="U4395" i="1"/>
  <c r="BB4395" i="1"/>
  <c r="BW4395" i="1"/>
  <c r="A4396" i="1"/>
  <c r="C4396" i="1"/>
  <c r="S4396" i="1"/>
  <c r="T4396" i="1"/>
  <c r="U4396" i="1"/>
  <c r="BB4396" i="1"/>
  <c r="BW4396" i="1"/>
  <c r="A4397" i="1"/>
  <c r="C4397" i="1"/>
  <c r="S4397" i="1"/>
  <c r="T4397" i="1"/>
  <c r="U4397" i="1"/>
  <c r="BB4397" i="1"/>
  <c r="BW4397" i="1"/>
  <c r="A4398" i="1"/>
  <c r="C4398" i="1"/>
  <c r="S4398" i="1"/>
  <c r="T4398" i="1"/>
  <c r="U4398" i="1"/>
  <c r="BB4398" i="1"/>
  <c r="BW4398" i="1"/>
  <c r="A4399" i="1"/>
  <c r="C4399" i="1"/>
  <c r="S4399" i="1"/>
  <c r="T4399" i="1"/>
  <c r="U4399" i="1"/>
  <c r="BB4399" i="1"/>
  <c r="BW4399" i="1"/>
  <c r="A4400" i="1"/>
  <c r="C4400" i="1"/>
  <c r="S4400" i="1"/>
  <c r="T4400" i="1"/>
  <c r="U4400" i="1"/>
  <c r="BB4400" i="1"/>
  <c r="BW4400" i="1"/>
  <c r="A4401" i="1"/>
  <c r="C4401" i="1"/>
  <c r="S4401" i="1"/>
  <c r="T4401" i="1"/>
  <c r="U4401" i="1"/>
  <c r="BB4401" i="1"/>
  <c r="BW4401" i="1"/>
  <c r="A4402" i="1"/>
  <c r="C4402" i="1"/>
  <c r="S4402" i="1"/>
  <c r="T4402" i="1"/>
  <c r="U4402" i="1"/>
  <c r="BB4402" i="1"/>
  <c r="BW4402" i="1"/>
  <c r="A4403" i="1"/>
  <c r="C4403" i="1"/>
  <c r="S4403" i="1"/>
  <c r="T4403" i="1"/>
  <c r="U4403" i="1"/>
  <c r="BB4403" i="1"/>
  <c r="BW4403" i="1"/>
  <c r="A4404" i="1"/>
  <c r="C4404" i="1"/>
  <c r="S4404" i="1"/>
  <c r="T4404" i="1"/>
  <c r="U4404" i="1"/>
  <c r="BB4404" i="1"/>
  <c r="BW4404" i="1"/>
  <c r="A4405" i="1"/>
  <c r="C4405" i="1"/>
  <c r="S4405" i="1"/>
  <c r="T4405" i="1"/>
  <c r="U4405" i="1"/>
  <c r="BB4405" i="1"/>
  <c r="BW4405" i="1"/>
  <c r="A4406" i="1"/>
  <c r="C4406" i="1"/>
  <c r="S4406" i="1"/>
  <c r="T4406" i="1"/>
  <c r="U4406" i="1"/>
  <c r="BB4406" i="1"/>
  <c r="BW4406" i="1"/>
  <c r="A4407" i="1"/>
  <c r="C4407" i="1"/>
  <c r="S4407" i="1"/>
  <c r="T4407" i="1"/>
  <c r="U4407" i="1"/>
  <c r="BB4407" i="1"/>
  <c r="BW4407" i="1"/>
  <c r="A4408" i="1"/>
  <c r="C4408" i="1"/>
  <c r="S4408" i="1"/>
  <c r="T4408" i="1"/>
  <c r="U4408" i="1"/>
  <c r="BB4408" i="1"/>
  <c r="BW4408" i="1"/>
  <c r="A4409" i="1"/>
  <c r="C4409" i="1"/>
  <c r="S4409" i="1"/>
  <c r="T4409" i="1"/>
  <c r="U4409" i="1"/>
  <c r="BB4409" i="1"/>
  <c r="BW4409" i="1"/>
  <c r="A4410" i="1"/>
  <c r="C4410" i="1"/>
  <c r="S4410" i="1"/>
  <c r="T4410" i="1"/>
  <c r="U4410" i="1"/>
  <c r="BB4410" i="1"/>
  <c r="BW4410" i="1"/>
  <c r="A4411" i="1"/>
  <c r="C4411" i="1"/>
  <c r="S4411" i="1"/>
  <c r="T4411" i="1"/>
  <c r="U4411" i="1"/>
  <c r="BB4411" i="1"/>
  <c r="BW4411" i="1"/>
  <c r="A4412" i="1"/>
  <c r="C4412" i="1"/>
  <c r="S4412" i="1"/>
  <c r="T4412" i="1"/>
  <c r="U4412" i="1"/>
  <c r="BB4412" i="1"/>
  <c r="BW4412" i="1"/>
  <c r="A4413" i="1"/>
  <c r="C4413" i="1"/>
  <c r="S4413" i="1"/>
  <c r="T4413" i="1"/>
  <c r="U4413" i="1"/>
  <c r="BB4413" i="1"/>
  <c r="BW4413" i="1"/>
  <c r="A4414" i="1"/>
  <c r="C4414" i="1"/>
  <c r="S4414" i="1"/>
  <c r="T4414" i="1"/>
  <c r="U4414" i="1"/>
  <c r="BB4414" i="1"/>
  <c r="BW4414" i="1"/>
  <c r="A4415" i="1"/>
  <c r="C4415" i="1"/>
  <c r="S4415" i="1"/>
  <c r="T4415" i="1"/>
  <c r="U4415" i="1"/>
  <c r="BB4415" i="1"/>
  <c r="BW4415" i="1"/>
  <c r="A4416" i="1"/>
  <c r="C4416" i="1"/>
  <c r="S4416" i="1"/>
  <c r="T4416" i="1"/>
  <c r="U4416" i="1"/>
  <c r="BB4416" i="1"/>
  <c r="BW4416" i="1"/>
  <c r="A4417" i="1"/>
  <c r="C4417" i="1"/>
  <c r="S4417" i="1"/>
  <c r="T4417" i="1"/>
  <c r="U4417" i="1"/>
  <c r="BB4417" i="1"/>
  <c r="BW4417" i="1"/>
  <c r="A4418" i="1"/>
  <c r="C4418" i="1"/>
  <c r="S4418" i="1"/>
  <c r="T4418" i="1"/>
  <c r="U4418" i="1"/>
  <c r="BB4418" i="1"/>
  <c r="BW4418" i="1"/>
  <c r="A4419" i="1"/>
  <c r="C4419" i="1"/>
  <c r="S4419" i="1"/>
  <c r="T4419" i="1"/>
  <c r="U4419" i="1"/>
  <c r="BB4419" i="1"/>
  <c r="BW4419" i="1"/>
  <c r="A4420" i="1"/>
  <c r="C4420" i="1"/>
  <c r="S4420" i="1"/>
  <c r="T4420" i="1"/>
  <c r="U4420" i="1"/>
  <c r="BB4420" i="1"/>
  <c r="BW4420" i="1"/>
  <c r="A4421" i="1"/>
  <c r="C4421" i="1"/>
  <c r="S4421" i="1"/>
  <c r="T4421" i="1"/>
  <c r="U4421" i="1"/>
  <c r="BB4421" i="1"/>
  <c r="BW4421" i="1"/>
  <c r="A4422" i="1"/>
  <c r="C4422" i="1"/>
  <c r="S4422" i="1"/>
  <c r="T4422" i="1"/>
  <c r="U4422" i="1"/>
  <c r="BB4422" i="1"/>
  <c r="BW4422" i="1"/>
  <c r="A4423" i="1"/>
  <c r="C4423" i="1"/>
  <c r="S4423" i="1"/>
  <c r="T4423" i="1"/>
  <c r="U4423" i="1"/>
  <c r="BB4423" i="1"/>
  <c r="BW4423" i="1"/>
  <c r="A4424" i="1"/>
  <c r="C4424" i="1"/>
  <c r="S4424" i="1"/>
  <c r="T4424" i="1"/>
  <c r="U4424" i="1"/>
  <c r="BB4424" i="1"/>
  <c r="BW4424" i="1"/>
  <c r="A4425" i="1"/>
  <c r="C4425" i="1"/>
  <c r="S4425" i="1"/>
  <c r="T4425" i="1"/>
  <c r="U4425" i="1"/>
  <c r="BB4425" i="1"/>
  <c r="BW4425" i="1"/>
  <c r="A4426" i="1"/>
  <c r="C4426" i="1"/>
  <c r="S4426" i="1"/>
  <c r="T4426" i="1"/>
  <c r="U4426" i="1"/>
  <c r="BB4426" i="1"/>
  <c r="BW4426" i="1"/>
  <c r="A4427" i="1"/>
  <c r="C4427" i="1"/>
  <c r="S4427" i="1"/>
  <c r="T4427" i="1"/>
  <c r="U4427" i="1"/>
  <c r="BB4427" i="1"/>
  <c r="BW4427" i="1"/>
  <c r="A4428" i="1"/>
  <c r="C4428" i="1"/>
  <c r="S4428" i="1"/>
  <c r="T4428" i="1"/>
  <c r="U4428" i="1"/>
  <c r="BB4428" i="1"/>
  <c r="BW4428" i="1"/>
  <c r="A4429" i="1"/>
  <c r="C4429" i="1"/>
  <c r="S4429" i="1"/>
  <c r="T4429" i="1"/>
  <c r="U4429" i="1"/>
  <c r="BB4429" i="1"/>
  <c r="BW4429" i="1"/>
  <c r="A4430" i="1"/>
  <c r="C4430" i="1"/>
  <c r="S4430" i="1"/>
  <c r="T4430" i="1"/>
  <c r="U4430" i="1"/>
  <c r="BB4430" i="1"/>
  <c r="BW4430" i="1"/>
  <c r="A4431" i="1"/>
  <c r="C4431" i="1"/>
  <c r="S4431" i="1"/>
  <c r="T4431" i="1"/>
  <c r="U4431" i="1"/>
  <c r="BB4431" i="1"/>
  <c r="BW4431" i="1"/>
  <c r="A4432" i="1"/>
  <c r="C4432" i="1"/>
  <c r="S4432" i="1"/>
  <c r="T4432" i="1"/>
  <c r="U4432" i="1"/>
  <c r="BB4432" i="1"/>
  <c r="BW4432" i="1"/>
  <c r="A4433" i="1"/>
  <c r="C4433" i="1"/>
  <c r="S4433" i="1"/>
  <c r="T4433" i="1"/>
  <c r="U4433" i="1"/>
  <c r="BB4433" i="1"/>
  <c r="BW4433" i="1"/>
  <c r="A4434" i="1"/>
  <c r="C4434" i="1"/>
  <c r="S4434" i="1"/>
  <c r="T4434" i="1"/>
  <c r="U4434" i="1"/>
  <c r="BB4434" i="1"/>
  <c r="BW4434" i="1"/>
  <c r="A4435" i="1"/>
  <c r="C4435" i="1"/>
  <c r="S4435" i="1"/>
  <c r="T4435" i="1"/>
  <c r="U4435" i="1"/>
  <c r="BB4435" i="1"/>
  <c r="BW4435" i="1"/>
  <c r="A4436" i="1"/>
  <c r="C4436" i="1"/>
  <c r="S4436" i="1"/>
  <c r="T4436" i="1"/>
  <c r="U4436" i="1"/>
  <c r="BB4436" i="1"/>
  <c r="BW4436" i="1"/>
  <c r="A4437" i="1"/>
  <c r="C4437" i="1"/>
  <c r="S4437" i="1"/>
  <c r="T4437" i="1"/>
  <c r="U4437" i="1"/>
  <c r="BB4437" i="1"/>
  <c r="BW4437" i="1"/>
  <c r="A4438" i="1"/>
  <c r="C4438" i="1"/>
  <c r="S4438" i="1"/>
  <c r="T4438" i="1"/>
  <c r="U4438" i="1"/>
  <c r="BB4438" i="1"/>
  <c r="BW4438" i="1"/>
  <c r="A4439" i="1"/>
  <c r="C4439" i="1"/>
  <c r="S4439" i="1"/>
  <c r="T4439" i="1"/>
  <c r="U4439" i="1"/>
  <c r="BB4439" i="1"/>
  <c r="BW4439" i="1"/>
  <c r="A4440" i="1"/>
  <c r="C4440" i="1"/>
  <c r="S4440" i="1"/>
  <c r="T4440" i="1"/>
  <c r="U4440" i="1"/>
  <c r="BB4440" i="1"/>
  <c r="BW4440" i="1"/>
  <c r="A4441" i="1"/>
  <c r="C4441" i="1"/>
  <c r="S4441" i="1"/>
  <c r="T4441" i="1"/>
  <c r="U4441" i="1"/>
  <c r="BB4441" i="1"/>
  <c r="BW4441" i="1"/>
  <c r="A4442" i="1"/>
  <c r="C4442" i="1"/>
  <c r="S4442" i="1"/>
  <c r="T4442" i="1"/>
  <c r="U4442" i="1"/>
  <c r="BB4442" i="1"/>
  <c r="BW4442" i="1"/>
  <c r="A4443" i="1"/>
  <c r="C4443" i="1"/>
  <c r="S4443" i="1"/>
  <c r="T4443" i="1"/>
  <c r="U4443" i="1"/>
  <c r="BB4443" i="1"/>
  <c r="BW4443" i="1"/>
  <c r="A4444" i="1"/>
  <c r="C4444" i="1"/>
  <c r="S4444" i="1"/>
  <c r="T4444" i="1"/>
  <c r="U4444" i="1"/>
  <c r="BB4444" i="1"/>
  <c r="BW4444" i="1"/>
  <c r="A4445" i="1"/>
  <c r="C4445" i="1"/>
  <c r="S4445" i="1"/>
  <c r="T4445" i="1"/>
  <c r="U4445" i="1"/>
  <c r="BB4445" i="1"/>
  <c r="BW4445" i="1"/>
  <c r="A4446" i="1"/>
  <c r="C4446" i="1"/>
  <c r="S4446" i="1"/>
  <c r="T4446" i="1"/>
  <c r="U4446" i="1"/>
  <c r="BB4446" i="1"/>
  <c r="BW4446" i="1"/>
  <c r="A4447" i="1"/>
  <c r="C4447" i="1"/>
  <c r="S4447" i="1"/>
  <c r="T4447" i="1"/>
  <c r="U4447" i="1"/>
  <c r="BB4447" i="1"/>
  <c r="BW4447" i="1"/>
  <c r="A4448" i="1"/>
  <c r="C4448" i="1"/>
  <c r="S4448" i="1"/>
  <c r="T4448" i="1"/>
  <c r="U4448" i="1"/>
  <c r="BB4448" i="1"/>
  <c r="BW4448" i="1"/>
  <c r="A4449" i="1"/>
  <c r="C4449" i="1"/>
  <c r="S4449" i="1"/>
  <c r="T4449" i="1"/>
  <c r="U4449" i="1"/>
  <c r="BB4449" i="1"/>
  <c r="BW4449" i="1"/>
  <c r="A4450" i="1"/>
  <c r="C4450" i="1"/>
  <c r="S4450" i="1"/>
  <c r="T4450" i="1"/>
  <c r="U4450" i="1"/>
  <c r="BB4450" i="1"/>
  <c r="BW4450" i="1"/>
  <c r="A4451" i="1"/>
  <c r="C4451" i="1"/>
  <c r="S4451" i="1"/>
  <c r="T4451" i="1"/>
  <c r="U4451" i="1"/>
  <c r="BB4451" i="1"/>
  <c r="BW4451" i="1"/>
  <c r="A4452" i="1"/>
  <c r="C4452" i="1"/>
  <c r="S4452" i="1"/>
  <c r="T4452" i="1"/>
  <c r="U4452" i="1"/>
  <c r="BB4452" i="1"/>
  <c r="BW4452" i="1"/>
  <c r="A4453" i="1"/>
  <c r="C4453" i="1"/>
  <c r="S4453" i="1"/>
  <c r="T4453" i="1"/>
  <c r="U4453" i="1"/>
  <c r="BB4453" i="1"/>
  <c r="BW4453" i="1"/>
  <c r="A4454" i="1"/>
  <c r="C4454" i="1"/>
  <c r="S4454" i="1"/>
  <c r="T4454" i="1"/>
  <c r="U4454" i="1"/>
  <c r="BB4454" i="1"/>
  <c r="BW4454" i="1"/>
  <c r="A4455" i="1"/>
  <c r="C4455" i="1"/>
  <c r="S4455" i="1"/>
  <c r="T4455" i="1"/>
  <c r="U4455" i="1"/>
  <c r="BB4455" i="1"/>
  <c r="BW4455" i="1"/>
  <c r="A4456" i="1"/>
  <c r="C4456" i="1"/>
  <c r="S4456" i="1"/>
  <c r="T4456" i="1"/>
  <c r="U4456" i="1"/>
  <c r="BB4456" i="1"/>
  <c r="BW4456" i="1"/>
  <c r="A4457" i="1"/>
  <c r="C4457" i="1"/>
  <c r="S4457" i="1"/>
  <c r="T4457" i="1"/>
  <c r="U4457" i="1"/>
  <c r="BB4457" i="1"/>
  <c r="BW4457" i="1"/>
  <c r="A4458" i="1"/>
  <c r="C4458" i="1"/>
  <c r="S4458" i="1"/>
  <c r="T4458" i="1"/>
  <c r="U4458" i="1"/>
  <c r="BB4458" i="1"/>
  <c r="BW4458" i="1"/>
  <c r="A4459" i="1"/>
  <c r="C4459" i="1"/>
  <c r="S4459" i="1"/>
  <c r="T4459" i="1"/>
  <c r="U4459" i="1"/>
  <c r="BB4459" i="1"/>
  <c r="BW4459" i="1"/>
  <c r="A4460" i="1"/>
  <c r="C4460" i="1"/>
  <c r="S4460" i="1"/>
  <c r="T4460" i="1"/>
  <c r="U4460" i="1"/>
  <c r="BB4460" i="1"/>
  <c r="BW4460" i="1"/>
  <c r="A4461" i="1"/>
  <c r="C4461" i="1"/>
  <c r="S4461" i="1"/>
  <c r="T4461" i="1"/>
  <c r="U4461" i="1"/>
  <c r="BB4461" i="1"/>
  <c r="BW4461" i="1"/>
  <c r="A4462" i="1"/>
  <c r="C4462" i="1"/>
  <c r="S4462" i="1"/>
  <c r="T4462" i="1"/>
  <c r="U4462" i="1"/>
  <c r="BB4462" i="1"/>
  <c r="BW4462" i="1"/>
  <c r="A4463" i="1"/>
  <c r="C4463" i="1"/>
  <c r="S4463" i="1"/>
  <c r="T4463" i="1"/>
  <c r="U4463" i="1"/>
  <c r="BB4463" i="1"/>
  <c r="BW4463" i="1"/>
  <c r="A4464" i="1"/>
  <c r="C4464" i="1"/>
  <c r="S4464" i="1"/>
  <c r="T4464" i="1"/>
  <c r="U4464" i="1"/>
  <c r="BB4464" i="1"/>
  <c r="BW4464" i="1"/>
  <c r="A4465" i="1"/>
  <c r="C4465" i="1"/>
  <c r="S4465" i="1"/>
  <c r="T4465" i="1"/>
  <c r="U4465" i="1"/>
  <c r="BB4465" i="1"/>
  <c r="BW4465" i="1"/>
  <c r="A4466" i="1"/>
  <c r="C4466" i="1"/>
  <c r="S4466" i="1"/>
  <c r="T4466" i="1"/>
  <c r="U4466" i="1"/>
  <c r="BB4466" i="1"/>
  <c r="BW4466" i="1"/>
  <c r="A4467" i="1"/>
  <c r="C4467" i="1"/>
  <c r="S4467" i="1"/>
  <c r="T4467" i="1"/>
  <c r="U4467" i="1"/>
  <c r="BB4467" i="1"/>
  <c r="BW4467" i="1"/>
  <c r="A4468" i="1"/>
  <c r="C4468" i="1"/>
  <c r="S4468" i="1"/>
  <c r="T4468" i="1"/>
  <c r="U4468" i="1"/>
  <c r="BB4468" i="1"/>
  <c r="BW4468" i="1"/>
  <c r="A4469" i="1"/>
  <c r="C4469" i="1"/>
  <c r="S4469" i="1"/>
  <c r="T4469" i="1"/>
  <c r="U4469" i="1"/>
  <c r="BB4469" i="1"/>
  <c r="BW4469" i="1"/>
  <c r="A4470" i="1"/>
  <c r="C4470" i="1"/>
  <c r="S4470" i="1"/>
  <c r="T4470" i="1"/>
  <c r="U4470" i="1"/>
  <c r="BB4470" i="1"/>
  <c r="BW4470" i="1"/>
  <c r="A4471" i="1"/>
  <c r="C4471" i="1"/>
  <c r="S4471" i="1"/>
  <c r="T4471" i="1"/>
  <c r="U4471" i="1"/>
  <c r="BB4471" i="1"/>
  <c r="BW4471" i="1"/>
  <c r="A4472" i="1"/>
  <c r="C4472" i="1"/>
  <c r="S4472" i="1"/>
  <c r="T4472" i="1"/>
  <c r="U4472" i="1"/>
  <c r="BB4472" i="1"/>
  <c r="BW4472" i="1"/>
  <c r="A4473" i="1"/>
  <c r="C4473" i="1"/>
  <c r="S4473" i="1"/>
  <c r="T4473" i="1"/>
  <c r="U4473" i="1"/>
  <c r="BB4473" i="1"/>
  <c r="BW4473" i="1"/>
  <c r="A4474" i="1"/>
  <c r="C4474" i="1"/>
  <c r="S4474" i="1"/>
  <c r="T4474" i="1"/>
  <c r="U4474" i="1"/>
  <c r="BB4474" i="1"/>
  <c r="BW4474" i="1"/>
  <c r="A4475" i="1"/>
  <c r="C4475" i="1"/>
  <c r="S4475" i="1"/>
  <c r="T4475" i="1"/>
  <c r="U4475" i="1"/>
  <c r="BB4475" i="1"/>
  <c r="BW4475" i="1"/>
  <c r="A4476" i="1"/>
  <c r="C4476" i="1"/>
  <c r="S4476" i="1"/>
  <c r="T4476" i="1"/>
  <c r="U4476" i="1"/>
  <c r="BB4476" i="1"/>
  <c r="BW4476" i="1"/>
  <c r="A4477" i="1"/>
  <c r="C4477" i="1"/>
  <c r="S4477" i="1"/>
  <c r="T4477" i="1"/>
  <c r="U4477" i="1"/>
  <c r="BB4477" i="1"/>
  <c r="BW4477" i="1"/>
  <c r="A4478" i="1"/>
  <c r="C4478" i="1"/>
  <c r="S4478" i="1"/>
  <c r="T4478" i="1"/>
  <c r="U4478" i="1"/>
  <c r="BB4478" i="1"/>
  <c r="BW4478" i="1"/>
  <c r="A4479" i="1"/>
  <c r="C4479" i="1"/>
  <c r="S4479" i="1"/>
  <c r="T4479" i="1"/>
  <c r="U4479" i="1"/>
  <c r="BB4479" i="1"/>
  <c r="BW4479" i="1"/>
  <c r="A4480" i="1"/>
  <c r="C4480" i="1"/>
  <c r="S4480" i="1"/>
  <c r="T4480" i="1"/>
  <c r="U4480" i="1"/>
  <c r="BB4480" i="1"/>
  <c r="BW4480" i="1"/>
  <c r="A4481" i="1"/>
  <c r="C4481" i="1"/>
  <c r="S4481" i="1"/>
  <c r="T4481" i="1"/>
  <c r="U4481" i="1"/>
  <c r="BB4481" i="1"/>
  <c r="BW4481" i="1"/>
  <c r="A4482" i="1"/>
  <c r="C4482" i="1"/>
  <c r="S4482" i="1"/>
  <c r="T4482" i="1"/>
  <c r="U4482" i="1"/>
  <c r="BB4482" i="1"/>
  <c r="BW4482" i="1"/>
  <c r="A4483" i="1"/>
  <c r="C4483" i="1"/>
  <c r="S4483" i="1"/>
  <c r="T4483" i="1"/>
  <c r="U4483" i="1"/>
  <c r="BB4483" i="1"/>
  <c r="BW4483" i="1"/>
  <c r="A4484" i="1"/>
  <c r="C4484" i="1"/>
  <c r="S4484" i="1"/>
  <c r="T4484" i="1"/>
  <c r="U4484" i="1"/>
  <c r="BB4484" i="1"/>
  <c r="BW4484" i="1"/>
  <c r="A4485" i="1"/>
  <c r="C4485" i="1"/>
  <c r="S4485" i="1"/>
  <c r="T4485" i="1"/>
  <c r="U4485" i="1"/>
  <c r="BB4485" i="1"/>
  <c r="BW4485" i="1"/>
  <c r="A4486" i="1"/>
  <c r="C4486" i="1"/>
  <c r="S4486" i="1"/>
  <c r="T4486" i="1"/>
  <c r="U4486" i="1"/>
  <c r="BB4486" i="1"/>
  <c r="BW4486" i="1"/>
  <c r="A4487" i="1"/>
  <c r="C4487" i="1"/>
  <c r="S4487" i="1"/>
  <c r="T4487" i="1"/>
  <c r="U4487" i="1"/>
  <c r="BB4487" i="1"/>
  <c r="BW4487" i="1"/>
  <c r="A4488" i="1"/>
  <c r="C4488" i="1"/>
  <c r="S4488" i="1"/>
  <c r="T4488" i="1"/>
  <c r="U4488" i="1"/>
  <c r="BB4488" i="1"/>
  <c r="BW4488" i="1"/>
  <c r="A4489" i="1"/>
  <c r="C4489" i="1"/>
  <c r="S4489" i="1"/>
  <c r="T4489" i="1"/>
  <c r="U4489" i="1"/>
  <c r="BB4489" i="1"/>
  <c r="BW4489" i="1"/>
  <c r="A4490" i="1"/>
  <c r="C4490" i="1"/>
  <c r="S4490" i="1"/>
  <c r="T4490" i="1"/>
  <c r="U4490" i="1"/>
  <c r="BB4490" i="1"/>
  <c r="BW4490" i="1"/>
  <c r="A4491" i="1"/>
  <c r="C4491" i="1"/>
  <c r="S4491" i="1"/>
  <c r="T4491" i="1"/>
  <c r="U4491" i="1"/>
  <c r="BB4491" i="1"/>
  <c r="BW4491" i="1"/>
  <c r="A4492" i="1"/>
  <c r="C4492" i="1"/>
  <c r="S4492" i="1"/>
  <c r="T4492" i="1"/>
  <c r="U4492" i="1"/>
  <c r="BB4492" i="1"/>
  <c r="BW4492" i="1"/>
  <c r="A4493" i="1"/>
  <c r="C4493" i="1"/>
  <c r="S4493" i="1"/>
  <c r="T4493" i="1"/>
  <c r="U4493" i="1"/>
  <c r="BB4493" i="1"/>
  <c r="BW4493" i="1"/>
  <c r="A4494" i="1"/>
  <c r="C4494" i="1"/>
  <c r="S4494" i="1"/>
  <c r="T4494" i="1"/>
  <c r="U4494" i="1"/>
  <c r="BB4494" i="1"/>
  <c r="BW4494" i="1"/>
  <c r="A4495" i="1"/>
  <c r="C4495" i="1"/>
  <c r="S4495" i="1"/>
  <c r="T4495" i="1"/>
  <c r="U4495" i="1"/>
  <c r="BB4495" i="1"/>
  <c r="BW4495" i="1"/>
  <c r="A4496" i="1"/>
  <c r="C4496" i="1"/>
  <c r="S4496" i="1"/>
  <c r="T4496" i="1"/>
  <c r="U4496" i="1"/>
  <c r="BB4496" i="1"/>
  <c r="BW4496" i="1"/>
  <c r="A4497" i="1"/>
  <c r="C4497" i="1"/>
  <c r="S4497" i="1"/>
  <c r="T4497" i="1"/>
  <c r="U4497" i="1"/>
  <c r="BB4497" i="1"/>
  <c r="BW4497" i="1"/>
  <c r="A4498" i="1"/>
  <c r="C4498" i="1"/>
  <c r="S4498" i="1"/>
  <c r="T4498" i="1"/>
  <c r="U4498" i="1"/>
  <c r="BB4498" i="1"/>
  <c r="BW4498" i="1"/>
  <c r="A4499" i="1"/>
  <c r="C4499" i="1"/>
  <c r="S4499" i="1"/>
  <c r="T4499" i="1"/>
  <c r="U4499" i="1"/>
  <c r="BB4499" i="1"/>
  <c r="BW4499" i="1"/>
  <c r="A4500" i="1"/>
  <c r="C4500" i="1"/>
  <c r="S4500" i="1"/>
  <c r="T4500" i="1"/>
  <c r="U4500" i="1"/>
  <c r="BB4500" i="1"/>
  <c r="BW4500" i="1"/>
  <c r="A4501" i="1"/>
  <c r="C4501" i="1"/>
  <c r="S4501" i="1"/>
  <c r="T4501" i="1"/>
  <c r="U4501" i="1"/>
  <c r="BB4501" i="1"/>
  <c r="BW4501" i="1"/>
  <c r="A4502" i="1"/>
  <c r="C4502" i="1"/>
  <c r="S4502" i="1"/>
  <c r="T4502" i="1"/>
  <c r="U4502" i="1"/>
  <c r="BB4502" i="1"/>
  <c r="BW4502" i="1"/>
  <c r="A4503" i="1"/>
  <c r="C4503" i="1"/>
  <c r="S4503" i="1"/>
  <c r="T4503" i="1"/>
  <c r="U4503" i="1"/>
  <c r="BB4503" i="1"/>
  <c r="BW4503" i="1"/>
  <c r="A4504" i="1"/>
  <c r="C4504" i="1"/>
  <c r="S4504" i="1"/>
  <c r="T4504" i="1"/>
  <c r="U4504" i="1"/>
  <c r="BB4504" i="1"/>
  <c r="BW4504" i="1"/>
  <c r="A4505" i="1"/>
  <c r="C4505" i="1"/>
  <c r="S4505" i="1"/>
  <c r="T4505" i="1"/>
  <c r="U4505" i="1"/>
  <c r="BB4505" i="1"/>
  <c r="BW4505" i="1"/>
  <c r="A4506" i="1"/>
  <c r="C4506" i="1"/>
  <c r="S4506" i="1"/>
  <c r="T4506" i="1"/>
  <c r="U4506" i="1"/>
  <c r="BB4506" i="1"/>
  <c r="BW4506" i="1"/>
  <c r="A4507" i="1"/>
  <c r="C4507" i="1"/>
  <c r="S4507" i="1"/>
  <c r="T4507" i="1"/>
  <c r="U4507" i="1"/>
  <c r="BB4507" i="1"/>
  <c r="BW4507" i="1"/>
  <c r="A4508" i="1"/>
  <c r="C4508" i="1"/>
  <c r="S4508" i="1"/>
  <c r="T4508" i="1"/>
  <c r="U4508" i="1"/>
  <c r="BB4508" i="1"/>
  <c r="BW4508" i="1"/>
  <c r="A4509" i="1"/>
  <c r="C4509" i="1"/>
  <c r="S4509" i="1"/>
  <c r="T4509" i="1"/>
  <c r="U4509" i="1"/>
  <c r="BB4509" i="1"/>
  <c r="BW4509" i="1"/>
  <c r="A4510" i="1"/>
  <c r="C4510" i="1"/>
  <c r="S4510" i="1"/>
  <c r="T4510" i="1"/>
  <c r="U4510" i="1"/>
  <c r="BB4510" i="1"/>
  <c r="BW4510" i="1"/>
  <c r="A4511" i="1"/>
  <c r="C4511" i="1"/>
  <c r="S4511" i="1"/>
  <c r="T4511" i="1"/>
  <c r="U4511" i="1"/>
  <c r="BB4511" i="1"/>
  <c r="BW4511" i="1"/>
  <c r="A4512" i="1"/>
  <c r="C4512" i="1"/>
  <c r="S4512" i="1"/>
  <c r="T4512" i="1"/>
  <c r="U4512" i="1"/>
  <c r="BB4512" i="1"/>
  <c r="BW4512" i="1"/>
  <c r="A4513" i="1"/>
  <c r="C4513" i="1"/>
  <c r="S4513" i="1"/>
  <c r="T4513" i="1"/>
  <c r="U4513" i="1"/>
  <c r="BB4513" i="1"/>
  <c r="BW4513" i="1"/>
  <c r="A4514" i="1"/>
  <c r="C4514" i="1"/>
  <c r="S4514" i="1"/>
  <c r="T4514" i="1"/>
  <c r="U4514" i="1"/>
  <c r="BB4514" i="1"/>
  <c r="BW4514" i="1"/>
  <c r="A4515" i="1"/>
  <c r="C4515" i="1"/>
  <c r="S4515" i="1"/>
  <c r="T4515" i="1"/>
  <c r="U4515" i="1"/>
  <c r="BB4515" i="1"/>
  <c r="BW4515" i="1"/>
  <c r="A4516" i="1"/>
  <c r="C4516" i="1"/>
  <c r="S4516" i="1"/>
  <c r="T4516" i="1"/>
  <c r="U4516" i="1"/>
  <c r="BB4516" i="1"/>
  <c r="BW4516" i="1"/>
  <c r="A4517" i="1"/>
  <c r="C4517" i="1"/>
  <c r="S4517" i="1"/>
  <c r="T4517" i="1"/>
  <c r="U4517" i="1"/>
  <c r="BB4517" i="1"/>
  <c r="BW4517" i="1"/>
  <c r="A4518" i="1"/>
  <c r="C4518" i="1"/>
  <c r="S4518" i="1"/>
  <c r="T4518" i="1"/>
  <c r="U4518" i="1"/>
  <c r="BB4518" i="1"/>
  <c r="BW4518" i="1"/>
  <c r="A4519" i="1"/>
  <c r="C4519" i="1"/>
  <c r="S4519" i="1"/>
  <c r="T4519" i="1"/>
  <c r="U4519" i="1"/>
  <c r="BB4519" i="1"/>
  <c r="BW4519" i="1"/>
  <c r="A4520" i="1"/>
  <c r="C4520" i="1"/>
  <c r="S4520" i="1"/>
  <c r="T4520" i="1"/>
  <c r="U4520" i="1"/>
  <c r="BB4520" i="1"/>
  <c r="BW4520" i="1"/>
  <c r="A4521" i="1"/>
  <c r="C4521" i="1"/>
  <c r="S4521" i="1"/>
  <c r="T4521" i="1"/>
  <c r="U4521" i="1"/>
  <c r="BB4521" i="1"/>
  <c r="BW4521" i="1"/>
  <c r="A4522" i="1"/>
  <c r="C4522" i="1"/>
  <c r="S4522" i="1"/>
  <c r="T4522" i="1"/>
  <c r="U4522" i="1"/>
  <c r="BB4522" i="1"/>
  <c r="BW4522" i="1"/>
  <c r="A4523" i="1"/>
  <c r="C4523" i="1"/>
  <c r="S4523" i="1"/>
  <c r="T4523" i="1"/>
  <c r="U4523" i="1"/>
  <c r="BB4523" i="1"/>
  <c r="BW4523" i="1"/>
  <c r="A4524" i="1"/>
  <c r="C4524" i="1"/>
  <c r="S4524" i="1"/>
  <c r="T4524" i="1"/>
  <c r="U4524" i="1"/>
  <c r="BB4524" i="1"/>
  <c r="BW4524" i="1"/>
  <c r="A4525" i="1"/>
  <c r="C4525" i="1"/>
  <c r="S4525" i="1"/>
  <c r="T4525" i="1"/>
  <c r="U4525" i="1"/>
  <c r="BB4525" i="1"/>
  <c r="BW4525" i="1"/>
  <c r="A4526" i="1"/>
  <c r="C4526" i="1"/>
  <c r="S4526" i="1"/>
  <c r="T4526" i="1"/>
  <c r="U4526" i="1"/>
  <c r="BB4526" i="1"/>
  <c r="BW4526" i="1"/>
  <c r="A4527" i="1"/>
  <c r="C4527" i="1"/>
  <c r="S4527" i="1"/>
  <c r="T4527" i="1"/>
  <c r="U4527" i="1"/>
  <c r="BB4527" i="1"/>
  <c r="BW4527" i="1"/>
  <c r="A4528" i="1"/>
  <c r="C4528" i="1"/>
  <c r="S4528" i="1"/>
  <c r="T4528" i="1"/>
  <c r="U4528" i="1"/>
  <c r="BB4528" i="1"/>
  <c r="BW4528" i="1"/>
  <c r="A4529" i="1"/>
  <c r="C4529" i="1"/>
  <c r="S4529" i="1"/>
  <c r="T4529" i="1"/>
  <c r="U4529" i="1"/>
  <c r="BB4529" i="1"/>
  <c r="BW4529" i="1"/>
  <c r="A4530" i="1"/>
  <c r="C4530" i="1"/>
  <c r="S4530" i="1"/>
  <c r="T4530" i="1"/>
  <c r="U4530" i="1"/>
  <c r="BB4530" i="1"/>
  <c r="BW4530" i="1"/>
  <c r="A4531" i="1"/>
  <c r="C4531" i="1"/>
  <c r="S4531" i="1"/>
  <c r="T4531" i="1"/>
  <c r="U4531" i="1"/>
  <c r="BB4531" i="1"/>
  <c r="BW4531" i="1"/>
  <c r="A4532" i="1"/>
  <c r="C4532" i="1"/>
  <c r="S4532" i="1"/>
  <c r="T4532" i="1"/>
  <c r="U4532" i="1"/>
  <c r="BB4532" i="1"/>
  <c r="BW4532" i="1"/>
  <c r="A4533" i="1"/>
  <c r="C4533" i="1"/>
  <c r="S4533" i="1"/>
  <c r="T4533" i="1"/>
  <c r="U4533" i="1"/>
  <c r="BB4533" i="1"/>
  <c r="BW4533" i="1"/>
  <c r="A4534" i="1"/>
  <c r="C4534" i="1"/>
  <c r="S4534" i="1"/>
  <c r="T4534" i="1"/>
  <c r="U4534" i="1"/>
  <c r="BB4534" i="1"/>
  <c r="BW4534" i="1"/>
  <c r="A4535" i="1"/>
  <c r="C4535" i="1"/>
  <c r="S4535" i="1"/>
  <c r="T4535" i="1"/>
  <c r="U4535" i="1"/>
  <c r="BB4535" i="1"/>
  <c r="BW4535" i="1"/>
  <c r="A4536" i="1"/>
  <c r="C4536" i="1"/>
  <c r="S4536" i="1"/>
  <c r="T4536" i="1"/>
  <c r="U4536" i="1"/>
  <c r="BB4536" i="1"/>
  <c r="BW4536" i="1"/>
  <c r="A4537" i="1"/>
  <c r="C4537" i="1"/>
  <c r="S4537" i="1"/>
  <c r="T4537" i="1"/>
  <c r="U4537" i="1"/>
  <c r="BB4537" i="1"/>
  <c r="BW4537" i="1"/>
  <c r="A4538" i="1"/>
  <c r="C4538" i="1"/>
  <c r="S4538" i="1"/>
  <c r="T4538" i="1"/>
  <c r="U4538" i="1"/>
  <c r="BB4538" i="1"/>
  <c r="BW4538" i="1"/>
  <c r="A4539" i="1"/>
  <c r="C4539" i="1"/>
  <c r="S4539" i="1"/>
  <c r="T4539" i="1"/>
  <c r="U4539" i="1"/>
  <c r="BB4539" i="1"/>
  <c r="BW4539" i="1"/>
  <c r="A4540" i="1"/>
  <c r="C4540" i="1"/>
  <c r="S4540" i="1"/>
  <c r="T4540" i="1"/>
  <c r="U4540" i="1"/>
  <c r="BB4540" i="1"/>
  <c r="BW4540" i="1"/>
  <c r="A4541" i="1"/>
  <c r="C4541" i="1"/>
  <c r="S4541" i="1"/>
  <c r="T4541" i="1"/>
  <c r="U4541" i="1"/>
  <c r="BB4541" i="1"/>
  <c r="BW4541" i="1"/>
  <c r="A4542" i="1"/>
  <c r="C4542" i="1"/>
  <c r="S4542" i="1"/>
  <c r="T4542" i="1"/>
  <c r="U4542" i="1"/>
  <c r="BB4542" i="1"/>
  <c r="BW4542" i="1"/>
  <c r="A4543" i="1"/>
  <c r="C4543" i="1"/>
  <c r="S4543" i="1"/>
  <c r="T4543" i="1"/>
  <c r="U4543" i="1"/>
  <c r="BB4543" i="1"/>
  <c r="BW4543" i="1"/>
  <c r="A4544" i="1"/>
  <c r="C4544" i="1"/>
  <c r="S4544" i="1"/>
  <c r="T4544" i="1"/>
  <c r="U4544" i="1"/>
  <c r="BB4544" i="1"/>
  <c r="BW4544" i="1"/>
  <c r="A4545" i="1"/>
  <c r="C4545" i="1"/>
  <c r="S4545" i="1"/>
  <c r="T4545" i="1"/>
  <c r="U4545" i="1"/>
  <c r="BB4545" i="1"/>
  <c r="BW4545" i="1"/>
  <c r="A4546" i="1"/>
  <c r="C4546" i="1"/>
  <c r="S4546" i="1"/>
  <c r="T4546" i="1"/>
  <c r="U4546" i="1"/>
  <c r="BB4546" i="1"/>
  <c r="BW4546" i="1"/>
  <c r="A4547" i="1"/>
  <c r="C4547" i="1"/>
  <c r="S4547" i="1"/>
  <c r="T4547" i="1"/>
  <c r="U4547" i="1"/>
  <c r="BB4547" i="1"/>
  <c r="BW4547" i="1"/>
  <c r="A4548" i="1"/>
  <c r="C4548" i="1"/>
  <c r="S4548" i="1"/>
  <c r="T4548" i="1"/>
  <c r="U4548" i="1"/>
  <c r="BB4548" i="1"/>
  <c r="BW4548" i="1"/>
  <c r="A4549" i="1"/>
  <c r="C4549" i="1"/>
  <c r="S4549" i="1"/>
  <c r="T4549" i="1"/>
  <c r="U4549" i="1"/>
  <c r="BB4549" i="1"/>
  <c r="BW4549" i="1"/>
  <c r="A4550" i="1"/>
  <c r="C4550" i="1"/>
  <c r="S4550" i="1"/>
  <c r="T4550" i="1"/>
  <c r="U4550" i="1"/>
  <c r="BB4550" i="1"/>
  <c r="BW4550" i="1"/>
  <c r="A4551" i="1"/>
  <c r="C4551" i="1"/>
  <c r="S4551" i="1"/>
  <c r="T4551" i="1"/>
  <c r="U4551" i="1"/>
  <c r="BB4551" i="1"/>
  <c r="BW4551" i="1"/>
  <c r="A4552" i="1"/>
  <c r="C4552" i="1"/>
  <c r="S4552" i="1"/>
  <c r="T4552" i="1"/>
  <c r="U4552" i="1"/>
  <c r="BB4552" i="1"/>
  <c r="BW4552" i="1"/>
  <c r="A4553" i="1"/>
  <c r="C4553" i="1"/>
  <c r="S4553" i="1"/>
  <c r="T4553" i="1"/>
  <c r="U4553" i="1"/>
  <c r="BB4553" i="1"/>
  <c r="BW4553" i="1"/>
  <c r="A4554" i="1"/>
  <c r="C4554" i="1"/>
  <c r="S4554" i="1"/>
  <c r="T4554" i="1"/>
  <c r="U4554" i="1"/>
  <c r="BB4554" i="1"/>
  <c r="BW4554" i="1"/>
  <c r="A4555" i="1"/>
  <c r="C4555" i="1"/>
  <c r="S4555" i="1"/>
  <c r="T4555" i="1"/>
  <c r="U4555" i="1"/>
  <c r="BB4555" i="1"/>
  <c r="BW4555" i="1"/>
  <c r="A4556" i="1"/>
  <c r="C4556" i="1"/>
  <c r="S4556" i="1"/>
  <c r="T4556" i="1"/>
  <c r="U4556" i="1"/>
  <c r="BB4556" i="1"/>
  <c r="BW4556" i="1"/>
  <c r="A4557" i="1"/>
  <c r="C4557" i="1"/>
  <c r="S4557" i="1"/>
  <c r="T4557" i="1"/>
  <c r="U4557" i="1"/>
  <c r="BB4557" i="1"/>
  <c r="BW4557" i="1"/>
  <c r="A4558" i="1"/>
  <c r="C4558" i="1"/>
  <c r="S4558" i="1"/>
  <c r="T4558" i="1"/>
  <c r="U4558" i="1"/>
  <c r="BB4558" i="1"/>
  <c r="BW4558" i="1"/>
  <c r="A4559" i="1"/>
  <c r="C4559" i="1"/>
  <c r="S4559" i="1"/>
  <c r="T4559" i="1"/>
  <c r="U4559" i="1"/>
  <c r="BB4559" i="1"/>
  <c r="BW4559" i="1"/>
  <c r="A4560" i="1"/>
  <c r="C4560" i="1"/>
  <c r="S4560" i="1"/>
  <c r="T4560" i="1"/>
  <c r="U4560" i="1"/>
  <c r="BB4560" i="1"/>
  <c r="BW4560" i="1"/>
  <c r="A4561" i="1"/>
  <c r="C4561" i="1"/>
  <c r="S4561" i="1"/>
  <c r="T4561" i="1"/>
  <c r="U4561" i="1"/>
  <c r="BB4561" i="1"/>
  <c r="BW4561" i="1"/>
  <c r="A4562" i="1"/>
  <c r="C4562" i="1"/>
  <c r="S4562" i="1"/>
  <c r="T4562" i="1"/>
  <c r="U4562" i="1"/>
  <c r="BB4562" i="1"/>
  <c r="BW4562" i="1"/>
  <c r="A4563" i="1"/>
  <c r="C4563" i="1"/>
  <c r="S4563" i="1"/>
  <c r="T4563" i="1"/>
  <c r="U4563" i="1"/>
  <c r="BB4563" i="1"/>
  <c r="BW4563" i="1"/>
  <c r="A4564" i="1"/>
  <c r="C4564" i="1"/>
  <c r="S4564" i="1"/>
  <c r="T4564" i="1"/>
  <c r="U4564" i="1"/>
  <c r="BB4564" i="1"/>
  <c r="BW4564" i="1"/>
  <c r="A4565" i="1"/>
  <c r="C4565" i="1"/>
  <c r="S4565" i="1"/>
  <c r="T4565" i="1"/>
  <c r="U4565" i="1"/>
  <c r="BB4565" i="1"/>
  <c r="BW4565" i="1"/>
  <c r="A4566" i="1"/>
  <c r="C4566" i="1"/>
  <c r="S4566" i="1"/>
  <c r="T4566" i="1"/>
  <c r="U4566" i="1"/>
  <c r="BB4566" i="1"/>
  <c r="BW4566" i="1"/>
  <c r="A4567" i="1"/>
  <c r="C4567" i="1"/>
  <c r="S4567" i="1"/>
  <c r="T4567" i="1"/>
  <c r="U4567" i="1"/>
  <c r="BB4567" i="1"/>
  <c r="BW4567" i="1"/>
  <c r="A4568" i="1"/>
  <c r="C4568" i="1"/>
  <c r="S4568" i="1"/>
  <c r="T4568" i="1"/>
  <c r="U4568" i="1"/>
  <c r="BB4568" i="1"/>
  <c r="BW4568" i="1"/>
  <c r="A4569" i="1"/>
  <c r="C4569" i="1"/>
  <c r="S4569" i="1"/>
  <c r="T4569" i="1"/>
  <c r="U4569" i="1"/>
  <c r="BB4569" i="1"/>
  <c r="BW4569" i="1"/>
  <c r="A4570" i="1"/>
  <c r="C4570" i="1"/>
  <c r="S4570" i="1"/>
  <c r="T4570" i="1"/>
  <c r="U4570" i="1"/>
  <c r="BB4570" i="1"/>
  <c r="BW4570" i="1"/>
  <c r="A4571" i="1"/>
  <c r="C4571" i="1"/>
  <c r="S4571" i="1"/>
  <c r="T4571" i="1"/>
  <c r="U4571" i="1"/>
  <c r="BB4571" i="1"/>
  <c r="BW4571" i="1"/>
  <c r="A4572" i="1"/>
  <c r="C4572" i="1"/>
  <c r="S4572" i="1"/>
  <c r="T4572" i="1"/>
  <c r="U4572" i="1"/>
  <c r="BB4572" i="1"/>
  <c r="BW4572" i="1"/>
  <c r="A4573" i="1"/>
  <c r="C4573" i="1"/>
  <c r="S4573" i="1"/>
  <c r="T4573" i="1"/>
  <c r="U4573" i="1"/>
  <c r="BB4573" i="1"/>
  <c r="BW4573" i="1"/>
  <c r="A4574" i="1"/>
  <c r="C4574" i="1"/>
  <c r="S4574" i="1"/>
  <c r="T4574" i="1"/>
  <c r="U4574" i="1"/>
  <c r="BB4574" i="1"/>
  <c r="BW4574" i="1"/>
  <c r="A4575" i="1"/>
  <c r="C4575" i="1"/>
  <c r="S4575" i="1"/>
  <c r="T4575" i="1"/>
  <c r="U4575" i="1"/>
  <c r="BB4575" i="1"/>
  <c r="BW4575" i="1"/>
  <c r="A4576" i="1"/>
  <c r="C4576" i="1"/>
  <c r="S4576" i="1"/>
  <c r="T4576" i="1"/>
  <c r="U4576" i="1"/>
  <c r="BB4576" i="1"/>
  <c r="BW4576" i="1"/>
  <c r="A4577" i="1"/>
  <c r="C4577" i="1"/>
  <c r="S4577" i="1"/>
  <c r="T4577" i="1"/>
  <c r="U4577" i="1"/>
  <c r="BB4577" i="1"/>
  <c r="BW4577" i="1"/>
  <c r="A4578" i="1"/>
  <c r="C4578" i="1"/>
  <c r="S4578" i="1"/>
  <c r="T4578" i="1"/>
  <c r="U4578" i="1"/>
  <c r="BB4578" i="1"/>
  <c r="BW4578" i="1"/>
  <c r="A4579" i="1"/>
  <c r="C4579" i="1"/>
  <c r="S4579" i="1"/>
  <c r="T4579" i="1"/>
  <c r="U4579" i="1"/>
  <c r="BB4579" i="1"/>
  <c r="BW4579" i="1"/>
  <c r="A4580" i="1"/>
  <c r="C4580" i="1"/>
  <c r="S4580" i="1"/>
  <c r="T4580" i="1"/>
  <c r="U4580" i="1"/>
  <c r="BB4580" i="1"/>
  <c r="BW4580" i="1"/>
  <c r="A4581" i="1"/>
  <c r="C4581" i="1"/>
  <c r="S4581" i="1"/>
  <c r="T4581" i="1"/>
  <c r="U4581" i="1"/>
  <c r="BB4581" i="1"/>
  <c r="BW4581" i="1"/>
  <c r="A4582" i="1"/>
  <c r="C4582" i="1"/>
  <c r="S4582" i="1"/>
  <c r="T4582" i="1"/>
  <c r="U4582" i="1"/>
  <c r="BB4582" i="1"/>
  <c r="BW4582" i="1"/>
  <c r="A4583" i="1"/>
  <c r="C4583" i="1"/>
  <c r="S4583" i="1"/>
  <c r="T4583" i="1"/>
  <c r="U4583" i="1"/>
  <c r="BB4583" i="1"/>
  <c r="BW4583" i="1"/>
  <c r="A4584" i="1"/>
  <c r="C4584" i="1"/>
  <c r="S4584" i="1"/>
  <c r="T4584" i="1"/>
  <c r="U4584" i="1"/>
  <c r="BB4584" i="1"/>
  <c r="BW4584" i="1"/>
  <c r="A4585" i="1"/>
  <c r="C4585" i="1"/>
  <c r="S4585" i="1"/>
  <c r="T4585" i="1"/>
  <c r="U4585" i="1"/>
  <c r="BB4585" i="1"/>
  <c r="BW4585" i="1"/>
  <c r="A4586" i="1"/>
  <c r="C4586" i="1"/>
  <c r="S4586" i="1"/>
  <c r="T4586" i="1"/>
  <c r="U4586" i="1"/>
  <c r="BB4586" i="1"/>
  <c r="BW4586" i="1"/>
  <c r="A4587" i="1"/>
  <c r="C4587" i="1"/>
  <c r="S4587" i="1"/>
  <c r="T4587" i="1"/>
  <c r="U4587" i="1"/>
  <c r="BB4587" i="1"/>
  <c r="BW4587" i="1"/>
  <c r="A4588" i="1"/>
  <c r="C4588" i="1"/>
  <c r="S4588" i="1"/>
  <c r="T4588" i="1"/>
  <c r="U4588" i="1"/>
  <c r="BB4588" i="1"/>
  <c r="BW4588" i="1"/>
  <c r="A4589" i="1"/>
  <c r="C4589" i="1"/>
  <c r="S4589" i="1"/>
  <c r="T4589" i="1"/>
  <c r="U4589" i="1"/>
  <c r="BB4589" i="1"/>
  <c r="BW4589" i="1"/>
  <c r="A4590" i="1"/>
  <c r="C4590" i="1"/>
  <c r="S4590" i="1"/>
  <c r="T4590" i="1"/>
  <c r="U4590" i="1"/>
  <c r="BB4590" i="1"/>
  <c r="BW4590" i="1"/>
  <c r="A4591" i="1"/>
  <c r="C4591" i="1"/>
  <c r="S4591" i="1"/>
  <c r="T4591" i="1"/>
  <c r="U4591" i="1"/>
  <c r="BB4591" i="1"/>
  <c r="BW4591" i="1"/>
  <c r="A4592" i="1"/>
  <c r="C4592" i="1"/>
  <c r="S4592" i="1"/>
  <c r="T4592" i="1"/>
  <c r="U4592" i="1"/>
  <c r="BB4592" i="1"/>
  <c r="BW4592" i="1"/>
  <c r="A4593" i="1"/>
  <c r="C4593" i="1"/>
  <c r="S4593" i="1"/>
  <c r="T4593" i="1"/>
  <c r="U4593" i="1"/>
  <c r="BB4593" i="1"/>
  <c r="BW4593" i="1"/>
  <c r="A4594" i="1"/>
  <c r="C4594" i="1"/>
  <c r="S4594" i="1"/>
  <c r="T4594" i="1"/>
  <c r="U4594" i="1"/>
  <c r="BB4594" i="1"/>
  <c r="BW4594" i="1"/>
  <c r="A4595" i="1"/>
  <c r="C4595" i="1"/>
  <c r="S4595" i="1"/>
  <c r="T4595" i="1"/>
  <c r="U4595" i="1"/>
  <c r="BB4595" i="1"/>
  <c r="BW4595" i="1"/>
  <c r="A4596" i="1"/>
  <c r="C4596" i="1"/>
  <c r="S4596" i="1"/>
  <c r="T4596" i="1"/>
  <c r="U4596" i="1"/>
  <c r="BB4596" i="1"/>
  <c r="BW4596" i="1"/>
  <c r="A4597" i="1"/>
  <c r="C4597" i="1"/>
  <c r="S4597" i="1"/>
  <c r="T4597" i="1"/>
  <c r="U4597" i="1"/>
  <c r="BB4597" i="1"/>
  <c r="BW4597" i="1"/>
  <c r="A4598" i="1"/>
  <c r="C4598" i="1"/>
  <c r="S4598" i="1"/>
  <c r="T4598" i="1"/>
  <c r="U4598" i="1"/>
  <c r="BB4598" i="1"/>
  <c r="BW4598" i="1"/>
  <c r="A4599" i="1"/>
  <c r="C4599" i="1"/>
  <c r="S4599" i="1"/>
  <c r="T4599" i="1"/>
  <c r="U4599" i="1"/>
  <c r="BB4599" i="1"/>
  <c r="BW4599" i="1"/>
  <c r="A4600" i="1"/>
  <c r="C4600" i="1"/>
  <c r="S4600" i="1"/>
  <c r="T4600" i="1"/>
  <c r="U4600" i="1"/>
  <c r="BB4600" i="1"/>
  <c r="BW4600" i="1"/>
  <c r="A4601" i="1"/>
  <c r="C4601" i="1"/>
  <c r="S4601" i="1"/>
  <c r="T4601" i="1"/>
  <c r="U4601" i="1"/>
  <c r="BB4601" i="1"/>
  <c r="BW4601" i="1"/>
  <c r="A4602" i="1"/>
  <c r="C4602" i="1"/>
  <c r="S4602" i="1"/>
  <c r="T4602" i="1"/>
  <c r="U4602" i="1"/>
  <c r="BB4602" i="1"/>
  <c r="BW4602" i="1"/>
  <c r="A4603" i="1"/>
  <c r="C4603" i="1"/>
  <c r="S4603" i="1"/>
  <c r="T4603" i="1"/>
  <c r="U4603" i="1"/>
  <c r="BB4603" i="1"/>
  <c r="BW4603" i="1"/>
  <c r="A4604" i="1"/>
  <c r="C4604" i="1"/>
  <c r="S4604" i="1"/>
  <c r="T4604" i="1"/>
  <c r="U4604" i="1"/>
  <c r="BB4604" i="1"/>
  <c r="BW4604" i="1"/>
  <c r="A4605" i="1"/>
  <c r="C4605" i="1"/>
  <c r="S4605" i="1"/>
  <c r="T4605" i="1"/>
  <c r="U4605" i="1"/>
  <c r="BB4605" i="1"/>
  <c r="BW4605" i="1"/>
  <c r="A4606" i="1"/>
  <c r="C4606" i="1"/>
  <c r="S4606" i="1"/>
  <c r="T4606" i="1"/>
  <c r="U4606" i="1"/>
  <c r="BB4606" i="1"/>
  <c r="BW4606" i="1"/>
  <c r="A4607" i="1"/>
  <c r="C4607" i="1"/>
  <c r="S4607" i="1"/>
  <c r="U4607" i="1"/>
  <c r="BB4607" i="1"/>
  <c r="BW4607" i="1"/>
  <c r="A4608" i="1"/>
  <c r="C4608" i="1"/>
  <c r="S4608" i="1"/>
  <c r="U4608" i="1"/>
  <c r="BB4608" i="1"/>
  <c r="BW4608" i="1"/>
  <c r="A4609" i="1"/>
  <c r="C4609" i="1"/>
  <c r="S4609" i="1"/>
  <c r="U4609" i="1"/>
  <c r="BB4609" i="1"/>
  <c r="BW4609" i="1"/>
  <c r="A4610" i="1"/>
  <c r="C4610" i="1"/>
  <c r="S4610" i="1"/>
  <c r="U4610" i="1"/>
  <c r="BB4610" i="1"/>
  <c r="BW4610" i="1"/>
</calcChain>
</file>

<file path=xl/sharedStrings.xml><?xml version="1.0" encoding="utf-8"?>
<sst xmlns="http://schemas.openxmlformats.org/spreadsheetml/2006/main" count="32376" uniqueCount="2545">
  <si>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</si>
  <si>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</si>
  <si>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</si>
  <si>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</si>
  <si>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</si>
  <si>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</si>
  <si>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</si>
  <si>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</si>
  <si>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</si>
  <si>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</si>
  <si>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</si>
  <si>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</si>
  <si>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</si>
  <si>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</si>
  <si>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</si>
  <si>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</si>
  <si>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</si>
  <si>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</si>
  <si>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</si>
  <si>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</si>
  <si>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</si>
  <si>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</si>
  <si>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</si>
  <si>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</si>
  <si>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</si>
  <si>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</si>
  <si>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</si>
  <si>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</si>
  <si>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</si>
  <si>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</si>
  <si>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</si>
  <si>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</si>
  <si>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</si>
  <si>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</si>
  <si>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</si>
  <si>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</si>
  <si>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</si>
  <si>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</si>
  <si>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</si>
  <si>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</si>
  <si>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</si>
  <si>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</si>
  <si>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</si>
  <si>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</si>
  <si>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</si>
  <si>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</si>
  <si>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</si>
  <si>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</si>
  <si>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</si>
  <si>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</si>
  <si>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</si>
  <si>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</si>
  <si>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</si>
  <si>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</si>
  <si>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</si>
  <si>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</si>
  <si>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</si>
  <si>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</si>
  <si>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</si>
  <si>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</si>
  <si>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</si>
  <si>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</si>
  <si>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</si>
  <si>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</si>
  <si>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</si>
  <si>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</si>
  <si>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</si>
  <si>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</si>
  <si>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</si>
  <si>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</si>
  <si>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</si>
  <si>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</si>
  <si>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</si>
  <si>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</si>
  <si>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</si>
  <si>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</si>
  <si>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</si>
  <si>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</si>
  <si>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</si>
  <si>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</si>
  <si>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</si>
  <si>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</si>
  <si>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</si>
  <si>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</si>
  <si>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</si>
  <si>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</si>
  <si>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</si>
  <si>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</si>
  <si>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</si>
  <si>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</si>
  <si>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</si>
  <si>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</si>
  <si>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</si>
  <si>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</si>
  <si>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</si>
  <si>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</si>
  <si>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</si>
  <si>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</si>
  <si>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</si>
  <si>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</si>
  <si>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</si>
  <si>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</si>
  <si>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</si>
  <si>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</si>
  <si>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</si>
  <si>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</si>
  <si>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</si>
  <si>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</si>
  <si>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</si>
  <si>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</si>
  <si>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</si>
  <si>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</si>
  <si>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</si>
  <si>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DA</t>
  </si>
  <si>
    <t>Kansas City</t>
  </si>
  <si>
    <t>Enroute</t>
  </si>
  <si>
    <t>039:28:24.49 N</t>
  </si>
  <si>
    <t>092:25:08.05 W</t>
  </si>
  <si>
    <t>BARO</t>
  </si>
  <si>
    <t>RS - HP 1090 Multi Chl Radio</t>
  </si>
  <si>
    <t>039:28:25.96 N</t>
  </si>
  <si>
    <t>092:25:07.74 W</t>
  </si>
  <si>
    <t>039:28:34.69 N</t>
  </si>
  <si>
    <t>092:25:08.28 W</t>
  </si>
  <si>
    <t>C1</t>
  </si>
  <si>
    <t>EnrouteCTV</t>
  </si>
  <si>
    <t>039:28:35.30 N</t>
  </si>
  <si>
    <t>092:25:08.20 W</t>
  </si>
  <si>
    <t>039:28:36.15 N</t>
  </si>
  <si>
    <t>092:25:08.51 W</t>
  </si>
  <si>
    <t>039:28:36.69 N</t>
  </si>
  <si>
    <t>039:28:37.31 N</t>
  </si>
  <si>
    <t>092:25:08.66 W</t>
  </si>
  <si>
    <t>039:28:38.86 N</t>
  </si>
  <si>
    <t>092:25:08.90 W</t>
  </si>
  <si>
    <t>039:28:40.40 N</t>
  </si>
  <si>
    <t>092:25:09.28 W</t>
  </si>
  <si>
    <t>039:28:41.87 N</t>
  </si>
  <si>
    <t>092:25:09.51 W</t>
  </si>
  <si>
    <t>039:28:43.57 N</t>
  </si>
  <si>
    <t>092:25:10.21 W</t>
  </si>
  <si>
    <t>DD</t>
  </si>
  <si>
    <t>Columbia</t>
  </si>
  <si>
    <t>Terminal</t>
  </si>
  <si>
    <t>039:28:48.28 N</t>
  </si>
  <si>
    <t>092:25:11.75 W</t>
  </si>
  <si>
    <t>039:28:50.52 N</t>
  </si>
  <si>
    <t>092:25:12.53 W</t>
  </si>
  <si>
    <t>039:28:52.45 N</t>
  </si>
  <si>
    <t>092:25:13.22 W</t>
  </si>
  <si>
    <t>039:28:53.92 N</t>
  </si>
  <si>
    <t>092:25:13.69 W</t>
  </si>
  <si>
    <t>039:28:56.16 N</t>
  </si>
  <si>
    <t>092:25:14.38 W</t>
  </si>
  <si>
    <t>039:28:57.63 N</t>
  </si>
  <si>
    <t>092:25:15.00 W</t>
  </si>
  <si>
    <t>039:29:03.19 N</t>
  </si>
  <si>
    <t>092:25:17.01 W</t>
  </si>
  <si>
    <t>039:29:05.04 N</t>
  </si>
  <si>
    <t>092:25:17.47 W</t>
  </si>
  <si>
    <t>039:29:06.51 N</t>
  </si>
  <si>
    <t>092:25:18.09 W</t>
  </si>
  <si>
    <t>039:29:07.98 N</t>
  </si>
  <si>
    <t>092:25:18.55 W</t>
  </si>
  <si>
    <t>039:29:09.83 N</t>
  </si>
  <si>
    <t>092:25:19.17 W</t>
  </si>
  <si>
    <t>039:29:14.70 N</t>
  </si>
  <si>
    <t>092:25:20.95 W</t>
  </si>
  <si>
    <t>039:29:16.25 N</t>
  </si>
  <si>
    <t>092:25:21.41 W</t>
  </si>
  <si>
    <t>039:29:18.02 N</t>
  </si>
  <si>
    <t>092:25:22.03 W</t>
  </si>
  <si>
    <t>039:29:20.26 N</t>
  </si>
  <si>
    <t>092:25:22.96 W</t>
  </si>
  <si>
    <t>039:29:21.65 N</t>
  </si>
  <si>
    <t>092:25:23.50 W</t>
  </si>
  <si>
    <t>039:29:26.91 N</t>
  </si>
  <si>
    <t>092:25:25.43 W</t>
  </si>
  <si>
    <t>039:29:28.60 N</t>
  </si>
  <si>
    <t>092:25:26.35 W</t>
  </si>
  <si>
    <t>039:29:30.23 N</t>
  </si>
  <si>
    <t>092:25:26.97 W</t>
  </si>
  <si>
    <t>039:29:31.85 N</t>
  </si>
  <si>
    <t>092:25:27.75 W</t>
  </si>
  <si>
    <t>039:29:33.63 N</t>
  </si>
  <si>
    <t>092:25:28.67 W</t>
  </si>
  <si>
    <t>039:29:35.17 N</t>
  </si>
  <si>
    <t>092:25:29.52 W</t>
  </si>
  <si>
    <t>039:29:36.48 N</t>
  </si>
  <si>
    <t>092:25:30.22 W</t>
  </si>
  <si>
    <t>039:29:41.04 N</t>
  </si>
  <si>
    <t>092:25:33.00 W</t>
  </si>
  <si>
    <t>039:29:42.90 N</t>
  </si>
  <si>
    <t>092:25:34.31 W</t>
  </si>
  <si>
    <t>039:29:44.36 N</t>
  </si>
  <si>
    <t>092:25:35.32 W</t>
  </si>
  <si>
    <t>039:29:45.91 N</t>
  </si>
  <si>
    <t>092:25:36.32 W</t>
  </si>
  <si>
    <t>039:29:47.53 N</t>
  </si>
  <si>
    <t>092:25:37.48 W</t>
  </si>
  <si>
    <t>039:29:49.15 N</t>
  </si>
  <si>
    <t>092:25:38.56 W</t>
  </si>
  <si>
    <t>039:29:50.85 N</t>
  </si>
  <si>
    <t>092:25:39.64 W</t>
  </si>
  <si>
    <t>039:29:52.47 N</t>
  </si>
  <si>
    <t>092:25:40.95 W</t>
  </si>
  <si>
    <t>039:29:57.50 N</t>
  </si>
  <si>
    <t>092:25:44.28 W</t>
  </si>
  <si>
    <t>039:29:59.12 N</t>
  </si>
  <si>
    <t>092:25:45.36 W</t>
  </si>
  <si>
    <t>039:30:00.82 N</t>
  </si>
  <si>
    <t>092:25:46.44 W</t>
  </si>
  <si>
    <t>039:30:02.52 N</t>
  </si>
  <si>
    <t>092:25:47.52 W</t>
  </si>
  <si>
    <t>039:30:04.37 N</t>
  </si>
  <si>
    <t>092:25:48.68 W</t>
  </si>
  <si>
    <t>039:30:05.99 N</t>
  </si>
  <si>
    <t>092:25:49.99 W</t>
  </si>
  <si>
    <t>039:30:10.09 N</t>
  </si>
  <si>
    <t>092:25:52.77 W</t>
  </si>
  <si>
    <t>039:30:11.79 N</t>
  </si>
  <si>
    <t>092:25:54.09 W</t>
  </si>
  <si>
    <t>039:30:13.41 N</t>
  </si>
  <si>
    <t>092:25:55.32 W</t>
  </si>
  <si>
    <t>039:30:15.19 N</t>
  </si>
  <si>
    <t>092:25:56.64 W</t>
  </si>
  <si>
    <t>039:30:17.04 N</t>
  </si>
  <si>
    <t>092:25:58.34 W</t>
  </si>
  <si>
    <t>039:30:21.98 N</t>
  </si>
  <si>
    <t>092:26:02.43 W</t>
  </si>
  <si>
    <t>039:30:24.15 N</t>
  </si>
  <si>
    <t>092:26:04.36 W</t>
  </si>
  <si>
    <t>039:30:25.92 N</t>
  </si>
  <si>
    <t>092:26:05.98 W</t>
  </si>
  <si>
    <t>039:30:27.39 N</t>
  </si>
  <si>
    <t>092:26:07.37 W</t>
  </si>
  <si>
    <t>039:30:29.32 N</t>
  </si>
  <si>
    <t>092:26:09.30 W</t>
  </si>
  <si>
    <t>039:30:31.18 N</t>
  </si>
  <si>
    <t>092:26:11.00 W</t>
  </si>
  <si>
    <t>039:30:36.51 N</t>
  </si>
  <si>
    <t>092:26:15.87 W</t>
  </si>
  <si>
    <t>039:30:38.20 N</t>
  </si>
  <si>
    <t>092:26:17.65 W</t>
  </si>
  <si>
    <t>039:30:40.14 N</t>
  </si>
  <si>
    <t>092:26:19.42 W</t>
  </si>
  <si>
    <t>039:30:41.76 N</t>
  </si>
  <si>
    <t>092:26:20.89 W</t>
  </si>
  <si>
    <t>039:30:43.38 N</t>
  </si>
  <si>
    <t>092:26:22.44 W</t>
  </si>
  <si>
    <t>039:30:45.23 N</t>
  </si>
  <si>
    <t>092:26:24.37 W</t>
  </si>
  <si>
    <t>039:30:55.43 N</t>
  </si>
  <si>
    <t>092:26:34.10 W</t>
  </si>
  <si>
    <t>039:30:57.44 N</t>
  </si>
  <si>
    <t>092:26:35.95 W</t>
  </si>
  <si>
    <t>039:30:59.06 N</t>
  </si>
  <si>
    <t>092:26:37.65 W</t>
  </si>
  <si>
    <t>039:31:00.84 N</t>
  </si>
  <si>
    <t>092:26:39.59 W</t>
  </si>
  <si>
    <t>039:31:02.31 N</t>
  </si>
  <si>
    <t>092:26:41.36 W</t>
  </si>
  <si>
    <t>039:31:04.31 N</t>
  </si>
  <si>
    <t>092:26:43.52 W</t>
  </si>
  <si>
    <t>039:31:05.94 N</t>
  </si>
  <si>
    <t>092:26:45.46 W</t>
  </si>
  <si>
    <t>039:31:07.48 N</t>
  </si>
  <si>
    <t>092:26:47.08 W</t>
  </si>
  <si>
    <t>039:31:08.95 N</t>
  </si>
  <si>
    <t>092:26:49.09 W</t>
  </si>
  <si>
    <t>039:31:10.73 N</t>
  </si>
  <si>
    <t>092:26:51.02 W</t>
  </si>
  <si>
    <t>039:31:12.19 N</t>
  </si>
  <si>
    <t>092:26:53.03 W</t>
  </si>
  <si>
    <t>039:31:13.74 N</t>
  </si>
  <si>
    <t>092:26:54.88 W</t>
  </si>
  <si>
    <t>039:31:15.36 N</t>
  </si>
  <si>
    <t>092:26:57.20 W</t>
  </si>
  <si>
    <t>039:31:17.06 N</t>
  </si>
  <si>
    <t>092:26:59.36 W</t>
  </si>
  <si>
    <t>039:31:18.76 N</t>
  </si>
  <si>
    <t>092:27:01.60 W</t>
  </si>
  <si>
    <t>039:31:20.46 N</t>
  </si>
  <si>
    <t>092:27:03.92 W</t>
  </si>
  <si>
    <t>039:31:22.24 N</t>
  </si>
  <si>
    <t>092:27:06.39 W</t>
  </si>
  <si>
    <t>039:31:23.94 N</t>
  </si>
  <si>
    <t>092:27:08.63 W</t>
  </si>
  <si>
    <t>039:31:25.71 N</t>
  </si>
  <si>
    <t>092:27:10.79 W</t>
  </si>
  <si>
    <t>039:31:27.26 N</t>
  </si>
  <si>
    <t>092:27:12.49 W</t>
  </si>
  <si>
    <t>039:31:28.65 N</t>
  </si>
  <si>
    <t>092:27:14.35 W</t>
  </si>
  <si>
    <t>039:31:30.50 N</t>
  </si>
  <si>
    <t>092:27:16.59 W</t>
  </si>
  <si>
    <t>039:31:32.12 N</t>
  </si>
  <si>
    <t>092:27:18.52 W</t>
  </si>
  <si>
    <t>039:31:33.67 N</t>
  </si>
  <si>
    <t>092:27:20.45 W</t>
  </si>
  <si>
    <t>039:31:35.14 N</t>
  </si>
  <si>
    <t>092:27:22.23 W</t>
  </si>
  <si>
    <t>039:31:36.99 N</t>
  </si>
  <si>
    <t>092:27:24.54 W</t>
  </si>
  <si>
    <t>039:31:38.77 N</t>
  </si>
  <si>
    <t>092:27:26.71 W</t>
  </si>
  <si>
    <t>039:31:42.40 N</t>
  </si>
  <si>
    <t>092:27:31.03 W</t>
  </si>
  <si>
    <t>039:31:44.02 N</t>
  </si>
  <si>
    <t>092:27:33.20 W</t>
  </si>
  <si>
    <t>039:31:45.49 N</t>
  </si>
  <si>
    <t>092:27:35.05 W</t>
  </si>
  <si>
    <t>039:31:47.42 N</t>
  </si>
  <si>
    <t>092:27:37.37 W</t>
  </si>
  <si>
    <t>039:31:49.35 N</t>
  </si>
  <si>
    <t>092:27:39.84 W</t>
  </si>
  <si>
    <t>039:31:50.89 N</t>
  </si>
  <si>
    <t>092:27:41.54 W</t>
  </si>
  <si>
    <t>039:31:52.59 N</t>
  </si>
  <si>
    <t>092:27:43.47 W</t>
  </si>
  <si>
    <t>039:31:54.60 N</t>
  </si>
  <si>
    <t>092:27:45.71 W</t>
  </si>
  <si>
    <t>039:31:56.46 N</t>
  </si>
  <si>
    <t>092:27:47.72 W</t>
  </si>
  <si>
    <t>039:31:58.31 N</t>
  </si>
  <si>
    <t>092:27:49.73 W</t>
  </si>
  <si>
    <t>039:32:00.01 N</t>
  </si>
  <si>
    <t>092:27:51.66 W</t>
  </si>
  <si>
    <t>039:32:01.63 N</t>
  </si>
  <si>
    <t>092:27:53.43 W</t>
  </si>
  <si>
    <t>039:32:03.33 N</t>
  </si>
  <si>
    <t>092:27:55.29 W</t>
  </si>
  <si>
    <t>039:32:05.03 N</t>
  </si>
  <si>
    <t>092:27:56.99 W</t>
  </si>
  <si>
    <t>039:32:06.81 N</t>
  </si>
  <si>
    <t>092:27:58.92 W</t>
  </si>
  <si>
    <t>039:32:08.58 N</t>
  </si>
  <si>
    <t>092:28:00.62 W</t>
  </si>
  <si>
    <t>039:32:10.36 N</t>
  </si>
  <si>
    <t>092:28:02.47 W</t>
  </si>
  <si>
    <t>039:32:12.22 N</t>
  </si>
  <si>
    <t>092:28:04.40 W</t>
  </si>
  <si>
    <t>039:32:14.38 N</t>
  </si>
  <si>
    <t>092:28:06.49 W</t>
  </si>
  <si>
    <t>039:32:16.15 N</t>
  </si>
  <si>
    <t>092:28:08.42 W</t>
  </si>
  <si>
    <t>039:32:17.93 N</t>
  </si>
  <si>
    <t>092:28:09.89 W</t>
  </si>
  <si>
    <t>039:32:19.63 N</t>
  </si>
  <si>
    <t>092:28:11.59 W</t>
  </si>
  <si>
    <t>039:32:21.41 N</t>
  </si>
  <si>
    <t>092:28:13.44 W</t>
  </si>
  <si>
    <t>039:32:24.57 N</t>
  </si>
  <si>
    <t>092:28:16.30 W</t>
  </si>
  <si>
    <t>039:32:26.43 N</t>
  </si>
  <si>
    <t>092:28:18.23 W</t>
  </si>
  <si>
    <t>039:32:28.82 N</t>
  </si>
  <si>
    <t>092:28:20.47 W</t>
  </si>
  <si>
    <t>039:32:30.52 N</t>
  </si>
  <si>
    <t>092:28:22.17 W</t>
  </si>
  <si>
    <t>039:32:32.45 N</t>
  </si>
  <si>
    <t>092:28:23.87 W</t>
  </si>
  <si>
    <t>039:32:34.77 N</t>
  </si>
  <si>
    <t>092:28:26.26 W</t>
  </si>
  <si>
    <t>039:32:36.78 N</t>
  </si>
  <si>
    <t>092:28:27.96 W</t>
  </si>
  <si>
    <t>039:32:38.79 N</t>
  </si>
  <si>
    <t>092:28:29.89 W</t>
  </si>
  <si>
    <t>039:32:40.72 N</t>
  </si>
  <si>
    <t>092:28:31.59 W</t>
  </si>
  <si>
    <t>039:32:42.50 N</t>
  </si>
  <si>
    <t>092:28:33.22 W</t>
  </si>
  <si>
    <t>039:32:44.66 N</t>
  </si>
  <si>
    <t>092:28:35.07 W</t>
  </si>
  <si>
    <t>039:32:46.59 N</t>
  </si>
  <si>
    <t>092:28:36.54 W</t>
  </si>
  <si>
    <t>039:32:48.60 N</t>
  </si>
  <si>
    <t>092:28:38.24 W</t>
  </si>
  <si>
    <t>039:32:50.30 N</t>
  </si>
  <si>
    <t>092:28:39.78 W</t>
  </si>
  <si>
    <t>039:32:52.46 N</t>
  </si>
  <si>
    <t>092:28:41.48 W</t>
  </si>
  <si>
    <t>039:32:54.39 N</t>
  </si>
  <si>
    <t>092:28:43.18 W</t>
  </si>
  <si>
    <t>039:32:56.40 N</t>
  </si>
  <si>
    <t>092:28:44.96 W</t>
  </si>
  <si>
    <t>039:32:58.25 N</t>
  </si>
  <si>
    <t>092:28:46.43 W</t>
  </si>
  <si>
    <t>039:33:00.50 N</t>
  </si>
  <si>
    <t>092:28:48.13 W</t>
  </si>
  <si>
    <t>039:33:06.60 N</t>
  </si>
  <si>
    <t>092:28:53.30 W</t>
  </si>
  <si>
    <t>039:33:08.84 N</t>
  </si>
  <si>
    <t>092:28:54.92 W</t>
  </si>
  <si>
    <t>039:33:10.85 N</t>
  </si>
  <si>
    <t>092:28:56.70 W</t>
  </si>
  <si>
    <t>039:33:12.85 N</t>
  </si>
  <si>
    <t>092:28:58.24 W</t>
  </si>
  <si>
    <t>039:33:14.71 N</t>
  </si>
  <si>
    <t>092:28:59.79 W</t>
  </si>
  <si>
    <t>039:33:16.64 N</t>
  </si>
  <si>
    <t>092:29:01.49 W</t>
  </si>
  <si>
    <t>039:33:18.80 N</t>
  </si>
  <si>
    <t>092:29:03.19 W</t>
  </si>
  <si>
    <t>039:33:21.58 N</t>
  </si>
  <si>
    <t>092:29:05.35 W</t>
  </si>
  <si>
    <t>039:33:23.90 N</t>
  </si>
  <si>
    <t>092:29:07.28 W</t>
  </si>
  <si>
    <t>039:33:25.91 N</t>
  </si>
  <si>
    <t>092:29:08.83 W</t>
  </si>
  <si>
    <t>039:33:27.69 N</t>
  </si>
  <si>
    <t>092:29:10.30 W</t>
  </si>
  <si>
    <t>039:33:29.62 N</t>
  </si>
  <si>
    <t>092:29:11.92 W</t>
  </si>
  <si>
    <t>039:33:31.63 N</t>
  </si>
  <si>
    <t>092:29:13.39 W</t>
  </si>
  <si>
    <t>039:33:33.63 N</t>
  </si>
  <si>
    <t>092:29:15.16 W</t>
  </si>
  <si>
    <t>039:33:35.41 N</t>
  </si>
  <si>
    <t>092:29:16.55 W</t>
  </si>
  <si>
    <t>039:33:37.34 N</t>
  </si>
  <si>
    <t>092:29:18.02 W</t>
  </si>
  <si>
    <t>039:33:39.04 N</t>
  </si>
  <si>
    <t>092:29:19.33 W</t>
  </si>
  <si>
    <t>039:33:41.20 N</t>
  </si>
  <si>
    <t>092:29:21.03 W</t>
  </si>
  <si>
    <t>039:33:43.37 N</t>
  </si>
  <si>
    <t>092:29:22.58 W</t>
  </si>
  <si>
    <t>039:33:45.22 N</t>
  </si>
  <si>
    <t>092:29:23.97 W</t>
  </si>
  <si>
    <t>039:33:47.15 N</t>
  </si>
  <si>
    <t>092:29:25.36 W</t>
  </si>
  <si>
    <t>039:33:49.32 N</t>
  </si>
  <si>
    <t>092:29:26.67 W</t>
  </si>
  <si>
    <t>039:33:51.25 N</t>
  </si>
  <si>
    <t>092:29:27.91 W</t>
  </si>
  <si>
    <t>039:33:53.10 N</t>
  </si>
  <si>
    <t>092:29:28.99 W</t>
  </si>
  <si>
    <t>039:33:55.42 N</t>
  </si>
  <si>
    <t>092:29:30.30 W</t>
  </si>
  <si>
    <t>039:33:57.81 N</t>
  </si>
  <si>
    <t>092:29:31.46 W</t>
  </si>
  <si>
    <t>039:33:59.98 N</t>
  </si>
  <si>
    <t>092:29:32.54 W</t>
  </si>
  <si>
    <t>039:34:02.45 N</t>
  </si>
  <si>
    <t>092:29:33.55 W</t>
  </si>
  <si>
    <t>039:34:04.77 N</t>
  </si>
  <si>
    <t>092:29:34.40 W</t>
  </si>
  <si>
    <t>039:34:06.85 N</t>
  </si>
  <si>
    <t>092:29:35.17 W</t>
  </si>
  <si>
    <t>039:34:09.25 N</t>
  </si>
  <si>
    <t>092:29:36.10 W</t>
  </si>
  <si>
    <t>039:34:11.18 N</t>
  </si>
  <si>
    <t>092:29:36.71 W</t>
  </si>
  <si>
    <t>039:34:14.03 N</t>
  </si>
  <si>
    <t>092:29:37.56 W</t>
  </si>
  <si>
    <t>039:34:17.20 N</t>
  </si>
  <si>
    <t>092:29:38.49 W</t>
  </si>
  <si>
    <t>039:34:19.60 N</t>
  </si>
  <si>
    <t>092:29:39.11 W</t>
  </si>
  <si>
    <t>039:34:21.91 N</t>
  </si>
  <si>
    <t>092:29:39.50 W</t>
  </si>
  <si>
    <t>039:34:25.54 N</t>
  </si>
  <si>
    <t>092:29:40.42 W</t>
  </si>
  <si>
    <t>039:34:28.33 N</t>
  </si>
  <si>
    <t>092:29:41.04 W</t>
  </si>
  <si>
    <t>039:34:30.80 N</t>
  </si>
  <si>
    <t>092:29:41.58 W</t>
  </si>
  <si>
    <t>039:34:32.96 N</t>
  </si>
  <si>
    <t>092:29:42.12 W</t>
  </si>
  <si>
    <t>039:34:35.28 N</t>
  </si>
  <si>
    <t>092:29:42.51 W</t>
  </si>
  <si>
    <t>039:34:37.13 N</t>
  </si>
  <si>
    <t>092:29:43.05 W</t>
  </si>
  <si>
    <t>039:34:39.53 N</t>
  </si>
  <si>
    <t>092:29:43.51 W</t>
  </si>
  <si>
    <t>039:34:43.00 N</t>
  </si>
  <si>
    <t>092:29:44.05 W</t>
  </si>
  <si>
    <t>039:34:45.17 N</t>
  </si>
  <si>
    <t>092:29:44.44 W</t>
  </si>
  <si>
    <t>039:34:47.71 N</t>
  </si>
  <si>
    <t>092:29:45.06 W</t>
  </si>
  <si>
    <t>039:34:49.80 N</t>
  </si>
  <si>
    <t>092:29:45.37 W</t>
  </si>
  <si>
    <t>039:34:52.27 N</t>
  </si>
  <si>
    <t>092:29:45.91 W</t>
  </si>
  <si>
    <t>039:35:01.77 N</t>
  </si>
  <si>
    <t>092:29:47.68 W</t>
  </si>
  <si>
    <t>039:35:03.78 N</t>
  </si>
  <si>
    <t>092:29:48.15 W</t>
  </si>
  <si>
    <t>039:35:06.25 N</t>
  </si>
  <si>
    <t>092:29:48.53 W</t>
  </si>
  <si>
    <t>039:35:08.19 N</t>
  </si>
  <si>
    <t>092:29:48.76 W</t>
  </si>
  <si>
    <t>039:35:10.66 N</t>
  </si>
  <si>
    <t>092:29:49.23 W</t>
  </si>
  <si>
    <t>039:35:12.97 N</t>
  </si>
  <si>
    <t>092:29:49.61 W</t>
  </si>
  <si>
    <t>039:35:15.06 N</t>
  </si>
  <si>
    <t>092:29:50.08 W</t>
  </si>
  <si>
    <t>039:35:17.46 N</t>
  </si>
  <si>
    <t>092:29:50.46 W</t>
  </si>
  <si>
    <t>039:35:19.77 N</t>
  </si>
  <si>
    <t>092:29:50.93 W</t>
  </si>
  <si>
    <t>039:35:21.78 N</t>
  </si>
  <si>
    <t>092:29:51.24 W</t>
  </si>
  <si>
    <t>039:35:24.10 N</t>
  </si>
  <si>
    <t>092:29:51.62 W</t>
  </si>
  <si>
    <t>039:35:26.65 N</t>
  </si>
  <si>
    <t>092:29:52.01 W</t>
  </si>
  <si>
    <t>039:35:29.12 N</t>
  </si>
  <si>
    <t>092:29:52.55 W</t>
  </si>
  <si>
    <t>039:35:31.98 N</t>
  </si>
  <si>
    <t>092:29:52.94 W</t>
  </si>
  <si>
    <t>039:35:33.91 N</t>
  </si>
  <si>
    <t>092:29:53.32 W</t>
  </si>
  <si>
    <t>039:35:36.46 N</t>
  </si>
  <si>
    <t>092:29:53.86 W</t>
  </si>
  <si>
    <t>039:35:38.31 N</t>
  </si>
  <si>
    <t>092:29:54.09 W</t>
  </si>
  <si>
    <t>039:35:40.55 N</t>
  </si>
  <si>
    <t>092:29:54.33 W</t>
  </si>
  <si>
    <t>039:35:42.87 N</t>
  </si>
  <si>
    <t>092:29:54.71 W</t>
  </si>
  <si>
    <t>039:35:50.05 N</t>
  </si>
  <si>
    <t>092:29:55.64 W</t>
  </si>
  <si>
    <t>039:35:52.06 N</t>
  </si>
  <si>
    <t>092:29:55.79 W</t>
  </si>
  <si>
    <t>039:35:54.46 N</t>
  </si>
  <si>
    <t>092:29:56.03 W</t>
  </si>
  <si>
    <t>039:35:57.01 N</t>
  </si>
  <si>
    <t>092:29:56.49 W</t>
  </si>
  <si>
    <t>039:35:59.32 N</t>
  </si>
  <si>
    <t>092:29:56.72 W</t>
  </si>
  <si>
    <t>039:36:01.33 N</t>
  </si>
  <si>
    <t>092:29:56.95 W</t>
  </si>
  <si>
    <t>039:36:04.65 N</t>
  </si>
  <si>
    <t>092:29:57.34 W</t>
  </si>
  <si>
    <t>039:36:06.82 N</t>
  </si>
  <si>
    <t>092:29:57.57 W</t>
  </si>
  <si>
    <t>039:36:13.85 N</t>
  </si>
  <si>
    <t>092:29:58.27 W</t>
  </si>
  <si>
    <t>039:36:15.78 N</t>
  </si>
  <si>
    <t>092:29:58.42 W</t>
  </si>
  <si>
    <t>039:36:18.09 N</t>
  </si>
  <si>
    <t>092:29:58.65 W</t>
  </si>
  <si>
    <t>039:36:20.41 N</t>
  </si>
  <si>
    <t>092:29:58.88 W</t>
  </si>
  <si>
    <t>039:36:23.12 N</t>
  </si>
  <si>
    <t>092:29:59.12 W</t>
  </si>
  <si>
    <t>039:36:25.28 N</t>
  </si>
  <si>
    <t>092:29:59.35 W</t>
  </si>
  <si>
    <t>039:36:27.83 N</t>
  </si>
  <si>
    <t>092:29:59.50 W</t>
  </si>
  <si>
    <t>039:36:30.30 N</t>
  </si>
  <si>
    <t>092:29:59.73 W</t>
  </si>
  <si>
    <t>039:36:37.02 N</t>
  </si>
  <si>
    <t>092:30:00.20 W</t>
  </si>
  <si>
    <t>039:36:39.18 N</t>
  </si>
  <si>
    <t>092:30:00.43 W</t>
  </si>
  <si>
    <t>039:36:42.04 N</t>
  </si>
  <si>
    <t>092:30:00.66 W</t>
  </si>
  <si>
    <t>039:36:44.36 N</t>
  </si>
  <si>
    <t>092:30:00.89 W</t>
  </si>
  <si>
    <t>039:36:46.44 N</t>
  </si>
  <si>
    <t>092:30:01.05 W</t>
  </si>
  <si>
    <t>039:36:48.76 N</t>
  </si>
  <si>
    <t>092:30:01.28 W</t>
  </si>
  <si>
    <t>039:36:55.41 N</t>
  </si>
  <si>
    <t>092:30:01.74 W</t>
  </si>
  <si>
    <t>039:36:58.11 N</t>
  </si>
  <si>
    <t>092:30:01.97 W</t>
  </si>
  <si>
    <t>039:37:00.43 N</t>
  </si>
  <si>
    <t>092:30:02.21 W</t>
  </si>
  <si>
    <t>039:37:02.59 N</t>
  </si>
  <si>
    <t>092:30:02.51 W</t>
  </si>
  <si>
    <t>039:37:04.67 N</t>
  </si>
  <si>
    <t>092:30:02.67 W</t>
  </si>
  <si>
    <t>039:37:07.30 N</t>
  </si>
  <si>
    <t>092:30:02.82 W</t>
  </si>
  <si>
    <t>039:37:15.95 N</t>
  </si>
  <si>
    <t>092:30:03.83 W</t>
  </si>
  <si>
    <t>039:37:18.35 N</t>
  </si>
  <si>
    <t>092:30:04.14 W</t>
  </si>
  <si>
    <t>039:37:20.90 N</t>
  </si>
  <si>
    <t>092:30:04.45 W</t>
  </si>
  <si>
    <t>039:37:23.21 N</t>
  </si>
  <si>
    <t>092:30:04.68 W</t>
  </si>
  <si>
    <t>039:37:26.61 N</t>
  </si>
  <si>
    <t>092:30:05.06 W</t>
  </si>
  <si>
    <t>Chicago</t>
  </si>
  <si>
    <t>039:37:35.65 N</t>
  </si>
  <si>
    <t>092:30:06.15 W</t>
  </si>
  <si>
    <t>039:37:37.97 N</t>
  </si>
  <si>
    <t>092:30:06.61 W</t>
  </si>
  <si>
    <t>039:37:40.36 N</t>
  </si>
  <si>
    <t>092:30:06.84 W</t>
  </si>
  <si>
    <t>039:37:42.99 N</t>
  </si>
  <si>
    <t>092:30:07.23 W</t>
  </si>
  <si>
    <t>039:37:45.38 N</t>
  </si>
  <si>
    <t>092:30:07.69 W</t>
  </si>
  <si>
    <t>039:37:52.72 N</t>
  </si>
  <si>
    <t>092:30:08.77 W</t>
  </si>
  <si>
    <t>039:37:55.27 N</t>
  </si>
  <si>
    <t>092:30:09.24 W</t>
  </si>
  <si>
    <t>039:37:58.28 N</t>
  </si>
  <si>
    <t>092:30:09.85 W</t>
  </si>
  <si>
    <t>039:38:02.92 N</t>
  </si>
  <si>
    <t>092:30:10.93 W</t>
  </si>
  <si>
    <t>039:38:06.01 N</t>
  </si>
  <si>
    <t>092:30:11.55 W</t>
  </si>
  <si>
    <t>039:38:13.35 N</t>
  </si>
  <si>
    <t>092:30:13.41 W</t>
  </si>
  <si>
    <t>039:38:16.36 N</t>
  </si>
  <si>
    <t>092:30:14.02 W</t>
  </si>
  <si>
    <t>039:38:18.91 N</t>
  </si>
  <si>
    <t>092:30:14.80 W</t>
  </si>
  <si>
    <t>039:38:22.39 N</t>
  </si>
  <si>
    <t>092:30:15.65 W</t>
  </si>
  <si>
    <t>039:38:24.47 N</t>
  </si>
  <si>
    <t>092:30:16.26 W</t>
  </si>
  <si>
    <t>039:38:28.10 N</t>
  </si>
  <si>
    <t>092:30:17.35 W</t>
  </si>
  <si>
    <t>039:38:31.11 N</t>
  </si>
  <si>
    <t>092:30:18.20 W</t>
  </si>
  <si>
    <t>039:38:34.20 N</t>
  </si>
  <si>
    <t>092:30:19.05 W</t>
  </si>
  <si>
    <t>039:38:37.68 N</t>
  </si>
  <si>
    <t>092:30:19.97 W</t>
  </si>
  <si>
    <t>039:38:39.69 N</t>
  </si>
  <si>
    <t>092:30:20.67 W</t>
  </si>
  <si>
    <t>039:38:42.47 N</t>
  </si>
  <si>
    <t>092:30:21.44 W</t>
  </si>
  <si>
    <t>039:38:49.19 N</t>
  </si>
  <si>
    <t>092:30:23.53 W</t>
  </si>
  <si>
    <t>039:38:51.51 N</t>
  </si>
  <si>
    <t>092:30:24.45 W</t>
  </si>
  <si>
    <t>039:38:53.67 N</t>
  </si>
  <si>
    <t>092:30:25.07 W</t>
  </si>
  <si>
    <t>039:38:56.76 N</t>
  </si>
  <si>
    <t>092:30:26.15 W</t>
  </si>
  <si>
    <t>039:38:59.08 N</t>
  </si>
  <si>
    <t>092:30:26.77 W</t>
  </si>
  <si>
    <t>039:39:07.65 N</t>
  </si>
  <si>
    <t>092:30:29.86 W</t>
  </si>
  <si>
    <t>039:39:10.97 N</t>
  </si>
  <si>
    <t>092:30:30.94 W</t>
  </si>
  <si>
    <t>039:39:13.68 N</t>
  </si>
  <si>
    <t>092:30:31.87 W</t>
  </si>
  <si>
    <t>039:39:16.38 N</t>
  </si>
  <si>
    <t>092:30:32.87 W</t>
  </si>
  <si>
    <t>039:39:21.48 N</t>
  </si>
  <si>
    <t>092:30:34.57 W</t>
  </si>
  <si>
    <t>039:39:24.42 N</t>
  </si>
  <si>
    <t>092:30:35.58 W</t>
  </si>
  <si>
    <t>039:39:26.66 N</t>
  </si>
  <si>
    <t>092:30:36.27 W</t>
  </si>
  <si>
    <t>039:39:28.97 N</t>
  </si>
  <si>
    <t>092:30:37.12 W</t>
  </si>
  <si>
    <t>039:39:31.14 N</t>
  </si>
  <si>
    <t>092:30:38.05 W</t>
  </si>
  <si>
    <t>039:39:33.99 N</t>
  </si>
  <si>
    <t>092:30:38.90 W</t>
  </si>
  <si>
    <t>039:39:35.85 N</t>
  </si>
  <si>
    <t>092:30:39.75 W</t>
  </si>
  <si>
    <t>039:39:39.94 N</t>
  </si>
  <si>
    <t>092:30:41.22 W</t>
  </si>
  <si>
    <t>039:39:42.11 N</t>
  </si>
  <si>
    <t>092:30:41.83 W</t>
  </si>
  <si>
    <t>039:39:44.35 N</t>
  </si>
  <si>
    <t>092:30:42.61 W</t>
  </si>
  <si>
    <t>039:39:47.36 N</t>
  </si>
  <si>
    <t>092:30:43.77 W</t>
  </si>
  <si>
    <t>039:39:49.75 N</t>
  </si>
  <si>
    <t>092:30:44.61 W</t>
  </si>
  <si>
    <t>Minneapolis</t>
  </si>
  <si>
    <t>039:39:51.99 N</t>
  </si>
  <si>
    <t>092:30:45.31 W</t>
  </si>
  <si>
    <t>039:39:55.08 N</t>
  </si>
  <si>
    <t>092:30:46.39 W</t>
  </si>
  <si>
    <t>039:39:56.94 N</t>
  </si>
  <si>
    <t>092:30:47.01 W</t>
  </si>
  <si>
    <t>039:39:59.10 N</t>
  </si>
  <si>
    <t>092:30:47.86 W</t>
  </si>
  <si>
    <t>039:40:01.26 N</t>
  </si>
  <si>
    <t>092:30:48.55 W</t>
  </si>
  <si>
    <t>039:40:03.19 N</t>
  </si>
  <si>
    <t>092:30:49.17 W</t>
  </si>
  <si>
    <t>039:40:05.20 N</t>
  </si>
  <si>
    <t>092:30:50.02 W</t>
  </si>
  <si>
    <t>039:40:07.83 N</t>
  </si>
  <si>
    <t>092:30:50.95 W</t>
  </si>
  <si>
    <t>039:40:16.25 N</t>
  </si>
  <si>
    <t>092:30:53.88 W</t>
  </si>
  <si>
    <t>039:40:18.33 N</t>
  </si>
  <si>
    <t>092:30:54.58 W</t>
  </si>
  <si>
    <t>039:40:20.34 N</t>
  </si>
  <si>
    <t>092:30:55.20 W</t>
  </si>
  <si>
    <t>039:40:22.51 N</t>
  </si>
  <si>
    <t>092:30:56.05 W</t>
  </si>
  <si>
    <t>039:40:24.44 N</t>
  </si>
  <si>
    <t>092:30:56.67 W</t>
  </si>
  <si>
    <t>039:40:27.76 N</t>
  </si>
  <si>
    <t>092:30:57.75 W</t>
  </si>
  <si>
    <t>039:40:29.61 N</t>
  </si>
  <si>
    <t>092:30:58.44 W</t>
  </si>
  <si>
    <t>039:40:32.55 N</t>
  </si>
  <si>
    <t>092:30:59.52 W</t>
  </si>
  <si>
    <t>039:40:35.64 N</t>
  </si>
  <si>
    <t>092:31:00.68 W</t>
  </si>
  <si>
    <t>039:40:38.50 N</t>
  </si>
  <si>
    <t>092:31:01.53 W</t>
  </si>
  <si>
    <t>039:40:40.81 N</t>
  </si>
  <si>
    <t>092:31:02.30 W</t>
  </si>
  <si>
    <t>039:40:43.75 N</t>
  </si>
  <si>
    <t>092:31:03.39 W</t>
  </si>
  <si>
    <t>039:40:46.53 N</t>
  </si>
  <si>
    <t>092:31:04.24 W</t>
  </si>
  <si>
    <t>039:40:49.54 N</t>
  </si>
  <si>
    <t>092:31:05.24 W</t>
  </si>
  <si>
    <t>039:40:52.40 N</t>
  </si>
  <si>
    <t>092:31:06.32 W</t>
  </si>
  <si>
    <t>039:40:55.10 N</t>
  </si>
  <si>
    <t>092:31:07.25 W</t>
  </si>
  <si>
    <t>039:40:57.89 N</t>
  </si>
  <si>
    <t>092:31:08.33 W</t>
  </si>
  <si>
    <t>039:41:00.98 N</t>
  </si>
  <si>
    <t>092:31:09.18 W</t>
  </si>
  <si>
    <t>039:41:03.76 N</t>
  </si>
  <si>
    <t>092:31:10.34 W</t>
  </si>
  <si>
    <t>039:41:06.85 N</t>
  </si>
  <si>
    <t>092:31:11.34 W</t>
  </si>
  <si>
    <t>039:41:09.47 N</t>
  </si>
  <si>
    <t>092:31:12.27 W</t>
  </si>
  <si>
    <t>039:41:12.56 N</t>
  </si>
  <si>
    <t>092:31:13.27 W</t>
  </si>
  <si>
    <t>039:41:15.73 N</t>
  </si>
  <si>
    <t>092:31:14.51 W</t>
  </si>
  <si>
    <t>039:41:17.89 N</t>
  </si>
  <si>
    <t>092:31:15.20 W</t>
  </si>
  <si>
    <t>039:41:20.06 N</t>
  </si>
  <si>
    <t>092:31:15.82 W</t>
  </si>
  <si>
    <t>039:41:22.91 N</t>
  </si>
  <si>
    <t>092:31:16.90 W</t>
  </si>
  <si>
    <t>039:41:28.09 N</t>
  </si>
  <si>
    <t>092:31:18.68 W</t>
  </si>
  <si>
    <t>039:41:31.18 N</t>
  </si>
  <si>
    <t>092:31:19.69 W</t>
  </si>
  <si>
    <t>039:41:33.19 N</t>
  </si>
  <si>
    <t>092:31:20.53 W</t>
  </si>
  <si>
    <t>039:41:35.43 N</t>
  </si>
  <si>
    <t>092:31:21.31 W</t>
  </si>
  <si>
    <t>039:41:37.51 N</t>
  </si>
  <si>
    <t>092:31:21.93 W</t>
  </si>
  <si>
    <t>039:41:39.99 N</t>
  </si>
  <si>
    <t>092:31:22.85 W</t>
  </si>
  <si>
    <t>039:41:42.23 N</t>
  </si>
  <si>
    <t>092:31:23.55 W</t>
  </si>
  <si>
    <t>039:41:44.23 N</t>
  </si>
  <si>
    <t>092:31:24.24 W</t>
  </si>
  <si>
    <t>039:41:47.01 N</t>
  </si>
  <si>
    <t>092:31:25.32 W</t>
  </si>
  <si>
    <t>039:41:49.80 N</t>
  </si>
  <si>
    <t>092:31:26.17 W</t>
  </si>
  <si>
    <t>039:41:55.05 N</t>
  </si>
  <si>
    <t>092:31:27.87 W</t>
  </si>
  <si>
    <t>039:41:57.21 N</t>
  </si>
  <si>
    <t>092:31:28.72 W</t>
  </si>
  <si>
    <t>039:42:00.22 N</t>
  </si>
  <si>
    <t>092:31:29.57 W</t>
  </si>
  <si>
    <t>039:42:03.62 N</t>
  </si>
  <si>
    <t>092:31:30.73 W</t>
  </si>
  <si>
    <t>039:42:05.94 N</t>
  </si>
  <si>
    <t>092:31:31.50 W</t>
  </si>
  <si>
    <t>039:42:12.97 N</t>
  </si>
  <si>
    <t>092:31:34.05 W</t>
  </si>
  <si>
    <t>039:42:14.98 N</t>
  </si>
  <si>
    <t>092:31:34.67 W</t>
  </si>
  <si>
    <t>039:42:16.99 N</t>
  </si>
  <si>
    <t>092:31:35.21 W</t>
  </si>
  <si>
    <t>039:42:19.23 N</t>
  </si>
  <si>
    <t>092:31:35.98 W</t>
  </si>
  <si>
    <t>039:42:21.24 N</t>
  </si>
  <si>
    <t>092:31:36.68 W</t>
  </si>
  <si>
    <t>039:42:23.09 N</t>
  </si>
  <si>
    <t>092:31:37.30 W</t>
  </si>
  <si>
    <t>039:42:25.10 N</t>
  </si>
  <si>
    <t>092:31:37.99 W</t>
  </si>
  <si>
    <t>039:42:31.12 N</t>
  </si>
  <si>
    <t>092:31:40.00 W</t>
  </si>
  <si>
    <t>039:42:33.44 N</t>
  </si>
  <si>
    <t>092:31:40.62 W</t>
  </si>
  <si>
    <t>039:42:35.84 N</t>
  </si>
  <si>
    <t>092:31:41.39 W</t>
  </si>
  <si>
    <t>039:42:38.15 N</t>
  </si>
  <si>
    <t>092:31:41.93 W</t>
  </si>
  <si>
    <t>039:42:41.24 N</t>
  </si>
  <si>
    <t>092:31:42.24 W</t>
  </si>
  <si>
    <t>039:42:46.88 N</t>
  </si>
  <si>
    <t>092:31:42.86 W</t>
  </si>
  <si>
    <t>039:42:49.35 N</t>
  </si>
  <si>
    <t>039:42:52.44 N</t>
  </si>
  <si>
    <t>092:31:42.94 W</t>
  </si>
  <si>
    <t>039:42:55.77 N</t>
  </si>
  <si>
    <t>092:31:42.47 W</t>
  </si>
  <si>
    <t>039:42:58.70 N</t>
  </si>
  <si>
    <t>039:43:02.02 N</t>
  </si>
  <si>
    <t>092:31:41.86 W</t>
  </si>
  <si>
    <t>039:43:10.67 N</t>
  </si>
  <si>
    <t>039:43:13.53 N</t>
  </si>
  <si>
    <t>092:31:39.31 W</t>
  </si>
  <si>
    <t>039:43:16.54 N</t>
  </si>
  <si>
    <t>092:31:38.61 W</t>
  </si>
  <si>
    <t>039:43:19.56 N</t>
  </si>
  <si>
    <t>092:31:37.76 W</t>
  </si>
  <si>
    <t>039:43:25.74 N</t>
  </si>
  <si>
    <t>092:31:36.22 W</t>
  </si>
  <si>
    <t>039:43:28.60 N</t>
  </si>
  <si>
    <t>092:31:35.37 W</t>
  </si>
  <si>
    <t>039:43:31.92 N</t>
  </si>
  <si>
    <t>092:31:34.52 W</t>
  </si>
  <si>
    <t>039:43:37.79 N</t>
  </si>
  <si>
    <t>092:31:32.82 W</t>
  </si>
  <si>
    <t>039:43:40.88 N</t>
  </si>
  <si>
    <t>092:31:31.97 W</t>
  </si>
  <si>
    <t>039:43:43.81 N</t>
  </si>
  <si>
    <t>092:31:31.20 W</t>
  </si>
  <si>
    <t>039:43:45.82 N</t>
  </si>
  <si>
    <t>092:31:30.50 W</t>
  </si>
  <si>
    <t>039:43:48.53 N</t>
  </si>
  <si>
    <t>092:31:29.65 W</t>
  </si>
  <si>
    <t>039:43:50.77 N</t>
  </si>
  <si>
    <t>092:31:29.19 W</t>
  </si>
  <si>
    <t>039:43:52.77 N</t>
  </si>
  <si>
    <t>092:31:28.49 W</t>
  </si>
  <si>
    <t>039:43:54.71 N</t>
  </si>
  <si>
    <t>039:43:59.34 N</t>
  </si>
  <si>
    <t>092:31:26.33 W</t>
  </si>
  <si>
    <t>039:44:01.58 N</t>
  </si>
  <si>
    <t>092:31:25.71 W</t>
  </si>
  <si>
    <t>039:44:03.97 N</t>
  </si>
  <si>
    <t>092:31:25.02 W</t>
  </si>
  <si>
    <t>039:44:06.91 N</t>
  </si>
  <si>
    <t>092:31:24.01 W</t>
  </si>
  <si>
    <t>039:44:09.00 N</t>
  </si>
  <si>
    <t>092:31:23.47 W</t>
  </si>
  <si>
    <t>039:44:16.03 N</t>
  </si>
  <si>
    <t>039:44:19.19 N</t>
  </si>
  <si>
    <t>092:31:20.23 W</t>
  </si>
  <si>
    <t>039:44:22.13 N</t>
  </si>
  <si>
    <t>092:31:19.30 W</t>
  </si>
  <si>
    <t>039:44:25.06 N</t>
  </si>
  <si>
    <t>092:31:18.45 W</t>
  </si>
  <si>
    <t>039:44:28.00 N</t>
  </si>
  <si>
    <t>092:31:17.52 W</t>
  </si>
  <si>
    <t>039:44:34.26 N</t>
  </si>
  <si>
    <t>092:31:15.44 W</t>
  </si>
  <si>
    <t>039:44:36.96 N</t>
  </si>
  <si>
    <t>039:44:39.74 N</t>
  </si>
  <si>
    <t>092:31:13.66 W</t>
  </si>
  <si>
    <t>039:44:42.68 N</t>
  </si>
  <si>
    <t>092:31:12.73 W</t>
  </si>
  <si>
    <t>039:44:49.71 N</t>
  </si>
  <si>
    <t>092:31:10.57 W</t>
  </si>
  <si>
    <t>039:44:52.25 N</t>
  </si>
  <si>
    <t>092:31:09.80 W</t>
  </si>
  <si>
    <t>039:44:54.26 N</t>
  </si>
  <si>
    <t>092:31:09.41 W</t>
  </si>
  <si>
    <t>039:44:56.19 N</t>
  </si>
  <si>
    <t>092:31:08.72 W</t>
  </si>
  <si>
    <t>039:44:58.98 N</t>
  </si>
  <si>
    <t>092:31:08.10 W</t>
  </si>
  <si>
    <t>039:45:05.93 N</t>
  </si>
  <si>
    <t>092:31:06.17 W</t>
  </si>
  <si>
    <t>039:45:08.09 N</t>
  </si>
  <si>
    <t>092:31:05.70 W</t>
  </si>
  <si>
    <t>039:45:10.33 N</t>
  </si>
  <si>
    <t>092:31:05.01 W</t>
  </si>
  <si>
    <t>039:45:12.18 N</t>
  </si>
  <si>
    <t>092:31:04.62 W</t>
  </si>
  <si>
    <t>039:45:14.19 N</t>
  </si>
  <si>
    <t>092:31:03.93 W</t>
  </si>
  <si>
    <t>039:45:16.66 N</t>
  </si>
  <si>
    <t>039:45:18.83 N</t>
  </si>
  <si>
    <t>092:31:02.85 W</t>
  </si>
  <si>
    <t>039:45:24.24 N</t>
  </si>
  <si>
    <t>092:31:01.45 W</t>
  </si>
  <si>
    <t>039:45:27.33 N</t>
  </si>
  <si>
    <t>092:31:00.61 W</t>
  </si>
  <si>
    <t>039:45:30.49 N</t>
  </si>
  <si>
    <t>092:30:59.91 W</t>
  </si>
  <si>
    <t>039:45:33.27 N</t>
  </si>
  <si>
    <t>092:30:59.06 W</t>
  </si>
  <si>
    <t>039:45:39.45 N</t>
  </si>
  <si>
    <t>092:30:57.59 W</t>
  </si>
  <si>
    <t>039:45:41.46 N</t>
  </si>
  <si>
    <t>092:30:57.13 W</t>
  </si>
  <si>
    <t>039:45:44.17 N</t>
  </si>
  <si>
    <t>092:30:56.28 W</t>
  </si>
  <si>
    <t>039:45:47.33 N</t>
  </si>
  <si>
    <t>092:30:55.58 W</t>
  </si>
  <si>
    <t>039:45:50.04 N</t>
  </si>
  <si>
    <t>092:30:54.73 W</t>
  </si>
  <si>
    <t>039:45:53.05 N</t>
  </si>
  <si>
    <t>092:30:54.12 W</t>
  </si>
  <si>
    <t>039:46:01.08 N</t>
  </si>
  <si>
    <t>092:30:52.49 W</t>
  </si>
  <si>
    <t>039:46:03.79 N</t>
  </si>
  <si>
    <t>092:30:52.19 W</t>
  </si>
  <si>
    <t>039:46:05.95 N</t>
  </si>
  <si>
    <t>092:30:52.11 W</t>
  </si>
  <si>
    <t>039:46:07.96 N</t>
  </si>
  <si>
    <t>039:46:13.83 N</t>
  </si>
  <si>
    <t>092:30:51.95 W</t>
  </si>
  <si>
    <t>039:46:16.61 N</t>
  </si>
  <si>
    <t>039:46:20.16 N</t>
  </si>
  <si>
    <t>092:30:52.26 W</t>
  </si>
  <si>
    <t>039:46:23.25 N</t>
  </si>
  <si>
    <t>092:30:52.65 W</t>
  </si>
  <si>
    <t>039:46:27.19 N</t>
  </si>
  <si>
    <t>092:30:52.80 W</t>
  </si>
  <si>
    <t>039:46:35.46 N</t>
  </si>
  <si>
    <t>092:30:53.58 W</t>
  </si>
  <si>
    <t>039:46:39.71 N</t>
  </si>
  <si>
    <t>039:46:43.34 N</t>
  </si>
  <si>
    <t>092:30:54.35 W</t>
  </si>
  <si>
    <t>039:46:51.06 N</t>
  </si>
  <si>
    <t>092:30:55.35 W</t>
  </si>
  <si>
    <t>039:46:54.38 N</t>
  </si>
  <si>
    <t>039:46:57.55 N</t>
  </si>
  <si>
    <t>092:30:56.43 W</t>
  </si>
  <si>
    <t>039:47:01.10 N</t>
  </si>
  <si>
    <t>039:47:07.21 N</t>
  </si>
  <si>
    <t>092:30:58.21 W</t>
  </si>
  <si>
    <t>039:47:10.30 N</t>
  </si>
  <si>
    <t>092:30:58.67 W</t>
  </si>
  <si>
    <t>039:47:13.00 N</t>
  </si>
  <si>
    <t>092:30:59.14 W</t>
  </si>
  <si>
    <t>039:47:15.94 N</t>
  </si>
  <si>
    <t>092:30:59.68 W</t>
  </si>
  <si>
    <t>039:47:19.03 N</t>
  </si>
  <si>
    <t>092:31:00.22 W</t>
  </si>
  <si>
    <t>039:47:25.51 N</t>
  </si>
  <si>
    <t>039:47:28.37 N</t>
  </si>
  <si>
    <t>092:31:02.15 W</t>
  </si>
  <si>
    <t>039:47:31.77 N</t>
  </si>
  <si>
    <t>092:31:02.69 W</t>
  </si>
  <si>
    <t>039:47:34.78 N</t>
  </si>
  <si>
    <t>092:31:03.31 W</t>
  </si>
  <si>
    <t>039:47:41.35 N</t>
  </si>
  <si>
    <t>039:47:44.36 N</t>
  </si>
  <si>
    <t>092:31:05.47 W</t>
  </si>
  <si>
    <t>039:47:48.07 N</t>
  </si>
  <si>
    <t>092:31:06.40 W</t>
  </si>
  <si>
    <t>039:47:51.24 N</t>
  </si>
  <si>
    <t>092:31:07.02 W</t>
  </si>
  <si>
    <t>039:47:54.25 N</t>
  </si>
  <si>
    <t>092:31:07.87 W</t>
  </si>
  <si>
    <t>039:48:00.28 N</t>
  </si>
  <si>
    <t>039:48:03.44 N</t>
  </si>
  <si>
    <t>039:48:06.30 N</t>
  </si>
  <si>
    <t>092:31:11.19 W</t>
  </si>
  <si>
    <t>039:48:09.47 N</t>
  </si>
  <si>
    <t>092:31:12.04 W</t>
  </si>
  <si>
    <t>039:48:15.96 N</t>
  </si>
  <si>
    <t>092:31:13.89 W</t>
  </si>
  <si>
    <t>039:48:19.36 N</t>
  </si>
  <si>
    <t>092:31:14.90 W</t>
  </si>
  <si>
    <t>039:48:22.06 N</t>
  </si>
  <si>
    <t>039:48:24.84 N</t>
  </si>
  <si>
    <t>092:31:16.67 W</t>
  </si>
  <si>
    <t>039:48:30.79 N</t>
  </si>
  <si>
    <t>092:31:18.37 W</t>
  </si>
  <si>
    <t>039:48:34.11 N</t>
  </si>
  <si>
    <t>092:31:19.53 W</t>
  </si>
  <si>
    <t>039:48:36.74 N</t>
  </si>
  <si>
    <t>092:31:20.38 W</t>
  </si>
  <si>
    <t>039:48:40.14 N</t>
  </si>
  <si>
    <t>039:48:43.15 N</t>
  </si>
  <si>
    <t>092:31:22.31 W</t>
  </si>
  <si>
    <t>039:48:49.10 N</t>
  </si>
  <si>
    <t>039:48:52.03 N</t>
  </si>
  <si>
    <t>039:48:55.20 N</t>
  </si>
  <si>
    <t>092:31:25.94 W</t>
  </si>
  <si>
    <t>039:48:57.82 N</t>
  </si>
  <si>
    <t>092:31:26.79 W</t>
  </si>
  <si>
    <t>039:49:01.22 N</t>
  </si>
  <si>
    <t>039:49:07.02 N</t>
  </si>
  <si>
    <t>092:31:29.80 W</t>
  </si>
  <si>
    <t>039:49:10.49 N</t>
  </si>
  <si>
    <t>039:49:13.27 N</t>
  </si>
  <si>
    <t>092:31:31.74 W</t>
  </si>
  <si>
    <t>039:49:16.44 N</t>
  </si>
  <si>
    <t>039:49:20.07 N</t>
  </si>
  <si>
    <t>092:31:33.90 W</t>
  </si>
  <si>
    <t>039:49:26.02 N</t>
  </si>
  <si>
    <t>092:31:35.83 W</t>
  </si>
  <si>
    <t>039:49:29.11 N</t>
  </si>
  <si>
    <t>092:31:36.91 W</t>
  </si>
  <si>
    <t>039:49:31.89 N</t>
  </si>
  <si>
    <t>039:49:35.14 N</t>
  </si>
  <si>
    <t>092:31:38.69 W</t>
  </si>
  <si>
    <t>039:49:38.61 N</t>
  </si>
  <si>
    <t>039:49:45.33 N</t>
  </si>
  <si>
    <t>039:49:48.19 N</t>
  </si>
  <si>
    <t>039:49:51.20 N</t>
  </si>
  <si>
    <t>092:31:43.94 W</t>
  </si>
  <si>
    <t>039:49:57.07 N</t>
  </si>
  <si>
    <t>092:31:45.72 W</t>
  </si>
  <si>
    <t>039:50:00.40 N</t>
  </si>
  <si>
    <t>092:31:46.80 W</t>
  </si>
  <si>
    <t>039:50:03.25 N</t>
  </si>
  <si>
    <t>092:31:47.65 W</t>
  </si>
  <si>
    <t>039:50:06.11 N</t>
  </si>
  <si>
    <t>092:31:48.58 W</t>
  </si>
  <si>
    <t>039:50:08.97 N</t>
  </si>
  <si>
    <t>092:31:49.35 W</t>
  </si>
  <si>
    <t>039:50:15.00 N</t>
  </si>
  <si>
    <t>092:31:51.20 W</t>
  </si>
  <si>
    <t>039:50:18.09 N</t>
  </si>
  <si>
    <t>092:31:52.13 W</t>
  </si>
  <si>
    <t>039:50:20.71 N</t>
  </si>
  <si>
    <t>092:31:52.98 W</t>
  </si>
  <si>
    <t>039:50:23.72 N</t>
  </si>
  <si>
    <t>092:31:53.83 W</t>
  </si>
  <si>
    <t>039:50:26.74 N</t>
  </si>
  <si>
    <t>092:31:54.91 W</t>
  </si>
  <si>
    <t>039:50:32.38 N</t>
  </si>
  <si>
    <t>092:31:56.69 W</t>
  </si>
  <si>
    <t>039:50:35.77 N</t>
  </si>
  <si>
    <t>092:31:57.54 W</t>
  </si>
  <si>
    <t>039:50:38.94 N</t>
  </si>
  <si>
    <t>092:31:58.62 W</t>
  </si>
  <si>
    <t>039:50:41.80 N</t>
  </si>
  <si>
    <t>092:31:59.47 W</t>
  </si>
  <si>
    <t>039:50:50.99 N</t>
  </si>
  <si>
    <t>092:32:02.40 W</t>
  </si>
  <si>
    <t>039:50:54.01 N</t>
  </si>
  <si>
    <t>092:32:03.10 W</t>
  </si>
  <si>
    <t>039:50:56.86 N</t>
  </si>
  <si>
    <t>092:32:04.18 W</t>
  </si>
  <si>
    <t>039:51:00.03 N</t>
  </si>
  <si>
    <t>092:32:05.03 W</t>
  </si>
  <si>
    <t>039:51:05.98 N</t>
  </si>
  <si>
    <t>092:32:07.42 W</t>
  </si>
  <si>
    <t>039:51:08.91 N</t>
  </si>
  <si>
    <t>092:32:08.51 W</t>
  </si>
  <si>
    <t>039:51:11.62 N</t>
  </si>
  <si>
    <t>092:32:09.66 W</t>
  </si>
  <si>
    <t>039:51:14.55 N</t>
  </si>
  <si>
    <t>092:32:10.82 W</t>
  </si>
  <si>
    <t>039:51:20.35 N</t>
  </si>
  <si>
    <t>092:32:13.45 W</t>
  </si>
  <si>
    <t>039:51:23.20 N</t>
  </si>
  <si>
    <t>092:32:14.92 W</t>
  </si>
  <si>
    <t>039:51:25.75 N</t>
  </si>
  <si>
    <t>092:32:16.00 W</t>
  </si>
  <si>
    <t>039:51:28.69 N</t>
  </si>
  <si>
    <t>092:32:17.31 W</t>
  </si>
  <si>
    <t>039:51:31.39 N</t>
  </si>
  <si>
    <t>092:32:18.63 W</t>
  </si>
  <si>
    <t>039:51:37.11 N</t>
  </si>
  <si>
    <t>092:32:21.25 W</t>
  </si>
  <si>
    <t>039:51:40.43 N</t>
  </si>
  <si>
    <t>092:32:22.64 W</t>
  </si>
  <si>
    <t>039:51:43.60 N</t>
  </si>
  <si>
    <t>092:32:24.19 W</t>
  </si>
  <si>
    <t>039:51:46.22 N</t>
  </si>
  <si>
    <t>092:32:25.50 W</t>
  </si>
  <si>
    <t>039:51:50.01 N</t>
  </si>
  <si>
    <t>092:32:27.20 W</t>
  </si>
  <si>
    <t>039:51:57.19 N</t>
  </si>
  <si>
    <t>092:32:30.52 W</t>
  </si>
  <si>
    <t>039:52:00.44 N</t>
  </si>
  <si>
    <t>092:32:32.07 W</t>
  </si>
  <si>
    <t>039:52:03.37 N</t>
  </si>
  <si>
    <t>092:32:33.22 W</t>
  </si>
  <si>
    <t>039:52:06.23 N</t>
  </si>
  <si>
    <t>092:32:34.69 W</t>
  </si>
  <si>
    <t>039:52:12.26 N</t>
  </si>
  <si>
    <t>092:32:37.32 W</t>
  </si>
  <si>
    <t>039:52:14.88 N</t>
  </si>
  <si>
    <t>092:32:38.56 W</t>
  </si>
  <si>
    <t>039:52:17.82 N</t>
  </si>
  <si>
    <t>092:32:39.95 W</t>
  </si>
  <si>
    <t>039:52:20.68 N</t>
  </si>
  <si>
    <t>092:32:41.41 W</t>
  </si>
  <si>
    <t>039:52:26.93 N</t>
  </si>
  <si>
    <t>092:32:44.19 W</t>
  </si>
  <si>
    <t>039:52:30.56 N</t>
  </si>
  <si>
    <t>092:32:45.66 W</t>
  </si>
  <si>
    <t>039:52:34.12 N</t>
  </si>
  <si>
    <t>092:32:47.21 W</t>
  </si>
  <si>
    <t>039:52:37.29 N</t>
  </si>
  <si>
    <t>092:32:48.75 W</t>
  </si>
  <si>
    <t>039:52:43.77 N</t>
  </si>
  <si>
    <t>092:32:51.61 W</t>
  </si>
  <si>
    <t>039:52:47.56 N</t>
  </si>
  <si>
    <t>092:32:53.39 W</t>
  </si>
  <si>
    <t>039:52:50.34 N</t>
  </si>
  <si>
    <t>092:32:54.70 W</t>
  </si>
  <si>
    <t>039:52:53.51 N</t>
  </si>
  <si>
    <t>092:32:56.01 W</t>
  </si>
  <si>
    <t>039:52:59.92 N</t>
  </si>
  <si>
    <t>092:32:59.03 W</t>
  </si>
  <si>
    <t>039:53:02.70 N</t>
  </si>
  <si>
    <t>092:33:00.11 W</t>
  </si>
  <si>
    <t>039:53:05.56 N</t>
  </si>
  <si>
    <t>092:33:01.50 W</t>
  </si>
  <si>
    <t>039:53:08.42 N</t>
  </si>
  <si>
    <t>092:33:02.89 W</t>
  </si>
  <si>
    <t>039:53:12.12 N</t>
  </si>
  <si>
    <t>092:33:04.59 W</t>
  </si>
  <si>
    <t>039:53:18.84 N</t>
  </si>
  <si>
    <t>092:33:07.45 W</t>
  </si>
  <si>
    <t>039:53:21.63 N</t>
  </si>
  <si>
    <t>092:33:09.15 W</t>
  </si>
  <si>
    <t>039:53:22.78 N</t>
  </si>
  <si>
    <t>092:33:09.76 W</t>
  </si>
  <si>
    <t>039:53:24.64 N</t>
  </si>
  <si>
    <t>092:33:10.84 W</t>
  </si>
  <si>
    <t>039:53:27.26 N</t>
  </si>
  <si>
    <t>092:33:13.01 W</t>
  </si>
  <si>
    <t>039:53:32.21 N</t>
  </si>
  <si>
    <t>092:33:18.41 W</t>
  </si>
  <si>
    <t>039:53:34.22 N</t>
  </si>
  <si>
    <t>092:33:21.50 W</t>
  </si>
  <si>
    <t>039:53:35.84 N</t>
  </si>
  <si>
    <t>092:33:23.74 W</t>
  </si>
  <si>
    <t>039:53:38.23 N</t>
  </si>
  <si>
    <t>092:33:27.84 W</t>
  </si>
  <si>
    <t>039:53:42.33 N</t>
  </si>
  <si>
    <t>092:33:34.64 W</t>
  </si>
  <si>
    <t>039:53:44.10 N</t>
  </si>
  <si>
    <t>092:33:37.73 W</t>
  </si>
  <si>
    <t>039:53:45.11 N</t>
  </si>
  <si>
    <t>092:33:39.50 W</t>
  </si>
  <si>
    <t>039:53:46.50 N</t>
  </si>
  <si>
    <t>092:33:41.98 W</t>
  </si>
  <si>
    <t>039:53:48.82 N</t>
  </si>
  <si>
    <t>092:33:46.07 W</t>
  </si>
  <si>
    <t>039:53:53.14 N</t>
  </si>
  <si>
    <t>092:33:53.79 W</t>
  </si>
  <si>
    <t>039:53:54.92 N</t>
  </si>
  <si>
    <t>092:33:57.04 W</t>
  </si>
  <si>
    <t>039:53:56.85 N</t>
  </si>
  <si>
    <t>092:34:00.59 W</t>
  </si>
  <si>
    <t>039:53:58.40 N</t>
  </si>
  <si>
    <t>092:34:03.53 W</t>
  </si>
  <si>
    <t>039:54:00.17 N</t>
  </si>
  <si>
    <t>092:34:06.69 W</t>
  </si>
  <si>
    <t>039:54:02.26 N</t>
  </si>
  <si>
    <t>092:34:10.71 W</t>
  </si>
  <si>
    <t>039:54:07.97 N</t>
  </si>
  <si>
    <t>092:34:21.14 W</t>
  </si>
  <si>
    <t>039:54:09.91 N</t>
  </si>
  <si>
    <t>092:34:24.77 W</t>
  </si>
  <si>
    <t>039:54:10.99 N</t>
  </si>
  <si>
    <t>092:34:26.93 W</t>
  </si>
  <si>
    <t>039:54:12.30 N</t>
  </si>
  <si>
    <t>092:34:29.17 W</t>
  </si>
  <si>
    <t>039:54:17.63 N</t>
  </si>
  <si>
    <t>092:34:39.14 W</t>
  </si>
  <si>
    <t>039:54:19.87 N</t>
  </si>
  <si>
    <t>092:34:43.00 W</t>
  </si>
  <si>
    <t>039:54:22.11 N</t>
  </si>
  <si>
    <t>092:34:47.33 W</t>
  </si>
  <si>
    <t>039:54:23.35 N</t>
  </si>
  <si>
    <t>092:34:49.41 W</t>
  </si>
  <si>
    <t>039:54:27.75 N</t>
  </si>
  <si>
    <t>092:34:57.45 W</t>
  </si>
  <si>
    <t>039:54:29.68 N</t>
  </si>
  <si>
    <t>092:35:01.08 W</t>
  </si>
  <si>
    <t>039:54:30.92 N</t>
  </si>
  <si>
    <t>092:35:03.24 W</t>
  </si>
  <si>
    <t>039:54:32.31 N</t>
  </si>
  <si>
    <t>092:35:05.63 W</t>
  </si>
  <si>
    <t>039:54:33.54 N</t>
  </si>
  <si>
    <t>092:35:08.26 W</t>
  </si>
  <si>
    <t>039:54:37.95 N</t>
  </si>
  <si>
    <t>092:35:16.37 W</t>
  </si>
  <si>
    <t>039:54:39.26 N</t>
  </si>
  <si>
    <t>092:35:18.53 W</t>
  </si>
  <si>
    <t>039:54:40.57 N</t>
  </si>
  <si>
    <t>092:35:20.85 W</t>
  </si>
  <si>
    <t>039:54:41.73 N</t>
  </si>
  <si>
    <t>092:35:23.25 W</t>
  </si>
  <si>
    <t>039:54:43.04 N</t>
  </si>
  <si>
    <t>092:35:25.41 W</t>
  </si>
  <si>
    <t>039:54:44.13 N</t>
  </si>
  <si>
    <t>092:35:27.65 W</t>
  </si>
  <si>
    <t>039:54:47.99 N</t>
  </si>
  <si>
    <t>092:35:34.45 W</t>
  </si>
  <si>
    <t>039:54:49.76 N</t>
  </si>
  <si>
    <t>092:35:37.85 W</t>
  </si>
  <si>
    <t>039:54:51.16 N</t>
  </si>
  <si>
    <t>092:35:40.32 W</t>
  </si>
  <si>
    <t>039:54:52.70 N</t>
  </si>
  <si>
    <t>092:35:43.18 W</t>
  </si>
  <si>
    <t>039:54:54.01 N</t>
  </si>
  <si>
    <t>092:35:45.42 W</t>
  </si>
  <si>
    <t>039:54:56.02 N</t>
  </si>
  <si>
    <t>092:35:49.12 W</t>
  </si>
  <si>
    <t>039:54:59.58 N</t>
  </si>
  <si>
    <t>092:35:55.77 W</t>
  </si>
  <si>
    <t>039:55:01.04 N</t>
  </si>
  <si>
    <t>092:35:58.24 W</t>
  </si>
  <si>
    <t>039:55:02.05 N</t>
  </si>
  <si>
    <t>092:36:00.33 W</t>
  </si>
  <si>
    <t>039:55:03.59 N</t>
  </si>
  <si>
    <t>092:36:03.18 W</t>
  </si>
  <si>
    <t>039:55:04.83 N</t>
  </si>
  <si>
    <t>092:36:05.12 W</t>
  </si>
  <si>
    <t>039:55:05.99 N</t>
  </si>
  <si>
    <t>092:36:07.51 W</t>
  </si>
  <si>
    <t>039:55:07.30 N</t>
  </si>
  <si>
    <t>092:36:09.90 W</t>
  </si>
  <si>
    <t>039:55:10.93 N</t>
  </si>
  <si>
    <t>092:36:16.32 W</t>
  </si>
  <si>
    <t>039:55:12.32 N</t>
  </si>
  <si>
    <t>092:36:18.79 W</t>
  </si>
  <si>
    <t>039:55:13.56 N</t>
  </si>
  <si>
    <t>092:36:21.03 W</t>
  </si>
  <si>
    <t>039:55:14.72 N</t>
  </si>
  <si>
    <t>092:36:23.19 W</t>
  </si>
  <si>
    <t>039:55:19.81 N</t>
  </si>
  <si>
    <t>092:36:32.46 W</t>
  </si>
  <si>
    <t>039:55:21.28 N</t>
  </si>
  <si>
    <t>092:36:34.86 W</t>
  </si>
  <si>
    <t>039:55:25.22 N</t>
  </si>
  <si>
    <t>092:36:42.04 W</t>
  </si>
  <si>
    <t>039:55:29.08 N</t>
  </si>
  <si>
    <t>092:36:49.07 W</t>
  </si>
  <si>
    <t>039:55:34.26 N</t>
  </si>
  <si>
    <t>092:36:58.26 W</t>
  </si>
  <si>
    <t>039:55:35.65 N</t>
  </si>
  <si>
    <t>092:37:00.97 W</t>
  </si>
  <si>
    <t>039:55:36.73 N</t>
  </si>
  <si>
    <t>092:37:02.97 W</t>
  </si>
  <si>
    <t>039:55:39.98 N</t>
  </si>
  <si>
    <t>092:37:08.61 W</t>
  </si>
  <si>
    <t>039:55:41.44 N</t>
  </si>
  <si>
    <t>092:37:11.32 W</t>
  </si>
  <si>
    <t>039:55:44.61 N</t>
  </si>
  <si>
    <t>092:37:16.88 W</t>
  </si>
  <si>
    <t>039:55:45.77 N</t>
  </si>
  <si>
    <t>092:37:19.12 W</t>
  </si>
  <si>
    <t>039:55:49.48 N</t>
  </si>
  <si>
    <t>092:37:25.38 W</t>
  </si>
  <si>
    <t>039:55:50.64 N</t>
  </si>
  <si>
    <t>092:37:27.77 W</t>
  </si>
  <si>
    <t>039:55:57.05 N</t>
  </si>
  <si>
    <t>092:37:38.97 W</t>
  </si>
  <si>
    <t>039:55:58.36 N</t>
  </si>
  <si>
    <t>092:37:41.44 W</t>
  </si>
  <si>
    <t>039:55:59.75 N</t>
  </si>
  <si>
    <t>092:37:43.84 W</t>
  </si>
  <si>
    <t>039:56:00.83 N</t>
  </si>
  <si>
    <t>092:37:46.08 W</t>
  </si>
  <si>
    <t>039:56:04.93 N</t>
  </si>
  <si>
    <t>092:37:53.34 W</t>
  </si>
  <si>
    <t>039:56:09.10 N</t>
  </si>
  <si>
    <t>092:38:00.52 W</t>
  </si>
  <si>
    <t>039:56:10.26 N</t>
  </si>
  <si>
    <t>092:38:02.76 W</t>
  </si>
  <si>
    <t>039:56:11.34 N</t>
  </si>
  <si>
    <t>092:38:04.69 W</t>
  </si>
  <si>
    <t>039:56:12.81 N</t>
  </si>
  <si>
    <t>092:38:07.24 W</t>
  </si>
  <si>
    <t>039:56:14.12 N</t>
  </si>
  <si>
    <t>092:38:09.48 W</t>
  </si>
  <si>
    <t>039:56:17.98 N</t>
  </si>
  <si>
    <t>092:38:16.44 W</t>
  </si>
  <si>
    <t>039:56:19.29 N</t>
  </si>
  <si>
    <t>092:38:18.91 W</t>
  </si>
  <si>
    <t>039:56:20.45 N</t>
  </si>
  <si>
    <t>092:38:20.99 W</t>
  </si>
  <si>
    <t>039:56:21.69 N</t>
  </si>
  <si>
    <t>092:38:23.23 W</t>
  </si>
  <si>
    <t>039:56:23.00 N</t>
  </si>
  <si>
    <t>092:38:25.47 W</t>
  </si>
  <si>
    <t>039:56:24.08 N</t>
  </si>
  <si>
    <t>092:38:27.56 W</t>
  </si>
  <si>
    <t>039:56:28.02 N</t>
  </si>
  <si>
    <t>092:38:34.59 W</t>
  </si>
  <si>
    <t>039:56:29.34 N</t>
  </si>
  <si>
    <t>092:38:36.83 W</t>
  </si>
  <si>
    <t>039:56:30.88 N</t>
  </si>
  <si>
    <t>092:38:39.38 W</t>
  </si>
  <si>
    <t>039:56:32.27 N</t>
  </si>
  <si>
    <t>092:38:42.08 W</t>
  </si>
  <si>
    <t>039:56:33.59 N</t>
  </si>
  <si>
    <t>092:38:44.25 W</t>
  </si>
  <si>
    <t>039:56:35.05 N</t>
  </si>
  <si>
    <t>092:38:47.03 W</t>
  </si>
  <si>
    <t>039:56:36.06 N</t>
  </si>
  <si>
    <t>092:38:48.80 W</t>
  </si>
  <si>
    <t>039:56:39.38 N</t>
  </si>
  <si>
    <t>092:38:54.60 W</t>
  </si>
  <si>
    <t>039:56:40.46 N</t>
  </si>
  <si>
    <t>092:38:56.68 W</t>
  </si>
  <si>
    <t>039:56:41.70 N</t>
  </si>
  <si>
    <t>092:38:58.77 W</t>
  </si>
  <si>
    <t>039:56:42.93 N</t>
  </si>
  <si>
    <t>092:39:00.93 W</t>
  </si>
  <si>
    <t>039:56:44.32 N</t>
  </si>
  <si>
    <t>092:39:03.63 W</t>
  </si>
  <si>
    <t>039:56:45.79 N</t>
  </si>
  <si>
    <t>092:39:06.11 W</t>
  </si>
  <si>
    <t>039:56:47.18 N</t>
  </si>
  <si>
    <t>092:39:08.35 W</t>
  </si>
  <si>
    <t>039:56:48.26 N</t>
  </si>
  <si>
    <t>092:39:10.66 W</t>
  </si>
  <si>
    <t>039:56:52.43 N</t>
  </si>
  <si>
    <t>092:39:18.08 W</t>
  </si>
  <si>
    <t>039:56:53.75 N</t>
  </si>
  <si>
    <t>092:39:20.32 W</t>
  </si>
  <si>
    <t>039:56:54.98 N</t>
  </si>
  <si>
    <t>092:39:22.56 W</t>
  </si>
  <si>
    <t>039:56:56.37 N</t>
  </si>
  <si>
    <t>092:39:24.80 W</t>
  </si>
  <si>
    <t>039:56:58.31 N</t>
  </si>
  <si>
    <t>092:39:28.43 W</t>
  </si>
  <si>
    <t>039:57:04.25 N</t>
  </si>
  <si>
    <t>092:39:39.17 W</t>
  </si>
  <si>
    <t>039:57:05.57 N</t>
  </si>
  <si>
    <t>092:39:41.41 W</t>
  </si>
  <si>
    <t>039:57:06.73 N</t>
  </si>
  <si>
    <t>092:39:43.65 W</t>
  </si>
  <si>
    <t>039:57:08.04 N</t>
  </si>
  <si>
    <t>092:39:45.81 W</t>
  </si>
  <si>
    <t>039:57:09.35 N</t>
  </si>
  <si>
    <t>092:39:47.97 W</t>
  </si>
  <si>
    <t>039:57:10.74 N</t>
  </si>
  <si>
    <t>092:39:50.60 W</t>
  </si>
  <si>
    <t>039:57:14.30 N</t>
  </si>
  <si>
    <t>092:39:57.17 W</t>
  </si>
  <si>
    <t>039:57:15.45 N</t>
  </si>
  <si>
    <t>092:39:59.18 W</t>
  </si>
  <si>
    <t>039:57:16.77 N</t>
  </si>
  <si>
    <t>092:40:01.65 W</t>
  </si>
  <si>
    <t>039:57:18.47 N</t>
  </si>
  <si>
    <t>092:40:04.51 W</t>
  </si>
  <si>
    <t>039:57:19.78 N</t>
  </si>
  <si>
    <t>092:40:06.67 W</t>
  </si>
  <si>
    <t>039:57:21.09 N</t>
  </si>
  <si>
    <t>092:40:09.06 W</t>
  </si>
  <si>
    <t>039:57:25.19 N</t>
  </si>
  <si>
    <t>092:40:16.32 W</t>
  </si>
  <si>
    <t>039:57:26.35 N</t>
  </si>
  <si>
    <t>092:40:18.49 W</t>
  </si>
  <si>
    <t>039:57:27.81 N</t>
  </si>
  <si>
    <t>092:40:21.19 W</t>
  </si>
  <si>
    <t>039:57:29.05 N</t>
  </si>
  <si>
    <t>092:40:23.20 W</t>
  </si>
  <si>
    <t>039:57:30.44 N</t>
  </si>
  <si>
    <t>092:40:25.75 W</t>
  </si>
  <si>
    <t>039:57:32.29 N</t>
  </si>
  <si>
    <t>092:40:29.07 W</t>
  </si>
  <si>
    <t>039:57:33.61 N</t>
  </si>
  <si>
    <t>092:40:31.31 W</t>
  </si>
  <si>
    <t>039:57:34.77 N</t>
  </si>
  <si>
    <t>092:40:33.32 W</t>
  </si>
  <si>
    <t>039:57:38.09 N</t>
  </si>
  <si>
    <t>092:40:39.19 W</t>
  </si>
  <si>
    <t>039:57:39.25 N</t>
  </si>
  <si>
    <t>092:40:41.43 W</t>
  </si>
  <si>
    <t>039:57:40.71 N</t>
  </si>
  <si>
    <t>092:40:43.82 W</t>
  </si>
  <si>
    <t>039:57:42.95 N</t>
  </si>
  <si>
    <t>092:40:47.92 W</t>
  </si>
  <si>
    <t>039:57:44.65 N</t>
  </si>
  <si>
    <t>092:40:50.85 W</t>
  </si>
  <si>
    <t>039:57:45.81 N</t>
  </si>
  <si>
    <t>092:40:53.25 W</t>
  </si>
  <si>
    <t>039:57:47.13 N</t>
  </si>
  <si>
    <t>092:40:55.41 W</t>
  </si>
  <si>
    <t>039:57:51.14 N</t>
  </si>
  <si>
    <t>092:41:02.75 W</t>
  </si>
  <si>
    <t>039:57:52.38 N</t>
  </si>
  <si>
    <t>092:41:04.91 W</t>
  </si>
  <si>
    <t>039:57:53.69 N</t>
  </si>
  <si>
    <t>092:41:07.08 W</t>
  </si>
  <si>
    <t>039:57:55.70 N</t>
  </si>
  <si>
    <t>092:41:10.63 W</t>
  </si>
  <si>
    <t>039:57:57.55 N</t>
  </si>
  <si>
    <t>092:41:13.95 W</t>
  </si>
  <si>
    <t>039:58:01.26 N</t>
  </si>
  <si>
    <t>092:41:20.75 W</t>
  </si>
  <si>
    <t>039:58:03.12 N</t>
  </si>
  <si>
    <t>092:41:23.99 W</t>
  </si>
  <si>
    <t>039:58:04.20 N</t>
  </si>
  <si>
    <t>092:41:26.16 W</t>
  </si>
  <si>
    <t>039:58:05.43 N</t>
  </si>
  <si>
    <t>092:41:28.16 W</t>
  </si>
  <si>
    <t>039:58:06.59 N</t>
  </si>
  <si>
    <t>092:41:30.17 W</t>
  </si>
  <si>
    <t>039:58:07.91 N</t>
  </si>
  <si>
    <t>092:41:32.65 W</t>
  </si>
  <si>
    <t>039:58:09.30 N</t>
  </si>
  <si>
    <t>092:41:34.89 W</t>
  </si>
  <si>
    <t>039:58:11.69 N</t>
  </si>
  <si>
    <t>092:41:39.37 W</t>
  </si>
  <si>
    <t>039:58:13.00 N</t>
  </si>
  <si>
    <t>092:41:41.61 W</t>
  </si>
  <si>
    <t>039:58:14.08 N</t>
  </si>
  <si>
    <t>092:41:43.61 W</t>
  </si>
  <si>
    <t>039:58:15.09 N</t>
  </si>
  <si>
    <t>092:41:45.70 W</t>
  </si>
  <si>
    <t>039:58:16.63 N</t>
  </si>
  <si>
    <t>092:41:48.17 W</t>
  </si>
  <si>
    <t>039:58:17.95 N</t>
  </si>
  <si>
    <t>092:41:50.88 W</t>
  </si>
  <si>
    <t>039:58:19.42 N</t>
  </si>
  <si>
    <t>092:41:53.27 W</t>
  </si>
  <si>
    <t>039:58:23.35 N</t>
  </si>
  <si>
    <t>092:42:00.07 W</t>
  </si>
  <si>
    <t>039:58:24.51 N</t>
  </si>
  <si>
    <t>092:42:02.31 W</t>
  </si>
  <si>
    <t>039:58:25.98 N</t>
  </si>
  <si>
    <t>092:42:04.86 W</t>
  </si>
  <si>
    <t>039:58:27.29 N</t>
  </si>
  <si>
    <t>092:42:07.33 W</t>
  </si>
  <si>
    <t>039:58:28.68 N</t>
  </si>
  <si>
    <t>092:42:09.72 W</t>
  </si>
  <si>
    <t>039:58:30.08 N</t>
  </si>
  <si>
    <t>092:42:12.20 W</t>
  </si>
  <si>
    <t>039:58:31.39 N</t>
  </si>
  <si>
    <t>092:42:14.44 W</t>
  </si>
  <si>
    <t>039:58:35.56 N</t>
  </si>
  <si>
    <t>092:42:22.24 W</t>
  </si>
  <si>
    <t>039:58:36.87 N</t>
  </si>
  <si>
    <t>092:42:24.63 W</t>
  </si>
  <si>
    <t>039:58:38.19 N</t>
  </si>
  <si>
    <t>092:42:26.87 W</t>
  </si>
  <si>
    <t>039:58:39.42 N</t>
  </si>
  <si>
    <t>092:42:29.04 W</t>
  </si>
  <si>
    <t>039:58:40.50 N</t>
  </si>
  <si>
    <t>092:42:31.04 W</t>
  </si>
  <si>
    <t>039:58:41.97 N</t>
  </si>
  <si>
    <t>092:42:33.52 W</t>
  </si>
  <si>
    <t>039:58:45.99 N</t>
  </si>
  <si>
    <t>092:42:40.70 W</t>
  </si>
  <si>
    <t>039:58:47.15 N</t>
  </si>
  <si>
    <t>092:42:42.94 W</t>
  </si>
  <si>
    <t>039:58:48.61 N</t>
  </si>
  <si>
    <t>092:42:45.34 W</t>
  </si>
  <si>
    <t>039:58:49.77 N</t>
  </si>
  <si>
    <t>092:42:47.73 W</t>
  </si>
  <si>
    <t>039:58:51.16 N</t>
  </si>
  <si>
    <t>092:42:50.20 W</t>
  </si>
  <si>
    <t>039:58:51.86 N</t>
  </si>
  <si>
    <t>092:42:51.44 W</t>
  </si>
  <si>
    <t>039:58:53.33 N</t>
  </si>
  <si>
    <t>092:42:53.99 W</t>
  </si>
  <si>
    <t>039:58:56.88 N</t>
  </si>
  <si>
    <t>092:43:00.48 W</t>
  </si>
  <si>
    <t>039:58:58.19 N</t>
  </si>
  <si>
    <t>092:43:02.72 W</t>
  </si>
  <si>
    <t>039:58:59.51 N</t>
  </si>
  <si>
    <t>092:43:05.03 W</t>
  </si>
  <si>
    <t>039:59:00.74 N</t>
  </si>
  <si>
    <t>092:43:07.27 W</t>
  </si>
  <si>
    <t>039:59:02.06 N</t>
  </si>
  <si>
    <t>092:43:09.75 W</t>
  </si>
  <si>
    <t>039:59:03.45 N</t>
  </si>
  <si>
    <t>092:43:12.14 W</t>
  </si>
  <si>
    <t>039:59:07.23 N</t>
  </si>
  <si>
    <t>092:43:18.94 W</t>
  </si>
  <si>
    <t>039:59:08.54 N</t>
  </si>
  <si>
    <t>092:43:21.33 W</t>
  </si>
  <si>
    <t>039:59:10.17 N</t>
  </si>
  <si>
    <t>092:43:24.19 W</t>
  </si>
  <si>
    <t>039:59:11.48 N</t>
  </si>
  <si>
    <t>092:43:26.43 W</t>
  </si>
  <si>
    <t>039:59:12.79 N</t>
  </si>
  <si>
    <t>092:43:29.06 W</t>
  </si>
  <si>
    <t>039:59:13.95 N</t>
  </si>
  <si>
    <t>092:43:30.99 W</t>
  </si>
  <si>
    <t>039:59:15.11 N</t>
  </si>
  <si>
    <t>092:43:32.77 W</t>
  </si>
  <si>
    <t>039:59:19.05 N</t>
  </si>
  <si>
    <t>092:43:40.26 W</t>
  </si>
  <si>
    <t>039:59:20.29 N</t>
  </si>
  <si>
    <t>092:43:42.27 W</t>
  </si>
  <si>
    <t>039:59:21.68 N</t>
  </si>
  <si>
    <t>092:43:44.82 W</t>
  </si>
  <si>
    <t>039:59:23.07 N</t>
  </si>
  <si>
    <t>092:43:47.06 W</t>
  </si>
  <si>
    <t>039:59:24.15 N</t>
  </si>
  <si>
    <t>092:43:49.06 W</t>
  </si>
  <si>
    <t>039:59:25.69 N</t>
  </si>
  <si>
    <t>092:43:51.69 W</t>
  </si>
  <si>
    <t>039:59:26.85 N</t>
  </si>
  <si>
    <t>092:43:53.85 W</t>
  </si>
  <si>
    <t>039:59:29.09 N</t>
  </si>
  <si>
    <t>092:43:58.03 W</t>
  </si>
  <si>
    <t>039:59:30.48 N</t>
  </si>
  <si>
    <t>092:44:00.27 W</t>
  </si>
  <si>
    <t>039:59:31.72 N</t>
  </si>
  <si>
    <t>092:44:02.27 W</t>
  </si>
  <si>
    <t>039:59:32.88 N</t>
  </si>
  <si>
    <t>092:44:04.51 W</t>
  </si>
  <si>
    <t>039:59:34.27 N</t>
  </si>
  <si>
    <t>092:44:07.29 W</t>
  </si>
  <si>
    <t>039:59:35.43 N</t>
  </si>
  <si>
    <t>092:44:09.30 W</t>
  </si>
  <si>
    <t>039:59:36.74 N</t>
  </si>
  <si>
    <t>092:44:11.54 W</t>
  </si>
  <si>
    <t>039:59:40.68 N</t>
  </si>
  <si>
    <t>092:44:18.73 W</t>
  </si>
  <si>
    <t>039:59:42.07 N</t>
  </si>
  <si>
    <t>092:44:21.20 W</t>
  </si>
  <si>
    <t>039:59:43.31 N</t>
  </si>
  <si>
    <t>092:44:23.44 W</t>
  </si>
  <si>
    <t>039:59:44.62 N</t>
  </si>
  <si>
    <t>092:44:25.68 W</t>
  </si>
  <si>
    <t>039:59:45.93 N</t>
  </si>
  <si>
    <t>092:44:27.92 W</t>
  </si>
  <si>
    <t>039:59:47.09 N</t>
  </si>
  <si>
    <t>092:44:30.08 W</t>
  </si>
  <si>
    <t>039:59:48.25 N</t>
  </si>
  <si>
    <t>092:44:32.32 W</t>
  </si>
  <si>
    <t>039:59:52.34 N</t>
  </si>
  <si>
    <t>092:44:39.35 W</t>
  </si>
  <si>
    <t>039:59:54.20 N</t>
  </si>
  <si>
    <t>092:44:42.83 W</t>
  </si>
  <si>
    <t>039:59:55.36 N</t>
  </si>
  <si>
    <t>092:44:44.99 W</t>
  </si>
  <si>
    <t>039:59:56.82 N</t>
  </si>
  <si>
    <t>092:44:47.46 W</t>
  </si>
  <si>
    <t>039:59:58.14 N</t>
  </si>
  <si>
    <t>092:44:49.86 W</t>
  </si>
  <si>
    <t>040:00:03.24 N</t>
  </si>
  <si>
    <t>092:44:59.13 W</t>
  </si>
  <si>
    <t>040:00:04.55 N</t>
  </si>
  <si>
    <t>092:45:01.60 W</t>
  </si>
  <si>
    <t>040:00:06.02 N</t>
  </si>
  <si>
    <t>092:45:04.15 W</t>
  </si>
  <si>
    <t>040:00:07.33 N</t>
  </si>
  <si>
    <t>092:45:06.39 W</t>
  </si>
  <si>
    <t>040:00:08.72 N</t>
  </si>
  <si>
    <t>092:45:09.02 W</t>
  </si>
  <si>
    <t>040:00:10.19 N</t>
  </si>
  <si>
    <t>092:45:11.41 W</t>
  </si>
  <si>
    <t>040:00:14.13 N</t>
  </si>
  <si>
    <t>092:45:18.44 W</t>
  </si>
  <si>
    <t>040:00:15.44 N</t>
  </si>
  <si>
    <t>092:45:20.99 W</t>
  </si>
  <si>
    <t>040:00:16.83 N</t>
  </si>
  <si>
    <t>092:45:23.23 W</t>
  </si>
  <si>
    <t>040:00:17.99 N</t>
  </si>
  <si>
    <t>092:45:25.70 W</t>
  </si>
  <si>
    <t>040:00:19.30 N</t>
  </si>
  <si>
    <t>092:45:27.94 W</t>
  </si>
  <si>
    <t>040:00:20.69 N</t>
  </si>
  <si>
    <t>092:45:30.57 W</t>
  </si>
  <si>
    <t>040:00:24.63 N</t>
  </si>
  <si>
    <t>092:45:37.37 W</t>
  </si>
  <si>
    <t>040:00:25.95 N</t>
  </si>
  <si>
    <t>092:45:39.76 W</t>
  </si>
  <si>
    <t>040:00:27.11 N</t>
  </si>
  <si>
    <t>092:45:42.00 W</t>
  </si>
  <si>
    <t>040:00:28.34 N</t>
  </si>
  <si>
    <t>092:45:44.09 W</t>
  </si>
  <si>
    <t>040:00:29.73 N</t>
  </si>
  <si>
    <t>092:45:46.56 W</t>
  </si>
  <si>
    <t>040:00:31.12 N</t>
  </si>
  <si>
    <t>092:45:49.03 W</t>
  </si>
  <si>
    <t>040:00:32.90 N</t>
  </si>
  <si>
    <t>092:45:52.27 W</t>
  </si>
  <si>
    <t>040:00:36.84 N</t>
  </si>
  <si>
    <t>092:45:59.30 W</t>
  </si>
  <si>
    <t>040:00:38.07 N</t>
  </si>
  <si>
    <t>092:46:01.39 W</t>
  </si>
  <si>
    <t>040:00:39.46 N</t>
  </si>
  <si>
    <t>092:46:03.94 W</t>
  </si>
  <si>
    <t>040:00:40.47 N</t>
  </si>
  <si>
    <t>092:46:05.95 W</t>
  </si>
  <si>
    <t>040:00:41.78 N</t>
  </si>
  <si>
    <t>092:46:08.34 W</t>
  </si>
  <si>
    <t>040:00:42.94 N</t>
  </si>
  <si>
    <t>092:46:10.43 W</t>
  </si>
  <si>
    <t>040:00:44.25 N</t>
  </si>
  <si>
    <t>092:46:12.90 W</t>
  </si>
  <si>
    <t>040:00:47.88 N</t>
  </si>
  <si>
    <t>092:46:19.08 W</t>
  </si>
  <si>
    <t>040:00:49.28 N</t>
  </si>
  <si>
    <t>092:46:21.86 W</t>
  </si>
  <si>
    <t>040:00:50.67 N</t>
  </si>
  <si>
    <t>092:46:24.10 W</t>
  </si>
  <si>
    <t>040:00:51.98 N</t>
  </si>
  <si>
    <t>092:46:26.57 W</t>
  </si>
  <si>
    <t>040:00:52.98 N</t>
  </si>
  <si>
    <t>092:46:28.35 W</t>
  </si>
  <si>
    <t>040:00:54.37 N</t>
  </si>
  <si>
    <t>092:46:30.82 W</t>
  </si>
  <si>
    <t>040:00:58.08 N</t>
  </si>
  <si>
    <t>092:46:37.77 W</t>
  </si>
  <si>
    <t>040:00:59.39 N</t>
  </si>
  <si>
    <t>092:46:39.86 W</t>
  </si>
  <si>
    <t>040:01:00.94 N</t>
  </si>
  <si>
    <t>092:46:42.41 W</t>
  </si>
  <si>
    <t>040:01:02.25 N</t>
  </si>
  <si>
    <t>092:46:44.80 W</t>
  </si>
  <si>
    <t>040:01:03.57 N</t>
  </si>
  <si>
    <t>092:46:47.20 W</t>
  </si>
  <si>
    <t>040:01:04.88 N</t>
  </si>
  <si>
    <t>092:46:49.98 W</t>
  </si>
  <si>
    <t>040:01:06.27 N</t>
  </si>
  <si>
    <t>092:46:52.22 W</t>
  </si>
  <si>
    <t>040:01:10.29 N</t>
  </si>
  <si>
    <t>092:46:59.40 W</t>
  </si>
  <si>
    <t>040:01:11.60 N</t>
  </si>
  <si>
    <t>092:47:01.87 W</t>
  </si>
  <si>
    <t>040:01:12.76 N</t>
  </si>
  <si>
    <t>092:47:03.96 W</t>
  </si>
  <si>
    <t>040:01:14.30 N</t>
  </si>
  <si>
    <t>092:47:06.59 W</t>
  </si>
  <si>
    <t>040:01:15.39 N</t>
  </si>
  <si>
    <t>092:47:08.75 W</t>
  </si>
  <si>
    <t>040:01:16.54 N</t>
  </si>
  <si>
    <t>092:47:11.38 W</t>
  </si>
  <si>
    <t>040:01:19.63 N</t>
  </si>
  <si>
    <t>092:47:18.48 W</t>
  </si>
  <si>
    <t>040:01:20.72 N</t>
  </si>
  <si>
    <t>092:47:20.88 W</t>
  </si>
  <si>
    <t>040:01:21.72 N</t>
  </si>
  <si>
    <t>092:47:23.50 W</t>
  </si>
  <si>
    <t>040:01:22.49 N</t>
  </si>
  <si>
    <t>092:47:25.90 W</t>
  </si>
  <si>
    <t>040:01:23.34 N</t>
  </si>
  <si>
    <t>092:47:28.29 W</t>
  </si>
  <si>
    <t>040:01:24.50 N</t>
  </si>
  <si>
    <t>092:47:31.31 W</t>
  </si>
  <si>
    <t>040:01:25.50 N</t>
  </si>
  <si>
    <t>092:47:34.47 W</t>
  </si>
  <si>
    <t>040:01:26.43 N</t>
  </si>
  <si>
    <t>092:47:37.10 W</t>
  </si>
  <si>
    <t>040:01:28.67 N</t>
  </si>
  <si>
    <t>092:47:44.75 W</t>
  </si>
  <si>
    <t>040:01:29.52 N</t>
  </si>
  <si>
    <t>092:47:47.45 W</t>
  </si>
  <si>
    <t>040:01:30.37 N</t>
  </si>
  <si>
    <t>092:47:51.08 W</t>
  </si>
  <si>
    <t>040:01:31.07 N</t>
  </si>
  <si>
    <t>092:47:54.02 W</t>
  </si>
  <si>
    <t>040:01:31.68 N</t>
  </si>
  <si>
    <t>092:47:56.87 W</t>
  </si>
  <si>
    <t>040:01:32.38 N</t>
  </si>
  <si>
    <t>092:47:59.81 W</t>
  </si>
  <si>
    <t>040:01:33.69 N</t>
  </si>
  <si>
    <t>092:48:06.14 W</t>
  </si>
  <si>
    <t>040:01:34.23 N</t>
  </si>
  <si>
    <t>092:48:08.77 W</t>
  </si>
  <si>
    <t>040:01:34.93 N</t>
  </si>
  <si>
    <t>092:48:12.17 W</t>
  </si>
  <si>
    <t>040:01:35.39 N</t>
  </si>
  <si>
    <t>092:48:14.64 W</t>
  </si>
  <si>
    <t>040:01:36.09 N</t>
  </si>
  <si>
    <t>092:48:18.04 W</t>
  </si>
  <si>
    <t>040:01:36.55 N</t>
  </si>
  <si>
    <t>092:48:20.59 W</t>
  </si>
  <si>
    <t>040:01:37.01 N</t>
  </si>
  <si>
    <t>092:48:23.45 W</t>
  </si>
  <si>
    <t>040:01:38.33 N</t>
  </si>
  <si>
    <t>092:48:30.71 W</t>
  </si>
  <si>
    <t>040:01:38.71 N</t>
  </si>
  <si>
    <t>092:48:33.34 W</t>
  </si>
  <si>
    <t>040:01:39.33 N</t>
  </si>
  <si>
    <t>092:48:36.43 W</t>
  </si>
  <si>
    <t>040:01:39.72 N</t>
  </si>
  <si>
    <t>092:48:39.13 W</t>
  </si>
  <si>
    <t>040:01:40.34 N</t>
  </si>
  <si>
    <t>092:48:42.37 W</t>
  </si>
  <si>
    <t>040:01:40.72 N</t>
  </si>
  <si>
    <t>092:48:45.70 W</t>
  </si>
  <si>
    <t>040:01:41.26 N</t>
  </si>
  <si>
    <t>092:48:48.32 W</t>
  </si>
  <si>
    <t>040:01:42.73 N</t>
  </si>
  <si>
    <t>092:48:57.36 W</t>
  </si>
  <si>
    <t>040:01:43.12 N</t>
  </si>
  <si>
    <t>092:48:59.91 W</t>
  </si>
  <si>
    <t>040:01:43.58 N</t>
  </si>
  <si>
    <t>092:49:02.77 W</t>
  </si>
  <si>
    <t>040:01:44.12 N</t>
  </si>
  <si>
    <t>092:49:05.63 W</t>
  </si>
  <si>
    <t>040:01:44.58 N</t>
  </si>
  <si>
    <t>092:49:08.48 W</t>
  </si>
  <si>
    <t>040:01:45.13 N</t>
  </si>
  <si>
    <t>092:49:11.26 W</t>
  </si>
  <si>
    <t>040:01:45.59 N</t>
  </si>
  <si>
    <t>092:49:14.43 W</t>
  </si>
  <si>
    <t>040:01:46.13 N</t>
  </si>
  <si>
    <t>092:49:16.90 W</t>
  </si>
  <si>
    <t>040:01:46.59 N</t>
  </si>
  <si>
    <t>092:49:19.84 W</t>
  </si>
  <si>
    <t>040:01:47.06 N</t>
  </si>
  <si>
    <t>092:49:22.39 W</t>
  </si>
  <si>
    <t>040:01:47.98 N</t>
  </si>
  <si>
    <t>092:49:26.79 W</t>
  </si>
  <si>
    <t>040:01:48.37 N</t>
  </si>
  <si>
    <t>092:49:29.19 W</t>
  </si>
  <si>
    <t>040:01:49.07 N</t>
  </si>
  <si>
    <t>092:49:32.04 W</t>
  </si>
  <si>
    <t>040:01:49.37 N</t>
  </si>
  <si>
    <t>092:49:34.44 W</t>
  </si>
  <si>
    <t>040:01:49.99 N</t>
  </si>
  <si>
    <t>092:49:36.91 W</t>
  </si>
  <si>
    <t>040:01:50.84 N</t>
  </si>
  <si>
    <t>092:49:40.93 W</t>
  </si>
  <si>
    <t>040:01:51.54 N</t>
  </si>
  <si>
    <t>092:49:44.09 W</t>
  </si>
  <si>
    <t>040:01:52.31 N</t>
  </si>
  <si>
    <t>092:49:48.03 W</t>
  </si>
  <si>
    <t>040:01:52.85 N</t>
  </si>
  <si>
    <t>092:49:50.66 W</t>
  </si>
  <si>
    <t>040:01:53.47 N</t>
  </si>
  <si>
    <t>092:49:53.29 W</t>
  </si>
  <si>
    <t>040:01:54.01 N</t>
  </si>
  <si>
    <t>092:49:55.99 W</t>
  </si>
  <si>
    <t>040:01:54.63 N</t>
  </si>
  <si>
    <t>092:49:58.85 W</t>
  </si>
  <si>
    <t>040:01:57.10 N</t>
  </si>
  <si>
    <t>092:50:10.67 W</t>
  </si>
  <si>
    <t>040:01:57.95 N</t>
  </si>
  <si>
    <t>092:50:14.68 W</t>
  </si>
  <si>
    <t>040:01:58.49 N</t>
  </si>
  <si>
    <t>092:50:17.39 W</t>
  </si>
  <si>
    <t>040:01:59.57 N</t>
  </si>
  <si>
    <t>092:50:22.10 W</t>
  </si>
  <si>
    <t>040:02:00.19 N</t>
  </si>
  <si>
    <t>092:50:24.80 W</t>
  </si>
  <si>
    <t>040:02:02.20 N</t>
  </si>
  <si>
    <t>092:50:34.23 W</t>
  </si>
  <si>
    <t>040:02:02.89 N</t>
  </si>
  <si>
    <t>092:50:37.09 W</t>
  </si>
  <si>
    <t>040:02:03.59 N</t>
  </si>
  <si>
    <t>092:50:40.25 W</t>
  </si>
  <si>
    <t>040:02:04.36 N</t>
  </si>
  <si>
    <t>092:50:43.88 W</t>
  </si>
  <si>
    <t>040:02:05.36 N</t>
  </si>
  <si>
    <t>092:50:49.06 W</t>
  </si>
  <si>
    <t>040:02:05.98 N</t>
  </si>
  <si>
    <t>092:50:51.53 W</t>
  </si>
  <si>
    <t>040:02:06.99 N</t>
  </si>
  <si>
    <t>092:50:56.17 W</t>
  </si>
  <si>
    <t>040:02:08.76 N</t>
  </si>
  <si>
    <t>092:51:03.43 W</t>
  </si>
  <si>
    <t>040:02:09.61 N</t>
  </si>
  <si>
    <t>092:51:07.44 W</t>
  </si>
  <si>
    <t>040:02:10.77 N</t>
  </si>
  <si>
    <t>092:51:12.23 W</t>
  </si>
  <si>
    <t>040:02:11.39 N</t>
  </si>
  <si>
    <t>092:51:15.56 W</t>
  </si>
  <si>
    <t>040:02:13.63 N</t>
  </si>
  <si>
    <t>092:51:24.28 W</t>
  </si>
  <si>
    <t>040:02:14.40 N</t>
  </si>
  <si>
    <t>092:51:28.46 W</t>
  </si>
  <si>
    <t>040:02:15.41 N</t>
  </si>
  <si>
    <t>092:51:32.40 W</t>
  </si>
  <si>
    <t>040:02:16.57 N</t>
  </si>
  <si>
    <t>092:51:37.03 W</t>
  </si>
  <si>
    <t>040:02:17.41 N</t>
  </si>
  <si>
    <t>092:51:40.97 W</t>
  </si>
  <si>
    <t>040:02:18.11 N</t>
  </si>
  <si>
    <t>092:51:44.29 W</t>
  </si>
  <si>
    <t>040:02:19.89 N</t>
  </si>
  <si>
    <t>092:51:50.86 W</t>
  </si>
  <si>
    <t>040:02:20.66 N</t>
  </si>
  <si>
    <t>092:51:54.18 W</t>
  </si>
  <si>
    <t>040:02:21.97 N</t>
  </si>
  <si>
    <t>092:51:58.81 W</t>
  </si>
  <si>
    <t>040:02:23.29 N</t>
  </si>
  <si>
    <t>092:52:03.22 W</t>
  </si>
  <si>
    <t>040:02:24.52 N</t>
  </si>
  <si>
    <t>092:52:07.23 W</t>
  </si>
  <si>
    <t>040:02:27.07 N</t>
  </si>
  <si>
    <t>092:52:15.27 W</t>
  </si>
  <si>
    <t>040:02:28.54 N</t>
  </si>
  <si>
    <t>092:52:19.36 W</t>
  </si>
  <si>
    <t>040:02:29.54 N</t>
  </si>
  <si>
    <t>092:52:22.30 W</t>
  </si>
  <si>
    <t>040:02:30.39 N</t>
  </si>
  <si>
    <t>092:52:24.77 W</t>
  </si>
  <si>
    <t>040:02:31.71 N</t>
  </si>
  <si>
    <t>092:52:28.63 W</t>
  </si>
  <si>
    <t>040:02:35.03 N</t>
  </si>
  <si>
    <t>092:52:37.59 W</t>
  </si>
  <si>
    <t>040:02:36.57 N</t>
  </si>
  <si>
    <t>092:52:41.84 W</t>
  </si>
  <si>
    <t>040:02:38.04 N</t>
  </si>
  <si>
    <t>092:52:45.47 W</t>
  </si>
  <si>
    <t>040:02:39.58 N</t>
  </si>
  <si>
    <t>092:52:49.72 W</t>
  </si>
  <si>
    <t>040:02:43.76 N</t>
  </si>
  <si>
    <t>092:53:00.30 W</t>
  </si>
  <si>
    <t>040:02:44.76 N</t>
  </si>
  <si>
    <t>092:53:02.78 W</t>
  </si>
  <si>
    <t>040:02:46.07 N</t>
  </si>
  <si>
    <t>092:53:05.63 W</t>
  </si>
  <si>
    <t>040:02:47.39 N</t>
  </si>
  <si>
    <t>092:53:09.34 W</t>
  </si>
  <si>
    <t>040:02:48.62 N</t>
  </si>
  <si>
    <t>092:53:12.20 W</t>
  </si>
  <si>
    <t>040:02:49.55 N</t>
  </si>
  <si>
    <t>092:53:14.36 W</t>
  </si>
  <si>
    <t>040:02:52.64 N</t>
  </si>
  <si>
    <t>092:53:22.32 W</t>
  </si>
  <si>
    <t>040:02:53.80 N</t>
  </si>
  <si>
    <t>092:53:25.02 W</t>
  </si>
  <si>
    <t>040:02:54.80 N</t>
  </si>
  <si>
    <t>092:53:27.49 W</t>
  </si>
  <si>
    <t>040:02:55.81 N</t>
  </si>
  <si>
    <t>092:53:29.73 W</t>
  </si>
  <si>
    <t>040:02:56.73 N</t>
  </si>
  <si>
    <t>092:53:32.44 W</t>
  </si>
  <si>
    <t>040:02:58.05 N</t>
  </si>
  <si>
    <t>092:53:35.14 W</t>
  </si>
  <si>
    <t>040:03:01.06 N</t>
  </si>
  <si>
    <t>092:53:42.79 W</t>
  </si>
  <si>
    <t>040:03:02.06 N</t>
  </si>
  <si>
    <t>092:53:44.95 W</t>
  </si>
  <si>
    <t>040:03:03.22 N</t>
  </si>
  <si>
    <t>092:53:47.89 W</t>
  </si>
  <si>
    <t>040:03:04.38 N</t>
  </si>
  <si>
    <t>092:53:50.67 W</t>
  </si>
  <si>
    <t>040:03:05.54 N</t>
  </si>
  <si>
    <t>092:53:53.30 W</t>
  </si>
  <si>
    <t>040:03:06.54 N</t>
  </si>
  <si>
    <t>092:53:56.00 W</t>
  </si>
  <si>
    <t>040:03:07.78 N</t>
  </si>
  <si>
    <t>092:53:58.78 W</t>
  </si>
  <si>
    <t>040:03:10.95 N</t>
  </si>
  <si>
    <t>092:54:06.58 W</t>
  </si>
  <si>
    <t>040:03:12.11 N</t>
  </si>
  <si>
    <t>092:54:09.05 W</t>
  </si>
  <si>
    <t>040:03:13.26 N</t>
  </si>
  <si>
    <t>092:54:11.76 W</t>
  </si>
  <si>
    <t>040:03:14.27 N</t>
  </si>
  <si>
    <t>092:54:14.38 W</t>
  </si>
  <si>
    <t>040:03:15.43 N</t>
  </si>
  <si>
    <t>092:54:16.78 W</t>
  </si>
  <si>
    <t>040:03:16.97 N</t>
  </si>
  <si>
    <t>092:54:20.49 W</t>
  </si>
  <si>
    <t>040:03:19.99 N</t>
  </si>
  <si>
    <t>092:54:27.05 W</t>
  </si>
  <si>
    <t>040:03:20.99 N</t>
  </si>
  <si>
    <t>092:54:29.52 W</t>
  </si>
  <si>
    <t>040:03:22.84 N</t>
  </si>
  <si>
    <t>092:54:33.08 W</t>
  </si>
  <si>
    <t>040:03:24.47 N</t>
  </si>
  <si>
    <t>092:54:36.32 W</t>
  </si>
  <si>
    <t>040:03:28.71 N</t>
  </si>
  <si>
    <t>092:54:44.59 W</t>
  </si>
  <si>
    <t>040:03:29.87 N</t>
  </si>
  <si>
    <t>092:54:46.83 W</t>
  </si>
  <si>
    <t>040:03:31.19 N</t>
  </si>
  <si>
    <t>092:54:49.53 W</t>
  </si>
  <si>
    <t>040:03:32.35 N</t>
  </si>
  <si>
    <t>092:54:51.54 W</t>
  </si>
  <si>
    <t>040:03:33.50 N</t>
  </si>
  <si>
    <t>092:54:53.70 W</t>
  </si>
  <si>
    <t>040:03:34.66 N</t>
  </si>
  <si>
    <t>092:54:55.87 W</t>
  </si>
  <si>
    <t>040:03:36.52 N</t>
  </si>
  <si>
    <t>092:54:59.19 W</t>
  </si>
  <si>
    <t>040:03:40.92 N</t>
  </si>
  <si>
    <t>092:55:07.22 W</t>
  </si>
  <si>
    <t>040:03:42.08 N</t>
  </si>
  <si>
    <t>092:55:09.46 W</t>
  </si>
  <si>
    <t>040:03:43.39 N</t>
  </si>
  <si>
    <t>092:55:11.93 W</t>
  </si>
  <si>
    <t>040:03:44.70 N</t>
  </si>
  <si>
    <t>092:55:14.33 W</t>
  </si>
  <si>
    <t>040:03:45.86 N</t>
  </si>
  <si>
    <t>092:55:16.57 W</t>
  </si>
  <si>
    <t>040:03:48.26 N</t>
  </si>
  <si>
    <t>092:55:20.97 W</t>
  </si>
  <si>
    <t>040:03:49.65 N</t>
  </si>
  <si>
    <t>092:55:23.60 W</t>
  </si>
  <si>
    <t>040:03:50.81 N</t>
  </si>
  <si>
    <t>092:55:25.68 W</t>
  </si>
  <si>
    <t>040:03:51.97 N</t>
  </si>
  <si>
    <t>092:55:27.54 W</t>
  </si>
  <si>
    <t>040:03:53.12 N</t>
  </si>
  <si>
    <t>092:55:29.70 W</t>
  </si>
  <si>
    <t>040:03:54.52 N</t>
  </si>
  <si>
    <t>092:55:31.94 W</t>
  </si>
  <si>
    <t>040:03:55.75 N</t>
  </si>
  <si>
    <t>092:55:34.57 W</t>
  </si>
  <si>
    <t>040:03:57.14 N</t>
  </si>
  <si>
    <t>092:55:36.88 W</t>
  </si>
  <si>
    <t>040:04:00.85 N</t>
  </si>
  <si>
    <t>092:55:43.60 W</t>
  </si>
  <si>
    <t>040:04:02.16 N</t>
  </si>
  <si>
    <t>092:55:46.00 W</t>
  </si>
  <si>
    <t>040:04:03.55 N</t>
  </si>
  <si>
    <t>092:55:48.39 W</t>
  </si>
  <si>
    <t>040:04:04.17 N</t>
  </si>
  <si>
    <t>092:55:49.71 W</t>
  </si>
  <si>
    <t>040:04:05.79 N</t>
  </si>
  <si>
    <t>092:55:52.80 W</t>
  </si>
  <si>
    <t>040:04:07.11 N</t>
  </si>
  <si>
    <t>092:55:55.19 W</t>
  </si>
  <si>
    <t>040:04:08.42 N</t>
  </si>
  <si>
    <t>092:55:57.82 W</t>
  </si>
  <si>
    <t>040:04:10.27 N</t>
  </si>
  <si>
    <t>092:56:00.99 W</t>
  </si>
  <si>
    <t>040:04:12.44 N</t>
  </si>
  <si>
    <t>092:56:05.23 W</t>
  </si>
  <si>
    <t>040:04:14.14 N</t>
  </si>
  <si>
    <t>092:56:08.40 W</t>
  </si>
  <si>
    <t>040:04:15.76 N</t>
  </si>
  <si>
    <t>092:56:11.49 W</t>
  </si>
  <si>
    <t>040:04:17.38 N</t>
  </si>
  <si>
    <t>092:56:14.58 W</t>
  </si>
  <si>
    <t>040:04:19.93 N</t>
  </si>
  <si>
    <t>092:56:19.60 W</t>
  </si>
  <si>
    <t>040:04:21.32 N</t>
  </si>
  <si>
    <t>092:56:22.00 W</t>
  </si>
  <si>
    <t>040:04:22.94 N</t>
  </si>
  <si>
    <t>092:56:25.32 W</t>
  </si>
  <si>
    <t>040:04:24.80 N</t>
  </si>
  <si>
    <t>092:56:28.64 W</t>
  </si>
  <si>
    <t>040:04:25.80 N</t>
  </si>
  <si>
    <t>092:56:30.65 W</t>
  </si>
  <si>
    <t>040:04:27.27 N</t>
  </si>
  <si>
    <t>092:56:33.04 W</t>
  </si>
  <si>
    <t>040:04:31.83 N</t>
  </si>
  <si>
    <t>092:56:41.39 W</t>
  </si>
  <si>
    <t>040:04:33.14 N</t>
  </si>
  <si>
    <t>092:56:43.55 W</t>
  </si>
  <si>
    <t>040:04:34.68 N</t>
  </si>
  <si>
    <t>092:56:46.18 W</t>
  </si>
  <si>
    <t>040:04:35.92 N</t>
  </si>
  <si>
    <t>092:56:48.34 W</t>
  </si>
  <si>
    <t>040:04:37.31 N</t>
  </si>
  <si>
    <t>092:56:50.81 W</t>
  </si>
  <si>
    <t>040:04:38.39 N</t>
  </si>
  <si>
    <t>092:56:52.90 W</t>
  </si>
  <si>
    <t>040:04:39.55 N</t>
  </si>
  <si>
    <t>092:56:55.14 W</t>
  </si>
  <si>
    <t>040:04:43.03 N</t>
  </si>
  <si>
    <t>092:57:02.01 W</t>
  </si>
  <si>
    <t>040:04:44.11 N</t>
  </si>
  <si>
    <t>092:57:04.10 W</t>
  </si>
  <si>
    <t>040:04:45.11 N</t>
  </si>
  <si>
    <t>092:57:06.57 W</t>
  </si>
  <si>
    <t>040:04:46.27 N</t>
  </si>
  <si>
    <t>092:57:09.04 W</t>
  </si>
  <si>
    <t>040:04:47.43 N</t>
  </si>
  <si>
    <t>092:57:11.51 W</t>
  </si>
  <si>
    <t>040:04:50.83 N</t>
  </si>
  <si>
    <t>092:57:18.93 W</t>
  </si>
  <si>
    <t>040:04:51.83 N</t>
  </si>
  <si>
    <t>092:57:21.17 W</t>
  </si>
  <si>
    <t>040:04:52.91 N</t>
  </si>
  <si>
    <t>092:57:23.80 W</t>
  </si>
  <si>
    <t>040:04:54.07 N</t>
  </si>
  <si>
    <t>092:57:26.42 W</t>
  </si>
  <si>
    <t>040:04:55.15 N</t>
  </si>
  <si>
    <t>092:57:29.05 W</t>
  </si>
  <si>
    <t>040:04:56.70 N</t>
  </si>
  <si>
    <t>092:57:32.45 W</t>
  </si>
  <si>
    <t>040:05:00.33 N</t>
  </si>
  <si>
    <t>092:57:40.71 W</t>
  </si>
  <si>
    <t>040:05:01.49 N</t>
  </si>
  <si>
    <t>092:57:43.57 W</t>
  </si>
  <si>
    <t>040:05:01.88 N</t>
  </si>
  <si>
    <t>092:57:44.42 W</t>
  </si>
  <si>
    <t>040:05:03.03 N</t>
  </si>
  <si>
    <t>092:57:47.05 W</t>
  </si>
  <si>
    <t>040:05:04.35 N</t>
  </si>
  <si>
    <t>092:57:50.14 W</t>
  </si>
  <si>
    <t>040:05:05.35 N</t>
  </si>
  <si>
    <t>092:57:52.61 W</t>
  </si>
  <si>
    <t>040:05:06.36 N</t>
  </si>
  <si>
    <t>092:57:55.08 W</t>
  </si>
  <si>
    <t>040:05:09.60 N</t>
  </si>
  <si>
    <t>092:58:02.65 W</t>
  </si>
  <si>
    <t>040:05:10.60 N</t>
  </si>
  <si>
    <t>092:58:05.28 W</t>
  </si>
  <si>
    <t>040:05:11.76 N</t>
  </si>
  <si>
    <t>092:58:07.75 W</t>
  </si>
  <si>
    <t>040:05:12.69 N</t>
  </si>
  <si>
    <t>092:58:10.14 W</t>
  </si>
  <si>
    <t>040:05:13.77 N</t>
  </si>
  <si>
    <t>092:58:12.38 W</t>
  </si>
  <si>
    <t>040:05:14.85 N</t>
  </si>
  <si>
    <t>092:58:14.93 W</t>
  </si>
  <si>
    <t>040:05:16.63 N</t>
  </si>
  <si>
    <t>092:58:19.18 W</t>
  </si>
  <si>
    <t>040:05:19.95 N</t>
  </si>
  <si>
    <t>092:58:27.22 W</t>
  </si>
  <si>
    <t>040:05:21.65 N</t>
  </si>
  <si>
    <t>092:58:31.08 W</t>
  </si>
  <si>
    <t>040:05:23.12 N</t>
  </si>
  <si>
    <t>092:58:34.48 W</t>
  </si>
  <si>
    <t>040:05:24.74 N</t>
  </si>
  <si>
    <t>092:58:38.26 W</t>
  </si>
  <si>
    <t>040:05:27.83 N</t>
  </si>
  <si>
    <t>092:58:45.91 W</t>
  </si>
  <si>
    <t>040:05:28.99 N</t>
  </si>
  <si>
    <t>092:58:48.38 W</t>
  </si>
  <si>
    <t>040:05:30.15 N</t>
  </si>
  <si>
    <t>092:58:51.32 W</t>
  </si>
  <si>
    <t>040:05:31.23 N</t>
  </si>
  <si>
    <t>092:58:53.79 W</t>
  </si>
  <si>
    <t>040:05:32.31 N</t>
  </si>
  <si>
    <t>092:58:56.49 W</t>
  </si>
  <si>
    <t>040:05:35.63 N</t>
  </si>
  <si>
    <t>092:59:03.99 W</t>
  </si>
  <si>
    <t>040:05:36.95 N</t>
  </si>
  <si>
    <t>092:59:07.23 W</t>
  </si>
  <si>
    <t>040:05:38.10 N</t>
  </si>
  <si>
    <t>092:59:09.93 W</t>
  </si>
  <si>
    <t>040:05:39.26 N</t>
  </si>
  <si>
    <t>092:59:12.64 W</t>
  </si>
  <si>
    <t>040:05:40.11 N</t>
  </si>
  <si>
    <t>092:59:14.72 W</t>
  </si>
  <si>
    <t>040:05:41.43 N</t>
  </si>
  <si>
    <t>092:59:17.81 W</t>
  </si>
  <si>
    <t>040:05:42.74 N</t>
  </si>
  <si>
    <t>092:59:20.98 W</t>
  </si>
  <si>
    <t>040:05:44.90 N</t>
  </si>
  <si>
    <t>092:59:26.39 W</t>
  </si>
  <si>
    <t>040:05:46.60 N</t>
  </si>
  <si>
    <t>092:59:30.40 W</t>
  </si>
  <si>
    <t>040:05:47.84 N</t>
  </si>
  <si>
    <t>092:59:32.95 W</t>
  </si>
  <si>
    <t>040:05:49.77 N</t>
  </si>
  <si>
    <t>092:59:37.82 W</t>
  </si>
  <si>
    <t>040:05:53.63 N</t>
  </si>
  <si>
    <t>092:59:47.24 W</t>
  </si>
  <si>
    <t>040:05:55.41 N</t>
  </si>
  <si>
    <t>092:59:51.42 W</t>
  </si>
  <si>
    <t>040:05:57.18 N</t>
  </si>
  <si>
    <t>092:59:55.82 W</t>
  </si>
  <si>
    <t>040:06:00.51 N</t>
  </si>
  <si>
    <t>093:00:03.85 W</t>
  </si>
  <si>
    <t>040:06:02.21 N</t>
  </si>
  <si>
    <t>093:00:07.95 W</t>
  </si>
  <si>
    <t>040:06:03.67 N</t>
  </si>
  <si>
    <t>093:00:11.27 W</t>
  </si>
  <si>
    <t>040:06:05.53 N</t>
  </si>
  <si>
    <t>093:00:15.83 W</t>
  </si>
  <si>
    <t>040:06:07.30 N</t>
  </si>
  <si>
    <t>093:00:20.00 W</t>
  </si>
  <si>
    <t>040:06:11.40 N</t>
  </si>
  <si>
    <t>093:00:29.88 W</t>
  </si>
  <si>
    <t>040:06:13.02 N</t>
  </si>
  <si>
    <t>093:00:33.82 W</t>
  </si>
  <si>
    <t>040:06:14.87 N</t>
  </si>
  <si>
    <t>093:00:38.23 W</t>
  </si>
  <si>
    <t>040:06:18.50 N</t>
  </si>
  <si>
    <t>093:00:46.57 W</t>
  </si>
  <si>
    <t>040:06:19.97 N</t>
  </si>
  <si>
    <t>093:00:50.43 W</t>
  </si>
  <si>
    <t>040:06:21.44 N</t>
  </si>
  <si>
    <t>093:00:53.75 W</t>
  </si>
  <si>
    <t>040:06:23.60 N</t>
  </si>
  <si>
    <t>093:00:58.85 W</t>
  </si>
  <si>
    <t>040:06:25.23 N</t>
  </si>
  <si>
    <t>093:01:02.87 W</t>
  </si>
  <si>
    <t>040:06:28.86 N</t>
  </si>
  <si>
    <t>093:01:11.52 W</t>
  </si>
  <si>
    <t>040:06:30.32 N</t>
  </si>
  <si>
    <t>093:01:15.15 W</t>
  </si>
  <si>
    <t>040:06:31.33 N</t>
  </si>
  <si>
    <t>093:01:17.78 W</t>
  </si>
  <si>
    <t>040:06:32.56 N</t>
  </si>
  <si>
    <t>093:01:20.48 W</t>
  </si>
  <si>
    <t>040:06:33.57 N</t>
  </si>
  <si>
    <t>093:01:22.72 W</t>
  </si>
  <si>
    <t>040:06:34.57 N</t>
  </si>
  <si>
    <t>093:01:25.19 W</t>
  </si>
  <si>
    <t>040:06:36.35 N</t>
  </si>
  <si>
    <t>093:01:29.75 W</t>
  </si>
  <si>
    <t>040:06:37.58 N</t>
  </si>
  <si>
    <t>093:01:32.53 W</t>
  </si>
  <si>
    <t>040:06:38.59 N</t>
  </si>
  <si>
    <t>093:01:34.93 W</t>
  </si>
  <si>
    <t>040:06:39.75 N</t>
  </si>
  <si>
    <t>093:01:37.55 W</t>
  </si>
  <si>
    <t>040:06:41.22 N</t>
  </si>
  <si>
    <t>093:01:41.26 W</t>
  </si>
  <si>
    <t>040:06:42.22 N</t>
  </si>
  <si>
    <t>093:01:43.42 W</t>
  </si>
  <si>
    <t>040:06:45.00 N</t>
  </si>
  <si>
    <t>093:01:50.07 W</t>
  </si>
  <si>
    <t>040:06:46.62 N</t>
  </si>
  <si>
    <t>093:01:54.01 W</t>
  </si>
  <si>
    <t>040:06:47.63 N</t>
  </si>
  <si>
    <t>093:01:56.48 W</t>
  </si>
  <si>
    <t>040:06:48.79 N</t>
  </si>
  <si>
    <t>093:01:59.18 W</t>
  </si>
  <si>
    <t>040:06:49.94 N</t>
  </si>
  <si>
    <t>093:02:01.96 W</t>
  </si>
  <si>
    <t>040:06:50.95 N</t>
  </si>
  <si>
    <t>093:02:04.36 W</t>
  </si>
  <si>
    <t>040:06:53.58 N</t>
  </si>
  <si>
    <t>093:02:10.77 W</t>
  </si>
  <si>
    <t>040:06:54.50 N</t>
  </si>
  <si>
    <t>093:02:13.09 W</t>
  </si>
  <si>
    <t>040:06:56.05 N</t>
  </si>
  <si>
    <t>093:02:16.64 W</t>
  </si>
  <si>
    <t>040:06:57.13 N</t>
  </si>
  <si>
    <t>093:02:19.42 W</t>
  </si>
  <si>
    <t>040:06:58.13 N</t>
  </si>
  <si>
    <t>093:02:21.89 W</t>
  </si>
  <si>
    <t>040:06:59.37 N</t>
  </si>
  <si>
    <t>093:02:24.60 W</t>
  </si>
  <si>
    <t>040:07:00.37 N</t>
  </si>
  <si>
    <t>093:02:27.22 W</t>
  </si>
  <si>
    <t>040:07:03.15 N</t>
  </si>
  <si>
    <t>093:02:34.02 W</t>
  </si>
  <si>
    <t>040:07:04.24 N</t>
  </si>
  <si>
    <t>093:02:36.88 W</t>
  </si>
  <si>
    <t>040:07:05.39 N</t>
  </si>
  <si>
    <t>093:02:39.35 W</t>
  </si>
  <si>
    <t>040:07:06.40 N</t>
  </si>
  <si>
    <t>093:02:41.82 W</t>
  </si>
  <si>
    <t>040:07:07.25 N</t>
  </si>
  <si>
    <t>093:02:44.14 W</t>
  </si>
  <si>
    <t>040:07:08.41 N</t>
  </si>
  <si>
    <t>093:02:46.77 W</t>
  </si>
  <si>
    <t>040:07:11.73 N</t>
  </si>
  <si>
    <t>093:02:55.11 W</t>
  </si>
  <si>
    <t>040:07:12.73 N</t>
  </si>
  <si>
    <t>093:02:57.50 W</t>
  </si>
  <si>
    <t>040:07:13.58 N</t>
  </si>
  <si>
    <t>093:02:59.59 W</t>
  </si>
  <si>
    <t>040:07:14.97 N</t>
  </si>
  <si>
    <t>093:03:03.45 W</t>
  </si>
  <si>
    <t>040:07:15.98 N</t>
  </si>
  <si>
    <t>093:03:05.92 W</t>
  </si>
  <si>
    <t>040:07:19.45 N</t>
  </si>
  <si>
    <t>093:03:13.96 W</t>
  </si>
  <si>
    <t>040:07:20.46 N</t>
  </si>
  <si>
    <t>093:03:16.43 W</t>
  </si>
  <si>
    <t>040:07:21.46 N</t>
  </si>
  <si>
    <t>093:03:18.90 W</t>
  </si>
  <si>
    <t>040:07:22.77 N</t>
  </si>
  <si>
    <t>093:03:22.15 W</t>
  </si>
  <si>
    <t>040:07:24.40 N</t>
  </si>
  <si>
    <t>093:03:26.09 W</t>
  </si>
  <si>
    <t>040:07:25.25 N</t>
  </si>
  <si>
    <t>093:03:28.09 W</t>
  </si>
  <si>
    <t>040:07:28.18 N</t>
  </si>
  <si>
    <t>093:03:35.12 W</t>
  </si>
  <si>
    <t>040:07:29.34 N</t>
  </si>
  <si>
    <t>093:03:37.98 W</t>
  </si>
  <si>
    <t>040:07:30.35 N</t>
  </si>
  <si>
    <t>093:03:40.38 W</t>
  </si>
  <si>
    <t>040:07:31.35 N</t>
  </si>
  <si>
    <t>093:03:42.77 W</t>
  </si>
  <si>
    <t>040:07:32.28 N</t>
  </si>
  <si>
    <t>093:03:45.48 W</t>
  </si>
  <si>
    <t>040:07:33.36 N</t>
  </si>
  <si>
    <t>093:03:47.48 W</t>
  </si>
  <si>
    <t>040:07:34.52 N</t>
  </si>
  <si>
    <t>093:03:50.65 W</t>
  </si>
  <si>
    <t>040:07:36.52 N</t>
  </si>
  <si>
    <t>093:03:55.59 W</t>
  </si>
  <si>
    <t>040:07:37.37 N</t>
  </si>
  <si>
    <t>093:03:57.60 W</t>
  </si>
  <si>
    <t>040:07:39.07 N</t>
  </si>
  <si>
    <t>093:04:01.70 W</t>
  </si>
  <si>
    <t>040:07:40.08 N</t>
  </si>
  <si>
    <t>093:04:03.86 W</t>
  </si>
  <si>
    <t>040:07:41.08 N</t>
  </si>
  <si>
    <t>093:04:06.33 W</t>
  </si>
  <si>
    <t>040:07:41.85 N</t>
  </si>
  <si>
    <t>093:04:08.73 W</t>
  </si>
  <si>
    <t>040:07:44.48 N</t>
  </si>
  <si>
    <t>093:04:15.14 W</t>
  </si>
  <si>
    <t>040:07:45.56 N</t>
  </si>
  <si>
    <t>093:04:17.84 W</t>
  </si>
  <si>
    <t>040:07:46.41 N</t>
  </si>
  <si>
    <t>093:04:19.85 W</t>
  </si>
  <si>
    <t>040:07:47.42 N</t>
  </si>
  <si>
    <t>093:04:22.32 W</t>
  </si>
  <si>
    <t>040:07:48.65 N</t>
  </si>
  <si>
    <t>093:04:25.03 W</t>
  </si>
  <si>
    <t>040:07:50.12 N</t>
  </si>
  <si>
    <t>093:04:28.58 W</t>
  </si>
  <si>
    <t>040:07:52.90 N</t>
  </si>
  <si>
    <t>093:04:35.30 W</t>
  </si>
  <si>
    <t>040:07:53.98 N</t>
  </si>
  <si>
    <t>093:04:38.00 W</t>
  </si>
  <si>
    <t>040:07:55.06 N</t>
  </si>
  <si>
    <t>093:04:40.55 W</t>
  </si>
  <si>
    <t>040:07:56.22 N</t>
  </si>
  <si>
    <t>093:04:43.26 W</t>
  </si>
  <si>
    <t>040:07:57.23 N</t>
  </si>
  <si>
    <t>093:04:45.65 W</t>
  </si>
  <si>
    <t>040:07:58.31 N</t>
  </si>
  <si>
    <t>093:04:48.36 W</t>
  </si>
  <si>
    <t>040:08:01.32 N</t>
  </si>
  <si>
    <t>093:04:55.77 W</t>
  </si>
  <si>
    <t>040:08:02.56 N</t>
  </si>
  <si>
    <t>093:04:58.71 W</t>
  </si>
  <si>
    <t>040:08:03.48 N</t>
  </si>
  <si>
    <t>093:05:00.79 W</t>
  </si>
  <si>
    <t>040:08:04.41 N</t>
  </si>
  <si>
    <t>093:05:03.42 W</t>
  </si>
  <si>
    <t>040:08:05.34 N</t>
  </si>
  <si>
    <t>093:05:05.43 W</t>
  </si>
  <si>
    <t>040:08:06.34 N</t>
  </si>
  <si>
    <t>093:05:07.90 W</t>
  </si>
  <si>
    <t>040:08:07.42 N</t>
  </si>
  <si>
    <t>093:05:10.22 W</t>
  </si>
  <si>
    <t>040:08:08.43 N</t>
  </si>
  <si>
    <t>093:05:12.69 W</t>
  </si>
  <si>
    <t>040:08:11.44 N</t>
  </si>
  <si>
    <t>093:05:19.87 W</t>
  </si>
  <si>
    <t>040:08:12.60 N</t>
  </si>
  <si>
    <t>093:05:22.73 W</t>
  </si>
  <si>
    <t>040:08:13.60 N</t>
  </si>
  <si>
    <t>093:05:25.20 W</t>
  </si>
  <si>
    <t>040:08:14.61 N</t>
  </si>
  <si>
    <t>093:05:27.67 W</t>
  </si>
  <si>
    <t>040:08:15.46 N</t>
  </si>
  <si>
    <t>093:05:29.99 W</t>
  </si>
  <si>
    <t>040:08:16.62 N</t>
  </si>
  <si>
    <t>093:05:32.62 W</t>
  </si>
  <si>
    <t>040:08:19.47 N</t>
  </si>
  <si>
    <t>093:05:39.88 W</t>
  </si>
  <si>
    <t>040:08:20.63 N</t>
  </si>
  <si>
    <t>093:05:42.51 W</t>
  </si>
  <si>
    <t>040:08:21.41 N</t>
  </si>
  <si>
    <t>093:05:44.75 W</t>
  </si>
  <si>
    <t>040:08:22.41 N</t>
  </si>
  <si>
    <t>093:05:47.37 W</t>
  </si>
  <si>
    <t>040:08:23.41 N</t>
  </si>
  <si>
    <t>093:05:49.77 W</t>
  </si>
  <si>
    <t>040:08:24.42 N</t>
  </si>
  <si>
    <t>093:05:52.24 W</t>
  </si>
  <si>
    <t>040:08:27.20 N</t>
  </si>
  <si>
    <t>093:05:59.27 W</t>
  </si>
  <si>
    <t>040:08:28.20 N</t>
  </si>
  <si>
    <t>093:06:01.66 W</t>
  </si>
  <si>
    <t>040:08:29.13 N</t>
  </si>
  <si>
    <t>093:06:04.06 W</t>
  </si>
  <si>
    <t>040:08:29.98 N</t>
  </si>
  <si>
    <t>093:06:06.38 W</t>
  </si>
  <si>
    <t>040:08:30.83 N</t>
  </si>
  <si>
    <t>093:06:08.46 W</t>
  </si>
  <si>
    <t>040:08:31.60 N</t>
  </si>
  <si>
    <t>093:06:10.47 W</t>
  </si>
  <si>
    <t>040:08:32.68 N</t>
  </si>
  <si>
    <t>093:06:13.33 W</t>
  </si>
  <si>
    <t>040:08:33.69 N</t>
  </si>
  <si>
    <t>093:06:15.80 W</t>
  </si>
  <si>
    <t>040:08:36.08 N</t>
  </si>
  <si>
    <t>093:06:21.44 W</t>
  </si>
  <si>
    <t>040:08:37.24 N</t>
  </si>
  <si>
    <t>093:06:24.14 W</t>
  </si>
  <si>
    <t>040:08:37.86 N</t>
  </si>
  <si>
    <t>093:06:26.15 W</t>
  </si>
  <si>
    <t>040:08:38.71 N</t>
  </si>
  <si>
    <t>093:06:27.93 W</t>
  </si>
  <si>
    <t>040:08:39.87 N</t>
  </si>
  <si>
    <t>093:06:30.71 W</t>
  </si>
  <si>
    <t>040:08:41.03 N</t>
  </si>
  <si>
    <t>093:06:33.72 W</t>
  </si>
  <si>
    <t>040:08:43.19 N</t>
  </si>
  <si>
    <t>093:06:38.59 W</t>
  </si>
  <si>
    <t>040:08:44.19 N</t>
  </si>
  <si>
    <t>093:06:41.21 W</t>
  </si>
  <si>
    <t>040:08:45.12 N</t>
  </si>
  <si>
    <t>093:06:43.61 W</t>
  </si>
  <si>
    <t>040:08:45.89 N</t>
  </si>
  <si>
    <t>093:06:45.93 W</t>
  </si>
  <si>
    <t>040:08:47.28 N</t>
  </si>
  <si>
    <t>093:06:48.86 W</t>
  </si>
  <si>
    <t>040:08:48.13 N</t>
  </si>
  <si>
    <t>093:06:51.10 W</t>
  </si>
  <si>
    <t>040:08:49.14 N</t>
  </si>
  <si>
    <t>093:06:53.50 W</t>
  </si>
  <si>
    <t>040:08:50.14 N</t>
  </si>
  <si>
    <t>093:06:56.28 W</t>
  </si>
  <si>
    <t>040:08:52.23 N</t>
  </si>
  <si>
    <t>093:07:01.68 W</t>
  </si>
  <si>
    <t>040:08:53.31 N</t>
  </si>
  <si>
    <t>093:07:04.31 W</t>
  </si>
  <si>
    <t>040:08:54.54 N</t>
  </si>
  <si>
    <t>093:07:06.94 W</t>
  </si>
  <si>
    <t>040:08:55.47 N</t>
  </si>
  <si>
    <t>093:07:09.72 W</t>
  </si>
  <si>
    <t>040:08:56.55 N</t>
  </si>
  <si>
    <t>093:07:11.96 W</t>
  </si>
  <si>
    <t>040:08:57.33 N</t>
  </si>
  <si>
    <t>093:07:14.20 W</t>
  </si>
  <si>
    <t>040:08:59.33 N</t>
  </si>
  <si>
    <t>093:07:19.14 W</t>
  </si>
  <si>
    <t>040:09:00.34 N</t>
  </si>
  <si>
    <t>093:07:21.61 W</t>
  </si>
  <si>
    <t>040:09:01.34 N</t>
  </si>
  <si>
    <t>093:07:24.09 W</t>
  </si>
  <si>
    <t>040:09:02.42 N</t>
  </si>
  <si>
    <t>093:07:26.94 W</t>
  </si>
  <si>
    <t>040:09:03.35 N</t>
  </si>
  <si>
    <t>093:07:29.03 W</t>
  </si>
  <si>
    <t>040:09:04.43 N</t>
  </si>
  <si>
    <t>093:07:31.73 W</t>
  </si>
  <si>
    <t>040:09:05.51 N</t>
  </si>
  <si>
    <t>093:07:34.67 W</t>
  </si>
  <si>
    <t>040:09:08.68 N</t>
  </si>
  <si>
    <t>093:07:42.32 W</t>
  </si>
  <si>
    <t>040:09:09.53 N</t>
  </si>
  <si>
    <t>093:07:44.56 W</t>
  </si>
  <si>
    <t>040:09:10.54 N</t>
  </si>
  <si>
    <t>093:07:46.80 W</t>
  </si>
  <si>
    <t>040:09:11.54 N</t>
  </si>
  <si>
    <t>093:07:49.27 W</t>
  </si>
  <si>
    <t>040:09:12.54 N</t>
  </si>
  <si>
    <t>093:07:51.74 W</t>
  </si>
  <si>
    <t>040:09:13.55 N</t>
  </si>
  <si>
    <t>093:07:54.21 W</t>
  </si>
  <si>
    <t>040:09:16.56 N</t>
  </si>
  <si>
    <t>093:08:01.63 W</t>
  </si>
  <si>
    <t>040:09:17.41 N</t>
  </si>
  <si>
    <t>093:08:03.87 W</t>
  </si>
  <si>
    <t>040:09:18.41 N</t>
  </si>
  <si>
    <t>093:08:06.26 W</t>
  </si>
  <si>
    <t>040:09:19.65 N</t>
  </si>
  <si>
    <t>093:08:09.04 W</t>
  </si>
  <si>
    <t>040:09:20.58 N</t>
  </si>
  <si>
    <t>093:08:11.75 W</t>
  </si>
  <si>
    <t>040:09:21.89 N</t>
  </si>
  <si>
    <t>093:08:14.61 W</t>
  </si>
  <si>
    <t>040:09:24.52 N</t>
  </si>
  <si>
    <t>093:08:21.64 W</t>
  </si>
  <si>
    <t>040:09:25.52 N</t>
  </si>
  <si>
    <t>093:08:24.03 W</t>
  </si>
  <si>
    <t>040:09:26.53 N</t>
  </si>
  <si>
    <t>093:08:26.50 W</t>
  </si>
  <si>
    <t>040:09:27.68 N</t>
  </si>
  <si>
    <t>093:08:29.28 W</t>
  </si>
  <si>
    <t>040:09:28.46 N</t>
  </si>
  <si>
    <t>093:08:31.52 W</t>
  </si>
  <si>
    <t>040:09:29.62 N</t>
  </si>
  <si>
    <t>093:08:34.38 W</t>
  </si>
  <si>
    <t>040:09:30.54 N</t>
  </si>
  <si>
    <t>093:08:36.70 W</t>
  </si>
  <si>
    <t>040:09:33.63 N</t>
  </si>
  <si>
    <t>093:08:44.27 W</t>
  </si>
  <si>
    <t>040:09:34.40 N</t>
  </si>
  <si>
    <t>093:08:46.28 W</t>
  </si>
  <si>
    <t>040:09:35.33 N</t>
  </si>
  <si>
    <t>093:08:48.60 W</t>
  </si>
  <si>
    <t>040:09:36.88 N</t>
  </si>
  <si>
    <t>093:08:52.46 W</t>
  </si>
  <si>
    <t>040:09:37.73 N</t>
  </si>
  <si>
    <t>093:08:54.47 W</t>
  </si>
  <si>
    <t>040:09:38.89 N</t>
  </si>
  <si>
    <t>093:08:57.25 W</t>
  </si>
  <si>
    <t>040:09:39.89 N</t>
  </si>
  <si>
    <t>093:08:59.64 W</t>
  </si>
  <si>
    <t>040:09:41.82 N</t>
  </si>
  <si>
    <t>093:09:04.74 W</t>
  </si>
  <si>
    <t>040:09:42.82 N</t>
  </si>
  <si>
    <t>093:09:07.13 W</t>
  </si>
  <si>
    <t>040:09:43.83 N</t>
  </si>
  <si>
    <t>093:09:09.53 W</t>
  </si>
  <si>
    <t>040:09:44.99 N</t>
  </si>
  <si>
    <t>093:09:11.92 W</t>
  </si>
  <si>
    <t>040:09:46.15 N</t>
  </si>
  <si>
    <t>093:09:15.01 W</t>
  </si>
  <si>
    <t>040:09:46.92 N</t>
  </si>
  <si>
    <t>093:09:17.33 W</t>
  </si>
  <si>
    <t>040:09:50.47 N</t>
  </si>
  <si>
    <t>093:09:25.67 W</t>
  </si>
  <si>
    <t>040:09:51.55 N</t>
  </si>
  <si>
    <t>093:09:28.45 W</t>
  </si>
  <si>
    <t>040:09:52.64 N</t>
  </si>
  <si>
    <t>093:09:31.08 W</t>
  </si>
  <si>
    <t>040:09:53.56 N</t>
  </si>
  <si>
    <t>093:09:33.24 W</t>
  </si>
  <si>
    <t>040:09:57.50 N</t>
  </si>
  <si>
    <t>093:09:43.36 W</t>
  </si>
  <si>
    <t>040:09:58.66 N</t>
  </si>
  <si>
    <t>093:09:47.77 W</t>
  </si>
  <si>
    <t>040:09:59.28 N</t>
  </si>
  <si>
    <t>093:09:50.39 W</t>
  </si>
  <si>
    <t>040:09:59.66 N</t>
  </si>
  <si>
    <t>093:09:53.10 W</t>
  </si>
  <si>
    <t>040:09:59.97 N</t>
  </si>
  <si>
    <t>093:09:55.80 W</t>
  </si>
  <si>
    <t>040:10:00.28 N</t>
  </si>
  <si>
    <t>093:10:00.74 W</t>
  </si>
  <si>
    <t>040:09:59.36 N</t>
  </si>
  <si>
    <t>093:10:09.71 W</t>
  </si>
  <si>
    <t>093:10:12.80 W</t>
  </si>
  <si>
    <t>040:09:57.81 N</t>
  </si>
  <si>
    <t>093:10:15.81 W</t>
  </si>
  <si>
    <t>040:09:56.96 N</t>
  </si>
  <si>
    <t>093:10:18.51 W</t>
  </si>
  <si>
    <t>040:09:56.11 N</t>
  </si>
  <si>
    <t>093:10:21.22 W</t>
  </si>
  <si>
    <t>040:09:55.11 N</t>
  </si>
  <si>
    <t>093:10:23.92 W</t>
  </si>
  <si>
    <t>040:09:51.79 N</t>
  </si>
  <si>
    <t>093:10:33.57 W</t>
  </si>
  <si>
    <t>040:09:50.94 N</t>
  </si>
  <si>
    <t>093:10:36.28 W</t>
  </si>
  <si>
    <t>040:09:50.32 N</t>
  </si>
  <si>
    <t>093:10:38.90 W</t>
  </si>
  <si>
    <t>040:09:49.39 N</t>
  </si>
  <si>
    <t>093:10:42.07 W</t>
  </si>
  <si>
    <t>040:09:48.77 N</t>
  </si>
  <si>
    <t>093:10:44.93 W</t>
  </si>
  <si>
    <t>040:09:48.08 N</t>
  </si>
  <si>
    <t>093:10:47.48 W</t>
  </si>
  <si>
    <t>093:10:55.67 W</t>
  </si>
  <si>
    <t>040:09:45.45 N</t>
  </si>
  <si>
    <t>093:10:58.68 W</t>
  </si>
  <si>
    <t>093:11:01.15 W</t>
  </si>
  <si>
    <t>093:11:05.79 W</t>
  </si>
  <si>
    <t>040:09:43.13 N</t>
  </si>
  <si>
    <t>093:11:08.65 W</t>
  </si>
  <si>
    <t>040:09:42.75 N</t>
  </si>
  <si>
    <t>093:11:11.04 W</t>
  </si>
  <si>
    <t>040:09:40.66 N</t>
  </si>
  <si>
    <t>093:11:20.46 W</t>
  </si>
  <si>
    <t>040:09:39.73 N</t>
  </si>
  <si>
    <t>093:11:25.02 W</t>
  </si>
  <si>
    <t>040:09:39.04 N</t>
  </si>
  <si>
    <t>093:11:27.73 W</t>
  </si>
  <si>
    <t>040:09:38.19 N</t>
  </si>
  <si>
    <t>093:11:32.44 W</t>
  </si>
  <si>
    <t>040:09:35.41 N</t>
  </si>
  <si>
    <t>093:11:45.11 W</t>
  </si>
  <si>
    <t>040:09:34.56 N</t>
  </si>
  <si>
    <t>093:11:49.51 W</t>
  </si>
  <si>
    <t>040:09:34.02 N</t>
  </si>
  <si>
    <t>093:11:52.44 W</t>
  </si>
  <si>
    <t>040:09:33.40 N</t>
  </si>
  <si>
    <t>093:11:54.99 W</t>
  </si>
  <si>
    <t>040:09:32.71 N</t>
  </si>
  <si>
    <t>093:11:58.70 W</t>
  </si>
  <si>
    <t>040:09:32.09 N</t>
  </si>
  <si>
    <t>093:12:01.79 W</t>
  </si>
  <si>
    <t>040:09:30.77 N</t>
  </si>
  <si>
    <t>093:12:07.51 W</t>
  </si>
  <si>
    <t>040:09:30.16 N</t>
  </si>
  <si>
    <t>093:12:10.60 W</t>
  </si>
  <si>
    <t>040:09:29.69 N</t>
  </si>
  <si>
    <t>093:12:13.53 W</t>
  </si>
  <si>
    <t>040:09:28.84 N</t>
  </si>
  <si>
    <t>093:12:17.86 W</t>
  </si>
  <si>
    <t>040:09:27.84 N</t>
  </si>
  <si>
    <t>093:12:22.49 W</t>
  </si>
  <si>
    <t>040:09:25.83 N</t>
  </si>
  <si>
    <t>093:12:32.15 W</t>
  </si>
  <si>
    <t>040:09:25.21 N</t>
  </si>
  <si>
    <t>093:12:35.16 W</t>
  </si>
  <si>
    <t>040:09:24.67 N</t>
  </si>
  <si>
    <t>093:12:38.02 W</t>
  </si>
  <si>
    <t>040:09:24.21 N</t>
  </si>
  <si>
    <t>093:12:40.26 W</t>
  </si>
  <si>
    <t>040:09:23.67 N</t>
  </si>
  <si>
    <t>093:12:42.96 W</t>
  </si>
  <si>
    <t>040:09:23.20 N</t>
  </si>
  <si>
    <t>093:12:45.51 W</t>
  </si>
  <si>
    <t>040:09:21.97 N</t>
  </si>
  <si>
    <t>093:12:51.08 W</t>
  </si>
  <si>
    <t>040:09:21.58 N</t>
  </si>
  <si>
    <t>093:12:53.62 W</t>
  </si>
  <si>
    <t>040:09:20.65 N</t>
  </si>
  <si>
    <t>093:12:58.03 W</t>
  </si>
  <si>
    <t>040:09:19.88 N</t>
  </si>
  <si>
    <t>093:13:01.35 W</t>
  </si>
  <si>
    <t>040:09:19.42 N</t>
  </si>
  <si>
    <t>093:13:04.21 W</t>
  </si>
  <si>
    <t>040:09:18.96 N</t>
  </si>
  <si>
    <t>093:13:06.83 W</t>
  </si>
  <si>
    <t>040:09:18.26 N</t>
  </si>
  <si>
    <t>093:13:09.46 W</t>
  </si>
  <si>
    <t>093:13:18.73 W</t>
  </si>
  <si>
    <t>040:09:15.94 N</t>
  </si>
  <si>
    <t>093:13:21.67 W</t>
  </si>
  <si>
    <t>040:09:14.94 N</t>
  </si>
  <si>
    <t>093:13:26.15 W</t>
  </si>
  <si>
    <t>040:09:14.47 N</t>
  </si>
  <si>
    <t>093:13:29.00 W</t>
  </si>
  <si>
    <t>040:09:13.39 N</t>
  </si>
  <si>
    <t>093:13:34.03 W</t>
  </si>
  <si>
    <t>040:09:12.00 N</t>
  </si>
  <si>
    <t>093:13:41.36 W</t>
  </si>
  <si>
    <t>040:09:09.92 N</t>
  </si>
  <si>
    <t>093:13:49.71 W</t>
  </si>
  <si>
    <t>040:09:09.07 N</t>
  </si>
  <si>
    <t>093:13:52.64 W</t>
  </si>
  <si>
    <t>040:09:08.37 N</t>
  </si>
  <si>
    <t>093:13:55.19 W</t>
  </si>
  <si>
    <t>040:09:07.52 N</t>
  </si>
  <si>
    <t>093:13:58.05 W</t>
  </si>
  <si>
    <t>040:09:06.60 N</t>
  </si>
  <si>
    <t>093:14:00.68 W</t>
  </si>
  <si>
    <t>040:09:05.75 N</t>
  </si>
  <si>
    <t>093:14:03.53 W</t>
  </si>
  <si>
    <t>040:09:04.12 N</t>
  </si>
  <si>
    <t>093:14:09.25 W</t>
  </si>
  <si>
    <t>040:09:03.20 N</t>
  </si>
  <si>
    <t>093:14:12.19 W</t>
  </si>
  <si>
    <t>040:09:02.04 N</t>
  </si>
  <si>
    <t>093:14:16.05 W</t>
  </si>
  <si>
    <t>093:14:18.91 W</t>
  </si>
  <si>
    <t>040:09:00.03 N</t>
  </si>
  <si>
    <t>093:14:23.23 W</t>
  </si>
  <si>
    <t>093:14:25.70 W</t>
  </si>
  <si>
    <t>040:08:57.48 N</t>
  </si>
  <si>
    <t>093:14:34.28 W</t>
  </si>
  <si>
    <t>040:08:57.02 N</t>
  </si>
  <si>
    <t>093:14:36.90 W</t>
  </si>
  <si>
    <t>040:08:56.32 N</t>
  </si>
  <si>
    <t>093:14:39.99 W</t>
  </si>
  <si>
    <t>040:08:55.78 N</t>
  </si>
  <si>
    <t>093:14:42.78 W</t>
  </si>
  <si>
    <t>040:08:55.39 N</t>
  </si>
  <si>
    <t>093:14:45.94 W</t>
  </si>
  <si>
    <t>040:08:54.78 N</t>
  </si>
  <si>
    <t>093:14:48.41 W</t>
  </si>
  <si>
    <t>040:08:54.00 N</t>
  </si>
  <si>
    <t>093:14:55.60 W</t>
  </si>
  <si>
    <t>040:08:53.70 N</t>
  </si>
  <si>
    <t>093:14:58.23 W</t>
  </si>
  <si>
    <t>040:08:53.46 N</t>
  </si>
  <si>
    <t>093:15:00.77 W</t>
  </si>
  <si>
    <t>093:15:03.25 W</t>
  </si>
  <si>
    <t>040:08:53.08 N</t>
  </si>
  <si>
    <t>093:15:06.34 W</t>
  </si>
  <si>
    <t>040:08:52.92 N</t>
  </si>
  <si>
    <t>093:15:09.43 W</t>
  </si>
  <si>
    <t>040:08:52.77 N</t>
  </si>
  <si>
    <t>093:15:11.98 W</t>
  </si>
  <si>
    <t>093:15:21.79 W</t>
  </si>
  <si>
    <t>093:15:24.18 W</t>
  </si>
  <si>
    <t>040:08:53.15 N</t>
  </si>
  <si>
    <t>093:15:27.50 W</t>
  </si>
  <si>
    <t>040:08:45.28 N</t>
  </si>
  <si>
    <t>093:16:24.82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</si>
</sst>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4610"/>
  <sheetViews>
    <sheetView tabSelected="1" workbookViewId="0"/>
  </sheetViews>
  <sheetFormatPr defaultRowHeight="14.4" x14ac:dyDescent="0.3"/>
  <sheetData>
    <row r="1" spans="1:1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3">
      <c r="A2" t="str">
        <f>"02/08/2021 20:10:28.548"</f>
        <v>02/08/2021 20:10:28.548</v>
      </c>
      <c r="C2" t="str">
        <f>"FFDFD3C0"</f>
        <v>FFDFD3C0</v>
      </c>
      <c r="D2" t="s">
        <v>113</v>
      </c>
      <c r="E2">
        <v>6</v>
      </c>
      <c r="H2">
        <v>165</v>
      </c>
      <c r="I2" t="s">
        <v>114</v>
      </c>
      <c r="J2" t="s">
        <v>115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"20:10:30.570"</f>
        <v>20:10:30.570</v>
      </c>
      <c r="T2" t="str">
        <f>"20:10:28.070"</f>
        <v>20:10:28.070</v>
      </c>
      <c r="U2" t="str">
        <f t="shared" ref="U2:U65" si="0">"AB01F4"</f>
        <v>AB01F4</v>
      </c>
      <c r="V2">
        <v>0</v>
      </c>
      <c r="W2">
        <v>0</v>
      </c>
      <c r="X2">
        <v>1</v>
      </c>
      <c r="Z2">
        <v>0</v>
      </c>
      <c r="AA2">
        <v>9</v>
      </c>
      <c r="AB2">
        <v>3</v>
      </c>
      <c r="AC2">
        <v>0</v>
      </c>
      <c r="AD2">
        <v>10</v>
      </c>
      <c r="AE2">
        <v>0</v>
      </c>
      <c r="AF2">
        <v>0</v>
      </c>
      <c r="AH2">
        <v>0</v>
      </c>
      <c r="AI2" t="s">
        <v>116</v>
      </c>
      <c r="AJ2">
        <v>39.473469000000001</v>
      </c>
      <c r="AK2" t="s">
        <v>117</v>
      </c>
      <c r="AL2">
        <v>-92.418902000000003</v>
      </c>
      <c r="AM2">
        <v>100</v>
      </c>
      <c r="AN2">
        <v>1100</v>
      </c>
      <c r="AO2" t="s">
        <v>118</v>
      </c>
      <c r="AP2">
        <v>14</v>
      </c>
      <c r="AQ2">
        <v>77</v>
      </c>
      <c r="AR2">
        <v>832</v>
      </c>
      <c r="AZ2">
        <v>1200</v>
      </c>
      <c r="BA2">
        <v>0</v>
      </c>
      <c r="BB2" t="str">
        <f>"N8080G  "</f>
        <v xml:space="preserve">N8080G  </v>
      </c>
      <c r="BC2">
        <v>1</v>
      </c>
      <c r="BE2">
        <v>0</v>
      </c>
      <c r="BF2">
        <v>0</v>
      </c>
      <c r="BG2">
        <v>0</v>
      </c>
      <c r="BH2">
        <v>1175</v>
      </c>
      <c r="BI2">
        <v>1</v>
      </c>
      <c r="BJ2">
        <v>1</v>
      </c>
      <c r="BK2">
        <v>1</v>
      </c>
      <c r="BL2">
        <v>0</v>
      </c>
      <c r="BO2">
        <v>0</v>
      </c>
      <c r="BP2">
        <v>0</v>
      </c>
      <c r="BW2" t="str">
        <f>"20:10:30.572"</f>
        <v>20:10:30.572</v>
      </c>
      <c r="CJ2">
        <v>0</v>
      </c>
      <c r="CK2">
        <v>2</v>
      </c>
      <c r="CL2">
        <v>0</v>
      </c>
      <c r="CM2">
        <v>2</v>
      </c>
      <c r="CN2">
        <v>0</v>
      </c>
      <c r="CO2">
        <v>2</v>
      </c>
      <c r="CP2" t="s">
        <v>119</v>
      </c>
      <c r="CQ2">
        <v>559</v>
      </c>
      <c r="CR2">
        <v>0</v>
      </c>
      <c r="CW2">
        <v>10377293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1</v>
      </c>
      <c r="DG2">
        <v>0</v>
      </c>
      <c r="DH2">
        <v>0</v>
      </c>
      <c r="DI2">
        <v>1</v>
      </c>
    </row>
    <row r="3" spans="1:113" x14ac:dyDescent="0.3">
      <c r="A3" t="str">
        <f>"02/08/2021 20:10:29.610"</f>
        <v>02/08/2021 20:10:29.610</v>
      </c>
      <c r="C3" t="str">
        <f>"FFDFD3C0"</f>
        <v>FFDFD3C0</v>
      </c>
      <c r="D3" t="s">
        <v>113</v>
      </c>
      <c r="E3">
        <v>6</v>
      </c>
      <c r="H3">
        <v>165</v>
      </c>
      <c r="I3" t="s">
        <v>114</v>
      </c>
      <c r="J3" t="s">
        <v>115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"20:10:31.641"</f>
        <v>20:10:31.641</v>
      </c>
      <c r="T3" t="str">
        <f>"20:10:28.041"</f>
        <v>20:10:28.041</v>
      </c>
      <c r="U3" t="str">
        <f t="shared" si="0"/>
        <v>AB01F4</v>
      </c>
      <c r="V3">
        <v>0</v>
      </c>
      <c r="W3">
        <v>0</v>
      </c>
      <c r="X3">
        <v>1</v>
      </c>
      <c r="Z3">
        <v>0</v>
      </c>
      <c r="AA3">
        <v>9</v>
      </c>
      <c r="AB3">
        <v>3</v>
      </c>
      <c r="AC3">
        <v>0</v>
      </c>
      <c r="AD3">
        <v>10</v>
      </c>
      <c r="AE3">
        <v>0</v>
      </c>
      <c r="AF3">
        <v>0</v>
      </c>
      <c r="AH3">
        <v>0</v>
      </c>
      <c r="AI3" t="s">
        <v>120</v>
      </c>
      <c r="AJ3">
        <v>39.473877000000002</v>
      </c>
      <c r="AK3" t="s">
        <v>121</v>
      </c>
      <c r="AL3">
        <v>-92.418816000000007</v>
      </c>
      <c r="AM3">
        <v>100</v>
      </c>
      <c r="AN3">
        <v>1100</v>
      </c>
      <c r="AO3" t="s">
        <v>118</v>
      </c>
      <c r="AP3">
        <v>14</v>
      </c>
      <c r="AQ3">
        <v>77</v>
      </c>
      <c r="AR3">
        <v>832</v>
      </c>
      <c r="AZ3">
        <v>1200</v>
      </c>
      <c r="BA3">
        <v>0</v>
      </c>
      <c r="BB3" t="str">
        <f>"N8080G  "</f>
        <v xml:space="preserve">N8080G  </v>
      </c>
      <c r="BC3">
        <v>1</v>
      </c>
      <c r="BE3">
        <v>0</v>
      </c>
      <c r="BF3">
        <v>0</v>
      </c>
      <c r="BG3">
        <v>0</v>
      </c>
      <c r="BH3">
        <v>1175</v>
      </c>
      <c r="BI3">
        <v>1</v>
      </c>
      <c r="BJ3">
        <v>1</v>
      </c>
      <c r="BK3">
        <v>1</v>
      </c>
      <c r="BL3">
        <v>0</v>
      </c>
      <c r="BO3">
        <v>0</v>
      </c>
      <c r="BP3">
        <v>0</v>
      </c>
      <c r="BW3" t="str">
        <f>"20:10:31.643"</f>
        <v>20:10:31.643</v>
      </c>
      <c r="CJ3">
        <v>0</v>
      </c>
      <c r="CK3">
        <v>2</v>
      </c>
      <c r="CL3">
        <v>0</v>
      </c>
      <c r="CM3">
        <v>2</v>
      </c>
      <c r="CN3">
        <v>0</v>
      </c>
      <c r="CO3">
        <v>2</v>
      </c>
      <c r="CP3" t="s">
        <v>119</v>
      </c>
      <c r="CQ3">
        <v>559</v>
      </c>
      <c r="CR3">
        <v>0</v>
      </c>
      <c r="CW3">
        <v>10377462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1</v>
      </c>
      <c r="DG3">
        <v>0</v>
      </c>
      <c r="DH3">
        <v>0</v>
      </c>
      <c r="DI3">
        <v>1</v>
      </c>
    </row>
    <row r="4" spans="1:113" x14ac:dyDescent="0.3">
      <c r="A4" t="str">
        <f>"02/08/2021 20:10:35.681"</f>
        <v>02/08/2021 20:10:35.681</v>
      </c>
      <c r="C4" t="str">
        <f>"FFD3D3C0"</f>
        <v>FFD3D3C0</v>
      </c>
      <c r="D4" t="s">
        <v>113</v>
      </c>
      <c r="E4">
        <v>6</v>
      </c>
      <c r="H4">
        <v>165</v>
      </c>
      <c r="I4" t="s">
        <v>114</v>
      </c>
      <c r="J4" t="s">
        <v>115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"20:10:37.945"</f>
        <v>20:10:37.945</v>
      </c>
      <c r="T4" t="str">
        <f>"20:10:37.045"</f>
        <v>20:10:37.045</v>
      </c>
      <c r="U4" t="str">
        <f t="shared" si="0"/>
        <v>AB01F4</v>
      </c>
      <c r="V4">
        <v>0</v>
      </c>
      <c r="W4">
        <v>0</v>
      </c>
      <c r="X4">
        <v>1</v>
      </c>
      <c r="Z4">
        <v>0</v>
      </c>
      <c r="AA4">
        <v>9</v>
      </c>
      <c r="AB4">
        <v>3</v>
      </c>
      <c r="AC4">
        <v>0</v>
      </c>
      <c r="AD4">
        <v>10</v>
      </c>
      <c r="AE4">
        <v>0</v>
      </c>
      <c r="AF4">
        <v>0</v>
      </c>
      <c r="AG4">
        <v>2</v>
      </c>
      <c r="AH4">
        <v>0</v>
      </c>
      <c r="AI4" t="s">
        <v>122</v>
      </c>
      <c r="AJ4">
        <v>39.476301999999997</v>
      </c>
      <c r="AK4" t="s">
        <v>123</v>
      </c>
      <c r="AL4">
        <v>-92.418965999999998</v>
      </c>
      <c r="AM4">
        <v>100</v>
      </c>
      <c r="AN4">
        <v>1200</v>
      </c>
      <c r="AO4" t="s">
        <v>118</v>
      </c>
      <c r="AP4">
        <v>-7</v>
      </c>
      <c r="AQ4">
        <v>85</v>
      </c>
      <c r="AR4">
        <v>640</v>
      </c>
      <c r="AZ4">
        <v>1200</v>
      </c>
      <c r="BA4">
        <v>1</v>
      </c>
      <c r="BE4">
        <v>0</v>
      </c>
      <c r="BF4">
        <v>0</v>
      </c>
      <c r="BG4">
        <v>0</v>
      </c>
      <c r="BH4">
        <v>1250</v>
      </c>
      <c r="BI4">
        <v>1</v>
      </c>
      <c r="BJ4">
        <v>1</v>
      </c>
      <c r="BK4">
        <v>1</v>
      </c>
      <c r="BL4">
        <v>0</v>
      </c>
      <c r="BO4">
        <v>0</v>
      </c>
      <c r="BP4">
        <v>0</v>
      </c>
      <c r="BW4" t="str">
        <f>"20:10:37.953"</f>
        <v>20:10:37.953</v>
      </c>
      <c r="CJ4">
        <v>0</v>
      </c>
      <c r="CK4">
        <v>2</v>
      </c>
      <c r="CL4">
        <v>0</v>
      </c>
      <c r="CM4">
        <v>2</v>
      </c>
      <c r="CN4">
        <v>0</v>
      </c>
      <c r="CO4">
        <v>2</v>
      </c>
      <c r="CP4" t="s">
        <v>119</v>
      </c>
      <c r="CQ4">
        <v>180</v>
      </c>
      <c r="CR4">
        <v>2</v>
      </c>
      <c r="CW4">
        <v>7703069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1</v>
      </c>
      <c r="DG4">
        <v>0</v>
      </c>
      <c r="DH4">
        <v>0</v>
      </c>
      <c r="DI4">
        <v>1</v>
      </c>
    </row>
    <row r="5" spans="1:113" x14ac:dyDescent="0.3">
      <c r="A5" t="str">
        <f>"02/08/2021 20:10:36.177"</f>
        <v>02/08/2021 20:10:36.177</v>
      </c>
      <c r="C5" t="str">
        <f>"FFDFD3C0"</f>
        <v>FFDFD3C0</v>
      </c>
      <c r="D5" t="s">
        <v>124</v>
      </c>
      <c r="E5">
        <v>13</v>
      </c>
      <c r="F5">
        <v>1013</v>
      </c>
      <c r="G5" t="s">
        <v>114</v>
      </c>
      <c r="J5" t="s">
        <v>125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"20:10:38.445"</f>
        <v>20:10:38.445</v>
      </c>
      <c r="T5" t="str">
        <f>"20:10:37.045"</f>
        <v>20:10:37.045</v>
      </c>
      <c r="U5" t="str">
        <f t="shared" si="0"/>
        <v>AB01F4</v>
      </c>
      <c r="V5">
        <v>0</v>
      </c>
      <c r="W5">
        <v>0</v>
      </c>
      <c r="X5">
        <v>1</v>
      </c>
      <c r="Z5">
        <v>0</v>
      </c>
      <c r="AA5">
        <v>9</v>
      </c>
      <c r="AB5">
        <v>3</v>
      </c>
      <c r="AC5">
        <v>0</v>
      </c>
      <c r="AD5">
        <v>10</v>
      </c>
      <c r="AE5">
        <v>0</v>
      </c>
      <c r="AF5">
        <v>0</v>
      </c>
      <c r="AG5">
        <v>2</v>
      </c>
      <c r="AH5">
        <v>0</v>
      </c>
      <c r="AI5" t="s">
        <v>126</v>
      </c>
      <c r="AJ5">
        <v>39.476472999999999</v>
      </c>
      <c r="AK5" t="s">
        <v>127</v>
      </c>
      <c r="AL5">
        <v>-92.418944999999994</v>
      </c>
      <c r="AM5">
        <v>100</v>
      </c>
      <c r="AN5">
        <v>1200</v>
      </c>
      <c r="AO5" t="s">
        <v>118</v>
      </c>
      <c r="AP5">
        <v>-7</v>
      </c>
      <c r="AQ5">
        <v>85</v>
      </c>
      <c r="AR5">
        <v>640</v>
      </c>
      <c r="AZ5">
        <v>1200</v>
      </c>
      <c r="BA5">
        <v>1</v>
      </c>
      <c r="BB5" t="str">
        <f>"N8080G  "</f>
        <v xml:space="preserve">N8080G  </v>
      </c>
      <c r="BC5">
        <v>1</v>
      </c>
      <c r="BE5">
        <v>0</v>
      </c>
      <c r="BF5">
        <v>0</v>
      </c>
      <c r="BG5">
        <v>0</v>
      </c>
      <c r="BH5">
        <v>1250</v>
      </c>
      <c r="BI5">
        <v>1</v>
      </c>
      <c r="BJ5">
        <v>1</v>
      </c>
      <c r="BK5">
        <v>1</v>
      </c>
      <c r="BL5">
        <v>0</v>
      </c>
      <c r="BO5">
        <v>0</v>
      </c>
      <c r="BP5">
        <v>0</v>
      </c>
      <c r="BW5" t="str">
        <f>"20:10:38.449"</f>
        <v>20:10:38.449</v>
      </c>
      <c r="CJ5">
        <v>0</v>
      </c>
      <c r="CK5">
        <v>2</v>
      </c>
      <c r="CL5">
        <v>0</v>
      </c>
      <c r="CM5">
        <v>2</v>
      </c>
      <c r="CN5">
        <v>0</v>
      </c>
      <c r="CO5">
        <v>2</v>
      </c>
      <c r="CP5" t="s">
        <v>119</v>
      </c>
      <c r="CQ5">
        <v>559</v>
      </c>
      <c r="CR5">
        <v>0</v>
      </c>
      <c r="CW5">
        <v>10378543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</row>
    <row r="6" spans="1:113" x14ac:dyDescent="0.3">
      <c r="A6" t="str">
        <f>"02/08/2021 20:10:36.591"</f>
        <v>02/08/2021 20:10:36.591</v>
      </c>
      <c r="C6" t="str">
        <f>"FFD3D3C0"</f>
        <v>FFD3D3C0</v>
      </c>
      <c r="D6" t="s">
        <v>113</v>
      </c>
      <c r="E6">
        <v>6</v>
      </c>
      <c r="H6">
        <v>165</v>
      </c>
      <c r="I6" t="s">
        <v>114</v>
      </c>
      <c r="J6" t="s">
        <v>115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"20:10:38.898"</f>
        <v>20:10:38.898</v>
      </c>
      <c r="T6" t="str">
        <f>"20:10:37.998"</f>
        <v>20:10:37.998</v>
      </c>
      <c r="U6" t="str">
        <f t="shared" si="0"/>
        <v>AB01F4</v>
      </c>
      <c r="V6">
        <v>0</v>
      </c>
      <c r="W6">
        <v>0</v>
      </c>
      <c r="X6">
        <v>1</v>
      </c>
      <c r="Z6">
        <v>0</v>
      </c>
      <c r="AA6">
        <v>9</v>
      </c>
      <c r="AB6">
        <v>3</v>
      </c>
      <c r="AC6">
        <v>0</v>
      </c>
      <c r="AD6">
        <v>10</v>
      </c>
      <c r="AE6">
        <v>0</v>
      </c>
      <c r="AF6">
        <v>0</v>
      </c>
      <c r="AG6">
        <v>2</v>
      </c>
      <c r="AH6">
        <v>0</v>
      </c>
      <c r="AI6" t="s">
        <v>128</v>
      </c>
      <c r="AJ6">
        <v>39.476709</v>
      </c>
      <c r="AK6" t="s">
        <v>129</v>
      </c>
      <c r="AL6">
        <v>-92.419031000000004</v>
      </c>
      <c r="AM6">
        <v>100</v>
      </c>
      <c r="AN6">
        <v>1200</v>
      </c>
      <c r="AO6" t="s">
        <v>118</v>
      </c>
      <c r="AP6">
        <v>-9</v>
      </c>
      <c r="AQ6">
        <v>86</v>
      </c>
      <c r="AR6">
        <v>640</v>
      </c>
      <c r="AZ6">
        <v>1200</v>
      </c>
      <c r="BA6">
        <v>1</v>
      </c>
      <c r="BE6">
        <v>0</v>
      </c>
      <c r="BF6">
        <v>0</v>
      </c>
      <c r="BG6">
        <v>0</v>
      </c>
      <c r="BH6">
        <v>1275</v>
      </c>
      <c r="BI6">
        <v>1</v>
      </c>
      <c r="BJ6">
        <v>1</v>
      </c>
      <c r="BK6">
        <v>1</v>
      </c>
      <c r="BL6">
        <v>0</v>
      </c>
      <c r="BO6">
        <v>0</v>
      </c>
      <c r="BP6">
        <v>0</v>
      </c>
      <c r="BW6" t="str">
        <f>"20:10:38.905"</f>
        <v>20:10:38.905</v>
      </c>
      <c r="CJ6">
        <v>0</v>
      </c>
      <c r="CK6">
        <v>2</v>
      </c>
      <c r="CL6">
        <v>0</v>
      </c>
      <c r="CM6">
        <v>2</v>
      </c>
      <c r="CN6">
        <v>0</v>
      </c>
      <c r="CO6">
        <v>2</v>
      </c>
      <c r="CP6" t="s">
        <v>119</v>
      </c>
      <c r="CQ6">
        <v>180</v>
      </c>
      <c r="CR6">
        <v>2</v>
      </c>
      <c r="CW6">
        <v>7703852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1</v>
      </c>
      <c r="DG6">
        <v>0</v>
      </c>
      <c r="DH6">
        <v>0</v>
      </c>
      <c r="DI6">
        <v>1</v>
      </c>
    </row>
    <row r="7" spans="1:113" x14ac:dyDescent="0.3">
      <c r="A7" t="str">
        <f>"02/08/2021 20:10:37.029"</f>
        <v>02/08/2021 20:10:37.029</v>
      </c>
      <c r="C7" t="str">
        <f>"FFDFD3C0"</f>
        <v>FFDFD3C0</v>
      </c>
      <c r="D7" t="s">
        <v>124</v>
      </c>
      <c r="E7">
        <v>13</v>
      </c>
      <c r="F7">
        <v>1013</v>
      </c>
      <c r="G7" t="s">
        <v>114</v>
      </c>
      <c r="J7" t="s">
        <v>125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"20:10:39.328"</f>
        <v>20:10:39.328</v>
      </c>
      <c r="T7" t="str">
        <f>"20:10:38.928"</f>
        <v>20:10:38.928</v>
      </c>
      <c r="U7" t="str">
        <f t="shared" si="0"/>
        <v>AB01F4</v>
      </c>
      <c r="V7">
        <v>0</v>
      </c>
      <c r="W7">
        <v>0</v>
      </c>
      <c r="X7">
        <v>1</v>
      </c>
      <c r="Z7">
        <v>0</v>
      </c>
      <c r="AA7">
        <v>9</v>
      </c>
      <c r="AB7">
        <v>3</v>
      </c>
      <c r="AC7">
        <v>0</v>
      </c>
      <c r="AD7">
        <v>10</v>
      </c>
      <c r="AE7">
        <v>0</v>
      </c>
      <c r="AF7">
        <v>0</v>
      </c>
      <c r="AG7">
        <v>2</v>
      </c>
      <c r="AH7">
        <v>0</v>
      </c>
      <c r="AI7" t="s">
        <v>130</v>
      </c>
      <c r="AJ7">
        <v>39.476860000000002</v>
      </c>
      <c r="AK7" t="s">
        <v>129</v>
      </c>
      <c r="AL7">
        <v>-92.419031000000004</v>
      </c>
      <c r="AM7">
        <v>100</v>
      </c>
      <c r="AN7">
        <v>1200</v>
      </c>
      <c r="AO7" t="s">
        <v>118</v>
      </c>
      <c r="AP7">
        <v>-11</v>
      </c>
      <c r="AQ7">
        <v>87</v>
      </c>
      <c r="AR7">
        <v>576</v>
      </c>
      <c r="AZ7">
        <v>1200</v>
      </c>
      <c r="BA7">
        <v>1</v>
      </c>
      <c r="BB7" t="str">
        <f>"N8080G  "</f>
        <v xml:space="preserve">N8080G  </v>
      </c>
      <c r="BC7">
        <v>1</v>
      </c>
      <c r="BE7">
        <v>0</v>
      </c>
      <c r="BF7">
        <v>0</v>
      </c>
      <c r="BG7">
        <v>0</v>
      </c>
      <c r="BH7">
        <v>1275</v>
      </c>
      <c r="BI7">
        <v>1</v>
      </c>
      <c r="BJ7">
        <v>1</v>
      </c>
      <c r="BK7">
        <v>1</v>
      </c>
      <c r="BL7">
        <v>0</v>
      </c>
      <c r="BO7">
        <v>0</v>
      </c>
      <c r="BP7">
        <v>0</v>
      </c>
      <c r="BW7" t="str">
        <f>"20:10:39.329"</f>
        <v>20:10:39.329</v>
      </c>
      <c r="CJ7">
        <v>0</v>
      </c>
      <c r="CK7">
        <v>2</v>
      </c>
      <c r="CL7">
        <v>0</v>
      </c>
      <c r="CM7">
        <v>2</v>
      </c>
      <c r="CN7">
        <v>0</v>
      </c>
      <c r="CO7">
        <v>2</v>
      </c>
      <c r="CP7" t="s">
        <v>119</v>
      </c>
      <c r="CQ7">
        <v>559</v>
      </c>
      <c r="CR7">
        <v>0</v>
      </c>
      <c r="CW7">
        <v>10378664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</row>
    <row r="8" spans="1:113" x14ac:dyDescent="0.3">
      <c r="A8" t="str">
        <f>"02/08/2021 20:10:37.451"</f>
        <v>02/08/2021 20:10:37.451</v>
      </c>
      <c r="C8" t="str">
        <f t="shared" ref="C8:C14" si="1">"FFD3D3C0"</f>
        <v>FFD3D3C0</v>
      </c>
      <c r="D8" t="s">
        <v>113</v>
      </c>
      <c r="E8">
        <v>6</v>
      </c>
      <c r="H8">
        <v>165</v>
      </c>
      <c r="I8" t="s">
        <v>114</v>
      </c>
      <c r="J8" t="s">
        <v>115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"20:10:39.781"</f>
        <v>20:10:39.781</v>
      </c>
      <c r="T8" t="str">
        <f>"20:10:39.381"</f>
        <v>20:10:39.381</v>
      </c>
      <c r="U8" t="str">
        <f t="shared" si="0"/>
        <v>AB01F4</v>
      </c>
      <c r="V8">
        <v>0</v>
      </c>
      <c r="W8">
        <v>0</v>
      </c>
      <c r="X8">
        <v>1</v>
      </c>
      <c r="Z8">
        <v>0</v>
      </c>
      <c r="AA8">
        <v>9</v>
      </c>
      <c r="AB8">
        <v>3</v>
      </c>
      <c r="AC8">
        <v>0</v>
      </c>
      <c r="AD8">
        <v>10</v>
      </c>
      <c r="AE8">
        <v>0</v>
      </c>
      <c r="AF8">
        <v>0</v>
      </c>
      <c r="AG8">
        <v>2</v>
      </c>
      <c r="AH8">
        <v>0</v>
      </c>
      <c r="AI8" t="s">
        <v>131</v>
      </c>
      <c r="AJ8">
        <v>39.477030999999997</v>
      </c>
      <c r="AK8" t="s">
        <v>132</v>
      </c>
      <c r="AL8">
        <v>-92.419073999999995</v>
      </c>
      <c r="AM8">
        <v>100</v>
      </c>
      <c r="AN8">
        <v>1200</v>
      </c>
      <c r="AO8" t="s">
        <v>118</v>
      </c>
      <c r="AP8">
        <v>-12</v>
      </c>
      <c r="AQ8">
        <v>87</v>
      </c>
      <c r="AR8">
        <v>576</v>
      </c>
      <c r="AZ8">
        <v>1200</v>
      </c>
      <c r="BA8">
        <v>1</v>
      </c>
      <c r="BE8">
        <v>0</v>
      </c>
      <c r="BF8">
        <v>0</v>
      </c>
      <c r="BG8">
        <v>0</v>
      </c>
      <c r="BH8">
        <v>1275</v>
      </c>
      <c r="BI8">
        <v>1</v>
      </c>
      <c r="BJ8">
        <v>1</v>
      </c>
      <c r="BK8">
        <v>1</v>
      </c>
      <c r="BL8">
        <v>0</v>
      </c>
      <c r="BO8">
        <v>0</v>
      </c>
      <c r="BP8">
        <v>0</v>
      </c>
      <c r="BW8" t="str">
        <f>"20:10:39.785"</f>
        <v>20:10:39.785</v>
      </c>
      <c r="CJ8">
        <v>0</v>
      </c>
      <c r="CK8">
        <v>2</v>
      </c>
      <c r="CL8">
        <v>0</v>
      </c>
      <c r="CM8">
        <v>2</v>
      </c>
      <c r="CN8">
        <v>0</v>
      </c>
      <c r="CO8">
        <v>2</v>
      </c>
      <c r="CP8" t="s">
        <v>119</v>
      </c>
      <c r="CQ8">
        <v>180</v>
      </c>
      <c r="CR8">
        <v>2</v>
      </c>
      <c r="CW8">
        <v>7704550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1</v>
      </c>
      <c r="DG8">
        <v>0</v>
      </c>
      <c r="DH8">
        <v>0</v>
      </c>
      <c r="DI8">
        <v>1</v>
      </c>
    </row>
    <row r="9" spans="1:113" x14ac:dyDescent="0.3">
      <c r="A9" t="str">
        <f>"02/08/2021 20:10:38.839"</f>
        <v>02/08/2021 20:10:38.839</v>
      </c>
      <c r="C9" t="str">
        <f t="shared" si="1"/>
        <v>FFD3D3C0</v>
      </c>
      <c r="D9" t="s">
        <v>124</v>
      </c>
      <c r="E9">
        <v>13</v>
      </c>
      <c r="F9">
        <v>1013</v>
      </c>
      <c r="G9" t="s">
        <v>114</v>
      </c>
      <c r="J9" t="s">
        <v>125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"20:10:40.875"</f>
        <v>20:10:40.875</v>
      </c>
      <c r="T9" t="str">
        <f>"20:10:40.375"</f>
        <v>20:10:40.375</v>
      </c>
      <c r="U9" t="str">
        <f t="shared" si="0"/>
        <v>AB01F4</v>
      </c>
      <c r="V9">
        <v>0</v>
      </c>
      <c r="W9">
        <v>0</v>
      </c>
      <c r="X9">
        <v>1</v>
      </c>
      <c r="Z9">
        <v>0</v>
      </c>
      <c r="AA9">
        <v>9</v>
      </c>
      <c r="AB9">
        <v>3</v>
      </c>
      <c r="AC9">
        <v>0</v>
      </c>
      <c r="AD9">
        <v>10</v>
      </c>
      <c r="AE9">
        <v>0</v>
      </c>
      <c r="AF9">
        <v>0</v>
      </c>
      <c r="AG9">
        <v>2</v>
      </c>
      <c r="AH9">
        <v>0</v>
      </c>
      <c r="AI9" t="s">
        <v>133</v>
      </c>
      <c r="AJ9">
        <v>39.477460000000001</v>
      </c>
      <c r="AK9" t="s">
        <v>134</v>
      </c>
      <c r="AL9">
        <v>-92.419138000000004</v>
      </c>
      <c r="AM9">
        <v>100</v>
      </c>
      <c r="AN9">
        <v>1200</v>
      </c>
      <c r="AO9" t="s">
        <v>118</v>
      </c>
      <c r="AP9">
        <v>-13</v>
      </c>
      <c r="AQ9">
        <v>88</v>
      </c>
      <c r="AR9">
        <v>576</v>
      </c>
      <c r="AZ9">
        <v>1200</v>
      </c>
      <c r="BA9">
        <v>1</v>
      </c>
      <c r="BE9">
        <v>0</v>
      </c>
      <c r="BF9">
        <v>0</v>
      </c>
      <c r="BG9">
        <v>0</v>
      </c>
      <c r="BH9">
        <v>1275</v>
      </c>
      <c r="BI9">
        <v>1</v>
      </c>
      <c r="BJ9">
        <v>1</v>
      </c>
      <c r="BK9">
        <v>1</v>
      </c>
      <c r="BL9">
        <v>0</v>
      </c>
      <c r="BO9">
        <v>0</v>
      </c>
      <c r="BP9">
        <v>0</v>
      </c>
      <c r="BW9" t="str">
        <f>"20:10:40.876"</f>
        <v>20:10:40.876</v>
      </c>
      <c r="CJ9">
        <v>0</v>
      </c>
      <c r="CK9">
        <v>2</v>
      </c>
      <c r="CL9">
        <v>0</v>
      </c>
      <c r="CM9">
        <v>2</v>
      </c>
      <c r="CN9">
        <v>0</v>
      </c>
      <c r="CO9">
        <v>2</v>
      </c>
      <c r="CP9" t="s">
        <v>119</v>
      </c>
      <c r="CQ9">
        <v>180</v>
      </c>
      <c r="CR9">
        <v>1</v>
      </c>
      <c r="CW9">
        <v>10214600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1</v>
      </c>
      <c r="DG9">
        <v>0</v>
      </c>
      <c r="DH9">
        <v>0</v>
      </c>
      <c r="DI9">
        <v>1</v>
      </c>
    </row>
    <row r="10" spans="1:113" x14ac:dyDescent="0.3">
      <c r="A10" t="str">
        <f>"02/08/2021 20:10:38.839"</f>
        <v>02/08/2021 20:10:38.839</v>
      </c>
      <c r="C10" t="str">
        <f t="shared" si="1"/>
        <v>FFD3D3C0</v>
      </c>
      <c r="D10" t="s">
        <v>113</v>
      </c>
      <c r="E10">
        <v>6</v>
      </c>
      <c r="H10">
        <v>165</v>
      </c>
      <c r="I10" t="s">
        <v>114</v>
      </c>
      <c r="J10" t="s">
        <v>115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"20:10:40.875"</f>
        <v>20:10:40.875</v>
      </c>
      <c r="T10" t="str">
        <f>"20:10:40.375"</f>
        <v>20:10:40.375</v>
      </c>
      <c r="U10" t="str">
        <f t="shared" si="0"/>
        <v>AB01F4</v>
      </c>
      <c r="V10">
        <v>0</v>
      </c>
      <c r="W10">
        <v>0</v>
      </c>
      <c r="X10">
        <v>1</v>
      </c>
      <c r="Z10">
        <v>0</v>
      </c>
      <c r="AA10">
        <v>9</v>
      </c>
      <c r="AB10">
        <v>3</v>
      </c>
      <c r="AC10">
        <v>0</v>
      </c>
      <c r="AD10">
        <v>10</v>
      </c>
      <c r="AE10">
        <v>0</v>
      </c>
      <c r="AF10">
        <v>0</v>
      </c>
      <c r="AG10">
        <v>2</v>
      </c>
      <c r="AH10">
        <v>0</v>
      </c>
      <c r="AI10" t="s">
        <v>133</v>
      </c>
      <c r="AJ10">
        <v>39.477460000000001</v>
      </c>
      <c r="AK10" t="s">
        <v>134</v>
      </c>
      <c r="AL10">
        <v>-92.419138000000004</v>
      </c>
      <c r="AM10">
        <v>100</v>
      </c>
      <c r="AN10">
        <v>1200</v>
      </c>
      <c r="AO10" t="s">
        <v>118</v>
      </c>
      <c r="AP10">
        <v>-13</v>
      </c>
      <c r="AQ10">
        <v>88</v>
      </c>
      <c r="AR10">
        <v>576</v>
      </c>
      <c r="AZ10">
        <v>1200</v>
      </c>
      <c r="BA10">
        <v>1</v>
      </c>
      <c r="BE10">
        <v>0</v>
      </c>
      <c r="BF10">
        <v>0</v>
      </c>
      <c r="BG10">
        <v>0</v>
      </c>
      <c r="BH10">
        <v>1275</v>
      </c>
      <c r="BI10">
        <v>1</v>
      </c>
      <c r="BJ10">
        <v>1</v>
      </c>
      <c r="BK10">
        <v>1</v>
      </c>
      <c r="BL10">
        <v>0</v>
      </c>
      <c r="BO10">
        <v>0</v>
      </c>
      <c r="BP10">
        <v>0</v>
      </c>
      <c r="BW10" t="str">
        <f>"20:10:40.876"</f>
        <v>20:10:40.876</v>
      </c>
      <c r="CJ10">
        <v>0</v>
      </c>
      <c r="CK10">
        <v>2</v>
      </c>
      <c r="CL10">
        <v>0</v>
      </c>
      <c r="CM10">
        <v>2</v>
      </c>
      <c r="CN10">
        <v>0</v>
      </c>
      <c r="CO10">
        <v>2</v>
      </c>
      <c r="CP10" t="s">
        <v>119</v>
      </c>
      <c r="CQ10">
        <v>180</v>
      </c>
      <c r="CR10">
        <v>1</v>
      </c>
      <c r="CW10">
        <v>10214600</v>
      </c>
      <c r="CY10">
        <v>0</v>
      </c>
      <c r="CZ10">
        <v>0</v>
      </c>
      <c r="DA10">
        <v>1</v>
      </c>
      <c r="DB10">
        <v>0</v>
      </c>
      <c r="DC10">
        <v>0</v>
      </c>
      <c r="DD10">
        <v>0</v>
      </c>
      <c r="DE10">
        <v>0</v>
      </c>
      <c r="DF10">
        <v>1</v>
      </c>
      <c r="DG10">
        <v>0</v>
      </c>
      <c r="DH10">
        <v>0</v>
      </c>
      <c r="DI10">
        <v>1</v>
      </c>
    </row>
    <row r="11" spans="1:113" x14ac:dyDescent="0.3">
      <c r="A11" t="str">
        <f>"02/08/2021 20:10:39.573"</f>
        <v>02/08/2021 20:10:39.573</v>
      </c>
      <c r="C11" t="str">
        <f t="shared" si="1"/>
        <v>FFD3D3C0</v>
      </c>
      <c r="D11" t="s">
        <v>113</v>
      </c>
      <c r="E11">
        <v>6</v>
      </c>
      <c r="H11">
        <v>165</v>
      </c>
      <c r="I11" t="s">
        <v>114</v>
      </c>
      <c r="J11" t="s">
        <v>115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"20:10:41.883"</f>
        <v>20:10:41.883</v>
      </c>
      <c r="T11" t="str">
        <f>"20:10:40.883"</f>
        <v>20:10:40.883</v>
      </c>
      <c r="U11" t="str">
        <f t="shared" si="0"/>
        <v>AB01F4</v>
      </c>
      <c r="V11">
        <v>0</v>
      </c>
      <c r="W11">
        <v>0</v>
      </c>
      <c r="X11">
        <v>1</v>
      </c>
      <c r="Z11">
        <v>0</v>
      </c>
      <c r="AA11">
        <v>9</v>
      </c>
      <c r="AB11">
        <v>3</v>
      </c>
      <c r="AC11">
        <v>0</v>
      </c>
      <c r="AD11">
        <v>10</v>
      </c>
      <c r="AE11">
        <v>0</v>
      </c>
      <c r="AF11">
        <v>0</v>
      </c>
      <c r="AG11">
        <v>2</v>
      </c>
      <c r="AH11">
        <v>0</v>
      </c>
      <c r="AI11" t="s">
        <v>135</v>
      </c>
      <c r="AJ11">
        <v>39.477890000000002</v>
      </c>
      <c r="AK11" t="s">
        <v>136</v>
      </c>
      <c r="AL11">
        <v>-92.419245000000004</v>
      </c>
      <c r="AM11">
        <v>100</v>
      </c>
      <c r="AN11">
        <v>1200</v>
      </c>
      <c r="AO11" t="s">
        <v>118</v>
      </c>
      <c r="AP11">
        <v>-14</v>
      </c>
      <c r="AQ11">
        <v>88</v>
      </c>
      <c r="AR11">
        <v>576</v>
      </c>
      <c r="AZ11">
        <v>1200</v>
      </c>
      <c r="BA11">
        <v>1</v>
      </c>
      <c r="BE11">
        <v>0</v>
      </c>
      <c r="BF11">
        <v>0</v>
      </c>
      <c r="BG11">
        <v>0</v>
      </c>
      <c r="BH11">
        <v>1300</v>
      </c>
      <c r="BI11">
        <v>1</v>
      </c>
      <c r="BJ11">
        <v>1</v>
      </c>
      <c r="BK11">
        <v>1</v>
      </c>
      <c r="BL11">
        <v>0</v>
      </c>
      <c r="BO11">
        <v>0</v>
      </c>
      <c r="BP11">
        <v>0</v>
      </c>
      <c r="BW11" t="str">
        <f>"20:10:41.890"</f>
        <v>20:10:41.890</v>
      </c>
      <c r="CJ11">
        <v>0</v>
      </c>
      <c r="CK11">
        <v>2</v>
      </c>
      <c r="CL11">
        <v>0</v>
      </c>
      <c r="CM11">
        <v>2</v>
      </c>
      <c r="CN11">
        <v>0</v>
      </c>
      <c r="CO11">
        <v>3</v>
      </c>
      <c r="CP11" t="s">
        <v>119</v>
      </c>
      <c r="CQ11">
        <v>180</v>
      </c>
      <c r="CR11">
        <v>2</v>
      </c>
      <c r="CW11">
        <v>7706185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1</v>
      </c>
      <c r="DG11">
        <v>0</v>
      </c>
      <c r="DH11">
        <v>0</v>
      </c>
      <c r="DI11">
        <v>1</v>
      </c>
    </row>
    <row r="12" spans="1:113" x14ac:dyDescent="0.3">
      <c r="A12" t="str">
        <f>"02/08/2021 20:10:39.573"</f>
        <v>02/08/2021 20:10:39.573</v>
      </c>
      <c r="C12" t="str">
        <f t="shared" si="1"/>
        <v>FFD3D3C0</v>
      </c>
      <c r="D12" t="s">
        <v>124</v>
      </c>
      <c r="E12">
        <v>13</v>
      </c>
      <c r="F12">
        <v>1013</v>
      </c>
      <c r="G12" t="s">
        <v>114</v>
      </c>
      <c r="J12" t="s">
        <v>125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"20:10:41.883"</f>
        <v>20:10:41.883</v>
      </c>
      <c r="T12" t="str">
        <f>"20:10:40.883"</f>
        <v>20:10:40.883</v>
      </c>
      <c r="U12" t="str">
        <f t="shared" si="0"/>
        <v>AB01F4</v>
      </c>
      <c r="V12">
        <v>0</v>
      </c>
      <c r="W12">
        <v>0</v>
      </c>
      <c r="X12">
        <v>1</v>
      </c>
      <c r="Z12">
        <v>0</v>
      </c>
      <c r="AA12">
        <v>9</v>
      </c>
      <c r="AB12">
        <v>3</v>
      </c>
      <c r="AC12">
        <v>0</v>
      </c>
      <c r="AD12">
        <v>10</v>
      </c>
      <c r="AE12">
        <v>0</v>
      </c>
      <c r="AF12">
        <v>0</v>
      </c>
      <c r="AG12">
        <v>2</v>
      </c>
      <c r="AH12">
        <v>0</v>
      </c>
      <c r="AI12" t="s">
        <v>135</v>
      </c>
      <c r="AJ12">
        <v>39.477890000000002</v>
      </c>
      <c r="AK12" t="s">
        <v>136</v>
      </c>
      <c r="AL12">
        <v>-92.419245000000004</v>
      </c>
      <c r="AM12">
        <v>100</v>
      </c>
      <c r="AN12">
        <v>1200</v>
      </c>
      <c r="AO12" t="s">
        <v>118</v>
      </c>
      <c r="AP12">
        <v>-14</v>
      </c>
      <c r="AQ12">
        <v>88</v>
      </c>
      <c r="AR12">
        <v>576</v>
      </c>
      <c r="AZ12">
        <v>1200</v>
      </c>
      <c r="BA12">
        <v>1</v>
      </c>
      <c r="BE12">
        <v>0</v>
      </c>
      <c r="BF12">
        <v>0</v>
      </c>
      <c r="BG12">
        <v>0</v>
      </c>
      <c r="BH12">
        <v>1300</v>
      </c>
      <c r="BI12">
        <v>1</v>
      </c>
      <c r="BJ12">
        <v>1</v>
      </c>
      <c r="BK12">
        <v>1</v>
      </c>
      <c r="BL12">
        <v>0</v>
      </c>
      <c r="BO12">
        <v>0</v>
      </c>
      <c r="BP12">
        <v>0</v>
      </c>
      <c r="BW12" t="str">
        <f>"20:10:41.890"</f>
        <v>20:10:41.890</v>
      </c>
      <c r="CJ12">
        <v>0</v>
      </c>
      <c r="CK12">
        <v>2</v>
      </c>
      <c r="CL12">
        <v>0</v>
      </c>
      <c r="CM12">
        <v>2</v>
      </c>
      <c r="CN12">
        <v>0</v>
      </c>
      <c r="CO12">
        <v>3</v>
      </c>
      <c r="CP12" t="s">
        <v>119</v>
      </c>
      <c r="CQ12">
        <v>180</v>
      </c>
      <c r="CR12">
        <v>2</v>
      </c>
      <c r="CW12">
        <v>7706185</v>
      </c>
      <c r="CY12">
        <v>0</v>
      </c>
      <c r="CZ12">
        <v>0</v>
      </c>
      <c r="DA12">
        <v>1</v>
      </c>
      <c r="DB12">
        <v>0</v>
      </c>
      <c r="DC12">
        <v>0</v>
      </c>
      <c r="DD12">
        <v>0</v>
      </c>
      <c r="DE12">
        <v>0</v>
      </c>
      <c r="DF12">
        <v>1</v>
      </c>
      <c r="DG12">
        <v>0</v>
      </c>
      <c r="DH12">
        <v>0</v>
      </c>
      <c r="DI12">
        <v>1</v>
      </c>
    </row>
    <row r="13" spans="1:113" x14ac:dyDescent="0.3">
      <c r="A13" t="str">
        <f>"02/08/2021 20:10:40.537"</f>
        <v>02/08/2021 20:10:40.537</v>
      </c>
      <c r="C13" t="str">
        <f t="shared" si="1"/>
        <v>FFD3D3C0</v>
      </c>
      <c r="D13" t="s">
        <v>113</v>
      </c>
      <c r="E13">
        <v>6</v>
      </c>
      <c r="H13">
        <v>165</v>
      </c>
      <c r="I13" t="s">
        <v>114</v>
      </c>
      <c r="J13" t="s">
        <v>115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"20:10:42.867"</f>
        <v>20:10:42.867</v>
      </c>
      <c r="T13" t="str">
        <f>"20:10:42.367"</f>
        <v>20:10:42.367</v>
      </c>
      <c r="U13" t="str">
        <f t="shared" si="0"/>
        <v>AB01F4</v>
      </c>
      <c r="V13">
        <v>0</v>
      </c>
      <c r="W13">
        <v>0</v>
      </c>
      <c r="X13">
        <v>1</v>
      </c>
      <c r="Z13">
        <v>0</v>
      </c>
      <c r="AA13">
        <v>9</v>
      </c>
      <c r="AB13">
        <v>3</v>
      </c>
      <c r="AC13">
        <v>0</v>
      </c>
      <c r="AD13">
        <v>10</v>
      </c>
      <c r="AE13">
        <v>0</v>
      </c>
      <c r="AF13">
        <v>0</v>
      </c>
      <c r="AG13">
        <v>2</v>
      </c>
      <c r="AH13">
        <v>0</v>
      </c>
      <c r="AI13" t="s">
        <v>137</v>
      </c>
      <c r="AJ13">
        <v>39.478296999999998</v>
      </c>
      <c r="AK13" t="s">
        <v>138</v>
      </c>
      <c r="AL13">
        <v>-92.419309999999996</v>
      </c>
      <c r="AM13">
        <v>100</v>
      </c>
      <c r="AN13">
        <v>1200</v>
      </c>
      <c r="AO13" t="s">
        <v>118</v>
      </c>
      <c r="AP13">
        <v>-17</v>
      </c>
      <c r="AQ13">
        <v>89</v>
      </c>
      <c r="AR13">
        <v>576</v>
      </c>
      <c r="AZ13">
        <v>1200</v>
      </c>
      <c r="BA13">
        <v>1</v>
      </c>
      <c r="BE13">
        <v>0</v>
      </c>
      <c r="BF13">
        <v>0</v>
      </c>
      <c r="BG13">
        <v>0</v>
      </c>
      <c r="BH13">
        <v>1300</v>
      </c>
      <c r="BI13">
        <v>1</v>
      </c>
      <c r="BJ13">
        <v>1</v>
      </c>
      <c r="BK13">
        <v>1</v>
      </c>
      <c r="BL13">
        <v>0</v>
      </c>
      <c r="BO13">
        <v>0</v>
      </c>
      <c r="BP13">
        <v>0</v>
      </c>
      <c r="BW13" t="str">
        <f>"20:10:42.873"</f>
        <v>20:10:42.873</v>
      </c>
      <c r="CJ13">
        <v>0</v>
      </c>
      <c r="CK13">
        <v>2</v>
      </c>
      <c r="CL13">
        <v>0</v>
      </c>
      <c r="CM13">
        <v>2</v>
      </c>
      <c r="CN13">
        <v>0</v>
      </c>
      <c r="CO13">
        <v>3</v>
      </c>
      <c r="CP13" t="s">
        <v>119</v>
      </c>
      <c r="CQ13">
        <v>180</v>
      </c>
      <c r="CR13">
        <v>2</v>
      </c>
      <c r="CW13">
        <v>7707100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1</v>
      </c>
      <c r="DG13">
        <v>0</v>
      </c>
      <c r="DH13">
        <v>0</v>
      </c>
      <c r="DI13">
        <v>1</v>
      </c>
    </row>
    <row r="14" spans="1:113" x14ac:dyDescent="0.3">
      <c r="A14" t="str">
        <f>"02/08/2021 20:10:40.537"</f>
        <v>02/08/2021 20:10:40.537</v>
      </c>
      <c r="C14" t="str">
        <f t="shared" si="1"/>
        <v>FFD3D3C0</v>
      </c>
      <c r="D14" t="s">
        <v>124</v>
      </c>
      <c r="E14">
        <v>13</v>
      </c>
      <c r="F14">
        <v>1013</v>
      </c>
      <c r="G14" t="s">
        <v>114</v>
      </c>
      <c r="J14" t="s">
        <v>125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"20:10:42.867"</f>
        <v>20:10:42.867</v>
      </c>
      <c r="T14" t="str">
        <f>"20:10:42.367"</f>
        <v>20:10:42.367</v>
      </c>
      <c r="U14" t="str">
        <f t="shared" si="0"/>
        <v>AB01F4</v>
      </c>
      <c r="V14">
        <v>0</v>
      </c>
      <c r="W14">
        <v>0</v>
      </c>
      <c r="X14">
        <v>1</v>
      </c>
      <c r="Z14">
        <v>0</v>
      </c>
      <c r="AA14">
        <v>9</v>
      </c>
      <c r="AB14">
        <v>3</v>
      </c>
      <c r="AC14">
        <v>0</v>
      </c>
      <c r="AD14">
        <v>10</v>
      </c>
      <c r="AE14">
        <v>0</v>
      </c>
      <c r="AF14">
        <v>0</v>
      </c>
      <c r="AG14">
        <v>2</v>
      </c>
      <c r="AH14">
        <v>0</v>
      </c>
      <c r="AI14" t="s">
        <v>137</v>
      </c>
      <c r="AJ14">
        <v>39.478296999999998</v>
      </c>
      <c r="AK14" t="s">
        <v>138</v>
      </c>
      <c r="AL14">
        <v>-92.419309999999996</v>
      </c>
      <c r="AM14">
        <v>100</v>
      </c>
      <c r="AN14">
        <v>1200</v>
      </c>
      <c r="AO14" t="s">
        <v>118</v>
      </c>
      <c r="AP14">
        <v>-17</v>
      </c>
      <c r="AQ14">
        <v>89</v>
      </c>
      <c r="AR14">
        <v>576</v>
      </c>
      <c r="AZ14">
        <v>1200</v>
      </c>
      <c r="BA14">
        <v>1</v>
      </c>
      <c r="BE14">
        <v>0</v>
      </c>
      <c r="BF14">
        <v>0</v>
      </c>
      <c r="BG14">
        <v>0</v>
      </c>
      <c r="BH14">
        <v>1300</v>
      </c>
      <c r="BI14">
        <v>1</v>
      </c>
      <c r="BJ14">
        <v>1</v>
      </c>
      <c r="BK14">
        <v>1</v>
      </c>
      <c r="BL14">
        <v>0</v>
      </c>
      <c r="BO14">
        <v>0</v>
      </c>
      <c r="BP14">
        <v>0</v>
      </c>
      <c r="BW14" t="str">
        <f>"20:10:42.873"</f>
        <v>20:10:42.873</v>
      </c>
      <c r="CJ14">
        <v>0</v>
      </c>
      <c r="CK14">
        <v>2</v>
      </c>
      <c r="CL14">
        <v>0</v>
      </c>
      <c r="CM14">
        <v>2</v>
      </c>
      <c r="CN14">
        <v>0</v>
      </c>
      <c r="CO14">
        <v>3</v>
      </c>
      <c r="CP14" t="s">
        <v>119</v>
      </c>
      <c r="CQ14">
        <v>180</v>
      </c>
      <c r="CR14">
        <v>2</v>
      </c>
      <c r="CW14">
        <v>7707100</v>
      </c>
      <c r="CY14">
        <v>0</v>
      </c>
      <c r="CZ14">
        <v>0</v>
      </c>
      <c r="DA14">
        <v>1</v>
      </c>
      <c r="DB14">
        <v>0</v>
      </c>
      <c r="DC14">
        <v>0</v>
      </c>
      <c r="DD14">
        <v>0</v>
      </c>
      <c r="DE14">
        <v>0</v>
      </c>
      <c r="DF14">
        <v>1</v>
      </c>
      <c r="DG14">
        <v>0</v>
      </c>
      <c r="DH14">
        <v>0</v>
      </c>
      <c r="DI14">
        <v>1</v>
      </c>
    </row>
    <row r="15" spans="1:113" x14ac:dyDescent="0.3">
      <c r="A15" t="str">
        <f>"02/08/2021 20:10:41.701"</f>
        <v>02/08/2021 20:10:41.701</v>
      </c>
      <c r="C15" t="str">
        <f t="shared" ref="C15:C78" si="2">"FFDFD3C0"</f>
        <v>FFDFD3C0</v>
      </c>
      <c r="D15" t="s">
        <v>113</v>
      </c>
      <c r="E15">
        <v>6</v>
      </c>
      <c r="H15">
        <v>165</v>
      </c>
      <c r="I15" t="s">
        <v>114</v>
      </c>
      <c r="J15" t="s">
        <v>115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"20:10:44.000"</f>
        <v>20:10:44.000</v>
      </c>
      <c r="T15" t="str">
        <f>"20:10:42.400"</f>
        <v>20:10:42.400</v>
      </c>
      <c r="U15" t="str">
        <f t="shared" si="0"/>
        <v>AB01F4</v>
      </c>
      <c r="V15">
        <v>0</v>
      </c>
      <c r="W15">
        <v>0</v>
      </c>
      <c r="X15">
        <v>1</v>
      </c>
      <c r="Z15">
        <v>0</v>
      </c>
      <c r="AA15">
        <v>9</v>
      </c>
      <c r="AB15">
        <v>3</v>
      </c>
      <c r="AC15">
        <v>0</v>
      </c>
      <c r="AD15">
        <v>10</v>
      </c>
      <c r="AE15">
        <v>0</v>
      </c>
      <c r="AF15">
        <v>0</v>
      </c>
      <c r="AG15">
        <v>2</v>
      </c>
      <c r="AH15">
        <v>0</v>
      </c>
      <c r="AI15" t="s">
        <v>139</v>
      </c>
      <c r="AJ15">
        <v>39.478769</v>
      </c>
      <c r="AK15" t="s">
        <v>140</v>
      </c>
      <c r="AL15">
        <v>-92.419503000000006</v>
      </c>
      <c r="AM15">
        <v>100</v>
      </c>
      <c r="AN15">
        <v>1200</v>
      </c>
      <c r="AO15" t="s">
        <v>118</v>
      </c>
      <c r="AP15">
        <v>-17</v>
      </c>
      <c r="AQ15">
        <v>89</v>
      </c>
      <c r="AR15">
        <v>576</v>
      </c>
      <c r="AZ15">
        <v>1200</v>
      </c>
      <c r="BA15">
        <v>1</v>
      </c>
      <c r="BB15" t="str">
        <f t="shared" ref="BB15:BB78" si="3">"N8080G  "</f>
        <v xml:space="preserve">N8080G  </v>
      </c>
      <c r="BC15">
        <v>1</v>
      </c>
      <c r="BE15">
        <v>0</v>
      </c>
      <c r="BF15">
        <v>0</v>
      </c>
      <c r="BG15">
        <v>0</v>
      </c>
      <c r="BH15">
        <v>1300</v>
      </c>
      <c r="BI15">
        <v>1</v>
      </c>
      <c r="BJ15">
        <v>1</v>
      </c>
      <c r="BK15">
        <v>1</v>
      </c>
      <c r="BL15">
        <v>0</v>
      </c>
      <c r="BO15">
        <v>0</v>
      </c>
      <c r="BP15">
        <v>0</v>
      </c>
      <c r="BW15" t="str">
        <f>"20:10:44.002"</f>
        <v>20:10:44.002</v>
      </c>
      <c r="CJ15">
        <v>0</v>
      </c>
      <c r="CK15">
        <v>2</v>
      </c>
      <c r="CL15">
        <v>0</v>
      </c>
      <c r="CM15">
        <v>2</v>
      </c>
      <c r="CN15">
        <v>0</v>
      </c>
      <c r="CO15">
        <v>2</v>
      </c>
      <c r="CP15" t="s">
        <v>119</v>
      </c>
      <c r="CQ15">
        <v>559</v>
      </c>
      <c r="CR15">
        <v>0</v>
      </c>
      <c r="CW15">
        <v>10379403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</row>
    <row r="16" spans="1:113" x14ac:dyDescent="0.3">
      <c r="A16" t="str">
        <f>"02/08/2021 20:10:41.701"</f>
        <v>02/08/2021 20:10:41.701</v>
      </c>
      <c r="C16" t="str">
        <f t="shared" si="2"/>
        <v>FFDFD3C0</v>
      </c>
      <c r="D16" t="s">
        <v>124</v>
      </c>
      <c r="E16">
        <v>13</v>
      </c>
      <c r="F16">
        <v>1013</v>
      </c>
      <c r="G16" t="s">
        <v>114</v>
      </c>
      <c r="J16" t="s">
        <v>125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"20:10:44.000"</f>
        <v>20:10:44.000</v>
      </c>
      <c r="T16" t="str">
        <f>"20:10:42.400"</f>
        <v>20:10:42.400</v>
      </c>
      <c r="U16" t="str">
        <f t="shared" si="0"/>
        <v>AB01F4</v>
      </c>
      <c r="V16">
        <v>0</v>
      </c>
      <c r="W16">
        <v>0</v>
      </c>
      <c r="X16">
        <v>1</v>
      </c>
      <c r="Z16">
        <v>0</v>
      </c>
      <c r="AA16">
        <v>9</v>
      </c>
      <c r="AB16">
        <v>3</v>
      </c>
      <c r="AC16">
        <v>0</v>
      </c>
      <c r="AD16">
        <v>10</v>
      </c>
      <c r="AE16">
        <v>0</v>
      </c>
      <c r="AF16">
        <v>0</v>
      </c>
      <c r="AG16">
        <v>2</v>
      </c>
      <c r="AH16">
        <v>0</v>
      </c>
      <c r="AI16" t="s">
        <v>139</v>
      </c>
      <c r="AJ16">
        <v>39.478769</v>
      </c>
      <c r="AK16" t="s">
        <v>140</v>
      </c>
      <c r="AL16">
        <v>-92.419503000000006</v>
      </c>
      <c r="AM16">
        <v>100</v>
      </c>
      <c r="AN16">
        <v>1200</v>
      </c>
      <c r="AO16" t="s">
        <v>118</v>
      </c>
      <c r="AP16">
        <v>-17</v>
      </c>
      <c r="AQ16">
        <v>89</v>
      </c>
      <c r="AR16">
        <v>576</v>
      </c>
      <c r="AZ16">
        <v>1200</v>
      </c>
      <c r="BA16">
        <v>1</v>
      </c>
      <c r="BB16" t="str">
        <f t="shared" si="3"/>
        <v xml:space="preserve">N8080G  </v>
      </c>
      <c r="BC16">
        <v>1</v>
      </c>
      <c r="BE16">
        <v>0</v>
      </c>
      <c r="BF16">
        <v>0</v>
      </c>
      <c r="BG16">
        <v>0</v>
      </c>
      <c r="BH16">
        <v>1300</v>
      </c>
      <c r="BI16">
        <v>1</v>
      </c>
      <c r="BJ16">
        <v>1</v>
      </c>
      <c r="BK16">
        <v>1</v>
      </c>
      <c r="BL16">
        <v>0</v>
      </c>
      <c r="BO16">
        <v>0</v>
      </c>
      <c r="BP16">
        <v>0</v>
      </c>
      <c r="BW16" t="str">
        <f>"20:10:44.002"</f>
        <v>20:10:44.002</v>
      </c>
      <c r="CJ16">
        <v>0</v>
      </c>
      <c r="CK16">
        <v>2</v>
      </c>
      <c r="CL16">
        <v>0</v>
      </c>
      <c r="CM16">
        <v>2</v>
      </c>
      <c r="CN16">
        <v>0</v>
      </c>
      <c r="CO16">
        <v>2</v>
      </c>
      <c r="CP16" t="s">
        <v>119</v>
      </c>
      <c r="CQ16">
        <v>559</v>
      </c>
      <c r="CR16">
        <v>0</v>
      </c>
      <c r="CW16">
        <v>10379403</v>
      </c>
      <c r="CY16">
        <v>0</v>
      </c>
      <c r="CZ16">
        <v>0</v>
      </c>
      <c r="DA16">
        <v>1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</row>
    <row r="17" spans="1:113" x14ac:dyDescent="0.3">
      <c r="A17" t="str">
        <f>"02/08/2021 20:10:41.701"</f>
        <v>02/08/2021 20:10:41.701</v>
      </c>
      <c r="C17" t="str">
        <f t="shared" si="2"/>
        <v>FFDFD3C0</v>
      </c>
      <c r="D17" t="s">
        <v>141</v>
      </c>
      <c r="E17">
        <v>17</v>
      </c>
      <c r="H17">
        <v>256</v>
      </c>
      <c r="I17" t="s">
        <v>142</v>
      </c>
      <c r="J17" t="s">
        <v>143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"20:10:44.000"</f>
        <v>20:10:44.000</v>
      </c>
      <c r="T17" t="str">
        <f>"20:10:42.400"</f>
        <v>20:10:42.400</v>
      </c>
      <c r="U17" t="str">
        <f t="shared" si="0"/>
        <v>AB01F4</v>
      </c>
      <c r="V17">
        <v>0</v>
      </c>
      <c r="W17">
        <v>0</v>
      </c>
      <c r="X17">
        <v>1</v>
      </c>
      <c r="Z17">
        <v>0</v>
      </c>
      <c r="AA17">
        <v>9</v>
      </c>
      <c r="AB17">
        <v>3</v>
      </c>
      <c r="AC17">
        <v>0</v>
      </c>
      <c r="AD17">
        <v>10</v>
      </c>
      <c r="AE17">
        <v>0</v>
      </c>
      <c r="AF17">
        <v>0</v>
      </c>
      <c r="AG17">
        <v>2</v>
      </c>
      <c r="AH17">
        <v>0</v>
      </c>
      <c r="AI17" t="s">
        <v>139</v>
      </c>
      <c r="AJ17">
        <v>39.478769</v>
      </c>
      <c r="AK17" t="s">
        <v>140</v>
      </c>
      <c r="AL17">
        <v>-92.419503000000006</v>
      </c>
      <c r="AM17">
        <v>100</v>
      </c>
      <c r="AN17">
        <v>1200</v>
      </c>
      <c r="AO17" t="s">
        <v>118</v>
      </c>
      <c r="AP17">
        <v>-17</v>
      </c>
      <c r="AQ17">
        <v>89</v>
      </c>
      <c r="AR17">
        <v>576</v>
      </c>
      <c r="AZ17">
        <v>1200</v>
      </c>
      <c r="BA17">
        <v>1</v>
      </c>
      <c r="BB17" t="str">
        <f t="shared" si="3"/>
        <v xml:space="preserve">N8080G  </v>
      </c>
      <c r="BC17">
        <v>1</v>
      </c>
      <c r="BE17">
        <v>0</v>
      </c>
      <c r="BF17">
        <v>0</v>
      </c>
      <c r="BG17">
        <v>0</v>
      </c>
      <c r="BH17">
        <v>1300</v>
      </c>
      <c r="BI17">
        <v>1</v>
      </c>
      <c r="BJ17">
        <v>1</v>
      </c>
      <c r="BK17">
        <v>1</v>
      </c>
      <c r="BL17">
        <v>0</v>
      </c>
      <c r="BO17">
        <v>0</v>
      </c>
      <c r="BP17">
        <v>0</v>
      </c>
      <c r="BW17" t="str">
        <f>"20:10:44.002"</f>
        <v>20:10:44.002</v>
      </c>
      <c r="CJ17">
        <v>0</v>
      </c>
      <c r="CK17">
        <v>2</v>
      </c>
      <c r="CL17">
        <v>0</v>
      </c>
      <c r="CM17">
        <v>2</v>
      </c>
      <c r="CN17">
        <v>0</v>
      </c>
      <c r="CO17">
        <v>2</v>
      </c>
      <c r="CP17" t="s">
        <v>119</v>
      </c>
      <c r="CQ17">
        <v>559</v>
      </c>
      <c r="CR17">
        <v>0</v>
      </c>
      <c r="CW17">
        <v>10379403</v>
      </c>
      <c r="CY17">
        <v>0</v>
      </c>
      <c r="CZ17">
        <v>0</v>
      </c>
      <c r="DA17">
        <v>1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</row>
    <row r="18" spans="1:113" x14ac:dyDescent="0.3">
      <c r="A18" t="str">
        <f>"02/08/2021 20:10:44.716"</f>
        <v>02/08/2021 20:10:44.716</v>
      </c>
      <c r="C18" t="str">
        <f t="shared" si="2"/>
        <v>FFDFD3C0</v>
      </c>
      <c r="D18" t="s">
        <v>124</v>
      </c>
      <c r="E18">
        <v>13</v>
      </c>
      <c r="F18">
        <v>1013</v>
      </c>
      <c r="G18" t="s">
        <v>114</v>
      </c>
      <c r="J18" t="s">
        <v>125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"20:10:47.016"</f>
        <v>20:10:47.016</v>
      </c>
      <c r="T18" t="str">
        <f>"20:10:42.416"</f>
        <v>20:10:42.416</v>
      </c>
      <c r="U18" t="str">
        <f t="shared" si="0"/>
        <v>AB01F4</v>
      </c>
      <c r="V18">
        <v>0</v>
      </c>
      <c r="W18">
        <v>0</v>
      </c>
      <c r="X18">
        <v>1</v>
      </c>
      <c r="Z18">
        <v>0</v>
      </c>
      <c r="AA18">
        <v>9</v>
      </c>
      <c r="AB18">
        <v>3</v>
      </c>
      <c r="AC18">
        <v>0</v>
      </c>
      <c r="AD18">
        <v>10</v>
      </c>
      <c r="AE18">
        <v>0</v>
      </c>
      <c r="AF18">
        <v>0</v>
      </c>
      <c r="AG18">
        <v>2</v>
      </c>
      <c r="AH18">
        <v>0</v>
      </c>
      <c r="AI18" t="s">
        <v>144</v>
      </c>
      <c r="AJ18">
        <v>39.480077999999999</v>
      </c>
      <c r="AK18" t="s">
        <v>145</v>
      </c>
      <c r="AL18">
        <v>-92.419932000000003</v>
      </c>
      <c r="AM18">
        <v>100</v>
      </c>
      <c r="AN18">
        <v>1300</v>
      </c>
      <c r="AO18" t="s">
        <v>118</v>
      </c>
      <c r="AP18">
        <v>-17</v>
      </c>
      <c r="AQ18">
        <v>89</v>
      </c>
      <c r="AR18">
        <v>576</v>
      </c>
      <c r="AZ18">
        <v>1200</v>
      </c>
      <c r="BA18">
        <v>1</v>
      </c>
      <c r="BB18" t="str">
        <f t="shared" si="3"/>
        <v xml:space="preserve">N8080G  </v>
      </c>
      <c r="BC18">
        <v>1</v>
      </c>
      <c r="BE18">
        <v>0</v>
      </c>
      <c r="BF18">
        <v>0</v>
      </c>
      <c r="BG18">
        <v>0</v>
      </c>
      <c r="BH18">
        <v>1400</v>
      </c>
      <c r="BI18">
        <v>1</v>
      </c>
      <c r="BJ18">
        <v>1</v>
      </c>
      <c r="BK18">
        <v>1</v>
      </c>
      <c r="BL18">
        <v>0</v>
      </c>
      <c r="BO18">
        <v>0</v>
      </c>
      <c r="BP18">
        <v>0</v>
      </c>
      <c r="BW18" t="str">
        <f>"20:10:47.020"</f>
        <v>20:10:47.020</v>
      </c>
      <c r="CJ18">
        <v>0</v>
      </c>
      <c r="CK18">
        <v>2</v>
      </c>
      <c r="CL18">
        <v>0</v>
      </c>
      <c r="CM18">
        <v>2</v>
      </c>
      <c r="CN18">
        <v>0</v>
      </c>
      <c r="CO18">
        <v>3</v>
      </c>
      <c r="CP18" t="s">
        <v>119</v>
      </c>
      <c r="CQ18">
        <v>559</v>
      </c>
      <c r="CR18">
        <v>0</v>
      </c>
      <c r="CW18">
        <v>10379852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</row>
    <row r="19" spans="1:113" x14ac:dyDescent="0.3">
      <c r="A19" t="str">
        <f>"02/08/2021 20:10:44.716"</f>
        <v>02/08/2021 20:10:44.716</v>
      </c>
      <c r="C19" t="str">
        <f t="shared" si="2"/>
        <v>FFDFD3C0</v>
      </c>
      <c r="D19" t="s">
        <v>113</v>
      </c>
      <c r="E19">
        <v>6</v>
      </c>
      <c r="H19">
        <v>165</v>
      </c>
      <c r="I19" t="s">
        <v>114</v>
      </c>
      <c r="J19" t="s">
        <v>115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"20:10:47.016"</f>
        <v>20:10:47.016</v>
      </c>
      <c r="T19" t="str">
        <f>"20:10:42.416"</f>
        <v>20:10:42.416</v>
      </c>
      <c r="U19" t="str">
        <f t="shared" si="0"/>
        <v>AB01F4</v>
      </c>
      <c r="V19">
        <v>0</v>
      </c>
      <c r="W19">
        <v>0</v>
      </c>
      <c r="X19">
        <v>1</v>
      </c>
      <c r="Z19">
        <v>0</v>
      </c>
      <c r="AA19">
        <v>9</v>
      </c>
      <c r="AB19">
        <v>3</v>
      </c>
      <c r="AC19">
        <v>0</v>
      </c>
      <c r="AD19">
        <v>10</v>
      </c>
      <c r="AE19">
        <v>0</v>
      </c>
      <c r="AF19">
        <v>0</v>
      </c>
      <c r="AG19">
        <v>2</v>
      </c>
      <c r="AH19">
        <v>0</v>
      </c>
      <c r="AI19" t="s">
        <v>144</v>
      </c>
      <c r="AJ19">
        <v>39.480077999999999</v>
      </c>
      <c r="AK19" t="s">
        <v>145</v>
      </c>
      <c r="AL19">
        <v>-92.419932000000003</v>
      </c>
      <c r="AM19">
        <v>100</v>
      </c>
      <c r="AN19">
        <v>1300</v>
      </c>
      <c r="AO19" t="s">
        <v>118</v>
      </c>
      <c r="AP19">
        <v>-17</v>
      </c>
      <c r="AQ19">
        <v>89</v>
      </c>
      <c r="AR19">
        <v>576</v>
      </c>
      <c r="AZ19">
        <v>1200</v>
      </c>
      <c r="BA19">
        <v>1</v>
      </c>
      <c r="BB19" t="str">
        <f t="shared" si="3"/>
        <v xml:space="preserve">N8080G  </v>
      </c>
      <c r="BC19">
        <v>1</v>
      </c>
      <c r="BE19">
        <v>0</v>
      </c>
      <c r="BF19">
        <v>0</v>
      </c>
      <c r="BG19">
        <v>0</v>
      </c>
      <c r="BH19">
        <v>1400</v>
      </c>
      <c r="BI19">
        <v>1</v>
      </c>
      <c r="BJ19">
        <v>1</v>
      </c>
      <c r="BK19">
        <v>1</v>
      </c>
      <c r="BL19">
        <v>0</v>
      </c>
      <c r="BO19">
        <v>0</v>
      </c>
      <c r="BP19">
        <v>0</v>
      </c>
      <c r="BW19" t="str">
        <f>"20:10:47.020"</f>
        <v>20:10:47.020</v>
      </c>
      <c r="CJ19">
        <v>0</v>
      </c>
      <c r="CK19">
        <v>2</v>
      </c>
      <c r="CL19">
        <v>0</v>
      </c>
      <c r="CM19">
        <v>2</v>
      </c>
      <c r="CN19">
        <v>0</v>
      </c>
      <c r="CO19">
        <v>3</v>
      </c>
      <c r="CP19" t="s">
        <v>119</v>
      </c>
      <c r="CQ19">
        <v>559</v>
      </c>
      <c r="CR19">
        <v>0</v>
      </c>
      <c r="CW19">
        <v>10379852</v>
      </c>
      <c r="CY19">
        <v>0</v>
      </c>
      <c r="CZ19">
        <v>0</v>
      </c>
      <c r="DA19">
        <v>1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</row>
    <row r="20" spans="1:113" x14ac:dyDescent="0.3">
      <c r="A20" t="str">
        <f>"02/08/2021 20:10:44.716"</f>
        <v>02/08/2021 20:10:44.716</v>
      </c>
      <c r="C20" t="str">
        <f t="shared" si="2"/>
        <v>FFDFD3C0</v>
      </c>
      <c r="D20" t="s">
        <v>141</v>
      </c>
      <c r="E20">
        <v>17</v>
      </c>
      <c r="H20">
        <v>256</v>
      </c>
      <c r="I20" t="s">
        <v>142</v>
      </c>
      <c r="J20" t="s">
        <v>143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"20:10:47.016"</f>
        <v>20:10:47.016</v>
      </c>
      <c r="T20" t="str">
        <f>"20:10:42.416"</f>
        <v>20:10:42.416</v>
      </c>
      <c r="U20" t="str">
        <f t="shared" si="0"/>
        <v>AB01F4</v>
      </c>
      <c r="V20">
        <v>0</v>
      </c>
      <c r="W20">
        <v>0</v>
      </c>
      <c r="X20">
        <v>1</v>
      </c>
      <c r="Z20">
        <v>0</v>
      </c>
      <c r="AA20">
        <v>9</v>
      </c>
      <c r="AB20">
        <v>3</v>
      </c>
      <c r="AC20">
        <v>0</v>
      </c>
      <c r="AD20">
        <v>10</v>
      </c>
      <c r="AE20">
        <v>0</v>
      </c>
      <c r="AF20">
        <v>0</v>
      </c>
      <c r="AG20">
        <v>2</v>
      </c>
      <c r="AH20">
        <v>0</v>
      </c>
      <c r="AI20" t="s">
        <v>144</v>
      </c>
      <c r="AJ20">
        <v>39.480077999999999</v>
      </c>
      <c r="AK20" t="s">
        <v>145</v>
      </c>
      <c r="AL20">
        <v>-92.419932000000003</v>
      </c>
      <c r="AM20">
        <v>100</v>
      </c>
      <c r="AN20">
        <v>1300</v>
      </c>
      <c r="AO20" t="s">
        <v>118</v>
      </c>
      <c r="AP20">
        <v>-17</v>
      </c>
      <c r="AQ20">
        <v>89</v>
      </c>
      <c r="AR20">
        <v>576</v>
      </c>
      <c r="AZ20">
        <v>1200</v>
      </c>
      <c r="BA20">
        <v>1</v>
      </c>
      <c r="BB20" t="str">
        <f t="shared" si="3"/>
        <v xml:space="preserve">N8080G  </v>
      </c>
      <c r="BC20">
        <v>1</v>
      </c>
      <c r="BE20">
        <v>0</v>
      </c>
      <c r="BF20">
        <v>0</v>
      </c>
      <c r="BG20">
        <v>0</v>
      </c>
      <c r="BH20">
        <v>1400</v>
      </c>
      <c r="BI20">
        <v>1</v>
      </c>
      <c r="BJ20">
        <v>1</v>
      </c>
      <c r="BK20">
        <v>1</v>
      </c>
      <c r="BL20">
        <v>0</v>
      </c>
      <c r="BO20">
        <v>0</v>
      </c>
      <c r="BP20">
        <v>0</v>
      </c>
      <c r="BW20" t="str">
        <f>"20:10:47.020"</f>
        <v>20:10:47.020</v>
      </c>
      <c r="CJ20">
        <v>0</v>
      </c>
      <c r="CK20">
        <v>2</v>
      </c>
      <c r="CL20">
        <v>0</v>
      </c>
      <c r="CM20">
        <v>2</v>
      </c>
      <c r="CN20">
        <v>0</v>
      </c>
      <c r="CO20">
        <v>3</v>
      </c>
      <c r="CP20" t="s">
        <v>119</v>
      </c>
      <c r="CQ20">
        <v>559</v>
      </c>
      <c r="CR20">
        <v>0</v>
      </c>
      <c r="CW20">
        <v>10379852</v>
      </c>
      <c r="CY20">
        <v>0</v>
      </c>
      <c r="CZ20">
        <v>0</v>
      </c>
      <c r="DA20">
        <v>1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</row>
    <row r="21" spans="1:113" x14ac:dyDescent="0.3">
      <c r="A21" t="str">
        <f>"02/08/2021 20:10:46.249"</f>
        <v>02/08/2021 20:10:46.249</v>
      </c>
      <c r="C21" t="str">
        <f t="shared" si="2"/>
        <v>FFDFD3C0</v>
      </c>
      <c r="D21" t="s">
        <v>113</v>
      </c>
      <c r="E21">
        <v>6</v>
      </c>
      <c r="H21">
        <v>165</v>
      </c>
      <c r="I21" t="s">
        <v>114</v>
      </c>
      <c r="J21" t="s">
        <v>115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"20:10:48.555"</f>
        <v>20:10:48.555</v>
      </c>
      <c r="T21" t="str">
        <f>"20:10:48.155"</f>
        <v>20:10:48.155</v>
      </c>
      <c r="U21" t="str">
        <f t="shared" si="0"/>
        <v>AB01F4</v>
      </c>
      <c r="V21">
        <v>0</v>
      </c>
      <c r="W21">
        <v>0</v>
      </c>
      <c r="X21">
        <v>1</v>
      </c>
      <c r="Z21">
        <v>0</v>
      </c>
      <c r="AA21">
        <v>9</v>
      </c>
      <c r="AB21">
        <v>3</v>
      </c>
      <c r="AC21">
        <v>0</v>
      </c>
      <c r="AD21">
        <v>10</v>
      </c>
      <c r="AE21">
        <v>0</v>
      </c>
      <c r="AF21">
        <v>0</v>
      </c>
      <c r="AG21">
        <v>2</v>
      </c>
      <c r="AH21">
        <v>0</v>
      </c>
      <c r="AI21" t="s">
        <v>146</v>
      </c>
      <c r="AJ21">
        <v>39.480699999999999</v>
      </c>
      <c r="AK21" t="s">
        <v>147</v>
      </c>
      <c r="AL21">
        <v>-92.420146000000003</v>
      </c>
      <c r="AM21">
        <v>100</v>
      </c>
      <c r="AN21">
        <v>1300</v>
      </c>
      <c r="AO21" t="s">
        <v>118</v>
      </c>
      <c r="AP21">
        <v>-26</v>
      </c>
      <c r="AQ21">
        <v>92</v>
      </c>
      <c r="AR21">
        <v>704</v>
      </c>
      <c r="AZ21">
        <v>1200</v>
      </c>
      <c r="BA21">
        <v>1</v>
      </c>
      <c r="BB21" t="str">
        <f t="shared" si="3"/>
        <v xml:space="preserve">N8080G  </v>
      </c>
      <c r="BC21">
        <v>1</v>
      </c>
      <c r="BE21">
        <v>0</v>
      </c>
      <c r="BF21">
        <v>0</v>
      </c>
      <c r="BG21">
        <v>0</v>
      </c>
      <c r="BH21">
        <v>1350</v>
      </c>
      <c r="BI21">
        <v>1</v>
      </c>
      <c r="BJ21">
        <v>1</v>
      </c>
      <c r="BK21">
        <v>1</v>
      </c>
      <c r="BL21">
        <v>0</v>
      </c>
      <c r="BO21">
        <v>0</v>
      </c>
      <c r="BP21">
        <v>0</v>
      </c>
      <c r="BW21" t="str">
        <f>"20:10:48.560"</f>
        <v>20:10:48.560</v>
      </c>
      <c r="CJ21">
        <v>0</v>
      </c>
      <c r="CK21">
        <v>2</v>
      </c>
      <c r="CL21">
        <v>0</v>
      </c>
      <c r="CM21">
        <v>2</v>
      </c>
      <c r="CN21">
        <v>0</v>
      </c>
      <c r="CO21">
        <v>3</v>
      </c>
      <c r="CP21" t="s">
        <v>119</v>
      </c>
      <c r="CQ21">
        <v>180</v>
      </c>
      <c r="CR21">
        <v>2</v>
      </c>
      <c r="CW21">
        <v>7711763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</row>
    <row r="22" spans="1:113" x14ac:dyDescent="0.3">
      <c r="A22" t="str">
        <f>"02/08/2021 20:10:46.249"</f>
        <v>02/08/2021 20:10:46.249</v>
      </c>
      <c r="C22" t="str">
        <f t="shared" si="2"/>
        <v>FFDFD3C0</v>
      </c>
      <c r="D22" t="s">
        <v>124</v>
      </c>
      <c r="E22">
        <v>13</v>
      </c>
      <c r="F22">
        <v>1013</v>
      </c>
      <c r="G22" t="s">
        <v>114</v>
      </c>
      <c r="J22" t="s">
        <v>125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"20:10:48.555"</f>
        <v>20:10:48.555</v>
      </c>
      <c r="T22" t="str">
        <f>"20:10:48.155"</f>
        <v>20:10:48.155</v>
      </c>
      <c r="U22" t="str">
        <f t="shared" si="0"/>
        <v>AB01F4</v>
      </c>
      <c r="V22">
        <v>0</v>
      </c>
      <c r="W22">
        <v>0</v>
      </c>
      <c r="X22">
        <v>1</v>
      </c>
      <c r="Z22">
        <v>0</v>
      </c>
      <c r="AA22">
        <v>9</v>
      </c>
      <c r="AB22">
        <v>3</v>
      </c>
      <c r="AC22">
        <v>0</v>
      </c>
      <c r="AD22">
        <v>10</v>
      </c>
      <c r="AE22">
        <v>0</v>
      </c>
      <c r="AF22">
        <v>0</v>
      </c>
      <c r="AG22">
        <v>2</v>
      </c>
      <c r="AH22">
        <v>0</v>
      </c>
      <c r="AI22" t="s">
        <v>146</v>
      </c>
      <c r="AJ22">
        <v>39.480699999999999</v>
      </c>
      <c r="AK22" t="s">
        <v>147</v>
      </c>
      <c r="AL22">
        <v>-92.420146000000003</v>
      </c>
      <c r="AM22">
        <v>100</v>
      </c>
      <c r="AN22">
        <v>1300</v>
      </c>
      <c r="AO22" t="s">
        <v>118</v>
      </c>
      <c r="AP22">
        <v>-26</v>
      </c>
      <c r="AQ22">
        <v>92</v>
      </c>
      <c r="AR22">
        <v>704</v>
      </c>
      <c r="AZ22">
        <v>1200</v>
      </c>
      <c r="BA22">
        <v>1</v>
      </c>
      <c r="BB22" t="str">
        <f t="shared" si="3"/>
        <v xml:space="preserve">N8080G  </v>
      </c>
      <c r="BC22">
        <v>1</v>
      </c>
      <c r="BE22">
        <v>0</v>
      </c>
      <c r="BF22">
        <v>0</v>
      </c>
      <c r="BG22">
        <v>0</v>
      </c>
      <c r="BH22">
        <v>1350</v>
      </c>
      <c r="BI22">
        <v>1</v>
      </c>
      <c r="BJ22">
        <v>1</v>
      </c>
      <c r="BK22">
        <v>1</v>
      </c>
      <c r="BL22">
        <v>0</v>
      </c>
      <c r="BO22">
        <v>0</v>
      </c>
      <c r="BP22">
        <v>0</v>
      </c>
      <c r="BW22" t="str">
        <f>"20:10:48.560"</f>
        <v>20:10:48.560</v>
      </c>
      <c r="CJ22">
        <v>0</v>
      </c>
      <c r="CK22">
        <v>2</v>
      </c>
      <c r="CL22">
        <v>0</v>
      </c>
      <c r="CM22">
        <v>2</v>
      </c>
      <c r="CN22">
        <v>0</v>
      </c>
      <c r="CO22">
        <v>3</v>
      </c>
      <c r="CP22" t="s">
        <v>119</v>
      </c>
      <c r="CQ22">
        <v>180</v>
      </c>
      <c r="CR22">
        <v>2</v>
      </c>
      <c r="CW22">
        <v>7711763</v>
      </c>
      <c r="CY22">
        <v>0</v>
      </c>
      <c r="CZ22">
        <v>0</v>
      </c>
      <c r="DA22">
        <v>1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</row>
    <row r="23" spans="1:113" x14ac:dyDescent="0.3">
      <c r="A23" t="str">
        <f>"02/08/2021 20:10:47.378"</f>
        <v>02/08/2021 20:10:47.378</v>
      </c>
      <c r="C23" t="str">
        <f t="shared" si="2"/>
        <v>FFDFD3C0</v>
      </c>
      <c r="D23" t="s">
        <v>124</v>
      </c>
      <c r="E23">
        <v>13</v>
      </c>
      <c r="F23">
        <v>1013</v>
      </c>
      <c r="G23" t="s">
        <v>114</v>
      </c>
      <c r="J23" t="s">
        <v>125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"20:10:49.727"</f>
        <v>20:10:49.727</v>
      </c>
      <c r="T23" t="str">
        <f>"20:10:48.627"</f>
        <v>20:10:48.627</v>
      </c>
      <c r="U23" t="str">
        <f t="shared" si="0"/>
        <v>AB01F4</v>
      </c>
      <c r="V23">
        <v>0</v>
      </c>
      <c r="W23">
        <v>0</v>
      </c>
      <c r="X23">
        <v>1</v>
      </c>
      <c r="Z23">
        <v>0</v>
      </c>
      <c r="AA23">
        <v>9</v>
      </c>
      <c r="AB23">
        <v>3</v>
      </c>
      <c r="AC23">
        <v>0</v>
      </c>
      <c r="AD23">
        <v>10</v>
      </c>
      <c r="AE23">
        <v>0</v>
      </c>
      <c r="AF23">
        <v>0</v>
      </c>
      <c r="AG23">
        <v>2</v>
      </c>
      <c r="AH23">
        <v>0</v>
      </c>
      <c r="AI23" t="s">
        <v>148</v>
      </c>
      <c r="AJ23">
        <v>39.481237</v>
      </c>
      <c r="AK23" t="s">
        <v>149</v>
      </c>
      <c r="AL23">
        <v>-92.420339999999996</v>
      </c>
      <c r="AM23">
        <v>100</v>
      </c>
      <c r="AN23">
        <v>1300</v>
      </c>
      <c r="AO23" t="s">
        <v>118</v>
      </c>
      <c r="AP23">
        <v>-26</v>
      </c>
      <c r="AQ23">
        <v>93</v>
      </c>
      <c r="AR23">
        <v>768</v>
      </c>
      <c r="AZ23">
        <v>1200</v>
      </c>
      <c r="BA23">
        <v>1</v>
      </c>
      <c r="BB23" t="str">
        <f t="shared" si="3"/>
        <v xml:space="preserve">N8080G  </v>
      </c>
      <c r="BC23">
        <v>1</v>
      </c>
      <c r="BE23">
        <v>0</v>
      </c>
      <c r="BF23">
        <v>0</v>
      </c>
      <c r="BG23">
        <v>0</v>
      </c>
      <c r="BH23">
        <v>1350</v>
      </c>
      <c r="BI23">
        <v>1</v>
      </c>
      <c r="BJ23">
        <v>1</v>
      </c>
      <c r="BK23">
        <v>1</v>
      </c>
      <c r="BL23">
        <v>0</v>
      </c>
      <c r="BO23">
        <v>0</v>
      </c>
      <c r="BP23">
        <v>0</v>
      </c>
      <c r="BW23" t="str">
        <f>"20:10:49.728"</f>
        <v>20:10:49.728</v>
      </c>
      <c r="CJ23">
        <v>0</v>
      </c>
      <c r="CK23">
        <v>2</v>
      </c>
      <c r="CL23">
        <v>0</v>
      </c>
      <c r="CM23">
        <v>2</v>
      </c>
      <c r="CN23">
        <v>0</v>
      </c>
      <c r="CO23">
        <v>4</v>
      </c>
      <c r="CP23" t="s">
        <v>119</v>
      </c>
      <c r="CQ23">
        <v>180</v>
      </c>
      <c r="CR23">
        <v>1</v>
      </c>
      <c r="CW23">
        <v>10223253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</row>
    <row r="24" spans="1:113" x14ac:dyDescent="0.3">
      <c r="A24" t="str">
        <f>"02/08/2021 20:10:47.378"</f>
        <v>02/08/2021 20:10:47.378</v>
      </c>
      <c r="C24" t="str">
        <f t="shared" si="2"/>
        <v>FFDFD3C0</v>
      </c>
      <c r="D24" t="s">
        <v>113</v>
      </c>
      <c r="E24">
        <v>6</v>
      </c>
      <c r="H24">
        <v>165</v>
      </c>
      <c r="I24" t="s">
        <v>114</v>
      </c>
      <c r="J24" t="s">
        <v>115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"20:10:49.727"</f>
        <v>20:10:49.727</v>
      </c>
      <c r="T24" t="str">
        <f>"20:10:48.627"</f>
        <v>20:10:48.627</v>
      </c>
      <c r="U24" t="str">
        <f t="shared" si="0"/>
        <v>AB01F4</v>
      </c>
      <c r="V24">
        <v>0</v>
      </c>
      <c r="W24">
        <v>0</v>
      </c>
      <c r="X24">
        <v>1</v>
      </c>
      <c r="Z24">
        <v>0</v>
      </c>
      <c r="AA24">
        <v>9</v>
      </c>
      <c r="AB24">
        <v>3</v>
      </c>
      <c r="AC24">
        <v>0</v>
      </c>
      <c r="AD24">
        <v>10</v>
      </c>
      <c r="AE24">
        <v>0</v>
      </c>
      <c r="AF24">
        <v>0</v>
      </c>
      <c r="AG24">
        <v>2</v>
      </c>
      <c r="AH24">
        <v>0</v>
      </c>
      <c r="AI24" t="s">
        <v>148</v>
      </c>
      <c r="AJ24">
        <v>39.481237</v>
      </c>
      <c r="AK24" t="s">
        <v>149</v>
      </c>
      <c r="AL24">
        <v>-92.420339999999996</v>
      </c>
      <c r="AM24">
        <v>100</v>
      </c>
      <c r="AN24">
        <v>1300</v>
      </c>
      <c r="AO24" t="s">
        <v>118</v>
      </c>
      <c r="AP24">
        <v>-26</v>
      </c>
      <c r="AQ24">
        <v>93</v>
      </c>
      <c r="AR24">
        <v>768</v>
      </c>
      <c r="AZ24">
        <v>1200</v>
      </c>
      <c r="BA24">
        <v>1</v>
      </c>
      <c r="BB24" t="str">
        <f t="shared" si="3"/>
        <v xml:space="preserve">N8080G  </v>
      </c>
      <c r="BC24">
        <v>1</v>
      </c>
      <c r="BE24">
        <v>0</v>
      </c>
      <c r="BF24">
        <v>0</v>
      </c>
      <c r="BG24">
        <v>0</v>
      </c>
      <c r="BH24">
        <v>1350</v>
      </c>
      <c r="BI24">
        <v>1</v>
      </c>
      <c r="BJ24">
        <v>1</v>
      </c>
      <c r="BK24">
        <v>1</v>
      </c>
      <c r="BL24">
        <v>0</v>
      </c>
      <c r="BO24">
        <v>0</v>
      </c>
      <c r="BP24">
        <v>0</v>
      </c>
      <c r="BW24" t="str">
        <f>"20:10:49.728"</f>
        <v>20:10:49.728</v>
      </c>
      <c r="CJ24">
        <v>0</v>
      </c>
      <c r="CK24">
        <v>2</v>
      </c>
      <c r="CL24">
        <v>0</v>
      </c>
      <c r="CM24">
        <v>2</v>
      </c>
      <c r="CN24">
        <v>0</v>
      </c>
      <c r="CO24">
        <v>4</v>
      </c>
      <c r="CP24" t="s">
        <v>119</v>
      </c>
      <c r="CQ24">
        <v>180</v>
      </c>
      <c r="CR24">
        <v>1</v>
      </c>
      <c r="CW24">
        <v>10223253</v>
      </c>
      <c r="CY24">
        <v>0</v>
      </c>
      <c r="CZ24">
        <v>0</v>
      </c>
      <c r="DA24">
        <v>1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</row>
    <row r="25" spans="1:113" x14ac:dyDescent="0.3">
      <c r="A25" t="str">
        <f>"02/08/2021 20:10:48.333"</f>
        <v>02/08/2021 20:10:48.333</v>
      </c>
      <c r="C25" t="str">
        <f t="shared" si="2"/>
        <v>FFDFD3C0</v>
      </c>
      <c r="D25" t="s">
        <v>124</v>
      </c>
      <c r="E25">
        <v>13</v>
      </c>
      <c r="F25">
        <v>1013</v>
      </c>
      <c r="G25" t="s">
        <v>114</v>
      </c>
      <c r="J25" t="s">
        <v>125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"20:10:50.680"</f>
        <v>20:10:50.680</v>
      </c>
      <c r="T25" t="str">
        <f>"20:10:50.280"</f>
        <v>20:10:50.280</v>
      </c>
      <c r="U25" t="str">
        <f t="shared" si="0"/>
        <v>AB01F4</v>
      </c>
      <c r="V25">
        <v>0</v>
      </c>
      <c r="W25">
        <v>0</v>
      </c>
      <c r="X25">
        <v>1</v>
      </c>
      <c r="Z25">
        <v>0</v>
      </c>
      <c r="AA25">
        <v>9</v>
      </c>
      <c r="AB25">
        <v>3</v>
      </c>
      <c r="AC25">
        <v>0</v>
      </c>
      <c r="AD25">
        <v>10</v>
      </c>
      <c r="AE25">
        <v>0</v>
      </c>
      <c r="AF25">
        <v>0</v>
      </c>
      <c r="AG25">
        <v>2</v>
      </c>
      <c r="AH25">
        <v>0</v>
      </c>
      <c r="AI25" t="s">
        <v>150</v>
      </c>
      <c r="AJ25">
        <v>39.481645</v>
      </c>
      <c r="AK25" t="s">
        <v>151</v>
      </c>
      <c r="AL25">
        <v>-92.420468</v>
      </c>
      <c r="AM25">
        <v>100</v>
      </c>
      <c r="AN25">
        <v>1300</v>
      </c>
      <c r="AO25" t="s">
        <v>118</v>
      </c>
      <c r="AP25">
        <v>-26</v>
      </c>
      <c r="AQ25">
        <v>94</v>
      </c>
      <c r="AR25">
        <v>576</v>
      </c>
      <c r="AZ25">
        <v>1200</v>
      </c>
      <c r="BA25">
        <v>1</v>
      </c>
      <c r="BB25" t="str">
        <f t="shared" si="3"/>
        <v xml:space="preserve">N8080G  </v>
      </c>
      <c r="BC25">
        <v>1</v>
      </c>
      <c r="BE25">
        <v>0</v>
      </c>
      <c r="BF25">
        <v>0</v>
      </c>
      <c r="BG25">
        <v>0</v>
      </c>
      <c r="BH25">
        <v>1375</v>
      </c>
      <c r="BI25">
        <v>1</v>
      </c>
      <c r="BJ25">
        <v>1</v>
      </c>
      <c r="BK25">
        <v>1</v>
      </c>
      <c r="BL25">
        <v>0</v>
      </c>
      <c r="BO25">
        <v>0</v>
      </c>
      <c r="BP25">
        <v>0</v>
      </c>
      <c r="BW25" t="str">
        <f>"20:10:50.682"</f>
        <v>20:10:50.682</v>
      </c>
      <c r="CJ25">
        <v>0</v>
      </c>
      <c r="CK25">
        <v>2</v>
      </c>
      <c r="CL25">
        <v>0</v>
      </c>
      <c r="CM25">
        <v>2</v>
      </c>
      <c r="CN25">
        <v>0</v>
      </c>
      <c r="CO25">
        <v>4</v>
      </c>
      <c r="CP25" t="s">
        <v>119</v>
      </c>
      <c r="CQ25">
        <v>180</v>
      </c>
      <c r="CR25">
        <v>2</v>
      </c>
      <c r="CW25">
        <v>7713396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</row>
    <row r="26" spans="1:113" x14ac:dyDescent="0.3">
      <c r="A26" t="str">
        <f>"02/08/2021 20:10:48.333"</f>
        <v>02/08/2021 20:10:48.333</v>
      </c>
      <c r="C26" t="str">
        <f t="shared" si="2"/>
        <v>FFDFD3C0</v>
      </c>
      <c r="D26" t="s">
        <v>113</v>
      </c>
      <c r="E26">
        <v>6</v>
      </c>
      <c r="H26">
        <v>165</v>
      </c>
      <c r="I26" t="s">
        <v>114</v>
      </c>
      <c r="J26" t="s">
        <v>115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"20:10:50.680"</f>
        <v>20:10:50.680</v>
      </c>
      <c r="T26" t="str">
        <f>"20:10:50.280"</f>
        <v>20:10:50.280</v>
      </c>
      <c r="U26" t="str">
        <f t="shared" si="0"/>
        <v>AB01F4</v>
      </c>
      <c r="V26">
        <v>0</v>
      </c>
      <c r="W26">
        <v>0</v>
      </c>
      <c r="X26">
        <v>1</v>
      </c>
      <c r="Z26">
        <v>0</v>
      </c>
      <c r="AA26">
        <v>9</v>
      </c>
      <c r="AB26">
        <v>3</v>
      </c>
      <c r="AC26">
        <v>0</v>
      </c>
      <c r="AD26">
        <v>10</v>
      </c>
      <c r="AE26">
        <v>0</v>
      </c>
      <c r="AF26">
        <v>0</v>
      </c>
      <c r="AG26">
        <v>2</v>
      </c>
      <c r="AH26">
        <v>0</v>
      </c>
      <c r="AI26" t="s">
        <v>150</v>
      </c>
      <c r="AJ26">
        <v>39.481645</v>
      </c>
      <c r="AK26" t="s">
        <v>151</v>
      </c>
      <c r="AL26">
        <v>-92.420468</v>
      </c>
      <c r="AM26">
        <v>100</v>
      </c>
      <c r="AN26">
        <v>1300</v>
      </c>
      <c r="AO26" t="s">
        <v>118</v>
      </c>
      <c r="AP26">
        <v>-26</v>
      </c>
      <c r="AQ26">
        <v>94</v>
      </c>
      <c r="AR26">
        <v>576</v>
      </c>
      <c r="AZ26">
        <v>1200</v>
      </c>
      <c r="BA26">
        <v>1</v>
      </c>
      <c r="BB26" t="str">
        <f t="shared" si="3"/>
        <v xml:space="preserve">N8080G  </v>
      </c>
      <c r="BC26">
        <v>1</v>
      </c>
      <c r="BE26">
        <v>0</v>
      </c>
      <c r="BF26">
        <v>0</v>
      </c>
      <c r="BG26">
        <v>0</v>
      </c>
      <c r="BH26">
        <v>1375</v>
      </c>
      <c r="BI26">
        <v>1</v>
      </c>
      <c r="BJ26">
        <v>1</v>
      </c>
      <c r="BK26">
        <v>1</v>
      </c>
      <c r="BL26">
        <v>0</v>
      </c>
      <c r="BO26">
        <v>0</v>
      </c>
      <c r="BP26">
        <v>0</v>
      </c>
      <c r="BW26" t="str">
        <f>"20:10:50.682"</f>
        <v>20:10:50.682</v>
      </c>
      <c r="CJ26">
        <v>0</v>
      </c>
      <c r="CK26">
        <v>2</v>
      </c>
      <c r="CL26">
        <v>0</v>
      </c>
      <c r="CM26">
        <v>2</v>
      </c>
      <c r="CN26">
        <v>0</v>
      </c>
      <c r="CO26">
        <v>4</v>
      </c>
      <c r="CP26" t="s">
        <v>119</v>
      </c>
      <c r="CQ26">
        <v>180</v>
      </c>
      <c r="CR26">
        <v>2</v>
      </c>
      <c r="CW26">
        <v>7713396</v>
      </c>
      <c r="CY26">
        <v>0</v>
      </c>
      <c r="CZ26">
        <v>0</v>
      </c>
      <c r="DA26">
        <v>1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</row>
    <row r="27" spans="1:113" x14ac:dyDescent="0.3">
      <c r="A27" t="str">
        <f>"02/08/2021 20:10:49.738"</f>
        <v>02/08/2021 20:10:49.738</v>
      </c>
      <c r="C27" t="str">
        <f t="shared" si="2"/>
        <v>FFDFD3C0</v>
      </c>
      <c r="D27" t="s">
        <v>113</v>
      </c>
      <c r="E27">
        <v>6</v>
      </c>
      <c r="H27">
        <v>165</v>
      </c>
      <c r="I27" t="s">
        <v>114</v>
      </c>
      <c r="J27" t="s">
        <v>115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"20:10:52.086"</f>
        <v>20:10:52.086</v>
      </c>
      <c r="T27" t="str">
        <f>"20:10:51.586"</f>
        <v>20:10:51.586</v>
      </c>
      <c r="U27" t="str">
        <f t="shared" si="0"/>
        <v>AB01F4</v>
      </c>
      <c r="V27">
        <v>0</v>
      </c>
      <c r="W27">
        <v>0</v>
      </c>
      <c r="X27">
        <v>1</v>
      </c>
      <c r="Z27">
        <v>0</v>
      </c>
      <c r="AA27">
        <v>9</v>
      </c>
      <c r="AB27">
        <v>3</v>
      </c>
      <c r="AC27">
        <v>0</v>
      </c>
      <c r="AD27">
        <v>10</v>
      </c>
      <c r="AE27">
        <v>0</v>
      </c>
      <c r="AF27">
        <v>3</v>
      </c>
      <c r="AG27">
        <v>2</v>
      </c>
      <c r="AH27">
        <v>0</v>
      </c>
      <c r="AI27" t="s">
        <v>152</v>
      </c>
      <c r="AJ27">
        <v>39.482267</v>
      </c>
      <c r="AK27" t="s">
        <v>153</v>
      </c>
      <c r="AL27">
        <v>-92.420660999999996</v>
      </c>
      <c r="AM27">
        <v>100</v>
      </c>
      <c r="AN27">
        <v>1300</v>
      </c>
      <c r="AO27" t="s">
        <v>118</v>
      </c>
      <c r="AP27">
        <v>-26</v>
      </c>
      <c r="AQ27">
        <v>95</v>
      </c>
      <c r="AR27">
        <v>576</v>
      </c>
      <c r="AZ27">
        <v>1200</v>
      </c>
      <c r="BA27">
        <v>1</v>
      </c>
      <c r="BB27" t="str">
        <f t="shared" si="3"/>
        <v xml:space="preserve">N8080G  </v>
      </c>
      <c r="BC27">
        <v>1</v>
      </c>
      <c r="BE27">
        <v>0</v>
      </c>
      <c r="BF27">
        <v>0</v>
      </c>
      <c r="BG27">
        <v>0</v>
      </c>
      <c r="BH27">
        <v>1375</v>
      </c>
      <c r="BI27">
        <v>1</v>
      </c>
      <c r="BJ27">
        <v>1</v>
      </c>
      <c r="BK27">
        <v>1</v>
      </c>
      <c r="BL27">
        <v>0</v>
      </c>
      <c r="BO27">
        <v>0</v>
      </c>
      <c r="BP27">
        <v>0</v>
      </c>
      <c r="BW27" t="str">
        <f>"20:10:52.089"</f>
        <v>20:10:52.089</v>
      </c>
      <c r="CJ27">
        <v>0</v>
      </c>
      <c r="CK27">
        <v>2</v>
      </c>
      <c r="CL27">
        <v>0</v>
      </c>
      <c r="CM27">
        <v>2</v>
      </c>
      <c r="CN27">
        <v>0</v>
      </c>
      <c r="CO27">
        <v>4</v>
      </c>
      <c r="CP27" t="s">
        <v>119</v>
      </c>
      <c r="CQ27">
        <v>559</v>
      </c>
      <c r="CR27">
        <v>0</v>
      </c>
      <c r="CW27">
        <v>10380667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</row>
    <row r="28" spans="1:113" x14ac:dyDescent="0.3">
      <c r="A28" t="str">
        <f>"02/08/2021 20:10:49.738"</f>
        <v>02/08/2021 20:10:49.738</v>
      </c>
      <c r="C28" t="str">
        <f t="shared" si="2"/>
        <v>FFDFD3C0</v>
      </c>
      <c r="D28" t="s">
        <v>124</v>
      </c>
      <c r="E28">
        <v>13</v>
      </c>
      <c r="F28">
        <v>1013</v>
      </c>
      <c r="G28" t="s">
        <v>114</v>
      </c>
      <c r="J28" t="s">
        <v>125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"20:10:52.086"</f>
        <v>20:10:52.086</v>
      </c>
      <c r="T28" t="str">
        <f>"20:10:51.586"</f>
        <v>20:10:51.586</v>
      </c>
      <c r="U28" t="str">
        <f t="shared" si="0"/>
        <v>AB01F4</v>
      </c>
      <c r="V28">
        <v>0</v>
      </c>
      <c r="W28">
        <v>0</v>
      </c>
      <c r="X28">
        <v>1</v>
      </c>
      <c r="Z28">
        <v>0</v>
      </c>
      <c r="AA28">
        <v>9</v>
      </c>
      <c r="AB28">
        <v>3</v>
      </c>
      <c r="AC28">
        <v>0</v>
      </c>
      <c r="AD28">
        <v>10</v>
      </c>
      <c r="AE28">
        <v>0</v>
      </c>
      <c r="AF28">
        <v>3</v>
      </c>
      <c r="AG28">
        <v>2</v>
      </c>
      <c r="AH28">
        <v>0</v>
      </c>
      <c r="AI28" t="s">
        <v>152</v>
      </c>
      <c r="AJ28">
        <v>39.482267</v>
      </c>
      <c r="AK28" t="s">
        <v>153</v>
      </c>
      <c r="AL28">
        <v>-92.420660999999996</v>
      </c>
      <c r="AM28">
        <v>100</v>
      </c>
      <c r="AN28">
        <v>1300</v>
      </c>
      <c r="AO28" t="s">
        <v>118</v>
      </c>
      <c r="AP28">
        <v>-26</v>
      </c>
      <c r="AQ28">
        <v>95</v>
      </c>
      <c r="AR28">
        <v>576</v>
      </c>
      <c r="AZ28">
        <v>1200</v>
      </c>
      <c r="BA28">
        <v>1</v>
      </c>
      <c r="BB28" t="str">
        <f t="shared" si="3"/>
        <v xml:space="preserve">N8080G  </v>
      </c>
      <c r="BC28">
        <v>1</v>
      </c>
      <c r="BE28">
        <v>0</v>
      </c>
      <c r="BF28">
        <v>0</v>
      </c>
      <c r="BG28">
        <v>0</v>
      </c>
      <c r="BH28">
        <v>1375</v>
      </c>
      <c r="BI28">
        <v>1</v>
      </c>
      <c r="BJ28">
        <v>1</v>
      </c>
      <c r="BK28">
        <v>1</v>
      </c>
      <c r="BL28">
        <v>0</v>
      </c>
      <c r="BO28">
        <v>0</v>
      </c>
      <c r="BP28">
        <v>0</v>
      </c>
      <c r="BW28" t="str">
        <f>"20:10:52.089"</f>
        <v>20:10:52.089</v>
      </c>
      <c r="CJ28">
        <v>0</v>
      </c>
      <c r="CK28">
        <v>2</v>
      </c>
      <c r="CL28">
        <v>0</v>
      </c>
      <c r="CM28">
        <v>2</v>
      </c>
      <c r="CN28">
        <v>0</v>
      </c>
      <c r="CO28">
        <v>4</v>
      </c>
      <c r="CP28" t="s">
        <v>119</v>
      </c>
      <c r="CQ28">
        <v>559</v>
      </c>
      <c r="CR28">
        <v>0</v>
      </c>
      <c r="CW28">
        <v>10380667</v>
      </c>
      <c r="CY28">
        <v>0</v>
      </c>
      <c r="CZ28">
        <v>0</v>
      </c>
      <c r="DA28">
        <v>1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</row>
    <row r="29" spans="1:113" x14ac:dyDescent="0.3">
      <c r="A29" t="str">
        <f>"02/08/2021 20:10:49.738"</f>
        <v>02/08/2021 20:10:49.738</v>
      </c>
      <c r="C29" t="str">
        <f t="shared" si="2"/>
        <v>FFDFD3C0</v>
      </c>
      <c r="D29" t="s">
        <v>141</v>
      </c>
      <c r="E29">
        <v>17</v>
      </c>
      <c r="H29">
        <v>256</v>
      </c>
      <c r="I29" t="s">
        <v>142</v>
      </c>
      <c r="J29" t="s">
        <v>143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"20:10:52.086"</f>
        <v>20:10:52.086</v>
      </c>
      <c r="T29" t="str">
        <f>"20:10:51.586"</f>
        <v>20:10:51.586</v>
      </c>
      <c r="U29" t="str">
        <f t="shared" si="0"/>
        <v>AB01F4</v>
      </c>
      <c r="V29">
        <v>0</v>
      </c>
      <c r="W29">
        <v>0</v>
      </c>
      <c r="X29">
        <v>1</v>
      </c>
      <c r="Z29">
        <v>0</v>
      </c>
      <c r="AA29">
        <v>9</v>
      </c>
      <c r="AB29">
        <v>3</v>
      </c>
      <c r="AC29">
        <v>0</v>
      </c>
      <c r="AD29">
        <v>10</v>
      </c>
      <c r="AE29">
        <v>0</v>
      </c>
      <c r="AF29">
        <v>3</v>
      </c>
      <c r="AG29">
        <v>2</v>
      </c>
      <c r="AH29">
        <v>0</v>
      </c>
      <c r="AI29" t="s">
        <v>152</v>
      </c>
      <c r="AJ29">
        <v>39.482267</v>
      </c>
      <c r="AK29" t="s">
        <v>153</v>
      </c>
      <c r="AL29">
        <v>-92.420660999999996</v>
      </c>
      <c r="AM29">
        <v>100</v>
      </c>
      <c r="AN29">
        <v>1300</v>
      </c>
      <c r="AO29" t="s">
        <v>118</v>
      </c>
      <c r="AP29">
        <v>-26</v>
      </c>
      <c r="AQ29">
        <v>95</v>
      </c>
      <c r="AR29">
        <v>576</v>
      </c>
      <c r="AZ29">
        <v>1200</v>
      </c>
      <c r="BA29">
        <v>1</v>
      </c>
      <c r="BB29" t="str">
        <f t="shared" si="3"/>
        <v xml:space="preserve">N8080G  </v>
      </c>
      <c r="BC29">
        <v>1</v>
      </c>
      <c r="BE29">
        <v>0</v>
      </c>
      <c r="BF29">
        <v>0</v>
      </c>
      <c r="BG29">
        <v>0</v>
      </c>
      <c r="BH29">
        <v>1375</v>
      </c>
      <c r="BI29">
        <v>1</v>
      </c>
      <c r="BJ29">
        <v>1</v>
      </c>
      <c r="BK29">
        <v>1</v>
      </c>
      <c r="BL29">
        <v>0</v>
      </c>
      <c r="BO29">
        <v>0</v>
      </c>
      <c r="BP29">
        <v>0</v>
      </c>
      <c r="BW29" t="str">
        <f>"20:10:52.089"</f>
        <v>20:10:52.089</v>
      </c>
      <c r="CJ29">
        <v>0</v>
      </c>
      <c r="CK29">
        <v>2</v>
      </c>
      <c r="CL29">
        <v>0</v>
      </c>
      <c r="CM29">
        <v>2</v>
      </c>
      <c r="CN29">
        <v>0</v>
      </c>
      <c r="CO29">
        <v>4</v>
      </c>
      <c r="CP29" t="s">
        <v>119</v>
      </c>
      <c r="CQ29">
        <v>559</v>
      </c>
      <c r="CR29">
        <v>0</v>
      </c>
      <c r="CW29">
        <v>10380667</v>
      </c>
      <c r="CY29">
        <v>0</v>
      </c>
      <c r="CZ29">
        <v>0</v>
      </c>
      <c r="DA29">
        <v>1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</row>
    <row r="30" spans="1:113" x14ac:dyDescent="0.3">
      <c r="A30" t="str">
        <f>"02/08/2021 20:10:50.694"</f>
        <v>02/08/2021 20:10:50.694</v>
      </c>
      <c r="C30" t="str">
        <f t="shared" si="2"/>
        <v>FFDFD3C0</v>
      </c>
      <c r="D30" t="s">
        <v>124</v>
      </c>
      <c r="E30">
        <v>13</v>
      </c>
      <c r="F30">
        <v>1013</v>
      </c>
      <c r="G30" t="s">
        <v>114</v>
      </c>
      <c r="J30" t="s">
        <v>125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"20:10:53.016"</f>
        <v>20:10:53.016</v>
      </c>
      <c r="T30" t="str">
        <f>"20:10:52.616"</f>
        <v>20:10:52.616</v>
      </c>
      <c r="U30" t="str">
        <f t="shared" si="0"/>
        <v>AB01F4</v>
      </c>
      <c r="V30">
        <v>0</v>
      </c>
      <c r="W30">
        <v>0</v>
      </c>
      <c r="X30">
        <v>1</v>
      </c>
      <c r="Z30">
        <v>0</v>
      </c>
      <c r="AA30">
        <v>9</v>
      </c>
      <c r="AB30">
        <v>3</v>
      </c>
      <c r="AC30">
        <v>0</v>
      </c>
      <c r="AD30">
        <v>10</v>
      </c>
      <c r="AE30">
        <v>0</v>
      </c>
      <c r="AF30">
        <v>3</v>
      </c>
      <c r="AG30">
        <v>2</v>
      </c>
      <c r="AH30">
        <v>0</v>
      </c>
      <c r="AI30" t="s">
        <v>154</v>
      </c>
      <c r="AJ30">
        <v>39.482675</v>
      </c>
      <c r="AK30" t="s">
        <v>155</v>
      </c>
      <c r="AL30">
        <v>-92.420833000000002</v>
      </c>
      <c r="AM30">
        <v>100</v>
      </c>
      <c r="AN30">
        <v>1300</v>
      </c>
      <c r="AO30" t="s">
        <v>118</v>
      </c>
      <c r="AP30">
        <v>-26</v>
      </c>
      <c r="AQ30">
        <v>96</v>
      </c>
      <c r="AR30">
        <v>512</v>
      </c>
      <c r="AZ30">
        <v>1200</v>
      </c>
      <c r="BA30">
        <v>1</v>
      </c>
      <c r="BB30" t="str">
        <f t="shared" si="3"/>
        <v xml:space="preserve">N8080G  </v>
      </c>
      <c r="BC30">
        <v>1</v>
      </c>
      <c r="BE30">
        <v>0</v>
      </c>
      <c r="BF30">
        <v>0</v>
      </c>
      <c r="BG30">
        <v>0</v>
      </c>
      <c r="BH30">
        <v>1400</v>
      </c>
      <c r="BI30">
        <v>1</v>
      </c>
      <c r="BJ30">
        <v>1</v>
      </c>
      <c r="BK30">
        <v>1</v>
      </c>
      <c r="BL30">
        <v>0</v>
      </c>
      <c r="BO30">
        <v>0</v>
      </c>
      <c r="BP30">
        <v>0</v>
      </c>
      <c r="BW30" t="str">
        <f>"20:10:53.018"</f>
        <v>20:10:53.018</v>
      </c>
      <c r="CJ30">
        <v>0</v>
      </c>
      <c r="CK30">
        <v>2</v>
      </c>
      <c r="CL30">
        <v>0</v>
      </c>
      <c r="CM30">
        <v>2</v>
      </c>
      <c r="CN30">
        <v>0</v>
      </c>
      <c r="CO30">
        <v>4</v>
      </c>
      <c r="CP30" t="s">
        <v>119</v>
      </c>
      <c r="CQ30">
        <v>180</v>
      </c>
      <c r="CR30">
        <v>2</v>
      </c>
      <c r="CW30">
        <v>7715284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</row>
    <row r="31" spans="1:113" x14ac:dyDescent="0.3">
      <c r="A31" t="str">
        <f>"02/08/2021 20:10:50.694"</f>
        <v>02/08/2021 20:10:50.694</v>
      </c>
      <c r="C31" t="str">
        <f t="shared" si="2"/>
        <v>FFDFD3C0</v>
      </c>
      <c r="D31" t="s">
        <v>113</v>
      </c>
      <c r="E31">
        <v>6</v>
      </c>
      <c r="H31">
        <v>165</v>
      </c>
      <c r="I31" t="s">
        <v>114</v>
      </c>
      <c r="J31" t="s">
        <v>115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"20:10:53.016"</f>
        <v>20:10:53.016</v>
      </c>
      <c r="T31" t="str">
        <f>"20:10:52.616"</f>
        <v>20:10:52.616</v>
      </c>
      <c r="U31" t="str">
        <f t="shared" si="0"/>
        <v>AB01F4</v>
      </c>
      <c r="V31">
        <v>0</v>
      </c>
      <c r="W31">
        <v>0</v>
      </c>
      <c r="X31">
        <v>1</v>
      </c>
      <c r="Z31">
        <v>0</v>
      </c>
      <c r="AA31">
        <v>9</v>
      </c>
      <c r="AB31">
        <v>3</v>
      </c>
      <c r="AC31">
        <v>0</v>
      </c>
      <c r="AD31">
        <v>10</v>
      </c>
      <c r="AE31">
        <v>0</v>
      </c>
      <c r="AF31">
        <v>3</v>
      </c>
      <c r="AG31">
        <v>2</v>
      </c>
      <c r="AH31">
        <v>0</v>
      </c>
      <c r="AI31" t="s">
        <v>154</v>
      </c>
      <c r="AJ31">
        <v>39.482675</v>
      </c>
      <c r="AK31" t="s">
        <v>155</v>
      </c>
      <c r="AL31">
        <v>-92.420833000000002</v>
      </c>
      <c r="AM31">
        <v>100</v>
      </c>
      <c r="AN31">
        <v>1300</v>
      </c>
      <c r="AO31" t="s">
        <v>118</v>
      </c>
      <c r="AP31">
        <v>-26</v>
      </c>
      <c r="AQ31">
        <v>96</v>
      </c>
      <c r="AR31">
        <v>512</v>
      </c>
      <c r="AZ31">
        <v>1200</v>
      </c>
      <c r="BA31">
        <v>1</v>
      </c>
      <c r="BB31" t="str">
        <f t="shared" si="3"/>
        <v xml:space="preserve">N8080G  </v>
      </c>
      <c r="BC31">
        <v>1</v>
      </c>
      <c r="BE31">
        <v>0</v>
      </c>
      <c r="BF31">
        <v>0</v>
      </c>
      <c r="BG31">
        <v>0</v>
      </c>
      <c r="BH31">
        <v>1400</v>
      </c>
      <c r="BI31">
        <v>1</v>
      </c>
      <c r="BJ31">
        <v>1</v>
      </c>
      <c r="BK31">
        <v>1</v>
      </c>
      <c r="BL31">
        <v>0</v>
      </c>
      <c r="BO31">
        <v>0</v>
      </c>
      <c r="BP31">
        <v>0</v>
      </c>
      <c r="BW31" t="str">
        <f>"20:10:53.018"</f>
        <v>20:10:53.018</v>
      </c>
      <c r="CJ31">
        <v>0</v>
      </c>
      <c r="CK31">
        <v>2</v>
      </c>
      <c r="CL31">
        <v>0</v>
      </c>
      <c r="CM31">
        <v>2</v>
      </c>
      <c r="CN31">
        <v>0</v>
      </c>
      <c r="CO31">
        <v>4</v>
      </c>
      <c r="CP31" t="s">
        <v>119</v>
      </c>
      <c r="CQ31">
        <v>180</v>
      </c>
      <c r="CR31">
        <v>2</v>
      </c>
      <c r="CW31">
        <v>7715284</v>
      </c>
      <c r="CY31">
        <v>0</v>
      </c>
      <c r="CZ31">
        <v>0</v>
      </c>
      <c r="DA31">
        <v>1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</row>
    <row r="32" spans="1:113" x14ac:dyDescent="0.3">
      <c r="A32" t="str">
        <f>"02/08/2021 20:10:54.148"</f>
        <v>02/08/2021 20:10:54.148</v>
      </c>
      <c r="C32" t="str">
        <f t="shared" si="2"/>
        <v>FFDFD3C0</v>
      </c>
      <c r="D32" t="s">
        <v>141</v>
      </c>
      <c r="E32">
        <v>17</v>
      </c>
      <c r="H32">
        <v>256</v>
      </c>
      <c r="I32" t="s">
        <v>142</v>
      </c>
      <c r="J32" t="s">
        <v>143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"20:10:56.469"</f>
        <v>20:10:56.469</v>
      </c>
      <c r="T32" t="str">
        <f>"20:10:55.969"</f>
        <v>20:10:55.969</v>
      </c>
      <c r="U32" t="str">
        <f t="shared" si="0"/>
        <v>AB01F4</v>
      </c>
      <c r="V32">
        <v>0</v>
      </c>
      <c r="W32">
        <v>0</v>
      </c>
      <c r="X32">
        <v>1</v>
      </c>
      <c r="Z32">
        <v>0</v>
      </c>
      <c r="AA32">
        <v>9</v>
      </c>
      <c r="AB32">
        <v>3</v>
      </c>
      <c r="AC32">
        <v>0</v>
      </c>
      <c r="AD32">
        <v>10</v>
      </c>
      <c r="AE32">
        <v>0</v>
      </c>
      <c r="AF32">
        <v>3</v>
      </c>
      <c r="AG32">
        <v>2</v>
      </c>
      <c r="AH32">
        <v>0</v>
      </c>
      <c r="AI32" t="s">
        <v>156</v>
      </c>
      <c r="AJ32">
        <v>39.484220000000001</v>
      </c>
      <c r="AK32" t="s">
        <v>157</v>
      </c>
      <c r="AL32">
        <v>-92.421391</v>
      </c>
      <c r="AM32">
        <v>100</v>
      </c>
      <c r="AN32">
        <v>1400</v>
      </c>
      <c r="AO32" t="s">
        <v>118</v>
      </c>
      <c r="AP32">
        <v>-26</v>
      </c>
      <c r="AQ32">
        <v>98</v>
      </c>
      <c r="AR32">
        <v>448</v>
      </c>
      <c r="AZ32">
        <v>1200</v>
      </c>
      <c r="BA32">
        <v>1</v>
      </c>
      <c r="BB32" t="str">
        <f t="shared" si="3"/>
        <v xml:space="preserve">N8080G  </v>
      </c>
      <c r="BC32">
        <v>1</v>
      </c>
      <c r="BE32">
        <v>0</v>
      </c>
      <c r="BF32">
        <v>0</v>
      </c>
      <c r="BG32">
        <v>0</v>
      </c>
      <c r="BH32">
        <v>1400</v>
      </c>
      <c r="BI32">
        <v>1</v>
      </c>
      <c r="BJ32">
        <v>1</v>
      </c>
      <c r="BK32">
        <v>1</v>
      </c>
      <c r="BL32">
        <v>0</v>
      </c>
      <c r="BO32">
        <v>0</v>
      </c>
      <c r="BP32">
        <v>0</v>
      </c>
      <c r="BW32" t="str">
        <f>"20:10:56.472"</f>
        <v>20:10:56.472</v>
      </c>
      <c r="CJ32">
        <v>0</v>
      </c>
      <c r="CK32">
        <v>2</v>
      </c>
      <c r="CL32">
        <v>0</v>
      </c>
      <c r="CM32">
        <v>2</v>
      </c>
      <c r="CN32">
        <v>0</v>
      </c>
      <c r="CO32">
        <v>4</v>
      </c>
      <c r="CP32" t="s">
        <v>119</v>
      </c>
      <c r="CQ32">
        <v>559</v>
      </c>
      <c r="CR32">
        <v>0</v>
      </c>
      <c r="CW32">
        <v>10381367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</row>
    <row r="33" spans="1:113" x14ac:dyDescent="0.3">
      <c r="A33" t="str">
        <f>"02/08/2021 20:10:54.148"</f>
        <v>02/08/2021 20:10:54.148</v>
      </c>
      <c r="C33" t="str">
        <f t="shared" si="2"/>
        <v>FFDFD3C0</v>
      </c>
      <c r="D33" t="s">
        <v>124</v>
      </c>
      <c r="E33">
        <v>13</v>
      </c>
      <c r="F33">
        <v>1013</v>
      </c>
      <c r="G33" t="s">
        <v>114</v>
      </c>
      <c r="J33" t="s">
        <v>125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"20:10:56.469"</f>
        <v>20:10:56.469</v>
      </c>
      <c r="T33" t="str">
        <f>"20:10:55.969"</f>
        <v>20:10:55.969</v>
      </c>
      <c r="U33" t="str">
        <f t="shared" si="0"/>
        <v>AB01F4</v>
      </c>
      <c r="V33">
        <v>0</v>
      </c>
      <c r="W33">
        <v>0</v>
      </c>
      <c r="X33">
        <v>1</v>
      </c>
      <c r="Z33">
        <v>0</v>
      </c>
      <c r="AA33">
        <v>9</v>
      </c>
      <c r="AB33">
        <v>3</v>
      </c>
      <c r="AC33">
        <v>0</v>
      </c>
      <c r="AD33">
        <v>10</v>
      </c>
      <c r="AE33">
        <v>0</v>
      </c>
      <c r="AF33">
        <v>3</v>
      </c>
      <c r="AG33">
        <v>2</v>
      </c>
      <c r="AH33">
        <v>0</v>
      </c>
      <c r="AI33" t="s">
        <v>156</v>
      </c>
      <c r="AJ33">
        <v>39.484220000000001</v>
      </c>
      <c r="AK33" t="s">
        <v>157</v>
      </c>
      <c r="AL33">
        <v>-92.421391</v>
      </c>
      <c r="AM33">
        <v>100</v>
      </c>
      <c r="AN33">
        <v>1400</v>
      </c>
      <c r="AO33" t="s">
        <v>118</v>
      </c>
      <c r="AP33">
        <v>-26</v>
      </c>
      <c r="AQ33">
        <v>98</v>
      </c>
      <c r="AR33">
        <v>448</v>
      </c>
      <c r="AZ33">
        <v>1200</v>
      </c>
      <c r="BA33">
        <v>1</v>
      </c>
      <c r="BB33" t="str">
        <f t="shared" si="3"/>
        <v xml:space="preserve">N8080G  </v>
      </c>
      <c r="BC33">
        <v>1</v>
      </c>
      <c r="BE33">
        <v>0</v>
      </c>
      <c r="BF33">
        <v>0</v>
      </c>
      <c r="BG33">
        <v>0</v>
      </c>
      <c r="BH33">
        <v>1400</v>
      </c>
      <c r="BI33">
        <v>1</v>
      </c>
      <c r="BJ33">
        <v>1</v>
      </c>
      <c r="BK33">
        <v>1</v>
      </c>
      <c r="BL33">
        <v>0</v>
      </c>
      <c r="BO33">
        <v>0</v>
      </c>
      <c r="BP33">
        <v>0</v>
      </c>
      <c r="BW33" t="str">
        <f>"20:10:56.472"</f>
        <v>20:10:56.472</v>
      </c>
      <c r="CJ33">
        <v>0</v>
      </c>
      <c r="CK33">
        <v>2</v>
      </c>
      <c r="CL33">
        <v>0</v>
      </c>
      <c r="CM33">
        <v>2</v>
      </c>
      <c r="CN33">
        <v>0</v>
      </c>
      <c r="CO33">
        <v>4</v>
      </c>
      <c r="CP33" t="s">
        <v>119</v>
      </c>
      <c r="CQ33">
        <v>180</v>
      </c>
      <c r="CR33">
        <v>2</v>
      </c>
      <c r="CW33">
        <v>7718114</v>
      </c>
      <c r="CY33">
        <v>0</v>
      </c>
      <c r="CZ33">
        <v>0</v>
      </c>
      <c r="DA33">
        <v>1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</row>
    <row r="34" spans="1:113" x14ac:dyDescent="0.3">
      <c r="A34" t="str">
        <f>"02/08/2021 20:10:54.148"</f>
        <v>02/08/2021 20:10:54.148</v>
      </c>
      <c r="C34" t="str">
        <f t="shared" si="2"/>
        <v>FFDFD3C0</v>
      </c>
      <c r="D34" t="s">
        <v>113</v>
      </c>
      <c r="E34">
        <v>6</v>
      </c>
      <c r="H34">
        <v>165</v>
      </c>
      <c r="I34" t="s">
        <v>114</v>
      </c>
      <c r="J34" t="s">
        <v>115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"20:10:56.469"</f>
        <v>20:10:56.469</v>
      </c>
      <c r="T34" t="str">
        <f>"20:10:55.969"</f>
        <v>20:10:55.969</v>
      </c>
      <c r="U34" t="str">
        <f t="shared" si="0"/>
        <v>AB01F4</v>
      </c>
      <c r="V34">
        <v>0</v>
      </c>
      <c r="W34">
        <v>0</v>
      </c>
      <c r="X34">
        <v>1</v>
      </c>
      <c r="Z34">
        <v>0</v>
      </c>
      <c r="AA34">
        <v>9</v>
      </c>
      <c r="AB34">
        <v>3</v>
      </c>
      <c r="AC34">
        <v>0</v>
      </c>
      <c r="AD34">
        <v>10</v>
      </c>
      <c r="AE34">
        <v>0</v>
      </c>
      <c r="AF34">
        <v>3</v>
      </c>
      <c r="AG34">
        <v>2</v>
      </c>
      <c r="AH34">
        <v>0</v>
      </c>
      <c r="AI34" t="s">
        <v>156</v>
      </c>
      <c r="AJ34">
        <v>39.484220000000001</v>
      </c>
      <c r="AK34" t="s">
        <v>157</v>
      </c>
      <c r="AL34">
        <v>-92.421391</v>
      </c>
      <c r="AM34">
        <v>100</v>
      </c>
      <c r="AN34">
        <v>1400</v>
      </c>
      <c r="AO34" t="s">
        <v>118</v>
      </c>
      <c r="AP34">
        <v>-26</v>
      </c>
      <c r="AQ34">
        <v>98</v>
      </c>
      <c r="AR34">
        <v>448</v>
      </c>
      <c r="AZ34">
        <v>1200</v>
      </c>
      <c r="BA34">
        <v>1</v>
      </c>
      <c r="BB34" t="str">
        <f t="shared" si="3"/>
        <v xml:space="preserve">N8080G  </v>
      </c>
      <c r="BC34">
        <v>1</v>
      </c>
      <c r="BE34">
        <v>0</v>
      </c>
      <c r="BF34">
        <v>0</v>
      </c>
      <c r="BG34">
        <v>0</v>
      </c>
      <c r="BH34">
        <v>1400</v>
      </c>
      <c r="BI34">
        <v>1</v>
      </c>
      <c r="BJ34">
        <v>1</v>
      </c>
      <c r="BK34">
        <v>1</v>
      </c>
      <c r="BL34">
        <v>0</v>
      </c>
      <c r="BO34">
        <v>0</v>
      </c>
      <c r="BP34">
        <v>0</v>
      </c>
      <c r="BW34" t="str">
        <f>"20:10:56.472"</f>
        <v>20:10:56.472</v>
      </c>
      <c r="CJ34">
        <v>0</v>
      </c>
      <c r="CK34">
        <v>2</v>
      </c>
      <c r="CL34">
        <v>0</v>
      </c>
      <c r="CM34">
        <v>2</v>
      </c>
      <c r="CN34">
        <v>0</v>
      </c>
      <c r="CO34">
        <v>4</v>
      </c>
      <c r="CP34" t="s">
        <v>119</v>
      </c>
      <c r="CQ34">
        <v>180</v>
      </c>
      <c r="CR34">
        <v>2</v>
      </c>
      <c r="CW34">
        <v>7718114</v>
      </c>
      <c r="CY34">
        <v>0</v>
      </c>
      <c r="CZ34">
        <v>0</v>
      </c>
      <c r="DA34">
        <v>1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</row>
    <row r="35" spans="1:113" x14ac:dyDescent="0.3">
      <c r="A35" t="str">
        <f>"02/08/2021 20:10:55.274"</f>
        <v>02/08/2021 20:10:55.274</v>
      </c>
      <c r="C35" t="str">
        <f t="shared" si="2"/>
        <v>FFDFD3C0</v>
      </c>
      <c r="D35" t="s">
        <v>124</v>
      </c>
      <c r="E35">
        <v>13</v>
      </c>
      <c r="F35">
        <v>1013</v>
      </c>
      <c r="G35" t="s">
        <v>114</v>
      </c>
      <c r="J35" t="s">
        <v>125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"20:10:57.594"</f>
        <v>20:10:57.594</v>
      </c>
      <c r="T35" t="str">
        <f>"20:10:55.994"</f>
        <v>20:10:55.994</v>
      </c>
      <c r="U35" t="str">
        <f t="shared" si="0"/>
        <v>AB01F4</v>
      </c>
      <c r="V35">
        <v>0</v>
      </c>
      <c r="W35">
        <v>0</v>
      </c>
      <c r="X35">
        <v>1</v>
      </c>
      <c r="Z35">
        <v>0</v>
      </c>
      <c r="AA35">
        <v>9</v>
      </c>
      <c r="AB35">
        <v>3</v>
      </c>
      <c r="AC35">
        <v>0</v>
      </c>
      <c r="AD35">
        <v>10</v>
      </c>
      <c r="AE35">
        <v>0</v>
      </c>
      <c r="AF35">
        <v>3</v>
      </c>
      <c r="AG35">
        <v>2</v>
      </c>
      <c r="AH35">
        <v>0</v>
      </c>
      <c r="AI35" t="s">
        <v>158</v>
      </c>
      <c r="AJ35">
        <v>39.484735000000001</v>
      </c>
      <c r="AK35" t="s">
        <v>159</v>
      </c>
      <c r="AL35">
        <v>-92.421520000000001</v>
      </c>
      <c r="AM35">
        <v>100</v>
      </c>
      <c r="AN35">
        <v>1400</v>
      </c>
      <c r="AO35" t="s">
        <v>118</v>
      </c>
      <c r="AP35">
        <v>-26</v>
      </c>
      <c r="AQ35">
        <v>98</v>
      </c>
      <c r="AR35">
        <v>448</v>
      </c>
      <c r="AZ35">
        <v>1200</v>
      </c>
      <c r="BA35">
        <v>1</v>
      </c>
      <c r="BB35" t="str">
        <f t="shared" si="3"/>
        <v xml:space="preserve">N8080G  </v>
      </c>
      <c r="BC35">
        <v>1</v>
      </c>
      <c r="BE35">
        <v>0</v>
      </c>
      <c r="BF35">
        <v>0</v>
      </c>
      <c r="BG35">
        <v>0</v>
      </c>
      <c r="BH35">
        <v>1400</v>
      </c>
      <c r="BI35">
        <v>1</v>
      </c>
      <c r="BJ35">
        <v>1</v>
      </c>
      <c r="BK35">
        <v>1</v>
      </c>
      <c r="BL35">
        <v>0</v>
      </c>
      <c r="BO35">
        <v>0</v>
      </c>
      <c r="BP35">
        <v>0</v>
      </c>
      <c r="BW35" t="str">
        <f>"20:10:57.599"</f>
        <v>20:10:57.599</v>
      </c>
      <c r="CJ35">
        <v>0</v>
      </c>
      <c r="CK35">
        <v>2</v>
      </c>
      <c r="CL35">
        <v>0</v>
      </c>
      <c r="CM35">
        <v>2</v>
      </c>
      <c r="CN35">
        <v>0</v>
      </c>
      <c r="CO35">
        <v>4</v>
      </c>
      <c r="CP35" t="s">
        <v>119</v>
      </c>
      <c r="CQ35">
        <v>180</v>
      </c>
      <c r="CR35">
        <v>2</v>
      </c>
      <c r="CW35">
        <v>7719049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</row>
    <row r="36" spans="1:113" x14ac:dyDescent="0.3">
      <c r="A36" t="str">
        <f>"02/08/2021 20:10:55.274"</f>
        <v>02/08/2021 20:10:55.274</v>
      </c>
      <c r="C36" t="str">
        <f t="shared" si="2"/>
        <v>FFDFD3C0</v>
      </c>
      <c r="D36" t="s">
        <v>113</v>
      </c>
      <c r="E36">
        <v>6</v>
      </c>
      <c r="H36">
        <v>165</v>
      </c>
      <c r="I36" t="s">
        <v>114</v>
      </c>
      <c r="J36" t="s">
        <v>115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"20:10:57.594"</f>
        <v>20:10:57.594</v>
      </c>
      <c r="T36" t="str">
        <f>"20:10:55.994"</f>
        <v>20:10:55.994</v>
      </c>
      <c r="U36" t="str">
        <f t="shared" si="0"/>
        <v>AB01F4</v>
      </c>
      <c r="V36">
        <v>0</v>
      </c>
      <c r="W36">
        <v>0</v>
      </c>
      <c r="X36">
        <v>1</v>
      </c>
      <c r="Z36">
        <v>0</v>
      </c>
      <c r="AA36">
        <v>9</v>
      </c>
      <c r="AB36">
        <v>3</v>
      </c>
      <c r="AC36">
        <v>0</v>
      </c>
      <c r="AD36">
        <v>10</v>
      </c>
      <c r="AE36">
        <v>0</v>
      </c>
      <c r="AF36">
        <v>3</v>
      </c>
      <c r="AG36">
        <v>2</v>
      </c>
      <c r="AH36">
        <v>0</v>
      </c>
      <c r="AI36" t="s">
        <v>158</v>
      </c>
      <c r="AJ36">
        <v>39.484735000000001</v>
      </c>
      <c r="AK36" t="s">
        <v>159</v>
      </c>
      <c r="AL36">
        <v>-92.421520000000001</v>
      </c>
      <c r="AM36">
        <v>100</v>
      </c>
      <c r="AN36">
        <v>1400</v>
      </c>
      <c r="AO36" t="s">
        <v>118</v>
      </c>
      <c r="AP36">
        <v>-26</v>
      </c>
      <c r="AQ36">
        <v>98</v>
      </c>
      <c r="AR36">
        <v>448</v>
      </c>
      <c r="AZ36">
        <v>1200</v>
      </c>
      <c r="BA36">
        <v>1</v>
      </c>
      <c r="BB36" t="str">
        <f t="shared" si="3"/>
        <v xml:space="preserve">N8080G  </v>
      </c>
      <c r="BC36">
        <v>1</v>
      </c>
      <c r="BE36">
        <v>0</v>
      </c>
      <c r="BF36">
        <v>0</v>
      </c>
      <c r="BG36">
        <v>0</v>
      </c>
      <c r="BH36">
        <v>1400</v>
      </c>
      <c r="BI36">
        <v>1</v>
      </c>
      <c r="BJ36">
        <v>1</v>
      </c>
      <c r="BK36">
        <v>1</v>
      </c>
      <c r="BL36">
        <v>0</v>
      </c>
      <c r="BO36">
        <v>0</v>
      </c>
      <c r="BP36">
        <v>0</v>
      </c>
      <c r="BW36" t="str">
        <f>"20:10:57.599"</f>
        <v>20:10:57.599</v>
      </c>
      <c r="CJ36">
        <v>0</v>
      </c>
      <c r="CK36">
        <v>2</v>
      </c>
      <c r="CL36">
        <v>0</v>
      </c>
      <c r="CM36">
        <v>2</v>
      </c>
      <c r="CN36">
        <v>0</v>
      </c>
      <c r="CO36">
        <v>4</v>
      </c>
      <c r="CP36" t="s">
        <v>119</v>
      </c>
      <c r="CQ36">
        <v>180</v>
      </c>
      <c r="CR36">
        <v>2</v>
      </c>
      <c r="CW36">
        <v>7719049</v>
      </c>
      <c r="CY36">
        <v>0</v>
      </c>
      <c r="CZ36">
        <v>0</v>
      </c>
      <c r="DA36">
        <v>1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</row>
    <row r="37" spans="1:113" x14ac:dyDescent="0.3">
      <c r="A37" t="str">
        <f>"02/08/2021 20:10:56.121"</f>
        <v>02/08/2021 20:10:56.121</v>
      </c>
      <c r="C37" t="str">
        <f t="shared" si="2"/>
        <v>FFDFD3C0</v>
      </c>
      <c r="D37" t="s">
        <v>141</v>
      </c>
      <c r="E37">
        <v>17</v>
      </c>
      <c r="H37">
        <v>256</v>
      </c>
      <c r="I37" t="s">
        <v>142</v>
      </c>
      <c r="J37" t="s">
        <v>143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"20:10:58.445"</f>
        <v>20:10:58.445</v>
      </c>
      <c r="T37" t="str">
        <f>"20:10:58.045"</f>
        <v>20:10:58.045</v>
      </c>
      <c r="U37" t="str">
        <f t="shared" si="0"/>
        <v>AB01F4</v>
      </c>
      <c r="V37">
        <v>0</v>
      </c>
      <c r="W37">
        <v>0</v>
      </c>
      <c r="X37">
        <v>1</v>
      </c>
      <c r="Z37">
        <v>0</v>
      </c>
      <c r="AA37">
        <v>9</v>
      </c>
      <c r="AB37">
        <v>3</v>
      </c>
      <c r="AC37">
        <v>0</v>
      </c>
      <c r="AD37">
        <v>10</v>
      </c>
      <c r="AE37">
        <v>0</v>
      </c>
      <c r="AF37">
        <v>3</v>
      </c>
      <c r="AG37">
        <v>2</v>
      </c>
      <c r="AH37">
        <v>0</v>
      </c>
      <c r="AI37" t="s">
        <v>160</v>
      </c>
      <c r="AJ37">
        <v>39.485142000000003</v>
      </c>
      <c r="AK37" t="s">
        <v>161</v>
      </c>
      <c r="AL37">
        <v>-92.421690999999996</v>
      </c>
      <c r="AM37">
        <v>100</v>
      </c>
      <c r="AN37">
        <v>1400</v>
      </c>
      <c r="AO37" t="s">
        <v>118</v>
      </c>
      <c r="AP37">
        <v>-27</v>
      </c>
      <c r="AQ37">
        <v>99</v>
      </c>
      <c r="AR37">
        <v>512</v>
      </c>
      <c r="AZ37">
        <v>1200</v>
      </c>
      <c r="BA37">
        <v>1</v>
      </c>
      <c r="BB37" t="str">
        <f t="shared" si="3"/>
        <v xml:space="preserve">N8080G  </v>
      </c>
      <c r="BC37">
        <v>1</v>
      </c>
      <c r="BE37">
        <v>0</v>
      </c>
      <c r="BF37">
        <v>0</v>
      </c>
      <c r="BG37">
        <v>0</v>
      </c>
      <c r="BH37">
        <v>1425</v>
      </c>
      <c r="BI37">
        <v>1</v>
      </c>
      <c r="BJ37">
        <v>1</v>
      </c>
      <c r="BK37">
        <v>1</v>
      </c>
      <c r="BL37">
        <v>0</v>
      </c>
      <c r="BO37">
        <v>0</v>
      </c>
      <c r="BP37">
        <v>0</v>
      </c>
      <c r="BW37" t="str">
        <f>"20:10:58.450"</f>
        <v>20:10:58.450</v>
      </c>
      <c r="CJ37">
        <v>0</v>
      </c>
      <c r="CK37">
        <v>2</v>
      </c>
      <c r="CL37">
        <v>0</v>
      </c>
      <c r="CM37">
        <v>2</v>
      </c>
      <c r="CN37">
        <v>0</v>
      </c>
      <c r="CO37">
        <v>4</v>
      </c>
      <c r="CP37" t="s">
        <v>119</v>
      </c>
      <c r="CQ37">
        <v>559</v>
      </c>
      <c r="CR37">
        <v>0</v>
      </c>
      <c r="CW37">
        <v>10381677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</row>
    <row r="38" spans="1:113" x14ac:dyDescent="0.3">
      <c r="A38" t="str">
        <f>"02/08/2021 20:10:56.121"</f>
        <v>02/08/2021 20:10:56.121</v>
      </c>
      <c r="C38" t="str">
        <f t="shared" si="2"/>
        <v>FFDFD3C0</v>
      </c>
      <c r="D38" t="s">
        <v>124</v>
      </c>
      <c r="E38">
        <v>13</v>
      </c>
      <c r="F38">
        <v>1013</v>
      </c>
      <c r="G38" t="s">
        <v>114</v>
      </c>
      <c r="J38" t="s">
        <v>125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"20:10:58.445"</f>
        <v>20:10:58.445</v>
      </c>
      <c r="T38" t="str">
        <f>"20:10:58.045"</f>
        <v>20:10:58.045</v>
      </c>
      <c r="U38" t="str">
        <f t="shared" si="0"/>
        <v>AB01F4</v>
      </c>
      <c r="V38">
        <v>0</v>
      </c>
      <c r="W38">
        <v>0</v>
      </c>
      <c r="X38">
        <v>1</v>
      </c>
      <c r="Z38">
        <v>0</v>
      </c>
      <c r="AA38">
        <v>9</v>
      </c>
      <c r="AB38">
        <v>3</v>
      </c>
      <c r="AC38">
        <v>0</v>
      </c>
      <c r="AD38">
        <v>10</v>
      </c>
      <c r="AE38">
        <v>0</v>
      </c>
      <c r="AF38">
        <v>3</v>
      </c>
      <c r="AG38">
        <v>2</v>
      </c>
      <c r="AH38">
        <v>0</v>
      </c>
      <c r="AI38" t="s">
        <v>160</v>
      </c>
      <c r="AJ38">
        <v>39.485142000000003</v>
      </c>
      <c r="AK38" t="s">
        <v>161</v>
      </c>
      <c r="AL38">
        <v>-92.421690999999996</v>
      </c>
      <c r="AM38">
        <v>100</v>
      </c>
      <c r="AN38">
        <v>1400</v>
      </c>
      <c r="AO38" t="s">
        <v>118</v>
      </c>
      <c r="AP38">
        <v>-27</v>
      </c>
      <c r="AQ38">
        <v>99</v>
      </c>
      <c r="AR38">
        <v>512</v>
      </c>
      <c r="AZ38">
        <v>1200</v>
      </c>
      <c r="BA38">
        <v>1</v>
      </c>
      <c r="BB38" t="str">
        <f t="shared" si="3"/>
        <v xml:space="preserve">N8080G  </v>
      </c>
      <c r="BC38">
        <v>1</v>
      </c>
      <c r="BE38">
        <v>0</v>
      </c>
      <c r="BF38">
        <v>0</v>
      </c>
      <c r="BG38">
        <v>0</v>
      </c>
      <c r="BH38">
        <v>1425</v>
      </c>
      <c r="BI38">
        <v>1</v>
      </c>
      <c r="BJ38">
        <v>1</v>
      </c>
      <c r="BK38">
        <v>1</v>
      </c>
      <c r="BL38">
        <v>0</v>
      </c>
      <c r="BO38">
        <v>0</v>
      </c>
      <c r="BP38">
        <v>0</v>
      </c>
      <c r="BW38" t="str">
        <f>"20:10:58.450"</f>
        <v>20:10:58.450</v>
      </c>
      <c r="CJ38">
        <v>0</v>
      </c>
      <c r="CK38">
        <v>2</v>
      </c>
      <c r="CL38">
        <v>0</v>
      </c>
      <c r="CM38">
        <v>2</v>
      </c>
      <c r="CN38">
        <v>0</v>
      </c>
      <c r="CO38">
        <v>4</v>
      </c>
      <c r="CP38" t="s">
        <v>119</v>
      </c>
      <c r="CQ38">
        <v>559</v>
      </c>
      <c r="CR38">
        <v>0</v>
      </c>
      <c r="CW38">
        <v>10381677</v>
      </c>
      <c r="CY38">
        <v>0</v>
      </c>
      <c r="CZ38">
        <v>0</v>
      </c>
      <c r="DA38">
        <v>1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</row>
    <row r="39" spans="1:113" x14ac:dyDescent="0.3">
      <c r="A39" t="str">
        <f>"02/08/2021 20:10:56.121"</f>
        <v>02/08/2021 20:10:56.121</v>
      </c>
      <c r="C39" t="str">
        <f t="shared" si="2"/>
        <v>FFDFD3C0</v>
      </c>
      <c r="D39" t="s">
        <v>113</v>
      </c>
      <c r="E39">
        <v>6</v>
      </c>
      <c r="H39">
        <v>165</v>
      </c>
      <c r="I39" t="s">
        <v>114</v>
      </c>
      <c r="J39" t="s">
        <v>115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"20:10:58.445"</f>
        <v>20:10:58.445</v>
      </c>
      <c r="T39" t="str">
        <f>"20:10:58.045"</f>
        <v>20:10:58.045</v>
      </c>
      <c r="U39" t="str">
        <f t="shared" si="0"/>
        <v>AB01F4</v>
      </c>
      <c r="V39">
        <v>0</v>
      </c>
      <c r="W39">
        <v>0</v>
      </c>
      <c r="X39">
        <v>1</v>
      </c>
      <c r="Z39">
        <v>0</v>
      </c>
      <c r="AA39">
        <v>9</v>
      </c>
      <c r="AB39">
        <v>3</v>
      </c>
      <c r="AC39">
        <v>0</v>
      </c>
      <c r="AD39">
        <v>10</v>
      </c>
      <c r="AE39">
        <v>0</v>
      </c>
      <c r="AF39">
        <v>3</v>
      </c>
      <c r="AG39">
        <v>2</v>
      </c>
      <c r="AH39">
        <v>0</v>
      </c>
      <c r="AI39" t="s">
        <v>160</v>
      </c>
      <c r="AJ39">
        <v>39.485142000000003</v>
      </c>
      <c r="AK39" t="s">
        <v>161</v>
      </c>
      <c r="AL39">
        <v>-92.421690999999996</v>
      </c>
      <c r="AM39">
        <v>100</v>
      </c>
      <c r="AN39">
        <v>1400</v>
      </c>
      <c r="AO39" t="s">
        <v>118</v>
      </c>
      <c r="AP39">
        <v>-27</v>
      </c>
      <c r="AQ39">
        <v>99</v>
      </c>
      <c r="AR39">
        <v>512</v>
      </c>
      <c r="AZ39">
        <v>1200</v>
      </c>
      <c r="BA39">
        <v>1</v>
      </c>
      <c r="BB39" t="str">
        <f t="shared" si="3"/>
        <v xml:space="preserve">N8080G  </v>
      </c>
      <c r="BC39">
        <v>1</v>
      </c>
      <c r="BE39">
        <v>0</v>
      </c>
      <c r="BF39">
        <v>0</v>
      </c>
      <c r="BG39">
        <v>0</v>
      </c>
      <c r="BH39">
        <v>1425</v>
      </c>
      <c r="BI39">
        <v>1</v>
      </c>
      <c r="BJ39">
        <v>1</v>
      </c>
      <c r="BK39">
        <v>1</v>
      </c>
      <c r="BL39">
        <v>0</v>
      </c>
      <c r="BO39">
        <v>0</v>
      </c>
      <c r="BP39">
        <v>0</v>
      </c>
      <c r="BW39" t="str">
        <f>"20:10:58.450"</f>
        <v>20:10:58.450</v>
      </c>
      <c r="CJ39">
        <v>0</v>
      </c>
      <c r="CK39">
        <v>2</v>
      </c>
      <c r="CL39">
        <v>0</v>
      </c>
      <c r="CM39">
        <v>2</v>
      </c>
      <c r="CN39">
        <v>0</v>
      </c>
      <c r="CO39">
        <v>4</v>
      </c>
      <c r="CP39" t="s">
        <v>119</v>
      </c>
      <c r="CQ39">
        <v>559</v>
      </c>
      <c r="CR39">
        <v>0</v>
      </c>
      <c r="CW39">
        <v>10381677</v>
      </c>
      <c r="CY39">
        <v>0</v>
      </c>
      <c r="CZ39">
        <v>0</v>
      </c>
      <c r="DA39">
        <v>1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</row>
    <row r="40" spans="1:113" x14ac:dyDescent="0.3">
      <c r="A40" t="str">
        <f>"02/08/2021 20:10:57.073"</f>
        <v>02/08/2021 20:10:57.073</v>
      </c>
      <c r="C40" t="str">
        <f t="shared" si="2"/>
        <v>FFDFD3C0</v>
      </c>
      <c r="D40" t="s">
        <v>113</v>
      </c>
      <c r="E40">
        <v>6</v>
      </c>
      <c r="H40">
        <v>165</v>
      </c>
      <c r="I40" t="s">
        <v>114</v>
      </c>
      <c r="J40" t="s">
        <v>115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"20:10:59.391"</f>
        <v>20:10:59.391</v>
      </c>
      <c r="T40" t="str">
        <f>"20:10:58.991"</f>
        <v>20:10:58.991</v>
      </c>
      <c r="U40" t="str">
        <f t="shared" si="0"/>
        <v>AB01F4</v>
      </c>
      <c r="V40">
        <v>0</v>
      </c>
      <c r="W40">
        <v>0</v>
      </c>
      <c r="X40">
        <v>1</v>
      </c>
      <c r="Z40">
        <v>0</v>
      </c>
      <c r="AA40">
        <v>9</v>
      </c>
      <c r="AB40">
        <v>3</v>
      </c>
      <c r="AC40">
        <v>0</v>
      </c>
      <c r="AD40">
        <v>10</v>
      </c>
      <c r="AE40">
        <v>0</v>
      </c>
      <c r="AF40">
        <v>3</v>
      </c>
      <c r="AG40">
        <v>2</v>
      </c>
      <c r="AH40">
        <v>0</v>
      </c>
      <c r="AI40" t="s">
        <v>162</v>
      </c>
      <c r="AJ40">
        <v>39.485550000000003</v>
      </c>
      <c r="AK40" t="s">
        <v>163</v>
      </c>
      <c r="AL40">
        <v>-92.421819999999997</v>
      </c>
      <c r="AM40">
        <v>100</v>
      </c>
      <c r="AN40">
        <v>1400</v>
      </c>
      <c r="AO40" t="s">
        <v>118</v>
      </c>
      <c r="AP40">
        <v>-27</v>
      </c>
      <c r="AQ40">
        <v>100</v>
      </c>
      <c r="AR40">
        <v>512</v>
      </c>
      <c r="AZ40">
        <v>1200</v>
      </c>
      <c r="BA40">
        <v>1</v>
      </c>
      <c r="BB40" t="str">
        <f t="shared" si="3"/>
        <v xml:space="preserve">N8080G  </v>
      </c>
      <c r="BC40">
        <v>1</v>
      </c>
      <c r="BE40">
        <v>0</v>
      </c>
      <c r="BF40">
        <v>0</v>
      </c>
      <c r="BG40">
        <v>0</v>
      </c>
      <c r="BH40">
        <v>1425</v>
      </c>
      <c r="BI40">
        <v>1</v>
      </c>
      <c r="BJ40">
        <v>1</v>
      </c>
      <c r="BK40">
        <v>1</v>
      </c>
      <c r="BL40">
        <v>0</v>
      </c>
      <c r="BO40">
        <v>0</v>
      </c>
      <c r="BP40">
        <v>0</v>
      </c>
      <c r="BW40" t="str">
        <f>"20:10:59.397"</f>
        <v>20:10:59.397</v>
      </c>
      <c r="CJ40">
        <v>0</v>
      </c>
      <c r="CK40">
        <v>2</v>
      </c>
      <c r="CL40">
        <v>0</v>
      </c>
      <c r="CM40">
        <v>2</v>
      </c>
      <c r="CN40">
        <v>0</v>
      </c>
      <c r="CO40">
        <v>4</v>
      </c>
      <c r="CP40" t="s">
        <v>119</v>
      </c>
      <c r="CQ40">
        <v>180</v>
      </c>
      <c r="CR40">
        <v>1</v>
      </c>
      <c r="CW40">
        <v>10232674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</row>
    <row r="41" spans="1:113" x14ac:dyDescent="0.3">
      <c r="A41" t="str">
        <f>"02/08/2021 20:10:57.073"</f>
        <v>02/08/2021 20:10:57.073</v>
      </c>
      <c r="C41" t="str">
        <f t="shared" si="2"/>
        <v>FFDFD3C0</v>
      </c>
      <c r="D41" t="s">
        <v>141</v>
      </c>
      <c r="E41">
        <v>17</v>
      </c>
      <c r="H41">
        <v>256</v>
      </c>
      <c r="I41" t="s">
        <v>142</v>
      </c>
      <c r="J41" t="s">
        <v>143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"20:10:59.391"</f>
        <v>20:10:59.391</v>
      </c>
      <c r="T41" t="str">
        <f>"20:10:58.991"</f>
        <v>20:10:58.991</v>
      </c>
      <c r="U41" t="str">
        <f t="shared" si="0"/>
        <v>AB01F4</v>
      </c>
      <c r="V41">
        <v>0</v>
      </c>
      <c r="W41">
        <v>0</v>
      </c>
      <c r="X41">
        <v>1</v>
      </c>
      <c r="Z41">
        <v>0</v>
      </c>
      <c r="AA41">
        <v>9</v>
      </c>
      <c r="AB41">
        <v>3</v>
      </c>
      <c r="AC41">
        <v>0</v>
      </c>
      <c r="AD41">
        <v>10</v>
      </c>
      <c r="AE41">
        <v>0</v>
      </c>
      <c r="AF41">
        <v>3</v>
      </c>
      <c r="AG41">
        <v>2</v>
      </c>
      <c r="AH41">
        <v>0</v>
      </c>
      <c r="AI41" t="s">
        <v>162</v>
      </c>
      <c r="AJ41">
        <v>39.485550000000003</v>
      </c>
      <c r="AK41" t="s">
        <v>163</v>
      </c>
      <c r="AL41">
        <v>-92.421819999999997</v>
      </c>
      <c r="AM41">
        <v>100</v>
      </c>
      <c r="AN41">
        <v>1400</v>
      </c>
      <c r="AO41" t="s">
        <v>118</v>
      </c>
      <c r="AP41">
        <v>-27</v>
      </c>
      <c r="AQ41">
        <v>100</v>
      </c>
      <c r="AR41">
        <v>512</v>
      </c>
      <c r="AZ41">
        <v>1200</v>
      </c>
      <c r="BA41">
        <v>1</v>
      </c>
      <c r="BB41" t="str">
        <f t="shared" si="3"/>
        <v xml:space="preserve">N8080G  </v>
      </c>
      <c r="BC41">
        <v>1</v>
      </c>
      <c r="BE41">
        <v>0</v>
      </c>
      <c r="BF41">
        <v>0</v>
      </c>
      <c r="BG41">
        <v>0</v>
      </c>
      <c r="BH41">
        <v>1425</v>
      </c>
      <c r="BI41">
        <v>1</v>
      </c>
      <c r="BJ41">
        <v>1</v>
      </c>
      <c r="BK41">
        <v>1</v>
      </c>
      <c r="BL41">
        <v>0</v>
      </c>
      <c r="BO41">
        <v>0</v>
      </c>
      <c r="BP41">
        <v>0</v>
      </c>
      <c r="BW41" t="str">
        <f>"20:10:59.397"</f>
        <v>20:10:59.397</v>
      </c>
      <c r="CJ41">
        <v>0</v>
      </c>
      <c r="CK41">
        <v>2</v>
      </c>
      <c r="CL41">
        <v>0</v>
      </c>
      <c r="CM41">
        <v>2</v>
      </c>
      <c r="CN41">
        <v>0</v>
      </c>
      <c r="CO41">
        <v>4</v>
      </c>
      <c r="CP41" t="s">
        <v>119</v>
      </c>
      <c r="CQ41">
        <v>559</v>
      </c>
      <c r="CR41">
        <v>0</v>
      </c>
      <c r="CW41">
        <v>10381825</v>
      </c>
      <c r="CY41">
        <v>0</v>
      </c>
      <c r="CZ41">
        <v>0</v>
      </c>
      <c r="DA41">
        <v>1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</row>
    <row r="42" spans="1:113" x14ac:dyDescent="0.3">
      <c r="A42" t="str">
        <f>"02/08/2021 20:10:57.073"</f>
        <v>02/08/2021 20:10:57.073</v>
      </c>
      <c r="C42" t="str">
        <f t="shared" si="2"/>
        <v>FFDFD3C0</v>
      </c>
      <c r="D42" t="s">
        <v>124</v>
      </c>
      <c r="E42">
        <v>13</v>
      </c>
      <c r="F42">
        <v>1013</v>
      </c>
      <c r="G42" t="s">
        <v>114</v>
      </c>
      <c r="J42" t="s">
        <v>125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"20:10:59.391"</f>
        <v>20:10:59.391</v>
      </c>
      <c r="T42" t="str">
        <f>"20:10:58.991"</f>
        <v>20:10:58.991</v>
      </c>
      <c r="U42" t="str">
        <f t="shared" si="0"/>
        <v>AB01F4</v>
      </c>
      <c r="V42">
        <v>0</v>
      </c>
      <c r="W42">
        <v>0</v>
      </c>
      <c r="X42">
        <v>1</v>
      </c>
      <c r="Z42">
        <v>0</v>
      </c>
      <c r="AA42">
        <v>9</v>
      </c>
      <c r="AB42">
        <v>3</v>
      </c>
      <c r="AC42">
        <v>0</v>
      </c>
      <c r="AD42">
        <v>10</v>
      </c>
      <c r="AE42">
        <v>0</v>
      </c>
      <c r="AF42">
        <v>3</v>
      </c>
      <c r="AG42">
        <v>2</v>
      </c>
      <c r="AH42">
        <v>0</v>
      </c>
      <c r="AI42" t="s">
        <v>162</v>
      </c>
      <c r="AJ42">
        <v>39.485550000000003</v>
      </c>
      <c r="AK42" t="s">
        <v>163</v>
      </c>
      <c r="AL42">
        <v>-92.421819999999997</v>
      </c>
      <c r="AM42">
        <v>100</v>
      </c>
      <c r="AN42">
        <v>1400</v>
      </c>
      <c r="AO42" t="s">
        <v>118</v>
      </c>
      <c r="AP42">
        <v>-27</v>
      </c>
      <c r="AQ42">
        <v>100</v>
      </c>
      <c r="AR42">
        <v>512</v>
      </c>
      <c r="AZ42">
        <v>1200</v>
      </c>
      <c r="BA42">
        <v>1</v>
      </c>
      <c r="BB42" t="str">
        <f t="shared" si="3"/>
        <v xml:space="preserve">N8080G  </v>
      </c>
      <c r="BC42">
        <v>1</v>
      </c>
      <c r="BE42">
        <v>0</v>
      </c>
      <c r="BF42">
        <v>0</v>
      </c>
      <c r="BG42">
        <v>0</v>
      </c>
      <c r="BH42">
        <v>1425</v>
      </c>
      <c r="BI42">
        <v>1</v>
      </c>
      <c r="BJ42">
        <v>1</v>
      </c>
      <c r="BK42">
        <v>1</v>
      </c>
      <c r="BL42">
        <v>0</v>
      </c>
      <c r="BO42">
        <v>0</v>
      </c>
      <c r="BP42">
        <v>0</v>
      </c>
      <c r="BW42" t="str">
        <f>"20:10:59.397"</f>
        <v>20:10:59.397</v>
      </c>
      <c r="CJ42">
        <v>0</v>
      </c>
      <c r="CK42">
        <v>2</v>
      </c>
      <c r="CL42">
        <v>0</v>
      </c>
      <c r="CM42">
        <v>2</v>
      </c>
      <c r="CN42">
        <v>0</v>
      </c>
      <c r="CO42">
        <v>4</v>
      </c>
      <c r="CP42" t="s">
        <v>119</v>
      </c>
      <c r="CQ42">
        <v>180</v>
      </c>
      <c r="CR42">
        <v>1</v>
      </c>
      <c r="CW42">
        <v>10232674</v>
      </c>
      <c r="CY42">
        <v>0</v>
      </c>
      <c r="CZ42">
        <v>0</v>
      </c>
      <c r="DA42">
        <v>1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</row>
    <row r="43" spans="1:113" x14ac:dyDescent="0.3">
      <c r="A43" t="str">
        <f>"02/08/2021 20:10:58.185"</f>
        <v>02/08/2021 20:10:58.185</v>
      </c>
      <c r="C43" t="str">
        <f t="shared" si="2"/>
        <v>FFDFD3C0</v>
      </c>
      <c r="D43" t="s">
        <v>113</v>
      </c>
      <c r="E43">
        <v>6</v>
      </c>
      <c r="H43">
        <v>165</v>
      </c>
      <c r="I43" t="s">
        <v>114</v>
      </c>
      <c r="J43" t="s">
        <v>115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"20:11:00.492"</f>
        <v>20:11:00.492</v>
      </c>
      <c r="T43" t="str">
        <f>"20:10:59.492"</f>
        <v>20:10:59.492</v>
      </c>
      <c r="U43" t="str">
        <f t="shared" si="0"/>
        <v>AB01F4</v>
      </c>
      <c r="V43">
        <v>0</v>
      </c>
      <c r="W43">
        <v>0</v>
      </c>
      <c r="X43">
        <v>1</v>
      </c>
      <c r="Z43">
        <v>0</v>
      </c>
      <c r="AA43">
        <v>9</v>
      </c>
      <c r="AB43">
        <v>3</v>
      </c>
      <c r="AC43">
        <v>0</v>
      </c>
      <c r="AD43">
        <v>10</v>
      </c>
      <c r="AE43">
        <v>0</v>
      </c>
      <c r="AF43">
        <v>3</v>
      </c>
      <c r="AG43">
        <v>2</v>
      </c>
      <c r="AH43">
        <v>0</v>
      </c>
      <c r="AI43" t="s">
        <v>164</v>
      </c>
      <c r="AJ43">
        <v>39.486065000000004</v>
      </c>
      <c r="AK43" t="s">
        <v>165</v>
      </c>
      <c r="AL43">
        <v>-92.421992000000003</v>
      </c>
      <c r="AM43">
        <v>100</v>
      </c>
      <c r="AN43">
        <v>1400</v>
      </c>
      <c r="AO43" t="s">
        <v>118</v>
      </c>
      <c r="AP43">
        <v>-27</v>
      </c>
      <c r="AQ43">
        <v>100</v>
      </c>
      <c r="AR43">
        <v>576</v>
      </c>
      <c r="AZ43">
        <v>1200</v>
      </c>
      <c r="BA43">
        <v>1</v>
      </c>
      <c r="BB43" t="str">
        <f t="shared" si="3"/>
        <v xml:space="preserve">N8080G  </v>
      </c>
      <c r="BC43">
        <v>1</v>
      </c>
      <c r="BE43">
        <v>0</v>
      </c>
      <c r="BF43">
        <v>0</v>
      </c>
      <c r="BG43">
        <v>0</v>
      </c>
      <c r="BH43">
        <v>1425</v>
      </c>
      <c r="BI43">
        <v>1</v>
      </c>
      <c r="BJ43">
        <v>1</v>
      </c>
      <c r="BK43">
        <v>1</v>
      </c>
      <c r="BL43">
        <v>0</v>
      </c>
      <c r="BO43">
        <v>0</v>
      </c>
      <c r="BP43">
        <v>0</v>
      </c>
      <c r="BW43" t="str">
        <f>"20:11:00.493"</f>
        <v>20:11:00.493</v>
      </c>
      <c r="CJ43">
        <v>0</v>
      </c>
      <c r="CK43">
        <v>2</v>
      </c>
      <c r="CL43">
        <v>0</v>
      </c>
      <c r="CM43">
        <v>2</v>
      </c>
      <c r="CN43">
        <v>0</v>
      </c>
      <c r="CO43">
        <v>4</v>
      </c>
      <c r="CP43" t="s">
        <v>119</v>
      </c>
      <c r="CQ43">
        <v>180</v>
      </c>
      <c r="CR43">
        <v>1</v>
      </c>
      <c r="CW43">
        <v>10233907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</row>
    <row r="44" spans="1:113" x14ac:dyDescent="0.3">
      <c r="A44" t="str">
        <f>"02/08/2021 20:10:58.185"</f>
        <v>02/08/2021 20:10:58.185</v>
      </c>
      <c r="C44" t="str">
        <f t="shared" si="2"/>
        <v>FFDFD3C0</v>
      </c>
      <c r="D44" t="s">
        <v>124</v>
      </c>
      <c r="E44">
        <v>13</v>
      </c>
      <c r="F44">
        <v>1013</v>
      </c>
      <c r="G44" t="s">
        <v>114</v>
      </c>
      <c r="J44" t="s">
        <v>125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"20:11:00.492"</f>
        <v>20:11:00.492</v>
      </c>
      <c r="T44" t="str">
        <f>"20:10:59.492"</f>
        <v>20:10:59.492</v>
      </c>
      <c r="U44" t="str">
        <f t="shared" si="0"/>
        <v>AB01F4</v>
      </c>
      <c r="V44">
        <v>0</v>
      </c>
      <c r="W44">
        <v>0</v>
      </c>
      <c r="X44">
        <v>1</v>
      </c>
      <c r="Z44">
        <v>0</v>
      </c>
      <c r="AA44">
        <v>9</v>
      </c>
      <c r="AB44">
        <v>3</v>
      </c>
      <c r="AC44">
        <v>0</v>
      </c>
      <c r="AD44">
        <v>10</v>
      </c>
      <c r="AE44">
        <v>0</v>
      </c>
      <c r="AF44">
        <v>3</v>
      </c>
      <c r="AG44">
        <v>2</v>
      </c>
      <c r="AH44">
        <v>0</v>
      </c>
      <c r="AI44" t="s">
        <v>164</v>
      </c>
      <c r="AJ44">
        <v>39.486065000000004</v>
      </c>
      <c r="AK44" t="s">
        <v>165</v>
      </c>
      <c r="AL44">
        <v>-92.421992000000003</v>
      </c>
      <c r="AM44">
        <v>100</v>
      </c>
      <c r="AN44">
        <v>1400</v>
      </c>
      <c r="AO44" t="s">
        <v>118</v>
      </c>
      <c r="AP44">
        <v>-27</v>
      </c>
      <c r="AQ44">
        <v>100</v>
      </c>
      <c r="AR44">
        <v>576</v>
      </c>
      <c r="AZ44">
        <v>1200</v>
      </c>
      <c r="BA44">
        <v>1</v>
      </c>
      <c r="BB44" t="str">
        <f t="shared" si="3"/>
        <v xml:space="preserve">N8080G  </v>
      </c>
      <c r="BC44">
        <v>1</v>
      </c>
      <c r="BE44">
        <v>0</v>
      </c>
      <c r="BF44">
        <v>0</v>
      </c>
      <c r="BG44">
        <v>0</v>
      </c>
      <c r="BH44">
        <v>1425</v>
      </c>
      <c r="BI44">
        <v>1</v>
      </c>
      <c r="BJ44">
        <v>1</v>
      </c>
      <c r="BK44">
        <v>1</v>
      </c>
      <c r="BL44">
        <v>0</v>
      </c>
      <c r="BO44">
        <v>0</v>
      </c>
      <c r="BP44">
        <v>0</v>
      </c>
      <c r="BW44" t="str">
        <f>"20:11:00.493"</f>
        <v>20:11:00.493</v>
      </c>
      <c r="CJ44">
        <v>0</v>
      </c>
      <c r="CK44">
        <v>2</v>
      </c>
      <c r="CL44">
        <v>0</v>
      </c>
      <c r="CM44">
        <v>2</v>
      </c>
      <c r="CN44">
        <v>0</v>
      </c>
      <c r="CO44">
        <v>4</v>
      </c>
      <c r="CP44" t="s">
        <v>119</v>
      </c>
      <c r="CQ44">
        <v>180</v>
      </c>
      <c r="CR44">
        <v>1</v>
      </c>
      <c r="CW44">
        <v>10233907</v>
      </c>
      <c r="CY44">
        <v>0</v>
      </c>
      <c r="CZ44">
        <v>0</v>
      </c>
      <c r="DA44">
        <v>1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</row>
    <row r="45" spans="1:113" x14ac:dyDescent="0.3">
      <c r="A45" t="str">
        <f>"02/08/2021 20:11:01.054"</f>
        <v>02/08/2021 20:11:01.054</v>
      </c>
      <c r="C45" t="str">
        <f t="shared" si="2"/>
        <v>FFDFD3C0</v>
      </c>
      <c r="D45" t="s">
        <v>124</v>
      </c>
      <c r="E45">
        <v>13</v>
      </c>
      <c r="F45">
        <v>1013</v>
      </c>
      <c r="G45" t="s">
        <v>114</v>
      </c>
      <c r="J45" t="s">
        <v>125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"20:11:03.344"</f>
        <v>20:11:03.344</v>
      </c>
      <c r="U45" t="str">
        <f t="shared" si="0"/>
        <v>AB01F4</v>
      </c>
      <c r="V45">
        <v>0</v>
      </c>
      <c r="W45">
        <v>0</v>
      </c>
      <c r="X45">
        <v>1</v>
      </c>
      <c r="Z45">
        <v>0</v>
      </c>
      <c r="AA45">
        <v>9</v>
      </c>
      <c r="AB45">
        <v>3</v>
      </c>
      <c r="AC45">
        <v>0</v>
      </c>
      <c r="AD45">
        <v>10</v>
      </c>
      <c r="AE45">
        <v>0</v>
      </c>
      <c r="AF45">
        <v>3</v>
      </c>
      <c r="AG45">
        <v>2</v>
      </c>
      <c r="AH45">
        <v>0</v>
      </c>
      <c r="AI45" t="s">
        <v>166</v>
      </c>
      <c r="AJ45">
        <v>39.487417000000001</v>
      </c>
      <c r="AK45" t="s">
        <v>167</v>
      </c>
      <c r="AL45">
        <v>-92.422484999999995</v>
      </c>
      <c r="AM45">
        <v>100</v>
      </c>
      <c r="AN45">
        <v>1400</v>
      </c>
      <c r="AO45" t="s">
        <v>118</v>
      </c>
      <c r="AP45">
        <v>-27</v>
      </c>
      <c r="AQ45">
        <v>100</v>
      </c>
      <c r="AR45">
        <v>768</v>
      </c>
      <c r="AZ45">
        <v>1200</v>
      </c>
      <c r="BA45">
        <v>1</v>
      </c>
      <c r="BB45" t="str">
        <f t="shared" si="3"/>
        <v xml:space="preserve">N8080G  </v>
      </c>
      <c r="BC45">
        <v>1</v>
      </c>
      <c r="BE45">
        <v>0</v>
      </c>
      <c r="BF45">
        <v>0</v>
      </c>
      <c r="BG45">
        <v>0</v>
      </c>
      <c r="BH45">
        <v>1475</v>
      </c>
      <c r="BI45">
        <v>1</v>
      </c>
      <c r="BJ45">
        <v>1</v>
      </c>
      <c r="BK45">
        <v>1</v>
      </c>
      <c r="BL45">
        <v>0</v>
      </c>
      <c r="BO45">
        <v>0</v>
      </c>
      <c r="BP45">
        <v>0</v>
      </c>
      <c r="BW45" t="str">
        <f>"20:11:03.348"</f>
        <v>20:11:03.348</v>
      </c>
      <c r="CJ45">
        <v>0</v>
      </c>
      <c r="CK45">
        <v>2</v>
      </c>
      <c r="CL45">
        <v>0</v>
      </c>
      <c r="CM45">
        <v>2</v>
      </c>
      <c r="CN45">
        <v>0</v>
      </c>
      <c r="CO45">
        <v>5</v>
      </c>
      <c r="CP45" t="s">
        <v>119</v>
      </c>
      <c r="CQ45">
        <v>559</v>
      </c>
      <c r="CR45">
        <v>0</v>
      </c>
      <c r="CW45">
        <v>10382447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</row>
    <row r="46" spans="1:113" x14ac:dyDescent="0.3">
      <c r="A46" t="str">
        <f>"02/08/2021 20:11:01.054"</f>
        <v>02/08/2021 20:11:01.054</v>
      </c>
      <c r="C46" t="str">
        <f t="shared" si="2"/>
        <v>FFDFD3C0</v>
      </c>
      <c r="D46" t="s">
        <v>141</v>
      </c>
      <c r="E46">
        <v>17</v>
      </c>
      <c r="H46">
        <v>256</v>
      </c>
      <c r="I46" t="s">
        <v>142</v>
      </c>
      <c r="J46" t="s">
        <v>143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"20:11:03.344"</f>
        <v>20:11:03.344</v>
      </c>
      <c r="U46" t="str">
        <f t="shared" si="0"/>
        <v>AB01F4</v>
      </c>
      <c r="V46">
        <v>0</v>
      </c>
      <c r="W46">
        <v>0</v>
      </c>
      <c r="X46">
        <v>1</v>
      </c>
      <c r="Z46">
        <v>0</v>
      </c>
      <c r="AA46">
        <v>9</v>
      </c>
      <c r="AB46">
        <v>3</v>
      </c>
      <c r="AC46">
        <v>0</v>
      </c>
      <c r="AD46">
        <v>10</v>
      </c>
      <c r="AE46">
        <v>0</v>
      </c>
      <c r="AF46">
        <v>3</v>
      </c>
      <c r="AG46">
        <v>2</v>
      </c>
      <c r="AH46">
        <v>0</v>
      </c>
      <c r="AI46" t="s">
        <v>166</v>
      </c>
      <c r="AJ46">
        <v>39.487417000000001</v>
      </c>
      <c r="AK46" t="s">
        <v>167</v>
      </c>
      <c r="AL46">
        <v>-92.422484999999995</v>
      </c>
      <c r="AM46">
        <v>100</v>
      </c>
      <c r="AN46">
        <v>1400</v>
      </c>
      <c r="AO46" t="s">
        <v>118</v>
      </c>
      <c r="AP46">
        <v>-27</v>
      </c>
      <c r="AQ46">
        <v>100</v>
      </c>
      <c r="AR46">
        <v>768</v>
      </c>
      <c r="AZ46">
        <v>1200</v>
      </c>
      <c r="BA46">
        <v>1</v>
      </c>
      <c r="BB46" t="str">
        <f t="shared" si="3"/>
        <v xml:space="preserve">N8080G  </v>
      </c>
      <c r="BC46">
        <v>1</v>
      </c>
      <c r="BE46">
        <v>0</v>
      </c>
      <c r="BF46">
        <v>0</v>
      </c>
      <c r="BG46">
        <v>0</v>
      </c>
      <c r="BH46">
        <v>1475</v>
      </c>
      <c r="BI46">
        <v>1</v>
      </c>
      <c r="BJ46">
        <v>1</v>
      </c>
      <c r="BK46">
        <v>1</v>
      </c>
      <c r="BL46">
        <v>0</v>
      </c>
      <c r="BO46">
        <v>0</v>
      </c>
      <c r="BP46">
        <v>0</v>
      </c>
      <c r="BW46" t="str">
        <f>"20:11:03.348"</f>
        <v>20:11:03.348</v>
      </c>
      <c r="CJ46">
        <v>0</v>
      </c>
      <c r="CK46">
        <v>2</v>
      </c>
      <c r="CL46">
        <v>0</v>
      </c>
      <c r="CM46">
        <v>2</v>
      </c>
      <c r="CN46">
        <v>0</v>
      </c>
      <c r="CO46">
        <v>5</v>
      </c>
      <c r="CP46" t="s">
        <v>119</v>
      </c>
      <c r="CQ46">
        <v>559</v>
      </c>
      <c r="CR46">
        <v>0</v>
      </c>
      <c r="CW46">
        <v>10382447</v>
      </c>
      <c r="CY46">
        <v>0</v>
      </c>
      <c r="CZ46">
        <v>0</v>
      </c>
      <c r="DA46">
        <v>1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</row>
    <row r="47" spans="1:113" x14ac:dyDescent="0.3">
      <c r="A47" t="str">
        <f>"02/08/2021 20:11:01.054"</f>
        <v>02/08/2021 20:11:01.054</v>
      </c>
      <c r="C47" t="str">
        <f t="shared" si="2"/>
        <v>FFDFD3C0</v>
      </c>
      <c r="D47" t="s">
        <v>113</v>
      </c>
      <c r="E47">
        <v>6</v>
      </c>
      <c r="H47">
        <v>165</v>
      </c>
      <c r="I47" t="s">
        <v>114</v>
      </c>
      <c r="J47" t="s">
        <v>115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"20:11:03.344"</f>
        <v>20:11:03.344</v>
      </c>
      <c r="U47" t="str">
        <f t="shared" si="0"/>
        <v>AB01F4</v>
      </c>
      <c r="V47">
        <v>0</v>
      </c>
      <c r="W47">
        <v>0</v>
      </c>
      <c r="X47">
        <v>1</v>
      </c>
      <c r="Z47">
        <v>0</v>
      </c>
      <c r="AA47">
        <v>9</v>
      </c>
      <c r="AB47">
        <v>3</v>
      </c>
      <c r="AC47">
        <v>0</v>
      </c>
      <c r="AD47">
        <v>10</v>
      </c>
      <c r="AE47">
        <v>0</v>
      </c>
      <c r="AF47">
        <v>3</v>
      </c>
      <c r="AG47">
        <v>2</v>
      </c>
      <c r="AH47">
        <v>0</v>
      </c>
      <c r="AI47" t="s">
        <v>166</v>
      </c>
      <c r="AJ47">
        <v>39.487417000000001</v>
      </c>
      <c r="AK47" t="s">
        <v>167</v>
      </c>
      <c r="AL47">
        <v>-92.422484999999995</v>
      </c>
      <c r="AM47">
        <v>100</v>
      </c>
      <c r="AN47">
        <v>1400</v>
      </c>
      <c r="AO47" t="s">
        <v>118</v>
      </c>
      <c r="AP47">
        <v>-27</v>
      </c>
      <c r="AQ47">
        <v>100</v>
      </c>
      <c r="AR47">
        <v>768</v>
      </c>
      <c r="AZ47">
        <v>1200</v>
      </c>
      <c r="BA47">
        <v>1</v>
      </c>
      <c r="BB47" t="str">
        <f t="shared" si="3"/>
        <v xml:space="preserve">N8080G  </v>
      </c>
      <c r="BC47">
        <v>1</v>
      </c>
      <c r="BE47">
        <v>0</v>
      </c>
      <c r="BF47">
        <v>0</v>
      </c>
      <c r="BG47">
        <v>0</v>
      </c>
      <c r="BH47">
        <v>1475</v>
      </c>
      <c r="BI47">
        <v>1</v>
      </c>
      <c r="BJ47">
        <v>1</v>
      </c>
      <c r="BK47">
        <v>1</v>
      </c>
      <c r="BL47">
        <v>0</v>
      </c>
      <c r="BO47">
        <v>0</v>
      </c>
      <c r="BP47">
        <v>0</v>
      </c>
      <c r="BW47" t="str">
        <f>"20:11:03.348"</f>
        <v>20:11:03.348</v>
      </c>
      <c r="CJ47">
        <v>0</v>
      </c>
      <c r="CK47">
        <v>2</v>
      </c>
      <c r="CL47">
        <v>0</v>
      </c>
      <c r="CM47">
        <v>2</v>
      </c>
      <c r="CN47">
        <v>0</v>
      </c>
      <c r="CO47">
        <v>5</v>
      </c>
      <c r="CP47" t="s">
        <v>119</v>
      </c>
      <c r="CQ47">
        <v>559</v>
      </c>
      <c r="CR47">
        <v>0</v>
      </c>
      <c r="CW47">
        <v>10382447</v>
      </c>
      <c r="CY47">
        <v>0</v>
      </c>
      <c r="CZ47">
        <v>0</v>
      </c>
      <c r="DA47">
        <v>1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</row>
    <row r="48" spans="1:113" x14ac:dyDescent="0.3">
      <c r="A48" t="str">
        <f>"02/08/2021 20:11:01.960"</f>
        <v>02/08/2021 20:11:01.960</v>
      </c>
      <c r="C48" t="str">
        <f t="shared" si="2"/>
        <v>FFDFD3C0</v>
      </c>
      <c r="D48" t="s">
        <v>124</v>
      </c>
      <c r="E48">
        <v>13</v>
      </c>
      <c r="F48">
        <v>1013</v>
      </c>
      <c r="G48" t="s">
        <v>114</v>
      </c>
      <c r="J48" t="s">
        <v>125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"20:11:04.289"</f>
        <v>20:11:04.289</v>
      </c>
      <c r="T48" t="str">
        <f>"20:11:03.789"</f>
        <v>20:11:03.789</v>
      </c>
      <c r="U48" t="str">
        <f t="shared" si="0"/>
        <v>AB01F4</v>
      </c>
      <c r="V48">
        <v>0</v>
      </c>
      <c r="W48">
        <v>0</v>
      </c>
      <c r="X48">
        <v>1</v>
      </c>
      <c r="Z48">
        <v>0</v>
      </c>
      <c r="AA48">
        <v>9</v>
      </c>
      <c r="AB48">
        <v>3</v>
      </c>
      <c r="AC48">
        <v>0</v>
      </c>
      <c r="AD48">
        <v>10</v>
      </c>
      <c r="AE48">
        <v>0</v>
      </c>
      <c r="AF48">
        <v>3</v>
      </c>
      <c r="AG48">
        <v>2</v>
      </c>
      <c r="AH48">
        <v>0</v>
      </c>
      <c r="AI48" t="s">
        <v>168</v>
      </c>
      <c r="AJ48">
        <v>39.487845999999998</v>
      </c>
      <c r="AK48" t="s">
        <v>169</v>
      </c>
      <c r="AL48">
        <v>-92.422613999999996</v>
      </c>
      <c r="AM48">
        <v>100</v>
      </c>
      <c r="AN48">
        <v>1500</v>
      </c>
      <c r="AO48" t="s">
        <v>118</v>
      </c>
      <c r="AP48">
        <v>-28</v>
      </c>
      <c r="AQ48">
        <v>100</v>
      </c>
      <c r="AR48">
        <v>768</v>
      </c>
      <c r="AZ48">
        <v>1200</v>
      </c>
      <c r="BA48">
        <v>1</v>
      </c>
      <c r="BB48" t="str">
        <f t="shared" si="3"/>
        <v xml:space="preserve">N8080G  </v>
      </c>
      <c r="BC48">
        <v>1</v>
      </c>
      <c r="BE48">
        <v>0</v>
      </c>
      <c r="BF48">
        <v>0</v>
      </c>
      <c r="BG48">
        <v>0</v>
      </c>
      <c r="BH48">
        <v>1575</v>
      </c>
      <c r="BI48">
        <v>1</v>
      </c>
      <c r="BJ48">
        <v>1</v>
      </c>
      <c r="BK48">
        <v>1</v>
      </c>
      <c r="BL48">
        <v>0</v>
      </c>
      <c r="BO48">
        <v>0</v>
      </c>
      <c r="BP48">
        <v>0</v>
      </c>
      <c r="BW48" t="str">
        <f>"20:11:04.291"</f>
        <v>20:11:04.291</v>
      </c>
      <c r="CJ48">
        <v>0</v>
      </c>
      <c r="CK48">
        <v>2</v>
      </c>
      <c r="CL48">
        <v>0</v>
      </c>
      <c r="CM48">
        <v>2</v>
      </c>
      <c r="CN48">
        <v>0</v>
      </c>
      <c r="CO48">
        <v>5</v>
      </c>
      <c r="CP48" t="s">
        <v>119</v>
      </c>
      <c r="CQ48">
        <v>559</v>
      </c>
      <c r="CR48">
        <v>0</v>
      </c>
      <c r="CW48">
        <v>10382610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</row>
    <row r="49" spans="1:113" x14ac:dyDescent="0.3">
      <c r="A49" t="str">
        <f>"02/08/2021 20:11:01.960"</f>
        <v>02/08/2021 20:11:01.960</v>
      </c>
      <c r="C49" t="str">
        <f t="shared" si="2"/>
        <v>FFDFD3C0</v>
      </c>
      <c r="D49" t="s">
        <v>141</v>
      </c>
      <c r="E49">
        <v>17</v>
      </c>
      <c r="H49">
        <v>256</v>
      </c>
      <c r="I49" t="s">
        <v>142</v>
      </c>
      <c r="J49" t="s">
        <v>143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"20:11:04.289"</f>
        <v>20:11:04.289</v>
      </c>
      <c r="T49" t="str">
        <f>"20:11:03.789"</f>
        <v>20:11:03.789</v>
      </c>
      <c r="U49" t="str">
        <f t="shared" si="0"/>
        <v>AB01F4</v>
      </c>
      <c r="V49">
        <v>0</v>
      </c>
      <c r="W49">
        <v>0</v>
      </c>
      <c r="X49">
        <v>1</v>
      </c>
      <c r="Z49">
        <v>0</v>
      </c>
      <c r="AA49">
        <v>9</v>
      </c>
      <c r="AB49">
        <v>3</v>
      </c>
      <c r="AC49">
        <v>0</v>
      </c>
      <c r="AD49">
        <v>10</v>
      </c>
      <c r="AE49">
        <v>0</v>
      </c>
      <c r="AF49">
        <v>3</v>
      </c>
      <c r="AG49">
        <v>2</v>
      </c>
      <c r="AH49">
        <v>0</v>
      </c>
      <c r="AI49" t="s">
        <v>168</v>
      </c>
      <c r="AJ49">
        <v>39.487845999999998</v>
      </c>
      <c r="AK49" t="s">
        <v>169</v>
      </c>
      <c r="AL49">
        <v>-92.422613999999996</v>
      </c>
      <c r="AM49">
        <v>100</v>
      </c>
      <c r="AN49">
        <v>1500</v>
      </c>
      <c r="AO49" t="s">
        <v>118</v>
      </c>
      <c r="AP49">
        <v>-28</v>
      </c>
      <c r="AQ49">
        <v>100</v>
      </c>
      <c r="AR49">
        <v>768</v>
      </c>
      <c r="AZ49">
        <v>1200</v>
      </c>
      <c r="BA49">
        <v>1</v>
      </c>
      <c r="BB49" t="str">
        <f t="shared" si="3"/>
        <v xml:space="preserve">N8080G  </v>
      </c>
      <c r="BC49">
        <v>1</v>
      </c>
      <c r="BE49">
        <v>0</v>
      </c>
      <c r="BF49">
        <v>0</v>
      </c>
      <c r="BG49">
        <v>0</v>
      </c>
      <c r="BH49">
        <v>1575</v>
      </c>
      <c r="BI49">
        <v>1</v>
      </c>
      <c r="BJ49">
        <v>1</v>
      </c>
      <c r="BK49">
        <v>1</v>
      </c>
      <c r="BL49">
        <v>0</v>
      </c>
      <c r="BO49">
        <v>0</v>
      </c>
      <c r="BP49">
        <v>0</v>
      </c>
      <c r="BW49" t="str">
        <f>"20:11:04.291"</f>
        <v>20:11:04.291</v>
      </c>
      <c r="CJ49">
        <v>0</v>
      </c>
      <c r="CK49">
        <v>2</v>
      </c>
      <c r="CL49">
        <v>0</v>
      </c>
      <c r="CM49">
        <v>2</v>
      </c>
      <c r="CN49">
        <v>0</v>
      </c>
      <c r="CO49">
        <v>5</v>
      </c>
      <c r="CP49" t="s">
        <v>119</v>
      </c>
      <c r="CQ49">
        <v>559</v>
      </c>
      <c r="CR49">
        <v>0</v>
      </c>
      <c r="CW49">
        <v>10382610</v>
      </c>
      <c r="CY49">
        <v>0</v>
      </c>
      <c r="CZ49">
        <v>0</v>
      </c>
      <c r="DA49">
        <v>1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</row>
    <row r="50" spans="1:113" x14ac:dyDescent="0.3">
      <c r="A50" t="str">
        <f>"02/08/2021 20:11:01.960"</f>
        <v>02/08/2021 20:11:01.960</v>
      </c>
      <c r="C50" t="str">
        <f t="shared" si="2"/>
        <v>FFDFD3C0</v>
      </c>
      <c r="D50" t="s">
        <v>113</v>
      </c>
      <c r="E50">
        <v>6</v>
      </c>
      <c r="H50">
        <v>165</v>
      </c>
      <c r="I50" t="s">
        <v>114</v>
      </c>
      <c r="J50" t="s">
        <v>115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"20:11:04.289"</f>
        <v>20:11:04.289</v>
      </c>
      <c r="T50" t="str">
        <f>"20:11:03.789"</f>
        <v>20:11:03.789</v>
      </c>
      <c r="U50" t="str">
        <f t="shared" si="0"/>
        <v>AB01F4</v>
      </c>
      <c r="V50">
        <v>0</v>
      </c>
      <c r="W50">
        <v>0</v>
      </c>
      <c r="X50">
        <v>1</v>
      </c>
      <c r="Z50">
        <v>0</v>
      </c>
      <c r="AA50">
        <v>9</v>
      </c>
      <c r="AB50">
        <v>3</v>
      </c>
      <c r="AC50">
        <v>0</v>
      </c>
      <c r="AD50">
        <v>10</v>
      </c>
      <c r="AE50">
        <v>0</v>
      </c>
      <c r="AF50">
        <v>3</v>
      </c>
      <c r="AG50">
        <v>2</v>
      </c>
      <c r="AH50">
        <v>0</v>
      </c>
      <c r="AI50" t="s">
        <v>168</v>
      </c>
      <c r="AJ50">
        <v>39.487845999999998</v>
      </c>
      <c r="AK50" t="s">
        <v>169</v>
      </c>
      <c r="AL50">
        <v>-92.422613999999996</v>
      </c>
      <c r="AM50">
        <v>100</v>
      </c>
      <c r="AN50">
        <v>1500</v>
      </c>
      <c r="AO50" t="s">
        <v>118</v>
      </c>
      <c r="AP50">
        <v>-28</v>
      </c>
      <c r="AQ50">
        <v>100</v>
      </c>
      <c r="AR50">
        <v>768</v>
      </c>
      <c r="AZ50">
        <v>1200</v>
      </c>
      <c r="BA50">
        <v>1</v>
      </c>
      <c r="BB50" t="str">
        <f t="shared" si="3"/>
        <v xml:space="preserve">N8080G  </v>
      </c>
      <c r="BC50">
        <v>1</v>
      </c>
      <c r="BE50">
        <v>0</v>
      </c>
      <c r="BF50">
        <v>0</v>
      </c>
      <c r="BG50">
        <v>0</v>
      </c>
      <c r="BH50">
        <v>1575</v>
      </c>
      <c r="BI50">
        <v>1</v>
      </c>
      <c r="BJ50">
        <v>1</v>
      </c>
      <c r="BK50">
        <v>1</v>
      </c>
      <c r="BL50">
        <v>0</v>
      </c>
      <c r="BO50">
        <v>0</v>
      </c>
      <c r="BP50">
        <v>0</v>
      </c>
      <c r="BW50" t="str">
        <f>"20:11:04.291"</f>
        <v>20:11:04.291</v>
      </c>
      <c r="CJ50">
        <v>0</v>
      </c>
      <c r="CK50">
        <v>2</v>
      </c>
      <c r="CL50">
        <v>0</v>
      </c>
      <c r="CM50">
        <v>2</v>
      </c>
      <c r="CN50">
        <v>0</v>
      </c>
      <c r="CO50">
        <v>5</v>
      </c>
      <c r="CP50" t="s">
        <v>119</v>
      </c>
      <c r="CQ50">
        <v>559</v>
      </c>
      <c r="CR50">
        <v>0</v>
      </c>
      <c r="CW50">
        <v>10382610</v>
      </c>
      <c r="CY50">
        <v>0</v>
      </c>
      <c r="CZ50">
        <v>0</v>
      </c>
      <c r="DA50">
        <v>1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</row>
    <row r="51" spans="1:113" x14ac:dyDescent="0.3">
      <c r="A51" t="str">
        <f>"02/08/2021 20:11:03.016"</f>
        <v>02/08/2021 20:11:03.016</v>
      </c>
      <c r="C51" t="str">
        <f t="shared" si="2"/>
        <v>FFDFD3C0</v>
      </c>
      <c r="D51" t="s">
        <v>124</v>
      </c>
      <c r="E51">
        <v>13</v>
      </c>
      <c r="F51">
        <v>1013</v>
      </c>
      <c r="G51" t="s">
        <v>114</v>
      </c>
      <c r="J51" t="s">
        <v>125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"20:11:05.367"</f>
        <v>20:11:05.367</v>
      </c>
      <c r="T51" t="str">
        <f>"20:11:04.867"</f>
        <v>20:11:04.867</v>
      </c>
      <c r="U51" t="str">
        <f t="shared" si="0"/>
        <v>AB01F4</v>
      </c>
      <c r="V51">
        <v>0</v>
      </c>
      <c r="W51">
        <v>0</v>
      </c>
      <c r="X51">
        <v>1</v>
      </c>
      <c r="Z51">
        <v>0</v>
      </c>
      <c r="AA51">
        <v>9</v>
      </c>
      <c r="AB51">
        <v>3</v>
      </c>
      <c r="AC51">
        <v>0</v>
      </c>
      <c r="AD51">
        <v>10</v>
      </c>
      <c r="AE51">
        <v>0</v>
      </c>
      <c r="AF51">
        <v>3</v>
      </c>
      <c r="AG51">
        <v>2</v>
      </c>
      <c r="AH51">
        <v>0</v>
      </c>
      <c r="AI51" t="s">
        <v>170</v>
      </c>
      <c r="AJ51">
        <v>39.488339000000003</v>
      </c>
      <c r="AK51" t="s">
        <v>171</v>
      </c>
      <c r="AL51">
        <v>-92.422786000000002</v>
      </c>
      <c r="AM51">
        <v>100</v>
      </c>
      <c r="AN51">
        <v>1500</v>
      </c>
      <c r="AO51" t="s">
        <v>118</v>
      </c>
      <c r="AP51">
        <v>-28</v>
      </c>
      <c r="AQ51">
        <v>100</v>
      </c>
      <c r="AR51">
        <v>768</v>
      </c>
      <c r="AZ51">
        <v>1200</v>
      </c>
      <c r="BA51">
        <v>1</v>
      </c>
      <c r="BB51" t="str">
        <f t="shared" si="3"/>
        <v xml:space="preserve">N8080G  </v>
      </c>
      <c r="BC51">
        <v>1</v>
      </c>
      <c r="BE51">
        <v>0</v>
      </c>
      <c r="BF51">
        <v>0</v>
      </c>
      <c r="BG51">
        <v>0</v>
      </c>
      <c r="BH51">
        <v>1500</v>
      </c>
      <c r="BI51">
        <v>1</v>
      </c>
      <c r="BJ51">
        <v>1</v>
      </c>
      <c r="BK51">
        <v>1</v>
      </c>
      <c r="BL51">
        <v>0</v>
      </c>
      <c r="BO51">
        <v>0</v>
      </c>
      <c r="BP51">
        <v>0</v>
      </c>
      <c r="BW51" t="str">
        <f>"20:11:05.374"</f>
        <v>20:11:05.374</v>
      </c>
      <c r="CJ51">
        <v>0</v>
      </c>
      <c r="CK51">
        <v>2</v>
      </c>
      <c r="CL51">
        <v>0</v>
      </c>
      <c r="CM51">
        <v>2</v>
      </c>
      <c r="CN51">
        <v>0</v>
      </c>
      <c r="CO51">
        <v>5</v>
      </c>
      <c r="CP51" t="s">
        <v>119</v>
      </c>
      <c r="CQ51">
        <v>559</v>
      </c>
      <c r="CR51">
        <v>0</v>
      </c>
      <c r="CW51">
        <v>10382789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</row>
    <row r="52" spans="1:113" x14ac:dyDescent="0.3">
      <c r="A52" t="str">
        <f>"02/08/2021 20:11:03.016"</f>
        <v>02/08/2021 20:11:03.016</v>
      </c>
      <c r="C52" t="str">
        <f t="shared" si="2"/>
        <v>FFDFD3C0</v>
      </c>
      <c r="D52" t="s">
        <v>141</v>
      </c>
      <c r="E52">
        <v>17</v>
      </c>
      <c r="H52">
        <v>256</v>
      </c>
      <c r="I52" t="s">
        <v>142</v>
      </c>
      <c r="J52" t="s">
        <v>143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"20:11:05.367"</f>
        <v>20:11:05.367</v>
      </c>
      <c r="T52" t="str">
        <f>"20:11:04.867"</f>
        <v>20:11:04.867</v>
      </c>
      <c r="U52" t="str">
        <f t="shared" si="0"/>
        <v>AB01F4</v>
      </c>
      <c r="V52">
        <v>0</v>
      </c>
      <c r="W52">
        <v>0</v>
      </c>
      <c r="X52">
        <v>1</v>
      </c>
      <c r="Z52">
        <v>0</v>
      </c>
      <c r="AA52">
        <v>9</v>
      </c>
      <c r="AB52">
        <v>3</v>
      </c>
      <c r="AC52">
        <v>0</v>
      </c>
      <c r="AD52">
        <v>10</v>
      </c>
      <c r="AE52">
        <v>0</v>
      </c>
      <c r="AF52">
        <v>3</v>
      </c>
      <c r="AG52">
        <v>2</v>
      </c>
      <c r="AH52">
        <v>0</v>
      </c>
      <c r="AI52" t="s">
        <v>170</v>
      </c>
      <c r="AJ52">
        <v>39.488339000000003</v>
      </c>
      <c r="AK52" t="s">
        <v>171</v>
      </c>
      <c r="AL52">
        <v>-92.422786000000002</v>
      </c>
      <c r="AM52">
        <v>100</v>
      </c>
      <c r="AN52">
        <v>1500</v>
      </c>
      <c r="AO52" t="s">
        <v>118</v>
      </c>
      <c r="AP52">
        <v>-28</v>
      </c>
      <c r="AQ52">
        <v>100</v>
      </c>
      <c r="AR52">
        <v>768</v>
      </c>
      <c r="AZ52">
        <v>1200</v>
      </c>
      <c r="BA52">
        <v>1</v>
      </c>
      <c r="BB52" t="str">
        <f t="shared" si="3"/>
        <v xml:space="preserve">N8080G  </v>
      </c>
      <c r="BC52">
        <v>1</v>
      </c>
      <c r="BE52">
        <v>0</v>
      </c>
      <c r="BF52">
        <v>0</v>
      </c>
      <c r="BG52">
        <v>0</v>
      </c>
      <c r="BH52">
        <v>1500</v>
      </c>
      <c r="BI52">
        <v>1</v>
      </c>
      <c r="BJ52">
        <v>1</v>
      </c>
      <c r="BK52">
        <v>1</v>
      </c>
      <c r="BL52">
        <v>0</v>
      </c>
      <c r="BO52">
        <v>0</v>
      </c>
      <c r="BP52">
        <v>0</v>
      </c>
      <c r="BW52" t="str">
        <f>"20:11:05.374"</f>
        <v>20:11:05.374</v>
      </c>
      <c r="CJ52">
        <v>0</v>
      </c>
      <c r="CK52">
        <v>2</v>
      </c>
      <c r="CL52">
        <v>0</v>
      </c>
      <c r="CM52">
        <v>2</v>
      </c>
      <c r="CN52">
        <v>0</v>
      </c>
      <c r="CO52">
        <v>5</v>
      </c>
      <c r="CP52" t="s">
        <v>119</v>
      </c>
      <c r="CQ52">
        <v>559</v>
      </c>
      <c r="CR52">
        <v>0</v>
      </c>
      <c r="CW52">
        <v>10382789</v>
      </c>
      <c r="CY52">
        <v>0</v>
      </c>
      <c r="CZ52">
        <v>0</v>
      </c>
      <c r="DA52">
        <v>1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</row>
    <row r="53" spans="1:113" x14ac:dyDescent="0.3">
      <c r="A53" t="str">
        <f>"02/08/2021 20:11:03.016"</f>
        <v>02/08/2021 20:11:03.016</v>
      </c>
      <c r="C53" t="str">
        <f t="shared" si="2"/>
        <v>FFDFD3C0</v>
      </c>
      <c r="D53" t="s">
        <v>113</v>
      </c>
      <c r="E53">
        <v>6</v>
      </c>
      <c r="H53">
        <v>165</v>
      </c>
      <c r="I53" t="s">
        <v>114</v>
      </c>
      <c r="J53" t="s">
        <v>115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"20:11:05.367"</f>
        <v>20:11:05.367</v>
      </c>
      <c r="T53" t="str">
        <f>"20:11:04.867"</f>
        <v>20:11:04.867</v>
      </c>
      <c r="U53" t="str">
        <f t="shared" si="0"/>
        <v>AB01F4</v>
      </c>
      <c r="V53">
        <v>0</v>
      </c>
      <c r="W53">
        <v>0</v>
      </c>
      <c r="X53">
        <v>1</v>
      </c>
      <c r="Z53">
        <v>0</v>
      </c>
      <c r="AA53">
        <v>9</v>
      </c>
      <c r="AB53">
        <v>3</v>
      </c>
      <c r="AC53">
        <v>0</v>
      </c>
      <c r="AD53">
        <v>10</v>
      </c>
      <c r="AE53">
        <v>0</v>
      </c>
      <c r="AF53">
        <v>3</v>
      </c>
      <c r="AG53">
        <v>2</v>
      </c>
      <c r="AH53">
        <v>0</v>
      </c>
      <c r="AI53" t="s">
        <v>170</v>
      </c>
      <c r="AJ53">
        <v>39.488339000000003</v>
      </c>
      <c r="AK53" t="s">
        <v>171</v>
      </c>
      <c r="AL53">
        <v>-92.422786000000002</v>
      </c>
      <c r="AM53">
        <v>100</v>
      </c>
      <c r="AN53">
        <v>1500</v>
      </c>
      <c r="AO53" t="s">
        <v>118</v>
      </c>
      <c r="AP53">
        <v>-28</v>
      </c>
      <c r="AQ53">
        <v>100</v>
      </c>
      <c r="AR53">
        <v>768</v>
      </c>
      <c r="AZ53">
        <v>1200</v>
      </c>
      <c r="BA53">
        <v>1</v>
      </c>
      <c r="BB53" t="str">
        <f t="shared" si="3"/>
        <v xml:space="preserve">N8080G  </v>
      </c>
      <c r="BC53">
        <v>1</v>
      </c>
      <c r="BE53">
        <v>0</v>
      </c>
      <c r="BF53">
        <v>0</v>
      </c>
      <c r="BG53">
        <v>0</v>
      </c>
      <c r="BH53">
        <v>1500</v>
      </c>
      <c r="BI53">
        <v>1</v>
      </c>
      <c r="BJ53">
        <v>1</v>
      </c>
      <c r="BK53">
        <v>1</v>
      </c>
      <c r="BL53">
        <v>0</v>
      </c>
      <c r="BO53">
        <v>0</v>
      </c>
      <c r="BP53">
        <v>0</v>
      </c>
      <c r="BW53" t="str">
        <f>"20:11:05.374"</f>
        <v>20:11:05.374</v>
      </c>
      <c r="CJ53">
        <v>0</v>
      </c>
      <c r="CK53">
        <v>2</v>
      </c>
      <c r="CL53">
        <v>0</v>
      </c>
      <c r="CM53">
        <v>2</v>
      </c>
      <c r="CN53">
        <v>0</v>
      </c>
      <c r="CO53">
        <v>5</v>
      </c>
      <c r="CP53" t="s">
        <v>119</v>
      </c>
      <c r="CQ53">
        <v>559</v>
      </c>
      <c r="CR53">
        <v>0</v>
      </c>
      <c r="CW53">
        <v>10382789</v>
      </c>
      <c r="CY53">
        <v>0</v>
      </c>
      <c r="CZ53">
        <v>0</v>
      </c>
      <c r="DA53">
        <v>1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</row>
    <row r="54" spans="1:113" x14ac:dyDescent="0.3">
      <c r="A54" t="str">
        <f>"02/08/2021 20:11:04.272"</f>
        <v>02/08/2021 20:11:04.272</v>
      </c>
      <c r="C54" t="str">
        <f t="shared" si="2"/>
        <v>FFDFD3C0</v>
      </c>
      <c r="D54" t="s">
        <v>124</v>
      </c>
      <c r="E54">
        <v>13</v>
      </c>
      <c r="F54">
        <v>1013</v>
      </c>
      <c r="G54" t="s">
        <v>114</v>
      </c>
      <c r="J54" t="s">
        <v>125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"20:11:06.609"</f>
        <v>20:11:06.609</v>
      </c>
      <c r="T54" t="str">
        <f>"20:11:06.209"</f>
        <v>20:11:06.209</v>
      </c>
      <c r="U54" t="str">
        <f t="shared" si="0"/>
        <v>AB01F4</v>
      </c>
      <c r="V54">
        <v>0</v>
      </c>
      <c r="W54">
        <v>0</v>
      </c>
      <c r="X54">
        <v>1</v>
      </c>
      <c r="Z54">
        <v>0</v>
      </c>
      <c r="AA54">
        <v>9</v>
      </c>
      <c r="AB54">
        <v>3</v>
      </c>
      <c r="AC54">
        <v>0</v>
      </c>
      <c r="AD54">
        <v>10</v>
      </c>
      <c r="AE54">
        <v>0</v>
      </c>
      <c r="AF54">
        <v>3</v>
      </c>
      <c r="AG54">
        <v>2</v>
      </c>
      <c r="AH54">
        <v>0</v>
      </c>
      <c r="AI54" t="s">
        <v>172</v>
      </c>
      <c r="AJ54">
        <v>39.488962000000001</v>
      </c>
      <c r="AK54" t="s">
        <v>173</v>
      </c>
      <c r="AL54">
        <v>-92.423043000000007</v>
      </c>
      <c r="AM54">
        <v>100</v>
      </c>
      <c r="AN54">
        <v>1500</v>
      </c>
      <c r="AO54" t="s">
        <v>118</v>
      </c>
      <c r="AP54">
        <v>-28</v>
      </c>
      <c r="AQ54">
        <v>100</v>
      </c>
      <c r="AR54">
        <v>832</v>
      </c>
      <c r="AZ54">
        <v>1200</v>
      </c>
      <c r="BA54">
        <v>1</v>
      </c>
      <c r="BB54" t="str">
        <f t="shared" si="3"/>
        <v xml:space="preserve">N8080G  </v>
      </c>
      <c r="BC54">
        <v>1</v>
      </c>
      <c r="BE54">
        <v>0</v>
      </c>
      <c r="BF54">
        <v>0</v>
      </c>
      <c r="BG54">
        <v>0</v>
      </c>
      <c r="BH54">
        <v>1525</v>
      </c>
      <c r="BI54">
        <v>1</v>
      </c>
      <c r="BJ54">
        <v>1</v>
      </c>
      <c r="BK54">
        <v>1</v>
      </c>
      <c r="BL54">
        <v>0</v>
      </c>
      <c r="BO54">
        <v>0</v>
      </c>
      <c r="BP54">
        <v>0</v>
      </c>
      <c r="BW54" t="str">
        <f>"20:11:06.614"</f>
        <v>20:11:06.614</v>
      </c>
      <c r="CJ54">
        <v>0</v>
      </c>
      <c r="CK54">
        <v>2</v>
      </c>
      <c r="CL54">
        <v>0</v>
      </c>
      <c r="CM54">
        <v>2</v>
      </c>
      <c r="CN54">
        <v>0</v>
      </c>
      <c r="CO54">
        <v>5</v>
      </c>
      <c r="CP54" t="s">
        <v>119</v>
      </c>
      <c r="CQ54">
        <v>559</v>
      </c>
      <c r="CR54">
        <v>0</v>
      </c>
      <c r="CW54">
        <v>10382979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</row>
    <row r="55" spans="1:113" x14ac:dyDescent="0.3">
      <c r="A55" t="str">
        <f>"02/08/2021 20:11:04.272"</f>
        <v>02/08/2021 20:11:04.272</v>
      </c>
      <c r="C55" t="str">
        <f t="shared" si="2"/>
        <v>FFDFD3C0</v>
      </c>
      <c r="D55" t="s">
        <v>141</v>
      </c>
      <c r="E55">
        <v>17</v>
      </c>
      <c r="H55">
        <v>256</v>
      </c>
      <c r="I55" t="s">
        <v>142</v>
      </c>
      <c r="J55" t="s">
        <v>143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"20:11:06.609"</f>
        <v>20:11:06.609</v>
      </c>
      <c r="T55" t="str">
        <f>"20:11:06.209"</f>
        <v>20:11:06.209</v>
      </c>
      <c r="U55" t="str">
        <f t="shared" si="0"/>
        <v>AB01F4</v>
      </c>
      <c r="V55">
        <v>0</v>
      </c>
      <c r="W55">
        <v>0</v>
      </c>
      <c r="X55">
        <v>1</v>
      </c>
      <c r="Z55">
        <v>0</v>
      </c>
      <c r="AA55">
        <v>9</v>
      </c>
      <c r="AB55">
        <v>3</v>
      </c>
      <c r="AC55">
        <v>0</v>
      </c>
      <c r="AD55">
        <v>10</v>
      </c>
      <c r="AE55">
        <v>0</v>
      </c>
      <c r="AF55">
        <v>3</v>
      </c>
      <c r="AG55">
        <v>2</v>
      </c>
      <c r="AH55">
        <v>0</v>
      </c>
      <c r="AI55" t="s">
        <v>172</v>
      </c>
      <c r="AJ55">
        <v>39.488962000000001</v>
      </c>
      <c r="AK55" t="s">
        <v>173</v>
      </c>
      <c r="AL55">
        <v>-92.423043000000007</v>
      </c>
      <c r="AM55">
        <v>100</v>
      </c>
      <c r="AN55">
        <v>1500</v>
      </c>
      <c r="AO55" t="s">
        <v>118</v>
      </c>
      <c r="AP55">
        <v>-28</v>
      </c>
      <c r="AQ55">
        <v>100</v>
      </c>
      <c r="AR55">
        <v>832</v>
      </c>
      <c r="AZ55">
        <v>1200</v>
      </c>
      <c r="BA55">
        <v>1</v>
      </c>
      <c r="BB55" t="str">
        <f t="shared" si="3"/>
        <v xml:space="preserve">N8080G  </v>
      </c>
      <c r="BC55">
        <v>1</v>
      </c>
      <c r="BE55">
        <v>0</v>
      </c>
      <c r="BF55">
        <v>0</v>
      </c>
      <c r="BG55">
        <v>0</v>
      </c>
      <c r="BH55">
        <v>1525</v>
      </c>
      <c r="BI55">
        <v>1</v>
      </c>
      <c r="BJ55">
        <v>1</v>
      </c>
      <c r="BK55">
        <v>1</v>
      </c>
      <c r="BL55">
        <v>0</v>
      </c>
      <c r="BO55">
        <v>0</v>
      </c>
      <c r="BP55">
        <v>0</v>
      </c>
      <c r="BW55" t="str">
        <f>"20:11:06.614"</f>
        <v>20:11:06.614</v>
      </c>
      <c r="CJ55">
        <v>0</v>
      </c>
      <c r="CK55">
        <v>2</v>
      </c>
      <c r="CL55">
        <v>0</v>
      </c>
      <c r="CM55">
        <v>2</v>
      </c>
      <c r="CN55">
        <v>0</v>
      </c>
      <c r="CO55">
        <v>5</v>
      </c>
      <c r="CP55" t="s">
        <v>119</v>
      </c>
      <c r="CQ55">
        <v>559</v>
      </c>
      <c r="CR55">
        <v>0</v>
      </c>
      <c r="CW55">
        <v>10382979</v>
      </c>
      <c r="CY55">
        <v>0</v>
      </c>
      <c r="CZ55">
        <v>0</v>
      </c>
      <c r="DA55">
        <v>1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</row>
    <row r="56" spans="1:113" x14ac:dyDescent="0.3">
      <c r="A56" t="str">
        <f>"02/08/2021 20:11:04.272"</f>
        <v>02/08/2021 20:11:04.272</v>
      </c>
      <c r="C56" t="str">
        <f t="shared" si="2"/>
        <v>FFDFD3C0</v>
      </c>
      <c r="D56" t="s">
        <v>113</v>
      </c>
      <c r="E56">
        <v>6</v>
      </c>
      <c r="H56">
        <v>165</v>
      </c>
      <c r="I56" t="s">
        <v>114</v>
      </c>
      <c r="J56" t="s">
        <v>115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"20:11:06.609"</f>
        <v>20:11:06.609</v>
      </c>
      <c r="T56" t="str">
        <f>"20:11:06.209"</f>
        <v>20:11:06.209</v>
      </c>
      <c r="U56" t="str">
        <f t="shared" si="0"/>
        <v>AB01F4</v>
      </c>
      <c r="V56">
        <v>0</v>
      </c>
      <c r="W56">
        <v>0</v>
      </c>
      <c r="X56">
        <v>1</v>
      </c>
      <c r="Z56">
        <v>0</v>
      </c>
      <c r="AA56">
        <v>9</v>
      </c>
      <c r="AB56">
        <v>3</v>
      </c>
      <c r="AC56">
        <v>0</v>
      </c>
      <c r="AD56">
        <v>10</v>
      </c>
      <c r="AE56">
        <v>0</v>
      </c>
      <c r="AF56">
        <v>3</v>
      </c>
      <c r="AG56">
        <v>2</v>
      </c>
      <c r="AH56">
        <v>0</v>
      </c>
      <c r="AI56" t="s">
        <v>172</v>
      </c>
      <c r="AJ56">
        <v>39.488962000000001</v>
      </c>
      <c r="AK56" t="s">
        <v>173</v>
      </c>
      <c r="AL56">
        <v>-92.423043000000007</v>
      </c>
      <c r="AM56">
        <v>100</v>
      </c>
      <c r="AN56">
        <v>1500</v>
      </c>
      <c r="AO56" t="s">
        <v>118</v>
      </c>
      <c r="AP56">
        <v>-28</v>
      </c>
      <c r="AQ56">
        <v>100</v>
      </c>
      <c r="AR56">
        <v>832</v>
      </c>
      <c r="AZ56">
        <v>1200</v>
      </c>
      <c r="BA56">
        <v>1</v>
      </c>
      <c r="BB56" t="str">
        <f t="shared" si="3"/>
        <v xml:space="preserve">N8080G  </v>
      </c>
      <c r="BC56">
        <v>1</v>
      </c>
      <c r="BE56">
        <v>0</v>
      </c>
      <c r="BF56">
        <v>0</v>
      </c>
      <c r="BG56">
        <v>0</v>
      </c>
      <c r="BH56">
        <v>1525</v>
      </c>
      <c r="BI56">
        <v>1</v>
      </c>
      <c r="BJ56">
        <v>1</v>
      </c>
      <c r="BK56">
        <v>1</v>
      </c>
      <c r="BL56">
        <v>0</v>
      </c>
      <c r="BO56">
        <v>0</v>
      </c>
      <c r="BP56">
        <v>0</v>
      </c>
      <c r="BW56" t="str">
        <f>"20:11:06.614"</f>
        <v>20:11:06.614</v>
      </c>
      <c r="CJ56">
        <v>0</v>
      </c>
      <c r="CK56">
        <v>2</v>
      </c>
      <c r="CL56">
        <v>0</v>
      </c>
      <c r="CM56">
        <v>2</v>
      </c>
      <c r="CN56">
        <v>0</v>
      </c>
      <c r="CO56">
        <v>5</v>
      </c>
      <c r="CP56" t="s">
        <v>119</v>
      </c>
      <c r="CQ56">
        <v>559</v>
      </c>
      <c r="CR56">
        <v>0</v>
      </c>
      <c r="CW56">
        <v>10382979</v>
      </c>
      <c r="CY56">
        <v>0</v>
      </c>
      <c r="CZ56">
        <v>0</v>
      </c>
      <c r="DA56">
        <v>1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</row>
    <row r="57" spans="1:113" x14ac:dyDescent="0.3">
      <c r="A57" t="str">
        <f>"02/08/2021 20:11:05.267"</f>
        <v>02/08/2021 20:11:05.267</v>
      </c>
      <c r="C57" t="str">
        <f t="shared" si="2"/>
        <v>FFDFD3C0</v>
      </c>
      <c r="D57" t="s">
        <v>113</v>
      </c>
      <c r="E57">
        <v>6</v>
      </c>
      <c r="H57">
        <v>165</v>
      </c>
      <c r="I57" t="s">
        <v>114</v>
      </c>
      <c r="J57" t="s">
        <v>115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"20:11:07.547"</f>
        <v>20:11:07.547</v>
      </c>
      <c r="T57" t="str">
        <f>"20:11:07.147"</f>
        <v>20:11:07.147</v>
      </c>
      <c r="U57" t="str">
        <f t="shared" si="0"/>
        <v>AB01F4</v>
      </c>
      <c r="V57">
        <v>0</v>
      </c>
      <c r="W57">
        <v>0</v>
      </c>
      <c r="X57">
        <v>1</v>
      </c>
      <c r="Z57">
        <v>0</v>
      </c>
      <c r="AA57">
        <v>9</v>
      </c>
      <c r="AB57">
        <v>3</v>
      </c>
      <c r="AC57">
        <v>0</v>
      </c>
      <c r="AD57">
        <v>10</v>
      </c>
      <c r="AE57">
        <v>0</v>
      </c>
      <c r="AF57">
        <v>3</v>
      </c>
      <c r="AG57">
        <v>2</v>
      </c>
      <c r="AH57">
        <v>0</v>
      </c>
      <c r="AI57" t="s">
        <v>174</v>
      </c>
      <c r="AJ57">
        <v>39.489348</v>
      </c>
      <c r="AK57" t="s">
        <v>175</v>
      </c>
      <c r="AL57">
        <v>-92.423192999999998</v>
      </c>
      <c r="AM57">
        <v>100</v>
      </c>
      <c r="AN57">
        <v>1500</v>
      </c>
      <c r="AO57" t="s">
        <v>118</v>
      </c>
      <c r="AP57">
        <v>-28</v>
      </c>
      <c r="AQ57">
        <v>100</v>
      </c>
      <c r="AR57">
        <v>832</v>
      </c>
      <c r="AZ57">
        <v>1200</v>
      </c>
      <c r="BA57">
        <v>1</v>
      </c>
      <c r="BB57" t="str">
        <f t="shared" si="3"/>
        <v xml:space="preserve">N8080G  </v>
      </c>
      <c r="BC57">
        <v>1</v>
      </c>
      <c r="BE57">
        <v>0</v>
      </c>
      <c r="BF57">
        <v>0</v>
      </c>
      <c r="BG57">
        <v>0</v>
      </c>
      <c r="BH57">
        <v>1525</v>
      </c>
      <c r="BI57">
        <v>1</v>
      </c>
      <c r="BJ57">
        <v>1</v>
      </c>
      <c r="BK57">
        <v>1</v>
      </c>
      <c r="BL57">
        <v>0</v>
      </c>
      <c r="BO57">
        <v>0</v>
      </c>
      <c r="BP57">
        <v>0</v>
      </c>
      <c r="BW57" t="str">
        <f>"20:11:07.553"</f>
        <v>20:11:07.553</v>
      </c>
      <c r="CJ57">
        <v>0</v>
      </c>
      <c r="CK57">
        <v>2</v>
      </c>
      <c r="CL57">
        <v>0</v>
      </c>
      <c r="CM57">
        <v>2</v>
      </c>
      <c r="CN57">
        <v>0</v>
      </c>
      <c r="CO57">
        <v>5</v>
      </c>
      <c r="CP57" t="s">
        <v>119</v>
      </c>
      <c r="CQ57">
        <v>180</v>
      </c>
      <c r="CR57">
        <v>1</v>
      </c>
      <c r="CW57">
        <v>10240750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</row>
    <row r="58" spans="1:113" x14ac:dyDescent="0.3">
      <c r="A58" t="str">
        <f>"02/08/2021 20:11:05.267"</f>
        <v>02/08/2021 20:11:05.267</v>
      </c>
      <c r="C58" t="str">
        <f t="shared" si="2"/>
        <v>FFDFD3C0</v>
      </c>
      <c r="D58" t="s">
        <v>124</v>
      </c>
      <c r="E58">
        <v>13</v>
      </c>
      <c r="F58">
        <v>1013</v>
      </c>
      <c r="G58" t="s">
        <v>114</v>
      </c>
      <c r="J58" t="s">
        <v>125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"20:11:07.547"</f>
        <v>20:11:07.547</v>
      </c>
      <c r="T58" t="str">
        <f>"20:11:07.147"</f>
        <v>20:11:07.147</v>
      </c>
      <c r="U58" t="str">
        <f t="shared" si="0"/>
        <v>AB01F4</v>
      </c>
      <c r="V58">
        <v>0</v>
      </c>
      <c r="W58">
        <v>0</v>
      </c>
      <c r="X58">
        <v>1</v>
      </c>
      <c r="Z58">
        <v>0</v>
      </c>
      <c r="AA58">
        <v>9</v>
      </c>
      <c r="AB58">
        <v>3</v>
      </c>
      <c r="AC58">
        <v>0</v>
      </c>
      <c r="AD58">
        <v>10</v>
      </c>
      <c r="AE58">
        <v>0</v>
      </c>
      <c r="AF58">
        <v>3</v>
      </c>
      <c r="AG58">
        <v>2</v>
      </c>
      <c r="AH58">
        <v>0</v>
      </c>
      <c r="AI58" t="s">
        <v>174</v>
      </c>
      <c r="AJ58">
        <v>39.489348</v>
      </c>
      <c r="AK58" t="s">
        <v>175</v>
      </c>
      <c r="AL58">
        <v>-92.423192999999998</v>
      </c>
      <c r="AM58">
        <v>100</v>
      </c>
      <c r="AN58">
        <v>1500</v>
      </c>
      <c r="AO58" t="s">
        <v>118</v>
      </c>
      <c r="AP58">
        <v>-28</v>
      </c>
      <c r="AQ58">
        <v>100</v>
      </c>
      <c r="AR58">
        <v>832</v>
      </c>
      <c r="AZ58">
        <v>1200</v>
      </c>
      <c r="BA58">
        <v>1</v>
      </c>
      <c r="BB58" t="str">
        <f t="shared" si="3"/>
        <v xml:space="preserve">N8080G  </v>
      </c>
      <c r="BC58">
        <v>1</v>
      </c>
      <c r="BE58">
        <v>0</v>
      </c>
      <c r="BF58">
        <v>0</v>
      </c>
      <c r="BG58">
        <v>0</v>
      </c>
      <c r="BH58">
        <v>1525</v>
      </c>
      <c r="BI58">
        <v>1</v>
      </c>
      <c r="BJ58">
        <v>1</v>
      </c>
      <c r="BK58">
        <v>1</v>
      </c>
      <c r="BL58">
        <v>0</v>
      </c>
      <c r="BO58">
        <v>0</v>
      </c>
      <c r="BP58">
        <v>0</v>
      </c>
      <c r="BW58" t="str">
        <f>"20:11:07.553"</f>
        <v>20:11:07.553</v>
      </c>
      <c r="CJ58">
        <v>0</v>
      </c>
      <c r="CK58">
        <v>2</v>
      </c>
      <c r="CL58">
        <v>0</v>
      </c>
      <c r="CM58">
        <v>2</v>
      </c>
      <c r="CN58">
        <v>0</v>
      </c>
      <c r="CO58">
        <v>5</v>
      </c>
      <c r="CP58" t="s">
        <v>119</v>
      </c>
      <c r="CQ58">
        <v>180</v>
      </c>
      <c r="CR58">
        <v>1</v>
      </c>
      <c r="CW58">
        <v>10240750</v>
      </c>
      <c r="CY58">
        <v>0</v>
      </c>
      <c r="CZ58">
        <v>0</v>
      </c>
      <c r="DA58">
        <v>1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</row>
    <row r="59" spans="1:113" x14ac:dyDescent="0.3">
      <c r="A59" t="str">
        <f>"02/08/2021 20:11:08.444"</f>
        <v>02/08/2021 20:11:08.444</v>
      </c>
      <c r="C59" t="str">
        <f t="shared" si="2"/>
        <v>FFDFD3C0</v>
      </c>
      <c r="D59" t="s">
        <v>124</v>
      </c>
      <c r="E59">
        <v>13</v>
      </c>
      <c r="F59">
        <v>1013</v>
      </c>
      <c r="G59" t="s">
        <v>114</v>
      </c>
      <c r="J59" t="s">
        <v>125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"20:11:10.727"</f>
        <v>20:11:10.727</v>
      </c>
      <c r="T59" t="str">
        <f>"20:11:10.227"</f>
        <v>20:11:10.227</v>
      </c>
      <c r="U59" t="str">
        <f t="shared" si="0"/>
        <v>AB01F4</v>
      </c>
      <c r="V59">
        <v>0</v>
      </c>
      <c r="W59">
        <v>0</v>
      </c>
      <c r="X59">
        <v>1</v>
      </c>
      <c r="Z59">
        <v>0</v>
      </c>
      <c r="AA59">
        <v>9</v>
      </c>
      <c r="AB59">
        <v>3</v>
      </c>
      <c r="AC59">
        <v>0</v>
      </c>
      <c r="AD59">
        <v>10</v>
      </c>
      <c r="AE59">
        <v>0</v>
      </c>
      <c r="AF59">
        <v>3</v>
      </c>
      <c r="AG59">
        <v>2</v>
      </c>
      <c r="AH59">
        <v>0</v>
      </c>
      <c r="AI59" t="s">
        <v>176</v>
      </c>
      <c r="AJ59">
        <v>39.490806999999997</v>
      </c>
      <c r="AK59" t="s">
        <v>177</v>
      </c>
      <c r="AL59">
        <v>-92.423730000000006</v>
      </c>
      <c r="AM59">
        <v>100</v>
      </c>
      <c r="AN59">
        <v>1500</v>
      </c>
      <c r="AO59" t="s">
        <v>118</v>
      </c>
      <c r="AP59">
        <v>-32</v>
      </c>
      <c r="AQ59">
        <v>99</v>
      </c>
      <c r="AR59">
        <v>832</v>
      </c>
      <c r="AZ59">
        <v>1200</v>
      </c>
      <c r="BA59">
        <v>1</v>
      </c>
      <c r="BB59" t="str">
        <f t="shared" si="3"/>
        <v xml:space="preserve">N8080G  </v>
      </c>
      <c r="BC59">
        <v>1</v>
      </c>
      <c r="BE59">
        <v>0</v>
      </c>
      <c r="BF59">
        <v>0</v>
      </c>
      <c r="BG59">
        <v>0</v>
      </c>
      <c r="BH59">
        <v>1575</v>
      </c>
      <c r="BI59">
        <v>1</v>
      </c>
      <c r="BJ59">
        <v>1</v>
      </c>
      <c r="BK59">
        <v>1</v>
      </c>
      <c r="BL59">
        <v>0</v>
      </c>
      <c r="BO59">
        <v>0</v>
      </c>
      <c r="BP59">
        <v>0</v>
      </c>
      <c r="BW59" t="str">
        <f>"20:11:10.731"</f>
        <v>20:11:10.731</v>
      </c>
      <c r="CJ59">
        <v>0</v>
      </c>
      <c r="CK59">
        <v>2</v>
      </c>
      <c r="CL59">
        <v>0</v>
      </c>
      <c r="CM59">
        <v>2</v>
      </c>
      <c r="CN59">
        <v>0</v>
      </c>
      <c r="CO59">
        <v>5</v>
      </c>
      <c r="CP59" t="s">
        <v>119</v>
      </c>
      <c r="CQ59">
        <v>180</v>
      </c>
      <c r="CR59">
        <v>2</v>
      </c>
      <c r="CW59">
        <v>7729544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</row>
    <row r="60" spans="1:113" x14ac:dyDescent="0.3">
      <c r="A60" t="str">
        <f>"02/08/2021 20:11:08.444"</f>
        <v>02/08/2021 20:11:08.444</v>
      </c>
      <c r="C60" t="str">
        <f t="shared" si="2"/>
        <v>FFDFD3C0</v>
      </c>
      <c r="D60" t="s">
        <v>113</v>
      </c>
      <c r="E60">
        <v>6</v>
      </c>
      <c r="H60">
        <v>165</v>
      </c>
      <c r="I60" t="s">
        <v>114</v>
      </c>
      <c r="J60" t="s">
        <v>115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"20:11:10.727"</f>
        <v>20:11:10.727</v>
      </c>
      <c r="T60" t="str">
        <f>"20:11:10.227"</f>
        <v>20:11:10.227</v>
      </c>
      <c r="U60" t="str">
        <f t="shared" si="0"/>
        <v>AB01F4</v>
      </c>
      <c r="V60">
        <v>0</v>
      </c>
      <c r="W60">
        <v>0</v>
      </c>
      <c r="X60">
        <v>1</v>
      </c>
      <c r="Z60">
        <v>0</v>
      </c>
      <c r="AA60">
        <v>9</v>
      </c>
      <c r="AB60">
        <v>3</v>
      </c>
      <c r="AC60">
        <v>0</v>
      </c>
      <c r="AD60">
        <v>10</v>
      </c>
      <c r="AE60">
        <v>0</v>
      </c>
      <c r="AF60">
        <v>3</v>
      </c>
      <c r="AG60">
        <v>2</v>
      </c>
      <c r="AH60">
        <v>0</v>
      </c>
      <c r="AI60" t="s">
        <v>176</v>
      </c>
      <c r="AJ60">
        <v>39.490806999999997</v>
      </c>
      <c r="AK60" t="s">
        <v>177</v>
      </c>
      <c r="AL60">
        <v>-92.423730000000006</v>
      </c>
      <c r="AM60">
        <v>100</v>
      </c>
      <c r="AN60">
        <v>1500</v>
      </c>
      <c r="AO60" t="s">
        <v>118</v>
      </c>
      <c r="AP60">
        <v>-32</v>
      </c>
      <c r="AQ60">
        <v>99</v>
      </c>
      <c r="AR60">
        <v>832</v>
      </c>
      <c r="AZ60">
        <v>1200</v>
      </c>
      <c r="BA60">
        <v>1</v>
      </c>
      <c r="BB60" t="str">
        <f t="shared" si="3"/>
        <v xml:space="preserve">N8080G  </v>
      </c>
      <c r="BC60">
        <v>1</v>
      </c>
      <c r="BE60">
        <v>0</v>
      </c>
      <c r="BF60">
        <v>0</v>
      </c>
      <c r="BG60">
        <v>0</v>
      </c>
      <c r="BH60">
        <v>1575</v>
      </c>
      <c r="BI60">
        <v>1</v>
      </c>
      <c r="BJ60">
        <v>1</v>
      </c>
      <c r="BK60">
        <v>1</v>
      </c>
      <c r="BL60">
        <v>0</v>
      </c>
      <c r="BO60">
        <v>0</v>
      </c>
      <c r="BP60">
        <v>0</v>
      </c>
      <c r="BW60" t="str">
        <f>"20:11:10.731"</f>
        <v>20:11:10.731</v>
      </c>
      <c r="CJ60">
        <v>0</v>
      </c>
      <c r="CK60">
        <v>2</v>
      </c>
      <c r="CL60">
        <v>0</v>
      </c>
      <c r="CM60">
        <v>2</v>
      </c>
      <c r="CN60">
        <v>0</v>
      </c>
      <c r="CO60">
        <v>5</v>
      </c>
      <c r="CP60" t="s">
        <v>119</v>
      </c>
      <c r="CQ60">
        <v>180</v>
      </c>
      <c r="CR60">
        <v>2</v>
      </c>
      <c r="CW60">
        <v>7729544</v>
      </c>
      <c r="CY60">
        <v>0</v>
      </c>
      <c r="CZ60">
        <v>0</v>
      </c>
      <c r="DA60">
        <v>1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</row>
    <row r="61" spans="1:113" x14ac:dyDescent="0.3">
      <c r="A61" t="str">
        <f>"02/08/2021 20:11:09.451"</f>
        <v>02/08/2021 20:11:09.451</v>
      </c>
      <c r="C61" t="str">
        <f t="shared" si="2"/>
        <v>FFDFD3C0</v>
      </c>
      <c r="D61" t="s">
        <v>124</v>
      </c>
      <c r="E61">
        <v>13</v>
      </c>
      <c r="F61">
        <v>1013</v>
      </c>
      <c r="G61" t="s">
        <v>114</v>
      </c>
      <c r="J61" t="s">
        <v>125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"20:11:11.773"</f>
        <v>20:11:11.773</v>
      </c>
      <c r="T61" t="str">
        <f>"20:11:11.373"</f>
        <v>20:11:11.373</v>
      </c>
      <c r="U61" t="str">
        <f t="shared" si="0"/>
        <v>AB01F4</v>
      </c>
      <c r="V61">
        <v>0</v>
      </c>
      <c r="W61">
        <v>0</v>
      </c>
      <c r="X61">
        <v>1</v>
      </c>
      <c r="Z61">
        <v>0</v>
      </c>
      <c r="AA61">
        <v>9</v>
      </c>
      <c r="AB61">
        <v>3</v>
      </c>
      <c r="AC61">
        <v>0</v>
      </c>
      <c r="AD61">
        <v>10</v>
      </c>
      <c r="AE61">
        <v>0</v>
      </c>
      <c r="AF61">
        <v>3</v>
      </c>
      <c r="AG61">
        <v>2</v>
      </c>
      <c r="AH61">
        <v>0</v>
      </c>
      <c r="AI61" t="s">
        <v>178</v>
      </c>
      <c r="AJ61">
        <v>39.491278999999999</v>
      </c>
      <c r="AK61" t="s">
        <v>179</v>
      </c>
      <c r="AL61">
        <v>-92.423986999999997</v>
      </c>
      <c r="AM61">
        <v>100</v>
      </c>
      <c r="AN61">
        <v>1600</v>
      </c>
      <c r="AO61" t="s">
        <v>118</v>
      </c>
      <c r="AP61">
        <v>-33</v>
      </c>
      <c r="AQ61">
        <v>98</v>
      </c>
      <c r="AR61">
        <v>896</v>
      </c>
      <c r="AZ61">
        <v>1200</v>
      </c>
      <c r="BA61">
        <v>1</v>
      </c>
      <c r="BB61" t="str">
        <f t="shared" si="3"/>
        <v xml:space="preserve">N8080G  </v>
      </c>
      <c r="BC61">
        <v>1</v>
      </c>
      <c r="BE61">
        <v>0</v>
      </c>
      <c r="BF61">
        <v>0</v>
      </c>
      <c r="BG61">
        <v>0</v>
      </c>
      <c r="BH61">
        <v>1575</v>
      </c>
      <c r="BI61">
        <v>1</v>
      </c>
      <c r="BJ61">
        <v>1</v>
      </c>
      <c r="BK61">
        <v>1</v>
      </c>
      <c r="BL61">
        <v>0</v>
      </c>
      <c r="BO61">
        <v>0</v>
      </c>
      <c r="BP61">
        <v>0</v>
      </c>
      <c r="BW61" t="str">
        <f>"20:11:11.776"</f>
        <v>20:11:11.776</v>
      </c>
      <c r="CJ61">
        <v>0</v>
      </c>
      <c r="CK61">
        <v>2</v>
      </c>
      <c r="CL61">
        <v>0</v>
      </c>
      <c r="CM61">
        <v>2</v>
      </c>
      <c r="CN61">
        <v>0</v>
      </c>
      <c r="CO61">
        <v>5</v>
      </c>
      <c r="CP61" t="s">
        <v>119</v>
      </c>
      <c r="CQ61">
        <v>180</v>
      </c>
      <c r="CR61">
        <v>2</v>
      </c>
      <c r="CW61">
        <v>7730348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</row>
    <row r="62" spans="1:113" x14ac:dyDescent="0.3">
      <c r="A62" t="str">
        <f>"02/08/2021 20:11:09.451"</f>
        <v>02/08/2021 20:11:09.451</v>
      </c>
      <c r="C62" t="str">
        <f t="shared" si="2"/>
        <v>FFDFD3C0</v>
      </c>
      <c r="D62" t="s">
        <v>113</v>
      </c>
      <c r="E62">
        <v>6</v>
      </c>
      <c r="H62">
        <v>165</v>
      </c>
      <c r="I62" t="s">
        <v>114</v>
      </c>
      <c r="J62" t="s">
        <v>115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"20:11:11.773"</f>
        <v>20:11:11.773</v>
      </c>
      <c r="T62" t="str">
        <f>"20:11:11.373"</f>
        <v>20:11:11.373</v>
      </c>
      <c r="U62" t="str">
        <f t="shared" si="0"/>
        <v>AB01F4</v>
      </c>
      <c r="V62">
        <v>0</v>
      </c>
      <c r="W62">
        <v>0</v>
      </c>
      <c r="X62">
        <v>1</v>
      </c>
      <c r="Z62">
        <v>0</v>
      </c>
      <c r="AA62">
        <v>9</v>
      </c>
      <c r="AB62">
        <v>3</v>
      </c>
      <c r="AC62">
        <v>0</v>
      </c>
      <c r="AD62">
        <v>10</v>
      </c>
      <c r="AE62">
        <v>0</v>
      </c>
      <c r="AF62">
        <v>3</v>
      </c>
      <c r="AG62">
        <v>2</v>
      </c>
      <c r="AH62">
        <v>0</v>
      </c>
      <c r="AI62" t="s">
        <v>178</v>
      </c>
      <c r="AJ62">
        <v>39.491278999999999</v>
      </c>
      <c r="AK62" t="s">
        <v>179</v>
      </c>
      <c r="AL62">
        <v>-92.423986999999997</v>
      </c>
      <c r="AM62">
        <v>100</v>
      </c>
      <c r="AN62">
        <v>1600</v>
      </c>
      <c r="AO62" t="s">
        <v>118</v>
      </c>
      <c r="AP62">
        <v>-33</v>
      </c>
      <c r="AQ62">
        <v>98</v>
      </c>
      <c r="AR62">
        <v>896</v>
      </c>
      <c r="AZ62">
        <v>1200</v>
      </c>
      <c r="BA62">
        <v>1</v>
      </c>
      <c r="BB62" t="str">
        <f t="shared" si="3"/>
        <v xml:space="preserve">N8080G  </v>
      </c>
      <c r="BC62">
        <v>1</v>
      </c>
      <c r="BE62">
        <v>0</v>
      </c>
      <c r="BF62">
        <v>0</v>
      </c>
      <c r="BG62">
        <v>0</v>
      </c>
      <c r="BH62">
        <v>1575</v>
      </c>
      <c r="BI62">
        <v>1</v>
      </c>
      <c r="BJ62">
        <v>1</v>
      </c>
      <c r="BK62">
        <v>1</v>
      </c>
      <c r="BL62">
        <v>0</v>
      </c>
      <c r="BO62">
        <v>0</v>
      </c>
      <c r="BP62">
        <v>0</v>
      </c>
      <c r="BW62" t="str">
        <f>"20:11:11.776"</f>
        <v>20:11:11.776</v>
      </c>
      <c r="CJ62">
        <v>0</v>
      </c>
      <c r="CK62">
        <v>2</v>
      </c>
      <c r="CL62">
        <v>0</v>
      </c>
      <c r="CM62">
        <v>2</v>
      </c>
      <c r="CN62">
        <v>0</v>
      </c>
      <c r="CO62">
        <v>5</v>
      </c>
      <c r="CP62" t="s">
        <v>119</v>
      </c>
      <c r="CQ62">
        <v>180</v>
      </c>
      <c r="CR62">
        <v>2</v>
      </c>
      <c r="CW62">
        <v>7730348</v>
      </c>
      <c r="CY62">
        <v>0</v>
      </c>
      <c r="CZ62">
        <v>0</v>
      </c>
      <c r="DA62">
        <v>1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</row>
    <row r="63" spans="1:113" x14ac:dyDescent="0.3">
      <c r="A63" t="str">
        <f>"02/08/2021 20:11:10.407"</f>
        <v>02/08/2021 20:11:10.407</v>
      </c>
      <c r="C63" t="str">
        <f t="shared" si="2"/>
        <v>FFDFD3C0</v>
      </c>
      <c r="D63" t="s">
        <v>124</v>
      </c>
      <c r="E63">
        <v>13</v>
      </c>
      <c r="F63">
        <v>1013</v>
      </c>
      <c r="G63" t="s">
        <v>114</v>
      </c>
      <c r="J63" t="s">
        <v>125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"20:11:12.750"</f>
        <v>20:11:12.750</v>
      </c>
      <c r="T63" t="str">
        <f>"20:11:12.250"</f>
        <v>20:11:12.250</v>
      </c>
      <c r="U63" t="str">
        <f t="shared" si="0"/>
        <v>AB01F4</v>
      </c>
      <c r="V63">
        <v>0</v>
      </c>
      <c r="W63">
        <v>0</v>
      </c>
      <c r="X63">
        <v>1</v>
      </c>
      <c r="Z63">
        <v>0</v>
      </c>
      <c r="AA63">
        <v>9</v>
      </c>
      <c r="AB63">
        <v>3</v>
      </c>
      <c r="AC63">
        <v>0</v>
      </c>
      <c r="AD63">
        <v>10</v>
      </c>
      <c r="AE63">
        <v>0</v>
      </c>
      <c r="AF63">
        <v>3</v>
      </c>
      <c r="AG63">
        <v>2</v>
      </c>
      <c r="AH63">
        <v>0</v>
      </c>
      <c r="AI63" t="s">
        <v>180</v>
      </c>
      <c r="AJ63">
        <v>39.491729999999997</v>
      </c>
      <c r="AK63" t="s">
        <v>181</v>
      </c>
      <c r="AL63">
        <v>-92.424159000000003</v>
      </c>
      <c r="AM63">
        <v>100</v>
      </c>
      <c r="AN63">
        <v>1600</v>
      </c>
      <c r="AO63" t="s">
        <v>118</v>
      </c>
      <c r="AP63">
        <v>-35</v>
      </c>
      <c r="AQ63">
        <v>98</v>
      </c>
      <c r="AR63">
        <v>832</v>
      </c>
      <c r="AZ63">
        <v>1200</v>
      </c>
      <c r="BA63">
        <v>1</v>
      </c>
      <c r="BB63" t="str">
        <f t="shared" si="3"/>
        <v xml:space="preserve">N8080G  </v>
      </c>
      <c r="BC63">
        <v>1</v>
      </c>
      <c r="BE63">
        <v>0</v>
      </c>
      <c r="BF63">
        <v>0</v>
      </c>
      <c r="BG63">
        <v>0</v>
      </c>
      <c r="BH63">
        <v>1600</v>
      </c>
      <c r="BI63">
        <v>1</v>
      </c>
      <c r="BJ63">
        <v>1</v>
      </c>
      <c r="BK63">
        <v>1</v>
      </c>
      <c r="BL63">
        <v>0</v>
      </c>
      <c r="BO63">
        <v>0</v>
      </c>
      <c r="BP63">
        <v>0</v>
      </c>
      <c r="BW63" t="str">
        <f>"20:11:12.753"</f>
        <v>20:11:12.753</v>
      </c>
      <c r="CJ63">
        <v>0</v>
      </c>
      <c r="CK63">
        <v>2</v>
      </c>
      <c r="CL63">
        <v>0</v>
      </c>
      <c r="CM63">
        <v>2</v>
      </c>
      <c r="CN63">
        <v>0</v>
      </c>
      <c r="CO63">
        <v>5</v>
      </c>
      <c r="CP63" t="s">
        <v>119</v>
      </c>
      <c r="CQ63">
        <v>559</v>
      </c>
      <c r="CR63">
        <v>0</v>
      </c>
      <c r="CW63">
        <v>10383946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</row>
    <row r="64" spans="1:113" x14ac:dyDescent="0.3">
      <c r="A64" t="str">
        <f>"02/08/2021 20:11:10.407"</f>
        <v>02/08/2021 20:11:10.407</v>
      </c>
      <c r="C64" t="str">
        <f t="shared" si="2"/>
        <v>FFDFD3C0</v>
      </c>
      <c r="D64" t="s">
        <v>141</v>
      </c>
      <c r="E64">
        <v>17</v>
      </c>
      <c r="H64">
        <v>256</v>
      </c>
      <c r="I64" t="s">
        <v>142</v>
      </c>
      <c r="J64" t="s">
        <v>143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"20:11:12.750"</f>
        <v>20:11:12.750</v>
      </c>
      <c r="T64" t="str">
        <f>"20:11:12.250"</f>
        <v>20:11:12.250</v>
      </c>
      <c r="U64" t="str">
        <f t="shared" si="0"/>
        <v>AB01F4</v>
      </c>
      <c r="V64">
        <v>0</v>
      </c>
      <c r="W64">
        <v>0</v>
      </c>
      <c r="X64">
        <v>1</v>
      </c>
      <c r="Z64">
        <v>0</v>
      </c>
      <c r="AA64">
        <v>9</v>
      </c>
      <c r="AB64">
        <v>3</v>
      </c>
      <c r="AC64">
        <v>0</v>
      </c>
      <c r="AD64">
        <v>10</v>
      </c>
      <c r="AE64">
        <v>0</v>
      </c>
      <c r="AF64">
        <v>3</v>
      </c>
      <c r="AG64">
        <v>2</v>
      </c>
      <c r="AH64">
        <v>0</v>
      </c>
      <c r="AI64" t="s">
        <v>180</v>
      </c>
      <c r="AJ64">
        <v>39.491729999999997</v>
      </c>
      <c r="AK64" t="s">
        <v>181</v>
      </c>
      <c r="AL64">
        <v>-92.424159000000003</v>
      </c>
      <c r="AM64">
        <v>100</v>
      </c>
      <c r="AN64">
        <v>1600</v>
      </c>
      <c r="AO64" t="s">
        <v>118</v>
      </c>
      <c r="AP64">
        <v>-35</v>
      </c>
      <c r="AQ64">
        <v>98</v>
      </c>
      <c r="AR64">
        <v>832</v>
      </c>
      <c r="AZ64">
        <v>1200</v>
      </c>
      <c r="BA64">
        <v>1</v>
      </c>
      <c r="BB64" t="str">
        <f t="shared" si="3"/>
        <v xml:space="preserve">N8080G  </v>
      </c>
      <c r="BC64">
        <v>1</v>
      </c>
      <c r="BE64">
        <v>0</v>
      </c>
      <c r="BF64">
        <v>0</v>
      </c>
      <c r="BG64">
        <v>0</v>
      </c>
      <c r="BH64">
        <v>1600</v>
      </c>
      <c r="BI64">
        <v>1</v>
      </c>
      <c r="BJ64">
        <v>1</v>
      </c>
      <c r="BK64">
        <v>1</v>
      </c>
      <c r="BL64">
        <v>0</v>
      </c>
      <c r="BO64">
        <v>0</v>
      </c>
      <c r="BP64">
        <v>0</v>
      </c>
      <c r="BW64" t="str">
        <f>"20:11:12.753"</f>
        <v>20:11:12.753</v>
      </c>
      <c r="CJ64">
        <v>0</v>
      </c>
      <c r="CK64">
        <v>2</v>
      </c>
      <c r="CL64">
        <v>0</v>
      </c>
      <c r="CM64">
        <v>2</v>
      </c>
      <c r="CN64">
        <v>0</v>
      </c>
      <c r="CO64">
        <v>5</v>
      </c>
      <c r="CP64" t="s">
        <v>119</v>
      </c>
      <c r="CQ64">
        <v>559</v>
      </c>
      <c r="CR64">
        <v>0</v>
      </c>
      <c r="CW64">
        <v>10383946</v>
      </c>
      <c r="CY64">
        <v>0</v>
      </c>
      <c r="CZ64">
        <v>0</v>
      </c>
      <c r="DA64">
        <v>1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</row>
    <row r="65" spans="1:113" x14ac:dyDescent="0.3">
      <c r="A65" t="str">
        <f>"02/08/2021 20:11:10.407"</f>
        <v>02/08/2021 20:11:10.407</v>
      </c>
      <c r="C65" t="str">
        <f t="shared" si="2"/>
        <v>FFDFD3C0</v>
      </c>
      <c r="D65" t="s">
        <v>113</v>
      </c>
      <c r="E65">
        <v>6</v>
      </c>
      <c r="H65">
        <v>165</v>
      </c>
      <c r="I65" t="s">
        <v>114</v>
      </c>
      <c r="J65" t="s">
        <v>115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"20:11:12.750"</f>
        <v>20:11:12.750</v>
      </c>
      <c r="T65" t="str">
        <f>"20:11:12.250"</f>
        <v>20:11:12.250</v>
      </c>
      <c r="U65" t="str">
        <f t="shared" si="0"/>
        <v>AB01F4</v>
      </c>
      <c r="V65">
        <v>0</v>
      </c>
      <c r="W65">
        <v>0</v>
      </c>
      <c r="X65">
        <v>1</v>
      </c>
      <c r="Z65">
        <v>0</v>
      </c>
      <c r="AA65">
        <v>9</v>
      </c>
      <c r="AB65">
        <v>3</v>
      </c>
      <c r="AC65">
        <v>0</v>
      </c>
      <c r="AD65">
        <v>10</v>
      </c>
      <c r="AE65">
        <v>0</v>
      </c>
      <c r="AF65">
        <v>3</v>
      </c>
      <c r="AG65">
        <v>2</v>
      </c>
      <c r="AH65">
        <v>0</v>
      </c>
      <c r="AI65" t="s">
        <v>180</v>
      </c>
      <c r="AJ65">
        <v>39.491729999999997</v>
      </c>
      <c r="AK65" t="s">
        <v>181</v>
      </c>
      <c r="AL65">
        <v>-92.424159000000003</v>
      </c>
      <c r="AM65">
        <v>100</v>
      </c>
      <c r="AN65">
        <v>1600</v>
      </c>
      <c r="AO65" t="s">
        <v>118</v>
      </c>
      <c r="AP65">
        <v>-35</v>
      </c>
      <c r="AQ65">
        <v>98</v>
      </c>
      <c r="AR65">
        <v>832</v>
      </c>
      <c r="AZ65">
        <v>1200</v>
      </c>
      <c r="BA65">
        <v>1</v>
      </c>
      <c r="BB65" t="str">
        <f t="shared" si="3"/>
        <v xml:space="preserve">N8080G  </v>
      </c>
      <c r="BC65">
        <v>1</v>
      </c>
      <c r="BE65">
        <v>0</v>
      </c>
      <c r="BF65">
        <v>0</v>
      </c>
      <c r="BG65">
        <v>0</v>
      </c>
      <c r="BH65">
        <v>1600</v>
      </c>
      <c r="BI65">
        <v>1</v>
      </c>
      <c r="BJ65">
        <v>1</v>
      </c>
      <c r="BK65">
        <v>1</v>
      </c>
      <c r="BL65">
        <v>0</v>
      </c>
      <c r="BO65">
        <v>0</v>
      </c>
      <c r="BP65">
        <v>0</v>
      </c>
      <c r="BW65" t="str">
        <f>"20:11:12.753"</f>
        <v>20:11:12.753</v>
      </c>
      <c r="CJ65">
        <v>0</v>
      </c>
      <c r="CK65">
        <v>2</v>
      </c>
      <c r="CL65">
        <v>0</v>
      </c>
      <c r="CM65">
        <v>2</v>
      </c>
      <c r="CN65">
        <v>0</v>
      </c>
      <c r="CO65">
        <v>5</v>
      </c>
      <c r="CP65" t="s">
        <v>119</v>
      </c>
      <c r="CQ65">
        <v>559</v>
      </c>
      <c r="CR65">
        <v>0</v>
      </c>
      <c r="CW65">
        <v>10383946</v>
      </c>
      <c r="CY65">
        <v>0</v>
      </c>
      <c r="CZ65">
        <v>0</v>
      </c>
      <c r="DA65">
        <v>1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</row>
    <row r="66" spans="1:113" x14ac:dyDescent="0.3">
      <c r="A66" t="str">
        <f>"02/08/2021 20:11:11.330"</f>
        <v>02/08/2021 20:11:11.330</v>
      </c>
      <c r="C66" t="str">
        <f t="shared" si="2"/>
        <v>FFDFD3C0</v>
      </c>
      <c r="D66" t="s">
        <v>141</v>
      </c>
      <c r="E66">
        <v>17</v>
      </c>
      <c r="H66">
        <v>256</v>
      </c>
      <c r="I66" t="s">
        <v>142</v>
      </c>
      <c r="J66" t="s">
        <v>143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"20:11:13.641"</f>
        <v>20:11:13.641</v>
      </c>
      <c r="T66" t="str">
        <f>"20:11:13.241"</f>
        <v>20:11:13.241</v>
      </c>
      <c r="U66" t="str">
        <f t="shared" ref="U66:U129" si="4">"AB01F4"</f>
        <v>AB01F4</v>
      </c>
      <c r="V66">
        <v>0</v>
      </c>
      <c r="W66">
        <v>0</v>
      </c>
      <c r="X66">
        <v>1</v>
      </c>
      <c r="Z66">
        <v>0</v>
      </c>
      <c r="AA66">
        <v>9</v>
      </c>
      <c r="AB66">
        <v>3</v>
      </c>
      <c r="AC66">
        <v>0</v>
      </c>
      <c r="AD66">
        <v>10</v>
      </c>
      <c r="AE66">
        <v>0</v>
      </c>
      <c r="AF66">
        <v>3</v>
      </c>
      <c r="AG66">
        <v>2</v>
      </c>
      <c r="AH66">
        <v>0</v>
      </c>
      <c r="AI66" t="s">
        <v>182</v>
      </c>
      <c r="AJ66">
        <v>39.492179999999998</v>
      </c>
      <c r="AK66" t="s">
        <v>183</v>
      </c>
      <c r="AL66">
        <v>-92.424374</v>
      </c>
      <c r="AM66">
        <v>100</v>
      </c>
      <c r="AN66">
        <v>1600</v>
      </c>
      <c r="AO66" t="s">
        <v>118</v>
      </c>
      <c r="AP66">
        <v>-37</v>
      </c>
      <c r="AQ66">
        <v>97</v>
      </c>
      <c r="AR66">
        <v>832</v>
      </c>
      <c r="AZ66">
        <v>1200</v>
      </c>
      <c r="BA66">
        <v>1</v>
      </c>
      <c r="BB66" t="str">
        <f t="shared" si="3"/>
        <v xml:space="preserve">N8080G  </v>
      </c>
      <c r="BC66">
        <v>1</v>
      </c>
      <c r="BE66">
        <v>0</v>
      </c>
      <c r="BF66">
        <v>0</v>
      </c>
      <c r="BG66">
        <v>0</v>
      </c>
      <c r="BH66">
        <v>1600</v>
      </c>
      <c r="BI66">
        <v>1</v>
      </c>
      <c r="BJ66">
        <v>1</v>
      </c>
      <c r="BK66">
        <v>1</v>
      </c>
      <c r="BL66">
        <v>0</v>
      </c>
      <c r="BO66">
        <v>0</v>
      </c>
      <c r="BP66">
        <v>0</v>
      </c>
      <c r="BW66" t="str">
        <f>"20:11:13.644"</f>
        <v>20:11:13.644</v>
      </c>
      <c r="CJ66">
        <v>0</v>
      </c>
      <c r="CK66">
        <v>2</v>
      </c>
      <c r="CL66">
        <v>0</v>
      </c>
      <c r="CM66">
        <v>2</v>
      </c>
      <c r="CN66">
        <v>0</v>
      </c>
      <c r="CO66">
        <v>5</v>
      </c>
      <c r="CP66" t="s">
        <v>119</v>
      </c>
      <c r="CQ66">
        <v>559</v>
      </c>
      <c r="CR66">
        <v>0</v>
      </c>
      <c r="CW66">
        <v>10384088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</row>
    <row r="67" spans="1:113" x14ac:dyDescent="0.3">
      <c r="A67" t="str">
        <f>"02/08/2021 20:11:11.330"</f>
        <v>02/08/2021 20:11:11.330</v>
      </c>
      <c r="C67" t="str">
        <f t="shared" si="2"/>
        <v>FFDFD3C0</v>
      </c>
      <c r="D67" t="s">
        <v>113</v>
      </c>
      <c r="E67">
        <v>6</v>
      </c>
      <c r="H67">
        <v>165</v>
      </c>
      <c r="I67" t="s">
        <v>114</v>
      </c>
      <c r="J67" t="s">
        <v>115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"20:11:13.641"</f>
        <v>20:11:13.641</v>
      </c>
      <c r="T67" t="str">
        <f>"20:11:13.241"</f>
        <v>20:11:13.241</v>
      </c>
      <c r="U67" t="str">
        <f t="shared" si="4"/>
        <v>AB01F4</v>
      </c>
      <c r="V67">
        <v>0</v>
      </c>
      <c r="W67">
        <v>0</v>
      </c>
      <c r="X67">
        <v>1</v>
      </c>
      <c r="Z67">
        <v>0</v>
      </c>
      <c r="AA67">
        <v>9</v>
      </c>
      <c r="AB67">
        <v>3</v>
      </c>
      <c r="AC67">
        <v>0</v>
      </c>
      <c r="AD67">
        <v>10</v>
      </c>
      <c r="AE67">
        <v>0</v>
      </c>
      <c r="AF67">
        <v>3</v>
      </c>
      <c r="AG67">
        <v>2</v>
      </c>
      <c r="AH67">
        <v>0</v>
      </c>
      <c r="AI67" t="s">
        <v>182</v>
      </c>
      <c r="AJ67">
        <v>39.492179999999998</v>
      </c>
      <c r="AK67" t="s">
        <v>183</v>
      </c>
      <c r="AL67">
        <v>-92.424374</v>
      </c>
      <c r="AM67">
        <v>100</v>
      </c>
      <c r="AN67">
        <v>1600</v>
      </c>
      <c r="AO67" t="s">
        <v>118</v>
      </c>
      <c r="AP67">
        <v>-37</v>
      </c>
      <c r="AQ67">
        <v>97</v>
      </c>
      <c r="AR67">
        <v>832</v>
      </c>
      <c r="AZ67">
        <v>1200</v>
      </c>
      <c r="BA67">
        <v>1</v>
      </c>
      <c r="BB67" t="str">
        <f t="shared" si="3"/>
        <v xml:space="preserve">N8080G  </v>
      </c>
      <c r="BC67">
        <v>1</v>
      </c>
      <c r="BE67">
        <v>0</v>
      </c>
      <c r="BF67">
        <v>0</v>
      </c>
      <c r="BG67">
        <v>0</v>
      </c>
      <c r="BH67">
        <v>1600</v>
      </c>
      <c r="BI67">
        <v>1</v>
      </c>
      <c r="BJ67">
        <v>1</v>
      </c>
      <c r="BK67">
        <v>1</v>
      </c>
      <c r="BL67">
        <v>0</v>
      </c>
      <c r="BO67">
        <v>0</v>
      </c>
      <c r="BP67">
        <v>0</v>
      </c>
      <c r="BW67" t="str">
        <f>"20:11:13.644"</f>
        <v>20:11:13.644</v>
      </c>
      <c r="CJ67">
        <v>0</v>
      </c>
      <c r="CK67">
        <v>2</v>
      </c>
      <c r="CL67">
        <v>0</v>
      </c>
      <c r="CM67">
        <v>2</v>
      </c>
      <c r="CN67">
        <v>0</v>
      </c>
      <c r="CO67">
        <v>5</v>
      </c>
      <c r="CP67" t="s">
        <v>119</v>
      </c>
      <c r="CQ67">
        <v>559</v>
      </c>
      <c r="CR67">
        <v>0</v>
      </c>
      <c r="CW67">
        <v>10384088</v>
      </c>
      <c r="CY67">
        <v>0</v>
      </c>
      <c r="CZ67">
        <v>0</v>
      </c>
      <c r="DA67">
        <v>1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</row>
    <row r="68" spans="1:113" x14ac:dyDescent="0.3">
      <c r="A68" t="str">
        <f>"02/08/2021 20:11:11.330"</f>
        <v>02/08/2021 20:11:11.330</v>
      </c>
      <c r="C68" t="str">
        <f t="shared" si="2"/>
        <v>FFDFD3C0</v>
      </c>
      <c r="D68" t="s">
        <v>124</v>
      </c>
      <c r="E68">
        <v>13</v>
      </c>
      <c r="F68">
        <v>1013</v>
      </c>
      <c r="G68" t="s">
        <v>114</v>
      </c>
      <c r="J68" t="s">
        <v>125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"20:11:13.641"</f>
        <v>20:11:13.641</v>
      </c>
      <c r="T68" t="str">
        <f>"20:11:13.241"</f>
        <v>20:11:13.241</v>
      </c>
      <c r="U68" t="str">
        <f t="shared" si="4"/>
        <v>AB01F4</v>
      </c>
      <c r="V68">
        <v>0</v>
      </c>
      <c r="W68">
        <v>0</v>
      </c>
      <c r="X68">
        <v>1</v>
      </c>
      <c r="Z68">
        <v>0</v>
      </c>
      <c r="AA68">
        <v>9</v>
      </c>
      <c r="AB68">
        <v>3</v>
      </c>
      <c r="AC68">
        <v>0</v>
      </c>
      <c r="AD68">
        <v>10</v>
      </c>
      <c r="AE68">
        <v>0</v>
      </c>
      <c r="AF68">
        <v>3</v>
      </c>
      <c r="AG68">
        <v>2</v>
      </c>
      <c r="AH68">
        <v>0</v>
      </c>
      <c r="AI68" t="s">
        <v>182</v>
      </c>
      <c r="AJ68">
        <v>39.492179999999998</v>
      </c>
      <c r="AK68" t="s">
        <v>183</v>
      </c>
      <c r="AL68">
        <v>-92.424374</v>
      </c>
      <c r="AM68">
        <v>100</v>
      </c>
      <c r="AN68">
        <v>1600</v>
      </c>
      <c r="AO68" t="s">
        <v>118</v>
      </c>
      <c r="AP68">
        <v>-37</v>
      </c>
      <c r="AQ68">
        <v>97</v>
      </c>
      <c r="AR68">
        <v>832</v>
      </c>
      <c r="AZ68">
        <v>1200</v>
      </c>
      <c r="BA68">
        <v>1</v>
      </c>
      <c r="BB68" t="str">
        <f t="shared" si="3"/>
        <v xml:space="preserve">N8080G  </v>
      </c>
      <c r="BC68">
        <v>1</v>
      </c>
      <c r="BE68">
        <v>0</v>
      </c>
      <c r="BF68">
        <v>0</v>
      </c>
      <c r="BG68">
        <v>0</v>
      </c>
      <c r="BH68">
        <v>1600</v>
      </c>
      <c r="BI68">
        <v>1</v>
      </c>
      <c r="BJ68">
        <v>1</v>
      </c>
      <c r="BK68">
        <v>1</v>
      </c>
      <c r="BL68">
        <v>0</v>
      </c>
      <c r="BO68">
        <v>0</v>
      </c>
      <c r="BP68">
        <v>0</v>
      </c>
      <c r="BW68" t="str">
        <f>"20:11:13.644"</f>
        <v>20:11:13.644</v>
      </c>
      <c r="CJ68">
        <v>0</v>
      </c>
      <c r="CK68">
        <v>2</v>
      </c>
      <c r="CL68">
        <v>0</v>
      </c>
      <c r="CM68">
        <v>2</v>
      </c>
      <c r="CN68">
        <v>0</v>
      </c>
      <c r="CO68">
        <v>5</v>
      </c>
      <c r="CP68" t="s">
        <v>119</v>
      </c>
      <c r="CQ68">
        <v>559</v>
      </c>
      <c r="CR68">
        <v>0</v>
      </c>
      <c r="CW68">
        <v>10384088</v>
      </c>
      <c r="CY68">
        <v>0</v>
      </c>
      <c r="CZ68">
        <v>0</v>
      </c>
      <c r="DA68">
        <v>1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</row>
    <row r="69" spans="1:113" x14ac:dyDescent="0.3">
      <c r="A69" t="str">
        <f>"02/08/2021 20:11:12.519"</f>
        <v>02/08/2021 20:11:12.519</v>
      </c>
      <c r="C69" t="str">
        <f t="shared" si="2"/>
        <v>FFDFD3C0</v>
      </c>
      <c r="D69" t="s">
        <v>124</v>
      </c>
      <c r="E69">
        <v>13</v>
      </c>
      <c r="F69">
        <v>1013</v>
      </c>
      <c r="G69" t="s">
        <v>114</v>
      </c>
      <c r="J69" t="s">
        <v>125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"20:11:14.813"</f>
        <v>20:11:14.813</v>
      </c>
      <c r="T69" t="str">
        <f>"20:11:14.313"</f>
        <v>20:11:14.313</v>
      </c>
      <c r="U69" t="str">
        <f t="shared" si="4"/>
        <v>AB01F4</v>
      </c>
      <c r="V69">
        <v>0</v>
      </c>
      <c r="W69">
        <v>0</v>
      </c>
      <c r="X69">
        <v>1</v>
      </c>
      <c r="Z69">
        <v>0</v>
      </c>
      <c r="AA69">
        <v>9</v>
      </c>
      <c r="AB69">
        <v>3</v>
      </c>
      <c r="AC69">
        <v>0</v>
      </c>
      <c r="AD69">
        <v>10</v>
      </c>
      <c r="AE69">
        <v>0</v>
      </c>
      <c r="AF69">
        <v>3</v>
      </c>
      <c r="AG69">
        <v>2</v>
      </c>
      <c r="AH69">
        <v>0</v>
      </c>
      <c r="AI69" t="s">
        <v>184</v>
      </c>
      <c r="AJ69">
        <v>39.492674000000001</v>
      </c>
      <c r="AK69" t="s">
        <v>185</v>
      </c>
      <c r="AL69">
        <v>-92.424631000000005</v>
      </c>
      <c r="AM69">
        <v>100</v>
      </c>
      <c r="AN69">
        <v>1600</v>
      </c>
      <c r="AO69" t="s">
        <v>118</v>
      </c>
      <c r="AP69">
        <v>-39</v>
      </c>
      <c r="AQ69">
        <v>97</v>
      </c>
      <c r="AR69">
        <v>768</v>
      </c>
      <c r="AZ69">
        <v>1200</v>
      </c>
      <c r="BA69">
        <v>1</v>
      </c>
      <c r="BB69" t="str">
        <f t="shared" si="3"/>
        <v xml:space="preserve">N8080G  </v>
      </c>
      <c r="BC69">
        <v>1</v>
      </c>
      <c r="BE69">
        <v>0</v>
      </c>
      <c r="BF69">
        <v>0</v>
      </c>
      <c r="BG69">
        <v>0</v>
      </c>
      <c r="BH69">
        <v>1625</v>
      </c>
      <c r="BI69">
        <v>1</v>
      </c>
      <c r="BJ69">
        <v>1</v>
      </c>
      <c r="BK69">
        <v>1</v>
      </c>
      <c r="BL69">
        <v>0</v>
      </c>
      <c r="BO69">
        <v>0</v>
      </c>
      <c r="BP69">
        <v>0</v>
      </c>
      <c r="BW69" t="str">
        <f>"20:11:14.816"</f>
        <v>20:11:14.816</v>
      </c>
      <c r="CJ69">
        <v>0</v>
      </c>
      <c r="CK69">
        <v>2</v>
      </c>
      <c r="CL69">
        <v>0</v>
      </c>
      <c r="CM69">
        <v>2</v>
      </c>
      <c r="CN69">
        <v>0</v>
      </c>
      <c r="CO69">
        <v>5</v>
      </c>
      <c r="CP69" t="s">
        <v>119</v>
      </c>
      <c r="CQ69">
        <v>559</v>
      </c>
      <c r="CR69">
        <v>0</v>
      </c>
      <c r="CW69">
        <v>10384261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</row>
    <row r="70" spans="1:113" x14ac:dyDescent="0.3">
      <c r="A70" t="str">
        <f>"02/08/2021 20:11:12.519"</f>
        <v>02/08/2021 20:11:12.519</v>
      </c>
      <c r="C70" t="str">
        <f t="shared" si="2"/>
        <v>FFDFD3C0</v>
      </c>
      <c r="D70" t="s">
        <v>141</v>
      </c>
      <c r="E70">
        <v>17</v>
      </c>
      <c r="H70">
        <v>256</v>
      </c>
      <c r="I70" t="s">
        <v>142</v>
      </c>
      <c r="J70" t="s">
        <v>143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"20:11:14.813"</f>
        <v>20:11:14.813</v>
      </c>
      <c r="T70" t="str">
        <f>"20:11:14.313"</f>
        <v>20:11:14.313</v>
      </c>
      <c r="U70" t="str">
        <f t="shared" si="4"/>
        <v>AB01F4</v>
      </c>
      <c r="V70">
        <v>0</v>
      </c>
      <c r="W70">
        <v>0</v>
      </c>
      <c r="X70">
        <v>1</v>
      </c>
      <c r="Z70">
        <v>0</v>
      </c>
      <c r="AA70">
        <v>9</v>
      </c>
      <c r="AB70">
        <v>3</v>
      </c>
      <c r="AC70">
        <v>0</v>
      </c>
      <c r="AD70">
        <v>10</v>
      </c>
      <c r="AE70">
        <v>0</v>
      </c>
      <c r="AF70">
        <v>3</v>
      </c>
      <c r="AG70">
        <v>2</v>
      </c>
      <c r="AH70">
        <v>0</v>
      </c>
      <c r="AI70" t="s">
        <v>184</v>
      </c>
      <c r="AJ70">
        <v>39.492674000000001</v>
      </c>
      <c r="AK70" t="s">
        <v>185</v>
      </c>
      <c r="AL70">
        <v>-92.424631000000005</v>
      </c>
      <c r="AM70">
        <v>100</v>
      </c>
      <c r="AN70">
        <v>1600</v>
      </c>
      <c r="AO70" t="s">
        <v>118</v>
      </c>
      <c r="AP70">
        <v>-39</v>
      </c>
      <c r="AQ70">
        <v>97</v>
      </c>
      <c r="AR70">
        <v>768</v>
      </c>
      <c r="AZ70">
        <v>1200</v>
      </c>
      <c r="BA70">
        <v>1</v>
      </c>
      <c r="BB70" t="str">
        <f t="shared" si="3"/>
        <v xml:space="preserve">N8080G  </v>
      </c>
      <c r="BC70">
        <v>1</v>
      </c>
      <c r="BE70">
        <v>0</v>
      </c>
      <c r="BF70">
        <v>0</v>
      </c>
      <c r="BG70">
        <v>0</v>
      </c>
      <c r="BH70">
        <v>1625</v>
      </c>
      <c r="BI70">
        <v>1</v>
      </c>
      <c r="BJ70">
        <v>1</v>
      </c>
      <c r="BK70">
        <v>1</v>
      </c>
      <c r="BL70">
        <v>0</v>
      </c>
      <c r="BO70">
        <v>0</v>
      </c>
      <c r="BP70">
        <v>0</v>
      </c>
      <c r="BW70" t="str">
        <f>"20:11:14.816"</f>
        <v>20:11:14.816</v>
      </c>
      <c r="CJ70">
        <v>0</v>
      </c>
      <c r="CK70">
        <v>2</v>
      </c>
      <c r="CL70">
        <v>0</v>
      </c>
      <c r="CM70">
        <v>2</v>
      </c>
      <c r="CN70">
        <v>0</v>
      </c>
      <c r="CO70">
        <v>5</v>
      </c>
      <c r="CP70" t="s">
        <v>119</v>
      </c>
      <c r="CQ70">
        <v>559</v>
      </c>
      <c r="CR70">
        <v>0</v>
      </c>
      <c r="CW70">
        <v>10384261</v>
      </c>
      <c r="CY70">
        <v>0</v>
      </c>
      <c r="CZ70">
        <v>0</v>
      </c>
      <c r="DA70">
        <v>1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</row>
    <row r="71" spans="1:113" x14ac:dyDescent="0.3">
      <c r="A71" t="str">
        <f>"02/08/2021 20:11:12.519"</f>
        <v>02/08/2021 20:11:12.519</v>
      </c>
      <c r="C71" t="str">
        <f t="shared" si="2"/>
        <v>FFDFD3C0</v>
      </c>
      <c r="D71" t="s">
        <v>113</v>
      </c>
      <c r="E71">
        <v>6</v>
      </c>
      <c r="H71">
        <v>165</v>
      </c>
      <c r="I71" t="s">
        <v>114</v>
      </c>
      <c r="J71" t="s">
        <v>115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"20:11:14.813"</f>
        <v>20:11:14.813</v>
      </c>
      <c r="T71" t="str">
        <f>"20:11:14.313"</f>
        <v>20:11:14.313</v>
      </c>
      <c r="U71" t="str">
        <f t="shared" si="4"/>
        <v>AB01F4</v>
      </c>
      <c r="V71">
        <v>0</v>
      </c>
      <c r="W71">
        <v>0</v>
      </c>
      <c r="X71">
        <v>1</v>
      </c>
      <c r="Z71">
        <v>0</v>
      </c>
      <c r="AA71">
        <v>9</v>
      </c>
      <c r="AB71">
        <v>3</v>
      </c>
      <c r="AC71">
        <v>0</v>
      </c>
      <c r="AD71">
        <v>10</v>
      </c>
      <c r="AE71">
        <v>0</v>
      </c>
      <c r="AF71">
        <v>3</v>
      </c>
      <c r="AG71">
        <v>2</v>
      </c>
      <c r="AH71">
        <v>0</v>
      </c>
      <c r="AI71" t="s">
        <v>184</v>
      </c>
      <c r="AJ71">
        <v>39.492674000000001</v>
      </c>
      <c r="AK71" t="s">
        <v>185</v>
      </c>
      <c r="AL71">
        <v>-92.424631000000005</v>
      </c>
      <c r="AM71">
        <v>100</v>
      </c>
      <c r="AN71">
        <v>1600</v>
      </c>
      <c r="AO71" t="s">
        <v>118</v>
      </c>
      <c r="AP71">
        <v>-39</v>
      </c>
      <c r="AQ71">
        <v>97</v>
      </c>
      <c r="AR71">
        <v>768</v>
      </c>
      <c r="AZ71">
        <v>1200</v>
      </c>
      <c r="BA71">
        <v>1</v>
      </c>
      <c r="BB71" t="str">
        <f t="shared" si="3"/>
        <v xml:space="preserve">N8080G  </v>
      </c>
      <c r="BC71">
        <v>1</v>
      </c>
      <c r="BE71">
        <v>0</v>
      </c>
      <c r="BF71">
        <v>0</v>
      </c>
      <c r="BG71">
        <v>0</v>
      </c>
      <c r="BH71">
        <v>1625</v>
      </c>
      <c r="BI71">
        <v>1</v>
      </c>
      <c r="BJ71">
        <v>1</v>
      </c>
      <c r="BK71">
        <v>1</v>
      </c>
      <c r="BL71">
        <v>0</v>
      </c>
      <c r="BO71">
        <v>0</v>
      </c>
      <c r="BP71">
        <v>0</v>
      </c>
      <c r="BW71" t="str">
        <f>"20:11:14.816"</f>
        <v>20:11:14.816</v>
      </c>
      <c r="CJ71">
        <v>0</v>
      </c>
      <c r="CK71">
        <v>2</v>
      </c>
      <c r="CL71">
        <v>0</v>
      </c>
      <c r="CM71">
        <v>2</v>
      </c>
      <c r="CN71">
        <v>0</v>
      </c>
      <c r="CO71">
        <v>5</v>
      </c>
      <c r="CP71" t="s">
        <v>119</v>
      </c>
      <c r="CQ71">
        <v>559</v>
      </c>
      <c r="CR71">
        <v>0</v>
      </c>
      <c r="CW71">
        <v>10384261</v>
      </c>
      <c r="CY71">
        <v>0</v>
      </c>
      <c r="CZ71">
        <v>0</v>
      </c>
      <c r="DA71">
        <v>1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</row>
    <row r="72" spans="1:113" x14ac:dyDescent="0.3">
      <c r="A72" t="str">
        <f>"02/08/2021 20:11:13.398"</f>
        <v>02/08/2021 20:11:13.398</v>
      </c>
      <c r="C72" t="str">
        <f t="shared" si="2"/>
        <v>FFDFD3C0</v>
      </c>
      <c r="D72" t="s">
        <v>141</v>
      </c>
      <c r="E72">
        <v>17</v>
      </c>
      <c r="H72">
        <v>256</v>
      </c>
      <c r="I72" t="s">
        <v>142</v>
      </c>
      <c r="J72" t="s">
        <v>143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"20:11:15.734"</f>
        <v>20:11:15.734</v>
      </c>
      <c r="T72" t="str">
        <f>"20:11:15.334"</f>
        <v>20:11:15.334</v>
      </c>
      <c r="U72" t="str">
        <f t="shared" si="4"/>
        <v>AB01F4</v>
      </c>
      <c r="V72">
        <v>0</v>
      </c>
      <c r="W72">
        <v>0</v>
      </c>
      <c r="X72">
        <v>1</v>
      </c>
      <c r="Z72">
        <v>0</v>
      </c>
      <c r="AA72">
        <v>9</v>
      </c>
      <c r="AB72">
        <v>3</v>
      </c>
      <c r="AC72">
        <v>0</v>
      </c>
      <c r="AD72">
        <v>10</v>
      </c>
      <c r="AE72">
        <v>0</v>
      </c>
      <c r="AF72">
        <v>3</v>
      </c>
      <c r="AG72">
        <v>2</v>
      </c>
      <c r="AH72">
        <v>0</v>
      </c>
      <c r="AI72" t="s">
        <v>186</v>
      </c>
      <c r="AJ72">
        <v>39.493102999999998</v>
      </c>
      <c r="AK72" t="s">
        <v>187</v>
      </c>
      <c r="AL72">
        <v>-92.424867000000006</v>
      </c>
      <c r="AM72">
        <v>100</v>
      </c>
      <c r="AN72">
        <v>1600</v>
      </c>
      <c r="AO72" t="s">
        <v>118</v>
      </c>
      <c r="AP72">
        <v>-41</v>
      </c>
      <c r="AQ72">
        <v>97</v>
      </c>
      <c r="AR72">
        <v>768</v>
      </c>
      <c r="AZ72">
        <v>1200</v>
      </c>
      <c r="BA72">
        <v>1</v>
      </c>
      <c r="BB72" t="str">
        <f t="shared" si="3"/>
        <v xml:space="preserve">N8080G  </v>
      </c>
      <c r="BC72">
        <v>1</v>
      </c>
      <c r="BE72">
        <v>0</v>
      </c>
      <c r="BF72">
        <v>0</v>
      </c>
      <c r="BG72">
        <v>0</v>
      </c>
      <c r="BH72">
        <v>1625</v>
      </c>
      <c r="BI72">
        <v>1</v>
      </c>
      <c r="BJ72">
        <v>1</v>
      </c>
      <c r="BK72">
        <v>1</v>
      </c>
      <c r="BL72">
        <v>0</v>
      </c>
      <c r="BO72">
        <v>0</v>
      </c>
      <c r="BP72">
        <v>0</v>
      </c>
      <c r="BW72" t="str">
        <f>"20:11:15.742"</f>
        <v>20:11:15.742</v>
      </c>
      <c r="CJ72">
        <v>0</v>
      </c>
      <c r="CK72">
        <v>2</v>
      </c>
      <c r="CL72">
        <v>0</v>
      </c>
      <c r="CM72">
        <v>2</v>
      </c>
      <c r="CN72">
        <v>0</v>
      </c>
      <c r="CO72">
        <v>5</v>
      </c>
      <c r="CP72" t="s">
        <v>119</v>
      </c>
      <c r="CQ72">
        <v>559</v>
      </c>
      <c r="CR72">
        <v>0</v>
      </c>
      <c r="CW72">
        <v>10384402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</row>
    <row r="73" spans="1:113" x14ac:dyDescent="0.3">
      <c r="A73" t="str">
        <f>"02/08/2021 20:11:13.398"</f>
        <v>02/08/2021 20:11:13.398</v>
      </c>
      <c r="C73" t="str">
        <f t="shared" si="2"/>
        <v>FFDFD3C0</v>
      </c>
      <c r="D73" t="s">
        <v>113</v>
      </c>
      <c r="E73">
        <v>6</v>
      </c>
      <c r="H73">
        <v>165</v>
      </c>
      <c r="I73" t="s">
        <v>114</v>
      </c>
      <c r="J73" t="s">
        <v>115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"20:11:15.734"</f>
        <v>20:11:15.734</v>
      </c>
      <c r="T73" t="str">
        <f>"20:11:15.334"</f>
        <v>20:11:15.334</v>
      </c>
      <c r="U73" t="str">
        <f t="shared" si="4"/>
        <v>AB01F4</v>
      </c>
      <c r="V73">
        <v>0</v>
      </c>
      <c r="W73">
        <v>0</v>
      </c>
      <c r="X73">
        <v>1</v>
      </c>
      <c r="Z73">
        <v>0</v>
      </c>
      <c r="AA73">
        <v>9</v>
      </c>
      <c r="AB73">
        <v>3</v>
      </c>
      <c r="AC73">
        <v>0</v>
      </c>
      <c r="AD73">
        <v>10</v>
      </c>
      <c r="AE73">
        <v>0</v>
      </c>
      <c r="AF73">
        <v>3</v>
      </c>
      <c r="AG73">
        <v>2</v>
      </c>
      <c r="AH73">
        <v>0</v>
      </c>
      <c r="AI73" t="s">
        <v>186</v>
      </c>
      <c r="AJ73">
        <v>39.493102999999998</v>
      </c>
      <c r="AK73" t="s">
        <v>187</v>
      </c>
      <c r="AL73">
        <v>-92.424867000000006</v>
      </c>
      <c r="AM73">
        <v>100</v>
      </c>
      <c r="AN73">
        <v>1600</v>
      </c>
      <c r="AO73" t="s">
        <v>118</v>
      </c>
      <c r="AP73">
        <v>-41</v>
      </c>
      <c r="AQ73">
        <v>97</v>
      </c>
      <c r="AR73">
        <v>768</v>
      </c>
      <c r="AZ73">
        <v>1200</v>
      </c>
      <c r="BA73">
        <v>1</v>
      </c>
      <c r="BB73" t="str">
        <f t="shared" si="3"/>
        <v xml:space="preserve">N8080G  </v>
      </c>
      <c r="BC73">
        <v>1</v>
      </c>
      <c r="BE73">
        <v>0</v>
      </c>
      <c r="BF73">
        <v>0</v>
      </c>
      <c r="BG73">
        <v>0</v>
      </c>
      <c r="BH73">
        <v>1625</v>
      </c>
      <c r="BI73">
        <v>1</v>
      </c>
      <c r="BJ73">
        <v>1</v>
      </c>
      <c r="BK73">
        <v>1</v>
      </c>
      <c r="BL73">
        <v>0</v>
      </c>
      <c r="BO73">
        <v>0</v>
      </c>
      <c r="BP73">
        <v>0</v>
      </c>
      <c r="BW73" t="str">
        <f>"20:11:15.742"</f>
        <v>20:11:15.742</v>
      </c>
      <c r="CJ73">
        <v>0</v>
      </c>
      <c r="CK73">
        <v>2</v>
      </c>
      <c r="CL73">
        <v>0</v>
      </c>
      <c r="CM73">
        <v>2</v>
      </c>
      <c r="CN73">
        <v>0</v>
      </c>
      <c r="CO73">
        <v>5</v>
      </c>
      <c r="CP73" t="s">
        <v>119</v>
      </c>
      <c r="CQ73">
        <v>559</v>
      </c>
      <c r="CR73">
        <v>0</v>
      </c>
      <c r="CW73">
        <v>10384402</v>
      </c>
      <c r="CY73">
        <v>0</v>
      </c>
      <c r="CZ73">
        <v>0</v>
      </c>
      <c r="DA73">
        <v>1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</row>
    <row r="74" spans="1:113" x14ac:dyDescent="0.3">
      <c r="A74" t="str">
        <f>"02/08/2021 20:11:13.398"</f>
        <v>02/08/2021 20:11:13.398</v>
      </c>
      <c r="C74" t="str">
        <f t="shared" si="2"/>
        <v>FFDFD3C0</v>
      </c>
      <c r="D74" t="s">
        <v>124</v>
      </c>
      <c r="E74">
        <v>13</v>
      </c>
      <c r="F74">
        <v>1013</v>
      </c>
      <c r="G74" t="s">
        <v>114</v>
      </c>
      <c r="J74" t="s">
        <v>125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"20:11:15.734"</f>
        <v>20:11:15.734</v>
      </c>
      <c r="T74" t="str">
        <f>"20:11:15.334"</f>
        <v>20:11:15.334</v>
      </c>
      <c r="U74" t="str">
        <f t="shared" si="4"/>
        <v>AB01F4</v>
      </c>
      <c r="V74">
        <v>0</v>
      </c>
      <c r="W74">
        <v>0</v>
      </c>
      <c r="X74">
        <v>1</v>
      </c>
      <c r="Z74">
        <v>0</v>
      </c>
      <c r="AA74">
        <v>9</v>
      </c>
      <c r="AB74">
        <v>3</v>
      </c>
      <c r="AC74">
        <v>0</v>
      </c>
      <c r="AD74">
        <v>10</v>
      </c>
      <c r="AE74">
        <v>0</v>
      </c>
      <c r="AF74">
        <v>3</v>
      </c>
      <c r="AG74">
        <v>2</v>
      </c>
      <c r="AH74">
        <v>0</v>
      </c>
      <c r="AI74" t="s">
        <v>186</v>
      </c>
      <c r="AJ74">
        <v>39.493102999999998</v>
      </c>
      <c r="AK74" t="s">
        <v>187</v>
      </c>
      <c r="AL74">
        <v>-92.424867000000006</v>
      </c>
      <c r="AM74">
        <v>100</v>
      </c>
      <c r="AN74">
        <v>1600</v>
      </c>
      <c r="AO74" t="s">
        <v>118</v>
      </c>
      <c r="AP74">
        <v>-41</v>
      </c>
      <c r="AQ74">
        <v>97</v>
      </c>
      <c r="AR74">
        <v>768</v>
      </c>
      <c r="AZ74">
        <v>1200</v>
      </c>
      <c r="BA74">
        <v>1</v>
      </c>
      <c r="BB74" t="str">
        <f t="shared" si="3"/>
        <v xml:space="preserve">N8080G  </v>
      </c>
      <c r="BC74">
        <v>1</v>
      </c>
      <c r="BE74">
        <v>0</v>
      </c>
      <c r="BF74">
        <v>0</v>
      </c>
      <c r="BG74">
        <v>0</v>
      </c>
      <c r="BH74">
        <v>1625</v>
      </c>
      <c r="BI74">
        <v>1</v>
      </c>
      <c r="BJ74">
        <v>1</v>
      </c>
      <c r="BK74">
        <v>1</v>
      </c>
      <c r="BL74">
        <v>0</v>
      </c>
      <c r="BO74">
        <v>0</v>
      </c>
      <c r="BP74">
        <v>0</v>
      </c>
      <c r="BW74" t="str">
        <f>"20:11:15.742"</f>
        <v>20:11:15.742</v>
      </c>
      <c r="CJ74">
        <v>0</v>
      </c>
      <c r="CK74">
        <v>2</v>
      </c>
      <c r="CL74">
        <v>0</v>
      </c>
      <c r="CM74">
        <v>2</v>
      </c>
      <c r="CN74">
        <v>0</v>
      </c>
      <c r="CO74">
        <v>5</v>
      </c>
      <c r="CP74" t="s">
        <v>119</v>
      </c>
      <c r="CQ74">
        <v>559</v>
      </c>
      <c r="CR74">
        <v>0</v>
      </c>
      <c r="CW74">
        <v>10384402</v>
      </c>
      <c r="CY74">
        <v>0</v>
      </c>
      <c r="CZ74">
        <v>0</v>
      </c>
      <c r="DA74">
        <v>1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</row>
    <row r="75" spans="1:113" x14ac:dyDescent="0.3">
      <c r="A75" t="str">
        <f>"02/08/2021 20:11:14.280"</f>
        <v>02/08/2021 20:11:14.280</v>
      </c>
      <c r="C75" t="str">
        <f t="shared" si="2"/>
        <v>FFDFD3C0</v>
      </c>
      <c r="D75" t="s">
        <v>124</v>
      </c>
      <c r="E75">
        <v>13</v>
      </c>
      <c r="F75">
        <v>1013</v>
      </c>
      <c r="G75" t="s">
        <v>114</v>
      </c>
      <c r="J75" t="s">
        <v>125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"20:11:16.586"</f>
        <v>20:11:16.586</v>
      </c>
      <c r="T75" t="str">
        <f>"20:11:16.186"</f>
        <v>20:11:16.186</v>
      </c>
      <c r="U75" t="str">
        <f t="shared" si="4"/>
        <v>AB01F4</v>
      </c>
      <c r="V75">
        <v>0</v>
      </c>
      <c r="W75">
        <v>0</v>
      </c>
      <c r="X75">
        <v>1</v>
      </c>
      <c r="Z75">
        <v>0</v>
      </c>
      <c r="AA75">
        <v>9</v>
      </c>
      <c r="AB75">
        <v>3</v>
      </c>
      <c r="AC75">
        <v>0</v>
      </c>
      <c r="AD75">
        <v>10</v>
      </c>
      <c r="AE75">
        <v>0</v>
      </c>
      <c r="AF75">
        <v>3</v>
      </c>
      <c r="AG75">
        <v>2</v>
      </c>
      <c r="AH75">
        <v>0</v>
      </c>
      <c r="AI75" t="s">
        <v>188</v>
      </c>
      <c r="AJ75">
        <v>39.493468</v>
      </c>
      <c r="AK75" t="s">
        <v>189</v>
      </c>
      <c r="AL75">
        <v>-92.425060000000002</v>
      </c>
      <c r="AM75">
        <v>100</v>
      </c>
      <c r="AN75">
        <v>1600</v>
      </c>
      <c r="AO75" t="s">
        <v>118</v>
      </c>
      <c r="AP75">
        <v>-42</v>
      </c>
      <c r="AQ75">
        <v>96</v>
      </c>
      <c r="AR75">
        <v>704</v>
      </c>
      <c r="AZ75">
        <v>1200</v>
      </c>
      <c r="BA75">
        <v>1</v>
      </c>
      <c r="BB75" t="str">
        <f t="shared" si="3"/>
        <v xml:space="preserve">N8080G  </v>
      </c>
      <c r="BC75">
        <v>1</v>
      </c>
      <c r="BE75">
        <v>0</v>
      </c>
      <c r="BF75">
        <v>0</v>
      </c>
      <c r="BG75">
        <v>0</v>
      </c>
      <c r="BH75">
        <v>1650</v>
      </c>
      <c r="BI75">
        <v>1</v>
      </c>
      <c r="BJ75">
        <v>1</v>
      </c>
      <c r="BK75">
        <v>1</v>
      </c>
      <c r="BL75">
        <v>0</v>
      </c>
      <c r="BO75">
        <v>0</v>
      </c>
      <c r="BP75">
        <v>0</v>
      </c>
      <c r="BW75" t="str">
        <f>"20:11:16.590"</f>
        <v>20:11:16.590</v>
      </c>
      <c r="CJ75">
        <v>0</v>
      </c>
      <c r="CK75">
        <v>2</v>
      </c>
      <c r="CL75">
        <v>0</v>
      </c>
      <c r="CM75">
        <v>2</v>
      </c>
      <c r="CN75">
        <v>0</v>
      </c>
      <c r="CO75">
        <v>5</v>
      </c>
      <c r="CP75" t="s">
        <v>119</v>
      </c>
      <c r="CQ75">
        <v>559</v>
      </c>
      <c r="CR75">
        <v>0</v>
      </c>
      <c r="CW75">
        <v>10384547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</row>
    <row r="76" spans="1:113" x14ac:dyDescent="0.3">
      <c r="A76" t="str">
        <f>"02/08/2021 20:11:14.280"</f>
        <v>02/08/2021 20:11:14.280</v>
      </c>
      <c r="C76" t="str">
        <f t="shared" si="2"/>
        <v>FFDFD3C0</v>
      </c>
      <c r="D76" t="s">
        <v>141</v>
      </c>
      <c r="E76">
        <v>17</v>
      </c>
      <c r="H76">
        <v>256</v>
      </c>
      <c r="I76" t="s">
        <v>142</v>
      </c>
      <c r="J76" t="s">
        <v>143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"20:11:16.586"</f>
        <v>20:11:16.586</v>
      </c>
      <c r="T76" t="str">
        <f>"20:11:16.186"</f>
        <v>20:11:16.186</v>
      </c>
      <c r="U76" t="str">
        <f t="shared" si="4"/>
        <v>AB01F4</v>
      </c>
      <c r="V76">
        <v>0</v>
      </c>
      <c r="W76">
        <v>0</v>
      </c>
      <c r="X76">
        <v>1</v>
      </c>
      <c r="Z76">
        <v>0</v>
      </c>
      <c r="AA76">
        <v>9</v>
      </c>
      <c r="AB76">
        <v>3</v>
      </c>
      <c r="AC76">
        <v>0</v>
      </c>
      <c r="AD76">
        <v>10</v>
      </c>
      <c r="AE76">
        <v>0</v>
      </c>
      <c r="AF76">
        <v>3</v>
      </c>
      <c r="AG76">
        <v>2</v>
      </c>
      <c r="AH76">
        <v>0</v>
      </c>
      <c r="AI76" t="s">
        <v>188</v>
      </c>
      <c r="AJ76">
        <v>39.493468</v>
      </c>
      <c r="AK76" t="s">
        <v>189</v>
      </c>
      <c r="AL76">
        <v>-92.425060000000002</v>
      </c>
      <c r="AM76">
        <v>100</v>
      </c>
      <c r="AN76">
        <v>1600</v>
      </c>
      <c r="AO76" t="s">
        <v>118</v>
      </c>
      <c r="AP76">
        <v>-42</v>
      </c>
      <c r="AQ76">
        <v>96</v>
      </c>
      <c r="AR76">
        <v>704</v>
      </c>
      <c r="AZ76">
        <v>1200</v>
      </c>
      <c r="BA76">
        <v>1</v>
      </c>
      <c r="BB76" t="str">
        <f t="shared" si="3"/>
        <v xml:space="preserve">N8080G  </v>
      </c>
      <c r="BC76">
        <v>1</v>
      </c>
      <c r="BE76">
        <v>0</v>
      </c>
      <c r="BF76">
        <v>0</v>
      </c>
      <c r="BG76">
        <v>0</v>
      </c>
      <c r="BH76">
        <v>1650</v>
      </c>
      <c r="BI76">
        <v>1</v>
      </c>
      <c r="BJ76">
        <v>1</v>
      </c>
      <c r="BK76">
        <v>1</v>
      </c>
      <c r="BL76">
        <v>0</v>
      </c>
      <c r="BO76">
        <v>0</v>
      </c>
      <c r="BP76">
        <v>0</v>
      </c>
      <c r="BW76" t="str">
        <f>"20:11:16.590"</f>
        <v>20:11:16.590</v>
      </c>
      <c r="CJ76">
        <v>0</v>
      </c>
      <c r="CK76">
        <v>2</v>
      </c>
      <c r="CL76">
        <v>0</v>
      </c>
      <c r="CM76">
        <v>2</v>
      </c>
      <c r="CN76">
        <v>0</v>
      </c>
      <c r="CO76">
        <v>5</v>
      </c>
      <c r="CP76" t="s">
        <v>119</v>
      </c>
      <c r="CQ76">
        <v>559</v>
      </c>
      <c r="CR76">
        <v>0</v>
      </c>
      <c r="CW76">
        <v>10384547</v>
      </c>
      <c r="CY76">
        <v>0</v>
      </c>
      <c r="CZ76">
        <v>0</v>
      </c>
      <c r="DA76">
        <v>1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</row>
    <row r="77" spans="1:113" x14ac:dyDescent="0.3">
      <c r="A77" t="str">
        <f>"02/08/2021 20:11:14.280"</f>
        <v>02/08/2021 20:11:14.280</v>
      </c>
      <c r="C77" t="str">
        <f t="shared" si="2"/>
        <v>FFDFD3C0</v>
      </c>
      <c r="D77" t="s">
        <v>113</v>
      </c>
      <c r="E77">
        <v>6</v>
      </c>
      <c r="H77">
        <v>165</v>
      </c>
      <c r="I77" t="s">
        <v>114</v>
      </c>
      <c r="J77" t="s">
        <v>115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"20:11:16.586"</f>
        <v>20:11:16.586</v>
      </c>
      <c r="T77" t="str">
        <f>"20:11:16.186"</f>
        <v>20:11:16.186</v>
      </c>
      <c r="U77" t="str">
        <f t="shared" si="4"/>
        <v>AB01F4</v>
      </c>
      <c r="V77">
        <v>0</v>
      </c>
      <c r="W77">
        <v>0</v>
      </c>
      <c r="X77">
        <v>1</v>
      </c>
      <c r="Z77">
        <v>0</v>
      </c>
      <c r="AA77">
        <v>9</v>
      </c>
      <c r="AB77">
        <v>3</v>
      </c>
      <c r="AC77">
        <v>0</v>
      </c>
      <c r="AD77">
        <v>10</v>
      </c>
      <c r="AE77">
        <v>0</v>
      </c>
      <c r="AF77">
        <v>3</v>
      </c>
      <c r="AG77">
        <v>2</v>
      </c>
      <c r="AH77">
        <v>0</v>
      </c>
      <c r="AI77" t="s">
        <v>188</v>
      </c>
      <c r="AJ77">
        <v>39.493468</v>
      </c>
      <c r="AK77" t="s">
        <v>189</v>
      </c>
      <c r="AL77">
        <v>-92.425060000000002</v>
      </c>
      <c r="AM77">
        <v>100</v>
      </c>
      <c r="AN77">
        <v>1600</v>
      </c>
      <c r="AO77" t="s">
        <v>118</v>
      </c>
      <c r="AP77">
        <v>-42</v>
      </c>
      <c r="AQ77">
        <v>96</v>
      </c>
      <c r="AR77">
        <v>704</v>
      </c>
      <c r="AZ77">
        <v>1200</v>
      </c>
      <c r="BA77">
        <v>1</v>
      </c>
      <c r="BB77" t="str">
        <f t="shared" si="3"/>
        <v xml:space="preserve">N8080G  </v>
      </c>
      <c r="BC77">
        <v>1</v>
      </c>
      <c r="BE77">
        <v>0</v>
      </c>
      <c r="BF77">
        <v>0</v>
      </c>
      <c r="BG77">
        <v>0</v>
      </c>
      <c r="BH77">
        <v>1650</v>
      </c>
      <c r="BI77">
        <v>1</v>
      </c>
      <c r="BJ77">
        <v>1</v>
      </c>
      <c r="BK77">
        <v>1</v>
      </c>
      <c r="BL77">
        <v>0</v>
      </c>
      <c r="BO77">
        <v>0</v>
      </c>
      <c r="BP77">
        <v>0</v>
      </c>
      <c r="BW77" t="str">
        <f>"20:11:16.590"</f>
        <v>20:11:16.590</v>
      </c>
      <c r="CJ77">
        <v>0</v>
      </c>
      <c r="CK77">
        <v>2</v>
      </c>
      <c r="CL77">
        <v>0</v>
      </c>
      <c r="CM77">
        <v>2</v>
      </c>
      <c r="CN77">
        <v>0</v>
      </c>
      <c r="CO77">
        <v>5</v>
      </c>
      <c r="CP77" t="s">
        <v>119</v>
      </c>
      <c r="CQ77">
        <v>559</v>
      </c>
      <c r="CR77">
        <v>0</v>
      </c>
      <c r="CW77">
        <v>10384547</v>
      </c>
      <c r="CY77">
        <v>0</v>
      </c>
      <c r="CZ77">
        <v>0</v>
      </c>
      <c r="DA77">
        <v>1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</row>
    <row r="78" spans="1:113" x14ac:dyDescent="0.3">
      <c r="A78" t="str">
        <f>"02/08/2021 20:11:17.186"</f>
        <v>02/08/2021 20:11:17.186</v>
      </c>
      <c r="C78" t="str">
        <f t="shared" si="2"/>
        <v>FFDFD3C0</v>
      </c>
      <c r="D78" t="s">
        <v>141</v>
      </c>
      <c r="E78">
        <v>17</v>
      </c>
      <c r="H78">
        <v>256</v>
      </c>
      <c r="I78" t="s">
        <v>142</v>
      </c>
      <c r="J78" t="s">
        <v>143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"20:11:19.484"</f>
        <v>20:11:19.484</v>
      </c>
      <c r="T78" t="str">
        <f>"20:11:19.184"</f>
        <v>20:11:19.184</v>
      </c>
      <c r="U78" t="str">
        <f t="shared" si="4"/>
        <v>AB01F4</v>
      </c>
      <c r="V78">
        <v>0</v>
      </c>
      <c r="W78">
        <v>0</v>
      </c>
      <c r="X78">
        <v>1</v>
      </c>
      <c r="Z78">
        <v>0</v>
      </c>
      <c r="AA78">
        <v>9</v>
      </c>
      <c r="AB78">
        <v>3</v>
      </c>
      <c r="AC78">
        <v>0</v>
      </c>
      <c r="AD78">
        <v>10</v>
      </c>
      <c r="AE78">
        <v>0</v>
      </c>
      <c r="AF78">
        <v>3</v>
      </c>
      <c r="AG78">
        <v>2</v>
      </c>
      <c r="AH78">
        <v>0</v>
      </c>
      <c r="AI78" t="s">
        <v>190</v>
      </c>
      <c r="AJ78">
        <v>39.494734000000001</v>
      </c>
      <c r="AK78" t="s">
        <v>191</v>
      </c>
      <c r="AL78">
        <v>-92.425832999999997</v>
      </c>
      <c r="AM78">
        <v>100</v>
      </c>
      <c r="AN78">
        <v>1600</v>
      </c>
      <c r="AO78" t="s">
        <v>118</v>
      </c>
      <c r="AP78">
        <v>-47</v>
      </c>
      <c r="AQ78">
        <v>96</v>
      </c>
      <c r="AR78">
        <v>640</v>
      </c>
      <c r="AZ78">
        <v>1200</v>
      </c>
      <c r="BA78">
        <v>1</v>
      </c>
      <c r="BB78" t="str">
        <f t="shared" si="3"/>
        <v xml:space="preserve">N8080G  </v>
      </c>
      <c r="BC78">
        <v>1</v>
      </c>
      <c r="BE78">
        <v>0</v>
      </c>
      <c r="BF78">
        <v>0</v>
      </c>
      <c r="BG78">
        <v>0</v>
      </c>
      <c r="BH78">
        <v>1675</v>
      </c>
      <c r="BI78">
        <v>1</v>
      </c>
      <c r="BJ78">
        <v>1</v>
      </c>
      <c r="BK78">
        <v>1</v>
      </c>
      <c r="BL78">
        <v>0</v>
      </c>
      <c r="BO78">
        <v>0</v>
      </c>
      <c r="BP78">
        <v>0</v>
      </c>
      <c r="BW78" t="str">
        <f>"20:11:19.492"</f>
        <v>20:11:19.492</v>
      </c>
      <c r="CJ78">
        <v>0</v>
      </c>
      <c r="CK78">
        <v>2</v>
      </c>
      <c r="CL78">
        <v>0</v>
      </c>
      <c r="CM78">
        <v>2</v>
      </c>
      <c r="CN78">
        <v>0</v>
      </c>
      <c r="CO78">
        <v>5</v>
      </c>
      <c r="CP78" t="s">
        <v>119</v>
      </c>
      <c r="CQ78">
        <v>559</v>
      </c>
      <c r="CR78">
        <v>0</v>
      </c>
      <c r="CW78">
        <v>10385019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</row>
    <row r="79" spans="1:113" x14ac:dyDescent="0.3">
      <c r="A79" t="str">
        <f>"02/08/2021 20:11:17.186"</f>
        <v>02/08/2021 20:11:17.186</v>
      </c>
      <c r="C79" t="str">
        <f t="shared" ref="C79:C142" si="5">"FFDFD3C0"</f>
        <v>FFDFD3C0</v>
      </c>
      <c r="D79" t="s">
        <v>113</v>
      </c>
      <c r="E79">
        <v>6</v>
      </c>
      <c r="H79">
        <v>165</v>
      </c>
      <c r="I79" t="s">
        <v>114</v>
      </c>
      <c r="J79" t="s">
        <v>115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"20:11:19.484"</f>
        <v>20:11:19.484</v>
      </c>
      <c r="T79" t="str">
        <f>"20:11:19.184"</f>
        <v>20:11:19.184</v>
      </c>
      <c r="U79" t="str">
        <f t="shared" si="4"/>
        <v>AB01F4</v>
      </c>
      <c r="V79">
        <v>0</v>
      </c>
      <c r="W79">
        <v>0</v>
      </c>
      <c r="X79">
        <v>1</v>
      </c>
      <c r="Z79">
        <v>0</v>
      </c>
      <c r="AA79">
        <v>9</v>
      </c>
      <c r="AB79">
        <v>3</v>
      </c>
      <c r="AC79">
        <v>0</v>
      </c>
      <c r="AD79">
        <v>10</v>
      </c>
      <c r="AE79">
        <v>0</v>
      </c>
      <c r="AF79">
        <v>3</v>
      </c>
      <c r="AG79">
        <v>2</v>
      </c>
      <c r="AH79">
        <v>0</v>
      </c>
      <c r="AI79" t="s">
        <v>190</v>
      </c>
      <c r="AJ79">
        <v>39.494734000000001</v>
      </c>
      <c r="AK79" t="s">
        <v>191</v>
      </c>
      <c r="AL79">
        <v>-92.425832999999997</v>
      </c>
      <c r="AM79">
        <v>100</v>
      </c>
      <c r="AN79">
        <v>1600</v>
      </c>
      <c r="AO79" t="s">
        <v>118</v>
      </c>
      <c r="AP79">
        <v>-47</v>
      </c>
      <c r="AQ79">
        <v>96</v>
      </c>
      <c r="AR79">
        <v>640</v>
      </c>
      <c r="AZ79">
        <v>1200</v>
      </c>
      <c r="BA79">
        <v>1</v>
      </c>
      <c r="BB79" t="str">
        <f t="shared" ref="BB79:BB142" si="6">"N8080G  "</f>
        <v xml:space="preserve">N8080G  </v>
      </c>
      <c r="BC79">
        <v>1</v>
      </c>
      <c r="BE79">
        <v>0</v>
      </c>
      <c r="BF79">
        <v>0</v>
      </c>
      <c r="BG79">
        <v>0</v>
      </c>
      <c r="BH79">
        <v>1675</v>
      </c>
      <c r="BI79">
        <v>1</v>
      </c>
      <c r="BJ79">
        <v>1</v>
      </c>
      <c r="BK79">
        <v>1</v>
      </c>
      <c r="BL79">
        <v>0</v>
      </c>
      <c r="BO79">
        <v>0</v>
      </c>
      <c r="BP79">
        <v>0</v>
      </c>
      <c r="BW79" t="str">
        <f>"20:11:19.492"</f>
        <v>20:11:19.492</v>
      </c>
      <c r="CJ79">
        <v>0</v>
      </c>
      <c r="CK79">
        <v>2</v>
      </c>
      <c r="CL79">
        <v>0</v>
      </c>
      <c r="CM79">
        <v>2</v>
      </c>
      <c r="CN79">
        <v>0</v>
      </c>
      <c r="CO79">
        <v>5</v>
      </c>
      <c r="CP79" t="s">
        <v>119</v>
      </c>
      <c r="CQ79">
        <v>559</v>
      </c>
      <c r="CR79">
        <v>0</v>
      </c>
      <c r="CW79">
        <v>10385019</v>
      </c>
      <c r="CY79">
        <v>0</v>
      </c>
      <c r="CZ79">
        <v>0</v>
      </c>
      <c r="DA79">
        <v>1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</row>
    <row r="80" spans="1:113" x14ac:dyDescent="0.3">
      <c r="A80" t="str">
        <f>"02/08/2021 20:11:17.186"</f>
        <v>02/08/2021 20:11:17.186</v>
      </c>
      <c r="C80" t="str">
        <f t="shared" si="5"/>
        <v>FFDFD3C0</v>
      </c>
      <c r="D80" t="s">
        <v>124</v>
      </c>
      <c r="E80">
        <v>13</v>
      </c>
      <c r="F80">
        <v>1013</v>
      </c>
      <c r="G80" t="s">
        <v>114</v>
      </c>
      <c r="J80" t="s">
        <v>125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"20:11:19.484"</f>
        <v>20:11:19.484</v>
      </c>
      <c r="T80" t="str">
        <f>"20:11:19.184"</f>
        <v>20:11:19.184</v>
      </c>
      <c r="U80" t="str">
        <f t="shared" si="4"/>
        <v>AB01F4</v>
      </c>
      <c r="V80">
        <v>0</v>
      </c>
      <c r="W80">
        <v>0</v>
      </c>
      <c r="X80">
        <v>1</v>
      </c>
      <c r="Z80">
        <v>0</v>
      </c>
      <c r="AA80">
        <v>9</v>
      </c>
      <c r="AB80">
        <v>3</v>
      </c>
      <c r="AC80">
        <v>0</v>
      </c>
      <c r="AD80">
        <v>10</v>
      </c>
      <c r="AE80">
        <v>0</v>
      </c>
      <c r="AF80">
        <v>3</v>
      </c>
      <c r="AG80">
        <v>2</v>
      </c>
      <c r="AH80">
        <v>0</v>
      </c>
      <c r="AI80" t="s">
        <v>190</v>
      </c>
      <c r="AJ80">
        <v>39.494734000000001</v>
      </c>
      <c r="AK80" t="s">
        <v>191</v>
      </c>
      <c r="AL80">
        <v>-92.425832999999997</v>
      </c>
      <c r="AM80">
        <v>100</v>
      </c>
      <c r="AN80">
        <v>1600</v>
      </c>
      <c r="AO80" t="s">
        <v>118</v>
      </c>
      <c r="AP80">
        <v>-47</v>
      </c>
      <c r="AQ80">
        <v>96</v>
      </c>
      <c r="AR80">
        <v>640</v>
      </c>
      <c r="AZ80">
        <v>1200</v>
      </c>
      <c r="BA80">
        <v>1</v>
      </c>
      <c r="BB80" t="str">
        <f t="shared" si="6"/>
        <v xml:space="preserve">N8080G  </v>
      </c>
      <c r="BC80">
        <v>1</v>
      </c>
      <c r="BE80">
        <v>0</v>
      </c>
      <c r="BF80">
        <v>0</v>
      </c>
      <c r="BG80">
        <v>0</v>
      </c>
      <c r="BH80">
        <v>1675</v>
      </c>
      <c r="BI80">
        <v>1</v>
      </c>
      <c r="BJ80">
        <v>1</v>
      </c>
      <c r="BK80">
        <v>1</v>
      </c>
      <c r="BL80">
        <v>0</v>
      </c>
      <c r="BO80">
        <v>0</v>
      </c>
      <c r="BP80">
        <v>0</v>
      </c>
      <c r="BW80" t="str">
        <f>"20:11:19.492"</f>
        <v>20:11:19.492</v>
      </c>
      <c r="CJ80">
        <v>0</v>
      </c>
      <c r="CK80">
        <v>2</v>
      </c>
      <c r="CL80">
        <v>0</v>
      </c>
      <c r="CM80">
        <v>2</v>
      </c>
      <c r="CN80">
        <v>0</v>
      </c>
      <c r="CO80">
        <v>5</v>
      </c>
      <c r="CP80" t="s">
        <v>119</v>
      </c>
      <c r="CQ80">
        <v>559</v>
      </c>
      <c r="CR80">
        <v>0</v>
      </c>
      <c r="CW80">
        <v>10385019</v>
      </c>
      <c r="CY80">
        <v>0</v>
      </c>
      <c r="CZ80">
        <v>0</v>
      </c>
      <c r="DA80">
        <v>1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</row>
    <row r="81" spans="1:113" x14ac:dyDescent="0.3">
      <c r="A81" t="str">
        <f>"02/08/2021 20:11:18.197"</f>
        <v>02/08/2021 20:11:18.197</v>
      </c>
      <c r="C81" t="str">
        <f t="shared" si="5"/>
        <v>FFDFD3C0</v>
      </c>
      <c r="D81" t="s">
        <v>141</v>
      </c>
      <c r="E81">
        <v>17</v>
      </c>
      <c r="H81">
        <v>256</v>
      </c>
      <c r="I81" t="s">
        <v>142</v>
      </c>
      <c r="J81" t="s">
        <v>143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>"20:11:20.523"</f>
        <v>20:11:20.523</v>
      </c>
      <c r="T81" t="str">
        <f>"20:11:20.123"</f>
        <v>20:11:20.123</v>
      </c>
      <c r="U81" t="str">
        <f t="shared" si="4"/>
        <v>AB01F4</v>
      </c>
      <c r="V81">
        <v>0</v>
      </c>
      <c r="W81">
        <v>0</v>
      </c>
      <c r="X81">
        <v>1</v>
      </c>
      <c r="Z81">
        <v>0</v>
      </c>
      <c r="AA81">
        <v>9</v>
      </c>
      <c r="AB81">
        <v>3</v>
      </c>
      <c r="AC81">
        <v>0</v>
      </c>
      <c r="AD81">
        <v>10</v>
      </c>
      <c r="AE81">
        <v>0</v>
      </c>
      <c r="AF81">
        <v>3</v>
      </c>
      <c r="AG81">
        <v>2</v>
      </c>
      <c r="AH81">
        <v>0</v>
      </c>
      <c r="AI81" t="s">
        <v>192</v>
      </c>
      <c r="AJ81">
        <v>39.495249000000001</v>
      </c>
      <c r="AK81" t="s">
        <v>193</v>
      </c>
      <c r="AL81">
        <v>-92.426197999999999</v>
      </c>
      <c r="AM81">
        <v>100</v>
      </c>
      <c r="AN81">
        <v>1700</v>
      </c>
      <c r="AO81" t="s">
        <v>118</v>
      </c>
      <c r="AP81">
        <v>-48</v>
      </c>
      <c r="AQ81">
        <v>96</v>
      </c>
      <c r="AR81">
        <v>576</v>
      </c>
      <c r="AZ81">
        <v>1200</v>
      </c>
      <c r="BA81">
        <v>1</v>
      </c>
      <c r="BB81" t="str">
        <f t="shared" si="6"/>
        <v xml:space="preserve">N8080G  </v>
      </c>
      <c r="BC81">
        <v>1</v>
      </c>
      <c r="BE81">
        <v>0</v>
      </c>
      <c r="BF81">
        <v>0</v>
      </c>
      <c r="BG81">
        <v>0</v>
      </c>
      <c r="BH81">
        <v>1675</v>
      </c>
      <c r="BI81">
        <v>1</v>
      </c>
      <c r="BJ81">
        <v>1</v>
      </c>
      <c r="BK81">
        <v>1</v>
      </c>
      <c r="BL81">
        <v>0</v>
      </c>
      <c r="BO81">
        <v>0</v>
      </c>
      <c r="BP81">
        <v>0</v>
      </c>
      <c r="BW81" t="str">
        <f>"20:11:20.524"</f>
        <v>20:11:20.524</v>
      </c>
      <c r="CJ81">
        <v>0</v>
      </c>
      <c r="CK81">
        <v>2</v>
      </c>
      <c r="CL81">
        <v>0</v>
      </c>
      <c r="CM81">
        <v>2</v>
      </c>
      <c r="CN81">
        <v>0</v>
      </c>
      <c r="CO81">
        <v>5</v>
      </c>
      <c r="CP81" t="s">
        <v>119</v>
      </c>
      <c r="CQ81">
        <v>559</v>
      </c>
      <c r="CR81">
        <v>0</v>
      </c>
      <c r="CW81">
        <v>10385183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</row>
    <row r="82" spans="1:113" x14ac:dyDescent="0.3">
      <c r="A82" t="str">
        <f>"02/08/2021 20:11:18.197"</f>
        <v>02/08/2021 20:11:18.197</v>
      </c>
      <c r="C82" t="str">
        <f t="shared" si="5"/>
        <v>FFDFD3C0</v>
      </c>
      <c r="D82" t="s">
        <v>124</v>
      </c>
      <c r="E82">
        <v>13</v>
      </c>
      <c r="F82">
        <v>1013</v>
      </c>
      <c r="G82" t="s">
        <v>114</v>
      </c>
      <c r="J82" t="s">
        <v>125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"20:11:20.523"</f>
        <v>20:11:20.523</v>
      </c>
      <c r="T82" t="str">
        <f>"20:11:20.123"</f>
        <v>20:11:20.123</v>
      </c>
      <c r="U82" t="str">
        <f t="shared" si="4"/>
        <v>AB01F4</v>
      </c>
      <c r="V82">
        <v>0</v>
      </c>
      <c r="W82">
        <v>0</v>
      </c>
      <c r="X82">
        <v>1</v>
      </c>
      <c r="Z82">
        <v>0</v>
      </c>
      <c r="AA82">
        <v>9</v>
      </c>
      <c r="AB82">
        <v>3</v>
      </c>
      <c r="AC82">
        <v>0</v>
      </c>
      <c r="AD82">
        <v>10</v>
      </c>
      <c r="AE82">
        <v>0</v>
      </c>
      <c r="AF82">
        <v>3</v>
      </c>
      <c r="AG82">
        <v>2</v>
      </c>
      <c r="AH82">
        <v>0</v>
      </c>
      <c r="AI82" t="s">
        <v>192</v>
      </c>
      <c r="AJ82">
        <v>39.495249000000001</v>
      </c>
      <c r="AK82" t="s">
        <v>193</v>
      </c>
      <c r="AL82">
        <v>-92.426197999999999</v>
      </c>
      <c r="AM82">
        <v>100</v>
      </c>
      <c r="AN82">
        <v>1700</v>
      </c>
      <c r="AO82" t="s">
        <v>118</v>
      </c>
      <c r="AP82">
        <v>-48</v>
      </c>
      <c r="AQ82">
        <v>96</v>
      </c>
      <c r="AR82">
        <v>576</v>
      </c>
      <c r="AZ82">
        <v>1200</v>
      </c>
      <c r="BA82">
        <v>1</v>
      </c>
      <c r="BB82" t="str">
        <f t="shared" si="6"/>
        <v xml:space="preserve">N8080G  </v>
      </c>
      <c r="BC82">
        <v>1</v>
      </c>
      <c r="BE82">
        <v>0</v>
      </c>
      <c r="BF82">
        <v>0</v>
      </c>
      <c r="BG82">
        <v>0</v>
      </c>
      <c r="BH82">
        <v>1675</v>
      </c>
      <c r="BI82">
        <v>1</v>
      </c>
      <c r="BJ82">
        <v>1</v>
      </c>
      <c r="BK82">
        <v>1</v>
      </c>
      <c r="BL82">
        <v>0</v>
      </c>
      <c r="BO82">
        <v>0</v>
      </c>
      <c r="BP82">
        <v>0</v>
      </c>
      <c r="BW82" t="str">
        <f>"20:11:20.524"</f>
        <v>20:11:20.524</v>
      </c>
      <c r="CJ82">
        <v>0</v>
      </c>
      <c r="CK82">
        <v>2</v>
      </c>
      <c r="CL82">
        <v>0</v>
      </c>
      <c r="CM82">
        <v>2</v>
      </c>
      <c r="CN82">
        <v>0</v>
      </c>
      <c r="CO82">
        <v>5</v>
      </c>
      <c r="CP82" t="s">
        <v>119</v>
      </c>
      <c r="CQ82">
        <v>559</v>
      </c>
      <c r="CR82">
        <v>0</v>
      </c>
      <c r="CW82">
        <v>10385183</v>
      </c>
      <c r="CY82">
        <v>0</v>
      </c>
      <c r="CZ82">
        <v>0</v>
      </c>
      <c r="DA82">
        <v>1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</row>
    <row r="83" spans="1:113" x14ac:dyDescent="0.3">
      <c r="A83" t="str">
        <f>"02/08/2021 20:11:18.197"</f>
        <v>02/08/2021 20:11:18.197</v>
      </c>
      <c r="C83" t="str">
        <f t="shared" si="5"/>
        <v>FFDFD3C0</v>
      </c>
      <c r="D83" t="s">
        <v>113</v>
      </c>
      <c r="E83">
        <v>6</v>
      </c>
      <c r="H83">
        <v>165</v>
      </c>
      <c r="I83" t="s">
        <v>114</v>
      </c>
      <c r="J83" t="s">
        <v>115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"20:11:20.523"</f>
        <v>20:11:20.523</v>
      </c>
      <c r="T83" t="str">
        <f>"20:11:20.123"</f>
        <v>20:11:20.123</v>
      </c>
      <c r="U83" t="str">
        <f t="shared" si="4"/>
        <v>AB01F4</v>
      </c>
      <c r="V83">
        <v>0</v>
      </c>
      <c r="W83">
        <v>0</v>
      </c>
      <c r="X83">
        <v>1</v>
      </c>
      <c r="Z83">
        <v>0</v>
      </c>
      <c r="AA83">
        <v>9</v>
      </c>
      <c r="AB83">
        <v>3</v>
      </c>
      <c r="AC83">
        <v>0</v>
      </c>
      <c r="AD83">
        <v>10</v>
      </c>
      <c r="AE83">
        <v>0</v>
      </c>
      <c r="AF83">
        <v>3</v>
      </c>
      <c r="AG83">
        <v>2</v>
      </c>
      <c r="AH83">
        <v>0</v>
      </c>
      <c r="AI83" t="s">
        <v>192</v>
      </c>
      <c r="AJ83">
        <v>39.495249000000001</v>
      </c>
      <c r="AK83" t="s">
        <v>193</v>
      </c>
      <c r="AL83">
        <v>-92.426197999999999</v>
      </c>
      <c r="AM83">
        <v>100</v>
      </c>
      <c r="AN83">
        <v>1700</v>
      </c>
      <c r="AO83" t="s">
        <v>118</v>
      </c>
      <c r="AP83">
        <v>-48</v>
      </c>
      <c r="AQ83">
        <v>96</v>
      </c>
      <c r="AR83">
        <v>576</v>
      </c>
      <c r="AZ83">
        <v>1200</v>
      </c>
      <c r="BA83">
        <v>1</v>
      </c>
      <c r="BB83" t="str">
        <f t="shared" si="6"/>
        <v xml:space="preserve">N8080G  </v>
      </c>
      <c r="BC83">
        <v>1</v>
      </c>
      <c r="BE83">
        <v>0</v>
      </c>
      <c r="BF83">
        <v>0</v>
      </c>
      <c r="BG83">
        <v>0</v>
      </c>
      <c r="BH83">
        <v>1675</v>
      </c>
      <c r="BI83">
        <v>1</v>
      </c>
      <c r="BJ83">
        <v>1</v>
      </c>
      <c r="BK83">
        <v>1</v>
      </c>
      <c r="BL83">
        <v>0</v>
      </c>
      <c r="BO83">
        <v>0</v>
      </c>
      <c r="BP83">
        <v>0</v>
      </c>
      <c r="BW83" t="str">
        <f>"20:11:20.524"</f>
        <v>20:11:20.524</v>
      </c>
      <c r="CJ83">
        <v>0</v>
      </c>
      <c r="CK83">
        <v>2</v>
      </c>
      <c r="CL83">
        <v>0</v>
      </c>
      <c r="CM83">
        <v>2</v>
      </c>
      <c r="CN83">
        <v>0</v>
      </c>
      <c r="CO83">
        <v>5</v>
      </c>
      <c r="CP83" t="s">
        <v>119</v>
      </c>
      <c r="CQ83">
        <v>559</v>
      </c>
      <c r="CR83">
        <v>0</v>
      </c>
      <c r="CW83">
        <v>10385183</v>
      </c>
      <c r="CY83">
        <v>0</v>
      </c>
      <c r="CZ83">
        <v>0</v>
      </c>
      <c r="DA83">
        <v>1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</row>
    <row r="84" spans="1:113" x14ac:dyDescent="0.3">
      <c r="A84" t="str">
        <f>"02/08/2021 20:11:19.217"</f>
        <v>02/08/2021 20:11:19.217</v>
      </c>
      <c r="C84" t="str">
        <f t="shared" si="5"/>
        <v>FFDFD3C0</v>
      </c>
      <c r="D84" t="s">
        <v>113</v>
      </c>
      <c r="E84">
        <v>6</v>
      </c>
      <c r="H84">
        <v>165</v>
      </c>
      <c r="I84" t="s">
        <v>114</v>
      </c>
      <c r="J84" t="s">
        <v>115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"20:11:21.555"</f>
        <v>20:11:21.555</v>
      </c>
      <c r="T84" t="str">
        <f>"20:11:21.155"</f>
        <v>20:11:21.155</v>
      </c>
      <c r="U84" t="str">
        <f t="shared" si="4"/>
        <v>AB01F4</v>
      </c>
      <c r="V84">
        <v>0</v>
      </c>
      <c r="W84">
        <v>0</v>
      </c>
      <c r="X84">
        <v>1</v>
      </c>
      <c r="Z84">
        <v>0</v>
      </c>
      <c r="AA84">
        <v>9</v>
      </c>
      <c r="AB84">
        <v>3</v>
      </c>
      <c r="AC84">
        <v>0</v>
      </c>
      <c r="AD84">
        <v>10</v>
      </c>
      <c r="AE84">
        <v>0</v>
      </c>
      <c r="AF84">
        <v>3</v>
      </c>
      <c r="AG84">
        <v>2</v>
      </c>
      <c r="AH84">
        <v>0</v>
      </c>
      <c r="AI84" t="s">
        <v>194</v>
      </c>
      <c r="AJ84">
        <v>39.495655999999997</v>
      </c>
      <c r="AK84" t="s">
        <v>195</v>
      </c>
      <c r="AL84">
        <v>-92.426475999999994</v>
      </c>
      <c r="AM84">
        <v>100</v>
      </c>
      <c r="AN84">
        <v>1700</v>
      </c>
      <c r="AO84" t="s">
        <v>118</v>
      </c>
      <c r="AP84">
        <v>-50</v>
      </c>
      <c r="AQ84">
        <v>96</v>
      </c>
      <c r="AR84">
        <v>576</v>
      </c>
      <c r="AZ84">
        <v>1200</v>
      </c>
      <c r="BA84">
        <v>1</v>
      </c>
      <c r="BB84" t="str">
        <f t="shared" si="6"/>
        <v xml:space="preserve">N8080G  </v>
      </c>
      <c r="BC84">
        <v>1</v>
      </c>
      <c r="BE84">
        <v>0</v>
      </c>
      <c r="BF84">
        <v>0</v>
      </c>
      <c r="BG84">
        <v>0</v>
      </c>
      <c r="BH84">
        <v>1675</v>
      </c>
      <c r="BI84">
        <v>1</v>
      </c>
      <c r="BJ84">
        <v>1</v>
      </c>
      <c r="BK84">
        <v>1</v>
      </c>
      <c r="BL84">
        <v>0</v>
      </c>
      <c r="BO84">
        <v>0</v>
      </c>
      <c r="BP84">
        <v>0</v>
      </c>
      <c r="BW84" t="str">
        <f>"20:11:21.560"</f>
        <v>20:11:21.560</v>
      </c>
      <c r="CJ84">
        <v>0</v>
      </c>
      <c r="CK84">
        <v>2</v>
      </c>
      <c r="CL84">
        <v>0</v>
      </c>
      <c r="CM84">
        <v>2</v>
      </c>
      <c r="CN84">
        <v>0</v>
      </c>
      <c r="CO84">
        <v>5</v>
      </c>
      <c r="CP84" t="s">
        <v>119</v>
      </c>
      <c r="CQ84">
        <v>559</v>
      </c>
      <c r="CR84">
        <v>0</v>
      </c>
      <c r="CW84">
        <v>10385346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</row>
    <row r="85" spans="1:113" x14ac:dyDescent="0.3">
      <c r="A85" t="str">
        <f>"02/08/2021 20:11:19.217"</f>
        <v>02/08/2021 20:11:19.217</v>
      </c>
      <c r="C85" t="str">
        <f t="shared" si="5"/>
        <v>FFDFD3C0</v>
      </c>
      <c r="D85" t="s">
        <v>124</v>
      </c>
      <c r="E85">
        <v>13</v>
      </c>
      <c r="F85">
        <v>1013</v>
      </c>
      <c r="G85" t="s">
        <v>114</v>
      </c>
      <c r="J85" t="s">
        <v>125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"20:11:21.555"</f>
        <v>20:11:21.555</v>
      </c>
      <c r="T85" t="str">
        <f>"20:11:21.155"</f>
        <v>20:11:21.155</v>
      </c>
      <c r="U85" t="str">
        <f t="shared" si="4"/>
        <v>AB01F4</v>
      </c>
      <c r="V85">
        <v>0</v>
      </c>
      <c r="W85">
        <v>0</v>
      </c>
      <c r="X85">
        <v>1</v>
      </c>
      <c r="Z85">
        <v>0</v>
      </c>
      <c r="AA85">
        <v>9</v>
      </c>
      <c r="AB85">
        <v>3</v>
      </c>
      <c r="AC85">
        <v>0</v>
      </c>
      <c r="AD85">
        <v>10</v>
      </c>
      <c r="AE85">
        <v>0</v>
      </c>
      <c r="AF85">
        <v>3</v>
      </c>
      <c r="AG85">
        <v>2</v>
      </c>
      <c r="AH85">
        <v>0</v>
      </c>
      <c r="AI85" t="s">
        <v>194</v>
      </c>
      <c r="AJ85">
        <v>39.495655999999997</v>
      </c>
      <c r="AK85" t="s">
        <v>195</v>
      </c>
      <c r="AL85">
        <v>-92.426475999999994</v>
      </c>
      <c r="AM85">
        <v>100</v>
      </c>
      <c r="AN85">
        <v>1700</v>
      </c>
      <c r="AO85" t="s">
        <v>118</v>
      </c>
      <c r="AP85">
        <v>-50</v>
      </c>
      <c r="AQ85">
        <v>96</v>
      </c>
      <c r="AR85">
        <v>576</v>
      </c>
      <c r="AZ85">
        <v>1200</v>
      </c>
      <c r="BA85">
        <v>1</v>
      </c>
      <c r="BB85" t="str">
        <f t="shared" si="6"/>
        <v xml:space="preserve">N8080G  </v>
      </c>
      <c r="BC85">
        <v>1</v>
      </c>
      <c r="BE85">
        <v>0</v>
      </c>
      <c r="BF85">
        <v>0</v>
      </c>
      <c r="BG85">
        <v>0</v>
      </c>
      <c r="BH85">
        <v>1675</v>
      </c>
      <c r="BI85">
        <v>1</v>
      </c>
      <c r="BJ85">
        <v>1</v>
      </c>
      <c r="BK85">
        <v>1</v>
      </c>
      <c r="BL85">
        <v>0</v>
      </c>
      <c r="BO85">
        <v>0</v>
      </c>
      <c r="BP85">
        <v>0</v>
      </c>
      <c r="BW85" t="str">
        <f>"20:11:21.560"</f>
        <v>20:11:21.560</v>
      </c>
      <c r="CJ85">
        <v>0</v>
      </c>
      <c r="CK85">
        <v>2</v>
      </c>
      <c r="CL85">
        <v>0</v>
      </c>
      <c r="CM85">
        <v>2</v>
      </c>
      <c r="CN85">
        <v>0</v>
      </c>
      <c r="CO85">
        <v>5</v>
      </c>
      <c r="CP85" t="s">
        <v>119</v>
      </c>
      <c r="CQ85">
        <v>559</v>
      </c>
      <c r="CR85">
        <v>0</v>
      </c>
      <c r="CW85">
        <v>10385346</v>
      </c>
      <c r="CY85">
        <v>0</v>
      </c>
      <c r="CZ85">
        <v>0</v>
      </c>
      <c r="DA85">
        <v>1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</row>
    <row r="86" spans="1:113" x14ac:dyDescent="0.3">
      <c r="A86" t="str">
        <f>"02/08/2021 20:11:19.217"</f>
        <v>02/08/2021 20:11:19.217</v>
      </c>
      <c r="C86" t="str">
        <f t="shared" si="5"/>
        <v>FFDFD3C0</v>
      </c>
      <c r="D86" t="s">
        <v>141</v>
      </c>
      <c r="E86">
        <v>17</v>
      </c>
      <c r="H86">
        <v>256</v>
      </c>
      <c r="I86" t="s">
        <v>142</v>
      </c>
      <c r="J86" t="s">
        <v>143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"20:11:21.555"</f>
        <v>20:11:21.555</v>
      </c>
      <c r="T86" t="str">
        <f>"20:11:21.155"</f>
        <v>20:11:21.155</v>
      </c>
      <c r="U86" t="str">
        <f t="shared" si="4"/>
        <v>AB01F4</v>
      </c>
      <c r="V86">
        <v>0</v>
      </c>
      <c r="W86">
        <v>0</v>
      </c>
      <c r="X86">
        <v>1</v>
      </c>
      <c r="Z86">
        <v>0</v>
      </c>
      <c r="AA86">
        <v>9</v>
      </c>
      <c r="AB86">
        <v>3</v>
      </c>
      <c r="AC86">
        <v>0</v>
      </c>
      <c r="AD86">
        <v>10</v>
      </c>
      <c r="AE86">
        <v>0</v>
      </c>
      <c r="AF86">
        <v>3</v>
      </c>
      <c r="AG86">
        <v>2</v>
      </c>
      <c r="AH86">
        <v>0</v>
      </c>
      <c r="AI86" t="s">
        <v>194</v>
      </c>
      <c r="AJ86">
        <v>39.495655999999997</v>
      </c>
      <c r="AK86" t="s">
        <v>195</v>
      </c>
      <c r="AL86">
        <v>-92.426475999999994</v>
      </c>
      <c r="AM86">
        <v>100</v>
      </c>
      <c r="AN86">
        <v>1700</v>
      </c>
      <c r="AO86" t="s">
        <v>118</v>
      </c>
      <c r="AP86">
        <v>-50</v>
      </c>
      <c r="AQ86">
        <v>96</v>
      </c>
      <c r="AR86">
        <v>576</v>
      </c>
      <c r="AZ86">
        <v>1200</v>
      </c>
      <c r="BA86">
        <v>1</v>
      </c>
      <c r="BB86" t="str">
        <f t="shared" si="6"/>
        <v xml:space="preserve">N8080G  </v>
      </c>
      <c r="BC86">
        <v>1</v>
      </c>
      <c r="BE86">
        <v>0</v>
      </c>
      <c r="BF86">
        <v>0</v>
      </c>
      <c r="BG86">
        <v>0</v>
      </c>
      <c r="BH86">
        <v>1675</v>
      </c>
      <c r="BI86">
        <v>1</v>
      </c>
      <c r="BJ86">
        <v>1</v>
      </c>
      <c r="BK86">
        <v>1</v>
      </c>
      <c r="BL86">
        <v>0</v>
      </c>
      <c r="BO86">
        <v>0</v>
      </c>
      <c r="BP86">
        <v>0</v>
      </c>
      <c r="BW86" t="str">
        <f>"20:11:21.560"</f>
        <v>20:11:21.560</v>
      </c>
      <c r="CJ86">
        <v>0</v>
      </c>
      <c r="CK86">
        <v>2</v>
      </c>
      <c r="CL86">
        <v>0</v>
      </c>
      <c r="CM86">
        <v>2</v>
      </c>
      <c r="CN86">
        <v>0</v>
      </c>
      <c r="CO86">
        <v>5</v>
      </c>
      <c r="CP86" t="s">
        <v>119</v>
      </c>
      <c r="CQ86">
        <v>559</v>
      </c>
      <c r="CR86">
        <v>0</v>
      </c>
      <c r="CW86">
        <v>10385346</v>
      </c>
      <c r="CY86">
        <v>0</v>
      </c>
      <c r="CZ86">
        <v>0</v>
      </c>
      <c r="DA86">
        <v>1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</row>
    <row r="87" spans="1:113" x14ac:dyDescent="0.3">
      <c r="A87" t="str">
        <f>"02/08/2021 20:11:20.119"</f>
        <v>02/08/2021 20:11:20.119</v>
      </c>
      <c r="C87" t="str">
        <f t="shared" si="5"/>
        <v>FFDFD3C0</v>
      </c>
      <c r="D87" t="s">
        <v>141</v>
      </c>
      <c r="E87">
        <v>17</v>
      </c>
      <c r="H87">
        <v>256</v>
      </c>
      <c r="I87" t="s">
        <v>142</v>
      </c>
      <c r="J87" t="s">
        <v>143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>"20:11:22.453"</f>
        <v>20:11:22.453</v>
      </c>
      <c r="T87" t="str">
        <f>"20:11:22.053"</f>
        <v>20:11:22.053</v>
      </c>
      <c r="U87" t="str">
        <f t="shared" si="4"/>
        <v>AB01F4</v>
      </c>
      <c r="V87">
        <v>0</v>
      </c>
      <c r="W87">
        <v>0</v>
      </c>
      <c r="X87">
        <v>1</v>
      </c>
      <c r="Z87">
        <v>0</v>
      </c>
      <c r="AA87">
        <v>9</v>
      </c>
      <c r="AB87">
        <v>3</v>
      </c>
      <c r="AC87">
        <v>0</v>
      </c>
      <c r="AD87">
        <v>10</v>
      </c>
      <c r="AE87">
        <v>0</v>
      </c>
      <c r="AF87">
        <v>3</v>
      </c>
      <c r="AG87">
        <v>2</v>
      </c>
      <c r="AH87">
        <v>0</v>
      </c>
      <c r="AI87" t="s">
        <v>196</v>
      </c>
      <c r="AJ87">
        <v>39.496085999999998</v>
      </c>
      <c r="AK87" t="s">
        <v>197</v>
      </c>
      <c r="AL87">
        <v>-92.426755</v>
      </c>
      <c r="AM87">
        <v>100</v>
      </c>
      <c r="AN87">
        <v>1700</v>
      </c>
      <c r="AO87" t="s">
        <v>118</v>
      </c>
      <c r="AP87">
        <v>-51</v>
      </c>
      <c r="AQ87">
        <v>96</v>
      </c>
      <c r="AR87">
        <v>576</v>
      </c>
      <c r="AZ87">
        <v>1200</v>
      </c>
      <c r="BA87">
        <v>1</v>
      </c>
      <c r="BB87" t="str">
        <f t="shared" si="6"/>
        <v xml:space="preserve">N8080G  </v>
      </c>
      <c r="BC87">
        <v>1</v>
      </c>
      <c r="BE87">
        <v>0</v>
      </c>
      <c r="BF87">
        <v>0</v>
      </c>
      <c r="BG87">
        <v>0</v>
      </c>
      <c r="BH87">
        <v>1700</v>
      </c>
      <c r="BI87">
        <v>1</v>
      </c>
      <c r="BJ87">
        <v>1</v>
      </c>
      <c r="BK87">
        <v>1</v>
      </c>
      <c r="BL87">
        <v>0</v>
      </c>
      <c r="BO87">
        <v>0</v>
      </c>
      <c r="BP87">
        <v>0</v>
      </c>
      <c r="BW87" t="str">
        <f>"20:11:22.454"</f>
        <v>20:11:22.454</v>
      </c>
      <c r="CJ87">
        <v>0</v>
      </c>
      <c r="CK87">
        <v>2</v>
      </c>
      <c r="CL87">
        <v>0</v>
      </c>
      <c r="CM87">
        <v>2</v>
      </c>
      <c r="CN87">
        <v>0</v>
      </c>
      <c r="CO87">
        <v>6</v>
      </c>
      <c r="CP87" t="s">
        <v>119</v>
      </c>
      <c r="CQ87">
        <v>559</v>
      </c>
      <c r="CR87">
        <v>0</v>
      </c>
      <c r="CW87">
        <v>10385489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</row>
    <row r="88" spans="1:113" x14ac:dyDescent="0.3">
      <c r="A88" t="str">
        <f>"02/08/2021 20:11:20.119"</f>
        <v>02/08/2021 20:11:20.119</v>
      </c>
      <c r="C88" t="str">
        <f t="shared" si="5"/>
        <v>FFDFD3C0</v>
      </c>
      <c r="D88" t="s">
        <v>113</v>
      </c>
      <c r="E88">
        <v>6</v>
      </c>
      <c r="H88">
        <v>165</v>
      </c>
      <c r="I88" t="s">
        <v>114</v>
      </c>
      <c r="J88" t="s">
        <v>115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>"20:11:22.453"</f>
        <v>20:11:22.453</v>
      </c>
      <c r="T88" t="str">
        <f>"20:11:22.053"</f>
        <v>20:11:22.053</v>
      </c>
      <c r="U88" t="str">
        <f t="shared" si="4"/>
        <v>AB01F4</v>
      </c>
      <c r="V88">
        <v>0</v>
      </c>
      <c r="W88">
        <v>0</v>
      </c>
      <c r="X88">
        <v>1</v>
      </c>
      <c r="Z88">
        <v>0</v>
      </c>
      <c r="AA88">
        <v>9</v>
      </c>
      <c r="AB88">
        <v>3</v>
      </c>
      <c r="AC88">
        <v>0</v>
      </c>
      <c r="AD88">
        <v>10</v>
      </c>
      <c r="AE88">
        <v>0</v>
      </c>
      <c r="AF88">
        <v>3</v>
      </c>
      <c r="AG88">
        <v>2</v>
      </c>
      <c r="AH88">
        <v>0</v>
      </c>
      <c r="AI88" t="s">
        <v>196</v>
      </c>
      <c r="AJ88">
        <v>39.496085999999998</v>
      </c>
      <c r="AK88" t="s">
        <v>197</v>
      </c>
      <c r="AL88">
        <v>-92.426755</v>
      </c>
      <c r="AM88">
        <v>100</v>
      </c>
      <c r="AN88">
        <v>1700</v>
      </c>
      <c r="AO88" t="s">
        <v>118</v>
      </c>
      <c r="AP88">
        <v>-51</v>
      </c>
      <c r="AQ88">
        <v>96</v>
      </c>
      <c r="AR88">
        <v>576</v>
      </c>
      <c r="AZ88">
        <v>1200</v>
      </c>
      <c r="BA88">
        <v>1</v>
      </c>
      <c r="BB88" t="str">
        <f t="shared" si="6"/>
        <v xml:space="preserve">N8080G  </v>
      </c>
      <c r="BC88">
        <v>1</v>
      </c>
      <c r="BE88">
        <v>0</v>
      </c>
      <c r="BF88">
        <v>0</v>
      </c>
      <c r="BG88">
        <v>0</v>
      </c>
      <c r="BH88">
        <v>1700</v>
      </c>
      <c r="BI88">
        <v>1</v>
      </c>
      <c r="BJ88">
        <v>1</v>
      </c>
      <c r="BK88">
        <v>1</v>
      </c>
      <c r="BL88">
        <v>0</v>
      </c>
      <c r="BO88">
        <v>0</v>
      </c>
      <c r="BP88">
        <v>0</v>
      </c>
      <c r="BW88" t="str">
        <f>"20:11:22.454"</f>
        <v>20:11:22.454</v>
      </c>
      <c r="CJ88">
        <v>0</v>
      </c>
      <c r="CK88">
        <v>2</v>
      </c>
      <c r="CL88">
        <v>0</v>
      </c>
      <c r="CM88">
        <v>2</v>
      </c>
      <c r="CN88">
        <v>0</v>
      </c>
      <c r="CO88">
        <v>6</v>
      </c>
      <c r="CP88" t="s">
        <v>119</v>
      </c>
      <c r="CQ88">
        <v>180</v>
      </c>
      <c r="CR88">
        <v>2</v>
      </c>
      <c r="CW88">
        <v>7738876</v>
      </c>
      <c r="CY88">
        <v>0</v>
      </c>
      <c r="CZ88">
        <v>0</v>
      </c>
      <c r="DA88">
        <v>1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</row>
    <row r="89" spans="1:113" x14ac:dyDescent="0.3">
      <c r="A89" t="str">
        <f>"02/08/2021 20:11:20.119"</f>
        <v>02/08/2021 20:11:20.119</v>
      </c>
      <c r="C89" t="str">
        <f t="shared" si="5"/>
        <v>FFDFD3C0</v>
      </c>
      <c r="D89" t="s">
        <v>124</v>
      </c>
      <c r="E89">
        <v>13</v>
      </c>
      <c r="F89">
        <v>1013</v>
      </c>
      <c r="G89" t="s">
        <v>114</v>
      </c>
      <c r="J89" t="s">
        <v>125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>"20:11:22.453"</f>
        <v>20:11:22.453</v>
      </c>
      <c r="T89" t="str">
        <f>"20:11:22.053"</f>
        <v>20:11:22.053</v>
      </c>
      <c r="U89" t="str">
        <f t="shared" si="4"/>
        <v>AB01F4</v>
      </c>
      <c r="V89">
        <v>0</v>
      </c>
      <c r="W89">
        <v>0</v>
      </c>
      <c r="X89">
        <v>1</v>
      </c>
      <c r="Z89">
        <v>0</v>
      </c>
      <c r="AA89">
        <v>9</v>
      </c>
      <c r="AB89">
        <v>3</v>
      </c>
      <c r="AC89">
        <v>0</v>
      </c>
      <c r="AD89">
        <v>10</v>
      </c>
      <c r="AE89">
        <v>0</v>
      </c>
      <c r="AF89">
        <v>3</v>
      </c>
      <c r="AG89">
        <v>2</v>
      </c>
      <c r="AH89">
        <v>0</v>
      </c>
      <c r="AI89" t="s">
        <v>196</v>
      </c>
      <c r="AJ89">
        <v>39.496085999999998</v>
      </c>
      <c r="AK89" t="s">
        <v>197</v>
      </c>
      <c r="AL89">
        <v>-92.426755</v>
      </c>
      <c r="AM89">
        <v>100</v>
      </c>
      <c r="AN89">
        <v>1700</v>
      </c>
      <c r="AO89" t="s">
        <v>118</v>
      </c>
      <c r="AP89">
        <v>-51</v>
      </c>
      <c r="AQ89">
        <v>96</v>
      </c>
      <c r="AR89">
        <v>576</v>
      </c>
      <c r="AZ89">
        <v>1200</v>
      </c>
      <c r="BA89">
        <v>1</v>
      </c>
      <c r="BB89" t="str">
        <f t="shared" si="6"/>
        <v xml:space="preserve">N8080G  </v>
      </c>
      <c r="BC89">
        <v>1</v>
      </c>
      <c r="BE89">
        <v>0</v>
      </c>
      <c r="BF89">
        <v>0</v>
      </c>
      <c r="BG89">
        <v>0</v>
      </c>
      <c r="BH89">
        <v>1700</v>
      </c>
      <c r="BI89">
        <v>1</v>
      </c>
      <c r="BJ89">
        <v>1</v>
      </c>
      <c r="BK89">
        <v>1</v>
      </c>
      <c r="BL89">
        <v>0</v>
      </c>
      <c r="BO89">
        <v>0</v>
      </c>
      <c r="BP89">
        <v>0</v>
      </c>
      <c r="BW89" t="str">
        <f>"20:11:22.454"</f>
        <v>20:11:22.454</v>
      </c>
      <c r="CJ89">
        <v>0</v>
      </c>
      <c r="CK89">
        <v>2</v>
      </c>
      <c r="CL89">
        <v>0</v>
      </c>
      <c r="CM89">
        <v>2</v>
      </c>
      <c r="CN89">
        <v>0</v>
      </c>
      <c r="CO89">
        <v>6</v>
      </c>
      <c r="CP89" t="s">
        <v>119</v>
      </c>
      <c r="CQ89">
        <v>180</v>
      </c>
      <c r="CR89">
        <v>2</v>
      </c>
      <c r="CW89">
        <v>7738876</v>
      </c>
      <c r="CY89">
        <v>0</v>
      </c>
      <c r="CZ89">
        <v>0</v>
      </c>
      <c r="DA89">
        <v>1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</row>
    <row r="90" spans="1:113" x14ac:dyDescent="0.3">
      <c r="A90" t="str">
        <f>"02/08/2021 20:11:21.214"</f>
        <v>02/08/2021 20:11:21.214</v>
      </c>
      <c r="C90" t="str">
        <f t="shared" si="5"/>
        <v>FFDFD3C0</v>
      </c>
      <c r="D90" t="s">
        <v>124</v>
      </c>
      <c r="E90">
        <v>13</v>
      </c>
      <c r="F90">
        <v>1013</v>
      </c>
      <c r="G90" t="s">
        <v>114</v>
      </c>
      <c r="J90" t="s">
        <v>125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>"20:11:23.508"</f>
        <v>20:11:23.508</v>
      </c>
      <c r="U90" t="str">
        <f t="shared" si="4"/>
        <v>AB01F4</v>
      </c>
      <c r="V90">
        <v>0</v>
      </c>
      <c r="W90">
        <v>0</v>
      </c>
      <c r="X90">
        <v>1</v>
      </c>
      <c r="Z90">
        <v>0</v>
      </c>
      <c r="AA90">
        <v>9</v>
      </c>
      <c r="AB90">
        <v>3</v>
      </c>
      <c r="AC90">
        <v>0</v>
      </c>
      <c r="AD90">
        <v>10</v>
      </c>
      <c r="AE90">
        <v>0</v>
      </c>
      <c r="AF90">
        <v>3</v>
      </c>
      <c r="AG90">
        <v>2</v>
      </c>
      <c r="AH90">
        <v>0</v>
      </c>
      <c r="AI90" t="s">
        <v>198</v>
      </c>
      <c r="AJ90">
        <v>39.496535999999999</v>
      </c>
      <c r="AK90" t="s">
        <v>199</v>
      </c>
      <c r="AL90">
        <v>-92.427076999999997</v>
      </c>
      <c r="AM90">
        <v>100</v>
      </c>
      <c r="AN90">
        <v>1700</v>
      </c>
      <c r="AO90" t="s">
        <v>118</v>
      </c>
      <c r="AP90">
        <v>-51</v>
      </c>
      <c r="AQ90">
        <v>96</v>
      </c>
      <c r="AR90">
        <v>704</v>
      </c>
      <c r="AZ90">
        <v>1200</v>
      </c>
      <c r="BA90">
        <v>1</v>
      </c>
      <c r="BB90" t="str">
        <f t="shared" si="6"/>
        <v xml:space="preserve">N8080G  </v>
      </c>
      <c r="BC90">
        <v>1</v>
      </c>
      <c r="BE90">
        <v>0</v>
      </c>
      <c r="BF90">
        <v>0</v>
      </c>
      <c r="BG90">
        <v>0</v>
      </c>
      <c r="BH90">
        <v>1700</v>
      </c>
      <c r="BI90">
        <v>1</v>
      </c>
      <c r="BJ90">
        <v>1</v>
      </c>
      <c r="BK90">
        <v>1</v>
      </c>
      <c r="BL90">
        <v>0</v>
      </c>
      <c r="BO90">
        <v>0</v>
      </c>
      <c r="BP90">
        <v>0</v>
      </c>
      <c r="BW90" t="str">
        <f>"20:11:23.509"</f>
        <v>20:11:23.509</v>
      </c>
      <c r="CJ90">
        <v>0</v>
      </c>
      <c r="CK90">
        <v>2</v>
      </c>
      <c r="CL90">
        <v>0</v>
      </c>
      <c r="CM90">
        <v>2</v>
      </c>
      <c r="CN90">
        <v>0</v>
      </c>
      <c r="CO90">
        <v>6</v>
      </c>
      <c r="CP90" t="s">
        <v>119</v>
      </c>
      <c r="CQ90">
        <v>559</v>
      </c>
      <c r="CR90">
        <v>0</v>
      </c>
      <c r="CW90">
        <v>10385662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</row>
    <row r="91" spans="1:113" x14ac:dyDescent="0.3">
      <c r="A91" t="str">
        <f>"02/08/2021 20:11:21.214"</f>
        <v>02/08/2021 20:11:21.214</v>
      </c>
      <c r="C91" t="str">
        <f t="shared" si="5"/>
        <v>FFDFD3C0</v>
      </c>
      <c r="D91" t="s">
        <v>141</v>
      </c>
      <c r="E91">
        <v>17</v>
      </c>
      <c r="H91">
        <v>256</v>
      </c>
      <c r="I91" t="s">
        <v>142</v>
      </c>
      <c r="J91" t="s">
        <v>143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"20:11:23.508"</f>
        <v>20:11:23.508</v>
      </c>
      <c r="U91" t="str">
        <f t="shared" si="4"/>
        <v>AB01F4</v>
      </c>
      <c r="V91">
        <v>0</v>
      </c>
      <c r="W91">
        <v>0</v>
      </c>
      <c r="X91">
        <v>1</v>
      </c>
      <c r="Z91">
        <v>0</v>
      </c>
      <c r="AA91">
        <v>9</v>
      </c>
      <c r="AB91">
        <v>3</v>
      </c>
      <c r="AC91">
        <v>0</v>
      </c>
      <c r="AD91">
        <v>10</v>
      </c>
      <c r="AE91">
        <v>0</v>
      </c>
      <c r="AF91">
        <v>3</v>
      </c>
      <c r="AG91">
        <v>2</v>
      </c>
      <c r="AH91">
        <v>0</v>
      </c>
      <c r="AI91" t="s">
        <v>198</v>
      </c>
      <c r="AJ91">
        <v>39.496535999999999</v>
      </c>
      <c r="AK91" t="s">
        <v>199</v>
      </c>
      <c r="AL91">
        <v>-92.427076999999997</v>
      </c>
      <c r="AM91">
        <v>100</v>
      </c>
      <c r="AN91">
        <v>1700</v>
      </c>
      <c r="AO91" t="s">
        <v>118</v>
      </c>
      <c r="AP91">
        <v>-51</v>
      </c>
      <c r="AQ91">
        <v>96</v>
      </c>
      <c r="AR91">
        <v>704</v>
      </c>
      <c r="AZ91">
        <v>1200</v>
      </c>
      <c r="BA91">
        <v>1</v>
      </c>
      <c r="BB91" t="str">
        <f t="shared" si="6"/>
        <v xml:space="preserve">N8080G  </v>
      </c>
      <c r="BC91">
        <v>1</v>
      </c>
      <c r="BE91">
        <v>0</v>
      </c>
      <c r="BF91">
        <v>0</v>
      </c>
      <c r="BG91">
        <v>0</v>
      </c>
      <c r="BH91">
        <v>1700</v>
      </c>
      <c r="BI91">
        <v>1</v>
      </c>
      <c r="BJ91">
        <v>1</v>
      </c>
      <c r="BK91">
        <v>1</v>
      </c>
      <c r="BL91">
        <v>0</v>
      </c>
      <c r="BO91">
        <v>0</v>
      </c>
      <c r="BP91">
        <v>0</v>
      </c>
      <c r="BW91" t="str">
        <f>"20:11:23.509"</f>
        <v>20:11:23.509</v>
      </c>
      <c r="CJ91">
        <v>0</v>
      </c>
      <c r="CK91">
        <v>2</v>
      </c>
      <c r="CL91">
        <v>0</v>
      </c>
      <c r="CM91">
        <v>2</v>
      </c>
      <c r="CN91">
        <v>0</v>
      </c>
      <c r="CO91">
        <v>6</v>
      </c>
      <c r="CP91" t="s">
        <v>119</v>
      </c>
      <c r="CQ91">
        <v>559</v>
      </c>
      <c r="CR91">
        <v>0</v>
      </c>
      <c r="CW91">
        <v>10385662</v>
      </c>
      <c r="CY91">
        <v>0</v>
      </c>
      <c r="CZ91">
        <v>0</v>
      </c>
      <c r="DA91">
        <v>1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</row>
    <row r="92" spans="1:113" x14ac:dyDescent="0.3">
      <c r="A92" t="str">
        <f>"02/08/2021 20:11:21.214"</f>
        <v>02/08/2021 20:11:21.214</v>
      </c>
      <c r="C92" t="str">
        <f t="shared" si="5"/>
        <v>FFDFD3C0</v>
      </c>
      <c r="D92" t="s">
        <v>113</v>
      </c>
      <c r="E92">
        <v>6</v>
      </c>
      <c r="H92">
        <v>165</v>
      </c>
      <c r="I92" t="s">
        <v>114</v>
      </c>
      <c r="J92" t="s">
        <v>115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"20:11:23.508"</f>
        <v>20:11:23.508</v>
      </c>
      <c r="U92" t="str">
        <f t="shared" si="4"/>
        <v>AB01F4</v>
      </c>
      <c r="V92">
        <v>0</v>
      </c>
      <c r="W92">
        <v>0</v>
      </c>
      <c r="X92">
        <v>1</v>
      </c>
      <c r="Z92">
        <v>0</v>
      </c>
      <c r="AA92">
        <v>9</v>
      </c>
      <c r="AB92">
        <v>3</v>
      </c>
      <c r="AC92">
        <v>0</v>
      </c>
      <c r="AD92">
        <v>10</v>
      </c>
      <c r="AE92">
        <v>0</v>
      </c>
      <c r="AF92">
        <v>3</v>
      </c>
      <c r="AG92">
        <v>2</v>
      </c>
      <c r="AH92">
        <v>0</v>
      </c>
      <c r="AI92" t="s">
        <v>198</v>
      </c>
      <c r="AJ92">
        <v>39.496535999999999</v>
      </c>
      <c r="AK92" t="s">
        <v>199</v>
      </c>
      <c r="AL92">
        <v>-92.427076999999997</v>
      </c>
      <c r="AM92">
        <v>100</v>
      </c>
      <c r="AN92">
        <v>1700</v>
      </c>
      <c r="AO92" t="s">
        <v>118</v>
      </c>
      <c r="AP92">
        <v>-51</v>
      </c>
      <c r="AQ92">
        <v>96</v>
      </c>
      <c r="AR92">
        <v>704</v>
      </c>
      <c r="AZ92">
        <v>1200</v>
      </c>
      <c r="BA92">
        <v>1</v>
      </c>
      <c r="BB92" t="str">
        <f t="shared" si="6"/>
        <v xml:space="preserve">N8080G  </v>
      </c>
      <c r="BC92">
        <v>1</v>
      </c>
      <c r="BE92">
        <v>0</v>
      </c>
      <c r="BF92">
        <v>0</v>
      </c>
      <c r="BG92">
        <v>0</v>
      </c>
      <c r="BH92">
        <v>1700</v>
      </c>
      <c r="BI92">
        <v>1</v>
      </c>
      <c r="BJ92">
        <v>1</v>
      </c>
      <c r="BK92">
        <v>1</v>
      </c>
      <c r="BL92">
        <v>0</v>
      </c>
      <c r="BO92">
        <v>0</v>
      </c>
      <c r="BP92">
        <v>0</v>
      </c>
      <c r="BW92" t="str">
        <f>"20:11:23.509"</f>
        <v>20:11:23.509</v>
      </c>
      <c r="CJ92">
        <v>0</v>
      </c>
      <c r="CK92">
        <v>2</v>
      </c>
      <c r="CL92">
        <v>0</v>
      </c>
      <c r="CM92">
        <v>2</v>
      </c>
      <c r="CN92">
        <v>0</v>
      </c>
      <c r="CO92">
        <v>6</v>
      </c>
      <c r="CP92" t="s">
        <v>119</v>
      </c>
      <c r="CQ92">
        <v>559</v>
      </c>
      <c r="CR92">
        <v>0</v>
      </c>
      <c r="CW92">
        <v>10385662</v>
      </c>
      <c r="CY92">
        <v>0</v>
      </c>
      <c r="CZ92">
        <v>0</v>
      </c>
      <c r="DA92">
        <v>1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</row>
    <row r="93" spans="1:113" x14ac:dyDescent="0.3">
      <c r="A93" t="str">
        <f>"02/08/2021 20:11:22.192"</f>
        <v>02/08/2021 20:11:22.192</v>
      </c>
      <c r="C93" t="str">
        <f t="shared" si="5"/>
        <v>FFDFD3C0</v>
      </c>
      <c r="D93" t="s">
        <v>141</v>
      </c>
      <c r="E93">
        <v>17</v>
      </c>
      <c r="H93">
        <v>256</v>
      </c>
      <c r="I93" t="s">
        <v>142</v>
      </c>
      <c r="J93" t="s">
        <v>143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"20:11:24.508"</f>
        <v>20:11:24.508</v>
      </c>
      <c r="T93" t="str">
        <f>"20:11:24.008"</f>
        <v>20:11:24.008</v>
      </c>
      <c r="U93" t="str">
        <f t="shared" si="4"/>
        <v>AB01F4</v>
      </c>
      <c r="V93">
        <v>0</v>
      </c>
      <c r="W93">
        <v>0</v>
      </c>
      <c r="X93">
        <v>1</v>
      </c>
      <c r="Z93">
        <v>0</v>
      </c>
      <c r="AA93">
        <v>9</v>
      </c>
      <c r="AB93">
        <v>3</v>
      </c>
      <c r="AC93">
        <v>0</v>
      </c>
      <c r="AD93">
        <v>10</v>
      </c>
      <c r="AE93">
        <v>0</v>
      </c>
      <c r="AF93">
        <v>3</v>
      </c>
      <c r="AG93">
        <v>2</v>
      </c>
      <c r="AH93">
        <v>0</v>
      </c>
      <c r="AI93" t="s">
        <v>200</v>
      </c>
      <c r="AJ93">
        <v>39.496986999999997</v>
      </c>
      <c r="AK93" t="s">
        <v>201</v>
      </c>
      <c r="AL93">
        <v>-92.427378000000004</v>
      </c>
      <c r="AM93">
        <v>100</v>
      </c>
      <c r="AN93">
        <v>1700</v>
      </c>
      <c r="AO93" t="s">
        <v>118</v>
      </c>
      <c r="AP93">
        <v>-51</v>
      </c>
      <c r="AQ93">
        <v>96</v>
      </c>
      <c r="AR93">
        <v>704</v>
      </c>
      <c r="AZ93">
        <v>1200</v>
      </c>
      <c r="BA93">
        <v>1</v>
      </c>
      <c r="BB93" t="str">
        <f t="shared" si="6"/>
        <v xml:space="preserve">N8080G  </v>
      </c>
      <c r="BC93">
        <v>1</v>
      </c>
      <c r="BE93">
        <v>0</v>
      </c>
      <c r="BF93">
        <v>0</v>
      </c>
      <c r="BG93">
        <v>0</v>
      </c>
      <c r="BH93">
        <v>1700</v>
      </c>
      <c r="BI93">
        <v>1</v>
      </c>
      <c r="BJ93">
        <v>1</v>
      </c>
      <c r="BK93">
        <v>1</v>
      </c>
      <c r="BL93">
        <v>0</v>
      </c>
      <c r="BO93">
        <v>0</v>
      </c>
      <c r="BP93">
        <v>0</v>
      </c>
      <c r="BW93" t="str">
        <f>"20:11:24.514"</f>
        <v>20:11:24.514</v>
      </c>
      <c r="CJ93">
        <v>0</v>
      </c>
      <c r="CK93">
        <v>2</v>
      </c>
      <c r="CL93">
        <v>0</v>
      </c>
      <c r="CM93">
        <v>2</v>
      </c>
      <c r="CN93">
        <v>0</v>
      </c>
      <c r="CO93">
        <v>6</v>
      </c>
      <c r="CP93" t="s">
        <v>119</v>
      </c>
      <c r="CQ93">
        <v>559</v>
      </c>
      <c r="CR93">
        <v>0</v>
      </c>
      <c r="CW93">
        <v>10385827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</row>
    <row r="94" spans="1:113" x14ac:dyDescent="0.3">
      <c r="A94" t="str">
        <f>"02/08/2021 20:11:22.192"</f>
        <v>02/08/2021 20:11:22.192</v>
      </c>
      <c r="C94" t="str">
        <f t="shared" si="5"/>
        <v>FFDFD3C0</v>
      </c>
      <c r="D94" t="s">
        <v>113</v>
      </c>
      <c r="E94">
        <v>6</v>
      </c>
      <c r="H94">
        <v>165</v>
      </c>
      <c r="I94" t="s">
        <v>114</v>
      </c>
      <c r="J94" t="s">
        <v>115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"20:11:24.508"</f>
        <v>20:11:24.508</v>
      </c>
      <c r="T94" t="str">
        <f>"20:11:24.008"</f>
        <v>20:11:24.008</v>
      </c>
      <c r="U94" t="str">
        <f t="shared" si="4"/>
        <v>AB01F4</v>
      </c>
      <c r="V94">
        <v>0</v>
      </c>
      <c r="W94">
        <v>0</v>
      </c>
      <c r="X94">
        <v>1</v>
      </c>
      <c r="Z94">
        <v>0</v>
      </c>
      <c r="AA94">
        <v>9</v>
      </c>
      <c r="AB94">
        <v>3</v>
      </c>
      <c r="AC94">
        <v>0</v>
      </c>
      <c r="AD94">
        <v>10</v>
      </c>
      <c r="AE94">
        <v>0</v>
      </c>
      <c r="AF94">
        <v>3</v>
      </c>
      <c r="AG94">
        <v>2</v>
      </c>
      <c r="AH94">
        <v>0</v>
      </c>
      <c r="AI94" t="s">
        <v>200</v>
      </c>
      <c r="AJ94">
        <v>39.496986999999997</v>
      </c>
      <c r="AK94" t="s">
        <v>201</v>
      </c>
      <c r="AL94">
        <v>-92.427378000000004</v>
      </c>
      <c r="AM94">
        <v>100</v>
      </c>
      <c r="AN94">
        <v>1700</v>
      </c>
      <c r="AO94" t="s">
        <v>118</v>
      </c>
      <c r="AP94">
        <v>-51</v>
      </c>
      <c r="AQ94">
        <v>96</v>
      </c>
      <c r="AR94">
        <v>704</v>
      </c>
      <c r="AZ94">
        <v>1200</v>
      </c>
      <c r="BA94">
        <v>1</v>
      </c>
      <c r="BB94" t="str">
        <f t="shared" si="6"/>
        <v xml:space="preserve">N8080G  </v>
      </c>
      <c r="BC94">
        <v>1</v>
      </c>
      <c r="BE94">
        <v>0</v>
      </c>
      <c r="BF94">
        <v>0</v>
      </c>
      <c r="BG94">
        <v>0</v>
      </c>
      <c r="BH94">
        <v>1700</v>
      </c>
      <c r="BI94">
        <v>1</v>
      </c>
      <c r="BJ94">
        <v>1</v>
      </c>
      <c r="BK94">
        <v>1</v>
      </c>
      <c r="BL94">
        <v>0</v>
      </c>
      <c r="BO94">
        <v>0</v>
      </c>
      <c r="BP94">
        <v>0</v>
      </c>
      <c r="BW94" t="str">
        <f>"20:11:24.514"</f>
        <v>20:11:24.514</v>
      </c>
      <c r="CJ94">
        <v>0</v>
      </c>
      <c r="CK94">
        <v>2</v>
      </c>
      <c r="CL94">
        <v>0</v>
      </c>
      <c r="CM94">
        <v>2</v>
      </c>
      <c r="CN94">
        <v>0</v>
      </c>
      <c r="CO94">
        <v>6</v>
      </c>
      <c r="CP94" t="s">
        <v>119</v>
      </c>
      <c r="CQ94">
        <v>180</v>
      </c>
      <c r="CR94">
        <v>2</v>
      </c>
      <c r="CW94">
        <v>7740614</v>
      </c>
      <c r="CY94">
        <v>0</v>
      </c>
      <c r="CZ94">
        <v>0</v>
      </c>
      <c r="DA94">
        <v>1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</row>
    <row r="95" spans="1:113" x14ac:dyDescent="0.3">
      <c r="A95" t="str">
        <f>"02/08/2021 20:11:22.192"</f>
        <v>02/08/2021 20:11:22.192</v>
      </c>
      <c r="C95" t="str">
        <f t="shared" si="5"/>
        <v>FFDFD3C0</v>
      </c>
      <c r="D95" t="s">
        <v>124</v>
      </c>
      <c r="E95">
        <v>13</v>
      </c>
      <c r="F95">
        <v>1013</v>
      </c>
      <c r="G95" t="s">
        <v>114</v>
      </c>
      <c r="J95" t="s">
        <v>125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"20:11:24.508"</f>
        <v>20:11:24.508</v>
      </c>
      <c r="T95" t="str">
        <f>"20:11:24.008"</f>
        <v>20:11:24.008</v>
      </c>
      <c r="U95" t="str">
        <f t="shared" si="4"/>
        <v>AB01F4</v>
      </c>
      <c r="V95">
        <v>0</v>
      </c>
      <c r="W95">
        <v>0</v>
      </c>
      <c r="X95">
        <v>1</v>
      </c>
      <c r="Z95">
        <v>0</v>
      </c>
      <c r="AA95">
        <v>9</v>
      </c>
      <c r="AB95">
        <v>3</v>
      </c>
      <c r="AC95">
        <v>0</v>
      </c>
      <c r="AD95">
        <v>10</v>
      </c>
      <c r="AE95">
        <v>0</v>
      </c>
      <c r="AF95">
        <v>3</v>
      </c>
      <c r="AG95">
        <v>2</v>
      </c>
      <c r="AH95">
        <v>0</v>
      </c>
      <c r="AI95" t="s">
        <v>200</v>
      </c>
      <c r="AJ95">
        <v>39.496986999999997</v>
      </c>
      <c r="AK95" t="s">
        <v>201</v>
      </c>
      <c r="AL95">
        <v>-92.427378000000004</v>
      </c>
      <c r="AM95">
        <v>100</v>
      </c>
      <c r="AN95">
        <v>1700</v>
      </c>
      <c r="AO95" t="s">
        <v>118</v>
      </c>
      <c r="AP95">
        <v>-51</v>
      </c>
      <c r="AQ95">
        <v>96</v>
      </c>
      <c r="AR95">
        <v>704</v>
      </c>
      <c r="AZ95">
        <v>1200</v>
      </c>
      <c r="BA95">
        <v>1</v>
      </c>
      <c r="BB95" t="str">
        <f t="shared" si="6"/>
        <v xml:space="preserve">N8080G  </v>
      </c>
      <c r="BC95">
        <v>1</v>
      </c>
      <c r="BE95">
        <v>0</v>
      </c>
      <c r="BF95">
        <v>0</v>
      </c>
      <c r="BG95">
        <v>0</v>
      </c>
      <c r="BH95">
        <v>1700</v>
      </c>
      <c r="BI95">
        <v>1</v>
      </c>
      <c r="BJ95">
        <v>1</v>
      </c>
      <c r="BK95">
        <v>1</v>
      </c>
      <c r="BL95">
        <v>0</v>
      </c>
      <c r="BO95">
        <v>0</v>
      </c>
      <c r="BP95">
        <v>0</v>
      </c>
      <c r="BW95" t="str">
        <f>"20:11:24.514"</f>
        <v>20:11:24.514</v>
      </c>
      <c r="CJ95">
        <v>0</v>
      </c>
      <c r="CK95">
        <v>2</v>
      </c>
      <c r="CL95">
        <v>0</v>
      </c>
      <c r="CM95">
        <v>2</v>
      </c>
      <c r="CN95">
        <v>0</v>
      </c>
      <c r="CO95">
        <v>6</v>
      </c>
      <c r="CP95" t="s">
        <v>119</v>
      </c>
      <c r="CQ95">
        <v>180</v>
      </c>
      <c r="CR95">
        <v>2</v>
      </c>
      <c r="CW95">
        <v>7740614</v>
      </c>
      <c r="CY95">
        <v>0</v>
      </c>
      <c r="CZ95">
        <v>0</v>
      </c>
      <c r="DA95">
        <v>1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</row>
    <row r="96" spans="1:113" x14ac:dyDescent="0.3">
      <c r="A96" t="str">
        <f>"02/08/2021 20:11:23.259"</f>
        <v>02/08/2021 20:11:23.259</v>
      </c>
      <c r="C96" t="str">
        <f t="shared" si="5"/>
        <v>FFDFD3C0</v>
      </c>
      <c r="D96" t="s">
        <v>113</v>
      </c>
      <c r="E96">
        <v>6</v>
      </c>
      <c r="H96">
        <v>165</v>
      </c>
      <c r="I96" t="s">
        <v>114</v>
      </c>
      <c r="J96" t="s">
        <v>115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"20:11:25.586"</f>
        <v>20:11:25.586</v>
      </c>
      <c r="T96" t="str">
        <f>"20:11:25.086"</f>
        <v>20:11:25.086</v>
      </c>
      <c r="U96" t="str">
        <f t="shared" si="4"/>
        <v>AB01F4</v>
      </c>
      <c r="V96">
        <v>0</v>
      </c>
      <c r="W96">
        <v>0</v>
      </c>
      <c r="X96">
        <v>1</v>
      </c>
      <c r="Z96">
        <v>0</v>
      </c>
      <c r="AA96">
        <v>9</v>
      </c>
      <c r="AB96">
        <v>3</v>
      </c>
      <c r="AC96">
        <v>0</v>
      </c>
      <c r="AD96">
        <v>10</v>
      </c>
      <c r="AE96">
        <v>0</v>
      </c>
      <c r="AF96">
        <v>3</v>
      </c>
      <c r="AG96">
        <v>2</v>
      </c>
      <c r="AH96">
        <v>0</v>
      </c>
      <c r="AI96" t="s">
        <v>202</v>
      </c>
      <c r="AJ96">
        <v>39.497458999999999</v>
      </c>
      <c r="AK96" t="s">
        <v>203</v>
      </c>
      <c r="AL96">
        <v>-92.427678</v>
      </c>
      <c r="AM96">
        <v>100</v>
      </c>
      <c r="AN96">
        <v>1700</v>
      </c>
      <c r="AO96" t="s">
        <v>118</v>
      </c>
      <c r="AP96">
        <v>-51</v>
      </c>
      <c r="AQ96">
        <v>96</v>
      </c>
      <c r="AR96">
        <v>640</v>
      </c>
      <c r="AZ96">
        <v>1200</v>
      </c>
      <c r="BA96">
        <v>1</v>
      </c>
      <c r="BB96" t="str">
        <f t="shared" si="6"/>
        <v xml:space="preserve">N8080G  </v>
      </c>
      <c r="BC96">
        <v>1</v>
      </c>
      <c r="BE96">
        <v>0</v>
      </c>
      <c r="BF96">
        <v>0</v>
      </c>
      <c r="BG96">
        <v>0</v>
      </c>
      <c r="BH96">
        <v>1725</v>
      </c>
      <c r="BI96">
        <v>1</v>
      </c>
      <c r="BJ96">
        <v>1</v>
      </c>
      <c r="BK96">
        <v>1</v>
      </c>
      <c r="BL96">
        <v>0</v>
      </c>
      <c r="BO96">
        <v>0</v>
      </c>
      <c r="BP96">
        <v>0</v>
      </c>
      <c r="BW96" t="str">
        <f>"20:11:25.593"</f>
        <v>20:11:25.593</v>
      </c>
      <c r="CJ96">
        <v>0</v>
      </c>
      <c r="CK96">
        <v>2</v>
      </c>
      <c r="CL96">
        <v>0</v>
      </c>
      <c r="CM96">
        <v>2</v>
      </c>
      <c r="CN96">
        <v>0</v>
      </c>
      <c r="CO96">
        <v>6</v>
      </c>
      <c r="CP96" t="s">
        <v>119</v>
      </c>
      <c r="CQ96">
        <v>559</v>
      </c>
      <c r="CR96">
        <v>0</v>
      </c>
      <c r="CW96">
        <v>10386005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</row>
    <row r="97" spans="1:113" x14ac:dyDescent="0.3">
      <c r="A97" t="str">
        <f>"02/08/2021 20:11:23.259"</f>
        <v>02/08/2021 20:11:23.259</v>
      </c>
      <c r="C97" t="str">
        <f t="shared" si="5"/>
        <v>FFDFD3C0</v>
      </c>
      <c r="D97" t="s">
        <v>124</v>
      </c>
      <c r="E97">
        <v>13</v>
      </c>
      <c r="F97">
        <v>1013</v>
      </c>
      <c r="G97" t="s">
        <v>114</v>
      </c>
      <c r="J97" t="s">
        <v>125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"20:11:25.586"</f>
        <v>20:11:25.586</v>
      </c>
      <c r="T97" t="str">
        <f>"20:11:25.086"</f>
        <v>20:11:25.086</v>
      </c>
      <c r="U97" t="str">
        <f t="shared" si="4"/>
        <v>AB01F4</v>
      </c>
      <c r="V97">
        <v>0</v>
      </c>
      <c r="W97">
        <v>0</v>
      </c>
      <c r="X97">
        <v>1</v>
      </c>
      <c r="Z97">
        <v>0</v>
      </c>
      <c r="AA97">
        <v>9</v>
      </c>
      <c r="AB97">
        <v>3</v>
      </c>
      <c r="AC97">
        <v>0</v>
      </c>
      <c r="AD97">
        <v>10</v>
      </c>
      <c r="AE97">
        <v>0</v>
      </c>
      <c r="AF97">
        <v>3</v>
      </c>
      <c r="AG97">
        <v>2</v>
      </c>
      <c r="AH97">
        <v>0</v>
      </c>
      <c r="AI97" t="s">
        <v>202</v>
      </c>
      <c r="AJ97">
        <v>39.497458999999999</v>
      </c>
      <c r="AK97" t="s">
        <v>203</v>
      </c>
      <c r="AL97">
        <v>-92.427678</v>
      </c>
      <c r="AM97">
        <v>100</v>
      </c>
      <c r="AN97">
        <v>1700</v>
      </c>
      <c r="AO97" t="s">
        <v>118</v>
      </c>
      <c r="AP97">
        <v>-51</v>
      </c>
      <c r="AQ97">
        <v>96</v>
      </c>
      <c r="AR97">
        <v>640</v>
      </c>
      <c r="AZ97">
        <v>1200</v>
      </c>
      <c r="BA97">
        <v>1</v>
      </c>
      <c r="BB97" t="str">
        <f t="shared" si="6"/>
        <v xml:space="preserve">N8080G  </v>
      </c>
      <c r="BC97">
        <v>1</v>
      </c>
      <c r="BE97">
        <v>0</v>
      </c>
      <c r="BF97">
        <v>0</v>
      </c>
      <c r="BG97">
        <v>0</v>
      </c>
      <c r="BH97">
        <v>1725</v>
      </c>
      <c r="BI97">
        <v>1</v>
      </c>
      <c r="BJ97">
        <v>1</v>
      </c>
      <c r="BK97">
        <v>1</v>
      </c>
      <c r="BL97">
        <v>0</v>
      </c>
      <c r="BO97">
        <v>0</v>
      </c>
      <c r="BP97">
        <v>0</v>
      </c>
      <c r="BW97" t="str">
        <f>"20:11:25.593"</f>
        <v>20:11:25.593</v>
      </c>
      <c r="CJ97">
        <v>0</v>
      </c>
      <c r="CK97">
        <v>2</v>
      </c>
      <c r="CL97">
        <v>0</v>
      </c>
      <c r="CM97">
        <v>2</v>
      </c>
      <c r="CN97">
        <v>0</v>
      </c>
      <c r="CO97">
        <v>6</v>
      </c>
      <c r="CP97" t="s">
        <v>119</v>
      </c>
      <c r="CQ97">
        <v>559</v>
      </c>
      <c r="CR97">
        <v>0</v>
      </c>
      <c r="CW97">
        <v>10386005</v>
      </c>
      <c r="CY97">
        <v>0</v>
      </c>
      <c r="CZ97">
        <v>0</v>
      </c>
      <c r="DA97">
        <v>1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</row>
    <row r="98" spans="1:113" x14ac:dyDescent="0.3">
      <c r="A98" t="str">
        <f>"02/08/2021 20:11:23.259"</f>
        <v>02/08/2021 20:11:23.259</v>
      </c>
      <c r="C98" t="str">
        <f t="shared" si="5"/>
        <v>FFDFD3C0</v>
      </c>
      <c r="D98" t="s">
        <v>141</v>
      </c>
      <c r="E98">
        <v>17</v>
      </c>
      <c r="H98">
        <v>256</v>
      </c>
      <c r="I98" t="s">
        <v>142</v>
      </c>
      <c r="J98" t="s">
        <v>143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"20:11:25.586"</f>
        <v>20:11:25.586</v>
      </c>
      <c r="T98" t="str">
        <f>"20:11:25.086"</f>
        <v>20:11:25.086</v>
      </c>
      <c r="U98" t="str">
        <f t="shared" si="4"/>
        <v>AB01F4</v>
      </c>
      <c r="V98">
        <v>0</v>
      </c>
      <c r="W98">
        <v>0</v>
      </c>
      <c r="X98">
        <v>1</v>
      </c>
      <c r="Z98">
        <v>0</v>
      </c>
      <c r="AA98">
        <v>9</v>
      </c>
      <c r="AB98">
        <v>3</v>
      </c>
      <c r="AC98">
        <v>0</v>
      </c>
      <c r="AD98">
        <v>10</v>
      </c>
      <c r="AE98">
        <v>0</v>
      </c>
      <c r="AF98">
        <v>3</v>
      </c>
      <c r="AG98">
        <v>2</v>
      </c>
      <c r="AH98">
        <v>0</v>
      </c>
      <c r="AI98" t="s">
        <v>202</v>
      </c>
      <c r="AJ98">
        <v>39.497458999999999</v>
      </c>
      <c r="AK98" t="s">
        <v>203</v>
      </c>
      <c r="AL98">
        <v>-92.427678</v>
      </c>
      <c r="AM98">
        <v>100</v>
      </c>
      <c r="AN98">
        <v>1700</v>
      </c>
      <c r="AO98" t="s">
        <v>118</v>
      </c>
      <c r="AP98">
        <v>-51</v>
      </c>
      <c r="AQ98">
        <v>96</v>
      </c>
      <c r="AR98">
        <v>640</v>
      </c>
      <c r="AZ98">
        <v>1200</v>
      </c>
      <c r="BA98">
        <v>1</v>
      </c>
      <c r="BB98" t="str">
        <f t="shared" si="6"/>
        <v xml:space="preserve">N8080G  </v>
      </c>
      <c r="BC98">
        <v>1</v>
      </c>
      <c r="BE98">
        <v>0</v>
      </c>
      <c r="BF98">
        <v>0</v>
      </c>
      <c r="BG98">
        <v>0</v>
      </c>
      <c r="BH98">
        <v>1725</v>
      </c>
      <c r="BI98">
        <v>1</v>
      </c>
      <c r="BJ98">
        <v>1</v>
      </c>
      <c r="BK98">
        <v>1</v>
      </c>
      <c r="BL98">
        <v>0</v>
      </c>
      <c r="BO98">
        <v>0</v>
      </c>
      <c r="BP98">
        <v>0</v>
      </c>
      <c r="BW98" t="str">
        <f>"20:11:25.593"</f>
        <v>20:11:25.593</v>
      </c>
      <c r="CJ98">
        <v>0</v>
      </c>
      <c r="CK98">
        <v>2</v>
      </c>
      <c r="CL98">
        <v>0</v>
      </c>
      <c r="CM98">
        <v>2</v>
      </c>
      <c r="CN98">
        <v>0</v>
      </c>
      <c r="CO98">
        <v>6</v>
      </c>
      <c r="CP98" t="s">
        <v>119</v>
      </c>
      <c r="CQ98">
        <v>559</v>
      </c>
      <c r="CR98">
        <v>0</v>
      </c>
      <c r="CW98">
        <v>10386005</v>
      </c>
      <c r="CY98">
        <v>0</v>
      </c>
      <c r="CZ98">
        <v>0</v>
      </c>
      <c r="DA98">
        <v>1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</row>
    <row r="99" spans="1:113" x14ac:dyDescent="0.3">
      <c r="A99" t="str">
        <f>"02/08/2021 20:11:24.276"</f>
        <v>02/08/2021 20:11:24.276</v>
      </c>
      <c r="C99" t="str">
        <f t="shared" si="5"/>
        <v>FFDFD3C0</v>
      </c>
      <c r="D99" t="s">
        <v>124</v>
      </c>
      <c r="E99">
        <v>13</v>
      </c>
      <c r="F99">
        <v>1013</v>
      </c>
      <c r="G99" t="s">
        <v>114</v>
      </c>
      <c r="J99" t="s">
        <v>125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"20:11:26.594"</f>
        <v>20:11:26.594</v>
      </c>
      <c r="U99" t="str">
        <f t="shared" si="4"/>
        <v>AB01F4</v>
      </c>
      <c r="V99">
        <v>0</v>
      </c>
      <c r="W99">
        <v>0</v>
      </c>
      <c r="X99">
        <v>1</v>
      </c>
      <c r="Z99">
        <v>0</v>
      </c>
      <c r="AA99">
        <v>9</v>
      </c>
      <c r="AB99">
        <v>3</v>
      </c>
      <c r="AC99">
        <v>0</v>
      </c>
      <c r="AD99">
        <v>10</v>
      </c>
      <c r="AE99">
        <v>0</v>
      </c>
      <c r="AF99">
        <v>3</v>
      </c>
      <c r="AG99">
        <v>2</v>
      </c>
      <c r="AH99">
        <v>0</v>
      </c>
      <c r="AI99" t="s">
        <v>204</v>
      </c>
      <c r="AJ99">
        <v>39.497909999999997</v>
      </c>
      <c r="AK99" t="s">
        <v>205</v>
      </c>
      <c r="AL99">
        <v>-92.428043000000002</v>
      </c>
      <c r="AM99">
        <v>100</v>
      </c>
      <c r="AN99">
        <v>1700</v>
      </c>
      <c r="AO99" t="s">
        <v>118</v>
      </c>
      <c r="AP99">
        <v>-51</v>
      </c>
      <c r="AQ99">
        <v>97</v>
      </c>
      <c r="AR99">
        <v>704</v>
      </c>
      <c r="AZ99">
        <v>1200</v>
      </c>
      <c r="BA99">
        <v>1</v>
      </c>
      <c r="BB99" t="str">
        <f t="shared" si="6"/>
        <v xml:space="preserve">N8080G  </v>
      </c>
      <c r="BC99">
        <v>1</v>
      </c>
      <c r="BE99">
        <v>0</v>
      </c>
      <c r="BF99">
        <v>0</v>
      </c>
      <c r="BG99">
        <v>0</v>
      </c>
      <c r="BH99">
        <v>1725</v>
      </c>
      <c r="BI99">
        <v>1</v>
      </c>
      <c r="BJ99">
        <v>1</v>
      </c>
      <c r="BK99">
        <v>1</v>
      </c>
      <c r="BL99">
        <v>0</v>
      </c>
      <c r="BO99">
        <v>0</v>
      </c>
      <c r="BP99">
        <v>0</v>
      </c>
      <c r="BW99" t="str">
        <f>"20:11:26.601"</f>
        <v>20:11:26.601</v>
      </c>
      <c r="CJ99">
        <v>0</v>
      </c>
      <c r="CK99">
        <v>2</v>
      </c>
      <c r="CL99">
        <v>0</v>
      </c>
      <c r="CM99">
        <v>2</v>
      </c>
      <c r="CN99">
        <v>0</v>
      </c>
      <c r="CO99">
        <v>6</v>
      </c>
      <c r="CP99" t="s">
        <v>119</v>
      </c>
      <c r="CQ99">
        <v>559</v>
      </c>
      <c r="CR99">
        <v>0</v>
      </c>
      <c r="CW99">
        <v>10386159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</row>
    <row r="100" spans="1:113" x14ac:dyDescent="0.3">
      <c r="A100" t="str">
        <f>"02/08/2021 20:11:24.276"</f>
        <v>02/08/2021 20:11:24.276</v>
      </c>
      <c r="C100" t="str">
        <f t="shared" si="5"/>
        <v>FFDFD3C0</v>
      </c>
      <c r="D100" t="s">
        <v>141</v>
      </c>
      <c r="E100">
        <v>17</v>
      </c>
      <c r="H100">
        <v>256</v>
      </c>
      <c r="I100" t="s">
        <v>142</v>
      </c>
      <c r="J100" t="s">
        <v>143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"20:11:26.594"</f>
        <v>20:11:26.594</v>
      </c>
      <c r="U100" t="str">
        <f t="shared" si="4"/>
        <v>AB01F4</v>
      </c>
      <c r="V100">
        <v>0</v>
      </c>
      <c r="W100">
        <v>0</v>
      </c>
      <c r="X100">
        <v>1</v>
      </c>
      <c r="Z100">
        <v>0</v>
      </c>
      <c r="AA100">
        <v>9</v>
      </c>
      <c r="AB100">
        <v>3</v>
      </c>
      <c r="AC100">
        <v>0</v>
      </c>
      <c r="AD100">
        <v>10</v>
      </c>
      <c r="AE100">
        <v>0</v>
      </c>
      <c r="AF100">
        <v>3</v>
      </c>
      <c r="AG100">
        <v>2</v>
      </c>
      <c r="AH100">
        <v>0</v>
      </c>
      <c r="AI100" t="s">
        <v>204</v>
      </c>
      <c r="AJ100">
        <v>39.497909999999997</v>
      </c>
      <c r="AK100" t="s">
        <v>205</v>
      </c>
      <c r="AL100">
        <v>-92.428043000000002</v>
      </c>
      <c r="AM100">
        <v>100</v>
      </c>
      <c r="AN100">
        <v>1700</v>
      </c>
      <c r="AO100" t="s">
        <v>118</v>
      </c>
      <c r="AP100">
        <v>-51</v>
      </c>
      <c r="AQ100">
        <v>97</v>
      </c>
      <c r="AR100">
        <v>704</v>
      </c>
      <c r="AZ100">
        <v>1200</v>
      </c>
      <c r="BA100">
        <v>1</v>
      </c>
      <c r="BB100" t="str">
        <f t="shared" si="6"/>
        <v xml:space="preserve">N8080G  </v>
      </c>
      <c r="BC100">
        <v>1</v>
      </c>
      <c r="BE100">
        <v>0</v>
      </c>
      <c r="BF100">
        <v>0</v>
      </c>
      <c r="BG100">
        <v>0</v>
      </c>
      <c r="BH100">
        <v>1725</v>
      </c>
      <c r="BI100">
        <v>1</v>
      </c>
      <c r="BJ100">
        <v>1</v>
      </c>
      <c r="BK100">
        <v>1</v>
      </c>
      <c r="BL100">
        <v>0</v>
      </c>
      <c r="BO100">
        <v>0</v>
      </c>
      <c r="BP100">
        <v>0</v>
      </c>
      <c r="BW100" t="str">
        <f>"20:11:26.601"</f>
        <v>20:11:26.601</v>
      </c>
      <c r="CJ100">
        <v>0</v>
      </c>
      <c r="CK100">
        <v>2</v>
      </c>
      <c r="CL100">
        <v>0</v>
      </c>
      <c r="CM100">
        <v>2</v>
      </c>
      <c r="CN100">
        <v>0</v>
      </c>
      <c r="CO100">
        <v>6</v>
      </c>
      <c r="CP100" t="s">
        <v>119</v>
      </c>
      <c r="CQ100">
        <v>559</v>
      </c>
      <c r="CR100">
        <v>0</v>
      </c>
      <c r="CW100">
        <v>10386159</v>
      </c>
      <c r="CY100">
        <v>0</v>
      </c>
      <c r="CZ100">
        <v>0</v>
      </c>
      <c r="DA100">
        <v>1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</row>
    <row r="101" spans="1:113" x14ac:dyDescent="0.3">
      <c r="A101" t="str">
        <f>"02/08/2021 20:11:24.276"</f>
        <v>02/08/2021 20:11:24.276</v>
      </c>
      <c r="C101" t="str">
        <f t="shared" si="5"/>
        <v>FFDFD3C0</v>
      </c>
      <c r="D101" t="s">
        <v>113</v>
      </c>
      <c r="E101">
        <v>6</v>
      </c>
      <c r="H101">
        <v>165</v>
      </c>
      <c r="I101" t="s">
        <v>114</v>
      </c>
      <c r="J101" t="s">
        <v>115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"20:11:26.594"</f>
        <v>20:11:26.594</v>
      </c>
      <c r="U101" t="str">
        <f t="shared" si="4"/>
        <v>AB01F4</v>
      </c>
      <c r="V101">
        <v>0</v>
      </c>
      <c r="W101">
        <v>0</v>
      </c>
      <c r="X101">
        <v>1</v>
      </c>
      <c r="Z101">
        <v>0</v>
      </c>
      <c r="AA101">
        <v>9</v>
      </c>
      <c r="AB101">
        <v>3</v>
      </c>
      <c r="AC101">
        <v>0</v>
      </c>
      <c r="AD101">
        <v>10</v>
      </c>
      <c r="AE101">
        <v>0</v>
      </c>
      <c r="AF101">
        <v>3</v>
      </c>
      <c r="AG101">
        <v>2</v>
      </c>
      <c r="AH101">
        <v>0</v>
      </c>
      <c r="AI101" t="s">
        <v>204</v>
      </c>
      <c r="AJ101">
        <v>39.497909999999997</v>
      </c>
      <c r="AK101" t="s">
        <v>205</v>
      </c>
      <c r="AL101">
        <v>-92.428043000000002</v>
      </c>
      <c r="AM101">
        <v>100</v>
      </c>
      <c r="AN101">
        <v>1700</v>
      </c>
      <c r="AO101" t="s">
        <v>118</v>
      </c>
      <c r="AP101">
        <v>-51</v>
      </c>
      <c r="AQ101">
        <v>97</v>
      </c>
      <c r="AR101">
        <v>704</v>
      </c>
      <c r="AZ101">
        <v>1200</v>
      </c>
      <c r="BA101">
        <v>1</v>
      </c>
      <c r="BB101" t="str">
        <f t="shared" si="6"/>
        <v xml:space="preserve">N8080G  </v>
      </c>
      <c r="BC101">
        <v>1</v>
      </c>
      <c r="BE101">
        <v>0</v>
      </c>
      <c r="BF101">
        <v>0</v>
      </c>
      <c r="BG101">
        <v>0</v>
      </c>
      <c r="BH101">
        <v>1725</v>
      </c>
      <c r="BI101">
        <v>1</v>
      </c>
      <c r="BJ101">
        <v>1</v>
      </c>
      <c r="BK101">
        <v>1</v>
      </c>
      <c r="BL101">
        <v>0</v>
      </c>
      <c r="BO101">
        <v>0</v>
      </c>
      <c r="BP101">
        <v>0</v>
      </c>
      <c r="BW101" t="str">
        <f>"20:11:26.601"</f>
        <v>20:11:26.601</v>
      </c>
      <c r="CJ101">
        <v>0</v>
      </c>
      <c r="CK101">
        <v>2</v>
      </c>
      <c r="CL101">
        <v>0</v>
      </c>
      <c r="CM101">
        <v>2</v>
      </c>
      <c r="CN101">
        <v>0</v>
      </c>
      <c r="CO101">
        <v>6</v>
      </c>
      <c r="CP101" t="s">
        <v>119</v>
      </c>
      <c r="CQ101">
        <v>559</v>
      </c>
      <c r="CR101">
        <v>0</v>
      </c>
      <c r="CW101">
        <v>10386159</v>
      </c>
      <c r="CY101">
        <v>0</v>
      </c>
      <c r="CZ101">
        <v>0</v>
      </c>
      <c r="DA101">
        <v>1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</row>
    <row r="102" spans="1:113" x14ac:dyDescent="0.3">
      <c r="A102" t="str">
        <f>"02/08/2021 20:11:27.351"</f>
        <v>02/08/2021 20:11:27.351</v>
      </c>
      <c r="C102" t="str">
        <f t="shared" si="5"/>
        <v>FFDFD3C0</v>
      </c>
      <c r="D102" t="s">
        <v>141</v>
      </c>
      <c r="E102">
        <v>17</v>
      </c>
      <c r="H102">
        <v>256</v>
      </c>
      <c r="I102" t="s">
        <v>142</v>
      </c>
      <c r="J102" t="s">
        <v>143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"20:11:29.672"</f>
        <v>20:11:29.672</v>
      </c>
      <c r="T102" t="str">
        <f>"20:11:29.172"</f>
        <v>20:11:29.172</v>
      </c>
      <c r="U102" t="str">
        <f t="shared" si="4"/>
        <v>AB01F4</v>
      </c>
      <c r="V102">
        <v>0</v>
      </c>
      <c r="W102">
        <v>0</v>
      </c>
      <c r="X102">
        <v>1</v>
      </c>
      <c r="Z102">
        <v>0</v>
      </c>
      <c r="AA102">
        <v>9</v>
      </c>
      <c r="AB102">
        <v>3</v>
      </c>
      <c r="AC102">
        <v>0</v>
      </c>
      <c r="AD102">
        <v>10</v>
      </c>
      <c r="AE102">
        <v>0</v>
      </c>
      <c r="AF102">
        <v>3</v>
      </c>
      <c r="AG102">
        <v>2</v>
      </c>
      <c r="AH102">
        <v>0</v>
      </c>
      <c r="AI102" t="s">
        <v>206</v>
      </c>
      <c r="AJ102">
        <v>39.499304000000002</v>
      </c>
      <c r="AK102" t="s">
        <v>207</v>
      </c>
      <c r="AL102">
        <v>-92.428966000000003</v>
      </c>
      <c r="AM102">
        <v>100</v>
      </c>
      <c r="AN102">
        <v>1800</v>
      </c>
      <c r="AO102" t="s">
        <v>118</v>
      </c>
      <c r="AP102">
        <v>-50</v>
      </c>
      <c r="AQ102">
        <v>98</v>
      </c>
      <c r="AR102">
        <v>576</v>
      </c>
      <c r="AZ102">
        <v>1200</v>
      </c>
      <c r="BA102">
        <v>1</v>
      </c>
      <c r="BB102" t="str">
        <f t="shared" si="6"/>
        <v xml:space="preserve">N8080G  </v>
      </c>
      <c r="BC102">
        <v>1</v>
      </c>
      <c r="BE102">
        <v>0</v>
      </c>
      <c r="BF102">
        <v>0</v>
      </c>
      <c r="BG102">
        <v>0</v>
      </c>
      <c r="BH102">
        <v>1850</v>
      </c>
      <c r="BI102">
        <v>1</v>
      </c>
      <c r="BJ102">
        <v>1</v>
      </c>
      <c r="BK102">
        <v>1</v>
      </c>
      <c r="BL102">
        <v>0</v>
      </c>
      <c r="BO102">
        <v>0</v>
      </c>
      <c r="BP102">
        <v>0</v>
      </c>
      <c r="BW102" t="str">
        <f>"20:11:29.673"</f>
        <v>20:11:29.673</v>
      </c>
      <c r="CJ102">
        <v>0</v>
      </c>
      <c r="CK102">
        <v>2</v>
      </c>
      <c r="CL102">
        <v>0</v>
      </c>
      <c r="CM102">
        <v>2</v>
      </c>
      <c r="CN102">
        <v>0</v>
      </c>
      <c r="CO102">
        <v>6</v>
      </c>
      <c r="CP102" t="s">
        <v>119</v>
      </c>
      <c r="CQ102">
        <v>559</v>
      </c>
      <c r="CR102">
        <v>0</v>
      </c>
      <c r="CW102">
        <v>10386676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</row>
    <row r="103" spans="1:113" x14ac:dyDescent="0.3">
      <c r="A103" t="str">
        <f>"02/08/2021 20:11:27.351"</f>
        <v>02/08/2021 20:11:27.351</v>
      </c>
      <c r="C103" t="str">
        <f t="shared" si="5"/>
        <v>FFDFD3C0</v>
      </c>
      <c r="D103" t="s">
        <v>113</v>
      </c>
      <c r="E103">
        <v>6</v>
      </c>
      <c r="H103">
        <v>165</v>
      </c>
      <c r="I103" t="s">
        <v>114</v>
      </c>
      <c r="J103" t="s">
        <v>115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"20:11:29.672"</f>
        <v>20:11:29.672</v>
      </c>
      <c r="T103" t="str">
        <f>"20:11:29.172"</f>
        <v>20:11:29.172</v>
      </c>
      <c r="U103" t="str">
        <f t="shared" si="4"/>
        <v>AB01F4</v>
      </c>
      <c r="V103">
        <v>0</v>
      </c>
      <c r="W103">
        <v>0</v>
      </c>
      <c r="X103">
        <v>1</v>
      </c>
      <c r="Z103">
        <v>0</v>
      </c>
      <c r="AA103">
        <v>9</v>
      </c>
      <c r="AB103">
        <v>3</v>
      </c>
      <c r="AC103">
        <v>0</v>
      </c>
      <c r="AD103">
        <v>10</v>
      </c>
      <c r="AE103">
        <v>0</v>
      </c>
      <c r="AF103">
        <v>3</v>
      </c>
      <c r="AG103">
        <v>2</v>
      </c>
      <c r="AH103">
        <v>0</v>
      </c>
      <c r="AI103" t="s">
        <v>206</v>
      </c>
      <c r="AJ103">
        <v>39.499304000000002</v>
      </c>
      <c r="AK103" t="s">
        <v>207</v>
      </c>
      <c r="AL103">
        <v>-92.428966000000003</v>
      </c>
      <c r="AM103">
        <v>100</v>
      </c>
      <c r="AN103">
        <v>1800</v>
      </c>
      <c r="AO103" t="s">
        <v>118</v>
      </c>
      <c r="AP103">
        <v>-50</v>
      </c>
      <c r="AQ103">
        <v>98</v>
      </c>
      <c r="AR103">
        <v>576</v>
      </c>
      <c r="AZ103">
        <v>1200</v>
      </c>
      <c r="BA103">
        <v>1</v>
      </c>
      <c r="BB103" t="str">
        <f t="shared" si="6"/>
        <v xml:space="preserve">N8080G  </v>
      </c>
      <c r="BC103">
        <v>1</v>
      </c>
      <c r="BE103">
        <v>0</v>
      </c>
      <c r="BF103">
        <v>0</v>
      </c>
      <c r="BG103">
        <v>0</v>
      </c>
      <c r="BH103">
        <v>1850</v>
      </c>
      <c r="BI103">
        <v>1</v>
      </c>
      <c r="BJ103">
        <v>1</v>
      </c>
      <c r="BK103">
        <v>1</v>
      </c>
      <c r="BL103">
        <v>0</v>
      </c>
      <c r="BO103">
        <v>0</v>
      </c>
      <c r="BP103">
        <v>0</v>
      </c>
      <c r="BW103" t="str">
        <f>"20:11:29.673"</f>
        <v>20:11:29.673</v>
      </c>
      <c r="CJ103">
        <v>0</v>
      </c>
      <c r="CK103">
        <v>2</v>
      </c>
      <c r="CL103">
        <v>0</v>
      </c>
      <c r="CM103">
        <v>2</v>
      </c>
      <c r="CN103">
        <v>0</v>
      </c>
      <c r="CO103">
        <v>6</v>
      </c>
      <c r="CP103" t="s">
        <v>119</v>
      </c>
      <c r="CQ103">
        <v>559</v>
      </c>
      <c r="CR103">
        <v>0</v>
      </c>
      <c r="CW103">
        <v>10386676</v>
      </c>
      <c r="CY103">
        <v>0</v>
      </c>
      <c r="CZ103">
        <v>0</v>
      </c>
      <c r="DA103">
        <v>1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</row>
    <row r="104" spans="1:113" x14ac:dyDescent="0.3">
      <c r="A104" t="str">
        <f>"02/08/2021 20:11:27.351"</f>
        <v>02/08/2021 20:11:27.351</v>
      </c>
      <c r="C104" t="str">
        <f t="shared" si="5"/>
        <v>FFDFD3C0</v>
      </c>
      <c r="D104" t="s">
        <v>124</v>
      </c>
      <c r="E104">
        <v>13</v>
      </c>
      <c r="F104">
        <v>1013</v>
      </c>
      <c r="G104" t="s">
        <v>114</v>
      </c>
      <c r="J104" t="s">
        <v>125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"20:11:29.672"</f>
        <v>20:11:29.672</v>
      </c>
      <c r="T104" t="str">
        <f>"20:11:29.172"</f>
        <v>20:11:29.172</v>
      </c>
      <c r="U104" t="str">
        <f t="shared" si="4"/>
        <v>AB01F4</v>
      </c>
      <c r="V104">
        <v>0</v>
      </c>
      <c r="W104">
        <v>0</v>
      </c>
      <c r="X104">
        <v>1</v>
      </c>
      <c r="Z104">
        <v>0</v>
      </c>
      <c r="AA104">
        <v>9</v>
      </c>
      <c r="AB104">
        <v>3</v>
      </c>
      <c r="AC104">
        <v>0</v>
      </c>
      <c r="AD104">
        <v>10</v>
      </c>
      <c r="AE104">
        <v>0</v>
      </c>
      <c r="AF104">
        <v>3</v>
      </c>
      <c r="AG104">
        <v>2</v>
      </c>
      <c r="AH104">
        <v>0</v>
      </c>
      <c r="AI104" t="s">
        <v>206</v>
      </c>
      <c r="AJ104">
        <v>39.499304000000002</v>
      </c>
      <c r="AK104" t="s">
        <v>207</v>
      </c>
      <c r="AL104">
        <v>-92.428966000000003</v>
      </c>
      <c r="AM104">
        <v>100</v>
      </c>
      <c r="AN104">
        <v>1800</v>
      </c>
      <c r="AO104" t="s">
        <v>118</v>
      </c>
      <c r="AP104">
        <v>-50</v>
      </c>
      <c r="AQ104">
        <v>98</v>
      </c>
      <c r="AR104">
        <v>576</v>
      </c>
      <c r="AZ104">
        <v>1200</v>
      </c>
      <c r="BA104">
        <v>1</v>
      </c>
      <c r="BB104" t="str">
        <f t="shared" si="6"/>
        <v xml:space="preserve">N8080G  </v>
      </c>
      <c r="BC104">
        <v>1</v>
      </c>
      <c r="BE104">
        <v>0</v>
      </c>
      <c r="BF104">
        <v>0</v>
      </c>
      <c r="BG104">
        <v>0</v>
      </c>
      <c r="BH104">
        <v>1850</v>
      </c>
      <c r="BI104">
        <v>1</v>
      </c>
      <c r="BJ104">
        <v>1</v>
      </c>
      <c r="BK104">
        <v>1</v>
      </c>
      <c r="BL104">
        <v>0</v>
      </c>
      <c r="BO104">
        <v>0</v>
      </c>
      <c r="BP104">
        <v>0</v>
      </c>
      <c r="BW104" t="str">
        <f>"20:11:29.673"</f>
        <v>20:11:29.673</v>
      </c>
      <c r="CJ104">
        <v>0</v>
      </c>
      <c r="CK104">
        <v>2</v>
      </c>
      <c r="CL104">
        <v>0</v>
      </c>
      <c r="CM104">
        <v>2</v>
      </c>
      <c r="CN104">
        <v>0</v>
      </c>
      <c r="CO104">
        <v>6</v>
      </c>
      <c r="CP104" t="s">
        <v>119</v>
      </c>
      <c r="CQ104">
        <v>559</v>
      </c>
      <c r="CR104">
        <v>0</v>
      </c>
      <c r="CW104">
        <v>10386676</v>
      </c>
      <c r="CY104">
        <v>0</v>
      </c>
      <c r="CZ104">
        <v>0</v>
      </c>
      <c r="DA104">
        <v>1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</row>
    <row r="105" spans="1:113" x14ac:dyDescent="0.3">
      <c r="A105" t="str">
        <f>"02/08/2021 20:11:28.313"</f>
        <v>02/08/2021 20:11:28.313</v>
      </c>
      <c r="C105" t="str">
        <f t="shared" si="5"/>
        <v>FFDFD3C0</v>
      </c>
      <c r="D105" t="s">
        <v>141</v>
      </c>
      <c r="E105">
        <v>17</v>
      </c>
      <c r="H105">
        <v>256</v>
      </c>
      <c r="I105" t="s">
        <v>142</v>
      </c>
      <c r="J105" t="s">
        <v>143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"20:11:30.633"</f>
        <v>20:11:30.633</v>
      </c>
      <c r="U105" t="str">
        <f t="shared" si="4"/>
        <v>AB01F4</v>
      </c>
      <c r="V105">
        <v>0</v>
      </c>
      <c r="W105">
        <v>0</v>
      </c>
      <c r="X105">
        <v>1</v>
      </c>
      <c r="Z105">
        <v>0</v>
      </c>
      <c r="AA105">
        <v>9</v>
      </c>
      <c r="AB105">
        <v>3</v>
      </c>
      <c r="AC105">
        <v>0</v>
      </c>
      <c r="AD105">
        <v>10</v>
      </c>
      <c r="AE105">
        <v>0</v>
      </c>
      <c r="AF105">
        <v>3</v>
      </c>
      <c r="AG105">
        <v>2</v>
      </c>
      <c r="AH105">
        <v>0</v>
      </c>
      <c r="AI105" t="s">
        <v>208</v>
      </c>
      <c r="AJ105">
        <v>39.499755</v>
      </c>
      <c r="AK105" t="s">
        <v>209</v>
      </c>
      <c r="AL105">
        <v>-92.429265999999998</v>
      </c>
      <c r="AM105">
        <v>100</v>
      </c>
      <c r="AN105">
        <v>1800</v>
      </c>
      <c r="AO105" t="s">
        <v>118</v>
      </c>
      <c r="AP105">
        <v>-51</v>
      </c>
      <c r="AQ105">
        <v>99</v>
      </c>
      <c r="AR105">
        <v>448</v>
      </c>
      <c r="AZ105">
        <v>1200</v>
      </c>
      <c r="BA105">
        <v>1</v>
      </c>
      <c r="BB105" t="str">
        <f t="shared" si="6"/>
        <v xml:space="preserve">N8080G  </v>
      </c>
      <c r="BC105">
        <v>1</v>
      </c>
      <c r="BE105">
        <v>0</v>
      </c>
      <c r="BF105">
        <v>0</v>
      </c>
      <c r="BG105">
        <v>0</v>
      </c>
      <c r="BH105">
        <v>1775</v>
      </c>
      <c r="BI105">
        <v>1</v>
      </c>
      <c r="BJ105">
        <v>1</v>
      </c>
      <c r="BK105">
        <v>1</v>
      </c>
      <c r="BL105">
        <v>0</v>
      </c>
      <c r="BO105">
        <v>0</v>
      </c>
      <c r="BP105">
        <v>0</v>
      </c>
      <c r="BW105" t="str">
        <f>"20:11:30.636"</f>
        <v>20:11:30.636</v>
      </c>
      <c r="CJ105">
        <v>0</v>
      </c>
      <c r="CK105">
        <v>2</v>
      </c>
      <c r="CL105">
        <v>0</v>
      </c>
      <c r="CM105">
        <v>2</v>
      </c>
      <c r="CN105">
        <v>0</v>
      </c>
      <c r="CO105">
        <v>6</v>
      </c>
      <c r="CP105" t="s">
        <v>119</v>
      </c>
      <c r="CQ105">
        <v>559</v>
      </c>
      <c r="CR105">
        <v>0</v>
      </c>
      <c r="CW105">
        <v>10386835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</row>
    <row r="106" spans="1:113" x14ac:dyDescent="0.3">
      <c r="A106" t="str">
        <f>"02/08/2021 20:11:28.313"</f>
        <v>02/08/2021 20:11:28.313</v>
      </c>
      <c r="C106" t="str">
        <f t="shared" si="5"/>
        <v>FFDFD3C0</v>
      </c>
      <c r="D106" t="s">
        <v>113</v>
      </c>
      <c r="E106">
        <v>6</v>
      </c>
      <c r="H106">
        <v>165</v>
      </c>
      <c r="I106" t="s">
        <v>114</v>
      </c>
      <c r="J106" t="s">
        <v>115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"20:11:30.633"</f>
        <v>20:11:30.633</v>
      </c>
      <c r="U106" t="str">
        <f t="shared" si="4"/>
        <v>AB01F4</v>
      </c>
      <c r="V106">
        <v>0</v>
      </c>
      <c r="W106">
        <v>0</v>
      </c>
      <c r="X106">
        <v>1</v>
      </c>
      <c r="Z106">
        <v>0</v>
      </c>
      <c r="AA106">
        <v>9</v>
      </c>
      <c r="AB106">
        <v>3</v>
      </c>
      <c r="AC106">
        <v>0</v>
      </c>
      <c r="AD106">
        <v>10</v>
      </c>
      <c r="AE106">
        <v>0</v>
      </c>
      <c r="AF106">
        <v>3</v>
      </c>
      <c r="AG106">
        <v>2</v>
      </c>
      <c r="AH106">
        <v>0</v>
      </c>
      <c r="AI106" t="s">
        <v>208</v>
      </c>
      <c r="AJ106">
        <v>39.499755</v>
      </c>
      <c r="AK106" t="s">
        <v>209</v>
      </c>
      <c r="AL106">
        <v>-92.429265999999998</v>
      </c>
      <c r="AM106">
        <v>100</v>
      </c>
      <c r="AN106">
        <v>1800</v>
      </c>
      <c r="AO106" t="s">
        <v>118</v>
      </c>
      <c r="AP106">
        <v>-51</v>
      </c>
      <c r="AQ106">
        <v>99</v>
      </c>
      <c r="AR106">
        <v>448</v>
      </c>
      <c r="AZ106">
        <v>1200</v>
      </c>
      <c r="BA106">
        <v>1</v>
      </c>
      <c r="BB106" t="str">
        <f t="shared" si="6"/>
        <v xml:space="preserve">N8080G  </v>
      </c>
      <c r="BC106">
        <v>1</v>
      </c>
      <c r="BE106">
        <v>0</v>
      </c>
      <c r="BF106">
        <v>0</v>
      </c>
      <c r="BG106">
        <v>0</v>
      </c>
      <c r="BH106">
        <v>1775</v>
      </c>
      <c r="BI106">
        <v>1</v>
      </c>
      <c r="BJ106">
        <v>1</v>
      </c>
      <c r="BK106">
        <v>1</v>
      </c>
      <c r="BL106">
        <v>0</v>
      </c>
      <c r="BO106">
        <v>0</v>
      </c>
      <c r="BP106">
        <v>0</v>
      </c>
      <c r="BW106" t="str">
        <f>"20:11:30.636"</f>
        <v>20:11:30.636</v>
      </c>
      <c r="CJ106">
        <v>0</v>
      </c>
      <c r="CK106">
        <v>2</v>
      </c>
      <c r="CL106">
        <v>0</v>
      </c>
      <c r="CM106">
        <v>2</v>
      </c>
      <c r="CN106">
        <v>0</v>
      </c>
      <c r="CO106">
        <v>6</v>
      </c>
      <c r="CP106" t="s">
        <v>119</v>
      </c>
      <c r="CQ106">
        <v>559</v>
      </c>
      <c r="CR106">
        <v>0</v>
      </c>
      <c r="CW106">
        <v>10386835</v>
      </c>
      <c r="CY106">
        <v>0</v>
      </c>
      <c r="CZ106">
        <v>0</v>
      </c>
      <c r="DA106">
        <v>1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</row>
    <row r="107" spans="1:113" x14ac:dyDescent="0.3">
      <c r="A107" t="str">
        <f>"02/08/2021 20:11:28.313"</f>
        <v>02/08/2021 20:11:28.313</v>
      </c>
      <c r="C107" t="str">
        <f t="shared" si="5"/>
        <v>FFDFD3C0</v>
      </c>
      <c r="D107" t="s">
        <v>124</v>
      </c>
      <c r="E107">
        <v>13</v>
      </c>
      <c r="F107">
        <v>1013</v>
      </c>
      <c r="G107" t="s">
        <v>114</v>
      </c>
      <c r="J107" t="s">
        <v>125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"20:11:30.633"</f>
        <v>20:11:30.633</v>
      </c>
      <c r="U107" t="str">
        <f t="shared" si="4"/>
        <v>AB01F4</v>
      </c>
      <c r="V107">
        <v>0</v>
      </c>
      <c r="W107">
        <v>0</v>
      </c>
      <c r="X107">
        <v>1</v>
      </c>
      <c r="Z107">
        <v>0</v>
      </c>
      <c r="AA107">
        <v>9</v>
      </c>
      <c r="AB107">
        <v>3</v>
      </c>
      <c r="AC107">
        <v>0</v>
      </c>
      <c r="AD107">
        <v>10</v>
      </c>
      <c r="AE107">
        <v>0</v>
      </c>
      <c r="AF107">
        <v>3</v>
      </c>
      <c r="AG107">
        <v>2</v>
      </c>
      <c r="AH107">
        <v>0</v>
      </c>
      <c r="AI107" t="s">
        <v>208</v>
      </c>
      <c r="AJ107">
        <v>39.499755</v>
      </c>
      <c r="AK107" t="s">
        <v>209</v>
      </c>
      <c r="AL107">
        <v>-92.429265999999998</v>
      </c>
      <c r="AM107">
        <v>100</v>
      </c>
      <c r="AN107">
        <v>1800</v>
      </c>
      <c r="AO107" t="s">
        <v>118</v>
      </c>
      <c r="AP107">
        <v>-51</v>
      </c>
      <c r="AQ107">
        <v>99</v>
      </c>
      <c r="AR107">
        <v>448</v>
      </c>
      <c r="AZ107">
        <v>1200</v>
      </c>
      <c r="BA107">
        <v>1</v>
      </c>
      <c r="BB107" t="str">
        <f t="shared" si="6"/>
        <v xml:space="preserve">N8080G  </v>
      </c>
      <c r="BC107">
        <v>1</v>
      </c>
      <c r="BE107">
        <v>0</v>
      </c>
      <c r="BF107">
        <v>0</v>
      </c>
      <c r="BG107">
        <v>0</v>
      </c>
      <c r="BH107">
        <v>1775</v>
      </c>
      <c r="BI107">
        <v>1</v>
      </c>
      <c r="BJ107">
        <v>1</v>
      </c>
      <c r="BK107">
        <v>1</v>
      </c>
      <c r="BL107">
        <v>0</v>
      </c>
      <c r="BO107">
        <v>0</v>
      </c>
      <c r="BP107">
        <v>0</v>
      </c>
      <c r="BW107" t="str">
        <f>"20:11:30.636"</f>
        <v>20:11:30.636</v>
      </c>
      <c r="CJ107">
        <v>0</v>
      </c>
      <c r="CK107">
        <v>2</v>
      </c>
      <c r="CL107">
        <v>0</v>
      </c>
      <c r="CM107">
        <v>2</v>
      </c>
      <c r="CN107">
        <v>0</v>
      </c>
      <c r="CO107">
        <v>6</v>
      </c>
      <c r="CP107" t="s">
        <v>119</v>
      </c>
      <c r="CQ107">
        <v>559</v>
      </c>
      <c r="CR107">
        <v>0</v>
      </c>
      <c r="CW107">
        <v>10386835</v>
      </c>
      <c r="CY107">
        <v>0</v>
      </c>
      <c r="CZ107">
        <v>0</v>
      </c>
      <c r="DA107">
        <v>1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</row>
    <row r="108" spans="1:113" x14ac:dyDescent="0.3">
      <c r="A108" t="str">
        <f>"02/08/2021 20:11:29.273"</f>
        <v>02/08/2021 20:11:29.273</v>
      </c>
      <c r="C108" t="str">
        <f t="shared" si="5"/>
        <v>FFDFD3C0</v>
      </c>
      <c r="D108" t="s">
        <v>141</v>
      </c>
      <c r="E108">
        <v>17</v>
      </c>
      <c r="H108">
        <v>256</v>
      </c>
      <c r="I108" t="s">
        <v>142</v>
      </c>
      <c r="J108" t="s">
        <v>143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"20:11:31.609"</f>
        <v>20:11:31.609</v>
      </c>
      <c r="T108" t="str">
        <f>"20:11:31.209"</f>
        <v>20:11:31.209</v>
      </c>
      <c r="U108" t="str">
        <f t="shared" si="4"/>
        <v>AB01F4</v>
      </c>
      <c r="V108">
        <v>0</v>
      </c>
      <c r="W108">
        <v>0</v>
      </c>
      <c r="X108">
        <v>1</v>
      </c>
      <c r="Z108">
        <v>0</v>
      </c>
      <c r="AA108">
        <v>9</v>
      </c>
      <c r="AB108">
        <v>3</v>
      </c>
      <c r="AC108">
        <v>0</v>
      </c>
      <c r="AD108">
        <v>10</v>
      </c>
      <c r="AE108">
        <v>0</v>
      </c>
      <c r="AF108">
        <v>3</v>
      </c>
      <c r="AG108">
        <v>2</v>
      </c>
      <c r="AH108">
        <v>0</v>
      </c>
      <c r="AI108" t="s">
        <v>210</v>
      </c>
      <c r="AJ108">
        <v>39.500227000000002</v>
      </c>
      <c r="AK108" t="s">
        <v>211</v>
      </c>
      <c r="AL108">
        <v>-92.429565999999994</v>
      </c>
      <c r="AM108">
        <v>100</v>
      </c>
      <c r="AN108">
        <v>1800</v>
      </c>
      <c r="AO108" t="s">
        <v>118</v>
      </c>
      <c r="AP108">
        <v>-51</v>
      </c>
      <c r="AQ108">
        <v>99</v>
      </c>
      <c r="AR108">
        <v>448</v>
      </c>
      <c r="AZ108">
        <v>1200</v>
      </c>
      <c r="BA108">
        <v>1</v>
      </c>
      <c r="BB108" t="str">
        <f t="shared" si="6"/>
        <v xml:space="preserve">N8080G  </v>
      </c>
      <c r="BC108">
        <v>1</v>
      </c>
      <c r="BE108">
        <v>0</v>
      </c>
      <c r="BF108">
        <v>0</v>
      </c>
      <c r="BG108">
        <v>0</v>
      </c>
      <c r="BH108">
        <v>1775</v>
      </c>
      <c r="BI108">
        <v>1</v>
      </c>
      <c r="BJ108">
        <v>1</v>
      </c>
      <c r="BK108">
        <v>1</v>
      </c>
      <c r="BL108">
        <v>0</v>
      </c>
      <c r="BO108">
        <v>0</v>
      </c>
      <c r="BP108">
        <v>0</v>
      </c>
      <c r="BW108" t="str">
        <f>"20:11:31.615"</f>
        <v>20:11:31.615</v>
      </c>
      <c r="CJ108">
        <v>0</v>
      </c>
      <c r="CK108">
        <v>2</v>
      </c>
      <c r="CL108">
        <v>0</v>
      </c>
      <c r="CM108">
        <v>2</v>
      </c>
      <c r="CN108">
        <v>0</v>
      </c>
      <c r="CO108">
        <v>6</v>
      </c>
      <c r="CP108" t="s">
        <v>119</v>
      </c>
      <c r="CQ108">
        <v>559</v>
      </c>
      <c r="CR108">
        <v>0</v>
      </c>
      <c r="CW108">
        <v>10387004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</row>
    <row r="109" spans="1:113" x14ac:dyDescent="0.3">
      <c r="A109" t="str">
        <f>"02/08/2021 20:11:29.273"</f>
        <v>02/08/2021 20:11:29.273</v>
      </c>
      <c r="C109" t="str">
        <f t="shared" si="5"/>
        <v>FFDFD3C0</v>
      </c>
      <c r="D109" t="s">
        <v>113</v>
      </c>
      <c r="E109">
        <v>6</v>
      </c>
      <c r="H109">
        <v>165</v>
      </c>
      <c r="I109" t="s">
        <v>114</v>
      </c>
      <c r="J109" t="s">
        <v>115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"20:11:31.609"</f>
        <v>20:11:31.609</v>
      </c>
      <c r="T109" t="str">
        <f>"20:11:31.209"</f>
        <v>20:11:31.209</v>
      </c>
      <c r="U109" t="str">
        <f t="shared" si="4"/>
        <v>AB01F4</v>
      </c>
      <c r="V109">
        <v>0</v>
      </c>
      <c r="W109">
        <v>0</v>
      </c>
      <c r="X109">
        <v>1</v>
      </c>
      <c r="Z109">
        <v>0</v>
      </c>
      <c r="AA109">
        <v>9</v>
      </c>
      <c r="AB109">
        <v>3</v>
      </c>
      <c r="AC109">
        <v>0</v>
      </c>
      <c r="AD109">
        <v>10</v>
      </c>
      <c r="AE109">
        <v>0</v>
      </c>
      <c r="AF109">
        <v>3</v>
      </c>
      <c r="AG109">
        <v>2</v>
      </c>
      <c r="AH109">
        <v>0</v>
      </c>
      <c r="AI109" t="s">
        <v>210</v>
      </c>
      <c r="AJ109">
        <v>39.500227000000002</v>
      </c>
      <c r="AK109" t="s">
        <v>211</v>
      </c>
      <c r="AL109">
        <v>-92.429565999999994</v>
      </c>
      <c r="AM109">
        <v>100</v>
      </c>
      <c r="AN109">
        <v>1800</v>
      </c>
      <c r="AO109" t="s">
        <v>118</v>
      </c>
      <c r="AP109">
        <v>-51</v>
      </c>
      <c r="AQ109">
        <v>99</v>
      </c>
      <c r="AR109">
        <v>448</v>
      </c>
      <c r="AZ109">
        <v>1200</v>
      </c>
      <c r="BA109">
        <v>1</v>
      </c>
      <c r="BB109" t="str">
        <f t="shared" si="6"/>
        <v xml:space="preserve">N8080G  </v>
      </c>
      <c r="BC109">
        <v>1</v>
      </c>
      <c r="BE109">
        <v>0</v>
      </c>
      <c r="BF109">
        <v>0</v>
      </c>
      <c r="BG109">
        <v>0</v>
      </c>
      <c r="BH109">
        <v>1775</v>
      </c>
      <c r="BI109">
        <v>1</v>
      </c>
      <c r="BJ109">
        <v>1</v>
      </c>
      <c r="BK109">
        <v>1</v>
      </c>
      <c r="BL109">
        <v>0</v>
      </c>
      <c r="BO109">
        <v>0</v>
      </c>
      <c r="BP109">
        <v>0</v>
      </c>
      <c r="BW109" t="str">
        <f>"20:11:31.615"</f>
        <v>20:11:31.615</v>
      </c>
      <c r="CJ109">
        <v>0</v>
      </c>
      <c r="CK109">
        <v>2</v>
      </c>
      <c r="CL109">
        <v>0</v>
      </c>
      <c r="CM109">
        <v>2</v>
      </c>
      <c r="CN109">
        <v>0</v>
      </c>
      <c r="CO109">
        <v>6</v>
      </c>
      <c r="CP109" t="s">
        <v>119</v>
      </c>
      <c r="CQ109">
        <v>559</v>
      </c>
      <c r="CR109">
        <v>0</v>
      </c>
      <c r="CW109">
        <v>10387004</v>
      </c>
      <c r="CY109">
        <v>0</v>
      </c>
      <c r="CZ109">
        <v>0</v>
      </c>
      <c r="DA109">
        <v>1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</row>
    <row r="110" spans="1:113" x14ac:dyDescent="0.3">
      <c r="A110" t="str">
        <f>"02/08/2021 20:11:29.273"</f>
        <v>02/08/2021 20:11:29.273</v>
      </c>
      <c r="C110" t="str">
        <f t="shared" si="5"/>
        <v>FFDFD3C0</v>
      </c>
      <c r="D110" t="s">
        <v>124</v>
      </c>
      <c r="E110">
        <v>13</v>
      </c>
      <c r="F110">
        <v>1013</v>
      </c>
      <c r="G110" t="s">
        <v>114</v>
      </c>
      <c r="J110" t="s">
        <v>125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"20:11:31.609"</f>
        <v>20:11:31.609</v>
      </c>
      <c r="T110" t="str">
        <f>"20:11:31.209"</f>
        <v>20:11:31.209</v>
      </c>
      <c r="U110" t="str">
        <f t="shared" si="4"/>
        <v>AB01F4</v>
      </c>
      <c r="V110">
        <v>0</v>
      </c>
      <c r="W110">
        <v>0</v>
      </c>
      <c r="X110">
        <v>1</v>
      </c>
      <c r="Z110">
        <v>0</v>
      </c>
      <c r="AA110">
        <v>9</v>
      </c>
      <c r="AB110">
        <v>3</v>
      </c>
      <c r="AC110">
        <v>0</v>
      </c>
      <c r="AD110">
        <v>10</v>
      </c>
      <c r="AE110">
        <v>0</v>
      </c>
      <c r="AF110">
        <v>3</v>
      </c>
      <c r="AG110">
        <v>2</v>
      </c>
      <c r="AH110">
        <v>0</v>
      </c>
      <c r="AI110" t="s">
        <v>210</v>
      </c>
      <c r="AJ110">
        <v>39.500227000000002</v>
      </c>
      <c r="AK110" t="s">
        <v>211</v>
      </c>
      <c r="AL110">
        <v>-92.429565999999994</v>
      </c>
      <c r="AM110">
        <v>100</v>
      </c>
      <c r="AN110">
        <v>1800</v>
      </c>
      <c r="AO110" t="s">
        <v>118</v>
      </c>
      <c r="AP110">
        <v>-51</v>
      </c>
      <c r="AQ110">
        <v>99</v>
      </c>
      <c r="AR110">
        <v>448</v>
      </c>
      <c r="AZ110">
        <v>1200</v>
      </c>
      <c r="BA110">
        <v>1</v>
      </c>
      <c r="BB110" t="str">
        <f t="shared" si="6"/>
        <v xml:space="preserve">N8080G  </v>
      </c>
      <c r="BC110">
        <v>1</v>
      </c>
      <c r="BE110">
        <v>0</v>
      </c>
      <c r="BF110">
        <v>0</v>
      </c>
      <c r="BG110">
        <v>0</v>
      </c>
      <c r="BH110">
        <v>1775</v>
      </c>
      <c r="BI110">
        <v>1</v>
      </c>
      <c r="BJ110">
        <v>1</v>
      </c>
      <c r="BK110">
        <v>1</v>
      </c>
      <c r="BL110">
        <v>0</v>
      </c>
      <c r="BO110">
        <v>0</v>
      </c>
      <c r="BP110">
        <v>0</v>
      </c>
      <c r="BW110" t="str">
        <f>"20:11:31.615"</f>
        <v>20:11:31.615</v>
      </c>
      <c r="CJ110">
        <v>0</v>
      </c>
      <c r="CK110">
        <v>2</v>
      </c>
      <c r="CL110">
        <v>0</v>
      </c>
      <c r="CM110">
        <v>2</v>
      </c>
      <c r="CN110">
        <v>0</v>
      </c>
      <c r="CO110">
        <v>6</v>
      </c>
      <c r="CP110" t="s">
        <v>119</v>
      </c>
      <c r="CQ110">
        <v>559</v>
      </c>
      <c r="CR110">
        <v>0</v>
      </c>
      <c r="CW110">
        <v>10387004</v>
      </c>
      <c r="CY110">
        <v>0</v>
      </c>
      <c r="CZ110">
        <v>0</v>
      </c>
      <c r="DA110">
        <v>1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</row>
    <row r="111" spans="1:113" x14ac:dyDescent="0.3">
      <c r="A111" t="str">
        <f>"02/08/2021 20:11:30.261"</f>
        <v>02/08/2021 20:11:30.261</v>
      </c>
      <c r="C111" t="str">
        <f t="shared" si="5"/>
        <v>FFDFD3C0</v>
      </c>
      <c r="D111" t="s">
        <v>124</v>
      </c>
      <c r="E111">
        <v>13</v>
      </c>
      <c r="F111">
        <v>1013</v>
      </c>
      <c r="G111" t="s">
        <v>114</v>
      </c>
      <c r="J111" t="s">
        <v>125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>"20:11:32.609"</f>
        <v>20:11:32.609</v>
      </c>
      <c r="T111" t="str">
        <f>"20:11:32.109"</f>
        <v>20:11:32.109</v>
      </c>
      <c r="U111" t="str">
        <f t="shared" si="4"/>
        <v>AB01F4</v>
      </c>
      <c r="V111">
        <v>0</v>
      </c>
      <c r="W111">
        <v>0</v>
      </c>
      <c r="X111">
        <v>1</v>
      </c>
      <c r="Z111">
        <v>0</v>
      </c>
      <c r="AA111">
        <v>9</v>
      </c>
      <c r="AB111">
        <v>3</v>
      </c>
      <c r="AC111">
        <v>0</v>
      </c>
      <c r="AD111">
        <v>10</v>
      </c>
      <c r="AE111">
        <v>0</v>
      </c>
      <c r="AF111">
        <v>3</v>
      </c>
      <c r="AG111">
        <v>2</v>
      </c>
      <c r="AH111">
        <v>0</v>
      </c>
      <c r="AI111" t="s">
        <v>212</v>
      </c>
      <c r="AJ111">
        <v>39.500698999999997</v>
      </c>
      <c r="AK111" t="s">
        <v>213</v>
      </c>
      <c r="AL111">
        <v>-92.429867000000002</v>
      </c>
      <c r="AM111">
        <v>100</v>
      </c>
      <c r="AN111">
        <v>1800</v>
      </c>
      <c r="AO111" t="s">
        <v>118</v>
      </c>
      <c r="AP111">
        <v>-51</v>
      </c>
      <c r="AQ111">
        <v>100</v>
      </c>
      <c r="AR111">
        <v>384</v>
      </c>
      <c r="AZ111">
        <v>1200</v>
      </c>
      <c r="BA111">
        <v>1</v>
      </c>
      <c r="BB111" t="str">
        <f t="shared" si="6"/>
        <v xml:space="preserve">N8080G  </v>
      </c>
      <c r="BC111">
        <v>1</v>
      </c>
      <c r="BE111">
        <v>0</v>
      </c>
      <c r="BF111">
        <v>0</v>
      </c>
      <c r="BG111">
        <v>0</v>
      </c>
      <c r="BH111">
        <v>1775</v>
      </c>
      <c r="BI111">
        <v>1</v>
      </c>
      <c r="BJ111">
        <v>1</v>
      </c>
      <c r="BK111">
        <v>1</v>
      </c>
      <c r="BL111">
        <v>0</v>
      </c>
      <c r="BO111">
        <v>0</v>
      </c>
      <c r="BP111">
        <v>0</v>
      </c>
      <c r="BW111" t="str">
        <f>"20:11:32.616"</f>
        <v>20:11:32.616</v>
      </c>
      <c r="CJ111">
        <v>0</v>
      </c>
      <c r="CK111">
        <v>2</v>
      </c>
      <c r="CL111">
        <v>0</v>
      </c>
      <c r="CM111">
        <v>2</v>
      </c>
      <c r="CN111">
        <v>0</v>
      </c>
      <c r="CO111">
        <v>6</v>
      </c>
      <c r="CP111" t="s">
        <v>119</v>
      </c>
      <c r="CQ111">
        <v>559</v>
      </c>
      <c r="CR111">
        <v>0</v>
      </c>
      <c r="CW111">
        <v>10387170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</row>
    <row r="112" spans="1:113" x14ac:dyDescent="0.3">
      <c r="A112" t="str">
        <f>"02/08/2021 20:11:30.261"</f>
        <v>02/08/2021 20:11:30.261</v>
      </c>
      <c r="C112" t="str">
        <f t="shared" si="5"/>
        <v>FFDFD3C0</v>
      </c>
      <c r="D112" t="s">
        <v>141</v>
      </c>
      <c r="E112">
        <v>17</v>
      </c>
      <c r="H112">
        <v>256</v>
      </c>
      <c r="I112" t="s">
        <v>142</v>
      </c>
      <c r="J112" t="s">
        <v>143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>"20:11:32.609"</f>
        <v>20:11:32.609</v>
      </c>
      <c r="T112" t="str">
        <f>"20:11:32.109"</f>
        <v>20:11:32.109</v>
      </c>
      <c r="U112" t="str">
        <f t="shared" si="4"/>
        <v>AB01F4</v>
      </c>
      <c r="V112">
        <v>0</v>
      </c>
      <c r="W112">
        <v>0</v>
      </c>
      <c r="X112">
        <v>1</v>
      </c>
      <c r="Z112">
        <v>0</v>
      </c>
      <c r="AA112">
        <v>9</v>
      </c>
      <c r="AB112">
        <v>3</v>
      </c>
      <c r="AC112">
        <v>0</v>
      </c>
      <c r="AD112">
        <v>10</v>
      </c>
      <c r="AE112">
        <v>0</v>
      </c>
      <c r="AF112">
        <v>3</v>
      </c>
      <c r="AG112">
        <v>2</v>
      </c>
      <c r="AH112">
        <v>0</v>
      </c>
      <c r="AI112" t="s">
        <v>212</v>
      </c>
      <c r="AJ112">
        <v>39.500698999999997</v>
      </c>
      <c r="AK112" t="s">
        <v>213</v>
      </c>
      <c r="AL112">
        <v>-92.429867000000002</v>
      </c>
      <c r="AM112">
        <v>100</v>
      </c>
      <c r="AN112">
        <v>1800</v>
      </c>
      <c r="AO112" t="s">
        <v>118</v>
      </c>
      <c r="AP112">
        <v>-51</v>
      </c>
      <c r="AQ112">
        <v>100</v>
      </c>
      <c r="AR112">
        <v>384</v>
      </c>
      <c r="AZ112">
        <v>1200</v>
      </c>
      <c r="BA112">
        <v>1</v>
      </c>
      <c r="BB112" t="str">
        <f t="shared" si="6"/>
        <v xml:space="preserve">N8080G  </v>
      </c>
      <c r="BC112">
        <v>1</v>
      </c>
      <c r="BE112">
        <v>0</v>
      </c>
      <c r="BF112">
        <v>0</v>
      </c>
      <c r="BG112">
        <v>0</v>
      </c>
      <c r="BH112">
        <v>1775</v>
      </c>
      <c r="BI112">
        <v>1</v>
      </c>
      <c r="BJ112">
        <v>1</v>
      </c>
      <c r="BK112">
        <v>1</v>
      </c>
      <c r="BL112">
        <v>0</v>
      </c>
      <c r="BO112">
        <v>0</v>
      </c>
      <c r="BP112">
        <v>0</v>
      </c>
      <c r="BW112" t="str">
        <f>"20:11:32.616"</f>
        <v>20:11:32.616</v>
      </c>
      <c r="CJ112">
        <v>0</v>
      </c>
      <c r="CK112">
        <v>2</v>
      </c>
      <c r="CL112">
        <v>0</v>
      </c>
      <c r="CM112">
        <v>2</v>
      </c>
      <c r="CN112">
        <v>0</v>
      </c>
      <c r="CO112">
        <v>6</v>
      </c>
      <c r="CP112" t="s">
        <v>119</v>
      </c>
      <c r="CQ112">
        <v>559</v>
      </c>
      <c r="CR112">
        <v>0</v>
      </c>
      <c r="CW112">
        <v>10387170</v>
      </c>
      <c r="CY112">
        <v>0</v>
      </c>
      <c r="CZ112">
        <v>0</v>
      </c>
      <c r="DA112">
        <v>1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</row>
    <row r="113" spans="1:113" x14ac:dyDescent="0.3">
      <c r="A113" t="str">
        <f>"02/08/2021 20:11:30.261"</f>
        <v>02/08/2021 20:11:30.261</v>
      </c>
      <c r="C113" t="str">
        <f t="shared" si="5"/>
        <v>FFDFD3C0</v>
      </c>
      <c r="D113" t="s">
        <v>113</v>
      </c>
      <c r="E113">
        <v>6</v>
      </c>
      <c r="H113">
        <v>165</v>
      </c>
      <c r="I113" t="s">
        <v>114</v>
      </c>
      <c r="J113" t="s">
        <v>115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>"20:11:32.609"</f>
        <v>20:11:32.609</v>
      </c>
      <c r="T113" t="str">
        <f>"20:11:32.109"</f>
        <v>20:11:32.109</v>
      </c>
      <c r="U113" t="str">
        <f t="shared" si="4"/>
        <v>AB01F4</v>
      </c>
      <c r="V113">
        <v>0</v>
      </c>
      <c r="W113">
        <v>0</v>
      </c>
      <c r="X113">
        <v>1</v>
      </c>
      <c r="Z113">
        <v>0</v>
      </c>
      <c r="AA113">
        <v>9</v>
      </c>
      <c r="AB113">
        <v>3</v>
      </c>
      <c r="AC113">
        <v>0</v>
      </c>
      <c r="AD113">
        <v>10</v>
      </c>
      <c r="AE113">
        <v>0</v>
      </c>
      <c r="AF113">
        <v>3</v>
      </c>
      <c r="AG113">
        <v>2</v>
      </c>
      <c r="AH113">
        <v>0</v>
      </c>
      <c r="AI113" t="s">
        <v>212</v>
      </c>
      <c r="AJ113">
        <v>39.500698999999997</v>
      </c>
      <c r="AK113" t="s">
        <v>213</v>
      </c>
      <c r="AL113">
        <v>-92.429867000000002</v>
      </c>
      <c r="AM113">
        <v>100</v>
      </c>
      <c r="AN113">
        <v>1800</v>
      </c>
      <c r="AO113" t="s">
        <v>118</v>
      </c>
      <c r="AP113">
        <v>-51</v>
      </c>
      <c r="AQ113">
        <v>100</v>
      </c>
      <c r="AR113">
        <v>384</v>
      </c>
      <c r="AZ113">
        <v>1200</v>
      </c>
      <c r="BA113">
        <v>1</v>
      </c>
      <c r="BB113" t="str">
        <f t="shared" si="6"/>
        <v xml:space="preserve">N8080G  </v>
      </c>
      <c r="BC113">
        <v>1</v>
      </c>
      <c r="BE113">
        <v>0</v>
      </c>
      <c r="BF113">
        <v>0</v>
      </c>
      <c r="BG113">
        <v>0</v>
      </c>
      <c r="BH113">
        <v>1775</v>
      </c>
      <c r="BI113">
        <v>1</v>
      </c>
      <c r="BJ113">
        <v>1</v>
      </c>
      <c r="BK113">
        <v>1</v>
      </c>
      <c r="BL113">
        <v>0</v>
      </c>
      <c r="BO113">
        <v>0</v>
      </c>
      <c r="BP113">
        <v>0</v>
      </c>
      <c r="BW113" t="str">
        <f>"20:11:32.616"</f>
        <v>20:11:32.616</v>
      </c>
      <c r="CJ113">
        <v>0</v>
      </c>
      <c r="CK113">
        <v>2</v>
      </c>
      <c r="CL113">
        <v>0</v>
      </c>
      <c r="CM113">
        <v>2</v>
      </c>
      <c r="CN113">
        <v>0</v>
      </c>
      <c r="CO113">
        <v>6</v>
      </c>
      <c r="CP113" t="s">
        <v>119</v>
      </c>
      <c r="CQ113">
        <v>559</v>
      </c>
      <c r="CR113">
        <v>0</v>
      </c>
      <c r="CW113">
        <v>10387170</v>
      </c>
      <c r="CY113">
        <v>0</v>
      </c>
      <c r="CZ113">
        <v>0</v>
      </c>
      <c r="DA113">
        <v>1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</row>
    <row r="114" spans="1:113" x14ac:dyDescent="0.3">
      <c r="A114" t="str">
        <f>"02/08/2021 20:11:31.447"</f>
        <v>02/08/2021 20:11:31.447</v>
      </c>
      <c r="C114" t="str">
        <f t="shared" si="5"/>
        <v>FFDFD3C0</v>
      </c>
      <c r="D114" t="s">
        <v>141</v>
      </c>
      <c r="E114">
        <v>17</v>
      </c>
      <c r="H114">
        <v>256</v>
      </c>
      <c r="I114" t="s">
        <v>142</v>
      </c>
      <c r="J114" t="s">
        <v>143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>"20:11:33.773"</f>
        <v>20:11:33.773</v>
      </c>
      <c r="U114" t="str">
        <f t="shared" si="4"/>
        <v>AB01F4</v>
      </c>
      <c r="V114">
        <v>0</v>
      </c>
      <c r="W114">
        <v>0</v>
      </c>
      <c r="X114">
        <v>1</v>
      </c>
      <c r="Z114">
        <v>0</v>
      </c>
      <c r="AA114">
        <v>9</v>
      </c>
      <c r="AB114">
        <v>3</v>
      </c>
      <c r="AC114">
        <v>0</v>
      </c>
      <c r="AD114">
        <v>10</v>
      </c>
      <c r="AE114">
        <v>0</v>
      </c>
      <c r="AF114">
        <v>3</v>
      </c>
      <c r="AG114">
        <v>2</v>
      </c>
      <c r="AH114">
        <v>0</v>
      </c>
      <c r="AI114" t="s">
        <v>214</v>
      </c>
      <c r="AJ114">
        <v>39.501213999999997</v>
      </c>
      <c r="AK114" t="s">
        <v>215</v>
      </c>
      <c r="AL114">
        <v>-92.430188999999999</v>
      </c>
      <c r="AM114">
        <v>100</v>
      </c>
      <c r="AN114">
        <v>1800</v>
      </c>
      <c r="AO114" t="s">
        <v>118</v>
      </c>
      <c r="AP114">
        <v>-53</v>
      </c>
      <c r="AQ114">
        <v>101</v>
      </c>
      <c r="AR114">
        <v>320</v>
      </c>
      <c r="AZ114">
        <v>1200</v>
      </c>
      <c r="BA114">
        <v>1</v>
      </c>
      <c r="BB114" t="str">
        <f t="shared" si="6"/>
        <v xml:space="preserve">N8080G  </v>
      </c>
      <c r="BC114">
        <v>1</v>
      </c>
      <c r="BE114">
        <v>0</v>
      </c>
      <c r="BF114">
        <v>0</v>
      </c>
      <c r="BG114">
        <v>0</v>
      </c>
      <c r="BH114">
        <v>1775</v>
      </c>
      <c r="BI114">
        <v>1</v>
      </c>
      <c r="BJ114">
        <v>1</v>
      </c>
      <c r="BK114">
        <v>1</v>
      </c>
      <c r="BL114">
        <v>0</v>
      </c>
      <c r="BO114">
        <v>0</v>
      </c>
      <c r="BP114">
        <v>0</v>
      </c>
      <c r="BW114" t="str">
        <f>"20:11:33.774"</f>
        <v>20:11:33.774</v>
      </c>
      <c r="CJ114">
        <v>0</v>
      </c>
      <c r="CK114">
        <v>2</v>
      </c>
      <c r="CL114">
        <v>0</v>
      </c>
      <c r="CM114">
        <v>2</v>
      </c>
      <c r="CN114">
        <v>0</v>
      </c>
      <c r="CO114">
        <v>6</v>
      </c>
      <c r="CP114" t="s">
        <v>119</v>
      </c>
      <c r="CQ114">
        <v>559</v>
      </c>
      <c r="CR114">
        <v>0</v>
      </c>
      <c r="CW114">
        <v>10387343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</row>
    <row r="115" spans="1:113" x14ac:dyDescent="0.3">
      <c r="A115" t="str">
        <f>"02/08/2021 20:11:31.447"</f>
        <v>02/08/2021 20:11:31.447</v>
      </c>
      <c r="C115" t="str">
        <f t="shared" si="5"/>
        <v>FFDFD3C0</v>
      </c>
      <c r="D115" t="s">
        <v>113</v>
      </c>
      <c r="E115">
        <v>6</v>
      </c>
      <c r="H115">
        <v>165</v>
      </c>
      <c r="I115" t="s">
        <v>114</v>
      </c>
      <c r="J115" t="s">
        <v>115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>"20:11:33.773"</f>
        <v>20:11:33.773</v>
      </c>
      <c r="U115" t="str">
        <f t="shared" si="4"/>
        <v>AB01F4</v>
      </c>
      <c r="V115">
        <v>0</v>
      </c>
      <c r="W115">
        <v>0</v>
      </c>
      <c r="X115">
        <v>1</v>
      </c>
      <c r="Z115">
        <v>0</v>
      </c>
      <c r="AA115">
        <v>9</v>
      </c>
      <c r="AB115">
        <v>3</v>
      </c>
      <c r="AC115">
        <v>0</v>
      </c>
      <c r="AD115">
        <v>10</v>
      </c>
      <c r="AE115">
        <v>0</v>
      </c>
      <c r="AF115">
        <v>3</v>
      </c>
      <c r="AG115">
        <v>2</v>
      </c>
      <c r="AH115">
        <v>0</v>
      </c>
      <c r="AI115" t="s">
        <v>214</v>
      </c>
      <c r="AJ115">
        <v>39.501213999999997</v>
      </c>
      <c r="AK115" t="s">
        <v>215</v>
      </c>
      <c r="AL115">
        <v>-92.430188999999999</v>
      </c>
      <c r="AM115">
        <v>100</v>
      </c>
      <c r="AN115">
        <v>1800</v>
      </c>
      <c r="AO115" t="s">
        <v>118</v>
      </c>
      <c r="AP115">
        <v>-53</v>
      </c>
      <c r="AQ115">
        <v>101</v>
      </c>
      <c r="AR115">
        <v>320</v>
      </c>
      <c r="AZ115">
        <v>1200</v>
      </c>
      <c r="BA115">
        <v>1</v>
      </c>
      <c r="BB115" t="str">
        <f t="shared" si="6"/>
        <v xml:space="preserve">N8080G  </v>
      </c>
      <c r="BC115">
        <v>1</v>
      </c>
      <c r="BE115">
        <v>0</v>
      </c>
      <c r="BF115">
        <v>0</v>
      </c>
      <c r="BG115">
        <v>0</v>
      </c>
      <c r="BH115">
        <v>1775</v>
      </c>
      <c r="BI115">
        <v>1</v>
      </c>
      <c r="BJ115">
        <v>1</v>
      </c>
      <c r="BK115">
        <v>1</v>
      </c>
      <c r="BL115">
        <v>0</v>
      </c>
      <c r="BO115">
        <v>0</v>
      </c>
      <c r="BP115">
        <v>0</v>
      </c>
      <c r="BW115" t="str">
        <f>"20:11:33.774"</f>
        <v>20:11:33.774</v>
      </c>
      <c r="CJ115">
        <v>0</v>
      </c>
      <c r="CK115">
        <v>2</v>
      </c>
      <c r="CL115">
        <v>0</v>
      </c>
      <c r="CM115">
        <v>2</v>
      </c>
      <c r="CN115">
        <v>0</v>
      </c>
      <c r="CO115">
        <v>6</v>
      </c>
      <c r="CP115" t="s">
        <v>119</v>
      </c>
      <c r="CQ115">
        <v>559</v>
      </c>
      <c r="CR115">
        <v>0</v>
      </c>
      <c r="CW115">
        <v>10387343</v>
      </c>
      <c r="CY115">
        <v>0</v>
      </c>
      <c r="CZ115">
        <v>0</v>
      </c>
      <c r="DA115">
        <v>1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</row>
    <row r="116" spans="1:113" x14ac:dyDescent="0.3">
      <c r="A116" t="str">
        <f>"02/08/2021 20:11:31.447"</f>
        <v>02/08/2021 20:11:31.447</v>
      </c>
      <c r="C116" t="str">
        <f t="shared" si="5"/>
        <v>FFDFD3C0</v>
      </c>
      <c r="D116" t="s">
        <v>124</v>
      </c>
      <c r="E116">
        <v>13</v>
      </c>
      <c r="F116">
        <v>1013</v>
      </c>
      <c r="G116" t="s">
        <v>114</v>
      </c>
      <c r="J116" t="s">
        <v>125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>"20:11:33.773"</f>
        <v>20:11:33.773</v>
      </c>
      <c r="U116" t="str">
        <f t="shared" si="4"/>
        <v>AB01F4</v>
      </c>
      <c r="V116">
        <v>0</v>
      </c>
      <c r="W116">
        <v>0</v>
      </c>
      <c r="X116">
        <v>1</v>
      </c>
      <c r="Z116">
        <v>0</v>
      </c>
      <c r="AA116">
        <v>9</v>
      </c>
      <c r="AB116">
        <v>3</v>
      </c>
      <c r="AC116">
        <v>0</v>
      </c>
      <c r="AD116">
        <v>10</v>
      </c>
      <c r="AE116">
        <v>0</v>
      </c>
      <c r="AF116">
        <v>3</v>
      </c>
      <c r="AG116">
        <v>2</v>
      </c>
      <c r="AH116">
        <v>0</v>
      </c>
      <c r="AI116" t="s">
        <v>214</v>
      </c>
      <c r="AJ116">
        <v>39.501213999999997</v>
      </c>
      <c r="AK116" t="s">
        <v>215</v>
      </c>
      <c r="AL116">
        <v>-92.430188999999999</v>
      </c>
      <c r="AM116">
        <v>100</v>
      </c>
      <c r="AN116">
        <v>1800</v>
      </c>
      <c r="AO116" t="s">
        <v>118</v>
      </c>
      <c r="AP116">
        <v>-53</v>
      </c>
      <c r="AQ116">
        <v>101</v>
      </c>
      <c r="AR116">
        <v>320</v>
      </c>
      <c r="AZ116">
        <v>1200</v>
      </c>
      <c r="BA116">
        <v>1</v>
      </c>
      <c r="BB116" t="str">
        <f t="shared" si="6"/>
        <v xml:space="preserve">N8080G  </v>
      </c>
      <c r="BC116">
        <v>1</v>
      </c>
      <c r="BE116">
        <v>0</v>
      </c>
      <c r="BF116">
        <v>0</v>
      </c>
      <c r="BG116">
        <v>0</v>
      </c>
      <c r="BH116">
        <v>1775</v>
      </c>
      <c r="BI116">
        <v>1</v>
      </c>
      <c r="BJ116">
        <v>1</v>
      </c>
      <c r="BK116">
        <v>1</v>
      </c>
      <c r="BL116">
        <v>0</v>
      </c>
      <c r="BO116">
        <v>0</v>
      </c>
      <c r="BP116">
        <v>0</v>
      </c>
      <c r="BW116" t="str">
        <f>"20:11:33.774"</f>
        <v>20:11:33.774</v>
      </c>
      <c r="CJ116">
        <v>0</v>
      </c>
      <c r="CK116">
        <v>2</v>
      </c>
      <c r="CL116">
        <v>0</v>
      </c>
      <c r="CM116">
        <v>2</v>
      </c>
      <c r="CN116">
        <v>0</v>
      </c>
      <c r="CO116">
        <v>6</v>
      </c>
      <c r="CP116" t="s">
        <v>119</v>
      </c>
      <c r="CQ116">
        <v>559</v>
      </c>
      <c r="CR116">
        <v>0</v>
      </c>
      <c r="CW116">
        <v>10387343</v>
      </c>
      <c r="CY116">
        <v>0</v>
      </c>
      <c r="CZ116">
        <v>0</v>
      </c>
      <c r="DA116">
        <v>1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</row>
    <row r="117" spans="1:113" x14ac:dyDescent="0.3">
      <c r="A117" t="str">
        <f>"02/08/2021 20:11:32.405"</f>
        <v>02/08/2021 20:11:32.405</v>
      </c>
      <c r="C117" t="str">
        <f t="shared" si="5"/>
        <v>FFDFD3C0</v>
      </c>
      <c r="D117" t="s">
        <v>141</v>
      </c>
      <c r="E117">
        <v>17</v>
      </c>
      <c r="H117">
        <v>256</v>
      </c>
      <c r="I117" t="s">
        <v>142</v>
      </c>
      <c r="J117" t="s">
        <v>143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>"20:11:34.742"</f>
        <v>20:11:34.742</v>
      </c>
      <c r="T117" t="str">
        <f>"20:11:34.242"</f>
        <v>20:11:34.242</v>
      </c>
      <c r="U117" t="str">
        <f t="shared" si="4"/>
        <v>AB01F4</v>
      </c>
      <c r="V117">
        <v>0</v>
      </c>
      <c r="W117">
        <v>0</v>
      </c>
      <c r="X117">
        <v>1</v>
      </c>
      <c r="Z117">
        <v>0</v>
      </c>
      <c r="AA117">
        <v>9</v>
      </c>
      <c r="AB117">
        <v>3</v>
      </c>
      <c r="AC117">
        <v>0</v>
      </c>
      <c r="AD117">
        <v>10</v>
      </c>
      <c r="AE117">
        <v>0</v>
      </c>
      <c r="AF117">
        <v>3</v>
      </c>
      <c r="AG117">
        <v>2</v>
      </c>
      <c r="AH117">
        <v>0</v>
      </c>
      <c r="AI117" t="s">
        <v>216</v>
      </c>
      <c r="AJ117">
        <v>39.501665000000003</v>
      </c>
      <c r="AK117" t="s">
        <v>217</v>
      </c>
      <c r="AL117">
        <v>-92.430553000000003</v>
      </c>
      <c r="AM117">
        <v>100</v>
      </c>
      <c r="AN117">
        <v>1800</v>
      </c>
      <c r="AO117" t="s">
        <v>118</v>
      </c>
      <c r="AP117">
        <v>-54</v>
      </c>
      <c r="AQ117">
        <v>101</v>
      </c>
      <c r="AR117">
        <v>320</v>
      </c>
      <c r="AZ117">
        <v>1200</v>
      </c>
      <c r="BA117">
        <v>1</v>
      </c>
      <c r="BB117" t="str">
        <f t="shared" si="6"/>
        <v xml:space="preserve">N8080G  </v>
      </c>
      <c r="BC117">
        <v>1</v>
      </c>
      <c r="BE117">
        <v>0</v>
      </c>
      <c r="BF117">
        <v>0</v>
      </c>
      <c r="BG117">
        <v>0</v>
      </c>
      <c r="BH117">
        <v>1775</v>
      </c>
      <c r="BI117">
        <v>1</v>
      </c>
      <c r="BJ117">
        <v>1</v>
      </c>
      <c r="BK117">
        <v>1</v>
      </c>
      <c r="BL117">
        <v>0</v>
      </c>
      <c r="BO117">
        <v>0</v>
      </c>
      <c r="BP117">
        <v>0</v>
      </c>
      <c r="BW117" t="str">
        <f>"20:11:34.742"</f>
        <v>20:11:34.742</v>
      </c>
      <c r="CJ117">
        <v>0</v>
      </c>
      <c r="CK117">
        <v>2</v>
      </c>
      <c r="CL117">
        <v>0</v>
      </c>
      <c r="CM117">
        <v>2</v>
      </c>
      <c r="CN117">
        <v>0</v>
      </c>
      <c r="CO117">
        <v>6</v>
      </c>
      <c r="CP117" t="s">
        <v>119</v>
      </c>
      <c r="CQ117">
        <v>559</v>
      </c>
      <c r="CR117">
        <v>0</v>
      </c>
      <c r="CW117">
        <v>10387506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</row>
    <row r="118" spans="1:113" x14ac:dyDescent="0.3">
      <c r="A118" t="str">
        <f>"02/08/2021 20:11:32.405"</f>
        <v>02/08/2021 20:11:32.405</v>
      </c>
      <c r="C118" t="str">
        <f t="shared" si="5"/>
        <v>FFDFD3C0</v>
      </c>
      <c r="D118" t="s">
        <v>113</v>
      </c>
      <c r="E118">
        <v>6</v>
      </c>
      <c r="H118">
        <v>165</v>
      </c>
      <c r="I118" t="s">
        <v>114</v>
      </c>
      <c r="J118" t="s">
        <v>115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>"20:11:34.742"</f>
        <v>20:11:34.742</v>
      </c>
      <c r="T118" t="str">
        <f>"20:11:34.242"</f>
        <v>20:11:34.242</v>
      </c>
      <c r="U118" t="str">
        <f t="shared" si="4"/>
        <v>AB01F4</v>
      </c>
      <c r="V118">
        <v>0</v>
      </c>
      <c r="W118">
        <v>0</v>
      </c>
      <c r="X118">
        <v>1</v>
      </c>
      <c r="Z118">
        <v>0</v>
      </c>
      <c r="AA118">
        <v>9</v>
      </c>
      <c r="AB118">
        <v>3</v>
      </c>
      <c r="AC118">
        <v>0</v>
      </c>
      <c r="AD118">
        <v>10</v>
      </c>
      <c r="AE118">
        <v>0</v>
      </c>
      <c r="AF118">
        <v>3</v>
      </c>
      <c r="AG118">
        <v>2</v>
      </c>
      <c r="AH118">
        <v>0</v>
      </c>
      <c r="AI118" t="s">
        <v>216</v>
      </c>
      <c r="AJ118">
        <v>39.501665000000003</v>
      </c>
      <c r="AK118" t="s">
        <v>217</v>
      </c>
      <c r="AL118">
        <v>-92.430553000000003</v>
      </c>
      <c r="AM118">
        <v>100</v>
      </c>
      <c r="AN118">
        <v>1800</v>
      </c>
      <c r="AO118" t="s">
        <v>118</v>
      </c>
      <c r="AP118">
        <v>-54</v>
      </c>
      <c r="AQ118">
        <v>101</v>
      </c>
      <c r="AR118">
        <v>320</v>
      </c>
      <c r="AZ118">
        <v>1200</v>
      </c>
      <c r="BA118">
        <v>1</v>
      </c>
      <c r="BB118" t="str">
        <f t="shared" si="6"/>
        <v xml:space="preserve">N8080G  </v>
      </c>
      <c r="BC118">
        <v>1</v>
      </c>
      <c r="BE118">
        <v>0</v>
      </c>
      <c r="BF118">
        <v>0</v>
      </c>
      <c r="BG118">
        <v>0</v>
      </c>
      <c r="BH118">
        <v>1775</v>
      </c>
      <c r="BI118">
        <v>1</v>
      </c>
      <c r="BJ118">
        <v>1</v>
      </c>
      <c r="BK118">
        <v>1</v>
      </c>
      <c r="BL118">
        <v>0</v>
      </c>
      <c r="BO118">
        <v>0</v>
      </c>
      <c r="BP118">
        <v>0</v>
      </c>
      <c r="BW118" t="str">
        <f>"20:11:34.742"</f>
        <v>20:11:34.742</v>
      </c>
      <c r="CJ118">
        <v>0</v>
      </c>
      <c r="CK118">
        <v>2</v>
      </c>
      <c r="CL118">
        <v>0</v>
      </c>
      <c r="CM118">
        <v>2</v>
      </c>
      <c r="CN118">
        <v>0</v>
      </c>
      <c r="CO118">
        <v>6</v>
      </c>
      <c r="CP118" t="s">
        <v>119</v>
      </c>
      <c r="CQ118">
        <v>559</v>
      </c>
      <c r="CR118">
        <v>0</v>
      </c>
      <c r="CW118">
        <v>10387506</v>
      </c>
      <c r="CY118">
        <v>0</v>
      </c>
      <c r="CZ118">
        <v>0</v>
      </c>
      <c r="DA118">
        <v>1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</row>
    <row r="119" spans="1:113" x14ac:dyDescent="0.3">
      <c r="A119" t="str">
        <f>"02/08/2021 20:11:32.405"</f>
        <v>02/08/2021 20:11:32.405</v>
      </c>
      <c r="C119" t="str">
        <f t="shared" si="5"/>
        <v>FFDFD3C0</v>
      </c>
      <c r="D119" t="s">
        <v>124</v>
      </c>
      <c r="E119">
        <v>13</v>
      </c>
      <c r="F119">
        <v>1013</v>
      </c>
      <c r="G119" t="s">
        <v>114</v>
      </c>
      <c r="J119" t="s">
        <v>125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>"20:11:34.742"</f>
        <v>20:11:34.742</v>
      </c>
      <c r="T119" t="str">
        <f>"20:11:34.242"</f>
        <v>20:11:34.242</v>
      </c>
      <c r="U119" t="str">
        <f t="shared" si="4"/>
        <v>AB01F4</v>
      </c>
      <c r="V119">
        <v>0</v>
      </c>
      <c r="W119">
        <v>0</v>
      </c>
      <c r="X119">
        <v>1</v>
      </c>
      <c r="Z119">
        <v>0</v>
      </c>
      <c r="AA119">
        <v>9</v>
      </c>
      <c r="AB119">
        <v>3</v>
      </c>
      <c r="AC119">
        <v>0</v>
      </c>
      <c r="AD119">
        <v>10</v>
      </c>
      <c r="AE119">
        <v>0</v>
      </c>
      <c r="AF119">
        <v>3</v>
      </c>
      <c r="AG119">
        <v>2</v>
      </c>
      <c r="AH119">
        <v>0</v>
      </c>
      <c r="AI119" t="s">
        <v>216</v>
      </c>
      <c r="AJ119">
        <v>39.501665000000003</v>
      </c>
      <c r="AK119" t="s">
        <v>217</v>
      </c>
      <c r="AL119">
        <v>-92.430553000000003</v>
      </c>
      <c r="AM119">
        <v>100</v>
      </c>
      <c r="AN119">
        <v>1800</v>
      </c>
      <c r="AO119" t="s">
        <v>118</v>
      </c>
      <c r="AP119">
        <v>-54</v>
      </c>
      <c r="AQ119">
        <v>101</v>
      </c>
      <c r="AR119">
        <v>320</v>
      </c>
      <c r="AZ119">
        <v>1200</v>
      </c>
      <c r="BA119">
        <v>1</v>
      </c>
      <c r="BB119" t="str">
        <f t="shared" si="6"/>
        <v xml:space="preserve">N8080G  </v>
      </c>
      <c r="BC119">
        <v>1</v>
      </c>
      <c r="BE119">
        <v>0</v>
      </c>
      <c r="BF119">
        <v>0</v>
      </c>
      <c r="BG119">
        <v>0</v>
      </c>
      <c r="BH119">
        <v>1775</v>
      </c>
      <c r="BI119">
        <v>1</v>
      </c>
      <c r="BJ119">
        <v>1</v>
      </c>
      <c r="BK119">
        <v>1</v>
      </c>
      <c r="BL119">
        <v>0</v>
      </c>
      <c r="BO119">
        <v>0</v>
      </c>
      <c r="BP119">
        <v>0</v>
      </c>
      <c r="BW119" t="str">
        <f>"20:11:34.742"</f>
        <v>20:11:34.742</v>
      </c>
      <c r="CJ119">
        <v>0</v>
      </c>
      <c r="CK119">
        <v>2</v>
      </c>
      <c r="CL119">
        <v>0</v>
      </c>
      <c r="CM119">
        <v>2</v>
      </c>
      <c r="CN119">
        <v>0</v>
      </c>
      <c r="CO119">
        <v>6</v>
      </c>
      <c r="CP119" t="s">
        <v>119</v>
      </c>
      <c r="CQ119">
        <v>559</v>
      </c>
      <c r="CR119">
        <v>0</v>
      </c>
      <c r="CW119">
        <v>10387506</v>
      </c>
      <c r="CY119">
        <v>0</v>
      </c>
      <c r="CZ119">
        <v>0</v>
      </c>
      <c r="DA119">
        <v>1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</row>
    <row r="120" spans="1:113" x14ac:dyDescent="0.3">
      <c r="A120" t="str">
        <f>"02/08/2021 20:11:34.835"</f>
        <v>02/08/2021 20:11:34.835</v>
      </c>
      <c r="C120" t="str">
        <f t="shared" si="5"/>
        <v>FFDFD3C0</v>
      </c>
      <c r="D120" t="s">
        <v>141</v>
      </c>
      <c r="E120">
        <v>17</v>
      </c>
      <c r="H120">
        <v>256</v>
      </c>
      <c r="I120" t="s">
        <v>142</v>
      </c>
      <c r="J120" t="s">
        <v>143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"20:11:37.148"</f>
        <v>20:11:37.148</v>
      </c>
      <c r="T120" t="str">
        <f>"20:11:36.748"</f>
        <v>20:11:36.748</v>
      </c>
      <c r="U120" t="str">
        <f t="shared" si="4"/>
        <v>AB01F4</v>
      </c>
      <c r="V120">
        <v>0</v>
      </c>
      <c r="W120">
        <v>0</v>
      </c>
      <c r="X120">
        <v>1</v>
      </c>
      <c r="Z120">
        <v>0</v>
      </c>
      <c r="AA120">
        <v>9</v>
      </c>
      <c r="AB120">
        <v>3</v>
      </c>
      <c r="AC120">
        <v>0</v>
      </c>
      <c r="AD120">
        <v>10</v>
      </c>
      <c r="AE120">
        <v>0</v>
      </c>
      <c r="AF120">
        <v>3</v>
      </c>
      <c r="AG120">
        <v>2</v>
      </c>
      <c r="AH120">
        <v>0</v>
      </c>
      <c r="AI120" t="s">
        <v>218</v>
      </c>
      <c r="AJ120">
        <v>39.502802000000003</v>
      </c>
      <c r="AK120" t="s">
        <v>219</v>
      </c>
      <c r="AL120">
        <v>-92.431325999999999</v>
      </c>
      <c r="AM120">
        <v>100</v>
      </c>
      <c r="AN120">
        <v>1800</v>
      </c>
      <c r="AO120" t="s">
        <v>118</v>
      </c>
      <c r="AP120">
        <v>-57</v>
      </c>
      <c r="AQ120">
        <v>102</v>
      </c>
      <c r="AR120">
        <v>192</v>
      </c>
      <c r="AZ120">
        <v>1200</v>
      </c>
      <c r="BA120">
        <v>1</v>
      </c>
      <c r="BB120" t="str">
        <f t="shared" si="6"/>
        <v xml:space="preserve">N8080G  </v>
      </c>
      <c r="BC120">
        <v>1</v>
      </c>
      <c r="BE120">
        <v>0</v>
      </c>
      <c r="BF120">
        <v>0</v>
      </c>
      <c r="BG120">
        <v>0</v>
      </c>
      <c r="BH120">
        <v>1775</v>
      </c>
      <c r="BI120">
        <v>1</v>
      </c>
      <c r="BJ120">
        <v>1</v>
      </c>
      <c r="BK120">
        <v>1</v>
      </c>
      <c r="BL120">
        <v>0</v>
      </c>
      <c r="BO120">
        <v>0</v>
      </c>
      <c r="BP120">
        <v>0</v>
      </c>
      <c r="BW120" t="str">
        <f>"20:11:37.149"</f>
        <v>20:11:37.149</v>
      </c>
      <c r="CJ120">
        <v>0</v>
      </c>
      <c r="CK120">
        <v>2</v>
      </c>
      <c r="CL120">
        <v>0</v>
      </c>
      <c r="CM120">
        <v>2</v>
      </c>
      <c r="CN120">
        <v>0</v>
      </c>
      <c r="CO120">
        <v>6</v>
      </c>
      <c r="CP120" t="s">
        <v>119</v>
      </c>
      <c r="CQ120">
        <v>559</v>
      </c>
      <c r="CR120">
        <v>0</v>
      </c>
      <c r="CW120">
        <v>10387871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</row>
    <row r="121" spans="1:113" x14ac:dyDescent="0.3">
      <c r="A121" t="str">
        <f>"02/08/2021 20:11:34.835"</f>
        <v>02/08/2021 20:11:34.835</v>
      </c>
      <c r="C121" t="str">
        <f t="shared" si="5"/>
        <v>FFDFD3C0</v>
      </c>
      <c r="D121" t="s">
        <v>113</v>
      </c>
      <c r="E121">
        <v>6</v>
      </c>
      <c r="H121">
        <v>165</v>
      </c>
      <c r="I121" t="s">
        <v>114</v>
      </c>
      <c r="J121" t="s">
        <v>115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"20:11:37.148"</f>
        <v>20:11:37.148</v>
      </c>
      <c r="T121" t="str">
        <f>"20:11:36.748"</f>
        <v>20:11:36.748</v>
      </c>
      <c r="U121" t="str">
        <f t="shared" si="4"/>
        <v>AB01F4</v>
      </c>
      <c r="V121">
        <v>0</v>
      </c>
      <c r="W121">
        <v>0</v>
      </c>
      <c r="X121">
        <v>1</v>
      </c>
      <c r="Z121">
        <v>0</v>
      </c>
      <c r="AA121">
        <v>9</v>
      </c>
      <c r="AB121">
        <v>3</v>
      </c>
      <c r="AC121">
        <v>0</v>
      </c>
      <c r="AD121">
        <v>10</v>
      </c>
      <c r="AE121">
        <v>0</v>
      </c>
      <c r="AF121">
        <v>3</v>
      </c>
      <c r="AG121">
        <v>2</v>
      </c>
      <c r="AH121">
        <v>0</v>
      </c>
      <c r="AI121" t="s">
        <v>218</v>
      </c>
      <c r="AJ121">
        <v>39.502802000000003</v>
      </c>
      <c r="AK121" t="s">
        <v>219</v>
      </c>
      <c r="AL121">
        <v>-92.431325999999999</v>
      </c>
      <c r="AM121">
        <v>100</v>
      </c>
      <c r="AN121">
        <v>1800</v>
      </c>
      <c r="AO121" t="s">
        <v>118</v>
      </c>
      <c r="AP121">
        <v>-57</v>
      </c>
      <c r="AQ121">
        <v>102</v>
      </c>
      <c r="AR121">
        <v>192</v>
      </c>
      <c r="AZ121">
        <v>1200</v>
      </c>
      <c r="BA121">
        <v>1</v>
      </c>
      <c r="BB121" t="str">
        <f t="shared" si="6"/>
        <v xml:space="preserve">N8080G  </v>
      </c>
      <c r="BC121">
        <v>1</v>
      </c>
      <c r="BE121">
        <v>0</v>
      </c>
      <c r="BF121">
        <v>0</v>
      </c>
      <c r="BG121">
        <v>0</v>
      </c>
      <c r="BH121">
        <v>1775</v>
      </c>
      <c r="BI121">
        <v>1</v>
      </c>
      <c r="BJ121">
        <v>1</v>
      </c>
      <c r="BK121">
        <v>1</v>
      </c>
      <c r="BL121">
        <v>0</v>
      </c>
      <c r="BO121">
        <v>0</v>
      </c>
      <c r="BP121">
        <v>0</v>
      </c>
      <c r="BW121" t="str">
        <f>"20:11:37.149"</f>
        <v>20:11:37.149</v>
      </c>
      <c r="CJ121">
        <v>0</v>
      </c>
      <c r="CK121">
        <v>2</v>
      </c>
      <c r="CL121">
        <v>0</v>
      </c>
      <c r="CM121">
        <v>2</v>
      </c>
      <c r="CN121">
        <v>0</v>
      </c>
      <c r="CO121">
        <v>6</v>
      </c>
      <c r="CP121" t="s">
        <v>119</v>
      </c>
      <c r="CQ121">
        <v>559</v>
      </c>
      <c r="CR121">
        <v>0</v>
      </c>
      <c r="CW121">
        <v>10387871</v>
      </c>
      <c r="CY121">
        <v>0</v>
      </c>
      <c r="CZ121">
        <v>0</v>
      </c>
      <c r="DA121">
        <v>1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</row>
    <row r="122" spans="1:113" x14ac:dyDescent="0.3">
      <c r="A122" t="str">
        <f>"02/08/2021 20:11:34.835"</f>
        <v>02/08/2021 20:11:34.835</v>
      </c>
      <c r="C122" t="str">
        <f t="shared" si="5"/>
        <v>FFDFD3C0</v>
      </c>
      <c r="D122" t="s">
        <v>124</v>
      </c>
      <c r="E122">
        <v>13</v>
      </c>
      <c r="F122">
        <v>1013</v>
      </c>
      <c r="G122" t="s">
        <v>114</v>
      </c>
      <c r="J122" t="s">
        <v>125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"20:11:37.148"</f>
        <v>20:11:37.148</v>
      </c>
      <c r="T122" t="str">
        <f>"20:11:36.748"</f>
        <v>20:11:36.748</v>
      </c>
      <c r="U122" t="str">
        <f t="shared" si="4"/>
        <v>AB01F4</v>
      </c>
      <c r="V122">
        <v>0</v>
      </c>
      <c r="W122">
        <v>0</v>
      </c>
      <c r="X122">
        <v>1</v>
      </c>
      <c r="Z122">
        <v>0</v>
      </c>
      <c r="AA122">
        <v>9</v>
      </c>
      <c r="AB122">
        <v>3</v>
      </c>
      <c r="AC122">
        <v>0</v>
      </c>
      <c r="AD122">
        <v>10</v>
      </c>
      <c r="AE122">
        <v>0</v>
      </c>
      <c r="AF122">
        <v>3</v>
      </c>
      <c r="AG122">
        <v>2</v>
      </c>
      <c r="AH122">
        <v>0</v>
      </c>
      <c r="AI122" t="s">
        <v>218</v>
      </c>
      <c r="AJ122">
        <v>39.502802000000003</v>
      </c>
      <c r="AK122" t="s">
        <v>219</v>
      </c>
      <c r="AL122">
        <v>-92.431325999999999</v>
      </c>
      <c r="AM122">
        <v>100</v>
      </c>
      <c r="AN122">
        <v>1800</v>
      </c>
      <c r="AO122" t="s">
        <v>118</v>
      </c>
      <c r="AP122">
        <v>-57</v>
      </c>
      <c r="AQ122">
        <v>102</v>
      </c>
      <c r="AR122">
        <v>192</v>
      </c>
      <c r="AZ122">
        <v>1200</v>
      </c>
      <c r="BA122">
        <v>1</v>
      </c>
      <c r="BB122" t="str">
        <f t="shared" si="6"/>
        <v xml:space="preserve">N8080G  </v>
      </c>
      <c r="BC122">
        <v>1</v>
      </c>
      <c r="BE122">
        <v>0</v>
      </c>
      <c r="BF122">
        <v>0</v>
      </c>
      <c r="BG122">
        <v>0</v>
      </c>
      <c r="BH122">
        <v>1775</v>
      </c>
      <c r="BI122">
        <v>1</v>
      </c>
      <c r="BJ122">
        <v>1</v>
      </c>
      <c r="BK122">
        <v>1</v>
      </c>
      <c r="BL122">
        <v>0</v>
      </c>
      <c r="BO122">
        <v>0</v>
      </c>
      <c r="BP122">
        <v>0</v>
      </c>
      <c r="BW122" t="str">
        <f>"20:11:37.149"</f>
        <v>20:11:37.149</v>
      </c>
      <c r="CJ122">
        <v>0</v>
      </c>
      <c r="CK122">
        <v>2</v>
      </c>
      <c r="CL122">
        <v>0</v>
      </c>
      <c r="CM122">
        <v>2</v>
      </c>
      <c r="CN122">
        <v>0</v>
      </c>
      <c r="CO122">
        <v>6</v>
      </c>
      <c r="CP122" t="s">
        <v>119</v>
      </c>
      <c r="CQ122">
        <v>559</v>
      </c>
      <c r="CR122">
        <v>0</v>
      </c>
      <c r="CW122">
        <v>10387871</v>
      </c>
      <c r="CY122">
        <v>0</v>
      </c>
      <c r="CZ122">
        <v>0</v>
      </c>
      <c r="DA122">
        <v>1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</row>
    <row r="123" spans="1:113" x14ac:dyDescent="0.3">
      <c r="A123" t="str">
        <f>"02/08/2021 20:11:35.796"</f>
        <v>02/08/2021 20:11:35.796</v>
      </c>
      <c r="C123" t="str">
        <f t="shared" si="5"/>
        <v>FFDFD3C0</v>
      </c>
      <c r="D123" t="s">
        <v>141</v>
      </c>
      <c r="E123">
        <v>17</v>
      </c>
      <c r="H123">
        <v>256</v>
      </c>
      <c r="I123" t="s">
        <v>142</v>
      </c>
      <c r="J123" t="s">
        <v>143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"20:11:38.109"</f>
        <v>20:11:38.109</v>
      </c>
      <c r="U123" t="str">
        <f t="shared" si="4"/>
        <v>AB01F4</v>
      </c>
      <c r="V123">
        <v>0</v>
      </c>
      <c r="W123">
        <v>0</v>
      </c>
      <c r="X123">
        <v>1</v>
      </c>
      <c r="Z123">
        <v>0</v>
      </c>
      <c r="AA123">
        <v>9</v>
      </c>
      <c r="AB123">
        <v>3</v>
      </c>
      <c r="AC123">
        <v>0</v>
      </c>
      <c r="AD123">
        <v>10</v>
      </c>
      <c r="AE123">
        <v>0</v>
      </c>
      <c r="AF123">
        <v>3</v>
      </c>
      <c r="AG123">
        <v>2</v>
      </c>
      <c r="AH123">
        <v>0</v>
      </c>
      <c r="AI123" t="s">
        <v>220</v>
      </c>
      <c r="AJ123">
        <v>39.503273999999998</v>
      </c>
      <c r="AK123" t="s">
        <v>221</v>
      </c>
      <c r="AL123">
        <v>-92.431691000000001</v>
      </c>
      <c r="AM123">
        <v>100</v>
      </c>
      <c r="AN123">
        <v>1800</v>
      </c>
      <c r="AO123" t="s">
        <v>118</v>
      </c>
      <c r="AP123">
        <v>-59</v>
      </c>
      <c r="AQ123">
        <v>102</v>
      </c>
      <c r="AR123">
        <v>192</v>
      </c>
      <c r="AZ123">
        <v>1200</v>
      </c>
      <c r="BA123">
        <v>1</v>
      </c>
      <c r="BB123" t="str">
        <f t="shared" si="6"/>
        <v xml:space="preserve">N8080G  </v>
      </c>
      <c r="BC123">
        <v>1</v>
      </c>
      <c r="BE123">
        <v>0</v>
      </c>
      <c r="BF123">
        <v>0</v>
      </c>
      <c r="BG123">
        <v>0</v>
      </c>
      <c r="BH123">
        <v>1800</v>
      </c>
      <c r="BI123">
        <v>1</v>
      </c>
      <c r="BJ123">
        <v>1</v>
      </c>
      <c r="BK123">
        <v>1</v>
      </c>
      <c r="BL123">
        <v>0</v>
      </c>
      <c r="BO123">
        <v>0</v>
      </c>
      <c r="BP123">
        <v>0</v>
      </c>
      <c r="BW123" t="str">
        <f>"20:11:38.114"</f>
        <v>20:11:38.114</v>
      </c>
      <c r="CJ123">
        <v>0</v>
      </c>
      <c r="CK123">
        <v>2</v>
      </c>
      <c r="CL123">
        <v>0</v>
      </c>
      <c r="CM123">
        <v>2</v>
      </c>
      <c r="CN123">
        <v>0</v>
      </c>
      <c r="CO123">
        <v>6</v>
      </c>
      <c r="CP123" t="s">
        <v>119</v>
      </c>
      <c r="CQ123">
        <v>559</v>
      </c>
      <c r="CR123">
        <v>0</v>
      </c>
      <c r="CW123">
        <v>10388032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</row>
    <row r="124" spans="1:113" x14ac:dyDescent="0.3">
      <c r="A124" t="str">
        <f>"02/08/2021 20:11:35.796"</f>
        <v>02/08/2021 20:11:35.796</v>
      </c>
      <c r="C124" t="str">
        <f t="shared" si="5"/>
        <v>FFDFD3C0</v>
      </c>
      <c r="D124" t="s">
        <v>113</v>
      </c>
      <c r="E124">
        <v>6</v>
      </c>
      <c r="H124">
        <v>165</v>
      </c>
      <c r="I124" t="s">
        <v>114</v>
      </c>
      <c r="J124" t="s">
        <v>115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"20:11:38.109"</f>
        <v>20:11:38.109</v>
      </c>
      <c r="U124" t="str">
        <f t="shared" si="4"/>
        <v>AB01F4</v>
      </c>
      <c r="V124">
        <v>0</v>
      </c>
      <c r="W124">
        <v>0</v>
      </c>
      <c r="X124">
        <v>1</v>
      </c>
      <c r="Z124">
        <v>0</v>
      </c>
      <c r="AA124">
        <v>9</v>
      </c>
      <c r="AB124">
        <v>3</v>
      </c>
      <c r="AC124">
        <v>0</v>
      </c>
      <c r="AD124">
        <v>10</v>
      </c>
      <c r="AE124">
        <v>0</v>
      </c>
      <c r="AF124">
        <v>3</v>
      </c>
      <c r="AG124">
        <v>2</v>
      </c>
      <c r="AH124">
        <v>0</v>
      </c>
      <c r="AI124" t="s">
        <v>220</v>
      </c>
      <c r="AJ124">
        <v>39.503273999999998</v>
      </c>
      <c r="AK124" t="s">
        <v>221</v>
      </c>
      <c r="AL124">
        <v>-92.431691000000001</v>
      </c>
      <c r="AM124">
        <v>100</v>
      </c>
      <c r="AN124">
        <v>1800</v>
      </c>
      <c r="AO124" t="s">
        <v>118</v>
      </c>
      <c r="AP124">
        <v>-59</v>
      </c>
      <c r="AQ124">
        <v>102</v>
      </c>
      <c r="AR124">
        <v>192</v>
      </c>
      <c r="AZ124">
        <v>1200</v>
      </c>
      <c r="BA124">
        <v>1</v>
      </c>
      <c r="BB124" t="str">
        <f t="shared" si="6"/>
        <v xml:space="preserve">N8080G  </v>
      </c>
      <c r="BC124">
        <v>1</v>
      </c>
      <c r="BE124">
        <v>0</v>
      </c>
      <c r="BF124">
        <v>0</v>
      </c>
      <c r="BG124">
        <v>0</v>
      </c>
      <c r="BH124">
        <v>1800</v>
      </c>
      <c r="BI124">
        <v>1</v>
      </c>
      <c r="BJ124">
        <v>1</v>
      </c>
      <c r="BK124">
        <v>1</v>
      </c>
      <c r="BL124">
        <v>0</v>
      </c>
      <c r="BO124">
        <v>0</v>
      </c>
      <c r="BP124">
        <v>0</v>
      </c>
      <c r="BW124" t="str">
        <f>"20:11:38.114"</f>
        <v>20:11:38.114</v>
      </c>
      <c r="CJ124">
        <v>0</v>
      </c>
      <c r="CK124">
        <v>2</v>
      </c>
      <c r="CL124">
        <v>0</v>
      </c>
      <c r="CM124">
        <v>2</v>
      </c>
      <c r="CN124">
        <v>0</v>
      </c>
      <c r="CO124">
        <v>6</v>
      </c>
      <c r="CP124" t="s">
        <v>119</v>
      </c>
      <c r="CQ124">
        <v>559</v>
      </c>
      <c r="CR124">
        <v>0</v>
      </c>
      <c r="CW124">
        <v>10388032</v>
      </c>
      <c r="CY124">
        <v>0</v>
      </c>
      <c r="CZ124">
        <v>0</v>
      </c>
      <c r="DA124">
        <v>1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</row>
    <row r="125" spans="1:113" x14ac:dyDescent="0.3">
      <c r="A125" t="str">
        <f>"02/08/2021 20:11:35.796"</f>
        <v>02/08/2021 20:11:35.796</v>
      </c>
      <c r="C125" t="str">
        <f t="shared" si="5"/>
        <v>FFDFD3C0</v>
      </c>
      <c r="D125" t="s">
        <v>124</v>
      </c>
      <c r="E125">
        <v>13</v>
      </c>
      <c r="F125">
        <v>1013</v>
      </c>
      <c r="G125" t="s">
        <v>114</v>
      </c>
      <c r="J125" t="s">
        <v>125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"20:11:38.109"</f>
        <v>20:11:38.109</v>
      </c>
      <c r="U125" t="str">
        <f t="shared" si="4"/>
        <v>AB01F4</v>
      </c>
      <c r="V125">
        <v>0</v>
      </c>
      <c r="W125">
        <v>0</v>
      </c>
      <c r="X125">
        <v>1</v>
      </c>
      <c r="Z125">
        <v>0</v>
      </c>
      <c r="AA125">
        <v>9</v>
      </c>
      <c r="AB125">
        <v>3</v>
      </c>
      <c r="AC125">
        <v>0</v>
      </c>
      <c r="AD125">
        <v>10</v>
      </c>
      <c r="AE125">
        <v>0</v>
      </c>
      <c r="AF125">
        <v>3</v>
      </c>
      <c r="AG125">
        <v>2</v>
      </c>
      <c r="AH125">
        <v>0</v>
      </c>
      <c r="AI125" t="s">
        <v>220</v>
      </c>
      <c r="AJ125">
        <v>39.503273999999998</v>
      </c>
      <c r="AK125" t="s">
        <v>221</v>
      </c>
      <c r="AL125">
        <v>-92.431691000000001</v>
      </c>
      <c r="AM125">
        <v>100</v>
      </c>
      <c r="AN125">
        <v>1800</v>
      </c>
      <c r="AO125" t="s">
        <v>118</v>
      </c>
      <c r="AP125">
        <v>-59</v>
      </c>
      <c r="AQ125">
        <v>102</v>
      </c>
      <c r="AR125">
        <v>192</v>
      </c>
      <c r="AZ125">
        <v>1200</v>
      </c>
      <c r="BA125">
        <v>1</v>
      </c>
      <c r="BB125" t="str">
        <f t="shared" si="6"/>
        <v xml:space="preserve">N8080G  </v>
      </c>
      <c r="BC125">
        <v>1</v>
      </c>
      <c r="BE125">
        <v>0</v>
      </c>
      <c r="BF125">
        <v>0</v>
      </c>
      <c r="BG125">
        <v>0</v>
      </c>
      <c r="BH125">
        <v>1800</v>
      </c>
      <c r="BI125">
        <v>1</v>
      </c>
      <c r="BJ125">
        <v>1</v>
      </c>
      <c r="BK125">
        <v>1</v>
      </c>
      <c r="BL125">
        <v>0</v>
      </c>
      <c r="BO125">
        <v>0</v>
      </c>
      <c r="BP125">
        <v>0</v>
      </c>
      <c r="BW125" t="str">
        <f>"20:11:38.114"</f>
        <v>20:11:38.114</v>
      </c>
      <c r="CJ125">
        <v>0</v>
      </c>
      <c r="CK125">
        <v>2</v>
      </c>
      <c r="CL125">
        <v>0</v>
      </c>
      <c r="CM125">
        <v>2</v>
      </c>
      <c r="CN125">
        <v>0</v>
      </c>
      <c r="CO125">
        <v>6</v>
      </c>
      <c r="CP125" t="s">
        <v>119</v>
      </c>
      <c r="CQ125">
        <v>559</v>
      </c>
      <c r="CR125">
        <v>0</v>
      </c>
      <c r="CW125">
        <v>10388032</v>
      </c>
      <c r="CY125">
        <v>0</v>
      </c>
      <c r="CZ125">
        <v>0</v>
      </c>
      <c r="DA125">
        <v>1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</row>
    <row r="126" spans="1:113" x14ac:dyDescent="0.3">
      <c r="A126" t="str">
        <f>"02/08/2021 20:11:36.857"</f>
        <v>02/08/2021 20:11:36.857</v>
      </c>
      <c r="C126" t="str">
        <f t="shared" si="5"/>
        <v>FFDFD3C0</v>
      </c>
      <c r="D126" t="s">
        <v>141</v>
      </c>
      <c r="E126">
        <v>17</v>
      </c>
      <c r="H126">
        <v>256</v>
      </c>
      <c r="I126" t="s">
        <v>142</v>
      </c>
      <c r="J126" t="s">
        <v>143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"20:11:39.172"</f>
        <v>20:11:39.172</v>
      </c>
      <c r="U126" t="str">
        <f t="shared" si="4"/>
        <v>AB01F4</v>
      </c>
      <c r="V126">
        <v>0</v>
      </c>
      <c r="W126">
        <v>0</v>
      </c>
      <c r="X126">
        <v>1</v>
      </c>
      <c r="Z126">
        <v>0</v>
      </c>
      <c r="AA126">
        <v>9</v>
      </c>
      <c r="AB126">
        <v>3</v>
      </c>
      <c r="AC126">
        <v>0</v>
      </c>
      <c r="AD126">
        <v>10</v>
      </c>
      <c r="AE126">
        <v>0</v>
      </c>
      <c r="AF126">
        <v>3</v>
      </c>
      <c r="AG126">
        <v>2</v>
      </c>
      <c r="AH126">
        <v>0</v>
      </c>
      <c r="AI126" t="s">
        <v>222</v>
      </c>
      <c r="AJ126">
        <v>39.503725000000003</v>
      </c>
      <c r="AK126" t="s">
        <v>223</v>
      </c>
      <c r="AL126">
        <v>-92.432034000000002</v>
      </c>
      <c r="AM126">
        <v>100</v>
      </c>
      <c r="AN126">
        <v>1800</v>
      </c>
      <c r="AO126" t="s">
        <v>118</v>
      </c>
      <c r="AP126">
        <v>-60</v>
      </c>
      <c r="AQ126">
        <v>102</v>
      </c>
      <c r="AR126">
        <v>256</v>
      </c>
      <c r="AZ126">
        <v>1200</v>
      </c>
      <c r="BA126">
        <v>1</v>
      </c>
      <c r="BB126" t="str">
        <f t="shared" si="6"/>
        <v xml:space="preserve">N8080G  </v>
      </c>
      <c r="BC126">
        <v>1</v>
      </c>
      <c r="BE126">
        <v>0</v>
      </c>
      <c r="BF126">
        <v>0</v>
      </c>
      <c r="BG126">
        <v>0</v>
      </c>
      <c r="BH126">
        <v>1800</v>
      </c>
      <c r="BI126">
        <v>1</v>
      </c>
      <c r="BJ126">
        <v>1</v>
      </c>
      <c r="BK126">
        <v>1</v>
      </c>
      <c r="BL126">
        <v>0</v>
      </c>
      <c r="BO126">
        <v>0</v>
      </c>
      <c r="BP126">
        <v>0</v>
      </c>
      <c r="BW126" t="str">
        <f>"20:11:39.178"</f>
        <v>20:11:39.178</v>
      </c>
      <c r="CJ126">
        <v>0</v>
      </c>
      <c r="CK126">
        <v>2</v>
      </c>
      <c r="CL126">
        <v>0</v>
      </c>
      <c r="CM126">
        <v>2</v>
      </c>
      <c r="CN126">
        <v>0</v>
      </c>
      <c r="CO126">
        <v>6</v>
      </c>
      <c r="CP126" t="s">
        <v>119</v>
      </c>
      <c r="CQ126">
        <v>559</v>
      </c>
      <c r="CR126">
        <v>0</v>
      </c>
      <c r="CW126">
        <v>10388198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</row>
    <row r="127" spans="1:113" x14ac:dyDescent="0.3">
      <c r="A127" t="str">
        <f>"02/08/2021 20:11:36.857"</f>
        <v>02/08/2021 20:11:36.857</v>
      </c>
      <c r="C127" t="str">
        <f t="shared" si="5"/>
        <v>FFDFD3C0</v>
      </c>
      <c r="D127" t="s">
        <v>113</v>
      </c>
      <c r="E127">
        <v>6</v>
      </c>
      <c r="H127">
        <v>165</v>
      </c>
      <c r="I127" t="s">
        <v>114</v>
      </c>
      <c r="J127" t="s">
        <v>115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"20:11:39.172"</f>
        <v>20:11:39.172</v>
      </c>
      <c r="U127" t="str">
        <f t="shared" si="4"/>
        <v>AB01F4</v>
      </c>
      <c r="V127">
        <v>0</v>
      </c>
      <c r="W127">
        <v>0</v>
      </c>
      <c r="X127">
        <v>1</v>
      </c>
      <c r="Z127">
        <v>0</v>
      </c>
      <c r="AA127">
        <v>9</v>
      </c>
      <c r="AB127">
        <v>3</v>
      </c>
      <c r="AC127">
        <v>0</v>
      </c>
      <c r="AD127">
        <v>10</v>
      </c>
      <c r="AE127">
        <v>0</v>
      </c>
      <c r="AF127">
        <v>3</v>
      </c>
      <c r="AG127">
        <v>2</v>
      </c>
      <c r="AH127">
        <v>0</v>
      </c>
      <c r="AI127" t="s">
        <v>222</v>
      </c>
      <c r="AJ127">
        <v>39.503725000000003</v>
      </c>
      <c r="AK127" t="s">
        <v>223</v>
      </c>
      <c r="AL127">
        <v>-92.432034000000002</v>
      </c>
      <c r="AM127">
        <v>100</v>
      </c>
      <c r="AN127">
        <v>1800</v>
      </c>
      <c r="AO127" t="s">
        <v>118</v>
      </c>
      <c r="AP127">
        <v>-60</v>
      </c>
      <c r="AQ127">
        <v>102</v>
      </c>
      <c r="AR127">
        <v>256</v>
      </c>
      <c r="AZ127">
        <v>1200</v>
      </c>
      <c r="BA127">
        <v>1</v>
      </c>
      <c r="BB127" t="str">
        <f t="shared" si="6"/>
        <v xml:space="preserve">N8080G  </v>
      </c>
      <c r="BC127">
        <v>1</v>
      </c>
      <c r="BE127">
        <v>0</v>
      </c>
      <c r="BF127">
        <v>0</v>
      </c>
      <c r="BG127">
        <v>0</v>
      </c>
      <c r="BH127">
        <v>1800</v>
      </c>
      <c r="BI127">
        <v>1</v>
      </c>
      <c r="BJ127">
        <v>1</v>
      </c>
      <c r="BK127">
        <v>1</v>
      </c>
      <c r="BL127">
        <v>0</v>
      </c>
      <c r="BO127">
        <v>0</v>
      </c>
      <c r="BP127">
        <v>0</v>
      </c>
      <c r="BW127" t="str">
        <f>"20:11:39.178"</f>
        <v>20:11:39.178</v>
      </c>
      <c r="CJ127">
        <v>0</v>
      </c>
      <c r="CK127">
        <v>2</v>
      </c>
      <c r="CL127">
        <v>0</v>
      </c>
      <c r="CM127">
        <v>2</v>
      </c>
      <c r="CN127">
        <v>0</v>
      </c>
      <c r="CO127">
        <v>6</v>
      </c>
      <c r="CP127" t="s">
        <v>119</v>
      </c>
      <c r="CQ127">
        <v>559</v>
      </c>
      <c r="CR127">
        <v>0</v>
      </c>
      <c r="CW127">
        <v>10388198</v>
      </c>
      <c r="CY127">
        <v>0</v>
      </c>
      <c r="CZ127">
        <v>0</v>
      </c>
      <c r="DA127">
        <v>1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</row>
    <row r="128" spans="1:113" x14ac:dyDescent="0.3">
      <c r="A128" t="str">
        <f>"02/08/2021 20:11:36.857"</f>
        <v>02/08/2021 20:11:36.857</v>
      </c>
      <c r="C128" t="str">
        <f t="shared" si="5"/>
        <v>FFDFD3C0</v>
      </c>
      <c r="D128" t="s">
        <v>124</v>
      </c>
      <c r="E128">
        <v>13</v>
      </c>
      <c r="F128">
        <v>1013</v>
      </c>
      <c r="G128" t="s">
        <v>114</v>
      </c>
      <c r="J128" t="s">
        <v>125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"20:11:39.172"</f>
        <v>20:11:39.172</v>
      </c>
      <c r="U128" t="str">
        <f t="shared" si="4"/>
        <v>AB01F4</v>
      </c>
      <c r="V128">
        <v>0</v>
      </c>
      <c r="W128">
        <v>0</v>
      </c>
      <c r="X128">
        <v>1</v>
      </c>
      <c r="Z128">
        <v>0</v>
      </c>
      <c r="AA128">
        <v>9</v>
      </c>
      <c r="AB128">
        <v>3</v>
      </c>
      <c r="AC128">
        <v>0</v>
      </c>
      <c r="AD128">
        <v>10</v>
      </c>
      <c r="AE128">
        <v>0</v>
      </c>
      <c r="AF128">
        <v>3</v>
      </c>
      <c r="AG128">
        <v>2</v>
      </c>
      <c r="AH128">
        <v>0</v>
      </c>
      <c r="AI128" t="s">
        <v>222</v>
      </c>
      <c r="AJ128">
        <v>39.503725000000003</v>
      </c>
      <c r="AK128" t="s">
        <v>223</v>
      </c>
      <c r="AL128">
        <v>-92.432034000000002</v>
      </c>
      <c r="AM128">
        <v>100</v>
      </c>
      <c r="AN128">
        <v>1800</v>
      </c>
      <c r="AO128" t="s">
        <v>118</v>
      </c>
      <c r="AP128">
        <v>-60</v>
      </c>
      <c r="AQ128">
        <v>102</v>
      </c>
      <c r="AR128">
        <v>256</v>
      </c>
      <c r="AZ128">
        <v>1200</v>
      </c>
      <c r="BA128">
        <v>1</v>
      </c>
      <c r="BB128" t="str">
        <f t="shared" si="6"/>
        <v xml:space="preserve">N8080G  </v>
      </c>
      <c r="BC128">
        <v>1</v>
      </c>
      <c r="BE128">
        <v>0</v>
      </c>
      <c r="BF128">
        <v>0</v>
      </c>
      <c r="BG128">
        <v>0</v>
      </c>
      <c r="BH128">
        <v>1800</v>
      </c>
      <c r="BI128">
        <v>1</v>
      </c>
      <c r="BJ128">
        <v>1</v>
      </c>
      <c r="BK128">
        <v>1</v>
      </c>
      <c r="BL128">
        <v>0</v>
      </c>
      <c r="BO128">
        <v>0</v>
      </c>
      <c r="BP128">
        <v>0</v>
      </c>
      <c r="BW128" t="str">
        <f>"20:11:39.178"</f>
        <v>20:11:39.178</v>
      </c>
      <c r="CJ128">
        <v>0</v>
      </c>
      <c r="CK128">
        <v>2</v>
      </c>
      <c r="CL128">
        <v>0</v>
      </c>
      <c r="CM128">
        <v>2</v>
      </c>
      <c r="CN128">
        <v>0</v>
      </c>
      <c r="CO128">
        <v>6</v>
      </c>
      <c r="CP128" t="s">
        <v>119</v>
      </c>
      <c r="CQ128">
        <v>559</v>
      </c>
      <c r="CR128">
        <v>0</v>
      </c>
      <c r="CW128">
        <v>10388198</v>
      </c>
      <c r="CY128">
        <v>0</v>
      </c>
      <c r="CZ128">
        <v>0</v>
      </c>
      <c r="DA128">
        <v>1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</row>
    <row r="129" spans="1:113" x14ac:dyDescent="0.3">
      <c r="A129" t="str">
        <f>"02/08/2021 20:11:37.816"</f>
        <v>02/08/2021 20:11:37.816</v>
      </c>
      <c r="C129" t="str">
        <f t="shared" si="5"/>
        <v>FFDFD3C0</v>
      </c>
      <c r="D129" t="s">
        <v>141</v>
      </c>
      <c r="E129">
        <v>17</v>
      </c>
      <c r="H129">
        <v>256</v>
      </c>
      <c r="I129" t="s">
        <v>142</v>
      </c>
      <c r="J129" t="s">
        <v>143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"20:11:40.156"</f>
        <v>20:11:40.156</v>
      </c>
      <c r="U129" t="str">
        <f t="shared" si="4"/>
        <v>AB01F4</v>
      </c>
      <c r="V129">
        <v>0</v>
      </c>
      <c r="W129">
        <v>0</v>
      </c>
      <c r="X129">
        <v>1</v>
      </c>
      <c r="Z129">
        <v>0</v>
      </c>
      <c r="AA129">
        <v>9</v>
      </c>
      <c r="AB129">
        <v>3</v>
      </c>
      <c r="AC129">
        <v>0</v>
      </c>
      <c r="AD129">
        <v>10</v>
      </c>
      <c r="AE129">
        <v>0</v>
      </c>
      <c r="AF129">
        <v>3</v>
      </c>
      <c r="AG129">
        <v>2</v>
      </c>
      <c r="AH129">
        <v>0</v>
      </c>
      <c r="AI129" t="s">
        <v>224</v>
      </c>
      <c r="AJ129">
        <v>39.504218000000002</v>
      </c>
      <c r="AK129" t="s">
        <v>225</v>
      </c>
      <c r="AL129">
        <v>-92.432399000000004</v>
      </c>
      <c r="AM129">
        <v>100</v>
      </c>
      <c r="AN129">
        <v>1800</v>
      </c>
      <c r="AO129" t="s">
        <v>118</v>
      </c>
      <c r="AP129">
        <v>-62</v>
      </c>
      <c r="AQ129">
        <v>102</v>
      </c>
      <c r="AR129">
        <v>192</v>
      </c>
      <c r="AZ129">
        <v>1200</v>
      </c>
      <c r="BA129">
        <v>1</v>
      </c>
      <c r="BB129" t="str">
        <f t="shared" si="6"/>
        <v xml:space="preserve">N8080G  </v>
      </c>
      <c r="BC129">
        <v>1</v>
      </c>
      <c r="BE129">
        <v>0</v>
      </c>
      <c r="BF129">
        <v>0</v>
      </c>
      <c r="BG129">
        <v>0</v>
      </c>
      <c r="BH129">
        <v>1800</v>
      </c>
      <c r="BI129">
        <v>1</v>
      </c>
      <c r="BJ129">
        <v>1</v>
      </c>
      <c r="BK129">
        <v>1</v>
      </c>
      <c r="BL129">
        <v>0</v>
      </c>
      <c r="BO129">
        <v>0</v>
      </c>
      <c r="BP129">
        <v>0</v>
      </c>
      <c r="BW129" t="str">
        <f>"20:11:40.159"</f>
        <v>20:11:40.159</v>
      </c>
      <c r="CJ129">
        <v>0</v>
      </c>
      <c r="CK129">
        <v>2</v>
      </c>
      <c r="CL129">
        <v>0</v>
      </c>
      <c r="CM129">
        <v>2</v>
      </c>
      <c r="CN129">
        <v>0</v>
      </c>
      <c r="CO129">
        <v>6</v>
      </c>
      <c r="CP129" t="s">
        <v>119</v>
      </c>
      <c r="CQ129">
        <v>559</v>
      </c>
      <c r="CR129">
        <v>0</v>
      </c>
      <c r="CW129">
        <v>10388353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</row>
    <row r="130" spans="1:113" x14ac:dyDescent="0.3">
      <c r="A130" t="str">
        <f>"02/08/2021 20:11:37.816"</f>
        <v>02/08/2021 20:11:37.816</v>
      </c>
      <c r="C130" t="str">
        <f t="shared" si="5"/>
        <v>FFDFD3C0</v>
      </c>
      <c r="D130" t="s">
        <v>113</v>
      </c>
      <c r="E130">
        <v>6</v>
      </c>
      <c r="H130">
        <v>165</v>
      </c>
      <c r="I130" t="s">
        <v>114</v>
      </c>
      <c r="J130" t="s">
        <v>115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"20:11:40.156"</f>
        <v>20:11:40.156</v>
      </c>
      <c r="U130" t="str">
        <f t="shared" ref="U130:U193" si="7">"AB01F4"</f>
        <v>AB01F4</v>
      </c>
      <c r="V130">
        <v>0</v>
      </c>
      <c r="W130">
        <v>0</v>
      </c>
      <c r="X130">
        <v>1</v>
      </c>
      <c r="Z130">
        <v>0</v>
      </c>
      <c r="AA130">
        <v>9</v>
      </c>
      <c r="AB130">
        <v>3</v>
      </c>
      <c r="AC130">
        <v>0</v>
      </c>
      <c r="AD130">
        <v>10</v>
      </c>
      <c r="AE130">
        <v>0</v>
      </c>
      <c r="AF130">
        <v>3</v>
      </c>
      <c r="AG130">
        <v>2</v>
      </c>
      <c r="AH130">
        <v>0</v>
      </c>
      <c r="AI130" t="s">
        <v>224</v>
      </c>
      <c r="AJ130">
        <v>39.504218000000002</v>
      </c>
      <c r="AK130" t="s">
        <v>225</v>
      </c>
      <c r="AL130">
        <v>-92.432399000000004</v>
      </c>
      <c r="AM130">
        <v>100</v>
      </c>
      <c r="AN130">
        <v>1800</v>
      </c>
      <c r="AO130" t="s">
        <v>118</v>
      </c>
      <c r="AP130">
        <v>-62</v>
      </c>
      <c r="AQ130">
        <v>102</v>
      </c>
      <c r="AR130">
        <v>192</v>
      </c>
      <c r="AZ130">
        <v>1200</v>
      </c>
      <c r="BA130">
        <v>1</v>
      </c>
      <c r="BB130" t="str">
        <f t="shared" si="6"/>
        <v xml:space="preserve">N8080G  </v>
      </c>
      <c r="BC130">
        <v>1</v>
      </c>
      <c r="BE130">
        <v>0</v>
      </c>
      <c r="BF130">
        <v>0</v>
      </c>
      <c r="BG130">
        <v>0</v>
      </c>
      <c r="BH130">
        <v>1800</v>
      </c>
      <c r="BI130">
        <v>1</v>
      </c>
      <c r="BJ130">
        <v>1</v>
      </c>
      <c r="BK130">
        <v>1</v>
      </c>
      <c r="BL130">
        <v>0</v>
      </c>
      <c r="BO130">
        <v>0</v>
      </c>
      <c r="BP130">
        <v>0</v>
      </c>
      <c r="BW130" t="str">
        <f>"20:11:40.159"</f>
        <v>20:11:40.159</v>
      </c>
      <c r="CJ130">
        <v>0</v>
      </c>
      <c r="CK130">
        <v>2</v>
      </c>
      <c r="CL130">
        <v>0</v>
      </c>
      <c r="CM130">
        <v>2</v>
      </c>
      <c r="CN130">
        <v>0</v>
      </c>
      <c r="CO130">
        <v>6</v>
      </c>
      <c r="CP130" t="s">
        <v>119</v>
      </c>
      <c r="CQ130">
        <v>559</v>
      </c>
      <c r="CR130">
        <v>0</v>
      </c>
      <c r="CW130">
        <v>10388353</v>
      </c>
      <c r="CY130">
        <v>0</v>
      </c>
      <c r="CZ130">
        <v>0</v>
      </c>
      <c r="DA130">
        <v>1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</row>
    <row r="131" spans="1:113" x14ac:dyDescent="0.3">
      <c r="A131" t="str">
        <f>"02/08/2021 20:11:37.816"</f>
        <v>02/08/2021 20:11:37.816</v>
      </c>
      <c r="C131" t="str">
        <f t="shared" si="5"/>
        <v>FFDFD3C0</v>
      </c>
      <c r="D131" t="s">
        <v>124</v>
      </c>
      <c r="E131">
        <v>13</v>
      </c>
      <c r="F131">
        <v>1013</v>
      </c>
      <c r="G131" t="s">
        <v>114</v>
      </c>
      <c r="J131" t="s">
        <v>125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"20:11:40.156"</f>
        <v>20:11:40.156</v>
      </c>
      <c r="U131" t="str">
        <f t="shared" si="7"/>
        <v>AB01F4</v>
      </c>
      <c r="V131">
        <v>0</v>
      </c>
      <c r="W131">
        <v>0</v>
      </c>
      <c r="X131">
        <v>1</v>
      </c>
      <c r="Z131">
        <v>0</v>
      </c>
      <c r="AA131">
        <v>9</v>
      </c>
      <c r="AB131">
        <v>3</v>
      </c>
      <c r="AC131">
        <v>0</v>
      </c>
      <c r="AD131">
        <v>10</v>
      </c>
      <c r="AE131">
        <v>0</v>
      </c>
      <c r="AF131">
        <v>3</v>
      </c>
      <c r="AG131">
        <v>2</v>
      </c>
      <c r="AH131">
        <v>0</v>
      </c>
      <c r="AI131" t="s">
        <v>224</v>
      </c>
      <c r="AJ131">
        <v>39.504218000000002</v>
      </c>
      <c r="AK131" t="s">
        <v>225</v>
      </c>
      <c r="AL131">
        <v>-92.432399000000004</v>
      </c>
      <c r="AM131">
        <v>100</v>
      </c>
      <c r="AN131">
        <v>1800</v>
      </c>
      <c r="AO131" t="s">
        <v>118</v>
      </c>
      <c r="AP131">
        <v>-62</v>
      </c>
      <c r="AQ131">
        <v>102</v>
      </c>
      <c r="AR131">
        <v>192</v>
      </c>
      <c r="AZ131">
        <v>1200</v>
      </c>
      <c r="BA131">
        <v>1</v>
      </c>
      <c r="BB131" t="str">
        <f t="shared" si="6"/>
        <v xml:space="preserve">N8080G  </v>
      </c>
      <c r="BC131">
        <v>1</v>
      </c>
      <c r="BE131">
        <v>0</v>
      </c>
      <c r="BF131">
        <v>0</v>
      </c>
      <c r="BG131">
        <v>0</v>
      </c>
      <c r="BH131">
        <v>1800</v>
      </c>
      <c r="BI131">
        <v>1</v>
      </c>
      <c r="BJ131">
        <v>1</v>
      </c>
      <c r="BK131">
        <v>1</v>
      </c>
      <c r="BL131">
        <v>0</v>
      </c>
      <c r="BO131">
        <v>0</v>
      </c>
      <c r="BP131">
        <v>0</v>
      </c>
      <c r="BW131" t="str">
        <f>"20:11:40.159"</f>
        <v>20:11:40.159</v>
      </c>
      <c r="CJ131">
        <v>0</v>
      </c>
      <c r="CK131">
        <v>2</v>
      </c>
      <c r="CL131">
        <v>0</v>
      </c>
      <c r="CM131">
        <v>2</v>
      </c>
      <c r="CN131">
        <v>0</v>
      </c>
      <c r="CO131">
        <v>6</v>
      </c>
      <c r="CP131" t="s">
        <v>119</v>
      </c>
      <c r="CQ131">
        <v>559</v>
      </c>
      <c r="CR131">
        <v>0</v>
      </c>
      <c r="CW131">
        <v>10388353</v>
      </c>
      <c r="CY131">
        <v>0</v>
      </c>
      <c r="CZ131">
        <v>0</v>
      </c>
      <c r="DA131">
        <v>1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</row>
    <row r="132" spans="1:113" x14ac:dyDescent="0.3">
      <c r="A132" t="str">
        <f>"02/08/2021 20:11:38.883"</f>
        <v>02/08/2021 20:11:38.883</v>
      </c>
      <c r="C132" t="str">
        <f t="shared" si="5"/>
        <v>FFDFD3C0</v>
      </c>
      <c r="D132" t="s">
        <v>113</v>
      </c>
      <c r="E132">
        <v>6</v>
      </c>
      <c r="H132">
        <v>165</v>
      </c>
      <c r="I132" t="s">
        <v>114</v>
      </c>
      <c r="J132" t="s">
        <v>115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"20:11:41.234"</f>
        <v>20:11:41.234</v>
      </c>
      <c r="T132" t="str">
        <f>"20:11:40.834"</f>
        <v>20:11:40.834</v>
      </c>
      <c r="U132" t="str">
        <f t="shared" si="7"/>
        <v>AB01F4</v>
      </c>
      <c r="V132">
        <v>0</v>
      </c>
      <c r="W132">
        <v>0</v>
      </c>
      <c r="X132">
        <v>1</v>
      </c>
      <c r="Z132">
        <v>0</v>
      </c>
      <c r="AA132">
        <v>9</v>
      </c>
      <c r="AB132">
        <v>3</v>
      </c>
      <c r="AC132">
        <v>0</v>
      </c>
      <c r="AD132">
        <v>10</v>
      </c>
      <c r="AE132">
        <v>0</v>
      </c>
      <c r="AF132">
        <v>0</v>
      </c>
      <c r="AG132">
        <v>2</v>
      </c>
      <c r="AH132">
        <v>0</v>
      </c>
      <c r="AI132" t="s">
        <v>226</v>
      </c>
      <c r="AJ132">
        <v>39.504733000000002</v>
      </c>
      <c r="AK132" t="s">
        <v>227</v>
      </c>
      <c r="AL132">
        <v>-92.432871000000006</v>
      </c>
      <c r="AM132">
        <v>100</v>
      </c>
      <c r="AN132">
        <v>1800</v>
      </c>
      <c r="AO132" t="s">
        <v>118</v>
      </c>
      <c r="AP132">
        <v>-63</v>
      </c>
      <c r="AQ132">
        <v>102</v>
      </c>
      <c r="AR132">
        <v>192</v>
      </c>
      <c r="AZ132">
        <v>1200</v>
      </c>
      <c r="BA132">
        <v>1</v>
      </c>
      <c r="BB132" t="str">
        <f t="shared" si="6"/>
        <v xml:space="preserve">N8080G  </v>
      </c>
      <c r="BC132">
        <v>1</v>
      </c>
      <c r="BE132">
        <v>0</v>
      </c>
      <c r="BF132">
        <v>0</v>
      </c>
      <c r="BG132">
        <v>0</v>
      </c>
      <c r="BH132">
        <v>1800</v>
      </c>
      <c r="BI132">
        <v>1</v>
      </c>
      <c r="BJ132">
        <v>1</v>
      </c>
      <c r="BK132">
        <v>1</v>
      </c>
      <c r="BL132">
        <v>0</v>
      </c>
      <c r="BO132">
        <v>0</v>
      </c>
      <c r="BP132">
        <v>0</v>
      </c>
      <c r="BW132" t="str">
        <f>"20:11:41.235"</f>
        <v>20:11:41.235</v>
      </c>
      <c r="CJ132">
        <v>0</v>
      </c>
      <c r="CK132">
        <v>2</v>
      </c>
      <c r="CL132">
        <v>0</v>
      </c>
      <c r="CM132">
        <v>2</v>
      </c>
      <c r="CN132">
        <v>0</v>
      </c>
      <c r="CO132">
        <v>5</v>
      </c>
      <c r="CP132" t="s">
        <v>119</v>
      </c>
      <c r="CQ132">
        <v>559</v>
      </c>
      <c r="CR132">
        <v>0</v>
      </c>
      <c r="CW132">
        <v>10388523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</row>
    <row r="133" spans="1:113" x14ac:dyDescent="0.3">
      <c r="A133" t="str">
        <f>"02/08/2021 20:11:38.883"</f>
        <v>02/08/2021 20:11:38.883</v>
      </c>
      <c r="C133" t="str">
        <f t="shared" si="5"/>
        <v>FFDFD3C0</v>
      </c>
      <c r="D133" t="s">
        <v>124</v>
      </c>
      <c r="E133">
        <v>13</v>
      </c>
      <c r="F133">
        <v>1013</v>
      </c>
      <c r="G133" t="s">
        <v>114</v>
      </c>
      <c r="J133" t="s">
        <v>125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"20:11:41.234"</f>
        <v>20:11:41.234</v>
      </c>
      <c r="T133" t="str">
        <f>"20:11:40.834"</f>
        <v>20:11:40.834</v>
      </c>
      <c r="U133" t="str">
        <f t="shared" si="7"/>
        <v>AB01F4</v>
      </c>
      <c r="V133">
        <v>0</v>
      </c>
      <c r="W133">
        <v>0</v>
      </c>
      <c r="X133">
        <v>1</v>
      </c>
      <c r="Z133">
        <v>0</v>
      </c>
      <c r="AA133">
        <v>9</v>
      </c>
      <c r="AB133">
        <v>3</v>
      </c>
      <c r="AC133">
        <v>0</v>
      </c>
      <c r="AD133">
        <v>10</v>
      </c>
      <c r="AE133">
        <v>0</v>
      </c>
      <c r="AF133">
        <v>0</v>
      </c>
      <c r="AG133">
        <v>2</v>
      </c>
      <c r="AH133">
        <v>0</v>
      </c>
      <c r="AI133" t="s">
        <v>226</v>
      </c>
      <c r="AJ133">
        <v>39.504733000000002</v>
      </c>
      <c r="AK133" t="s">
        <v>227</v>
      </c>
      <c r="AL133">
        <v>-92.432871000000006</v>
      </c>
      <c r="AM133">
        <v>100</v>
      </c>
      <c r="AN133">
        <v>1800</v>
      </c>
      <c r="AO133" t="s">
        <v>118</v>
      </c>
      <c r="AP133">
        <v>-63</v>
      </c>
      <c r="AQ133">
        <v>102</v>
      </c>
      <c r="AR133">
        <v>192</v>
      </c>
      <c r="AZ133">
        <v>1200</v>
      </c>
      <c r="BA133">
        <v>1</v>
      </c>
      <c r="BB133" t="str">
        <f t="shared" si="6"/>
        <v xml:space="preserve">N8080G  </v>
      </c>
      <c r="BC133">
        <v>1</v>
      </c>
      <c r="BE133">
        <v>0</v>
      </c>
      <c r="BF133">
        <v>0</v>
      </c>
      <c r="BG133">
        <v>0</v>
      </c>
      <c r="BH133">
        <v>1800</v>
      </c>
      <c r="BI133">
        <v>1</v>
      </c>
      <c r="BJ133">
        <v>1</v>
      </c>
      <c r="BK133">
        <v>1</v>
      </c>
      <c r="BL133">
        <v>0</v>
      </c>
      <c r="BO133">
        <v>0</v>
      </c>
      <c r="BP133">
        <v>0</v>
      </c>
      <c r="BW133" t="str">
        <f>"20:11:41.235"</f>
        <v>20:11:41.235</v>
      </c>
      <c r="CJ133">
        <v>0</v>
      </c>
      <c r="CK133">
        <v>2</v>
      </c>
      <c r="CL133">
        <v>0</v>
      </c>
      <c r="CM133">
        <v>2</v>
      </c>
      <c r="CN133">
        <v>0</v>
      </c>
      <c r="CO133">
        <v>5</v>
      </c>
      <c r="CP133" t="s">
        <v>119</v>
      </c>
      <c r="CQ133">
        <v>559</v>
      </c>
      <c r="CR133">
        <v>0</v>
      </c>
      <c r="CW133">
        <v>10388523</v>
      </c>
      <c r="CY133">
        <v>0</v>
      </c>
      <c r="CZ133">
        <v>0</v>
      </c>
      <c r="DA133">
        <v>1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</row>
    <row r="134" spans="1:113" x14ac:dyDescent="0.3">
      <c r="A134" t="str">
        <f>"02/08/2021 20:11:38.883"</f>
        <v>02/08/2021 20:11:38.883</v>
      </c>
      <c r="C134" t="str">
        <f t="shared" si="5"/>
        <v>FFDFD3C0</v>
      </c>
      <c r="D134" t="s">
        <v>141</v>
      </c>
      <c r="E134">
        <v>17</v>
      </c>
      <c r="H134">
        <v>256</v>
      </c>
      <c r="I134" t="s">
        <v>142</v>
      </c>
      <c r="J134" t="s">
        <v>143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>"20:11:41.234"</f>
        <v>20:11:41.234</v>
      </c>
      <c r="T134" t="str">
        <f>"20:11:40.834"</f>
        <v>20:11:40.834</v>
      </c>
      <c r="U134" t="str">
        <f t="shared" si="7"/>
        <v>AB01F4</v>
      </c>
      <c r="V134">
        <v>0</v>
      </c>
      <c r="W134">
        <v>0</v>
      </c>
      <c r="X134">
        <v>1</v>
      </c>
      <c r="Z134">
        <v>0</v>
      </c>
      <c r="AA134">
        <v>9</v>
      </c>
      <c r="AB134">
        <v>3</v>
      </c>
      <c r="AC134">
        <v>0</v>
      </c>
      <c r="AD134">
        <v>10</v>
      </c>
      <c r="AE134">
        <v>0</v>
      </c>
      <c r="AF134">
        <v>0</v>
      </c>
      <c r="AG134">
        <v>2</v>
      </c>
      <c r="AH134">
        <v>0</v>
      </c>
      <c r="AI134" t="s">
        <v>226</v>
      </c>
      <c r="AJ134">
        <v>39.504733000000002</v>
      </c>
      <c r="AK134" t="s">
        <v>227</v>
      </c>
      <c r="AL134">
        <v>-92.432871000000006</v>
      </c>
      <c r="AM134">
        <v>100</v>
      </c>
      <c r="AN134">
        <v>1800</v>
      </c>
      <c r="AO134" t="s">
        <v>118</v>
      </c>
      <c r="AP134">
        <v>-63</v>
      </c>
      <c r="AQ134">
        <v>102</v>
      </c>
      <c r="AR134">
        <v>192</v>
      </c>
      <c r="AZ134">
        <v>1200</v>
      </c>
      <c r="BA134">
        <v>1</v>
      </c>
      <c r="BB134" t="str">
        <f t="shared" si="6"/>
        <v xml:space="preserve">N8080G  </v>
      </c>
      <c r="BC134">
        <v>1</v>
      </c>
      <c r="BE134">
        <v>0</v>
      </c>
      <c r="BF134">
        <v>0</v>
      </c>
      <c r="BG134">
        <v>0</v>
      </c>
      <c r="BH134">
        <v>1800</v>
      </c>
      <c r="BI134">
        <v>1</v>
      </c>
      <c r="BJ134">
        <v>1</v>
      </c>
      <c r="BK134">
        <v>1</v>
      </c>
      <c r="BL134">
        <v>0</v>
      </c>
      <c r="BO134">
        <v>0</v>
      </c>
      <c r="BP134">
        <v>0</v>
      </c>
      <c r="BW134" t="str">
        <f>"20:11:41.235"</f>
        <v>20:11:41.235</v>
      </c>
      <c r="CJ134">
        <v>0</v>
      </c>
      <c r="CK134">
        <v>2</v>
      </c>
      <c r="CL134">
        <v>0</v>
      </c>
      <c r="CM134">
        <v>2</v>
      </c>
      <c r="CN134">
        <v>0</v>
      </c>
      <c r="CO134">
        <v>5</v>
      </c>
      <c r="CP134" t="s">
        <v>119</v>
      </c>
      <c r="CQ134">
        <v>559</v>
      </c>
      <c r="CR134">
        <v>0</v>
      </c>
      <c r="CW134">
        <v>10388523</v>
      </c>
      <c r="CY134">
        <v>0</v>
      </c>
      <c r="CZ134">
        <v>0</v>
      </c>
      <c r="DA134">
        <v>1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</row>
    <row r="135" spans="1:113" x14ac:dyDescent="0.3">
      <c r="A135" t="str">
        <f>"02/08/2021 20:11:41.832"</f>
        <v>02/08/2021 20:11:41.832</v>
      </c>
      <c r="C135" t="str">
        <f t="shared" si="5"/>
        <v>FFDFD3C0</v>
      </c>
      <c r="D135" t="s">
        <v>124</v>
      </c>
      <c r="E135">
        <v>13</v>
      </c>
      <c r="F135">
        <v>1013</v>
      </c>
      <c r="G135" t="s">
        <v>114</v>
      </c>
      <c r="J135" t="s">
        <v>125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>"20:11:44.164"</f>
        <v>20:11:44.164</v>
      </c>
      <c r="T135" t="str">
        <f>"20:11:43.664"</f>
        <v>20:11:43.664</v>
      </c>
      <c r="U135" t="str">
        <f t="shared" si="7"/>
        <v>AB01F4</v>
      </c>
      <c r="V135">
        <v>0</v>
      </c>
      <c r="W135">
        <v>0</v>
      </c>
      <c r="X135">
        <v>1</v>
      </c>
      <c r="Z135">
        <v>0</v>
      </c>
      <c r="AA135">
        <v>9</v>
      </c>
      <c r="AB135">
        <v>3</v>
      </c>
      <c r="AC135">
        <v>0</v>
      </c>
      <c r="AD135">
        <v>10</v>
      </c>
      <c r="AE135">
        <v>0</v>
      </c>
      <c r="AF135">
        <v>0</v>
      </c>
      <c r="AG135">
        <v>2</v>
      </c>
      <c r="AH135">
        <v>0</v>
      </c>
      <c r="AI135" t="s">
        <v>228</v>
      </c>
      <c r="AJ135">
        <v>39.506106000000003</v>
      </c>
      <c r="AK135" t="s">
        <v>229</v>
      </c>
      <c r="AL135">
        <v>-92.434008000000006</v>
      </c>
      <c r="AM135">
        <v>100</v>
      </c>
      <c r="AN135">
        <v>1800</v>
      </c>
      <c r="AO135" t="s">
        <v>118</v>
      </c>
      <c r="AP135">
        <v>-69</v>
      </c>
      <c r="AQ135">
        <v>102</v>
      </c>
      <c r="AR135">
        <v>192</v>
      </c>
      <c r="AZ135">
        <v>1200</v>
      </c>
      <c r="BA135">
        <v>1</v>
      </c>
      <c r="BB135" t="str">
        <f t="shared" si="6"/>
        <v xml:space="preserve">N8080G  </v>
      </c>
      <c r="BC135">
        <v>1</v>
      </c>
      <c r="BE135">
        <v>0</v>
      </c>
      <c r="BF135">
        <v>0</v>
      </c>
      <c r="BG135">
        <v>0</v>
      </c>
      <c r="BH135">
        <v>1800</v>
      </c>
      <c r="BI135">
        <v>1</v>
      </c>
      <c r="BJ135">
        <v>1</v>
      </c>
      <c r="BK135">
        <v>1</v>
      </c>
      <c r="BL135">
        <v>0</v>
      </c>
      <c r="BO135">
        <v>0</v>
      </c>
      <c r="BP135">
        <v>0</v>
      </c>
      <c r="BW135" t="str">
        <f>"20:11:44.167"</f>
        <v>20:11:44.167</v>
      </c>
      <c r="CJ135">
        <v>0</v>
      </c>
      <c r="CK135">
        <v>2</v>
      </c>
      <c r="CL135">
        <v>0</v>
      </c>
      <c r="CM135">
        <v>2</v>
      </c>
      <c r="CN135">
        <v>0</v>
      </c>
      <c r="CO135">
        <v>5</v>
      </c>
      <c r="CP135" t="s">
        <v>119</v>
      </c>
      <c r="CQ135">
        <v>559</v>
      </c>
      <c r="CR135">
        <v>0</v>
      </c>
      <c r="CW135">
        <v>10389005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</row>
    <row r="136" spans="1:113" x14ac:dyDescent="0.3">
      <c r="A136" t="str">
        <f>"02/08/2021 20:11:41.832"</f>
        <v>02/08/2021 20:11:41.832</v>
      </c>
      <c r="C136" t="str">
        <f t="shared" si="5"/>
        <v>FFDFD3C0</v>
      </c>
      <c r="D136" t="s">
        <v>141</v>
      </c>
      <c r="E136">
        <v>17</v>
      </c>
      <c r="H136">
        <v>256</v>
      </c>
      <c r="I136" t="s">
        <v>142</v>
      </c>
      <c r="J136" t="s">
        <v>143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"20:11:44.164"</f>
        <v>20:11:44.164</v>
      </c>
      <c r="T136" t="str">
        <f>"20:11:43.664"</f>
        <v>20:11:43.664</v>
      </c>
      <c r="U136" t="str">
        <f t="shared" si="7"/>
        <v>AB01F4</v>
      </c>
      <c r="V136">
        <v>0</v>
      </c>
      <c r="W136">
        <v>0</v>
      </c>
      <c r="X136">
        <v>1</v>
      </c>
      <c r="Z136">
        <v>0</v>
      </c>
      <c r="AA136">
        <v>9</v>
      </c>
      <c r="AB136">
        <v>3</v>
      </c>
      <c r="AC136">
        <v>0</v>
      </c>
      <c r="AD136">
        <v>10</v>
      </c>
      <c r="AE136">
        <v>0</v>
      </c>
      <c r="AF136">
        <v>0</v>
      </c>
      <c r="AG136">
        <v>2</v>
      </c>
      <c r="AH136">
        <v>0</v>
      </c>
      <c r="AI136" t="s">
        <v>228</v>
      </c>
      <c r="AJ136">
        <v>39.506106000000003</v>
      </c>
      <c r="AK136" t="s">
        <v>229</v>
      </c>
      <c r="AL136">
        <v>-92.434008000000006</v>
      </c>
      <c r="AM136">
        <v>100</v>
      </c>
      <c r="AN136">
        <v>1800</v>
      </c>
      <c r="AO136" t="s">
        <v>118</v>
      </c>
      <c r="AP136">
        <v>-69</v>
      </c>
      <c r="AQ136">
        <v>102</v>
      </c>
      <c r="AR136">
        <v>192</v>
      </c>
      <c r="AZ136">
        <v>1200</v>
      </c>
      <c r="BA136">
        <v>1</v>
      </c>
      <c r="BB136" t="str">
        <f t="shared" si="6"/>
        <v xml:space="preserve">N8080G  </v>
      </c>
      <c r="BC136">
        <v>1</v>
      </c>
      <c r="BE136">
        <v>0</v>
      </c>
      <c r="BF136">
        <v>0</v>
      </c>
      <c r="BG136">
        <v>0</v>
      </c>
      <c r="BH136">
        <v>1800</v>
      </c>
      <c r="BI136">
        <v>1</v>
      </c>
      <c r="BJ136">
        <v>1</v>
      </c>
      <c r="BK136">
        <v>1</v>
      </c>
      <c r="BL136">
        <v>0</v>
      </c>
      <c r="BO136">
        <v>0</v>
      </c>
      <c r="BP136">
        <v>0</v>
      </c>
      <c r="BW136" t="str">
        <f>"20:11:44.167"</f>
        <v>20:11:44.167</v>
      </c>
      <c r="CJ136">
        <v>0</v>
      </c>
      <c r="CK136">
        <v>2</v>
      </c>
      <c r="CL136">
        <v>0</v>
      </c>
      <c r="CM136">
        <v>2</v>
      </c>
      <c r="CN136">
        <v>0</v>
      </c>
      <c r="CO136">
        <v>5</v>
      </c>
      <c r="CP136" t="s">
        <v>119</v>
      </c>
      <c r="CQ136">
        <v>559</v>
      </c>
      <c r="CR136">
        <v>0</v>
      </c>
      <c r="CW136">
        <v>10389005</v>
      </c>
      <c r="CY136">
        <v>0</v>
      </c>
      <c r="CZ136">
        <v>0</v>
      </c>
      <c r="DA136">
        <v>1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</row>
    <row r="137" spans="1:113" x14ac:dyDescent="0.3">
      <c r="A137" t="str">
        <f>"02/08/2021 20:11:41.832"</f>
        <v>02/08/2021 20:11:41.832</v>
      </c>
      <c r="C137" t="str">
        <f t="shared" si="5"/>
        <v>FFDFD3C0</v>
      </c>
      <c r="D137" t="s">
        <v>113</v>
      </c>
      <c r="E137">
        <v>6</v>
      </c>
      <c r="H137">
        <v>165</v>
      </c>
      <c r="I137" t="s">
        <v>114</v>
      </c>
      <c r="J137" t="s">
        <v>115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>"20:11:44.164"</f>
        <v>20:11:44.164</v>
      </c>
      <c r="T137" t="str">
        <f>"20:11:43.664"</f>
        <v>20:11:43.664</v>
      </c>
      <c r="U137" t="str">
        <f t="shared" si="7"/>
        <v>AB01F4</v>
      </c>
      <c r="V137">
        <v>0</v>
      </c>
      <c r="W137">
        <v>0</v>
      </c>
      <c r="X137">
        <v>1</v>
      </c>
      <c r="Z137">
        <v>0</v>
      </c>
      <c r="AA137">
        <v>9</v>
      </c>
      <c r="AB137">
        <v>3</v>
      </c>
      <c r="AC137">
        <v>0</v>
      </c>
      <c r="AD137">
        <v>10</v>
      </c>
      <c r="AE137">
        <v>0</v>
      </c>
      <c r="AF137">
        <v>0</v>
      </c>
      <c r="AG137">
        <v>2</v>
      </c>
      <c r="AH137">
        <v>0</v>
      </c>
      <c r="AI137" t="s">
        <v>228</v>
      </c>
      <c r="AJ137">
        <v>39.506106000000003</v>
      </c>
      <c r="AK137" t="s">
        <v>229</v>
      </c>
      <c r="AL137">
        <v>-92.434008000000006</v>
      </c>
      <c r="AM137">
        <v>100</v>
      </c>
      <c r="AN137">
        <v>1800</v>
      </c>
      <c r="AO137" t="s">
        <v>118</v>
      </c>
      <c r="AP137">
        <v>-69</v>
      </c>
      <c r="AQ137">
        <v>102</v>
      </c>
      <c r="AR137">
        <v>192</v>
      </c>
      <c r="AZ137">
        <v>1200</v>
      </c>
      <c r="BA137">
        <v>1</v>
      </c>
      <c r="BB137" t="str">
        <f t="shared" si="6"/>
        <v xml:space="preserve">N8080G  </v>
      </c>
      <c r="BC137">
        <v>1</v>
      </c>
      <c r="BE137">
        <v>0</v>
      </c>
      <c r="BF137">
        <v>0</v>
      </c>
      <c r="BG137">
        <v>0</v>
      </c>
      <c r="BH137">
        <v>1800</v>
      </c>
      <c r="BI137">
        <v>1</v>
      </c>
      <c r="BJ137">
        <v>1</v>
      </c>
      <c r="BK137">
        <v>1</v>
      </c>
      <c r="BL137">
        <v>0</v>
      </c>
      <c r="BO137">
        <v>0</v>
      </c>
      <c r="BP137">
        <v>0</v>
      </c>
      <c r="BW137" t="str">
        <f>"20:11:44.167"</f>
        <v>20:11:44.167</v>
      </c>
      <c r="CJ137">
        <v>0</v>
      </c>
      <c r="CK137">
        <v>2</v>
      </c>
      <c r="CL137">
        <v>0</v>
      </c>
      <c r="CM137">
        <v>2</v>
      </c>
      <c r="CN137">
        <v>0</v>
      </c>
      <c r="CO137">
        <v>5</v>
      </c>
      <c r="CP137" t="s">
        <v>119</v>
      </c>
      <c r="CQ137">
        <v>559</v>
      </c>
      <c r="CR137">
        <v>0</v>
      </c>
      <c r="CW137">
        <v>10389005</v>
      </c>
      <c r="CY137">
        <v>0</v>
      </c>
      <c r="CZ137">
        <v>0</v>
      </c>
      <c r="DA137">
        <v>1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</row>
    <row r="138" spans="1:113" x14ac:dyDescent="0.3">
      <c r="A138" t="str">
        <f>"02/08/2021 20:11:42.990"</f>
        <v>02/08/2021 20:11:42.990</v>
      </c>
      <c r="C138" t="str">
        <f t="shared" si="5"/>
        <v>FFDFD3C0</v>
      </c>
      <c r="D138" t="s">
        <v>124</v>
      </c>
      <c r="E138">
        <v>13</v>
      </c>
      <c r="F138">
        <v>1013</v>
      </c>
      <c r="G138" t="s">
        <v>114</v>
      </c>
      <c r="J138" t="s">
        <v>125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>"20:11:45.328"</f>
        <v>20:11:45.328</v>
      </c>
      <c r="T138" t="str">
        <f>"20:11:44.828"</f>
        <v>20:11:44.828</v>
      </c>
      <c r="U138" t="str">
        <f t="shared" si="7"/>
        <v>AB01F4</v>
      </c>
      <c r="V138">
        <v>0</v>
      </c>
      <c r="W138">
        <v>0</v>
      </c>
      <c r="X138">
        <v>1</v>
      </c>
      <c r="Z138">
        <v>0</v>
      </c>
      <c r="AA138">
        <v>9</v>
      </c>
      <c r="AB138">
        <v>3</v>
      </c>
      <c r="AC138">
        <v>0</v>
      </c>
      <c r="AD138">
        <v>10</v>
      </c>
      <c r="AE138">
        <v>0</v>
      </c>
      <c r="AF138">
        <v>3</v>
      </c>
      <c r="AG138">
        <v>2</v>
      </c>
      <c r="AH138">
        <v>0</v>
      </c>
      <c r="AI138" t="s">
        <v>230</v>
      </c>
      <c r="AJ138">
        <v>39.506706999999999</v>
      </c>
      <c r="AK138" t="s">
        <v>231</v>
      </c>
      <c r="AL138">
        <v>-92.434545</v>
      </c>
      <c r="AM138">
        <v>100</v>
      </c>
      <c r="AN138">
        <v>1800</v>
      </c>
      <c r="AO138" t="s">
        <v>118</v>
      </c>
      <c r="AP138">
        <v>-71</v>
      </c>
      <c r="AQ138">
        <v>102</v>
      </c>
      <c r="AR138">
        <v>192</v>
      </c>
      <c r="AZ138">
        <v>1200</v>
      </c>
      <c r="BA138">
        <v>1</v>
      </c>
      <c r="BB138" t="str">
        <f t="shared" si="6"/>
        <v xml:space="preserve">N8080G  </v>
      </c>
      <c r="BC138">
        <v>1</v>
      </c>
      <c r="BE138">
        <v>0</v>
      </c>
      <c r="BF138">
        <v>0</v>
      </c>
      <c r="BG138">
        <v>0</v>
      </c>
      <c r="BH138">
        <v>1800</v>
      </c>
      <c r="BI138">
        <v>1</v>
      </c>
      <c r="BJ138">
        <v>1</v>
      </c>
      <c r="BK138">
        <v>1</v>
      </c>
      <c r="BL138">
        <v>0</v>
      </c>
      <c r="BO138">
        <v>0</v>
      </c>
      <c r="BP138">
        <v>0</v>
      </c>
      <c r="BW138" t="str">
        <f>"20:11:45.328"</f>
        <v>20:11:45.328</v>
      </c>
      <c r="CJ138">
        <v>0</v>
      </c>
      <c r="CK138">
        <v>2</v>
      </c>
      <c r="CL138">
        <v>0</v>
      </c>
      <c r="CM138">
        <v>2</v>
      </c>
      <c r="CN138">
        <v>0</v>
      </c>
      <c r="CO138">
        <v>6</v>
      </c>
      <c r="CP138" t="s">
        <v>119</v>
      </c>
      <c r="CQ138">
        <v>180</v>
      </c>
      <c r="CR138">
        <v>2</v>
      </c>
      <c r="CW138">
        <v>7757266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</row>
    <row r="139" spans="1:113" x14ac:dyDescent="0.3">
      <c r="A139" t="str">
        <f>"02/08/2021 20:11:42.990"</f>
        <v>02/08/2021 20:11:42.990</v>
      </c>
      <c r="C139" t="str">
        <f t="shared" si="5"/>
        <v>FFDFD3C0</v>
      </c>
      <c r="D139" t="s">
        <v>141</v>
      </c>
      <c r="E139">
        <v>17</v>
      </c>
      <c r="H139">
        <v>256</v>
      </c>
      <c r="I139" t="s">
        <v>142</v>
      </c>
      <c r="J139" t="s">
        <v>143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>"20:11:45.328"</f>
        <v>20:11:45.328</v>
      </c>
      <c r="T139" t="str">
        <f>"20:11:44.828"</f>
        <v>20:11:44.828</v>
      </c>
      <c r="U139" t="str">
        <f t="shared" si="7"/>
        <v>AB01F4</v>
      </c>
      <c r="V139">
        <v>0</v>
      </c>
      <c r="W139">
        <v>0</v>
      </c>
      <c r="X139">
        <v>1</v>
      </c>
      <c r="Z139">
        <v>0</v>
      </c>
      <c r="AA139">
        <v>9</v>
      </c>
      <c r="AB139">
        <v>3</v>
      </c>
      <c r="AC139">
        <v>0</v>
      </c>
      <c r="AD139">
        <v>10</v>
      </c>
      <c r="AE139">
        <v>0</v>
      </c>
      <c r="AF139">
        <v>3</v>
      </c>
      <c r="AG139">
        <v>2</v>
      </c>
      <c r="AH139">
        <v>0</v>
      </c>
      <c r="AI139" t="s">
        <v>230</v>
      </c>
      <c r="AJ139">
        <v>39.506706999999999</v>
      </c>
      <c r="AK139" t="s">
        <v>231</v>
      </c>
      <c r="AL139">
        <v>-92.434545</v>
      </c>
      <c r="AM139">
        <v>100</v>
      </c>
      <c r="AN139">
        <v>1800</v>
      </c>
      <c r="AO139" t="s">
        <v>118</v>
      </c>
      <c r="AP139">
        <v>-71</v>
      </c>
      <c r="AQ139">
        <v>102</v>
      </c>
      <c r="AR139">
        <v>192</v>
      </c>
      <c r="AZ139">
        <v>1200</v>
      </c>
      <c r="BA139">
        <v>1</v>
      </c>
      <c r="BB139" t="str">
        <f t="shared" si="6"/>
        <v xml:space="preserve">N8080G  </v>
      </c>
      <c r="BC139">
        <v>1</v>
      </c>
      <c r="BE139">
        <v>0</v>
      </c>
      <c r="BF139">
        <v>0</v>
      </c>
      <c r="BG139">
        <v>0</v>
      </c>
      <c r="BH139">
        <v>1800</v>
      </c>
      <c r="BI139">
        <v>1</v>
      </c>
      <c r="BJ139">
        <v>1</v>
      </c>
      <c r="BK139">
        <v>1</v>
      </c>
      <c r="BL139">
        <v>0</v>
      </c>
      <c r="BO139">
        <v>0</v>
      </c>
      <c r="BP139">
        <v>0</v>
      </c>
      <c r="BW139" t="str">
        <f>"20:11:45.328"</f>
        <v>20:11:45.328</v>
      </c>
      <c r="CJ139">
        <v>0</v>
      </c>
      <c r="CK139">
        <v>2</v>
      </c>
      <c r="CL139">
        <v>0</v>
      </c>
      <c r="CM139">
        <v>2</v>
      </c>
      <c r="CN139">
        <v>0</v>
      </c>
      <c r="CO139">
        <v>5</v>
      </c>
      <c r="CP139" t="s">
        <v>119</v>
      </c>
      <c r="CQ139">
        <v>559</v>
      </c>
      <c r="CR139">
        <v>0</v>
      </c>
      <c r="CW139">
        <v>10389186</v>
      </c>
      <c r="CY139">
        <v>0</v>
      </c>
      <c r="CZ139">
        <v>0</v>
      </c>
      <c r="DA139">
        <v>1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</row>
    <row r="140" spans="1:113" x14ac:dyDescent="0.3">
      <c r="A140" t="str">
        <f>"02/08/2021 20:11:42.990"</f>
        <v>02/08/2021 20:11:42.990</v>
      </c>
      <c r="C140" t="str">
        <f t="shared" si="5"/>
        <v>FFDFD3C0</v>
      </c>
      <c r="D140" t="s">
        <v>113</v>
      </c>
      <c r="E140">
        <v>6</v>
      </c>
      <c r="H140">
        <v>165</v>
      </c>
      <c r="I140" t="s">
        <v>114</v>
      </c>
      <c r="J140" t="s">
        <v>115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>"20:11:45.328"</f>
        <v>20:11:45.328</v>
      </c>
      <c r="T140" t="str">
        <f>"20:11:44.828"</f>
        <v>20:11:44.828</v>
      </c>
      <c r="U140" t="str">
        <f t="shared" si="7"/>
        <v>AB01F4</v>
      </c>
      <c r="V140">
        <v>0</v>
      </c>
      <c r="W140">
        <v>0</v>
      </c>
      <c r="X140">
        <v>1</v>
      </c>
      <c r="Z140">
        <v>0</v>
      </c>
      <c r="AA140">
        <v>9</v>
      </c>
      <c r="AB140">
        <v>3</v>
      </c>
      <c r="AC140">
        <v>0</v>
      </c>
      <c r="AD140">
        <v>10</v>
      </c>
      <c r="AE140">
        <v>0</v>
      </c>
      <c r="AF140">
        <v>3</v>
      </c>
      <c r="AG140">
        <v>2</v>
      </c>
      <c r="AH140">
        <v>0</v>
      </c>
      <c r="AI140" t="s">
        <v>230</v>
      </c>
      <c r="AJ140">
        <v>39.506706999999999</v>
      </c>
      <c r="AK140" t="s">
        <v>231</v>
      </c>
      <c r="AL140">
        <v>-92.434545</v>
      </c>
      <c r="AM140">
        <v>100</v>
      </c>
      <c r="AN140">
        <v>1800</v>
      </c>
      <c r="AO140" t="s">
        <v>118</v>
      </c>
      <c r="AP140">
        <v>-71</v>
      </c>
      <c r="AQ140">
        <v>102</v>
      </c>
      <c r="AR140">
        <v>192</v>
      </c>
      <c r="AZ140">
        <v>1200</v>
      </c>
      <c r="BA140">
        <v>1</v>
      </c>
      <c r="BB140" t="str">
        <f t="shared" si="6"/>
        <v xml:space="preserve">N8080G  </v>
      </c>
      <c r="BC140">
        <v>1</v>
      </c>
      <c r="BE140">
        <v>0</v>
      </c>
      <c r="BF140">
        <v>0</v>
      </c>
      <c r="BG140">
        <v>0</v>
      </c>
      <c r="BH140">
        <v>1800</v>
      </c>
      <c r="BI140">
        <v>1</v>
      </c>
      <c r="BJ140">
        <v>1</v>
      </c>
      <c r="BK140">
        <v>1</v>
      </c>
      <c r="BL140">
        <v>0</v>
      </c>
      <c r="BO140">
        <v>0</v>
      </c>
      <c r="BP140">
        <v>0</v>
      </c>
      <c r="BW140" t="str">
        <f>"20:11:45.328"</f>
        <v>20:11:45.328</v>
      </c>
      <c r="CJ140">
        <v>0</v>
      </c>
      <c r="CK140">
        <v>2</v>
      </c>
      <c r="CL140">
        <v>0</v>
      </c>
      <c r="CM140">
        <v>2</v>
      </c>
      <c r="CN140">
        <v>0</v>
      </c>
      <c r="CO140">
        <v>6</v>
      </c>
      <c r="CP140" t="s">
        <v>119</v>
      </c>
      <c r="CQ140">
        <v>180</v>
      </c>
      <c r="CR140">
        <v>2</v>
      </c>
      <c r="CW140">
        <v>7757266</v>
      </c>
      <c r="CY140">
        <v>0</v>
      </c>
      <c r="CZ140">
        <v>0</v>
      </c>
      <c r="DA140">
        <v>1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</row>
    <row r="141" spans="1:113" x14ac:dyDescent="0.3">
      <c r="A141" t="str">
        <f>"02/08/2021 20:11:44.085"</f>
        <v>02/08/2021 20:11:44.085</v>
      </c>
      <c r="C141" t="str">
        <f t="shared" si="5"/>
        <v>FFDFD3C0</v>
      </c>
      <c r="D141" t="s">
        <v>141</v>
      </c>
      <c r="E141">
        <v>17</v>
      </c>
      <c r="H141">
        <v>256</v>
      </c>
      <c r="I141" t="s">
        <v>142</v>
      </c>
      <c r="J141" t="s">
        <v>143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"20:11:46.422"</f>
        <v>20:11:46.422</v>
      </c>
      <c r="T141" t="str">
        <f>"20:11:45.922"</f>
        <v>20:11:45.922</v>
      </c>
      <c r="U141" t="str">
        <f t="shared" si="7"/>
        <v>AB01F4</v>
      </c>
      <c r="V141">
        <v>0</v>
      </c>
      <c r="W141">
        <v>0</v>
      </c>
      <c r="X141">
        <v>1</v>
      </c>
      <c r="Z141">
        <v>0</v>
      </c>
      <c r="AA141">
        <v>9</v>
      </c>
      <c r="AB141">
        <v>3</v>
      </c>
      <c r="AC141">
        <v>0</v>
      </c>
      <c r="AD141">
        <v>10</v>
      </c>
      <c r="AE141">
        <v>0</v>
      </c>
      <c r="AF141">
        <v>3</v>
      </c>
      <c r="AG141">
        <v>2</v>
      </c>
      <c r="AH141">
        <v>0</v>
      </c>
      <c r="AI141" t="s">
        <v>232</v>
      </c>
      <c r="AJ141">
        <v>39.507201000000002</v>
      </c>
      <c r="AK141" t="s">
        <v>233</v>
      </c>
      <c r="AL141">
        <v>-92.434995000000001</v>
      </c>
      <c r="AM141">
        <v>100</v>
      </c>
      <c r="AN141">
        <v>1800</v>
      </c>
      <c r="AO141" t="s">
        <v>118</v>
      </c>
      <c r="AP141">
        <v>-72</v>
      </c>
      <c r="AQ141">
        <v>101</v>
      </c>
      <c r="AR141">
        <v>256</v>
      </c>
      <c r="AZ141">
        <v>1200</v>
      </c>
      <c r="BA141">
        <v>1</v>
      </c>
      <c r="BB141" t="str">
        <f t="shared" si="6"/>
        <v xml:space="preserve">N8080G  </v>
      </c>
      <c r="BC141">
        <v>1</v>
      </c>
      <c r="BE141">
        <v>0</v>
      </c>
      <c r="BF141">
        <v>0</v>
      </c>
      <c r="BG141">
        <v>0</v>
      </c>
      <c r="BH141">
        <v>1800</v>
      </c>
      <c r="BI141">
        <v>1</v>
      </c>
      <c r="BJ141">
        <v>1</v>
      </c>
      <c r="BK141">
        <v>1</v>
      </c>
      <c r="BL141">
        <v>0</v>
      </c>
      <c r="BO141">
        <v>0</v>
      </c>
      <c r="BP141">
        <v>0</v>
      </c>
      <c r="BW141" t="str">
        <f>"20:11:46.428"</f>
        <v>20:11:46.428</v>
      </c>
      <c r="CJ141">
        <v>0</v>
      </c>
      <c r="CK141">
        <v>2</v>
      </c>
      <c r="CL141">
        <v>0</v>
      </c>
      <c r="CM141">
        <v>2</v>
      </c>
      <c r="CN141">
        <v>0</v>
      </c>
      <c r="CO141">
        <v>5</v>
      </c>
      <c r="CP141" t="s">
        <v>119</v>
      </c>
      <c r="CQ141">
        <v>559</v>
      </c>
      <c r="CR141">
        <v>0</v>
      </c>
      <c r="CW141">
        <v>10389362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</row>
    <row r="142" spans="1:113" x14ac:dyDescent="0.3">
      <c r="A142" t="str">
        <f>"02/08/2021 20:11:44.085"</f>
        <v>02/08/2021 20:11:44.085</v>
      </c>
      <c r="C142" t="str">
        <f t="shared" si="5"/>
        <v>FFDFD3C0</v>
      </c>
      <c r="D142" t="s">
        <v>113</v>
      </c>
      <c r="E142">
        <v>6</v>
      </c>
      <c r="H142">
        <v>165</v>
      </c>
      <c r="I142" t="s">
        <v>114</v>
      </c>
      <c r="J142" t="s">
        <v>115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"20:11:46.422"</f>
        <v>20:11:46.422</v>
      </c>
      <c r="T142" t="str">
        <f>"20:11:45.922"</f>
        <v>20:11:45.922</v>
      </c>
      <c r="U142" t="str">
        <f t="shared" si="7"/>
        <v>AB01F4</v>
      </c>
      <c r="V142">
        <v>0</v>
      </c>
      <c r="W142">
        <v>0</v>
      </c>
      <c r="X142">
        <v>1</v>
      </c>
      <c r="Z142">
        <v>0</v>
      </c>
      <c r="AA142">
        <v>9</v>
      </c>
      <c r="AB142">
        <v>3</v>
      </c>
      <c r="AC142">
        <v>0</v>
      </c>
      <c r="AD142">
        <v>10</v>
      </c>
      <c r="AE142">
        <v>0</v>
      </c>
      <c r="AF142">
        <v>3</v>
      </c>
      <c r="AG142">
        <v>2</v>
      </c>
      <c r="AH142">
        <v>0</v>
      </c>
      <c r="AI142" t="s">
        <v>232</v>
      </c>
      <c r="AJ142">
        <v>39.507201000000002</v>
      </c>
      <c r="AK142" t="s">
        <v>233</v>
      </c>
      <c r="AL142">
        <v>-92.434995000000001</v>
      </c>
      <c r="AM142">
        <v>100</v>
      </c>
      <c r="AN142">
        <v>1800</v>
      </c>
      <c r="AO142" t="s">
        <v>118</v>
      </c>
      <c r="AP142">
        <v>-72</v>
      </c>
      <c r="AQ142">
        <v>101</v>
      </c>
      <c r="AR142">
        <v>256</v>
      </c>
      <c r="AZ142">
        <v>1200</v>
      </c>
      <c r="BA142">
        <v>1</v>
      </c>
      <c r="BB142" t="str">
        <f t="shared" si="6"/>
        <v xml:space="preserve">N8080G  </v>
      </c>
      <c r="BC142">
        <v>1</v>
      </c>
      <c r="BE142">
        <v>0</v>
      </c>
      <c r="BF142">
        <v>0</v>
      </c>
      <c r="BG142">
        <v>0</v>
      </c>
      <c r="BH142">
        <v>1800</v>
      </c>
      <c r="BI142">
        <v>1</v>
      </c>
      <c r="BJ142">
        <v>1</v>
      </c>
      <c r="BK142">
        <v>1</v>
      </c>
      <c r="BL142">
        <v>0</v>
      </c>
      <c r="BO142">
        <v>0</v>
      </c>
      <c r="BP142">
        <v>0</v>
      </c>
      <c r="BW142" t="str">
        <f>"20:11:46.428"</f>
        <v>20:11:46.428</v>
      </c>
      <c r="CJ142">
        <v>0</v>
      </c>
      <c r="CK142">
        <v>2</v>
      </c>
      <c r="CL142">
        <v>0</v>
      </c>
      <c r="CM142">
        <v>2</v>
      </c>
      <c r="CN142">
        <v>0</v>
      </c>
      <c r="CO142">
        <v>5</v>
      </c>
      <c r="CP142" t="s">
        <v>119</v>
      </c>
      <c r="CQ142">
        <v>559</v>
      </c>
      <c r="CR142">
        <v>0</v>
      </c>
      <c r="CW142">
        <v>10389362</v>
      </c>
      <c r="CY142">
        <v>0</v>
      </c>
      <c r="CZ142">
        <v>0</v>
      </c>
      <c r="DA142">
        <v>1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</row>
    <row r="143" spans="1:113" x14ac:dyDescent="0.3">
      <c r="A143" t="str">
        <f>"02/08/2021 20:11:44.085"</f>
        <v>02/08/2021 20:11:44.085</v>
      </c>
      <c r="C143" t="str">
        <f t="shared" ref="C143:C206" si="8">"FFDFD3C0"</f>
        <v>FFDFD3C0</v>
      </c>
      <c r="D143" t="s">
        <v>124</v>
      </c>
      <c r="E143">
        <v>13</v>
      </c>
      <c r="F143">
        <v>1013</v>
      </c>
      <c r="G143" t="s">
        <v>114</v>
      </c>
      <c r="J143" t="s">
        <v>125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"20:11:46.422"</f>
        <v>20:11:46.422</v>
      </c>
      <c r="T143" t="str">
        <f>"20:11:45.922"</f>
        <v>20:11:45.922</v>
      </c>
      <c r="U143" t="str">
        <f t="shared" si="7"/>
        <v>AB01F4</v>
      </c>
      <c r="V143">
        <v>0</v>
      </c>
      <c r="W143">
        <v>0</v>
      </c>
      <c r="X143">
        <v>1</v>
      </c>
      <c r="Z143">
        <v>0</v>
      </c>
      <c r="AA143">
        <v>9</v>
      </c>
      <c r="AB143">
        <v>3</v>
      </c>
      <c r="AC143">
        <v>0</v>
      </c>
      <c r="AD143">
        <v>10</v>
      </c>
      <c r="AE143">
        <v>0</v>
      </c>
      <c r="AF143">
        <v>3</v>
      </c>
      <c r="AG143">
        <v>2</v>
      </c>
      <c r="AH143">
        <v>0</v>
      </c>
      <c r="AI143" t="s">
        <v>232</v>
      </c>
      <c r="AJ143">
        <v>39.507201000000002</v>
      </c>
      <c r="AK143" t="s">
        <v>233</v>
      </c>
      <c r="AL143">
        <v>-92.434995000000001</v>
      </c>
      <c r="AM143">
        <v>100</v>
      </c>
      <c r="AN143">
        <v>1800</v>
      </c>
      <c r="AO143" t="s">
        <v>118</v>
      </c>
      <c r="AP143">
        <v>-72</v>
      </c>
      <c r="AQ143">
        <v>101</v>
      </c>
      <c r="AR143">
        <v>256</v>
      </c>
      <c r="AZ143">
        <v>1200</v>
      </c>
      <c r="BA143">
        <v>1</v>
      </c>
      <c r="BB143" t="str">
        <f t="shared" ref="BB143:BB206" si="9">"N8080G  "</f>
        <v xml:space="preserve">N8080G  </v>
      </c>
      <c r="BC143">
        <v>1</v>
      </c>
      <c r="BE143">
        <v>0</v>
      </c>
      <c r="BF143">
        <v>0</v>
      </c>
      <c r="BG143">
        <v>0</v>
      </c>
      <c r="BH143">
        <v>1800</v>
      </c>
      <c r="BI143">
        <v>1</v>
      </c>
      <c r="BJ143">
        <v>1</v>
      </c>
      <c r="BK143">
        <v>1</v>
      </c>
      <c r="BL143">
        <v>0</v>
      </c>
      <c r="BO143">
        <v>0</v>
      </c>
      <c r="BP143">
        <v>0</v>
      </c>
      <c r="BW143" t="str">
        <f>"20:11:46.428"</f>
        <v>20:11:46.428</v>
      </c>
      <c r="CJ143">
        <v>0</v>
      </c>
      <c r="CK143">
        <v>2</v>
      </c>
      <c r="CL143">
        <v>0</v>
      </c>
      <c r="CM143">
        <v>2</v>
      </c>
      <c r="CN143">
        <v>0</v>
      </c>
      <c r="CO143">
        <v>5</v>
      </c>
      <c r="CP143" t="s">
        <v>119</v>
      </c>
      <c r="CQ143">
        <v>559</v>
      </c>
      <c r="CR143">
        <v>0</v>
      </c>
      <c r="CW143">
        <v>10389362</v>
      </c>
      <c r="CY143">
        <v>0</v>
      </c>
      <c r="CZ143">
        <v>0</v>
      </c>
      <c r="DA143">
        <v>1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</row>
    <row r="144" spans="1:113" x14ac:dyDescent="0.3">
      <c r="A144" t="str">
        <f>"02/08/2021 20:11:45.095"</f>
        <v>02/08/2021 20:11:45.095</v>
      </c>
      <c r="C144" t="str">
        <f t="shared" si="8"/>
        <v>FFDFD3C0</v>
      </c>
      <c r="D144" t="s">
        <v>141</v>
      </c>
      <c r="E144">
        <v>17</v>
      </c>
      <c r="H144">
        <v>256</v>
      </c>
      <c r="I144" t="s">
        <v>142</v>
      </c>
      <c r="J144" t="s">
        <v>143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>"20:11:47.383"</f>
        <v>20:11:47.383</v>
      </c>
      <c r="T144" t="str">
        <f>"20:11:46.883"</f>
        <v>20:11:46.883</v>
      </c>
      <c r="U144" t="str">
        <f t="shared" si="7"/>
        <v>AB01F4</v>
      </c>
      <c r="V144">
        <v>0</v>
      </c>
      <c r="W144">
        <v>0</v>
      </c>
      <c r="X144">
        <v>1</v>
      </c>
      <c r="Z144">
        <v>0</v>
      </c>
      <c r="AA144">
        <v>9</v>
      </c>
      <c r="AB144">
        <v>3</v>
      </c>
      <c r="AC144">
        <v>0</v>
      </c>
      <c r="AD144">
        <v>10</v>
      </c>
      <c r="AE144">
        <v>0</v>
      </c>
      <c r="AF144">
        <v>3</v>
      </c>
      <c r="AG144">
        <v>2</v>
      </c>
      <c r="AH144">
        <v>0</v>
      </c>
      <c r="AI144" t="s">
        <v>234</v>
      </c>
      <c r="AJ144">
        <v>39.507607999999998</v>
      </c>
      <c r="AK144" t="s">
        <v>235</v>
      </c>
      <c r="AL144">
        <v>-92.435381000000007</v>
      </c>
      <c r="AM144">
        <v>100</v>
      </c>
      <c r="AN144">
        <v>1800</v>
      </c>
      <c r="AO144" t="s">
        <v>118</v>
      </c>
      <c r="AP144">
        <v>-73</v>
      </c>
      <c r="AQ144">
        <v>101</v>
      </c>
      <c r="AR144">
        <v>256</v>
      </c>
      <c r="AZ144">
        <v>1200</v>
      </c>
      <c r="BA144">
        <v>1</v>
      </c>
      <c r="BB144" t="str">
        <f t="shared" si="9"/>
        <v xml:space="preserve">N8080G  </v>
      </c>
      <c r="BC144">
        <v>1</v>
      </c>
      <c r="BE144">
        <v>0</v>
      </c>
      <c r="BF144">
        <v>0</v>
      </c>
      <c r="BG144">
        <v>0</v>
      </c>
      <c r="BH144">
        <v>1800</v>
      </c>
      <c r="BI144">
        <v>1</v>
      </c>
      <c r="BJ144">
        <v>1</v>
      </c>
      <c r="BK144">
        <v>1</v>
      </c>
      <c r="BL144">
        <v>0</v>
      </c>
      <c r="BO144">
        <v>0</v>
      </c>
      <c r="BP144">
        <v>0</v>
      </c>
      <c r="BW144" t="str">
        <f>"20:11:47.384"</f>
        <v>20:11:47.384</v>
      </c>
      <c r="CJ144">
        <v>0</v>
      </c>
      <c r="CK144">
        <v>2</v>
      </c>
      <c r="CL144">
        <v>0</v>
      </c>
      <c r="CM144">
        <v>2</v>
      </c>
      <c r="CN144">
        <v>0</v>
      </c>
      <c r="CO144">
        <v>5</v>
      </c>
      <c r="CP144" t="s">
        <v>119</v>
      </c>
      <c r="CQ144">
        <v>559</v>
      </c>
      <c r="CR144">
        <v>0</v>
      </c>
      <c r="CW144">
        <v>10389504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</row>
    <row r="145" spans="1:113" x14ac:dyDescent="0.3">
      <c r="A145" t="str">
        <f>"02/08/2021 20:11:45.095"</f>
        <v>02/08/2021 20:11:45.095</v>
      </c>
      <c r="C145" t="str">
        <f t="shared" si="8"/>
        <v>FFDFD3C0</v>
      </c>
      <c r="D145" t="s">
        <v>124</v>
      </c>
      <c r="E145">
        <v>13</v>
      </c>
      <c r="F145">
        <v>1013</v>
      </c>
      <c r="G145" t="s">
        <v>114</v>
      </c>
      <c r="J145" t="s">
        <v>125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>"20:11:47.383"</f>
        <v>20:11:47.383</v>
      </c>
      <c r="T145" t="str">
        <f>"20:11:46.883"</f>
        <v>20:11:46.883</v>
      </c>
      <c r="U145" t="str">
        <f t="shared" si="7"/>
        <v>AB01F4</v>
      </c>
      <c r="V145">
        <v>0</v>
      </c>
      <c r="W145">
        <v>0</v>
      </c>
      <c r="X145">
        <v>1</v>
      </c>
      <c r="Z145">
        <v>0</v>
      </c>
      <c r="AA145">
        <v>9</v>
      </c>
      <c r="AB145">
        <v>3</v>
      </c>
      <c r="AC145">
        <v>0</v>
      </c>
      <c r="AD145">
        <v>10</v>
      </c>
      <c r="AE145">
        <v>0</v>
      </c>
      <c r="AF145">
        <v>3</v>
      </c>
      <c r="AG145">
        <v>2</v>
      </c>
      <c r="AH145">
        <v>0</v>
      </c>
      <c r="AI145" t="s">
        <v>234</v>
      </c>
      <c r="AJ145">
        <v>39.507607999999998</v>
      </c>
      <c r="AK145" t="s">
        <v>235</v>
      </c>
      <c r="AL145">
        <v>-92.435381000000007</v>
      </c>
      <c r="AM145">
        <v>100</v>
      </c>
      <c r="AN145">
        <v>1800</v>
      </c>
      <c r="AO145" t="s">
        <v>118</v>
      </c>
      <c r="AP145">
        <v>-73</v>
      </c>
      <c r="AQ145">
        <v>101</v>
      </c>
      <c r="AR145">
        <v>256</v>
      </c>
      <c r="AZ145">
        <v>1200</v>
      </c>
      <c r="BA145">
        <v>1</v>
      </c>
      <c r="BB145" t="str">
        <f t="shared" si="9"/>
        <v xml:space="preserve">N8080G  </v>
      </c>
      <c r="BC145">
        <v>1</v>
      </c>
      <c r="BE145">
        <v>0</v>
      </c>
      <c r="BF145">
        <v>0</v>
      </c>
      <c r="BG145">
        <v>0</v>
      </c>
      <c r="BH145">
        <v>1800</v>
      </c>
      <c r="BI145">
        <v>1</v>
      </c>
      <c r="BJ145">
        <v>1</v>
      </c>
      <c r="BK145">
        <v>1</v>
      </c>
      <c r="BL145">
        <v>0</v>
      </c>
      <c r="BO145">
        <v>0</v>
      </c>
      <c r="BP145">
        <v>0</v>
      </c>
      <c r="BW145" t="str">
        <f>"20:11:47.384"</f>
        <v>20:11:47.384</v>
      </c>
      <c r="CJ145">
        <v>0</v>
      </c>
      <c r="CK145">
        <v>2</v>
      </c>
      <c r="CL145">
        <v>0</v>
      </c>
      <c r="CM145">
        <v>2</v>
      </c>
      <c r="CN145">
        <v>0</v>
      </c>
      <c r="CO145">
        <v>5</v>
      </c>
      <c r="CP145" t="s">
        <v>119</v>
      </c>
      <c r="CQ145">
        <v>559</v>
      </c>
      <c r="CR145">
        <v>0</v>
      </c>
      <c r="CW145">
        <v>10389504</v>
      </c>
      <c r="CY145">
        <v>0</v>
      </c>
      <c r="CZ145">
        <v>0</v>
      </c>
      <c r="DA145">
        <v>1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</row>
    <row r="146" spans="1:113" x14ac:dyDescent="0.3">
      <c r="A146" t="str">
        <f>"02/08/2021 20:11:45.095"</f>
        <v>02/08/2021 20:11:45.095</v>
      </c>
      <c r="C146" t="str">
        <f t="shared" si="8"/>
        <v>FFDFD3C0</v>
      </c>
      <c r="D146" t="s">
        <v>113</v>
      </c>
      <c r="E146">
        <v>6</v>
      </c>
      <c r="H146">
        <v>165</v>
      </c>
      <c r="I146" t="s">
        <v>114</v>
      </c>
      <c r="J146" t="s">
        <v>115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>"20:11:47.383"</f>
        <v>20:11:47.383</v>
      </c>
      <c r="T146" t="str">
        <f>"20:11:46.883"</f>
        <v>20:11:46.883</v>
      </c>
      <c r="U146" t="str">
        <f t="shared" si="7"/>
        <v>AB01F4</v>
      </c>
      <c r="V146">
        <v>0</v>
      </c>
      <c r="W146">
        <v>0</v>
      </c>
      <c r="X146">
        <v>1</v>
      </c>
      <c r="Z146">
        <v>0</v>
      </c>
      <c r="AA146">
        <v>9</v>
      </c>
      <c r="AB146">
        <v>3</v>
      </c>
      <c r="AC146">
        <v>0</v>
      </c>
      <c r="AD146">
        <v>10</v>
      </c>
      <c r="AE146">
        <v>0</v>
      </c>
      <c r="AF146">
        <v>3</v>
      </c>
      <c r="AG146">
        <v>2</v>
      </c>
      <c r="AH146">
        <v>0</v>
      </c>
      <c r="AI146" t="s">
        <v>234</v>
      </c>
      <c r="AJ146">
        <v>39.507607999999998</v>
      </c>
      <c r="AK146" t="s">
        <v>235</v>
      </c>
      <c r="AL146">
        <v>-92.435381000000007</v>
      </c>
      <c r="AM146">
        <v>100</v>
      </c>
      <c r="AN146">
        <v>1800</v>
      </c>
      <c r="AO146" t="s">
        <v>118</v>
      </c>
      <c r="AP146">
        <v>-73</v>
      </c>
      <c r="AQ146">
        <v>101</v>
      </c>
      <c r="AR146">
        <v>256</v>
      </c>
      <c r="AZ146">
        <v>1200</v>
      </c>
      <c r="BA146">
        <v>1</v>
      </c>
      <c r="BB146" t="str">
        <f t="shared" si="9"/>
        <v xml:space="preserve">N8080G  </v>
      </c>
      <c r="BC146">
        <v>1</v>
      </c>
      <c r="BE146">
        <v>0</v>
      </c>
      <c r="BF146">
        <v>0</v>
      </c>
      <c r="BG146">
        <v>0</v>
      </c>
      <c r="BH146">
        <v>1800</v>
      </c>
      <c r="BI146">
        <v>1</v>
      </c>
      <c r="BJ146">
        <v>1</v>
      </c>
      <c r="BK146">
        <v>1</v>
      </c>
      <c r="BL146">
        <v>0</v>
      </c>
      <c r="BO146">
        <v>0</v>
      </c>
      <c r="BP146">
        <v>0</v>
      </c>
      <c r="BW146" t="str">
        <f>"20:11:47.384"</f>
        <v>20:11:47.384</v>
      </c>
      <c r="CJ146">
        <v>0</v>
      </c>
      <c r="CK146">
        <v>2</v>
      </c>
      <c r="CL146">
        <v>0</v>
      </c>
      <c r="CM146">
        <v>2</v>
      </c>
      <c r="CN146">
        <v>0</v>
      </c>
      <c r="CO146">
        <v>5</v>
      </c>
      <c r="CP146" t="s">
        <v>119</v>
      </c>
      <c r="CQ146">
        <v>559</v>
      </c>
      <c r="CR146">
        <v>0</v>
      </c>
      <c r="CW146">
        <v>10389504</v>
      </c>
      <c r="CY146">
        <v>0</v>
      </c>
      <c r="CZ146">
        <v>0</v>
      </c>
      <c r="DA146">
        <v>1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</row>
    <row r="147" spans="1:113" x14ac:dyDescent="0.3">
      <c r="A147" t="str">
        <f>"02/08/2021 20:11:46.156"</f>
        <v>02/08/2021 20:11:46.156</v>
      </c>
      <c r="C147" t="str">
        <f t="shared" si="8"/>
        <v>FFDFD3C0</v>
      </c>
      <c r="D147" t="s">
        <v>124</v>
      </c>
      <c r="E147">
        <v>13</v>
      </c>
      <c r="F147">
        <v>1013</v>
      </c>
      <c r="G147" t="s">
        <v>114</v>
      </c>
      <c r="J147" t="s">
        <v>125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>"20:11:48.469"</f>
        <v>20:11:48.469</v>
      </c>
      <c r="T147" t="str">
        <f>"20:11:47.969"</f>
        <v>20:11:47.969</v>
      </c>
      <c r="U147" t="str">
        <f t="shared" si="7"/>
        <v>AB01F4</v>
      </c>
      <c r="V147">
        <v>0</v>
      </c>
      <c r="W147">
        <v>0</v>
      </c>
      <c r="X147">
        <v>1</v>
      </c>
      <c r="Z147">
        <v>0</v>
      </c>
      <c r="AA147">
        <v>9</v>
      </c>
      <c r="AB147">
        <v>3</v>
      </c>
      <c r="AC147">
        <v>0</v>
      </c>
      <c r="AD147">
        <v>10</v>
      </c>
      <c r="AE147">
        <v>0</v>
      </c>
      <c r="AF147">
        <v>3</v>
      </c>
      <c r="AG147">
        <v>2</v>
      </c>
      <c r="AH147">
        <v>0</v>
      </c>
      <c r="AI147" t="s">
        <v>236</v>
      </c>
      <c r="AJ147">
        <v>39.508144999999999</v>
      </c>
      <c r="AK147" t="s">
        <v>237</v>
      </c>
      <c r="AL147">
        <v>-92.435918000000001</v>
      </c>
      <c r="AM147">
        <v>100</v>
      </c>
      <c r="AN147">
        <v>1800</v>
      </c>
      <c r="AO147" t="s">
        <v>118</v>
      </c>
      <c r="AP147">
        <v>-74</v>
      </c>
      <c r="AQ147">
        <v>102</v>
      </c>
      <c r="AR147">
        <v>256</v>
      </c>
      <c r="AZ147">
        <v>1200</v>
      </c>
      <c r="BA147">
        <v>1</v>
      </c>
      <c r="BB147" t="str">
        <f t="shared" si="9"/>
        <v xml:space="preserve">N8080G  </v>
      </c>
      <c r="BC147">
        <v>1</v>
      </c>
      <c r="BE147">
        <v>0</v>
      </c>
      <c r="BF147">
        <v>0</v>
      </c>
      <c r="BG147">
        <v>0</v>
      </c>
      <c r="BH147">
        <v>1800</v>
      </c>
      <c r="BI147">
        <v>1</v>
      </c>
      <c r="BJ147">
        <v>1</v>
      </c>
      <c r="BK147">
        <v>1</v>
      </c>
      <c r="BL147">
        <v>0</v>
      </c>
      <c r="BO147">
        <v>0</v>
      </c>
      <c r="BP147">
        <v>0</v>
      </c>
      <c r="BW147" t="str">
        <f>"20:11:48.471"</f>
        <v>20:11:48.471</v>
      </c>
      <c r="CJ147">
        <v>0</v>
      </c>
      <c r="CK147">
        <v>2</v>
      </c>
      <c r="CL147">
        <v>0</v>
      </c>
      <c r="CM147">
        <v>2</v>
      </c>
      <c r="CN147">
        <v>0</v>
      </c>
      <c r="CO147">
        <v>6</v>
      </c>
      <c r="CP147" t="s">
        <v>119</v>
      </c>
      <c r="CQ147">
        <v>180</v>
      </c>
      <c r="CR147">
        <v>2</v>
      </c>
      <c r="CW147">
        <v>7759893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</row>
    <row r="148" spans="1:113" x14ac:dyDescent="0.3">
      <c r="A148" t="str">
        <f>"02/08/2021 20:11:46.156"</f>
        <v>02/08/2021 20:11:46.156</v>
      </c>
      <c r="C148" t="str">
        <f t="shared" si="8"/>
        <v>FFDFD3C0</v>
      </c>
      <c r="D148" t="s">
        <v>141</v>
      </c>
      <c r="E148">
        <v>17</v>
      </c>
      <c r="H148">
        <v>256</v>
      </c>
      <c r="I148" t="s">
        <v>142</v>
      </c>
      <c r="J148" t="s">
        <v>143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>"20:11:48.469"</f>
        <v>20:11:48.469</v>
      </c>
      <c r="T148" t="str">
        <f>"20:11:47.969"</f>
        <v>20:11:47.969</v>
      </c>
      <c r="U148" t="str">
        <f t="shared" si="7"/>
        <v>AB01F4</v>
      </c>
      <c r="V148">
        <v>0</v>
      </c>
      <c r="W148">
        <v>0</v>
      </c>
      <c r="X148">
        <v>1</v>
      </c>
      <c r="Z148">
        <v>0</v>
      </c>
      <c r="AA148">
        <v>9</v>
      </c>
      <c r="AB148">
        <v>3</v>
      </c>
      <c r="AC148">
        <v>0</v>
      </c>
      <c r="AD148">
        <v>10</v>
      </c>
      <c r="AE148">
        <v>0</v>
      </c>
      <c r="AF148">
        <v>3</v>
      </c>
      <c r="AG148">
        <v>2</v>
      </c>
      <c r="AH148">
        <v>0</v>
      </c>
      <c r="AI148" t="s">
        <v>236</v>
      </c>
      <c r="AJ148">
        <v>39.508144999999999</v>
      </c>
      <c r="AK148" t="s">
        <v>237</v>
      </c>
      <c r="AL148">
        <v>-92.435918000000001</v>
      </c>
      <c r="AM148">
        <v>100</v>
      </c>
      <c r="AN148">
        <v>1800</v>
      </c>
      <c r="AO148" t="s">
        <v>118</v>
      </c>
      <c r="AP148">
        <v>-74</v>
      </c>
      <c r="AQ148">
        <v>102</v>
      </c>
      <c r="AR148">
        <v>256</v>
      </c>
      <c r="AZ148">
        <v>1200</v>
      </c>
      <c r="BA148">
        <v>1</v>
      </c>
      <c r="BB148" t="str">
        <f t="shared" si="9"/>
        <v xml:space="preserve">N8080G  </v>
      </c>
      <c r="BC148">
        <v>1</v>
      </c>
      <c r="BE148">
        <v>0</v>
      </c>
      <c r="BF148">
        <v>0</v>
      </c>
      <c r="BG148">
        <v>0</v>
      </c>
      <c r="BH148">
        <v>1800</v>
      </c>
      <c r="BI148">
        <v>1</v>
      </c>
      <c r="BJ148">
        <v>1</v>
      </c>
      <c r="BK148">
        <v>1</v>
      </c>
      <c r="BL148">
        <v>0</v>
      </c>
      <c r="BO148">
        <v>0</v>
      </c>
      <c r="BP148">
        <v>0</v>
      </c>
      <c r="BW148" t="str">
        <f>"20:11:48.471"</f>
        <v>20:11:48.471</v>
      </c>
      <c r="CJ148">
        <v>0</v>
      </c>
      <c r="CK148">
        <v>2</v>
      </c>
      <c r="CL148">
        <v>0</v>
      </c>
      <c r="CM148">
        <v>2</v>
      </c>
      <c r="CN148">
        <v>0</v>
      </c>
      <c r="CO148">
        <v>5</v>
      </c>
      <c r="CP148" t="s">
        <v>119</v>
      </c>
      <c r="CQ148">
        <v>559</v>
      </c>
      <c r="CR148">
        <v>0</v>
      </c>
      <c r="CW148">
        <v>10389684</v>
      </c>
      <c r="CY148">
        <v>0</v>
      </c>
      <c r="CZ148">
        <v>0</v>
      </c>
      <c r="DA148">
        <v>1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</row>
    <row r="149" spans="1:113" x14ac:dyDescent="0.3">
      <c r="A149" t="str">
        <f>"02/08/2021 20:11:46.156"</f>
        <v>02/08/2021 20:11:46.156</v>
      </c>
      <c r="C149" t="str">
        <f t="shared" si="8"/>
        <v>FFDFD3C0</v>
      </c>
      <c r="D149" t="s">
        <v>113</v>
      </c>
      <c r="E149">
        <v>6</v>
      </c>
      <c r="H149">
        <v>165</v>
      </c>
      <c r="I149" t="s">
        <v>114</v>
      </c>
      <c r="J149" t="s">
        <v>115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>"20:11:48.469"</f>
        <v>20:11:48.469</v>
      </c>
      <c r="T149" t="str">
        <f>"20:11:47.969"</f>
        <v>20:11:47.969</v>
      </c>
      <c r="U149" t="str">
        <f t="shared" si="7"/>
        <v>AB01F4</v>
      </c>
      <c r="V149">
        <v>0</v>
      </c>
      <c r="W149">
        <v>0</v>
      </c>
      <c r="X149">
        <v>1</v>
      </c>
      <c r="Z149">
        <v>0</v>
      </c>
      <c r="AA149">
        <v>9</v>
      </c>
      <c r="AB149">
        <v>3</v>
      </c>
      <c r="AC149">
        <v>0</v>
      </c>
      <c r="AD149">
        <v>10</v>
      </c>
      <c r="AE149">
        <v>0</v>
      </c>
      <c r="AF149">
        <v>3</v>
      </c>
      <c r="AG149">
        <v>2</v>
      </c>
      <c r="AH149">
        <v>0</v>
      </c>
      <c r="AI149" t="s">
        <v>236</v>
      </c>
      <c r="AJ149">
        <v>39.508144999999999</v>
      </c>
      <c r="AK149" t="s">
        <v>237</v>
      </c>
      <c r="AL149">
        <v>-92.435918000000001</v>
      </c>
      <c r="AM149">
        <v>100</v>
      </c>
      <c r="AN149">
        <v>1800</v>
      </c>
      <c r="AO149" t="s">
        <v>118</v>
      </c>
      <c r="AP149">
        <v>-74</v>
      </c>
      <c r="AQ149">
        <v>102</v>
      </c>
      <c r="AR149">
        <v>256</v>
      </c>
      <c r="AZ149">
        <v>1200</v>
      </c>
      <c r="BA149">
        <v>1</v>
      </c>
      <c r="BB149" t="str">
        <f t="shared" si="9"/>
        <v xml:space="preserve">N8080G  </v>
      </c>
      <c r="BC149">
        <v>1</v>
      </c>
      <c r="BE149">
        <v>0</v>
      </c>
      <c r="BF149">
        <v>0</v>
      </c>
      <c r="BG149">
        <v>0</v>
      </c>
      <c r="BH149">
        <v>1800</v>
      </c>
      <c r="BI149">
        <v>1</v>
      </c>
      <c r="BJ149">
        <v>1</v>
      </c>
      <c r="BK149">
        <v>1</v>
      </c>
      <c r="BL149">
        <v>0</v>
      </c>
      <c r="BO149">
        <v>0</v>
      </c>
      <c r="BP149">
        <v>0</v>
      </c>
      <c r="BW149" t="str">
        <f>"20:11:48.471"</f>
        <v>20:11:48.471</v>
      </c>
      <c r="CJ149">
        <v>0</v>
      </c>
      <c r="CK149">
        <v>2</v>
      </c>
      <c r="CL149">
        <v>0</v>
      </c>
      <c r="CM149">
        <v>2</v>
      </c>
      <c r="CN149">
        <v>0</v>
      </c>
      <c r="CO149">
        <v>6</v>
      </c>
      <c r="CP149" t="s">
        <v>119</v>
      </c>
      <c r="CQ149">
        <v>180</v>
      </c>
      <c r="CR149">
        <v>2</v>
      </c>
      <c r="CW149">
        <v>7759893</v>
      </c>
      <c r="CY149">
        <v>0</v>
      </c>
      <c r="CZ149">
        <v>0</v>
      </c>
      <c r="DA149">
        <v>1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</row>
    <row r="150" spans="1:113" x14ac:dyDescent="0.3">
      <c r="A150" t="str">
        <f>"02/08/2021 20:11:47.210"</f>
        <v>02/08/2021 20:11:47.210</v>
      </c>
      <c r="C150" t="str">
        <f t="shared" si="8"/>
        <v>FFDFD3C0</v>
      </c>
      <c r="D150" t="s">
        <v>124</v>
      </c>
      <c r="E150">
        <v>13</v>
      </c>
      <c r="F150">
        <v>1013</v>
      </c>
      <c r="G150" t="s">
        <v>114</v>
      </c>
      <c r="J150" t="s">
        <v>125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>"20:11:49.539"</f>
        <v>20:11:49.539</v>
      </c>
      <c r="U150" t="str">
        <f t="shared" si="7"/>
        <v>AB01F4</v>
      </c>
      <c r="V150">
        <v>0</v>
      </c>
      <c r="W150">
        <v>0</v>
      </c>
      <c r="X150">
        <v>1</v>
      </c>
      <c r="Z150">
        <v>0</v>
      </c>
      <c r="AA150">
        <v>9</v>
      </c>
      <c r="AB150">
        <v>3</v>
      </c>
      <c r="AC150">
        <v>0</v>
      </c>
      <c r="AD150">
        <v>10</v>
      </c>
      <c r="AE150">
        <v>0</v>
      </c>
      <c r="AF150">
        <v>3</v>
      </c>
      <c r="AG150">
        <v>2</v>
      </c>
      <c r="AH150">
        <v>0</v>
      </c>
      <c r="AI150" t="s">
        <v>238</v>
      </c>
      <c r="AJ150">
        <v>39.508659999999999</v>
      </c>
      <c r="AK150" t="s">
        <v>239</v>
      </c>
      <c r="AL150">
        <v>-92.436390000000003</v>
      </c>
      <c r="AM150">
        <v>100</v>
      </c>
      <c r="AN150">
        <v>1800</v>
      </c>
      <c r="AO150" t="s">
        <v>118</v>
      </c>
      <c r="AP150">
        <v>-75</v>
      </c>
      <c r="AQ150">
        <v>102</v>
      </c>
      <c r="AR150">
        <v>256</v>
      </c>
      <c r="AZ150">
        <v>1200</v>
      </c>
      <c r="BA150">
        <v>1</v>
      </c>
      <c r="BB150" t="str">
        <f t="shared" si="9"/>
        <v xml:space="preserve">N8080G  </v>
      </c>
      <c r="BC150">
        <v>1</v>
      </c>
      <c r="BE150">
        <v>0</v>
      </c>
      <c r="BF150">
        <v>0</v>
      </c>
      <c r="BG150">
        <v>0</v>
      </c>
      <c r="BH150">
        <v>1825</v>
      </c>
      <c r="BI150">
        <v>1</v>
      </c>
      <c r="BJ150">
        <v>1</v>
      </c>
      <c r="BK150">
        <v>1</v>
      </c>
      <c r="BL150">
        <v>0</v>
      </c>
      <c r="BO150">
        <v>0</v>
      </c>
      <c r="BP150">
        <v>0</v>
      </c>
      <c r="BW150" t="str">
        <f>"20:11:49.546"</f>
        <v>20:11:49.546</v>
      </c>
      <c r="CJ150">
        <v>0</v>
      </c>
      <c r="CK150">
        <v>2</v>
      </c>
      <c r="CL150">
        <v>0</v>
      </c>
      <c r="CM150">
        <v>2</v>
      </c>
      <c r="CN150">
        <v>0</v>
      </c>
      <c r="CO150">
        <v>5</v>
      </c>
      <c r="CP150" t="s">
        <v>119</v>
      </c>
      <c r="CQ150">
        <v>559</v>
      </c>
      <c r="CR150">
        <v>0</v>
      </c>
      <c r="CW150">
        <v>10389850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</row>
    <row r="151" spans="1:113" x14ac:dyDescent="0.3">
      <c r="A151" t="str">
        <f>"02/08/2021 20:11:47.210"</f>
        <v>02/08/2021 20:11:47.210</v>
      </c>
      <c r="C151" t="str">
        <f t="shared" si="8"/>
        <v>FFDFD3C0</v>
      </c>
      <c r="D151" t="s">
        <v>141</v>
      </c>
      <c r="E151">
        <v>17</v>
      </c>
      <c r="H151">
        <v>256</v>
      </c>
      <c r="I151" t="s">
        <v>142</v>
      </c>
      <c r="J151" t="s">
        <v>143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>"20:11:49.539"</f>
        <v>20:11:49.539</v>
      </c>
      <c r="U151" t="str">
        <f t="shared" si="7"/>
        <v>AB01F4</v>
      </c>
      <c r="V151">
        <v>0</v>
      </c>
      <c r="W151">
        <v>0</v>
      </c>
      <c r="X151">
        <v>1</v>
      </c>
      <c r="Z151">
        <v>0</v>
      </c>
      <c r="AA151">
        <v>9</v>
      </c>
      <c r="AB151">
        <v>3</v>
      </c>
      <c r="AC151">
        <v>0</v>
      </c>
      <c r="AD151">
        <v>10</v>
      </c>
      <c r="AE151">
        <v>0</v>
      </c>
      <c r="AF151">
        <v>3</v>
      </c>
      <c r="AG151">
        <v>2</v>
      </c>
      <c r="AH151">
        <v>0</v>
      </c>
      <c r="AI151" t="s">
        <v>238</v>
      </c>
      <c r="AJ151">
        <v>39.508659999999999</v>
      </c>
      <c r="AK151" t="s">
        <v>239</v>
      </c>
      <c r="AL151">
        <v>-92.436390000000003</v>
      </c>
      <c r="AM151">
        <v>100</v>
      </c>
      <c r="AN151">
        <v>1800</v>
      </c>
      <c r="AO151" t="s">
        <v>118</v>
      </c>
      <c r="AP151">
        <v>-75</v>
      </c>
      <c r="AQ151">
        <v>102</v>
      </c>
      <c r="AR151">
        <v>256</v>
      </c>
      <c r="AZ151">
        <v>1200</v>
      </c>
      <c r="BA151">
        <v>1</v>
      </c>
      <c r="BB151" t="str">
        <f t="shared" si="9"/>
        <v xml:space="preserve">N8080G  </v>
      </c>
      <c r="BC151">
        <v>1</v>
      </c>
      <c r="BE151">
        <v>0</v>
      </c>
      <c r="BF151">
        <v>0</v>
      </c>
      <c r="BG151">
        <v>0</v>
      </c>
      <c r="BH151">
        <v>1825</v>
      </c>
      <c r="BI151">
        <v>1</v>
      </c>
      <c r="BJ151">
        <v>1</v>
      </c>
      <c r="BK151">
        <v>1</v>
      </c>
      <c r="BL151">
        <v>0</v>
      </c>
      <c r="BO151">
        <v>0</v>
      </c>
      <c r="BP151">
        <v>0</v>
      </c>
      <c r="BW151" t="str">
        <f>"20:11:49.546"</f>
        <v>20:11:49.546</v>
      </c>
      <c r="CJ151">
        <v>0</v>
      </c>
      <c r="CK151">
        <v>2</v>
      </c>
      <c r="CL151">
        <v>0</v>
      </c>
      <c r="CM151">
        <v>2</v>
      </c>
      <c r="CN151">
        <v>0</v>
      </c>
      <c r="CO151">
        <v>5</v>
      </c>
      <c r="CP151" t="s">
        <v>119</v>
      </c>
      <c r="CQ151">
        <v>559</v>
      </c>
      <c r="CR151">
        <v>0</v>
      </c>
      <c r="CW151">
        <v>10389850</v>
      </c>
      <c r="CY151">
        <v>0</v>
      </c>
      <c r="CZ151">
        <v>0</v>
      </c>
      <c r="DA151">
        <v>1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</row>
    <row r="152" spans="1:113" x14ac:dyDescent="0.3">
      <c r="A152" t="str">
        <f>"02/08/2021 20:11:47.210"</f>
        <v>02/08/2021 20:11:47.210</v>
      </c>
      <c r="C152" t="str">
        <f t="shared" si="8"/>
        <v>FFDFD3C0</v>
      </c>
      <c r="D152" t="s">
        <v>113</v>
      </c>
      <c r="E152">
        <v>6</v>
      </c>
      <c r="H152">
        <v>165</v>
      </c>
      <c r="I152" t="s">
        <v>114</v>
      </c>
      <c r="J152" t="s">
        <v>115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>"20:11:49.539"</f>
        <v>20:11:49.539</v>
      </c>
      <c r="U152" t="str">
        <f t="shared" si="7"/>
        <v>AB01F4</v>
      </c>
      <c r="V152">
        <v>0</v>
      </c>
      <c r="W152">
        <v>0</v>
      </c>
      <c r="X152">
        <v>1</v>
      </c>
      <c r="Z152">
        <v>0</v>
      </c>
      <c r="AA152">
        <v>9</v>
      </c>
      <c r="AB152">
        <v>3</v>
      </c>
      <c r="AC152">
        <v>0</v>
      </c>
      <c r="AD152">
        <v>10</v>
      </c>
      <c r="AE152">
        <v>0</v>
      </c>
      <c r="AF152">
        <v>3</v>
      </c>
      <c r="AG152">
        <v>2</v>
      </c>
      <c r="AH152">
        <v>0</v>
      </c>
      <c r="AI152" t="s">
        <v>238</v>
      </c>
      <c r="AJ152">
        <v>39.508659999999999</v>
      </c>
      <c r="AK152" t="s">
        <v>239</v>
      </c>
      <c r="AL152">
        <v>-92.436390000000003</v>
      </c>
      <c r="AM152">
        <v>100</v>
      </c>
      <c r="AN152">
        <v>1800</v>
      </c>
      <c r="AO152" t="s">
        <v>118</v>
      </c>
      <c r="AP152">
        <v>-75</v>
      </c>
      <c r="AQ152">
        <v>102</v>
      </c>
      <c r="AR152">
        <v>256</v>
      </c>
      <c r="AZ152">
        <v>1200</v>
      </c>
      <c r="BA152">
        <v>1</v>
      </c>
      <c r="BB152" t="str">
        <f t="shared" si="9"/>
        <v xml:space="preserve">N8080G  </v>
      </c>
      <c r="BC152">
        <v>1</v>
      </c>
      <c r="BE152">
        <v>0</v>
      </c>
      <c r="BF152">
        <v>0</v>
      </c>
      <c r="BG152">
        <v>0</v>
      </c>
      <c r="BH152">
        <v>1825</v>
      </c>
      <c r="BI152">
        <v>1</v>
      </c>
      <c r="BJ152">
        <v>1</v>
      </c>
      <c r="BK152">
        <v>1</v>
      </c>
      <c r="BL152">
        <v>0</v>
      </c>
      <c r="BO152">
        <v>0</v>
      </c>
      <c r="BP152">
        <v>0</v>
      </c>
      <c r="BW152" t="str">
        <f>"20:11:49.546"</f>
        <v>20:11:49.546</v>
      </c>
      <c r="CJ152">
        <v>0</v>
      </c>
      <c r="CK152">
        <v>2</v>
      </c>
      <c r="CL152">
        <v>0</v>
      </c>
      <c r="CM152">
        <v>2</v>
      </c>
      <c r="CN152">
        <v>0</v>
      </c>
      <c r="CO152">
        <v>5</v>
      </c>
      <c r="CP152" t="s">
        <v>119</v>
      </c>
      <c r="CQ152">
        <v>559</v>
      </c>
      <c r="CR152">
        <v>0</v>
      </c>
      <c r="CW152">
        <v>10389850</v>
      </c>
      <c r="CY152">
        <v>0</v>
      </c>
      <c r="CZ152">
        <v>0</v>
      </c>
      <c r="DA152">
        <v>1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</row>
    <row r="153" spans="1:113" x14ac:dyDescent="0.3">
      <c r="A153" t="str">
        <f>"02/08/2021 20:11:50.310"</f>
        <v>02/08/2021 20:11:50.310</v>
      </c>
      <c r="C153" t="str">
        <f t="shared" si="8"/>
        <v>FFDFD3C0</v>
      </c>
      <c r="D153" t="s">
        <v>113</v>
      </c>
      <c r="E153">
        <v>6</v>
      </c>
      <c r="H153">
        <v>165</v>
      </c>
      <c r="I153" t="s">
        <v>114</v>
      </c>
      <c r="J153" t="s">
        <v>115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>"20:11:52.617"</f>
        <v>20:11:52.617</v>
      </c>
      <c r="U153" t="str">
        <f t="shared" si="7"/>
        <v>AB01F4</v>
      </c>
      <c r="V153">
        <v>0</v>
      </c>
      <c r="W153">
        <v>0</v>
      </c>
      <c r="X153">
        <v>1</v>
      </c>
      <c r="Z153">
        <v>0</v>
      </c>
      <c r="AA153">
        <v>9</v>
      </c>
      <c r="AB153">
        <v>3</v>
      </c>
      <c r="AC153">
        <v>0</v>
      </c>
      <c r="AD153">
        <v>10</v>
      </c>
      <c r="AE153">
        <v>0</v>
      </c>
      <c r="AF153">
        <v>3</v>
      </c>
      <c r="AG153">
        <v>2</v>
      </c>
      <c r="AH153">
        <v>0</v>
      </c>
      <c r="AI153" t="s">
        <v>240</v>
      </c>
      <c r="AJ153">
        <v>39.51014</v>
      </c>
      <c r="AK153" t="s">
        <v>241</v>
      </c>
      <c r="AL153">
        <v>-92.437742</v>
      </c>
      <c r="AM153">
        <v>100</v>
      </c>
      <c r="AN153">
        <v>1800</v>
      </c>
      <c r="AO153" t="s">
        <v>118</v>
      </c>
      <c r="AP153">
        <v>-75</v>
      </c>
      <c r="AQ153">
        <v>103</v>
      </c>
      <c r="AR153">
        <v>256</v>
      </c>
      <c r="AZ153">
        <v>1200</v>
      </c>
      <c r="BA153">
        <v>1</v>
      </c>
      <c r="BB153" t="str">
        <f t="shared" si="9"/>
        <v xml:space="preserve">N8080G  </v>
      </c>
      <c r="BC153">
        <v>1</v>
      </c>
      <c r="BE153">
        <v>0</v>
      </c>
      <c r="BF153">
        <v>0</v>
      </c>
      <c r="BG153">
        <v>0</v>
      </c>
      <c r="BH153">
        <v>1825</v>
      </c>
      <c r="BI153">
        <v>1</v>
      </c>
      <c r="BJ153">
        <v>1</v>
      </c>
      <c r="BK153">
        <v>1</v>
      </c>
      <c r="BL153">
        <v>0</v>
      </c>
      <c r="BO153">
        <v>0</v>
      </c>
      <c r="BP153">
        <v>0</v>
      </c>
      <c r="BW153" t="str">
        <f>"20:11:52.624"</f>
        <v>20:11:52.624</v>
      </c>
      <c r="CJ153">
        <v>0</v>
      </c>
      <c r="CK153">
        <v>2</v>
      </c>
      <c r="CL153">
        <v>0</v>
      </c>
      <c r="CM153">
        <v>2</v>
      </c>
      <c r="CN153">
        <v>0</v>
      </c>
      <c r="CO153">
        <v>5</v>
      </c>
      <c r="CP153" t="s">
        <v>119</v>
      </c>
      <c r="CQ153">
        <v>559</v>
      </c>
      <c r="CR153">
        <v>0</v>
      </c>
      <c r="CW153">
        <v>10390332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</row>
    <row r="154" spans="1:113" x14ac:dyDescent="0.3">
      <c r="A154" t="str">
        <f>"02/08/2021 20:11:50.310"</f>
        <v>02/08/2021 20:11:50.310</v>
      </c>
      <c r="C154" t="str">
        <f t="shared" si="8"/>
        <v>FFDFD3C0</v>
      </c>
      <c r="D154" t="s">
        <v>124</v>
      </c>
      <c r="E154">
        <v>13</v>
      </c>
      <c r="F154">
        <v>1013</v>
      </c>
      <c r="G154" t="s">
        <v>114</v>
      </c>
      <c r="J154" t="s">
        <v>125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>"20:11:52.617"</f>
        <v>20:11:52.617</v>
      </c>
      <c r="U154" t="str">
        <f t="shared" si="7"/>
        <v>AB01F4</v>
      </c>
      <c r="V154">
        <v>0</v>
      </c>
      <c r="W154">
        <v>0</v>
      </c>
      <c r="X154">
        <v>1</v>
      </c>
      <c r="Z154">
        <v>0</v>
      </c>
      <c r="AA154">
        <v>9</v>
      </c>
      <c r="AB154">
        <v>3</v>
      </c>
      <c r="AC154">
        <v>0</v>
      </c>
      <c r="AD154">
        <v>10</v>
      </c>
      <c r="AE154">
        <v>0</v>
      </c>
      <c r="AF154">
        <v>3</v>
      </c>
      <c r="AG154">
        <v>2</v>
      </c>
      <c r="AH154">
        <v>0</v>
      </c>
      <c r="AI154" t="s">
        <v>240</v>
      </c>
      <c r="AJ154">
        <v>39.51014</v>
      </c>
      <c r="AK154" t="s">
        <v>241</v>
      </c>
      <c r="AL154">
        <v>-92.437742</v>
      </c>
      <c r="AM154">
        <v>100</v>
      </c>
      <c r="AN154">
        <v>1800</v>
      </c>
      <c r="AO154" t="s">
        <v>118</v>
      </c>
      <c r="AP154">
        <v>-75</v>
      </c>
      <c r="AQ154">
        <v>103</v>
      </c>
      <c r="AR154">
        <v>256</v>
      </c>
      <c r="AZ154">
        <v>1200</v>
      </c>
      <c r="BA154">
        <v>1</v>
      </c>
      <c r="BB154" t="str">
        <f t="shared" si="9"/>
        <v xml:space="preserve">N8080G  </v>
      </c>
      <c r="BC154">
        <v>1</v>
      </c>
      <c r="BE154">
        <v>0</v>
      </c>
      <c r="BF154">
        <v>0</v>
      </c>
      <c r="BG154">
        <v>0</v>
      </c>
      <c r="BH154">
        <v>1825</v>
      </c>
      <c r="BI154">
        <v>1</v>
      </c>
      <c r="BJ154">
        <v>1</v>
      </c>
      <c r="BK154">
        <v>1</v>
      </c>
      <c r="BL154">
        <v>0</v>
      </c>
      <c r="BO154">
        <v>0</v>
      </c>
      <c r="BP154">
        <v>0</v>
      </c>
      <c r="BW154" t="str">
        <f>"20:11:52.624"</f>
        <v>20:11:52.624</v>
      </c>
      <c r="CJ154">
        <v>0</v>
      </c>
      <c r="CK154">
        <v>2</v>
      </c>
      <c r="CL154">
        <v>0</v>
      </c>
      <c r="CM154">
        <v>2</v>
      </c>
      <c r="CN154">
        <v>0</v>
      </c>
      <c r="CO154">
        <v>5</v>
      </c>
      <c r="CP154" t="s">
        <v>119</v>
      </c>
      <c r="CQ154">
        <v>559</v>
      </c>
      <c r="CR154">
        <v>0</v>
      </c>
      <c r="CW154">
        <v>10390332</v>
      </c>
      <c r="CY154">
        <v>0</v>
      </c>
      <c r="CZ154">
        <v>0</v>
      </c>
      <c r="DA154">
        <v>1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</row>
    <row r="155" spans="1:113" x14ac:dyDescent="0.3">
      <c r="A155" t="str">
        <f>"02/08/2021 20:11:50.310"</f>
        <v>02/08/2021 20:11:50.310</v>
      </c>
      <c r="C155" t="str">
        <f t="shared" si="8"/>
        <v>FFDFD3C0</v>
      </c>
      <c r="D155" t="s">
        <v>141</v>
      </c>
      <c r="E155">
        <v>17</v>
      </c>
      <c r="H155">
        <v>256</v>
      </c>
      <c r="I155" t="s">
        <v>142</v>
      </c>
      <c r="J155" t="s">
        <v>143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>"20:11:52.617"</f>
        <v>20:11:52.617</v>
      </c>
      <c r="U155" t="str">
        <f t="shared" si="7"/>
        <v>AB01F4</v>
      </c>
      <c r="V155">
        <v>0</v>
      </c>
      <c r="W155">
        <v>0</v>
      </c>
      <c r="X155">
        <v>1</v>
      </c>
      <c r="Z155">
        <v>0</v>
      </c>
      <c r="AA155">
        <v>9</v>
      </c>
      <c r="AB155">
        <v>3</v>
      </c>
      <c r="AC155">
        <v>0</v>
      </c>
      <c r="AD155">
        <v>10</v>
      </c>
      <c r="AE155">
        <v>0</v>
      </c>
      <c r="AF155">
        <v>3</v>
      </c>
      <c r="AG155">
        <v>2</v>
      </c>
      <c r="AH155">
        <v>0</v>
      </c>
      <c r="AI155" t="s">
        <v>240</v>
      </c>
      <c r="AJ155">
        <v>39.51014</v>
      </c>
      <c r="AK155" t="s">
        <v>241</v>
      </c>
      <c r="AL155">
        <v>-92.437742</v>
      </c>
      <c r="AM155">
        <v>100</v>
      </c>
      <c r="AN155">
        <v>1800</v>
      </c>
      <c r="AO155" t="s">
        <v>118</v>
      </c>
      <c r="AP155">
        <v>-75</v>
      </c>
      <c r="AQ155">
        <v>103</v>
      </c>
      <c r="AR155">
        <v>256</v>
      </c>
      <c r="AZ155">
        <v>1200</v>
      </c>
      <c r="BA155">
        <v>1</v>
      </c>
      <c r="BB155" t="str">
        <f t="shared" si="9"/>
        <v xml:space="preserve">N8080G  </v>
      </c>
      <c r="BC155">
        <v>1</v>
      </c>
      <c r="BE155">
        <v>0</v>
      </c>
      <c r="BF155">
        <v>0</v>
      </c>
      <c r="BG155">
        <v>0</v>
      </c>
      <c r="BH155">
        <v>1825</v>
      </c>
      <c r="BI155">
        <v>1</v>
      </c>
      <c r="BJ155">
        <v>1</v>
      </c>
      <c r="BK155">
        <v>1</v>
      </c>
      <c r="BL155">
        <v>0</v>
      </c>
      <c r="BO155">
        <v>0</v>
      </c>
      <c r="BP155">
        <v>0</v>
      </c>
      <c r="BW155" t="str">
        <f>"20:11:52.624"</f>
        <v>20:11:52.624</v>
      </c>
      <c r="CJ155">
        <v>0</v>
      </c>
      <c r="CK155">
        <v>2</v>
      </c>
      <c r="CL155">
        <v>0</v>
      </c>
      <c r="CM155">
        <v>2</v>
      </c>
      <c r="CN155">
        <v>0</v>
      </c>
      <c r="CO155">
        <v>5</v>
      </c>
      <c r="CP155" t="s">
        <v>119</v>
      </c>
      <c r="CQ155">
        <v>559</v>
      </c>
      <c r="CR155">
        <v>0</v>
      </c>
      <c r="CW155">
        <v>10390332</v>
      </c>
      <c r="CY155">
        <v>0</v>
      </c>
      <c r="CZ155">
        <v>0</v>
      </c>
      <c r="DA155">
        <v>1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</row>
    <row r="156" spans="1:113" x14ac:dyDescent="0.3">
      <c r="A156" t="str">
        <f>"02/08/2021 20:11:51.336"</f>
        <v>02/08/2021 20:11:51.336</v>
      </c>
      <c r="C156" t="str">
        <f t="shared" si="8"/>
        <v>FFDFD3C0</v>
      </c>
      <c r="D156" t="s">
        <v>124</v>
      </c>
      <c r="E156">
        <v>13</v>
      </c>
      <c r="F156">
        <v>1013</v>
      </c>
      <c r="G156" t="s">
        <v>114</v>
      </c>
      <c r="J156" t="s">
        <v>125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>"20:11:53.672"</f>
        <v>20:11:53.672</v>
      </c>
      <c r="T156" t="str">
        <f>"20:11:53.172"</f>
        <v>20:11:53.172</v>
      </c>
      <c r="U156" t="str">
        <f t="shared" si="7"/>
        <v>AB01F4</v>
      </c>
      <c r="V156">
        <v>0</v>
      </c>
      <c r="W156">
        <v>0</v>
      </c>
      <c r="X156">
        <v>1</v>
      </c>
      <c r="Z156">
        <v>0</v>
      </c>
      <c r="AA156">
        <v>9</v>
      </c>
      <c r="AB156">
        <v>3</v>
      </c>
      <c r="AC156">
        <v>0</v>
      </c>
      <c r="AD156">
        <v>10</v>
      </c>
      <c r="AE156">
        <v>0</v>
      </c>
      <c r="AF156">
        <v>3</v>
      </c>
      <c r="AG156">
        <v>2</v>
      </c>
      <c r="AH156">
        <v>0</v>
      </c>
      <c r="AI156" t="s">
        <v>242</v>
      </c>
      <c r="AJ156">
        <v>39.510612000000002</v>
      </c>
      <c r="AK156" t="s">
        <v>243</v>
      </c>
      <c r="AL156">
        <v>-92.438235000000006</v>
      </c>
      <c r="AM156">
        <v>100</v>
      </c>
      <c r="AN156">
        <v>1800</v>
      </c>
      <c r="AO156" t="s">
        <v>118</v>
      </c>
      <c r="AP156">
        <v>-75</v>
      </c>
      <c r="AQ156">
        <v>103</v>
      </c>
      <c r="AR156">
        <v>256</v>
      </c>
      <c r="AZ156">
        <v>1200</v>
      </c>
      <c r="BA156">
        <v>1</v>
      </c>
      <c r="BB156" t="str">
        <f t="shared" si="9"/>
        <v xml:space="preserve">N8080G  </v>
      </c>
      <c r="BC156">
        <v>1</v>
      </c>
      <c r="BE156">
        <v>0</v>
      </c>
      <c r="BF156">
        <v>0</v>
      </c>
      <c r="BG156">
        <v>0</v>
      </c>
      <c r="BH156">
        <v>1825</v>
      </c>
      <c r="BI156">
        <v>1</v>
      </c>
      <c r="BJ156">
        <v>1</v>
      </c>
      <c r="BK156">
        <v>1</v>
      </c>
      <c r="BL156">
        <v>0</v>
      </c>
      <c r="BO156">
        <v>0</v>
      </c>
      <c r="BP156">
        <v>0</v>
      </c>
      <c r="BW156" t="str">
        <f>"20:11:53.676"</f>
        <v>20:11:53.676</v>
      </c>
      <c r="CJ156">
        <v>0</v>
      </c>
      <c r="CK156">
        <v>2</v>
      </c>
      <c r="CL156">
        <v>0</v>
      </c>
      <c r="CM156">
        <v>2</v>
      </c>
      <c r="CN156">
        <v>0</v>
      </c>
      <c r="CO156">
        <v>5</v>
      </c>
      <c r="CP156" t="s">
        <v>119</v>
      </c>
      <c r="CQ156">
        <v>559</v>
      </c>
      <c r="CR156">
        <v>0</v>
      </c>
      <c r="CW156">
        <v>10390510</v>
      </c>
      <c r="CY156">
        <v>1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</row>
    <row r="157" spans="1:113" x14ac:dyDescent="0.3">
      <c r="A157" t="str">
        <f>"02/08/2021 20:11:51.336"</f>
        <v>02/08/2021 20:11:51.336</v>
      </c>
      <c r="C157" t="str">
        <f t="shared" si="8"/>
        <v>FFDFD3C0</v>
      </c>
      <c r="D157" t="s">
        <v>141</v>
      </c>
      <c r="E157">
        <v>17</v>
      </c>
      <c r="H157">
        <v>256</v>
      </c>
      <c r="I157" t="s">
        <v>142</v>
      </c>
      <c r="J157" t="s">
        <v>143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>"20:11:53.672"</f>
        <v>20:11:53.672</v>
      </c>
      <c r="T157" t="str">
        <f>"20:11:53.172"</f>
        <v>20:11:53.172</v>
      </c>
      <c r="U157" t="str">
        <f t="shared" si="7"/>
        <v>AB01F4</v>
      </c>
      <c r="V157">
        <v>0</v>
      </c>
      <c r="W157">
        <v>0</v>
      </c>
      <c r="X157">
        <v>1</v>
      </c>
      <c r="Z157">
        <v>0</v>
      </c>
      <c r="AA157">
        <v>9</v>
      </c>
      <c r="AB157">
        <v>3</v>
      </c>
      <c r="AC157">
        <v>0</v>
      </c>
      <c r="AD157">
        <v>10</v>
      </c>
      <c r="AE157">
        <v>0</v>
      </c>
      <c r="AF157">
        <v>3</v>
      </c>
      <c r="AG157">
        <v>2</v>
      </c>
      <c r="AH157">
        <v>0</v>
      </c>
      <c r="AI157" t="s">
        <v>242</v>
      </c>
      <c r="AJ157">
        <v>39.510612000000002</v>
      </c>
      <c r="AK157" t="s">
        <v>243</v>
      </c>
      <c r="AL157">
        <v>-92.438235000000006</v>
      </c>
      <c r="AM157">
        <v>100</v>
      </c>
      <c r="AN157">
        <v>1800</v>
      </c>
      <c r="AO157" t="s">
        <v>118</v>
      </c>
      <c r="AP157">
        <v>-75</v>
      </c>
      <c r="AQ157">
        <v>103</v>
      </c>
      <c r="AR157">
        <v>256</v>
      </c>
      <c r="AZ157">
        <v>1200</v>
      </c>
      <c r="BA157">
        <v>1</v>
      </c>
      <c r="BB157" t="str">
        <f t="shared" si="9"/>
        <v xml:space="preserve">N8080G  </v>
      </c>
      <c r="BC157">
        <v>1</v>
      </c>
      <c r="BE157">
        <v>0</v>
      </c>
      <c r="BF157">
        <v>0</v>
      </c>
      <c r="BG157">
        <v>0</v>
      </c>
      <c r="BH157">
        <v>1825</v>
      </c>
      <c r="BI157">
        <v>1</v>
      </c>
      <c r="BJ157">
        <v>1</v>
      </c>
      <c r="BK157">
        <v>1</v>
      </c>
      <c r="BL157">
        <v>0</v>
      </c>
      <c r="BO157">
        <v>0</v>
      </c>
      <c r="BP157">
        <v>0</v>
      </c>
      <c r="BW157" t="str">
        <f>"20:11:53.676"</f>
        <v>20:11:53.676</v>
      </c>
      <c r="CJ157">
        <v>0</v>
      </c>
      <c r="CK157">
        <v>2</v>
      </c>
      <c r="CL157">
        <v>0</v>
      </c>
      <c r="CM157">
        <v>2</v>
      </c>
      <c r="CN157">
        <v>0</v>
      </c>
      <c r="CO157">
        <v>5</v>
      </c>
      <c r="CP157" t="s">
        <v>119</v>
      </c>
      <c r="CQ157">
        <v>559</v>
      </c>
      <c r="CR157">
        <v>0</v>
      </c>
      <c r="CW157">
        <v>10390510</v>
      </c>
      <c r="CY157">
        <v>1</v>
      </c>
      <c r="CZ157">
        <v>0</v>
      </c>
      <c r="DA157">
        <v>1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</row>
    <row r="158" spans="1:113" x14ac:dyDescent="0.3">
      <c r="A158" t="str">
        <f>"02/08/2021 20:11:51.336"</f>
        <v>02/08/2021 20:11:51.336</v>
      </c>
      <c r="C158" t="str">
        <f t="shared" si="8"/>
        <v>FFDFD3C0</v>
      </c>
      <c r="D158" t="s">
        <v>113</v>
      </c>
      <c r="E158">
        <v>6</v>
      </c>
      <c r="H158">
        <v>165</v>
      </c>
      <c r="I158" t="s">
        <v>114</v>
      </c>
      <c r="J158" t="s">
        <v>115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"20:11:53.672"</f>
        <v>20:11:53.672</v>
      </c>
      <c r="T158" t="str">
        <f>"20:11:53.172"</f>
        <v>20:11:53.172</v>
      </c>
      <c r="U158" t="str">
        <f t="shared" si="7"/>
        <v>AB01F4</v>
      </c>
      <c r="V158">
        <v>0</v>
      </c>
      <c r="W158">
        <v>0</v>
      </c>
      <c r="X158">
        <v>1</v>
      </c>
      <c r="Z158">
        <v>0</v>
      </c>
      <c r="AA158">
        <v>9</v>
      </c>
      <c r="AB158">
        <v>3</v>
      </c>
      <c r="AC158">
        <v>0</v>
      </c>
      <c r="AD158">
        <v>10</v>
      </c>
      <c r="AE158">
        <v>0</v>
      </c>
      <c r="AF158">
        <v>3</v>
      </c>
      <c r="AG158">
        <v>2</v>
      </c>
      <c r="AH158">
        <v>0</v>
      </c>
      <c r="AI158" t="s">
        <v>242</v>
      </c>
      <c r="AJ158">
        <v>39.510612000000002</v>
      </c>
      <c r="AK158" t="s">
        <v>243</v>
      </c>
      <c r="AL158">
        <v>-92.438235000000006</v>
      </c>
      <c r="AM158">
        <v>100</v>
      </c>
      <c r="AN158">
        <v>1800</v>
      </c>
      <c r="AO158" t="s">
        <v>118</v>
      </c>
      <c r="AP158">
        <v>-75</v>
      </c>
      <c r="AQ158">
        <v>103</v>
      </c>
      <c r="AR158">
        <v>256</v>
      </c>
      <c r="AZ158">
        <v>1200</v>
      </c>
      <c r="BA158">
        <v>1</v>
      </c>
      <c r="BB158" t="str">
        <f t="shared" si="9"/>
        <v xml:space="preserve">N8080G  </v>
      </c>
      <c r="BC158">
        <v>1</v>
      </c>
      <c r="BE158">
        <v>0</v>
      </c>
      <c r="BF158">
        <v>0</v>
      </c>
      <c r="BG158">
        <v>0</v>
      </c>
      <c r="BH158">
        <v>1825</v>
      </c>
      <c r="BI158">
        <v>1</v>
      </c>
      <c r="BJ158">
        <v>1</v>
      </c>
      <c r="BK158">
        <v>1</v>
      </c>
      <c r="BL158">
        <v>0</v>
      </c>
      <c r="BO158">
        <v>0</v>
      </c>
      <c r="BP158">
        <v>0</v>
      </c>
      <c r="BW158" t="str">
        <f>"20:11:53.676"</f>
        <v>20:11:53.676</v>
      </c>
      <c r="CJ158">
        <v>0</v>
      </c>
      <c r="CK158">
        <v>2</v>
      </c>
      <c r="CL158">
        <v>0</v>
      </c>
      <c r="CM158">
        <v>2</v>
      </c>
      <c r="CN158">
        <v>0</v>
      </c>
      <c r="CO158">
        <v>5</v>
      </c>
      <c r="CP158" t="s">
        <v>119</v>
      </c>
      <c r="CQ158">
        <v>559</v>
      </c>
      <c r="CR158">
        <v>0</v>
      </c>
      <c r="CW158">
        <v>10390510</v>
      </c>
      <c r="CY158">
        <v>1</v>
      </c>
      <c r="CZ158">
        <v>0</v>
      </c>
      <c r="DA158">
        <v>1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</row>
    <row r="159" spans="1:113" x14ac:dyDescent="0.3">
      <c r="A159" t="str">
        <f>"02/08/2021 20:11:52.384"</f>
        <v>02/08/2021 20:11:52.384</v>
      </c>
      <c r="C159" t="str">
        <f t="shared" si="8"/>
        <v>FFDFD3C0</v>
      </c>
      <c r="D159" t="s">
        <v>113</v>
      </c>
      <c r="E159">
        <v>6</v>
      </c>
      <c r="H159">
        <v>165</v>
      </c>
      <c r="I159" t="s">
        <v>114</v>
      </c>
      <c r="J159" t="s">
        <v>115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"20:11:54.711"</f>
        <v>20:11:54.711</v>
      </c>
      <c r="T159" t="str">
        <f>"20:11:54.211"</f>
        <v>20:11:54.211</v>
      </c>
      <c r="U159" t="str">
        <f t="shared" si="7"/>
        <v>AB01F4</v>
      </c>
      <c r="V159">
        <v>0</v>
      </c>
      <c r="W159">
        <v>0</v>
      </c>
      <c r="X159">
        <v>1</v>
      </c>
      <c r="Z159">
        <v>0</v>
      </c>
      <c r="AA159">
        <v>9</v>
      </c>
      <c r="AB159">
        <v>3</v>
      </c>
      <c r="AC159">
        <v>0</v>
      </c>
      <c r="AD159">
        <v>10</v>
      </c>
      <c r="AE159">
        <v>0</v>
      </c>
      <c r="AF159">
        <v>3</v>
      </c>
      <c r="AG159">
        <v>2</v>
      </c>
      <c r="AH159">
        <v>0</v>
      </c>
      <c r="AI159" t="s">
        <v>244</v>
      </c>
      <c r="AJ159">
        <v>39.511149000000003</v>
      </c>
      <c r="AK159" t="s">
        <v>245</v>
      </c>
      <c r="AL159">
        <v>-92.438728999999995</v>
      </c>
      <c r="AM159">
        <v>100</v>
      </c>
      <c r="AN159">
        <v>1900</v>
      </c>
      <c r="AO159" t="s">
        <v>118</v>
      </c>
      <c r="AP159">
        <v>-75</v>
      </c>
      <c r="AQ159">
        <v>103</v>
      </c>
      <c r="AR159">
        <v>320</v>
      </c>
      <c r="AZ159">
        <v>1200</v>
      </c>
      <c r="BA159">
        <v>1</v>
      </c>
      <c r="BB159" t="str">
        <f t="shared" si="9"/>
        <v xml:space="preserve">N8080G  </v>
      </c>
      <c r="BC159">
        <v>1</v>
      </c>
      <c r="BE159">
        <v>0</v>
      </c>
      <c r="BF159">
        <v>0</v>
      </c>
      <c r="BG159">
        <v>0</v>
      </c>
      <c r="BH159">
        <v>1825</v>
      </c>
      <c r="BI159">
        <v>1</v>
      </c>
      <c r="BJ159">
        <v>1</v>
      </c>
      <c r="BK159">
        <v>1</v>
      </c>
      <c r="BL159">
        <v>0</v>
      </c>
      <c r="BO159">
        <v>0</v>
      </c>
      <c r="BP159">
        <v>0</v>
      </c>
      <c r="BW159" t="str">
        <f>"20:11:54.713"</f>
        <v>20:11:54.713</v>
      </c>
      <c r="CJ159">
        <v>0</v>
      </c>
      <c r="CK159">
        <v>2</v>
      </c>
      <c r="CL159">
        <v>0</v>
      </c>
      <c r="CM159">
        <v>2</v>
      </c>
      <c r="CN159">
        <v>0</v>
      </c>
      <c r="CO159">
        <v>6</v>
      </c>
      <c r="CP159" t="s">
        <v>119</v>
      </c>
      <c r="CQ159">
        <v>180</v>
      </c>
      <c r="CR159">
        <v>2</v>
      </c>
      <c r="CW159">
        <v>7764990</v>
      </c>
      <c r="CY159">
        <v>1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</row>
    <row r="160" spans="1:113" x14ac:dyDescent="0.3">
      <c r="A160" t="str">
        <f>"02/08/2021 20:11:52.384"</f>
        <v>02/08/2021 20:11:52.384</v>
      </c>
      <c r="C160" t="str">
        <f t="shared" si="8"/>
        <v>FFDFD3C0</v>
      </c>
      <c r="D160" t="s">
        <v>124</v>
      </c>
      <c r="E160">
        <v>13</v>
      </c>
      <c r="F160">
        <v>1013</v>
      </c>
      <c r="G160" t="s">
        <v>114</v>
      </c>
      <c r="J160" t="s">
        <v>125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"20:11:54.711"</f>
        <v>20:11:54.711</v>
      </c>
      <c r="T160" t="str">
        <f>"20:11:54.211"</f>
        <v>20:11:54.211</v>
      </c>
      <c r="U160" t="str">
        <f t="shared" si="7"/>
        <v>AB01F4</v>
      </c>
      <c r="V160">
        <v>0</v>
      </c>
      <c r="W160">
        <v>0</v>
      </c>
      <c r="X160">
        <v>1</v>
      </c>
      <c r="Z160">
        <v>0</v>
      </c>
      <c r="AA160">
        <v>9</v>
      </c>
      <c r="AB160">
        <v>3</v>
      </c>
      <c r="AC160">
        <v>0</v>
      </c>
      <c r="AD160">
        <v>10</v>
      </c>
      <c r="AE160">
        <v>0</v>
      </c>
      <c r="AF160">
        <v>3</v>
      </c>
      <c r="AG160">
        <v>2</v>
      </c>
      <c r="AH160">
        <v>0</v>
      </c>
      <c r="AI160" t="s">
        <v>244</v>
      </c>
      <c r="AJ160">
        <v>39.511149000000003</v>
      </c>
      <c r="AK160" t="s">
        <v>245</v>
      </c>
      <c r="AL160">
        <v>-92.438728999999995</v>
      </c>
      <c r="AM160">
        <v>100</v>
      </c>
      <c r="AN160">
        <v>1900</v>
      </c>
      <c r="AO160" t="s">
        <v>118</v>
      </c>
      <c r="AP160">
        <v>-75</v>
      </c>
      <c r="AQ160">
        <v>103</v>
      </c>
      <c r="AR160">
        <v>320</v>
      </c>
      <c r="AZ160">
        <v>1200</v>
      </c>
      <c r="BA160">
        <v>1</v>
      </c>
      <c r="BB160" t="str">
        <f t="shared" si="9"/>
        <v xml:space="preserve">N8080G  </v>
      </c>
      <c r="BC160">
        <v>1</v>
      </c>
      <c r="BE160">
        <v>0</v>
      </c>
      <c r="BF160">
        <v>0</v>
      </c>
      <c r="BG160">
        <v>0</v>
      </c>
      <c r="BH160">
        <v>1825</v>
      </c>
      <c r="BI160">
        <v>1</v>
      </c>
      <c r="BJ160">
        <v>1</v>
      </c>
      <c r="BK160">
        <v>1</v>
      </c>
      <c r="BL160">
        <v>0</v>
      </c>
      <c r="BO160">
        <v>0</v>
      </c>
      <c r="BP160">
        <v>0</v>
      </c>
      <c r="BW160" t="str">
        <f>"20:11:54.713"</f>
        <v>20:11:54.713</v>
      </c>
      <c r="CJ160">
        <v>0</v>
      </c>
      <c r="CK160">
        <v>2</v>
      </c>
      <c r="CL160">
        <v>0</v>
      </c>
      <c r="CM160">
        <v>2</v>
      </c>
      <c r="CN160">
        <v>0</v>
      </c>
      <c r="CO160">
        <v>6</v>
      </c>
      <c r="CP160" t="s">
        <v>119</v>
      </c>
      <c r="CQ160">
        <v>180</v>
      </c>
      <c r="CR160">
        <v>2</v>
      </c>
      <c r="CW160">
        <v>7764990</v>
      </c>
      <c r="CY160">
        <v>1</v>
      </c>
      <c r="CZ160">
        <v>0</v>
      </c>
      <c r="DA160">
        <v>1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</row>
    <row r="161" spans="1:113" x14ac:dyDescent="0.3">
      <c r="A161" t="str">
        <f>"02/08/2021 20:11:52.384"</f>
        <v>02/08/2021 20:11:52.384</v>
      </c>
      <c r="C161" t="str">
        <f t="shared" si="8"/>
        <v>FFDFD3C0</v>
      </c>
      <c r="D161" t="s">
        <v>141</v>
      </c>
      <c r="E161">
        <v>17</v>
      </c>
      <c r="H161">
        <v>256</v>
      </c>
      <c r="I161" t="s">
        <v>142</v>
      </c>
      <c r="J161" t="s">
        <v>143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"20:11:54.711"</f>
        <v>20:11:54.711</v>
      </c>
      <c r="T161" t="str">
        <f>"20:11:54.211"</f>
        <v>20:11:54.211</v>
      </c>
      <c r="U161" t="str">
        <f t="shared" si="7"/>
        <v>AB01F4</v>
      </c>
      <c r="V161">
        <v>0</v>
      </c>
      <c r="W161">
        <v>0</v>
      </c>
      <c r="X161">
        <v>1</v>
      </c>
      <c r="Z161">
        <v>0</v>
      </c>
      <c r="AA161">
        <v>9</v>
      </c>
      <c r="AB161">
        <v>3</v>
      </c>
      <c r="AC161">
        <v>0</v>
      </c>
      <c r="AD161">
        <v>10</v>
      </c>
      <c r="AE161">
        <v>0</v>
      </c>
      <c r="AF161">
        <v>3</v>
      </c>
      <c r="AG161">
        <v>2</v>
      </c>
      <c r="AH161">
        <v>0</v>
      </c>
      <c r="AI161" t="s">
        <v>244</v>
      </c>
      <c r="AJ161">
        <v>39.511149000000003</v>
      </c>
      <c r="AK161" t="s">
        <v>245</v>
      </c>
      <c r="AL161">
        <v>-92.438728999999995</v>
      </c>
      <c r="AM161">
        <v>100</v>
      </c>
      <c r="AN161">
        <v>1900</v>
      </c>
      <c r="AO161" t="s">
        <v>118</v>
      </c>
      <c r="AP161">
        <v>-75</v>
      </c>
      <c r="AQ161">
        <v>103</v>
      </c>
      <c r="AR161">
        <v>320</v>
      </c>
      <c r="AZ161">
        <v>1200</v>
      </c>
      <c r="BA161">
        <v>1</v>
      </c>
      <c r="BB161" t="str">
        <f t="shared" si="9"/>
        <v xml:space="preserve">N8080G  </v>
      </c>
      <c r="BC161">
        <v>1</v>
      </c>
      <c r="BE161">
        <v>0</v>
      </c>
      <c r="BF161">
        <v>0</v>
      </c>
      <c r="BG161">
        <v>0</v>
      </c>
      <c r="BH161">
        <v>1825</v>
      </c>
      <c r="BI161">
        <v>1</v>
      </c>
      <c r="BJ161">
        <v>1</v>
      </c>
      <c r="BK161">
        <v>1</v>
      </c>
      <c r="BL161">
        <v>0</v>
      </c>
      <c r="BO161">
        <v>0</v>
      </c>
      <c r="BP161">
        <v>0</v>
      </c>
      <c r="BW161" t="str">
        <f>"20:11:54.713"</f>
        <v>20:11:54.713</v>
      </c>
      <c r="CJ161">
        <v>0</v>
      </c>
      <c r="CK161">
        <v>2</v>
      </c>
      <c r="CL161">
        <v>0</v>
      </c>
      <c r="CM161">
        <v>2</v>
      </c>
      <c r="CN161">
        <v>0</v>
      </c>
      <c r="CO161">
        <v>5</v>
      </c>
      <c r="CP161" t="s">
        <v>119</v>
      </c>
      <c r="CQ161">
        <v>559</v>
      </c>
      <c r="CR161">
        <v>0</v>
      </c>
      <c r="CW161">
        <v>10390675</v>
      </c>
      <c r="CY161">
        <v>1</v>
      </c>
      <c r="CZ161">
        <v>0</v>
      </c>
      <c r="DA161">
        <v>1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</row>
    <row r="162" spans="1:113" x14ac:dyDescent="0.3">
      <c r="A162" t="str">
        <f>"02/08/2021 20:11:53.394"</f>
        <v>02/08/2021 20:11:53.394</v>
      </c>
      <c r="C162" t="str">
        <f t="shared" si="8"/>
        <v>FFDFD3C0</v>
      </c>
      <c r="D162" t="s">
        <v>113</v>
      </c>
      <c r="E162">
        <v>6</v>
      </c>
      <c r="H162">
        <v>165</v>
      </c>
      <c r="I162" t="s">
        <v>114</v>
      </c>
      <c r="J162" t="s">
        <v>115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"20:11:55.703"</f>
        <v>20:11:55.703</v>
      </c>
      <c r="T162" t="str">
        <f>"20:11:55.203"</f>
        <v>20:11:55.203</v>
      </c>
      <c r="U162" t="str">
        <f t="shared" si="7"/>
        <v>AB01F4</v>
      </c>
      <c r="V162">
        <v>0</v>
      </c>
      <c r="W162">
        <v>0</v>
      </c>
      <c r="X162">
        <v>1</v>
      </c>
      <c r="Z162">
        <v>0</v>
      </c>
      <c r="AA162">
        <v>9</v>
      </c>
      <c r="AB162">
        <v>3</v>
      </c>
      <c r="AC162">
        <v>0</v>
      </c>
      <c r="AD162">
        <v>10</v>
      </c>
      <c r="AE162">
        <v>0</v>
      </c>
      <c r="AF162">
        <v>3</v>
      </c>
      <c r="AG162">
        <v>2</v>
      </c>
      <c r="AH162">
        <v>0</v>
      </c>
      <c r="AI162" t="s">
        <v>246</v>
      </c>
      <c r="AJ162">
        <v>39.511600000000001</v>
      </c>
      <c r="AK162" t="s">
        <v>247</v>
      </c>
      <c r="AL162">
        <v>-92.439137000000002</v>
      </c>
      <c r="AM162">
        <v>100</v>
      </c>
      <c r="AN162">
        <v>1900</v>
      </c>
      <c r="AO162" t="s">
        <v>118</v>
      </c>
      <c r="AP162">
        <v>-75</v>
      </c>
      <c r="AQ162">
        <v>103</v>
      </c>
      <c r="AR162">
        <v>320</v>
      </c>
      <c r="AZ162">
        <v>1200</v>
      </c>
      <c r="BA162">
        <v>1</v>
      </c>
      <c r="BB162" t="str">
        <f t="shared" si="9"/>
        <v xml:space="preserve">N8080G  </v>
      </c>
      <c r="BC162">
        <v>1</v>
      </c>
      <c r="BE162">
        <v>0</v>
      </c>
      <c r="BF162">
        <v>0</v>
      </c>
      <c r="BG162">
        <v>0</v>
      </c>
      <c r="BH162">
        <v>1850</v>
      </c>
      <c r="BI162">
        <v>1</v>
      </c>
      <c r="BJ162">
        <v>1</v>
      </c>
      <c r="BK162">
        <v>1</v>
      </c>
      <c r="BL162">
        <v>0</v>
      </c>
      <c r="BO162">
        <v>0</v>
      </c>
      <c r="BP162">
        <v>0</v>
      </c>
      <c r="BW162" t="str">
        <f>"20:11:55.706"</f>
        <v>20:11:55.706</v>
      </c>
      <c r="CJ162">
        <v>0</v>
      </c>
      <c r="CK162">
        <v>2</v>
      </c>
      <c r="CL162">
        <v>0</v>
      </c>
      <c r="CM162">
        <v>2</v>
      </c>
      <c r="CN162">
        <v>0</v>
      </c>
      <c r="CO162">
        <v>5</v>
      </c>
      <c r="CP162" t="s">
        <v>119</v>
      </c>
      <c r="CQ162">
        <v>559</v>
      </c>
      <c r="CR162">
        <v>0</v>
      </c>
      <c r="CW162">
        <v>10390838</v>
      </c>
      <c r="CY162">
        <v>1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</row>
    <row r="163" spans="1:113" x14ac:dyDescent="0.3">
      <c r="A163" t="str">
        <f>"02/08/2021 20:11:53.394"</f>
        <v>02/08/2021 20:11:53.394</v>
      </c>
      <c r="C163" t="str">
        <f t="shared" si="8"/>
        <v>FFDFD3C0</v>
      </c>
      <c r="D163" t="s">
        <v>124</v>
      </c>
      <c r="E163">
        <v>13</v>
      </c>
      <c r="F163">
        <v>1013</v>
      </c>
      <c r="G163" t="s">
        <v>114</v>
      </c>
      <c r="J163" t="s">
        <v>125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"20:11:55.703"</f>
        <v>20:11:55.703</v>
      </c>
      <c r="T163" t="str">
        <f>"20:11:55.203"</f>
        <v>20:11:55.203</v>
      </c>
      <c r="U163" t="str">
        <f t="shared" si="7"/>
        <v>AB01F4</v>
      </c>
      <c r="V163">
        <v>0</v>
      </c>
      <c r="W163">
        <v>0</v>
      </c>
      <c r="X163">
        <v>1</v>
      </c>
      <c r="Z163">
        <v>0</v>
      </c>
      <c r="AA163">
        <v>9</v>
      </c>
      <c r="AB163">
        <v>3</v>
      </c>
      <c r="AC163">
        <v>0</v>
      </c>
      <c r="AD163">
        <v>10</v>
      </c>
      <c r="AE163">
        <v>0</v>
      </c>
      <c r="AF163">
        <v>3</v>
      </c>
      <c r="AG163">
        <v>2</v>
      </c>
      <c r="AH163">
        <v>0</v>
      </c>
      <c r="AI163" t="s">
        <v>246</v>
      </c>
      <c r="AJ163">
        <v>39.511600000000001</v>
      </c>
      <c r="AK163" t="s">
        <v>247</v>
      </c>
      <c r="AL163">
        <v>-92.439137000000002</v>
      </c>
      <c r="AM163">
        <v>100</v>
      </c>
      <c r="AN163">
        <v>1900</v>
      </c>
      <c r="AO163" t="s">
        <v>118</v>
      </c>
      <c r="AP163">
        <v>-75</v>
      </c>
      <c r="AQ163">
        <v>103</v>
      </c>
      <c r="AR163">
        <v>320</v>
      </c>
      <c r="AZ163">
        <v>1200</v>
      </c>
      <c r="BA163">
        <v>1</v>
      </c>
      <c r="BB163" t="str">
        <f t="shared" si="9"/>
        <v xml:space="preserve">N8080G  </v>
      </c>
      <c r="BC163">
        <v>1</v>
      </c>
      <c r="BE163">
        <v>0</v>
      </c>
      <c r="BF163">
        <v>0</v>
      </c>
      <c r="BG163">
        <v>0</v>
      </c>
      <c r="BH163">
        <v>1850</v>
      </c>
      <c r="BI163">
        <v>1</v>
      </c>
      <c r="BJ163">
        <v>1</v>
      </c>
      <c r="BK163">
        <v>1</v>
      </c>
      <c r="BL163">
        <v>0</v>
      </c>
      <c r="BO163">
        <v>0</v>
      </c>
      <c r="BP163">
        <v>0</v>
      </c>
      <c r="BW163" t="str">
        <f>"20:11:55.706"</f>
        <v>20:11:55.706</v>
      </c>
      <c r="CJ163">
        <v>0</v>
      </c>
      <c r="CK163">
        <v>2</v>
      </c>
      <c r="CL163">
        <v>0</v>
      </c>
      <c r="CM163">
        <v>2</v>
      </c>
      <c r="CN163">
        <v>0</v>
      </c>
      <c r="CO163">
        <v>5</v>
      </c>
      <c r="CP163" t="s">
        <v>119</v>
      </c>
      <c r="CQ163">
        <v>559</v>
      </c>
      <c r="CR163">
        <v>0</v>
      </c>
      <c r="CW163">
        <v>10390838</v>
      </c>
      <c r="CY163">
        <v>1</v>
      </c>
      <c r="CZ163">
        <v>0</v>
      </c>
      <c r="DA163">
        <v>1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</row>
    <row r="164" spans="1:113" x14ac:dyDescent="0.3">
      <c r="A164" t="str">
        <f>"02/08/2021 20:11:53.394"</f>
        <v>02/08/2021 20:11:53.394</v>
      </c>
      <c r="C164" t="str">
        <f t="shared" si="8"/>
        <v>FFDFD3C0</v>
      </c>
      <c r="D164" t="s">
        <v>141</v>
      </c>
      <c r="E164">
        <v>17</v>
      </c>
      <c r="H164">
        <v>256</v>
      </c>
      <c r="I164" t="s">
        <v>142</v>
      </c>
      <c r="J164" t="s">
        <v>143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>"20:11:55.703"</f>
        <v>20:11:55.703</v>
      </c>
      <c r="T164" t="str">
        <f>"20:11:55.203"</f>
        <v>20:11:55.203</v>
      </c>
      <c r="U164" t="str">
        <f t="shared" si="7"/>
        <v>AB01F4</v>
      </c>
      <c r="V164">
        <v>0</v>
      </c>
      <c r="W164">
        <v>0</v>
      </c>
      <c r="X164">
        <v>1</v>
      </c>
      <c r="Z164">
        <v>0</v>
      </c>
      <c r="AA164">
        <v>9</v>
      </c>
      <c r="AB164">
        <v>3</v>
      </c>
      <c r="AC164">
        <v>0</v>
      </c>
      <c r="AD164">
        <v>10</v>
      </c>
      <c r="AE164">
        <v>0</v>
      </c>
      <c r="AF164">
        <v>3</v>
      </c>
      <c r="AG164">
        <v>2</v>
      </c>
      <c r="AH164">
        <v>0</v>
      </c>
      <c r="AI164" t="s">
        <v>246</v>
      </c>
      <c r="AJ164">
        <v>39.511600000000001</v>
      </c>
      <c r="AK164" t="s">
        <v>247</v>
      </c>
      <c r="AL164">
        <v>-92.439137000000002</v>
      </c>
      <c r="AM164">
        <v>100</v>
      </c>
      <c r="AN164">
        <v>1900</v>
      </c>
      <c r="AO164" t="s">
        <v>118</v>
      </c>
      <c r="AP164">
        <v>-75</v>
      </c>
      <c r="AQ164">
        <v>103</v>
      </c>
      <c r="AR164">
        <v>320</v>
      </c>
      <c r="AZ164">
        <v>1200</v>
      </c>
      <c r="BA164">
        <v>1</v>
      </c>
      <c r="BB164" t="str">
        <f t="shared" si="9"/>
        <v xml:space="preserve">N8080G  </v>
      </c>
      <c r="BC164">
        <v>1</v>
      </c>
      <c r="BE164">
        <v>0</v>
      </c>
      <c r="BF164">
        <v>0</v>
      </c>
      <c r="BG164">
        <v>0</v>
      </c>
      <c r="BH164">
        <v>1850</v>
      </c>
      <c r="BI164">
        <v>1</v>
      </c>
      <c r="BJ164">
        <v>1</v>
      </c>
      <c r="BK164">
        <v>1</v>
      </c>
      <c r="BL164">
        <v>0</v>
      </c>
      <c r="BO164">
        <v>0</v>
      </c>
      <c r="BP164">
        <v>0</v>
      </c>
      <c r="BW164" t="str">
        <f>"20:11:55.706"</f>
        <v>20:11:55.706</v>
      </c>
      <c r="CJ164">
        <v>0</v>
      </c>
      <c r="CK164">
        <v>2</v>
      </c>
      <c r="CL164">
        <v>0</v>
      </c>
      <c r="CM164">
        <v>2</v>
      </c>
      <c r="CN164">
        <v>0</v>
      </c>
      <c r="CO164">
        <v>5</v>
      </c>
      <c r="CP164" t="s">
        <v>119</v>
      </c>
      <c r="CQ164">
        <v>559</v>
      </c>
      <c r="CR164">
        <v>0</v>
      </c>
      <c r="CW164">
        <v>10390838</v>
      </c>
      <c r="CY164">
        <v>1</v>
      </c>
      <c r="CZ164">
        <v>0</v>
      </c>
      <c r="DA164">
        <v>1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</row>
    <row r="165" spans="1:113" x14ac:dyDescent="0.3">
      <c r="A165" t="str">
        <f>"02/08/2021 20:11:54.350"</f>
        <v>02/08/2021 20:11:54.350</v>
      </c>
      <c r="C165" t="str">
        <f t="shared" si="8"/>
        <v>FFDFD3C0</v>
      </c>
      <c r="D165" t="s">
        <v>124</v>
      </c>
      <c r="E165">
        <v>13</v>
      </c>
      <c r="F165">
        <v>1013</v>
      </c>
      <c r="G165" t="s">
        <v>114</v>
      </c>
      <c r="J165" t="s">
        <v>125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>"20:11:56.656"</f>
        <v>20:11:56.656</v>
      </c>
      <c r="U165" t="str">
        <f t="shared" si="7"/>
        <v>AB01F4</v>
      </c>
      <c r="V165">
        <v>0</v>
      </c>
      <c r="W165">
        <v>0</v>
      </c>
      <c r="X165">
        <v>1</v>
      </c>
      <c r="Z165">
        <v>0</v>
      </c>
      <c r="AA165">
        <v>9</v>
      </c>
      <c r="AB165">
        <v>3</v>
      </c>
      <c r="AC165">
        <v>0</v>
      </c>
      <c r="AD165">
        <v>10</v>
      </c>
      <c r="AE165">
        <v>0</v>
      </c>
      <c r="AF165">
        <v>3</v>
      </c>
      <c r="AG165">
        <v>2</v>
      </c>
      <c r="AH165">
        <v>0</v>
      </c>
      <c r="AI165" t="s">
        <v>248</v>
      </c>
      <c r="AJ165">
        <v>39.512050000000002</v>
      </c>
      <c r="AK165" t="s">
        <v>249</v>
      </c>
      <c r="AL165">
        <v>-92.439565999999999</v>
      </c>
      <c r="AM165">
        <v>100</v>
      </c>
      <c r="AN165">
        <v>1900</v>
      </c>
      <c r="AO165" t="s">
        <v>118</v>
      </c>
      <c r="AP165">
        <v>-76</v>
      </c>
      <c r="AQ165">
        <v>103</v>
      </c>
      <c r="AR165">
        <v>384</v>
      </c>
      <c r="AZ165">
        <v>1200</v>
      </c>
      <c r="BA165">
        <v>1</v>
      </c>
      <c r="BB165" t="str">
        <f t="shared" si="9"/>
        <v xml:space="preserve">N8080G  </v>
      </c>
      <c r="BC165">
        <v>1</v>
      </c>
      <c r="BE165">
        <v>0</v>
      </c>
      <c r="BF165">
        <v>0</v>
      </c>
      <c r="BG165">
        <v>0</v>
      </c>
      <c r="BH165">
        <v>1850</v>
      </c>
      <c r="BI165">
        <v>1</v>
      </c>
      <c r="BJ165">
        <v>1</v>
      </c>
      <c r="BK165">
        <v>1</v>
      </c>
      <c r="BL165">
        <v>0</v>
      </c>
      <c r="BO165">
        <v>0</v>
      </c>
      <c r="BP165">
        <v>0</v>
      </c>
      <c r="BW165" t="str">
        <f>"20:11:56.661"</f>
        <v>20:11:56.661</v>
      </c>
      <c r="CJ165">
        <v>0</v>
      </c>
      <c r="CK165">
        <v>2</v>
      </c>
      <c r="CL165">
        <v>0</v>
      </c>
      <c r="CM165">
        <v>2</v>
      </c>
      <c r="CN165">
        <v>0</v>
      </c>
      <c r="CO165">
        <v>5</v>
      </c>
      <c r="CP165" t="s">
        <v>119</v>
      </c>
      <c r="CQ165">
        <v>559</v>
      </c>
      <c r="CR165">
        <v>0</v>
      </c>
      <c r="CW165">
        <v>10390994</v>
      </c>
      <c r="CY165">
        <v>1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</row>
    <row r="166" spans="1:113" x14ac:dyDescent="0.3">
      <c r="A166" t="str">
        <f>"02/08/2021 20:11:54.350"</f>
        <v>02/08/2021 20:11:54.350</v>
      </c>
      <c r="C166" t="str">
        <f t="shared" si="8"/>
        <v>FFDFD3C0</v>
      </c>
      <c r="D166" t="s">
        <v>113</v>
      </c>
      <c r="E166">
        <v>6</v>
      </c>
      <c r="H166">
        <v>165</v>
      </c>
      <c r="I166" t="s">
        <v>114</v>
      </c>
      <c r="J166" t="s">
        <v>115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>"20:11:56.656"</f>
        <v>20:11:56.656</v>
      </c>
      <c r="U166" t="str">
        <f t="shared" si="7"/>
        <v>AB01F4</v>
      </c>
      <c r="V166">
        <v>0</v>
      </c>
      <c r="W166">
        <v>0</v>
      </c>
      <c r="X166">
        <v>1</v>
      </c>
      <c r="Z166">
        <v>0</v>
      </c>
      <c r="AA166">
        <v>9</v>
      </c>
      <c r="AB166">
        <v>3</v>
      </c>
      <c r="AC166">
        <v>0</v>
      </c>
      <c r="AD166">
        <v>10</v>
      </c>
      <c r="AE166">
        <v>0</v>
      </c>
      <c r="AF166">
        <v>3</v>
      </c>
      <c r="AG166">
        <v>2</v>
      </c>
      <c r="AH166">
        <v>0</v>
      </c>
      <c r="AI166" t="s">
        <v>248</v>
      </c>
      <c r="AJ166">
        <v>39.512050000000002</v>
      </c>
      <c r="AK166" t="s">
        <v>249</v>
      </c>
      <c r="AL166">
        <v>-92.439565999999999</v>
      </c>
      <c r="AM166">
        <v>100</v>
      </c>
      <c r="AN166">
        <v>1900</v>
      </c>
      <c r="AO166" t="s">
        <v>118</v>
      </c>
      <c r="AP166">
        <v>-76</v>
      </c>
      <c r="AQ166">
        <v>103</v>
      </c>
      <c r="AR166">
        <v>384</v>
      </c>
      <c r="AZ166">
        <v>1200</v>
      </c>
      <c r="BA166">
        <v>1</v>
      </c>
      <c r="BB166" t="str">
        <f t="shared" si="9"/>
        <v xml:space="preserve">N8080G  </v>
      </c>
      <c r="BC166">
        <v>1</v>
      </c>
      <c r="BE166">
        <v>0</v>
      </c>
      <c r="BF166">
        <v>0</v>
      </c>
      <c r="BG166">
        <v>0</v>
      </c>
      <c r="BH166">
        <v>1850</v>
      </c>
      <c r="BI166">
        <v>1</v>
      </c>
      <c r="BJ166">
        <v>1</v>
      </c>
      <c r="BK166">
        <v>1</v>
      </c>
      <c r="BL166">
        <v>0</v>
      </c>
      <c r="BO166">
        <v>0</v>
      </c>
      <c r="BP166">
        <v>0</v>
      </c>
      <c r="BW166" t="str">
        <f>"20:11:56.661"</f>
        <v>20:11:56.661</v>
      </c>
      <c r="CJ166">
        <v>0</v>
      </c>
      <c r="CK166">
        <v>2</v>
      </c>
      <c r="CL166">
        <v>0</v>
      </c>
      <c r="CM166">
        <v>2</v>
      </c>
      <c r="CN166">
        <v>0</v>
      </c>
      <c r="CO166">
        <v>5</v>
      </c>
      <c r="CP166" t="s">
        <v>119</v>
      </c>
      <c r="CQ166">
        <v>559</v>
      </c>
      <c r="CR166">
        <v>0</v>
      </c>
      <c r="CW166">
        <v>10390994</v>
      </c>
      <c r="CY166">
        <v>1</v>
      </c>
      <c r="CZ166">
        <v>0</v>
      </c>
      <c r="DA166">
        <v>1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</row>
    <row r="167" spans="1:113" x14ac:dyDescent="0.3">
      <c r="A167" t="str">
        <f>"02/08/2021 20:11:54.350"</f>
        <v>02/08/2021 20:11:54.350</v>
      </c>
      <c r="C167" t="str">
        <f t="shared" si="8"/>
        <v>FFDFD3C0</v>
      </c>
      <c r="D167" t="s">
        <v>141</v>
      </c>
      <c r="E167">
        <v>17</v>
      </c>
      <c r="H167">
        <v>256</v>
      </c>
      <c r="I167" t="s">
        <v>142</v>
      </c>
      <c r="J167" t="s">
        <v>143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>"20:11:56.656"</f>
        <v>20:11:56.656</v>
      </c>
      <c r="U167" t="str">
        <f t="shared" si="7"/>
        <v>AB01F4</v>
      </c>
      <c r="V167">
        <v>0</v>
      </c>
      <c r="W167">
        <v>0</v>
      </c>
      <c r="X167">
        <v>1</v>
      </c>
      <c r="Z167">
        <v>0</v>
      </c>
      <c r="AA167">
        <v>9</v>
      </c>
      <c r="AB167">
        <v>3</v>
      </c>
      <c r="AC167">
        <v>0</v>
      </c>
      <c r="AD167">
        <v>10</v>
      </c>
      <c r="AE167">
        <v>0</v>
      </c>
      <c r="AF167">
        <v>3</v>
      </c>
      <c r="AG167">
        <v>2</v>
      </c>
      <c r="AH167">
        <v>0</v>
      </c>
      <c r="AI167" t="s">
        <v>248</v>
      </c>
      <c r="AJ167">
        <v>39.512050000000002</v>
      </c>
      <c r="AK167" t="s">
        <v>249</v>
      </c>
      <c r="AL167">
        <v>-92.439565999999999</v>
      </c>
      <c r="AM167">
        <v>100</v>
      </c>
      <c r="AN167">
        <v>1900</v>
      </c>
      <c r="AO167" t="s">
        <v>118</v>
      </c>
      <c r="AP167">
        <v>-76</v>
      </c>
      <c r="AQ167">
        <v>103</v>
      </c>
      <c r="AR167">
        <v>384</v>
      </c>
      <c r="AZ167">
        <v>1200</v>
      </c>
      <c r="BA167">
        <v>1</v>
      </c>
      <c r="BB167" t="str">
        <f t="shared" si="9"/>
        <v xml:space="preserve">N8080G  </v>
      </c>
      <c r="BC167">
        <v>1</v>
      </c>
      <c r="BE167">
        <v>0</v>
      </c>
      <c r="BF167">
        <v>0</v>
      </c>
      <c r="BG167">
        <v>0</v>
      </c>
      <c r="BH167">
        <v>1850</v>
      </c>
      <c r="BI167">
        <v>1</v>
      </c>
      <c r="BJ167">
        <v>1</v>
      </c>
      <c r="BK167">
        <v>1</v>
      </c>
      <c r="BL167">
        <v>0</v>
      </c>
      <c r="BO167">
        <v>0</v>
      </c>
      <c r="BP167">
        <v>0</v>
      </c>
      <c r="BW167" t="str">
        <f>"20:11:56.661"</f>
        <v>20:11:56.661</v>
      </c>
      <c r="CJ167">
        <v>0</v>
      </c>
      <c r="CK167">
        <v>2</v>
      </c>
      <c r="CL167">
        <v>0</v>
      </c>
      <c r="CM167">
        <v>2</v>
      </c>
      <c r="CN167">
        <v>0</v>
      </c>
      <c r="CO167">
        <v>5</v>
      </c>
      <c r="CP167" t="s">
        <v>119</v>
      </c>
      <c r="CQ167">
        <v>559</v>
      </c>
      <c r="CR167">
        <v>0</v>
      </c>
      <c r="CW167">
        <v>10390994</v>
      </c>
      <c r="CY167">
        <v>1</v>
      </c>
      <c r="CZ167">
        <v>0</v>
      </c>
      <c r="DA167">
        <v>1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</row>
    <row r="168" spans="1:113" x14ac:dyDescent="0.3">
      <c r="A168" t="str">
        <f>"02/08/2021 20:11:55.455"</f>
        <v>02/08/2021 20:11:55.455</v>
      </c>
      <c r="C168" t="str">
        <f t="shared" si="8"/>
        <v>FFDFD3C0</v>
      </c>
      <c r="D168" t="s">
        <v>124</v>
      </c>
      <c r="E168">
        <v>13</v>
      </c>
      <c r="F168">
        <v>1013</v>
      </c>
      <c r="G168" t="s">
        <v>114</v>
      </c>
      <c r="J168" t="s">
        <v>125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"20:11:57.781"</f>
        <v>20:11:57.781</v>
      </c>
      <c r="T168" t="str">
        <f>"20:11:57.281"</f>
        <v>20:11:57.281</v>
      </c>
      <c r="U168" t="str">
        <f t="shared" si="7"/>
        <v>AB01F4</v>
      </c>
      <c r="V168">
        <v>0</v>
      </c>
      <c r="W168">
        <v>0</v>
      </c>
      <c r="X168">
        <v>1</v>
      </c>
      <c r="Z168">
        <v>0</v>
      </c>
      <c r="AA168">
        <v>9</v>
      </c>
      <c r="AB168">
        <v>3</v>
      </c>
      <c r="AC168">
        <v>0</v>
      </c>
      <c r="AD168">
        <v>10</v>
      </c>
      <c r="AE168">
        <v>0</v>
      </c>
      <c r="AF168">
        <v>3</v>
      </c>
      <c r="AG168">
        <v>2</v>
      </c>
      <c r="AH168">
        <v>0</v>
      </c>
      <c r="AI168" t="s">
        <v>250</v>
      </c>
      <c r="AJ168">
        <v>39.512565000000002</v>
      </c>
      <c r="AK168" t="s">
        <v>251</v>
      </c>
      <c r="AL168">
        <v>-92.440101999999996</v>
      </c>
      <c r="AM168">
        <v>100</v>
      </c>
      <c r="AN168">
        <v>1900</v>
      </c>
      <c r="AO168" t="s">
        <v>118</v>
      </c>
      <c r="AP168">
        <v>-76</v>
      </c>
      <c r="AQ168">
        <v>103</v>
      </c>
      <c r="AR168">
        <v>384</v>
      </c>
      <c r="AZ168">
        <v>1200</v>
      </c>
      <c r="BA168">
        <v>1</v>
      </c>
      <c r="BB168" t="str">
        <f t="shared" si="9"/>
        <v xml:space="preserve">N8080G  </v>
      </c>
      <c r="BC168">
        <v>1</v>
      </c>
      <c r="BE168">
        <v>0</v>
      </c>
      <c r="BF168">
        <v>0</v>
      </c>
      <c r="BG168">
        <v>0</v>
      </c>
      <c r="BH168">
        <v>1850</v>
      </c>
      <c r="BI168">
        <v>1</v>
      </c>
      <c r="BJ168">
        <v>1</v>
      </c>
      <c r="BK168">
        <v>1</v>
      </c>
      <c r="BL168">
        <v>0</v>
      </c>
      <c r="BO168">
        <v>0</v>
      </c>
      <c r="BP168">
        <v>0</v>
      </c>
      <c r="BW168" t="str">
        <f>"20:11:57.784"</f>
        <v>20:11:57.784</v>
      </c>
      <c r="CJ168">
        <v>0</v>
      </c>
      <c r="CK168">
        <v>2</v>
      </c>
      <c r="CL168">
        <v>0</v>
      </c>
      <c r="CM168">
        <v>2</v>
      </c>
      <c r="CN168">
        <v>0</v>
      </c>
      <c r="CO168">
        <v>6</v>
      </c>
      <c r="CP168" t="s">
        <v>119</v>
      </c>
      <c r="CQ168">
        <v>180</v>
      </c>
      <c r="CR168">
        <v>1</v>
      </c>
      <c r="CW168">
        <v>10289543</v>
      </c>
      <c r="CY168">
        <v>1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</row>
    <row r="169" spans="1:113" x14ac:dyDescent="0.3">
      <c r="A169" t="str">
        <f>"02/08/2021 20:11:55.455"</f>
        <v>02/08/2021 20:11:55.455</v>
      </c>
      <c r="C169" t="str">
        <f t="shared" si="8"/>
        <v>FFDFD3C0</v>
      </c>
      <c r="D169" t="s">
        <v>141</v>
      </c>
      <c r="E169">
        <v>17</v>
      </c>
      <c r="H169">
        <v>256</v>
      </c>
      <c r="I169" t="s">
        <v>142</v>
      </c>
      <c r="J169" t="s">
        <v>143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"20:11:57.781"</f>
        <v>20:11:57.781</v>
      </c>
      <c r="T169" t="str">
        <f>"20:11:57.281"</f>
        <v>20:11:57.281</v>
      </c>
      <c r="U169" t="str">
        <f t="shared" si="7"/>
        <v>AB01F4</v>
      </c>
      <c r="V169">
        <v>0</v>
      </c>
      <c r="W169">
        <v>0</v>
      </c>
      <c r="X169">
        <v>1</v>
      </c>
      <c r="Z169">
        <v>0</v>
      </c>
      <c r="AA169">
        <v>9</v>
      </c>
      <c r="AB169">
        <v>3</v>
      </c>
      <c r="AC169">
        <v>0</v>
      </c>
      <c r="AD169">
        <v>10</v>
      </c>
      <c r="AE169">
        <v>0</v>
      </c>
      <c r="AF169">
        <v>3</v>
      </c>
      <c r="AG169">
        <v>2</v>
      </c>
      <c r="AH169">
        <v>0</v>
      </c>
      <c r="AI169" t="s">
        <v>250</v>
      </c>
      <c r="AJ169">
        <v>39.512565000000002</v>
      </c>
      <c r="AK169" t="s">
        <v>251</v>
      </c>
      <c r="AL169">
        <v>-92.440101999999996</v>
      </c>
      <c r="AM169">
        <v>100</v>
      </c>
      <c r="AN169">
        <v>1900</v>
      </c>
      <c r="AO169" t="s">
        <v>118</v>
      </c>
      <c r="AP169">
        <v>-76</v>
      </c>
      <c r="AQ169">
        <v>103</v>
      </c>
      <c r="AR169">
        <v>384</v>
      </c>
      <c r="AZ169">
        <v>1200</v>
      </c>
      <c r="BA169">
        <v>1</v>
      </c>
      <c r="BB169" t="str">
        <f t="shared" si="9"/>
        <v xml:space="preserve">N8080G  </v>
      </c>
      <c r="BC169">
        <v>1</v>
      </c>
      <c r="BE169">
        <v>0</v>
      </c>
      <c r="BF169">
        <v>0</v>
      </c>
      <c r="BG169">
        <v>0</v>
      </c>
      <c r="BH169">
        <v>1850</v>
      </c>
      <c r="BI169">
        <v>1</v>
      </c>
      <c r="BJ169">
        <v>1</v>
      </c>
      <c r="BK169">
        <v>1</v>
      </c>
      <c r="BL169">
        <v>0</v>
      </c>
      <c r="BO169">
        <v>0</v>
      </c>
      <c r="BP169">
        <v>0</v>
      </c>
      <c r="BW169" t="str">
        <f>"20:11:57.784"</f>
        <v>20:11:57.784</v>
      </c>
      <c r="CJ169">
        <v>0</v>
      </c>
      <c r="CK169">
        <v>2</v>
      </c>
      <c r="CL169">
        <v>0</v>
      </c>
      <c r="CM169">
        <v>2</v>
      </c>
      <c r="CN169">
        <v>0</v>
      </c>
      <c r="CO169">
        <v>5</v>
      </c>
      <c r="CP169" t="s">
        <v>119</v>
      </c>
      <c r="CQ169">
        <v>559</v>
      </c>
      <c r="CR169">
        <v>0</v>
      </c>
      <c r="CW169">
        <v>10391176</v>
      </c>
      <c r="CY169">
        <v>1</v>
      </c>
      <c r="CZ169">
        <v>0</v>
      </c>
      <c r="DA169">
        <v>1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</row>
    <row r="170" spans="1:113" x14ac:dyDescent="0.3">
      <c r="A170" t="str">
        <f>"02/08/2021 20:11:55.455"</f>
        <v>02/08/2021 20:11:55.455</v>
      </c>
      <c r="C170" t="str">
        <f t="shared" si="8"/>
        <v>FFDFD3C0</v>
      </c>
      <c r="D170" t="s">
        <v>113</v>
      </c>
      <c r="E170">
        <v>6</v>
      </c>
      <c r="H170">
        <v>165</v>
      </c>
      <c r="I170" t="s">
        <v>114</v>
      </c>
      <c r="J170" t="s">
        <v>115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>"20:11:57.781"</f>
        <v>20:11:57.781</v>
      </c>
      <c r="T170" t="str">
        <f>"20:11:57.281"</f>
        <v>20:11:57.281</v>
      </c>
      <c r="U170" t="str">
        <f t="shared" si="7"/>
        <v>AB01F4</v>
      </c>
      <c r="V170">
        <v>0</v>
      </c>
      <c r="W170">
        <v>0</v>
      </c>
      <c r="X170">
        <v>1</v>
      </c>
      <c r="Z170">
        <v>0</v>
      </c>
      <c r="AA170">
        <v>9</v>
      </c>
      <c r="AB170">
        <v>3</v>
      </c>
      <c r="AC170">
        <v>0</v>
      </c>
      <c r="AD170">
        <v>10</v>
      </c>
      <c r="AE170">
        <v>0</v>
      </c>
      <c r="AF170">
        <v>3</v>
      </c>
      <c r="AG170">
        <v>2</v>
      </c>
      <c r="AH170">
        <v>0</v>
      </c>
      <c r="AI170" t="s">
        <v>250</v>
      </c>
      <c r="AJ170">
        <v>39.512565000000002</v>
      </c>
      <c r="AK170" t="s">
        <v>251</v>
      </c>
      <c r="AL170">
        <v>-92.440101999999996</v>
      </c>
      <c r="AM170">
        <v>100</v>
      </c>
      <c r="AN170">
        <v>1900</v>
      </c>
      <c r="AO170" t="s">
        <v>118</v>
      </c>
      <c r="AP170">
        <v>-76</v>
      </c>
      <c r="AQ170">
        <v>103</v>
      </c>
      <c r="AR170">
        <v>384</v>
      </c>
      <c r="AZ170">
        <v>1200</v>
      </c>
      <c r="BA170">
        <v>1</v>
      </c>
      <c r="BB170" t="str">
        <f t="shared" si="9"/>
        <v xml:space="preserve">N8080G  </v>
      </c>
      <c r="BC170">
        <v>1</v>
      </c>
      <c r="BE170">
        <v>0</v>
      </c>
      <c r="BF170">
        <v>0</v>
      </c>
      <c r="BG170">
        <v>0</v>
      </c>
      <c r="BH170">
        <v>1850</v>
      </c>
      <c r="BI170">
        <v>1</v>
      </c>
      <c r="BJ170">
        <v>1</v>
      </c>
      <c r="BK170">
        <v>1</v>
      </c>
      <c r="BL170">
        <v>0</v>
      </c>
      <c r="BO170">
        <v>0</v>
      </c>
      <c r="BP170">
        <v>0</v>
      </c>
      <c r="BW170" t="str">
        <f>"20:11:57.784"</f>
        <v>20:11:57.784</v>
      </c>
      <c r="CJ170">
        <v>0</v>
      </c>
      <c r="CK170">
        <v>2</v>
      </c>
      <c r="CL170">
        <v>0</v>
      </c>
      <c r="CM170">
        <v>2</v>
      </c>
      <c r="CN170">
        <v>0</v>
      </c>
      <c r="CO170">
        <v>6</v>
      </c>
      <c r="CP170" t="s">
        <v>119</v>
      </c>
      <c r="CQ170">
        <v>180</v>
      </c>
      <c r="CR170">
        <v>1</v>
      </c>
      <c r="CW170">
        <v>10289543</v>
      </c>
      <c r="CY170">
        <v>1</v>
      </c>
      <c r="CZ170">
        <v>0</v>
      </c>
      <c r="DA170">
        <v>1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</row>
    <row r="171" spans="1:113" x14ac:dyDescent="0.3">
      <c r="A171" t="str">
        <f>"02/08/2021 20:12:01.384"</f>
        <v>02/08/2021 20:12:01.384</v>
      </c>
      <c r="C171" t="str">
        <f t="shared" si="8"/>
        <v>FFDFD3C0</v>
      </c>
      <c r="D171" t="s">
        <v>113</v>
      </c>
      <c r="E171">
        <v>6</v>
      </c>
      <c r="H171">
        <v>165</v>
      </c>
      <c r="I171" t="s">
        <v>114</v>
      </c>
      <c r="J171" t="s">
        <v>115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>"20:12:03.680"</f>
        <v>20:12:03.680</v>
      </c>
      <c r="T171" t="str">
        <f>"20:12:03.280"</f>
        <v>20:12:03.280</v>
      </c>
      <c r="U171" t="str">
        <f t="shared" si="7"/>
        <v>AB01F4</v>
      </c>
      <c r="V171">
        <v>0</v>
      </c>
      <c r="W171">
        <v>0</v>
      </c>
      <c r="X171">
        <v>1</v>
      </c>
      <c r="Z171">
        <v>0</v>
      </c>
      <c r="AA171">
        <v>9</v>
      </c>
      <c r="AB171">
        <v>3</v>
      </c>
      <c r="AC171">
        <v>0</v>
      </c>
      <c r="AD171">
        <v>10</v>
      </c>
      <c r="AE171">
        <v>0</v>
      </c>
      <c r="AF171">
        <v>3</v>
      </c>
      <c r="AG171">
        <v>2</v>
      </c>
      <c r="AH171">
        <v>0</v>
      </c>
      <c r="AI171" t="s">
        <v>252</v>
      </c>
      <c r="AJ171">
        <v>39.515397999999998</v>
      </c>
      <c r="AK171" t="s">
        <v>253</v>
      </c>
      <c r="AL171">
        <v>-92.442806000000004</v>
      </c>
      <c r="AM171">
        <v>100</v>
      </c>
      <c r="AN171">
        <v>1900</v>
      </c>
      <c r="AO171" t="s">
        <v>118</v>
      </c>
      <c r="AP171">
        <v>-79</v>
      </c>
      <c r="AQ171">
        <v>104</v>
      </c>
      <c r="AR171">
        <v>128</v>
      </c>
      <c r="AZ171">
        <v>1200</v>
      </c>
      <c r="BA171">
        <v>1</v>
      </c>
      <c r="BB171" t="str">
        <f t="shared" si="9"/>
        <v xml:space="preserve">N8080G  </v>
      </c>
      <c r="BC171">
        <v>1</v>
      </c>
      <c r="BE171">
        <v>0</v>
      </c>
      <c r="BF171">
        <v>0</v>
      </c>
      <c r="BG171">
        <v>0</v>
      </c>
      <c r="BH171">
        <v>1875</v>
      </c>
      <c r="BI171">
        <v>1</v>
      </c>
      <c r="BJ171">
        <v>1</v>
      </c>
      <c r="BK171">
        <v>1</v>
      </c>
      <c r="BL171">
        <v>0</v>
      </c>
      <c r="BO171">
        <v>0</v>
      </c>
      <c r="BP171">
        <v>0</v>
      </c>
      <c r="BW171" t="str">
        <f>"20:12:03.684"</f>
        <v>20:12:03.684</v>
      </c>
      <c r="CJ171">
        <v>0</v>
      </c>
      <c r="CK171">
        <v>2</v>
      </c>
      <c r="CL171">
        <v>0</v>
      </c>
      <c r="CM171">
        <v>2</v>
      </c>
      <c r="CN171">
        <v>0</v>
      </c>
      <c r="CO171">
        <v>5</v>
      </c>
      <c r="CP171" t="s">
        <v>119</v>
      </c>
      <c r="CQ171">
        <v>559</v>
      </c>
      <c r="CR171">
        <v>0</v>
      </c>
      <c r="CW171">
        <v>10392111</v>
      </c>
      <c r="CY171">
        <v>1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</row>
    <row r="172" spans="1:113" x14ac:dyDescent="0.3">
      <c r="A172" t="str">
        <f>"02/08/2021 20:12:01.384"</f>
        <v>02/08/2021 20:12:01.384</v>
      </c>
      <c r="C172" t="str">
        <f t="shared" si="8"/>
        <v>FFDFD3C0</v>
      </c>
      <c r="D172" t="s">
        <v>124</v>
      </c>
      <c r="E172">
        <v>13</v>
      </c>
      <c r="F172">
        <v>1013</v>
      </c>
      <c r="G172" t="s">
        <v>114</v>
      </c>
      <c r="J172" t="s">
        <v>125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"20:12:03.680"</f>
        <v>20:12:03.680</v>
      </c>
      <c r="T172" t="str">
        <f>"20:12:03.280"</f>
        <v>20:12:03.280</v>
      </c>
      <c r="U172" t="str">
        <f t="shared" si="7"/>
        <v>AB01F4</v>
      </c>
      <c r="V172">
        <v>0</v>
      </c>
      <c r="W172">
        <v>0</v>
      </c>
      <c r="X172">
        <v>1</v>
      </c>
      <c r="Z172">
        <v>0</v>
      </c>
      <c r="AA172">
        <v>9</v>
      </c>
      <c r="AB172">
        <v>3</v>
      </c>
      <c r="AC172">
        <v>0</v>
      </c>
      <c r="AD172">
        <v>10</v>
      </c>
      <c r="AE172">
        <v>0</v>
      </c>
      <c r="AF172">
        <v>3</v>
      </c>
      <c r="AG172">
        <v>2</v>
      </c>
      <c r="AH172">
        <v>0</v>
      </c>
      <c r="AI172" t="s">
        <v>252</v>
      </c>
      <c r="AJ172">
        <v>39.515397999999998</v>
      </c>
      <c r="AK172" t="s">
        <v>253</v>
      </c>
      <c r="AL172">
        <v>-92.442806000000004</v>
      </c>
      <c r="AM172">
        <v>100</v>
      </c>
      <c r="AN172">
        <v>1900</v>
      </c>
      <c r="AO172" t="s">
        <v>118</v>
      </c>
      <c r="AP172">
        <v>-79</v>
      </c>
      <c r="AQ172">
        <v>104</v>
      </c>
      <c r="AR172">
        <v>128</v>
      </c>
      <c r="AZ172">
        <v>1200</v>
      </c>
      <c r="BA172">
        <v>1</v>
      </c>
      <c r="BB172" t="str">
        <f t="shared" si="9"/>
        <v xml:space="preserve">N8080G  </v>
      </c>
      <c r="BC172">
        <v>1</v>
      </c>
      <c r="BE172">
        <v>0</v>
      </c>
      <c r="BF172">
        <v>0</v>
      </c>
      <c r="BG172">
        <v>0</v>
      </c>
      <c r="BH172">
        <v>1875</v>
      </c>
      <c r="BI172">
        <v>1</v>
      </c>
      <c r="BJ172">
        <v>1</v>
      </c>
      <c r="BK172">
        <v>1</v>
      </c>
      <c r="BL172">
        <v>0</v>
      </c>
      <c r="BO172">
        <v>0</v>
      </c>
      <c r="BP172">
        <v>0</v>
      </c>
      <c r="BW172" t="str">
        <f>"20:12:03.684"</f>
        <v>20:12:03.684</v>
      </c>
      <c r="CJ172">
        <v>0</v>
      </c>
      <c r="CK172">
        <v>2</v>
      </c>
      <c r="CL172">
        <v>0</v>
      </c>
      <c r="CM172">
        <v>2</v>
      </c>
      <c r="CN172">
        <v>0</v>
      </c>
      <c r="CO172">
        <v>5</v>
      </c>
      <c r="CP172" t="s">
        <v>119</v>
      </c>
      <c r="CQ172">
        <v>559</v>
      </c>
      <c r="CR172">
        <v>0</v>
      </c>
      <c r="CW172">
        <v>10392111</v>
      </c>
      <c r="CY172">
        <v>1</v>
      </c>
      <c r="CZ172">
        <v>0</v>
      </c>
      <c r="DA172">
        <v>1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</row>
    <row r="173" spans="1:113" x14ac:dyDescent="0.3">
      <c r="A173" t="str">
        <f>"02/08/2021 20:12:01.384"</f>
        <v>02/08/2021 20:12:01.384</v>
      </c>
      <c r="C173" t="str">
        <f t="shared" si="8"/>
        <v>FFDFD3C0</v>
      </c>
      <c r="D173" t="s">
        <v>141</v>
      </c>
      <c r="E173">
        <v>17</v>
      </c>
      <c r="H173">
        <v>256</v>
      </c>
      <c r="I173" t="s">
        <v>142</v>
      </c>
      <c r="J173" t="s">
        <v>143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"20:12:03.680"</f>
        <v>20:12:03.680</v>
      </c>
      <c r="T173" t="str">
        <f>"20:12:03.280"</f>
        <v>20:12:03.280</v>
      </c>
      <c r="U173" t="str">
        <f t="shared" si="7"/>
        <v>AB01F4</v>
      </c>
      <c r="V173">
        <v>0</v>
      </c>
      <c r="W173">
        <v>0</v>
      </c>
      <c r="X173">
        <v>1</v>
      </c>
      <c r="Z173">
        <v>0</v>
      </c>
      <c r="AA173">
        <v>9</v>
      </c>
      <c r="AB173">
        <v>3</v>
      </c>
      <c r="AC173">
        <v>0</v>
      </c>
      <c r="AD173">
        <v>10</v>
      </c>
      <c r="AE173">
        <v>0</v>
      </c>
      <c r="AF173">
        <v>3</v>
      </c>
      <c r="AG173">
        <v>2</v>
      </c>
      <c r="AH173">
        <v>0</v>
      </c>
      <c r="AI173" t="s">
        <v>252</v>
      </c>
      <c r="AJ173">
        <v>39.515397999999998</v>
      </c>
      <c r="AK173" t="s">
        <v>253</v>
      </c>
      <c r="AL173">
        <v>-92.442806000000004</v>
      </c>
      <c r="AM173">
        <v>100</v>
      </c>
      <c r="AN173">
        <v>1900</v>
      </c>
      <c r="AO173" t="s">
        <v>118</v>
      </c>
      <c r="AP173">
        <v>-79</v>
      </c>
      <c r="AQ173">
        <v>104</v>
      </c>
      <c r="AR173">
        <v>128</v>
      </c>
      <c r="AZ173">
        <v>1200</v>
      </c>
      <c r="BA173">
        <v>1</v>
      </c>
      <c r="BB173" t="str">
        <f t="shared" si="9"/>
        <v xml:space="preserve">N8080G  </v>
      </c>
      <c r="BC173">
        <v>1</v>
      </c>
      <c r="BE173">
        <v>0</v>
      </c>
      <c r="BF173">
        <v>0</v>
      </c>
      <c r="BG173">
        <v>0</v>
      </c>
      <c r="BH173">
        <v>1875</v>
      </c>
      <c r="BI173">
        <v>1</v>
      </c>
      <c r="BJ173">
        <v>1</v>
      </c>
      <c r="BK173">
        <v>1</v>
      </c>
      <c r="BL173">
        <v>0</v>
      </c>
      <c r="BO173">
        <v>0</v>
      </c>
      <c r="BP173">
        <v>0</v>
      </c>
      <c r="BW173" t="str">
        <f>"20:12:03.684"</f>
        <v>20:12:03.684</v>
      </c>
      <c r="CJ173">
        <v>0</v>
      </c>
      <c r="CK173">
        <v>2</v>
      </c>
      <c r="CL173">
        <v>0</v>
      </c>
      <c r="CM173">
        <v>2</v>
      </c>
      <c r="CN173">
        <v>0</v>
      </c>
      <c r="CO173">
        <v>5</v>
      </c>
      <c r="CP173" t="s">
        <v>119</v>
      </c>
      <c r="CQ173">
        <v>559</v>
      </c>
      <c r="CR173">
        <v>0</v>
      </c>
      <c r="CW173">
        <v>10392111</v>
      </c>
      <c r="CY173">
        <v>1</v>
      </c>
      <c r="CZ173">
        <v>0</v>
      </c>
      <c r="DA173">
        <v>1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</row>
    <row r="174" spans="1:113" x14ac:dyDescent="0.3">
      <c r="A174" t="str">
        <f>"02/08/2021 20:12:02.420"</f>
        <v>02/08/2021 20:12:02.420</v>
      </c>
      <c r="C174" t="str">
        <f t="shared" si="8"/>
        <v>FFDFD3C0</v>
      </c>
      <c r="D174" t="s">
        <v>141</v>
      </c>
      <c r="E174">
        <v>17</v>
      </c>
      <c r="H174">
        <v>256</v>
      </c>
      <c r="I174" t="s">
        <v>142</v>
      </c>
      <c r="J174" t="s">
        <v>143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"20:12:04.727"</f>
        <v>20:12:04.727</v>
      </c>
      <c r="T174" t="str">
        <f>"20:12:04.227"</f>
        <v>20:12:04.227</v>
      </c>
      <c r="U174" t="str">
        <f t="shared" si="7"/>
        <v>AB01F4</v>
      </c>
      <c r="V174">
        <v>0</v>
      </c>
      <c r="W174">
        <v>0</v>
      </c>
      <c r="X174">
        <v>1</v>
      </c>
      <c r="Z174">
        <v>0</v>
      </c>
      <c r="AA174">
        <v>9</v>
      </c>
      <c r="AB174">
        <v>3</v>
      </c>
      <c r="AC174">
        <v>0</v>
      </c>
      <c r="AD174">
        <v>10</v>
      </c>
      <c r="AE174">
        <v>0</v>
      </c>
      <c r="AF174">
        <v>3</v>
      </c>
      <c r="AG174">
        <v>2</v>
      </c>
      <c r="AH174">
        <v>0</v>
      </c>
      <c r="AI174" t="s">
        <v>254</v>
      </c>
      <c r="AJ174">
        <v>39.515954999999998</v>
      </c>
      <c r="AK174" t="s">
        <v>255</v>
      </c>
      <c r="AL174">
        <v>-92.443320999999997</v>
      </c>
      <c r="AM174">
        <v>100</v>
      </c>
      <c r="AN174">
        <v>1900</v>
      </c>
      <c r="AO174" t="s">
        <v>118</v>
      </c>
      <c r="AP174">
        <v>-81</v>
      </c>
      <c r="AQ174">
        <v>104</v>
      </c>
      <c r="AR174">
        <v>0</v>
      </c>
      <c r="AZ174">
        <v>1200</v>
      </c>
      <c r="BA174">
        <v>1</v>
      </c>
      <c r="BB174" t="str">
        <f t="shared" si="9"/>
        <v xml:space="preserve">N8080G  </v>
      </c>
      <c r="BC174">
        <v>1</v>
      </c>
      <c r="BE174">
        <v>0</v>
      </c>
      <c r="BF174">
        <v>0</v>
      </c>
      <c r="BG174">
        <v>0</v>
      </c>
      <c r="BH174">
        <v>1875</v>
      </c>
      <c r="BI174">
        <v>1</v>
      </c>
      <c r="BJ174">
        <v>1</v>
      </c>
      <c r="BK174">
        <v>1</v>
      </c>
      <c r="BL174">
        <v>0</v>
      </c>
      <c r="BO174">
        <v>0</v>
      </c>
      <c r="BP174">
        <v>0</v>
      </c>
      <c r="BW174" t="str">
        <f>"20:12:04.727"</f>
        <v>20:12:04.727</v>
      </c>
      <c r="CJ174">
        <v>0</v>
      </c>
      <c r="CK174">
        <v>2</v>
      </c>
      <c r="CL174">
        <v>0</v>
      </c>
      <c r="CM174">
        <v>2</v>
      </c>
      <c r="CN174">
        <v>0</v>
      </c>
      <c r="CO174">
        <v>5</v>
      </c>
      <c r="CP174" t="s">
        <v>119</v>
      </c>
      <c r="CQ174">
        <v>559</v>
      </c>
      <c r="CR174">
        <v>0</v>
      </c>
      <c r="CW174">
        <v>10392262</v>
      </c>
      <c r="CY174">
        <v>1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</row>
    <row r="175" spans="1:113" x14ac:dyDescent="0.3">
      <c r="A175" t="str">
        <f>"02/08/2021 20:12:02.420"</f>
        <v>02/08/2021 20:12:02.420</v>
      </c>
      <c r="C175" t="str">
        <f t="shared" si="8"/>
        <v>FFDFD3C0</v>
      </c>
      <c r="D175" t="s">
        <v>124</v>
      </c>
      <c r="E175">
        <v>13</v>
      </c>
      <c r="F175">
        <v>1013</v>
      </c>
      <c r="G175" t="s">
        <v>114</v>
      </c>
      <c r="J175" t="s">
        <v>125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>"20:12:04.727"</f>
        <v>20:12:04.727</v>
      </c>
      <c r="T175" t="str">
        <f>"20:12:04.227"</f>
        <v>20:12:04.227</v>
      </c>
      <c r="U175" t="str">
        <f t="shared" si="7"/>
        <v>AB01F4</v>
      </c>
      <c r="V175">
        <v>0</v>
      </c>
      <c r="W175">
        <v>0</v>
      </c>
      <c r="X175">
        <v>1</v>
      </c>
      <c r="Z175">
        <v>0</v>
      </c>
      <c r="AA175">
        <v>9</v>
      </c>
      <c r="AB175">
        <v>3</v>
      </c>
      <c r="AC175">
        <v>0</v>
      </c>
      <c r="AD175">
        <v>10</v>
      </c>
      <c r="AE175">
        <v>0</v>
      </c>
      <c r="AF175">
        <v>3</v>
      </c>
      <c r="AG175">
        <v>2</v>
      </c>
      <c r="AH175">
        <v>0</v>
      </c>
      <c r="AI175" t="s">
        <v>254</v>
      </c>
      <c r="AJ175">
        <v>39.515954999999998</v>
      </c>
      <c r="AK175" t="s">
        <v>255</v>
      </c>
      <c r="AL175">
        <v>-92.443320999999997</v>
      </c>
      <c r="AM175">
        <v>100</v>
      </c>
      <c r="AN175">
        <v>1900</v>
      </c>
      <c r="AO175" t="s">
        <v>118</v>
      </c>
      <c r="AP175">
        <v>-81</v>
      </c>
      <c r="AQ175">
        <v>104</v>
      </c>
      <c r="AR175">
        <v>0</v>
      </c>
      <c r="AZ175">
        <v>1200</v>
      </c>
      <c r="BA175">
        <v>1</v>
      </c>
      <c r="BB175" t="str">
        <f t="shared" si="9"/>
        <v xml:space="preserve">N8080G  </v>
      </c>
      <c r="BC175">
        <v>1</v>
      </c>
      <c r="BE175">
        <v>0</v>
      </c>
      <c r="BF175">
        <v>0</v>
      </c>
      <c r="BG175">
        <v>0</v>
      </c>
      <c r="BH175">
        <v>1875</v>
      </c>
      <c r="BI175">
        <v>1</v>
      </c>
      <c r="BJ175">
        <v>1</v>
      </c>
      <c r="BK175">
        <v>1</v>
      </c>
      <c r="BL175">
        <v>0</v>
      </c>
      <c r="BO175">
        <v>0</v>
      </c>
      <c r="BP175">
        <v>0</v>
      </c>
      <c r="BW175" t="str">
        <f>"20:12:04.727"</f>
        <v>20:12:04.727</v>
      </c>
      <c r="CJ175">
        <v>0</v>
      </c>
      <c r="CK175">
        <v>2</v>
      </c>
      <c r="CL175">
        <v>0</v>
      </c>
      <c r="CM175">
        <v>2</v>
      </c>
      <c r="CN175">
        <v>0</v>
      </c>
      <c r="CO175">
        <v>5</v>
      </c>
      <c r="CP175" t="s">
        <v>119</v>
      </c>
      <c r="CQ175">
        <v>559</v>
      </c>
      <c r="CR175">
        <v>0</v>
      </c>
      <c r="CW175">
        <v>10392262</v>
      </c>
      <c r="CY175">
        <v>1</v>
      </c>
      <c r="CZ175">
        <v>0</v>
      </c>
      <c r="DA175">
        <v>1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</row>
    <row r="176" spans="1:113" x14ac:dyDescent="0.3">
      <c r="A176" t="str">
        <f>"02/08/2021 20:12:02.420"</f>
        <v>02/08/2021 20:12:02.420</v>
      </c>
      <c r="C176" t="str">
        <f t="shared" si="8"/>
        <v>FFDFD3C0</v>
      </c>
      <c r="D176" t="s">
        <v>113</v>
      </c>
      <c r="E176">
        <v>6</v>
      </c>
      <c r="H176">
        <v>165</v>
      </c>
      <c r="I176" t="s">
        <v>114</v>
      </c>
      <c r="J176" t="s">
        <v>115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>"20:12:04.727"</f>
        <v>20:12:04.727</v>
      </c>
      <c r="T176" t="str">
        <f>"20:12:04.227"</f>
        <v>20:12:04.227</v>
      </c>
      <c r="U176" t="str">
        <f t="shared" si="7"/>
        <v>AB01F4</v>
      </c>
      <c r="V176">
        <v>0</v>
      </c>
      <c r="W176">
        <v>0</v>
      </c>
      <c r="X176">
        <v>1</v>
      </c>
      <c r="Z176">
        <v>0</v>
      </c>
      <c r="AA176">
        <v>9</v>
      </c>
      <c r="AB176">
        <v>3</v>
      </c>
      <c r="AC176">
        <v>0</v>
      </c>
      <c r="AD176">
        <v>10</v>
      </c>
      <c r="AE176">
        <v>0</v>
      </c>
      <c r="AF176">
        <v>3</v>
      </c>
      <c r="AG176">
        <v>2</v>
      </c>
      <c r="AH176">
        <v>0</v>
      </c>
      <c r="AI176" t="s">
        <v>254</v>
      </c>
      <c r="AJ176">
        <v>39.515954999999998</v>
      </c>
      <c r="AK176" t="s">
        <v>255</v>
      </c>
      <c r="AL176">
        <v>-92.443320999999997</v>
      </c>
      <c r="AM176">
        <v>100</v>
      </c>
      <c r="AN176">
        <v>1900</v>
      </c>
      <c r="AO176" t="s">
        <v>118</v>
      </c>
      <c r="AP176">
        <v>-81</v>
      </c>
      <c r="AQ176">
        <v>104</v>
      </c>
      <c r="AR176">
        <v>0</v>
      </c>
      <c r="AZ176">
        <v>1200</v>
      </c>
      <c r="BA176">
        <v>1</v>
      </c>
      <c r="BB176" t="str">
        <f t="shared" si="9"/>
        <v xml:space="preserve">N8080G  </v>
      </c>
      <c r="BC176">
        <v>1</v>
      </c>
      <c r="BE176">
        <v>0</v>
      </c>
      <c r="BF176">
        <v>0</v>
      </c>
      <c r="BG176">
        <v>0</v>
      </c>
      <c r="BH176">
        <v>1875</v>
      </c>
      <c r="BI176">
        <v>1</v>
      </c>
      <c r="BJ176">
        <v>1</v>
      </c>
      <c r="BK176">
        <v>1</v>
      </c>
      <c r="BL176">
        <v>0</v>
      </c>
      <c r="BO176">
        <v>0</v>
      </c>
      <c r="BP176">
        <v>0</v>
      </c>
      <c r="BW176" t="str">
        <f>"20:12:04.727"</f>
        <v>20:12:04.727</v>
      </c>
      <c r="CJ176">
        <v>0</v>
      </c>
      <c r="CK176">
        <v>2</v>
      </c>
      <c r="CL176">
        <v>0</v>
      </c>
      <c r="CM176">
        <v>2</v>
      </c>
      <c r="CN176">
        <v>0</v>
      </c>
      <c r="CO176">
        <v>5</v>
      </c>
      <c r="CP176" t="s">
        <v>119</v>
      </c>
      <c r="CQ176">
        <v>559</v>
      </c>
      <c r="CR176">
        <v>0</v>
      </c>
      <c r="CW176">
        <v>10392262</v>
      </c>
      <c r="CY176">
        <v>1</v>
      </c>
      <c r="CZ176">
        <v>0</v>
      </c>
      <c r="DA176">
        <v>1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</row>
    <row r="177" spans="1:113" x14ac:dyDescent="0.3">
      <c r="A177" t="str">
        <f>"02/08/2021 20:12:03.399"</f>
        <v>02/08/2021 20:12:03.399</v>
      </c>
      <c r="C177" t="str">
        <f t="shared" si="8"/>
        <v>FFDFD3C0</v>
      </c>
      <c r="D177" t="s">
        <v>124</v>
      </c>
      <c r="E177">
        <v>13</v>
      </c>
      <c r="F177">
        <v>1013</v>
      </c>
      <c r="G177" t="s">
        <v>114</v>
      </c>
      <c r="J177" t="s">
        <v>125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>"20:12:05.734"</f>
        <v>20:12:05.734</v>
      </c>
      <c r="U177" t="str">
        <f t="shared" si="7"/>
        <v>AB01F4</v>
      </c>
      <c r="V177">
        <v>0</v>
      </c>
      <c r="W177">
        <v>0</v>
      </c>
      <c r="X177">
        <v>1</v>
      </c>
      <c r="Z177">
        <v>0</v>
      </c>
      <c r="AA177">
        <v>9</v>
      </c>
      <c r="AB177">
        <v>3</v>
      </c>
      <c r="AC177">
        <v>0</v>
      </c>
      <c r="AD177">
        <v>10</v>
      </c>
      <c r="AE177">
        <v>0</v>
      </c>
      <c r="AF177">
        <v>3</v>
      </c>
      <c r="AG177">
        <v>2</v>
      </c>
      <c r="AH177">
        <v>0</v>
      </c>
      <c r="AI177" t="s">
        <v>256</v>
      </c>
      <c r="AJ177">
        <v>39.516406000000003</v>
      </c>
      <c r="AK177" t="s">
        <v>257</v>
      </c>
      <c r="AL177">
        <v>-92.443792999999999</v>
      </c>
      <c r="AM177">
        <v>100</v>
      </c>
      <c r="AN177">
        <v>1900</v>
      </c>
      <c r="AO177" t="s">
        <v>118</v>
      </c>
      <c r="AP177">
        <v>-83</v>
      </c>
      <c r="AQ177">
        <v>104</v>
      </c>
      <c r="AR177">
        <v>-64</v>
      </c>
      <c r="AZ177">
        <v>1200</v>
      </c>
      <c r="BA177">
        <v>1</v>
      </c>
      <c r="BB177" t="str">
        <f t="shared" si="9"/>
        <v xml:space="preserve">N8080G  </v>
      </c>
      <c r="BC177">
        <v>1</v>
      </c>
      <c r="BE177">
        <v>0</v>
      </c>
      <c r="BF177">
        <v>0</v>
      </c>
      <c r="BG177">
        <v>0</v>
      </c>
      <c r="BH177">
        <v>1875</v>
      </c>
      <c r="BI177">
        <v>1</v>
      </c>
      <c r="BJ177">
        <v>1</v>
      </c>
      <c r="BK177">
        <v>1</v>
      </c>
      <c r="BL177">
        <v>0</v>
      </c>
      <c r="BO177">
        <v>0</v>
      </c>
      <c r="BP177">
        <v>0</v>
      </c>
      <c r="BW177" t="str">
        <f>"20:12:05.738"</f>
        <v>20:12:05.738</v>
      </c>
      <c r="CJ177">
        <v>0</v>
      </c>
      <c r="CK177">
        <v>2</v>
      </c>
      <c r="CL177">
        <v>0</v>
      </c>
      <c r="CM177">
        <v>2</v>
      </c>
      <c r="CN177">
        <v>0</v>
      </c>
      <c r="CO177">
        <v>5</v>
      </c>
      <c r="CP177" t="s">
        <v>119</v>
      </c>
      <c r="CQ177">
        <v>559</v>
      </c>
      <c r="CR177">
        <v>0</v>
      </c>
      <c r="CW177">
        <v>10392414</v>
      </c>
      <c r="CY177">
        <v>1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</row>
    <row r="178" spans="1:113" x14ac:dyDescent="0.3">
      <c r="A178" t="str">
        <f>"02/08/2021 20:12:03.399"</f>
        <v>02/08/2021 20:12:03.399</v>
      </c>
      <c r="C178" t="str">
        <f t="shared" si="8"/>
        <v>FFDFD3C0</v>
      </c>
      <c r="D178" t="s">
        <v>113</v>
      </c>
      <c r="E178">
        <v>6</v>
      </c>
      <c r="H178">
        <v>165</v>
      </c>
      <c r="I178" t="s">
        <v>114</v>
      </c>
      <c r="J178" t="s">
        <v>115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>"20:12:05.734"</f>
        <v>20:12:05.734</v>
      </c>
      <c r="U178" t="str">
        <f t="shared" si="7"/>
        <v>AB01F4</v>
      </c>
      <c r="V178">
        <v>0</v>
      </c>
      <c r="W178">
        <v>0</v>
      </c>
      <c r="X178">
        <v>1</v>
      </c>
      <c r="Z178">
        <v>0</v>
      </c>
      <c r="AA178">
        <v>9</v>
      </c>
      <c r="AB178">
        <v>3</v>
      </c>
      <c r="AC178">
        <v>0</v>
      </c>
      <c r="AD178">
        <v>10</v>
      </c>
      <c r="AE178">
        <v>0</v>
      </c>
      <c r="AF178">
        <v>3</v>
      </c>
      <c r="AG178">
        <v>2</v>
      </c>
      <c r="AH178">
        <v>0</v>
      </c>
      <c r="AI178" t="s">
        <v>256</v>
      </c>
      <c r="AJ178">
        <v>39.516406000000003</v>
      </c>
      <c r="AK178" t="s">
        <v>257</v>
      </c>
      <c r="AL178">
        <v>-92.443792999999999</v>
      </c>
      <c r="AM178">
        <v>100</v>
      </c>
      <c r="AN178">
        <v>1900</v>
      </c>
      <c r="AO178" t="s">
        <v>118</v>
      </c>
      <c r="AP178">
        <v>-83</v>
      </c>
      <c r="AQ178">
        <v>104</v>
      </c>
      <c r="AR178">
        <v>-64</v>
      </c>
      <c r="AZ178">
        <v>1200</v>
      </c>
      <c r="BA178">
        <v>1</v>
      </c>
      <c r="BB178" t="str">
        <f t="shared" si="9"/>
        <v xml:space="preserve">N8080G  </v>
      </c>
      <c r="BC178">
        <v>1</v>
      </c>
      <c r="BE178">
        <v>0</v>
      </c>
      <c r="BF178">
        <v>0</v>
      </c>
      <c r="BG178">
        <v>0</v>
      </c>
      <c r="BH178">
        <v>1875</v>
      </c>
      <c r="BI178">
        <v>1</v>
      </c>
      <c r="BJ178">
        <v>1</v>
      </c>
      <c r="BK178">
        <v>1</v>
      </c>
      <c r="BL178">
        <v>0</v>
      </c>
      <c r="BO178">
        <v>0</v>
      </c>
      <c r="BP178">
        <v>0</v>
      </c>
      <c r="BW178" t="str">
        <f>"20:12:05.738"</f>
        <v>20:12:05.738</v>
      </c>
      <c r="CJ178">
        <v>0</v>
      </c>
      <c r="CK178">
        <v>2</v>
      </c>
      <c r="CL178">
        <v>0</v>
      </c>
      <c r="CM178">
        <v>2</v>
      </c>
      <c r="CN178">
        <v>0</v>
      </c>
      <c r="CO178">
        <v>5</v>
      </c>
      <c r="CP178" t="s">
        <v>119</v>
      </c>
      <c r="CQ178">
        <v>559</v>
      </c>
      <c r="CR178">
        <v>0</v>
      </c>
      <c r="CW178">
        <v>10392414</v>
      </c>
      <c r="CY178">
        <v>1</v>
      </c>
      <c r="CZ178">
        <v>0</v>
      </c>
      <c r="DA178">
        <v>1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</row>
    <row r="179" spans="1:113" x14ac:dyDescent="0.3">
      <c r="A179" t="str">
        <f>"02/08/2021 20:12:03.399"</f>
        <v>02/08/2021 20:12:03.399</v>
      </c>
      <c r="C179" t="str">
        <f t="shared" si="8"/>
        <v>FFDFD3C0</v>
      </c>
      <c r="D179" t="s">
        <v>141</v>
      </c>
      <c r="E179">
        <v>17</v>
      </c>
      <c r="H179">
        <v>256</v>
      </c>
      <c r="I179" t="s">
        <v>142</v>
      </c>
      <c r="J179" t="s">
        <v>143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>"20:12:05.734"</f>
        <v>20:12:05.734</v>
      </c>
      <c r="U179" t="str">
        <f t="shared" si="7"/>
        <v>AB01F4</v>
      </c>
      <c r="V179">
        <v>0</v>
      </c>
      <c r="W179">
        <v>0</v>
      </c>
      <c r="X179">
        <v>1</v>
      </c>
      <c r="Z179">
        <v>0</v>
      </c>
      <c r="AA179">
        <v>9</v>
      </c>
      <c r="AB179">
        <v>3</v>
      </c>
      <c r="AC179">
        <v>0</v>
      </c>
      <c r="AD179">
        <v>10</v>
      </c>
      <c r="AE179">
        <v>0</v>
      </c>
      <c r="AF179">
        <v>3</v>
      </c>
      <c r="AG179">
        <v>2</v>
      </c>
      <c r="AH179">
        <v>0</v>
      </c>
      <c r="AI179" t="s">
        <v>256</v>
      </c>
      <c r="AJ179">
        <v>39.516406000000003</v>
      </c>
      <c r="AK179" t="s">
        <v>257</v>
      </c>
      <c r="AL179">
        <v>-92.443792999999999</v>
      </c>
      <c r="AM179">
        <v>100</v>
      </c>
      <c r="AN179">
        <v>1900</v>
      </c>
      <c r="AO179" t="s">
        <v>118</v>
      </c>
      <c r="AP179">
        <v>-83</v>
      </c>
      <c r="AQ179">
        <v>104</v>
      </c>
      <c r="AR179">
        <v>-64</v>
      </c>
      <c r="AZ179">
        <v>1200</v>
      </c>
      <c r="BA179">
        <v>1</v>
      </c>
      <c r="BB179" t="str">
        <f t="shared" si="9"/>
        <v xml:space="preserve">N8080G  </v>
      </c>
      <c r="BC179">
        <v>1</v>
      </c>
      <c r="BE179">
        <v>0</v>
      </c>
      <c r="BF179">
        <v>0</v>
      </c>
      <c r="BG179">
        <v>0</v>
      </c>
      <c r="BH179">
        <v>1875</v>
      </c>
      <c r="BI179">
        <v>1</v>
      </c>
      <c r="BJ179">
        <v>1</v>
      </c>
      <c r="BK179">
        <v>1</v>
      </c>
      <c r="BL179">
        <v>0</v>
      </c>
      <c r="BO179">
        <v>0</v>
      </c>
      <c r="BP179">
        <v>0</v>
      </c>
      <c r="BW179" t="str">
        <f>"20:12:05.738"</f>
        <v>20:12:05.738</v>
      </c>
      <c r="CJ179">
        <v>0</v>
      </c>
      <c r="CK179">
        <v>2</v>
      </c>
      <c r="CL179">
        <v>0</v>
      </c>
      <c r="CM179">
        <v>2</v>
      </c>
      <c r="CN179">
        <v>0</v>
      </c>
      <c r="CO179">
        <v>5</v>
      </c>
      <c r="CP179" t="s">
        <v>119</v>
      </c>
      <c r="CQ179">
        <v>559</v>
      </c>
      <c r="CR179">
        <v>0</v>
      </c>
      <c r="CW179">
        <v>10392414</v>
      </c>
      <c r="CY179">
        <v>1</v>
      </c>
      <c r="CZ179">
        <v>0</v>
      </c>
      <c r="DA179">
        <v>1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</row>
    <row r="180" spans="1:113" x14ac:dyDescent="0.3">
      <c r="A180" t="str">
        <f>"02/08/2021 20:12:04.393"</f>
        <v>02/08/2021 20:12:04.393</v>
      </c>
      <c r="C180" t="str">
        <f t="shared" si="8"/>
        <v>FFDFD3C0</v>
      </c>
      <c r="D180" t="s">
        <v>141</v>
      </c>
      <c r="E180">
        <v>17</v>
      </c>
      <c r="H180">
        <v>256</v>
      </c>
      <c r="I180" t="s">
        <v>142</v>
      </c>
      <c r="J180" t="s">
        <v>143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>"20:12:06.727"</f>
        <v>20:12:06.727</v>
      </c>
      <c r="T180" t="str">
        <f>"20:12:06.327"</f>
        <v>20:12:06.327</v>
      </c>
      <c r="U180" t="str">
        <f t="shared" si="7"/>
        <v>AB01F4</v>
      </c>
      <c r="V180">
        <v>0</v>
      </c>
      <c r="W180">
        <v>0</v>
      </c>
      <c r="X180">
        <v>1</v>
      </c>
      <c r="Z180">
        <v>0</v>
      </c>
      <c r="AA180">
        <v>9</v>
      </c>
      <c r="AB180">
        <v>3</v>
      </c>
      <c r="AC180">
        <v>0</v>
      </c>
      <c r="AD180">
        <v>10</v>
      </c>
      <c r="AE180">
        <v>0</v>
      </c>
      <c r="AF180">
        <v>3</v>
      </c>
      <c r="AG180">
        <v>2</v>
      </c>
      <c r="AH180">
        <v>0</v>
      </c>
      <c r="AI180" t="s">
        <v>258</v>
      </c>
      <c r="AJ180">
        <v>39.5169</v>
      </c>
      <c r="AK180" t="s">
        <v>259</v>
      </c>
      <c r="AL180">
        <v>-92.444328999999996</v>
      </c>
      <c r="AM180">
        <v>100</v>
      </c>
      <c r="AN180">
        <v>1900</v>
      </c>
      <c r="AO180" t="s">
        <v>118</v>
      </c>
      <c r="AP180">
        <v>-84</v>
      </c>
      <c r="AQ180">
        <v>104</v>
      </c>
      <c r="AR180">
        <v>-64</v>
      </c>
      <c r="AZ180">
        <v>1200</v>
      </c>
      <c r="BA180">
        <v>1</v>
      </c>
      <c r="BB180" t="str">
        <f t="shared" si="9"/>
        <v xml:space="preserve">N8080G  </v>
      </c>
      <c r="BC180">
        <v>1</v>
      </c>
      <c r="BE180">
        <v>0</v>
      </c>
      <c r="BF180">
        <v>0</v>
      </c>
      <c r="BG180">
        <v>0</v>
      </c>
      <c r="BH180">
        <v>1875</v>
      </c>
      <c r="BI180">
        <v>1</v>
      </c>
      <c r="BJ180">
        <v>1</v>
      </c>
      <c r="BK180">
        <v>1</v>
      </c>
      <c r="BL180">
        <v>0</v>
      </c>
      <c r="BO180">
        <v>0</v>
      </c>
      <c r="BP180">
        <v>0</v>
      </c>
      <c r="BW180" t="str">
        <f>"20:12:06.728"</f>
        <v>20:12:06.728</v>
      </c>
      <c r="CJ180">
        <v>0</v>
      </c>
      <c r="CK180">
        <v>2</v>
      </c>
      <c r="CL180">
        <v>0</v>
      </c>
      <c r="CM180">
        <v>2</v>
      </c>
      <c r="CN180">
        <v>0</v>
      </c>
      <c r="CO180">
        <v>5</v>
      </c>
      <c r="CP180" t="s">
        <v>119</v>
      </c>
      <c r="CQ180">
        <v>559</v>
      </c>
      <c r="CR180">
        <v>0</v>
      </c>
      <c r="CW180">
        <v>10392577</v>
      </c>
      <c r="CY180">
        <v>1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</row>
    <row r="181" spans="1:113" x14ac:dyDescent="0.3">
      <c r="A181" t="str">
        <f>"02/08/2021 20:12:04.393"</f>
        <v>02/08/2021 20:12:04.393</v>
      </c>
      <c r="C181" t="str">
        <f t="shared" si="8"/>
        <v>FFDFD3C0</v>
      </c>
      <c r="D181" t="s">
        <v>124</v>
      </c>
      <c r="E181">
        <v>13</v>
      </c>
      <c r="F181">
        <v>1013</v>
      </c>
      <c r="G181" t="s">
        <v>114</v>
      </c>
      <c r="J181" t="s">
        <v>125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"20:12:06.727"</f>
        <v>20:12:06.727</v>
      </c>
      <c r="T181" t="str">
        <f>"20:12:06.327"</f>
        <v>20:12:06.327</v>
      </c>
      <c r="U181" t="str">
        <f t="shared" si="7"/>
        <v>AB01F4</v>
      </c>
      <c r="V181">
        <v>0</v>
      </c>
      <c r="W181">
        <v>0</v>
      </c>
      <c r="X181">
        <v>1</v>
      </c>
      <c r="Z181">
        <v>0</v>
      </c>
      <c r="AA181">
        <v>9</v>
      </c>
      <c r="AB181">
        <v>3</v>
      </c>
      <c r="AC181">
        <v>0</v>
      </c>
      <c r="AD181">
        <v>10</v>
      </c>
      <c r="AE181">
        <v>0</v>
      </c>
      <c r="AF181">
        <v>3</v>
      </c>
      <c r="AG181">
        <v>2</v>
      </c>
      <c r="AH181">
        <v>0</v>
      </c>
      <c r="AI181" t="s">
        <v>258</v>
      </c>
      <c r="AJ181">
        <v>39.5169</v>
      </c>
      <c r="AK181" t="s">
        <v>259</v>
      </c>
      <c r="AL181">
        <v>-92.444328999999996</v>
      </c>
      <c r="AM181">
        <v>100</v>
      </c>
      <c r="AN181">
        <v>1900</v>
      </c>
      <c r="AO181" t="s">
        <v>118</v>
      </c>
      <c r="AP181">
        <v>-84</v>
      </c>
      <c r="AQ181">
        <v>104</v>
      </c>
      <c r="AR181">
        <v>-64</v>
      </c>
      <c r="AZ181">
        <v>1200</v>
      </c>
      <c r="BA181">
        <v>1</v>
      </c>
      <c r="BB181" t="str">
        <f t="shared" si="9"/>
        <v xml:space="preserve">N8080G  </v>
      </c>
      <c r="BC181">
        <v>1</v>
      </c>
      <c r="BE181">
        <v>0</v>
      </c>
      <c r="BF181">
        <v>0</v>
      </c>
      <c r="BG181">
        <v>0</v>
      </c>
      <c r="BH181">
        <v>1875</v>
      </c>
      <c r="BI181">
        <v>1</v>
      </c>
      <c r="BJ181">
        <v>1</v>
      </c>
      <c r="BK181">
        <v>1</v>
      </c>
      <c r="BL181">
        <v>0</v>
      </c>
      <c r="BO181">
        <v>0</v>
      </c>
      <c r="BP181">
        <v>0</v>
      </c>
      <c r="BW181" t="str">
        <f>"20:12:06.728"</f>
        <v>20:12:06.728</v>
      </c>
      <c r="CJ181">
        <v>0</v>
      </c>
      <c r="CK181">
        <v>2</v>
      </c>
      <c r="CL181">
        <v>0</v>
      </c>
      <c r="CM181">
        <v>2</v>
      </c>
      <c r="CN181">
        <v>0</v>
      </c>
      <c r="CO181">
        <v>5</v>
      </c>
      <c r="CP181" t="s">
        <v>119</v>
      </c>
      <c r="CQ181">
        <v>559</v>
      </c>
      <c r="CR181">
        <v>0</v>
      </c>
      <c r="CW181">
        <v>10392577</v>
      </c>
      <c r="CY181">
        <v>1</v>
      </c>
      <c r="CZ181">
        <v>0</v>
      </c>
      <c r="DA181">
        <v>1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</row>
    <row r="182" spans="1:113" x14ac:dyDescent="0.3">
      <c r="A182" t="str">
        <f>"02/08/2021 20:12:04.393"</f>
        <v>02/08/2021 20:12:04.393</v>
      </c>
      <c r="C182" t="str">
        <f t="shared" si="8"/>
        <v>FFDFD3C0</v>
      </c>
      <c r="D182" t="s">
        <v>113</v>
      </c>
      <c r="E182">
        <v>6</v>
      </c>
      <c r="H182">
        <v>165</v>
      </c>
      <c r="I182" t="s">
        <v>114</v>
      </c>
      <c r="J182" t="s">
        <v>115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"20:12:06.727"</f>
        <v>20:12:06.727</v>
      </c>
      <c r="T182" t="str">
        <f>"20:12:06.327"</f>
        <v>20:12:06.327</v>
      </c>
      <c r="U182" t="str">
        <f t="shared" si="7"/>
        <v>AB01F4</v>
      </c>
      <c r="V182">
        <v>0</v>
      </c>
      <c r="W182">
        <v>0</v>
      </c>
      <c r="X182">
        <v>1</v>
      </c>
      <c r="Z182">
        <v>0</v>
      </c>
      <c r="AA182">
        <v>9</v>
      </c>
      <c r="AB182">
        <v>3</v>
      </c>
      <c r="AC182">
        <v>0</v>
      </c>
      <c r="AD182">
        <v>10</v>
      </c>
      <c r="AE182">
        <v>0</v>
      </c>
      <c r="AF182">
        <v>3</v>
      </c>
      <c r="AG182">
        <v>2</v>
      </c>
      <c r="AH182">
        <v>0</v>
      </c>
      <c r="AI182" t="s">
        <v>258</v>
      </c>
      <c r="AJ182">
        <v>39.5169</v>
      </c>
      <c r="AK182" t="s">
        <v>259</v>
      </c>
      <c r="AL182">
        <v>-92.444328999999996</v>
      </c>
      <c r="AM182">
        <v>100</v>
      </c>
      <c r="AN182">
        <v>1900</v>
      </c>
      <c r="AO182" t="s">
        <v>118</v>
      </c>
      <c r="AP182">
        <v>-84</v>
      </c>
      <c r="AQ182">
        <v>104</v>
      </c>
      <c r="AR182">
        <v>-64</v>
      </c>
      <c r="AZ182">
        <v>1200</v>
      </c>
      <c r="BA182">
        <v>1</v>
      </c>
      <c r="BB182" t="str">
        <f t="shared" si="9"/>
        <v xml:space="preserve">N8080G  </v>
      </c>
      <c r="BC182">
        <v>1</v>
      </c>
      <c r="BE182">
        <v>0</v>
      </c>
      <c r="BF182">
        <v>0</v>
      </c>
      <c r="BG182">
        <v>0</v>
      </c>
      <c r="BH182">
        <v>1875</v>
      </c>
      <c r="BI182">
        <v>1</v>
      </c>
      <c r="BJ182">
        <v>1</v>
      </c>
      <c r="BK182">
        <v>1</v>
      </c>
      <c r="BL182">
        <v>0</v>
      </c>
      <c r="BO182">
        <v>0</v>
      </c>
      <c r="BP182">
        <v>0</v>
      </c>
      <c r="BW182" t="str">
        <f>"20:12:06.728"</f>
        <v>20:12:06.728</v>
      </c>
      <c r="CJ182">
        <v>0</v>
      </c>
      <c r="CK182">
        <v>2</v>
      </c>
      <c r="CL182">
        <v>0</v>
      </c>
      <c r="CM182">
        <v>2</v>
      </c>
      <c r="CN182">
        <v>0</v>
      </c>
      <c r="CO182">
        <v>5</v>
      </c>
      <c r="CP182" t="s">
        <v>119</v>
      </c>
      <c r="CQ182">
        <v>559</v>
      </c>
      <c r="CR182">
        <v>0</v>
      </c>
      <c r="CW182">
        <v>10392577</v>
      </c>
      <c r="CY182">
        <v>1</v>
      </c>
      <c r="CZ182">
        <v>0</v>
      </c>
      <c r="DA182">
        <v>1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</row>
    <row r="183" spans="1:113" x14ac:dyDescent="0.3">
      <c r="A183" t="str">
        <f>"02/08/2021 20:12:05.328"</f>
        <v>02/08/2021 20:12:05.328</v>
      </c>
      <c r="C183" t="str">
        <f t="shared" si="8"/>
        <v>FFDFD3C0</v>
      </c>
      <c r="D183" t="s">
        <v>113</v>
      </c>
      <c r="E183">
        <v>6</v>
      </c>
      <c r="H183">
        <v>165</v>
      </c>
      <c r="I183" t="s">
        <v>114</v>
      </c>
      <c r="J183" t="s">
        <v>115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"20:12:07.656"</f>
        <v>20:12:07.656</v>
      </c>
      <c r="T183" t="str">
        <f>"20:12:07.256"</f>
        <v>20:12:07.256</v>
      </c>
      <c r="U183" t="str">
        <f t="shared" si="7"/>
        <v>AB01F4</v>
      </c>
      <c r="V183">
        <v>0</v>
      </c>
      <c r="W183">
        <v>0</v>
      </c>
      <c r="X183">
        <v>1</v>
      </c>
      <c r="Z183">
        <v>0</v>
      </c>
      <c r="AA183">
        <v>9</v>
      </c>
      <c r="AB183">
        <v>3</v>
      </c>
      <c r="AC183">
        <v>0</v>
      </c>
      <c r="AD183">
        <v>10</v>
      </c>
      <c r="AE183">
        <v>0</v>
      </c>
      <c r="AF183">
        <v>3</v>
      </c>
      <c r="AG183">
        <v>2</v>
      </c>
      <c r="AH183">
        <v>0</v>
      </c>
      <c r="AI183" t="s">
        <v>260</v>
      </c>
      <c r="AJ183">
        <v>39.517307000000002</v>
      </c>
      <c r="AK183" t="s">
        <v>261</v>
      </c>
      <c r="AL183">
        <v>-92.444823</v>
      </c>
      <c r="AM183">
        <v>100</v>
      </c>
      <c r="AN183">
        <v>1900</v>
      </c>
      <c r="AO183" t="s">
        <v>118</v>
      </c>
      <c r="AP183">
        <v>-86</v>
      </c>
      <c r="AQ183">
        <v>103</v>
      </c>
      <c r="AR183">
        <v>-64</v>
      </c>
      <c r="AZ183">
        <v>1200</v>
      </c>
      <c r="BA183">
        <v>1</v>
      </c>
      <c r="BB183" t="str">
        <f t="shared" si="9"/>
        <v xml:space="preserve">N8080G  </v>
      </c>
      <c r="BC183">
        <v>1</v>
      </c>
      <c r="BE183">
        <v>0</v>
      </c>
      <c r="BF183">
        <v>0</v>
      </c>
      <c r="BG183">
        <v>0</v>
      </c>
      <c r="BH183">
        <v>1850</v>
      </c>
      <c r="BI183">
        <v>1</v>
      </c>
      <c r="BJ183">
        <v>1</v>
      </c>
      <c r="BK183">
        <v>1</v>
      </c>
      <c r="BL183">
        <v>0</v>
      </c>
      <c r="BO183">
        <v>0</v>
      </c>
      <c r="BP183">
        <v>0</v>
      </c>
      <c r="BW183" t="str">
        <f>"20:12:07.662"</f>
        <v>20:12:07.662</v>
      </c>
      <c r="CJ183">
        <v>0</v>
      </c>
      <c r="CK183">
        <v>2</v>
      </c>
      <c r="CL183">
        <v>0</v>
      </c>
      <c r="CM183">
        <v>2</v>
      </c>
      <c r="CN183">
        <v>0</v>
      </c>
      <c r="CO183">
        <v>5</v>
      </c>
      <c r="CP183" t="s">
        <v>119</v>
      </c>
      <c r="CQ183">
        <v>559</v>
      </c>
      <c r="CR183">
        <v>0</v>
      </c>
      <c r="CW183">
        <v>10392713</v>
      </c>
      <c r="CY183">
        <v>1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</row>
    <row r="184" spans="1:113" x14ac:dyDescent="0.3">
      <c r="A184" t="str">
        <f>"02/08/2021 20:12:05.328"</f>
        <v>02/08/2021 20:12:05.328</v>
      </c>
      <c r="C184" t="str">
        <f t="shared" si="8"/>
        <v>FFDFD3C0</v>
      </c>
      <c r="D184" t="s">
        <v>141</v>
      </c>
      <c r="E184">
        <v>17</v>
      </c>
      <c r="H184">
        <v>256</v>
      </c>
      <c r="I184" t="s">
        <v>142</v>
      </c>
      <c r="J184" t="s">
        <v>143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"20:12:07.656"</f>
        <v>20:12:07.656</v>
      </c>
      <c r="T184" t="str">
        <f>"20:12:07.256"</f>
        <v>20:12:07.256</v>
      </c>
      <c r="U184" t="str">
        <f t="shared" si="7"/>
        <v>AB01F4</v>
      </c>
      <c r="V184">
        <v>0</v>
      </c>
      <c r="W184">
        <v>0</v>
      </c>
      <c r="X184">
        <v>1</v>
      </c>
      <c r="Z184">
        <v>0</v>
      </c>
      <c r="AA184">
        <v>9</v>
      </c>
      <c r="AB184">
        <v>3</v>
      </c>
      <c r="AC184">
        <v>0</v>
      </c>
      <c r="AD184">
        <v>10</v>
      </c>
      <c r="AE184">
        <v>0</v>
      </c>
      <c r="AF184">
        <v>3</v>
      </c>
      <c r="AG184">
        <v>2</v>
      </c>
      <c r="AH184">
        <v>0</v>
      </c>
      <c r="AI184" t="s">
        <v>260</v>
      </c>
      <c r="AJ184">
        <v>39.517307000000002</v>
      </c>
      <c r="AK184" t="s">
        <v>261</v>
      </c>
      <c r="AL184">
        <v>-92.444823</v>
      </c>
      <c r="AM184">
        <v>100</v>
      </c>
      <c r="AN184">
        <v>1900</v>
      </c>
      <c r="AO184" t="s">
        <v>118</v>
      </c>
      <c r="AP184">
        <v>-86</v>
      </c>
      <c r="AQ184">
        <v>103</v>
      </c>
      <c r="AR184">
        <v>-64</v>
      </c>
      <c r="AZ184">
        <v>1200</v>
      </c>
      <c r="BA184">
        <v>1</v>
      </c>
      <c r="BB184" t="str">
        <f t="shared" si="9"/>
        <v xml:space="preserve">N8080G  </v>
      </c>
      <c r="BC184">
        <v>1</v>
      </c>
      <c r="BE184">
        <v>0</v>
      </c>
      <c r="BF184">
        <v>0</v>
      </c>
      <c r="BG184">
        <v>0</v>
      </c>
      <c r="BH184">
        <v>1850</v>
      </c>
      <c r="BI184">
        <v>1</v>
      </c>
      <c r="BJ184">
        <v>1</v>
      </c>
      <c r="BK184">
        <v>1</v>
      </c>
      <c r="BL184">
        <v>0</v>
      </c>
      <c r="BO184">
        <v>0</v>
      </c>
      <c r="BP184">
        <v>0</v>
      </c>
      <c r="BW184" t="str">
        <f>"20:12:07.662"</f>
        <v>20:12:07.662</v>
      </c>
      <c r="CJ184">
        <v>0</v>
      </c>
      <c r="CK184">
        <v>2</v>
      </c>
      <c r="CL184">
        <v>0</v>
      </c>
      <c r="CM184">
        <v>2</v>
      </c>
      <c r="CN184">
        <v>0</v>
      </c>
      <c r="CO184">
        <v>5</v>
      </c>
      <c r="CP184" t="s">
        <v>119</v>
      </c>
      <c r="CQ184">
        <v>559</v>
      </c>
      <c r="CR184">
        <v>0</v>
      </c>
      <c r="CW184">
        <v>10392713</v>
      </c>
      <c r="CY184">
        <v>1</v>
      </c>
      <c r="CZ184">
        <v>0</v>
      </c>
      <c r="DA184">
        <v>1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</row>
    <row r="185" spans="1:113" x14ac:dyDescent="0.3">
      <c r="A185" t="str">
        <f>"02/08/2021 20:12:05.328"</f>
        <v>02/08/2021 20:12:05.328</v>
      </c>
      <c r="C185" t="str">
        <f t="shared" si="8"/>
        <v>FFDFD3C0</v>
      </c>
      <c r="D185" t="s">
        <v>124</v>
      </c>
      <c r="E185">
        <v>13</v>
      </c>
      <c r="F185">
        <v>1013</v>
      </c>
      <c r="G185" t="s">
        <v>114</v>
      </c>
      <c r="J185" t="s">
        <v>125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>"20:12:07.656"</f>
        <v>20:12:07.656</v>
      </c>
      <c r="T185" t="str">
        <f>"20:12:07.256"</f>
        <v>20:12:07.256</v>
      </c>
      <c r="U185" t="str">
        <f t="shared" si="7"/>
        <v>AB01F4</v>
      </c>
      <c r="V185">
        <v>0</v>
      </c>
      <c r="W185">
        <v>0</v>
      </c>
      <c r="X185">
        <v>1</v>
      </c>
      <c r="Z185">
        <v>0</v>
      </c>
      <c r="AA185">
        <v>9</v>
      </c>
      <c r="AB185">
        <v>3</v>
      </c>
      <c r="AC185">
        <v>0</v>
      </c>
      <c r="AD185">
        <v>10</v>
      </c>
      <c r="AE185">
        <v>0</v>
      </c>
      <c r="AF185">
        <v>3</v>
      </c>
      <c r="AG185">
        <v>2</v>
      </c>
      <c r="AH185">
        <v>0</v>
      </c>
      <c r="AI185" t="s">
        <v>260</v>
      </c>
      <c r="AJ185">
        <v>39.517307000000002</v>
      </c>
      <c r="AK185" t="s">
        <v>261</v>
      </c>
      <c r="AL185">
        <v>-92.444823</v>
      </c>
      <c r="AM185">
        <v>100</v>
      </c>
      <c r="AN185">
        <v>1900</v>
      </c>
      <c r="AO185" t="s">
        <v>118</v>
      </c>
      <c r="AP185">
        <v>-86</v>
      </c>
      <c r="AQ185">
        <v>103</v>
      </c>
      <c r="AR185">
        <v>-64</v>
      </c>
      <c r="AZ185">
        <v>1200</v>
      </c>
      <c r="BA185">
        <v>1</v>
      </c>
      <c r="BB185" t="str">
        <f t="shared" si="9"/>
        <v xml:space="preserve">N8080G  </v>
      </c>
      <c r="BC185">
        <v>1</v>
      </c>
      <c r="BE185">
        <v>0</v>
      </c>
      <c r="BF185">
        <v>0</v>
      </c>
      <c r="BG185">
        <v>0</v>
      </c>
      <c r="BH185">
        <v>1850</v>
      </c>
      <c r="BI185">
        <v>1</v>
      </c>
      <c r="BJ185">
        <v>1</v>
      </c>
      <c r="BK185">
        <v>1</v>
      </c>
      <c r="BL185">
        <v>0</v>
      </c>
      <c r="BO185">
        <v>0</v>
      </c>
      <c r="BP185">
        <v>0</v>
      </c>
      <c r="BW185" t="str">
        <f>"20:12:07.662"</f>
        <v>20:12:07.662</v>
      </c>
      <c r="CJ185">
        <v>0</v>
      </c>
      <c r="CK185">
        <v>2</v>
      </c>
      <c r="CL185">
        <v>0</v>
      </c>
      <c r="CM185">
        <v>2</v>
      </c>
      <c r="CN185">
        <v>0</v>
      </c>
      <c r="CO185">
        <v>5</v>
      </c>
      <c r="CP185" t="s">
        <v>119</v>
      </c>
      <c r="CQ185">
        <v>559</v>
      </c>
      <c r="CR185">
        <v>0</v>
      </c>
      <c r="CW185">
        <v>10392713</v>
      </c>
      <c r="CY185">
        <v>1</v>
      </c>
      <c r="CZ185">
        <v>0</v>
      </c>
      <c r="DA185">
        <v>1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</row>
    <row r="186" spans="1:113" x14ac:dyDescent="0.3">
      <c r="A186" t="str">
        <f>"02/08/2021 20:12:06.389"</f>
        <v>02/08/2021 20:12:06.389</v>
      </c>
      <c r="C186" t="str">
        <f t="shared" si="8"/>
        <v>FFDFD3C0</v>
      </c>
      <c r="D186" t="s">
        <v>113</v>
      </c>
      <c r="E186">
        <v>6</v>
      </c>
      <c r="H186">
        <v>165</v>
      </c>
      <c r="I186" t="s">
        <v>114</v>
      </c>
      <c r="J186" t="s">
        <v>115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>"20:12:08.734"</f>
        <v>20:12:08.734</v>
      </c>
      <c r="T186" t="str">
        <f>"20:12:08.334"</f>
        <v>20:12:08.334</v>
      </c>
      <c r="U186" t="str">
        <f t="shared" si="7"/>
        <v>AB01F4</v>
      </c>
      <c r="V186">
        <v>0</v>
      </c>
      <c r="W186">
        <v>0</v>
      </c>
      <c r="X186">
        <v>1</v>
      </c>
      <c r="Z186">
        <v>0</v>
      </c>
      <c r="AA186">
        <v>9</v>
      </c>
      <c r="AB186">
        <v>3</v>
      </c>
      <c r="AC186">
        <v>0</v>
      </c>
      <c r="AD186">
        <v>10</v>
      </c>
      <c r="AE186">
        <v>0</v>
      </c>
      <c r="AF186">
        <v>3</v>
      </c>
      <c r="AG186">
        <v>2</v>
      </c>
      <c r="AH186">
        <v>0</v>
      </c>
      <c r="AI186" t="s">
        <v>262</v>
      </c>
      <c r="AJ186">
        <v>39.517865</v>
      </c>
      <c r="AK186" t="s">
        <v>263</v>
      </c>
      <c r="AL186">
        <v>-92.445424000000003</v>
      </c>
      <c r="AM186">
        <v>100</v>
      </c>
      <c r="AN186">
        <v>1900</v>
      </c>
      <c r="AO186" t="s">
        <v>118</v>
      </c>
      <c r="AP186">
        <v>-88</v>
      </c>
      <c r="AQ186">
        <v>103</v>
      </c>
      <c r="AR186">
        <v>-128</v>
      </c>
      <c r="AZ186">
        <v>1200</v>
      </c>
      <c r="BA186">
        <v>1</v>
      </c>
      <c r="BB186" t="str">
        <f t="shared" si="9"/>
        <v xml:space="preserve">N8080G  </v>
      </c>
      <c r="BC186">
        <v>1</v>
      </c>
      <c r="BE186">
        <v>0</v>
      </c>
      <c r="BF186">
        <v>0</v>
      </c>
      <c r="BG186">
        <v>0</v>
      </c>
      <c r="BH186">
        <v>1850</v>
      </c>
      <c r="BI186">
        <v>1</v>
      </c>
      <c r="BJ186">
        <v>1</v>
      </c>
      <c r="BK186">
        <v>1</v>
      </c>
      <c r="BL186">
        <v>0</v>
      </c>
      <c r="BO186">
        <v>0</v>
      </c>
      <c r="BP186">
        <v>0</v>
      </c>
      <c r="BW186" t="str">
        <f>"20:12:08.741"</f>
        <v>20:12:08.741</v>
      </c>
      <c r="CJ186">
        <v>0</v>
      </c>
      <c r="CK186">
        <v>2</v>
      </c>
      <c r="CL186">
        <v>0</v>
      </c>
      <c r="CM186">
        <v>2</v>
      </c>
      <c r="CN186">
        <v>0</v>
      </c>
      <c r="CO186">
        <v>6</v>
      </c>
      <c r="CP186" t="s">
        <v>119</v>
      </c>
      <c r="CQ186">
        <v>180</v>
      </c>
      <c r="CR186">
        <v>1</v>
      </c>
      <c r="CW186">
        <v>10299882</v>
      </c>
      <c r="CY186">
        <v>1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</row>
    <row r="187" spans="1:113" x14ac:dyDescent="0.3">
      <c r="A187" t="str">
        <f>"02/08/2021 20:12:06.389"</f>
        <v>02/08/2021 20:12:06.389</v>
      </c>
      <c r="C187" t="str">
        <f t="shared" si="8"/>
        <v>FFDFD3C0</v>
      </c>
      <c r="D187" t="s">
        <v>141</v>
      </c>
      <c r="E187">
        <v>17</v>
      </c>
      <c r="H187">
        <v>256</v>
      </c>
      <c r="I187" t="s">
        <v>142</v>
      </c>
      <c r="J187" t="s">
        <v>143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>"20:12:08.734"</f>
        <v>20:12:08.734</v>
      </c>
      <c r="T187" t="str">
        <f>"20:12:08.334"</f>
        <v>20:12:08.334</v>
      </c>
      <c r="U187" t="str">
        <f t="shared" si="7"/>
        <v>AB01F4</v>
      </c>
      <c r="V187">
        <v>0</v>
      </c>
      <c r="W187">
        <v>0</v>
      </c>
      <c r="X187">
        <v>1</v>
      </c>
      <c r="Z187">
        <v>0</v>
      </c>
      <c r="AA187">
        <v>9</v>
      </c>
      <c r="AB187">
        <v>3</v>
      </c>
      <c r="AC187">
        <v>0</v>
      </c>
      <c r="AD187">
        <v>10</v>
      </c>
      <c r="AE187">
        <v>0</v>
      </c>
      <c r="AF187">
        <v>3</v>
      </c>
      <c r="AG187">
        <v>2</v>
      </c>
      <c r="AH187">
        <v>0</v>
      </c>
      <c r="AI187" t="s">
        <v>262</v>
      </c>
      <c r="AJ187">
        <v>39.517865</v>
      </c>
      <c r="AK187" t="s">
        <v>263</v>
      </c>
      <c r="AL187">
        <v>-92.445424000000003</v>
      </c>
      <c r="AM187">
        <v>100</v>
      </c>
      <c r="AN187">
        <v>1900</v>
      </c>
      <c r="AO187" t="s">
        <v>118</v>
      </c>
      <c r="AP187">
        <v>-88</v>
      </c>
      <c r="AQ187">
        <v>103</v>
      </c>
      <c r="AR187">
        <v>-128</v>
      </c>
      <c r="AZ187">
        <v>1200</v>
      </c>
      <c r="BA187">
        <v>1</v>
      </c>
      <c r="BB187" t="str">
        <f t="shared" si="9"/>
        <v xml:space="preserve">N8080G  </v>
      </c>
      <c r="BC187">
        <v>1</v>
      </c>
      <c r="BE187">
        <v>0</v>
      </c>
      <c r="BF187">
        <v>0</v>
      </c>
      <c r="BG187">
        <v>0</v>
      </c>
      <c r="BH187">
        <v>1850</v>
      </c>
      <c r="BI187">
        <v>1</v>
      </c>
      <c r="BJ187">
        <v>1</v>
      </c>
      <c r="BK187">
        <v>1</v>
      </c>
      <c r="BL187">
        <v>0</v>
      </c>
      <c r="BO187">
        <v>0</v>
      </c>
      <c r="BP187">
        <v>0</v>
      </c>
      <c r="BW187" t="str">
        <f>"20:12:08.741"</f>
        <v>20:12:08.741</v>
      </c>
      <c r="CJ187">
        <v>0</v>
      </c>
      <c r="CK187">
        <v>2</v>
      </c>
      <c r="CL187">
        <v>0</v>
      </c>
      <c r="CM187">
        <v>2</v>
      </c>
      <c r="CN187">
        <v>0</v>
      </c>
      <c r="CO187">
        <v>5</v>
      </c>
      <c r="CP187" t="s">
        <v>119</v>
      </c>
      <c r="CQ187">
        <v>559</v>
      </c>
      <c r="CR187">
        <v>0</v>
      </c>
      <c r="CW187">
        <v>10392875</v>
      </c>
      <c r="CY187">
        <v>1</v>
      </c>
      <c r="CZ187">
        <v>0</v>
      </c>
      <c r="DA187">
        <v>1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</row>
    <row r="188" spans="1:113" x14ac:dyDescent="0.3">
      <c r="A188" t="str">
        <f>"02/08/2021 20:12:06.389"</f>
        <v>02/08/2021 20:12:06.389</v>
      </c>
      <c r="C188" t="str">
        <f t="shared" si="8"/>
        <v>FFDFD3C0</v>
      </c>
      <c r="D188" t="s">
        <v>124</v>
      </c>
      <c r="E188">
        <v>13</v>
      </c>
      <c r="F188">
        <v>1013</v>
      </c>
      <c r="G188" t="s">
        <v>114</v>
      </c>
      <c r="J188" t="s">
        <v>125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>"20:12:08.734"</f>
        <v>20:12:08.734</v>
      </c>
      <c r="T188" t="str">
        <f>"20:12:08.334"</f>
        <v>20:12:08.334</v>
      </c>
      <c r="U188" t="str">
        <f t="shared" si="7"/>
        <v>AB01F4</v>
      </c>
      <c r="V188">
        <v>0</v>
      </c>
      <c r="W188">
        <v>0</v>
      </c>
      <c r="X188">
        <v>1</v>
      </c>
      <c r="Z188">
        <v>0</v>
      </c>
      <c r="AA188">
        <v>9</v>
      </c>
      <c r="AB188">
        <v>3</v>
      </c>
      <c r="AC188">
        <v>0</v>
      </c>
      <c r="AD188">
        <v>10</v>
      </c>
      <c r="AE188">
        <v>0</v>
      </c>
      <c r="AF188">
        <v>3</v>
      </c>
      <c r="AG188">
        <v>2</v>
      </c>
      <c r="AH188">
        <v>0</v>
      </c>
      <c r="AI188" t="s">
        <v>262</v>
      </c>
      <c r="AJ188">
        <v>39.517865</v>
      </c>
      <c r="AK188" t="s">
        <v>263</v>
      </c>
      <c r="AL188">
        <v>-92.445424000000003</v>
      </c>
      <c r="AM188">
        <v>100</v>
      </c>
      <c r="AN188">
        <v>1900</v>
      </c>
      <c r="AO188" t="s">
        <v>118</v>
      </c>
      <c r="AP188">
        <v>-88</v>
      </c>
      <c r="AQ188">
        <v>103</v>
      </c>
      <c r="AR188">
        <v>-128</v>
      </c>
      <c r="AZ188">
        <v>1200</v>
      </c>
      <c r="BA188">
        <v>1</v>
      </c>
      <c r="BB188" t="str">
        <f t="shared" si="9"/>
        <v xml:space="preserve">N8080G  </v>
      </c>
      <c r="BC188">
        <v>1</v>
      </c>
      <c r="BE188">
        <v>0</v>
      </c>
      <c r="BF188">
        <v>0</v>
      </c>
      <c r="BG188">
        <v>0</v>
      </c>
      <c r="BH188">
        <v>1850</v>
      </c>
      <c r="BI188">
        <v>1</v>
      </c>
      <c r="BJ188">
        <v>1</v>
      </c>
      <c r="BK188">
        <v>1</v>
      </c>
      <c r="BL188">
        <v>0</v>
      </c>
      <c r="BO188">
        <v>0</v>
      </c>
      <c r="BP188">
        <v>0</v>
      </c>
      <c r="BW188" t="str">
        <f>"20:12:08.741"</f>
        <v>20:12:08.741</v>
      </c>
      <c r="CJ188">
        <v>0</v>
      </c>
      <c r="CK188">
        <v>2</v>
      </c>
      <c r="CL188">
        <v>0</v>
      </c>
      <c r="CM188">
        <v>2</v>
      </c>
      <c r="CN188">
        <v>0</v>
      </c>
      <c r="CO188">
        <v>6</v>
      </c>
      <c r="CP188" t="s">
        <v>119</v>
      </c>
      <c r="CQ188">
        <v>180</v>
      </c>
      <c r="CR188">
        <v>1</v>
      </c>
      <c r="CW188">
        <v>10299882</v>
      </c>
      <c r="CY188">
        <v>1</v>
      </c>
      <c r="CZ188">
        <v>0</v>
      </c>
      <c r="DA188">
        <v>1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</row>
    <row r="189" spans="1:113" x14ac:dyDescent="0.3">
      <c r="A189" t="str">
        <f>"02/08/2021 20:12:07.398"</f>
        <v>02/08/2021 20:12:07.398</v>
      </c>
      <c r="C189" t="str">
        <f t="shared" si="8"/>
        <v>FFDFD3C0</v>
      </c>
      <c r="D189" t="s">
        <v>113</v>
      </c>
      <c r="E189">
        <v>6</v>
      </c>
      <c r="H189">
        <v>165</v>
      </c>
      <c r="I189" t="s">
        <v>114</v>
      </c>
      <c r="J189" t="s">
        <v>115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"20:12:09.711"</f>
        <v>20:12:09.711</v>
      </c>
      <c r="T189" t="str">
        <f>"20:12:09.311"</f>
        <v>20:12:09.311</v>
      </c>
      <c r="U189" t="str">
        <f t="shared" si="7"/>
        <v>AB01F4</v>
      </c>
      <c r="V189">
        <v>0</v>
      </c>
      <c r="W189">
        <v>0</v>
      </c>
      <c r="X189">
        <v>1</v>
      </c>
      <c r="Z189">
        <v>0</v>
      </c>
      <c r="AA189">
        <v>9</v>
      </c>
      <c r="AB189">
        <v>3</v>
      </c>
      <c r="AC189">
        <v>0</v>
      </c>
      <c r="AD189">
        <v>10</v>
      </c>
      <c r="AE189">
        <v>0</v>
      </c>
      <c r="AF189">
        <v>3</v>
      </c>
      <c r="AG189">
        <v>2</v>
      </c>
      <c r="AH189">
        <v>0</v>
      </c>
      <c r="AI189" t="s">
        <v>264</v>
      </c>
      <c r="AJ189">
        <v>39.518315999999999</v>
      </c>
      <c r="AK189" t="s">
        <v>265</v>
      </c>
      <c r="AL189">
        <v>-92.445959999999999</v>
      </c>
      <c r="AM189">
        <v>100</v>
      </c>
      <c r="AN189">
        <v>1900</v>
      </c>
      <c r="AO189" t="s">
        <v>118</v>
      </c>
      <c r="AP189">
        <v>-90</v>
      </c>
      <c r="AQ189">
        <v>102</v>
      </c>
      <c r="AR189">
        <v>-128</v>
      </c>
      <c r="AZ189">
        <v>1200</v>
      </c>
      <c r="BA189">
        <v>1</v>
      </c>
      <c r="BB189" t="str">
        <f t="shared" si="9"/>
        <v xml:space="preserve">N8080G  </v>
      </c>
      <c r="BC189">
        <v>1</v>
      </c>
      <c r="BE189">
        <v>0</v>
      </c>
      <c r="BF189">
        <v>0</v>
      </c>
      <c r="BG189">
        <v>0</v>
      </c>
      <c r="BH189">
        <v>1850</v>
      </c>
      <c r="BI189">
        <v>1</v>
      </c>
      <c r="BJ189">
        <v>1</v>
      </c>
      <c r="BK189">
        <v>1</v>
      </c>
      <c r="BL189">
        <v>0</v>
      </c>
      <c r="BO189">
        <v>0</v>
      </c>
      <c r="BP189">
        <v>0</v>
      </c>
      <c r="BW189" t="str">
        <f>"20:12:09.711"</f>
        <v>20:12:09.711</v>
      </c>
      <c r="CJ189">
        <v>0</v>
      </c>
      <c r="CK189">
        <v>2</v>
      </c>
      <c r="CL189">
        <v>0</v>
      </c>
      <c r="CM189">
        <v>2</v>
      </c>
      <c r="CN189">
        <v>0</v>
      </c>
      <c r="CO189">
        <v>5</v>
      </c>
      <c r="CP189" t="s">
        <v>119</v>
      </c>
      <c r="CQ189">
        <v>559</v>
      </c>
      <c r="CR189">
        <v>0</v>
      </c>
      <c r="CW189">
        <v>10393035</v>
      </c>
      <c r="CY189">
        <v>1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</row>
    <row r="190" spans="1:113" x14ac:dyDescent="0.3">
      <c r="A190" t="str">
        <f>"02/08/2021 20:12:07.398"</f>
        <v>02/08/2021 20:12:07.398</v>
      </c>
      <c r="C190" t="str">
        <f t="shared" si="8"/>
        <v>FFDFD3C0</v>
      </c>
      <c r="D190" t="s">
        <v>124</v>
      </c>
      <c r="E190">
        <v>13</v>
      </c>
      <c r="F190">
        <v>1013</v>
      </c>
      <c r="G190" t="s">
        <v>114</v>
      </c>
      <c r="J190" t="s">
        <v>125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"20:12:09.711"</f>
        <v>20:12:09.711</v>
      </c>
      <c r="T190" t="str">
        <f>"20:12:09.311"</f>
        <v>20:12:09.311</v>
      </c>
      <c r="U190" t="str">
        <f t="shared" si="7"/>
        <v>AB01F4</v>
      </c>
      <c r="V190">
        <v>0</v>
      </c>
      <c r="W190">
        <v>0</v>
      </c>
      <c r="X190">
        <v>1</v>
      </c>
      <c r="Z190">
        <v>0</v>
      </c>
      <c r="AA190">
        <v>9</v>
      </c>
      <c r="AB190">
        <v>3</v>
      </c>
      <c r="AC190">
        <v>0</v>
      </c>
      <c r="AD190">
        <v>10</v>
      </c>
      <c r="AE190">
        <v>0</v>
      </c>
      <c r="AF190">
        <v>3</v>
      </c>
      <c r="AG190">
        <v>2</v>
      </c>
      <c r="AH190">
        <v>0</v>
      </c>
      <c r="AI190" t="s">
        <v>264</v>
      </c>
      <c r="AJ190">
        <v>39.518315999999999</v>
      </c>
      <c r="AK190" t="s">
        <v>265</v>
      </c>
      <c r="AL190">
        <v>-92.445959999999999</v>
      </c>
      <c r="AM190">
        <v>100</v>
      </c>
      <c r="AN190">
        <v>1900</v>
      </c>
      <c r="AO190" t="s">
        <v>118</v>
      </c>
      <c r="AP190">
        <v>-90</v>
      </c>
      <c r="AQ190">
        <v>102</v>
      </c>
      <c r="AR190">
        <v>-128</v>
      </c>
      <c r="AZ190">
        <v>1200</v>
      </c>
      <c r="BA190">
        <v>1</v>
      </c>
      <c r="BB190" t="str">
        <f t="shared" si="9"/>
        <v xml:space="preserve">N8080G  </v>
      </c>
      <c r="BC190">
        <v>1</v>
      </c>
      <c r="BE190">
        <v>0</v>
      </c>
      <c r="BF190">
        <v>0</v>
      </c>
      <c r="BG190">
        <v>0</v>
      </c>
      <c r="BH190">
        <v>1850</v>
      </c>
      <c r="BI190">
        <v>1</v>
      </c>
      <c r="BJ190">
        <v>1</v>
      </c>
      <c r="BK190">
        <v>1</v>
      </c>
      <c r="BL190">
        <v>0</v>
      </c>
      <c r="BO190">
        <v>0</v>
      </c>
      <c r="BP190">
        <v>0</v>
      </c>
      <c r="BW190" t="str">
        <f>"20:12:09.711"</f>
        <v>20:12:09.711</v>
      </c>
      <c r="CJ190">
        <v>0</v>
      </c>
      <c r="CK190">
        <v>2</v>
      </c>
      <c r="CL190">
        <v>0</v>
      </c>
      <c r="CM190">
        <v>2</v>
      </c>
      <c r="CN190">
        <v>0</v>
      </c>
      <c r="CO190">
        <v>5</v>
      </c>
      <c r="CP190" t="s">
        <v>119</v>
      </c>
      <c r="CQ190">
        <v>559</v>
      </c>
      <c r="CR190">
        <v>0</v>
      </c>
      <c r="CW190">
        <v>10393035</v>
      </c>
      <c r="CY190">
        <v>1</v>
      </c>
      <c r="CZ190">
        <v>0</v>
      </c>
      <c r="DA190">
        <v>1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</row>
    <row r="191" spans="1:113" x14ac:dyDescent="0.3">
      <c r="A191" t="str">
        <f>"02/08/2021 20:12:07.398"</f>
        <v>02/08/2021 20:12:07.398</v>
      </c>
      <c r="C191" t="str">
        <f t="shared" si="8"/>
        <v>FFDFD3C0</v>
      </c>
      <c r="D191" t="s">
        <v>141</v>
      </c>
      <c r="E191">
        <v>17</v>
      </c>
      <c r="H191">
        <v>256</v>
      </c>
      <c r="I191" t="s">
        <v>142</v>
      </c>
      <c r="J191" t="s">
        <v>143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"20:12:09.711"</f>
        <v>20:12:09.711</v>
      </c>
      <c r="T191" t="str">
        <f>"20:12:09.311"</f>
        <v>20:12:09.311</v>
      </c>
      <c r="U191" t="str">
        <f t="shared" si="7"/>
        <v>AB01F4</v>
      </c>
      <c r="V191">
        <v>0</v>
      </c>
      <c r="W191">
        <v>0</v>
      </c>
      <c r="X191">
        <v>1</v>
      </c>
      <c r="Z191">
        <v>0</v>
      </c>
      <c r="AA191">
        <v>9</v>
      </c>
      <c r="AB191">
        <v>3</v>
      </c>
      <c r="AC191">
        <v>0</v>
      </c>
      <c r="AD191">
        <v>10</v>
      </c>
      <c r="AE191">
        <v>0</v>
      </c>
      <c r="AF191">
        <v>3</v>
      </c>
      <c r="AG191">
        <v>2</v>
      </c>
      <c r="AH191">
        <v>0</v>
      </c>
      <c r="AI191" t="s">
        <v>264</v>
      </c>
      <c r="AJ191">
        <v>39.518315999999999</v>
      </c>
      <c r="AK191" t="s">
        <v>265</v>
      </c>
      <c r="AL191">
        <v>-92.445959999999999</v>
      </c>
      <c r="AM191">
        <v>100</v>
      </c>
      <c r="AN191">
        <v>1900</v>
      </c>
      <c r="AO191" t="s">
        <v>118</v>
      </c>
      <c r="AP191">
        <v>-90</v>
      </c>
      <c r="AQ191">
        <v>102</v>
      </c>
      <c r="AR191">
        <v>-128</v>
      </c>
      <c r="AZ191">
        <v>1200</v>
      </c>
      <c r="BA191">
        <v>1</v>
      </c>
      <c r="BB191" t="str">
        <f t="shared" si="9"/>
        <v xml:space="preserve">N8080G  </v>
      </c>
      <c r="BC191">
        <v>1</v>
      </c>
      <c r="BE191">
        <v>0</v>
      </c>
      <c r="BF191">
        <v>0</v>
      </c>
      <c r="BG191">
        <v>0</v>
      </c>
      <c r="BH191">
        <v>1850</v>
      </c>
      <c r="BI191">
        <v>1</v>
      </c>
      <c r="BJ191">
        <v>1</v>
      </c>
      <c r="BK191">
        <v>1</v>
      </c>
      <c r="BL191">
        <v>0</v>
      </c>
      <c r="BO191">
        <v>0</v>
      </c>
      <c r="BP191">
        <v>0</v>
      </c>
      <c r="BW191" t="str">
        <f>"20:12:09.711"</f>
        <v>20:12:09.711</v>
      </c>
      <c r="CJ191">
        <v>0</v>
      </c>
      <c r="CK191">
        <v>2</v>
      </c>
      <c r="CL191">
        <v>0</v>
      </c>
      <c r="CM191">
        <v>2</v>
      </c>
      <c r="CN191">
        <v>0</v>
      </c>
      <c r="CO191">
        <v>5</v>
      </c>
      <c r="CP191" t="s">
        <v>119</v>
      </c>
      <c r="CQ191">
        <v>559</v>
      </c>
      <c r="CR191">
        <v>0</v>
      </c>
      <c r="CW191">
        <v>10393035</v>
      </c>
      <c r="CY191">
        <v>1</v>
      </c>
      <c r="CZ191">
        <v>0</v>
      </c>
      <c r="DA191">
        <v>1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</row>
    <row r="192" spans="1:113" x14ac:dyDescent="0.3">
      <c r="A192" t="str">
        <f>"02/08/2021 20:12:08.278"</f>
        <v>02/08/2021 20:12:08.278</v>
      </c>
      <c r="C192" t="str">
        <f t="shared" si="8"/>
        <v>FFDFD3C0</v>
      </c>
      <c r="D192" t="s">
        <v>124</v>
      </c>
      <c r="E192">
        <v>13</v>
      </c>
      <c r="F192">
        <v>1013</v>
      </c>
      <c r="G192" t="s">
        <v>114</v>
      </c>
      <c r="J192" t="s">
        <v>125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"20:12:10.641"</f>
        <v>20:12:10.641</v>
      </c>
      <c r="U192" t="str">
        <f t="shared" si="7"/>
        <v>AB01F4</v>
      </c>
      <c r="V192">
        <v>0</v>
      </c>
      <c r="W192">
        <v>0</v>
      </c>
      <c r="X192">
        <v>1</v>
      </c>
      <c r="Z192">
        <v>0</v>
      </c>
      <c r="AA192">
        <v>9</v>
      </c>
      <c r="AB192">
        <v>3</v>
      </c>
      <c r="AC192">
        <v>0</v>
      </c>
      <c r="AD192">
        <v>10</v>
      </c>
      <c r="AE192">
        <v>0</v>
      </c>
      <c r="AF192">
        <v>3</v>
      </c>
      <c r="AG192">
        <v>2</v>
      </c>
      <c r="AH192">
        <v>0</v>
      </c>
      <c r="AI192" t="s">
        <v>266</v>
      </c>
      <c r="AJ192">
        <v>39.518745000000003</v>
      </c>
      <c r="AK192" t="s">
        <v>267</v>
      </c>
      <c r="AL192">
        <v>-92.446410999999998</v>
      </c>
      <c r="AM192">
        <v>100</v>
      </c>
      <c r="AN192">
        <v>1900</v>
      </c>
      <c r="AO192" t="s">
        <v>118</v>
      </c>
      <c r="AP192">
        <v>-93</v>
      </c>
      <c r="AQ192">
        <v>101</v>
      </c>
      <c r="AR192">
        <v>-128</v>
      </c>
      <c r="AZ192">
        <v>1200</v>
      </c>
      <c r="BA192">
        <v>1</v>
      </c>
      <c r="BB192" t="str">
        <f t="shared" si="9"/>
        <v xml:space="preserve">N8080G  </v>
      </c>
      <c r="BC192">
        <v>1</v>
      </c>
      <c r="BE192">
        <v>0</v>
      </c>
      <c r="BF192">
        <v>0</v>
      </c>
      <c r="BG192">
        <v>0</v>
      </c>
      <c r="BH192">
        <v>1850</v>
      </c>
      <c r="BI192">
        <v>1</v>
      </c>
      <c r="BJ192">
        <v>1</v>
      </c>
      <c r="BK192">
        <v>1</v>
      </c>
      <c r="BL192">
        <v>0</v>
      </c>
      <c r="BO192">
        <v>0</v>
      </c>
      <c r="BP192">
        <v>0</v>
      </c>
      <c r="BW192" t="str">
        <f>"20:12:10.644"</f>
        <v>20:12:10.644</v>
      </c>
      <c r="CJ192">
        <v>0</v>
      </c>
      <c r="CK192">
        <v>2</v>
      </c>
      <c r="CL192">
        <v>0</v>
      </c>
      <c r="CM192">
        <v>2</v>
      </c>
      <c r="CN192">
        <v>0</v>
      </c>
      <c r="CO192">
        <v>5</v>
      </c>
      <c r="CP192" t="s">
        <v>119</v>
      </c>
      <c r="CQ192">
        <v>559</v>
      </c>
      <c r="CR192">
        <v>0</v>
      </c>
      <c r="CW192">
        <v>10393179</v>
      </c>
      <c r="CY192">
        <v>1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</row>
    <row r="193" spans="1:113" x14ac:dyDescent="0.3">
      <c r="A193" t="str">
        <f>"02/08/2021 20:12:08.278"</f>
        <v>02/08/2021 20:12:08.278</v>
      </c>
      <c r="C193" t="str">
        <f t="shared" si="8"/>
        <v>FFDFD3C0</v>
      </c>
      <c r="D193" t="s">
        <v>141</v>
      </c>
      <c r="E193">
        <v>17</v>
      </c>
      <c r="H193">
        <v>256</v>
      </c>
      <c r="I193" t="s">
        <v>142</v>
      </c>
      <c r="J193" t="s">
        <v>143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"20:12:10.641"</f>
        <v>20:12:10.641</v>
      </c>
      <c r="U193" t="str">
        <f t="shared" si="7"/>
        <v>AB01F4</v>
      </c>
      <c r="V193">
        <v>0</v>
      </c>
      <c r="W193">
        <v>0</v>
      </c>
      <c r="X193">
        <v>1</v>
      </c>
      <c r="Z193">
        <v>0</v>
      </c>
      <c r="AA193">
        <v>9</v>
      </c>
      <c r="AB193">
        <v>3</v>
      </c>
      <c r="AC193">
        <v>0</v>
      </c>
      <c r="AD193">
        <v>10</v>
      </c>
      <c r="AE193">
        <v>0</v>
      </c>
      <c r="AF193">
        <v>3</v>
      </c>
      <c r="AG193">
        <v>2</v>
      </c>
      <c r="AH193">
        <v>0</v>
      </c>
      <c r="AI193" t="s">
        <v>266</v>
      </c>
      <c r="AJ193">
        <v>39.518745000000003</v>
      </c>
      <c r="AK193" t="s">
        <v>267</v>
      </c>
      <c r="AL193">
        <v>-92.446410999999998</v>
      </c>
      <c r="AM193">
        <v>100</v>
      </c>
      <c r="AN193">
        <v>1900</v>
      </c>
      <c r="AO193" t="s">
        <v>118</v>
      </c>
      <c r="AP193">
        <v>-93</v>
      </c>
      <c r="AQ193">
        <v>101</v>
      </c>
      <c r="AR193">
        <v>-128</v>
      </c>
      <c r="AZ193">
        <v>1200</v>
      </c>
      <c r="BA193">
        <v>1</v>
      </c>
      <c r="BB193" t="str">
        <f t="shared" si="9"/>
        <v xml:space="preserve">N8080G  </v>
      </c>
      <c r="BC193">
        <v>1</v>
      </c>
      <c r="BE193">
        <v>0</v>
      </c>
      <c r="BF193">
        <v>0</v>
      </c>
      <c r="BG193">
        <v>0</v>
      </c>
      <c r="BH193">
        <v>1850</v>
      </c>
      <c r="BI193">
        <v>1</v>
      </c>
      <c r="BJ193">
        <v>1</v>
      </c>
      <c r="BK193">
        <v>1</v>
      </c>
      <c r="BL193">
        <v>0</v>
      </c>
      <c r="BO193">
        <v>0</v>
      </c>
      <c r="BP193">
        <v>0</v>
      </c>
      <c r="BW193" t="str">
        <f>"20:12:10.644"</f>
        <v>20:12:10.644</v>
      </c>
      <c r="CJ193">
        <v>0</v>
      </c>
      <c r="CK193">
        <v>2</v>
      </c>
      <c r="CL193">
        <v>0</v>
      </c>
      <c r="CM193">
        <v>2</v>
      </c>
      <c r="CN193">
        <v>0</v>
      </c>
      <c r="CO193">
        <v>5</v>
      </c>
      <c r="CP193" t="s">
        <v>119</v>
      </c>
      <c r="CQ193">
        <v>559</v>
      </c>
      <c r="CR193">
        <v>0</v>
      </c>
      <c r="CW193">
        <v>10393179</v>
      </c>
      <c r="CY193">
        <v>1</v>
      </c>
      <c r="CZ193">
        <v>0</v>
      </c>
      <c r="DA193">
        <v>1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</row>
    <row r="194" spans="1:113" x14ac:dyDescent="0.3">
      <c r="A194" t="str">
        <f>"02/08/2021 20:12:08.278"</f>
        <v>02/08/2021 20:12:08.278</v>
      </c>
      <c r="C194" t="str">
        <f t="shared" si="8"/>
        <v>FFDFD3C0</v>
      </c>
      <c r="D194" t="s">
        <v>113</v>
      </c>
      <c r="E194">
        <v>6</v>
      </c>
      <c r="H194">
        <v>165</v>
      </c>
      <c r="I194" t="s">
        <v>114</v>
      </c>
      <c r="J194" t="s">
        <v>115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"20:12:10.641"</f>
        <v>20:12:10.641</v>
      </c>
      <c r="U194" t="str">
        <f t="shared" ref="U194:U257" si="10">"AB01F4"</f>
        <v>AB01F4</v>
      </c>
      <c r="V194">
        <v>0</v>
      </c>
      <c r="W194">
        <v>0</v>
      </c>
      <c r="X194">
        <v>1</v>
      </c>
      <c r="Z194">
        <v>0</v>
      </c>
      <c r="AA194">
        <v>9</v>
      </c>
      <c r="AB194">
        <v>3</v>
      </c>
      <c r="AC194">
        <v>0</v>
      </c>
      <c r="AD194">
        <v>10</v>
      </c>
      <c r="AE194">
        <v>0</v>
      </c>
      <c r="AF194">
        <v>3</v>
      </c>
      <c r="AG194">
        <v>2</v>
      </c>
      <c r="AH194">
        <v>0</v>
      </c>
      <c r="AI194" t="s">
        <v>266</v>
      </c>
      <c r="AJ194">
        <v>39.518745000000003</v>
      </c>
      <c r="AK194" t="s">
        <v>267</v>
      </c>
      <c r="AL194">
        <v>-92.446410999999998</v>
      </c>
      <c r="AM194">
        <v>100</v>
      </c>
      <c r="AN194">
        <v>1900</v>
      </c>
      <c r="AO194" t="s">
        <v>118</v>
      </c>
      <c r="AP194">
        <v>-93</v>
      </c>
      <c r="AQ194">
        <v>101</v>
      </c>
      <c r="AR194">
        <v>-128</v>
      </c>
      <c r="AZ194">
        <v>1200</v>
      </c>
      <c r="BA194">
        <v>1</v>
      </c>
      <c r="BB194" t="str">
        <f t="shared" si="9"/>
        <v xml:space="preserve">N8080G  </v>
      </c>
      <c r="BC194">
        <v>1</v>
      </c>
      <c r="BE194">
        <v>0</v>
      </c>
      <c r="BF194">
        <v>0</v>
      </c>
      <c r="BG194">
        <v>0</v>
      </c>
      <c r="BH194">
        <v>1850</v>
      </c>
      <c r="BI194">
        <v>1</v>
      </c>
      <c r="BJ194">
        <v>1</v>
      </c>
      <c r="BK194">
        <v>1</v>
      </c>
      <c r="BL194">
        <v>0</v>
      </c>
      <c r="BO194">
        <v>0</v>
      </c>
      <c r="BP194">
        <v>0</v>
      </c>
      <c r="BW194" t="str">
        <f>"20:12:10.644"</f>
        <v>20:12:10.644</v>
      </c>
      <c r="CJ194">
        <v>0</v>
      </c>
      <c r="CK194">
        <v>2</v>
      </c>
      <c r="CL194">
        <v>0</v>
      </c>
      <c r="CM194">
        <v>2</v>
      </c>
      <c r="CN194">
        <v>0</v>
      </c>
      <c r="CO194">
        <v>5</v>
      </c>
      <c r="CP194" t="s">
        <v>119</v>
      </c>
      <c r="CQ194">
        <v>559</v>
      </c>
      <c r="CR194">
        <v>0</v>
      </c>
      <c r="CW194">
        <v>10393179</v>
      </c>
      <c r="CY194">
        <v>1</v>
      </c>
      <c r="CZ194">
        <v>0</v>
      </c>
      <c r="DA194">
        <v>1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</row>
    <row r="195" spans="1:113" x14ac:dyDescent="0.3">
      <c r="A195" t="str">
        <f>"02/08/2021 20:12:09.243"</f>
        <v>02/08/2021 20:12:09.243</v>
      </c>
      <c r="C195" t="str">
        <f t="shared" si="8"/>
        <v>FFDFD3C0</v>
      </c>
      <c r="D195" t="s">
        <v>141</v>
      </c>
      <c r="E195">
        <v>17</v>
      </c>
      <c r="H195">
        <v>256</v>
      </c>
      <c r="I195" t="s">
        <v>142</v>
      </c>
      <c r="J195" t="s">
        <v>143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"20:12:11.570"</f>
        <v>20:12:11.570</v>
      </c>
      <c r="T195" t="str">
        <f>"20:12:11.170"</f>
        <v>20:12:11.170</v>
      </c>
      <c r="U195" t="str">
        <f t="shared" si="10"/>
        <v>AB01F4</v>
      </c>
      <c r="V195">
        <v>0</v>
      </c>
      <c r="W195">
        <v>0</v>
      </c>
      <c r="X195">
        <v>1</v>
      </c>
      <c r="Z195">
        <v>0</v>
      </c>
      <c r="AA195">
        <v>9</v>
      </c>
      <c r="AB195">
        <v>3</v>
      </c>
      <c r="AC195">
        <v>0</v>
      </c>
      <c r="AD195">
        <v>10</v>
      </c>
      <c r="AE195">
        <v>0</v>
      </c>
      <c r="AF195">
        <v>3</v>
      </c>
      <c r="AG195">
        <v>2</v>
      </c>
      <c r="AH195">
        <v>0</v>
      </c>
      <c r="AI195" t="s">
        <v>268</v>
      </c>
      <c r="AJ195">
        <v>39.519153000000003</v>
      </c>
      <c r="AK195" t="s">
        <v>269</v>
      </c>
      <c r="AL195">
        <v>-92.446968999999996</v>
      </c>
      <c r="AM195">
        <v>100</v>
      </c>
      <c r="AN195">
        <v>1900</v>
      </c>
      <c r="AO195" t="s">
        <v>118</v>
      </c>
      <c r="AP195">
        <v>-94</v>
      </c>
      <c r="AQ195">
        <v>101</v>
      </c>
      <c r="AR195">
        <v>-128</v>
      </c>
      <c r="AZ195">
        <v>1200</v>
      </c>
      <c r="BA195">
        <v>1</v>
      </c>
      <c r="BB195" t="str">
        <f t="shared" si="9"/>
        <v xml:space="preserve">N8080G  </v>
      </c>
      <c r="BC195">
        <v>1</v>
      </c>
      <c r="BE195">
        <v>0</v>
      </c>
      <c r="BF195">
        <v>0</v>
      </c>
      <c r="BG195">
        <v>0</v>
      </c>
      <c r="BH195">
        <v>1850</v>
      </c>
      <c r="BI195">
        <v>1</v>
      </c>
      <c r="BJ195">
        <v>1</v>
      </c>
      <c r="BK195">
        <v>1</v>
      </c>
      <c r="BL195">
        <v>0</v>
      </c>
      <c r="BO195">
        <v>0</v>
      </c>
      <c r="BP195">
        <v>0</v>
      </c>
      <c r="BW195" t="str">
        <f>"20:12:11.571"</f>
        <v>20:12:11.571</v>
      </c>
      <c r="CJ195">
        <v>0</v>
      </c>
      <c r="CK195">
        <v>2</v>
      </c>
      <c r="CL195">
        <v>0</v>
      </c>
      <c r="CM195">
        <v>2</v>
      </c>
      <c r="CN195">
        <v>0</v>
      </c>
      <c r="CO195">
        <v>5</v>
      </c>
      <c r="CP195" t="s">
        <v>119</v>
      </c>
      <c r="CQ195">
        <v>559</v>
      </c>
      <c r="CR195">
        <v>0</v>
      </c>
      <c r="CW195">
        <v>10393333</v>
      </c>
      <c r="CY195">
        <v>1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</row>
    <row r="196" spans="1:113" x14ac:dyDescent="0.3">
      <c r="A196" t="str">
        <f>"02/08/2021 20:12:09.243"</f>
        <v>02/08/2021 20:12:09.243</v>
      </c>
      <c r="C196" t="str">
        <f t="shared" si="8"/>
        <v>FFDFD3C0</v>
      </c>
      <c r="D196" t="s">
        <v>113</v>
      </c>
      <c r="E196">
        <v>6</v>
      </c>
      <c r="H196">
        <v>165</v>
      </c>
      <c r="I196" t="s">
        <v>114</v>
      </c>
      <c r="J196" t="s">
        <v>115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"20:12:11.570"</f>
        <v>20:12:11.570</v>
      </c>
      <c r="T196" t="str">
        <f>"20:12:11.170"</f>
        <v>20:12:11.170</v>
      </c>
      <c r="U196" t="str">
        <f t="shared" si="10"/>
        <v>AB01F4</v>
      </c>
      <c r="V196">
        <v>0</v>
      </c>
      <c r="W196">
        <v>0</v>
      </c>
      <c r="X196">
        <v>1</v>
      </c>
      <c r="Z196">
        <v>0</v>
      </c>
      <c r="AA196">
        <v>9</v>
      </c>
      <c r="AB196">
        <v>3</v>
      </c>
      <c r="AC196">
        <v>0</v>
      </c>
      <c r="AD196">
        <v>10</v>
      </c>
      <c r="AE196">
        <v>0</v>
      </c>
      <c r="AF196">
        <v>3</v>
      </c>
      <c r="AG196">
        <v>2</v>
      </c>
      <c r="AH196">
        <v>0</v>
      </c>
      <c r="AI196" t="s">
        <v>268</v>
      </c>
      <c r="AJ196">
        <v>39.519153000000003</v>
      </c>
      <c r="AK196" t="s">
        <v>269</v>
      </c>
      <c r="AL196">
        <v>-92.446968999999996</v>
      </c>
      <c r="AM196">
        <v>100</v>
      </c>
      <c r="AN196">
        <v>1900</v>
      </c>
      <c r="AO196" t="s">
        <v>118</v>
      </c>
      <c r="AP196">
        <v>-94</v>
      </c>
      <c r="AQ196">
        <v>101</v>
      </c>
      <c r="AR196">
        <v>-128</v>
      </c>
      <c r="AZ196">
        <v>1200</v>
      </c>
      <c r="BA196">
        <v>1</v>
      </c>
      <c r="BB196" t="str">
        <f t="shared" si="9"/>
        <v xml:space="preserve">N8080G  </v>
      </c>
      <c r="BC196">
        <v>1</v>
      </c>
      <c r="BE196">
        <v>0</v>
      </c>
      <c r="BF196">
        <v>0</v>
      </c>
      <c r="BG196">
        <v>0</v>
      </c>
      <c r="BH196">
        <v>1850</v>
      </c>
      <c r="BI196">
        <v>1</v>
      </c>
      <c r="BJ196">
        <v>1</v>
      </c>
      <c r="BK196">
        <v>1</v>
      </c>
      <c r="BL196">
        <v>0</v>
      </c>
      <c r="BO196">
        <v>0</v>
      </c>
      <c r="BP196">
        <v>0</v>
      </c>
      <c r="BW196" t="str">
        <f>"20:12:11.571"</f>
        <v>20:12:11.571</v>
      </c>
      <c r="CJ196">
        <v>0</v>
      </c>
      <c r="CK196">
        <v>2</v>
      </c>
      <c r="CL196">
        <v>0</v>
      </c>
      <c r="CM196">
        <v>2</v>
      </c>
      <c r="CN196">
        <v>0</v>
      </c>
      <c r="CO196">
        <v>5</v>
      </c>
      <c r="CP196" t="s">
        <v>119</v>
      </c>
      <c r="CQ196">
        <v>559</v>
      </c>
      <c r="CR196">
        <v>0</v>
      </c>
      <c r="CW196">
        <v>10393333</v>
      </c>
      <c r="CY196">
        <v>1</v>
      </c>
      <c r="CZ196">
        <v>0</v>
      </c>
      <c r="DA196">
        <v>1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</row>
    <row r="197" spans="1:113" x14ac:dyDescent="0.3">
      <c r="A197" t="str">
        <f>"02/08/2021 20:12:09.243"</f>
        <v>02/08/2021 20:12:09.243</v>
      </c>
      <c r="C197" t="str">
        <f t="shared" si="8"/>
        <v>FFDFD3C0</v>
      </c>
      <c r="D197" t="s">
        <v>124</v>
      </c>
      <c r="E197">
        <v>13</v>
      </c>
      <c r="F197">
        <v>1013</v>
      </c>
      <c r="G197" t="s">
        <v>114</v>
      </c>
      <c r="J197" t="s">
        <v>125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"20:12:11.570"</f>
        <v>20:12:11.570</v>
      </c>
      <c r="T197" t="str">
        <f>"20:12:11.170"</f>
        <v>20:12:11.170</v>
      </c>
      <c r="U197" t="str">
        <f t="shared" si="10"/>
        <v>AB01F4</v>
      </c>
      <c r="V197">
        <v>0</v>
      </c>
      <c r="W197">
        <v>0</v>
      </c>
      <c r="X197">
        <v>1</v>
      </c>
      <c r="Z197">
        <v>0</v>
      </c>
      <c r="AA197">
        <v>9</v>
      </c>
      <c r="AB197">
        <v>3</v>
      </c>
      <c r="AC197">
        <v>0</v>
      </c>
      <c r="AD197">
        <v>10</v>
      </c>
      <c r="AE197">
        <v>0</v>
      </c>
      <c r="AF197">
        <v>3</v>
      </c>
      <c r="AG197">
        <v>2</v>
      </c>
      <c r="AH197">
        <v>0</v>
      </c>
      <c r="AI197" t="s">
        <v>268</v>
      </c>
      <c r="AJ197">
        <v>39.519153000000003</v>
      </c>
      <c r="AK197" t="s">
        <v>269</v>
      </c>
      <c r="AL197">
        <v>-92.446968999999996</v>
      </c>
      <c r="AM197">
        <v>100</v>
      </c>
      <c r="AN197">
        <v>1900</v>
      </c>
      <c r="AO197" t="s">
        <v>118</v>
      </c>
      <c r="AP197">
        <v>-94</v>
      </c>
      <c r="AQ197">
        <v>101</v>
      </c>
      <c r="AR197">
        <v>-128</v>
      </c>
      <c r="AZ197">
        <v>1200</v>
      </c>
      <c r="BA197">
        <v>1</v>
      </c>
      <c r="BB197" t="str">
        <f t="shared" si="9"/>
        <v xml:space="preserve">N8080G  </v>
      </c>
      <c r="BC197">
        <v>1</v>
      </c>
      <c r="BE197">
        <v>0</v>
      </c>
      <c r="BF197">
        <v>0</v>
      </c>
      <c r="BG197">
        <v>0</v>
      </c>
      <c r="BH197">
        <v>1850</v>
      </c>
      <c r="BI197">
        <v>1</v>
      </c>
      <c r="BJ197">
        <v>1</v>
      </c>
      <c r="BK197">
        <v>1</v>
      </c>
      <c r="BL197">
        <v>0</v>
      </c>
      <c r="BO197">
        <v>0</v>
      </c>
      <c r="BP197">
        <v>0</v>
      </c>
      <c r="BW197" t="str">
        <f>"20:12:11.571"</f>
        <v>20:12:11.571</v>
      </c>
      <c r="CJ197">
        <v>0</v>
      </c>
      <c r="CK197">
        <v>2</v>
      </c>
      <c r="CL197">
        <v>0</v>
      </c>
      <c r="CM197">
        <v>2</v>
      </c>
      <c r="CN197">
        <v>0</v>
      </c>
      <c r="CO197">
        <v>5</v>
      </c>
      <c r="CP197" t="s">
        <v>119</v>
      </c>
      <c r="CQ197">
        <v>559</v>
      </c>
      <c r="CR197">
        <v>0</v>
      </c>
      <c r="CW197">
        <v>10393333</v>
      </c>
      <c r="CY197">
        <v>1</v>
      </c>
      <c r="CZ197">
        <v>0</v>
      </c>
      <c r="DA197">
        <v>1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</row>
    <row r="198" spans="1:113" x14ac:dyDescent="0.3">
      <c r="A198" t="str">
        <f>"02/08/2021 20:12:10.232"</f>
        <v>02/08/2021 20:12:10.232</v>
      </c>
      <c r="C198" t="str">
        <f t="shared" si="8"/>
        <v>FFDFD3C0</v>
      </c>
      <c r="D198" t="s">
        <v>113</v>
      </c>
      <c r="E198">
        <v>6</v>
      </c>
      <c r="H198">
        <v>165</v>
      </c>
      <c r="I198" t="s">
        <v>114</v>
      </c>
      <c r="J198" t="s">
        <v>115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"20:12:12.578"</f>
        <v>20:12:12.578</v>
      </c>
      <c r="T198" t="str">
        <f>"20:12:12.178"</f>
        <v>20:12:12.178</v>
      </c>
      <c r="U198" t="str">
        <f t="shared" si="10"/>
        <v>AB01F4</v>
      </c>
      <c r="V198">
        <v>0</v>
      </c>
      <c r="W198">
        <v>0</v>
      </c>
      <c r="X198">
        <v>1</v>
      </c>
      <c r="Z198">
        <v>0</v>
      </c>
      <c r="AA198">
        <v>9</v>
      </c>
      <c r="AB198">
        <v>3</v>
      </c>
      <c r="AC198">
        <v>0</v>
      </c>
      <c r="AD198">
        <v>10</v>
      </c>
      <c r="AE198">
        <v>0</v>
      </c>
      <c r="AF198">
        <v>3</v>
      </c>
      <c r="AG198">
        <v>2</v>
      </c>
      <c r="AH198">
        <v>0</v>
      </c>
      <c r="AI198" t="s">
        <v>270</v>
      </c>
      <c r="AJ198">
        <v>39.519646000000002</v>
      </c>
      <c r="AK198" t="s">
        <v>271</v>
      </c>
      <c r="AL198">
        <v>-92.447505000000007</v>
      </c>
      <c r="AM198">
        <v>100</v>
      </c>
      <c r="AN198">
        <v>1900</v>
      </c>
      <c r="AO198" t="s">
        <v>118</v>
      </c>
      <c r="AP198">
        <v>-95</v>
      </c>
      <c r="AQ198">
        <v>100</v>
      </c>
      <c r="AR198">
        <v>64</v>
      </c>
      <c r="AZ198">
        <v>1200</v>
      </c>
      <c r="BA198">
        <v>1</v>
      </c>
      <c r="BB198" t="str">
        <f t="shared" si="9"/>
        <v xml:space="preserve">N8080G  </v>
      </c>
      <c r="BC198">
        <v>1</v>
      </c>
      <c r="BE198">
        <v>0</v>
      </c>
      <c r="BF198">
        <v>0</v>
      </c>
      <c r="BG198">
        <v>0</v>
      </c>
      <c r="BH198">
        <v>1850</v>
      </c>
      <c r="BI198">
        <v>1</v>
      </c>
      <c r="BJ198">
        <v>1</v>
      </c>
      <c r="BK198">
        <v>1</v>
      </c>
      <c r="BL198">
        <v>0</v>
      </c>
      <c r="BO198">
        <v>0</v>
      </c>
      <c r="BP198">
        <v>0</v>
      </c>
      <c r="BW198" t="str">
        <f>"20:12:12.580"</f>
        <v>20:12:12.580</v>
      </c>
      <c r="CJ198">
        <v>0</v>
      </c>
      <c r="CK198">
        <v>2</v>
      </c>
      <c r="CL198">
        <v>0</v>
      </c>
      <c r="CM198">
        <v>2</v>
      </c>
      <c r="CN198">
        <v>0</v>
      </c>
      <c r="CO198">
        <v>5</v>
      </c>
      <c r="CP198" t="s">
        <v>119</v>
      </c>
      <c r="CQ198">
        <v>559</v>
      </c>
      <c r="CR198">
        <v>0</v>
      </c>
      <c r="CW198">
        <v>10393493</v>
      </c>
      <c r="CY198">
        <v>1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</row>
    <row r="199" spans="1:113" x14ac:dyDescent="0.3">
      <c r="A199" t="str">
        <f>"02/08/2021 20:12:10.232"</f>
        <v>02/08/2021 20:12:10.232</v>
      </c>
      <c r="C199" t="str">
        <f t="shared" si="8"/>
        <v>FFDFD3C0</v>
      </c>
      <c r="D199" t="s">
        <v>124</v>
      </c>
      <c r="E199">
        <v>13</v>
      </c>
      <c r="F199">
        <v>1013</v>
      </c>
      <c r="G199" t="s">
        <v>114</v>
      </c>
      <c r="J199" t="s">
        <v>125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"20:12:12.578"</f>
        <v>20:12:12.578</v>
      </c>
      <c r="T199" t="str">
        <f>"20:12:12.178"</f>
        <v>20:12:12.178</v>
      </c>
      <c r="U199" t="str">
        <f t="shared" si="10"/>
        <v>AB01F4</v>
      </c>
      <c r="V199">
        <v>0</v>
      </c>
      <c r="W199">
        <v>0</v>
      </c>
      <c r="X199">
        <v>1</v>
      </c>
      <c r="Z199">
        <v>0</v>
      </c>
      <c r="AA199">
        <v>9</v>
      </c>
      <c r="AB199">
        <v>3</v>
      </c>
      <c r="AC199">
        <v>0</v>
      </c>
      <c r="AD199">
        <v>10</v>
      </c>
      <c r="AE199">
        <v>0</v>
      </c>
      <c r="AF199">
        <v>3</v>
      </c>
      <c r="AG199">
        <v>2</v>
      </c>
      <c r="AH199">
        <v>0</v>
      </c>
      <c r="AI199" t="s">
        <v>270</v>
      </c>
      <c r="AJ199">
        <v>39.519646000000002</v>
      </c>
      <c r="AK199" t="s">
        <v>271</v>
      </c>
      <c r="AL199">
        <v>-92.447505000000007</v>
      </c>
      <c r="AM199">
        <v>100</v>
      </c>
      <c r="AN199">
        <v>1900</v>
      </c>
      <c r="AO199" t="s">
        <v>118</v>
      </c>
      <c r="AP199">
        <v>-95</v>
      </c>
      <c r="AQ199">
        <v>100</v>
      </c>
      <c r="AR199">
        <v>64</v>
      </c>
      <c r="AZ199">
        <v>1200</v>
      </c>
      <c r="BA199">
        <v>1</v>
      </c>
      <c r="BB199" t="str">
        <f t="shared" si="9"/>
        <v xml:space="preserve">N8080G  </v>
      </c>
      <c r="BC199">
        <v>1</v>
      </c>
      <c r="BE199">
        <v>0</v>
      </c>
      <c r="BF199">
        <v>0</v>
      </c>
      <c r="BG199">
        <v>0</v>
      </c>
      <c r="BH199">
        <v>1850</v>
      </c>
      <c r="BI199">
        <v>1</v>
      </c>
      <c r="BJ199">
        <v>1</v>
      </c>
      <c r="BK199">
        <v>1</v>
      </c>
      <c r="BL199">
        <v>0</v>
      </c>
      <c r="BO199">
        <v>0</v>
      </c>
      <c r="BP199">
        <v>0</v>
      </c>
      <c r="BW199" t="str">
        <f>"20:12:12.580"</f>
        <v>20:12:12.580</v>
      </c>
      <c r="CJ199">
        <v>0</v>
      </c>
      <c r="CK199">
        <v>2</v>
      </c>
      <c r="CL199">
        <v>0</v>
      </c>
      <c r="CM199">
        <v>2</v>
      </c>
      <c r="CN199">
        <v>0</v>
      </c>
      <c r="CO199">
        <v>5</v>
      </c>
      <c r="CP199" t="s">
        <v>119</v>
      </c>
      <c r="CQ199">
        <v>559</v>
      </c>
      <c r="CR199">
        <v>0</v>
      </c>
      <c r="CW199">
        <v>10393493</v>
      </c>
      <c r="CY199">
        <v>1</v>
      </c>
      <c r="CZ199">
        <v>0</v>
      </c>
      <c r="DA199">
        <v>1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</row>
    <row r="200" spans="1:113" x14ac:dyDescent="0.3">
      <c r="A200" t="str">
        <f>"02/08/2021 20:12:10.232"</f>
        <v>02/08/2021 20:12:10.232</v>
      </c>
      <c r="C200" t="str">
        <f t="shared" si="8"/>
        <v>FFDFD3C0</v>
      </c>
      <c r="D200" t="s">
        <v>141</v>
      </c>
      <c r="E200">
        <v>17</v>
      </c>
      <c r="H200">
        <v>256</v>
      </c>
      <c r="I200" t="s">
        <v>142</v>
      </c>
      <c r="J200" t="s">
        <v>143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"20:12:12.578"</f>
        <v>20:12:12.578</v>
      </c>
      <c r="T200" t="str">
        <f>"20:12:12.178"</f>
        <v>20:12:12.178</v>
      </c>
      <c r="U200" t="str">
        <f t="shared" si="10"/>
        <v>AB01F4</v>
      </c>
      <c r="V200">
        <v>0</v>
      </c>
      <c r="W200">
        <v>0</v>
      </c>
      <c r="X200">
        <v>1</v>
      </c>
      <c r="Z200">
        <v>0</v>
      </c>
      <c r="AA200">
        <v>9</v>
      </c>
      <c r="AB200">
        <v>3</v>
      </c>
      <c r="AC200">
        <v>0</v>
      </c>
      <c r="AD200">
        <v>10</v>
      </c>
      <c r="AE200">
        <v>0</v>
      </c>
      <c r="AF200">
        <v>3</v>
      </c>
      <c r="AG200">
        <v>2</v>
      </c>
      <c r="AH200">
        <v>0</v>
      </c>
      <c r="AI200" t="s">
        <v>270</v>
      </c>
      <c r="AJ200">
        <v>39.519646000000002</v>
      </c>
      <c r="AK200" t="s">
        <v>271</v>
      </c>
      <c r="AL200">
        <v>-92.447505000000007</v>
      </c>
      <c r="AM200">
        <v>100</v>
      </c>
      <c r="AN200">
        <v>1900</v>
      </c>
      <c r="AO200" t="s">
        <v>118</v>
      </c>
      <c r="AP200">
        <v>-95</v>
      </c>
      <c r="AQ200">
        <v>100</v>
      </c>
      <c r="AR200">
        <v>64</v>
      </c>
      <c r="AZ200">
        <v>1200</v>
      </c>
      <c r="BA200">
        <v>1</v>
      </c>
      <c r="BB200" t="str">
        <f t="shared" si="9"/>
        <v xml:space="preserve">N8080G  </v>
      </c>
      <c r="BC200">
        <v>1</v>
      </c>
      <c r="BE200">
        <v>0</v>
      </c>
      <c r="BF200">
        <v>0</v>
      </c>
      <c r="BG200">
        <v>0</v>
      </c>
      <c r="BH200">
        <v>1850</v>
      </c>
      <c r="BI200">
        <v>1</v>
      </c>
      <c r="BJ200">
        <v>1</v>
      </c>
      <c r="BK200">
        <v>1</v>
      </c>
      <c r="BL200">
        <v>0</v>
      </c>
      <c r="BO200">
        <v>0</v>
      </c>
      <c r="BP200">
        <v>0</v>
      </c>
      <c r="BW200" t="str">
        <f>"20:12:12.580"</f>
        <v>20:12:12.580</v>
      </c>
      <c r="CJ200">
        <v>0</v>
      </c>
      <c r="CK200">
        <v>2</v>
      </c>
      <c r="CL200">
        <v>0</v>
      </c>
      <c r="CM200">
        <v>2</v>
      </c>
      <c r="CN200">
        <v>0</v>
      </c>
      <c r="CO200">
        <v>5</v>
      </c>
      <c r="CP200" t="s">
        <v>119</v>
      </c>
      <c r="CQ200">
        <v>559</v>
      </c>
      <c r="CR200">
        <v>0</v>
      </c>
      <c r="CW200">
        <v>10393493</v>
      </c>
      <c r="CY200">
        <v>1</v>
      </c>
      <c r="CZ200">
        <v>0</v>
      </c>
      <c r="DA200">
        <v>1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</row>
    <row r="201" spans="1:113" x14ac:dyDescent="0.3">
      <c r="A201" t="str">
        <f>"02/08/2021 20:12:11.142"</f>
        <v>02/08/2021 20:12:11.142</v>
      </c>
      <c r="C201" t="str">
        <f t="shared" si="8"/>
        <v>FFDFD3C0</v>
      </c>
      <c r="D201" t="s">
        <v>113</v>
      </c>
      <c r="E201">
        <v>6</v>
      </c>
      <c r="H201">
        <v>165</v>
      </c>
      <c r="I201" t="s">
        <v>114</v>
      </c>
      <c r="J201" t="s">
        <v>115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"20:12:13.461"</f>
        <v>20:12:13.461</v>
      </c>
      <c r="T201" t="str">
        <f>"20:12:13.061"</f>
        <v>20:12:13.061</v>
      </c>
      <c r="U201" t="str">
        <f t="shared" si="10"/>
        <v>AB01F4</v>
      </c>
      <c r="V201">
        <v>0</v>
      </c>
      <c r="W201">
        <v>0</v>
      </c>
      <c r="X201">
        <v>1</v>
      </c>
      <c r="Z201">
        <v>0</v>
      </c>
      <c r="AA201">
        <v>9</v>
      </c>
      <c r="AB201">
        <v>3</v>
      </c>
      <c r="AC201">
        <v>0</v>
      </c>
      <c r="AD201">
        <v>10</v>
      </c>
      <c r="AE201">
        <v>0</v>
      </c>
      <c r="AF201">
        <v>3</v>
      </c>
      <c r="AG201">
        <v>2</v>
      </c>
      <c r="AH201">
        <v>0</v>
      </c>
      <c r="AI201" t="s">
        <v>272</v>
      </c>
      <c r="AJ201">
        <v>39.520054000000002</v>
      </c>
      <c r="AK201" t="s">
        <v>273</v>
      </c>
      <c r="AL201">
        <v>-92.448063000000005</v>
      </c>
      <c r="AM201">
        <v>100</v>
      </c>
      <c r="AN201">
        <v>1900</v>
      </c>
      <c r="AO201" t="s">
        <v>118</v>
      </c>
      <c r="AP201">
        <v>-97</v>
      </c>
      <c r="AQ201">
        <v>100</v>
      </c>
      <c r="AR201">
        <v>0</v>
      </c>
      <c r="AZ201">
        <v>1200</v>
      </c>
      <c r="BA201">
        <v>1</v>
      </c>
      <c r="BB201" t="str">
        <f t="shared" si="9"/>
        <v xml:space="preserve">N8080G  </v>
      </c>
      <c r="BC201">
        <v>1</v>
      </c>
      <c r="BE201">
        <v>0</v>
      </c>
      <c r="BF201">
        <v>0</v>
      </c>
      <c r="BG201">
        <v>0</v>
      </c>
      <c r="BH201">
        <v>1850</v>
      </c>
      <c r="BI201">
        <v>1</v>
      </c>
      <c r="BJ201">
        <v>1</v>
      </c>
      <c r="BK201">
        <v>1</v>
      </c>
      <c r="BL201">
        <v>0</v>
      </c>
      <c r="BO201">
        <v>0</v>
      </c>
      <c r="BP201">
        <v>0</v>
      </c>
      <c r="BW201" t="str">
        <f>"20:12:13.463"</f>
        <v>20:12:13.463</v>
      </c>
      <c r="CJ201">
        <v>0</v>
      </c>
      <c r="CK201">
        <v>2</v>
      </c>
      <c r="CL201">
        <v>0</v>
      </c>
      <c r="CM201">
        <v>2</v>
      </c>
      <c r="CN201">
        <v>0</v>
      </c>
      <c r="CO201">
        <v>5</v>
      </c>
      <c r="CP201" t="s">
        <v>119</v>
      </c>
      <c r="CQ201">
        <v>559</v>
      </c>
      <c r="CR201">
        <v>0</v>
      </c>
      <c r="CW201">
        <v>10393628</v>
      </c>
      <c r="CY201">
        <v>1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</row>
    <row r="202" spans="1:113" x14ac:dyDescent="0.3">
      <c r="A202" t="str">
        <f>"02/08/2021 20:12:11.142"</f>
        <v>02/08/2021 20:12:11.142</v>
      </c>
      <c r="C202" t="str">
        <f t="shared" si="8"/>
        <v>FFDFD3C0</v>
      </c>
      <c r="D202" t="s">
        <v>141</v>
      </c>
      <c r="E202">
        <v>17</v>
      </c>
      <c r="H202">
        <v>256</v>
      </c>
      <c r="I202" t="s">
        <v>142</v>
      </c>
      <c r="J202" t="s">
        <v>143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"20:12:13.461"</f>
        <v>20:12:13.461</v>
      </c>
      <c r="T202" t="str">
        <f>"20:12:13.061"</f>
        <v>20:12:13.061</v>
      </c>
      <c r="U202" t="str">
        <f t="shared" si="10"/>
        <v>AB01F4</v>
      </c>
      <c r="V202">
        <v>0</v>
      </c>
      <c r="W202">
        <v>0</v>
      </c>
      <c r="X202">
        <v>1</v>
      </c>
      <c r="Z202">
        <v>0</v>
      </c>
      <c r="AA202">
        <v>9</v>
      </c>
      <c r="AB202">
        <v>3</v>
      </c>
      <c r="AC202">
        <v>0</v>
      </c>
      <c r="AD202">
        <v>10</v>
      </c>
      <c r="AE202">
        <v>0</v>
      </c>
      <c r="AF202">
        <v>3</v>
      </c>
      <c r="AG202">
        <v>2</v>
      </c>
      <c r="AH202">
        <v>0</v>
      </c>
      <c r="AI202" t="s">
        <v>272</v>
      </c>
      <c r="AJ202">
        <v>39.520054000000002</v>
      </c>
      <c r="AK202" t="s">
        <v>273</v>
      </c>
      <c r="AL202">
        <v>-92.448063000000005</v>
      </c>
      <c r="AM202">
        <v>100</v>
      </c>
      <c r="AN202">
        <v>1900</v>
      </c>
      <c r="AO202" t="s">
        <v>118</v>
      </c>
      <c r="AP202">
        <v>-97</v>
      </c>
      <c r="AQ202">
        <v>100</v>
      </c>
      <c r="AR202">
        <v>0</v>
      </c>
      <c r="AZ202">
        <v>1200</v>
      </c>
      <c r="BA202">
        <v>1</v>
      </c>
      <c r="BB202" t="str">
        <f t="shared" si="9"/>
        <v xml:space="preserve">N8080G  </v>
      </c>
      <c r="BC202">
        <v>1</v>
      </c>
      <c r="BE202">
        <v>0</v>
      </c>
      <c r="BF202">
        <v>0</v>
      </c>
      <c r="BG202">
        <v>0</v>
      </c>
      <c r="BH202">
        <v>1850</v>
      </c>
      <c r="BI202">
        <v>1</v>
      </c>
      <c r="BJ202">
        <v>1</v>
      </c>
      <c r="BK202">
        <v>1</v>
      </c>
      <c r="BL202">
        <v>0</v>
      </c>
      <c r="BO202">
        <v>0</v>
      </c>
      <c r="BP202">
        <v>0</v>
      </c>
      <c r="BW202" t="str">
        <f>"20:12:13.463"</f>
        <v>20:12:13.463</v>
      </c>
      <c r="CJ202">
        <v>0</v>
      </c>
      <c r="CK202">
        <v>2</v>
      </c>
      <c r="CL202">
        <v>0</v>
      </c>
      <c r="CM202">
        <v>2</v>
      </c>
      <c r="CN202">
        <v>0</v>
      </c>
      <c r="CO202">
        <v>5</v>
      </c>
      <c r="CP202" t="s">
        <v>119</v>
      </c>
      <c r="CQ202">
        <v>559</v>
      </c>
      <c r="CR202">
        <v>0</v>
      </c>
      <c r="CW202">
        <v>10393628</v>
      </c>
      <c r="CY202">
        <v>1</v>
      </c>
      <c r="CZ202">
        <v>0</v>
      </c>
      <c r="DA202">
        <v>1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</row>
    <row r="203" spans="1:113" x14ac:dyDescent="0.3">
      <c r="A203" t="str">
        <f>"02/08/2021 20:12:11.142"</f>
        <v>02/08/2021 20:12:11.142</v>
      </c>
      <c r="C203" t="str">
        <f t="shared" si="8"/>
        <v>FFDFD3C0</v>
      </c>
      <c r="D203" t="s">
        <v>124</v>
      </c>
      <c r="E203">
        <v>13</v>
      </c>
      <c r="F203">
        <v>1013</v>
      </c>
      <c r="G203" t="s">
        <v>114</v>
      </c>
      <c r="J203" t="s">
        <v>125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"20:12:13.461"</f>
        <v>20:12:13.461</v>
      </c>
      <c r="T203" t="str">
        <f>"20:12:13.061"</f>
        <v>20:12:13.061</v>
      </c>
      <c r="U203" t="str">
        <f t="shared" si="10"/>
        <v>AB01F4</v>
      </c>
      <c r="V203">
        <v>0</v>
      </c>
      <c r="W203">
        <v>0</v>
      </c>
      <c r="X203">
        <v>1</v>
      </c>
      <c r="Z203">
        <v>0</v>
      </c>
      <c r="AA203">
        <v>9</v>
      </c>
      <c r="AB203">
        <v>3</v>
      </c>
      <c r="AC203">
        <v>0</v>
      </c>
      <c r="AD203">
        <v>10</v>
      </c>
      <c r="AE203">
        <v>0</v>
      </c>
      <c r="AF203">
        <v>3</v>
      </c>
      <c r="AG203">
        <v>2</v>
      </c>
      <c r="AH203">
        <v>0</v>
      </c>
      <c r="AI203" t="s">
        <v>272</v>
      </c>
      <c r="AJ203">
        <v>39.520054000000002</v>
      </c>
      <c r="AK203" t="s">
        <v>273</v>
      </c>
      <c r="AL203">
        <v>-92.448063000000005</v>
      </c>
      <c r="AM203">
        <v>100</v>
      </c>
      <c r="AN203">
        <v>1900</v>
      </c>
      <c r="AO203" t="s">
        <v>118</v>
      </c>
      <c r="AP203">
        <v>-97</v>
      </c>
      <c r="AQ203">
        <v>100</v>
      </c>
      <c r="AR203">
        <v>0</v>
      </c>
      <c r="AZ203">
        <v>1200</v>
      </c>
      <c r="BA203">
        <v>1</v>
      </c>
      <c r="BB203" t="str">
        <f t="shared" si="9"/>
        <v xml:space="preserve">N8080G  </v>
      </c>
      <c r="BC203">
        <v>1</v>
      </c>
      <c r="BE203">
        <v>0</v>
      </c>
      <c r="BF203">
        <v>0</v>
      </c>
      <c r="BG203">
        <v>0</v>
      </c>
      <c r="BH203">
        <v>1850</v>
      </c>
      <c r="BI203">
        <v>1</v>
      </c>
      <c r="BJ203">
        <v>1</v>
      </c>
      <c r="BK203">
        <v>1</v>
      </c>
      <c r="BL203">
        <v>0</v>
      </c>
      <c r="BO203">
        <v>0</v>
      </c>
      <c r="BP203">
        <v>0</v>
      </c>
      <c r="BW203" t="str">
        <f>"20:12:13.463"</f>
        <v>20:12:13.463</v>
      </c>
      <c r="CJ203">
        <v>0</v>
      </c>
      <c r="CK203">
        <v>2</v>
      </c>
      <c r="CL203">
        <v>0</v>
      </c>
      <c r="CM203">
        <v>2</v>
      </c>
      <c r="CN203">
        <v>0</v>
      </c>
      <c r="CO203">
        <v>5</v>
      </c>
      <c r="CP203" t="s">
        <v>119</v>
      </c>
      <c r="CQ203">
        <v>559</v>
      </c>
      <c r="CR203">
        <v>0</v>
      </c>
      <c r="CW203">
        <v>10393628</v>
      </c>
      <c r="CY203">
        <v>1</v>
      </c>
      <c r="CZ203">
        <v>0</v>
      </c>
      <c r="DA203">
        <v>1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</row>
    <row r="204" spans="1:113" x14ac:dyDescent="0.3">
      <c r="A204" t="str">
        <f>"02/08/2021 20:12:12.046"</f>
        <v>02/08/2021 20:12:12.046</v>
      </c>
      <c r="C204" t="str">
        <f t="shared" si="8"/>
        <v>FFDFD3C0</v>
      </c>
      <c r="D204" t="s">
        <v>124</v>
      </c>
      <c r="E204">
        <v>13</v>
      </c>
      <c r="F204">
        <v>1013</v>
      </c>
      <c r="G204" t="s">
        <v>114</v>
      </c>
      <c r="J204" t="s">
        <v>125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"20:12:14.391"</f>
        <v>20:12:14.391</v>
      </c>
      <c r="T204" t="str">
        <f>"20:12:13.991"</f>
        <v>20:12:13.991</v>
      </c>
      <c r="U204" t="str">
        <f t="shared" si="10"/>
        <v>AB01F4</v>
      </c>
      <c r="V204">
        <v>0</v>
      </c>
      <c r="W204">
        <v>0</v>
      </c>
      <c r="X204">
        <v>1</v>
      </c>
      <c r="Z204">
        <v>0</v>
      </c>
      <c r="AA204">
        <v>9</v>
      </c>
      <c r="AB204">
        <v>3</v>
      </c>
      <c r="AC204">
        <v>0</v>
      </c>
      <c r="AD204">
        <v>10</v>
      </c>
      <c r="AE204">
        <v>0</v>
      </c>
      <c r="AF204">
        <v>3</v>
      </c>
      <c r="AG204">
        <v>2</v>
      </c>
      <c r="AH204">
        <v>0</v>
      </c>
      <c r="AI204" t="s">
        <v>274</v>
      </c>
      <c r="AJ204">
        <v>39.520482999999999</v>
      </c>
      <c r="AK204" t="s">
        <v>275</v>
      </c>
      <c r="AL204">
        <v>-92.448577999999998</v>
      </c>
      <c r="AM204">
        <v>100</v>
      </c>
      <c r="AN204">
        <v>1900</v>
      </c>
      <c r="AO204" t="s">
        <v>118</v>
      </c>
      <c r="AP204">
        <v>-98</v>
      </c>
      <c r="AQ204">
        <v>99</v>
      </c>
      <c r="AR204">
        <v>0</v>
      </c>
      <c r="AZ204">
        <v>1200</v>
      </c>
      <c r="BA204">
        <v>1</v>
      </c>
      <c r="BB204" t="str">
        <f t="shared" si="9"/>
        <v xml:space="preserve">N8080G  </v>
      </c>
      <c r="BC204">
        <v>1</v>
      </c>
      <c r="BE204">
        <v>0</v>
      </c>
      <c r="BF204">
        <v>0</v>
      </c>
      <c r="BG204">
        <v>0</v>
      </c>
      <c r="BH204">
        <v>1850</v>
      </c>
      <c r="BI204">
        <v>1</v>
      </c>
      <c r="BJ204">
        <v>1</v>
      </c>
      <c r="BK204">
        <v>1</v>
      </c>
      <c r="BL204">
        <v>0</v>
      </c>
      <c r="BO204">
        <v>0</v>
      </c>
      <c r="BP204">
        <v>0</v>
      </c>
      <c r="BW204" t="str">
        <f>"20:12:14.397"</f>
        <v>20:12:14.397</v>
      </c>
      <c r="CJ204">
        <v>0</v>
      </c>
      <c r="CK204">
        <v>2</v>
      </c>
      <c r="CL204">
        <v>0</v>
      </c>
      <c r="CM204">
        <v>2</v>
      </c>
      <c r="CN204">
        <v>0</v>
      </c>
      <c r="CO204">
        <v>5</v>
      </c>
      <c r="CP204" t="s">
        <v>119</v>
      </c>
      <c r="CQ204">
        <v>559</v>
      </c>
      <c r="CR204">
        <v>0</v>
      </c>
      <c r="CW204">
        <v>10393765</v>
      </c>
      <c r="CY204">
        <v>1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</row>
    <row r="205" spans="1:113" x14ac:dyDescent="0.3">
      <c r="A205" t="str">
        <f>"02/08/2021 20:12:12.046"</f>
        <v>02/08/2021 20:12:12.046</v>
      </c>
      <c r="C205" t="str">
        <f t="shared" si="8"/>
        <v>FFDFD3C0</v>
      </c>
      <c r="D205" t="s">
        <v>113</v>
      </c>
      <c r="E205">
        <v>6</v>
      </c>
      <c r="H205">
        <v>165</v>
      </c>
      <c r="I205" t="s">
        <v>114</v>
      </c>
      <c r="J205" t="s">
        <v>115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"20:12:14.391"</f>
        <v>20:12:14.391</v>
      </c>
      <c r="T205" t="str">
        <f>"20:12:13.991"</f>
        <v>20:12:13.991</v>
      </c>
      <c r="U205" t="str">
        <f t="shared" si="10"/>
        <v>AB01F4</v>
      </c>
      <c r="V205">
        <v>0</v>
      </c>
      <c r="W205">
        <v>0</v>
      </c>
      <c r="X205">
        <v>1</v>
      </c>
      <c r="Z205">
        <v>0</v>
      </c>
      <c r="AA205">
        <v>9</v>
      </c>
      <c r="AB205">
        <v>3</v>
      </c>
      <c r="AC205">
        <v>0</v>
      </c>
      <c r="AD205">
        <v>10</v>
      </c>
      <c r="AE205">
        <v>0</v>
      </c>
      <c r="AF205">
        <v>3</v>
      </c>
      <c r="AG205">
        <v>2</v>
      </c>
      <c r="AH205">
        <v>0</v>
      </c>
      <c r="AI205" t="s">
        <v>274</v>
      </c>
      <c r="AJ205">
        <v>39.520482999999999</v>
      </c>
      <c r="AK205" t="s">
        <v>275</v>
      </c>
      <c r="AL205">
        <v>-92.448577999999998</v>
      </c>
      <c r="AM205">
        <v>100</v>
      </c>
      <c r="AN205">
        <v>1900</v>
      </c>
      <c r="AO205" t="s">
        <v>118</v>
      </c>
      <c r="AP205">
        <v>-98</v>
      </c>
      <c r="AQ205">
        <v>99</v>
      </c>
      <c r="AR205">
        <v>0</v>
      </c>
      <c r="AZ205">
        <v>1200</v>
      </c>
      <c r="BA205">
        <v>1</v>
      </c>
      <c r="BB205" t="str">
        <f t="shared" si="9"/>
        <v xml:space="preserve">N8080G  </v>
      </c>
      <c r="BC205">
        <v>1</v>
      </c>
      <c r="BE205">
        <v>0</v>
      </c>
      <c r="BF205">
        <v>0</v>
      </c>
      <c r="BG205">
        <v>0</v>
      </c>
      <c r="BH205">
        <v>1850</v>
      </c>
      <c r="BI205">
        <v>1</v>
      </c>
      <c r="BJ205">
        <v>1</v>
      </c>
      <c r="BK205">
        <v>1</v>
      </c>
      <c r="BL205">
        <v>0</v>
      </c>
      <c r="BO205">
        <v>0</v>
      </c>
      <c r="BP205">
        <v>0</v>
      </c>
      <c r="BW205" t="str">
        <f>"20:12:14.397"</f>
        <v>20:12:14.397</v>
      </c>
      <c r="CJ205">
        <v>0</v>
      </c>
      <c r="CK205">
        <v>2</v>
      </c>
      <c r="CL205">
        <v>0</v>
      </c>
      <c r="CM205">
        <v>2</v>
      </c>
      <c r="CN205">
        <v>0</v>
      </c>
      <c r="CO205">
        <v>5</v>
      </c>
      <c r="CP205" t="s">
        <v>119</v>
      </c>
      <c r="CQ205">
        <v>559</v>
      </c>
      <c r="CR205">
        <v>0</v>
      </c>
      <c r="CW205">
        <v>10393765</v>
      </c>
      <c r="CY205">
        <v>1</v>
      </c>
      <c r="CZ205">
        <v>0</v>
      </c>
      <c r="DA205">
        <v>1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</row>
    <row r="206" spans="1:113" x14ac:dyDescent="0.3">
      <c r="A206" t="str">
        <f>"02/08/2021 20:12:12.046"</f>
        <v>02/08/2021 20:12:12.046</v>
      </c>
      <c r="C206" t="str">
        <f t="shared" si="8"/>
        <v>FFDFD3C0</v>
      </c>
      <c r="D206" t="s">
        <v>141</v>
      </c>
      <c r="E206">
        <v>17</v>
      </c>
      <c r="H206">
        <v>256</v>
      </c>
      <c r="I206" t="s">
        <v>142</v>
      </c>
      <c r="J206" t="s">
        <v>143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"20:12:14.391"</f>
        <v>20:12:14.391</v>
      </c>
      <c r="T206" t="str">
        <f>"20:12:13.991"</f>
        <v>20:12:13.991</v>
      </c>
      <c r="U206" t="str">
        <f t="shared" si="10"/>
        <v>AB01F4</v>
      </c>
      <c r="V206">
        <v>0</v>
      </c>
      <c r="W206">
        <v>0</v>
      </c>
      <c r="X206">
        <v>1</v>
      </c>
      <c r="Z206">
        <v>0</v>
      </c>
      <c r="AA206">
        <v>9</v>
      </c>
      <c r="AB206">
        <v>3</v>
      </c>
      <c r="AC206">
        <v>0</v>
      </c>
      <c r="AD206">
        <v>10</v>
      </c>
      <c r="AE206">
        <v>0</v>
      </c>
      <c r="AF206">
        <v>3</v>
      </c>
      <c r="AG206">
        <v>2</v>
      </c>
      <c r="AH206">
        <v>0</v>
      </c>
      <c r="AI206" t="s">
        <v>274</v>
      </c>
      <c r="AJ206">
        <v>39.520482999999999</v>
      </c>
      <c r="AK206" t="s">
        <v>275</v>
      </c>
      <c r="AL206">
        <v>-92.448577999999998</v>
      </c>
      <c r="AM206">
        <v>100</v>
      </c>
      <c r="AN206">
        <v>1900</v>
      </c>
      <c r="AO206" t="s">
        <v>118</v>
      </c>
      <c r="AP206">
        <v>-98</v>
      </c>
      <c r="AQ206">
        <v>99</v>
      </c>
      <c r="AR206">
        <v>0</v>
      </c>
      <c r="AZ206">
        <v>1200</v>
      </c>
      <c r="BA206">
        <v>1</v>
      </c>
      <c r="BB206" t="str">
        <f t="shared" si="9"/>
        <v xml:space="preserve">N8080G  </v>
      </c>
      <c r="BC206">
        <v>1</v>
      </c>
      <c r="BE206">
        <v>0</v>
      </c>
      <c r="BF206">
        <v>0</v>
      </c>
      <c r="BG206">
        <v>0</v>
      </c>
      <c r="BH206">
        <v>1850</v>
      </c>
      <c r="BI206">
        <v>1</v>
      </c>
      <c r="BJ206">
        <v>1</v>
      </c>
      <c r="BK206">
        <v>1</v>
      </c>
      <c r="BL206">
        <v>0</v>
      </c>
      <c r="BO206">
        <v>0</v>
      </c>
      <c r="BP206">
        <v>0</v>
      </c>
      <c r="BW206" t="str">
        <f>"20:12:14.397"</f>
        <v>20:12:14.397</v>
      </c>
      <c r="CJ206">
        <v>0</v>
      </c>
      <c r="CK206">
        <v>2</v>
      </c>
      <c r="CL206">
        <v>0</v>
      </c>
      <c r="CM206">
        <v>2</v>
      </c>
      <c r="CN206">
        <v>0</v>
      </c>
      <c r="CO206">
        <v>5</v>
      </c>
      <c r="CP206" t="s">
        <v>119</v>
      </c>
      <c r="CQ206">
        <v>559</v>
      </c>
      <c r="CR206">
        <v>0</v>
      </c>
      <c r="CW206">
        <v>10393765</v>
      </c>
      <c r="CY206">
        <v>1</v>
      </c>
      <c r="CZ206">
        <v>0</v>
      </c>
      <c r="DA206">
        <v>1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</row>
    <row r="207" spans="1:113" x14ac:dyDescent="0.3">
      <c r="A207" t="str">
        <f>"02/08/2021 20:12:13.115"</f>
        <v>02/08/2021 20:12:13.115</v>
      </c>
      <c r="C207" t="str">
        <f t="shared" ref="C207:C270" si="11">"FFDFD3C0"</f>
        <v>FFDFD3C0</v>
      </c>
      <c r="D207" t="s">
        <v>113</v>
      </c>
      <c r="E207">
        <v>6</v>
      </c>
      <c r="H207">
        <v>165</v>
      </c>
      <c r="I207" t="s">
        <v>114</v>
      </c>
      <c r="J207" t="s">
        <v>115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>"20:12:15.422"</f>
        <v>20:12:15.422</v>
      </c>
      <c r="T207" t="str">
        <f>"20:12:14.922"</f>
        <v>20:12:14.922</v>
      </c>
      <c r="U207" t="str">
        <f t="shared" si="10"/>
        <v>AB01F4</v>
      </c>
      <c r="V207">
        <v>0</v>
      </c>
      <c r="W207">
        <v>0</v>
      </c>
      <c r="X207">
        <v>1</v>
      </c>
      <c r="Z207">
        <v>0</v>
      </c>
      <c r="AA207">
        <v>9</v>
      </c>
      <c r="AB207">
        <v>3</v>
      </c>
      <c r="AC207">
        <v>0</v>
      </c>
      <c r="AD207">
        <v>10</v>
      </c>
      <c r="AE207">
        <v>0</v>
      </c>
      <c r="AF207">
        <v>3</v>
      </c>
      <c r="AG207">
        <v>2</v>
      </c>
      <c r="AH207">
        <v>0</v>
      </c>
      <c r="AI207" t="s">
        <v>276</v>
      </c>
      <c r="AJ207">
        <v>39.520933999999997</v>
      </c>
      <c r="AK207" t="s">
        <v>277</v>
      </c>
      <c r="AL207">
        <v>-92.449222000000006</v>
      </c>
      <c r="AM207">
        <v>100</v>
      </c>
      <c r="AN207">
        <v>1900</v>
      </c>
      <c r="AO207" t="s">
        <v>118</v>
      </c>
      <c r="AP207">
        <v>-100</v>
      </c>
      <c r="AQ207">
        <v>98</v>
      </c>
      <c r="AR207">
        <v>64</v>
      </c>
      <c r="AZ207">
        <v>1200</v>
      </c>
      <c r="BA207">
        <v>1</v>
      </c>
      <c r="BB207" t="str">
        <f t="shared" ref="BB207:BB270" si="12">"N8080G  "</f>
        <v xml:space="preserve">N8080G  </v>
      </c>
      <c r="BC207">
        <v>1</v>
      </c>
      <c r="BE207">
        <v>0</v>
      </c>
      <c r="BF207">
        <v>0</v>
      </c>
      <c r="BG207">
        <v>0</v>
      </c>
      <c r="BH207">
        <v>1850</v>
      </c>
      <c r="BI207">
        <v>1</v>
      </c>
      <c r="BJ207">
        <v>1</v>
      </c>
      <c r="BK207">
        <v>1</v>
      </c>
      <c r="BL207">
        <v>0</v>
      </c>
      <c r="BO207">
        <v>0</v>
      </c>
      <c r="BP207">
        <v>0</v>
      </c>
      <c r="BW207" t="str">
        <f>"20:12:15.428"</f>
        <v>20:12:15.428</v>
      </c>
      <c r="CJ207">
        <v>0</v>
      </c>
      <c r="CK207">
        <v>2</v>
      </c>
      <c r="CL207">
        <v>0</v>
      </c>
      <c r="CM207">
        <v>2</v>
      </c>
      <c r="CN207">
        <v>0</v>
      </c>
      <c r="CO207">
        <v>7</v>
      </c>
      <c r="CP207" t="s">
        <v>119</v>
      </c>
      <c r="CQ207">
        <v>180</v>
      </c>
      <c r="CR207">
        <v>2</v>
      </c>
      <c r="CW207">
        <v>7782050</v>
      </c>
      <c r="CY207">
        <v>1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</row>
    <row r="208" spans="1:113" x14ac:dyDescent="0.3">
      <c r="A208" t="str">
        <f>"02/08/2021 20:12:13.115"</f>
        <v>02/08/2021 20:12:13.115</v>
      </c>
      <c r="C208" t="str">
        <f t="shared" si="11"/>
        <v>FFDFD3C0</v>
      </c>
      <c r="D208" t="s">
        <v>141</v>
      </c>
      <c r="E208">
        <v>17</v>
      </c>
      <c r="H208">
        <v>256</v>
      </c>
      <c r="I208" t="s">
        <v>142</v>
      </c>
      <c r="J208" t="s">
        <v>143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>"20:12:15.422"</f>
        <v>20:12:15.422</v>
      </c>
      <c r="T208" t="str">
        <f>"20:12:14.922"</f>
        <v>20:12:14.922</v>
      </c>
      <c r="U208" t="str">
        <f t="shared" si="10"/>
        <v>AB01F4</v>
      </c>
      <c r="V208">
        <v>0</v>
      </c>
      <c r="W208">
        <v>0</v>
      </c>
      <c r="X208">
        <v>1</v>
      </c>
      <c r="Z208">
        <v>0</v>
      </c>
      <c r="AA208">
        <v>9</v>
      </c>
      <c r="AB208">
        <v>3</v>
      </c>
      <c r="AC208">
        <v>0</v>
      </c>
      <c r="AD208">
        <v>10</v>
      </c>
      <c r="AE208">
        <v>0</v>
      </c>
      <c r="AF208">
        <v>3</v>
      </c>
      <c r="AG208">
        <v>2</v>
      </c>
      <c r="AH208">
        <v>0</v>
      </c>
      <c r="AI208" t="s">
        <v>276</v>
      </c>
      <c r="AJ208">
        <v>39.520933999999997</v>
      </c>
      <c r="AK208" t="s">
        <v>277</v>
      </c>
      <c r="AL208">
        <v>-92.449222000000006</v>
      </c>
      <c r="AM208">
        <v>100</v>
      </c>
      <c r="AN208">
        <v>1900</v>
      </c>
      <c r="AO208" t="s">
        <v>118</v>
      </c>
      <c r="AP208">
        <v>-100</v>
      </c>
      <c r="AQ208">
        <v>98</v>
      </c>
      <c r="AR208">
        <v>64</v>
      </c>
      <c r="AZ208">
        <v>1200</v>
      </c>
      <c r="BA208">
        <v>1</v>
      </c>
      <c r="BB208" t="str">
        <f t="shared" si="12"/>
        <v xml:space="preserve">N8080G  </v>
      </c>
      <c r="BC208">
        <v>1</v>
      </c>
      <c r="BE208">
        <v>0</v>
      </c>
      <c r="BF208">
        <v>0</v>
      </c>
      <c r="BG208">
        <v>0</v>
      </c>
      <c r="BH208">
        <v>1850</v>
      </c>
      <c r="BI208">
        <v>1</v>
      </c>
      <c r="BJ208">
        <v>1</v>
      </c>
      <c r="BK208">
        <v>1</v>
      </c>
      <c r="BL208">
        <v>0</v>
      </c>
      <c r="BO208">
        <v>0</v>
      </c>
      <c r="BP208">
        <v>0</v>
      </c>
      <c r="BW208" t="str">
        <f>"20:12:15.428"</f>
        <v>20:12:15.428</v>
      </c>
      <c r="CJ208">
        <v>0</v>
      </c>
      <c r="CK208">
        <v>2</v>
      </c>
      <c r="CL208">
        <v>0</v>
      </c>
      <c r="CM208">
        <v>2</v>
      </c>
      <c r="CN208">
        <v>0</v>
      </c>
      <c r="CO208">
        <v>5</v>
      </c>
      <c r="CP208" t="s">
        <v>119</v>
      </c>
      <c r="CQ208">
        <v>559</v>
      </c>
      <c r="CR208">
        <v>0</v>
      </c>
      <c r="CW208">
        <v>10393936</v>
      </c>
      <c r="CY208">
        <v>1</v>
      </c>
      <c r="CZ208">
        <v>0</v>
      </c>
      <c r="DA208">
        <v>1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</row>
    <row r="209" spans="1:113" x14ac:dyDescent="0.3">
      <c r="A209" t="str">
        <f>"02/08/2021 20:12:13.115"</f>
        <v>02/08/2021 20:12:13.115</v>
      </c>
      <c r="C209" t="str">
        <f t="shared" si="11"/>
        <v>FFDFD3C0</v>
      </c>
      <c r="D209" t="s">
        <v>124</v>
      </c>
      <c r="E209">
        <v>13</v>
      </c>
      <c r="F209">
        <v>1013</v>
      </c>
      <c r="G209" t="s">
        <v>114</v>
      </c>
      <c r="J209" t="s">
        <v>125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>"20:12:15.422"</f>
        <v>20:12:15.422</v>
      </c>
      <c r="T209" t="str">
        <f>"20:12:14.922"</f>
        <v>20:12:14.922</v>
      </c>
      <c r="U209" t="str">
        <f t="shared" si="10"/>
        <v>AB01F4</v>
      </c>
      <c r="V209">
        <v>0</v>
      </c>
      <c r="W209">
        <v>0</v>
      </c>
      <c r="X209">
        <v>1</v>
      </c>
      <c r="Z209">
        <v>0</v>
      </c>
      <c r="AA209">
        <v>9</v>
      </c>
      <c r="AB209">
        <v>3</v>
      </c>
      <c r="AC209">
        <v>0</v>
      </c>
      <c r="AD209">
        <v>10</v>
      </c>
      <c r="AE209">
        <v>0</v>
      </c>
      <c r="AF209">
        <v>3</v>
      </c>
      <c r="AG209">
        <v>2</v>
      </c>
      <c r="AH209">
        <v>0</v>
      </c>
      <c r="AI209" t="s">
        <v>276</v>
      </c>
      <c r="AJ209">
        <v>39.520933999999997</v>
      </c>
      <c r="AK209" t="s">
        <v>277</v>
      </c>
      <c r="AL209">
        <v>-92.449222000000006</v>
      </c>
      <c r="AM209">
        <v>100</v>
      </c>
      <c r="AN209">
        <v>1900</v>
      </c>
      <c r="AO209" t="s">
        <v>118</v>
      </c>
      <c r="AP209">
        <v>-100</v>
      </c>
      <c r="AQ209">
        <v>98</v>
      </c>
      <c r="AR209">
        <v>64</v>
      </c>
      <c r="AZ209">
        <v>1200</v>
      </c>
      <c r="BA209">
        <v>1</v>
      </c>
      <c r="BB209" t="str">
        <f t="shared" si="12"/>
        <v xml:space="preserve">N8080G  </v>
      </c>
      <c r="BC209">
        <v>1</v>
      </c>
      <c r="BE209">
        <v>0</v>
      </c>
      <c r="BF209">
        <v>0</v>
      </c>
      <c r="BG209">
        <v>0</v>
      </c>
      <c r="BH209">
        <v>1850</v>
      </c>
      <c r="BI209">
        <v>1</v>
      </c>
      <c r="BJ209">
        <v>1</v>
      </c>
      <c r="BK209">
        <v>1</v>
      </c>
      <c r="BL209">
        <v>0</v>
      </c>
      <c r="BO209">
        <v>0</v>
      </c>
      <c r="BP209">
        <v>0</v>
      </c>
      <c r="BW209" t="str">
        <f>"20:12:15.428"</f>
        <v>20:12:15.428</v>
      </c>
      <c r="CJ209">
        <v>0</v>
      </c>
      <c r="CK209">
        <v>2</v>
      </c>
      <c r="CL209">
        <v>0</v>
      </c>
      <c r="CM209">
        <v>2</v>
      </c>
      <c r="CN209">
        <v>0</v>
      </c>
      <c r="CO209">
        <v>7</v>
      </c>
      <c r="CP209" t="s">
        <v>119</v>
      </c>
      <c r="CQ209">
        <v>180</v>
      </c>
      <c r="CR209">
        <v>2</v>
      </c>
      <c r="CW209">
        <v>7782050</v>
      </c>
      <c r="CY209">
        <v>1</v>
      </c>
      <c r="CZ209">
        <v>0</v>
      </c>
      <c r="DA209">
        <v>1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</row>
    <row r="210" spans="1:113" x14ac:dyDescent="0.3">
      <c r="A210" t="str">
        <f>"02/08/2021 20:12:14.123"</f>
        <v>02/08/2021 20:12:14.123</v>
      </c>
      <c r="C210" t="str">
        <f t="shared" si="11"/>
        <v>FFDFD3C0</v>
      </c>
      <c r="D210" t="s">
        <v>113</v>
      </c>
      <c r="E210">
        <v>6</v>
      </c>
      <c r="H210">
        <v>165</v>
      </c>
      <c r="I210" t="s">
        <v>114</v>
      </c>
      <c r="J210" t="s">
        <v>115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>"20:12:16.477"</f>
        <v>20:12:16.477</v>
      </c>
      <c r="T210" t="str">
        <f>"20:12:15.477"</f>
        <v>20:12:15.477</v>
      </c>
      <c r="U210" t="str">
        <f t="shared" si="10"/>
        <v>AB01F4</v>
      </c>
      <c r="V210">
        <v>0</v>
      </c>
      <c r="W210">
        <v>0</v>
      </c>
      <c r="X210">
        <v>1</v>
      </c>
      <c r="Z210">
        <v>0</v>
      </c>
      <c r="AA210">
        <v>9</v>
      </c>
      <c r="AB210">
        <v>3</v>
      </c>
      <c r="AC210">
        <v>0</v>
      </c>
      <c r="AD210">
        <v>10</v>
      </c>
      <c r="AE210">
        <v>0</v>
      </c>
      <c r="AF210">
        <v>3</v>
      </c>
      <c r="AG210">
        <v>2</v>
      </c>
      <c r="AH210">
        <v>0</v>
      </c>
      <c r="AI210" t="s">
        <v>278</v>
      </c>
      <c r="AJ210">
        <v>39.521405999999999</v>
      </c>
      <c r="AK210" t="s">
        <v>279</v>
      </c>
      <c r="AL210">
        <v>-92.449821999999998</v>
      </c>
      <c r="AM210">
        <v>100</v>
      </c>
      <c r="AN210">
        <v>1900</v>
      </c>
      <c r="AO210" t="s">
        <v>118</v>
      </c>
      <c r="AP210">
        <v>-101</v>
      </c>
      <c r="AQ210">
        <v>98</v>
      </c>
      <c r="AR210">
        <v>64</v>
      </c>
      <c r="AZ210">
        <v>1200</v>
      </c>
      <c r="BA210">
        <v>1</v>
      </c>
      <c r="BB210" t="str">
        <f t="shared" si="12"/>
        <v xml:space="preserve">N8080G  </v>
      </c>
      <c r="BC210">
        <v>1</v>
      </c>
      <c r="BE210">
        <v>0</v>
      </c>
      <c r="BF210">
        <v>0</v>
      </c>
      <c r="BG210">
        <v>0</v>
      </c>
      <c r="BH210">
        <v>1850</v>
      </c>
      <c r="BI210">
        <v>1</v>
      </c>
      <c r="BJ210">
        <v>1</v>
      </c>
      <c r="BK210">
        <v>1</v>
      </c>
      <c r="BL210">
        <v>0</v>
      </c>
      <c r="BO210">
        <v>0</v>
      </c>
      <c r="BP210">
        <v>0</v>
      </c>
      <c r="BW210" t="str">
        <f>"20:12:16.478"</f>
        <v>20:12:16.478</v>
      </c>
      <c r="CJ210">
        <v>0</v>
      </c>
      <c r="CK210">
        <v>2</v>
      </c>
      <c r="CL210">
        <v>0</v>
      </c>
      <c r="CM210">
        <v>2</v>
      </c>
      <c r="CN210">
        <v>0</v>
      </c>
      <c r="CO210">
        <v>5</v>
      </c>
      <c r="CP210" t="s">
        <v>119</v>
      </c>
      <c r="CQ210">
        <v>559</v>
      </c>
      <c r="CR210">
        <v>0</v>
      </c>
      <c r="CW210">
        <v>10394106</v>
      </c>
      <c r="CY210">
        <v>1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</row>
    <row r="211" spans="1:113" x14ac:dyDescent="0.3">
      <c r="A211" t="str">
        <f>"02/08/2021 20:12:14.123"</f>
        <v>02/08/2021 20:12:14.123</v>
      </c>
      <c r="C211" t="str">
        <f t="shared" si="11"/>
        <v>FFDFD3C0</v>
      </c>
      <c r="D211" t="s">
        <v>141</v>
      </c>
      <c r="E211">
        <v>17</v>
      </c>
      <c r="H211">
        <v>256</v>
      </c>
      <c r="I211" t="s">
        <v>142</v>
      </c>
      <c r="J211" t="s">
        <v>143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"20:12:16.477"</f>
        <v>20:12:16.477</v>
      </c>
      <c r="T211" t="str">
        <f>"20:12:15.477"</f>
        <v>20:12:15.477</v>
      </c>
      <c r="U211" t="str">
        <f t="shared" si="10"/>
        <v>AB01F4</v>
      </c>
      <c r="V211">
        <v>0</v>
      </c>
      <c r="W211">
        <v>0</v>
      </c>
      <c r="X211">
        <v>1</v>
      </c>
      <c r="Z211">
        <v>0</v>
      </c>
      <c r="AA211">
        <v>9</v>
      </c>
      <c r="AB211">
        <v>3</v>
      </c>
      <c r="AC211">
        <v>0</v>
      </c>
      <c r="AD211">
        <v>10</v>
      </c>
      <c r="AE211">
        <v>0</v>
      </c>
      <c r="AF211">
        <v>3</v>
      </c>
      <c r="AG211">
        <v>2</v>
      </c>
      <c r="AH211">
        <v>0</v>
      </c>
      <c r="AI211" t="s">
        <v>278</v>
      </c>
      <c r="AJ211">
        <v>39.521405999999999</v>
      </c>
      <c r="AK211" t="s">
        <v>279</v>
      </c>
      <c r="AL211">
        <v>-92.449821999999998</v>
      </c>
      <c r="AM211">
        <v>100</v>
      </c>
      <c r="AN211">
        <v>1900</v>
      </c>
      <c r="AO211" t="s">
        <v>118</v>
      </c>
      <c r="AP211">
        <v>-101</v>
      </c>
      <c r="AQ211">
        <v>98</v>
      </c>
      <c r="AR211">
        <v>64</v>
      </c>
      <c r="AZ211">
        <v>1200</v>
      </c>
      <c r="BA211">
        <v>1</v>
      </c>
      <c r="BB211" t="str">
        <f t="shared" si="12"/>
        <v xml:space="preserve">N8080G  </v>
      </c>
      <c r="BC211">
        <v>1</v>
      </c>
      <c r="BE211">
        <v>0</v>
      </c>
      <c r="BF211">
        <v>0</v>
      </c>
      <c r="BG211">
        <v>0</v>
      </c>
      <c r="BH211">
        <v>1850</v>
      </c>
      <c r="BI211">
        <v>1</v>
      </c>
      <c r="BJ211">
        <v>1</v>
      </c>
      <c r="BK211">
        <v>1</v>
      </c>
      <c r="BL211">
        <v>0</v>
      </c>
      <c r="BO211">
        <v>0</v>
      </c>
      <c r="BP211">
        <v>0</v>
      </c>
      <c r="BW211" t="str">
        <f>"20:12:16.478"</f>
        <v>20:12:16.478</v>
      </c>
      <c r="CJ211">
        <v>0</v>
      </c>
      <c r="CK211">
        <v>2</v>
      </c>
      <c r="CL211">
        <v>0</v>
      </c>
      <c r="CM211">
        <v>2</v>
      </c>
      <c r="CN211">
        <v>0</v>
      </c>
      <c r="CO211">
        <v>5</v>
      </c>
      <c r="CP211" t="s">
        <v>119</v>
      </c>
      <c r="CQ211">
        <v>559</v>
      </c>
      <c r="CR211">
        <v>0</v>
      </c>
      <c r="CW211">
        <v>10394106</v>
      </c>
      <c r="CY211">
        <v>1</v>
      </c>
      <c r="CZ211">
        <v>0</v>
      </c>
      <c r="DA211">
        <v>1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</row>
    <row r="212" spans="1:113" x14ac:dyDescent="0.3">
      <c r="A212" t="str">
        <f>"02/08/2021 20:12:14.123"</f>
        <v>02/08/2021 20:12:14.123</v>
      </c>
      <c r="C212" t="str">
        <f t="shared" si="11"/>
        <v>FFDFD3C0</v>
      </c>
      <c r="D212" t="s">
        <v>124</v>
      </c>
      <c r="E212">
        <v>13</v>
      </c>
      <c r="F212">
        <v>1013</v>
      </c>
      <c r="G212" t="s">
        <v>114</v>
      </c>
      <c r="J212" t="s">
        <v>125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"20:12:16.477"</f>
        <v>20:12:16.477</v>
      </c>
      <c r="T212" t="str">
        <f>"20:12:15.477"</f>
        <v>20:12:15.477</v>
      </c>
      <c r="U212" t="str">
        <f t="shared" si="10"/>
        <v>AB01F4</v>
      </c>
      <c r="V212">
        <v>0</v>
      </c>
      <c r="W212">
        <v>0</v>
      </c>
      <c r="X212">
        <v>1</v>
      </c>
      <c r="Z212">
        <v>0</v>
      </c>
      <c r="AA212">
        <v>9</v>
      </c>
      <c r="AB212">
        <v>3</v>
      </c>
      <c r="AC212">
        <v>0</v>
      </c>
      <c r="AD212">
        <v>10</v>
      </c>
      <c r="AE212">
        <v>0</v>
      </c>
      <c r="AF212">
        <v>3</v>
      </c>
      <c r="AG212">
        <v>2</v>
      </c>
      <c r="AH212">
        <v>0</v>
      </c>
      <c r="AI212" t="s">
        <v>278</v>
      </c>
      <c r="AJ212">
        <v>39.521405999999999</v>
      </c>
      <c r="AK212" t="s">
        <v>279</v>
      </c>
      <c r="AL212">
        <v>-92.449821999999998</v>
      </c>
      <c r="AM212">
        <v>100</v>
      </c>
      <c r="AN212">
        <v>1900</v>
      </c>
      <c r="AO212" t="s">
        <v>118</v>
      </c>
      <c r="AP212">
        <v>-101</v>
      </c>
      <c r="AQ212">
        <v>98</v>
      </c>
      <c r="AR212">
        <v>64</v>
      </c>
      <c r="AZ212">
        <v>1200</v>
      </c>
      <c r="BA212">
        <v>1</v>
      </c>
      <c r="BB212" t="str">
        <f t="shared" si="12"/>
        <v xml:space="preserve">N8080G  </v>
      </c>
      <c r="BC212">
        <v>1</v>
      </c>
      <c r="BE212">
        <v>0</v>
      </c>
      <c r="BF212">
        <v>0</v>
      </c>
      <c r="BG212">
        <v>0</v>
      </c>
      <c r="BH212">
        <v>1850</v>
      </c>
      <c r="BI212">
        <v>1</v>
      </c>
      <c r="BJ212">
        <v>1</v>
      </c>
      <c r="BK212">
        <v>1</v>
      </c>
      <c r="BL212">
        <v>0</v>
      </c>
      <c r="BO212">
        <v>0</v>
      </c>
      <c r="BP212">
        <v>0</v>
      </c>
      <c r="BW212" t="str">
        <f>"20:12:16.478"</f>
        <v>20:12:16.478</v>
      </c>
      <c r="CJ212">
        <v>0</v>
      </c>
      <c r="CK212">
        <v>2</v>
      </c>
      <c r="CL212">
        <v>0</v>
      </c>
      <c r="CM212">
        <v>2</v>
      </c>
      <c r="CN212">
        <v>0</v>
      </c>
      <c r="CO212">
        <v>5</v>
      </c>
      <c r="CP212" t="s">
        <v>119</v>
      </c>
      <c r="CQ212">
        <v>559</v>
      </c>
      <c r="CR212">
        <v>0</v>
      </c>
      <c r="CW212">
        <v>10394106</v>
      </c>
      <c r="CY212">
        <v>1</v>
      </c>
      <c r="CZ212">
        <v>0</v>
      </c>
      <c r="DA212">
        <v>1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</row>
    <row r="213" spans="1:113" x14ac:dyDescent="0.3">
      <c r="A213" t="str">
        <f>"02/08/2021 20:12:15.151"</f>
        <v>02/08/2021 20:12:15.151</v>
      </c>
      <c r="C213" t="str">
        <f t="shared" si="11"/>
        <v>FFDFD3C0</v>
      </c>
      <c r="D213" t="s">
        <v>141</v>
      </c>
      <c r="E213">
        <v>17</v>
      </c>
      <c r="H213">
        <v>256</v>
      </c>
      <c r="I213" t="s">
        <v>142</v>
      </c>
      <c r="J213" t="s">
        <v>143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"20:12:17.453"</f>
        <v>20:12:17.453</v>
      </c>
      <c r="T213" t="str">
        <f>"20:12:17.053"</f>
        <v>20:12:17.053</v>
      </c>
      <c r="U213" t="str">
        <f t="shared" si="10"/>
        <v>AB01F4</v>
      </c>
      <c r="V213">
        <v>0</v>
      </c>
      <c r="W213">
        <v>0</v>
      </c>
      <c r="X213">
        <v>1</v>
      </c>
      <c r="Z213">
        <v>0</v>
      </c>
      <c r="AA213">
        <v>9</v>
      </c>
      <c r="AB213">
        <v>3</v>
      </c>
      <c r="AC213">
        <v>0</v>
      </c>
      <c r="AD213">
        <v>10</v>
      </c>
      <c r="AE213">
        <v>0</v>
      </c>
      <c r="AF213">
        <v>3</v>
      </c>
      <c r="AG213">
        <v>2</v>
      </c>
      <c r="AH213">
        <v>0</v>
      </c>
      <c r="AI213" t="s">
        <v>280</v>
      </c>
      <c r="AJ213">
        <v>39.521878000000001</v>
      </c>
      <c r="AK213" t="s">
        <v>281</v>
      </c>
      <c r="AL213">
        <v>-92.450445000000002</v>
      </c>
      <c r="AM213">
        <v>100</v>
      </c>
      <c r="AN213">
        <v>1900</v>
      </c>
      <c r="AO213" t="s">
        <v>118</v>
      </c>
      <c r="AP213">
        <v>-102</v>
      </c>
      <c r="AQ213">
        <v>97</v>
      </c>
      <c r="AR213">
        <v>0</v>
      </c>
      <c r="AZ213">
        <v>1200</v>
      </c>
      <c r="BA213">
        <v>1</v>
      </c>
      <c r="BB213" t="str">
        <f t="shared" si="12"/>
        <v xml:space="preserve">N8080G  </v>
      </c>
      <c r="BC213">
        <v>1</v>
      </c>
      <c r="BE213">
        <v>0</v>
      </c>
      <c r="BF213">
        <v>0</v>
      </c>
      <c r="BG213">
        <v>0</v>
      </c>
      <c r="BH213">
        <v>1850</v>
      </c>
      <c r="BI213">
        <v>1</v>
      </c>
      <c r="BJ213">
        <v>1</v>
      </c>
      <c r="BK213">
        <v>1</v>
      </c>
      <c r="BL213">
        <v>0</v>
      </c>
      <c r="BO213">
        <v>0</v>
      </c>
      <c r="BP213">
        <v>0</v>
      </c>
      <c r="BW213" t="str">
        <f>"20:12:17.460"</f>
        <v>20:12:17.460</v>
      </c>
      <c r="CJ213">
        <v>0</v>
      </c>
      <c r="CK213">
        <v>2</v>
      </c>
      <c r="CL213">
        <v>0</v>
      </c>
      <c r="CM213">
        <v>2</v>
      </c>
      <c r="CN213">
        <v>0</v>
      </c>
      <c r="CO213">
        <v>5</v>
      </c>
      <c r="CP213" t="s">
        <v>119</v>
      </c>
      <c r="CQ213">
        <v>559</v>
      </c>
      <c r="CR213">
        <v>0</v>
      </c>
      <c r="CW213">
        <v>10394269</v>
      </c>
      <c r="CY213">
        <v>1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</row>
    <row r="214" spans="1:113" x14ac:dyDescent="0.3">
      <c r="A214" t="str">
        <f>"02/08/2021 20:12:15.151"</f>
        <v>02/08/2021 20:12:15.151</v>
      </c>
      <c r="C214" t="str">
        <f t="shared" si="11"/>
        <v>FFDFD3C0</v>
      </c>
      <c r="D214" t="s">
        <v>124</v>
      </c>
      <c r="E214">
        <v>13</v>
      </c>
      <c r="F214">
        <v>1013</v>
      </c>
      <c r="G214" t="s">
        <v>114</v>
      </c>
      <c r="J214" t="s">
        <v>125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"20:12:17.453"</f>
        <v>20:12:17.453</v>
      </c>
      <c r="T214" t="str">
        <f>"20:12:17.053"</f>
        <v>20:12:17.053</v>
      </c>
      <c r="U214" t="str">
        <f t="shared" si="10"/>
        <v>AB01F4</v>
      </c>
      <c r="V214">
        <v>0</v>
      </c>
      <c r="W214">
        <v>0</v>
      </c>
      <c r="X214">
        <v>1</v>
      </c>
      <c r="Z214">
        <v>0</v>
      </c>
      <c r="AA214">
        <v>9</v>
      </c>
      <c r="AB214">
        <v>3</v>
      </c>
      <c r="AC214">
        <v>0</v>
      </c>
      <c r="AD214">
        <v>10</v>
      </c>
      <c r="AE214">
        <v>0</v>
      </c>
      <c r="AF214">
        <v>3</v>
      </c>
      <c r="AG214">
        <v>2</v>
      </c>
      <c r="AH214">
        <v>0</v>
      </c>
      <c r="AI214" t="s">
        <v>280</v>
      </c>
      <c r="AJ214">
        <v>39.521878000000001</v>
      </c>
      <c r="AK214" t="s">
        <v>281</v>
      </c>
      <c r="AL214">
        <v>-92.450445000000002</v>
      </c>
      <c r="AM214">
        <v>100</v>
      </c>
      <c r="AN214">
        <v>1900</v>
      </c>
      <c r="AO214" t="s">
        <v>118</v>
      </c>
      <c r="AP214">
        <v>-102</v>
      </c>
      <c r="AQ214">
        <v>97</v>
      </c>
      <c r="AR214">
        <v>0</v>
      </c>
      <c r="AZ214">
        <v>1200</v>
      </c>
      <c r="BA214">
        <v>1</v>
      </c>
      <c r="BB214" t="str">
        <f t="shared" si="12"/>
        <v xml:space="preserve">N8080G  </v>
      </c>
      <c r="BC214">
        <v>1</v>
      </c>
      <c r="BE214">
        <v>0</v>
      </c>
      <c r="BF214">
        <v>0</v>
      </c>
      <c r="BG214">
        <v>0</v>
      </c>
      <c r="BH214">
        <v>1850</v>
      </c>
      <c r="BI214">
        <v>1</v>
      </c>
      <c r="BJ214">
        <v>1</v>
      </c>
      <c r="BK214">
        <v>1</v>
      </c>
      <c r="BL214">
        <v>0</v>
      </c>
      <c r="BO214">
        <v>0</v>
      </c>
      <c r="BP214">
        <v>0</v>
      </c>
      <c r="BW214" t="str">
        <f>"20:12:17.460"</f>
        <v>20:12:17.460</v>
      </c>
      <c r="CJ214">
        <v>0</v>
      </c>
      <c r="CK214">
        <v>2</v>
      </c>
      <c r="CL214">
        <v>0</v>
      </c>
      <c r="CM214">
        <v>2</v>
      </c>
      <c r="CN214">
        <v>0</v>
      </c>
      <c r="CO214">
        <v>5</v>
      </c>
      <c r="CP214" t="s">
        <v>119</v>
      </c>
      <c r="CQ214">
        <v>559</v>
      </c>
      <c r="CR214">
        <v>0</v>
      </c>
      <c r="CW214">
        <v>10394269</v>
      </c>
      <c r="CY214">
        <v>1</v>
      </c>
      <c r="CZ214">
        <v>0</v>
      </c>
      <c r="DA214">
        <v>1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</row>
    <row r="215" spans="1:113" x14ac:dyDescent="0.3">
      <c r="A215" t="str">
        <f>"02/08/2021 20:12:15.151"</f>
        <v>02/08/2021 20:12:15.151</v>
      </c>
      <c r="C215" t="str">
        <f t="shared" si="11"/>
        <v>FFDFD3C0</v>
      </c>
      <c r="D215" t="s">
        <v>113</v>
      </c>
      <c r="E215">
        <v>6</v>
      </c>
      <c r="H215">
        <v>165</v>
      </c>
      <c r="I215" t="s">
        <v>114</v>
      </c>
      <c r="J215" t="s">
        <v>115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"20:12:17.453"</f>
        <v>20:12:17.453</v>
      </c>
      <c r="T215" t="str">
        <f>"20:12:17.053"</f>
        <v>20:12:17.053</v>
      </c>
      <c r="U215" t="str">
        <f t="shared" si="10"/>
        <v>AB01F4</v>
      </c>
      <c r="V215">
        <v>0</v>
      </c>
      <c r="W215">
        <v>0</v>
      </c>
      <c r="X215">
        <v>1</v>
      </c>
      <c r="Z215">
        <v>0</v>
      </c>
      <c r="AA215">
        <v>9</v>
      </c>
      <c r="AB215">
        <v>3</v>
      </c>
      <c r="AC215">
        <v>0</v>
      </c>
      <c r="AD215">
        <v>10</v>
      </c>
      <c r="AE215">
        <v>0</v>
      </c>
      <c r="AF215">
        <v>3</v>
      </c>
      <c r="AG215">
        <v>2</v>
      </c>
      <c r="AH215">
        <v>0</v>
      </c>
      <c r="AI215" t="s">
        <v>280</v>
      </c>
      <c r="AJ215">
        <v>39.521878000000001</v>
      </c>
      <c r="AK215" t="s">
        <v>281</v>
      </c>
      <c r="AL215">
        <v>-92.450445000000002</v>
      </c>
      <c r="AM215">
        <v>100</v>
      </c>
      <c r="AN215">
        <v>1900</v>
      </c>
      <c r="AO215" t="s">
        <v>118</v>
      </c>
      <c r="AP215">
        <v>-102</v>
      </c>
      <c r="AQ215">
        <v>97</v>
      </c>
      <c r="AR215">
        <v>0</v>
      </c>
      <c r="AZ215">
        <v>1200</v>
      </c>
      <c r="BA215">
        <v>1</v>
      </c>
      <c r="BB215" t="str">
        <f t="shared" si="12"/>
        <v xml:space="preserve">N8080G  </v>
      </c>
      <c r="BC215">
        <v>1</v>
      </c>
      <c r="BE215">
        <v>0</v>
      </c>
      <c r="BF215">
        <v>0</v>
      </c>
      <c r="BG215">
        <v>0</v>
      </c>
      <c r="BH215">
        <v>1850</v>
      </c>
      <c r="BI215">
        <v>1</v>
      </c>
      <c r="BJ215">
        <v>1</v>
      </c>
      <c r="BK215">
        <v>1</v>
      </c>
      <c r="BL215">
        <v>0</v>
      </c>
      <c r="BO215">
        <v>0</v>
      </c>
      <c r="BP215">
        <v>0</v>
      </c>
      <c r="BW215" t="str">
        <f>"20:12:17.460"</f>
        <v>20:12:17.460</v>
      </c>
      <c r="CJ215">
        <v>0</v>
      </c>
      <c r="CK215">
        <v>2</v>
      </c>
      <c r="CL215">
        <v>0</v>
      </c>
      <c r="CM215">
        <v>2</v>
      </c>
      <c r="CN215">
        <v>0</v>
      </c>
      <c r="CO215">
        <v>5</v>
      </c>
      <c r="CP215" t="s">
        <v>119</v>
      </c>
      <c r="CQ215">
        <v>559</v>
      </c>
      <c r="CR215">
        <v>0</v>
      </c>
      <c r="CW215">
        <v>10394269</v>
      </c>
      <c r="CY215">
        <v>1</v>
      </c>
      <c r="CZ215">
        <v>0</v>
      </c>
      <c r="DA215">
        <v>1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</row>
    <row r="216" spans="1:113" x14ac:dyDescent="0.3">
      <c r="A216" t="str">
        <f>"02/08/2021 20:12:16.248"</f>
        <v>02/08/2021 20:12:16.248</v>
      </c>
      <c r="C216" t="str">
        <f t="shared" si="11"/>
        <v>FFDFD3C0</v>
      </c>
      <c r="D216" t="s">
        <v>113</v>
      </c>
      <c r="E216">
        <v>6</v>
      </c>
      <c r="H216">
        <v>165</v>
      </c>
      <c r="I216" t="s">
        <v>114</v>
      </c>
      <c r="J216" t="s">
        <v>115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>"20:12:18.594"</f>
        <v>20:12:18.594</v>
      </c>
      <c r="T216" t="str">
        <f>"20:12:18.094"</f>
        <v>20:12:18.094</v>
      </c>
      <c r="U216" t="str">
        <f t="shared" si="10"/>
        <v>AB01F4</v>
      </c>
      <c r="V216">
        <v>0</v>
      </c>
      <c r="W216">
        <v>0</v>
      </c>
      <c r="X216">
        <v>1</v>
      </c>
      <c r="Z216">
        <v>0</v>
      </c>
      <c r="AA216">
        <v>9</v>
      </c>
      <c r="AB216">
        <v>3</v>
      </c>
      <c r="AC216">
        <v>0</v>
      </c>
      <c r="AD216">
        <v>10</v>
      </c>
      <c r="AE216">
        <v>0</v>
      </c>
      <c r="AF216">
        <v>3</v>
      </c>
      <c r="AG216">
        <v>2</v>
      </c>
      <c r="AH216">
        <v>0</v>
      </c>
      <c r="AI216" t="s">
        <v>282</v>
      </c>
      <c r="AJ216">
        <v>39.522350000000003</v>
      </c>
      <c r="AK216" t="s">
        <v>283</v>
      </c>
      <c r="AL216">
        <v>-92.451087999999999</v>
      </c>
      <c r="AM216">
        <v>100</v>
      </c>
      <c r="AN216">
        <v>1900</v>
      </c>
      <c r="AO216" t="s">
        <v>118</v>
      </c>
      <c r="AP216">
        <v>-102</v>
      </c>
      <c r="AQ216">
        <v>98</v>
      </c>
      <c r="AR216">
        <v>0</v>
      </c>
      <c r="AZ216">
        <v>1200</v>
      </c>
      <c r="BA216">
        <v>1</v>
      </c>
      <c r="BB216" t="str">
        <f t="shared" si="12"/>
        <v xml:space="preserve">N8080G  </v>
      </c>
      <c r="BC216">
        <v>1</v>
      </c>
      <c r="BE216">
        <v>0</v>
      </c>
      <c r="BF216">
        <v>0</v>
      </c>
      <c r="BG216">
        <v>0</v>
      </c>
      <c r="BH216">
        <v>1850</v>
      </c>
      <c r="BI216">
        <v>1</v>
      </c>
      <c r="BJ216">
        <v>1</v>
      </c>
      <c r="BK216">
        <v>1</v>
      </c>
      <c r="BL216">
        <v>0</v>
      </c>
      <c r="BO216">
        <v>0</v>
      </c>
      <c r="BP216">
        <v>0</v>
      </c>
      <c r="BW216" t="str">
        <f>"20:12:18.595"</f>
        <v>20:12:18.595</v>
      </c>
      <c r="CJ216">
        <v>0</v>
      </c>
      <c r="CK216">
        <v>2</v>
      </c>
      <c r="CL216">
        <v>0</v>
      </c>
      <c r="CM216">
        <v>2</v>
      </c>
      <c r="CN216">
        <v>0</v>
      </c>
      <c r="CO216">
        <v>6</v>
      </c>
      <c r="CP216" t="s">
        <v>119</v>
      </c>
      <c r="CQ216">
        <v>180</v>
      </c>
      <c r="CR216">
        <v>1</v>
      </c>
      <c r="CW216">
        <v>10309376</v>
      </c>
      <c r="CY216">
        <v>1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</row>
    <row r="217" spans="1:113" x14ac:dyDescent="0.3">
      <c r="A217" t="str">
        <f>"02/08/2021 20:12:16.248"</f>
        <v>02/08/2021 20:12:16.248</v>
      </c>
      <c r="C217" t="str">
        <f t="shared" si="11"/>
        <v>FFDFD3C0</v>
      </c>
      <c r="D217" t="s">
        <v>141</v>
      </c>
      <c r="E217">
        <v>17</v>
      </c>
      <c r="H217">
        <v>256</v>
      </c>
      <c r="I217" t="s">
        <v>142</v>
      </c>
      <c r="J217" t="s">
        <v>143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>"20:12:18.594"</f>
        <v>20:12:18.594</v>
      </c>
      <c r="T217" t="str">
        <f>"20:12:18.094"</f>
        <v>20:12:18.094</v>
      </c>
      <c r="U217" t="str">
        <f t="shared" si="10"/>
        <v>AB01F4</v>
      </c>
      <c r="V217">
        <v>0</v>
      </c>
      <c r="W217">
        <v>0</v>
      </c>
      <c r="X217">
        <v>1</v>
      </c>
      <c r="Z217">
        <v>0</v>
      </c>
      <c r="AA217">
        <v>9</v>
      </c>
      <c r="AB217">
        <v>3</v>
      </c>
      <c r="AC217">
        <v>0</v>
      </c>
      <c r="AD217">
        <v>10</v>
      </c>
      <c r="AE217">
        <v>0</v>
      </c>
      <c r="AF217">
        <v>3</v>
      </c>
      <c r="AG217">
        <v>2</v>
      </c>
      <c r="AH217">
        <v>0</v>
      </c>
      <c r="AI217" t="s">
        <v>282</v>
      </c>
      <c r="AJ217">
        <v>39.522350000000003</v>
      </c>
      <c r="AK217" t="s">
        <v>283</v>
      </c>
      <c r="AL217">
        <v>-92.451087999999999</v>
      </c>
      <c r="AM217">
        <v>100</v>
      </c>
      <c r="AN217">
        <v>1900</v>
      </c>
      <c r="AO217" t="s">
        <v>118</v>
      </c>
      <c r="AP217">
        <v>-102</v>
      </c>
      <c r="AQ217">
        <v>98</v>
      </c>
      <c r="AR217">
        <v>0</v>
      </c>
      <c r="AZ217">
        <v>1200</v>
      </c>
      <c r="BA217">
        <v>1</v>
      </c>
      <c r="BB217" t="str">
        <f t="shared" si="12"/>
        <v xml:space="preserve">N8080G  </v>
      </c>
      <c r="BC217">
        <v>1</v>
      </c>
      <c r="BE217">
        <v>0</v>
      </c>
      <c r="BF217">
        <v>0</v>
      </c>
      <c r="BG217">
        <v>0</v>
      </c>
      <c r="BH217">
        <v>1850</v>
      </c>
      <c r="BI217">
        <v>1</v>
      </c>
      <c r="BJ217">
        <v>1</v>
      </c>
      <c r="BK217">
        <v>1</v>
      </c>
      <c r="BL217">
        <v>0</v>
      </c>
      <c r="BO217">
        <v>0</v>
      </c>
      <c r="BP217">
        <v>0</v>
      </c>
      <c r="BW217" t="str">
        <f>"20:12:18.595"</f>
        <v>20:12:18.595</v>
      </c>
      <c r="CJ217">
        <v>0</v>
      </c>
      <c r="CK217">
        <v>2</v>
      </c>
      <c r="CL217">
        <v>0</v>
      </c>
      <c r="CM217">
        <v>2</v>
      </c>
      <c r="CN217">
        <v>0</v>
      </c>
      <c r="CO217">
        <v>5</v>
      </c>
      <c r="CP217" t="s">
        <v>119</v>
      </c>
      <c r="CQ217">
        <v>559</v>
      </c>
      <c r="CR217">
        <v>0</v>
      </c>
      <c r="CW217">
        <v>10394433</v>
      </c>
      <c r="CY217">
        <v>1</v>
      </c>
      <c r="CZ217">
        <v>0</v>
      </c>
      <c r="DA217">
        <v>1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</row>
    <row r="218" spans="1:113" x14ac:dyDescent="0.3">
      <c r="A218" t="str">
        <f>"02/08/2021 20:12:16.248"</f>
        <v>02/08/2021 20:12:16.248</v>
      </c>
      <c r="C218" t="str">
        <f t="shared" si="11"/>
        <v>FFDFD3C0</v>
      </c>
      <c r="D218" t="s">
        <v>124</v>
      </c>
      <c r="E218">
        <v>13</v>
      </c>
      <c r="F218">
        <v>1013</v>
      </c>
      <c r="G218" t="s">
        <v>114</v>
      </c>
      <c r="J218" t="s">
        <v>125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>"20:12:18.594"</f>
        <v>20:12:18.594</v>
      </c>
      <c r="T218" t="str">
        <f>"20:12:18.094"</f>
        <v>20:12:18.094</v>
      </c>
      <c r="U218" t="str">
        <f t="shared" si="10"/>
        <v>AB01F4</v>
      </c>
      <c r="V218">
        <v>0</v>
      </c>
      <c r="W218">
        <v>0</v>
      </c>
      <c r="X218">
        <v>1</v>
      </c>
      <c r="Z218">
        <v>0</v>
      </c>
      <c r="AA218">
        <v>9</v>
      </c>
      <c r="AB218">
        <v>3</v>
      </c>
      <c r="AC218">
        <v>0</v>
      </c>
      <c r="AD218">
        <v>10</v>
      </c>
      <c r="AE218">
        <v>0</v>
      </c>
      <c r="AF218">
        <v>3</v>
      </c>
      <c r="AG218">
        <v>2</v>
      </c>
      <c r="AH218">
        <v>0</v>
      </c>
      <c r="AI218" t="s">
        <v>282</v>
      </c>
      <c r="AJ218">
        <v>39.522350000000003</v>
      </c>
      <c r="AK218" t="s">
        <v>283</v>
      </c>
      <c r="AL218">
        <v>-92.451087999999999</v>
      </c>
      <c r="AM218">
        <v>100</v>
      </c>
      <c r="AN218">
        <v>1900</v>
      </c>
      <c r="AO218" t="s">
        <v>118</v>
      </c>
      <c r="AP218">
        <v>-102</v>
      </c>
      <c r="AQ218">
        <v>98</v>
      </c>
      <c r="AR218">
        <v>0</v>
      </c>
      <c r="AZ218">
        <v>1200</v>
      </c>
      <c r="BA218">
        <v>1</v>
      </c>
      <c r="BB218" t="str">
        <f t="shared" si="12"/>
        <v xml:space="preserve">N8080G  </v>
      </c>
      <c r="BC218">
        <v>1</v>
      </c>
      <c r="BE218">
        <v>0</v>
      </c>
      <c r="BF218">
        <v>0</v>
      </c>
      <c r="BG218">
        <v>0</v>
      </c>
      <c r="BH218">
        <v>1850</v>
      </c>
      <c r="BI218">
        <v>1</v>
      </c>
      <c r="BJ218">
        <v>1</v>
      </c>
      <c r="BK218">
        <v>1</v>
      </c>
      <c r="BL218">
        <v>0</v>
      </c>
      <c r="BO218">
        <v>0</v>
      </c>
      <c r="BP218">
        <v>0</v>
      </c>
      <c r="BW218" t="str">
        <f>"20:12:18.595"</f>
        <v>20:12:18.595</v>
      </c>
      <c r="CJ218">
        <v>0</v>
      </c>
      <c r="CK218">
        <v>2</v>
      </c>
      <c r="CL218">
        <v>0</v>
      </c>
      <c r="CM218">
        <v>2</v>
      </c>
      <c r="CN218">
        <v>0</v>
      </c>
      <c r="CO218">
        <v>6</v>
      </c>
      <c r="CP218" t="s">
        <v>119</v>
      </c>
      <c r="CQ218">
        <v>180</v>
      </c>
      <c r="CR218">
        <v>1</v>
      </c>
      <c r="CW218">
        <v>10309376</v>
      </c>
      <c r="CY218">
        <v>1</v>
      </c>
      <c r="CZ218">
        <v>0</v>
      </c>
      <c r="DA218">
        <v>1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</row>
    <row r="219" spans="1:113" x14ac:dyDescent="0.3">
      <c r="A219" t="str">
        <f>"02/08/2021 20:12:17.374"</f>
        <v>02/08/2021 20:12:17.374</v>
      </c>
      <c r="C219" t="str">
        <f t="shared" si="11"/>
        <v>FFDFD3C0</v>
      </c>
      <c r="D219" t="s">
        <v>124</v>
      </c>
      <c r="E219">
        <v>13</v>
      </c>
      <c r="F219">
        <v>1013</v>
      </c>
      <c r="G219" t="s">
        <v>114</v>
      </c>
      <c r="J219" t="s">
        <v>125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>"20:12:19.680"</f>
        <v>20:12:19.680</v>
      </c>
      <c r="T219" t="str">
        <f>"20:12:19.180"</f>
        <v>20:12:19.180</v>
      </c>
      <c r="U219" t="str">
        <f t="shared" si="10"/>
        <v>AB01F4</v>
      </c>
      <c r="V219">
        <v>0</v>
      </c>
      <c r="W219">
        <v>0</v>
      </c>
      <c r="X219">
        <v>1</v>
      </c>
      <c r="Z219">
        <v>0</v>
      </c>
      <c r="AA219">
        <v>9</v>
      </c>
      <c r="AB219">
        <v>3</v>
      </c>
      <c r="AC219">
        <v>0</v>
      </c>
      <c r="AD219">
        <v>10</v>
      </c>
      <c r="AE219">
        <v>0</v>
      </c>
      <c r="AF219">
        <v>3</v>
      </c>
      <c r="AG219">
        <v>2</v>
      </c>
      <c r="AH219">
        <v>0</v>
      </c>
      <c r="AI219" t="s">
        <v>284</v>
      </c>
      <c r="AJ219">
        <v>39.522843000000002</v>
      </c>
      <c r="AK219" t="s">
        <v>285</v>
      </c>
      <c r="AL219">
        <v>-92.451774999999998</v>
      </c>
      <c r="AM219">
        <v>100</v>
      </c>
      <c r="AN219">
        <v>1900</v>
      </c>
      <c r="AO219" t="s">
        <v>118</v>
      </c>
      <c r="AP219">
        <v>-101</v>
      </c>
      <c r="AQ219">
        <v>98</v>
      </c>
      <c r="AR219">
        <v>0</v>
      </c>
      <c r="AZ219">
        <v>1200</v>
      </c>
      <c r="BA219">
        <v>1</v>
      </c>
      <c r="BB219" t="str">
        <f t="shared" si="12"/>
        <v xml:space="preserve">N8080G  </v>
      </c>
      <c r="BC219">
        <v>1</v>
      </c>
      <c r="BE219">
        <v>0</v>
      </c>
      <c r="BF219">
        <v>0</v>
      </c>
      <c r="BG219">
        <v>0</v>
      </c>
      <c r="BH219">
        <v>1850</v>
      </c>
      <c r="BI219">
        <v>1</v>
      </c>
      <c r="BJ219">
        <v>1</v>
      </c>
      <c r="BK219">
        <v>1</v>
      </c>
      <c r="BL219">
        <v>0</v>
      </c>
      <c r="BO219">
        <v>0</v>
      </c>
      <c r="BP219">
        <v>0</v>
      </c>
      <c r="BW219" t="str">
        <f>"20:12:19.684"</f>
        <v>20:12:19.684</v>
      </c>
      <c r="CJ219">
        <v>0</v>
      </c>
      <c r="CK219">
        <v>2</v>
      </c>
      <c r="CL219">
        <v>0</v>
      </c>
      <c r="CM219">
        <v>2</v>
      </c>
      <c r="CN219">
        <v>0</v>
      </c>
      <c r="CO219">
        <v>5</v>
      </c>
      <c r="CP219" t="s">
        <v>119</v>
      </c>
      <c r="CQ219">
        <v>559</v>
      </c>
      <c r="CR219">
        <v>0</v>
      </c>
      <c r="CW219">
        <v>10394592</v>
      </c>
      <c r="CY219">
        <v>1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</row>
    <row r="220" spans="1:113" x14ac:dyDescent="0.3">
      <c r="A220" t="str">
        <f>"02/08/2021 20:12:17.374"</f>
        <v>02/08/2021 20:12:17.374</v>
      </c>
      <c r="C220" t="str">
        <f t="shared" si="11"/>
        <v>FFDFD3C0</v>
      </c>
      <c r="D220" t="s">
        <v>141</v>
      </c>
      <c r="E220">
        <v>17</v>
      </c>
      <c r="H220">
        <v>256</v>
      </c>
      <c r="I220" t="s">
        <v>142</v>
      </c>
      <c r="J220" t="s">
        <v>143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>"20:12:19.680"</f>
        <v>20:12:19.680</v>
      </c>
      <c r="T220" t="str">
        <f>"20:12:19.180"</f>
        <v>20:12:19.180</v>
      </c>
      <c r="U220" t="str">
        <f t="shared" si="10"/>
        <v>AB01F4</v>
      </c>
      <c r="V220">
        <v>0</v>
      </c>
      <c r="W220">
        <v>0</v>
      </c>
      <c r="X220">
        <v>1</v>
      </c>
      <c r="Z220">
        <v>0</v>
      </c>
      <c r="AA220">
        <v>9</v>
      </c>
      <c r="AB220">
        <v>3</v>
      </c>
      <c r="AC220">
        <v>0</v>
      </c>
      <c r="AD220">
        <v>10</v>
      </c>
      <c r="AE220">
        <v>0</v>
      </c>
      <c r="AF220">
        <v>3</v>
      </c>
      <c r="AG220">
        <v>2</v>
      </c>
      <c r="AH220">
        <v>0</v>
      </c>
      <c r="AI220" t="s">
        <v>284</v>
      </c>
      <c r="AJ220">
        <v>39.522843000000002</v>
      </c>
      <c r="AK220" t="s">
        <v>285</v>
      </c>
      <c r="AL220">
        <v>-92.451774999999998</v>
      </c>
      <c r="AM220">
        <v>100</v>
      </c>
      <c r="AN220">
        <v>1900</v>
      </c>
      <c r="AO220" t="s">
        <v>118</v>
      </c>
      <c r="AP220">
        <v>-101</v>
      </c>
      <c r="AQ220">
        <v>98</v>
      </c>
      <c r="AR220">
        <v>0</v>
      </c>
      <c r="AZ220">
        <v>1200</v>
      </c>
      <c r="BA220">
        <v>1</v>
      </c>
      <c r="BB220" t="str">
        <f t="shared" si="12"/>
        <v xml:space="preserve">N8080G  </v>
      </c>
      <c r="BC220">
        <v>1</v>
      </c>
      <c r="BE220">
        <v>0</v>
      </c>
      <c r="BF220">
        <v>0</v>
      </c>
      <c r="BG220">
        <v>0</v>
      </c>
      <c r="BH220">
        <v>1850</v>
      </c>
      <c r="BI220">
        <v>1</v>
      </c>
      <c r="BJ220">
        <v>1</v>
      </c>
      <c r="BK220">
        <v>1</v>
      </c>
      <c r="BL220">
        <v>0</v>
      </c>
      <c r="BO220">
        <v>0</v>
      </c>
      <c r="BP220">
        <v>0</v>
      </c>
      <c r="BW220" t="str">
        <f>"20:12:19.684"</f>
        <v>20:12:19.684</v>
      </c>
      <c r="CJ220">
        <v>0</v>
      </c>
      <c r="CK220">
        <v>2</v>
      </c>
      <c r="CL220">
        <v>0</v>
      </c>
      <c r="CM220">
        <v>2</v>
      </c>
      <c r="CN220">
        <v>0</v>
      </c>
      <c r="CO220">
        <v>5</v>
      </c>
      <c r="CP220" t="s">
        <v>119</v>
      </c>
      <c r="CQ220">
        <v>559</v>
      </c>
      <c r="CR220">
        <v>0</v>
      </c>
      <c r="CW220">
        <v>10394592</v>
      </c>
      <c r="CY220">
        <v>1</v>
      </c>
      <c r="CZ220">
        <v>0</v>
      </c>
      <c r="DA220">
        <v>1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</row>
    <row r="221" spans="1:113" x14ac:dyDescent="0.3">
      <c r="A221" t="str">
        <f>"02/08/2021 20:12:17.374"</f>
        <v>02/08/2021 20:12:17.374</v>
      </c>
      <c r="C221" t="str">
        <f t="shared" si="11"/>
        <v>FFDFD3C0</v>
      </c>
      <c r="D221" t="s">
        <v>113</v>
      </c>
      <c r="E221">
        <v>6</v>
      </c>
      <c r="H221">
        <v>165</v>
      </c>
      <c r="I221" t="s">
        <v>114</v>
      </c>
      <c r="J221" t="s">
        <v>115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"20:12:19.680"</f>
        <v>20:12:19.680</v>
      </c>
      <c r="T221" t="str">
        <f>"20:12:19.180"</f>
        <v>20:12:19.180</v>
      </c>
      <c r="U221" t="str">
        <f t="shared" si="10"/>
        <v>AB01F4</v>
      </c>
      <c r="V221">
        <v>0</v>
      </c>
      <c r="W221">
        <v>0</v>
      </c>
      <c r="X221">
        <v>1</v>
      </c>
      <c r="Z221">
        <v>0</v>
      </c>
      <c r="AA221">
        <v>9</v>
      </c>
      <c r="AB221">
        <v>3</v>
      </c>
      <c r="AC221">
        <v>0</v>
      </c>
      <c r="AD221">
        <v>10</v>
      </c>
      <c r="AE221">
        <v>0</v>
      </c>
      <c r="AF221">
        <v>3</v>
      </c>
      <c r="AG221">
        <v>2</v>
      </c>
      <c r="AH221">
        <v>0</v>
      </c>
      <c r="AI221" t="s">
        <v>284</v>
      </c>
      <c r="AJ221">
        <v>39.522843000000002</v>
      </c>
      <c r="AK221" t="s">
        <v>285</v>
      </c>
      <c r="AL221">
        <v>-92.451774999999998</v>
      </c>
      <c r="AM221">
        <v>100</v>
      </c>
      <c r="AN221">
        <v>1900</v>
      </c>
      <c r="AO221" t="s">
        <v>118</v>
      </c>
      <c r="AP221">
        <v>-101</v>
      </c>
      <c r="AQ221">
        <v>98</v>
      </c>
      <c r="AR221">
        <v>0</v>
      </c>
      <c r="AZ221">
        <v>1200</v>
      </c>
      <c r="BA221">
        <v>1</v>
      </c>
      <c r="BB221" t="str">
        <f t="shared" si="12"/>
        <v xml:space="preserve">N8080G  </v>
      </c>
      <c r="BC221">
        <v>1</v>
      </c>
      <c r="BE221">
        <v>0</v>
      </c>
      <c r="BF221">
        <v>0</v>
      </c>
      <c r="BG221">
        <v>0</v>
      </c>
      <c r="BH221">
        <v>1850</v>
      </c>
      <c r="BI221">
        <v>1</v>
      </c>
      <c r="BJ221">
        <v>1</v>
      </c>
      <c r="BK221">
        <v>1</v>
      </c>
      <c r="BL221">
        <v>0</v>
      </c>
      <c r="BO221">
        <v>0</v>
      </c>
      <c r="BP221">
        <v>0</v>
      </c>
      <c r="BW221" t="str">
        <f>"20:12:19.684"</f>
        <v>20:12:19.684</v>
      </c>
      <c r="CJ221">
        <v>0</v>
      </c>
      <c r="CK221">
        <v>2</v>
      </c>
      <c r="CL221">
        <v>0</v>
      </c>
      <c r="CM221">
        <v>2</v>
      </c>
      <c r="CN221">
        <v>0</v>
      </c>
      <c r="CO221">
        <v>5</v>
      </c>
      <c r="CP221" t="s">
        <v>119</v>
      </c>
      <c r="CQ221">
        <v>559</v>
      </c>
      <c r="CR221">
        <v>0</v>
      </c>
      <c r="CW221">
        <v>10394592</v>
      </c>
      <c r="CY221">
        <v>1</v>
      </c>
      <c r="CZ221">
        <v>0</v>
      </c>
      <c r="DA221">
        <v>1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</row>
    <row r="222" spans="1:113" x14ac:dyDescent="0.3">
      <c r="A222" t="str">
        <f>"02/08/2021 20:12:18.373"</f>
        <v>02/08/2021 20:12:18.373</v>
      </c>
      <c r="C222" t="str">
        <f t="shared" si="11"/>
        <v>FFDFD3C0</v>
      </c>
      <c r="D222" t="s">
        <v>113</v>
      </c>
      <c r="E222">
        <v>6</v>
      </c>
      <c r="H222">
        <v>165</v>
      </c>
      <c r="I222" t="s">
        <v>114</v>
      </c>
      <c r="J222" t="s">
        <v>115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"20:12:20.688"</f>
        <v>20:12:20.688</v>
      </c>
      <c r="T222" t="str">
        <f>"20:12:20.188"</f>
        <v>20:12:20.188</v>
      </c>
      <c r="U222" t="str">
        <f t="shared" si="10"/>
        <v>AB01F4</v>
      </c>
      <c r="V222">
        <v>0</v>
      </c>
      <c r="W222">
        <v>0</v>
      </c>
      <c r="X222">
        <v>1</v>
      </c>
      <c r="Z222">
        <v>0</v>
      </c>
      <c r="AA222">
        <v>9</v>
      </c>
      <c r="AB222">
        <v>3</v>
      </c>
      <c r="AC222">
        <v>0</v>
      </c>
      <c r="AD222">
        <v>10</v>
      </c>
      <c r="AE222">
        <v>0</v>
      </c>
      <c r="AF222">
        <v>3</v>
      </c>
      <c r="AG222">
        <v>2</v>
      </c>
      <c r="AH222">
        <v>0</v>
      </c>
      <c r="AI222" t="s">
        <v>286</v>
      </c>
      <c r="AJ222">
        <v>39.523314999999997</v>
      </c>
      <c r="AK222" t="s">
        <v>287</v>
      </c>
      <c r="AL222">
        <v>-92.452397000000005</v>
      </c>
      <c r="AM222">
        <v>100</v>
      </c>
      <c r="AN222">
        <v>1900</v>
      </c>
      <c r="AO222" t="s">
        <v>118</v>
      </c>
      <c r="AP222">
        <v>-100</v>
      </c>
      <c r="AQ222">
        <v>99</v>
      </c>
      <c r="AR222">
        <v>0</v>
      </c>
      <c r="AZ222">
        <v>1200</v>
      </c>
      <c r="BA222">
        <v>1</v>
      </c>
      <c r="BB222" t="str">
        <f t="shared" si="12"/>
        <v xml:space="preserve">N8080G  </v>
      </c>
      <c r="BC222">
        <v>1</v>
      </c>
      <c r="BE222">
        <v>0</v>
      </c>
      <c r="BF222">
        <v>0</v>
      </c>
      <c r="BG222">
        <v>0</v>
      </c>
      <c r="BH222">
        <v>1850</v>
      </c>
      <c r="BI222">
        <v>1</v>
      </c>
      <c r="BJ222">
        <v>1</v>
      </c>
      <c r="BK222">
        <v>1</v>
      </c>
      <c r="BL222">
        <v>0</v>
      </c>
      <c r="BO222">
        <v>0</v>
      </c>
      <c r="BP222">
        <v>0</v>
      </c>
      <c r="BW222" t="str">
        <f>"20:12:20.690"</f>
        <v>20:12:20.690</v>
      </c>
      <c r="CJ222">
        <v>0</v>
      </c>
      <c r="CK222">
        <v>2</v>
      </c>
      <c r="CL222">
        <v>0</v>
      </c>
      <c r="CM222">
        <v>2</v>
      </c>
      <c r="CN222">
        <v>0</v>
      </c>
      <c r="CO222">
        <v>5</v>
      </c>
      <c r="CP222" t="s">
        <v>119</v>
      </c>
      <c r="CQ222">
        <v>559</v>
      </c>
      <c r="CR222">
        <v>0</v>
      </c>
      <c r="CW222">
        <v>10394752</v>
      </c>
      <c r="CY222">
        <v>1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</row>
    <row r="223" spans="1:113" x14ac:dyDescent="0.3">
      <c r="A223" t="str">
        <f>"02/08/2021 20:12:18.373"</f>
        <v>02/08/2021 20:12:18.373</v>
      </c>
      <c r="C223" t="str">
        <f t="shared" si="11"/>
        <v>FFDFD3C0</v>
      </c>
      <c r="D223" t="s">
        <v>124</v>
      </c>
      <c r="E223">
        <v>13</v>
      </c>
      <c r="F223">
        <v>1013</v>
      </c>
      <c r="G223" t="s">
        <v>114</v>
      </c>
      <c r="J223" t="s">
        <v>125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>"20:12:20.688"</f>
        <v>20:12:20.688</v>
      </c>
      <c r="T223" t="str">
        <f>"20:12:20.188"</f>
        <v>20:12:20.188</v>
      </c>
      <c r="U223" t="str">
        <f t="shared" si="10"/>
        <v>AB01F4</v>
      </c>
      <c r="V223">
        <v>0</v>
      </c>
      <c r="W223">
        <v>0</v>
      </c>
      <c r="X223">
        <v>1</v>
      </c>
      <c r="Z223">
        <v>0</v>
      </c>
      <c r="AA223">
        <v>9</v>
      </c>
      <c r="AB223">
        <v>3</v>
      </c>
      <c r="AC223">
        <v>0</v>
      </c>
      <c r="AD223">
        <v>10</v>
      </c>
      <c r="AE223">
        <v>0</v>
      </c>
      <c r="AF223">
        <v>3</v>
      </c>
      <c r="AG223">
        <v>2</v>
      </c>
      <c r="AH223">
        <v>0</v>
      </c>
      <c r="AI223" t="s">
        <v>286</v>
      </c>
      <c r="AJ223">
        <v>39.523314999999997</v>
      </c>
      <c r="AK223" t="s">
        <v>287</v>
      </c>
      <c r="AL223">
        <v>-92.452397000000005</v>
      </c>
      <c r="AM223">
        <v>100</v>
      </c>
      <c r="AN223">
        <v>1900</v>
      </c>
      <c r="AO223" t="s">
        <v>118</v>
      </c>
      <c r="AP223">
        <v>-100</v>
      </c>
      <c r="AQ223">
        <v>99</v>
      </c>
      <c r="AR223">
        <v>0</v>
      </c>
      <c r="AZ223">
        <v>1200</v>
      </c>
      <c r="BA223">
        <v>1</v>
      </c>
      <c r="BB223" t="str">
        <f t="shared" si="12"/>
        <v xml:space="preserve">N8080G  </v>
      </c>
      <c r="BC223">
        <v>1</v>
      </c>
      <c r="BE223">
        <v>0</v>
      </c>
      <c r="BF223">
        <v>0</v>
      </c>
      <c r="BG223">
        <v>0</v>
      </c>
      <c r="BH223">
        <v>1850</v>
      </c>
      <c r="BI223">
        <v>1</v>
      </c>
      <c r="BJ223">
        <v>1</v>
      </c>
      <c r="BK223">
        <v>1</v>
      </c>
      <c r="BL223">
        <v>0</v>
      </c>
      <c r="BO223">
        <v>0</v>
      </c>
      <c r="BP223">
        <v>0</v>
      </c>
      <c r="BW223" t="str">
        <f>"20:12:20.690"</f>
        <v>20:12:20.690</v>
      </c>
      <c r="CJ223">
        <v>0</v>
      </c>
      <c r="CK223">
        <v>2</v>
      </c>
      <c r="CL223">
        <v>0</v>
      </c>
      <c r="CM223">
        <v>2</v>
      </c>
      <c r="CN223">
        <v>0</v>
      </c>
      <c r="CO223">
        <v>5</v>
      </c>
      <c r="CP223" t="s">
        <v>119</v>
      </c>
      <c r="CQ223">
        <v>559</v>
      </c>
      <c r="CR223">
        <v>0</v>
      </c>
      <c r="CW223">
        <v>10394752</v>
      </c>
      <c r="CY223">
        <v>1</v>
      </c>
      <c r="CZ223">
        <v>0</v>
      </c>
      <c r="DA223">
        <v>1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</row>
    <row r="224" spans="1:113" x14ac:dyDescent="0.3">
      <c r="A224" t="str">
        <f>"02/08/2021 20:12:18.373"</f>
        <v>02/08/2021 20:12:18.373</v>
      </c>
      <c r="C224" t="str">
        <f t="shared" si="11"/>
        <v>FFDFD3C0</v>
      </c>
      <c r="D224" t="s">
        <v>141</v>
      </c>
      <c r="E224">
        <v>17</v>
      </c>
      <c r="H224">
        <v>256</v>
      </c>
      <c r="I224" t="s">
        <v>142</v>
      </c>
      <c r="J224" t="s">
        <v>143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>"20:12:20.688"</f>
        <v>20:12:20.688</v>
      </c>
      <c r="T224" t="str">
        <f>"20:12:20.188"</f>
        <v>20:12:20.188</v>
      </c>
      <c r="U224" t="str">
        <f t="shared" si="10"/>
        <v>AB01F4</v>
      </c>
      <c r="V224">
        <v>0</v>
      </c>
      <c r="W224">
        <v>0</v>
      </c>
      <c r="X224">
        <v>1</v>
      </c>
      <c r="Z224">
        <v>0</v>
      </c>
      <c r="AA224">
        <v>9</v>
      </c>
      <c r="AB224">
        <v>3</v>
      </c>
      <c r="AC224">
        <v>0</v>
      </c>
      <c r="AD224">
        <v>10</v>
      </c>
      <c r="AE224">
        <v>0</v>
      </c>
      <c r="AF224">
        <v>3</v>
      </c>
      <c r="AG224">
        <v>2</v>
      </c>
      <c r="AH224">
        <v>0</v>
      </c>
      <c r="AI224" t="s">
        <v>286</v>
      </c>
      <c r="AJ224">
        <v>39.523314999999997</v>
      </c>
      <c r="AK224" t="s">
        <v>287</v>
      </c>
      <c r="AL224">
        <v>-92.452397000000005</v>
      </c>
      <c r="AM224">
        <v>100</v>
      </c>
      <c r="AN224">
        <v>1900</v>
      </c>
      <c r="AO224" t="s">
        <v>118</v>
      </c>
      <c r="AP224">
        <v>-100</v>
      </c>
      <c r="AQ224">
        <v>99</v>
      </c>
      <c r="AR224">
        <v>0</v>
      </c>
      <c r="AZ224">
        <v>1200</v>
      </c>
      <c r="BA224">
        <v>1</v>
      </c>
      <c r="BB224" t="str">
        <f t="shared" si="12"/>
        <v xml:space="preserve">N8080G  </v>
      </c>
      <c r="BC224">
        <v>1</v>
      </c>
      <c r="BE224">
        <v>0</v>
      </c>
      <c r="BF224">
        <v>0</v>
      </c>
      <c r="BG224">
        <v>0</v>
      </c>
      <c r="BH224">
        <v>1850</v>
      </c>
      <c r="BI224">
        <v>1</v>
      </c>
      <c r="BJ224">
        <v>1</v>
      </c>
      <c r="BK224">
        <v>1</v>
      </c>
      <c r="BL224">
        <v>0</v>
      </c>
      <c r="BO224">
        <v>0</v>
      </c>
      <c r="BP224">
        <v>0</v>
      </c>
      <c r="BW224" t="str">
        <f>"20:12:20.690"</f>
        <v>20:12:20.690</v>
      </c>
      <c r="CJ224">
        <v>0</v>
      </c>
      <c r="CK224">
        <v>2</v>
      </c>
      <c r="CL224">
        <v>0</v>
      </c>
      <c r="CM224">
        <v>2</v>
      </c>
      <c r="CN224">
        <v>0</v>
      </c>
      <c r="CO224">
        <v>5</v>
      </c>
      <c r="CP224" t="s">
        <v>119</v>
      </c>
      <c r="CQ224">
        <v>559</v>
      </c>
      <c r="CR224">
        <v>0</v>
      </c>
      <c r="CW224">
        <v>10394752</v>
      </c>
      <c r="CY224">
        <v>1</v>
      </c>
      <c r="CZ224">
        <v>0</v>
      </c>
      <c r="DA224">
        <v>1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</row>
    <row r="225" spans="1:113" x14ac:dyDescent="0.3">
      <c r="A225" t="str">
        <f>"02/08/2021 20:12:19.383"</f>
        <v>02/08/2021 20:12:19.383</v>
      </c>
      <c r="C225" t="str">
        <f t="shared" si="11"/>
        <v>FFDFD3C0</v>
      </c>
      <c r="D225" t="s">
        <v>113</v>
      </c>
      <c r="E225">
        <v>6</v>
      </c>
      <c r="H225">
        <v>165</v>
      </c>
      <c r="I225" t="s">
        <v>114</v>
      </c>
      <c r="J225" t="s">
        <v>115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>"20:12:21.711"</f>
        <v>20:12:21.711</v>
      </c>
      <c r="T225" t="str">
        <f>"20:12:21.211"</f>
        <v>20:12:21.211</v>
      </c>
      <c r="U225" t="str">
        <f t="shared" si="10"/>
        <v>AB01F4</v>
      </c>
      <c r="V225">
        <v>0</v>
      </c>
      <c r="W225">
        <v>0</v>
      </c>
      <c r="X225">
        <v>1</v>
      </c>
      <c r="Z225">
        <v>0</v>
      </c>
      <c r="AA225">
        <v>9</v>
      </c>
      <c r="AB225">
        <v>3</v>
      </c>
      <c r="AC225">
        <v>0</v>
      </c>
      <c r="AD225">
        <v>10</v>
      </c>
      <c r="AE225">
        <v>0</v>
      </c>
      <c r="AF225">
        <v>3</v>
      </c>
      <c r="AG225">
        <v>2</v>
      </c>
      <c r="AH225">
        <v>0</v>
      </c>
      <c r="AI225" t="s">
        <v>288</v>
      </c>
      <c r="AJ225">
        <v>39.523809</v>
      </c>
      <c r="AK225" t="s">
        <v>289</v>
      </c>
      <c r="AL225">
        <v>-92.452997999999994</v>
      </c>
      <c r="AM225">
        <v>100</v>
      </c>
      <c r="AN225">
        <v>1900</v>
      </c>
      <c r="AO225" t="s">
        <v>118</v>
      </c>
      <c r="AP225">
        <v>-99</v>
      </c>
      <c r="AQ225">
        <v>100</v>
      </c>
      <c r="AR225">
        <v>128</v>
      </c>
      <c r="AZ225">
        <v>1200</v>
      </c>
      <c r="BA225">
        <v>1</v>
      </c>
      <c r="BB225" t="str">
        <f t="shared" si="12"/>
        <v xml:space="preserve">N8080G  </v>
      </c>
      <c r="BC225">
        <v>1</v>
      </c>
      <c r="BE225">
        <v>0</v>
      </c>
      <c r="BF225">
        <v>0</v>
      </c>
      <c r="BG225">
        <v>0</v>
      </c>
      <c r="BH225">
        <v>1850</v>
      </c>
      <c r="BI225">
        <v>1</v>
      </c>
      <c r="BJ225">
        <v>1</v>
      </c>
      <c r="BK225">
        <v>1</v>
      </c>
      <c r="BL225">
        <v>0</v>
      </c>
      <c r="BO225">
        <v>0</v>
      </c>
      <c r="BP225">
        <v>0</v>
      </c>
      <c r="BW225" t="str">
        <f>"20:12:21.716"</f>
        <v>20:12:21.716</v>
      </c>
      <c r="CJ225">
        <v>0</v>
      </c>
      <c r="CK225">
        <v>2</v>
      </c>
      <c r="CL225">
        <v>0</v>
      </c>
      <c r="CM225">
        <v>2</v>
      </c>
      <c r="CN225">
        <v>0</v>
      </c>
      <c r="CO225">
        <v>6</v>
      </c>
      <c r="CP225" t="s">
        <v>119</v>
      </c>
      <c r="CQ225">
        <v>180</v>
      </c>
      <c r="CR225">
        <v>1</v>
      </c>
      <c r="CW225">
        <v>10312164</v>
      </c>
      <c r="CY225">
        <v>1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</row>
    <row r="226" spans="1:113" x14ac:dyDescent="0.3">
      <c r="A226" t="str">
        <f>"02/08/2021 20:12:19.383"</f>
        <v>02/08/2021 20:12:19.383</v>
      </c>
      <c r="C226" t="str">
        <f t="shared" si="11"/>
        <v>FFDFD3C0</v>
      </c>
      <c r="D226" t="s">
        <v>124</v>
      </c>
      <c r="E226">
        <v>13</v>
      </c>
      <c r="F226">
        <v>1013</v>
      </c>
      <c r="G226" t="s">
        <v>114</v>
      </c>
      <c r="J226" t="s">
        <v>125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>"20:12:21.711"</f>
        <v>20:12:21.711</v>
      </c>
      <c r="T226" t="str">
        <f>"20:12:21.211"</f>
        <v>20:12:21.211</v>
      </c>
      <c r="U226" t="str">
        <f t="shared" si="10"/>
        <v>AB01F4</v>
      </c>
      <c r="V226">
        <v>0</v>
      </c>
      <c r="W226">
        <v>0</v>
      </c>
      <c r="X226">
        <v>1</v>
      </c>
      <c r="Z226">
        <v>0</v>
      </c>
      <c r="AA226">
        <v>9</v>
      </c>
      <c r="AB226">
        <v>3</v>
      </c>
      <c r="AC226">
        <v>0</v>
      </c>
      <c r="AD226">
        <v>10</v>
      </c>
      <c r="AE226">
        <v>0</v>
      </c>
      <c r="AF226">
        <v>3</v>
      </c>
      <c r="AG226">
        <v>2</v>
      </c>
      <c r="AH226">
        <v>0</v>
      </c>
      <c r="AI226" t="s">
        <v>288</v>
      </c>
      <c r="AJ226">
        <v>39.523809</v>
      </c>
      <c r="AK226" t="s">
        <v>289</v>
      </c>
      <c r="AL226">
        <v>-92.452997999999994</v>
      </c>
      <c r="AM226">
        <v>100</v>
      </c>
      <c r="AN226">
        <v>1900</v>
      </c>
      <c r="AO226" t="s">
        <v>118</v>
      </c>
      <c r="AP226">
        <v>-99</v>
      </c>
      <c r="AQ226">
        <v>100</v>
      </c>
      <c r="AR226">
        <v>128</v>
      </c>
      <c r="AZ226">
        <v>1200</v>
      </c>
      <c r="BA226">
        <v>1</v>
      </c>
      <c r="BB226" t="str">
        <f t="shared" si="12"/>
        <v xml:space="preserve">N8080G  </v>
      </c>
      <c r="BC226">
        <v>1</v>
      </c>
      <c r="BE226">
        <v>0</v>
      </c>
      <c r="BF226">
        <v>0</v>
      </c>
      <c r="BG226">
        <v>0</v>
      </c>
      <c r="BH226">
        <v>1850</v>
      </c>
      <c r="BI226">
        <v>1</v>
      </c>
      <c r="BJ226">
        <v>1</v>
      </c>
      <c r="BK226">
        <v>1</v>
      </c>
      <c r="BL226">
        <v>0</v>
      </c>
      <c r="BO226">
        <v>0</v>
      </c>
      <c r="BP226">
        <v>0</v>
      </c>
      <c r="BW226" t="str">
        <f>"20:12:21.716"</f>
        <v>20:12:21.716</v>
      </c>
      <c r="CJ226">
        <v>0</v>
      </c>
      <c r="CK226">
        <v>2</v>
      </c>
      <c r="CL226">
        <v>0</v>
      </c>
      <c r="CM226">
        <v>2</v>
      </c>
      <c r="CN226">
        <v>0</v>
      </c>
      <c r="CO226">
        <v>6</v>
      </c>
      <c r="CP226" t="s">
        <v>119</v>
      </c>
      <c r="CQ226">
        <v>180</v>
      </c>
      <c r="CR226">
        <v>1</v>
      </c>
      <c r="CW226">
        <v>10312164</v>
      </c>
      <c r="CY226">
        <v>1</v>
      </c>
      <c r="CZ226">
        <v>0</v>
      </c>
      <c r="DA226">
        <v>1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</row>
    <row r="227" spans="1:113" x14ac:dyDescent="0.3">
      <c r="A227" t="str">
        <f>"02/08/2021 20:12:19.383"</f>
        <v>02/08/2021 20:12:19.383</v>
      </c>
      <c r="C227" t="str">
        <f t="shared" si="11"/>
        <v>FFDFD3C0</v>
      </c>
      <c r="D227" t="s">
        <v>141</v>
      </c>
      <c r="E227">
        <v>17</v>
      </c>
      <c r="H227">
        <v>256</v>
      </c>
      <c r="I227" t="s">
        <v>142</v>
      </c>
      <c r="J227" t="s">
        <v>143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"20:12:21.711"</f>
        <v>20:12:21.711</v>
      </c>
      <c r="T227" t="str">
        <f>"20:12:21.211"</f>
        <v>20:12:21.211</v>
      </c>
      <c r="U227" t="str">
        <f t="shared" si="10"/>
        <v>AB01F4</v>
      </c>
      <c r="V227">
        <v>0</v>
      </c>
      <c r="W227">
        <v>0</v>
      </c>
      <c r="X227">
        <v>1</v>
      </c>
      <c r="Z227">
        <v>0</v>
      </c>
      <c r="AA227">
        <v>9</v>
      </c>
      <c r="AB227">
        <v>3</v>
      </c>
      <c r="AC227">
        <v>0</v>
      </c>
      <c r="AD227">
        <v>10</v>
      </c>
      <c r="AE227">
        <v>0</v>
      </c>
      <c r="AF227">
        <v>3</v>
      </c>
      <c r="AG227">
        <v>2</v>
      </c>
      <c r="AH227">
        <v>0</v>
      </c>
      <c r="AI227" t="s">
        <v>288</v>
      </c>
      <c r="AJ227">
        <v>39.523809</v>
      </c>
      <c r="AK227" t="s">
        <v>289</v>
      </c>
      <c r="AL227">
        <v>-92.452997999999994</v>
      </c>
      <c r="AM227">
        <v>100</v>
      </c>
      <c r="AN227">
        <v>1900</v>
      </c>
      <c r="AO227" t="s">
        <v>118</v>
      </c>
      <c r="AP227">
        <v>-99</v>
      </c>
      <c r="AQ227">
        <v>100</v>
      </c>
      <c r="AR227">
        <v>128</v>
      </c>
      <c r="AZ227">
        <v>1200</v>
      </c>
      <c r="BA227">
        <v>1</v>
      </c>
      <c r="BB227" t="str">
        <f t="shared" si="12"/>
        <v xml:space="preserve">N8080G  </v>
      </c>
      <c r="BC227">
        <v>1</v>
      </c>
      <c r="BE227">
        <v>0</v>
      </c>
      <c r="BF227">
        <v>0</v>
      </c>
      <c r="BG227">
        <v>0</v>
      </c>
      <c r="BH227">
        <v>1850</v>
      </c>
      <c r="BI227">
        <v>1</v>
      </c>
      <c r="BJ227">
        <v>1</v>
      </c>
      <c r="BK227">
        <v>1</v>
      </c>
      <c r="BL227">
        <v>0</v>
      </c>
      <c r="BO227">
        <v>0</v>
      </c>
      <c r="BP227">
        <v>0</v>
      </c>
      <c r="BW227" t="str">
        <f>"20:12:21.716"</f>
        <v>20:12:21.716</v>
      </c>
      <c r="CJ227">
        <v>0</v>
      </c>
      <c r="CK227">
        <v>2</v>
      </c>
      <c r="CL227">
        <v>0</v>
      </c>
      <c r="CM227">
        <v>2</v>
      </c>
      <c r="CN227">
        <v>0</v>
      </c>
      <c r="CO227">
        <v>5</v>
      </c>
      <c r="CP227" t="s">
        <v>119</v>
      </c>
      <c r="CQ227">
        <v>559</v>
      </c>
      <c r="CR227">
        <v>0</v>
      </c>
      <c r="CW227">
        <v>10394913</v>
      </c>
      <c r="CY227">
        <v>1</v>
      </c>
      <c r="CZ227">
        <v>0</v>
      </c>
      <c r="DA227">
        <v>1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</row>
    <row r="228" spans="1:113" x14ac:dyDescent="0.3">
      <c r="A228" t="str">
        <f>"02/08/2021 20:12:20.206"</f>
        <v>02/08/2021 20:12:20.206</v>
      </c>
      <c r="C228" t="str">
        <f t="shared" si="11"/>
        <v>FFDFD3C0</v>
      </c>
      <c r="D228" t="s">
        <v>141</v>
      </c>
      <c r="E228">
        <v>17</v>
      </c>
      <c r="H228">
        <v>256</v>
      </c>
      <c r="I228" t="s">
        <v>142</v>
      </c>
      <c r="J228" t="s">
        <v>143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"20:12:22.523"</f>
        <v>20:12:22.523</v>
      </c>
      <c r="T228" t="str">
        <f>"20:12:22.123"</f>
        <v>20:12:22.123</v>
      </c>
      <c r="U228" t="str">
        <f t="shared" si="10"/>
        <v>AB01F4</v>
      </c>
      <c r="V228">
        <v>0</v>
      </c>
      <c r="W228">
        <v>0</v>
      </c>
      <c r="X228">
        <v>1</v>
      </c>
      <c r="Z228">
        <v>0</v>
      </c>
      <c r="AA228">
        <v>9</v>
      </c>
      <c r="AB228">
        <v>3</v>
      </c>
      <c r="AC228">
        <v>0</v>
      </c>
      <c r="AD228">
        <v>10</v>
      </c>
      <c r="AE228">
        <v>0</v>
      </c>
      <c r="AF228">
        <v>3</v>
      </c>
      <c r="AG228">
        <v>2</v>
      </c>
      <c r="AH228">
        <v>0</v>
      </c>
      <c r="AI228" t="s">
        <v>290</v>
      </c>
      <c r="AJ228">
        <v>39.524237999999997</v>
      </c>
      <c r="AK228" t="s">
        <v>291</v>
      </c>
      <c r="AL228">
        <v>-92.453469999999996</v>
      </c>
      <c r="AM228">
        <v>100</v>
      </c>
      <c r="AN228">
        <v>1900</v>
      </c>
      <c r="AO228" t="s">
        <v>118</v>
      </c>
      <c r="AP228">
        <v>-97</v>
      </c>
      <c r="AQ228">
        <v>101</v>
      </c>
      <c r="AR228">
        <v>256</v>
      </c>
      <c r="AZ228">
        <v>1200</v>
      </c>
      <c r="BA228">
        <v>1</v>
      </c>
      <c r="BB228" t="str">
        <f t="shared" si="12"/>
        <v xml:space="preserve">N8080G  </v>
      </c>
      <c r="BC228">
        <v>1</v>
      </c>
      <c r="BE228">
        <v>0</v>
      </c>
      <c r="BF228">
        <v>0</v>
      </c>
      <c r="BG228">
        <v>0</v>
      </c>
      <c r="BH228">
        <v>1875</v>
      </c>
      <c r="BI228">
        <v>1</v>
      </c>
      <c r="BJ228">
        <v>1</v>
      </c>
      <c r="BK228">
        <v>1</v>
      </c>
      <c r="BL228">
        <v>0</v>
      </c>
      <c r="BO228">
        <v>0</v>
      </c>
      <c r="BP228">
        <v>0</v>
      </c>
      <c r="BW228" t="str">
        <f>"20:12:22.527"</f>
        <v>20:12:22.527</v>
      </c>
      <c r="CJ228">
        <v>0</v>
      </c>
      <c r="CK228">
        <v>2</v>
      </c>
      <c r="CL228">
        <v>0</v>
      </c>
      <c r="CM228">
        <v>2</v>
      </c>
      <c r="CN228">
        <v>0</v>
      </c>
      <c r="CO228">
        <v>5</v>
      </c>
      <c r="CP228" t="s">
        <v>119</v>
      </c>
      <c r="CQ228">
        <v>559</v>
      </c>
      <c r="CR228">
        <v>0</v>
      </c>
      <c r="CW228">
        <v>10395042</v>
      </c>
      <c r="CY228">
        <v>1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</row>
    <row r="229" spans="1:113" x14ac:dyDescent="0.3">
      <c r="A229" t="str">
        <f>"02/08/2021 20:12:20.206"</f>
        <v>02/08/2021 20:12:20.206</v>
      </c>
      <c r="C229" t="str">
        <f t="shared" si="11"/>
        <v>FFDFD3C0</v>
      </c>
      <c r="D229" t="s">
        <v>113</v>
      </c>
      <c r="E229">
        <v>6</v>
      </c>
      <c r="H229">
        <v>165</v>
      </c>
      <c r="I229" t="s">
        <v>114</v>
      </c>
      <c r="J229" t="s">
        <v>115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"20:12:22.523"</f>
        <v>20:12:22.523</v>
      </c>
      <c r="T229" t="str">
        <f>"20:12:22.123"</f>
        <v>20:12:22.123</v>
      </c>
      <c r="U229" t="str">
        <f t="shared" si="10"/>
        <v>AB01F4</v>
      </c>
      <c r="V229">
        <v>0</v>
      </c>
      <c r="W229">
        <v>0</v>
      </c>
      <c r="X229">
        <v>1</v>
      </c>
      <c r="Z229">
        <v>0</v>
      </c>
      <c r="AA229">
        <v>9</v>
      </c>
      <c r="AB229">
        <v>3</v>
      </c>
      <c r="AC229">
        <v>0</v>
      </c>
      <c r="AD229">
        <v>10</v>
      </c>
      <c r="AE229">
        <v>0</v>
      </c>
      <c r="AF229">
        <v>3</v>
      </c>
      <c r="AG229">
        <v>2</v>
      </c>
      <c r="AH229">
        <v>0</v>
      </c>
      <c r="AI229" t="s">
        <v>290</v>
      </c>
      <c r="AJ229">
        <v>39.524237999999997</v>
      </c>
      <c r="AK229" t="s">
        <v>291</v>
      </c>
      <c r="AL229">
        <v>-92.453469999999996</v>
      </c>
      <c r="AM229">
        <v>100</v>
      </c>
      <c r="AN229">
        <v>1900</v>
      </c>
      <c r="AO229" t="s">
        <v>118</v>
      </c>
      <c r="AP229">
        <v>-97</v>
      </c>
      <c r="AQ229">
        <v>101</v>
      </c>
      <c r="AR229">
        <v>256</v>
      </c>
      <c r="AZ229">
        <v>1200</v>
      </c>
      <c r="BA229">
        <v>1</v>
      </c>
      <c r="BB229" t="str">
        <f t="shared" si="12"/>
        <v xml:space="preserve">N8080G  </v>
      </c>
      <c r="BC229">
        <v>1</v>
      </c>
      <c r="BE229">
        <v>0</v>
      </c>
      <c r="BF229">
        <v>0</v>
      </c>
      <c r="BG229">
        <v>0</v>
      </c>
      <c r="BH229">
        <v>1875</v>
      </c>
      <c r="BI229">
        <v>1</v>
      </c>
      <c r="BJ229">
        <v>1</v>
      </c>
      <c r="BK229">
        <v>1</v>
      </c>
      <c r="BL229">
        <v>0</v>
      </c>
      <c r="BO229">
        <v>0</v>
      </c>
      <c r="BP229">
        <v>0</v>
      </c>
      <c r="BW229" t="str">
        <f>"20:12:22.527"</f>
        <v>20:12:22.527</v>
      </c>
      <c r="CJ229">
        <v>0</v>
      </c>
      <c r="CK229">
        <v>2</v>
      </c>
      <c r="CL229">
        <v>0</v>
      </c>
      <c r="CM229">
        <v>2</v>
      </c>
      <c r="CN229">
        <v>0</v>
      </c>
      <c r="CO229">
        <v>5</v>
      </c>
      <c r="CP229" t="s">
        <v>119</v>
      </c>
      <c r="CQ229">
        <v>559</v>
      </c>
      <c r="CR229">
        <v>0</v>
      </c>
      <c r="CW229">
        <v>10395042</v>
      </c>
      <c r="CY229">
        <v>1</v>
      </c>
      <c r="CZ229">
        <v>0</v>
      </c>
      <c r="DA229">
        <v>1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</row>
    <row r="230" spans="1:113" x14ac:dyDescent="0.3">
      <c r="A230" t="str">
        <f>"02/08/2021 20:12:20.206"</f>
        <v>02/08/2021 20:12:20.206</v>
      </c>
      <c r="C230" t="str">
        <f t="shared" si="11"/>
        <v>FFDFD3C0</v>
      </c>
      <c r="D230" t="s">
        <v>124</v>
      </c>
      <c r="E230">
        <v>13</v>
      </c>
      <c r="F230">
        <v>1013</v>
      </c>
      <c r="G230" t="s">
        <v>114</v>
      </c>
      <c r="J230" t="s">
        <v>125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"20:12:22.523"</f>
        <v>20:12:22.523</v>
      </c>
      <c r="T230" t="str">
        <f>"20:12:22.123"</f>
        <v>20:12:22.123</v>
      </c>
      <c r="U230" t="str">
        <f t="shared" si="10"/>
        <v>AB01F4</v>
      </c>
      <c r="V230">
        <v>0</v>
      </c>
      <c r="W230">
        <v>0</v>
      </c>
      <c r="X230">
        <v>1</v>
      </c>
      <c r="Z230">
        <v>0</v>
      </c>
      <c r="AA230">
        <v>9</v>
      </c>
      <c r="AB230">
        <v>3</v>
      </c>
      <c r="AC230">
        <v>0</v>
      </c>
      <c r="AD230">
        <v>10</v>
      </c>
      <c r="AE230">
        <v>0</v>
      </c>
      <c r="AF230">
        <v>3</v>
      </c>
      <c r="AG230">
        <v>2</v>
      </c>
      <c r="AH230">
        <v>0</v>
      </c>
      <c r="AI230" t="s">
        <v>290</v>
      </c>
      <c r="AJ230">
        <v>39.524237999999997</v>
      </c>
      <c r="AK230" t="s">
        <v>291</v>
      </c>
      <c r="AL230">
        <v>-92.453469999999996</v>
      </c>
      <c r="AM230">
        <v>100</v>
      </c>
      <c r="AN230">
        <v>1900</v>
      </c>
      <c r="AO230" t="s">
        <v>118</v>
      </c>
      <c r="AP230">
        <v>-97</v>
      </c>
      <c r="AQ230">
        <v>101</v>
      </c>
      <c r="AR230">
        <v>256</v>
      </c>
      <c r="AZ230">
        <v>1200</v>
      </c>
      <c r="BA230">
        <v>1</v>
      </c>
      <c r="BB230" t="str">
        <f t="shared" si="12"/>
        <v xml:space="preserve">N8080G  </v>
      </c>
      <c r="BC230">
        <v>1</v>
      </c>
      <c r="BE230">
        <v>0</v>
      </c>
      <c r="BF230">
        <v>0</v>
      </c>
      <c r="BG230">
        <v>0</v>
      </c>
      <c r="BH230">
        <v>1875</v>
      </c>
      <c r="BI230">
        <v>1</v>
      </c>
      <c r="BJ230">
        <v>1</v>
      </c>
      <c r="BK230">
        <v>1</v>
      </c>
      <c r="BL230">
        <v>0</v>
      </c>
      <c r="BO230">
        <v>0</v>
      </c>
      <c r="BP230">
        <v>0</v>
      </c>
      <c r="BW230" t="str">
        <f>"20:12:22.527"</f>
        <v>20:12:22.527</v>
      </c>
      <c r="CJ230">
        <v>0</v>
      </c>
      <c r="CK230">
        <v>2</v>
      </c>
      <c r="CL230">
        <v>0</v>
      </c>
      <c r="CM230">
        <v>2</v>
      </c>
      <c r="CN230">
        <v>0</v>
      </c>
      <c r="CO230">
        <v>5</v>
      </c>
      <c r="CP230" t="s">
        <v>119</v>
      </c>
      <c r="CQ230">
        <v>559</v>
      </c>
      <c r="CR230">
        <v>0</v>
      </c>
      <c r="CW230">
        <v>10395042</v>
      </c>
      <c r="CY230">
        <v>1</v>
      </c>
      <c r="CZ230">
        <v>0</v>
      </c>
      <c r="DA230">
        <v>1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</row>
    <row r="231" spans="1:113" x14ac:dyDescent="0.3">
      <c r="A231" t="str">
        <f>"02/08/2021 20:12:21.147"</f>
        <v>02/08/2021 20:12:21.147</v>
      </c>
      <c r="C231" t="str">
        <f t="shared" si="11"/>
        <v>FFDFD3C0</v>
      </c>
      <c r="D231" t="s">
        <v>124</v>
      </c>
      <c r="E231">
        <v>13</v>
      </c>
      <c r="F231">
        <v>1013</v>
      </c>
      <c r="G231" t="s">
        <v>114</v>
      </c>
      <c r="J231" t="s">
        <v>125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>"20:12:23.484"</f>
        <v>20:12:23.484</v>
      </c>
      <c r="T231" t="str">
        <f>"20:12:23.084"</f>
        <v>20:12:23.084</v>
      </c>
      <c r="U231" t="str">
        <f t="shared" si="10"/>
        <v>AB01F4</v>
      </c>
      <c r="V231">
        <v>0</v>
      </c>
      <c r="W231">
        <v>0</v>
      </c>
      <c r="X231">
        <v>1</v>
      </c>
      <c r="Z231">
        <v>0</v>
      </c>
      <c r="AA231">
        <v>9</v>
      </c>
      <c r="AB231">
        <v>3</v>
      </c>
      <c r="AC231">
        <v>0</v>
      </c>
      <c r="AD231">
        <v>10</v>
      </c>
      <c r="AE231">
        <v>0</v>
      </c>
      <c r="AF231">
        <v>3</v>
      </c>
      <c r="AG231">
        <v>2</v>
      </c>
      <c r="AH231">
        <v>0</v>
      </c>
      <c r="AI231" t="s">
        <v>292</v>
      </c>
      <c r="AJ231">
        <v>39.524624000000003</v>
      </c>
      <c r="AK231" t="s">
        <v>293</v>
      </c>
      <c r="AL231">
        <v>-92.453985000000003</v>
      </c>
      <c r="AM231">
        <v>100</v>
      </c>
      <c r="AN231">
        <v>1900</v>
      </c>
      <c r="AO231" t="s">
        <v>118</v>
      </c>
      <c r="AP231">
        <v>-96</v>
      </c>
      <c r="AQ231">
        <v>102</v>
      </c>
      <c r="AR231">
        <v>320</v>
      </c>
      <c r="AZ231">
        <v>1200</v>
      </c>
      <c r="BA231">
        <v>1</v>
      </c>
      <c r="BB231" t="str">
        <f t="shared" si="12"/>
        <v xml:space="preserve">N8080G  </v>
      </c>
      <c r="BC231">
        <v>1</v>
      </c>
      <c r="BE231">
        <v>0</v>
      </c>
      <c r="BF231">
        <v>0</v>
      </c>
      <c r="BG231">
        <v>0</v>
      </c>
      <c r="BH231">
        <v>1875</v>
      </c>
      <c r="BI231">
        <v>1</v>
      </c>
      <c r="BJ231">
        <v>1</v>
      </c>
      <c r="BK231">
        <v>1</v>
      </c>
      <c r="BL231">
        <v>0</v>
      </c>
      <c r="BO231">
        <v>0</v>
      </c>
      <c r="BP231">
        <v>0</v>
      </c>
      <c r="BW231" t="str">
        <f>"20:12:23.490"</f>
        <v>20:12:23.490</v>
      </c>
      <c r="CJ231">
        <v>0</v>
      </c>
      <c r="CK231">
        <v>2</v>
      </c>
      <c r="CL231">
        <v>0</v>
      </c>
      <c r="CM231">
        <v>2</v>
      </c>
      <c r="CN231">
        <v>0</v>
      </c>
      <c r="CO231">
        <v>6</v>
      </c>
      <c r="CP231" t="s">
        <v>119</v>
      </c>
      <c r="CQ231">
        <v>180</v>
      </c>
      <c r="CR231">
        <v>1</v>
      </c>
      <c r="CW231">
        <v>10313959</v>
      </c>
      <c r="CY231">
        <v>1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</row>
    <row r="232" spans="1:113" x14ac:dyDescent="0.3">
      <c r="A232" t="str">
        <f>"02/08/2021 20:12:21.147"</f>
        <v>02/08/2021 20:12:21.147</v>
      </c>
      <c r="C232" t="str">
        <f t="shared" si="11"/>
        <v>FFDFD3C0</v>
      </c>
      <c r="D232" t="s">
        <v>113</v>
      </c>
      <c r="E232">
        <v>6</v>
      </c>
      <c r="H232">
        <v>165</v>
      </c>
      <c r="I232" t="s">
        <v>114</v>
      </c>
      <c r="J232" t="s">
        <v>115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>"20:12:23.484"</f>
        <v>20:12:23.484</v>
      </c>
      <c r="T232" t="str">
        <f>"20:12:23.084"</f>
        <v>20:12:23.084</v>
      </c>
      <c r="U232" t="str">
        <f t="shared" si="10"/>
        <v>AB01F4</v>
      </c>
      <c r="V232">
        <v>0</v>
      </c>
      <c r="W232">
        <v>0</v>
      </c>
      <c r="X232">
        <v>1</v>
      </c>
      <c r="Z232">
        <v>0</v>
      </c>
      <c r="AA232">
        <v>9</v>
      </c>
      <c r="AB232">
        <v>3</v>
      </c>
      <c r="AC232">
        <v>0</v>
      </c>
      <c r="AD232">
        <v>10</v>
      </c>
      <c r="AE232">
        <v>0</v>
      </c>
      <c r="AF232">
        <v>3</v>
      </c>
      <c r="AG232">
        <v>2</v>
      </c>
      <c r="AH232">
        <v>0</v>
      </c>
      <c r="AI232" t="s">
        <v>292</v>
      </c>
      <c r="AJ232">
        <v>39.524624000000003</v>
      </c>
      <c r="AK232" t="s">
        <v>293</v>
      </c>
      <c r="AL232">
        <v>-92.453985000000003</v>
      </c>
      <c r="AM232">
        <v>100</v>
      </c>
      <c r="AN232">
        <v>1900</v>
      </c>
      <c r="AO232" t="s">
        <v>118</v>
      </c>
      <c r="AP232">
        <v>-96</v>
      </c>
      <c r="AQ232">
        <v>102</v>
      </c>
      <c r="AR232">
        <v>320</v>
      </c>
      <c r="AZ232">
        <v>1200</v>
      </c>
      <c r="BA232">
        <v>1</v>
      </c>
      <c r="BB232" t="str">
        <f t="shared" si="12"/>
        <v xml:space="preserve">N8080G  </v>
      </c>
      <c r="BC232">
        <v>1</v>
      </c>
      <c r="BE232">
        <v>0</v>
      </c>
      <c r="BF232">
        <v>0</v>
      </c>
      <c r="BG232">
        <v>0</v>
      </c>
      <c r="BH232">
        <v>1875</v>
      </c>
      <c r="BI232">
        <v>1</v>
      </c>
      <c r="BJ232">
        <v>1</v>
      </c>
      <c r="BK232">
        <v>1</v>
      </c>
      <c r="BL232">
        <v>0</v>
      </c>
      <c r="BO232">
        <v>0</v>
      </c>
      <c r="BP232">
        <v>0</v>
      </c>
      <c r="BW232" t="str">
        <f>"20:12:23.490"</f>
        <v>20:12:23.490</v>
      </c>
      <c r="CJ232">
        <v>0</v>
      </c>
      <c r="CK232">
        <v>2</v>
      </c>
      <c r="CL232">
        <v>0</v>
      </c>
      <c r="CM232">
        <v>2</v>
      </c>
      <c r="CN232">
        <v>0</v>
      </c>
      <c r="CO232">
        <v>6</v>
      </c>
      <c r="CP232" t="s">
        <v>119</v>
      </c>
      <c r="CQ232">
        <v>180</v>
      </c>
      <c r="CR232">
        <v>1</v>
      </c>
      <c r="CW232">
        <v>10313959</v>
      </c>
      <c r="CY232">
        <v>1</v>
      </c>
      <c r="CZ232">
        <v>0</v>
      </c>
      <c r="DA232">
        <v>1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</row>
    <row r="233" spans="1:113" x14ac:dyDescent="0.3">
      <c r="A233" t="str">
        <f>"02/08/2021 20:12:21.147"</f>
        <v>02/08/2021 20:12:21.147</v>
      </c>
      <c r="C233" t="str">
        <f t="shared" si="11"/>
        <v>FFDFD3C0</v>
      </c>
      <c r="D233" t="s">
        <v>141</v>
      </c>
      <c r="E233">
        <v>17</v>
      </c>
      <c r="H233">
        <v>256</v>
      </c>
      <c r="I233" t="s">
        <v>142</v>
      </c>
      <c r="J233" t="s">
        <v>143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>"20:12:23.484"</f>
        <v>20:12:23.484</v>
      </c>
      <c r="T233" t="str">
        <f>"20:12:23.084"</f>
        <v>20:12:23.084</v>
      </c>
      <c r="U233" t="str">
        <f t="shared" si="10"/>
        <v>AB01F4</v>
      </c>
      <c r="V233">
        <v>0</v>
      </c>
      <c r="W233">
        <v>0</v>
      </c>
      <c r="X233">
        <v>1</v>
      </c>
      <c r="Z233">
        <v>0</v>
      </c>
      <c r="AA233">
        <v>9</v>
      </c>
      <c r="AB233">
        <v>3</v>
      </c>
      <c r="AC233">
        <v>0</v>
      </c>
      <c r="AD233">
        <v>10</v>
      </c>
      <c r="AE233">
        <v>0</v>
      </c>
      <c r="AF233">
        <v>3</v>
      </c>
      <c r="AG233">
        <v>2</v>
      </c>
      <c r="AH233">
        <v>0</v>
      </c>
      <c r="AI233" t="s">
        <v>292</v>
      </c>
      <c r="AJ233">
        <v>39.524624000000003</v>
      </c>
      <c r="AK233" t="s">
        <v>293</v>
      </c>
      <c r="AL233">
        <v>-92.453985000000003</v>
      </c>
      <c r="AM233">
        <v>100</v>
      </c>
      <c r="AN233">
        <v>1900</v>
      </c>
      <c r="AO233" t="s">
        <v>118</v>
      </c>
      <c r="AP233">
        <v>-96</v>
      </c>
      <c r="AQ233">
        <v>102</v>
      </c>
      <c r="AR233">
        <v>320</v>
      </c>
      <c r="AZ233">
        <v>1200</v>
      </c>
      <c r="BA233">
        <v>1</v>
      </c>
      <c r="BB233" t="str">
        <f t="shared" si="12"/>
        <v xml:space="preserve">N8080G  </v>
      </c>
      <c r="BC233">
        <v>1</v>
      </c>
      <c r="BE233">
        <v>0</v>
      </c>
      <c r="BF233">
        <v>0</v>
      </c>
      <c r="BG233">
        <v>0</v>
      </c>
      <c r="BH233">
        <v>1875</v>
      </c>
      <c r="BI233">
        <v>1</v>
      </c>
      <c r="BJ233">
        <v>1</v>
      </c>
      <c r="BK233">
        <v>1</v>
      </c>
      <c r="BL233">
        <v>0</v>
      </c>
      <c r="BO233">
        <v>0</v>
      </c>
      <c r="BP233">
        <v>0</v>
      </c>
      <c r="BW233" t="str">
        <f>"20:12:23.491"</f>
        <v>20:12:23.491</v>
      </c>
      <c r="CJ233">
        <v>0</v>
      </c>
      <c r="CK233">
        <v>2</v>
      </c>
      <c r="CL233">
        <v>0</v>
      </c>
      <c r="CM233">
        <v>2</v>
      </c>
      <c r="CN233">
        <v>0</v>
      </c>
      <c r="CO233">
        <v>5</v>
      </c>
      <c r="CP233" t="s">
        <v>119</v>
      </c>
      <c r="CQ233">
        <v>559</v>
      </c>
      <c r="CR233">
        <v>0</v>
      </c>
      <c r="CW233">
        <v>10395193</v>
      </c>
      <c r="CY233">
        <v>1</v>
      </c>
      <c r="CZ233">
        <v>0</v>
      </c>
      <c r="DA233">
        <v>1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</row>
    <row r="234" spans="1:113" x14ac:dyDescent="0.3">
      <c r="A234" t="str">
        <f>"02/08/2021 20:12:22.278"</f>
        <v>02/08/2021 20:12:22.278</v>
      </c>
      <c r="C234" t="str">
        <f t="shared" si="11"/>
        <v>FFDFD3C0</v>
      </c>
      <c r="D234" t="s">
        <v>141</v>
      </c>
      <c r="E234">
        <v>17</v>
      </c>
      <c r="H234">
        <v>256</v>
      </c>
      <c r="I234" t="s">
        <v>142</v>
      </c>
      <c r="J234" t="s">
        <v>143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"20:12:24.586"</f>
        <v>20:12:24.586</v>
      </c>
      <c r="T234" t="str">
        <f>"20:12:24.086"</f>
        <v>20:12:24.086</v>
      </c>
      <c r="U234" t="str">
        <f t="shared" si="10"/>
        <v>AB01F4</v>
      </c>
      <c r="V234">
        <v>0</v>
      </c>
      <c r="W234">
        <v>0</v>
      </c>
      <c r="X234">
        <v>1</v>
      </c>
      <c r="Z234">
        <v>0</v>
      </c>
      <c r="AA234">
        <v>9</v>
      </c>
      <c r="AB234">
        <v>3</v>
      </c>
      <c r="AC234">
        <v>0</v>
      </c>
      <c r="AD234">
        <v>10</v>
      </c>
      <c r="AE234">
        <v>0</v>
      </c>
      <c r="AF234">
        <v>3</v>
      </c>
      <c r="AG234">
        <v>2</v>
      </c>
      <c r="AH234">
        <v>0</v>
      </c>
      <c r="AI234" t="s">
        <v>294</v>
      </c>
      <c r="AJ234">
        <v>39.525139000000003</v>
      </c>
      <c r="AK234" t="s">
        <v>295</v>
      </c>
      <c r="AL234">
        <v>-92.454606999999996</v>
      </c>
      <c r="AM234">
        <v>100</v>
      </c>
      <c r="AN234">
        <v>1900</v>
      </c>
      <c r="AO234" t="s">
        <v>118</v>
      </c>
      <c r="AP234">
        <v>-95</v>
      </c>
      <c r="AQ234">
        <v>102</v>
      </c>
      <c r="AR234">
        <v>448</v>
      </c>
      <c r="AZ234">
        <v>1200</v>
      </c>
      <c r="BA234">
        <v>1</v>
      </c>
      <c r="BB234" t="str">
        <f t="shared" si="12"/>
        <v xml:space="preserve">N8080G  </v>
      </c>
      <c r="BC234">
        <v>1</v>
      </c>
      <c r="BE234">
        <v>0</v>
      </c>
      <c r="BF234">
        <v>0</v>
      </c>
      <c r="BG234">
        <v>0</v>
      </c>
      <c r="BH234">
        <v>1875</v>
      </c>
      <c r="BI234">
        <v>1</v>
      </c>
      <c r="BJ234">
        <v>1</v>
      </c>
      <c r="BK234">
        <v>1</v>
      </c>
      <c r="BL234">
        <v>0</v>
      </c>
      <c r="BO234">
        <v>0</v>
      </c>
      <c r="BP234">
        <v>0</v>
      </c>
      <c r="BW234" t="str">
        <f>"20:12:24.593"</f>
        <v>20:12:24.593</v>
      </c>
      <c r="CJ234">
        <v>0</v>
      </c>
      <c r="CK234">
        <v>2</v>
      </c>
      <c r="CL234">
        <v>0</v>
      </c>
      <c r="CM234">
        <v>2</v>
      </c>
      <c r="CN234">
        <v>0</v>
      </c>
      <c r="CO234">
        <v>5</v>
      </c>
      <c r="CP234" t="s">
        <v>119</v>
      </c>
      <c r="CQ234">
        <v>559</v>
      </c>
      <c r="CR234">
        <v>0</v>
      </c>
      <c r="CW234">
        <v>10395359</v>
      </c>
      <c r="CY234">
        <v>1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</row>
    <row r="235" spans="1:113" x14ac:dyDescent="0.3">
      <c r="A235" t="str">
        <f>"02/08/2021 20:12:22.278"</f>
        <v>02/08/2021 20:12:22.278</v>
      </c>
      <c r="C235" t="str">
        <f t="shared" si="11"/>
        <v>FFDFD3C0</v>
      </c>
      <c r="D235" t="s">
        <v>124</v>
      </c>
      <c r="E235">
        <v>13</v>
      </c>
      <c r="F235">
        <v>1013</v>
      </c>
      <c r="G235" t="s">
        <v>114</v>
      </c>
      <c r="J235" t="s">
        <v>125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"20:12:24.586"</f>
        <v>20:12:24.586</v>
      </c>
      <c r="T235" t="str">
        <f>"20:12:24.086"</f>
        <v>20:12:24.086</v>
      </c>
      <c r="U235" t="str">
        <f t="shared" si="10"/>
        <v>AB01F4</v>
      </c>
      <c r="V235">
        <v>0</v>
      </c>
      <c r="W235">
        <v>0</v>
      </c>
      <c r="X235">
        <v>1</v>
      </c>
      <c r="Z235">
        <v>0</v>
      </c>
      <c r="AA235">
        <v>9</v>
      </c>
      <c r="AB235">
        <v>3</v>
      </c>
      <c r="AC235">
        <v>0</v>
      </c>
      <c r="AD235">
        <v>10</v>
      </c>
      <c r="AE235">
        <v>0</v>
      </c>
      <c r="AF235">
        <v>3</v>
      </c>
      <c r="AG235">
        <v>2</v>
      </c>
      <c r="AH235">
        <v>0</v>
      </c>
      <c r="AI235" t="s">
        <v>294</v>
      </c>
      <c r="AJ235">
        <v>39.525139000000003</v>
      </c>
      <c r="AK235" t="s">
        <v>295</v>
      </c>
      <c r="AL235">
        <v>-92.454606999999996</v>
      </c>
      <c r="AM235">
        <v>100</v>
      </c>
      <c r="AN235">
        <v>1900</v>
      </c>
      <c r="AO235" t="s">
        <v>118</v>
      </c>
      <c r="AP235">
        <v>-95</v>
      </c>
      <c r="AQ235">
        <v>102</v>
      </c>
      <c r="AR235">
        <v>448</v>
      </c>
      <c r="AZ235">
        <v>1200</v>
      </c>
      <c r="BA235">
        <v>1</v>
      </c>
      <c r="BB235" t="str">
        <f t="shared" si="12"/>
        <v xml:space="preserve">N8080G  </v>
      </c>
      <c r="BC235">
        <v>1</v>
      </c>
      <c r="BE235">
        <v>0</v>
      </c>
      <c r="BF235">
        <v>0</v>
      </c>
      <c r="BG235">
        <v>0</v>
      </c>
      <c r="BH235">
        <v>1875</v>
      </c>
      <c r="BI235">
        <v>1</v>
      </c>
      <c r="BJ235">
        <v>1</v>
      </c>
      <c r="BK235">
        <v>1</v>
      </c>
      <c r="BL235">
        <v>0</v>
      </c>
      <c r="BO235">
        <v>0</v>
      </c>
      <c r="BP235">
        <v>0</v>
      </c>
      <c r="BW235" t="str">
        <f>"20:12:24.593"</f>
        <v>20:12:24.593</v>
      </c>
      <c r="CJ235">
        <v>0</v>
      </c>
      <c r="CK235">
        <v>2</v>
      </c>
      <c r="CL235">
        <v>0</v>
      </c>
      <c r="CM235">
        <v>2</v>
      </c>
      <c r="CN235">
        <v>0</v>
      </c>
      <c r="CO235">
        <v>5</v>
      </c>
      <c r="CP235" t="s">
        <v>119</v>
      </c>
      <c r="CQ235">
        <v>559</v>
      </c>
      <c r="CR235">
        <v>0</v>
      </c>
      <c r="CW235">
        <v>10395359</v>
      </c>
      <c r="CY235">
        <v>1</v>
      </c>
      <c r="CZ235">
        <v>0</v>
      </c>
      <c r="DA235">
        <v>1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</row>
    <row r="236" spans="1:113" x14ac:dyDescent="0.3">
      <c r="A236" t="str">
        <f>"02/08/2021 20:12:22.278"</f>
        <v>02/08/2021 20:12:22.278</v>
      </c>
      <c r="C236" t="str">
        <f t="shared" si="11"/>
        <v>FFDFD3C0</v>
      </c>
      <c r="D236" t="s">
        <v>113</v>
      </c>
      <c r="E236">
        <v>6</v>
      </c>
      <c r="H236">
        <v>165</v>
      </c>
      <c r="I236" t="s">
        <v>114</v>
      </c>
      <c r="J236" t="s">
        <v>115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"20:12:24.586"</f>
        <v>20:12:24.586</v>
      </c>
      <c r="T236" t="str">
        <f>"20:12:24.086"</f>
        <v>20:12:24.086</v>
      </c>
      <c r="U236" t="str">
        <f t="shared" si="10"/>
        <v>AB01F4</v>
      </c>
      <c r="V236">
        <v>0</v>
      </c>
      <c r="W236">
        <v>0</v>
      </c>
      <c r="X236">
        <v>1</v>
      </c>
      <c r="Z236">
        <v>0</v>
      </c>
      <c r="AA236">
        <v>9</v>
      </c>
      <c r="AB236">
        <v>3</v>
      </c>
      <c r="AC236">
        <v>0</v>
      </c>
      <c r="AD236">
        <v>10</v>
      </c>
      <c r="AE236">
        <v>0</v>
      </c>
      <c r="AF236">
        <v>3</v>
      </c>
      <c r="AG236">
        <v>2</v>
      </c>
      <c r="AH236">
        <v>0</v>
      </c>
      <c r="AI236" t="s">
        <v>294</v>
      </c>
      <c r="AJ236">
        <v>39.525139000000003</v>
      </c>
      <c r="AK236" t="s">
        <v>295</v>
      </c>
      <c r="AL236">
        <v>-92.454606999999996</v>
      </c>
      <c r="AM236">
        <v>100</v>
      </c>
      <c r="AN236">
        <v>1900</v>
      </c>
      <c r="AO236" t="s">
        <v>118</v>
      </c>
      <c r="AP236">
        <v>-95</v>
      </c>
      <c r="AQ236">
        <v>102</v>
      </c>
      <c r="AR236">
        <v>448</v>
      </c>
      <c r="AZ236">
        <v>1200</v>
      </c>
      <c r="BA236">
        <v>1</v>
      </c>
      <c r="BB236" t="str">
        <f t="shared" si="12"/>
        <v xml:space="preserve">N8080G  </v>
      </c>
      <c r="BC236">
        <v>1</v>
      </c>
      <c r="BE236">
        <v>0</v>
      </c>
      <c r="BF236">
        <v>0</v>
      </c>
      <c r="BG236">
        <v>0</v>
      </c>
      <c r="BH236">
        <v>1875</v>
      </c>
      <c r="BI236">
        <v>1</v>
      </c>
      <c r="BJ236">
        <v>1</v>
      </c>
      <c r="BK236">
        <v>1</v>
      </c>
      <c r="BL236">
        <v>0</v>
      </c>
      <c r="BO236">
        <v>0</v>
      </c>
      <c r="BP236">
        <v>0</v>
      </c>
      <c r="BW236" t="str">
        <f>"20:12:24.593"</f>
        <v>20:12:24.593</v>
      </c>
      <c r="CJ236">
        <v>0</v>
      </c>
      <c r="CK236">
        <v>2</v>
      </c>
      <c r="CL236">
        <v>0</v>
      </c>
      <c r="CM236">
        <v>2</v>
      </c>
      <c r="CN236">
        <v>0</v>
      </c>
      <c r="CO236">
        <v>5</v>
      </c>
      <c r="CP236" t="s">
        <v>119</v>
      </c>
      <c r="CQ236">
        <v>559</v>
      </c>
      <c r="CR236">
        <v>0</v>
      </c>
      <c r="CW236">
        <v>10395359</v>
      </c>
      <c r="CY236">
        <v>1</v>
      </c>
      <c r="CZ236">
        <v>0</v>
      </c>
      <c r="DA236">
        <v>1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</row>
    <row r="237" spans="1:113" x14ac:dyDescent="0.3">
      <c r="A237" t="str">
        <f>"02/08/2021 20:12:23.160"</f>
        <v>02/08/2021 20:12:23.160</v>
      </c>
      <c r="C237" t="str">
        <f t="shared" si="11"/>
        <v>FFDFD3C0</v>
      </c>
      <c r="D237" t="s">
        <v>124</v>
      </c>
      <c r="E237">
        <v>13</v>
      </c>
      <c r="F237">
        <v>1013</v>
      </c>
      <c r="G237" t="s">
        <v>114</v>
      </c>
      <c r="J237" t="s">
        <v>125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"20:12:25.469"</f>
        <v>20:12:25.469</v>
      </c>
      <c r="U237" t="str">
        <f t="shared" si="10"/>
        <v>AB01F4</v>
      </c>
      <c r="V237">
        <v>0</v>
      </c>
      <c r="W237">
        <v>0</v>
      </c>
      <c r="X237">
        <v>1</v>
      </c>
      <c r="Z237">
        <v>0</v>
      </c>
      <c r="AA237">
        <v>9</v>
      </c>
      <c r="AB237">
        <v>3</v>
      </c>
      <c r="AC237">
        <v>0</v>
      </c>
      <c r="AD237">
        <v>10</v>
      </c>
      <c r="AE237">
        <v>0</v>
      </c>
      <c r="AF237">
        <v>3</v>
      </c>
      <c r="AG237">
        <v>2</v>
      </c>
      <c r="AH237">
        <v>0</v>
      </c>
      <c r="AI237" t="s">
        <v>296</v>
      </c>
      <c r="AJ237">
        <v>39.525590000000001</v>
      </c>
      <c r="AK237" t="s">
        <v>297</v>
      </c>
      <c r="AL237">
        <v>-92.455144000000004</v>
      </c>
      <c r="AM237">
        <v>100</v>
      </c>
      <c r="AN237">
        <v>1900</v>
      </c>
      <c r="AO237" t="s">
        <v>118</v>
      </c>
      <c r="AP237">
        <v>-95</v>
      </c>
      <c r="AQ237">
        <v>102</v>
      </c>
      <c r="AR237">
        <v>448</v>
      </c>
      <c r="AZ237">
        <v>1200</v>
      </c>
      <c r="BA237">
        <v>1</v>
      </c>
      <c r="BB237" t="str">
        <f t="shared" si="12"/>
        <v xml:space="preserve">N8080G  </v>
      </c>
      <c r="BC237">
        <v>1</v>
      </c>
      <c r="BE237">
        <v>0</v>
      </c>
      <c r="BF237">
        <v>0</v>
      </c>
      <c r="BG237">
        <v>0</v>
      </c>
      <c r="BH237">
        <v>1900</v>
      </c>
      <c r="BI237">
        <v>1</v>
      </c>
      <c r="BJ237">
        <v>1</v>
      </c>
      <c r="BK237">
        <v>1</v>
      </c>
      <c r="BL237">
        <v>0</v>
      </c>
      <c r="BO237">
        <v>0</v>
      </c>
      <c r="BP237">
        <v>0</v>
      </c>
      <c r="BW237" t="str">
        <f>"20:12:25.475"</f>
        <v>20:12:25.475</v>
      </c>
      <c r="CJ237">
        <v>0</v>
      </c>
      <c r="CK237">
        <v>2</v>
      </c>
      <c r="CL237">
        <v>0</v>
      </c>
      <c r="CM237">
        <v>2</v>
      </c>
      <c r="CN237">
        <v>0</v>
      </c>
      <c r="CO237">
        <v>5</v>
      </c>
      <c r="CP237" t="s">
        <v>119</v>
      </c>
      <c r="CQ237">
        <v>559</v>
      </c>
      <c r="CR237">
        <v>0</v>
      </c>
      <c r="CW237">
        <v>10395504</v>
      </c>
      <c r="CY237">
        <v>1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</row>
    <row r="238" spans="1:113" x14ac:dyDescent="0.3">
      <c r="A238" t="str">
        <f>"02/08/2021 20:12:23.160"</f>
        <v>02/08/2021 20:12:23.160</v>
      </c>
      <c r="C238" t="str">
        <f t="shared" si="11"/>
        <v>FFDFD3C0</v>
      </c>
      <c r="D238" t="s">
        <v>113</v>
      </c>
      <c r="E238">
        <v>6</v>
      </c>
      <c r="H238">
        <v>165</v>
      </c>
      <c r="I238" t="s">
        <v>114</v>
      </c>
      <c r="J238" t="s">
        <v>115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"20:12:25.469"</f>
        <v>20:12:25.469</v>
      </c>
      <c r="U238" t="str">
        <f t="shared" si="10"/>
        <v>AB01F4</v>
      </c>
      <c r="V238">
        <v>0</v>
      </c>
      <c r="W238">
        <v>0</v>
      </c>
      <c r="X238">
        <v>1</v>
      </c>
      <c r="Z238">
        <v>0</v>
      </c>
      <c r="AA238">
        <v>9</v>
      </c>
      <c r="AB238">
        <v>3</v>
      </c>
      <c r="AC238">
        <v>0</v>
      </c>
      <c r="AD238">
        <v>10</v>
      </c>
      <c r="AE238">
        <v>0</v>
      </c>
      <c r="AF238">
        <v>3</v>
      </c>
      <c r="AG238">
        <v>2</v>
      </c>
      <c r="AH238">
        <v>0</v>
      </c>
      <c r="AI238" t="s">
        <v>296</v>
      </c>
      <c r="AJ238">
        <v>39.525590000000001</v>
      </c>
      <c r="AK238" t="s">
        <v>297</v>
      </c>
      <c r="AL238">
        <v>-92.455144000000004</v>
      </c>
      <c r="AM238">
        <v>100</v>
      </c>
      <c r="AN238">
        <v>1900</v>
      </c>
      <c r="AO238" t="s">
        <v>118</v>
      </c>
      <c r="AP238">
        <v>-95</v>
      </c>
      <c r="AQ238">
        <v>102</v>
      </c>
      <c r="AR238">
        <v>448</v>
      </c>
      <c r="AZ238">
        <v>1200</v>
      </c>
      <c r="BA238">
        <v>1</v>
      </c>
      <c r="BB238" t="str">
        <f t="shared" si="12"/>
        <v xml:space="preserve">N8080G  </v>
      </c>
      <c r="BC238">
        <v>1</v>
      </c>
      <c r="BE238">
        <v>0</v>
      </c>
      <c r="BF238">
        <v>0</v>
      </c>
      <c r="BG238">
        <v>0</v>
      </c>
      <c r="BH238">
        <v>1900</v>
      </c>
      <c r="BI238">
        <v>1</v>
      </c>
      <c r="BJ238">
        <v>1</v>
      </c>
      <c r="BK238">
        <v>1</v>
      </c>
      <c r="BL238">
        <v>0</v>
      </c>
      <c r="BO238">
        <v>0</v>
      </c>
      <c r="BP238">
        <v>0</v>
      </c>
      <c r="BW238" t="str">
        <f>"20:12:25.475"</f>
        <v>20:12:25.475</v>
      </c>
      <c r="CJ238">
        <v>0</v>
      </c>
      <c r="CK238">
        <v>2</v>
      </c>
      <c r="CL238">
        <v>0</v>
      </c>
      <c r="CM238">
        <v>2</v>
      </c>
      <c r="CN238">
        <v>0</v>
      </c>
      <c r="CO238">
        <v>5</v>
      </c>
      <c r="CP238" t="s">
        <v>119</v>
      </c>
      <c r="CQ238">
        <v>559</v>
      </c>
      <c r="CR238">
        <v>0</v>
      </c>
      <c r="CW238">
        <v>10395504</v>
      </c>
      <c r="CY238">
        <v>1</v>
      </c>
      <c r="CZ238">
        <v>0</v>
      </c>
      <c r="DA238">
        <v>1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</row>
    <row r="239" spans="1:113" x14ac:dyDescent="0.3">
      <c r="A239" t="str">
        <f>"02/08/2021 20:12:23.160"</f>
        <v>02/08/2021 20:12:23.160</v>
      </c>
      <c r="C239" t="str">
        <f t="shared" si="11"/>
        <v>FFDFD3C0</v>
      </c>
      <c r="D239" t="s">
        <v>141</v>
      </c>
      <c r="E239">
        <v>17</v>
      </c>
      <c r="H239">
        <v>256</v>
      </c>
      <c r="I239" t="s">
        <v>142</v>
      </c>
      <c r="J239" t="s">
        <v>143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"20:12:25.469"</f>
        <v>20:12:25.469</v>
      </c>
      <c r="U239" t="str">
        <f t="shared" si="10"/>
        <v>AB01F4</v>
      </c>
      <c r="V239">
        <v>0</v>
      </c>
      <c r="W239">
        <v>0</v>
      </c>
      <c r="X239">
        <v>1</v>
      </c>
      <c r="Z239">
        <v>0</v>
      </c>
      <c r="AA239">
        <v>9</v>
      </c>
      <c r="AB239">
        <v>3</v>
      </c>
      <c r="AC239">
        <v>0</v>
      </c>
      <c r="AD239">
        <v>10</v>
      </c>
      <c r="AE239">
        <v>0</v>
      </c>
      <c r="AF239">
        <v>3</v>
      </c>
      <c r="AG239">
        <v>2</v>
      </c>
      <c r="AH239">
        <v>0</v>
      </c>
      <c r="AI239" t="s">
        <v>296</v>
      </c>
      <c r="AJ239">
        <v>39.525590000000001</v>
      </c>
      <c r="AK239" t="s">
        <v>297</v>
      </c>
      <c r="AL239">
        <v>-92.455144000000004</v>
      </c>
      <c r="AM239">
        <v>100</v>
      </c>
      <c r="AN239">
        <v>1900</v>
      </c>
      <c r="AO239" t="s">
        <v>118</v>
      </c>
      <c r="AP239">
        <v>-95</v>
      </c>
      <c r="AQ239">
        <v>102</v>
      </c>
      <c r="AR239">
        <v>448</v>
      </c>
      <c r="AZ239">
        <v>1200</v>
      </c>
      <c r="BA239">
        <v>1</v>
      </c>
      <c r="BB239" t="str">
        <f t="shared" si="12"/>
        <v xml:space="preserve">N8080G  </v>
      </c>
      <c r="BC239">
        <v>1</v>
      </c>
      <c r="BE239">
        <v>0</v>
      </c>
      <c r="BF239">
        <v>0</v>
      </c>
      <c r="BG239">
        <v>0</v>
      </c>
      <c r="BH239">
        <v>1900</v>
      </c>
      <c r="BI239">
        <v>1</v>
      </c>
      <c r="BJ239">
        <v>1</v>
      </c>
      <c r="BK239">
        <v>1</v>
      </c>
      <c r="BL239">
        <v>0</v>
      </c>
      <c r="BO239">
        <v>0</v>
      </c>
      <c r="BP239">
        <v>0</v>
      </c>
      <c r="BW239" t="str">
        <f>"20:12:25.475"</f>
        <v>20:12:25.475</v>
      </c>
      <c r="CJ239">
        <v>0</v>
      </c>
      <c r="CK239">
        <v>2</v>
      </c>
      <c r="CL239">
        <v>0</v>
      </c>
      <c r="CM239">
        <v>2</v>
      </c>
      <c r="CN239">
        <v>0</v>
      </c>
      <c r="CO239">
        <v>5</v>
      </c>
      <c r="CP239" t="s">
        <v>119</v>
      </c>
      <c r="CQ239">
        <v>559</v>
      </c>
      <c r="CR239">
        <v>0</v>
      </c>
      <c r="CW239">
        <v>10395504</v>
      </c>
      <c r="CY239">
        <v>1</v>
      </c>
      <c r="CZ239">
        <v>0</v>
      </c>
      <c r="DA239">
        <v>1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</row>
    <row r="240" spans="1:113" x14ac:dyDescent="0.3">
      <c r="A240" t="str">
        <f>"02/08/2021 20:12:24.065"</f>
        <v>02/08/2021 20:12:24.065</v>
      </c>
      <c r="C240" t="str">
        <f t="shared" si="11"/>
        <v>FFDFD3C0</v>
      </c>
      <c r="D240" t="s">
        <v>124</v>
      </c>
      <c r="E240">
        <v>13</v>
      </c>
      <c r="F240">
        <v>1013</v>
      </c>
      <c r="G240" t="s">
        <v>114</v>
      </c>
      <c r="J240" t="s">
        <v>125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"20:12:26.375"</f>
        <v>20:12:26.375</v>
      </c>
      <c r="T240" t="str">
        <f>"20:12:25.475"</f>
        <v>20:12:25.475</v>
      </c>
      <c r="U240" t="str">
        <f t="shared" si="10"/>
        <v>AB01F4</v>
      </c>
      <c r="V240">
        <v>0</v>
      </c>
      <c r="W240">
        <v>0</v>
      </c>
      <c r="X240">
        <v>1</v>
      </c>
      <c r="Z240">
        <v>0</v>
      </c>
      <c r="AA240">
        <v>9</v>
      </c>
      <c r="AB240">
        <v>3</v>
      </c>
      <c r="AC240">
        <v>0</v>
      </c>
      <c r="AD240">
        <v>10</v>
      </c>
      <c r="AE240">
        <v>0</v>
      </c>
      <c r="AF240">
        <v>3</v>
      </c>
      <c r="AG240">
        <v>2</v>
      </c>
      <c r="AH240">
        <v>0</v>
      </c>
      <c r="AI240" t="s">
        <v>298</v>
      </c>
      <c r="AJ240">
        <v>39.526018999999998</v>
      </c>
      <c r="AK240" t="s">
        <v>299</v>
      </c>
      <c r="AL240">
        <v>-92.455680000000001</v>
      </c>
      <c r="AM240">
        <v>100</v>
      </c>
      <c r="AN240">
        <v>1900</v>
      </c>
      <c r="AO240" t="s">
        <v>118</v>
      </c>
      <c r="AP240">
        <v>-95</v>
      </c>
      <c r="AQ240">
        <v>102</v>
      </c>
      <c r="AR240">
        <v>448</v>
      </c>
      <c r="AZ240">
        <v>1200</v>
      </c>
      <c r="BA240">
        <v>1</v>
      </c>
      <c r="BB240" t="str">
        <f t="shared" si="12"/>
        <v xml:space="preserve">N8080G  </v>
      </c>
      <c r="BC240">
        <v>1</v>
      </c>
      <c r="BE240">
        <v>0</v>
      </c>
      <c r="BF240">
        <v>0</v>
      </c>
      <c r="BG240">
        <v>0</v>
      </c>
      <c r="BH240">
        <v>1900</v>
      </c>
      <c r="BI240">
        <v>1</v>
      </c>
      <c r="BJ240">
        <v>1</v>
      </c>
      <c r="BK240">
        <v>1</v>
      </c>
      <c r="BL240">
        <v>0</v>
      </c>
      <c r="BO240">
        <v>0</v>
      </c>
      <c r="BP240">
        <v>0</v>
      </c>
      <c r="BW240" t="str">
        <f>"20:12:26.382"</f>
        <v>20:12:26.382</v>
      </c>
      <c r="CJ240">
        <v>0</v>
      </c>
      <c r="CK240">
        <v>2</v>
      </c>
      <c r="CL240">
        <v>0</v>
      </c>
      <c r="CM240">
        <v>2</v>
      </c>
      <c r="CN240">
        <v>0</v>
      </c>
      <c r="CO240">
        <v>5</v>
      </c>
      <c r="CP240" t="s">
        <v>119</v>
      </c>
      <c r="CQ240">
        <v>559</v>
      </c>
      <c r="CR240">
        <v>0</v>
      </c>
      <c r="CW240">
        <v>10395653</v>
      </c>
      <c r="CY240">
        <v>1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</row>
    <row r="241" spans="1:113" x14ac:dyDescent="0.3">
      <c r="A241" t="str">
        <f>"02/08/2021 20:12:24.065"</f>
        <v>02/08/2021 20:12:24.065</v>
      </c>
      <c r="C241" t="str">
        <f t="shared" si="11"/>
        <v>FFDFD3C0</v>
      </c>
      <c r="D241" t="s">
        <v>113</v>
      </c>
      <c r="E241">
        <v>6</v>
      </c>
      <c r="H241">
        <v>165</v>
      </c>
      <c r="I241" t="s">
        <v>114</v>
      </c>
      <c r="J241" t="s">
        <v>115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"20:12:26.375"</f>
        <v>20:12:26.375</v>
      </c>
      <c r="T241" t="str">
        <f>"20:12:25.475"</f>
        <v>20:12:25.475</v>
      </c>
      <c r="U241" t="str">
        <f t="shared" si="10"/>
        <v>AB01F4</v>
      </c>
      <c r="V241">
        <v>0</v>
      </c>
      <c r="W241">
        <v>0</v>
      </c>
      <c r="X241">
        <v>1</v>
      </c>
      <c r="Z241">
        <v>0</v>
      </c>
      <c r="AA241">
        <v>9</v>
      </c>
      <c r="AB241">
        <v>3</v>
      </c>
      <c r="AC241">
        <v>0</v>
      </c>
      <c r="AD241">
        <v>10</v>
      </c>
      <c r="AE241">
        <v>0</v>
      </c>
      <c r="AF241">
        <v>3</v>
      </c>
      <c r="AG241">
        <v>2</v>
      </c>
      <c r="AH241">
        <v>0</v>
      </c>
      <c r="AI241" t="s">
        <v>298</v>
      </c>
      <c r="AJ241">
        <v>39.526018999999998</v>
      </c>
      <c r="AK241" t="s">
        <v>299</v>
      </c>
      <c r="AL241">
        <v>-92.455680000000001</v>
      </c>
      <c r="AM241">
        <v>100</v>
      </c>
      <c r="AN241">
        <v>1900</v>
      </c>
      <c r="AO241" t="s">
        <v>118</v>
      </c>
      <c r="AP241">
        <v>-95</v>
      </c>
      <c r="AQ241">
        <v>102</v>
      </c>
      <c r="AR241">
        <v>448</v>
      </c>
      <c r="AZ241">
        <v>1200</v>
      </c>
      <c r="BA241">
        <v>1</v>
      </c>
      <c r="BB241" t="str">
        <f t="shared" si="12"/>
        <v xml:space="preserve">N8080G  </v>
      </c>
      <c r="BC241">
        <v>1</v>
      </c>
      <c r="BE241">
        <v>0</v>
      </c>
      <c r="BF241">
        <v>0</v>
      </c>
      <c r="BG241">
        <v>0</v>
      </c>
      <c r="BH241">
        <v>1900</v>
      </c>
      <c r="BI241">
        <v>1</v>
      </c>
      <c r="BJ241">
        <v>1</v>
      </c>
      <c r="BK241">
        <v>1</v>
      </c>
      <c r="BL241">
        <v>0</v>
      </c>
      <c r="BO241">
        <v>0</v>
      </c>
      <c r="BP241">
        <v>0</v>
      </c>
      <c r="BW241" t="str">
        <f>"20:12:26.382"</f>
        <v>20:12:26.382</v>
      </c>
      <c r="CJ241">
        <v>0</v>
      </c>
      <c r="CK241">
        <v>2</v>
      </c>
      <c r="CL241">
        <v>0</v>
      </c>
      <c r="CM241">
        <v>2</v>
      </c>
      <c r="CN241">
        <v>0</v>
      </c>
      <c r="CO241">
        <v>5</v>
      </c>
      <c r="CP241" t="s">
        <v>119</v>
      </c>
      <c r="CQ241">
        <v>559</v>
      </c>
      <c r="CR241">
        <v>0</v>
      </c>
      <c r="CW241">
        <v>10395653</v>
      </c>
      <c r="CY241">
        <v>1</v>
      </c>
      <c r="CZ241">
        <v>0</v>
      </c>
      <c r="DA241">
        <v>1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</row>
    <row r="242" spans="1:113" x14ac:dyDescent="0.3">
      <c r="A242" t="str">
        <f>"02/08/2021 20:12:24.065"</f>
        <v>02/08/2021 20:12:24.065</v>
      </c>
      <c r="C242" t="str">
        <f t="shared" si="11"/>
        <v>FFDFD3C0</v>
      </c>
      <c r="D242" t="s">
        <v>141</v>
      </c>
      <c r="E242">
        <v>17</v>
      </c>
      <c r="H242">
        <v>256</v>
      </c>
      <c r="I242" t="s">
        <v>142</v>
      </c>
      <c r="J242" t="s">
        <v>143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"20:12:26.375"</f>
        <v>20:12:26.375</v>
      </c>
      <c r="T242" t="str">
        <f>"20:12:25.475"</f>
        <v>20:12:25.475</v>
      </c>
      <c r="U242" t="str">
        <f t="shared" si="10"/>
        <v>AB01F4</v>
      </c>
      <c r="V242">
        <v>0</v>
      </c>
      <c r="W242">
        <v>0</v>
      </c>
      <c r="X242">
        <v>1</v>
      </c>
      <c r="Z242">
        <v>0</v>
      </c>
      <c r="AA242">
        <v>9</v>
      </c>
      <c r="AB242">
        <v>3</v>
      </c>
      <c r="AC242">
        <v>0</v>
      </c>
      <c r="AD242">
        <v>10</v>
      </c>
      <c r="AE242">
        <v>0</v>
      </c>
      <c r="AF242">
        <v>3</v>
      </c>
      <c r="AG242">
        <v>2</v>
      </c>
      <c r="AH242">
        <v>0</v>
      </c>
      <c r="AI242" t="s">
        <v>298</v>
      </c>
      <c r="AJ242">
        <v>39.526018999999998</v>
      </c>
      <c r="AK242" t="s">
        <v>299</v>
      </c>
      <c r="AL242">
        <v>-92.455680000000001</v>
      </c>
      <c r="AM242">
        <v>100</v>
      </c>
      <c r="AN242">
        <v>1900</v>
      </c>
      <c r="AO242" t="s">
        <v>118</v>
      </c>
      <c r="AP242">
        <v>-95</v>
      </c>
      <c r="AQ242">
        <v>102</v>
      </c>
      <c r="AR242">
        <v>448</v>
      </c>
      <c r="AZ242">
        <v>1200</v>
      </c>
      <c r="BA242">
        <v>1</v>
      </c>
      <c r="BB242" t="str">
        <f t="shared" si="12"/>
        <v xml:space="preserve">N8080G  </v>
      </c>
      <c r="BC242">
        <v>1</v>
      </c>
      <c r="BE242">
        <v>0</v>
      </c>
      <c r="BF242">
        <v>0</v>
      </c>
      <c r="BG242">
        <v>0</v>
      </c>
      <c r="BH242">
        <v>1900</v>
      </c>
      <c r="BI242">
        <v>1</v>
      </c>
      <c r="BJ242">
        <v>1</v>
      </c>
      <c r="BK242">
        <v>1</v>
      </c>
      <c r="BL242">
        <v>0</v>
      </c>
      <c r="BO242">
        <v>0</v>
      </c>
      <c r="BP242">
        <v>0</v>
      </c>
      <c r="BW242" t="str">
        <f>"20:12:26.382"</f>
        <v>20:12:26.382</v>
      </c>
      <c r="CJ242">
        <v>0</v>
      </c>
      <c r="CK242">
        <v>2</v>
      </c>
      <c r="CL242">
        <v>0</v>
      </c>
      <c r="CM242">
        <v>2</v>
      </c>
      <c r="CN242">
        <v>0</v>
      </c>
      <c r="CO242">
        <v>5</v>
      </c>
      <c r="CP242" t="s">
        <v>119</v>
      </c>
      <c r="CQ242">
        <v>559</v>
      </c>
      <c r="CR242">
        <v>0</v>
      </c>
      <c r="CW242">
        <v>10395653</v>
      </c>
      <c r="CY242">
        <v>1</v>
      </c>
      <c r="CZ242">
        <v>0</v>
      </c>
      <c r="DA242">
        <v>1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</row>
    <row r="243" spans="1:113" x14ac:dyDescent="0.3">
      <c r="A243" t="str">
        <f>"02/08/2021 20:12:24.945"</f>
        <v>02/08/2021 20:12:24.945</v>
      </c>
      <c r="C243" t="str">
        <f t="shared" si="11"/>
        <v>FFDFD3C0</v>
      </c>
      <c r="D243" t="s">
        <v>113</v>
      </c>
      <c r="E243">
        <v>6</v>
      </c>
      <c r="H243">
        <v>165</v>
      </c>
      <c r="I243" t="s">
        <v>114</v>
      </c>
      <c r="J243" t="s">
        <v>115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"20:12:27.289"</f>
        <v>20:12:27.289</v>
      </c>
      <c r="T243" t="str">
        <f>"20:12:26.889"</f>
        <v>20:12:26.889</v>
      </c>
      <c r="U243" t="str">
        <f t="shared" si="10"/>
        <v>AB01F4</v>
      </c>
      <c r="V243">
        <v>0</v>
      </c>
      <c r="W243">
        <v>0</v>
      </c>
      <c r="X243">
        <v>1</v>
      </c>
      <c r="Z243">
        <v>0</v>
      </c>
      <c r="AA243">
        <v>9</v>
      </c>
      <c r="AB243">
        <v>3</v>
      </c>
      <c r="AC243">
        <v>0</v>
      </c>
      <c r="AD243">
        <v>10</v>
      </c>
      <c r="AE243">
        <v>0</v>
      </c>
      <c r="AF243">
        <v>3</v>
      </c>
      <c r="AG243">
        <v>2</v>
      </c>
      <c r="AH243">
        <v>0</v>
      </c>
      <c r="AI243" t="s">
        <v>300</v>
      </c>
      <c r="AJ243">
        <v>39.526426999999998</v>
      </c>
      <c r="AK243" t="s">
        <v>301</v>
      </c>
      <c r="AL243">
        <v>-92.456174000000004</v>
      </c>
      <c r="AM243">
        <v>100</v>
      </c>
      <c r="AN243">
        <v>1900</v>
      </c>
      <c r="AO243" t="s">
        <v>118</v>
      </c>
      <c r="AP243">
        <v>-96</v>
      </c>
      <c r="AQ243">
        <v>101</v>
      </c>
      <c r="AR243">
        <v>448</v>
      </c>
      <c r="AZ243">
        <v>1200</v>
      </c>
      <c r="BA243">
        <v>1</v>
      </c>
      <c r="BB243" t="str">
        <f t="shared" si="12"/>
        <v xml:space="preserve">N8080G  </v>
      </c>
      <c r="BC243">
        <v>1</v>
      </c>
      <c r="BE243">
        <v>0</v>
      </c>
      <c r="BF243">
        <v>0</v>
      </c>
      <c r="BG243">
        <v>0</v>
      </c>
      <c r="BH243">
        <v>1900</v>
      </c>
      <c r="BI243">
        <v>1</v>
      </c>
      <c r="BJ243">
        <v>1</v>
      </c>
      <c r="BK243">
        <v>1</v>
      </c>
      <c r="BL243">
        <v>0</v>
      </c>
      <c r="BO243">
        <v>0</v>
      </c>
      <c r="BP243">
        <v>0</v>
      </c>
      <c r="BW243" t="str">
        <f>"20:12:27.293"</f>
        <v>20:12:27.293</v>
      </c>
      <c r="CJ243">
        <v>0</v>
      </c>
      <c r="CK243">
        <v>2</v>
      </c>
      <c r="CL243">
        <v>0</v>
      </c>
      <c r="CM243">
        <v>2</v>
      </c>
      <c r="CN243">
        <v>0</v>
      </c>
      <c r="CO243">
        <v>5</v>
      </c>
      <c r="CP243" t="s">
        <v>119</v>
      </c>
      <c r="CQ243">
        <v>559</v>
      </c>
      <c r="CR243">
        <v>0</v>
      </c>
      <c r="CW243">
        <v>10395798</v>
      </c>
      <c r="CY243">
        <v>1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</row>
    <row r="244" spans="1:113" x14ac:dyDescent="0.3">
      <c r="A244" t="str">
        <f>"02/08/2021 20:12:24.945"</f>
        <v>02/08/2021 20:12:24.945</v>
      </c>
      <c r="C244" t="str">
        <f t="shared" si="11"/>
        <v>FFDFD3C0</v>
      </c>
      <c r="D244" t="s">
        <v>141</v>
      </c>
      <c r="E244">
        <v>17</v>
      </c>
      <c r="H244">
        <v>256</v>
      </c>
      <c r="I244" t="s">
        <v>142</v>
      </c>
      <c r="J244" t="s">
        <v>143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"20:12:27.289"</f>
        <v>20:12:27.289</v>
      </c>
      <c r="T244" t="str">
        <f>"20:12:26.889"</f>
        <v>20:12:26.889</v>
      </c>
      <c r="U244" t="str">
        <f t="shared" si="10"/>
        <v>AB01F4</v>
      </c>
      <c r="V244">
        <v>0</v>
      </c>
      <c r="W244">
        <v>0</v>
      </c>
      <c r="X244">
        <v>1</v>
      </c>
      <c r="Z244">
        <v>0</v>
      </c>
      <c r="AA244">
        <v>9</v>
      </c>
      <c r="AB244">
        <v>3</v>
      </c>
      <c r="AC244">
        <v>0</v>
      </c>
      <c r="AD244">
        <v>10</v>
      </c>
      <c r="AE244">
        <v>0</v>
      </c>
      <c r="AF244">
        <v>3</v>
      </c>
      <c r="AG244">
        <v>2</v>
      </c>
      <c r="AH244">
        <v>0</v>
      </c>
      <c r="AI244" t="s">
        <v>300</v>
      </c>
      <c r="AJ244">
        <v>39.526426999999998</v>
      </c>
      <c r="AK244" t="s">
        <v>301</v>
      </c>
      <c r="AL244">
        <v>-92.456174000000004</v>
      </c>
      <c r="AM244">
        <v>100</v>
      </c>
      <c r="AN244">
        <v>1900</v>
      </c>
      <c r="AO244" t="s">
        <v>118</v>
      </c>
      <c r="AP244">
        <v>-96</v>
      </c>
      <c r="AQ244">
        <v>101</v>
      </c>
      <c r="AR244">
        <v>448</v>
      </c>
      <c r="AZ244">
        <v>1200</v>
      </c>
      <c r="BA244">
        <v>1</v>
      </c>
      <c r="BB244" t="str">
        <f t="shared" si="12"/>
        <v xml:space="preserve">N8080G  </v>
      </c>
      <c r="BC244">
        <v>1</v>
      </c>
      <c r="BE244">
        <v>0</v>
      </c>
      <c r="BF244">
        <v>0</v>
      </c>
      <c r="BG244">
        <v>0</v>
      </c>
      <c r="BH244">
        <v>1900</v>
      </c>
      <c r="BI244">
        <v>1</v>
      </c>
      <c r="BJ244">
        <v>1</v>
      </c>
      <c r="BK244">
        <v>1</v>
      </c>
      <c r="BL244">
        <v>0</v>
      </c>
      <c r="BO244">
        <v>0</v>
      </c>
      <c r="BP244">
        <v>0</v>
      </c>
      <c r="BW244" t="str">
        <f>"20:12:27.293"</f>
        <v>20:12:27.293</v>
      </c>
      <c r="CJ244">
        <v>0</v>
      </c>
      <c r="CK244">
        <v>2</v>
      </c>
      <c r="CL244">
        <v>0</v>
      </c>
      <c r="CM244">
        <v>2</v>
      </c>
      <c r="CN244">
        <v>0</v>
      </c>
      <c r="CO244">
        <v>5</v>
      </c>
      <c r="CP244" t="s">
        <v>119</v>
      </c>
      <c r="CQ244">
        <v>559</v>
      </c>
      <c r="CR244">
        <v>0</v>
      </c>
      <c r="CW244">
        <v>10395798</v>
      </c>
      <c r="CY244">
        <v>1</v>
      </c>
      <c r="CZ244">
        <v>0</v>
      </c>
      <c r="DA244">
        <v>1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</row>
    <row r="245" spans="1:113" x14ac:dyDescent="0.3">
      <c r="A245" t="str">
        <f>"02/08/2021 20:12:24.945"</f>
        <v>02/08/2021 20:12:24.945</v>
      </c>
      <c r="C245" t="str">
        <f t="shared" si="11"/>
        <v>FFDFD3C0</v>
      </c>
      <c r="D245" t="s">
        <v>124</v>
      </c>
      <c r="E245">
        <v>13</v>
      </c>
      <c r="F245">
        <v>1013</v>
      </c>
      <c r="G245" t="s">
        <v>114</v>
      </c>
      <c r="J245" t="s">
        <v>125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"20:12:27.289"</f>
        <v>20:12:27.289</v>
      </c>
      <c r="T245" t="str">
        <f>"20:12:26.889"</f>
        <v>20:12:26.889</v>
      </c>
      <c r="U245" t="str">
        <f t="shared" si="10"/>
        <v>AB01F4</v>
      </c>
      <c r="V245">
        <v>0</v>
      </c>
      <c r="W245">
        <v>0</v>
      </c>
      <c r="X245">
        <v>1</v>
      </c>
      <c r="Z245">
        <v>0</v>
      </c>
      <c r="AA245">
        <v>9</v>
      </c>
      <c r="AB245">
        <v>3</v>
      </c>
      <c r="AC245">
        <v>0</v>
      </c>
      <c r="AD245">
        <v>10</v>
      </c>
      <c r="AE245">
        <v>0</v>
      </c>
      <c r="AF245">
        <v>3</v>
      </c>
      <c r="AG245">
        <v>2</v>
      </c>
      <c r="AH245">
        <v>0</v>
      </c>
      <c r="AI245" t="s">
        <v>300</v>
      </c>
      <c r="AJ245">
        <v>39.526426999999998</v>
      </c>
      <c r="AK245" t="s">
        <v>301</v>
      </c>
      <c r="AL245">
        <v>-92.456174000000004</v>
      </c>
      <c r="AM245">
        <v>100</v>
      </c>
      <c r="AN245">
        <v>1900</v>
      </c>
      <c r="AO245" t="s">
        <v>118</v>
      </c>
      <c r="AP245">
        <v>-96</v>
      </c>
      <c r="AQ245">
        <v>101</v>
      </c>
      <c r="AR245">
        <v>448</v>
      </c>
      <c r="AZ245">
        <v>1200</v>
      </c>
      <c r="BA245">
        <v>1</v>
      </c>
      <c r="BB245" t="str">
        <f t="shared" si="12"/>
        <v xml:space="preserve">N8080G  </v>
      </c>
      <c r="BC245">
        <v>1</v>
      </c>
      <c r="BE245">
        <v>0</v>
      </c>
      <c r="BF245">
        <v>0</v>
      </c>
      <c r="BG245">
        <v>0</v>
      </c>
      <c r="BH245">
        <v>1900</v>
      </c>
      <c r="BI245">
        <v>1</v>
      </c>
      <c r="BJ245">
        <v>1</v>
      </c>
      <c r="BK245">
        <v>1</v>
      </c>
      <c r="BL245">
        <v>0</v>
      </c>
      <c r="BO245">
        <v>0</v>
      </c>
      <c r="BP245">
        <v>0</v>
      </c>
      <c r="BW245" t="str">
        <f>"20:12:27.293"</f>
        <v>20:12:27.293</v>
      </c>
      <c r="CJ245">
        <v>0</v>
      </c>
      <c r="CK245">
        <v>2</v>
      </c>
      <c r="CL245">
        <v>0</v>
      </c>
      <c r="CM245">
        <v>2</v>
      </c>
      <c r="CN245">
        <v>0</v>
      </c>
      <c r="CO245">
        <v>5</v>
      </c>
      <c r="CP245" t="s">
        <v>119</v>
      </c>
      <c r="CQ245">
        <v>559</v>
      </c>
      <c r="CR245">
        <v>0</v>
      </c>
      <c r="CW245">
        <v>10395798</v>
      </c>
      <c r="CY245">
        <v>1</v>
      </c>
      <c r="CZ245">
        <v>0</v>
      </c>
      <c r="DA245">
        <v>1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</row>
    <row r="246" spans="1:113" x14ac:dyDescent="0.3">
      <c r="A246" t="str">
        <f>"02/08/2021 20:12:26.057"</f>
        <v>02/08/2021 20:12:26.057</v>
      </c>
      <c r="C246" t="str">
        <f t="shared" si="11"/>
        <v>FFDFD3C0</v>
      </c>
      <c r="D246" t="s">
        <v>113</v>
      </c>
      <c r="E246">
        <v>6</v>
      </c>
      <c r="H246">
        <v>165</v>
      </c>
      <c r="I246" t="s">
        <v>114</v>
      </c>
      <c r="J246" t="s">
        <v>115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"20:12:28.367"</f>
        <v>20:12:28.367</v>
      </c>
      <c r="T246" t="str">
        <f>"20:12:27.867"</f>
        <v>20:12:27.867</v>
      </c>
      <c r="U246" t="str">
        <f t="shared" si="10"/>
        <v>AB01F4</v>
      </c>
      <c r="V246">
        <v>0</v>
      </c>
      <c r="W246">
        <v>0</v>
      </c>
      <c r="X246">
        <v>1</v>
      </c>
      <c r="Z246">
        <v>0</v>
      </c>
      <c r="AA246">
        <v>9</v>
      </c>
      <c r="AB246">
        <v>3</v>
      </c>
      <c r="AC246">
        <v>0</v>
      </c>
      <c r="AD246">
        <v>10</v>
      </c>
      <c r="AE246">
        <v>0</v>
      </c>
      <c r="AF246">
        <v>3</v>
      </c>
      <c r="AG246">
        <v>2</v>
      </c>
      <c r="AH246">
        <v>0</v>
      </c>
      <c r="AI246" t="s">
        <v>302</v>
      </c>
      <c r="AJ246">
        <v>39.526941999999998</v>
      </c>
      <c r="AK246" t="s">
        <v>303</v>
      </c>
      <c r="AL246">
        <v>-92.456817999999998</v>
      </c>
      <c r="AM246">
        <v>100</v>
      </c>
      <c r="AN246">
        <v>1900</v>
      </c>
      <c r="AO246" t="s">
        <v>118</v>
      </c>
      <c r="AP246">
        <v>-96</v>
      </c>
      <c r="AQ246">
        <v>101</v>
      </c>
      <c r="AR246">
        <v>384</v>
      </c>
      <c r="AZ246">
        <v>1200</v>
      </c>
      <c r="BA246">
        <v>1</v>
      </c>
      <c r="BB246" t="str">
        <f t="shared" si="12"/>
        <v xml:space="preserve">N8080G  </v>
      </c>
      <c r="BC246">
        <v>1</v>
      </c>
      <c r="BE246">
        <v>0</v>
      </c>
      <c r="BF246">
        <v>0</v>
      </c>
      <c r="BG246">
        <v>0</v>
      </c>
      <c r="BH246">
        <v>1900</v>
      </c>
      <c r="BI246">
        <v>1</v>
      </c>
      <c r="BJ246">
        <v>1</v>
      </c>
      <c r="BK246">
        <v>1</v>
      </c>
      <c r="BL246">
        <v>0</v>
      </c>
      <c r="BO246">
        <v>0</v>
      </c>
      <c r="BP246">
        <v>0</v>
      </c>
      <c r="BW246" t="str">
        <f>"20:12:28.375"</f>
        <v>20:12:28.375</v>
      </c>
      <c r="CJ246">
        <v>0</v>
      </c>
      <c r="CK246">
        <v>2</v>
      </c>
      <c r="CL246">
        <v>0</v>
      </c>
      <c r="CM246">
        <v>2</v>
      </c>
      <c r="CN246">
        <v>0</v>
      </c>
      <c r="CO246">
        <v>7</v>
      </c>
      <c r="CP246" t="s">
        <v>119</v>
      </c>
      <c r="CQ246">
        <v>180</v>
      </c>
      <c r="CR246">
        <v>2</v>
      </c>
      <c r="CW246">
        <v>7792394</v>
      </c>
      <c r="CY246">
        <v>1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</row>
    <row r="247" spans="1:113" x14ac:dyDescent="0.3">
      <c r="A247" t="str">
        <f>"02/08/2021 20:12:26.057"</f>
        <v>02/08/2021 20:12:26.057</v>
      </c>
      <c r="C247" t="str">
        <f t="shared" si="11"/>
        <v>FFDFD3C0</v>
      </c>
      <c r="D247" t="s">
        <v>141</v>
      </c>
      <c r="E247">
        <v>17</v>
      </c>
      <c r="H247">
        <v>256</v>
      </c>
      <c r="I247" t="s">
        <v>142</v>
      </c>
      <c r="J247" t="s">
        <v>143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"20:12:28.367"</f>
        <v>20:12:28.367</v>
      </c>
      <c r="T247" t="str">
        <f>"20:12:27.867"</f>
        <v>20:12:27.867</v>
      </c>
      <c r="U247" t="str">
        <f t="shared" si="10"/>
        <v>AB01F4</v>
      </c>
      <c r="V247">
        <v>0</v>
      </c>
      <c r="W247">
        <v>0</v>
      </c>
      <c r="X247">
        <v>1</v>
      </c>
      <c r="Z247">
        <v>0</v>
      </c>
      <c r="AA247">
        <v>9</v>
      </c>
      <c r="AB247">
        <v>3</v>
      </c>
      <c r="AC247">
        <v>0</v>
      </c>
      <c r="AD247">
        <v>10</v>
      </c>
      <c r="AE247">
        <v>0</v>
      </c>
      <c r="AF247">
        <v>3</v>
      </c>
      <c r="AG247">
        <v>2</v>
      </c>
      <c r="AH247">
        <v>0</v>
      </c>
      <c r="AI247" t="s">
        <v>302</v>
      </c>
      <c r="AJ247">
        <v>39.526941999999998</v>
      </c>
      <c r="AK247" t="s">
        <v>303</v>
      </c>
      <c r="AL247">
        <v>-92.456817999999998</v>
      </c>
      <c r="AM247">
        <v>100</v>
      </c>
      <c r="AN247">
        <v>1900</v>
      </c>
      <c r="AO247" t="s">
        <v>118</v>
      </c>
      <c r="AP247">
        <v>-96</v>
      </c>
      <c r="AQ247">
        <v>101</v>
      </c>
      <c r="AR247">
        <v>384</v>
      </c>
      <c r="AZ247">
        <v>1200</v>
      </c>
      <c r="BA247">
        <v>1</v>
      </c>
      <c r="BB247" t="str">
        <f t="shared" si="12"/>
        <v xml:space="preserve">N8080G  </v>
      </c>
      <c r="BC247">
        <v>1</v>
      </c>
      <c r="BE247">
        <v>0</v>
      </c>
      <c r="BF247">
        <v>0</v>
      </c>
      <c r="BG247">
        <v>0</v>
      </c>
      <c r="BH247">
        <v>1900</v>
      </c>
      <c r="BI247">
        <v>1</v>
      </c>
      <c r="BJ247">
        <v>1</v>
      </c>
      <c r="BK247">
        <v>1</v>
      </c>
      <c r="BL247">
        <v>0</v>
      </c>
      <c r="BO247">
        <v>0</v>
      </c>
      <c r="BP247">
        <v>0</v>
      </c>
      <c r="BW247" t="str">
        <f>"20:12:28.375"</f>
        <v>20:12:28.375</v>
      </c>
      <c r="CJ247">
        <v>0</v>
      </c>
      <c r="CK247">
        <v>2</v>
      </c>
      <c r="CL247">
        <v>0</v>
      </c>
      <c r="CM247">
        <v>2</v>
      </c>
      <c r="CN247">
        <v>0</v>
      </c>
      <c r="CO247">
        <v>5</v>
      </c>
      <c r="CP247" t="s">
        <v>119</v>
      </c>
      <c r="CQ247">
        <v>559</v>
      </c>
      <c r="CR247">
        <v>0</v>
      </c>
      <c r="CW247">
        <v>10395967</v>
      </c>
      <c r="CY247">
        <v>1</v>
      </c>
      <c r="CZ247">
        <v>0</v>
      </c>
      <c r="DA247">
        <v>1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</row>
    <row r="248" spans="1:113" x14ac:dyDescent="0.3">
      <c r="A248" t="str">
        <f>"02/08/2021 20:12:26.057"</f>
        <v>02/08/2021 20:12:26.057</v>
      </c>
      <c r="C248" t="str">
        <f t="shared" si="11"/>
        <v>FFDFD3C0</v>
      </c>
      <c r="D248" t="s">
        <v>124</v>
      </c>
      <c r="E248">
        <v>13</v>
      </c>
      <c r="F248">
        <v>1013</v>
      </c>
      <c r="G248" t="s">
        <v>114</v>
      </c>
      <c r="J248" t="s">
        <v>125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"20:12:28.367"</f>
        <v>20:12:28.367</v>
      </c>
      <c r="T248" t="str">
        <f>"20:12:27.867"</f>
        <v>20:12:27.867</v>
      </c>
      <c r="U248" t="str">
        <f t="shared" si="10"/>
        <v>AB01F4</v>
      </c>
      <c r="V248">
        <v>0</v>
      </c>
      <c r="W248">
        <v>0</v>
      </c>
      <c r="X248">
        <v>1</v>
      </c>
      <c r="Z248">
        <v>0</v>
      </c>
      <c r="AA248">
        <v>9</v>
      </c>
      <c r="AB248">
        <v>3</v>
      </c>
      <c r="AC248">
        <v>0</v>
      </c>
      <c r="AD248">
        <v>10</v>
      </c>
      <c r="AE248">
        <v>0</v>
      </c>
      <c r="AF248">
        <v>3</v>
      </c>
      <c r="AG248">
        <v>2</v>
      </c>
      <c r="AH248">
        <v>0</v>
      </c>
      <c r="AI248" t="s">
        <v>302</v>
      </c>
      <c r="AJ248">
        <v>39.526941999999998</v>
      </c>
      <c r="AK248" t="s">
        <v>303</v>
      </c>
      <c r="AL248">
        <v>-92.456817999999998</v>
      </c>
      <c r="AM248">
        <v>100</v>
      </c>
      <c r="AN248">
        <v>1900</v>
      </c>
      <c r="AO248" t="s">
        <v>118</v>
      </c>
      <c r="AP248">
        <v>-96</v>
      </c>
      <c r="AQ248">
        <v>101</v>
      </c>
      <c r="AR248">
        <v>384</v>
      </c>
      <c r="AZ248">
        <v>1200</v>
      </c>
      <c r="BA248">
        <v>1</v>
      </c>
      <c r="BB248" t="str">
        <f t="shared" si="12"/>
        <v xml:space="preserve">N8080G  </v>
      </c>
      <c r="BC248">
        <v>1</v>
      </c>
      <c r="BE248">
        <v>0</v>
      </c>
      <c r="BF248">
        <v>0</v>
      </c>
      <c r="BG248">
        <v>0</v>
      </c>
      <c r="BH248">
        <v>1900</v>
      </c>
      <c r="BI248">
        <v>1</v>
      </c>
      <c r="BJ248">
        <v>1</v>
      </c>
      <c r="BK248">
        <v>1</v>
      </c>
      <c r="BL248">
        <v>0</v>
      </c>
      <c r="BO248">
        <v>0</v>
      </c>
      <c r="BP248">
        <v>0</v>
      </c>
      <c r="BW248" t="str">
        <f>"20:12:28.375"</f>
        <v>20:12:28.375</v>
      </c>
      <c r="CJ248">
        <v>0</v>
      </c>
      <c r="CK248">
        <v>2</v>
      </c>
      <c r="CL248">
        <v>0</v>
      </c>
      <c r="CM248">
        <v>2</v>
      </c>
      <c r="CN248">
        <v>0</v>
      </c>
      <c r="CO248">
        <v>7</v>
      </c>
      <c r="CP248" t="s">
        <v>119</v>
      </c>
      <c r="CQ248">
        <v>180</v>
      </c>
      <c r="CR248">
        <v>2</v>
      </c>
      <c r="CW248">
        <v>7792394</v>
      </c>
      <c r="CY248">
        <v>1</v>
      </c>
      <c r="CZ248">
        <v>0</v>
      </c>
      <c r="DA248">
        <v>1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</row>
    <row r="249" spans="1:113" x14ac:dyDescent="0.3">
      <c r="A249" t="str">
        <f>"02/08/2021 20:12:27.070"</f>
        <v>02/08/2021 20:12:27.070</v>
      </c>
      <c r="C249" t="str">
        <f t="shared" si="11"/>
        <v>FFDFD3C0</v>
      </c>
      <c r="D249" t="s">
        <v>113</v>
      </c>
      <c r="E249">
        <v>6</v>
      </c>
      <c r="H249">
        <v>165</v>
      </c>
      <c r="I249" t="s">
        <v>114</v>
      </c>
      <c r="J249" t="s">
        <v>115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"20:12:29.391"</f>
        <v>20:12:29.391</v>
      </c>
      <c r="U249" t="str">
        <f t="shared" si="10"/>
        <v>AB01F4</v>
      </c>
      <c r="V249">
        <v>0</v>
      </c>
      <c r="W249">
        <v>0</v>
      </c>
      <c r="X249">
        <v>1</v>
      </c>
      <c r="Z249">
        <v>0</v>
      </c>
      <c r="AA249">
        <v>9</v>
      </c>
      <c r="AB249">
        <v>3</v>
      </c>
      <c r="AC249">
        <v>0</v>
      </c>
      <c r="AD249">
        <v>10</v>
      </c>
      <c r="AE249">
        <v>0</v>
      </c>
      <c r="AF249">
        <v>3</v>
      </c>
      <c r="AG249">
        <v>2</v>
      </c>
      <c r="AH249">
        <v>0</v>
      </c>
      <c r="AI249" t="s">
        <v>304</v>
      </c>
      <c r="AJ249">
        <v>39.527434999999997</v>
      </c>
      <c r="AK249" t="s">
        <v>305</v>
      </c>
      <c r="AL249">
        <v>-92.457418000000004</v>
      </c>
      <c r="AM249">
        <v>100</v>
      </c>
      <c r="AN249">
        <v>1900</v>
      </c>
      <c r="AO249" t="s">
        <v>118</v>
      </c>
      <c r="AP249">
        <v>-97</v>
      </c>
      <c r="AQ249">
        <v>102</v>
      </c>
      <c r="AR249">
        <v>192</v>
      </c>
      <c r="AZ249">
        <v>1200</v>
      </c>
      <c r="BA249">
        <v>1</v>
      </c>
      <c r="BB249" t="str">
        <f t="shared" si="12"/>
        <v xml:space="preserve">N8080G  </v>
      </c>
      <c r="BC249">
        <v>1</v>
      </c>
      <c r="BE249">
        <v>0</v>
      </c>
      <c r="BF249">
        <v>0</v>
      </c>
      <c r="BG249">
        <v>0</v>
      </c>
      <c r="BH249">
        <v>1900</v>
      </c>
      <c r="BI249">
        <v>1</v>
      </c>
      <c r="BJ249">
        <v>1</v>
      </c>
      <c r="BK249">
        <v>1</v>
      </c>
      <c r="BL249">
        <v>0</v>
      </c>
      <c r="BO249">
        <v>0</v>
      </c>
      <c r="BP249">
        <v>0</v>
      </c>
      <c r="BW249" t="str">
        <f>"20:12:29.395"</f>
        <v>20:12:29.395</v>
      </c>
      <c r="CJ249">
        <v>0</v>
      </c>
      <c r="CK249">
        <v>2</v>
      </c>
      <c r="CL249">
        <v>0</v>
      </c>
      <c r="CM249">
        <v>2</v>
      </c>
      <c r="CN249">
        <v>0</v>
      </c>
      <c r="CO249">
        <v>5</v>
      </c>
      <c r="CP249" t="s">
        <v>119</v>
      </c>
      <c r="CQ249">
        <v>559</v>
      </c>
      <c r="CR249">
        <v>0</v>
      </c>
      <c r="CW249">
        <v>10396140</v>
      </c>
      <c r="CY249">
        <v>1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</row>
    <row r="250" spans="1:113" x14ac:dyDescent="0.3">
      <c r="A250" t="str">
        <f>"02/08/2021 20:12:27.070"</f>
        <v>02/08/2021 20:12:27.070</v>
      </c>
      <c r="C250" t="str">
        <f t="shared" si="11"/>
        <v>FFDFD3C0</v>
      </c>
      <c r="D250" t="s">
        <v>141</v>
      </c>
      <c r="E250">
        <v>17</v>
      </c>
      <c r="H250">
        <v>256</v>
      </c>
      <c r="I250" t="s">
        <v>142</v>
      </c>
      <c r="J250" t="s">
        <v>143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"20:12:29.391"</f>
        <v>20:12:29.391</v>
      </c>
      <c r="U250" t="str">
        <f t="shared" si="10"/>
        <v>AB01F4</v>
      </c>
      <c r="V250">
        <v>0</v>
      </c>
      <c r="W250">
        <v>0</v>
      </c>
      <c r="X250">
        <v>1</v>
      </c>
      <c r="Z250">
        <v>0</v>
      </c>
      <c r="AA250">
        <v>9</v>
      </c>
      <c r="AB250">
        <v>3</v>
      </c>
      <c r="AC250">
        <v>0</v>
      </c>
      <c r="AD250">
        <v>10</v>
      </c>
      <c r="AE250">
        <v>0</v>
      </c>
      <c r="AF250">
        <v>3</v>
      </c>
      <c r="AG250">
        <v>2</v>
      </c>
      <c r="AH250">
        <v>0</v>
      </c>
      <c r="AI250" t="s">
        <v>304</v>
      </c>
      <c r="AJ250">
        <v>39.527434999999997</v>
      </c>
      <c r="AK250" t="s">
        <v>305</v>
      </c>
      <c r="AL250">
        <v>-92.457418000000004</v>
      </c>
      <c r="AM250">
        <v>100</v>
      </c>
      <c r="AN250">
        <v>1900</v>
      </c>
      <c r="AO250" t="s">
        <v>118</v>
      </c>
      <c r="AP250">
        <v>-97</v>
      </c>
      <c r="AQ250">
        <v>102</v>
      </c>
      <c r="AR250">
        <v>192</v>
      </c>
      <c r="AZ250">
        <v>1200</v>
      </c>
      <c r="BA250">
        <v>1</v>
      </c>
      <c r="BB250" t="str">
        <f t="shared" si="12"/>
        <v xml:space="preserve">N8080G  </v>
      </c>
      <c r="BC250">
        <v>1</v>
      </c>
      <c r="BE250">
        <v>0</v>
      </c>
      <c r="BF250">
        <v>0</v>
      </c>
      <c r="BG250">
        <v>0</v>
      </c>
      <c r="BH250">
        <v>1900</v>
      </c>
      <c r="BI250">
        <v>1</v>
      </c>
      <c r="BJ250">
        <v>1</v>
      </c>
      <c r="BK250">
        <v>1</v>
      </c>
      <c r="BL250">
        <v>0</v>
      </c>
      <c r="BO250">
        <v>0</v>
      </c>
      <c r="BP250">
        <v>0</v>
      </c>
      <c r="BW250" t="str">
        <f>"20:12:29.395"</f>
        <v>20:12:29.395</v>
      </c>
      <c r="CJ250">
        <v>0</v>
      </c>
      <c r="CK250">
        <v>2</v>
      </c>
      <c r="CL250">
        <v>0</v>
      </c>
      <c r="CM250">
        <v>2</v>
      </c>
      <c r="CN250">
        <v>0</v>
      </c>
      <c r="CO250">
        <v>5</v>
      </c>
      <c r="CP250" t="s">
        <v>119</v>
      </c>
      <c r="CQ250">
        <v>559</v>
      </c>
      <c r="CR250">
        <v>0</v>
      </c>
      <c r="CW250">
        <v>10396140</v>
      </c>
      <c r="CY250">
        <v>1</v>
      </c>
      <c r="CZ250">
        <v>0</v>
      </c>
      <c r="DA250">
        <v>1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</row>
    <row r="251" spans="1:113" x14ac:dyDescent="0.3">
      <c r="A251" t="str">
        <f>"02/08/2021 20:12:27.070"</f>
        <v>02/08/2021 20:12:27.070</v>
      </c>
      <c r="C251" t="str">
        <f t="shared" si="11"/>
        <v>FFDFD3C0</v>
      </c>
      <c r="D251" t="s">
        <v>124</v>
      </c>
      <c r="E251">
        <v>13</v>
      </c>
      <c r="F251">
        <v>1013</v>
      </c>
      <c r="G251" t="s">
        <v>114</v>
      </c>
      <c r="J251" t="s">
        <v>125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"20:12:29.391"</f>
        <v>20:12:29.391</v>
      </c>
      <c r="U251" t="str">
        <f t="shared" si="10"/>
        <v>AB01F4</v>
      </c>
      <c r="V251">
        <v>0</v>
      </c>
      <c r="W251">
        <v>0</v>
      </c>
      <c r="X251">
        <v>1</v>
      </c>
      <c r="Z251">
        <v>0</v>
      </c>
      <c r="AA251">
        <v>9</v>
      </c>
      <c r="AB251">
        <v>3</v>
      </c>
      <c r="AC251">
        <v>0</v>
      </c>
      <c r="AD251">
        <v>10</v>
      </c>
      <c r="AE251">
        <v>0</v>
      </c>
      <c r="AF251">
        <v>3</v>
      </c>
      <c r="AG251">
        <v>2</v>
      </c>
      <c r="AH251">
        <v>0</v>
      </c>
      <c r="AI251" t="s">
        <v>304</v>
      </c>
      <c r="AJ251">
        <v>39.527434999999997</v>
      </c>
      <c r="AK251" t="s">
        <v>305</v>
      </c>
      <c r="AL251">
        <v>-92.457418000000004</v>
      </c>
      <c r="AM251">
        <v>100</v>
      </c>
      <c r="AN251">
        <v>1900</v>
      </c>
      <c r="AO251" t="s">
        <v>118</v>
      </c>
      <c r="AP251">
        <v>-97</v>
      </c>
      <c r="AQ251">
        <v>102</v>
      </c>
      <c r="AR251">
        <v>192</v>
      </c>
      <c r="AZ251">
        <v>1200</v>
      </c>
      <c r="BA251">
        <v>1</v>
      </c>
      <c r="BB251" t="str">
        <f t="shared" si="12"/>
        <v xml:space="preserve">N8080G  </v>
      </c>
      <c r="BC251">
        <v>1</v>
      </c>
      <c r="BE251">
        <v>0</v>
      </c>
      <c r="BF251">
        <v>0</v>
      </c>
      <c r="BG251">
        <v>0</v>
      </c>
      <c r="BH251">
        <v>1900</v>
      </c>
      <c r="BI251">
        <v>1</v>
      </c>
      <c r="BJ251">
        <v>1</v>
      </c>
      <c r="BK251">
        <v>1</v>
      </c>
      <c r="BL251">
        <v>0</v>
      </c>
      <c r="BO251">
        <v>0</v>
      </c>
      <c r="BP251">
        <v>0</v>
      </c>
      <c r="BW251" t="str">
        <f>"20:12:29.395"</f>
        <v>20:12:29.395</v>
      </c>
      <c r="CJ251">
        <v>0</v>
      </c>
      <c r="CK251">
        <v>2</v>
      </c>
      <c r="CL251">
        <v>0</v>
      </c>
      <c r="CM251">
        <v>2</v>
      </c>
      <c r="CN251">
        <v>0</v>
      </c>
      <c r="CO251">
        <v>5</v>
      </c>
      <c r="CP251" t="s">
        <v>119</v>
      </c>
      <c r="CQ251">
        <v>559</v>
      </c>
      <c r="CR251">
        <v>0</v>
      </c>
      <c r="CW251">
        <v>10396140</v>
      </c>
      <c r="CY251">
        <v>1</v>
      </c>
      <c r="CZ251">
        <v>0</v>
      </c>
      <c r="DA251">
        <v>1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</row>
    <row r="252" spans="1:113" x14ac:dyDescent="0.3">
      <c r="A252" t="str">
        <f>"02/08/2021 20:12:29.144"</f>
        <v>02/08/2021 20:12:29.144</v>
      </c>
      <c r="C252" t="str">
        <f t="shared" si="11"/>
        <v>FFDFD3C0</v>
      </c>
      <c r="D252" t="s">
        <v>141</v>
      </c>
      <c r="E252">
        <v>17</v>
      </c>
      <c r="H252">
        <v>256</v>
      </c>
      <c r="I252" t="s">
        <v>142</v>
      </c>
      <c r="J252" t="s">
        <v>143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>"20:12:31.438"</f>
        <v>20:12:31.438</v>
      </c>
      <c r="T252" t="str">
        <f>"20:12:31.038"</f>
        <v>20:12:31.038</v>
      </c>
      <c r="U252" t="str">
        <f t="shared" si="10"/>
        <v>AB01F4</v>
      </c>
      <c r="V252">
        <v>0</v>
      </c>
      <c r="W252">
        <v>0</v>
      </c>
      <c r="X252">
        <v>1</v>
      </c>
      <c r="Z252">
        <v>0</v>
      </c>
      <c r="AA252">
        <v>9</v>
      </c>
      <c r="AB252">
        <v>3</v>
      </c>
      <c r="AC252">
        <v>0</v>
      </c>
      <c r="AD252">
        <v>10</v>
      </c>
      <c r="AE252">
        <v>0</v>
      </c>
      <c r="AF252">
        <v>3</v>
      </c>
      <c r="AG252">
        <v>2</v>
      </c>
      <c r="AH252">
        <v>0</v>
      </c>
      <c r="AI252" t="s">
        <v>306</v>
      </c>
      <c r="AJ252">
        <v>39.528444</v>
      </c>
      <c r="AK252" t="s">
        <v>307</v>
      </c>
      <c r="AL252">
        <v>-92.458619999999996</v>
      </c>
      <c r="AM252">
        <v>100</v>
      </c>
      <c r="AN252">
        <v>1900</v>
      </c>
      <c r="AO252" t="s">
        <v>118</v>
      </c>
      <c r="AP252">
        <v>-98</v>
      </c>
      <c r="AQ252">
        <v>102</v>
      </c>
      <c r="AR252">
        <v>0</v>
      </c>
      <c r="AZ252">
        <v>1200</v>
      </c>
      <c r="BA252">
        <v>1</v>
      </c>
      <c r="BB252" t="str">
        <f t="shared" si="12"/>
        <v xml:space="preserve">N8080G  </v>
      </c>
      <c r="BC252">
        <v>1</v>
      </c>
      <c r="BE252">
        <v>0</v>
      </c>
      <c r="BF252">
        <v>0</v>
      </c>
      <c r="BG252">
        <v>0</v>
      </c>
      <c r="BH252">
        <v>1900</v>
      </c>
      <c r="BI252">
        <v>1</v>
      </c>
      <c r="BJ252">
        <v>1</v>
      </c>
      <c r="BK252">
        <v>1</v>
      </c>
      <c r="BL252">
        <v>0</v>
      </c>
      <c r="BO252">
        <v>0</v>
      </c>
      <c r="BP252">
        <v>0</v>
      </c>
      <c r="BW252" t="str">
        <f>"20:12:31.440"</f>
        <v>20:12:31.440</v>
      </c>
      <c r="CJ252">
        <v>0</v>
      </c>
      <c r="CK252">
        <v>2</v>
      </c>
      <c r="CL252">
        <v>0</v>
      </c>
      <c r="CM252">
        <v>2</v>
      </c>
      <c r="CN252">
        <v>0</v>
      </c>
      <c r="CO252">
        <v>5</v>
      </c>
      <c r="CP252" t="s">
        <v>119</v>
      </c>
      <c r="CQ252">
        <v>559</v>
      </c>
      <c r="CR252">
        <v>0</v>
      </c>
      <c r="CW252">
        <v>10396480</v>
      </c>
      <c r="CY252">
        <v>1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</row>
    <row r="253" spans="1:113" x14ac:dyDescent="0.3">
      <c r="A253" t="str">
        <f>"02/08/2021 20:12:29.144"</f>
        <v>02/08/2021 20:12:29.144</v>
      </c>
      <c r="C253" t="str">
        <f t="shared" si="11"/>
        <v>FFDFD3C0</v>
      </c>
      <c r="D253" t="s">
        <v>124</v>
      </c>
      <c r="E253">
        <v>13</v>
      </c>
      <c r="F253">
        <v>1013</v>
      </c>
      <c r="G253" t="s">
        <v>114</v>
      </c>
      <c r="J253" t="s">
        <v>125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>"20:12:31.438"</f>
        <v>20:12:31.438</v>
      </c>
      <c r="T253" t="str">
        <f>"20:12:31.038"</f>
        <v>20:12:31.038</v>
      </c>
      <c r="U253" t="str">
        <f t="shared" si="10"/>
        <v>AB01F4</v>
      </c>
      <c r="V253">
        <v>0</v>
      </c>
      <c r="W253">
        <v>0</v>
      </c>
      <c r="X253">
        <v>1</v>
      </c>
      <c r="Z253">
        <v>0</v>
      </c>
      <c r="AA253">
        <v>9</v>
      </c>
      <c r="AB253">
        <v>3</v>
      </c>
      <c r="AC253">
        <v>0</v>
      </c>
      <c r="AD253">
        <v>10</v>
      </c>
      <c r="AE253">
        <v>0</v>
      </c>
      <c r="AF253">
        <v>3</v>
      </c>
      <c r="AG253">
        <v>2</v>
      </c>
      <c r="AH253">
        <v>0</v>
      </c>
      <c r="AI253" t="s">
        <v>306</v>
      </c>
      <c r="AJ253">
        <v>39.528444</v>
      </c>
      <c r="AK253" t="s">
        <v>307</v>
      </c>
      <c r="AL253">
        <v>-92.458619999999996</v>
      </c>
      <c r="AM253">
        <v>100</v>
      </c>
      <c r="AN253">
        <v>1900</v>
      </c>
      <c r="AO253" t="s">
        <v>118</v>
      </c>
      <c r="AP253">
        <v>-98</v>
      </c>
      <c r="AQ253">
        <v>102</v>
      </c>
      <c r="AR253">
        <v>0</v>
      </c>
      <c r="AZ253">
        <v>1200</v>
      </c>
      <c r="BA253">
        <v>1</v>
      </c>
      <c r="BB253" t="str">
        <f t="shared" si="12"/>
        <v xml:space="preserve">N8080G  </v>
      </c>
      <c r="BC253">
        <v>1</v>
      </c>
      <c r="BE253">
        <v>0</v>
      </c>
      <c r="BF253">
        <v>0</v>
      </c>
      <c r="BG253">
        <v>0</v>
      </c>
      <c r="BH253">
        <v>1900</v>
      </c>
      <c r="BI253">
        <v>1</v>
      </c>
      <c r="BJ253">
        <v>1</v>
      </c>
      <c r="BK253">
        <v>1</v>
      </c>
      <c r="BL253">
        <v>0</v>
      </c>
      <c r="BO253">
        <v>0</v>
      </c>
      <c r="BP253">
        <v>0</v>
      </c>
      <c r="BW253" t="str">
        <f>"20:12:31.440"</f>
        <v>20:12:31.440</v>
      </c>
      <c r="CJ253">
        <v>0</v>
      </c>
      <c r="CK253">
        <v>2</v>
      </c>
      <c r="CL253">
        <v>0</v>
      </c>
      <c r="CM253">
        <v>2</v>
      </c>
      <c r="CN253">
        <v>0</v>
      </c>
      <c r="CO253">
        <v>5</v>
      </c>
      <c r="CP253" t="s">
        <v>119</v>
      </c>
      <c r="CQ253">
        <v>559</v>
      </c>
      <c r="CR253">
        <v>0</v>
      </c>
      <c r="CW253">
        <v>10396480</v>
      </c>
      <c r="CY253">
        <v>1</v>
      </c>
      <c r="CZ253">
        <v>0</v>
      </c>
      <c r="DA253">
        <v>1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</row>
    <row r="254" spans="1:113" x14ac:dyDescent="0.3">
      <c r="A254" t="str">
        <f>"02/08/2021 20:12:29.144"</f>
        <v>02/08/2021 20:12:29.144</v>
      </c>
      <c r="C254" t="str">
        <f t="shared" si="11"/>
        <v>FFDFD3C0</v>
      </c>
      <c r="D254" t="s">
        <v>113</v>
      </c>
      <c r="E254">
        <v>6</v>
      </c>
      <c r="H254">
        <v>165</v>
      </c>
      <c r="I254" t="s">
        <v>114</v>
      </c>
      <c r="J254" t="s">
        <v>115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>"20:12:31.438"</f>
        <v>20:12:31.438</v>
      </c>
      <c r="T254" t="str">
        <f>"20:12:31.038"</f>
        <v>20:12:31.038</v>
      </c>
      <c r="U254" t="str">
        <f t="shared" si="10"/>
        <v>AB01F4</v>
      </c>
      <c r="V254">
        <v>0</v>
      </c>
      <c r="W254">
        <v>0</v>
      </c>
      <c r="X254">
        <v>1</v>
      </c>
      <c r="Z254">
        <v>0</v>
      </c>
      <c r="AA254">
        <v>9</v>
      </c>
      <c r="AB254">
        <v>3</v>
      </c>
      <c r="AC254">
        <v>0</v>
      </c>
      <c r="AD254">
        <v>10</v>
      </c>
      <c r="AE254">
        <v>0</v>
      </c>
      <c r="AF254">
        <v>3</v>
      </c>
      <c r="AG254">
        <v>2</v>
      </c>
      <c r="AH254">
        <v>0</v>
      </c>
      <c r="AI254" t="s">
        <v>306</v>
      </c>
      <c r="AJ254">
        <v>39.528444</v>
      </c>
      <c r="AK254" t="s">
        <v>307</v>
      </c>
      <c r="AL254">
        <v>-92.458619999999996</v>
      </c>
      <c r="AM254">
        <v>100</v>
      </c>
      <c r="AN254">
        <v>1900</v>
      </c>
      <c r="AO254" t="s">
        <v>118</v>
      </c>
      <c r="AP254">
        <v>-98</v>
      </c>
      <c r="AQ254">
        <v>102</v>
      </c>
      <c r="AR254">
        <v>0</v>
      </c>
      <c r="AZ254">
        <v>1200</v>
      </c>
      <c r="BA254">
        <v>1</v>
      </c>
      <c r="BB254" t="str">
        <f t="shared" si="12"/>
        <v xml:space="preserve">N8080G  </v>
      </c>
      <c r="BC254">
        <v>1</v>
      </c>
      <c r="BE254">
        <v>0</v>
      </c>
      <c r="BF254">
        <v>0</v>
      </c>
      <c r="BG254">
        <v>0</v>
      </c>
      <c r="BH254">
        <v>1900</v>
      </c>
      <c r="BI254">
        <v>1</v>
      </c>
      <c r="BJ254">
        <v>1</v>
      </c>
      <c r="BK254">
        <v>1</v>
      </c>
      <c r="BL254">
        <v>0</v>
      </c>
      <c r="BO254">
        <v>0</v>
      </c>
      <c r="BP254">
        <v>0</v>
      </c>
      <c r="BW254" t="str">
        <f>"20:12:31.440"</f>
        <v>20:12:31.440</v>
      </c>
      <c r="CJ254">
        <v>0</v>
      </c>
      <c r="CK254">
        <v>2</v>
      </c>
      <c r="CL254">
        <v>0</v>
      </c>
      <c r="CM254">
        <v>2</v>
      </c>
      <c r="CN254">
        <v>0</v>
      </c>
      <c r="CO254">
        <v>5</v>
      </c>
      <c r="CP254" t="s">
        <v>119</v>
      </c>
      <c r="CQ254">
        <v>559</v>
      </c>
      <c r="CR254">
        <v>0</v>
      </c>
      <c r="CW254">
        <v>10396480</v>
      </c>
      <c r="CY254">
        <v>1</v>
      </c>
      <c r="CZ254">
        <v>0</v>
      </c>
      <c r="DA254">
        <v>1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</row>
    <row r="255" spans="1:113" x14ac:dyDescent="0.3">
      <c r="A255" t="str">
        <f>"02/08/2021 20:12:30.105"</f>
        <v>02/08/2021 20:12:30.105</v>
      </c>
      <c r="C255" t="str">
        <f t="shared" si="11"/>
        <v>FFDFD3C0</v>
      </c>
      <c r="D255" t="s">
        <v>141</v>
      </c>
      <c r="E255">
        <v>17</v>
      </c>
      <c r="H255">
        <v>256</v>
      </c>
      <c r="I255" t="s">
        <v>142</v>
      </c>
      <c r="J255" t="s">
        <v>143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>"20:12:32.430"</f>
        <v>20:12:32.430</v>
      </c>
      <c r="T255" t="str">
        <f>"20:12:31.930"</f>
        <v>20:12:31.930</v>
      </c>
      <c r="U255" t="str">
        <f t="shared" si="10"/>
        <v>AB01F4</v>
      </c>
      <c r="V255">
        <v>0</v>
      </c>
      <c r="W255">
        <v>0</v>
      </c>
      <c r="X255">
        <v>1</v>
      </c>
      <c r="Z255">
        <v>0</v>
      </c>
      <c r="AA255">
        <v>9</v>
      </c>
      <c r="AB255">
        <v>3</v>
      </c>
      <c r="AC255">
        <v>0</v>
      </c>
      <c r="AD255">
        <v>10</v>
      </c>
      <c r="AE255">
        <v>0</v>
      </c>
      <c r="AF255">
        <v>3</v>
      </c>
      <c r="AG255">
        <v>2</v>
      </c>
      <c r="AH255">
        <v>0</v>
      </c>
      <c r="AI255" t="s">
        <v>308</v>
      </c>
      <c r="AJ255">
        <v>39.528894000000001</v>
      </c>
      <c r="AK255" t="s">
        <v>309</v>
      </c>
      <c r="AL255">
        <v>-92.459220999999999</v>
      </c>
      <c r="AM255">
        <v>100</v>
      </c>
      <c r="AN255">
        <v>1900</v>
      </c>
      <c r="AO255" t="s">
        <v>118</v>
      </c>
      <c r="AP255">
        <v>-98</v>
      </c>
      <c r="AQ255">
        <v>102</v>
      </c>
      <c r="AR255">
        <v>-128</v>
      </c>
      <c r="AZ255">
        <v>1200</v>
      </c>
      <c r="BA255">
        <v>1</v>
      </c>
      <c r="BB255" t="str">
        <f t="shared" si="12"/>
        <v xml:space="preserve">N8080G  </v>
      </c>
      <c r="BC255">
        <v>1</v>
      </c>
      <c r="BE255">
        <v>0</v>
      </c>
      <c r="BF255">
        <v>0</v>
      </c>
      <c r="BG255">
        <v>0</v>
      </c>
      <c r="BH255">
        <v>1875</v>
      </c>
      <c r="BI255">
        <v>1</v>
      </c>
      <c r="BJ255">
        <v>1</v>
      </c>
      <c r="BK255">
        <v>1</v>
      </c>
      <c r="BL255">
        <v>0</v>
      </c>
      <c r="BO255">
        <v>0</v>
      </c>
      <c r="BP255">
        <v>0</v>
      </c>
      <c r="BW255" t="str">
        <f>"20:12:32.435"</f>
        <v>20:12:32.435</v>
      </c>
      <c r="CJ255">
        <v>0</v>
      </c>
      <c r="CK255">
        <v>2</v>
      </c>
      <c r="CL255">
        <v>0</v>
      </c>
      <c r="CM255">
        <v>2</v>
      </c>
      <c r="CN255">
        <v>0</v>
      </c>
      <c r="CO255">
        <v>5</v>
      </c>
      <c r="CP255" t="s">
        <v>119</v>
      </c>
      <c r="CQ255">
        <v>559</v>
      </c>
      <c r="CR255">
        <v>0</v>
      </c>
      <c r="CW255">
        <v>10396640</v>
      </c>
      <c r="CY255">
        <v>1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</row>
    <row r="256" spans="1:113" x14ac:dyDescent="0.3">
      <c r="A256" t="str">
        <f>"02/08/2021 20:12:30.105"</f>
        <v>02/08/2021 20:12:30.105</v>
      </c>
      <c r="C256" t="str">
        <f t="shared" si="11"/>
        <v>FFDFD3C0</v>
      </c>
      <c r="D256" t="s">
        <v>113</v>
      </c>
      <c r="E256">
        <v>6</v>
      </c>
      <c r="H256">
        <v>165</v>
      </c>
      <c r="I256" t="s">
        <v>114</v>
      </c>
      <c r="J256" t="s">
        <v>115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>"20:12:32.430"</f>
        <v>20:12:32.430</v>
      </c>
      <c r="T256" t="str">
        <f>"20:12:31.930"</f>
        <v>20:12:31.930</v>
      </c>
      <c r="U256" t="str">
        <f t="shared" si="10"/>
        <v>AB01F4</v>
      </c>
      <c r="V256">
        <v>0</v>
      </c>
      <c r="W256">
        <v>0</v>
      </c>
      <c r="X256">
        <v>1</v>
      </c>
      <c r="Z256">
        <v>0</v>
      </c>
      <c r="AA256">
        <v>9</v>
      </c>
      <c r="AB256">
        <v>3</v>
      </c>
      <c r="AC256">
        <v>0</v>
      </c>
      <c r="AD256">
        <v>10</v>
      </c>
      <c r="AE256">
        <v>0</v>
      </c>
      <c r="AF256">
        <v>3</v>
      </c>
      <c r="AG256">
        <v>2</v>
      </c>
      <c r="AH256">
        <v>0</v>
      </c>
      <c r="AI256" t="s">
        <v>308</v>
      </c>
      <c r="AJ256">
        <v>39.528894000000001</v>
      </c>
      <c r="AK256" t="s">
        <v>309</v>
      </c>
      <c r="AL256">
        <v>-92.459220999999999</v>
      </c>
      <c r="AM256">
        <v>100</v>
      </c>
      <c r="AN256">
        <v>1900</v>
      </c>
      <c r="AO256" t="s">
        <v>118</v>
      </c>
      <c r="AP256">
        <v>-98</v>
      </c>
      <c r="AQ256">
        <v>102</v>
      </c>
      <c r="AR256">
        <v>-128</v>
      </c>
      <c r="AZ256">
        <v>1200</v>
      </c>
      <c r="BA256">
        <v>1</v>
      </c>
      <c r="BB256" t="str">
        <f t="shared" si="12"/>
        <v xml:space="preserve">N8080G  </v>
      </c>
      <c r="BC256">
        <v>1</v>
      </c>
      <c r="BE256">
        <v>0</v>
      </c>
      <c r="BF256">
        <v>0</v>
      </c>
      <c r="BG256">
        <v>0</v>
      </c>
      <c r="BH256">
        <v>1875</v>
      </c>
      <c r="BI256">
        <v>1</v>
      </c>
      <c r="BJ256">
        <v>1</v>
      </c>
      <c r="BK256">
        <v>1</v>
      </c>
      <c r="BL256">
        <v>0</v>
      </c>
      <c r="BO256">
        <v>0</v>
      </c>
      <c r="BP256">
        <v>0</v>
      </c>
      <c r="BW256" t="str">
        <f>"20:12:32.435"</f>
        <v>20:12:32.435</v>
      </c>
      <c r="CJ256">
        <v>0</v>
      </c>
      <c r="CK256">
        <v>2</v>
      </c>
      <c r="CL256">
        <v>0</v>
      </c>
      <c r="CM256">
        <v>2</v>
      </c>
      <c r="CN256">
        <v>0</v>
      </c>
      <c r="CO256">
        <v>5</v>
      </c>
      <c r="CP256" t="s">
        <v>119</v>
      </c>
      <c r="CQ256">
        <v>559</v>
      </c>
      <c r="CR256">
        <v>0</v>
      </c>
      <c r="CW256">
        <v>10396640</v>
      </c>
      <c r="CY256">
        <v>1</v>
      </c>
      <c r="CZ256">
        <v>0</v>
      </c>
      <c r="DA256">
        <v>1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</row>
    <row r="257" spans="1:113" x14ac:dyDescent="0.3">
      <c r="A257" t="str">
        <f>"02/08/2021 20:12:30.105"</f>
        <v>02/08/2021 20:12:30.105</v>
      </c>
      <c r="C257" t="str">
        <f t="shared" si="11"/>
        <v>FFDFD3C0</v>
      </c>
      <c r="D257" t="s">
        <v>124</v>
      </c>
      <c r="E257">
        <v>13</v>
      </c>
      <c r="F257">
        <v>1013</v>
      </c>
      <c r="G257" t="s">
        <v>114</v>
      </c>
      <c r="J257" t="s">
        <v>125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>"20:12:32.430"</f>
        <v>20:12:32.430</v>
      </c>
      <c r="T257" t="str">
        <f>"20:12:31.930"</f>
        <v>20:12:31.930</v>
      </c>
      <c r="U257" t="str">
        <f t="shared" si="10"/>
        <v>AB01F4</v>
      </c>
      <c r="V257">
        <v>0</v>
      </c>
      <c r="W257">
        <v>0</v>
      </c>
      <c r="X257">
        <v>1</v>
      </c>
      <c r="Z257">
        <v>0</v>
      </c>
      <c r="AA257">
        <v>9</v>
      </c>
      <c r="AB257">
        <v>3</v>
      </c>
      <c r="AC257">
        <v>0</v>
      </c>
      <c r="AD257">
        <v>10</v>
      </c>
      <c r="AE257">
        <v>0</v>
      </c>
      <c r="AF257">
        <v>3</v>
      </c>
      <c r="AG257">
        <v>2</v>
      </c>
      <c r="AH257">
        <v>0</v>
      </c>
      <c r="AI257" t="s">
        <v>308</v>
      </c>
      <c r="AJ257">
        <v>39.528894000000001</v>
      </c>
      <c r="AK257" t="s">
        <v>309</v>
      </c>
      <c r="AL257">
        <v>-92.459220999999999</v>
      </c>
      <c r="AM257">
        <v>100</v>
      </c>
      <c r="AN257">
        <v>1900</v>
      </c>
      <c r="AO257" t="s">
        <v>118</v>
      </c>
      <c r="AP257">
        <v>-98</v>
      </c>
      <c r="AQ257">
        <v>102</v>
      </c>
      <c r="AR257">
        <v>-128</v>
      </c>
      <c r="AZ257">
        <v>1200</v>
      </c>
      <c r="BA257">
        <v>1</v>
      </c>
      <c r="BB257" t="str">
        <f t="shared" si="12"/>
        <v xml:space="preserve">N8080G  </v>
      </c>
      <c r="BC257">
        <v>1</v>
      </c>
      <c r="BE257">
        <v>0</v>
      </c>
      <c r="BF257">
        <v>0</v>
      </c>
      <c r="BG257">
        <v>0</v>
      </c>
      <c r="BH257">
        <v>1875</v>
      </c>
      <c r="BI257">
        <v>1</v>
      </c>
      <c r="BJ257">
        <v>1</v>
      </c>
      <c r="BK257">
        <v>1</v>
      </c>
      <c r="BL257">
        <v>0</v>
      </c>
      <c r="BO257">
        <v>0</v>
      </c>
      <c r="BP257">
        <v>0</v>
      </c>
      <c r="BW257" t="str">
        <f>"20:12:32.435"</f>
        <v>20:12:32.435</v>
      </c>
      <c r="CJ257">
        <v>0</v>
      </c>
      <c r="CK257">
        <v>2</v>
      </c>
      <c r="CL257">
        <v>0</v>
      </c>
      <c r="CM257">
        <v>2</v>
      </c>
      <c r="CN257">
        <v>0</v>
      </c>
      <c r="CO257">
        <v>5</v>
      </c>
      <c r="CP257" t="s">
        <v>119</v>
      </c>
      <c r="CQ257">
        <v>559</v>
      </c>
      <c r="CR257">
        <v>0</v>
      </c>
      <c r="CW257">
        <v>10396640</v>
      </c>
      <c r="CY257">
        <v>1</v>
      </c>
      <c r="CZ257">
        <v>0</v>
      </c>
      <c r="DA257">
        <v>1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</row>
    <row r="258" spans="1:113" x14ac:dyDescent="0.3">
      <c r="A258" t="str">
        <f>"02/08/2021 20:12:31.054"</f>
        <v>02/08/2021 20:12:31.054</v>
      </c>
      <c r="C258" t="str">
        <f t="shared" si="11"/>
        <v>FFDFD3C0</v>
      </c>
      <c r="D258" t="s">
        <v>124</v>
      </c>
      <c r="E258">
        <v>13</v>
      </c>
      <c r="F258">
        <v>1013</v>
      </c>
      <c r="G258" t="s">
        <v>114</v>
      </c>
      <c r="J258" t="s">
        <v>125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>"20:12:33.352"</f>
        <v>20:12:33.352</v>
      </c>
      <c r="T258" t="str">
        <f>"20:12:32.952"</f>
        <v>20:12:32.952</v>
      </c>
      <c r="U258" t="str">
        <f t="shared" ref="U258:U321" si="13">"AB01F4"</f>
        <v>AB01F4</v>
      </c>
      <c r="V258">
        <v>0</v>
      </c>
      <c r="W258">
        <v>0</v>
      </c>
      <c r="X258">
        <v>1</v>
      </c>
      <c r="Z258">
        <v>0</v>
      </c>
      <c r="AA258">
        <v>9</v>
      </c>
      <c r="AB258">
        <v>3</v>
      </c>
      <c r="AC258">
        <v>0</v>
      </c>
      <c r="AD258">
        <v>10</v>
      </c>
      <c r="AE258">
        <v>0</v>
      </c>
      <c r="AF258">
        <v>3</v>
      </c>
      <c r="AG258">
        <v>2</v>
      </c>
      <c r="AH258">
        <v>0</v>
      </c>
      <c r="AI258" t="s">
        <v>310</v>
      </c>
      <c r="AJ258">
        <v>39.529302000000001</v>
      </c>
      <c r="AK258" t="s">
        <v>311</v>
      </c>
      <c r="AL258">
        <v>-92.459736000000007</v>
      </c>
      <c r="AM258">
        <v>100</v>
      </c>
      <c r="AN258">
        <v>1900</v>
      </c>
      <c r="AO258" t="s">
        <v>118</v>
      </c>
      <c r="AP258">
        <v>-99</v>
      </c>
      <c r="AQ258">
        <v>103</v>
      </c>
      <c r="AR258">
        <v>-192</v>
      </c>
      <c r="AZ258">
        <v>1200</v>
      </c>
      <c r="BA258">
        <v>1</v>
      </c>
      <c r="BB258" t="str">
        <f t="shared" si="12"/>
        <v xml:space="preserve">N8080G  </v>
      </c>
      <c r="BC258">
        <v>1</v>
      </c>
      <c r="BE258">
        <v>0</v>
      </c>
      <c r="BF258">
        <v>0</v>
      </c>
      <c r="BG258">
        <v>0</v>
      </c>
      <c r="BH258">
        <v>1875</v>
      </c>
      <c r="BI258">
        <v>1</v>
      </c>
      <c r="BJ258">
        <v>1</v>
      </c>
      <c r="BK258">
        <v>1</v>
      </c>
      <c r="BL258">
        <v>0</v>
      </c>
      <c r="BO258">
        <v>0</v>
      </c>
      <c r="BP258">
        <v>0</v>
      </c>
      <c r="BW258" t="str">
        <f>"20:12:33.352"</f>
        <v>20:12:33.352</v>
      </c>
      <c r="CJ258">
        <v>0</v>
      </c>
      <c r="CK258">
        <v>2</v>
      </c>
      <c r="CL258">
        <v>0</v>
      </c>
      <c r="CM258">
        <v>2</v>
      </c>
      <c r="CN258">
        <v>0</v>
      </c>
      <c r="CO258">
        <v>6</v>
      </c>
      <c r="CP258" t="s">
        <v>119</v>
      </c>
      <c r="CQ258">
        <v>180</v>
      </c>
      <c r="CR258">
        <v>2</v>
      </c>
      <c r="CW258">
        <v>7796447</v>
      </c>
      <c r="CY258">
        <v>1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</row>
    <row r="259" spans="1:113" x14ac:dyDescent="0.3">
      <c r="A259" t="str">
        <f>"02/08/2021 20:12:31.054"</f>
        <v>02/08/2021 20:12:31.054</v>
      </c>
      <c r="C259" t="str">
        <f t="shared" si="11"/>
        <v>FFDFD3C0</v>
      </c>
      <c r="D259" t="s">
        <v>141</v>
      </c>
      <c r="E259">
        <v>17</v>
      </c>
      <c r="H259">
        <v>256</v>
      </c>
      <c r="I259" t="s">
        <v>142</v>
      </c>
      <c r="J259" t="s">
        <v>143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>"20:12:33.352"</f>
        <v>20:12:33.352</v>
      </c>
      <c r="T259" t="str">
        <f>"20:12:32.952"</f>
        <v>20:12:32.952</v>
      </c>
      <c r="U259" t="str">
        <f t="shared" si="13"/>
        <v>AB01F4</v>
      </c>
      <c r="V259">
        <v>0</v>
      </c>
      <c r="W259">
        <v>0</v>
      </c>
      <c r="X259">
        <v>1</v>
      </c>
      <c r="Z259">
        <v>0</v>
      </c>
      <c r="AA259">
        <v>9</v>
      </c>
      <c r="AB259">
        <v>3</v>
      </c>
      <c r="AC259">
        <v>0</v>
      </c>
      <c r="AD259">
        <v>10</v>
      </c>
      <c r="AE259">
        <v>0</v>
      </c>
      <c r="AF259">
        <v>3</v>
      </c>
      <c r="AG259">
        <v>2</v>
      </c>
      <c r="AH259">
        <v>0</v>
      </c>
      <c r="AI259" t="s">
        <v>310</v>
      </c>
      <c r="AJ259">
        <v>39.529302000000001</v>
      </c>
      <c r="AK259" t="s">
        <v>311</v>
      </c>
      <c r="AL259">
        <v>-92.459736000000007</v>
      </c>
      <c r="AM259">
        <v>100</v>
      </c>
      <c r="AN259">
        <v>1900</v>
      </c>
      <c r="AO259" t="s">
        <v>118</v>
      </c>
      <c r="AP259">
        <v>-99</v>
      </c>
      <c r="AQ259">
        <v>103</v>
      </c>
      <c r="AR259">
        <v>-192</v>
      </c>
      <c r="AZ259">
        <v>1200</v>
      </c>
      <c r="BA259">
        <v>1</v>
      </c>
      <c r="BB259" t="str">
        <f t="shared" si="12"/>
        <v xml:space="preserve">N8080G  </v>
      </c>
      <c r="BC259">
        <v>1</v>
      </c>
      <c r="BE259">
        <v>0</v>
      </c>
      <c r="BF259">
        <v>0</v>
      </c>
      <c r="BG259">
        <v>0</v>
      </c>
      <c r="BH259">
        <v>1875</v>
      </c>
      <c r="BI259">
        <v>1</v>
      </c>
      <c r="BJ259">
        <v>1</v>
      </c>
      <c r="BK259">
        <v>1</v>
      </c>
      <c r="BL259">
        <v>0</v>
      </c>
      <c r="BO259">
        <v>0</v>
      </c>
      <c r="BP259">
        <v>0</v>
      </c>
      <c r="BW259" t="str">
        <f>"20:12:33.352"</f>
        <v>20:12:33.352</v>
      </c>
      <c r="CJ259">
        <v>0</v>
      </c>
      <c r="CK259">
        <v>2</v>
      </c>
      <c r="CL259">
        <v>0</v>
      </c>
      <c r="CM259">
        <v>2</v>
      </c>
      <c r="CN259">
        <v>0</v>
      </c>
      <c r="CO259">
        <v>5</v>
      </c>
      <c r="CP259" t="s">
        <v>119</v>
      </c>
      <c r="CQ259">
        <v>559</v>
      </c>
      <c r="CR259">
        <v>0</v>
      </c>
      <c r="CW259">
        <v>10396766</v>
      </c>
      <c r="CY259">
        <v>1</v>
      </c>
      <c r="CZ259">
        <v>0</v>
      </c>
      <c r="DA259">
        <v>1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</row>
    <row r="260" spans="1:113" x14ac:dyDescent="0.3">
      <c r="A260" t="str">
        <f>"02/08/2021 20:12:31.054"</f>
        <v>02/08/2021 20:12:31.054</v>
      </c>
      <c r="C260" t="str">
        <f t="shared" si="11"/>
        <v>FFDFD3C0</v>
      </c>
      <c r="D260" t="s">
        <v>113</v>
      </c>
      <c r="E260">
        <v>6</v>
      </c>
      <c r="H260">
        <v>165</v>
      </c>
      <c r="I260" t="s">
        <v>114</v>
      </c>
      <c r="J260" t="s">
        <v>115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>"20:12:33.352"</f>
        <v>20:12:33.352</v>
      </c>
      <c r="T260" t="str">
        <f>"20:12:32.952"</f>
        <v>20:12:32.952</v>
      </c>
      <c r="U260" t="str">
        <f t="shared" si="13"/>
        <v>AB01F4</v>
      </c>
      <c r="V260">
        <v>0</v>
      </c>
      <c r="W260">
        <v>0</v>
      </c>
      <c r="X260">
        <v>1</v>
      </c>
      <c r="Z260">
        <v>0</v>
      </c>
      <c r="AA260">
        <v>9</v>
      </c>
      <c r="AB260">
        <v>3</v>
      </c>
      <c r="AC260">
        <v>0</v>
      </c>
      <c r="AD260">
        <v>10</v>
      </c>
      <c r="AE260">
        <v>0</v>
      </c>
      <c r="AF260">
        <v>3</v>
      </c>
      <c r="AG260">
        <v>2</v>
      </c>
      <c r="AH260">
        <v>0</v>
      </c>
      <c r="AI260" t="s">
        <v>310</v>
      </c>
      <c r="AJ260">
        <v>39.529302000000001</v>
      </c>
      <c r="AK260" t="s">
        <v>311</v>
      </c>
      <c r="AL260">
        <v>-92.459736000000007</v>
      </c>
      <c r="AM260">
        <v>100</v>
      </c>
      <c r="AN260">
        <v>1900</v>
      </c>
      <c r="AO260" t="s">
        <v>118</v>
      </c>
      <c r="AP260">
        <v>-99</v>
      </c>
      <c r="AQ260">
        <v>103</v>
      </c>
      <c r="AR260">
        <v>-192</v>
      </c>
      <c r="AZ260">
        <v>1200</v>
      </c>
      <c r="BA260">
        <v>1</v>
      </c>
      <c r="BB260" t="str">
        <f t="shared" si="12"/>
        <v xml:space="preserve">N8080G  </v>
      </c>
      <c r="BC260">
        <v>1</v>
      </c>
      <c r="BE260">
        <v>0</v>
      </c>
      <c r="BF260">
        <v>0</v>
      </c>
      <c r="BG260">
        <v>0</v>
      </c>
      <c r="BH260">
        <v>1875</v>
      </c>
      <c r="BI260">
        <v>1</v>
      </c>
      <c r="BJ260">
        <v>1</v>
      </c>
      <c r="BK260">
        <v>1</v>
      </c>
      <c r="BL260">
        <v>0</v>
      </c>
      <c r="BO260">
        <v>0</v>
      </c>
      <c r="BP260">
        <v>0</v>
      </c>
      <c r="BW260" t="str">
        <f>"20:12:33.352"</f>
        <v>20:12:33.352</v>
      </c>
      <c r="CJ260">
        <v>0</v>
      </c>
      <c r="CK260">
        <v>2</v>
      </c>
      <c r="CL260">
        <v>0</v>
      </c>
      <c r="CM260">
        <v>2</v>
      </c>
      <c r="CN260">
        <v>0</v>
      </c>
      <c r="CO260">
        <v>6</v>
      </c>
      <c r="CP260" t="s">
        <v>119</v>
      </c>
      <c r="CQ260">
        <v>180</v>
      </c>
      <c r="CR260">
        <v>2</v>
      </c>
      <c r="CW260">
        <v>7796447</v>
      </c>
      <c r="CY260">
        <v>1</v>
      </c>
      <c r="CZ260">
        <v>0</v>
      </c>
      <c r="DA260">
        <v>1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</row>
    <row r="261" spans="1:113" x14ac:dyDescent="0.3">
      <c r="A261" t="str">
        <f>"02/08/2021 20:12:32.163"</f>
        <v>02/08/2021 20:12:32.163</v>
      </c>
      <c r="C261" t="str">
        <f t="shared" si="11"/>
        <v>FFDFD3C0</v>
      </c>
      <c r="D261" t="s">
        <v>124</v>
      </c>
      <c r="E261">
        <v>13</v>
      </c>
      <c r="F261">
        <v>1013</v>
      </c>
      <c r="G261" t="s">
        <v>114</v>
      </c>
      <c r="J261" t="s">
        <v>125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>"20:12:34.492"</f>
        <v>20:12:34.492</v>
      </c>
      <c r="T261" t="str">
        <f>"20:12:33.392"</f>
        <v>20:12:33.392</v>
      </c>
      <c r="U261" t="str">
        <f t="shared" si="13"/>
        <v>AB01F4</v>
      </c>
      <c r="V261">
        <v>0</v>
      </c>
      <c r="W261">
        <v>0</v>
      </c>
      <c r="X261">
        <v>1</v>
      </c>
      <c r="Z261">
        <v>0</v>
      </c>
      <c r="AA261">
        <v>9</v>
      </c>
      <c r="AB261">
        <v>3</v>
      </c>
      <c r="AC261">
        <v>0</v>
      </c>
      <c r="AD261">
        <v>10</v>
      </c>
      <c r="AE261">
        <v>0</v>
      </c>
      <c r="AF261">
        <v>3</v>
      </c>
      <c r="AG261">
        <v>2</v>
      </c>
      <c r="AH261">
        <v>0</v>
      </c>
      <c r="AI261" t="s">
        <v>312</v>
      </c>
      <c r="AJ261">
        <v>39.529839000000003</v>
      </c>
      <c r="AK261" t="s">
        <v>313</v>
      </c>
      <c r="AL261">
        <v>-92.460380000000001</v>
      </c>
      <c r="AM261">
        <v>100</v>
      </c>
      <c r="AN261">
        <v>1900</v>
      </c>
      <c r="AO261" t="s">
        <v>118</v>
      </c>
      <c r="AP261">
        <v>-99</v>
      </c>
      <c r="AQ261">
        <v>103</v>
      </c>
      <c r="AR261">
        <v>-192</v>
      </c>
      <c r="AZ261">
        <v>1200</v>
      </c>
      <c r="BA261">
        <v>1</v>
      </c>
      <c r="BB261" t="str">
        <f t="shared" si="12"/>
        <v xml:space="preserve">N8080G  </v>
      </c>
      <c r="BC261">
        <v>1</v>
      </c>
      <c r="BE261">
        <v>0</v>
      </c>
      <c r="BF261">
        <v>0</v>
      </c>
      <c r="BG261">
        <v>0</v>
      </c>
      <c r="BH261">
        <v>1875</v>
      </c>
      <c r="BI261">
        <v>1</v>
      </c>
      <c r="BJ261">
        <v>1</v>
      </c>
      <c r="BK261">
        <v>1</v>
      </c>
      <c r="BL261">
        <v>0</v>
      </c>
      <c r="BO261">
        <v>0</v>
      </c>
      <c r="BP261">
        <v>0</v>
      </c>
      <c r="BW261" t="str">
        <f>"20:12:34.496"</f>
        <v>20:12:34.496</v>
      </c>
      <c r="CJ261">
        <v>0</v>
      </c>
      <c r="CK261">
        <v>2</v>
      </c>
      <c r="CL261">
        <v>0</v>
      </c>
      <c r="CM261">
        <v>2</v>
      </c>
      <c r="CN261">
        <v>0</v>
      </c>
      <c r="CO261">
        <v>5</v>
      </c>
      <c r="CP261" t="s">
        <v>119</v>
      </c>
      <c r="CQ261">
        <v>559</v>
      </c>
      <c r="CR261">
        <v>0</v>
      </c>
      <c r="CW261">
        <v>10396958</v>
      </c>
      <c r="CY261">
        <v>1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</row>
    <row r="262" spans="1:113" x14ac:dyDescent="0.3">
      <c r="A262" t="str">
        <f>"02/08/2021 20:12:32.163"</f>
        <v>02/08/2021 20:12:32.163</v>
      </c>
      <c r="C262" t="str">
        <f t="shared" si="11"/>
        <v>FFDFD3C0</v>
      </c>
      <c r="D262" t="s">
        <v>141</v>
      </c>
      <c r="E262">
        <v>17</v>
      </c>
      <c r="H262">
        <v>256</v>
      </c>
      <c r="I262" t="s">
        <v>142</v>
      </c>
      <c r="J262" t="s">
        <v>143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>"20:12:34.492"</f>
        <v>20:12:34.492</v>
      </c>
      <c r="T262" t="str">
        <f>"20:12:33.392"</f>
        <v>20:12:33.392</v>
      </c>
      <c r="U262" t="str">
        <f t="shared" si="13"/>
        <v>AB01F4</v>
      </c>
      <c r="V262">
        <v>0</v>
      </c>
      <c r="W262">
        <v>0</v>
      </c>
      <c r="X262">
        <v>1</v>
      </c>
      <c r="Z262">
        <v>0</v>
      </c>
      <c r="AA262">
        <v>9</v>
      </c>
      <c r="AB262">
        <v>3</v>
      </c>
      <c r="AC262">
        <v>0</v>
      </c>
      <c r="AD262">
        <v>10</v>
      </c>
      <c r="AE262">
        <v>0</v>
      </c>
      <c r="AF262">
        <v>3</v>
      </c>
      <c r="AG262">
        <v>2</v>
      </c>
      <c r="AH262">
        <v>0</v>
      </c>
      <c r="AI262" t="s">
        <v>312</v>
      </c>
      <c r="AJ262">
        <v>39.529839000000003</v>
      </c>
      <c r="AK262" t="s">
        <v>313</v>
      </c>
      <c r="AL262">
        <v>-92.460380000000001</v>
      </c>
      <c r="AM262">
        <v>100</v>
      </c>
      <c r="AN262">
        <v>1900</v>
      </c>
      <c r="AO262" t="s">
        <v>118</v>
      </c>
      <c r="AP262">
        <v>-99</v>
      </c>
      <c r="AQ262">
        <v>103</v>
      </c>
      <c r="AR262">
        <v>-192</v>
      </c>
      <c r="AZ262">
        <v>1200</v>
      </c>
      <c r="BA262">
        <v>1</v>
      </c>
      <c r="BB262" t="str">
        <f t="shared" si="12"/>
        <v xml:space="preserve">N8080G  </v>
      </c>
      <c r="BC262">
        <v>1</v>
      </c>
      <c r="BE262">
        <v>0</v>
      </c>
      <c r="BF262">
        <v>0</v>
      </c>
      <c r="BG262">
        <v>0</v>
      </c>
      <c r="BH262">
        <v>1875</v>
      </c>
      <c r="BI262">
        <v>1</v>
      </c>
      <c r="BJ262">
        <v>1</v>
      </c>
      <c r="BK262">
        <v>1</v>
      </c>
      <c r="BL262">
        <v>0</v>
      </c>
      <c r="BO262">
        <v>0</v>
      </c>
      <c r="BP262">
        <v>0</v>
      </c>
      <c r="BW262" t="str">
        <f>"20:12:34.496"</f>
        <v>20:12:34.496</v>
      </c>
      <c r="CJ262">
        <v>0</v>
      </c>
      <c r="CK262">
        <v>2</v>
      </c>
      <c r="CL262">
        <v>0</v>
      </c>
      <c r="CM262">
        <v>2</v>
      </c>
      <c r="CN262">
        <v>0</v>
      </c>
      <c r="CO262">
        <v>5</v>
      </c>
      <c r="CP262" t="s">
        <v>119</v>
      </c>
      <c r="CQ262">
        <v>559</v>
      </c>
      <c r="CR262">
        <v>0</v>
      </c>
      <c r="CW262">
        <v>10396958</v>
      </c>
      <c r="CY262">
        <v>1</v>
      </c>
      <c r="CZ262">
        <v>0</v>
      </c>
      <c r="DA262">
        <v>1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</row>
    <row r="263" spans="1:113" x14ac:dyDescent="0.3">
      <c r="A263" t="str">
        <f>"02/08/2021 20:12:32.163"</f>
        <v>02/08/2021 20:12:32.163</v>
      </c>
      <c r="C263" t="str">
        <f t="shared" si="11"/>
        <v>FFDFD3C0</v>
      </c>
      <c r="D263" t="s">
        <v>113</v>
      </c>
      <c r="E263">
        <v>6</v>
      </c>
      <c r="H263">
        <v>165</v>
      </c>
      <c r="I263" t="s">
        <v>114</v>
      </c>
      <c r="J263" t="s">
        <v>115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>"20:12:34.492"</f>
        <v>20:12:34.492</v>
      </c>
      <c r="T263" t="str">
        <f>"20:12:33.392"</f>
        <v>20:12:33.392</v>
      </c>
      <c r="U263" t="str">
        <f t="shared" si="13"/>
        <v>AB01F4</v>
      </c>
      <c r="V263">
        <v>0</v>
      </c>
      <c r="W263">
        <v>0</v>
      </c>
      <c r="X263">
        <v>1</v>
      </c>
      <c r="Z263">
        <v>0</v>
      </c>
      <c r="AA263">
        <v>9</v>
      </c>
      <c r="AB263">
        <v>3</v>
      </c>
      <c r="AC263">
        <v>0</v>
      </c>
      <c r="AD263">
        <v>10</v>
      </c>
      <c r="AE263">
        <v>0</v>
      </c>
      <c r="AF263">
        <v>3</v>
      </c>
      <c r="AG263">
        <v>2</v>
      </c>
      <c r="AH263">
        <v>0</v>
      </c>
      <c r="AI263" t="s">
        <v>312</v>
      </c>
      <c r="AJ263">
        <v>39.529839000000003</v>
      </c>
      <c r="AK263" t="s">
        <v>313</v>
      </c>
      <c r="AL263">
        <v>-92.460380000000001</v>
      </c>
      <c r="AM263">
        <v>100</v>
      </c>
      <c r="AN263">
        <v>1900</v>
      </c>
      <c r="AO263" t="s">
        <v>118</v>
      </c>
      <c r="AP263">
        <v>-99</v>
      </c>
      <c r="AQ263">
        <v>103</v>
      </c>
      <c r="AR263">
        <v>-192</v>
      </c>
      <c r="AZ263">
        <v>1200</v>
      </c>
      <c r="BA263">
        <v>1</v>
      </c>
      <c r="BB263" t="str">
        <f t="shared" si="12"/>
        <v xml:space="preserve">N8080G  </v>
      </c>
      <c r="BC263">
        <v>1</v>
      </c>
      <c r="BE263">
        <v>0</v>
      </c>
      <c r="BF263">
        <v>0</v>
      </c>
      <c r="BG263">
        <v>0</v>
      </c>
      <c r="BH263">
        <v>1875</v>
      </c>
      <c r="BI263">
        <v>1</v>
      </c>
      <c r="BJ263">
        <v>1</v>
      </c>
      <c r="BK263">
        <v>1</v>
      </c>
      <c r="BL263">
        <v>0</v>
      </c>
      <c r="BO263">
        <v>0</v>
      </c>
      <c r="BP263">
        <v>0</v>
      </c>
      <c r="BW263" t="str">
        <f>"20:12:34.496"</f>
        <v>20:12:34.496</v>
      </c>
      <c r="CJ263">
        <v>0</v>
      </c>
      <c r="CK263">
        <v>2</v>
      </c>
      <c r="CL263">
        <v>0</v>
      </c>
      <c r="CM263">
        <v>2</v>
      </c>
      <c r="CN263">
        <v>0</v>
      </c>
      <c r="CO263">
        <v>5</v>
      </c>
      <c r="CP263" t="s">
        <v>119</v>
      </c>
      <c r="CQ263">
        <v>559</v>
      </c>
      <c r="CR263">
        <v>0</v>
      </c>
      <c r="CW263">
        <v>10396958</v>
      </c>
      <c r="CY263">
        <v>1</v>
      </c>
      <c r="CZ263">
        <v>0</v>
      </c>
      <c r="DA263">
        <v>1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</row>
    <row r="264" spans="1:113" x14ac:dyDescent="0.3">
      <c r="A264" t="str">
        <f>"02/08/2021 20:12:33.174"</f>
        <v>02/08/2021 20:12:33.174</v>
      </c>
      <c r="C264" t="str">
        <f t="shared" si="11"/>
        <v>FFDFD3C0</v>
      </c>
      <c r="D264" t="s">
        <v>124</v>
      </c>
      <c r="E264">
        <v>13</v>
      </c>
      <c r="F264">
        <v>1013</v>
      </c>
      <c r="G264" t="s">
        <v>114</v>
      </c>
      <c r="J264" t="s">
        <v>125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>"20:12:35.523"</f>
        <v>20:12:35.523</v>
      </c>
      <c r="T264" t="str">
        <f>"20:12:35.023"</f>
        <v>20:12:35.023</v>
      </c>
      <c r="U264" t="str">
        <f t="shared" si="13"/>
        <v>AB01F4</v>
      </c>
      <c r="V264">
        <v>0</v>
      </c>
      <c r="W264">
        <v>0</v>
      </c>
      <c r="X264">
        <v>1</v>
      </c>
      <c r="Z264">
        <v>0</v>
      </c>
      <c r="AA264">
        <v>9</v>
      </c>
      <c r="AB264">
        <v>3</v>
      </c>
      <c r="AC264">
        <v>0</v>
      </c>
      <c r="AD264">
        <v>10</v>
      </c>
      <c r="AE264">
        <v>0</v>
      </c>
      <c r="AF264">
        <v>3</v>
      </c>
      <c r="AG264">
        <v>2</v>
      </c>
      <c r="AH264">
        <v>0</v>
      </c>
      <c r="AI264" t="s">
        <v>314</v>
      </c>
      <c r="AJ264">
        <v>39.530374999999999</v>
      </c>
      <c r="AK264" t="s">
        <v>315</v>
      </c>
      <c r="AL264">
        <v>-92.461066000000002</v>
      </c>
      <c r="AM264">
        <v>100</v>
      </c>
      <c r="AN264">
        <v>1900</v>
      </c>
      <c r="AO264" t="s">
        <v>118</v>
      </c>
      <c r="AP264">
        <v>-99</v>
      </c>
      <c r="AQ264">
        <v>105</v>
      </c>
      <c r="AR264">
        <v>-384</v>
      </c>
      <c r="AZ264">
        <v>1200</v>
      </c>
      <c r="BA264">
        <v>1</v>
      </c>
      <c r="BB264" t="str">
        <f t="shared" si="12"/>
        <v xml:space="preserve">N8080G  </v>
      </c>
      <c r="BC264">
        <v>1</v>
      </c>
      <c r="BE264">
        <v>0</v>
      </c>
      <c r="BF264">
        <v>0</v>
      </c>
      <c r="BG264">
        <v>0</v>
      </c>
      <c r="BH264">
        <v>1875</v>
      </c>
      <c r="BI264">
        <v>1</v>
      </c>
      <c r="BJ264">
        <v>1</v>
      </c>
      <c r="BK264">
        <v>1</v>
      </c>
      <c r="BL264">
        <v>0</v>
      </c>
      <c r="BO264">
        <v>0</v>
      </c>
      <c r="BP264">
        <v>0</v>
      </c>
      <c r="BW264" t="str">
        <f>"20:12:35.528"</f>
        <v>20:12:35.528</v>
      </c>
      <c r="CJ264">
        <v>0</v>
      </c>
      <c r="CK264">
        <v>2</v>
      </c>
      <c r="CL264">
        <v>0</v>
      </c>
      <c r="CM264">
        <v>2</v>
      </c>
      <c r="CN264">
        <v>0</v>
      </c>
      <c r="CO264">
        <v>5</v>
      </c>
      <c r="CP264" t="s">
        <v>119</v>
      </c>
      <c r="CQ264">
        <v>559</v>
      </c>
      <c r="CR264">
        <v>0</v>
      </c>
      <c r="CW264">
        <v>10397115</v>
      </c>
      <c r="CY264">
        <v>1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</row>
    <row r="265" spans="1:113" x14ac:dyDescent="0.3">
      <c r="A265" t="str">
        <f>"02/08/2021 20:12:33.174"</f>
        <v>02/08/2021 20:12:33.174</v>
      </c>
      <c r="C265" t="str">
        <f t="shared" si="11"/>
        <v>FFDFD3C0</v>
      </c>
      <c r="D265" t="s">
        <v>141</v>
      </c>
      <c r="E265">
        <v>17</v>
      </c>
      <c r="H265">
        <v>256</v>
      </c>
      <c r="I265" t="s">
        <v>142</v>
      </c>
      <c r="J265" t="s">
        <v>143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>"20:12:35.523"</f>
        <v>20:12:35.523</v>
      </c>
      <c r="T265" t="str">
        <f>"20:12:35.023"</f>
        <v>20:12:35.023</v>
      </c>
      <c r="U265" t="str">
        <f t="shared" si="13"/>
        <v>AB01F4</v>
      </c>
      <c r="V265">
        <v>0</v>
      </c>
      <c r="W265">
        <v>0</v>
      </c>
      <c r="X265">
        <v>1</v>
      </c>
      <c r="Z265">
        <v>0</v>
      </c>
      <c r="AA265">
        <v>9</v>
      </c>
      <c r="AB265">
        <v>3</v>
      </c>
      <c r="AC265">
        <v>0</v>
      </c>
      <c r="AD265">
        <v>10</v>
      </c>
      <c r="AE265">
        <v>0</v>
      </c>
      <c r="AF265">
        <v>3</v>
      </c>
      <c r="AG265">
        <v>2</v>
      </c>
      <c r="AH265">
        <v>0</v>
      </c>
      <c r="AI265" t="s">
        <v>314</v>
      </c>
      <c r="AJ265">
        <v>39.530374999999999</v>
      </c>
      <c r="AK265" t="s">
        <v>315</v>
      </c>
      <c r="AL265">
        <v>-92.461066000000002</v>
      </c>
      <c r="AM265">
        <v>100</v>
      </c>
      <c r="AN265">
        <v>1900</v>
      </c>
      <c r="AO265" t="s">
        <v>118</v>
      </c>
      <c r="AP265">
        <v>-99</v>
      </c>
      <c r="AQ265">
        <v>105</v>
      </c>
      <c r="AR265">
        <v>-384</v>
      </c>
      <c r="AZ265">
        <v>1200</v>
      </c>
      <c r="BA265">
        <v>1</v>
      </c>
      <c r="BB265" t="str">
        <f t="shared" si="12"/>
        <v xml:space="preserve">N8080G  </v>
      </c>
      <c r="BC265">
        <v>1</v>
      </c>
      <c r="BE265">
        <v>0</v>
      </c>
      <c r="BF265">
        <v>0</v>
      </c>
      <c r="BG265">
        <v>0</v>
      </c>
      <c r="BH265">
        <v>1875</v>
      </c>
      <c r="BI265">
        <v>1</v>
      </c>
      <c r="BJ265">
        <v>1</v>
      </c>
      <c r="BK265">
        <v>1</v>
      </c>
      <c r="BL265">
        <v>0</v>
      </c>
      <c r="BO265">
        <v>0</v>
      </c>
      <c r="BP265">
        <v>0</v>
      </c>
      <c r="BW265" t="str">
        <f>"20:12:35.528"</f>
        <v>20:12:35.528</v>
      </c>
      <c r="CJ265">
        <v>0</v>
      </c>
      <c r="CK265">
        <v>2</v>
      </c>
      <c r="CL265">
        <v>0</v>
      </c>
      <c r="CM265">
        <v>2</v>
      </c>
      <c r="CN265">
        <v>0</v>
      </c>
      <c r="CO265">
        <v>5</v>
      </c>
      <c r="CP265" t="s">
        <v>119</v>
      </c>
      <c r="CQ265">
        <v>559</v>
      </c>
      <c r="CR265">
        <v>0</v>
      </c>
      <c r="CW265">
        <v>10397115</v>
      </c>
      <c r="CY265">
        <v>1</v>
      </c>
      <c r="CZ265">
        <v>0</v>
      </c>
      <c r="DA265">
        <v>1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</row>
    <row r="266" spans="1:113" x14ac:dyDescent="0.3">
      <c r="A266" t="str">
        <f>"02/08/2021 20:12:33.174"</f>
        <v>02/08/2021 20:12:33.174</v>
      </c>
      <c r="C266" t="str">
        <f t="shared" si="11"/>
        <v>FFDFD3C0</v>
      </c>
      <c r="D266" t="s">
        <v>113</v>
      </c>
      <c r="E266">
        <v>6</v>
      </c>
      <c r="H266">
        <v>165</v>
      </c>
      <c r="I266" t="s">
        <v>114</v>
      </c>
      <c r="J266" t="s">
        <v>115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>"20:12:35.523"</f>
        <v>20:12:35.523</v>
      </c>
      <c r="T266" t="str">
        <f>"20:12:35.023"</f>
        <v>20:12:35.023</v>
      </c>
      <c r="U266" t="str">
        <f t="shared" si="13"/>
        <v>AB01F4</v>
      </c>
      <c r="V266">
        <v>0</v>
      </c>
      <c r="W266">
        <v>0</v>
      </c>
      <c r="X266">
        <v>1</v>
      </c>
      <c r="Z266">
        <v>0</v>
      </c>
      <c r="AA266">
        <v>9</v>
      </c>
      <c r="AB266">
        <v>3</v>
      </c>
      <c r="AC266">
        <v>0</v>
      </c>
      <c r="AD266">
        <v>10</v>
      </c>
      <c r="AE266">
        <v>0</v>
      </c>
      <c r="AF266">
        <v>3</v>
      </c>
      <c r="AG266">
        <v>2</v>
      </c>
      <c r="AH266">
        <v>0</v>
      </c>
      <c r="AI266" t="s">
        <v>314</v>
      </c>
      <c r="AJ266">
        <v>39.530374999999999</v>
      </c>
      <c r="AK266" t="s">
        <v>315</v>
      </c>
      <c r="AL266">
        <v>-92.461066000000002</v>
      </c>
      <c r="AM266">
        <v>100</v>
      </c>
      <c r="AN266">
        <v>1900</v>
      </c>
      <c r="AO266" t="s">
        <v>118</v>
      </c>
      <c r="AP266">
        <v>-99</v>
      </c>
      <c r="AQ266">
        <v>105</v>
      </c>
      <c r="AR266">
        <v>-384</v>
      </c>
      <c r="AZ266">
        <v>1200</v>
      </c>
      <c r="BA266">
        <v>1</v>
      </c>
      <c r="BB266" t="str">
        <f t="shared" si="12"/>
        <v xml:space="preserve">N8080G  </v>
      </c>
      <c r="BC266">
        <v>1</v>
      </c>
      <c r="BE266">
        <v>0</v>
      </c>
      <c r="BF266">
        <v>0</v>
      </c>
      <c r="BG266">
        <v>0</v>
      </c>
      <c r="BH266">
        <v>1875</v>
      </c>
      <c r="BI266">
        <v>1</v>
      </c>
      <c r="BJ266">
        <v>1</v>
      </c>
      <c r="BK266">
        <v>1</v>
      </c>
      <c r="BL266">
        <v>0</v>
      </c>
      <c r="BO266">
        <v>0</v>
      </c>
      <c r="BP266">
        <v>0</v>
      </c>
      <c r="BW266" t="str">
        <f>"20:12:35.528"</f>
        <v>20:12:35.528</v>
      </c>
      <c r="CJ266">
        <v>0</v>
      </c>
      <c r="CK266">
        <v>2</v>
      </c>
      <c r="CL266">
        <v>0</v>
      </c>
      <c r="CM266">
        <v>2</v>
      </c>
      <c r="CN266">
        <v>0</v>
      </c>
      <c r="CO266">
        <v>5</v>
      </c>
      <c r="CP266" t="s">
        <v>119</v>
      </c>
      <c r="CQ266">
        <v>559</v>
      </c>
      <c r="CR266">
        <v>0</v>
      </c>
      <c r="CW266">
        <v>10397115</v>
      </c>
      <c r="CY266">
        <v>1</v>
      </c>
      <c r="CZ266">
        <v>0</v>
      </c>
      <c r="DA266">
        <v>1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</row>
    <row r="267" spans="1:113" x14ac:dyDescent="0.3">
      <c r="A267" t="str">
        <f>"02/08/2021 20:12:34.182"</f>
        <v>02/08/2021 20:12:34.182</v>
      </c>
      <c r="C267" t="str">
        <f t="shared" si="11"/>
        <v>FFDFD3C0</v>
      </c>
      <c r="D267" t="s">
        <v>124</v>
      </c>
      <c r="E267">
        <v>13</v>
      </c>
      <c r="F267">
        <v>1013</v>
      </c>
      <c r="G267" t="s">
        <v>114</v>
      </c>
      <c r="J267" t="s">
        <v>125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>"20:12:36.492"</f>
        <v>20:12:36.492</v>
      </c>
      <c r="T267" t="str">
        <f>"20:12:36.092"</f>
        <v>20:12:36.092</v>
      </c>
      <c r="U267" t="str">
        <f t="shared" si="13"/>
        <v>AB01F4</v>
      </c>
      <c r="V267">
        <v>0</v>
      </c>
      <c r="W267">
        <v>0</v>
      </c>
      <c r="X267">
        <v>1</v>
      </c>
      <c r="Z267">
        <v>0</v>
      </c>
      <c r="AA267">
        <v>9</v>
      </c>
      <c r="AB267">
        <v>3</v>
      </c>
      <c r="AC267">
        <v>0</v>
      </c>
      <c r="AD267">
        <v>10</v>
      </c>
      <c r="AE267">
        <v>0</v>
      </c>
      <c r="AF267">
        <v>3</v>
      </c>
      <c r="AG267">
        <v>2</v>
      </c>
      <c r="AH267">
        <v>0</v>
      </c>
      <c r="AI267" t="s">
        <v>316</v>
      </c>
      <c r="AJ267">
        <v>39.530804000000003</v>
      </c>
      <c r="AK267" t="s">
        <v>317</v>
      </c>
      <c r="AL267">
        <v>-92.461538000000004</v>
      </c>
      <c r="AM267">
        <v>100</v>
      </c>
      <c r="AN267">
        <v>1900</v>
      </c>
      <c r="AO267" t="s">
        <v>118</v>
      </c>
      <c r="AP267">
        <v>-98</v>
      </c>
      <c r="AQ267">
        <v>106</v>
      </c>
      <c r="AR267">
        <v>-320</v>
      </c>
      <c r="AZ267">
        <v>1200</v>
      </c>
      <c r="BA267">
        <v>1</v>
      </c>
      <c r="BB267" t="str">
        <f t="shared" si="12"/>
        <v xml:space="preserve">N8080G  </v>
      </c>
      <c r="BC267">
        <v>1</v>
      </c>
      <c r="BE267">
        <v>0</v>
      </c>
      <c r="BF267">
        <v>0</v>
      </c>
      <c r="BG267">
        <v>0</v>
      </c>
      <c r="BH267">
        <v>1850</v>
      </c>
      <c r="BI267">
        <v>1</v>
      </c>
      <c r="BJ267">
        <v>1</v>
      </c>
      <c r="BK267">
        <v>1</v>
      </c>
      <c r="BL267">
        <v>0</v>
      </c>
      <c r="BO267">
        <v>0</v>
      </c>
      <c r="BP267">
        <v>0</v>
      </c>
      <c r="BW267" t="str">
        <f>"20:12:36.500"</f>
        <v>20:12:36.500</v>
      </c>
      <c r="CJ267">
        <v>0</v>
      </c>
      <c r="CK267">
        <v>2</v>
      </c>
      <c r="CL267">
        <v>0</v>
      </c>
      <c r="CM267">
        <v>2</v>
      </c>
      <c r="CN267">
        <v>0</v>
      </c>
      <c r="CO267">
        <v>6</v>
      </c>
      <c r="CP267" t="s">
        <v>119</v>
      </c>
      <c r="CQ267">
        <v>180</v>
      </c>
      <c r="CR267">
        <v>2</v>
      </c>
      <c r="CW267">
        <v>7798912</v>
      </c>
      <c r="CY267">
        <v>1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</row>
    <row r="268" spans="1:113" x14ac:dyDescent="0.3">
      <c r="A268" t="str">
        <f>"02/08/2021 20:12:34.182"</f>
        <v>02/08/2021 20:12:34.182</v>
      </c>
      <c r="C268" t="str">
        <f t="shared" si="11"/>
        <v>FFDFD3C0</v>
      </c>
      <c r="D268" t="s">
        <v>141</v>
      </c>
      <c r="E268">
        <v>17</v>
      </c>
      <c r="H268">
        <v>256</v>
      </c>
      <c r="I268" t="s">
        <v>142</v>
      </c>
      <c r="J268" t="s">
        <v>143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>"20:12:36.492"</f>
        <v>20:12:36.492</v>
      </c>
      <c r="T268" t="str">
        <f>"20:12:36.092"</f>
        <v>20:12:36.092</v>
      </c>
      <c r="U268" t="str">
        <f t="shared" si="13"/>
        <v>AB01F4</v>
      </c>
      <c r="V268">
        <v>0</v>
      </c>
      <c r="W268">
        <v>0</v>
      </c>
      <c r="X268">
        <v>1</v>
      </c>
      <c r="Z268">
        <v>0</v>
      </c>
      <c r="AA268">
        <v>9</v>
      </c>
      <c r="AB268">
        <v>3</v>
      </c>
      <c r="AC268">
        <v>0</v>
      </c>
      <c r="AD268">
        <v>10</v>
      </c>
      <c r="AE268">
        <v>0</v>
      </c>
      <c r="AF268">
        <v>3</v>
      </c>
      <c r="AG268">
        <v>2</v>
      </c>
      <c r="AH268">
        <v>0</v>
      </c>
      <c r="AI268" t="s">
        <v>316</v>
      </c>
      <c r="AJ268">
        <v>39.530804000000003</v>
      </c>
      <c r="AK268" t="s">
        <v>317</v>
      </c>
      <c r="AL268">
        <v>-92.461538000000004</v>
      </c>
      <c r="AM268">
        <v>100</v>
      </c>
      <c r="AN268">
        <v>1900</v>
      </c>
      <c r="AO268" t="s">
        <v>118</v>
      </c>
      <c r="AP268">
        <v>-98</v>
      </c>
      <c r="AQ268">
        <v>106</v>
      </c>
      <c r="AR268">
        <v>-320</v>
      </c>
      <c r="AZ268">
        <v>1200</v>
      </c>
      <c r="BA268">
        <v>1</v>
      </c>
      <c r="BB268" t="str">
        <f t="shared" si="12"/>
        <v xml:space="preserve">N8080G  </v>
      </c>
      <c r="BC268">
        <v>1</v>
      </c>
      <c r="BE268">
        <v>0</v>
      </c>
      <c r="BF268">
        <v>0</v>
      </c>
      <c r="BG268">
        <v>0</v>
      </c>
      <c r="BH268">
        <v>1850</v>
      </c>
      <c r="BI268">
        <v>1</v>
      </c>
      <c r="BJ268">
        <v>1</v>
      </c>
      <c r="BK268">
        <v>1</v>
      </c>
      <c r="BL268">
        <v>0</v>
      </c>
      <c r="BO268">
        <v>0</v>
      </c>
      <c r="BP268">
        <v>0</v>
      </c>
      <c r="BW268" t="str">
        <f>"20:12:36.500"</f>
        <v>20:12:36.500</v>
      </c>
      <c r="CJ268">
        <v>0</v>
      </c>
      <c r="CK268">
        <v>2</v>
      </c>
      <c r="CL268">
        <v>0</v>
      </c>
      <c r="CM268">
        <v>2</v>
      </c>
      <c r="CN268">
        <v>0</v>
      </c>
      <c r="CO268">
        <v>5</v>
      </c>
      <c r="CP268" t="s">
        <v>119</v>
      </c>
      <c r="CQ268">
        <v>559</v>
      </c>
      <c r="CR268">
        <v>0</v>
      </c>
      <c r="CW268">
        <v>10397272</v>
      </c>
      <c r="CY268">
        <v>1</v>
      </c>
      <c r="CZ268">
        <v>0</v>
      </c>
      <c r="DA268">
        <v>1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</row>
    <row r="269" spans="1:113" x14ac:dyDescent="0.3">
      <c r="A269" t="str">
        <f>"02/08/2021 20:12:34.182"</f>
        <v>02/08/2021 20:12:34.182</v>
      </c>
      <c r="C269" t="str">
        <f t="shared" si="11"/>
        <v>FFDFD3C0</v>
      </c>
      <c r="D269" t="s">
        <v>113</v>
      </c>
      <c r="E269">
        <v>6</v>
      </c>
      <c r="H269">
        <v>165</v>
      </c>
      <c r="I269" t="s">
        <v>114</v>
      </c>
      <c r="J269" t="s">
        <v>115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>"20:12:36.492"</f>
        <v>20:12:36.492</v>
      </c>
      <c r="T269" t="str">
        <f>"20:12:36.092"</f>
        <v>20:12:36.092</v>
      </c>
      <c r="U269" t="str">
        <f t="shared" si="13"/>
        <v>AB01F4</v>
      </c>
      <c r="V269">
        <v>0</v>
      </c>
      <c r="W269">
        <v>0</v>
      </c>
      <c r="X269">
        <v>1</v>
      </c>
      <c r="Z269">
        <v>0</v>
      </c>
      <c r="AA269">
        <v>9</v>
      </c>
      <c r="AB269">
        <v>3</v>
      </c>
      <c r="AC269">
        <v>0</v>
      </c>
      <c r="AD269">
        <v>10</v>
      </c>
      <c r="AE269">
        <v>0</v>
      </c>
      <c r="AF269">
        <v>3</v>
      </c>
      <c r="AG269">
        <v>2</v>
      </c>
      <c r="AH269">
        <v>0</v>
      </c>
      <c r="AI269" t="s">
        <v>316</v>
      </c>
      <c r="AJ269">
        <v>39.530804000000003</v>
      </c>
      <c r="AK269" t="s">
        <v>317</v>
      </c>
      <c r="AL269">
        <v>-92.461538000000004</v>
      </c>
      <c r="AM269">
        <v>100</v>
      </c>
      <c r="AN269">
        <v>1900</v>
      </c>
      <c r="AO269" t="s">
        <v>118</v>
      </c>
      <c r="AP269">
        <v>-98</v>
      </c>
      <c r="AQ269">
        <v>106</v>
      </c>
      <c r="AR269">
        <v>-320</v>
      </c>
      <c r="AZ269">
        <v>1200</v>
      </c>
      <c r="BA269">
        <v>1</v>
      </c>
      <c r="BB269" t="str">
        <f t="shared" si="12"/>
        <v xml:space="preserve">N8080G  </v>
      </c>
      <c r="BC269">
        <v>1</v>
      </c>
      <c r="BE269">
        <v>0</v>
      </c>
      <c r="BF269">
        <v>0</v>
      </c>
      <c r="BG269">
        <v>0</v>
      </c>
      <c r="BH269">
        <v>1850</v>
      </c>
      <c r="BI269">
        <v>1</v>
      </c>
      <c r="BJ269">
        <v>1</v>
      </c>
      <c r="BK269">
        <v>1</v>
      </c>
      <c r="BL269">
        <v>0</v>
      </c>
      <c r="BO269">
        <v>0</v>
      </c>
      <c r="BP269">
        <v>0</v>
      </c>
      <c r="BW269" t="str">
        <f>"20:12:36.500"</f>
        <v>20:12:36.500</v>
      </c>
      <c r="CJ269">
        <v>0</v>
      </c>
      <c r="CK269">
        <v>2</v>
      </c>
      <c r="CL269">
        <v>0</v>
      </c>
      <c r="CM269">
        <v>2</v>
      </c>
      <c r="CN269">
        <v>0</v>
      </c>
      <c r="CO269">
        <v>6</v>
      </c>
      <c r="CP269" t="s">
        <v>119</v>
      </c>
      <c r="CQ269">
        <v>180</v>
      </c>
      <c r="CR269">
        <v>2</v>
      </c>
      <c r="CW269">
        <v>7798912</v>
      </c>
      <c r="CY269">
        <v>1</v>
      </c>
      <c r="CZ269">
        <v>0</v>
      </c>
      <c r="DA269">
        <v>1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</row>
    <row r="270" spans="1:113" x14ac:dyDescent="0.3">
      <c r="A270" t="str">
        <f>"02/08/2021 20:12:35.058"</f>
        <v>02/08/2021 20:12:35.058</v>
      </c>
      <c r="C270" t="str">
        <f t="shared" si="11"/>
        <v>FFDFD3C0</v>
      </c>
      <c r="D270" t="s">
        <v>141</v>
      </c>
      <c r="E270">
        <v>17</v>
      </c>
      <c r="H270">
        <v>256</v>
      </c>
      <c r="I270" t="s">
        <v>142</v>
      </c>
      <c r="J270" t="s">
        <v>143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>"20:12:37.367"</f>
        <v>20:12:37.367</v>
      </c>
      <c r="T270" t="str">
        <f>"20:12:36.967"</f>
        <v>20:12:36.967</v>
      </c>
      <c r="U270" t="str">
        <f t="shared" si="13"/>
        <v>AB01F4</v>
      </c>
      <c r="V270">
        <v>0</v>
      </c>
      <c r="W270">
        <v>0</v>
      </c>
      <c r="X270">
        <v>1</v>
      </c>
      <c r="Z270">
        <v>0</v>
      </c>
      <c r="AA270">
        <v>9</v>
      </c>
      <c r="AB270">
        <v>3</v>
      </c>
      <c r="AC270">
        <v>0</v>
      </c>
      <c r="AD270">
        <v>10</v>
      </c>
      <c r="AE270">
        <v>0</v>
      </c>
      <c r="AF270">
        <v>3</v>
      </c>
      <c r="AG270">
        <v>2</v>
      </c>
      <c r="AH270">
        <v>0</v>
      </c>
      <c r="AI270" t="s">
        <v>318</v>
      </c>
      <c r="AJ270">
        <v>39.531275999999998</v>
      </c>
      <c r="AK270" t="s">
        <v>319</v>
      </c>
      <c r="AL270">
        <v>-92.462074999999999</v>
      </c>
      <c r="AM270">
        <v>100</v>
      </c>
      <c r="AN270">
        <v>1900</v>
      </c>
      <c r="AO270" t="s">
        <v>118</v>
      </c>
      <c r="AP270">
        <v>-97</v>
      </c>
      <c r="AQ270">
        <v>108</v>
      </c>
      <c r="AR270">
        <v>-320</v>
      </c>
      <c r="AZ270">
        <v>1200</v>
      </c>
      <c r="BA270">
        <v>1</v>
      </c>
      <c r="BB270" t="str">
        <f t="shared" si="12"/>
        <v xml:space="preserve">N8080G  </v>
      </c>
      <c r="BC270">
        <v>1</v>
      </c>
      <c r="BE270">
        <v>0</v>
      </c>
      <c r="BF270">
        <v>0</v>
      </c>
      <c r="BG270">
        <v>0</v>
      </c>
      <c r="BH270">
        <v>1850</v>
      </c>
      <c r="BI270">
        <v>1</v>
      </c>
      <c r="BJ270">
        <v>1</v>
      </c>
      <c r="BK270">
        <v>1</v>
      </c>
      <c r="BL270">
        <v>0</v>
      </c>
      <c r="BO270">
        <v>0</v>
      </c>
      <c r="BP270">
        <v>0</v>
      </c>
      <c r="BW270" t="str">
        <f>"20:12:37.371"</f>
        <v>20:12:37.371</v>
      </c>
      <c r="CJ270">
        <v>0</v>
      </c>
      <c r="CK270">
        <v>2</v>
      </c>
      <c r="CL270">
        <v>0</v>
      </c>
      <c r="CM270">
        <v>2</v>
      </c>
      <c r="CN270">
        <v>0</v>
      </c>
      <c r="CO270">
        <v>6</v>
      </c>
      <c r="CP270" t="s">
        <v>119</v>
      </c>
      <c r="CQ270">
        <v>559</v>
      </c>
      <c r="CR270">
        <v>0</v>
      </c>
      <c r="CW270">
        <v>10397426</v>
      </c>
      <c r="CY270">
        <v>1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</row>
    <row r="271" spans="1:113" x14ac:dyDescent="0.3">
      <c r="A271" t="str">
        <f>"02/08/2021 20:12:35.058"</f>
        <v>02/08/2021 20:12:35.058</v>
      </c>
      <c r="C271" t="str">
        <f t="shared" ref="C271:C334" si="14">"FFDFD3C0"</f>
        <v>FFDFD3C0</v>
      </c>
      <c r="D271" t="s">
        <v>113</v>
      </c>
      <c r="E271">
        <v>6</v>
      </c>
      <c r="H271">
        <v>165</v>
      </c>
      <c r="I271" t="s">
        <v>114</v>
      </c>
      <c r="J271" t="s">
        <v>115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>"20:12:37.367"</f>
        <v>20:12:37.367</v>
      </c>
      <c r="T271" t="str">
        <f>"20:12:36.967"</f>
        <v>20:12:36.967</v>
      </c>
      <c r="U271" t="str">
        <f t="shared" si="13"/>
        <v>AB01F4</v>
      </c>
      <c r="V271">
        <v>0</v>
      </c>
      <c r="W271">
        <v>0</v>
      </c>
      <c r="X271">
        <v>1</v>
      </c>
      <c r="Z271">
        <v>0</v>
      </c>
      <c r="AA271">
        <v>9</v>
      </c>
      <c r="AB271">
        <v>3</v>
      </c>
      <c r="AC271">
        <v>0</v>
      </c>
      <c r="AD271">
        <v>10</v>
      </c>
      <c r="AE271">
        <v>0</v>
      </c>
      <c r="AF271">
        <v>3</v>
      </c>
      <c r="AG271">
        <v>2</v>
      </c>
      <c r="AH271">
        <v>0</v>
      </c>
      <c r="AI271" t="s">
        <v>318</v>
      </c>
      <c r="AJ271">
        <v>39.531275999999998</v>
      </c>
      <c r="AK271" t="s">
        <v>319</v>
      </c>
      <c r="AL271">
        <v>-92.462074999999999</v>
      </c>
      <c r="AM271">
        <v>100</v>
      </c>
      <c r="AN271">
        <v>1900</v>
      </c>
      <c r="AO271" t="s">
        <v>118</v>
      </c>
      <c r="AP271">
        <v>-97</v>
      </c>
      <c r="AQ271">
        <v>108</v>
      </c>
      <c r="AR271">
        <v>-320</v>
      </c>
      <c r="AZ271">
        <v>1200</v>
      </c>
      <c r="BA271">
        <v>1</v>
      </c>
      <c r="BB271" t="str">
        <f t="shared" ref="BB271:BB334" si="15">"N8080G  "</f>
        <v xml:space="preserve">N8080G  </v>
      </c>
      <c r="BC271">
        <v>1</v>
      </c>
      <c r="BE271">
        <v>0</v>
      </c>
      <c r="BF271">
        <v>0</v>
      </c>
      <c r="BG271">
        <v>0</v>
      </c>
      <c r="BH271">
        <v>1850</v>
      </c>
      <c r="BI271">
        <v>1</v>
      </c>
      <c r="BJ271">
        <v>1</v>
      </c>
      <c r="BK271">
        <v>1</v>
      </c>
      <c r="BL271">
        <v>0</v>
      </c>
      <c r="BO271">
        <v>0</v>
      </c>
      <c r="BP271">
        <v>0</v>
      </c>
      <c r="BW271" t="str">
        <f>"20:12:37.371"</f>
        <v>20:12:37.371</v>
      </c>
      <c r="CJ271">
        <v>0</v>
      </c>
      <c r="CK271">
        <v>2</v>
      </c>
      <c r="CL271">
        <v>0</v>
      </c>
      <c r="CM271">
        <v>2</v>
      </c>
      <c r="CN271">
        <v>0</v>
      </c>
      <c r="CO271">
        <v>6</v>
      </c>
      <c r="CP271" t="s">
        <v>119</v>
      </c>
      <c r="CQ271">
        <v>559</v>
      </c>
      <c r="CR271">
        <v>0</v>
      </c>
      <c r="CW271">
        <v>10397426</v>
      </c>
      <c r="CY271">
        <v>1</v>
      </c>
      <c r="CZ271">
        <v>0</v>
      </c>
      <c r="DA271">
        <v>1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</row>
    <row r="272" spans="1:113" x14ac:dyDescent="0.3">
      <c r="A272" t="str">
        <f>"02/08/2021 20:12:35.058"</f>
        <v>02/08/2021 20:12:35.058</v>
      </c>
      <c r="C272" t="str">
        <f t="shared" si="14"/>
        <v>FFDFD3C0</v>
      </c>
      <c r="D272" t="s">
        <v>124</v>
      </c>
      <c r="E272">
        <v>13</v>
      </c>
      <c r="F272">
        <v>1013</v>
      </c>
      <c r="G272" t="s">
        <v>114</v>
      </c>
      <c r="J272" t="s">
        <v>125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>"20:12:37.367"</f>
        <v>20:12:37.367</v>
      </c>
      <c r="T272" t="str">
        <f>"20:12:36.967"</f>
        <v>20:12:36.967</v>
      </c>
      <c r="U272" t="str">
        <f t="shared" si="13"/>
        <v>AB01F4</v>
      </c>
      <c r="V272">
        <v>0</v>
      </c>
      <c r="W272">
        <v>0</v>
      </c>
      <c r="X272">
        <v>1</v>
      </c>
      <c r="Z272">
        <v>0</v>
      </c>
      <c r="AA272">
        <v>9</v>
      </c>
      <c r="AB272">
        <v>3</v>
      </c>
      <c r="AC272">
        <v>0</v>
      </c>
      <c r="AD272">
        <v>10</v>
      </c>
      <c r="AE272">
        <v>0</v>
      </c>
      <c r="AF272">
        <v>3</v>
      </c>
      <c r="AG272">
        <v>2</v>
      </c>
      <c r="AH272">
        <v>0</v>
      </c>
      <c r="AI272" t="s">
        <v>318</v>
      </c>
      <c r="AJ272">
        <v>39.531275999999998</v>
      </c>
      <c r="AK272" t="s">
        <v>319</v>
      </c>
      <c r="AL272">
        <v>-92.462074999999999</v>
      </c>
      <c r="AM272">
        <v>100</v>
      </c>
      <c r="AN272">
        <v>1900</v>
      </c>
      <c r="AO272" t="s">
        <v>118</v>
      </c>
      <c r="AP272">
        <v>-97</v>
      </c>
      <c r="AQ272">
        <v>108</v>
      </c>
      <c r="AR272">
        <v>-320</v>
      </c>
      <c r="AZ272">
        <v>1200</v>
      </c>
      <c r="BA272">
        <v>1</v>
      </c>
      <c r="BB272" t="str">
        <f t="shared" si="15"/>
        <v xml:space="preserve">N8080G  </v>
      </c>
      <c r="BC272">
        <v>1</v>
      </c>
      <c r="BE272">
        <v>0</v>
      </c>
      <c r="BF272">
        <v>0</v>
      </c>
      <c r="BG272">
        <v>0</v>
      </c>
      <c r="BH272">
        <v>1850</v>
      </c>
      <c r="BI272">
        <v>1</v>
      </c>
      <c r="BJ272">
        <v>1</v>
      </c>
      <c r="BK272">
        <v>1</v>
      </c>
      <c r="BL272">
        <v>0</v>
      </c>
      <c r="BO272">
        <v>0</v>
      </c>
      <c r="BP272">
        <v>0</v>
      </c>
      <c r="BW272" t="str">
        <f>"20:12:37.371"</f>
        <v>20:12:37.371</v>
      </c>
      <c r="CJ272">
        <v>0</v>
      </c>
      <c r="CK272">
        <v>2</v>
      </c>
      <c r="CL272">
        <v>0</v>
      </c>
      <c r="CM272">
        <v>2</v>
      </c>
      <c r="CN272">
        <v>0</v>
      </c>
      <c r="CO272">
        <v>6</v>
      </c>
      <c r="CP272" t="s">
        <v>119</v>
      </c>
      <c r="CQ272">
        <v>559</v>
      </c>
      <c r="CR272">
        <v>0</v>
      </c>
      <c r="CW272">
        <v>10397426</v>
      </c>
      <c r="CY272">
        <v>1</v>
      </c>
      <c r="CZ272">
        <v>0</v>
      </c>
      <c r="DA272">
        <v>1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</row>
    <row r="273" spans="1:113" x14ac:dyDescent="0.3">
      <c r="A273" t="str">
        <f>"02/08/2021 20:12:36.142"</f>
        <v>02/08/2021 20:12:36.142</v>
      </c>
      <c r="C273" t="str">
        <f t="shared" si="14"/>
        <v>FFDFD3C0</v>
      </c>
      <c r="D273" t="s">
        <v>124</v>
      </c>
      <c r="E273">
        <v>13</v>
      </c>
      <c r="F273">
        <v>1013</v>
      </c>
      <c r="G273" t="s">
        <v>114</v>
      </c>
      <c r="J273" t="s">
        <v>125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>"20:12:38.477"</f>
        <v>20:12:38.477</v>
      </c>
      <c r="T273" t="str">
        <f>"20:12:37.977"</f>
        <v>20:12:37.977</v>
      </c>
      <c r="U273" t="str">
        <f t="shared" si="13"/>
        <v>AB01F4</v>
      </c>
      <c r="V273">
        <v>0</v>
      </c>
      <c r="W273">
        <v>0</v>
      </c>
      <c r="X273">
        <v>1</v>
      </c>
      <c r="Z273">
        <v>0</v>
      </c>
      <c r="AA273">
        <v>9</v>
      </c>
      <c r="AB273">
        <v>3</v>
      </c>
      <c r="AC273">
        <v>0</v>
      </c>
      <c r="AD273">
        <v>10</v>
      </c>
      <c r="AE273">
        <v>0</v>
      </c>
      <c r="AF273">
        <v>3</v>
      </c>
      <c r="AG273">
        <v>2</v>
      </c>
      <c r="AH273">
        <v>0</v>
      </c>
      <c r="AI273" t="s">
        <v>320</v>
      </c>
      <c r="AJ273">
        <v>39.531834000000003</v>
      </c>
      <c r="AK273" t="s">
        <v>321</v>
      </c>
      <c r="AL273">
        <v>-92.462697000000006</v>
      </c>
      <c r="AM273">
        <v>100</v>
      </c>
      <c r="AN273">
        <v>1900</v>
      </c>
      <c r="AO273" t="s">
        <v>118</v>
      </c>
      <c r="AP273">
        <v>-96</v>
      </c>
      <c r="AQ273">
        <v>109</v>
      </c>
      <c r="AR273">
        <v>-256</v>
      </c>
      <c r="AZ273">
        <v>1200</v>
      </c>
      <c r="BA273">
        <v>1</v>
      </c>
      <c r="BB273" t="str">
        <f t="shared" si="15"/>
        <v xml:space="preserve">N8080G  </v>
      </c>
      <c r="BC273">
        <v>1</v>
      </c>
      <c r="BE273">
        <v>0</v>
      </c>
      <c r="BF273">
        <v>0</v>
      </c>
      <c r="BG273">
        <v>0</v>
      </c>
      <c r="BH273">
        <v>1850</v>
      </c>
      <c r="BI273">
        <v>1</v>
      </c>
      <c r="BJ273">
        <v>1</v>
      </c>
      <c r="BK273">
        <v>1</v>
      </c>
      <c r="BL273">
        <v>0</v>
      </c>
      <c r="BO273">
        <v>0</v>
      </c>
      <c r="BP273">
        <v>0</v>
      </c>
      <c r="BW273" t="str">
        <f>"20:12:38.477"</f>
        <v>20:12:38.477</v>
      </c>
      <c r="CJ273">
        <v>0</v>
      </c>
      <c r="CK273">
        <v>2</v>
      </c>
      <c r="CL273">
        <v>0</v>
      </c>
      <c r="CM273">
        <v>2</v>
      </c>
      <c r="CN273">
        <v>0</v>
      </c>
      <c r="CO273">
        <v>6</v>
      </c>
      <c r="CP273" t="s">
        <v>119</v>
      </c>
      <c r="CQ273">
        <v>180</v>
      </c>
      <c r="CR273">
        <v>2</v>
      </c>
      <c r="CW273">
        <v>7800594</v>
      </c>
      <c r="CY273">
        <v>1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</row>
    <row r="274" spans="1:113" x14ac:dyDescent="0.3">
      <c r="A274" t="str">
        <f>"02/08/2021 20:12:36.142"</f>
        <v>02/08/2021 20:12:36.142</v>
      </c>
      <c r="C274" t="str">
        <f t="shared" si="14"/>
        <v>FFDFD3C0</v>
      </c>
      <c r="D274" t="s">
        <v>141</v>
      </c>
      <c r="E274">
        <v>17</v>
      </c>
      <c r="H274">
        <v>256</v>
      </c>
      <c r="I274" t="s">
        <v>142</v>
      </c>
      <c r="J274" t="s">
        <v>143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>"20:12:38.477"</f>
        <v>20:12:38.477</v>
      </c>
      <c r="T274" t="str">
        <f>"20:12:37.977"</f>
        <v>20:12:37.977</v>
      </c>
      <c r="U274" t="str">
        <f t="shared" si="13"/>
        <v>AB01F4</v>
      </c>
      <c r="V274">
        <v>0</v>
      </c>
      <c r="W274">
        <v>0</v>
      </c>
      <c r="X274">
        <v>1</v>
      </c>
      <c r="Z274">
        <v>0</v>
      </c>
      <c r="AA274">
        <v>9</v>
      </c>
      <c r="AB274">
        <v>3</v>
      </c>
      <c r="AC274">
        <v>0</v>
      </c>
      <c r="AD274">
        <v>10</v>
      </c>
      <c r="AE274">
        <v>0</v>
      </c>
      <c r="AF274">
        <v>3</v>
      </c>
      <c r="AG274">
        <v>2</v>
      </c>
      <c r="AH274">
        <v>0</v>
      </c>
      <c r="AI274" t="s">
        <v>320</v>
      </c>
      <c r="AJ274">
        <v>39.531834000000003</v>
      </c>
      <c r="AK274" t="s">
        <v>321</v>
      </c>
      <c r="AL274">
        <v>-92.462697000000006</v>
      </c>
      <c r="AM274">
        <v>100</v>
      </c>
      <c r="AN274">
        <v>1900</v>
      </c>
      <c r="AO274" t="s">
        <v>118</v>
      </c>
      <c r="AP274">
        <v>-96</v>
      </c>
      <c r="AQ274">
        <v>109</v>
      </c>
      <c r="AR274">
        <v>-256</v>
      </c>
      <c r="AZ274">
        <v>1200</v>
      </c>
      <c r="BA274">
        <v>1</v>
      </c>
      <c r="BB274" t="str">
        <f t="shared" si="15"/>
        <v xml:space="preserve">N8080G  </v>
      </c>
      <c r="BC274">
        <v>1</v>
      </c>
      <c r="BE274">
        <v>0</v>
      </c>
      <c r="BF274">
        <v>0</v>
      </c>
      <c r="BG274">
        <v>0</v>
      </c>
      <c r="BH274">
        <v>1850</v>
      </c>
      <c r="BI274">
        <v>1</v>
      </c>
      <c r="BJ274">
        <v>1</v>
      </c>
      <c r="BK274">
        <v>1</v>
      </c>
      <c r="BL274">
        <v>0</v>
      </c>
      <c r="BO274">
        <v>0</v>
      </c>
      <c r="BP274">
        <v>0</v>
      </c>
      <c r="BW274" t="str">
        <f>"20:12:38.477"</f>
        <v>20:12:38.477</v>
      </c>
      <c r="CJ274">
        <v>0</v>
      </c>
      <c r="CK274">
        <v>2</v>
      </c>
      <c r="CL274">
        <v>0</v>
      </c>
      <c r="CM274">
        <v>2</v>
      </c>
      <c r="CN274">
        <v>0</v>
      </c>
      <c r="CO274">
        <v>5</v>
      </c>
      <c r="CP274" t="s">
        <v>119</v>
      </c>
      <c r="CQ274">
        <v>559</v>
      </c>
      <c r="CR274">
        <v>0</v>
      </c>
      <c r="CW274">
        <v>10397605</v>
      </c>
      <c r="CY274">
        <v>1</v>
      </c>
      <c r="CZ274">
        <v>0</v>
      </c>
      <c r="DA274">
        <v>1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</row>
    <row r="275" spans="1:113" x14ac:dyDescent="0.3">
      <c r="A275" t="str">
        <f>"02/08/2021 20:12:36.142"</f>
        <v>02/08/2021 20:12:36.142</v>
      </c>
      <c r="C275" t="str">
        <f t="shared" si="14"/>
        <v>FFDFD3C0</v>
      </c>
      <c r="D275" t="s">
        <v>113</v>
      </c>
      <c r="E275">
        <v>6</v>
      </c>
      <c r="H275">
        <v>165</v>
      </c>
      <c r="I275" t="s">
        <v>114</v>
      </c>
      <c r="J275" t="s">
        <v>115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>"20:12:38.477"</f>
        <v>20:12:38.477</v>
      </c>
      <c r="T275" t="str">
        <f>"20:12:37.977"</f>
        <v>20:12:37.977</v>
      </c>
      <c r="U275" t="str">
        <f t="shared" si="13"/>
        <v>AB01F4</v>
      </c>
      <c r="V275">
        <v>0</v>
      </c>
      <c r="W275">
        <v>0</v>
      </c>
      <c r="X275">
        <v>1</v>
      </c>
      <c r="Z275">
        <v>0</v>
      </c>
      <c r="AA275">
        <v>9</v>
      </c>
      <c r="AB275">
        <v>3</v>
      </c>
      <c r="AC275">
        <v>0</v>
      </c>
      <c r="AD275">
        <v>10</v>
      </c>
      <c r="AE275">
        <v>0</v>
      </c>
      <c r="AF275">
        <v>3</v>
      </c>
      <c r="AG275">
        <v>2</v>
      </c>
      <c r="AH275">
        <v>0</v>
      </c>
      <c r="AI275" t="s">
        <v>320</v>
      </c>
      <c r="AJ275">
        <v>39.531834000000003</v>
      </c>
      <c r="AK275" t="s">
        <v>321</v>
      </c>
      <c r="AL275">
        <v>-92.462697000000006</v>
      </c>
      <c r="AM275">
        <v>100</v>
      </c>
      <c r="AN275">
        <v>1900</v>
      </c>
      <c r="AO275" t="s">
        <v>118</v>
      </c>
      <c r="AP275">
        <v>-96</v>
      </c>
      <c r="AQ275">
        <v>109</v>
      </c>
      <c r="AR275">
        <v>-256</v>
      </c>
      <c r="AZ275">
        <v>1200</v>
      </c>
      <c r="BA275">
        <v>1</v>
      </c>
      <c r="BB275" t="str">
        <f t="shared" si="15"/>
        <v xml:space="preserve">N8080G  </v>
      </c>
      <c r="BC275">
        <v>1</v>
      </c>
      <c r="BE275">
        <v>0</v>
      </c>
      <c r="BF275">
        <v>0</v>
      </c>
      <c r="BG275">
        <v>0</v>
      </c>
      <c r="BH275">
        <v>1850</v>
      </c>
      <c r="BI275">
        <v>1</v>
      </c>
      <c r="BJ275">
        <v>1</v>
      </c>
      <c r="BK275">
        <v>1</v>
      </c>
      <c r="BL275">
        <v>0</v>
      </c>
      <c r="BO275">
        <v>0</v>
      </c>
      <c r="BP275">
        <v>0</v>
      </c>
      <c r="BW275" t="str">
        <f>"20:12:38.477"</f>
        <v>20:12:38.477</v>
      </c>
      <c r="CJ275">
        <v>0</v>
      </c>
      <c r="CK275">
        <v>2</v>
      </c>
      <c r="CL275">
        <v>0</v>
      </c>
      <c r="CM275">
        <v>2</v>
      </c>
      <c r="CN275">
        <v>0</v>
      </c>
      <c r="CO275">
        <v>6</v>
      </c>
      <c r="CP275" t="s">
        <v>119</v>
      </c>
      <c r="CQ275">
        <v>180</v>
      </c>
      <c r="CR275">
        <v>2</v>
      </c>
      <c r="CW275">
        <v>7800594</v>
      </c>
      <c r="CY275">
        <v>1</v>
      </c>
      <c r="CZ275">
        <v>0</v>
      </c>
      <c r="DA275">
        <v>1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</row>
    <row r="276" spans="1:113" x14ac:dyDescent="0.3">
      <c r="A276" t="str">
        <f>"02/08/2021 20:12:37.098"</f>
        <v>02/08/2021 20:12:37.098</v>
      </c>
      <c r="C276" t="str">
        <f t="shared" si="14"/>
        <v>FFDFD3C0</v>
      </c>
      <c r="D276" t="s">
        <v>124</v>
      </c>
      <c r="E276">
        <v>13</v>
      </c>
      <c r="F276">
        <v>1013</v>
      </c>
      <c r="G276" t="s">
        <v>114</v>
      </c>
      <c r="J276" t="s">
        <v>125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>"20:12:39.414"</f>
        <v>20:12:39.414</v>
      </c>
      <c r="T276" t="str">
        <f>"20:12:39.014"</f>
        <v>20:12:39.014</v>
      </c>
      <c r="U276" t="str">
        <f t="shared" si="13"/>
        <v>AB01F4</v>
      </c>
      <c r="V276">
        <v>0</v>
      </c>
      <c r="W276">
        <v>0</v>
      </c>
      <c r="X276">
        <v>1</v>
      </c>
      <c r="Z276">
        <v>0</v>
      </c>
      <c r="AA276">
        <v>9</v>
      </c>
      <c r="AB276">
        <v>3</v>
      </c>
      <c r="AC276">
        <v>0</v>
      </c>
      <c r="AD276">
        <v>10</v>
      </c>
      <c r="AE276">
        <v>0</v>
      </c>
      <c r="AF276">
        <v>3</v>
      </c>
      <c r="AG276">
        <v>2</v>
      </c>
      <c r="AH276">
        <v>0</v>
      </c>
      <c r="AI276" t="s">
        <v>322</v>
      </c>
      <c r="AJ276">
        <v>39.532349000000004</v>
      </c>
      <c r="AK276" t="s">
        <v>323</v>
      </c>
      <c r="AL276">
        <v>-92.463255000000004</v>
      </c>
      <c r="AM276">
        <v>100</v>
      </c>
      <c r="AN276">
        <v>1900</v>
      </c>
      <c r="AO276" t="s">
        <v>118</v>
      </c>
      <c r="AP276">
        <v>-95</v>
      </c>
      <c r="AQ276">
        <v>110</v>
      </c>
      <c r="AR276">
        <v>-192</v>
      </c>
      <c r="AZ276">
        <v>1200</v>
      </c>
      <c r="BA276">
        <v>1</v>
      </c>
      <c r="BB276" t="str">
        <f t="shared" si="15"/>
        <v xml:space="preserve">N8080G  </v>
      </c>
      <c r="BC276">
        <v>1</v>
      </c>
      <c r="BE276">
        <v>0</v>
      </c>
      <c r="BF276">
        <v>0</v>
      </c>
      <c r="BG276">
        <v>0</v>
      </c>
      <c r="BH276">
        <v>1850</v>
      </c>
      <c r="BI276">
        <v>1</v>
      </c>
      <c r="BJ276">
        <v>1</v>
      </c>
      <c r="BK276">
        <v>1</v>
      </c>
      <c r="BL276">
        <v>0</v>
      </c>
      <c r="BO276">
        <v>0</v>
      </c>
      <c r="BP276">
        <v>0</v>
      </c>
      <c r="BW276" t="str">
        <f>"20:12:39.418"</f>
        <v>20:12:39.418</v>
      </c>
      <c r="CJ276">
        <v>0</v>
      </c>
      <c r="CK276">
        <v>2</v>
      </c>
      <c r="CL276">
        <v>0</v>
      </c>
      <c r="CM276">
        <v>2</v>
      </c>
      <c r="CN276">
        <v>0</v>
      </c>
      <c r="CO276">
        <v>5</v>
      </c>
      <c r="CP276" t="s">
        <v>119</v>
      </c>
      <c r="CQ276">
        <v>559</v>
      </c>
      <c r="CR276">
        <v>0</v>
      </c>
      <c r="CW276">
        <v>10397750</v>
      </c>
      <c r="CY276">
        <v>1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</row>
    <row r="277" spans="1:113" x14ac:dyDescent="0.3">
      <c r="A277" t="str">
        <f>"02/08/2021 20:12:37.098"</f>
        <v>02/08/2021 20:12:37.098</v>
      </c>
      <c r="C277" t="str">
        <f t="shared" si="14"/>
        <v>FFDFD3C0</v>
      </c>
      <c r="D277" t="s">
        <v>141</v>
      </c>
      <c r="E277">
        <v>17</v>
      </c>
      <c r="H277">
        <v>256</v>
      </c>
      <c r="I277" t="s">
        <v>142</v>
      </c>
      <c r="J277" t="s">
        <v>143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"20:12:39.414"</f>
        <v>20:12:39.414</v>
      </c>
      <c r="T277" t="str">
        <f>"20:12:39.014"</f>
        <v>20:12:39.014</v>
      </c>
      <c r="U277" t="str">
        <f t="shared" si="13"/>
        <v>AB01F4</v>
      </c>
      <c r="V277">
        <v>0</v>
      </c>
      <c r="W277">
        <v>0</v>
      </c>
      <c r="X277">
        <v>1</v>
      </c>
      <c r="Z277">
        <v>0</v>
      </c>
      <c r="AA277">
        <v>9</v>
      </c>
      <c r="AB277">
        <v>3</v>
      </c>
      <c r="AC277">
        <v>0</v>
      </c>
      <c r="AD277">
        <v>10</v>
      </c>
      <c r="AE277">
        <v>0</v>
      </c>
      <c r="AF277">
        <v>3</v>
      </c>
      <c r="AG277">
        <v>2</v>
      </c>
      <c r="AH277">
        <v>0</v>
      </c>
      <c r="AI277" t="s">
        <v>322</v>
      </c>
      <c r="AJ277">
        <v>39.532349000000004</v>
      </c>
      <c r="AK277" t="s">
        <v>323</v>
      </c>
      <c r="AL277">
        <v>-92.463255000000004</v>
      </c>
      <c r="AM277">
        <v>100</v>
      </c>
      <c r="AN277">
        <v>1900</v>
      </c>
      <c r="AO277" t="s">
        <v>118</v>
      </c>
      <c r="AP277">
        <v>-95</v>
      </c>
      <c r="AQ277">
        <v>110</v>
      </c>
      <c r="AR277">
        <v>-192</v>
      </c>
      <c r="AZ277">
        <v>1200</v>
      </c>
      <c r="BA277">
        <v>1</v>
      </c>
      <c r="BB277" t="str">
        <f t="shared" si="15"/>
        <v xml:space="preserve">N8080G  </v>
      </c>
      <c r="BC277">
        <v>1</v>
      </c>
      <c r="BE277">
        <v>0</v>
      </c>
      <c r="BF277">
        <v>0</v>
      </c>
      <c r="BG277">
        <v>0</v>
      </c>
      <c r="BH277">
        <v>1850</v>
      </c>
      <c r="BI277">
        <v>1</v>
      </c>
      <c r="BJ277">
        <v>1</v>
      </c>
      <c r="BK277">
        <v>1</v>
      </c>
      <c r="BL277">
        <v>0</v>
      </c>
      <c r="BO277">
        <v>0</v>
      </c>
      <c r="BP277">
        <v>0</v>
      </c>
      <c r="BW277" t="str">
        <f>"20:12:39.418"</f>
        <v>20:12:39.418</v>
      </c>
      <c r="CJ277">
        <v>0</v>
      </c>
      <c r="CK277">
        <v>2</v>
      </c>
      <c r="CL277">
        <v>0</v>
      </c>
      <c r="CM277">
        <v>2</v>
      </c>
      <c r="CN277">
        <v>0</v>
      </c>
      <c r="CO277">
        <v>5</v>
      </c>
      <c r="CP277" t="s">
        <v>119</v>
      </c>
      <c r="CQ277">
        <v>559</v>
      </c>
      <c r="CR277">
        <v>0</v>
      </c>
      <c r="CW277">
        <v>10397750</v>
      </c>
      <c r="CY277">
        <v>1</v>
      </c>
      <c r="CZ277">
        <v>0</v>
      </c>
      <c r="DA277">
        <v>1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</row>
    <row r="278" spans="1:113" x14ac:dyDescent="0.3">
      <c r="A278" t="str">
        <f>"02/08/2021 20:12:37.098"</f>
        <v>02/08/2021 20:12:37.098</v>
      </c>
      <c r="C278" t="str">
        <f t="shared" si="14"/>
        <v>FFDFD3C0</v>
      </c>
      <c r="D278" t="s">
        <v>113</v>
      </c>
      <c r="E278">
        <v>6</v>
      </c>
      <c r="H278">
        <v>165</v>
      </c>
      <c r="I278" t="s">
        <v>114</v>
      </c>
      <c r="J278" t="s">
        <v>115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>"20:12:39.414"</f>
        <v>20:12:39.414</v>
      </c>
      <c r="T278" t="str">
        <f>"20:12:39.014"</f>
        <v>20:12:39.014</v>
      </c>
      <c r="U278" t="str">
        <f t="shared" si="13"/>
        <v>AB01F4</v>
      </c>
      <c r="V278">
        <v>0</v>
      </c>
      <c r="W278">
        <v>0</v>
      </c>
      <c r="X278">
        <v>1</v>
      </c>
      <c r="Z278">
        <v>0</v>
      </c>
      <c r="AA278">
        <v>9</v>
      </c>
      <c r="AB278">
        <v>3</v>
      </c>
      <c r="AC278">
        <v>0</v>
      </c>
      <c r="AD278">
        <v>10</v>
      </c>
      <c r="AE278">
        <v>0</v>
      </c>
      <c r="AF278">
        <v>3</v>
      </c>
      <c r="AG278">
        <v>2</v>
      </c>
      <c r="AH278">
        <v>0</v>
      </c>
      <c r="AI278" t="s">
        <v>322</v>
      </c>
      <c r="AJ278">
        <v>39.532349000000004</v>
      </c>
      <c r="AK278" t="s">
        <v>323</v>
      </c>
      <c r="AL278">
        <v>-92.463255000000004</v>
      </c>
      <c r="AM278">
        <v>100</v>
      </c>
      <c r="AN278">
        <v>1900</v>
      </c>
      <c r="AO278" t="s">
        <v>118</v>
      </c>
      <c r="AP278">
        <v>-95</v>
      </c>
      <c r="AQ278">
        <v>110</v>
      </c>
      <c r="AR278">
        <v>-192</v>
      </c>
      <c r="AZ278">
        <v>1200</v>
      </c>
      <c r="BA278">
        <v>1</v>
      </c>
      <c r="BB278" t="str">
        <f t="shared" si="15"/>
        <v xml:space="preserve">N8080G  </v>
      </c>
      <c r="BC278">
        <v>1</v>
      </c>
      <c r="BE278">
        <v>0</v>
      </c>
      <c r="BF278">
        <v>0</v>
      </c>
      <c r="BG278">
        <v>0</v>
      </c>
      <c r="BH278">
        <v>1850</v>
      </c>
      <c r="BI278">
        <v>1</v>
      </c>
      <c r="BJ278">
        <v>1</v>
      </c>
      <c r="BK278">
        <v>1</v>
      </c>
      <c r="BL278">
        <v>0</v>
      </c>
      <c r="BO278">
        <v>0</v>
      </c>
      <c r="BP278">
        <v>0</v>
      </c>
      <c r="BW278" t="str">
        <f>"20:12:39.418"</f>
        <v>20:12:39.418</v>
      </c>
      <c r="CJ278">
        <v>0</v>
      </c>
      <c r="CK278">
        <v>2</v>
      </c>
      <c r="CL278">
        <v>0</v>
      </c>
      <c r="CM278">
        <v>2</v>
      </c>
      <c r="CN278">
        <v>0</v>
      </c>
      <c r="CO278">
        <v>5</v>
      </c>
      <c r="CP278" t="s">
        <v>119</v>
      </c>
      <c r="CQ278">
        <v>559</v>
      </c>
      <c r="CR278">
        <v>0</v>
      </c>
      <c r="CW278">
        <v>10397750</v>
      </c>
      <c r="CY278">
        <v>1</v>
      </c>
      <c r="CZ278">
        <v>0</v>
      </c>
      <c r="DA278">
        <v>1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</row>
    <row r="279" spans="1:113" x14ac:dyDescent="0.3">
      <c r="A279" t="str">
        <f>"02/08/2021 20:12:38.140"</f>
        <v>02/08/2021 20:12:38.140</v>
      </c>
      <c r="C279" t="str">
        <f t="shared" si="14"/>
        <v>FFDFD3C0</v>
      </c>
      <c r="D279" t="s">
        <v>141</v>
      </c>
      <c r="E279">
        <v>17</v>
      </c>
      <c r="H279">
        <v>256</v>
      </c>
      <c r="I279" t="s">
        <v>142</v>
      </c>
      <c r="J279" t="s">
        <v>143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>"20:12:40.430"</f>
        <v>20:12:40.430</v>
      </c>
      <c r="U279" t="str">
        <f t="shared" si="13"/>
        <v>AB01F4</v>
      </c>
      <c r="V279">
        <v>0</v>
      </c>
      <c r="W279">
        <v>0</v>
      </c>
      <c r="X279">
        <v>1</v>
      </c>
      <c r="Z279">
        <v>0</v>
      </c>
      <c r="AA279">
        <v>9</v>
      </c>
      <c r="AB279">
        <v>3</v>
      </c>
      <c r="AC279">
        <v>0</v>
      </c>
      <c r="AD279">
        <v>10</v>
      </c>
      <c r="AE279">
        <v>0</v>
      </c>
      <c r="AF279">
        <v>3</v>
      </c>
      <c r="AG279">
        <v>2</v>
      </c>
      <c r="AH279">
        <v>0</v>
      </c>
      <c r="AI279" t="s">
        <v>324</v>
      </c>
      <c r="AJ279">
        <v>39.532863999999996</v>
      </c>
      <c r="AK279" t="s">
        <v>325</v>
      </c>
      <c r="AL279">
        <v>-92.463813000000002</v>
      </c>
      <c r="AM279">
        <v>100</v>
      </c>
      <c r="AN279">
        <v>1900</v>
      </c>
      <c r="AO279" t="s">
        <v>118</v>
      </c>
      <c r="AP279">
        <v>-94</v>
      </c>
      <c r="AQ279">
        <v>111</v>
      </c>
      <c r="AR279">
        <v>-192</v>
      </c>
      <c r="AZ279">
        <v>1200</v>
      </c>
      <c r="BA279">
        <v>1</v>
      </c>
      <c r="BB279" t="str">
        <f t="shared" si="15"/>
        <v xml:space="preserve">N8080G  </v>
      </c>
      <c r="BC279">
        <v>1</v>
      </c>
      <c r="BE279">
        <v>0</v>
      </c>
      <c r="BF279">
        <v>0</v>
      </c>
      <c r="BG279">
        <v>0</v>
      </c>
      <c r="BH279">
        <v>1850</v>
      </c>
      <c r="BI279">
        <v>1</v>
      </c>
      <c r="BJ279">
        <v>1</v>
      </c>
      <c r="BK279">
        <v>1</v>
      </c>
      <c r="BL279">
        <v>0</v>
      </c>
      <c r="BO279">
        <v>0</v>
      </c>
      <c r="BP279">
        <v>0</v>
      </c>
      <c r="BW279" t="str">
        <f>"20:12:40.432"</f>
        <v>20:12:40.432</v>
      </c>
      <c r="CJ279">
        <v>0</v>
      </c>
      <c r="CK279">
        <v>2</v>
      </c>
      <c r="CL279">
        <v>0</v>
      </c>
      <c r="CM279">
        <v>2</v>
      </c>
      <c r="CN279">
        <v>0</v>
      </c>
      <c r="CO279">
        <v>5</v>
      </c>
      <c r="CP279" t="s">
        <v>119</v>
      </c>
      <c r="CQ279">
        <v>559</v>
      </c>
      <c r="CR279">
        <v>0</v>
      </c>
      <c r="CW279">
        <v>10397913</v>
      </c>
      <c r="CY279">
        <v>1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</row>
    <row r="280" spans="1:113" x14ac:dyDescent="0.3">
      <c r="A280" t="str">
        <f>"02/08/2021 20:12:38.140"</f>
        <v>02/08/2021 20:12:38.140</v>
      </c>
      <c r="C280" t="str">
        <f t="shared" si="14"/>
        <v>FFDFD3C0</v>
      </c>
      <c r="D280" t="s">
        <v>113</v>
      </c>
      <c r="E280">
        <v>6</v>
      </c>
      <c r="H280">
        <v>165</v>
      </c>
      <c r="I280" t="s">
        <v>114</v>
      </c>
      <c r="J280" t="s">
        <v>115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>"20:12:40.430"</f>
        <v>20:12:40.430</v>
      </c>
      <c r="U280" t="str">
        <f t="shared" si="13"/>
        <v>AB01F4</v>
      </c>
      <c r="V280">
        <v>0</v>
      </c>
      <c r="W280">
        <v>0</v>
      </c>
      <c r="X280">
        <v>1</v>
      </c>
      <c r="Z280">
        <v>0</v>
      </c>
      <c r="AA280">
        <v>9</v>
      </c>
      <c r="AB280">
        <v>3</v>
      </c>
      <c r="AC280">
        <v>0</v>
      </c>
      <c r="AD280">
        <v>10</v>
      </c>
      <c r="AE280">
        <v>0</v>
      </c>
      <c r="AF280">
        <v>3</v>
      </c>
      <c r="AG280">
        <v>2</v>
      </c>
      <c r="AH280">
        <v>0</v>
      </c>
      <c r="AI280" t="s">
        <v>324</v>
      </c>
      <c r="AJ280">
        <v>39.532863999999996</v>
      </c>
      <c r="AK280" t="s">
        <v>325</v>
      </c>
      <c r="AL280">
        <v>-92.463813000000002</v>
      </c>
      <c r="AM280">
        <v>100</v>
      </c>
      <c r="AN280">
        <v>1900</v>
      </c>
      <c r="AO280" t="s">
        <v>118</v>
      </c>
      <c r="AP280">
        <v>-94</v>
      </c>
      <c r="AQ280">
        <v>111</v>
      </c>
      <c r="AR280">
        <v>-192</v>
      </c>
      <c r="AZ280">
        <v>1200</v>
      </c>
      <c r="BA280">
        <v>1</v>
      </c>
      <c r="BB280" t="str">
        <f t="shared" si="15"/>
        <v xml:space="preserve">N8080G  </v>
      </c>
      <c r="BC280">
        <v>1</v>
      </c>
      <c r="BE280">
        <v>0</v>
      </c>
      <c r="BF280">
        <v>0</v>
      </c>
      <c r="BG280">
        <v>0</v>
      </c>
      <c r="BH280">
        <v>1850</v>
      </c>
      <c r="BI280">
        <v>1</v>
      </c>
      <c r="BJ280">
        <v>1</v>
      </c>
      <c r="BK280">
        <v>1</v>
      </c>
      <c r="BL280">
        <v>0</v>
      </c>
      <c r="BO280">
        <v>0</v>
      </c>
      <c r="BP280">
        <v>0</v>
      </c>
      <c r="BW280" t="str">
        <f>"20:12:40.432"</f>
        <v>20:12:40.432</v>
      </c>
      <c r="CJ280">
        <v>0</v>
      </c>
      <c r="CK280">
        <v>2</v>
      </c>
      <c r="CL280">
        <v>0</v>
      </c>
      <c r="CM280">
        <v>2</v>
      </c>
      <c r="CN280">
        <v>0</v>
      </c>
      <c r="CO280">
        <v>5</v>
      </c>
      <c r="CP280" t="s">
        <v>119</v>
      </c>
      <c r="CQ280">
        <v>559</v>
      </c>
      <c r="CR280">
        <v>0</v>
      </c>
      <c r="CW280">
        <v>10397913</v>
      </c>
      <c r="CY280">
        <v>1</v>
      </c>
      <c r="CZ280">
        <v>0</v>
      </c>
      <c r="DA280">
        <v>1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</row>
    <row r="281" spans="1:113" x14ac:dyDescent="0.3">
      <c r="A281" t="str">
        <f>"02/08/2021 20:12:38.140"</f>
        <v>02/08/2021 20:12:38.140</v>
      </c>
      <c r="C281" t="str">
        <f t="shared" si="14"/>
        <v>FFDFD3C0</v>
      </c>
      <c r="D281" t="s">
        <v>124</v>
      </c>
      <c r="E281">
        <v>13</v>
      </c>
      <c r="F281">
        <v>1013</v>
      </c>
      <c r="G281" t="s">
        <v>114</v>
      </c>
      <c r="J281" t="s">
        <v>125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>"20:12:40.430"</f>
        <v>20:12:40.430</v>
      </c>
      <c r="U281" t="str">
        <f t="shared" si="13"/>
        <v>AB01F4</v>
      </c>
      <c r="V281">
        <v>0</v>
      </c>
      <c r="W281">
        <v>0</v>
      </c>
      <c r="X281">
        <v>1</v>
      </c>
      <c r="Z281">
        <v>0</v>
      </c>
      <c r="AA281">
        <v>9</v>
      </c>
      <c r="AB281">
        <v>3</v>
      </c>
      <c r="AC281">
        <v>0</v>
      </c>
      <c r="AD281">
        <v>10</v>
      </c>
      <c r="AE281">
        <v>0</v>
      </c>
      <c r="AF281">
        <v>3</v>
      </c>
      <c r="AG281">
        <v>2</v>
      </c>
      <c r="AH281">
        <v>0</v>
      </c>
      <c r="AI281" t="s">
        <v>324</v>
      </c>
      <c r="AJ281">
        <v>39.532863999999996</v>
      </c>
      <c r="AK281" t="s">
        <v>325</v>
      </c>
      <c r="AL281">
        <v>-92.463813000000002</v>
      </c>
      <c r="AM281">
        <v>100</v>
      </c>
      <c r="AN281">
        <v>1900</v>
      </c>
      <c r="AO281" t="s">
        <v>118</v>
      </c>
      <c r="AP281">
        <v>-94</v>
      </c>
      <c r="AQ281">
        <v>111</v>
      </c>
      <c r="AR281">
        <v>-192</v>
      </c>
      <c r="AZ281">
        <v>1200</v>
      </c>
      <c r="BA281">
        <v>1</v>
      </c>
      <c r="BB281" t="str">
        <f t="shared" si="15"/>
        <v xml:space="preserve">N8080G  </v>
      </c>
      <c r="BC281">
        <v>1</v>
      </c>
      <c r="BE281">
        <v>0</v>
      </c>
      <c r="BF281">
        <v>0</v>
      </c>
      <c r="BG281">
        <v>0</v>
      </c>
      <c r="BH281">
        <v>1850</v>
      </c>
      <c r="BI281">
        <v>1</v>
      </c>
      <c r="BJ281">
        <v>1</v>
      </c>
      <c r="BK281">
        <v>1</v>
      </c>
      <c r="BL281">
        <v>0</v>
      </c>
      <c r="BO281">
        <v>0</v>
      </c>
      <c r="BP281">
        <v>0</v>
      </c>
      <c r="BW281" t="str">
        <f>"20:12:40.432"</f>
        <v>20:12:40.432</v>
      </c>
      <c r="CJ281">
        <v>0</v>
      </c>
      <c r="CK281">
        <v>2</v>
      </c>
      <c r="CL281">
        <v>0</v>
      </c>
      <c r="CM281">
        <v>2</v>
      </c>
      <c r="CN281">
        <v>0</v>
      </c>
      <c r="CO281">
        <v>5</v>
      </c>
      <c r="CP281" t="s">
        <v>119</v>
      </c>
      <c r="CQ281">
        <v>559</v>
      </c>
      <c r="CR281">
        <v>0</v>
      </c>
      <c r="CW281">
        <v>10397913</v>
      </c>
      <c r="CY281">
        <v>1</v>
      </c>
      <c r="CZ281">
        <v>0</v>
      </c>
      <c r="DA281">
        <v>1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</row>
    <row r="282" spans="1:113" x14ac:dyDescent="0.3">
      <c r="A282" t="str">
        <f>"02/08/2021 20:12:39.059"</f>
        <v>02/08/2021 20:12:39.059</v>
      </c>
      <c r="C282" t="str">
        <f t="shared" si="14"/>
        <v>FFDFD3C0</v>
      </c>
      <c r="D282" t="s">
        <v>113</v>
      </c>
      <c r="E282">
        <v>6</v>
      </c>
      <c r="H282">
        <v>165</v>
      </c>
      <c r="I282" t="s">
        <v>114</v>
      </c>
      <c r="J282" t="s">
        <v>115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>"20:12:41.375"</f>
        <v>20:12:41.375</v>
      </c>
      <c r="T282" t="str">
        <f>"20:12:40.975"</f>
        <v>20:12:40.975</v>
      </c>
      <c r="U282" t="str">
        <f t="shared" si="13"/>
        <v>AB01F4</v>
      </c>
      <c r="V282">
        <v>0</v>
      </c>
      <c r="W282">
        <v>0</v>
      </c>
      <c r="X282">
        <v>1</v>
      </c>
      <c r="Z282">
        <v>0</v>
      </c>
      <c r="AA282">
        <v>9</v>
      </c>
      <c r="AB282">
        <v>3</v>
      </c>
      <c r="AC282">
        <v>0</v>
      </c>
      <c r="AD282">
        <v>10</v>
      </c>
      <c r="AE282">
        <v>0</v>
      </c>
      <c r="AF282">
        <v>3</v>
      </c>
      <c r="AG282">
        <v>2</v>
      </c>
      <c r="AH282">
        <v>0</v>
      </c>
      <c r="AI282" t="s">
        <v>326</v>
      </c>
      <c r="AJ282">
        <v>39.533335999999998</v>
      </c>
      <c r="AK282" t="s">
        <v>327</v>
      </c>
      <c r="AL282">
        <v>-92.464348999999999</v>
      </c>
      <c r="AM282">
        <v>100</v>
      </c>
      <c r="AN282">
        <v>1900</v>
      </c>
      <c r="AO282" t="s">
        <v>118</v>
      </c>
      <c r="AP282">
        <v>-94</v>
      </c>
      <c r="AQ282">
        <v>111</v>
      </c>
      <c r="AR282">
        <v>-128</v>
      </c>
      <c r="AZ282">
        <v>1200</v>
      </c>
      <c r="BA282">
        <v>1</v>
      </c>
      <c r="BB282" t="str">
        <f t="shared" si="15"/>
        <v xml:space="preserve">N8080G  </v>
      </c>
      <c r="BC282">
        <v>1</v>
      </c>
      <c r="BE282">
        <v>0</v>
      </c>
      <c r="BF282">
        <v>0</v>
      </c>
      <c r="BG282">
        <v>0</v>
      </c>
      <c r="BH282">
        <v>1850</v>
      </c>
      <c r="BI282">
        <v>1</v>
      </c>
      <c r="BJ282">
        <v>1</v>
      </c>
      <c r="BK282">
        <v>1</v>
      </c>
      <c r="BL282">
        <v>0</v>
      </c>
      <c r="BO282">
        <v>0</v>
      </c>
      <c r="BP282">
        <v>0</v>
      </c>
      <c r="BW282" t="str">
        <f>"20:12:41.377"</f>
        <v>20:12:41.377</v>
      </c>
      <c r="CJ282">
        <v>0</v>
      </c>
      <c r="CK282">
        <v>2</v>
      </c>
      <c r="CL282">
        <v>0</v>
      </c>
      <c r="CM282">
        <v>2</v>
      </c>
      <c r="CN282">
        <v>0</v>
      </c>
      <c r="CO282">
        <v>5</v>
      </c>
      <c r="CP282" t="s">
        <v>119</v>
      </c>
      <c r="CQ282">
        <v>559</v>
      </c>
      <c r="CR282">
        <v>0</v>
      </c>
      <c r="CW282">
        <v>10398066</v>
      </c>
      <c r="CY282">
        <v>1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</row>
    <row r="283" spans="1:113" x14ac:dyDescent="0.3">
      <c r="A283" t="str">
        <f>"02/08/2021 20:12:39.059"</f>
        <v>02/08/2021 20:12:39.059</v>
      </c>
      <c r="C283" t="str">
        <f t="shared" si="14"/>
        <v>FFDFD3C0</v>
      </c>
      <c r="D283" t="s">
        <v>124</v>
      </c>
      <c r="E283">
        <v>13</v>
      </c>
      <c r="F283">
        <v>1013</v>
      </c>
      <c r="G283" t="s">
        <v>114</v>
      </c>
      <c r="J283" t="s">
        <v>125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>"20:12:41.375"</f>
        <v>20:12:41.375</v>
      </c>
      <c r="T283" t="str">
        <f>"20:12:40.975"</f>
        <v>20:12:40.975</v>
      </c>
      <c r="U283" t="str">
        <f t="shared" si="13"/>
        <v>AB01F4</v>
      </c>
      <c r="V283">
        <v>0</v>
      </c>
      <c r="W283">
        <v>0</v>
      </c>
      <c r="X283">
        <v>1</v>
      </c>
      <c r="Z283">
        <v>0</v>
      </c>
      <c r="AA283">
        <v>9</v>
      </c>
      <c r="AB283">
        <v>3</v>
      </c>
      <c r="AC283">
        <v>0</v>
      </c>
      <c r="AD283">
        <v>10</v>
      </c>
      <c r="AE283">
        <v>0</v>
      </c>
      <c r="AF283">
        <v>3</v>
      </c>
      <c r="AG283">
        <v>2</v>
      </c>
      <c r="AH283">
        <v>0</v>
      </c>
      <c r="AI283" t="s">
        <v>326</v>
      </c>
      <c r="AJ283">
        <v>39.533335999999998</v>
      </c>
      <c r="AK283" t="s">
        <v>327</v>
      </c>
      <c r="AL283">
        <v>-92.464348999999999</v>
      </c>
      <c r="AM283">
        <v>100</v>
      </c>
      <c r="AN283">
        <v>1900</v>
      </c>
      <c r="AO283" t="s">
        <v>118</v>
      </c>
      <c r="AP283">
        <v>-94</v>
      </c>
      <c r="AQ283">
        <v>111</v>
      </c>
      <c r="AR283">
        <v>-128</v>
      </c>
      <c r="AZ283">
        <v>1200</v>
      </c>
      <c r="BA283">
        <v>1</v>
      </c>
      <c r="BB283" t="str">
        <f t="shared" si="15"/>
        <v xml:space="preserve">N8080G  </v>
      </c>
      <c r="BC283">
        <v>1</v>
      </c>
      <c r="BE283">
        <v>0</v>
      </c>
      <c r="BF283">
        <v>0</v>
      </c>
      <c r="BG283">
        <v>0</v>
      </c>
      <c r="BH283">
        <v>1850</v>
      </c>
      <c r="BI283">
        <v>1</v>
      </c>
      <c r="BJ283">
        <v>1</v>
      </c>
      <c r="BK283">
        <v>1</v>
      </c>
      <c r="BL283">
        <v>0</v>
      </c>
      <c r="BO283">
        <v>0</v>
      </c>
      <c r="BP283">
        <v>0</v>
      </c>
      <c r="BW283" t="str">
        <f>"20:12:41.377"</f>
        <v>20:12:41.377</v>
      </c>
      <c r="CJ283">
        <v>0</v>
      </c>
      <c r="CK283">
        <v>2</v>
      </c>
      <c r="CL283">
        <v>0</v>
      </c>
      <c r="CM283">
        <v>2</v>
      </c>
      <c r="CN283">
        <v>0</v>
      </c>
      <c r="CO283">
        <v>5</v>
      </c>
      <c r="CP283" t="s">
        <v>119</v>
      </c>
      <c r="CQ283">
        <v>559</v>
      </c>
      <c r="CR283">
        <v>0</v>
      </c>
      <c r="CW283">
        <v>10398066</v>
      </c>
      <c r="CY283">
        <v>1</v>
      </c>
      <c r="CZ283">
        <v>0</v>
      </c>
      <c r="DA283">
        <v>1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</row>
    <row r="284" spans="1:113" x14ac:dyDescent="0.3">
      <c r="A284" t="str">
        <f>"02/08/2021 20:12:39.059"</f>
        <v>02/08/2021 20:12:39.059</v>
      </c>
      <c r="C284" t="str">
        <f t="shared" si="14"/>
        <v>FFDFD3C0</v>
      </c>
      <c r="D284" t="s">
        <v>141</v>
      </c>
      <c r="E284">
        <v>17</v>
      </c>
      <c r="H284">
        <v>256</v>
      </c>
      <c r="I284" t="s">
        <v>142</v>
      </c>
      <c r="J284" t="s">
        <v>143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>"20:12:41.375"</f>
        <v>20:12:41.375</v>
      </c>
      <c r="T284" t="str">
        <f>"20:12:40.975"</f>
        <v>20:12:40.975</v>
      </c>
      <c r="U284" t="str">
        <f t="shared" si="13"/>
        <v>AB01F4</v>
      </c>
      <c r="V284">
        <v>0</v>
      </c>
      <c r="W284">
        <v>0</v>
      </c>
      <c r="X284">
        <v>1</v>
      </c>
      <c r="Z284">
        <v>0</v>
      </c>
      <c r="AA284">
        <v>9</v>
      </c>
      <c r="AB284">
        <v>3</v>
      </c>
      <c r="AC284">
        <v>0</v>
      </c>
      <c r="AD284">
        <v>10</v>
      </c>
      <c r="AE284">
        <v>0</v>
      </c>
      <c r="AF284">
        <v>3</v>
      </c>
      <c r="AG284">
        <v>2</v>
      </c>
      <c r="AH284">
        <v>0</v>
      </c>
      <c r="AI284" t="s">
        <v>326</v>
      </c>
      <c r="AJ284">
        <v>39.533335999999998</v>
      </c>
      <c r="AK284" t="s">
        <v>327</v>
      </c>
      <c r="AL284">
        <v>-92.464348999999999</v>
      </c>
      <c r="AM284">
        <v>100</v>
      </c>
      <c r="AN284">
        <v>1900</v>
      </c>
      <c r="AO284" t="s">
        <v>118</v>
      </c>
      <c r="AP284">
        <v>-94</v>
      </c>
      <c r="AQ284">
        <v>111</v>
      </c>
      <c r="AR284">
        <v>-128</v>
      </c>
      <c r="AZ284">
        <v>1200</v>
      </c>
      <c r="BA284">
        <v>1</v>
      </c>
      <c r="BB284" t="str">
        <f t="shared" si="15"/>
        <v xml:space="preserve">N8080G  </v>
      </c>
      <c r="BC284">
        <v>1</v>
      </c>
      <c r="BE284">
        <v>0</v>
      </c>
      <c r="BF284">
        <v>0</v>
      </c>
      <c r="BG284">
        <v>0</v>
      </c>
      <c r="BH284">
        <v>1850</v>
      </c>
      <c r="BI284">
        <v>1</v>
      </c>
      <c r="BJ284">
        <v>1</v>
      </c>
      <c r="BK284">
        <v>1</v>
      </c>
      <c r="BL284">
        <v>0</v>
      </c>
      <c r="BO284">
        <v>0</v>
      </c>
      <c r="BP284">
        <v>0</v>
      </c>
      <c r="BW284" t="str">
        <f>"20:12:41.377"</f>
        <v>20:12:41.377</v>
      </c>
      <c r="CJ284">
        <v>0</v>
      </c>
      <c r="CK284">
        <v>2</v>
      </c>
      <c r="CL284">
        <v>0</v>
      </c>
      <c r="CM284">
        <v>2</v>
      </c>
      <c r="CN284">
        <v>0</v>
      </c>
      <c r="CO284">
        <v>5</v>
      </c>
      <c r="CP284" t="s">
        <v>119</v>
      </c>
      <c r="CQ284">
        <v>559</v>
      </c>
      <c r="CR284">
        <v>0</v>
      </c>
      <c r="CW284">
        <v>10398066</v>
      </c>
      <c r="CY284">
        <v>1</v>
      </c>
      <c r="CZ284">
        <v>0</v>
      </c>
      <c r="DA284">
        <v>1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</row>
    <row r="285" spans="1:113" x14ac:dyDescent="0.3">
      <c r="A285" t="str">
        <f>"02/08/2021 20:12:39.906"</f>
        <v>02/08/2021 20:12:39.906</v>
      </c>
      <c r="C285" t="str">
        <f t="shared" si="14"/>
        <v>FFDFD3C0</v>
      </c>
      <c r="D285" t="s">
        <v>141</v>
      </c>
      <c r="E285">
        <v>17</v>
      </c>
      <c r="H285">
        <v>256</v>
      </c>
      <c r="I285" t="s">
        <v>142</v>
      </c>
      <c r="J285" t="s">
        <v>143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>"20:12:42.234"</f>
        <v>20:12:42.234</v>
      </c>
      <c r="T285" t="str">
        <f>"20:12:41.834"</f>
        <v>20:12:41.834</v>
      </c>
      <c r="U285" t="str">
        <f t="shared" si="13"/>
        <v>AB01F4</v>
      </c>
      <c r="V285">
        <v>0</v>
      </c>
      <c r="W285">
        <v>0</v>
      </c>
      <c r="X285">
        <v>1</v>
      </c>
      <c r="Z285">
        <v>0</v>
      </c>
      <c r="AA285">
        <v>9</v>
      </c>
      <c r="AB285">
        <v>3</v>
      </c>
      <c r="AC285">
        <v>0</v>
      </c>
      <c r="AD285">
        <v>10</v>
      </c>
      <c r="AE285">
        <v>0</v>
      </c>
      <c r="AF285">
        <v>3</v>
      </c>
      <c r="AG285">
        <v>2</v>
      </c>
      <c r="AH285">
        <v>0</v>
      </c>
      <c r="AI285" t="s">
        <v>328</v>
      </c>
      <c r="AJ285">
        <v>39.533786999999997</v>
      </c>
      <c r="AK285" t="s">
        <v>329</v>
      </c>
      <c r="AL285">
        <v>-92.464843000000002</v>
      </c>
      <c r="AM285">
        <v>100</v>
      </c>
      <c r="AN285">
        <v>1900</v>
      </c>
      <c r="AO285" t="s">
        <v>118</v>
      </c>
      <c r="AP285">
        <v>-93</v>
      </c>
      <c r="AQ285">
        <v>112</v>
      </c>
      <c r="AR285">
        <v>-64</v>
      </c>
      <c r="AZ285">
        <v>1200</v>
      </c>
      <c r="BA285">
        <v>1</v>
      </c>
      <c r="BB285" t="str">
        <f t="shared" si="15"/>
        <v xml:space="preserve">N8080G  </v>
      </c>
      <c r="BC285">
        <v>1</v>
      </c>
      <c r="BE285">
        <v>0</v>
      </c>
      <c r="BF285">
        <v>0</v>
      </c>
      <c r="BG285">
        <v>0</v>
      </c>
      <c r="BH285">
        <v>1850</v>
      </c>
      <c r="BI285">
        <v>1</v>
      </c>
      <c r="BJ285">
        <v>1</v>
      </c>
      <c r="BK285">
        <v>1</v>
      </c>
      <c r="BL285">
        <v>0</v>
      </c>
      <c r="BO285">
        <v>0</v>
      </c>
      <c r="BP285">
        <v>0</v>
      </c>
      <c r="BW285" t="str">
        <f>"20:12:42.236"</f>
        <v>20:12:42.236</v>
      </c>
      <c r="CJ285">
        <v>0</v>
      </c>
      <c r="CK285">
        <v>2</v>
      </c>
      <c r="CL285">
        <v>0</v>
      </c>
      <c r="CM285">
        <v>2</v>
      </c>
      <c r="CN285">
        <v>0</v>
      </c>
      <c r="CO285">
        <v>5</v>
      </c>
      <c r="CP285" t="s">
        <v>119</v>
      </c>
      <c r="CQ285">
        <v>559</v>
      </c>
      <c r="CR285">
        <v>0</v>
      </c>
      <c r="CW285">
        <v>10398202</v>
      </c>
      <c r="CY285">
        <v>1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</row>
    <row r="286" spans="1:113" x14ac:dyDescent="0.3">
      <c r="A286" t="str">
        <f>"02/08/2021 20:12:39.906"</f>
        <v>02/08/2021 20:12:39.906</v>
      </c>
      <c r="C286" t="str">
        <f t="shared" si="14"/>
        <v>FFDFD3C0</v>
      </c>
      <c r="D286" t="s">
        <v>124</v>
      </c>
      <c r="E286">
        <v>13</v>
      </c>
      <c r="F286">
        <v>1013</v>
      </c>
      <c r="G286" t="s">
        <v>114</v>
      </c>
      <c r="J286" t="s">
        <v>125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>"20:12:42.234"</f>
        <v>20:12:42.234</v>
      </c>
      <c r="T286" t="str">
        <f>"20:12:41.834"</f>
        <v>20:12:41.834</v>
      </c>
      <c r="U286" t="str">
        <f t="shared" si="13"/>
        <v>AB01F4</v>
      </c>
      <c r="V286">
        <v>0</v>
      </c>
      <c r="W286">
        <v>0</v>
      </c>
      <c r="X286">
        <v>1</v>
      </c>
      <c r="Z286">
        <v>0</v>
      </c>
      <c r="AA286">
        <v>9</v>
      </c>
      <c r="AB286">
        <v>3</v>
      </c>
      <c r="AC286">
        <v>0</v>
      </c>
      <c r="AD286">
        <v>10</v>
      </c>
      <c r="AE286">
        <v>0</v>
      </c>
      <c r="AF286">
        <v>3</v>
      </c>
      <c r="AG286">
        <v>2</v>
      </c>
      <c r="AH286">
        <v>0</v>
      </c>
      <c r="AI286" t="s">
        <v>328</v>
      </c>
      <c r="AJ286">
        <v>39.533786999999997</v>
      </c>
      <c r="AK286" t="s">
        <v>329</v>
      </c>
      <c r="AL286">
        <v>-92.464843000000002</v>
      </c>
      <c r="AM286">
        <v>100</v>
      </c>
      <c r="AN286">
        <v>1900</v>
      </c>
      <c r="AO286" t="s">
        <v>118</v>
      </c>
      <c r="AP286">
        <v>-93</v>
      </c>
      <c r="AQ286">
        <v>112</v>
      </c>
      <c r="AR286">
        <v>-64</v>
      </c>
      <c r="AZ286">
        <v>1200</v>
      </c>
      <c r="BA286">
        <v>1</v>
      </c>
      <c r="BB286" t="str">
        <f t="shared" si="15"/>
        <v xml:space="preserve">N8080G  </v>
      </c>
      <c r="BC286">
        <v>1</v>
      </c>
      <c r="BE286">
        <v>0</v>
      </c>
      <c r="BF286">
        <v>0</v>
      </c>
      <c r="BG286">
        <v>0</v>
      </c>
      <c r="BH286">
        <v>1850</v>
      </c>
      <c r="BI286">
        <v>1</v>
      </c>
      <c r="BJ286">
        <v>1</v>
      </c>
      <c r="BK286">
        <v>1</v>
      </c>
      <c r="BL286">
        <v>0</v>
      </c>
      <c r="BO286">
        <v>0</v>
      </c>
      <c r="BP286">
        <v>0</v>
      </c>
      <c r="BW286" t="str">
        <f>"20:12:42.236"</f>
        <v>20:12:42.236</v>
      </c>
      <c r="CJ286">
        <v>0</v>
      </c>
      <c r="CK286">
        <v>2</v>
      </c>
      <c r="CL286">
        <v>0</v>
      </c>
      <c r="CM286">
        <v>2</v>
      </c>
      <c r="CN286">
        <v>0</v>
      </c>
      <c r="CO286">
        <v>5</v>
      </c>
      <c r="CP286" t="s">
        <v>119</v>
      </c>
      <c r="CQ286">
        <v>559</v>
      </c>
      <c r="CR286">
        <v>0</v>
      </c>
      <c r="CW286">
        <v>10398202</v>
      </c>
      <c r="CY286">
        <v>1</v>
      </c>
      <c r="CZ286">
        <v>0</v>
      </c>
      <c r="DA286">
        <v>1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</row>
    <row r="287" spans="1:113" x14ac:dyDescent="0.3">
      <c r="A287" t="str">
        <f>"02/08/2021 20:12:39.906"</f>
        <v>02/08/2021 20:12:39.906</v>
      </c>
      <c r="C287" t="str">
        <f t="shared" si="14"/>
        <v>FFDFD3C0</v>
      </c>
      <c r="D287" t="s">
        <v>113</v>
      </c>
      <c r="E287">
        <v>6</v>
      </c>
      <c r="H287">
        <v>165</v>
      </c>
      <c r="I287" t="s">
        <v>114</v>
      </c>
      <c r="J287" t="s">
        <v>115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>"20:12:42.234"</f>
        <v>20:12:42.234</v>
      </c>
      <c r="T287" t="str">
        <f>"20:12:41.834"</f>
        <v>20:12:41.834</v>
      </c>
      <c r="U287" t="str">
        <f t="shared" si="13"/>
        <v>AB01F4</v>
      </c>
      <c r="V287">
        <v>0</v>
      </c>
      <c r="W287">
        <v>0</v>
      </c>
      <c r="X287">
        <v>1</v>
      </c>
      <c r="Z287">
        <v>0</v>
      </c>
      <c r="AA287">
        <v>9</v>
      </c>
      <c r="AB287">
        <v>3</v>
      </c>
      <c r="AC287">
        <v>0</v>
      </c>
      <c r="AD287">
        <v>10</v>
      </c>
      <c r="AE287">
        <v>0</v>
      </c>
      <c r="AF287">
        <v>3</v>
      </c>
      <c r="AG287">
        <v>2</v>
      </c>
      <c r="AH287">
        <v>0</v>
      </c>
      <c r="AI287" t="s">
        <v>328</v>
      </c>
      <c r="AJ287">
        <v>39.533786999999997</v>
      </c>
      <c r="AK287" t="s">
        <v>329</v>
      </c>
      <c r="AL287">
        <v>-92.464843000000002</v>
      </c>
      <c r="AM287">
        <v>100</v>
      </c>
      <c r="AN287">
        <v>1900</v>
      </c>
      <c r="AO287" t="s">
        <v>118</v>
      </c>
      <c r="AP287">
        <v>-93</v>
      </c>
      <c r="AQ287">
        <v>112</v>
      </c>
      <c r="AR287">
        <v>-64</v>
      </c>
      <c r="AZ287">
        <v>1200</v>
      </c>
      <c r="BA287">
        <v>1</v>
      </c>
      <c r="BB287" t="str">
        <f t="shared" si="15"/>
        <v xml:space="preserve">N8080G  </v>
      </c>
      <c r="BC287">
        <v>1</v>
      </c>
      <c r="BE287">
        <v>0</v>
      </c>
      <c r="BF287">
        <v>0</v>
      </c>
      <c r="BG287">
        <v>0</v>
      </c>
      <c r="BH287">
        <v>1850</v>
      </c>
      <c r="BI287">
        <v>1</v>
      </c>
      <c r="BJ287">
        <v>1</v>
      </c>
      <c r="BK287">
        <v>1</v>
      </c>
      <c r="BL287">
        <v>0</v>
      </c>
      <c r="BO287">
        <v>0</v>
      </c>
      <c r="BP287">
        <v>0</v>
      </c>
      <c r="BW287" t="str">
        <f>"20:12:42.236"</f>
        <v>20:12:42.236</v>
      </c>
      <c r="CJ287">
        <v>0</v>
      </c>
      <c r="CK287">
        <v>2</v>
      </c>
      <c r="CL287">
        <v>0</v>
      </c>
      <c r="CM287">
        <v>2</v>
      </c>
      <c r="CN287">
        <v>0</v>
      </c>
      <c r="CO287">
        <v>5</v>
      </c>
      <c r="CP287" t="s">
        <v>119</v>
      </c>
      <c r="CQ287">
        <v>559</v>
      </c>
      <c r="CR287">
        <v>0</v>
      </c>
      <c r="CW287">
        <v>10398202</v>
      </c>
      <c r="CY287">
        <v>1</v>
      </c>
      <c r="CZ287">
        <v>0</v>
      </c>
      <c r="DA287">
        <v>1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</row>
    <row r="288" spans="1:113" x14ac:dyDescent="0.3">
      <c r="A288" t="str">
        <f>"02/08/2021 20:12:40.816"</f>
        <v>02/08/2021 20:12:40.816</v>
      </c>
      <c r="C288" t="str">
        <f t="shared" si="14"/>
        <v>FFDFD3C0</v>
      </c>
      <c r="D288" t="s">
        <v>141</v>
      </c>
      <c r="E288">
        <v>17</v>
      </c>
      <c r="H288">
        <v>256</v>
      </c>
      <c r="I288" t="s">
        <v>142</v>
      </c>
      <c r="J288" t="s">
        <v>143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>"20:12:43.117"</f>
        <v>20:12:43.117</v>
      </c>
      <c r="T288" t="str">
        <f>"20:12:42.717"</f>
        <v>20:12:42.717</v>
      </c>
      <c r="U288" t="str">
        <f t="shared" si="13"/>
        <v>AB01F4</v>
      </c>
      <c r="V288">
        <v>0</v>
      </c>
      <c r="W288">
        <v>0</v>
      </c>
      <c r="X288">
        <v>1</v>
      </c>
      <c r="Z288">
        <v>0</v>
      </c>
      <c r="AA288">
        <v>9</v>
      </c>
      <c r="AB288">
        <v>3</v>
      </c>
      <c r="AC288">
        <v>0</v>
      </c>
      <c r="AD288">
        <v>10</v>
      </c>
      <c r="AE288">
        <v>0</v>
      </c>
      <c r="AF288">
        <v>3</v>
      </c>
      <c r="AG288">
        <v>2</v>
      </c>
      <c r="AH288">
        <v>0</v>
      </c>
      <c r="AI288" t="s">
        <v>330</v>
      </c>
      <c r="AJ288">
        <v>39.534258999999999</v>
      </c>
      <c r="AK288" t="s">
        <v>331</v>
      </c>
      <c r="AL288">
        <v>-92.465357999999995</v>
      </c>
      <c r="AM288">
        <v>100</v>
      </c>
      <c r="AN288">
        <v>1900</v>
      </c>
      <c r="AO288" t="s">
        <v>118</v>
      </c>
      <c r="AP288">
        <v>-92</v>
      </c>
      <c r="AQ288">
        <v>112</v>
      </c>
      <c r="AR288">
        <v>0</v>
      </c>
      <c r="AZ288">
        <v>1200</v>
      </c>
      <c r="BA288">
        <v>1</v>
      </c>
      <c r="BB288" t="str">
        <f t="shared" si="15"/>
        <v xml:space="preserve">N8080G  </v>
      </c>
      <c r="BC288">
        <v>1</v>
      </c>
      <c r="BE288">
        <v>0</v>
      </c>
      <c r="BF288">
        <v>0</v>
      </c>
      <c r="BG288">
        <v>0</v>
      </c>
      <c r="BH288">
        <v>1850</v>
      </c>
      <c r="BI288">
        <v>1</v>
      </c>
      <c r="BJ288">
        <v>1</v>
      </c>
      <c r="BK288">
        <v>1</v>
      </c>
      <c r="BL288">
        <v>0</v>
      </c>
      <c r="BO288">
        <v>0</v>
      </c>
      <c r="BP288">
        <v>0</v>
      </c>
      <c r="BW288" t="str">
        <f>"20:12:43.121"</f>
        <v>20:12:43.121</v>
      </c>
      <c r="CJ288">
        <v>0</v>
      </c>
      <c r="CK288">
        <v>2</v>
      </c>
      <c r="CL288">
        <v>0</v>
      </c>
      <c r="CM288">
        <v>2</v>
      </c>
      <c r="CN288">
        <v>0</v>
      </c>
      <c r="CO288">
        <v>5</v>
      </c>
      <c r="CP288" t="s">
        <v>119</v>
      </c>
      <c r="CQ288">
        <v>559</v>
      </c>
      <c r="CR288">
        <v>0</v>
      </c>
      <c r="CW288">
        <v>10398346</v>
      </c>
      <c r="CY288">
        <v>1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</row>
    <row r="289" spans="1:113" x14ac:dyDescent="0.3">
      <c r="A289" t="str">
        <f>"02/08/2021 20:12:40.816"</f>
        <v>02/08/2021 20:12:40.816</v>
      </c>
      <c r="C289" t="str">
        <f t="shared" si="14"/>
        <v>FFDFD3C0</v>
      </c>
      <c r="D289" t="s">
        <v>124</v>
      </c>
      <c r="E289">
        <v>13</v>
      </c>
      <c r="F289">
        <v>1013</v>
      </c>
      <c r="G289" t="s">
        <v>114</v>
      </c>
      <c r="J289" t="s">
        <v>125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>"20:12:43.117"</f>
        <v>20:12:43.117</v>
      </c>
      <c r="T289" t="str">
        <f>"20:12:42.717"</f>
        <v>20:12:42.717</v>
      </c>
      <c r="U289" t="str">
        <f t="shared" si="13"/>
        <v>AB01F4</v>
      </c>
      <c r="V289">
        <v>0</v>
      </c>
      <c r="W289">
        <v>0</v>
      </c>
      <c r="X289">
        <v>1</v>
      </c>
      <c r="Z289">
        <v>0</v>
      </c>
      <c r="AA289">
        <v>9</v>
      </c>
      <c r="AB289">
        <v>3</v>
      </c>
      <c r="AC289">
        <v>0</v>
      </c>
      <c r="AD289">
        <v>10</v>
      </c>
      <c r="AE289">
        <v>0</v>
      </c>
      <c r="AF289">
        <v>3</v>
      </c>
      <c r="AG289">
        <v>2</v>
      </c>
      <c r="AH289">
        <v>0</v>
      </c>
      <c r="AI289" t="s">
        <v>330</v>
      </c>
      <c r="AJ289">
        <v>39.534258999999999</v>
      </c>
      <c r="AK289" t="s">
        <v>331</v>
      </c>
      <c r="AL289">
        <v>-92.465357999999995</v>
      </c>
      <c r="AM289">
        <v>100</v>
      </c>
      <c r="AN289">
        <v>1900</v>
      </c>
      <c r="AO289" t="s">
        <v>118</v>
      </c>
      <c r="AP289">
        <v>-92</v>
      </c>
      <c r="AQ289">
        <v>112</v>
      </c>
      <c r="AR289">
        <v>0</v>
      </c>
      <c r="AZ289">
        <v>1200</v>
      </c>
      <c r="BA289">
        <v>1</v>
      </c>
      <c r="BB289" t="str">
        <f t="shared" si="15"/>
        <v xml:space="preserve">N8080G  </v>
      </c>
      <c r="BC289">
        <v>1</v>
      </c>
      <c r="BE289">
        <v>0</v>
      </c>
      <c r="BF289">
        <v>0</v>
      </c>
      <c r="BG289">
        <v>0</v>
      </c>
      <c r="BH289">
        <v>1850</v>
      </c>
      <c r="BI289">
        <v>1</v>
      </c>
      <c r="BJ289">
        <v>1</v>
      </c>
      <c r="BK289">
        <v>1</v>
      </c>
      <c r="BL289">
        <v>0</v>
      </c>
      <c r="BO289">
        <v>0</v>
      </c>
      <c r="BP289">
        <v>0</v>
      </c>
      <c r="BW289" t="str">
        <f>"20:12:43.121"</f>
        <v>20:12:43.121</v>
      </c>
      <c r="CJ289">
        <v>0</v>
      </c>
      <c r="CK289">
        <v>2</v>
      </c>
      <c r="CL289">
        <v>0</v>
      </c>
      <c r="CM289">
        <v>2</v>
      </c>
      <c r="CN289">
        <v>0</v>
      </c>
      <c r="CO289">
        <v>5</v>
      </c>
      <c r="CP289" t="s">
        <v>119</v>
      </c>
      <c r="CQ289">
        <v>559</v>
      </c>
      <c r="CR289">
        <v>0</v>
      </c>
      <c r="CW289">
        <v>10398346</v>
      </c>
      <c r="CY289">
        <v>1</v>
      </c>
      <c r="CZ289">
        <v>0</v>
      </c>
      <c r="DA289">
        <v>1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</row>
    <row r="290" spans="1:113" x14ac:dyDescent="0.3">
      <c r="A290" t="str">
        <f>"02/08/2021 20:12:40.816"</f>
        <v>02/08/2021 20:12:40.816</v>
      </c>
      <c r="C290" t="str">
        <f t="shared" si="14"/>
        <v>FFDFD3C0</v>
      </c>
      <c r="D290" t="s">
        <v>113</v>
      </c>
      <c r="E290">
        <v>6</v>
      </c>
      <c r="H290">
        <v>165</v>
      </c>
      <c r="I290" t="s">
        <v>114</v>
      </c>
      <c r="J290" t="s">
        <v>115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>"20:12:43.117"</f>
        <v>20:12:43.117</v>
      </c>
      <c r="T290" t="str">
        <f>"20:12:42.717"</f>
        <v>20:12:42.717</v>
      </c>
      <c r="U290" t="str">
        <f t="shared" si="13"/>
        <v>AB01F4</v>
      </c>
      <c r="V290">
        <v>0</v>
      </c>
      <c r="W290">
        <v>0</v>
      </c>
      <c r="X290">
        <v>1</v>
      </c>
      <c r="Z290">
        <v>0</v>
      </c>
      <c r="AA290">
        <v>9</v>
      </c>
      <c r="AB290">
        <v>3</v>
      </c>
      <c r="AC290">
        <v>0</v>
      </c>
      <c r="AD290">
        <v>10</v>
      </c>
      <c r="AE290">
        <v>0</v>
      </c>
      <c r="AF290">
        <v>3</v>
      </c>
      <c r="AG290">
        <v>2</v>
      </c>
      <c r="AH290">
        <v>0</v>
      </c>
      <c r="AI290" t="s">
        <v>330</v>
      </c>
      <c r="AJ290">
        <v>39.534258999999999</v>
      </c>
      <c r="AK290" t="s">
        <v>331</v>
      </c>
      <c r="AL290">
        <v>-92.465357999999995</v>
      </c>
      <c r="AM290">
        <v>100</v>
      </c>
      <c r="AN290">
        <v>1900</v>
      </c>
      <c r="AO290" t="s">
        <v>118</v>
      </c>
      <c r="AP290">
        <v>-92</v>
      </c>
      <c r="AQ290">
        <v>112</v>
      </c>
      <c r="AR290">
        <v>0</v>
      </c>
      <c r="AZ290">
        <v>1200</v>
      </c>
      <c r="BA290">
        <v>1</v>
      </c>
      <c r="BB290" t="str">
        <f t="shared" si="15"/>
        <v xml:space="preserve">N8080G  </v>
      </c>
      <c r="BC290">
        <v>1</v>
      </c>
      <c r="BE290">
        <v>0</v>
      </c>
      <c r="BF290">
        <v>0</v>
      </c>
      <c r="BG290">
        <v>0</v>
      </c>
      <c r="BH290">
        <v>1850</v>
      </c>
      <c r="BI290">
        <v>1</v>
      </c>
      <c r="BJ290">
        <v>1</v>
      </c>
      <c r="BK290">
        <v>1</v>
      </c>
      <c r="BL290">
        <v>0</v>
      </c>
      <c r="BO290">
        <v>0</v>
      </c>
      <c r="BP290">
        <v>0</v>
      </c>
      <c r="BW290" t="str">
        <f>"20:12:43.121"</f>
        <v>20:12:43.121</v>
      </c>
      <c r="CJ290">
        <v>0</v>
      </c>
      <c r="CK290">
        <v>2</v>
      </c>
      <c r="CL290">
        <v>0</v>
      </c>
      <c r="CM290">
        <v>2</v>
      </c>
      <c r="CN290">
        <v>0</v>
      </c>
      <c r="CO290">
        <v>5</v>
      </c>
      <c r="CP290" t="s">
        <v>119</v>
      </c>
      <c r="CQ290">
        <v>559</v>
      </c>
      <c r="CR290">
        <v>0</v>
      </c>
      <c r="CW290">
        <v>10398346</v>
      </c>
      <c r="CY290">
        <v>1</v>
      </c>
      <c r="CZ290">
        <v>0</v>
      </c>
      <c r="DA290">
        <v>1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</row>
    <row r="291" spans="1:113" x14ac:dyDescent="0.3">
      <c r="A291" t="str">
        <f>"02/08/2021 20:12:41.724"</f>
        <v>02/08/2021 20:12:41.724</v>
      </c>
      <c r="C291" t="str">
        <f t="shared" si="14"/>
        <v>FFDFD3C0</v>
      </c>
      <c r="D291" t="s">
        <v>124</v>
      </c>
      <c r="E291">
        <v>13</v>
      </c>
      <c r="F291">
        <v>1013</v>
      </c>
      <c r="G291" t="s">
        <v>114</v>
      </c>
      <c r="J291" t="s">
        <v>125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>"20:12:44.008"</f>
        <v>20:12:44.008</v>
      </c>
      <c r="U291" t="str">
        <f t="shared" si="13"/>
        <v>AB01F4</v>
      </c>
      <c r="V291">
        <v>0</v>
      </c>
      <c r="W291">
        <v>0</v>
      </c>
      <c r="X291">
        <v>1</v>
      </c>
      <c r="Z291">
        <v>0</v>
      </c>
      <c r="AA291">
        <v>9</v>
      </c>
      <c r="AB291">
        <v>3</v>
      </c>
      <c r="AC291">
        <v>0</v>
      </c>
      <c r="AD291">
        <v>10</v>
      </c>
      <c r="AE291">
        <v>0</v>
      </c>
      <c r="AF291">
        <v>3</v>
      </c>
      <c r="AG291">
        <v>2</v>
      </c>
      <c r="AH291">
        <v>0</v>
      </c>
      <c r="AI291" t="s">
        <v>332</v>
      </c>
      <c r="AJ291">
        <v>39.534731000000001</v>
      </c>
      <c r="AK291" t="s">
        <v>333</v>
      </c>
      <c r="AL291">
        <v>-92.465829999999997</v>
      </c>
      <c r="AM291">
        <v>100</v>
      </c>
      <c r="AN291">
        <v>1900</v>
      </c>
      <c r="AO291" t="s">
        <v>118</v>
      </c>
      <c r="AP291">
        <v>-91</v>
      </c>
      <c r="AQ291">
        <v>113</v>
      </c>
      <c r="AR291">
        <v>0</v>
      </c>
      <c r="AZ291">
        <v>1200</v>
      </c>
      <c r="BA291">
        <v>1</v>
      </c>
      <c r="BB291" t="str">
        <f t="shared" si="15"/>
        <v xml:space="preserve">N8080G  </v>
      </c>
      <c r="BC291">
        <v>1</v>
      </c>
      <c r="BE291">
        <v>0</v>
      </c>
      <c r="BF291">
        <v>0</v>
      </c>
      <c r="BG291">
        <v>0</v>
      </c>
      <c r="BH291">
        <v>1850</v>
      </c>
      <c r="BI291">
        <v>1</v>
      </c>
      <c r="BJ291">
        <v>1</v>
      </c>
      <c r="BK291">
        <v>1</v>
      </c>
      <c r="BL291">
        <v>0</v>
      </c>
      <c r="BO291">
        <v>0</v>
      </c>
      <c r="BP291">
        <v>0</v>
      </c>
      <c r="BW291" t="str">
        <f>"20:12:44.015"</f>
        <v>20:12:44.015</v>
      </c>
      <c r="CJ291">
        <v>0</v>
      </c>
      <c r="CK291">
        <v>2</v>
      </c>
      <c r="CL291">
        <v>0</v>
      </c>
      <c r="CM291">
        <v>2</v>
      </c>
      <c r="CN291">
        <v>0</v>
      </c>
      <c r="CO291">
        <v>5</v>
      </c>
      <c r="CP291" t="s">
        <v>119</v>
      </c>
      <c r="CQ291">
        <v>559</v>
      </c>
      <c r="CR291">
        <v>0</v>
      </c>
      <c r="CW291">
        <v>10398502</v>
      </c>
      <c r="CY291">
        <v>1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</row>
    <row r="292" spans="1:113" x14ac:dyDescent="0.3">
      <c r="A292" t="str">
        <f>"02/08/2021 20:12:41.724"</f>
        <v>02/08/2021 20:12:41.724</v>
      </c>
      <c r="C292" t="str">
        <f t="shared" si="14"/>
        <v>FFDFD3C0</v>
      </c>
      <c r="D292" t="s">
        <v>141</v>
      </c>
      <c r="E292">
        <v>17</v>
      </c>
      <c r="H292">
        <v>256</v>
      </c>
      <c r="I292" t="s">
        <v>142</v>
      </c>
      <c r="J292" t="s">
        <v>143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>"20:12:44.008"</f>
        <v>20:12:44.008</v>
      </c>
      <c r="U292" t="str">
        <f t="shared" si="13"/>
        <v>AB01F4</v>
      </c>
      <c r="V292">
        <v>0</v>
      </c>
      <c r="W292">
        <v>0</v>
      </c>
      <c r="X292">
        <v>1</v>
      </c>
      <c r="Z292">
        <v>0</v>
      </c>
      <c r="AA292">
        <v>9</v>
      </c>
      <c r="AB292">
        <v>3</v>
      </c>
      <c r="AC292">
        <v>0</v>
      </c>
      <c r="AD292">
        <v>10</v>
      </c>
      <c r="AE292">
        <v>0</v>
      </c>
      <c r="AF292">
        <v>3</v>
      </c>
      <c r="AG292">
        <v>2</v>
      </c>
      <c r="AH292">
        <v>0</v>
      </c>
      <c r="AI292" t="s">
        <v>332</v>
      </c>
      <c r="AJ292">
        <v>39.534731000000001</v>
      </c>
      <c r="AK292" t="s">
        <v>333</v>
      </c>
      <c r="AL292">
        <v>-92.465829999999997</v>
      </c>
      <c r="AM292">
        <v>100</v>
      </c>
      <c r="AN292">
        <v>1900</v>
      </c>
      <c r="AO292" t="s">
        <v>118</v>
      </c>
      <c r="AP292">
        <v>-91</v>
      </c>
      <c r="AQ292">
        <v>113</v>
      </c>
      <c r="AR292">
        <v>0</v>
      </c>
      <c r="AZ292">
        <v>1200</v>
      </c>
      <c r="BA292">
        <v>1</v>
      </c>
      <c r="BB292" t="str">
        <f t="shared" si="15"/>
        <v xml:space="preserve">N8080G  </v>
      </c>
      <c r="BC292">
        <v>1</v>
      </c>
      <c r="BE292">
        <v>0</v>
      </c>
      <c r="BF292">
        <v>0</v>
      </c>
      <c r="BG292">
        <v>0</v>
      </c>
      <c r="BH292">
        <v>1850</v>
      </c>
      <c r="BI292">
        <v>1</v>
      </c>
      <c r="BJ292">
        <v>1</v>
      </c>
      <c r="BK292">
        <v>1</v>
      </c>
      <c r="BL292">
        <v>0</v>
      </c>
      <c r="BO292">
        <v>0</v>
      </c>
      <c r="BP292">
        <v>0</v>
      </c>
      <c r="BW292" t="str">
        <f>"20:12:44.015"</f>
        <v>20:12:44.015</v>
      </c>
      <c r="CJ292">
        <v>0</v>
      </c>
      <c r="CK292">
        <v>2</v>
      </c>
      <c r="CL292">
        <v>0</v>
      </c>
      <c r="CM292">
        <v>2</v>
      </c>
      <c r="CN292">
        <v>0</v>
      </c>
      <c r="CO292">
        <v>5</v>
      </c>
      <c r="CP292" t="s">
        <v>119</v>
      </c>
      <c r="CQ292">
        <v>559</v>
      </c>
      <c r="CR292">
        <v>0</v>
      </c>
      <c r="CW292">
        <v>10398502</v>
      </c>
      <c r="CY292">
        <v>1</v>
      </c>
      <c r="CZ292">
        <v>0</v>
      </c>
      <c r="DA292">
        <v>1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</row>
    <row r="293" spans="1:113" x14ac:dyDescent="0.3">
      <c r="A293" t="str">
        <f>"02/08/2021 20:12:41.724"</f>
        <v>02/08/2021 20:12:41.724</v>
      </c>
      <c r="C293" t="str">
        <f t="shared" si="14"/>
        <v>FFDFD3C0</v>
      </c>
      <c r="D293" t="s">
        <v>113</v>
      </c>
      <c r="E293">
        <v>6</v>
      </c>
      <c r="H293">
        <v>165</v>
      </c>
      <c r="I293" t="s">
        <v>114</v>
      </c>
      <c r="J293" t="s">
        <v>115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>"20:12:44.008"</f>
        <v>20:12:44.008</v>
      </c>
      <c r="U293" t="str">
        <f t="shared" si="13"/>
        <v>AB01F4</v>
      </c>
      <c r="V293">
        <v>0</v>
      </c>
      <c r="W293">
        <v>0</v>
      </c>
      <c r="X293">
        <v>1</v>
      </c>
      <c r="Z293">
        <v>0</v>
      </c>
      <c r="AA293">
        <v>9</v>
      </c>
      <c r="AB293">
        <v>3</v>
      </c>
      <c r="AC293">
        <v>0</v>
      </c>
      <c r="AD293">
        <v>10</v>
      </c>
      <c r="AE293">
        <v>0</v>
      </c>
      <c r="AF293">
        <v>3</v>
      </c>
      <c r="AG293">
        <v>2</v>
      </c>
      <c r="AH293">
        <v>0</v>
      </c>
      <c r="AI293" t="s">
        <v>332</v>
      </c>
      <c r="AJ293">
        <v>39.534731000000001</v>
      </c>
      <c r="AK293" t="s">
        <v>333</v>
      </c>
      <c r="AL293">
        <v>-92.465829999999997</v>
      </c>
      <c r="AM293">
        <v>100</v>
      </c>
      <c r="AN293">
        <v>1900</v>
      </c>
      <c r="AO293" t="s">
        <v>118</v>
      </c>
      <c r="AP293">
        <v>-91</v>
      </c>
      <c r="AQ293">
        <v>113</v>
      </c>
      <c r="AR293">
        <v>0</v>
      </c>
      <c r="AZ293">
        <v>1200</v>
      </c>
      <c r="BA293">
        <v>1</v>
      </c>
      <c r="BB293" t="str">
        <f t="shared" si="15"/>
        <v xml:space="preserve">N8080G  </v>
      </c>
      <c r="BC293">
        <v>1</v>
      </c>
      <c r="BE293">
        <v>0</v>
      </c>
      <c r="BF293">
        <v>0</v>
      </c>
      <c r="BG293">
        <v>0</v>
      </c>
      <c r="BH293">
        <v>1850</v>
      </c>
      <c r="BI293">
        <v>1</v>
      </c>
      <c r="BJ293">
        <v>1</v>
      </c>
      <c r="BK293">
        <v>1</v>
      </c>
      <c r="BL293">
        <v>0</v>
      </c>
      <c r="BO293">
        <v>0</v>
      </c>
      <c r="BP293">
        <v>0</v>
      </c>
      <c r="BW293" t="str">
        <f>"20:12:44.015"</f>
        <v>20:12:44.015</v>
      </c>
      <c r="CJ293">
        <v>0</v>
      </c>
      <c r="CK293">
        <v>2</v>
      </c>
      <c r="CL293">
        <v>0</v>
      </c>
      <c r="CM293">
        <v>2</v>
      </c>
      <c r="CN293">
        <v>0</v>
      </c>
      <c r="CO293">
        <v>5</v>
      </c>
      <c r="CP293" t="s">
        <v>119</v>
      </c>
      <c r="CQ293">
        <v>559</v>
      </c>
      <c r="CR293">
        <v>0</v>
      </c>
      <c r="CW293">
        <v>10398502</v>
      </c>
      <c r="CY293">
        <v>1</v>
      </c>
      <c r="CZ293">
        <v>0</v>
      </c>
      <c r="DA293">
        <v>1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</row>
    <row r="294" spans="1:113" x14ac:dyDescent="0.3">
      <c r="A294" t="str">
        <f>"02/08/2021 20:12:42.686"</f>
        <v>02/08/2021 20:12:42.686</v>
      </c>
      <c r="C294" t="str">
        <f t="shared" si="14"/>
        <v>FFDFD3C0</v>
      </c>
      <c r="D294" t="s">
        <v>141</v>
      </c>
      <c r="E294">
        <v>17</v>
      </c>
      <c r="H294">
        <v>256</v>
      </c>
      <c r="I294" t="s">
        <v>142</v>
      </c>
      <c r="J294" t="s">
        <v>143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>"20:12:45.023"</f>
        <v>20:12:45.023</v>
      </c>
      <c r="U294" t="str">
        <f t="shared" si="13"/>
        <v>AB01F4</v>
      </c>
      <c r="V294">
        <v>0</v>
      </c>
      <c r="W294">
        <v>0</v>
      </c>
      <c r="X294">
        <v>1</v>
      </c>
      <c r="Z294">
        <v>0</v>
      </c>
      <c r="AA294">
        <v>9</v>
      </c>
      <c r="AB294">
        <v>3</v>
      </c>
      <c r="AC294">
        <v>0</v>
      </c>
      <c r="AD294">
        <v>10</v>
      </c>
      <c r="AE294">
        <v>0</v>
      </c>
      <c r="AF294">
        <v>3</v>
      </c>
      <c r="AG294">
        <v>2</v>
      </c>
      <c r="AH294">
        <v>0</v>
      </c>
      <c r="AI294" t="s">
        <v>334</v>
      </c>
      <c r="AJ294">
        <v>39.535223999999999</v>
      </c>
      <c r="AK294" t="s">
        <v>335</v>
      </c>
      <c r="AL294">
        <v>-92.466365999999994</v>
      </c>
      <c r="AM294">
        <v>100</v>
      </c>
      <c r="AN294">
        <v>1900</v>
      </c>
      <c r="AO294" t="s">
        <v>118</v>
      </c>
      <c r="AP294">
        <v>-90</v>
      </c>
      <c r="AQ294">
        <v>113</v>
      </c>
      <c r="AR294">
        <v>0</v>
      </c>
      <c r="AZ294">
        <v>1200</v>
      </c>
      <c r="BA294">
        <v>1</v>
      </c>
      <c r="BB294" t="str">
        <f t="shared" si="15"/>
        <v xml:space="preserve">N8080G  </v>
      </c>
      <c r="BC294">
        <v>1</v>
      </c>
      <c r="BE294">
        <v>0</v>
      </c>
      <c r="BF294">
        <v>0</v>
      </c>
      <c r="BG294">
        <v>0</v>
      </c>
      <c r="BH294">
        <v>1850</v>
      </c>
      <c r="BI294">
        <v>1</v>
      </c>
      <c r="BJ294">
        <v>1</v>
      </c>
      <c r="BK294">
        <v>1</v>
      </c>
      <c r="BL294">
        <v>0</v>
      </c>
      <c r="BO294">
        <v>0</v>
      </c>
      <c r="BP294">
        <v>0</v>
      </c>
      <c r="BW294" t="str">
        <f>"20:12:45.031"</f>
        <v>20:12:45.031</v>
      </c>
      <c r="CJ294">
        <v>0</v>
      </c>
      <c r="CK294">
        <v>2</v>
      </c>
      <c r="CL294">
        <v>0</v>
      </c>
      <c r="CM294">
        <v>2</v>
      </c>
      <c r="CN294">
        <v>0</v>
      </c>
      <c r="CO294">
        <v>5</v>
      </c>
      <c r="CP294" t="s">
        <v>119</v>
      </c>
      <c r="CQ294">
        <v>559</v>
      </c>
      <c r="CR294">
        <v>0</v>
      </c>
      <c r="CW294">
        <v>10398663</v>
      </c>
      <c r="CY294">
        <v>1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</row>
    <row r="295" spans="1:113" x14ac:dyDescent="0.3">
      <c r="A295" t="str">
        <f>"02/08/2021 20:12:42.686"</f>
        <v>02/08/2021 20:12:42.686</v>
      </c>
      <c r="C295" t="str">
        <f t="shared" si="14"/>
        <v>FFDFD3C0</v>
      </c>
      <c r="D295" t="s">
        <v>113</v>
      </c>
      <c r="E295">
        <v>6</v>
      </c>
      <c r="H295">
        <v>165</v>
      </c>
      <c r="I295" t="s">
        <v>114</v>
      </c>
      <c r="J295" t="s">
        <v>115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>"20:12:45.023"</f>
        <v>20:12:45.023</v>
      </c>
      <c r="U295" t="str">
        <f t="shared" si="13"/>
        <v>AB01F4</v>
      </c>
      <c r="V295">
        <v>0</v>
      </c>
      <c r="W295">
        <v>0</v>
      </c>
      <c r="X295">
        <v>1</v>
      </c>
      <c r="Z295">
        <v>0</v>
      </c>
      <c r="AA295">
        <v>9</v>
      </c>
      <c r="AB295">
        <v>3</v>
      </c>
      <c r="AC295">
        <v>0</v>
      </c>
      <c r="AD295">
        <v>10</v>
      </c>
      <c r="AE295">
        <v>0</v>
      </c>
      <c r="AF295">
        <v>3</v>
      </c>
      <c r="AG295">
        <v>2</v>
      </c>
      <c r="AH295">
        <v>0</v>
      </c>
      <c r="AI295" t="s">
        <v>334</v>
      </c>
      <c r="AJ295">
        <v>39.535223999999999</v>
      </c>
      <c r="AK295" t="s">
        <v>335</v>
      </c>
      <c r="AL295">
        <v>-92.466365999999994</v>
      </c>
      <c r="AM295">
        <v>100</v>
      </c>
      <c r="AN295">
        <v>1900</v>
      </c>
      <c r="AO295" t="s">
        <v>118</v>
      </c>
      <c r="AP295">
        <v>-90</v>
      </c>
      <c r="AQ295">
        <v>113</v>
      </c>
      <c r="AR295">
        <v>0</v>
      </c>
      <c r="AZ295">
        <v>1200</v>
      </c>
      <c r="BA295">
        <v>1</v>
      </c>
      <c r="BB295" t="str">
        <f t="shared" si="15"/>
        <v xml:space="preserve">N8080G  </v>
      </c>
      <c r="BC295">
        <v>1</v>
      </c>
      <c r="BE295">
        <v>0</v>
      </c>
      <c r="BF295">
        <v>0</v>
      </c>
      <c r="BG295">
        <v>0</v>
      </c>
      <c r="BH295">
        <v>1850</v>
      </c>
      <c r="BI295">
        <v>1</v>
      </c>
      <c r="BJ295">
        <v>1</v>
      </c>
      <c r="BK295">
        <v>1</v>
      </c>
      <c r="BL295">
        <v>0</v>
      </c>
      <c r="BO295">
        <v>0</v>
      </c>
      <c r="BP295">
        <v>0</v>
      </c>
      <c r="BW295" t="str">
        <f>"20:12:45.031"</f>
        <v>20:12:45.031</v>
      </c>
      <c r="CJ295">
        <v>0</v>
      </c>
      <c r="CK295">
        <v>2</v>
      </c>
      <c r="CL295">
        <v>0</v>
      </c>
      <c r="CM295">
        <v>2</v>
      </c>
      <c r="CN295">
        <v>0</v>
      </c>
      <c r="CO295">
        <v>5</v>
      </c>
      <c r="CP295" t="s">
        <v>119</v>
      </c>
      <c r="CQ295">
        <v>559</v>
      </c>
      <c r="CR295">
        <v>0</v>
      </c>
      <c r="CW295">
        <v>10398663</v>
      </c>
      <c r="CY295">
        <v>1</v>
      </c>
      <c r="CZ295">
        <v>0</v>
      </c>
      <c r="DA295">
        <v>1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</row>
    <row r="296" spans="1:113" x14ac:dyDescent="0.3">
      <c r="A296" t="str">
        <f>"02/08/2021 20:12:42.686"</f>
        <v>02/08/2021 20:12:42.686</v>
      </c>
      <c r="C296" t="str">
        <f t="shared" si="14"/>
        <v>FFDFD3C0</v>
      </c>
      <c r="D296" t="s">
        <v>124</v>
      </c>
      <c r="E296">
        <v>13</v>
      </c>
      <c r="F296">
        <v>1013</v>
      </c>
      <c r="G296" t="s">
        <v>114</v>
      </c>
      <c r="J296" t="s">
        <v>125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>"20:12:45.023"</f>
        <v>20:12:45.023</v>
      </c>
      <c r="U296" t="str">
        <f t="shared" si="13"/>
        <v>AB01F4</v>
      </c>
      <c r="V296">
        <v>0</v>
      </c>
      <c r="W296">
        <v>0</v>
      </c>
      <c r="X296">
        <v>1</v>
      </c>
      <c r="Z296">
        <v>0</v>
      </c>
      <c r="AA296">
        <v>9</v>
      </c>
      <c r="AB296">
        <v>3</v>
      </c>
      <c r="AC296">
        <v>0</v>
      </c>
      <c r="AD296">
        <v>10</v>
      </c>
      <c r="AE296">
        <v>0</v>
      </c>
      <c r="AF296">
        <v>3</v>
      </c>
      <c r="AG296">
        <v>2</v>
      </c>
      <c r="AH296">
        <v>0</v>
      </c>
      <c r="AI296" t="s">
        <v>334</v>
      </c>
      <c r="AJ296">
        <v>39.535223999999999</v>
      </c>
      <c r="AK296" t="s">
        <v>335</v>
      </c>
      <c r="AL296">
        <v>-92.466365999999994</v>
      </c>
      <c r="AM296">
        <v>100</v>
      </c>
      <c r="AN296">
        <v>1900</v>
      </c>
      <c r="AO296" t="s">
        <v>118</v>
      </c>
      <c r="AP296">
        <v>-90</v>
      </c>
      <c r="AQ296">
        <v>113</v>
      </c>
      <c r="AR296">
        <v>0</v>
      </c>
      <c r="AZ296">
        <v>1200</v>
      </c>
      <c r="BA296">
        <v>1</v>
      </c>
      <c r="BB296" t="str">
        <f t="shared" si="15"/>
        <v xml:space="preserve">N8080G  </v>
      </c>
      <c r="BC296">
        <v>1</v>
      </c>
      <c r="BE296">
        <v>0</v>
      </c>
      <c r="BF296">
        <v>0</v>
      </c>
      <c r="BG296">
        <v>0</v>
      </c>
      <c r="BH296">
        <v>1850</v>
      </c>
      <c r="BI296">
        <v>1</v>
      </c>
      <c r="BJ296">
        <v>1</v>
      </c>
      <c r="BK296">
        <v>1</v>
      </c>
      <c r="BL296">
        <v>0</v>
      </c>
      <c r="BO296">
        <v>0</v>
      </c>
      <c r="BP296">
        <v>0</v>
      </c>
      <c r="BW296" t="str">
        <f>"20:12:45.031"</f>
        <v>20:12:45.031</v>
      </c>
      <c r="CJ296">
        <v>0</v>
      </c>
      <c r="CK296">
        <v>2</v>
      </c>
      <c r="CL296">
        <v>0</v>
      </c>
      <c r="CM296">
        <v>2</v>
      </c>
      <c r="CN296">
        <v>0</v>
      </c>
      <c r="CO296">
        <v>5</v>
      </c>
      <c r="CP296" t="s">
        <v>119</v>
      </c>
      <c r="CQ296">
        <v>559</v>
      </c>
      <c r="CR296">
        <v>0</v>
      </c>
      <c r="CW296">
        <v>10398663</v>
      </c>
      <c r="CY296">
        <v>1</v>
      </c>
      <c r="CZ296">
        <v>0</v>
      </c>
      <c r="DA296">
        <v>1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</row>
    <row r="297" spans="1:113" x14ac:dyDescent="0.3">
      <c r="A297" t="str">
        <f>"02/08/2021 20:12:43.596"</f>
        <v>02/08/2021 20:12:43.596</v>
      </c>
      <c r="C297" t="str">
        <f t="shared" si="14"/>
        <v>FFDFD3C0</v>
      </c>
      <c r="D297" t="s">
        <v>141</v>
      </c>
      <c r="E297">
        <v>17</v>
      </c>
      <c r="H297">
        <v>256</v>
      </c>
      <c r="I297" t="s">
        <v>142</v>
      </c>
      <c r="J297" t="s">
        <v>143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>"20:12:45.922"</f>
        <v>20:12:45.922</v>
      </c>
      <c r="T297" t="str">
        <f>"20:12:45.522"</f>
        <v>20:12:45.522</v>
      </c>
      <c r="U297" t="str">
        <f t="shared" si="13"/>
        <v>AB01F4</v>
      </c>
      <c r="V297">
        <v>0</v>
      </c>
      <c r="W297">
        <v>0</v>
      </c>
      <c r="X297">
        <v>1</v>
      </c>
      <c r="Z297">
        <v>0</v>
      </c>
      <c r="AA297">
        <v>9</v>
      </c>
      <c r="AB297">
        <v>3</v>
      </c>
      <c r="AC297">
        <v>0</v>
      </c>
      <c r="AD297">
        <v>10</v>
      </c>
      <c r="AE297">
        <v>0</v>
      </c>
      <c r="AF297">
        <v>3</v>
      </c>
      <c r="AG297">
        <v>2</v>
      </c>
      <c r="AH297">
        <v>0</v>
      </c>
      <c r="AI297" t="s">
        <v>336</v>
      </c>
      <c r="AJ297">
        <v>39.535718000000003</v>
      </c>
      <c r="AK297" t="s">
        <v>337</v>
      </c>
      <c r="AL297">
        <v>-92.466837999999996</v>
      </c>
      <c r="AM297">
        <v>100</v>
      </c>
      <c r="AN297">
        <v>1900</v>
      </c>
      <c r="AO297" t="s">
        <v>118</v>
      </c>
      <c r="AP297">
        <v>-90</v>
      </c>
      <c r="AQ297">
        <v>114</v>
      </c>
      <c r="AR297">
        <v>0</v>
      </c>
      <c r="AZ297">
        <v>1200</v>
      </c>
      <c r="BA297">
        <v>1</v>
      </c>
      <c r="BB297" t="str">
        <f t="shared" si="15"/>
        <v xml:space="preserve">N8080G  </v>
      </c>
      <c r="BC297">
        <v>1</v>
      </c>
      <c r="BE297">
        <v>0</v>
      </c>
      <c r="BF297">
        <v>0</v>
      </c>
      <c r="BG297">
        <v>0</v>
      </c>
      <c r="BH297">
        <v>1850</v>
      </c>
      <c r="BI297">
        <v>1</v>
      </c>
      <c r="BJ297">
        <v>1</v>
      </c>
      <c r="BK297">
        <v>1</v>
      </c>
      <c r="BL297">
        <v>0</v>
      </c>
      <c r="BO297">
        <v>0</v>
      </c>
      <c r="BP297">
        <v>0</v>
      </c>
      <c r="BW297" t="str">
        <f>"20:12:45.927"</f>
        <v>20:12:45.927</v>
      </c>
      <c r="CJ297">
        <v>0</v>
      </c>
      <c r="CK297">
        <v>2</v>
      </c>
      <c r="CL297">
        <v>0</v>
      </c>
      <c r="CM297">
        <v>2</v>
      </c>
      <c r="CN297">
        <v>0</v>
      </c>
      <c r="CO297">
        <v>5</v>
      </c>
      <c r="CP297" t="s">
        <v>119</v>
      </c>
      <c r="CQ297">
        <v>559</v>
      </c>
      <c r="CR297">
        <v>0</v>
      </c>
      <c r="CW297">
        <v>10398806</v>
      </c>
      <c r="CY297">
        <v>1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</row>
    <row r="298" spans="1:113" x14ac:dyDescent="0.3">
      <c r="A298" t="str">
        <f>"02/08/2021 20:12:43.596"</f>
        <v>02/08/2021 20:12:43.596</v>
      </c>
      <c r="C298" t="str">
        <f t="shared" si="14"/>
        <v>FFDFD3C0</v>
      </c>
      <c r="D298" t="s">
        <v>113</v>
      </c>
      <c r="E298">
        <v>6</v>
      </c>
      <c r="H298">
        <v>165</v>
      </c>
      <c r="I298" t="s">
        <v>114</v>
      </c>
      <c r="J298" t="s">
        <v>115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>"20:12:45.922"</f>
        <v>20:12:45.922</v>
      </c>
      <c r="T298" t="str">
        <f>"20:12:45.522"</f>
        <v>20:12:45.522</v>
      </c>
      <c r="U298" t="str">
        <f t="shared" si="13"/>
        <v>AB01F4</v>
      </c>
      <c r="V298">
        <v>0</v>
      </c>
      <c r="W298">
        <v>0</v>
      </c>
      <c r="X298">
        <v>1</v>
      </c>
      <c r="Z298">
        <v>0</v>
      </c>
      <c r="AA298">
        <v>9</v>
      </c>
      <c r="AB298">
        <v>3</v>
      </c>
      <c r="AC298">
        <v>0</v>
      </c>
      <c r="AD298">
        <v>10</v>
      </c>
      <c r="AE298">
        <v>0</v>
      </c>
      <c r="AF298">
        <v>3</v>
      </c>
      <c r="AG298">
        <v>2</v>
      </c>
      <c r="AH298">
        <v>0</v>
      </c>
      <c r="AI298" t="s">
        <v>336</v>
      </c>
      <c r="AJ298">
        <v>39.535718000000003</v>
      </c>
      <c r="AK298" t="s">
        <v>337</v>
      </c>
      <c r="AL298">
        <v>-92.466837999999996</v>
      </c>
      <c r="AM298">
        <v>100</v>
      </c>
      <c r="AN298">
        <v>1900</v>
      </c>
      <c r="AO298" t="s">
        <v>118</v>
      </c>
      <c r="AP298">
        <v>-90</v>
      </c>
      <c r="AQ298">
        <v>114</v>
      </c>
      <c r="AR298">
        <v>0</v>
      </c>
      <c r="AZ298">
        <v>1200</v>
      </c>
      <c r="BA298">
        <v>1</v>
      </c>
      <c r="BB298" t="str">
        <f t="shared" si="15"/>
        <v xml:space="preserve">N8080G  </v>
      </c>
      <c r="BC298">
        <v>1</v>
      </c>
      <c r="BE298">
        <v>0</v>
      </c>
      <c r="BF298">
        <v>0</v>
      </c>
      <c r="BG298">
        <v>0</v>
      </c>
      <c r="BH298">
        <v>1850</v>
      </c>
      <c r="BI298">
        <v>1</v>
      </c>
      <c r="BJ298">
        <v>1</v>
      </c>
      <c r="BK298">
        <v>1</v>
      </c>
      <c r="BL298">
        <v>0</v>
      </c>
      <c r="BO298">
        <v>0</v>
      </c>
      <c r="BP298">
        <v>0</v>
      </c>
      <c r="BW298" t="str">
        <f>"20:12:45.927"</f>
        <v>20:12:45.927</v>
      </c>
      <c r="CJ298">
        <v>0</v>
      </c>
      <c r="CK298">
        <v>2</v>
      </c>
      <c r="CL298">
        <v>0</v>
      </c>
      <c r="CM298">
        <v>2</v>
      </c>
      <c r="CN298">
        <v>0</v>
      </c>
      <c r="CO298">
        <v>5</v>
      </c>
      <c r="CP298" t="s">
        <v>119</v>
      </c>
      <c r="CQ298">
        <v>559</v>
      </c>
      <c r="CR298">
        <v>0</v>
      </c>
      <c r="CW298">
        <v>10398806</v>
      </c>
      <c r="CY298">
        <v>1</v>
      </c>
      <c r="CZ298">
        <v>0</v>
      </c>
      <c r="DA298">
        <v>1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</row>
    <row r="299" spans="1:113" x14ac:dyDescent="0.3">
      <c r="A299" t="str">
        <f>"02/08/2021 20:12:43.596"</f>
        <v>02/08/2021 20:12:43.596</v>
      </c>
      <c r="C299" t="str">
        <f t="shared" si="14"/>
        <v>FFDFD3C0</v>
      </c>
      <c r="D299" t="s">
        <v>124</v>
      </c>
      <c r="E299">
        <v>13</v>
      </c>
      <c r="F299">
        <v>1013</v>
      </c>
      <c r="G299" t="s">
        <v>114</v>
      </c>
      <c r="J299" t="s">
        <v>125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>"20:12:45.922"</f>
        <v>20:12:45.922</v>
      </c>
      <c r="T299" t="str">
        <f>"20:12:45.522"</f>
        <v>20:12:45.522</v>
      </c>
      <c r="U299" t="str">
        <f t="shared" si="13"/>
        <v>AB01F4</v>
      </c>
      <c r="V299">
        <v>0</v>
      </c>
      <c r="W299">
        <v>0</v>
      </c>
      <c r="X299">
        <v>1</v>
      </c>
      <c r="Z299">
        <v>0</v>
      </c>
      <c r="AA299">
        <v>9</v>
      </c>
      <c r="AB299">
        <v>3</v>
      </c>
      <c r="AC299">
        <v>0</v>
      </c>
      <c r="AD299">
        <v>10</v>
      </c>
      <c r="AE299">
        <v>0</v>
      </c>
      <c r="AF299">
        <v>3</v>
      </c>
      <c r="AG299">
        <v>2</v>
      </c>
      <c r="AH299">
        <v>0</v>
      </c>
      <c r="AI299" t="s">
        <v>336</v>
      </c>
      <c r="AJ299">
        <v>39.535718000000003</v>
      </c>
      <c r="AK299" t="s">
        <v>337</v>
      </c>
      <c r="AL299">
        <v>-92.466837999999996</v>
      </c>
      <c r="AM299">
        <v>100</v>
      </c>
      <c r="AN299">
        <v>1900</v>
      </c>
      <c r="AO299" t="s">
        <v>118</v>
      </c>
      <c r="AP299">
        <v>-90</v>
      </c>
      <c r="AQ299">
        <v>114</v>
      </c>
      <c r="AR299">
        <v>0</v>
      </c>
      <c r="AZ299">
        <v>1200</v>
      </c>
      <c r="BA299">
        <v>1</v>
      </c>
      <c r="BB299" t="str">
        <f t="shared" si="15"/>
        <v xml:space="preserve">N8080G  </v>
      </c>
      <c r="BC299">
        <v>1</v>
      </c>
      <c r="BE299">
        <v>0</v>
      </c>
      <c r="BF299">
        <v>0</v>
      </c>
      <c r="BG299">
        <v>0</v>
      </c>
      <c r="BH299">
        <v>1850</v>
      </c>
      <c r="BI299">
        <v>1</v>
      </c>
      <c r="BJ299">
        <v>1</v>
      </c>
      <c r="BK299">
        <v>1</v>
      </c>
      <c r="BL299">
        <v>0</v>
      </c>
      <c r="BO299">
        <v>0</v>
      </c>
      <c r="BP299">
        <v>0</v>
      </c>
      <c r="BW299" t="str">
        <f>"20:12:45.927"</f>
        <v>20:12:45.927</v>
      </c>
      <c r="CJ299">
        <v>0</v>
      </c>
      <c r="CK299">
        <v>2</v>
      </c>
      <c r="CL299">
        <v>0</v>
      </c>
      <c r="CM299">
        <v>2</v>
      </c>
      <c r="CN299">
        <v>0</v>
      </c>
      <c r="CO299">
        <v>5</v>
      </c>
      <c r="CP299" t="s">
        <v>119</v>
      </c>
      <c r="CQ299">
        <v>559</v>
      </c>
      <c r="CR299">
        <v>0</v>
      </c>
      <c r="CW299">
        <v>10398806</v>
      </c>
      <c r="CY299">
        <v>1</v>
      </c>
      <c r="CZ299">
        <v>0</v>
      </c>
      <c r="DA299">
        <v>1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</row>
    <row r="300" spans="1:113" x14ac:dyDescent="0.3">
      <c r="A300" t="str">
        <f>"02/08/2021 20:12:44.507"</f>
        <v>02/08/2021 20:12:44.507</v>
      </c>
      <c r="C300" t="str">
        <f t="shared" si="14"/>
        <v>FFDFD3C0</v>
      </c>
      <c r="D300" t="s">
        <v>141</v>
      </c>
      <c r="E300">
        <v>17</v>
      </c>
      <c r="H300">
        <v>256</v>
      </c>
      <c r="I300" t="s">
        <v>142</v>
      </c>
      <c r="J300" t="s">
        <v>143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>"20:12:46.820"</f>
        <v>20:12:46.820</v>
      </c>
      <c r="U300" t="str">
        <f t="shared" si="13"/>
        <v>AB01F4</v>
      </c>
      <c r="V300">
        <v>0</v>
      </c>
      <c r="W300">
        <v>0</v>
      </c>
      <c r="X300">
        <v>1</v>
      </c>
      <c r="Z300">
        <v>0</v>
      </c>
      <c r="AA300">
        <v>9</v>
      </c>
      <c r="AB300">
        <v>3</v>
      </c>
      <c r="AC300">
        <v>0</v>
      </c>
      <c r="AD300">
        <v>10</v>
      </c>
      <c r="AE300">
        <v>0</v>
      </c>
      <c r="AF300">
        <v>3</v>
      </c>
      <c r="AG300">
        <v>2</v>
      </c>
      <c r="AH300">
        <v>0</v>
      </c>
      <c r="AI300" t="s">
        <v>338</v>
      </c>
      <c r="AJ300">
        <v>39.536211000000002</v>
      </c>
      <c r="AK300" t="s">
        <v>339</v>
      </c>
      <c r="AL300">
        <v>-92.467353000000003</v>
      </c>
      <c r="AM300">
        <v>100</v>
      </c>
      <c r="AN300">
        <v>1900</v>
      </c>
      <c r="AO300" t="s">
        <v>118</v>
      </c>
      <c r="AP300">
        <v>-89</v>
      </c>
      <c r="AQ300">
        <v>114</v>
      </c>
      <c r="AR300">
        <v>0</v>
      </c>
      <c r="AZ300">
        <v>1200</v>
      </c>
      <c r="BA300">
        <v>1</v>
      </c>
      <c r="BB300" t="str">
        <f t="shared" si="15"/>
        <v xml:space="preserve">N8080G  </v>
      </c>
      <c r="BC300">
        <v>1</v>
      </c>
      <c r="BE300">
        <v>0</v>
      </c>
      <c r="BF300">
        <v>0</v>
      </c>
      <c r="BG300">
        <v>0</v>
      </c>
      <c r="BH300">
        <v>1850</v>
      </c>
      <c r="BI300">
        <v>1</v>
      </c>
      <c r="BJ300">
        <v>1</v>
      </c>
      <c r="BK300">
        <v>1</v>
      </c>
      <c r="BL300">
        <v>0</v>
      </c>
      <c r="BO300">
        <v>0</v>
      </c>
      <c r="BP300">
        <v>0</v>
      </c>
      <c r="BW300" t="str">
        <f>"20:12:46.827"</f>
        <v>20:12:46.827</v>
      </c>
      <c r="CJ300">
        <v>0</v>
      </c>
      <c r="CK300">
        <v>2</v>
      </c>
      <c r="CL300">
        <v>0</v>
      </c>
      <c r="CM300">
        <v>2</v>
      </c>
      <c r="CN300">
        <v>0</v>
      </c>
      <c r="CO300">
        <v>5</v>
      </c>
      <c r="CP300" t="s">
        <v>119</v>
      </c>
      <c r="CQ300">
        <v>559</v>
      </c>
      <c r="CR300">
        <v>0</v>
      </c>
      <c r="CW300">
        <v>10398935</v>
      </c>
      <c r="CY300">
        <v>1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</row>
    <row r="301" spans="1:113" x14ac:dyDescent="0.3">
      <c r="A301" t="str">
        <f>"02/08/2021 20:12:44.507"</f>
        <v>02/08/2021 20:12:44.507</v>
      </c>
      <c r="C301" t="str">
        <f t="shared" si="14"/>
        <v>FFDFD3C0</v>
      </c>
      <c r="D301" t="s">
        <v>113</v>
      </c>
      <c r="E301">
        <v>6</v>
      </c>
      <c r="H301">
        <v>165</v>
      </c>
      <c r="I301" t="s">
        <v>114</v>
      </c>
      <c r="J301" t="s">
        <v>115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>"20:12:46.820"</f>
        <v>20:12:46.820</v>
      </c>
      <c r="U301" t="str">
        <f t="shared" si="13"/>
        <v>AB01F4</v>
      </c>
      <c r="V301">
        <v>0</v>
      </c>
      <c r="W301">
        <v>0</v>
      </c>
      <c r="X301">
        <v>1</v>
      </c>
      <c r="Z301">
        <v>0</v>
      </c>
      <c r="AA301">
        <v>9</v>
      </c>
      <c r="AB301">
        <v>3</v>
      </c>
      <c r="AC301">
        <v>0</v>
      </c>
      <c r="AD301">
        <v>10</v>
      </c>
      <c r="AE301">
        <v>0</v>
      </c>
      <c r="AF301">
        <v>3</v>
      </c>
      <c r="AG301">
        <v>2</v>
      </c>
      <c r="AH301">
        <v>0</v>
      </c>
      <c r="AI301" t="s">
        <v>338</v>
      </c>
      <c r="AJ301">
        <v>39.536211000000002</v>
      </c>
      <c r="AK301" t="s">
        <v>339</v>
      </c>
      <c r="AL301">
        <v>-92.467353000000003</v>
      </c>
      <c r="AM301">
        <v>100</v>
      </c>
      <c r="AN301">
        <v>1900</v>
      </c>
      <c r="AO301" t="s">
        <v>118</v>
      </c>
      <c r="AP301">
        <v>-89</v>
      </c>
      <c r="AQ301">
        <v>114</v>
      </c>
      <c r="AR301">
        <v>0</v>
      </c>
      <c r="AZ301">
        <v>1200</v>
      </c>
      <c r="BA301">
        <v>1</v>
      </c>
      <c r="BB301" t="str">
        <f t="shared" si="15"/>
        <v xml:space="preserve">N8080G  </v>
      </c>
      <c r="BC301">
        <v>1</v>
      </c>
      <c r="BE301">
        <v>0</v>
      </c>
      <c r="BF301">
        <v>0</v>
      </c>
      <c r="BG301">
        <v>0</v>
      </c>
      <c r="BH301">
        <v>1850</v>
      </c>
      <c r="BI301">
        <v>1</v>
      </c>
      <c r="BJ301">
        <v>1</v>
      </c>
      <c r="BK301">
        <v>1</v>
      </c>
      <c r="BL301">
        <v>0</v>
      </c>
      <c r="BO301">
        <v>0</v>
      </c>
      <c r="BP301">
        <v>0</v>
      </c>
      <c r="BW301" t="str">
        <f>"20:12:46.827"</f>
        <v>20:12:46.827</v>
      </c>
      <c r="CJ301">
        <v>0</v>
      </c>
      <c r="CK301">
        <v>2</v>
      </c>
      <c r="CL301">
        <v>0</v>
      </c>
      <c r="CM301">
        <v>2</v>
      </c>
      <c r="CN301">
        <v>0</v>
      </c>
      <c r="CO301">
        <v>5</v>
      </c>
      <c r="CP301" t="s">
        <v>119</v>
      </c>
      <c r="CQ301">
        <v>559</v>
      </c>
      <c r="CR301">
        <v>0</v>
      </c>
      <c r="CW301">
        <v>10398935</v>
      </c>
      <c r="CY301">
        <v>1</v>
      </c>
      <c r="CZ301">
        <v>0</v>
      </c>
      <c r="DA301">
        <v>1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</row>
    <row r="302" spans="1:113" x14ac:dyDescent="0.3">
      <c r="A302" t="str">
        <f>"02/08/2021 20:12:44.507"</f>
        <v>02/08/2021 20:12:44.507</v>
      </c>
      <c r="C302" t="str">
        <f t="shared" si="14"/>
        <v>FFDFD3C0</v>
      </c>
      <c r="D302" t="s">
        <v>124</v>
      </c>
      <c r="E302">
        <v>13</v>
      </c>
      <c r="F302">
        <v>1013</v>
      </c>
      <c r="G302" t="s">
        <v>114</v>
      </c>
      <c r="J302" t="s">
        <v>125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>"20:12:46.820"</f>
        <v>20:12:46.820</v>
      </c>
      <c r="U302" t="str">
        <f t="shared" si="13"/>
        <v>AB01F4</v>
      </c>
      <c r="V302">
        <v>0</v>
      </c>
      <c r="W302">
        <v>0</v>
      </c>
      <c r="X302">
        <v>1</v>
      </c>
      <c r="Z302">
        <v>0</v>
      </c>
      <c r="AA302">
        <v>9</v>
      </c>
      <c r="AB302">
        <v>3</v>
      </c>
      <c r="AC302">
        <v>0</v>
      </c>
      <c r="AD302">
        <v>10</v>
      </c>
      <c r="AE302">
        <v>0</v>
      </c>
      <c r="AF302">
        <v>3</v>
      </c>
      <c r="AG302">
        <v>2</v>
      </c>
      <c r="AH302">
        <v>0</v>
      </c>
      <c r="AI302" t="s">
        <v>338</v>
      </c>
      <c r="AJ302">
        <v>39.536211000000002</v>
      </c>
      <c r="AK302" t="s">
        <v>339</v>
      </c>
      <c r="AL302">
        <v>-92.467353000000003</v>
      </c>
      <c r="AM302">
        <v>100</v>
      </c>
      <c r="AN302">
        <v>1900</v>
      </c>
      <c r="AO302" t="s">
        <v>118</v>
      </c>
      <c r="AP302">
        <v>-89</v>
      </c>
      <c r="AQ302">
        <v>114</v>
      </c>
      <c r="AR302">
        <v>0</v>
      </c>
      <c r="AZ302">
        <v>1200</v>
      </c>
      <c r="BA302">
        <v>1</v>
      </c>
      <c r="BB302" t="str">
        <f t="shared" si="15"/>
        <v xml:space="preserve">N8080G  </v>
      </c>
      <c r="BC302">
        <v>1</v>
      </c>
      <c r="BE302">
        <v>0</v>
      </c>
      <c r="BF302">
        <v>0</v>
      </c>
      <c r="BG302">
        <v>0</v>
      </c>
      <c r="BH302">
        <v>1850</v>
      </c>
      <c r="BI302">
        <v>1</v>
      </c>
      <c r="BJ302">
        <v>1</v>
      </c>
      <c r="BK302">
        <v>1</v>
      </c>
      <c r="BL302">
        <v>0</v>
      </c>
      <c r="BO302">
        <v>0</v>
      </c>
      <c r="BP302">
        <v>0</v>
      </c>
      <c r="BW302" t="str">
        <f>"20:12:46.827"</f>
        <v>20:12:46.827</v>
      </c>
      <c r="CJ302">
        <v>0</v>
      </c>
      <c r="CK302">
        <v>2</v>
      </c>
      <c r="CL302">
        <v>0</v>
      </c>
      <c r="CM302">
        <v>2</v>
      </c>
      <c r="CN302">
        <v>0</v>
      </c>
      <c r="CO302">
        <v>5</v>
      </c>
      <c r="CP302" t="s">
        <v>119</v>
      </c>
      <c r="CQ302">
        <v>559</v>
      </c>
      <c r="CR302">
        <v>0</v>
      </c>
      <c r="CW302">
        <v>10398935</v>
      </c>
      <c r="CY302">
        <v>1</v>
      </c>
      <c r="CZ302">
        <v>0</v>
      </c>
      <c r="DA302">
        <v>1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</row>
    <row r="303" spans="1:113" x14ac:dyDescent="0.3">
      <c r="A303" t="str">
        <f>"02/08/2021 20:12:45.590"</f>
        <v>02/08/2021 20:12:45.590</v>
      </c>
      <c r="C303" t="str">
        <f t="shared" si="14"/>
        <v>FFDFD3C0</v>
      </c>
      <c r="D303" t="s">
        <v>124</v>
      </c>
      <c r="E303">
        <v>13</v>
      </c>
      <c r="F303">
        <v>1013</v>
      </c>
      <c r="G303" t="s">
        <v>114</v>
      </c>
      <c r="J303" t="s">
        <v>125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>"20:12:47.898"</f>
        <v>20:12:47.898</v>
      </c>
      <c r="U303" t="str">
        <f t="shared" si="13"/>
        <v>AB01F4</v>
      </c>
      <c r="V303">
        <v>0</v>
      </c>
      <c r="W303">
        <v>0</v>
      </c>
      <c r="X303">
        <v>1</v>
      </c>
      <c r="Z303">
        <v>0</v>
      </c>
      <c r="AA303">
        <v>9</v>
      </c>
      <c r="AB303">
        <v>3</v>
      </c>
      <c r="AC303">
        <v>0</v>
      </c>
      <c r="AD303">
        <v>10</v>
      </c>
      <c r="AE303">
        <v>0</v>
      </c>
      <c r="AF303">
        <v>3</v>
      </c>
      <c r="AG303">
        <v>2</v>
      </c>
      <c r="AH303">
        <v>0</v>
      </c>
      <c r="AI303" t="s">
        <v>340</v>
      </c>
      <c r="AJ303">
        <v>39.536726000000002</v>
      </c>
      <c r="AK303" t="s">
        <v>341</v>
      </c>
      <c r="AL303">
        <v>-92.467889999999997</v>
      </c>
      <c r="AM303">
        <v>100</v>
      </c>
      <c r="AN303">
        <v>1900</v>
      </c>
      <c r="AO303" t="s">
        <v>118</v>
      </c>
      <c r="AP303">
        <v>-89</v>
      </c>
      <c r="AQ303">
        <v>114</v>
      </c>
      <c r="AR303">
        <v>0</v>
      </c>
      <c r="AZ303">
        <v>1200</v>
      </c>
      <c r="BA303">
        <v>1</v>
      </c>
      <c r="BB303" t="str">
        <f t="shared" si="15"/>
        <v xml:space="preserve">N8080G  </v>
      </c>
      <c r="BC303">
        <v>1</v>
      </c>
      <c r="BE303">
        <v>0</v>
      </c>
      <c r="BF303">
        <v>0</v>
      </c>
      <c r="BG303">
        <v>0</v>
      </c>
      <c r="BH303">
        <v>1850</v>
      </c>
      <c r="BI303">
        <v>1</v>
      </c>
      <c r="BJ303">
        <v>1</v>
      </c>
      <c r="BK303">
        <v>1</v>
      </c>
      <c r="BL303">
        <v>0</v>
      </c>
      <c r="BO303">
        <v>0</v>
      </c>
      <c r="BP303">
        <v>0</v>
      </c>
      <c r="BW303" t="str">
        <f>"20:12:47.903"</f>
        <v>20:12:47.903</v>
      </c>
      <c r="CJ303">
        <v>0</v>
      </c>
      <c r="CK303">
        <v>2</v>
      </c>
      <c r="CL303">
        <v>0</v>
      </c>
      <c r="CM303">
        <v>2</v>
      </c>
      <c r="CN303">
        <v>0</v>
      </c>
      <c r="CO303">
        <v>6</v>
      </c>
      <c r="CP303" t="s">
        <v>119</v>
      </c>
      <c r="CQ303">
        <v>559</v>
      </c>
      <c r="CR303">
        <v>0</v>
      </c>
      <c r="CW303">
        <v>10399096</v>
      </c>
      <c r="CY303">
        <v>1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</row>
    <row r="304" spans="1:113" x14ac:dyDescent="0.3">
      <c r="A304" t="str">
        <f>"02/08/2021 20:12:45.590"</f>
        <v>02/08/2021 20:12:45.590</v>
      </c>
      <c r="C304" t="str">
        <f t="shared" si="14"/>
        <v>FFDFD3C0</v>
      </c>
      <c r="D304" t="s">
        <v>141</v>
      </c>
      <c r="E304">
        <v>17</v>
      </c>
      <c r="H304">
        <v>256</v>
      </c>
      <c r="I304" t="s">
        <v>142</v>
      </c>
      <c r="J304" t="s">
        <v>143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>"20:12:47.898"</f>
        <v>20:12:47.898</v>
      </c>
      <c r="U304" t="str">
        <f t="shared" si="13"/>
        <v>AB01F4</v>
      </c>
      <c r="V304">
        <v>0</v>
      </c>
      <c r="W304">
        <v>0</v>
      </c>
      <c r="X304">
        <v>1</v>
      </c>
      <c r="Z304">
        <v>0</v>
      </c>
      <c r="AA304">
        <v>9</v>
      </c>
      <c r="AB304">
        <v>3</v>
      </c>
      <c r="AC304">
        <v>0</v>
      </c>
      <c r="AD304">
        <v>10</v>
      </c>
      <c r="AE304">
        <v>0</v>
      </c>
      <c r="AF304">
        <v>3</v>
      </c>
      <c r="AG304">
        <v>2</v>
      </c>
      <c r="AH304">
        <v>0</v>
      </c>
      <c r="AI304" t="s">
        <v>340</v>
      </c>
      <c r="AJ304">
        <v>39.536726000000002</v>
      </c>
      <c r="AK304" t="s">
        <v>341</v>
      </c>
      <c r="AL304">
        <v>-92.467889999999997</v>
      </c>
      <c r="AM304">
        <v>100</v>
      </c>
      <c r="AN304">
        <v>1900</v>
      </c>
      <c r="AO304" t="s">
        <v>118</v>
      </c>
      <c r="AP304">
        <v>-89</v>
      </c>
      <c r="AQ304">
        <v>114</v>
      </c>
      <c r="AR304">
        <v>0</v>
      </c>
      <c r="AZ304">
        <v>1200</v>
      </c>
      <c r="BA304">
        <v>1</v>
      </c>
      <c r="BB304" t="str">
        <f t="shared" si="15"/>
        <v xml:space="preserve">N8080G  </v>
      </c>
      <c r="BC304">
        <v>1</v>
      </c>
      <c r="BE304">
        <v>0</v>
      </c>
      <c r="BF304">
        <v>0</v>
      </c>
      <c r="BG304">
        <v>0</v>
      </c>
      <c r="BH304">
        <v>1850</v>
      </c>
      <c r="BI304">
        <v>1</v>
      </c>
      <c r="BJ304">
        <v>1</v>
      </c>
      <c r="BK304">
        <v>1</v>
      </c>
      <c r="BL304">
        <v>0</v>
      </c>
      <c r="BO304">
        <v>0</v>
      </c>
      <c r="BP304">
        <v>0</v>
      </c>
      <c r="BW304" t="str">
        <f>"20:12:47.903"</f>
        <v>20:12:47.903</v>
      </c>
      <c r="CJ304">
        <v>0</v>
      </c>
      <c r="CK304">
        <v>2</v>
      </c>
      <c r="CL304">
        <v>0</v>
      </c>
      <c r="CM304">
        <v>2</v>
      </c>
      <c r="CN304">
        <v>0</v>
      </c>
      <c r="CO304">
        <v>6</v>
      </c>
      <c r="CP304" t="s">
        <v>119</v>
      </c>
      <c r="CQ304">
        <v>559</v>
      </c>
      <c r="CR304">
        <v>0</v>
      </c>
      <c r="CW304">
        <v>10399096</v>
      </c>
      <c r="CY304">
        <v>1</v>
      </c>
      <c r="CZ304">
        <v>0</v>
      </c>
      <c r="DA304">
        <v>1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</row>
    <row r="305" spans="1:113" x14ac:dyDescent="0.3">
      <c r="A305" t="str">
        <f>"02/08/2021 20:12:45.590"</f>
        <v>02/08/2021 20:12:45.590</v>
      </c>
      <c r="C305" t="str">
        <f t="shared" si="14"/>
        <v>FFDFD3C0</v>
      </c>
      <c r="D305" t="s">
        <v>113</v>
      </c>
      <c r="E305">
        <v>6</v>
      </c>
      <c r="H305">
        <v>165</v>
      </c>
      <c r="I305" t="s">
        <v>114</v>
      </c>
      <c r="J305" t="s">
        <v>115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>"20:12:47.898"</f>
        <v>20:12:47.898</v>
      </c>
      <c r="U305" t="str">
        <f t="shared" si="13"/>
        <v>AB01F4</v>
      </c>
      <c r="V305">
        <v>0</v>
      </c>
      <c r="W305">
        <v>0</v>
      </c>
      <c r="X305">
        <v>1</v>
      </c>
      <c r="Z305">
        <v>0</v>
      </c>
      <c r="AA305">
        <v>9</v>
      </c>
      <c r="AB305">
        <v>3</v>
      </c>
      <c r="AC305">
        <v>0</v>
      </c>
      <c r="AD305">
        <v>10</v>
      </c>
      <c r="AE305">
        <v>0</v>
      </c>
      <c r="AF305">
        <v>3</v>
      </c>
      <c r="AG305">
        <v>2</v>
      </c>
      <c r="AH305">
        <v>0</v>
      </c>
      <c r="AI305" t="s">
        <v>340</v>
      </c>
      <c r="AJ305">
        <v>39.536726000000002</v>
      </c>
      <c r="AK305" t="s">
        <v>341</v>
      </c>
      <c r="AL305">
        <v>-92.467889999999997</v>
      </c>
      <c r="AM305">
        <v>100</v>
      </c>
      <c r="AN305">
        <v>1900</v>
      </c>
      <c r="AO305" t="s">
        <v>118</v>
      </c>
      <c r="AP305">
        <v>-89</v>
      </c>
      <c r="AQ305">
        <v>114</v>
      </c>
      <c r="AR305">
        <v>0</v>
      </c>
      <c r="AZ305">
        <v>1200</v>
      </c>
      <c r="BA305">
        <v>1</v>
      </c>
      <c r="BB305" t="str">
        <f t="shared" si="15"/>
        <v xml:space="preserve">N8080G  </v>
      </c>
      <c r="BC305">
        <v>1</v>
      </c>
      <c r="BE305">
        <v>0</v>
      </c>
      <c r="BF305">
        <v>0</v>
      </c>
      <c r="BG305">
        <v>0</v>
      </c>
      <c r="BH305">
        <v>1850</v>
      </c>
      <c r="BI305">
        <v>1</v>
      </c>
      <c r="BJ305">
        <v>1</v>
      </c>
      <c r="BK305">
        <v>1</v>
      </c>
      <c r="BL305">
        <v>0</v>
      </c>
      <c r="BO305">
        <v>0</v>
      </c>
      <c r="BP305">
        <v>0</v>
      </c>
      <c r="BW305" t="str">
        <f>"20:12:47.903"</f>
        <v>20:12:47.903</v>
      </c>
      <c r="CJ305">
        <v>0</v>
      </c>
      <c r="CK305">
        <v>2</v>
      </c>
      <c r="CL305">
        <v>0</v>
      </c>
      <c r="CM305">
        <v>2</v>
      </c>
      <c r="CN305">
        <v>0</v>
      </c>
      <c r="CO305">
        <v>6</v>
      </c>
      <c r="CP305" t="s">
        <v>119</v>
      </c>
      <c r="CQ305">
        <v>559</v>
      </c>
      <c r="CR305">
        <v>0</v>
      </c>
      <c r="CW305">
        <v>10399096</v>
      </c>
      <c r="CY305">
        <v>1</v>
      </c>
      <c r="CZ305">
        <v>0</v>
      </c>
      <c r="DA305">
        <v>1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</row>
    <row r="306" spans="1:113" x14ac:dyDescent="0.3">
      <c r="A306" t="str">
        <f>"02/08/2021 20:12:46.647"</f>
        <v>02/08/2021 20:12:46.647</v>
      </c>
      <c r="C306" t="str">
        <f t="shared" si="14"/>
        <v>FFDFD3C0</v>
      </c>
      <c r="D306" t="s">
        <v>113</v>
      </c>
      <c r="E306">
        <v>6</v>
      </c>
      <c r="H306">
        <v>165</v>
      </c>
      <c r="I306" t="s">
        <v>114</v>
      </c>
      <c r="J306" t="s">
        <v>115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>"20:12:48.945"</f>
        <v>20:12:48.945</v>
      </c>
      <c r="T306" t="str">
        <f>"20:12:48.545"</f>
        <v>20:12:48.545</v>
      </c>
      <c r="U306" t="str">
        <f t="shared" si="13"/>
        <v>AB01F4</v>
      </c>
      <c r="V306">
        <v>0</v>
      </c>
      <c r="W306">
        <v>0</v>
      </c>
      <c r="X306">
        <v>1</v>
      </c>
      <c r="Z306">
        <v>0</v>
      </c>
      <c r="AA306">
        <v>9</v>
      </c>
      <c r="AB306">
        <v>3</v>
      </c>
      <c r="AC306">
        <v>0</v>
      </c>
      <c r="AD306">
        <v>10</v>
      </c>
      <c r="AE306">
        <v>0</v>
      </c>
      <c r="AF306">
        <v>3</v>
      </c>
      <c r="AG306">
        <v>2</v>
      </c>
      <c r="AH306">
        <v>0</v>
      </c>
      <c r="AI306" t="s">
        <v>342</v>
      </c>
      <c r="AJ306">
        <v>39.537326999999998</v>
      </c>
      <c r="AK306" t="s">
        <v>343</v>
      </c>
      <c r="AL306">
        <v>-92.468468999999999</v>
      </c>
      <c r="AM306">
        <v>100</v>
      </c>
      <c r="AN306">
        <v>1900</v>
      </c>
      <c r="AO306" t="s">
        <v>118</v>
      </c>
      <c r="AP306">
        <v>-89</v>
      </c>
      <c r="AQ306">
        <v>115</v>
      </c>
      <c r="AR306">
        <v>0</v>
      </c>
      <c r="AZ306">
        <v>1200</v>
      </c>
      <c r="BA306">
        <v>1</v>
      </c>
      <c r="BB306" t="str">
        <f t="shared" si="15"/>
        <v xml:space="preserve">N8080G  </v>
      </c>
      <c r="BC306">
        <v>1</v>
      </c>
      <c r="BE306">
        <v>0</v>
      </c>
      <c r="BF306">
        <v>0</v>
      </c>
      <c r="BG306">
        <v>0</v>
      </c>
      <c r="BH306">
        <v>1850</v>
      </c>
      <c r="BI306">
        <v>1</v>
      </c>
      <c r="BJ306">
        <v>1</v>
      </c>
      <c r="BK306">
        <v>1</v>
      </c>
      <c r="BL306">
        <v>0</v>
      </c>
      <c r="BO306">
        <v>0</v>
      </c>
      <c r="BP306">
        <v>0</v>
      </c>
      <c r="BW306" t="str">
        <f>"20:12:48.950"</f>
        <v>20:12:48.950</v>
      </c>
      <c r="CJ306">
        <v>0</v>
      </c>
      <c r="CK306">
        <v>2</v>
      </c>
      <c r="CL306">
        <v>0</v>
      </c>
      <c r="CM306">
        <v>2</v>
      </c>
      <c r="CN306">
        <v>0</v>
      </c>
      <c r="CO306">
        <v>6</v>
      </c>
      <c r="CP306" t="s">
        <v>119</v>
      </c>
      <c r="CQ306">
        <v>180</v>
      </c>
      <c r="CR306">
        <v>2</v>
      </c>
      <c r="CW306">
        <v>7809000</v>
      </c>
      <c r="CY306">
        <v>1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</row>
    <row r="307" spans="1:113" x14ac:dyDescent="0.3">
      <c r="A307" t="str">
        <f>"02/08/2021 20:12:46.647"</f>
        <v>02/08/2021 20:12:46.647</v>
      </c>
      <c r="C307" t="str">
        <f t="shared" si="14"/>
        <v>FFDFD3C0</v>
      </c>
      <c r="D307" t="s">
        <v>141</v>
      </c>
      <c r="E307">
        <v>17</v>
      </c>
      <c r="H307">
        <v>256</v>
      </c>
      <c r="I307" t="s">
        <v>142</v>
      </c>
      <c r="J307" t="s">
        <v>143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>"20:12:48.945"</f>
        <v>20:12:48.945</v>
      </c>
      <c r="T307" t="str">
        <f>"20:12:48.545"</f>
        <v>20:12:48.545</v>
      </c>
      <c r="U307" t="str">
        <f t="shared" si="13"/>
        <v>AB01F4</v>
      </c>
      <c r="V307">
        <v>0</v>
      </c>
      <c r="W307">
        <v>0</v>
      </c>
      <c r="X307">
        <v>1</v>
      </c>
      <c r="Z307">
        <v>0</v>
      </c>
      <c r="AA307">
        <v>9</v>
      </c>
      <c r="AB307">
        <v>3</v>
      </c>
      <c r="AC307">
        <v>0</v>
      </c>
      <c r="AD307">
        <v>10</v>
      </c>
      <c r="AE307">
        <v>0</v>
      </c>
      <c r="AF307">
        <v>3</v>
      </c>
      <c r="AG307">
        <v>2</v>
      </c>
      <c r="AH307">
        <v>0</v>
      </c>
      <c r="AI307" t="s">
        <v>342</v>
      </c>
      <c r="AJ307">
        <v>39.537326999999998</v>
      </c>
      <c r="AK307" t="s">
        <v>343</v>
      </c>
      <c r="AL307">
        <v>-92.468468999999999</v>
      </c>
      <c r="AM307">
        <v>100</v>
      </c>
      <c r="AN307">
        <v>1900</v>
      </c>
      <c r="AO307" t="s">
        <v>118</v>
      </c>
      <c r="AP307">
        <v>-89</v>
      </c>
      <c r="AQ307">
        <v>115</v>
      </c>
      <c r="AR307">
        <v>0</v>
      </c>
      <c r="AZ307">
        <v>1200</v>
      </c>
      <c r="BA307">
        <v>1</v>
      </c>
      <c r="BB307" t="str">
        <f t="shared" si="15"/>
        <v xml:space="preserve">N8080G  </v>
      </c>
      <c r="BC307">
        <v>1</v>
      </c>
      <c r="BE307">
        <v>0</v>
      </c>
      <c r="BF307">
        <v>0</v>
      </c>
      <c r="BG307">
        <v>0</v>
      </c>
      <c r="BH307">
        <v>1850</v>
      </c>
      <c r="BI307">
        <v>1</v>
      </c>
      <c r="BJ307">
        <v>1</v>
      </c>
      <c r="BK307">
        <v>1</v>
      </c>
      <c r="BL307">
        <v>0</v>
      </c>
      <c r="BO307">
        <v>0</v>
      </c>
      <c r="BP307">
        <v>0</v>
      </c>
      <c r="BW307" t="str">
        <f>"20:12:48.950"</f>
        <v>20:12:48.950</v>
      </c>
      <c r="CJ307">
        <v>0</v>
      </c>
      <c r="CK307">
        <v>2</v>
      </c>
      <c r="CL307">
        <v>0</v>
      </c>
      <c r="CM307">
        <v>2</v>
      </c>
      <c r="CN307">
        <v>0</v>
      </c>
      <c r="CO307">
        <v>5</v>
      </c>
      <c r="CP307" t="s">
        <v>119</v>
      </c>
      <c r="CQ307">
        <v>559</v>
      </c>
      <c r="CR307">
        <v>0</v>
      </c>
      <c r="CW307">
        <v>10399250</v>
      </c>
      <c r="CY307">
        <v>1</v>
      </c>
      <c r="CZ307">
        <v>0</v>
      </c>
      <c r="DA307">
        <v>1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</row>
    <row r="308" spans="1:113" x14ac:dyDescent="0.3">
      <c r="A308" t="str">
        <f>"02/08/2021 20:12:46.647"</f>
        <v>02/08/2021 20:12:46.647</v>
      </c>
      <c r="C308" t="str">
        <f t="shared" si="14"/>
        <v>FFDFD3C0</v>
      </c>
      <c r="D308" t="s">
        <v>124</v>
      </c>
      <c r="E308">
        <v>13</v>
      </c>
      <c r="F308">
        <v>1013</v>
      </c>
      <c r="G308" t="s">
        <v>114</v>
      </c>
      <c r="J308" t="s">
        <v>125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>"20:12:48.945"</f>
        <v>20:12:48.945</v>
      </c>
      <c r="T308" t="str">
        <f>"20:12:48.545"</f>
        <v>20:12:48.545</v>
      </c>
      <c r="U308" t="str">
        <f t="shared" si="13"/>
        <v>AB01F4</v>
      </c>
      <c r="V308">
        <v>0</v>
      </c>
      <c r="W308">
        <v>0</v>
      </c>
      <c r="X308">
        <v>1</v>
      </c>
      <c r="Z308">
        <v>0</v>
      </c>
      <c r="AA308">
        <v>9</v>
      </c>
      <c r="AB308">
        <v>3</v>
      </c>
      <c r="AC308">
        <v>0</v>
      </c>
      <c r="AD308">
        <v>10</v>
      </c>
      <c r="AE308">
        <v>0</v>
      </c>
      <c r="AF308">
        <v>3</v>
      </c>
      <c r="AG308">
        <v>2</v>
      </c>
      <c r="AH308">
        <v>0</v>
      </c>
      <c r="AI308" t="s">
        <v>342</v>
      </c>
      <c r="AJ308">
        <v>39.537326999999998</v>
      </c>
      <c r="AK308" t="s">
        <v>343</v>
      </c>
      <c r="AL308">
        <v>-92.468468999999999</v>
      </c>
      <c r="AM308">
        <v>100</v>
      </c>
      <c r="AN308">
        <v>1900</v>
      </c>
      <c r="AO308" t="s">
        <v>118</v>
      </c>
      <c r="AP308">
        <v>-89</v>
      </c>
      <c r="AQ308">
        <v>115</v>
      </c>
      <c r="AR308">
        <v>0</v>
      </c>
      <c r="AZ308">
        <v>1200</v>
      </c>
      <c r="BA308">
        <v>1</v>
      </c>
      <c r="BB308" t="str">
        <f t="shared" si="15"/>
        <v xml:space="preserve">N8080G  </v>
      </c>
      <c r="BC308">
        <v>1</v>
      </c>
      <c r="BE308">
        <v>0</v>
      </c>
      <c r="BF308">
        <v>0</v>
      </c>
      <c r="BG308">
        <v>0</v>
      </c>
      <c r="BH308">
        <v>1850</v>
      </c>
      <c r="BI308">
        <v>1</v>
      </c>
      <c r="BJ308">
        <v>1</v>
      </c>
      <c r="BK308">
        <v>1</v>
      </c>
      <c r="BL308">
        <v>0</v>
      </c>
      <c r="BO308">
        <v>0</v>
      </c>
      <c r="BP308">
        <v>0</v>
      </c>
      <c r="BW308" t="str">
        <f>"20:12:48.950"</f>
        <v>20:12:48.950</v>
      </c>
      <c r="CJ308">
        <v>0</v>
      </c>
      <c r="CK308">
        <v>2</v>
      </c>
      <c r="CL308">
        <v>0</v>
      </c>
      <c r="CM308">
        <v>2</v>
      </c>
      <c r="CN308">
        <v>0</v>
      </c>
      <c r="CO308">
        <v>6</v>
      </c>
      <c r="CP308" t="s">
        <v>119</v>
      </c>
      <c r="CQ308">
        <v>180</v>
      </c>
      <c r="CR308">
        <v>2</v>
      </c>
      <c r="CW308">
        <v>7809000</v>
      </c>
      <c r="CY308">
        <v>1</v>
      </c>
      <c r="CZ308">
        <v>0</v>
      </c>
      <c r="DA308">
        <v>1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</row>
    <row r="309" spans="1:113" x14ac:dyDescent="0.3">
      <c r="A309" t="str">
        <f>"02/08/2021 20:12:47.636"</f>
        <v>02/08/2021 20:12:47.636</v>
      </c>
      <c r="C309" t="str">
        <f t="shared" si="14"/>
        <v>FFDFD3C0</v>
      </c>
      <c r="D309" t="s">
        <v>141</v>
      </c>
      <c r="E309">
        <v>17</v>
      </c>
      <c r="H309">
        <v>256</v>
      </c>
      <c r="I309" t="s">
        <v>142</v>
      </c>
      <c r="J309" t="s">
        <v>143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>"20:12:49.977"</f>
        <v>20:12:49.977</v>
      </c>
      <c r="U309" t="str">
        <f t="shared" si="13"/>
        <v>AB01F4</v>
      </c>
      <c r="V309">
        <v>0</v>
      </c>
      <c r="W309">
        <v>0</v>
      </c>
      <c r="X309">
        <v>1</v>
      </c>
      <c r="Z309">
        <v>0</v>
      </c>
      <c r="AA309">
        <v>9</v>
      </c>
      <c r="AB309">
        <v>3</v>
      </c>
      <c r="AC309">
        <v>0</v>
      </c>
      <c r="AD309">
        <v>10</v>
      </c>
      <c r="AE309">
        <v>0</v>
      </c>
      <c r="AF309">
        <v>3</v>
      </c>
      <c r="AG309">
        <v>2</v>
      </c>
      <c r="AH309">
        <v>0</v>
      </c>
      <c r="AI309" t="s">
        <v>344</v>
      </c>
      <c r="AJ309">
        <v>39.537821000000001</v>
      </c>
      <c r="AK309" t="s">
        <v>345</v>
      </c>
      <c r="AL309">
        <v>-92.469005999999993</v>
      </c>
      <c r="AM309">
        <v>100</v>
      </c>
      <c r="AN309">
        <v>1900</v>
      </c>
      <c r="AO309" t="s">
        <v>118</v>
      </c>
      <c r="AP309">
        <v>-88</v>
      </c>
      <c r="AQ309">
        <v>115</v>
      </c>
      <c r="AR309">
        <v>128</v>
      </c>
      <c r="AZ309">
        <v>1200</v>
      </c>
      <c r="BA309">
        <v>1</v>
      </c>
      <c r="BB309" t="str">
        <f t="shared" si="15"/>
        <v xml:space="preserve">N8080G  </v>
      </c>
      <c r="BC309">
        <v>1</v>
      </c>
      <c r="BE309">
        <v>0</v>
      </c>
      <c r="BF309">
        <v>0</v>
      </c>
      <c r="BG309">
        <v>0</v>
      </c>
      <c r="BH309">
        <v>1850</v>
      </c>
      <c r="BI309">
        <v>1</v>
      </c>
      <c r="BJ309">
        <v>1</v>
      </c>
      <c r="BK309">
        <v>1</v>
      </c>
      <c r="BL309">
        <v>0</v>
      </c>
      <c r="BO309">
        <v>0</v>
      </c>
      <c r="BP309">
        <v>0</v>
      </c>
      <c r="BW309" t="str">
        <f>"20:12:49.979"</f>
        <v>20:12:49.979</v>
      </c>
      <c r="CJ309">
        <v>0</v>
      </c>
      <c r="CK309">
        <v>2</v>
      </c>
      <c r="CL309">
        <v>0</v>
      </c>
      <c r="CM309">
        <v>2</v>
      </c>
      <c r="CN309">
        <v>0</v>
      </c>
      <c r="CO309">
        <v>5</v>
      </c>
      <c r="CP309" t="s">
        <v>119</v>
      </c>
      <c r="CQ309">
        <v>559</v>
      </c>
      <c r="CR309">
        <v>0</v>
      </c>
      <c r="CW309">
        <v>10399413</v>
      </c>
      <c r="CY309">
        <v>1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</row>
    <row r="310" spans="1:113" x14ac:dyDescent="0.3">
      <c r="A310" t="str">
        <f>"02/08/2021 20:12:47.636"</f>
        <v>02/08/2021 20:12:47.636</v>
      </c>
      <c r="C310" t="str">
        <f t="shared" si="14"/>
        <v>FFDFD3C0</v>
      </c>
      <c r="D310" t="s">
        <v>124</v>
      </c>
      <c r="E310">
        <v>13</v>
      </c>
      <c r="F310">
        <v>1013</v>
      </c>
      <c r="G310" t="s">
        <v>114</v>
      </c>
      <c r="J310" t="s">
        <v>125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>"20:12:49.977"</f>
        <v>20:12:49.977</v>
      </c>
      <c r="U310" t="str">
        <f t="shared" si="13"/>
        <v>AB01F4</v>
      </c>
      <c r="V310">
        <v>0</v>
      </c>
      <c r="W310">
        <v>0</v>
      </c>
      <c r="X310">
        <v>1</v>
      </c>
      <c r="Z310">
        <v>0</v>
      </c>
      <c r="AA310">
        <v>9</v>
      </c>
      <c r="AB310">
        <v>3</v>
      </c>
      <c r="AC310">
        <v>0</v>
      </c>
      <c r="AD310">
        <v>10</v>
      </c>
      <c r="AE310">
        <v>0</v>
      </c>
      <c r="AF310">
        <v>3</v>
      </c>
      <c r="AG310">
        <v>2</v>
      </c>
      <c r="AH310">
        <v>0</v>
      </c>
      <c r="AI310" t="s">
        <v>344</v>
      </c>
      <c r="AJ310">
        <v>39.537821000000001</v>
      </c>
      <c r="AK310" t="s">
        <v>345</v>
      </c>
      <c r="AL310">
        <v>-92.469005999999993</v>
      </c>
      <c r="AM310">
        <v>100</v>
      </c>
      <c r="AN310">
        <v>1900</v>
      </c>
      <c r="AO310" t="s">
        <v>118</v>
      </c>
      <c r="AP310">
        <v>-88</v>
      </c>
      <c r="AQ310">
        <v>115</v>
      </c>
      <c r="AR310">
        <v>128</v>
      </c>
      <c r="AZ310">
        <v>1200</v>
      </c>
      <c r="BA310">
        <v>1</v>
      </c>
      <c r="BB310" t="str">
        <f t="shared" si="15"/>
        <v xml:space="preserve">N8080G  </v>
      </c>
      <c r="BC310">
        <v>1</v>
      </c>
      <c r="BE310">
        <v>0</v>
      </c>
      <c r="BF310">
        <v>0</v>
      </c>
      <c r="BG310">
        <v>0</v>
      </c>
      <c r="BH310">
        <v>1850</v>
      </c>
      <c r="BI310">
        <v>1</v>
      </c>
      <c r="BJ310">
        <v>1</v>
      </c>
      <c r="BK310">
        <v>1</v>
      </c>
      <c r="BL310">
        <v>0</v>
      </c>
      <c r="BO310">
        <v>0</v>
      </c>
      <c r="BP310">
        <v>0</v>
      </c>
      <c r="BW310" t="str">
        <f>"20:12:49.979"</f>
        <v>20:12:49.979</v>
      </c>
      <c r="CJ310">
        <v>0</v>
      </c>
      <c r="CK310">
        <v>2</v>
      </c>
      <c r="CL310">
        <v>0</v>
      </c>
      <c r="CM310">
        <v>2</v>
      </c>
      <c r="CN310">
        <v>0</v>
      </c>
      <c r="CO310">
        <v>5</v>
      </c>
      <c r="CP310" t="s">
        <v>119</v>
      </c>
      <c r="CQ310">
        <v>559</v>
      </c>
      <c r="CR310">
        <v>0</v>
      </c>
      <c r="CW310">
        <v>10399413</v>
      </c>
      <c r="CY310">
        <v>1</v>
      </c>
      <c r="CZ310">
        <v>0</v>
      </c>
      <c r="DA310">
        <v>1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</row>
    <row r="311" spans="1:113" x14ac:dyDescent="0.3">
      <c r="A311" t="str">
        <f>"02/08/2021 20:12:47.636"</f>
        <v>02/08/2021 20:12:47.636</v>
      </c>
      <c r="C311" t="str">
        <f t="shared" si="14"/>
        <v>FFDFD3C0</v>
      </c>
      <c r="D311" t="s">
        <v>113</v>
      </c>
      <c r="E311">
        <v>6</v>
      </c>
      <c r="H311">
        <v>165</v>
      </c>
      <c r="I311" t="s">
        <v>114</v>
      </c>
      <c r="J311" t="s">
        <v>115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>"20:12:49.977"</f>
        <v>20:12:49.977</v>
      </c>
      <c r="U311" t="str">
        <f t="shared" si="13"/>
        <v>AB01F4</v>
      </c>
      <c r="V311">
        <v>0</v>
      </c>
      <c r="W311">
        <v>0</v>
      </c>
      <c r="X311">
        <v>1</v>
      </c>
      <c r="Z311">
        <v>0</v>
      </c>
      <c r="AA311">
        <v>9</v>
      </c>
      <c r="AB311">
        <v>3</v>
      </c>
      <c r="AC311">
        <v>0</v>
      </c>
      <c r="AD311">
        <v>10</v>
      </c>
      <c r="AE311">
        <v>0</v>
      </c>
      <c r="AF311">
        <v>3</v>
      </c>
      <c r="AG311">
        <v>2</v>
      </c>
      <c r="AH311">
        <v>0</v>
      </c>
      <c r="AI311" t="s">
        <v>344</v>
      </c>
      <c r="AJ311">
        <v>39.537821000000001</v>
      </c>
      <c r="AK311" t="s">
        <v>345</v>
      </c>
      <c r="AL311">
        <v>-92.469005999999993</v>
      </c>
      <c r="AM311">
        <v>100</v>
      </c>
      <c r="AN311">
        <v>1900</v>
      </c>
      <c r="AO311" t="s">
        <v>118</v>
      </c>
      <c r="AP311">
        <v>-88</v>
      </c>
      <c r="AQ311">
        <v>115</v>
      </c>
      <c r="AR311">
        <v>128</v>
      </c>
      <c r="AZ311">
        <v>1200</v>
      </c>
      <c r="BA311">
        <v>1</v>
      </c>
      <c r="BB311" t="str">
        <f t="shared" si="15"/>
        <v xml:space="preserve">N8080G  </v>
      </c>
      <c r="BC311">
        <v>1</v>
      </c>
      <c r="BE311">
        <v>0</v>
      </c>
      <c r="BF311">
        <v>0</v>
      </c>
      <c r="BG311">
        <v>0</v>
      </c>
      <c r="BH311">
        <v>1850</v>
      </c>
      <c r="BI311">
        <v>1</v>
      </c>
      <c r="BJ311">
        <v>1</v>
      </c>
      <c r="BK311">
        <v>1</v>
      </c>
      <c r="BL311">
        <v>0</v>
      </c>
      <c r="BO311">
        <v>0</v>
      </c>
      <c r="BP311">
        <v>0</v>
      </c>
      <c r="BW311" t="str">
        <f>"20:12:49.979"</f>
        <v>20:12:49.979</v>
      </c>
      <c r="CJ311">
        <v>0</v>
      </c>
      <c r="CK311">
        <v>2</v>
      </c>
      <c r="CL311">
        <v>0</v>
      </c>
      <c r="CM311">
        <v>2</v>
      </c>
      <c r="CN311">
        <v>0</v>
      </c>
      <c r="CO311">
        <v>5</v>
      </c>
      <c r="CP311" t="s">
        <v>119</v>
      </c>
      <c r="CQ311">
        <v>559</v>
      </c>
      <c r="CR311">
        <v>0</v>
      </c>
      <c r="CW311">
        <v>10399413</v>
      </c>
      <c r="CY311">
        <v>1</v>
      </c>
      <c r="CZ311">
        <v>0</v>
      </c>
      <c r="DA311">
        <v>1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</row>
    <row r="312" spans="1:113" x14ac:dyDescent="0.3">
      <c r="A312" t="str">
        <f>"02/08/2021 20:12:48.561"</f>
        <v>02/08/2021 20:12:48.561</v>
      </c>
      <c r="C312" t="str">
        <f t="shared" si="14"/>
        <v>FFDFD3C0</v>
      </c>
      <c r="D312" t="s">
        <v>124</v>
      </c>
      <c r="E312">
        <v>13</v>
      </c>
      <c r="F312">
        <v>1013</v>
      </c>
      <c r="G312" t="s">
        <v>114</v>
      </c>
      <c r="J312" t="s">
        <v>125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>"20:12:50.883"</f>
        <v>20:12:50.883</v>
      </c>
      <c r="T312" t="str">
        <f>"20:12:50.483"</f>
        <v>20:12:50.483</v>
      </c>
      <c r="U312" t="str">
        <f t="shared" si="13"/>
        <v>AB01F4</v>
      </c>
      <c r="V312">
        <v>0</v>
      </c>
      <c r="W312">
        <v>0</v>
      </c>
      <c r="X312">
        <v>1</v>
      </c>
      <c r="Z312">
        <v>0</v>
      </c>
      <c r="AA312">
        <v>9</v>
      </c>
      <c r="AB312">
        <v>3</v>
      </c>
      <c r="AC312">
        <v>0</v>
      </c>
      <c r="AD312">
        <v>10</v>
      </c>
      <c r="AE312">
        <v>0</v>
      </c>
      <c r="AF312">
        <v>3</v>
      </c>
      <c r="AG312">
        <v>2</v>
      </c>
      <c r="AH312">
        <v>0</v>
      </c>
      <c r="AI312" t="s">
        <v>346</v>
      </c>
      <c r="AJ312">
        <v>39.538314</v>
      </c>
      <c r="AK312" t="s">
        <v>347</v>
      </c>
      <c r="AL312">
        <v>-92.469413000000003</v>
      </c>
      <c r="AM312">
        <v>100</v>
      </c>
      <c r="AN312">
        <v>1900</v>
      </c>
      <c r="AO312" t="s">
        <v>118</v>
      </c>
      <c r="AP312">
        <v>-87</v>
      </c>
      <c r="AQ312">
        <v>115</v>
      </c>
      <c r="AR312">
        <v>192</v>
      </c>
      <c r="AZ312">
        <v>1200</v>
      </c>
      <c r="BA312">
        <v>1</v>
      </c>
      <c r="BB312" t="str">
        <f t="shared" si="15"/>
        <v xml:space="preserve">N8080G  </v>
      </c>
      <c r="BC312">
        <v>1</v>
      </c>
      <c r="BE312">
        <v>0</v>
      </c>
      <c r="BF312">
        <v>0</v>
      </c>
      <c r="BG312">
        <v>0</v>
      </c>
      <c r="BH312">
        <v>1850</v>
      </c>
      <c r="BI312">
        <v>1</v>
      </c>
      <c r="BJ312">
        <v>1</v>
      </c>
      <c r="BK312">
        <v>1</v>
      </c>
      <c r="BL312">
        <v>0</v>
      </c>
      <c r="BO312">
        <v>0</v>
      </c>
      <c r="BP312">
        <v>0</v>
      </c>
      <c r="BW312" t="str">
        <f>"20:12:50.888"</f>
        <v>20:12:50.888</v>
      </c>
      <c r="CJ312">
        <v>0</v>
      </c>
      <c r="CK312">
        <v>2</v>
      </c>
      <c r="CL312">
        <v>0</v>
      </c>
      <c r="CM312">
        <v>2</v>
      </c>
      <c r="CN312">
        <v>0</v>
      </c>
      <c r="CO312">
        <v>6</v>
      </c>
      <c r="CP312" t="s">
        <v>119</v>
      </c>
      <c r="CQ312">
        <v>180</v>
      </c>
      <c r="CR312">
        <v>2</v>
      </c>
      <c r="CW312">
        <v>7810568</v>
      </c>
      <c r="CY312">
        <v>1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</row>
    <row r="313" spans="1:113" x14ac:dyDescent="0.3">
      <c r="A313" t="str">
        <f>"02/08/2021 20:12:48.561"</f>
        <v>02/08/2021 20:12:48.561</v>
      </c>
      <c r="C313" t="str">
        <f t="shared" si="14"/>
        <v>FFDFD3C0</v>
      </c>
      <c r="D313" t="s">
        <v>141</v>
      </c>
      <c r="E313">
        <v>17</v>
      </c>
      <c r="H313">
        <v>256</v>
      </c>
      <c r="I313" t="s">
        <v>142</v>
      </c>
      <c r="J313" t="s">
        <v>143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>"20:12:50.883"</f>
        <v>20:12:50.883</v>
      </c>
      <c r="T313" t="str">
        <f>"20:12:50.483"</f>
        <v>20:12:50.483</v>
      </c>
      <c r="U313" t="str">
        <f t="shared" si="13"/>
        <v>AB01F4</v>
      </c>
      <c r="V313">
        <v>0</v>
      </c>
      <c r="W313">
        <v>0</v>
      </c>
      <c r="X313">
        <v>1</v>
      </c>
      <c r="Z313">
        <v>0</v>
      </c>
      <c r="AA313">
        <v>9</v>
      </c>
      <c r="AB313">
        <v>3</v>
      </c>
      <c r="AC313">
        <v>0</v>
      </c>
      <c r="AD313">
        <v>10</v>
      </c>
      <c r="AE313">
        <v>0</v>
      </c>
      <c r="AF313">
        <v>3</v>
      </c>
      <c r="AG313">
        <v>2</v>
      </c>
      <c r="AH313">
        <v>0</v>
      </c>
      <c r="AI313" t="s">
        <v>346</v>
      </c>
      <c r="AJ313">
        <v>39.538314</v>
      </c>
      <c r="AK313" t="s">
        <v>347</v>
      </c>
      <c r="AL313">
        <v>-92.469413000000003</v>
      </c>
      <c r="AM313">
        <v>100</v>
      </c>
      <c r="AN313">
        <v>1900</v>
      </c>
      <c r="AO313" t="s">
        <v>118</v>
      </c>
      <c r="AP313">
        <v>-87</v>
      </c>
      <c r="AQ313">
        <v>115</v>
      </c>
      <c r="AR313">
        <v>192</v>
      </c>
      <c r="AZ313">
        <v>1200</v>
      </c>
      <c r="BA313">
        <v>1</v>
      </c>
      <c r="BB313" t="str">
        <f t="shared" si="15"/>
        <v xml:space="preserve">N8080G  </v>
      </c>
      <c r="BC313">
        <v>1</v>
      </c>
      <c r="BE313">
        <v>0</v>
      </c>
      <c r="BF313">
        <v>0</v>
      </c>
      <c r="BG313">
        <v>0</v>
      </c>
      <c r="BH313">
        <v>1850</v>
      </c>
      <c r="BI313">
        <v>1</v>
      </c>
      <c r="BJ313">
        <v>1</v>
      </c>
      <c r="BK313">
        <v>1</v>
      </c>
      <c r="BL313">
        <v>0</v>
      </c>
      <c r="BO313">
        <v>0</v>
      </c>
      <c r="BP313">
        <v>0</v>
      </c>
      <c r="BW313" t="str">
        <f>"20:12:50.888"</f>
        <v>20:12:50.888</v>
      </c>
      <c r="CJ313">
        <v>0</v>
      </c>
      <c r="CK313">
        <v>2</v>
      </c>
      <c r="CL313">
        <v>0</v>
      </c>
      <c r="CM313">
        <v>2</v>
      </c>
      <c r="CN313">
        <v>0</v>
      </c>
      <c r="CO313">
        <v>5</v>
      </c>
      <c r="CP313" t="s">
        <v>119</v>
      </c>
      <c r="CQ313">
        <v>559</v>
      </c>
      <c r="CR313">
        <v>0</v>
      </c>
      <c r="CW313">
        <v>10399555</v>
      </c>
      <c r="CY313">
        <v>1</v>
      </c>
      <c r="CZ313">
        <v>0</v>
      </c>
      <c r="DA313">
        <v>1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</row>
    <row r="314" spans="1:113" x14ac:dyDescent="0.3">
      <c r="A314" t="str">
        <f>"02/08/2021 20:12:48.561"</f>
        <v>02/08/2021 20:12:48.561</v>
      </c>
      <c r="C314" t="str">
        <f t="shared" si="14"/>
        <v>FFDFD3C0</v>
      </c>
      <c r="D314" t="s">
        <v>113</v>
      </c>
      <c r="E314">
        <v>6</v>
      </c>
      <c r="H314">
        <v>165</v>
      </c>
      <c r="I314" t="s">
        <v>114</v>
      </c>
      <c r="J314" t="s">
        <v>115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>"20:12:50.883"</f>
        <v>20:12:50.883</v>
      </c>
      <c r="T314" t="str">
        <f>"20:12:50.483"</f>
        <v>20:12:50.483</v>
      </c>
      <c r="U314" t="str">
        <f t="shared" si="13"/>
        <v>AB01F4</v>
      </c>
      <c r="V314">
        <v>0</v>
      </c>
      <c r="W314">
        <v>0</v>
      </c>
      <c r="X314">
        <v>1</v>
      </c>
      <c r="Z314">
        <v>0</v>
      </c>
      <c r="AA314">
        <v>9</v>
      </c>
      <c r="AB314">
        <v>3</v>
      </c>
      <c r="AC314">
        <v>0</v>
      </c>
      <c r="AD314">
        <v>10</v>
      </c>
      <c r="AE314">
        <v>0</v>
      </c>
      <c r="AF314">
        <v>3</v>
      </c>
      <c r="AG314">
        <v>2</v>
      </c>
      <c r="AH314">
        <v>0</v>
      </c>
      <c r="AI314" t="s">
        <v>346</v>
      </c>
      <c r="AJ314">
        <v>39.538314</v>
      </c>
      <c r="AK314" t="s">
        <v>347</v>
      </c>
      <c r="AL314">
        <v>-92.469413000000003</v>
      </c>
      <c r="AM314">
        <v>100</v>
      </c>
      <c r="AN314">
        <v>1900</v>
      </c>
      <c r="AO314" t="s">
        <v>118</v>
      </c>
      <c r="AP314">
        <v>-87</v>
      </c>
      <c r="AQ314">
        <v>115</v>
      </c>
      <c r="AR314">
        <v>192</v>
      </c>
      <c r="AZ314">
        <v>1200</v>
      </c>
      <c r="BA314">
        <v>1</v>
      </c>
      <c r="BB314" t="str">
        <f t="shared" si="15"/>
        <v xml:space="preserve">N8080G  </v>
      </c>
      <c r="BC314">
        <v>1</v>
      </c>
      <c r="BE314">
        <v>0</v>
      </c>
      <c r="BF314">
        <v>0</v>
      </c>
      <c r="BG314">
        <v>0</v>
      </c>
      <c r="BH314">
        <v>1850</v>
      </c>
      <c r="BI314">
        <v>1</v>
      </c>
      <c r="BJ314">
        <v>1</v>
      </c>
      <c r="BK314">
        <v>1</v>
      </c>
      <c r="BL314">
        <v>0</v>
      </c>
      <c r="BO314">
        <v>0</v>
      </c>
      <c r="BP314">
        <v>0</v>
      </c>
      <c r="BW314" t="str">
        <f>"20:12:50.888"</f>
        <v>20:12:50.888</v>
      </c>
      <c r="CJ314">
        <v>0</v>
      </c>
      <c r="CK314">
        <v>2</v>
      </c>
      <c r="CL314">
        <v>0</v>
      </c>
      <c r="CM314">
        <v>2</v>
      </c>
      <c r="CN314">
        <v>0</v>
      </c>
      <c r="CO314">
        <v>6</v>
      </c>
      <c r="CP314" t="s">
        <v>119</v>
      </c>
      <c r="CQ314">
        <v>180</v>
      </c>
      <c r="CR314">
        <v>2</v>
      </c>
      <c r="CW314">
        <v>7810568</v>
      </c>
      <c r="CY314">
        <v>1</v>
      </c>
      <c r="CZ314">
        <v>0</v>
      </c>
      <c r="DA314">
        <v>1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</row>
    <row r="315" spans="1:113" x14ac:dyDescent="0.3">
      <c r="A315" t="str">
        <f>"02/08/2021 20:12:49.454"</f>
        <v>02/08/2021 20:12:49.454</v>
      </c>
      <c r="C315" t="str">
        <f t="shared" si="14"/>
        <v>FFDFD3C0</v>
      </c>
      <c r="D315" t="s">
        <v>141</v>
      </c>
      <c r="E315">
        <v>17</v>
      </c>
      <c r="H315">
        <v>256</v>
      </c>
      <c r="I315" t="s">
        <v>142</v>
      </c>
      <c r="J315" t="s">
        <v>143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>"20:12:51.789"</f>
        <v>20:12:51.789</v>
      </c>
      <c r="T315" t="str">
        <f>"20:12:51.389"</f>
        <v>20:12:51.389</v>
      </c>
      <c r="U315" t="str">
        <f t="shared" si="13"/>
        <v>AB01F4</v>
      </c>
      <c r="V315">
        <v>0</v>
      </c>
      <c r="W315">
        <v>0</v>
      </c>
      <c r="X315">
        <v>1</v>
      </c>
      <c r="Z315">
        <v>0</v>
      </c>
      <c r="AA315">
        <v>9</v>
      </c>
      <c r="AB315">
        <v>3</v>
      </c>
      <c r="AC315">
        <v>0</v>
      </c>
      <c r="AD315">
        <v>10</v>
      </c>
      <c r="AE315">
        <v>0</v>
      </c>
      <c r="AF315">
        <v>3</v>
      </c>
      <c r="AG315">
        <v>2</v>
      </c>
      <c r="AH315">
        <v>0</v>
      </c>
      <c r="AI315" t="s">
        <v>348</v>
      </c>
      <c r="AJ315">
        <v>39.538786000000002</v>
      </c>
      <c r="AK315" t="s">
        <v>349</v>
      </c>
      <c r="AL315">
        <v>-92.469885000000005</v>
      </c>
      <c r="AM315">
        <v>100</v>
      </c>
      <c r="AN315">
        <v>1900</v>
      </c>
      <c r="AO315" t="s">
        <v>118</v>
      </c>
      <c r="AP315">
        <v>-87</v>
      </c>
      <c r="AQ315">
        <v>115</v>
      </c>
      <c r="AR315">
        <v>128</v>
      </c>
      <c r="AZ315">
        <v>1200</v>
      </c>
      <c r="BA315">
        <v>1</v>
      </c>
      <c r="BB315" t="str">
        <f t="shared" si="15"/>
        <v xml:space="preserve">N8080G  </v>
      </c>
      <c r="BC315">
        <v>1</v>
      </c>
      <c r="BE315">
        <v>0</v>
      </c>
      <c r="BF315">
        <v>0</v>
      </c>
      <c r="BG315">
        <v>0</v>
      </c>
      <c r="BH315">
        <v>1850</v>
      </c>
      <c r="BI315">
        <v>1</v>
      </c>
      <c r="BJ315">
        <v>1</v>
      </c>
      <c r="BK315">
        <v>1</v>
      </c>
      <c r="BL315">
        <v>0</v>
      </c>
      <c r="BO315">
        <v>0</v>
      </c>
      <c r="BP315">
        <v>0</v>
      </c>
      <c r="BW315" t="str">
        <f>"20:12:51.793"</f>
        <v>20:12:51.793</v>
      </c>
      <c r="CJ315">
        <v>0</v>
      </c>
      <c r="CK315">
        <v>2</v>
      </c>
      <c r="CL315">
        <v>0</v>
      </c>
      <c r="CM315">
        <v>2</v>
      </c>
      <c r="CN315">
        <v>0</v>
      </c>
      <c r="CO315">
        <v>5</v>
      </c>
      <c r="CP315" t="s">
        <v>119</v>
      </c>
      <c r="CQ315">
        <v>559</v>
      </c>
      <c r="CR315">
        <v>0</v>
      </c>
      <c r="CW315">
        <v>10399702</v>
      </c>
      <c r="CY315">
        <v>1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</row>
    <row r="316" spans="1:113" x14ac:dyDescent="0.3">
      <c r="A316" t="str">
        <f>"02/08/2021 20:12:49.454"</f>
        <v>02/08/2021 20:12:49.454</v>
      </c>
      <c r="C316" t="str">
        <f t="shared" si="14"/>
        <v>FFDFD3C0</v>
      </c>
      <c r="D316" t="s">
        <v>124</v>
      </c>
      <c r="E316">
        <v>13</v>
      </c>
      <c r="F316">
        <v>1013</v>
      </c>
      <c r="G316" t="s">
        <v>114</v>
      </c>
      <c r="J316" t="s">
        <v>125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>"20:12:51.789"</f>
        <v>20:12:51.789</v>
      </c>
      <c r="T316" t="str">
        <f>"20:12:51.389"</f>
        <v>20:12:51.389</v>
      </c>
      <c r="U316" t="str">
        <f t="shared" si="13"/>
        <v>AB01F4</v>
      </c>
      <c r="V316">
        <v>0</v>
      </c>
      <c r="W316">
        <v>0</v>
      </c>
      <c r="X316">
        <v>1</v>
      </c>
      <c r="Z316">
        <v>0</v>
      </c>
      <c r="AA316">
        <v>9</v>
      </c>
      <c r="AB316">
        <v>3</v>
      </c>
      <c r="AC316">
        <v>0</v>
      </c>
      <c r="AD316">
        <v>10</v>
      </c>
      <c r="AE316">
        <v>0</v>
      </c>
      <c r="AF316">
        <v>3</v>
      </c>
      <c r="AG316">
        <v>2</v>
      </c>
      <c r="AH316">
        <v>0</v>
      </c>
      <c r="AI316" t="s">
        <v>348</v>
      </c>
      <c r="AJ316">
        <v>39.538786000000002</v>
      </c>
      <c r="AK316" t="s">
        <v>349</v>
      </c>
      <c r="AL316">
        <v>-92.469885000000005</v>
      </c>
      <c r="AM316">
        <v>100</v>
      </c>
      <c r="AN316">
        <v>1900</v>
      </c>
      <c r="AO316" t="s">
        <v>118</v>
      </c>
      <c r="AP316">
        <v>-87</v>
      </c>
      <c r="AQ316">
        <v>115</v>
      </c>
      <c r="AR316">
        <v>128</v>
      </c>
      <c r="AZ316">
        <v>1200</v>
      </c>
      <c r="BA316">
        <v>1</v>
      </c>
      <c r="BB316" t="str">
        <f t="shared" si="15"/>
        <v xml:space="preserve">N8080G  </v>
      </c>
      <c r="BC316">
        <v>1</v>
      </c>
      <c r="BE316">
        <v>0</v>
      </c>
      <c r="BF316">
        <v>0</v>
      </c>
      <c r="BG316">
        <v>0</v>
      </c>
      <c r="BH316">
        <v>1850</v>
      </c>
      <c r="BI316">
        <v>1</v>
      </c>
      <c r="BJ316">
        <v>1</v>
      </c>
      <c r="BK316">
        <v>1</v>
      </c>
      <c r="BL316">
        <v>0</v>
      </c>
      <c r="BO316">
        <v>0</v>
      </c>
      <c r="BP316">
        <v>0</v>
      </c>
      <c r="BW316" t="str">
        <f>"20:12:51.793"</f>
        <v>20:12:51.793</v>
      </c>
      <c r="CJ316">
        <v>0</v>
      </c>
      <c r="CK316">
        <v>2</v>
      </c>
      <c r="CL316">
        <v>0</v>
      </c>
      <c r="CM316">
        <v>2</v>
      </c>
      <c r="CN316">
        <v>0</v>
      </c>
      <c r="CO316">
        <v>5</v>
      </c>
      <c r="CP316" t="s">
        <v>119</v>
      </c>
      <c r="CQ316">
        <v>559</v>
      </c>
      <c r="CR316">
        <v>0</v>
      </c>
      <c r="CW316">
        <v>10399702</v>
      </c>
      <c r="CY316">
        <v>1</v>
      </c>
      <c r="CZ316">
        <v>0</v>
      </c>
      <c r="DA316">
        <v>1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</row>
    <row r="317" spans="1:113" x14ac:dyDescent="0.3">
      <c r="A317" t="str">
        <f>"02/08/2021 20:12:49.454"</f>
        <v>02/08/2021 20:12:49.454</v>
      </c>
      <c r="C317" t="str">
        <f t="shared" si="14"/>
        <v>FFDFD3C0</v>
      </c>
      <c r="D317" t="s">
        <v>113</v>
      </c>
      <c r="E317">
        <v>6</v>
      </c>
      <c r="H317">
        <v>165</v>
      </c>
      <c r="I317" t="s">
        <v>114</v>
      </c>
      <c r="J317" t="s">
        <v>115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>"20:12:51.789"</f>
        <v>20:12:51.789</v>
      </c>
      <c r="T317" t="str">
        <f>"20:12:51.389"</f>
        <v>20:12:51.389</v>
      </c>
      <c r="U317" t="str">
        <f t="shared" si="13"/>
        <v>AB01F4</v>
      </c>
      <c r="V317">
        <v>0</v>
      </c>
      <c r="W317">
        <v>0</v>
      </c>
      <c r="X317">
        <v>1</v>
      </c>
      <c r="Z317">
        <v>0</v>
      </c>
      <c r="AA317">
        <v>9</v>
      </c>
      <c r="AB317">
        <v>3</v>
      </c>
      <c r="AC317">
        <v>0</v>
      </c>
      <c r="AD317">
        <v>10</v>
      </c>
      <c r="AE317">
        <v>0</v>
      </c>
      <c r="AF317">
        <v>3</v>
      </c>
      <c r="AG317">
        <v>2</v>
      </c>
      <c r="AH317">
        <v>0</v>
      </c>
      <c r="AI317" t="s">
        <v>348</v>
      </c>
      <c r="AJ317">
        <v>39.538786000000002</v>
      </c>
      <c r="AK317" t="s">
        <v>349</v>
      </c>
      <c r="AL317">
        <v>-92.469885000000005</v>
      </c>
      <c r="AM317">
        <v>100</v>
      </c>
      <c r="AN317">
        <v>1900</v>
      </c>
      <c r="AO317" t="s">
        <v>118</v>
      </c>
      <c r="AP317">
        <v>-87</v>
      </c>
      <c r="AQ317">
        <v>115</v>
      </c>
      <c r="AR317">
        <v>128</v>
      </c>
      <c r="AZ317">
        <v>1200</v>
      </c>
      <c r="BA317">
        <v>1</v>
      </c>
      <c r="BB317" t="str">
        <f t="shared" si="15"/>
        <v xml:space="preserve">N8080G  </v>
      </c>
      <c r="BC317">
        <v>1</v>
      </c>
      <c r="BE317">
        <v>0</v>
      </c>
      <c r="BF317">
        <v>0</v>
      </c>
      <c r="BG317">
        <v>0</v>
      </c>
      <c r="BH317">
        <v>1850</v>
      </c>
      <c r="BI317">
        <v>1</v>
      </c>
      <c r="BJ317">
        <v>1</v>
      </c>
      <c r="BK317">
        <v>1</v>
      </c>
      <c r="BL317">
        <v>0</v>
      </c>
      <c r="BO317">
        <v>0</v>
      </c>
      <c r="BP317">
        <v>0</v>
      </c>
      <c r="BW317" t="str">
        <f>"20:12:51.793"</f>
        <v>20:12:51.793</v>
      </c>
      <c r="CJ317">
        <v>0</v>
      </c>
      <c r="CK317">
        <v>2</v>
      </c>
      <c r="CL317">
        <v>0</v>
      </c>
      <c r="CM317">
        <v>2</v>
      </c>
      <c r="CN317">
        <v>0</v>
      </c>
      <c r="CO317">
        <v>5</v>
      </c>
      <c r="CP317" t="s">
        <v>119</v>
      </c>
      <c r="CQ317">
        <v>559</v>
      </c>
      <c r="CR317">
        <v>0</v>
      </c>
      <c r="CW317">
        <v>10399702</v>
      </c>
      <c r="CY317">
        <v>1</v>
      </c>
      <c r="CZ317">
        <v>0</v>
      </c>
      <c r="DA317">
        <v>1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</row>
    <row r="318" spans="1:113" x14ac:dyDescent="0.3">
      <c r="A318" t="str">
        <f>"02/08/2021 20:12:50.372"</f>
        <v>02/08/2021 20:12:50.372</v>
      </c>
      <c r="C318" t="str">
        <f t="shared" si="14"/>
        <v>FFDFD3C0</v>
      </c>
      <c r="D318" t="s">
        <v>124</v>
      </c>
      <c r="E318">
        <v>13</v>
      </c>
      <c r="F318">
        <v>1013</v>
      </c>
      <c r="G318" t="s">
        <v>114</v>
      </c>
      <c r="J318" t="s">
        <v>125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>"20:12:52.672"</f>
        <v>20:12:52.672</v>
      </c>
      <c r="T318" t="str">
        <f>"20:12:52.272"</f>
        <v>20:12:52.272</v>
      </c>
      <c r="U318" t="str">
        <f t="shared" si="13"/>
        <v>AB01F4</v>
      </c>
      <c r="V318">
        <v>0</v>
      </c>
      <c r="W318">
        <v>0</v>
      </c>
      <c r="X318">
        <v>1</v>
      </c>
      <c r="Z318">
        <v>0</v>
      </c>
      <c r="AA318">
        <v>9</v>
      </c>
      <c r="AB318">
        <v>3</v>
      </c>
      <c r="AC318">
        <v>0</v>
      </c>
      <c r="AD318">
        <v>10</v>
      </c>
      <c r="AE318">
        <v>0</v>
      </c>
      <c r="AF318">
        <v>3</v>
      </c>
      <c r="AG318">
        <v>2</v>
      </c>
      <c r="AH318">
        <v>0</v>
      </c>
      <c r="AI318" t="s">
        <v>350</v>
      </c>
      <c r="AJ318">
        <v>39.539279999999998</v>
      </c>
      <c r="AK318" t="s">
        <v>351</v>
      </c>
      <c r="AL318">
        <v>-92.470399999999998</v>
      </c>
      <c r="AM318">
        <v>100</v>
      </c>
      <c r="AN318">
        <v>1900</v>
      </c>
      <c r="AO318" t="s">
        <v>118</v>
      </c>
      <c r="AP318">
        <v>-87</v>
      </c>
      <c r="AQ318">
        <v>116</v>
      </c>
      <c r="AR318">
        <v>0</v>
      </c>
      <c r="AZ318">
        <v>1200</v>
      </c>
      <c r="BA318">
        <v>1</v>
      </c>
      <c r="BB318" t="str">
        <f t="shared" si="15"/>
        <v xml:space="preserve">N8080G  </v>
      </c>
      <c r="BC318">
        <v>1</v>
      </c>
      <c r="BE318">
        <v>0</v>
      </c>
      <c r="BF318">
        <v>0</v>
      </c>
      <c r="BG318">
        <v>0</v>
      </c>
      <c r="BH318">
        <v>1850</v>
      </c>
      <c r="BI318">
        <v>1</v>
      </c>
      <c r="BJ318">
        <v>1</v>
      </c>
      <c r="BK318">
        <v>1</v>
      </c>
      <c r="BL318">
        <v>0</v>
      </c>
      <c r="BO318">
        <v>0</v>
      </c>
      <c r="BP318">
        <v>0</v>
      </c>
      <c r="BW318" t="str">
        <f>"20:12:52.674"</f>
        <v>20:12:52.674</v>
      </c>
      <c r="CJ318">
        <v>0</v>
      </c>
      <c r="CK318">
        <v>2</v>
      </c>
      <c r="CL318">
        <v>0</v>
      </c>
      <c r="CM318">
        <v>2</v>
      </c>
      <c r="CN318">
        <v>0</v>
      </c>
      <c r="CO318">
        <v>6</v>
      </c>
      <c r="CP318" t="s">
        <v>119</v>
      </c>
      <c r="CQ318">
        <v>180</v>
      </c>
      <c r="CR318">
        <v>1</v>
      </c>
      <c r="CW318">
        <v>10341570</v>
      </c>
      <c r="CY318">
        <v>1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</row>
    <row r="319" spans="1:113" x14ac:dyDescent="0.3">
      <c r="A319" t="str">
        <f>"02/08/2021 20:12:50.372"</f>
        <v>02/08/2021 20:12:50.372</v>
      </c>
      <c r="C319" t="str">
        <f t="shared" si="14"/>
        <v>FFDFD3C0</v>
      </c>
      <c r="D319" t="s">
        <v>113</v>
      </c>
      <c r="E319">
        <v>6</v>
      </c>
      <c r="H319">
        <v>165</v>
      </c>
      <c r="I319" t="s">
        <v>114</v>
      </c>
      <c r="J319" t="s">
        <v>115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>"20:12:52.672"</f>
        <v>20:12:52.672</v>
      </c>
      <c r="T319" t="str">
        <f>"20:12:52.272"</f>
        <v>20:12:52.272</v>
      </c>
      <c r="U319" t="str">
        <f t="shared" si="13"/>
        <v>AB01F4</v>
      </c>
      <c r="V319">
        <v>0</v>
      </c>
      <c r="W319">
        <v>0</v>
      </c>
      <c r="X319">
        <v>1</v>
      </c>
      <c r="Z319">
        <v>0</v>
      </c>
      <c r="AA319">
        <v>9</v>
      </c>
      <c r="AB319">
        <v>3</v>
      </c>
      <c r="AC319">
        <v>0</v>
      </c>
      <c r="AD319">
        <v>10</v>
      </c>
      <c r="AE319">
        <v>0</v>
      </c>
      <c r="AF319">
        <v>3</v>
      </c>
      <c r="AG319">
        <v>2</v>
      </c>
      <c r="AH319">
        <v>0</v>
      </c>
      <c r="AI319" t="s">
        <v>350</v>
      </c>
      <c r="AJ319">
        <v>39.539279999999998</v>
      </c>
      <c r="AK319" t="s">
        <v>351</v>
      </c>
      <c r="AL319">
        <v>-92.470399999999998</v>
      </c>
      <c r="AM319">
        <v>100</v>
      </c>
      <c r="AN319">
        <v>1900</v>
      </c>
      <c r="AO319" t="s">
        <v>118</v>
      </c>
      <c r="AP319">
        <v>-87</v>
      </c>
      <c r="AQ319">
        <v>116</v>
      </c>
      <c r="AR319">
        <v>0</v>
      </c>
      <c r="AZ319">
        <v>1200</v>
      </c>
      <c r="BA319">
        <v>1</v>
      </c>
      <c r="BB319" t="str">
        <f t="shared" si="15"/>
        <v xml:space="preserve">N8080G  </v>
      </c>
      <c r="BC319">
        <v>1</v>
      </c>
      <c r="BE319">
        <v>0</v>
      </c>
      <c r="BF319">
        <v>0</v>
      </c>
      <c r="BG319">
        <v>0</v>
      </c>
      <c r="BH319">
        <v>1850</v>
      </c>
      <c r="BI319">
        <v>1</v>
      </c>
      <c r="BJ319">
        <v>1</v>
      </c>
      <c r="BK319">
        <v>1</v>
      </c>
      <c r="BL319">
        <v>0</v>
      </c>
      <c r="BO319">
        <v>0</v>
      </c>
      <c r="BP319">
        <v>0</v>
      </c>
      <c r="BW319" t="str">
        <f>"20:12:52.674"</f>
        <v>20:12:52.674</v>
      </c>
      <c r="CJ319">
        <v>0</v>
      </c>
      <c r="CK319">
        <v>2</v>
      </c>
      <c r="CL319">
        <v>0</v>
      </c>
      <c r="CM319">
        <v>2</v>
      </c>
      <c r="CN319">
        <v>0</v>
      </c>
      <c r="CO319">
        <v>6</v>
      </c>
      <c r="CP319" t="s">
        <v>119</v>
      </c>
      <c r="CQ319">
        <v>180</v>
      </c>
      <c r="CR319">
        <v>1</v>
      </c>
      <c r="CW319">
        <v>10341570</v>
      </c>
      <c r="CY319">
        <v>1</v>
      </c>
      <c r="CZ319">
        <v>0</v>
      </c>
      <c r="DA319">
        <v>1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</row>
    <row r="320" spans="1:113" x14ac:dyDescent="0.3">
      <c r="A320" t="str">
        <f>"02/08/2021 20:12:51.932"</f>
        <v>02/08/2021 20:12:51.932</v>
      </c>
      <c r="C320" t="str">
        <f t="shared" si="14"/>
        <v>FFDFD3C0</v>
      </c>
      <c r="D320" t="s">
        <v>124</v>
      </c>
      <c r="E320">
        <v>13</v>
      </c>
      <c r="F320">
        <v>1013</v>
      </c>
      <c r="G320" t="s">
        <v>114</v>
      </c>
      <c r="J320" t="s">
        <v>125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"20:12:54.289"</f>
        <v>20:12:54.289</v>
      </c>
      <c r="T320" t="str">
        <f>"20:12:53.789"</f>
        <v>20:12:53.789</v>
      </c>
      <c r="U320" t="str">
        <f t="shared" si="13"/>
        <v>AB01F4</v>
      </c>
      <c r="V320">
        <v>0</v>
      </c>
      <c r="W320">
        <v>0</v>
      </c>
      <c r="X320">
        <v>1</v>
      </c>
      <c r="Z320">
        <v>0</v>
      </c>
      <c r="AA320">
        <v>9</v>
      </c>
      <c r="AB320">
        <v>3</v>
      </c>
      <c r="AC320">
        <v>0</v>
      </c>
      <c r="AD320">
        <v>10</v>
      </c>
      <c r="AE320">
        <v>0</v>
      </c>
      <c r="AF320">
        <v>3</v>
      </c>
      <c r="AG320">
        <v>2</v>
      </c>
      <c r="AH320">
        <v>0</v>
      </c>
      <c r="AI320" t="s">
        <v>352</v>
      </c>
      <c r="AJ320">
        <v>39.54016</v>
      </c>
      <c r="AK320" t="s">
        <v>353</v>
      </c>
      <c r="AL320">
        <v>-92.471193999999997</v>
      </c>
      <c r="AM320">
        <v>100</v>
      </c>
      <c r="AN320">
        <v>1900</v>
      </c>
      <c r="AO320" t="s">
        <v>118</v>
      </c>
      <c r="AP320">
        <v>-87</v>
      </c>
      <c r="AQ320">
        <v>116</v>
      </c>
      <c r="AR320">
        <v>-64</v>
      </c>
      <c r="AZ320">
        <v>1200</v>
      </c>
      <c r="BA320">
        <v>1</v>
      </c>
      <c r="BB320" t="str">
        <f t="shared" si="15"/>
        <v xml:space="preserve">N8080G  </v>
      </c>
      <c r="BC320">
        <v>1</v>
      </c>
      <c r="BE320">
        <v>0</v>
      </c>
      <c r="BF320">
        <v>0</v>
      </c>
      <c r="BG320">
        <v>0</v>
      </c>
      <c r="BH320">
        <v>1850</v>
      </c>
      <c r="BI320">
        <v>1</v>
      </c>
      <c r="BJ320">
        <v>1</v>
      </c>
      <c r="BK320">
        <v>1</v>
      </c>
      <c r="BL320">
        <v>0</v>
      </c>
      <c r="BO320">
        <v>0</v>
      </c>
      <c r="BP320">
        <v>0</v>
      </c>
      <c r="BW320" t="str">
        <f>"20:12:54.295"</f>
        <v>20:12:54.295</v>
      </c>
      <c r="CJ320">
        <v>0</v>
      </c>
      <c r="CK320">
        <v>2</v>
      </c>
      <c r="CL320">
        <v>0</v>
      </c>
      <c r="CM320">
        <v>2</v>
      </c>
      <c r="CN320">
        <v>0</v>
      </c>
      <c r="CO320">
        <v>6</v>
      </c>
      <c r="CP320" t="s">
        <v>119</v>
      </c>
      <c r="CQ320">
        <v>180</v>
      </c>
      <c r="CR320">
        <v>1</v>
      </c>
      <c r="CW320">
        <v>10342877</v>
      </c>
      <c r="CY320">
        <v>1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</row>
    <row r="321" spans="1:113" x14ac:dyDescent="0.3">
      <c r="A321" t="str">
        <f>"02/08/2021 20:12:51.932"</f>
        <v>02/08/2021 20:12:51.932</v>
      </c>
      <c r="C321" t="str">
        <f t="shared" si="14"/>
        <v>FFDFD3C0</v>
      </c>
      <c r="D321" t="s">
        <v>141</v>
      </c>
      <c r="E321">
        <v>17</v>
      </c>
      <c r="H321">
        <v>256</v>
      </c>
      <c r="I321" t="s">
        <v>142</v>
      </c>
      <c r="J321" t="s">
        <v>143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>"20:12:54.289"</f>
        <v>20:12:54.289</v>
      </c>
      <c r="T321" t="str">
        <f>"20:12:53.789"</f>
        <v>20:12:53.789</v>
      </c>
      <c r="U321" t="str">
        <f t="shared" si="13"/>
        <v>AB01F4</v>
      </c>
      <c r="V321">
        <v>0</v>
      </c>
      <c r="W321">
        <v>0</v>
      </c>
      <c r="X321">
        <v>1</v>
      </c>
      <c r="Z321">
        <v>0</v>
      </c>
      <c r="AA321">
        <v>9</v>
      </c>
      <c r="AB321">
        <v>3</v>
      </c>
      <c r="AC321">
        <v>0</v>
      </c>
      <c r="AD321">
        <v>10</v>
      </c>
      <c r="AE321">
        <v>0</v>
      </c>
      <c r="AF321">
        <v>3</v>
      </c>
      <c r="AG321">
        <v>2</v>
      </c>
      <c r="AH321">
        <v>0</v>
      </c>
      <c r="AI321" t="s">
        <v>352</v>
      </c>
      <c r="AJ321">
        <v>39.54016</v>
      </c>
      <c r="AK321" t="s">
        <v>353</v>
      </c>
      <c r="AL321">
        <v>-92.471193999999997</v>
      </c>
      <c r="AM321">
        <v>100</v>
      </c>
      <c r="AN321">
        <v>1900</v>
      </c>
      <c r="AO321" t="s">
        <v>118</v>
      </c>
      <c r="AP321">
        <v>-87</v>
      </c>
      <c r="AQ321">
        <v>116</v>
      </c>
      <c r="AR321">
        <v>-64</v>
      </c>
      <c r="AZ321">
        <v>1200</v>
      </c>
      <c r="BA321">
        <v>1</v>
      </c>
      <c r="BB321" t="str">
        <f t="shared" si="15"/>
        <v xml:space="preserve">N8080G  </v>
      </c>
      <c r="BC321">
        <v>1</v>
      </c>
      <c r="BE321">
        <v>0</v>
      </c>
      <c r="BF321">
        <v>0</v>
      </c>
      <c r="BG321">
        <v>0</v>
      </c>
      <c r="BH321">
        <v>1850</v>
      </c>
      <c r="BI321">
        <v>1</v>
      </c>
      <c r="BJ321">
        <v>1</v>
      </c>
      <c r="BK321">
        <v>1</v>
      </c>
      <c r="BL321">
        <v>0</v>
      </c>
      <c r="BO321">
        <v>0</v>
      </c>
      <c r="BP321">
        <v>0</v>
      </c>
      <c r="BW321" t="str">
        <f>"20:12:54.295"</f>
        <v>20:12:54.295</v>
      </c>
      <c r="CJ321">
        <v>0</v>
      </c>
      <c r="CK321">
        <v>2</v>
      </c>
      <c r="CL321">
        <v>0</v>
      </c>
      <c r="CM321">
        <v>2</v>
      </c>
      <c r="CN321">
        <v>0</v>
      </c>
      <c r="CO321">
        <v>5</v>
      </c>
      <c r="CP321" t="s">
        <v>119</v>
      </c>
      <c r="CQ321">
        <v>559</v>
      </c>
      <c r="CR321">
        <v>0</v>
      </c>
      <c r="CW321">
        <v>10400114</v>
      </c>
      <c r="CY321">
        <v>1</v>
      </c>
      <c r="CZ321">
        <v>0</v>
      </c>
      <c r="DA321">
        <v>1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</row>
    <row r="322" spans="1:113" x14ac:dyDescent="0.3">
      <c r="A322" t="str">
        <f>"02/08/2021 20:12:51.932"</f>
        <v>02/08/2021 20:12:51.932</v>
      </c>
      <c r="C322" t="str">
        <f t="shared" si="14"/>
        <v>FFDFD3C0</v>
      </c>
      <c r="D322" t="s">
        <v>113</v>
      </c>
      <c r="E322">
        <v>6</v>
      </c>
      <c r="H322">
        <v>165</v>
      </c>
      <c r="I322" t="s">
        <v>114</v>
      </c>
      <c r="J322" t="s">
        <v>115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>"20:12:54.289"</f>
        <v>20:12:54.289</v>
      </c>
      <c r="T322" t="str">
        <f>"20:12:53.789"</f>
        <v>20:12:53.789</v>
      </c>
      <c r="U322" t="str">
        <f t="shared" ref="U322:U385" si="16">"AB01F4"</f>
        <v>AB01F4</v>
      </c>
      <c r="V322">
        <v>0</v>
      </c>
      <c r="W322">
        <v>0</v>
      </c>
      <c r="X322">
        <v>1</v>
      </c>
      <c r="Z322">
        <v>0</v>
      </c>
      <c r="AA322">
        <v>9</v>
      </c>
      <c r="AB322">
        <v>3</v>
      </c>
      <c r="AC322">
        <v>0</v>
      </c>
      <c r="AD322">
        <v>10</v>
      </c>
      <c r="AE322">
        <v>0</v>
      </c>
      <c r="AF322">
        <v>3</v>
      </c>
      <c r="AG322">
        <v>2</v>
      </c>
      <c r="AH322">
        <v>0</v>
      </c>
      <c r="AI322" t="s">
        <v>352</v>
      </c>
      <c r="AJ322">
        <v>39.54016</v>
      </c>
      <c r="AK322" t="s">
        <v>353</v>
      </c>
      <c r="AL322">
        <v>-92.471193999999997</v>
      </c>
      <c r="AM322">
        <v>100</v>
      </c>
      <c r="AN322">
        <v>1900</v>
      </c>
      <c r="AO322" t="s">
        <v>118</v>
      </c>
      <c r="AP322">
        <v>-87</v>
      </c>
      <c r="AQ322">
        <v>116</v>
      </c>
      <c r="AR322">
        <v>-64</v>
      </c>
      <c r="AZ322">
        <v>1200</v>
      </c>
      <c r="BA322">
        <v>1</v>
      </c>
      <c r="BB322" t="str">
        <f t="shared" si="15"/>
        <v xml:space="preserve">N8080G  </v>
      </c>
      <c r="BC322">
        <v>1</v>
      </c>
      <c r="BE322">
        <v>0</v>
      </c>
      <c r="BF322">
        <v>0</v>
      </c>
      <c r="BG322">
        <v>0</v>
      </c>
      <c r="BH322">
        <v>1850</v>
      </c>
      <c r="BI322">
        <v>1</v>
      </c>
      <c r="BJ322">
        <v>1</v>
      </c>
      <c r="BK322">
        <v>1</v>
      </c>
      <c r="BL322">
        <v>0</v>
      </c>
      <c r="BO322">
        <v>0</v>
      </c>
      <c r="BP322">
        <v>0</v>
      </c>
      <c r="BW322" t="str">
        <f>"20:12:54.295"</f>
        <v>20:12:54.295</v>
      </c>
      <c r="CJ322">
        <v>0</v>
      </c>
      <c r="CK322">
        <v>2</v>
      </c>
      <c r="CL322">
        <v>0</v>
      </c>
      <c r="CM322">
        <v>2</v>
      </c>
      <c r="CN322">
        <v>0</v>
      </c>
      <c r="CO322">
        <v>6</v>
      </c>
      <c r="CP322" t="s">
        <v>119</v>
      </c>
      <c r="CQ322">
        <v>180</v>
      </c>
      <c r="CR322">
        <v>1</v>
      </c>
      <c r="CW322">
        <v>10342877</v>
      </c>
      <c r="CY322">
        <v>1</v>
      </c>
      <c r="CZ322">
        <v>0</v>
      </c>
      <c r="DA322">
        <v>1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</row>
    <row r="323" spans="1:113" x14ac:dyDescent="0.3">
      <c r="A323" t="str">
        <f>"02/08/2021 20:12:52.969"</f>
        <v>02/08/2021 20:12:52.969</v>
      </c>
      <c r="C323" t="str">
        <f t="shared" si="14"/>
        <v>FFDFD3C0</v>
      </c>
      <c r="D323" t="s">
        <v>113</v>
      </c>
      <c r="E323">
        <v>6</v>
      </c>
      <c r="H323">
        <v>165</v>
      </c>
      <c r="I323" t="s">
        <v>114</v>
      </c>
      <c r="J323" t="s">
        <v>115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>"20:12:55.266"</f>
        <v>20:12:55.266</v>
      </c>
      <c r="T323" t="str">
        <f>"20:12:54.866"</f>
        <v>20:12:54.866</v>
      </c>
      <c r="U323" t="str">
        <f t="shared" si="16"/>
        <v>AB01F4</v>
      </c>
      <c r="V323">
        <v>0</v>
      </c>
      <c r="W323">
        <v>0</v>
      </c>
      <c r="X323">
        <v>1</v>
      </c>
      <c r="Z323">
        <v>0</v>
      </c>
      <c r="AA323">
        <v>9</v>
      </c>
      <c r="AB323">
        <v>3</v>
      </c>
      <c r="AC323">
        <v>0</v>
      </c>
      <c r="AD323">
        <v>10</v>
      </c>
      <c r="AE323">
        <v>0</v>
      </c>
      <c r="AF323">
        <v>3</v>
      </c>
      <c r="AG323">
        <v>2</v>
      </c>
      <c r="AH323">
        <v>0</v>
      </c>
      <c r="AI323" t="s">
        <v>354</v>
      </c>
      <c r="AJ323">
        <v>39.540675</v>
      </c>
      <c r="AK323" t="s">
        <v>355</v>
      </c>
      <c r="AL323">
        <v>-92.471731000000005</v>
      </c>
      <c r="AM323">
        <v>100</v>
      </c>
      <c r="AN323">
        <v>1900</v>
      </c>
      <c r="AO323" t="s">
        <v>118</v>
      </c>
      <c r="AP323">
        <v>-86</v>
      </c>
      <c r="AQ323">
        <v>116</v>
      </c>
      <c r="AR323">
        <v>-64</v>
      </c>
      <c r="AZ323">
        <v>1200</v>
      </c>
      <c r="BA323">
        <v>1</v>
      </c>
      <c r="BB323" t="str">
        <f t="shared" si="15"/>
        <v xml:space="preserve">N8080G  </v>
      </c>
      <c r="BC323">
        <v>1</v>
      </c>
      <c r="BE323">
        <v>0</v>
      </c>
      <c r="BF323">
        <v>0</v>
      </c>
      <c r="BG323">
        <v>0</v>
      </c>
      <c r="BH323">
        <v>1850</v>
      </c>
      <c r="BI323">
        <v>1</v>
      </c>
      <c r="BJ323">
        <v>1</v>
      </c>
      <c r="BK323">
        <v>1</v>
      </c>
      <c r="BL323">
        <v>0</v>
      </c>
      <c r="BO323">
        <v>0</v>
      </c>
      <c r="BP323">
        <v>0</v>
      </c>
      <c r="BW323" t="str">
        <f>"20:12:55.271"</f>
        <v>20:12:55.271</v>
      </c>
      <c r="CJ323">
        <v>0</v>
      </c>
      <c r="CK323">
        <v>2</v>
      </c>
      <c r="CL323">
        <v>0</v>
      </c>
      <c r="CM323">
        <v>2</v>
      </c>
      <c r="CN323">
        <v>0</v>
      </c>
      <c r="CO323">
        <v>5</v>
      </c>
      <c r="CP323" t="s">
        <v>119</v>
      </c>
      <c r="CQ323">
        <v>559</v>
      </c>
      <c r="CR323">
        <v>0</v>
      </c>
      <c r="CW323">
        <v>10400256</v>
      </c>
      <c r="CY323">
        <v>1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</row>
    <row r="324" spans="1:113" x14ac:dyDescent="0.3">
      <c r="A324" t="str">
        <f>"02/08/2021 20:12:52.969"</f>
        <v>02/08/2021 20:12:52.969</v>
      </c>
      <c r="C324" t="str">
        <f t="shared" si="14"/>
        <v>FFDFD3C0</v>
      </c>
      <c r="D324" t="s">
        <v>124</v>
      </c>
      <c r="E324">
        <v>13</v>
      </c>
      <c r="F324">
        <v>1013</v>
      </c>
      <c r="G324" t="s">
        <v>114</v>
      </c>
      <c r="J324" t="s">
        <v>125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>"20:12:55.266"</f>
        <v>20:12:55.266</v>
      </c>
      <c r="T324" t="str">
        <f>"20:12:54.866"</f>
        <v>20:12:54.866</v>
      </c>
      <c r="U324" t="str">
        <f t="shared" si="16"/>
        <v>AB01F4</v>
      </c>
      <c r="V324">
        <v>0</v>
      </c>
      <c r="W324">
        <v>0</v>
      </c>
      <c r="X324">
        <v>1</v>
      </c>
      <c r="Z324">
        <v>0</v>
      </c>
      <c r="AA324">
        <v>9</v>
      </c>
      <c r="AB324">
        <v>3</v>
      </c>
      <c r="AC324">
        <v>0</v>
      </c>
      <c r="AD324">
        <v>10</v>
      </c>
      <c r="AE324">
        <v>0</v>
      </c>
      <c r="AF324">
        <v>3</v>
      </c>
      <c r="AG324">
        <v>2</v>
      </c>
      <c r="AH324">
        <v>0</v>
      </c>
      <c r="AI324" t="s">
        <v>354</v>
      </c>
      <c r="AJ324">
        <v>39.540675</v>
      </c>
      <c r="AK324" t="s">
        <v>355</v>
      </c>
      <c r="AL324">
        <v>-92.471731000000005</v>
      </c>
      <c r="AM324">
        <v>100</v>
      </c>
      <c r="AN324">
        <v>1900</v>
      </c>
      <c r="AO324" t="s">
        <v>118</v>
      </c>
      <c r="AP324">
        <v>-86</v>
      </c>
      <c r="AQ324">
        <v>116</v>
      </c>
      <c r="AR324">
        <v>-64</v>
      </c>
      <c r="AZ324">
        <v>1200</v>
      </c>
      <c r="BA324">
        <v>1</v>
      </c>
      <c r="BB324" t="str">
        <f t="shared" si="15"/>
        <v xml:space="preserve">N8080G  </v>
      </c>
      <c r="BC324">
        <v>1</v>
      </c>
      <c r="BE324">
        <v>0</v>
      </c>
      <c r="BF324">
        <v>0</v>
      </c>
      <c r="BG324">
        <v>0</v>
      </c>
      <c r="BH324">
        <v>1850</v>
      </c>
      <c r="BI324">
        <v>1</v>
      </c>
      <c r="BJ324">
        <v>1</v>
      </c>
      <c r="BK324">
        <v>1</v>
      </c>
      <c r="BL324">
        <v>0</v>
      </c>
      <c r="BO324">
        <v>0</v>
      </c>
      <c r="BP324">
        <v>0</v>
      </c>
      <c r="BW324" t="str">
        <f>"20:12:55.271"</f>
        <v>20:12:55.271</v>
      </c>
      <c r="CJ324">
        <v>0</v>
      </c>
      <c r="CK324">
        <v>2</v>
      </c>
      <c r="CL324">
        <v>0</v>
      </c>
      <c r="CM324">
        <v>2</v>
      </c>
      <c r="CN324">
        <v>0</v>
      </c>
      <c r="CO324">
        <v>5</v>
      </c>
      <c r="CP324" t="s">
        <v>119</v>
      </c>
      <c r="CQ324">
        <v>559</v>
      </c>
      <c r="CR324">
        <v>0</v>
      </c>
      <c r="CW324">
        <v>10400256</v>
      </c>
      <c r="CY324">
        <v>1</v>
      </c>
      <c r="CZ324">
        <v>0</v>
      </c>
      <c r="DA324">
        <v>1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</row>
    <row r="325" spans="1:113" x14ac:dyDescent="0.3">
      <c r="A325" t="str">
        <f>"02/08/2021 20:12:52.969"</f>
        <v>02/08/2021 20:12:52.969</v>
      </c>
      <c r="C325" t="str">
        <f t="shared" si="14"/>
        <v>FFDFD3C0</v>
      </c>
      <c r="D325" t="s">
        <v>141</v>
      </c>
      <c r="E325">
        <v>17</v>
      </c>
      <c r="H325">
        <v>256</v>
      </c>
      <c r="I325" t="s">
        <v>142</v>
      </c>
      <c r="J325" t="s">
        <v>143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>"20:12:55.266"</f>
        <v>20:12:55.266</v>
      </c>
      <c r="T325" t="str">
        <f>"20:12:54.866"</f>
        <v>20:12:54.866</v>
      </c>
      <c r="U325" t="str">
        <f t="shared" si="16"/>
        <v>AB01F4</v>
      </c>
      <c r="V325">
        <v>0</v>
      </c>
      <c r="W325">
        <v>0</v>
      </c>
      <c r="X325">
        <v>1</v>
      </c>
      <c r="Z325">
        <v>0</v>
      </c>
      <c r="AA325">
        <v>9</v>
      </c>
      <c r="AB325">
        <v>3</v>
      </c>
      <c r="AC325">
        <v>0</v>
      </c>
      <c r="AD325">
        <v>10</v>
      </c>
      <c r="AE325">
        <v>0</v>
      </c>
      <c r="AF325">
        <v>3</v>
      </c>
      <c r="AG325">
        <v>2</v>
      </c>
      <c r="AH325">
        <v>0</v>
      </c>
      <c r="AI325" t="s">
        <v>354</v>
      </c>
      <c r="AJ325">
        <v>39.540675</v>
      </c>
      <c r="AK325" t="s">
        <v>355</v>
      </c>
      <c r="AL325">
        <v>-92.471731000000005</v>
      </c>
      <c r="AM325">
        <v>100</v>
      </c>
      <c r="AN325">
        <v>1900</v>
      </c>
      <c r="AO325" t="s">
        <v>118</v>
      </c>
      <c r="AP325">
        <v>-86</v>
      </c>
      <c r="AQ325">
        <v>116</v>
      </c>
      <c r="AR325">
        <v>-64</v>
      </c>
      <c r="AZ325">
        <v>1200</v>
      </c>
      <c r="BA325">
        <v>1</v>
      </c>
      <c r="BB325" t="str">
        <f t="shared" si="15"/>
        <v xml:space="preserve">N8080G  </v>
      </c>
      <c r="BC325">
        <v>1</v>
      </c>
      <c r="BE325">
        <v>0</v>
      </c>
      <c r="BF325">
        <v>0</v>
      </c>
      <c r="BG325">
        <v>0</v>
      </c>
      <c r="BH325">
        <v>1850</v>
      </c>
      <c r="BI325">
        <v>1</v>
      </c>
      <c r="BJ325">
        <v>1</v>
      </c>
      <c r="BK325">
        <v>1</v>
      </c>
      <c r="BL325">
        <v>0</v>
      </c>
      <c r="BO325">
        <v>0</v>
      </c>
      <c r="BP325">
        <v>0</v>
      </c>
      <c r="BW325" t="str">
        <f>"20:12:55.271"</f>
        <v>20:12:55.271</v>
      </c>
      <c r="CJ325">
        <v>0</v>
      </c>
      <c r="CK325">
        <v>2</v>
      </c>
      <c r="CL325">
        <v>0</v>
      </c>
      <c r="CM325">
        <v>2</v>
      </c>
      <c r="CN325">
        <v>0</v>
      </c>
      <c r="CO325">
        <v>5</v>
      </c>
      <c r="CP325" t="s">
        <v>119</v>
      </c>
      <c r="CQ325">
        <v>559</v>
      </c>
      <c r="CR325">
        <v>0</v>
      </c>
      <c r="CW325">
        <v>10400256</v>
      </c>
      <c r="CY325">
        <v>1</v>
      </c>
      <c r="CZ325">
        <v>0</v>
      </c>
      <c r="DA325">
        <v>1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</row>
    <row r="326" spans="1:113" x14ac:dyDescent="0.3">
      <c r="A326" t="str">
        <f>"02/08/2021 20:12:54.092"</f>
        <v>02/08/2021 20:12:54.092</v>
      </c>
      <c r="C326" t="str">
        <f t="shared" si="14"/>
        <v>FFDFD3C0</v>
      </c>
      <c r="D326" t="s">
        <v>124</v>
      </c>
      <c r="E326">
        <v>13</v>
      </c>
      <c r="F326">
        <v>1013</v>
      </c>
      <c r="G326" t="s">
        <v>114</v>
      </c>
      <c r="J326" t="s">
        <v>125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>"20:12:56.414"</f>
        <v>20:12:56.414</v>
      </c>
      <c r="T326" t="str">
        <f>"20:12:55.914"</f>
        <v>20:12:55.914</v>
      </c>
      <c r="U326" t="str">
        <f t="shared" si="16"/>
        <v>AB01F4</v>
      </c>
      <c r="V326">
        <v>0</v>
      </c>
      <c r="W326">
        <v>0</v>
      </c>
      <c r="X326">
        <v>1</v>
      </c>
      <c r="Z326">
        <v>0</v>
      </c>
      <c r="AA326">
        <v>9</v>
      </c>
      <c r="AB326">
        <v>3</v>
      </c>
      <c r="AC326">
        <v>0</v>
      </c>
      <c r="AD326">
        <v>10</v>
      </c>
      <c r="AE326">
        <v>0</v>
      </c>
      <c r="AF326">
        <v>3</v>
      </c>
      <c r="AG326">
        <v>2</v>
      </c>
      <c r="AH326">
        <v>0</v>
      </c>
      <c r="AI326" t="s">
        <v>356</v>
      </c>
      <c r="AJ326">
        <v>39.541339999999998</v>
      </c>
      <c r="AK326" t="s">
        <v>357</v>
      </c>
      <c r="AL326">
        <v>-92.472352999999998</v>
      </c>
      <c r="AM326">
        <v>100</v>
      </c>
      <c r="AN326">
        <v>1900</v>
      </c>
      <c r="AO326" t="s">
        <v>118</v>
      </c>
      <c r="AP326">
        <v>-86</v>
      </c>
      <c r="AQ326">
        <v>116</v>
      </c>
      <c r="AR326">
        <v>0</v>
      </c>
      <c r="AZ326">
        <v>1200</v>
      </c>
      <c r="BA326">
        <v>1</v>
      </c>
      <c r="BB326" t="str">
        <f t="shared" si="15"/>
        <v xml:space="preserve">N8080G  </v>
      </c>
      <c r="BC326">
        <v>1</v>
      </c>
      <c r="BE326">
        <v>0</v>
      </c>
      <c r="BF326">
        <v>0</v>
      </c>
      <c r="BG326">
        <v>0</v>
      </c>
      <c r="BH326">
        <v>1850</v>
      </c>
      <c r="BI326">
        <v>1</v>
      </c>
      <c r="BJ326">
        <v>1</v>
      </c>
      <c r="BK326">
        <v>1</v>
      </c>
      <c r="BL326">
        <v>0</v>
      </c>
      <c r="BO326">
        <v>0</v>
      </c>
      <c r="BP326">
        <v>0</v>
      </c>
      <c r="BW326" t="str">
        <f>"20:12:56.418"</f>
        <v>20:12:56.418</v>
      </c>
      <c r="CJ326">
        <v>0</v>
      </c>
      <c r="CK326">
        <v>2</v>
      </c>
      <c r="CL326">
        <v>0</v>
      </c>
      <c r="CM326">
        <v>2</v>
      </c>
      <c r="CN326">
        <v>0</v>
      </c>
      <c r="CO326">
        <v>5</v>
      </c>
      <c r="CP326" t="s">
        <v>119</v>
      </c>
      <c r="CQ326">
        <v>559</v>
      </c>
      <c r="CR326">
        <v>0</v>
      </c>
      <c r="CW326">
        <v>10400443</v>
      </c>
      <c r="CY326">
        <v>1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</row>
    <row r="327" spans="1:113" x14ac:dyDescent="0.3">
      <c r="A327" t="str">
        <f>"02/08/2021 20:12:54.092"</f>
        <v>02/08/2021 20:12:54.092</v>
      </c>
      <c r="C327" t="str">
        <f t="shared" si="14"/>
        <v>FFDFD3C0</v>
      </c>
      <c r="D327" t="s">
        <v>141</v>
      </c>
      <c r="E327">
        <v>17</v>
      </c>
      <c r="H327">
        <v>256</v>
      </c>
      <c r="I327" t="s">
        <v>142</v>
      </c>
      <c r="J327" t="s">
        <v>143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>"20:12:56.414"</f>
        <v>20:12:56.414</v>
      </c>
      <c r="T327" t="str">
        <f>"20:12:55.914"</f>
        <v>20:12:55.914</v>
      </c>
      <c r="U327" t="str">
        <f t="shared" si="16"/>
        <v>AB01F4</v>
      </c>
      <c r="V327">
        <v>0</v>
      </c>
      <c r="W327">
        <v>0</v>
      </c>
      <c r="X327">
        <v>1</v>
      </c>
      <c r="Z327">
        <v>0</v>
      </c>
      <c r="AA327">
        <v>9</v>
      </c>
      <c r="AB327">
        <v>3</v>
      </c>
      <c r="AC327">
        <v>0</v>
      </c>
      <c r="AD327">
        <v>10</v>
      </c>
      <c r="AE327">
        <v>0</v>
      </c>
      <c r="AF327">
        <v>3</v>
      </c>
      <c r="AG327">
        <v>2</v>
      </c>
      <c r="AH327">
        <v>0</v>
      </c>
      <c r="AI327" t="s">
        <v>356</v>
      </c>
      <c r="AJ327">
        <v>39.541339999999998</v>
      </c>
      <c r="AK327" t="s">
        <v>357</v>
      </c>
      <c r="AL327">
        <v>-92.472352999999998</v>
      </c>
      <c r="AM327">
        <v>100</v>
      </c>
      <c r="AN327">
        <v>1900</v>
      </c>
      <c r="AO327" t="s">
        <v>118</v>
      </c>
      <c r="AP327">
        <v>-86</v>
      </c>
      <c r="AQ327">
        <v>116</v>
      </c>
      <c r="AR327">
        <v>0</v>
      </c>
      <c r="AZ327">
        <v>1200</v>
      </c>
      <c r="BA327">
        <v>1</v>
      </c>
      <c r="BB327" t="str">
        <f t="shared" si="15"/>
        <v xml:space="preserve">N8080G  </v>
      </c>
      <c r="BC327">
        <v>1</v>
      </c>
      <c r="BE327">
        <v>0</v>
      </c>
      <c r="BF327">
        <v>0</v>
      </c>
      <c r="BG327">
        <v>0</v>
      </c>
      <c r="BH327">
        <v>1850</v>
      </c>
      <c r="BI327">
        <v>1</v>
      </c>
      <c r="BJ327">
        <v>1</v>
      </c>
      <c r="BK327">
        <v>1</v>
      </c>
      <c r="BL327">
        <v>0</v>
      </c>
      <c r="BO327">
        <v>0</v>
      </c>
      <c r="BP327">
        <v>0</v>
      </c>
      <c r="BW327" t="str">
        <f>"20:12:56.418"</f>
        <v>20:12:56.418</v>
      </c>
      <c r="CJ327">
        <v>0</v>
      </c>
      <c r="CK327">
        <v>2</v>
      </c>
      <c r="CL327">
        <v>0</v>
      </c>
      <c r="CM327">
        <v>2</v>
      </c>
      <c r="CN327">
        <v>0</v>
      </c>
      <c r="CO327">
        <v>5</v>
      </c>
      <c r="CP327" t="s">
        <v>119</v>
      </c>
      <c r="CQ327">
        <v>559</v>
      </c>
      <c r="CR327">
        <v>0</v>
      </c>
      <c r="CW327">
        <v>10400443</v>
      </c>
      <c r="CY327">
        <v>1</v>
      </c>
      <c r="CZ327">
        <v>0</v>
      </c>
      <c r="DA327">
        <v>1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</row>
    <row r="328" spans="1:113" x14ac:dyDescent="0.3">
      <c r="A328" t="str">
        <f>"02/08/2021 20:12:54.092"</f>
        <v>02/08/2021 20:12:54.092</v>
      </c>
      <c r="C328" t="str">
        <f t="shared" si="14"/>
        <v>FFDFD3C0</v>
      </c>
      <c r="D328" t="s">
        <v>113</v>
      </c>
      <c r="E328">
        <v>6</v>
      </c>
      <c r="H328">
        <v>165</v>
      </c>
      <c r="I328" t="s">
        <v>114</v>
      </c>
      <c r="J328" t="s">
        <v>115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>"20:12:56.414"</f>
        <v>20:12:56.414</v>
      </c>
      <c r="T328" t="str">
        <f>"20:12:55.914"</f>
        <v>20:12:55.914</v>
      </c>
      <c r="U328" t="str">
        <f t="shared" si="16"/>
        <v>AB01F4</v>
      </c>
      <c r="V328">
        <v>0</v>
      </c>
      <c r="W328">
        <v>0</v>
      </c>
      <c r="X328">
        <v>1</v>
      </c>
      <c r="Z328">
        <v>0</v>
      </c>
      <c r="AA328">
        <v>9</v>
      </c>
      <c r="AB328">
        <v>3</v>
      </c>
      <c r="AC328">
        <v>0</v>
      </c>
      <c r="AD328">
        <v>10</v>
      </c>
      <c r="AE328">
        <v>0</v>
      </c>
      <c r="AF328">
        <v>3</v>
      </c>
      <c r="AG328">
        <v>2</v>
      </c>
      <c r="AH328">
        <v>0</v>
      </c>
      <c r="AI328" t="s">
        <v>356</v>
      </c>
      <c r="AJ328">
        <v>39.541339999999998</v>
      </c>
      <c r="AK328" t="s">
        <v>357</v>
      </c>
      <c r="AL328">
        <v>-92.472352999999998</v>
      </c>
      <c r="AM328">
        <v>100</v>
      </c>
      <c r="AN328">
        <v>1900</v>
      </c>
      <c r="AO328" t="s">
        <v>118</v>
      </c>
      <c r="AP328">
        <v>-86</v>
      </c>
      <c r="AQ328">
        <v>116</v>
      </c>
      <c r="AR328">
        <v>0</v>
      </c>
      <c r="AZ328">
        <v>1200</v>
      </c>
      <c r="BA328">
        <v>1</v>
      </c>
      <c r="BB328" t="str">
        <f t="shared" si="15"/>
        <v xml:space="preserve">N8080G  </v>
      </c>
      <c r="BC328">
        <v>1</v>
      </c>
      <c r="BE328">
        <v>0</v>
      </c>
      <c r="BF328">
        <v>0</v>
      </c>
      <c r="BG328">
        <v>0</v>
      </c>
      <c r="BH328">
        <v>1850</v>
      </c>
      <c r="BI328">
        <v>1</v>
      </c>
      <c r="BJ328">
        <v>1</v>
      </c>
      <c r="BK328">
        <v>1</v>
      </c>
      <c r="BL328">
        <v>0</v>
      </c>
      <c r="BO328">
        <v>0</v>
      </c>
      <c r="BP328">
        <v>0</v>
      </c>
      <c r="BW328" t="str">
        <f>"20:12:56.418"</f>
        <v>20:12:56.418</v>
      </c>
      <c r="CJ328">
        <v>0</v>
      </c>
      <c r="CK328">
        <v>2</v>
      </c>
      <c r="CL328">
        <v>0</v>
      </c>
      <c r="CM328">
        <v>2</v>
      </c>
      <c r="CN328">
        <v>0</v>
      </c>
      <c r="CO328">
        <v>5</v>
      </c>
      <c r="CP328" t="s">
        <v>119</v>
      </c>
      <c r="CQ328">
        <v>559</v>
      </c>
      <c r="CR328">
        <v>0</v>
      </c>
      <c r="CW328">
        <v>10400443</v>
      </c>
      <c r="CY328">
        <v>1</v>
      </c>
      <c r="CZ328">
        <v>0</v>
      </c>
      <c r="DA328">
        <v>1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</row>
    <row r="329" spans="1:113" x14ac:dyDescent="0.3">
      <c r="A329" t="str">
        <f>"02/08/2021 20:12:54.990"</f>
        <v>02/08/2021 20:12:54.990</v>
      </c>
      <c r="C329" t="str">
        <f t="shared" si="14"/>
        <v>FFDFD3C0</v>
      </c>
      <c r="D329" t="s">
        <v>113</v>
      </c>
      <c r="E329">
        <v>6</v>
      </c>
      <c r="H329">
        <v>165</v>
      </c>
      <c r="I329" t="s">
        <v>114</v>
      </c>
      <c r="J329" t="s">
        <v>115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>"20:12:57.328"</f>
        <v>20:12:57.328</v>
      </c>
      <c r="U329" t="str">
        <f t="shared" si="16"/>
        <v>AB01F4</v>
      </c>
      <c r="V329">
        <v>0</v>
      </c>
      <c r="W329">
        <v>0</v>
      </c>
      <c r="X329">
        <v>1</v>
      </c>
      <c r="Z329">
        <v>0</v>
      </c>
      <c r="AA329">
        <v>9</v>
      </c>
      <c r="AB329">
        <v>3</v>
      </c>
      <c r="AC329">
        <v>0</v>
      </c>
      <c r="AD329">
        <v>10</v>
      </c>
      <c r="AE329">
        <v>0</v>
      </c>
      <c r="AF329">
        <v>3</v>
      </c>
      <c r="AG329">
        <v>2</v>
      </c>
      <c r="AH329">
        <v>0</v>
      </c>
      <c r="AI329" t="s">
        <v>358</v>
      </c>
      <c r="AJ329">
        <v>39.541812</v>
      </c>
      <c r="AK329" t="s">
        <v>359</v>
      </c>
      <c r="AL329">
        <v>-92.472825</v>
      </c>
      <c r="AM329">
        <v>100</v>
      </c>
      <c r="AN329">
        <v>1900</v>
      </c>
      <c r="AO329" t="s">
        <v>118</v>
      </c>
      <c r="AP329">
        <v>-86</v>
      </c>
      <c r="AQ329">
        <v>117</v>
      </c>
      <c r="AR329">
        <v>0</v>
      </c>
      <c r="AZ329">
        <v>1200</v>
      </c>
      <c r="BA329">
        <v>1</v>
      </c>
      <c r="BB329" t="str">
        <f t="shared" si="15"/>
        <v xml:space="preserve">N8080G  </v>
      </c>
      <c r="BC329">
        <v>1</v>
      </c>
      <c r="BE329">
        <v>0</v>
      </c>
      <c r="BF329">
        <v>0</v>
      </c>
      <c r="BG329">
        <v>0</v>
      </c>
      <c r="BH329">
        <v>1850</v>
      </c>
      <c r="BI329">
        <v>1</v>
      </c>
      <c r="BJ329">
        <v>1</v>
      </c>
      <c r="BK329">
        <v>1</v>
      </c>
      <c r="BL329">
        <v>0</v>
      </c>
      <c r="BO329">
        <v>0</v>
      </c>
      <c r="BP329">
        <v>0</v>
      </c>
      <c r="BW329" t="str">
        <f>"20:12:57.334"</f>
        <v>20:12:57.334</v>
      </c>
      <c r="CJ329">
        <v>0</v>
      </c>
      <c r="CK329">
        <v>2</v>
      </c>
      <c r="CL329">
        <v>0</v>
      </c>
      <c r="CM329">
        <v>2</v>
      </c>
      <c r="CN329">
        <v>0</v>
      </c>
      <c r="CO329">
        <v>5</v>
      </c>
      <c r="CP329" t="s">
        <v>119</v>
      </c>
      <c r="CQ329">
        <v>559</v>
      </c>
      <c r="CR329">
        <v>0</v>
      </c>
      <c r="CW329">
        <v>10400598</v>
      </c>
      <c r="CY329">
        <v>1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</row>
    <row r="330" spans="1:113" x14ac:dyDescent="0.3">
      <c r="A330" t="str">
        <f>"02/08/2021 20:12:54.990"</f>
        <v>02/08/2021 20:12:54.990</v>
      </c>
      <c r="C330" t="str">
        <f t="shared" si="14"/>
        <v>FFDFD3C0</v>
      </c>
      <c r="D330" t="s">
        <v>124</v>
      </c>
      <c r="E330">
        <v>13</v>
      </c>
      <c r="F330">
        <v>1013</v>
      </c>
      <c r="G330" t="s">
        <v>114</v>
      </c>
      <c r="J330" t="s">
        <v>125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>"20:12:57.328"</f>
        <v>20:12:57.328</v>
      </c>
      <c r="U330" t="str">
        <f t="shared" si="16"/>
        <v>AB01F4</v>
      </c>
      <c r="V330">
        <v>0</v>
      </c>
      <c r="W330">
        <v>0</v>
      </c>
      <c r="X330">
        <v>1</v>
      </c>
      <c r="Z330">
        <v>0</v>
      </c>
      <c r="AA330">
        <v>9</v>
      </c>
      <c r="AB330">
        <v>3</v>
      </c>
      <c r="AC330">
        <v>0</v>
      </c>
      <c r="AD330">
        <v>10</v>
      </c>
      <c r="AE330">
        <v>0</v>
      </c>
      <c r="AF330">
        <v>3</v>
      </c>
      <c r="AG330">
        <v>2</v>
      </c>
      <c r="AH330">
        <v>0</v>
      </c>
      <c r="AI330" t="s">
        <v>358</v>
      </c>
      <c r="AJ330">
        <v>39.541812</v>
      </c>
      <c r="AK330" t="s">
        <v>359</v>
      </c>
      <c r="AL330">
        <v>-92.472825</v>
      </c>
      <c r="AM330">
        <v>100</v>
      </c>
      <c r="AN330">
        <v>1900</v>
      </c>
      <c r="AO330" t="s">
        <v>118</v>
      </c>
      <c r="AP330">
        <v>-86</v>
      </c>
      <c r="AQ330">
        <v>117</v>
      </c>
      <c r="AR330">
        <v>0</v>
      </c>
      <c r="AZ330">
        <v>1200</v>
      </c>
      <c r="BA330">
        <v>1</v>
      </c>
      <c r="BB330" t="str">
        <f t="shared" si="15"/>
        <v xml:space="preserve">N8080G  </v>
      </c>
      <c r="BC330">
        <v>1</v>
      </c>
      <c r="BE330">
        <v>0</v>
      </c>
      <c r="BF330">
        <v>0</v>
      </c>
      <c r="BG330">
        <v>0</v>
      </c>
      <c r="BH330">
        <v>1850</v>
      </c>
      <c r="BI330">
        <v>1</v>
      </c>
      <c r="BJ330">
        <v>1</v>
      </c>
      <c r="BK330">
        <v>1</v>
      </c>
      <c r="BL330">
        <v>0</v>
      </c>
      <c r="BO330">
        <v>0</v>
      </c>
      <c r="BP330">
        <v>0</v>
      </c>
      <c r="BW330" t="str">
        <f>"20:12:57.334"</f>
        <v>20:12:57.334</v>
      </c>
      <c r="CJ330">
        <v>0</v>
      </c>
      <c r="CK330">
        <v>2</v>
      </c>
      <c r="CL330">
        <v>0</v>
      </c>
      <c r="CM330">
        <v>2</v>
      </c>
      <c r="CN330">
        <v>0</v>
      </c>
      <c r="CO330">
        <v>5</v>
      </c>
      <c r="CP330" t="s">
        <v>119</v>
      </c>
      <c r="CQ330">
        <v>559</v>
      </c>
      <c r="CR330">
        <v>0</v>
      </c>
      <c r="CW330">
        <v>10400598</v>
      </c>
      <c r="CY330">
        <v>1</v>
      </c>
      <c r="CZ330">
        <v>0</v>
      </c>
      <c r="DA330">
        <v>1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</row>
    <row r="331" spans="1:113" x14ac:dyDescent="0.3">
      <c r="A331" t="str">
        <f>"02/08/2021 20:12:54.990"</f>
        <v>02/08/2021 20:12:54.990</v>
      </c>
      <c r="C331" t="str">
        <f t="shared" si="14"/>
        <v>FFDFD3C0</v>
      </c>
      <c r="D331" t="s">
        <v>141</v>
      </c>
      <c r="E331">
        <v>17</v>
      </c>
      <c r="H331">
        <v>256</v>
      </c>
      <c r="I331" t="s">
        <v>142</v>
      </c>
      <c r="J331" t="s">
        <v>143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>"20:12:57.328"</f>
        <v>20:12:57.328</v>
      </c>
      <c r="U331" t="str">
        <f t="shared" si="16"/>
        <v>AB01F4</v>
      </c>
      <c r="V331">
        <v>0</v>
      </c>
      <c r="W331">
        <v>0</v>
      </c>
      <c r="X331">
        <v>1</v>
      </c>
      <c r="Z331">
        <v>0</v>
      </c>
      <c r="AA331">
        <v>9</v>
      </c>
      <c r="AB331">
        <v>3</v>
      </c>
      <c r="AC331">
        <v>0</v>
      </c>
      <c r="AD331">
        <v>10</v>
      </c>
      <c r="AE331">
        <v>0</v>
      </c>
      <c r="AF331">
        <v>3</v>
      </c>
      <c r="AG331">
        <v>2</v>
      </c>
      <c r="AH331">
        <v>0</v>
      </c>
      <c r="AI331" t="s">
        <v>358</v>
      </c>
      <c r="AJ331">
        <v>39.541812</v>
      </c>
      <c r="AK331" t="s">
        <v>359</v>
      </c>
      <c r="AL331">
        <v>-92.472825</v>
      </c>
      <c r="AM331">
        <v>100</v>
      </c>
      <c r="AN331">
        <v>1900</v>
      </c>
      <c r="AO331" t="s">
        <v>118</v>
      </c>
      <c r="AP331">
        <v>-86</v>
      </c>
      <c r="AQ331">
        <v>117</v>
      </c>
      <c r="AR331">
        <v>0</v>
      </c>
      <c r="AZ331">
        <v>1200</v>
      </c>
      <c r="BA331">
        <v>1</v>
      </c>
      <c r="BB331" t="str">
        <f t="shared" si="15"/>
        <v xml:space="preserve">N8080G  </v>
      </c>
      <c r="BC331">
        <v>1</v>
      </c>
      <c r="BE331">
        <v>0</v>
      </c>
      <c r="BF331">
        <v>0</v>
      </c>
      <c r="BG331">
        <v>0</v>
      </c>
      <c r="BH331">
        <v>1850</v>
      </c>
      <c r="BI331">
        <v>1</v>
      </c>
      <c r="BJ331">
        <v>1</v>
      </c>
      <c r="BK331">
        <v>1</v>
      </c>
      <c r="BL331">
        <v>0</v>
      </c>
      <c r="BO331">
        <v>0</v>
      </c>
      <c r="BP331">
        <v>0</v>
      </c>
      <c r="BW331" t="str">
        <f>"20:12:57.334"</f>
        <v>20:12:57.334</v>
      </c>
      <c r="CJ331">
        <v>0</v>
      </c>
      <c r="CK331">
        <v>2</v>
      </c>
      <c r="CL331">
        <v>0</v>
      </c>
      <c r="CM331">
        <v>2</v>
      </c>
      <c r="CN331">
        <v>0</v>
      </c>
      <c r="CO331">
        <v>5</v>
      </c>
      <c r="CP331" t="s">
        <v>119</v>
      </c>
      <c r="CQ331">
        <v>559</v>
      </c>
      <c r="CR331">
        <v>0</v>
      </c>
      <c r="CW331">
        <v>10400598</v>
      </c>
      <c r="CY331">
        <v>1</v>
      </c>
      <c r="CZ331">
        <v>0</v>
      </c>
      <c r="DA331">
        <v>1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</row>
    <row r="332" spans="1:113" x14ac:dyDescent="0.3">
      <c r="A332" t="str">
        <f>"02/08/2021 20:12:56.052"</f>
        <v>02/08/2021 20:12:56.052</v>
      </c>
      <c r="C332" t="str">
        <f t="shared" si="14"/>
        <v>FFDFD3C0</v>
      </c>
      <c r="D332" t="s">
        <v>124</v>
      </c>
      <c r="E332">
        <v>13</v>
      </c>
      <c r="F332">
        <v>1013</v>
      </c>
      <c r="G332" t="s">
        <v>114</v>
      </c>
      <c r="J332" t="s">
        <v>125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>"20:12:58.398"</f>
        <v>20:12:58.398</v>
      </c>
      <c r="T332" t="str">
        <f>"20:12:57.898"</f>
        <v>20:12:57.898</v>
      </c>
      <c r="U332" t="str">
        <f t="shared" si="16"/>
        <v>AB01F4</v>
      </c>
      <c r="V332">
        <v>0</v>
      </c>
      <c r="W332">
        <v>0</v>
      </c>
      <c r="X332">
        <v>1</v>
      </c>
      <c r="Z332">
        <v>0</v>
      </c>
      <c r="AA332">
        <v>9</v>
      </c>
      <c r="AB332">
        <v>3</v>
      </c>
      <c r="AC332">
        <v>0</v>
      </c>
      <c r="AD332">
        <v>10</v>
      </c>
      <c r="AE332">
        <v>0</v>
      </c>
      <c r="AF332">
        <v>3</v>
      </c>
      <c r="AG332">
        <v>2</v>
      </c>
      <c r="AH332">
        <v>0</v>
      </c>
      <c r="AI332" t="s">
        <v>360</v>
      </c>
      <c r="AJ332">
        <v>39.542347999999997</v>
      </c>
      <c r="AK332" t="s">
        <v>361</v>
      </c>
      <c r="AL332">
        <v>-92.473297000000002</v>
      </c>
      <c r="AM332">
        <v>100</v>
      </c>
      <c r="AN332">
        <v>1900</v>
      </c>
      <c r="AO332" t="s">
        <v>118</v>
      </c>
      <c r="AP332">
        <v>-86</v>
      </c>
      <c r="AQ332">
        <v>117</v>
      </c>
      <c r="AR332">
        <v>0</v>
      </c>
      <c r="AZ332">
        <v>1200</v>
      </c>
      <c r="BA332">
        <v>1</v>
      </c>
      <c r="BB332" t="str">
        <f t="shared" si="15"/>
        <v xml:space="preserve">N8080G  </v>
      </c>
      <c r="BC332">
        <v>1</v>
      </c>
      <c r="BE332">
        <v>0</v>
      </c>
      <c r="BF332">
        <v>0</v>
      </c>
      <c r="BG332">
        <v>0</v>
      </c>
      <c r="BH332">
        <v>1850</v>
      </c>
      <c r="BI332">
        <v>1</v>
      </c>
      <c r="BJ332">
        <v>1</v>
      </c>
      <c r="BK332">
        <v>1</v>
      </c>
      <c r="BL332">
        <v>0</v>
      </c>
      <c r="BO332">
        <v>0</v>
      </c>
      <c r="BP332">
        <v>0</v>
      </c>
      <c r="BW332" t="str">
        <f>"20:12:58.402"</f>
        <v>20:12:58.402</v>
      </c>
      <c r="CJ332">
        <v>0</v>
      </c>
      <c r="CK332">
        <v>2</v>
      </c>
      <c r="CL332">
        <v>0</v>
      </c>
      <c r="CM332">
        <v>2</v>
      </c>
      <c r="CN332">
        <v>0</v>
      </c>
      <c r="CO332">
        <v>5</v>
      </c>
      <c r="CP332" t="s">
        <v>119</v>
      </c>
      <c r="CQ332">
        <v>559</v>
      </c>
      <c r="CR332">
        <v>0</v>
      </c>
      <c r="CW332">
        <v>10400775</v>
      </c>
      <c r="CY332">
        <v>1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</row>
    <row r="333" spans="1:113" x14ac:dyDescent="0.3">
      <c r="A333" t="str">
        <f>"02/08/2021 20:12:56.052"</f>
        <v>02/08/2021 20:12:56.052</v>
      </c>
      <c r="C333" t="str">
        <f t="shared" si="14"/>
        <v>FFDFD3C0</v>
      </c>
      <c r="D333" t="s">
        <v>113</v>
      </c>
      <c r="E333">
        <v>6</v>
      </c>
      <c r="H333">
        <v>165</v>
      </c>
      <c r="I333" t="s">
        <v>114</v>
      </c>
      <c r="J333" t="s">
        <v>115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>"20:12:58.398"</f>
        <v>20:12:58.398</v>
      </c>
      <c r="T333" t="str">
        <f>"20:12:57.898"</f>
        <v>20:12:57.898</v>
      </c>
      <c r="U333" t="str">
        <f t="shared" si="16"/>
        <v>AB01F4</v>
      </c>
      <c r="V333">
        <v>0</v>
      </c>
      <c r="W333">
        <v>0</v>
      </c>
      <c r="X333">
        <v>1</v>
      </c>
      <c r="Z333">
        <v>0</v>
      </c>
      <c r="AA333">
        <v>9</v>
      </c>
      <c r="AB333">
        <v>3</v>
      </c>
      <c r="AC333">
        <v>0</v>
      </c>
      <c r="AD333">
        <v>10</v>
      </c>
      <c r="AE333">
        <v>0</v>
      </c>
      <c r="AF333">
        <v>3</v>
      </c>
      <c r="AG333">
        <v>2</v>
      </c>
      <c r="AH333">
        <v>0</v>
      </c>
      <c r="AI333" t="s">
        <v>360</v>
      </c>
      <c r="AJ333">
        <v>39.542347999999997</v>
      </c>
      <c r="AK333" t="s">
        <v>361</v>
      </c>
      <c r="AL333">
        <v>-92.473297000000002</v>
      </c>
      <c r="AM333">
        <v>100</v>
      </c>
      <c r="AN333">
        <v>1900</v>
      </c>
      <c r="AO333" t="s">
        <v>118</v>
      </c>
      <c r="AP333">
        <v>-86</v>
      </c>
      <c r="AQ333">
        <v>117</v>
      </c>
      <c r="AR333">
        <v>0</v>
      </c>
      <c r="AZ333">
        <v>1200</v>
      </c>
      <c r="BA333">
        <v>1</v>
      </c>
      <c r="BB333" t="str">
        <f t="shared" si="15"/>
        <v xml:space="preserve">N8080G  </v>
      </c>
      <c r="BC333">
        <v>1</v>
      </c>
      <c r="BE333">
        <v>0</v>
      </c>
      <c r="BF333">
        <v>0</v>
      </c>
      <c r="BG333">
        <v>0</v>
      </c>
      <c r="BH333">
        <v>1850</v>
      </c>
      <c r="BI333">
        <v>1</v>
      </c>
      <c r="BJ333">
        <v>1</v>
      </c>
      <c r="BK333">
        <v>1</v>
      </c>
      <c r="BL333">
        <v>0</v>
      </c>
      <c r="BO333">
        <v>0</v>
      </c>
      <c r="BP333">
        <v>0</v>
      </c>
      <c r="BW333" t="str">
        <f>"20:12:58.402"</f>
        <v>20:12:58.402</v>
      </c>
      <c r="CJ333">
        <v>0</v>
      </c>
      <c r="CK333">
        <v>2</v>
      </c>
      <c r="CL333">
        <v>0</v>
      </c>
      <c r="CM333">
        <v>2</v>
      </c>
      <c r="CN333">
        <v>0</v>
      </c>
      <c r="CO333">
        <v>5</v>
      </c>
      <c r="CP333" t="s">
        <v>119</v>
      </c>
      <c r="CQ333">
        <v>559</v>
      </c>
      <c r="CR333">
        <v>0</v>
      </c>
      <c r="CW333">
        <v>10400775</v>
      </c>
      <c r="CY333">
        <v>1</v>
      </c>
      <c r="CZ333">
        <v>0</v>
      </c>
      <c r="DA333">
        <v>1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</row>
    <row r="334" spans="1:113" x14ac:dyDescent="0.3">
      <c r="A334" t="str">
        <f>"02/08/2021 20:12:56.052"</f>
        <v>02/08/2021 20:12:56.052</v>
      </c>
      <c r="C334" t="str">
        <f t="shared" si="14"/>
        <v>FFDFD3C0</v>
      </c>
      <c r="D334" t="s">
        <v>141</v>
      </c>
      <c r="E334">
        <v>17</v>
      </c>
      <c r="H334">
        <v>256</v>
      </c>
      <c r="I334" t="s">
        <v>142</v>
      </c>
      <c r="J334" t="s">
        <v>143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>"20:12:58.398"</f>
        <v>20:12:58.398</v>
      </c>
      <c r="T334" t="str">
        <f>"20:12:57.898"</f>
        <v>20:12:57.898</v>
      </c>
      <c r="U334" t="str">
        <f t="shared" si="16"/>
        <v>AB01F4</v>
      </c>
      <c r="V334">
        <v>0</v>
      </c>
      <c r="W334">
        <v>0</v>
      </c>
      <c r="X334">
        <v>1</v>
      </c>
      <c r="Z334">
        <v>0</v>
      </c>
      <c r="AA334">
        <v>9</v>
      </c>
      <c r="AB334">
        <v>3</v>
      </c>
      <c r="AC334">
        <v>0</v>
      </c>
      <c r="AD334">
        <v>10</v>
      </c>
      <c r="AE334">
        <v>0</v>
      </c>
      <c r="AF334">
        <v>3</v>
      </c>
      <c r="AG334">
        <v>2</v>
      </c>
      <c r="AH334">
        <v>0</v>
      </c>
      <c r="AI334" t="s">
        <v>360</v>
      </c>
      <c r="AJ334">
        <v>39.542347999999997</v>
      </c>
      <c r="AK334" t="s">
        <v>361</v>
      </c>
      <c r="AL334">
        <v>-92.473297000000002</v>
      </c>
      <c r="AM334">
        <v>100</v>
      </c>
      <c r="AN334">
        <v>1900</v>
      </c>
      <c r="AO334" t="s">
        <v>118</v>
      </c>
      <c r="AP334">
        <v>-86</v>
      </c>
      <c r="AQ334">
        <v>117</v>
      </c>
      <c r="AR334">
        <v>0</v>
      </c>
      <c r="AZ334">
        <v>1200</v>
      </c>
      <c r="BA334">
        <v>1</v>
      </c>
      <c r="BB334" t="str">
        <f t="shared" si="15"/>
        <v xml:space="preserve">N8080G  </v>
      </c>
      <c r="BC334">
        <v>1</v>
      </c>
      <c r="BE334">
        <v>0</v>
      </c>
      <c r="BF334">
        <v>0</v>
      </c>
      <c r="BG334">
        <v>0</v>
      </c>
      <c r="BH334">
        <v>1850</v>
      </c>
      <c r="BI334">
        <v>1</v>
      </c>
      <c r="BJ334">
        <v>1</v>
      </c>
      <c r="BK334">
        <v>1</v>
      </c>
      <c r="BL334">
        <v>0</v>
      </c>
      <c r="BO334">
        <v>0</v>
      </c>
      <c r="BP334">
        <v>0</v>
      </c>
      <c r="BW334" t="str">
        <f>"20:12:58.402"</f>
        <v>20:12:58.402</v>
      </c>
      <c r="CJ334">
        <v>0</v>
      </c>
      <c r="CK334">
        <v>2</v>
      </c>
      <c r="CL334">
        <v>0</v>
      </c>
      <c r="CM334">
        <v>2</v>
      </c>
      <c r="CN334">
        <v>0</v>
      </c>
      <c r="CO334">
        <v>5</v>
      </c>
      <c r="CP334" t="s">
        <v>119</v>
      </c>
      <c r="CQ334">
        <v>559</v>
      </c>
      <c r="CR334">
        <v>0</v>
      </c>
      <c r="CW334">
        <v>10400775</v>
      </c>
      <c r="CY334">
        <v>1</v>
      </c>
      <c r="CZ334">
        <v>0</v>
      </c>
      <c r="DA334">
        <v>1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</row>
    <row r="335" spans="1:113" x14ac:dyDescent="0.3">
      <c r="A335" t="str">
        <f>"02/08/2021 20:12:57.186"</f>
        <v>02/08/2021 20:12:57.186</v>
      </c>
      <c r="C335" t="str">
        <f t="shared" ref="C335:C398" si="17">"FFDFD3C0"</f>
        <v>FFDFD3C0</v>
      </c>
      <c r="D335" t="s">
        <v>141</v>
      </c>
      <c r="E335">
        <v>17</v>
      </c>
      <c r="H335">
        <v>256</v>
      </c>
      <c r="I335" t="s">
        <v>142</v>
      </c>
      <c r="J335" t="s">
        <v>143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>"20:12:59.500"</f>
        <v>20:12:59.500</v>
      </c>
      <c r="T335" t="str">
        <f>"20:12:59.000"</f>
        <v>20:12:59.000</v>
      </c>
      <c r="U335" t="str">
        <f t="shared" si="16"/>
        <v>AB01F4</v>
      </c>
      <c r="V335">
        <v>0</v>
      </c>
      <c r="W335">
        <v>0</v>
      </c>
      <c r="X335">
        <v>1</v>
      </c>
      <c r="Z335">
        <v>0</v>
      </c>
      <c r="AA335">
        <v>9</v>
      </c>
      <c r="AB335">
        <v>3</v>
      </c>
      <c r="AC335">
        <v>0</v>
      </c>
      <c r="AD335">
        <v>10</v>
      </c>
      <c r="AE335">
        <v>0</v>
      </c>
      <c r="AF335">
        <v>3</v>
      </c>
      <c r="AG335">
        <v>2</v>
      </c>
      <c r="AH335">
        <v>0</v>
      </c>
      <c r="AI335" t="s">
        <v>362</v>
      </c>
      <c r="AJ335">
        <v>39.542991999999998</v>
      </c>
      <c r="AK335" t="s">
        <v>363</v>
      </c>
      <c r="AL335">
        <v>-92.473962</v>
      </c>
      <c r="AM335">
        <v>100</v>
      </c>
      <c r="AN335">
        <v>1900</v>
      </c>
      <c r="AO335" t="s">
        <v>118</v>
      </c>
      <c r="AP335">
        <v>-86</v>
      </c>
      <c r="AQ335">
        <v>117</v>
      </c>
      <c r="AR335">
        <v>0</v>
      </c>
      <c r="AZ335">
        <v>1200</v>
      </c>
      <c r="BA335">
        <v>1</v>
      </c>
      <c r="BB335" t="str">
        <f t="shared" ref="BB335:BB398" si="18">"N8080G  "</f>
        <v xml:space="preserve">N8080G  </v>
      </c>
      <c r="BC335">
        <v>1</v>
      </c>
      <c r="BE335">
        <v>0</v>
      </c>
      <c r="BF335">
        <v>0</v>
      </c>
      <c r="BG335">
        <v>0</v>
      </c>
      <c r="BH335">
        <v>1850</v>
      </c>
      <c r="BI335">
        <v>1</v>
      </c>
      <c r="BJ335">
        <v>1</v>
      </c>
      <c r="BK335">
        <v>1</v>
      </c>
      <c r="BL335">
        <v>0</v>
      </c>
      <c r="BO335">
        <v>0</v>
      </c>
      <c r="BP335">
        <v>0</v>
      </c>
      <c r="BW335" t="str">
        <f>"20:12:59.507"</f>
        <v>20:12:59.507</v>
      </c>
      <c r="CJ335">
        <v>0</v>
      </c>
      <c r="CK335">
        <v>2</v>
      </c>
      <c r="CL335">
        <v>0</v>
      </c>
      <c r="CM335">
        <v>2</v>
      </c>
      <c r="CN335">
        <v>0</v>
      </c>
      <c r="CO335">
        <v>5</v>
      </c>
      <c r="CP335" t="s">
        <v>119</v>
      </c>
      <c r="CQ335">
        <v>559</v>
      </c>
      <c r="CR335">
        <v>0</v>
      </c>
      <c r="CW335">
        <v>10400945</v>
      </c>
      <c r="CY335">
        <v>1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</row>
    <row r="336" spans="1:113" x14ac:dyDescent="0.3">
      <c r="A336" t="str">
        <f>"02/08/2021 20:12:57.186"</f>
        <v>02/08/2021 20:12:57.186</v>
      </c>
      <c r="C336" t="str">
        <f t="shared" si="17"/>
        <v>FFDFD3C0</v>
      </c>
      <c r="D336" t="s">
        <v>124</v>
      </c>
      <c r="E336">
        <v>13</v>
      </c>
      <c r="F336">
        <v>1013</v>
      </c>
      <c r="G336" t="s">
        <v>114</v>
      </c>
      <c r="J336" t="s">
        <v>125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>"20:12:59.500"</f>
        <v>20:12:59.500</v>
      </c>
      <c r="T336" t="str">
        <f>"20:12:59.000"</f>
        <v>20:12:59.000</v>
      </c>
      <c r="U336" t="str">
        <f t="shared" si="16"/>
        <v>AB01F4</v>
      </c>
      <c r="V336">
        <v>0</v>
      </c>
      <c r="W336">
        <v>0</v>
      </c>
      <c r="X336">
        <v>1</v>
      </c>
      <c r="Z336">
        <v>0</v>
      </c>
      <c r="AA336">
        <v>9</v>
      </c>
      <c r="AB336">
        <v>3</v>
      </c>
      <c r="AC336">
        <v>0</v>
      </c>
      <c r="AD336">
        <v>10</v>
      </c>
      <c r="AE336">
        <v>0</v>
      </c>
      <c r="AF336">
        <v>3</v>
      </c>
      <c r="AG336">
        <v>2</v>
      </c>
      <c r="AH336">
        <v>0</v>
      </c>
      <c r="AI336" t="s">
        <v>362</v>
      </c>
      <c r="AJ336">
        <v>39.542991999999998</v>
      </c>
      <c r="AK336" t="s">
        <v>363</v>
      </c>
      <c r="AL336">
        <v>-92.473962</v>
      </c>
      <c r="AM336">
        <v>100</v>
      </c>
      <c r="AN336">
        <v>1900</v>
      </c>
      <c r="AO336" t="s">
        <v>118</v>
      </c>
      <c r="AP336">
        <v>-86</v>
      </c>
      <c r="AQ336">
        <v>117</v>
      </c>
      <c r="AR336">
        <v>0</v>
      </c>
      <c r="AZ336">
        <v>1200</v>
      </c>
      <c r="BA336">
        <v>1</v>
      </c>
      <c r="BB336" t="str">
        <f t="shared" si="18"/>
        <v xml:space="preserve">N8080G  </v>
      </c>
      <c r="BC336">
        <v>1</v>
      </c>
      <c r="BE336">
        <v>0</v>
      </c>
      <c r="BF336">
        <v>0</v>
      </c>
      <c r="BG336">
        <v>0</v>
      </c>
      <c r="BH336">
        <v>1850</v>
      </c>
      <c r="BI336">
        <v>1</v>
      </c>
      <c r="BJ336">
        <v>1</v>
      </c>
      <c r="BK336">
        <v>1</v>
      </c>
      <c r="BL336">
        <v>0</v>
      </c>
      <c r="BO336">
        <v>0</v>
      </c>
      <c r="BP336">
        <v>0</v>
      </c>
      <c r="BW336" t="str">
        <f>"20:12:59.507"</f>
        <v>20:12:59.507</v>
      </c>
      <c r="CJ336">
        <v>0</v>
      </c>
      <c r="CK336">
        <v>2</v>
      </c>
      <c r="CL336">
        <v>0</v>
      </c>
      <c r="CM336">
        <v>2</v>
      </c>
      <c r="CN336">
        <v>0</v>
      </c>
      <c r="CO336">
        <v>5</v>
      </c>
      <c r="CP336" t="s">
        <v>119</v>
      </c>
      <c r="CQ336">
        <v>559</v>
      </c>
      <c r="CR336">
        <v>0</v>
      </c>
      <c r="CW336">
        <v>10400945</v>
      </c>
      <c r="CY336">
        <v>1</v>
      </c>
      <c r="CZ336">
        <v>0</v>
      </c>
      <c r="DA336">
        <v>1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</row>
    <row r="337" spans="1:113" x14ac:dyDescent="0.3">
      <c r="A337" t="str">
        <f>"02/08/2021 20:12:57.186"</f>
        <v>02/08/2021 20:12:57.186</v>
      </c>
      <c r="C337" t="str">
        <f t="shared" si="17"/>
        <v>FFDFD3C0</v>
      </c>
      <c r="D337" t="s">
        <v>113</v>
      </c>
      <c r="E337">
        <v>6</v>
      </c>
      <c r="H337">
        <v>165</v>
      </c>
      <c r="I337" t="s">
        <v>114</v>
      </c>
      <c r="J337" t="s">
        <v>115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>"20:12:59.500"</f>
        <v>20:12:59.500</v>
      </c>
      <c r="T337" t="str">
        <f>"20:12:59.000"</f>
        <v>20:12:59.000</v>
      </c>
      <c r="U337" t="str">
        <f t="shared" si="16"/>
        <v>AB01F4</v>
      </c>
      <c r="V337">
        <v>0</v>
      </c>
      <c r="W337">
        <v>0</v>
      </c>
      <c r="X337">
        <v>1</v>
      </c>
      <c r="Z337">
        <v>0</v>
      </c>
      <c r="AA337">
        <v>9</v>
      </c>
      <c r="AB337">
        <v>3</v>
      </c>
      <c r="AC337">
        <v>0</v>
      </c>
      <c r="AD337">
        <v>10</v>
      </c>
      <c r="AE337">
        <v>0</v>
      </c>
      <c r="AF337">
        <v>3</v>
      </c>
      <c r="AG337">
        <v>2</v>
      </c>
      <c r="AH337">
        <v>0</v>
      </c>
      <c r="AI337" t="s">
        <v>362</v>
      </c>
      <c r="AJ337">
        <v>39.542991999999998</v>
      </c>
      <c r="AK337" t="s">
        <v>363</v>
      </c>
      <c r="AL337">
        <v>-92.473962</v>
      </c>
      <c r="AM337">
        <v>100</v>
      </c>
      <c r="AN337">
        <v>1900</v>
      </c>
      <c r="AO337" t="s">
        <v>118</v>
      </c>
      <c r="AP337">
        <v>-86</v>
      </c>
      <c r="AQ337">
        <v>117</v>
      </c>
      <c r="AR337">
        <v>0</v>
      </c>
      <c r="AZ337">
        <v>1200</v>
      </c>
      <c r="BA337">
        <v>1</v>
      </c>
      <c r="BB337" t="str">
        <f t="shared" si="18"/>
        <v xml:space="preserve">N8080G  </v>
      </c>
      <c r="BC337">
        <v>1</v>
      </c>
      <c r="BE337">
        <v>0</v>
      </c>
      <c r="BF337">
        <v>0</v>
      </c>
      <c r="BG337">
        <v>0</v>
      </c>
      <c r="BH337">
        <v>1850</v>
      </c>
      <c r="BI337">
        <v>1</v>
      </c>
      <c r="BJ337">
        <v>1</v>
      </c>
      <c r="BK337">
        <v>1</v>
      </c>
      <c r="BL337">
        <v>0</v>
      </c>
      <c r="BO337">
        <v>0</v>
      </c>
      <c r="BP337">
        <v>0</v>
      </c>
      <c r="BW337" t="str">
        <f>"20:12:59.507"</f>
        <v>20:12:59.507</v>
      </c>
      <c r="CJ337">
        <v>0</v>
      </c>
      <c r="CK337">
        <v>2</v>
      </c>
      <c r="CL337">
        <v>0</v>
      </c>
      <c r="CM337">
        <v>2</v>
      </c>
      <c r="CN337">
        <v>0</v>
      </c>
      <c r="CO337">
        <v>5</v>
      </c>
      <c r="CP337" t="s">
        <v>119</v>
      </c>
      <c r="CQ337">
        <v>559</v>
      </c>
      <c r="CR337">
        <v>0</v>
      </c>
      <c r="CW337">
        <v>10400945</v>
      </c>
      <c r="CY337">
        <v>1</v>
      </c>
      <c r="CZ337">
        <v>0</v>
      </c>
      <c r="DA337">
        <v>1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</row>
    <row r="338" spans="1:113" x14ac:dyDescent="0.3">
      <c r="A338" t="str">
        <f>"02/08/2021 20:12:58.227"</f>
        <v>02/08/2021 20:12:58.227</v>
      </c>
      <c r="C338" t="str">
        <f t="shared" si="17"/>
        <v>FFDFD3C0</v>
      </c>
      <c r="D338" t="s">
        <v>113</v>
      </c>
      <c r="E338">
        <v>6</v>
      </c>
      <c r="H338">
        <v>165</v>
      </c>
      <c r="I338" t="s">
        <v>114</v>
      </c>
      <c r="J338" t="s">
        <v>115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>"20:13:00.563"</f>
        <v>20:13:00.563</v>
      </c>
      <c r="T338" t="str">
        <f>"20:13:00.163"</f>
        <v>20:13:00.163</v>
      </c>
      <c r="U338" t="str">
        <f t="shared" si="16"/>
        <v>AB01F4</v>
      </c>
      <c r="V338">
        <v>0</v>
      </c>
      <c r="W338">
        <v>0</v>
      </c>
      <c r="X338">
        <v>1</v>
      </c>
      <c r="Z338">
        <v>0</v>
      </c>
      <c r="AA338">
        <v>9</v>
      </c>
      <c r="AB338">
        <v>3</v>
      </c>
      <c r="AC338">
        <v>0</v>
      </c>
      <c r="AD338">
        <v>10</v>
      </c>
      <c r="AE338">
        <v>0</v>
      </c>
      <c r="AF338">
        <v>3</v>
      </c>
      <c r="AG338">
        <v>2</v>
      </c>
      <c r="AH338">
        <v>0</v>
      </c>
      <c r="AI338" t="s">
        <v>364</v>
      </c>
      <c r="AJ338">
        <v>39.543550000000003</v>
      </c>
      <c r="AK338" t="s">
        <v>365</v>
      </c>
      <c r="AL338">
        <v>-92.474434000000002</v>
      </c>
      <c r="AM338">
        <v>100</v>
      </c>
      <c r="AN338">
        <v>1900</v>
      </c>
      <c r="AO338" t="s">
        <v>118</v>
      </c>
      <c r="AP338">
        <v>-85</v>
      </c>
      <c r="AQ338">
        <v>117</v>
      </c>
      <c r="AR338">
        <v>0</v>
      </c>
      <c r="AZ338">
        <v>1200</v>
      </c>
      <c r="BA338">
        <v>1</v>
      </c>
      <c r="BB338" t="str">
        <f t="shared" si="18"/>
        <v xml:space="preserve">N8080G  </v>
      </c>
      <c r="BC338">
        <v>1</v>
      </c>
      <c r="BE338">
        <v>0</v>
      </c>
      <c r="BF338">
        <v>0</v>
      </c>
      <c r="BG338">
        <v>0</v>
      </c>
      <c r="BH338">
        <v>1850</v>
      </c>
      <c r="BI338">
        <v>1</v>
      </c>
      <c r="BJ338">
        <v>1</v>
      </c>
      <c r="BK338">
        <v>1</v>
      </c>
      <c r="BL338">
        <v>0</v>
      </c>
      <c r="BO338">
        <v>0</v>
      </c>
      <c r="BP338">
        <v>0</v>
      </c>
      <c r="BW338" t="str">
        <f>"20:13:00.565"</f>
        <v>20:13:00.565</v>
      </c>
      <c r="CJ338">
        <v>0</v>
      </c>
      <c r="CK338">
        <v>2</v>
      </c>
      <c r="CL338">
        <v>0</v>
      </c>
      <c r="CM338">
        <v>2</v>
      </c>
      <c r="CN338">
        <v>0</v>
      </c>
      <c r="CO338">
        <v>6</v>
      </c>
      <c r="CP338" t="s">
        <v>119</v>
      </c>
      <c r="CQ338">
        <v>559</v>
      </c>
      <c r="CR338">
        <v>0</v>
      </c>
      <c r="CW338">
        <v>10401101</v>
      </c>
      <c r="CY338">
        <v>1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</row>
    <row r="339" spans="1:113" x14ac:dyDescent="0.3">
      <c r="A339" t="str">
        <f>"02/08/2021 20:12:58.227"</f>
        <v>02/08/2021 20:12:58.227</v>
      </c>
      <c r="C339" t="str">
        <f t="shared" si="17"/>
        <v>FFDFD3C0</v>
      </c>
      <c r="D339" t="s">
        <v>141</v>
      </c>
      <c r="E339">
        <v>17</v>
      </c>
      <c r="H339">
        <v>256</v>
      </c>
      <c r="I339" t="s">
        <v>142</v>
      </c>
      <c r="J339" t="s">
        <v>143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>"20:13:00.563"</f>
        <v>20:13:00.563</v>
      </c>
      <c r="T339" t="str">
        <f>"20:13:00.163"</f>
        <v>20:13:00.163</v>
      </c>
      <c r="U339" t="str">
        <f t="shared" si="16"/>
        <v>AB01F4</v>
      </c>
      <c r="V339">
        <v>0</v>
      </c>
      <c r="W339">
        <v>0</v>
      </c>
      <c r="X339">
        <v>1</v>
      </c>
      <c r="Z339">
        <v>0</v>
      </c>
      <c r="AA339">
        <v>9</v>
      </c>
      <c r="AB339">
        <v>3</v>
      </c>
      <c r="AC339">
        <v>0</v>
      </c>
      <c r="AD339">
        <v>10</v>
      </c>
      <c r="AE339">
        <v>0</v>
      </c>
      <c r="AF339">
        <v>3</v>
      </c>
      <c r="AG339">
        <v>2</v>
      </c>
      <c r="AH339">
        <v>0</v>
      </c>
      <c r="AI339" t="s">
        <v>364</v>
      </c>
      <c r="AJ339">
        <v>39.543550000000003</v>
      </c>
      <c r="AK339" t="s">
        <v>365</v>
      </c>
      <c r="AL339">
        <v>-92.474434000000002</v>
      </c>
      <c r="AM339">
        <v>100</v>
      </c>
      <c r="AN339">
        <v>1900</v>
      </c>
      <c r="AO339" t="s">
        <v>118</v>
      </c>
      <c r="AP339">
        <v>-85</v>
      </c>
      <c r="AQ339">
        <v>117</v>
      </c>
      <c r="AR339">
        <v>0</v>
      </c>
      <c r="AZ339">
        <v>1200</v>
      </c>
      <c r="BA339">
        <v>1</v>
      </c>
      <c r="BB339" t="str">
        <f t="shared" si="18"/>
        <v xml:space="preserve">N8080G  </v>
      </c>
      <c r="BC339">
        <v>1</v>
      </c>
      <c r="BE339">
        <v>0</v>
      </c>
      <c r="BF339">
        <v>0</v>
      </c>
      <c r="BG339">
        <v>0</v>
      </c>
      <c r="BH339">
        <v>1850</v>
      </c>
      <c r="BI339">
        <v>1</v>
      </c>
      <c r="BJ339">
        <v>1</v>
      </c>
      <c r="BK339">
        <v>1</v>
      </c>
      <c r="BL339">
        <v>0</v>
      </c>
      <c r="BO339">
        <v>0</v>
      </c>
      <c r="BP339">
        <v>0</v>
      </c>
      <c r="BW339" t="str">
        <f>"20:13:00.565"</f>
        <v>20:13:00.565</v>
      </c>
      <c r="CJ339">
        <v>0</v>
      </c>
      <c r="CK339">
        <v>2</v>
      </c>
      <c r="CL339">
        <v>0</v>
      </c>
      <c r="CM339">
        <v>2</v>
      </c>
      <c r="CN339">
        <v>0</v>
      </c>
      <c r="CO339">
        <v>6</v>
      </c>
      <c r="CP339" t="s">
        <v>119</v>
      </c>
      <c r="CQ339">
        <v>559</v>
      </c>
      <c r="CR339">
        <v>0</v>
      </c>
      <c r="CW339">
        <v>10401101</v>
      </c>
      <c r="CY339">
        <v>1</v>
      </c>
      <c r="CZ339">
        <v>0</v>
      </c>
      <c r="DA339">
        <v>1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</row>
    <row r="340" spans="1:113" x14ac:dyDescent="0.3">
      <c r="A340" t="str">
        <f>"02/08/2021 20:12:58.227"</f>
        <v>02/08/2021 20:12:58.227</v>
      </c>
      <c r="C340" t="str">
        <f t="shared" si="17"/>
        <v>FFDFD3C0</v>
      </c>
      <c r="D340" t="s">
        <v>124</v>
      </c>
      <c r="E340">
        <v>13</v>
      </c>
      <c r="F340">
        <v>1013</v>
      </c>
      <c r="G340" t="s">
        <v>114</v>
      </c>
      <c r="J340" t="s">
        <v>125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>"20:13:00.563"</f>
        <v>20:13:00.563</v>
      </c>
      <c r="T340" t="str">
        <f>"20:13:00.163"</f>
        <v>20:13:00.163</v>
      </c>
      <c r="U340" t="str">
        <f t="shared" si="16"/>
        <v>AB01F4</v>
      </c>
      <c r="V340">
        <v>0</v>
      </c>
      <c r="W340">
        <v>0</v>
      </c>
      <c r="X340">
        <v>1</v>
      </c>
      <c r="Z340">
        <v>0</v>
      </c>
      <c r="AA340">
        <v>9</v>
      </c>
      <c r="AB340">
        <v>3</v>
      </c>
      <c r="AC340">
        <v>0</v>
      </c>
      <c r="AD340">
        <v>10</v>
      </c>
      <c r="AE340">
        <v>0</v>
      </c>
      <c r="AF340">
        <v>3</v>
      </c>
      <c r="AG340">
        <v>2</v>
      </c>
      <c r="AH340">
        <v>0</v>
      </c>
      <c r="AI340" t="s">
        <v>364</v>
      </c>
      <c r="AJ340">
        <v>39.543550000000003</v>
      </c>
      <c r="AK340" t="s">
        <v>365</v>
      </c>
      <c r="AL340">
        <v>-92.474434000000002</v>
      </c>
      <c r="AM340">
        <v>100</v>
      </c>
      <c r="AN340">
        <v>1900</v>
      </c>
      <c r="AO340" t="s">
        <v>118</v>
      </c>
      <c r="AP340">
        <v>-85</v>
      </c>
      <c r="AQ340">
        <v>117</v>
      </c>
      <c r="AR340">
        <v>0</v>
      </c>
      <c r="AZ340">
        <v>1200</v>
      </c>
      <c r="BA340">
        <v>1</v>
      </c>
      <c r="BB340" t="str">
        <f t="shared" si="18"/>
        <v xml:space="preserve">N8080G  </v>
      </c>
      <c r="BC340">
        <v>1</v>
      </c>
      <c r="BE340">
        <v>0</v>
      </c>
      <c r="BF340">
        <v>0</v>
      </c>
      <c r="BG340">
        <v>0</v>
      </c>
      <c r="BH340">
        <v>1850</v>
      </c>
      <c r="BI340">
        <v>1</v>
      </c>
      <c r="BJ340">
        <v>1</v>
      </c>
      <c r="BK340">
        <v>1</v>
      </c>
      <c r="BL340">
        <v>0</v>
      </c>
      <c r="BO340">
        <v>0</v>
      </c>
      <c r="BP340">
        <v>0</v>
      </c>
      <c r="BW340" t="str">
        <f>"20:13:00.565"</f>
        <v>20:13:00.565</v>
      </c>
      <c r="CJ340">
        <v>0</v>
      </c>
      <c r="CK340">
        <v>2</v>
      </c>
      <c r="CL340">
        <v>0</v>
      </c>
      <c r="CM340">
        <v>2</v>
      </c>
      <c r="CN340">
        <v>0</v>
      </c>
      <c r="CO340">
        <v>6</v>
      </c>
      <c r="CP340" t="s">
        <v>119</v>
      </c>
      <c r="CQ340">
        <v>559</v>
      </c>
      <c r="CR340">
        <v>0</v>
      </c>
      <c r="CW340">
        <v>10401101</v>
      </c>
      <c r="CY340">
        <v>1</v>
      </c>
      <c r="CZ340">
        <v>0</v>
      </c>
      <c r="DA340">
        <v>1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</row>
    <row r="341" spans="1:113" x14ac:dyDescent="0.3">
      <c r="A341" t="str">
        <f>"02/08/2021 20:12:59.222"</f>
        <v>02/08/2021 20:12:59.222</v>
      </c>
      <c r="C341" t="str">
        <f t="shared" si="17"/>
        <v>FFDFD3C0</v>
      </c>
      <c r="D341" t="s">
        <v>124</v>
      </c>
      <c r="E341">
        <v>13</v>
      </c>
      <c r="F341">
        <v>1013</v>
      </c>
      <c r="G341" t="s">
        <v>114</v>
      </c>
      <c r="J341" t="s">
        <v>125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>"20:13:01.563"</f>
        <v>20:13:01.563</v>
      </c>
      <c r="T341" t="str">
        <f>"20:13:01.063"</f>
        <v>20:13:01.063</v>
      </c>
      <c r="U341" t="str">
        <f t="shared" si="16"/>
        <v>AB01F4</v>
      </c>
      <c r="V341">
        <v>0</v>
      </c>
      <c r="W341">
        <v>0</v>
      </c>
      <c r="X341">
        <v>1</v>
      </c>
      <c r="Z341">
        <v>0</v>
      </c>
      <c r="AA341">
        <v>9</v>
      </c>
      <c r="AB341">
        <v>3</v>
      </c>
      <c r="AC341">
        <v>0</v>
      </c>
      <c r="AD341">
        <v>10</v>
      </c>
      <c r="AE341">
        <v>0</v>
      </c>
      <c r="AF341">
        <v>3</v>
      </c>
      <c r="AG341">
        <v>2</v>
      </c>
      <c r="AH341">
        <v>0</v>
      </c>
      <c r="AI341" t="s">
        <v>366</v>
      </c>
      <c r="AJ341">
        <v>39.544108000000001</v>
      </c>
      <c r="AK341" t="s">
        <v>367</v>
      </c>
      <c r="AL341">
        <v>-92.474970999999996</v>
      </c>
      <c r="AM341">
        <v>100</v>
      </c>
      <c r="AN341">
        <v>1900</v>
      </c>
      <c r="AO341" t="s">
        <v>118</v>
      </c>
      <c r="AP341">
        <v>-84</v>
      </c>
      <c r="AQ341">
        <v>118</v>
      </c>
      <c r="AR341">
        <v>0</v>
      </c>
      <c r="AZ341">
        <v>1200</v>
      </c>
      <c r="BA341">
        <v>1</v>
      </c>
      <c r="BB341" t="str">
        <f t="shared" si="18"/>
        <v xml:space="preserve">N8080G  </v>
      </c>
      <c r="BC341">
        <v>1</v>
      </c>
      <c r="BE341">
        <v>0</v>
      </c>
      <c r="BF341">
        <v>0</v>
      </c>
      <c r="BG341">
        <v>0</v>
      </c>
      <c r="BH341">
        <v>1850</v>
      </c>
      <c r="BI341">
        <v>1</v>
      </c>
      <c r="BJ341">
        <v>1</v>
      </c>
      <c r="BK341">
        <v>1</v>
      </c>
      <c r="BL341">
        <v>0</v>
      </c>
      <c r="BO341">
        <v>0</v>
      </c>
      <c r="BP341">
        <v>0</v>
      </c>
      <c r="BW341" t="str">
        <f>"20:13:01.569"</f>
        <v>20:13:01.569</v>
      </c>
      <c r="CJ341">
        <v>0</v>
      </c>
      <c r="CK341">
        <v>2</v>
      </c>
      <c r="CL341">
        <v>0</v>
      </c>
      <c r="CM341">
        <v>2</v>
      </c>
      <c r="CN341">
        <v>0</v>
      </c>
      <c r="CO341">
        <v>6</v>
      </c>
      <c r="CP341" t="s">
        <v>119</v>
      </c>
      <c r="CQ341">
        <v>559</v>
      </c>
      <c r="CR341">
        <v>0</v>
      </c>
      <c r="CW341">
        <v>10401266</v>
      </c>
      <c r="CY341">
        <v>1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</row>
    <row r="342" spans="1:113" x14ac:dyDescent="0.3">
      <c r="A342" t="str">
        <f>"02/08/2021 20:12:59.222"</f>
        <v>02/08/2021 20:12:59.222</v>
      </c>
      <c r="C342" t="str">
        <f t="shared" si="17"/>
        <v>FFDFD3C0</v>
      </c>
      <c r="D342" t="s">
        <v>113</v>
      </c>
      <c r="E342">
        <v>6</v>
      </c>
      <c r="H342">
        <v>165</v>
      </c>
      <c r="I342" t="s">
        <v>114</v>
      </c>
      <c r="J342" t="s">
        <v>115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>"20:13:01.563"</f>
        <v>20:13:01.563</v>
      </c>
      <c r="T342" t="str">
        <f>"20:13:01.063"</f>
        <v>20:13:01.063</v>
      </c>
      <c r="U342" t="str">
        <f t="shared" si="16"/>
        <v>AB01F4</v>
      </c>
      <c r="V342">
        <v>0</v>
      </c>
      <c r="W342">
        <v>0</v>
      </c>
      <c r="X342">
        <v>1</v>
      </c>
      <c r="Z342">
        <v>0</v>
      </c>
      <c r="AA342">
        <v>9</v>
      </c>
      <c r="AB342">
        <v>3</v>
      </c>
      <c r="AC342">
        <v>0</v>
      </c>
      <c r="AD342">
        <v>10</v>
      </c>
      <c r="AE342">
        <v>0</v>
      </c>
      <c r="AF342">
        <v>3</v>
      </c>
      <c r="AG342">
        <v>2</v>
      </c>
      <c r="AH342">
        <v>0</v>
      </c>
      <c r="AI342" t="s">
        <v>366</v>
      </c>
      <c r="AJ342">
        <v>39.544108000000001</v>
      </c>
      <c r="AK342" t="s">
        <v>367</v>
      </c>
      <c r="AL342">
        <v>-92.474970999999996</v>
      </c>
      <c r="AM342">
        <v>100</v>
      </c>
      <c r="AN342">
        <v>1900</v>
      </c>
      <c r="AO342" t="s">
        <v>118</v>
      </c>
      <c r="AP342">
        <v>-84</v>
      </c>
      <c r="AQ342">
        <v>118</v>
      </c>
      <c r="AR342">
        <v>0</v>
      </c>
      <c r="AZ342">
        <v>1200</v>
      </c>
      <c r="BA342">
        <v>1</v>
      </c>
      <c r="BB342" t="str">
        <f t="shared" si="18"/>
        <v xml:space="preserve">N8080G  </v>
      </c>
      <c r="BC342">
        <v>1</v>
      </c>
      <c r="BE342">
        <v>0</v>
      </c>
      <c r="BF342">
        <v>0</v>
      </c>
      <c r="BG342">
        <v>0</v>
      </c>
      <c r="BH342">
        <v>1850</v>
      </c>
      <c r="BI342">
        <v>1</v>
      </c>
      <c r="BJ342">
        <v>1</v>
      </c>
      <c r="BK342">
        <v>1</v>
      </c>
      <c r="BL342">
        <v>0</v>
      </c>
      <c r="BO342">
        <v>0</v>
      </c>
      <c r="BP342">
        <v>0</v>
      </c>
      <c r="BW342" t="str">
        <f>"20:13:01.569"</f>
        <v>20:13:01.569</v>
      </c>
      <c r="CJ342">
        <v>0</v>
      </c>
      <c r="CK342">
        <v>2</v>
      </c>
      <c r="CL342">
        <v>0</v>
      </c>
      <c r="CM342">
        <v>2</v>
      </c>
      <c r="CN342">
        <v>0</v>
      </c>
      <c r="CO342">
        <v>6</v>
      </c>
      <c r="CP342" t="s">
        <v>119</v>
      </c>
      <c r="CQ342">
        <v>559</v>
      </c>
      <c r="CR342">
        <v>0</v>
      </c>
      <c r="CW342">
        <v>10401266</v>
      </c>
      <c r="CY342">
        <v>1</v>
      </c>
      <c r="CZ342">
        <v>0</v>
      </c>
      <c r="DA342">
        <v>1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</row>
    <row r="343" spans="1:113" x14ac:dyDescent="0.3">
      <c r="A343" t="str">
        <f>"02/08/2021 20:12:59.222"</f>
        <v>02/08/2021 20:12:59.222</v>
      </c>
      <c r="C343" t="str">
        <f t="shared" si="17"/>
        <v>FFDFD3C0</v>
      </c>
      <c r="D343" t="s">
        <v>141</v>
      </c>
      <c r="E343">
        <v>17</v>
      </c>
      <c r="H343">
        <v>256</v>
      </c>
      <c r="I343" t="s">
        <v>142</v>
      </c>
      <c r="J343" t="s">
        <v>143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>"20:13:01.563"</f>
        <v>20:13:01.563</v>
      </c>
      <c r="T343" t="str">
        <f>"20:13:01.063"</f>
        <v>20:13:01.063</v>
      </c>
      <c r="U343" t="str">
        <f t="shared" si="16"/>
        <v>AB01F4</v>
      </c>
      <c r="V343">
        <v>0</v>
      </c>
      <c r="W343">
        <v>0</v>
      </c>
      <c r="X343">
        <v>1</v>
      </c>
      <c r="Z343">
        <v>0</v>
      </c>
      <c r="AA343">
        <v>9</v>
      </c>
      <c r="AB343">
        <v>3</v>
      </c>
      <c r="AC343">
        <v>0</v>
      </c>
      <c r="AD343">
        <v>10</v>
      </c>
      <c r="AE343">
        <v>0</v>
      </c>
      <c r="AF343">
        <v>3</v>
      </c>
      <c r="AG343">
        <v>2</v>
      </c>
      <c r="AH343">
        <v>0</v>
      </c>
      <c r="AI343" t="s">
        <v>366</v>
      </c>
      <c r="AJ343">
        <v>39.544108000000001</v>
      </c>
      <c r="AK343" t="s">
        <v>367</v>
      </c>
      <c r="AL343">
        <v>-92.474970999999996</v>
      </c>
      <c r="AM343">
        <v>100</v>
      </c>
      <c r="AN343">
        <v>1900</v>
      </c>
      <c r="AO343" t="s">
        <v>118</v>
      </c>
      <c r="AP343">
        <v>-84</v>
      </c>
      <c r="AQ343">
        <v>118</v>
      </c>
      <c r="AR343">
        <v>0</v>
      </c>
      <c r="AZ343">
        <v>1200</v>
      </c>
      <c r="BA343">
        <v>1</v>
      </c>
      <c r="BB343" t="str">
        <f t="shared" si="18"/>
        <v xml:space="preserve">N8080G  </v>
      </c>
      <c r="BC343">
        <v>1</v>
      </c>
      <c r="BE343">
        <v>0</v>
      </c>
      <c r="BF343">
        <v>0</v>
      </c>
      <c r="BG343">
        <v>0</v>
      </c>
      <c r="BH343">
        <v>1850</v>
      </c>
      <c r="BI343">
        <v>1</v>
      </c>
      <c r="BJ343">
        <v>1</v>
      </c>
      <c r="BK343">
        <v>1</v>
      </c>
      <c r="BL343">
        <v>0</v>
      </c>
      <c r="BO343">
        <v>0</v>
      </c>
      <c r="BP343">
        <v>0</v>
      </c>
      <c r="BW343" t="str">
        <f>"20:13:01.569"</f>
        <v>20:13:01.569</v>
      </c>
      <c r="CJ343">
        <v>0</v>
      </c>
      <c r="CK343">
        <v>2</v>
      </c>
      <c r="CL343">
        <v>0</v>
      </c>
      <c r="CM343">
        <v>2</v>
      </c>
      <c r="CN343">
        <v>0</v>
      </c>
      <c r="CO343">
        <v>6</v>
      </c>
      <c r="CP343" t="s">
        <v>119</v>
      </c>
      <c r="CQ343">
        <v>559</v>
      </c>
      <c r="CR343">
        <v>0</v>
      </c>
      <c r="CW343">
        <v>10401266</v>
      </c>
      <c r="CY343">
        <v>1</v>
      </c>
      <c r="CZ343">
        <v>0</v>
      </c>
      <c r="DA343">
        <v>1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</row>
    <row r="344" spans="1:113" x14ac:dyDescent="0.3">
      <c r="A344" t="str">
        <f>"02/08/2021 20:13:00.170"</f>
        <v>02/08/2021 20:13:00.170</v>
      </c>
      <c r="C344" t="str">
        <f t="shared" si="17"/>
        <v>FFDFD3C0</v>
      </c>
      <c r="D344" t="s">
        <v>141</v>
      </c>
      <c r="E344">
        <v>17</v>
      </c>
      <c r="H344">
        <v>256</v>
      </c>
      <c r="I344" t="s">
        <v>142</v>
      </c>
      <c r="J344" t="s">
        <v>143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>"20:13:02.516"</f>
        <v>20:13:02.516</v>
      </c>
      <c r="T344" t="str">
        <f>"20:13:02.116"</f>
        <v>20:13:02.116</v>
      </c>
      <c r="U344" t="str">
        <f t="shared" si="16"/>
        <v>AB01F4</v>
      </c>
      <c r="V344">
        <v>0</v>
      </c>
      <c r="W344">
        <v>0</v>
      </c>
      <c r="X344">
        <v>1</v>
      </c>
      <c r="Z344">
        <v>0</v>
      </c>
      <c r="AA344">
        <v>9</v>
      </c>
      <c r="AB344">
        <v>3</v>
      </c>
      <c r="AC344">
        <v>0</v>
      </c>
      <c r="AD344">
        <v>10</v>
      </c>
      <c r="AE344">
        <v>0</v>
      </c>
      <c r="AF344">
        <v>3</v>
      </c>
      <c r="AG344">
        <v>2</v>
      </c>
      <c r="AH344">
        <v>0</v>
      </c>
      <c r="AI344" t="s">
        <v>368</v>
      </c>
      <c r="AJ344">
        <v>39.544643999999998</v>
      </c>
      <c r="AK344" t="s">
        <v>369</v>
      </c>
      <c r="AL344">
        <v>-92.475442999999999</v>
      </c>
      <c r="AM344">
        <v>100</v>
      </c>
      <c r="AN344">
        <v>1900</v>
      </c>
      <c r="AO344" t="s">
        <v>118</v>
      </c>
      <c r="AP344">
        <v>-83</v>
      </c>
      <c r="AQ344">
        <v>118</v>
      </c>
      <c r="AR344">
        <v>-64</v>
      </c>
      <c r="AZ344">
        <v>1200</v>
      </c>
      <c r="BA344">
        <v>1</v>
      </c>
      <c r="BB344" t="str">
        <f t="shared" si="18"/>
        <v xml:space="preserve">N8080G  </v>
      </c>
      <c r="BC344">
        <v>1</v>
      </c>
      <c r="BE344">
        <v>0</v>
      </c>
      <c r="BF344">
        <v>0</v>
      </c>
      <c r="BG344">
        <v>0</v>
      </c>
      <c r="BH344">
        <v>1850</v>
      </c>
      <c r="BI344">
        <v>1</v>
      </c>
      <c r="BJ344">
        <v>1</v>
      </c>
      <c r="BK344">
        <v>1</v>
      </c>
      <c r="BL344">
        <v>0</v>
      </c>
      <c r="BO344">
        <v>0</v>
      </c>
      <c r="BP344">
        <v>0</v>
      </c>
      <c r="BW344" t="str">
        <f>"20:13:02.520"</f>
        <v>20:13:02.520</v>
      </c>
      <c r="CJ344">
        <v>0</v>
      </c>
      <c r="CK344">
        <v>2</v>
      </c>
      <c r="CL344">
        <v>0</v>
      </c>
      <c r="CM344">
        <v>2</v>
      </c>
      <c r="CN344">
        <v>0</v>
      </c>
      <c r="CO344">
        <v>6</v>
      </c>
      <c r="CP344" t="s">
        <v>119</v>
      </c>
      <c r="CQ344">
        <v>559</v>
      </c>
      <c r="CR344">
        <v>0</v>
      </c>
      <c r="CW344">
        <v>10401414</v>
      </c>
      <c r="CY344">
        <v>1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</row>
    <row r="345" spans="1:113" x14ac:dyDescent="0.3">
      <c r="A345" t="str">
        <f>"02/08/2021 20:13:00.170"</f>
        <v>02/08/2021 20:13:00.170</v>
      </c>
      <c r="C345" t="str">
        <f t="shared" si="17"/>
        <v>FFDFD3C0</v>
      </c>
      <c r="D345" t="s">
        <v>124</v>
      </c>
      <c r="E345">
        <v>13</v>
      </c>
      <c r="F345">
        <v>1013</v>
      </c>
      <c r="G345" t="s">
        <v>114</v>
      </c>
      <c r="J345" t="s">
        <v>125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>"20:13:02.516"</f>
        <v>20:13:02.516</v>
      </c>
      <c r="T345" t="str">
        <f>"20:13:02.116"</f>
        <v>20:13:02.116</v>
      </c>
      <c r="U345" t="str">
        <f t="shared" si="16"/>
        <v>AB01F4</v>
      </c>
      <c r="V345">
        <v>0</v>
      </c>
      <c r="W345">
        <v>0</v>
      </c>
      <c r="X345">
        <v>1</v>
      </c>
      <c r="Z345">
        <v>0</v>
      </c>
      <c r="AA345">
        <v>9</v>
      </c>
      <c r="AB345">
        <v>3</v>
      </c>
      <c r="AC345">
        <v>0</v>
      </c>
      <c r="AD345">
        <v>10</v>
      </c>
      <c r="AE345">
        <v>0</v>
      </c>
      <c r="AF345">
        <v>3</v>
      </c>
      <c r="AG345">
        <v>2</v>
      </c>
      <c r="AH345">
        <v>0</v>
      </c>
      <c r="AI345" t="s">
        <v>368</v>
      </c>
      <c r="AJ345">
        <v>39.544643999999998</v>
      </c>
      <c r="AK345" t="s">
        <v>369</v>
      </c>
      <c r="AL345">
        <v>-92.475442999999999</v>
      </c>
      <c r="AM345">
        <v>100</v>
      </c>
      <c r="AN345">
        <v>1900</v>
      </c>
      <c r="AO345" t="s">
        <v>118</v>
      </c>
      <c r="AP345">
        <v>-83</v>
      </c>
      <c r="AQ345">
        <v>118</v>
      </c>
      <c r="AR345">
        <v>-64</v>
      </c>
      <c r="AZ345">
        <v>1200</v>
      </c>
      <c r="BA345">
        <v>1</v>
      </c>
      <c r="BB345" t="str">
        <f t="shared" si="18"/>
        <v xml:space="preserve">N8080G  </v>
      </c>
      <c r="BC345">
        <v>1</v>
      </c>
      <c r="BE345">
        <v>0</v>
      </c>
      <c r="BF345">
        <v>0</v>
      </c>
      <c r="BG345">
        <v>0</v>
      </c>
      <c r="BH345">
        <v>1850</v>
      </c>
      <c r="BI345">
        <v>1</v>
      </c>
      <c r="BJ345">
        <v>1</v>
      </c>
      <c r="BK345">
        <v>1</v>
      </c>
      <c r="BL345">
        <v>0</v>
      </c>
      <c r="BO345">
        <v>0</v>
      </c>
      <c r="BP345">
        <v>0</v>
      </c>
      <c r="BW345" t="str">
        <f>"20:13:02.520"</f>
        <v>20:13:02.520</v>
      </c>
      <c r="CJ345">
        <v>0</v>
      </c>
      <c r="CK345">
        <v>2</v>
      </c>
      <c r="CL345">
        <v>0</v>
      </c>
      <c r="CM345">
        <v>2</v>
      </c>
      <c r="CN345">
        <v>0</v>
      </c>
      <c r="CO345">
        <v>6</v>
      </c>
      <c r="CP345" t="s">
        <v>119</v>
      </c>
      <c r="CQ345">
        <v>559</v>
      </c>
      <c r="CR345">
        <v>0</v>
      </c>
      <c r="CW345">
        <v>10401414</v>
      </c>
      <c r="CY345">
        <v>1</v>
      </c>
      <c r="CZ345">
        <v>0</v>
      </c>
      <c r="DA345">
        <v>1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</row>
    <row r="346" spans="1:113" x14ac:dyDescent="0.3">
      <c r="A346" t="str">
        <f>"02/08/2021 20:13:00.170"</f>
        <v>02/08/2021 20:13:00.170</v>
      </c>
      <c r="C346" t="str">
        <f t="shared" si="17"/>
        <v>FFDFD3C0</v>
      </c>
      <c r="D346" t="s">
        <v>113</v>
      </c>
      <c r="E346">
        <v>6</v>
      </c>
      <c r="H346">
        <v>165</v>
      </c>
      <c r="I346" t="s">
        <v>114</v>
      </c>
      <c r="J346" t="s">
        <v>115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>"20:13:02.516"</f>
        <v>20:13:02.516</v>
      </c>
      <c r="T346" t="str">
        <f>"20:13:02.116"</f>
        <v>20:13:02.116</v>
      </c>
      <c r="U346" t="str">
        <f t="shared" si="16"/>
        <v>AB01F4</v>
      </c>
      <c r="V346">
        <v>0</v>
      </c>
      <c r="W346">
        <v>0</v>
      </c>
      <c r="X346">
        <v>1</v>
      </c>
      <c r="Z346">
        <v>0</v>
      </c>
      <c r="AA346">
        <v>9</v>
      </c>
      <c r="AB346">
        <v>3</v>
      </c>
      <c r="AC346">
        <v>0</v>
      </c>
      <c r="AD346">
        <v>10</v>
      </c>
      <c r="AE346">
        <v>0</v>
      </c>
      <c r="AF346">
        <v>3</v>
      </c>
      <c r="AG346">
        <v>2</v>
      </c>
      <c r="AH346">
        <v>0</v>
      </c>
      <c r="AI346" t="s">
        <v>368</v>
      </c>
      <c r="AJ346">
        <v>39.544643999999998</v>
      </c>
      <c r="AK346" t="s">
        <v>369</v>
      </c>
      <c r="AL346">
        <v>-92.475442999999999</v>
      </c>
      <c r="AM346">
        <v>100</v>
      </c>
      <c r="AN346">
        <v>1900</v>
      </c>
      <c r="AO346" t="s">
        <v>118</v>
      </c>
      <c r="AP346">
        <v>-83</v>
      </c>
      <c r="AQ346">
        <v>118</v>
      </c>
      <c r="AR346">
        <v>-64</v>
      </c>
      <c r="AZ346">
        <v>1200</v>
      </c>
      <c r="BA346">
        <v>1</v>
      </c>
      <c r="BB346" t="str">
        <f t="shared" si="18"/>
        <v xml:space="preserve">N8080G  </v>
      </c>
      <c r="BC346">
        <v>1</v>
      </c>
      <c r="BE346">
        <v>0</v>
      </c>
      <c r="BF346">
        <v>0</v>
      </c>
      <c r="BG346">
        <v>0</v>
      </c>
      <c r="BH346">
        <v>1850</v>
      </c>
      <c r="BI346">
        <v>1</v>
      </c>
      <c r="BJ346">
        <v>1</v>
      </c>
      <c r="BK346">
        <v>1</v>
      </c>
      <c r="BL346">
        <v>0</v>
      </c>
      <c r="BO346">
        <v>0</v>
      </c>
      <c r="BP346">
        <v>0</v>
      </c>
      <c r="BW346" t="str">
        <f>"20:13:02.520"</f>
        <v>20:13:02.520</v>
      </c>
      <c r="CJ346">
        <v>0</v>
      </c>
      <c r="CK346">
        <v>2</v>
      </c>
      <c r="CL346">
        <v>0</v>
      </c>
      <c r="CM346">
        <v>2</v>
      </c>
      <c r="CN346">
        <v>0</v>
      </c>
      <c r="CO346">
        <v>6</v>
      </c>
      <c r="CP346" t="s">
        <v>119</v>
      </c>
      <c r="CQ346">
        <v>559</v>
      </c>
      <c r="CR346">
        <v>0</v>
      </c>
      <c r="CW346">
        <v>10401414</v>
      </c>
      <c r="CY346">
        <v>1</v>
      </c>
      <c r="CZ346">
        <v>0</v>
      </c>
      <c r="DA346">
        <v>1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</row>
    <row r="347" spans="1:113" x14ac:dyDescent="0.3">
      <c r="A347" t="str">
        <f>"02/08/2021 20:13:01.160"</f>
        <v>02/08/2021 20:13:01.160</v>
      </c>
      <c r="C347" t="str">
        <f t="shared" si="17"/>
        <v>FFDFD3C0</v>
      </c>
      <c r="D347" t="s">
        <v>113</v>
      </c>
      <c r="E347">
        <v>6</v>
      </c>
      <c r="H347">
        <v>165</v>
      </c>
      <c r="I347" t="s">
        <v>114</v>
      </c>
      <c r="J347" t="s">
        <v>115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>"20:13:03.453"</f>
        <v>20:13:03.453</v>
      </c>
      <c r="U347" t="str">
        <f t="shared" si="16"/>
        <v>AB01F4</v>
      </c>
      <c r="V347">
        <v>0</v>
      </c>
      <c r="W347">
        <v>0</v>
      </c>
      <c r="X347">
        <v>1</v>
      </c>
      <c r="Z347">
        <v>0</v>
      </c>
      <c r="AA347">
        <v>9</v>
      </c>
      <c r="AB347">
        <v>3</v>
      </c>
      <c r="AC347">
        <v>0</v>
      </c>
      <c r="AD347">
        <v>10</v>
      </c>
      <c r="AE347">
        <v>0</v>
      </c>
      <c r="AF347">
        <v>3</v>
      </c>
      <c r="AG347">
        <v>2</v>
      </c>
      <c r="AH347">
        <v>0</v>
      </c>
      <c r="AI347" t="s">
        <v>370</v>
      </c>
      <c r="AJ347">
        <v>39.545138000000001</v>
      </c>
      <c r="AK347" t="s">
        <v>371</v>
      </c>
      <c r="AL347">
        <v>-92.475892999999999</v>
      </c>
      <c r="AM347">
        <v>100</v>
      </c>
      <c r="AN347">
        <v>1900</v>
      </c>
      <c r="AO347" t="s">
        <v>118</v>
      </c>
      <c r="AP347">
        <v>-81</v>
      </c>
      <c r="AQ347">
        <v>119</v>
      </c>
      <c r="AR347">
        <v>-128</v>
      </c>
      <c r="AZ347">
        <v>1200</v>
      </c>
      <c r="BA347">
        <v>1</v>
      </c>
      <c r="BB347" t="str">
        <f t="shared" si="18"/>
        <v xml:space="preserve">N8080G  </v>
      </c>
      <c r="BC347">
        <v>1</v>
      </c>
      <c r="BE347">
        <v>0</v>
      </c>
      <c r="BF347">
        <v>0</v>
      </c>
      <c r="BG347">
        <v>0</v>
      </c>
      <c r="BH347">
        <v>1850</v>
      </c>
      <c r="BI347">
        <v>1</v>
      </c>
      <c r="BJ347">
        <v>1</v>
      </c>
      <c r="BK347">
        <v>1</v>
      </c>
      <c r="BL347">
        <v>0</v>
      </c>
      <c r="BO347">
        <v>0</v>
      </c>
      <c r="BP347">
        <v>0</v>
      </c>
      <c r="BW347" t="str">
        <f>"20:13:03.455"</f>
        <v>20:13:03.455</v>
      </c>
      <c r="CJ347">
        <v>0</v>
      </c>
      <c r="CK347">
        <v>2</v>
      </c>
      <c r="CL347">
        <v>0</v>
      </c>
      <c r="CM347">
        <v>2</v>
      </c>
      <c r="CN347">
        <v>0</v>
      </c>
      <c r="CO347">
        <v>6</v>
      </c>
      <c r="CP347" t="s">
        <v>119</v>
      </c>
      <c r="CQ347">
        <v>559</v>
      </c>
      <c r="CR347">
        <v>0</v>
      </c>
      <c r="CW347">
        <v>10401556</v>
      </c>
      <c r="CY347">
        <v>1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</row>
    <row r="348" spans="1:113" x14ac:dyDescent="0.3">
      <c r="A348" t="str">
        <f>"02/08/2021 20:13:01.160"</f>
        <v>02/08/2021 20:13:01.160</v>
      </c>
      <c r="C348" t="str">
        <f t="shared" si="17"/>
        <v>FFDFD3C0</v>
      </c>
      <c r="D348" t="s">
        <v>141</v>
      </c>
      <c r="E348">
        <v>17</v>
      </c>
      <c r="H348">
        <v>256</v>
      </c>
      <c r="I348" t="s">
        <v>142</v>
      </c>
      <c r="J348" t="s">
        <v>143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>"20:13:03.453"</f>
        <v>20:13:03.453</v>
      </c>
      <c r="U348" t="str">
        <f t="shared" si="16"/>
        <v>AB01F4</v>
      </c>
      <c r="V348">
        <v>0</v>
      </c>
      <c r="W348">
        <v>0</v>
      </c>
      <c r="X348">
        <v>1</v>
      </c>
      <c r="Z348">
        <v>0</v>
      </c>
      <c r="AA348">
        <v>9</v>
      </c>
      <c r="AB348">
        <v>3</v>
      </c>
      <c r="AC348">
        <v>0</v>
      </c>
      <c r="AD348">
        <v>10</v>
      </c>
      <c r="AE348">
        <v>0</v>
      </c>
      <c r="AF348">
        <v>3</v>
      </c>
      <c r="AG348">
        <v>2</v>
      </c>
      <c r="AH348">
        <v>0</v>
      </c>
      <c r="AI348" t="s">
        <v>370</v>
      </c>
      <c r="AJ348">
        <v>39.545138000000001</v>
      </c>
      <c r="AK348" t="s">
        <v>371</v>
      </c>
      <c r="AL348">
        <v>-92.475892999999999</v>
      </c>
      <c r="AM348">
        <v>100</v>
      </c>
      <c r="AN348">
        <v>1900</v>
      </c>
      <c r="AO348" t="s">
        <v>118</v>
      </c>
      <c r="AP348">
        <v>-81</v>
      </c>
      <c r="AQ348">
        <v>119</v>
      </c>
      <c r="AR348">
        <v>-128</v>
      </c>
      <c r="AZ348">
        <v>1200</v>
      </c>
      <c r="BA348">
        <v>1</v>
      </c>
      <c r="BB348" t="str">
        <f t="shared" si="18"/>
        <v xml:space="preserve">N8080G  </v>
      </c>
      <c r="BC348">
        <v>1</v>
      </c>
      <c r="BE348">
        <v>0</v>
      </c>
      <c r="BF348">
        <v>0</v>
      </c>
      <c r="BG348">
        <v>0</v>
      </c>
      <c r="BH348">
        <v>1850</v>
      </c>
      <c r="BI348">
        <v>1</v>
      </c>
      <c r="BJ348">
        <v>1</v>
      </c>
      <c r="BK348">
        <v>1</v>
      </c>
      <c r="BL348">
        <v>0</v>
      </c>
      <c r="BO348">
        <v>0</v>
      </c>
      <c r="BP348">
        <v>0</v>
      </c>
      <c r="BW348" t="str">
        <f>"20:13:03.455"</f>
        <v>20:13:03.455</v>
      </c>
      <c r="CJ348">
        <v>0</v>
      </c>
      <c r="CK348">
        <v>2</v>
      </c>
      <c r="CL348">
        <v>0</v>
      </c>
      <c r="CM348">
        <v>2</v>
      </c>
      <c r="CN348">
        <v>0</v>
      </c>
      <c r="CO348">
        <v>6</v>
      </c>
      <c r="CP348" t="s">
        <v>119</v>
      </c>
      <c r="CQ348">
        <v>559</v>
      </c>
      <c r="CR348">
        <v>0</v>
      </c>
      <c r="CW348">
        <v>10401556</v>
      </c>
      <c r="CY348">
        <v>1</v>
      </c>
      <c r="CZ348">
        <v>0</v>
      </c>
      <c r="DA348">
        <v>1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</row>
    <row r="349" spans="1:113" x14ac:dyDescent="0.3">
      <c r="A349" t="str">
        <f>"02/08/2021 20:13:01.160"</f>
        <v>02/08/2021 20:13:01.160</v>
      </c>
      <c r="C349" t="str">
        <f t="shared" si="17"/>
        <v>FFDFD3C0</v>
      </c>
      <c r="D349" t="s">
        <v>124</v>
      </c>
      <c r="E349">
        <v>13</v>
      </c>
      <c r="F349">
        <v>1013</v>
      </c>
      <c r="G349" t="s">
        <v>114</v>
      </c>
      <c r="J349" t="s">
        <v>125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>"20:13:03.453"</f>
        <v>20:13:03.453</v>
      </c>
      <c r="U349" t="str">
        <f t="shared" si="16"/>
        <v>AB01F4</v>
      </c>
      <c r="V349">
        <v>0</v>
      </c>
      <c r="W349">
        <v>0</v>
      </c>
      <c r="X349">
        <v>1</v>
      </c>
      <c r="Z349">
        <v>0</v>
      </c>
      <c r="AA349">
        <v>9</v>
      </c>
      <c r="AB349">
        <v>3</v>
      </c>
      <c r="AC349">
        <v>0</v>
      </c>
      <c r="AD349">
        <v>10</v>
      </c>
      <c r="AE349">
        <v>0</v>
      </c>
      <c r="AF349">
        <v>3</v>
      </c>
      <c r="AG349">
        <v>2</v>
      </c>
      <c r="AH349">
        <v>0</v>
      </c>
      <c r="AI349" t="s">
        <v>370</v>
      </c>
      <c r="AJ349">
        <v>39.545138000000001</v>
      </c>
      <c r="AK349" t="s">
        <v>371</v>
      </c>
      <c r="AL349">
        <v>-92.475892999999999</v>
      </c>
      <c r="AM349">
        <v>100</v>
      </c>
      <c r="AN349">
        <v>1900</v>
      </c>
      <c r="AO349" t="s">
        <v>118</v>
      </c>
      <c r="AP349">
        <v>-81</v>
      </c>
      <c r="AQ349">
        <v>119</v>
      </c>
      <c r="AR349">
        <v>-128</v>
      </c>
      <c r="AZ349">
        <v>1200</v>
      </c>
      <c r="BA349">
        <v>1</v>
      </c>
      <c r="BB349" t="str">
        <f t="shared" si="18"/>
        <v xml:space="preserve">N8080G  </v>
      </c>
      <c r="BC349">
        <v>1</v>
      </c>
      <c r="BE349">
        <v>0</v>
      </c>
      <c r="BF349">
        <v>0</v>
      </c>
      <c r="BG349">
        <v>0</v>
      </c>
      <c r="BH349">
        <v>1850</v>
      </c>
      <c r="BI349">
        <v>1</v>
      </c>
      <c r="BJ349">
        <v>1</v>
      </c>
      <c r="BK349">
        <v>1</v>
      </c>
      <c r="BL349">
        <v>0</v>
      </c>
      <c r="BO349">
        <v>0</v>
      </c>
      <c r="BP349">
        <v>0</v>
      </c>
      <c r="BW349" t="str">
        <f>"20:13:03.455"</f>
        <v>20:13:03.455</v>
      </c>
      <c r="CJ349">
        <v>0</v>
      </c>
      <c r="CK349">
        <v>2</v>
      </c>
      <c r="CL349">
        <v>0</v>
      </c>
      <c r="CM349">
        <v>2</v>
      </c>
      <c r="CN349">
        <v>0</v>
      </c>
      <c r="CO349">
        <v>6</v>
      </c>
      <c r="CP349" t="s">
        <v>119</v>
      </c>
      <c r="CQ349">
        <v>559</v>
      </c>
      <c r="CR349">
        <v>0</v>
      </c>
      <c r="CW349">
        <v>10401556</v>
      </c>
      <c r="CY349">
        <v>1</v>
      </c>
      <c r="CZ349">
        <v>0</v>
      </c>
      <c r="DA349">
        <v>1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</row>
    <row r="350" spans="1:113" x14ac:dyDescent="0.3">
      <c r="A350" t="str">
        <f>"02/08/2021 20:13:02.270"</f>
        <v>02/08/2021 20:13:02.270</v>
      </c>
      <c r="C350" t="str">
        <f t="shared" si="17"/>
        <v>FFDFD3C0</v>
      </c>
      <c r="D350" t="s">
        <v>113</v>
      </c>
      <c r="E350">
        <v>6</v>
      </c>
      <c r="H350">
        <v>165</v>
      </c>
      <c r="I350" t="s">
        <v>114</v>
      </c>
      <c r="J350" t="s">
        <v>115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>"20:13:04.578"</f>
        <v>20:13:04.578</v>
      </c>
      <c r="U350" t="str">
        <f t="shared" si="16"/>
        <v>AB01F4</v>
      </c>
      <c r="V350">
        <v>0</v>
      </c>
      <c r="W350">
        <v>0</v>
      </c>
      <c r="X350">
        <v>1</v>
      </c>
      <c r="Z350">
        <v>0</v>
      </c>
      <c r="AA350">
        <v>9</v>
      </c>
      <c r="AB350">
        <v>3</v>
      </c>
      <c r="AC350">
        <v>0</v>
      </c>
      <c r="AD350">
        <v>10</v>
      </c>
      <c r="AE350">
        <v>0</v>
      </c>
      <c r="AF350">
        <v>3</v>
      </c>
      <c r="AG350">
        <v>2</v>
      </c>
      <c r="AH350">
        <v>0</v>
      </c>
      <c r="AI350" t="s">
        <v>372</v>
      </c>
      <c r="AJ350">
        <v>39.545738999999998</v>
      </c>
      <c r="AK350" t="s">
        <v>373</v>
      </c>
      <c r="AL350">
        <v>-92.476408000000006</v>
      </c>
      <c r="AM350">
        <v>100</v>
      </c>
      <c r="AN350">
        <v>1900</v>
      </c>
      <c r="AO350" t="s">
        <v>118</v>
      </c>
      <c r="AP350">
        <v>-81</v>
      </c>
      <c r="AQ350">
        <v>120</v>
      </c>
      <c r="AR350">
        <v>-64</v>
      </c>
      <c r="AZ350">
        <v>1200</v>
      </c>
      <c r="BA350">
        <v>1</v>
      </c>
      <c r="BB350" t="str">
        <f t="shared" si="18"/>
        <v xml:space="preserve">N8080G  </v>
      </c>
      <c r="BC350">
        <v>1</v>
      </c>
      <c r="BE350">
        <v>0</v>
      </c>
      <c r="BF350">
        <v>0</v>
      </c>
      <c r="BG350">
        <v>0</v>
      </c>
      <c r="BH350">
        <v>1850</v>
      </c>
      <c r="BI350">
        <v>1</v>
      </c>
      <c r="BJ350">
        <v>1</v>
      </c>
      <c r="BK350">
        <v>1</v>
      </c>
      <c r="BL350">
        <v>0</v>
      </c>
      <c r="BO350">
        <v>0</v>
      </c>
      <c r="BP350">
        <v>0</v>
      </c>
      <c r="BW350" t="str">
        <f>"20:13:04.579"</f>
        <v>20:13:04.579</v>
      </c>
      <c r="CJ350">
        <v>0</v>
      </c>
      <c r="CK350">
        <v>2</v>
      </c>
      <c r="CL350">
        <v>0</v>
      </c>
      <c r="CM350">
        <v>2</v>
      </c>
      <c r="CN350">
        <v>0</v>
      </c>
      <c r="CO350">
        <v>6</v>
      </c>
      <c r="CP350" t="s">
        <v>119</v>
      </c>
      <c r="CQ350">
        <v>559</v>
      </c>
      <c r="CR350">
        <v>0</v>
      </c>
      <c r="CW350">
        <v>10401731</v>
      </c>
      <c r="CY350">
        <v>1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</row>
    <row r="351" spans="1:113" x14ac:dyDescent="0.3">
      <c r="A351" t="str">
        <f>"02/08/2021 20:13:02.270"</f>
        <v>02/08/2021 20:13:02.270</v>
      </c>
      <c r="C351" t="str">
        <f t="shared" si="17"/>
        <v>FFDFD3C0</v>
      </c>
      <c r="D351" t="s">
        <v>124</v>
      </c>
      <c r="E351">
        <v>13</v>
      </c>
      <c r="F351">
        <v>1013</v>
      </c>
      <c r="G351" t="s">
        <v>114</v>
      </c>
      <c r="J351" t="s">
        <v>125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>"20:13:04.578"</f>
        <v>20:13:04.578</v>
      </c>
      <c r="U351" t="str">
        <f t="shared" si="16"/>
        <v>AB01F4</v>
      </c>
      <c r="V351">
        <v>0</v>
      </c>
      <c r="W351">
        <v>0</v>
      </c>
      <c r="X351">
        <v>1</v>
      </c>
      <c r="Z351">
        <v>0</v>
      </c>
      <c r="AA351">
        <v>9</v>
      </c>
      <c r="AB351">
        <v>3</v>
      </c>
      <c r="AC351">
        <v>0</v>
      </c>
      <c r="AD351">
        <v>10</v>
      </c>
      <c r="AE351">
        <v>0</v>
      </c>
      <c r="AF351">
        <v>3</v>
      </c>
      <c r="AG351">
        <v>2</v>
      </c>
      <c r="AH351">
        <v>0</v>
      </c>
      <c r="AI351" t="s">
        <v>372</v>
      </c>
      <c r="AJ351">
        <v>39.545738999999998</v>
      </c>
      <c r="AK351" t="s">
        <v>373</v>
      </c>
      <c r="AL351">
        <v>-92.476408000000006</v>
      </c>
      <c r="AM351">
        <v>100</v>
      </c>
      <c r="AN351">
        <v>1900</v>
      </c>
      <c r="AO351" t="s">
        <v>118</v>
      </c>
      <c r="AP351">
        <v>-81</v>
      </c>
      <c r="AQ351">
        <v>120</v>
      </c>
      <c r="AR351">
        <v>-64</v>
      </c>
      <c r="AZ351">
        <v>1200</v>
      </c>
      <c r="BA351">
        <v>1</v>
      </c>
      <c r="BB351" t="str">
        <f t="shared" si="18"/>
        <v xml:space="preserve">N8080G  </v>
      </c>
      <c r="BC351">
        <v>1</v>
      </c>
      <c r="BE351">
        <v>0</v>
      </c>
      <c r="BF351">
        <v>0</v>
      </c>
      <c r="BG351">
        <v>0</v>
      </c>
      <c r="BH351">
        <v>1850</v>
      </c>
      <c r="BI351">
        <v>1</v>
      </c>
      <c r="BJ351">
        <v>1</v>
      </c>
      <c r="BK351">
        <v>1</v>
      </c>
      <c r="BL351">
        <v>0</v>
      </c>
      <c r="BO351">
        <v>0</v>
      </c>
      <c r="BP351">
        <v>0</v>
      </c>
      <c r="BW351" t="str">
        <f>"20:13:04.579"</f>
        <v>20:13:04.579</v>
      </c>
      <c r="CJ351">
        <v>0</v>
      </c>
      <c r="CK351">
        <v>2</v>
      </c>
      <c r="CL351">
        <v>0</v>
      </c>
      <c r="CM351">
        <v>2</v>
      </c>
      <c r="CN351">
        <v>0</v>
      </c>
      <c r="CO351">
        <v>6</v>
      </c>
      <c r="CP351" t="s">
        <v>119</v>
      </c>
      <c r="CQ351">
        <v>559</v>
      </c>
      <c r="CR351">
        <v>0</v>
      </c>
      <c r="CW351">
        <v>10401731</v>
      </c>
      <c r="CY351">
        <v>1</v>
      </c>
      <c r="CZ351">
        <v>0</v>
      </c>
      <c r="DA351">
        <v>1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</row>
    <row r="352" spans="1:113" x14ac:dyDescent="0.3">
      <c r="A352" t="str">
        <f>"02/08/2021 20:13:02.270"</f>
        <v>02/08/2021 20:13:02.270</v>
      </c>
      <c r="C352" t="str">
        <f t="shared" si="17"/>
        <v>FFDFD3C0</v>
      </c>
      <c r="D352" t="s">
        <v>141</v>
      </c>
      <c r="E352">
        <v>17</v>
      </c>
      <c r="H352">
        <v>256</v>
      </c>
      <c r="I352" t="s">
        <v>142</v>
      </c>
      <c r="J352" t="s">
        <v>143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>"20:13:04.578"</f>
        <v>20:13:04.578</v>
      </c>
      <c r="U352" t="str">
        <f t="shared" si="16"/>
        <v>AB01F4</v>
      </c>
      <c r="V352">
        <v>0</v>
      </c>
      <c r="W352">
        <v>0</v>
      </c>
      <c r="X352">
        <v>1</v>
      </c>
      <c r="Z352">
        <v>0</v>
      </c>
      <c r="AA352">
        <v>9</v>
      </c>
      <c r="AB352">
        <v>3</v>
      </c>
      <c r="AC352">
        <v>0</v>
      </c>
      <c r="AD352">
        <v>10</v>
      </c>
      <c r="AE352">
        <v>0</v>
      </c>
      <c r="AF352">
        <v>3</v>
      </c>
      <c r="AG352">
        <v>2</v>
      </c>
      <c r="AH352">
        <v>0</v>
      </c>
      <c r="AI352" t="s">
        <v>372</v>
      </c>
      <c r="AJ352">
        <v>39.545738999999998</v>
      </c>
      <c r="AK352" t="s">
        <v>373</v>
      </c>
      <c r="AL352">
        <v>-92.476408000000006</v>
      </c>
      <c r="AM352">
        <v>100</v>
      </c>
      <c r="AN352">
        <v>1900</v>
      </c>
      <c r="AO352" t="s">
        <v>118</v>
      </c>
      <c r="AP352">
        <v>-81</v>
      </c>
      <c r="AQ352">
        <v>120</v>
      </c>
      <c r="AR352">
        <v>-64</v>
      </c>
      <c r="AZ352">
        <v>1200</v>
      </c>
      <c r="BA352">
        <v>1</v>
      </c>
      <c r="BB352" t="str">
        <f t="shared" si="18"/>
        <v xml:space="preserve">N8080G  </v>
      </c>
      <c r="BC352">
        <v>1</v>
      </c>
      <c r="BE352">
        <v>0</v>
      </c>
      <c r="BF352">
        <v>0</v>
      </c>
      <c r="BG352">
        <v>0</v>
      </c>
      <c r="BH352">
        <v>1850</v>
      </c>
      <c r="BI352">
        <v>1</v>
      </c>
      <c r="BJ352">
        <v>1</v>
      </c>
      <c r="BK352">
        <v>1</v>
      </c>
      <c r="BL352">
        <v>0</v>
      </c>
      <c r="BO352">
        <v>0</v>
      </c>
      <c r="BP352">
        <v>0</v>
      </c>
      <c r="BW352" t="str">
        <f>"20:13:04.579"</f>
        <v>20:13:04.579</v>
      </c>
      <c r="CJ352">
        <v>0</v>
      </c>
      <c r="CK352">
        <v>2</v>
      </c>
      <c r="CL352">
        <v>0</v>
      </c>
      <c r="CM352">
        <v>2</v>
      </c>
      <c r="CN352">
        <v>0</v>
      </c>
      <c r="CO352">
        <v>6</v>
      </c>
      <c r="CP352" t="s">
        <v>119</v>
      </c>
      <c r="CQ352">
        <v>559</v>
      </c>
      <c r="CR352">
        <v>0</v>
      </c>
      <c r="CW352">
        <v>10401731</v>
      </c>
      <c r="CY352">
        <v>1</v>
      </c>
      <c r="CZ352">
        <v>0</v>
      </c>
      <c r="DA352">
        <v>1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</row>
    <row r="353" spans="1:113" x14ac:dyDescent="0.3">
      <c r="A353" t="str">
        <f>"02/08/2021 20:13:03.143"</f>
        <v>02/08/2021 20:13:03.143</v>
      </c>
      <c r="C353" t="str">
        <f t="shared" si="17"/>
        <v>FFDFD3C0</v>
      </c>
      <c r="D353" t="s">
        <v>124</v>
      </c>
      <c r="E353">
        <v>13</v>
      </c>
      <c r="F353">
        <v>1013</v>
      </c>
      <c r="G353" t="s">
        <v>114</v>
      </c>
      <c r="J353" t="s">
        <v>125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>"20:13:05.492"</f>
        <v>20:13:05.492</v>
      </c>
      <c r="T353" t="str">
        <f>"20:13:04.992"</f>
        <v>20:13:04.992</v>
      </c>
      <c r="U353" t="str">
        <f t="shared" si="16"/>
        <v>AB01F4</v>
      </c>
      <c r="V353">
        <v>0</v>
      </c>
      <c r="W353">
        <v>0</v>
      </c>
      <c r="X353">
        <v>1</v>
      </c>
      <c r="Z353">
        <v>0</v>
      </c>
      <c r="AA353">
        <v>9</v>
      </c>
      <c r="AB353">
        <v>3</v>
      </c>
      <c r="AC353">
        <v>0</v>
      </c>
      <c r="AD353">
        <v>10</v>
      </c>
      <c r="AE353">
        <v>0</v>
      </c>
      <c r="AF353">
        <v>3</v>
      </c>
      <c r="AG353">
        <v>2</v>
      </c>
      <c r="AH353">
        <v>0</v>
      </c>
      <c r="AI353" t="s">
        <v>374</v>
      </c>
      <c r="AJ353">
        <v>39.546275000000001</v>
      </c>
      <c r="AK353" t="s">
        <v>375</v>
      </c>
      <c r="AL353">
        <v>-92.476815999999999</v>
      </c>
      <c r="AM353">
        <v>100</v>
      </c>
      <c r="AN353">
        <v>1900</v>
      </c>
      <c r="AO353" t="s">
        <v>118</v>
      </c>
      <c r="AP353">
        <v>-80</v>
      </c>
      <c r="AQ353">
        <v>120</v>
      </c>
      <c r="AR353">
        <v>-64</v>
      </c>
      <c r="AZ353">
        <v>1200</v>
      </c>
      <c r="BA353">
        <v>1</v>
      </c>
      <c r="BB353" t="str">
        <f t="shared" si="18"/>
        <v xml:space="preserve">N8080G  </v>
      </c>
      <c r="BC353">
        <v>1</v>
      </c>
      <c r="BE353">
        <v>0</v>
      </c>
      <c r="BF353">
        <v>0</v>
      </c>
      <c r="BG353">
        <v>0</v>
      </c>
      <c r="BH353">
        <v>1850</v>
      </c>
      <c r="BI353">
        <v>1</v>
      </c>
      <c r="BJ353">
        <v>1</v>
      </c>
      <c r="BK353">
        <v>1</v>
      </c>
      <c r="BL353">
        <v>0</v>
      </c>
      <c r="BO353">
        <v>0</v>
      </c>
      <c r="BP353">
        <v>0</v>
      </c>
      <c r="BW353" t="str">
        <f>"20:13:05.493"</f>
        <v>20:13:05.493</v>
      </c>
      <c r="CJ353">
        <v>0</v>
      </c>
      <c r="CK353">
        <v>2</v>
      </c>
      <c r="CL353">
        <v>0</v>
      </c>
      <c r="CM353">
        <v>2</v>
      </c>
      <c r="CN353">
        <v>0</v>
      </c>
      <c r="CO353">
        <v>6</v>
      </c>
      <c r="CP353" t="s">
        <v>119</v>
      </c>
      <c r="CQ353">
        <v>559</v>
      </c>
      <c r="CR353">
        <v>0</v>
      </c>
      <c r="CW353">
        <v>10401875</v>
      </c>
      <c r="CY353">
        <v>1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</row>
    <row r="354" spans="1:113" x14ac:dyDescent="0.3">
      <c r="A354" t="str">
        <f>"02/08/2021 20:13:03.143"</f>
        <v>02/08/2021 20:13:03.143</v>
      </c>
      <c r="C354" t="str">
        <f t="shared" si="17"/>
        <v>FFDFD3C0</v>
      </c>
      <c r="D354" t="s">
        <v>141</v>
      </c>
      <c r="E354">
        <v>17</v>
      </c>
      <c r="H354">
        <v>256</v>
      </c>
      <c r="I354" t="s">
        <v>142</v>
      </c>
      <c r="J354" t="s">
        <v>143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>"20:13:05.492"</f>
        <v>20:13:05.492</v>
      </c>
      <c r="T354" t="str">
        <f>"20:13:04.992"</f>
        <v>20:13:04.992</v>
      </c>
      <c r="U354" t="str">
        <f t="shared" si="16"/>
        <v>AB01F4</v>
      </c>
      <c r="V354">
        <v>0</v>
      </c>
      <c r="W354">
        <v>0</v>
      </c>
      <c r="X354">
        <v>1</v>
      </c>
      <c r="Z354">
        <v>0</v>
      </c>
      <c r="AA354">
        <v>9</v>
      </c>
      <c r="AB354">
        <v>3</v>
      </c>
      <c r="AC354">
        <v>0</v>
      </c>
      <c r="AD354">
        <v>10</v>
      </c>
      <c r="AE354">
        <v>0</v>
      </c>
      <c r="AF354">
        <v>3</v>
      </c>
      <c r="AG354">
        <v>2</v>
      </c>
      <c r="AH354">
        <v>0</v>
      </c>
      <c r="AI354" t="s">
        <v>374</v>
      </c>
      <c r="AJ354">
        <v>39.546275000000001</v>
      </c>
      <c r="AK354" t="s">
        <v>375</v>
      </c>
      <c r="AL354">
        <v>-92.476815999999999</v>
      </c>
      <c r="AM354">
        <v>100</v>
      </c>
      <c r="AN354">
        <v>1900</v>
      </c>
      <c r="AO354" t="s">
        <v>118</v>
      </c>
      <c r="AP354">
        <v>-80</v>
      </c>
      <c r="AQ354">
        <v>120</v>
      </c>
      <c r="AR354">
        <v>-64</v>
      </c>
      <c r="AZ354">
        <v>1200</v>
      </c>
      <c r="BA354">
        <v>1</v>
      </c>
      <c r="BB354" t="str">
        <f t="shared" si="18"/>
        <v xml:space="preserve">N8080G  </v>
      </c>
      <c r="BC354">
        <v>1</v>
      </c>
      <c r="BE354">
        <v>0</v>
      </c>
      <c r="BF354">
        <v>0</v>
      </c>
      <c r="BG354">
        <v>0</v>
      </c>
      <c r="BH354">
        <v>1850</v>
      </c>
      <c r="BI354">
        <v>1</v>
      </c>
      <c r="BJ354">
        <v>1</v>
      </c>
      <c r="BK354">
        <v>1</v>
      </c>
      <c r="BL354">
        <v>0</v>
      </c>
      <c r="BO354">
        <v>0</v>
      </c>
      <c r="BP354">
        <v>0</v>
      </c>
      <c r="BW354" t="str">
        <f>"20:13:05.493"</f>
        <v>20:13:05.493</v>
      </c>
      <c r="CJ354">
        <v>0</v>
      </c>
      <c r="CK354">
        <v>2</v>
      </c>
      <c r="CL354">
        <v>0</v>
      </c>
      <c r="CM354">
        <v>2</v>
      </c>
      <c r="CN354">
        <v>0</v>
      </c>
      <c r="CO354">
        <v>6</v>
      </c>
      <c r="CP354" t="s">
        <v>119</v>
      </c>
      <c r="CQ354">
        <v>559</v>
      </c>
      <c r="CR354">
        <v>0</v>
      </c>
      <c r="CW354">
        <v>10401875</v>
      </c>
      <c r="CY354">
        <v>1</v>
      </c>
      <c r="CZ354">
        <v>0</v>
      </c>
      <c r="DA354">
        <v>1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</row>
    <row r="355" spans="1:113" x14ac:dyDescent="0.3">
      <c r="A355" t="str">
        <f>"02/08/2021 20:13:03.143"</f>
        <v>02/08/2021 20:13:03.143</v>
      </c>
      <c r="C355" t="str">
        <f t="shared" si="17"/>
        <v>FFDFD3C0</v>
      </c>
      <c r="D355" t="s">
        <v>113</v>
      </c>
      <c r="E355">
        <v>6</v>
      </c>
      <c r="H355">
        <v>165</v>
      </c>
      <c r="I355" t="s">
        <v>114</v>
      </c>
      <c r="J355" t="s">
        <v>115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>"20:13:05.492"</f>
        <v>20:13:05.492</v>
      </c>
      <c r="T355" t="str">
        <f>"20:13:04.992"</f>
        <v>20:13:04.992</v>
      </c>
      <c r="U355" t="str">
        <f t="shared" si="16"/>
        <v>AB01F4</v>
      </c>
      <c r="V355">
        <v>0</v>
      </c>
      <c r="W355">
        <v>0</v>
      </c>
      <c r="X355">
        <v>1</v>
      </c>
      <c r="Z355">
        <v>0</v>
      </c>
      <c r="AA355">
        <v>9</v>
      </c>
      <c r="AB355">
        <v>3</v>
      </c>
      <c r="AC355">
        <v>0</v>
      </c>
      <c r="AD355">
        <v>10</v>
      </c>
      <c r="AE355">
        <v>0</v>
      </c>
      <c r="AF355">
        <v>3</v>
      </c>
      <c r="AG355">
        <v>2</v>
      </c>
      <c r="AH355">
        <v>0</v>
      </c>
      <c r="AI355" t="s">
        <v>374</v>
      </c>
      <c r="AJ355">
        <v>39.546275000000001</v>
      </c>
      <c r="AK355" t="s">
        <v>375</v>
      </c>
      <c r="AL355">
        <v>-92.476815999999999</v>
      </c>
      <c r="AM355">
        <v>100</v>
      </c>
      <c r="AN355">
        <v>1900</v>
      </c>
      <c r="AO355" t="s">
        <v>118</v>
      </c>
      <c r="AP355">
        <v>-80</v>
      </c>
      <c r="AQ355">
        <v>120</v>
      </c>
      <c r="AR355">
        <v>-64</v>
      </c>
      <c r="AZ355">
        <v>1200</v>
      </c>
      <c r="BA355">
        <v>1</v>
      </c>
      <c r="BB355" t="str">
        <f t="shared" si="18"/>
        <v xml:space="preserve">N8080G  </v>
      </c>
      <c r="BC355">
        <v>1</v>
      </c>
      <c r="BE355">
        <v>0</v>
      </c>
      <c r="BF355">
        <v>0</v>
      </c>
      <c r="BG355">
        <v>0</v>
      </c>
      <c r="BH355">
        <v>1850</v>
      </c>
      <c r="BI355">
        <v>1</v>
      </c>
      <c r="BJ355">
        <v>1</v>
      </c>
      <c r="BK355">
        <v>1</v>
      </c>
      <c r="BL355">
        <v>0</v>
      </c>
      <c r="BO355">
        <v>0</v>
      </c>
      <c r="BP355">
        <v>0</v>
      </c>
      <c r="BW355" t="str">
        <f>"20:13:05.493"</f>
        <v>20:13:05.493</v>
      </c>
      <c r="CJ355">
        <v>0</v>
      </c>
      <c r="CK355">
        <v>2</v>
      </c>
      <c r="CL355">
        <v>0</v>
      </c>
      <c r="CM355">
        <v>2</v>
      </c>
      <c r="CN355">
        <v>0</v>
      </c>
      <c r="CO355">
        <v>6</v>
      </c>
      <c r="CP355" t="s">
        <v>119</v>
      </c>
      <c r="CQ355">
        <v>559</v>
      </c>
      <c r="CR355">
        <v>0</v>
      </c>
      <c r="CW355">
        <v>10401875</v>
      </c>
      <c r="CY355">
        <v>1</v>
      </c>
      <c r="CZ355">
        <v>0</v>
      </c>
      <c r="DA355">
        <v>1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</row>
    <row r="356" spans="1:113" x14ac:dyDescent="0.3">
      <c r="A356" t="str">
        <f>"02/08/2021 20:13:04.143"</f>
        <v>02/08/2021 20:13:04.143</v>
      </c>
      <c r="C356" t="str">
        <f t="shared" si="17"/>
        <v>FFDFD3C0</v>
      </c>
      <c r="D356" t="s">
        <v>113</v>
      </c>
      <c r="E356">
        <v>6</v>
      </c>
      <c r="H356">
        <v>165</v>
      </c>
      <c r="I356" t="s">
        <v>114</v>
      </c>
      <c r="J356" t="s">
        <v>115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>"20:13:06.445"</f>
        <v>20:13:06.445</v>
      </c>
      <c r="U356" t="str">
        <f t="shared" si="16"/>
        <v>AB01F4</v>
      </c>
      <c r="V356">
        <v>0</v>
      </c>
      <c r="W356">
        <v>0</v>
      </c>
      <c r="X356">
        <v>1</v>
      </c>
      <c r="Z356">
        <v>0</v>
      </c>
      <c r="AA356">
        <v>9</v>
      </c>
      <c r="AB356">
        <v>3</v>
      </c>
      <c r="AC356">
        <v>0</v>
      </c>
      <c r="AD356">
        <v>10</v>
      </c>
      <c r="AE356">
        <v>0</v>
      </c>
      <c r="AF356">
        <v>3</v>
      </c>
      <c r="AG356">
        <v>2</v>
      </c>
      <c r="AH356">
        <v>0</v>
      </c>
      <c r="AI356" t="s">
        <v>376</v>
      </c>
      <c r="AJ356">
        <v>39.546832999999999</v>
      </c>
      <c r="AK356" t="s">
        <v>377</v>
      </c>
      <c r="AL356">
        <v>-92.477288000000001</v>
      </c>
      <c r="AM356">
        <v>100</v>
      </c>
      <c r="AN356">
        <v>1900</v>
      </c>
      <c r="AO356" t="s">
        <v>118</v>
      </c>
      <c r="AP356">
        <v>-79</v>
      </c>
      <c r="AQ356">
        <v>121</v>
      </c>
      <c r="AR356">
        <v>0</v>
      </c>
      <c r="AZ356">
        <v>1200</v>
      </c>
      <c r="BA356">
        <v>1</v>
      </c>
      <c r="BB356" t="str">
        <f t="shared" si="18"/>
        <v xml:space="preserve">N8080G  </v>
      </c>
      <c r="BC356">
        <v>1</v>
      </c>
      <c r="BE356">
        <v>0</v>
      </c>
      <c r="BF356">
        <v>0</v>
      </c>
      <c r="BG356">
        <v>0</v>
      </c>
      <c r="BH356">
        <v>1850</v>
      </c>
      <c r="BI356">
        <v>1</v>
      </c>
      <c r="BJ356">
        <v>1</v>
      </c>
      <c r="BK356">
        <v>1</v>
      </c>
      <c r="BL356">
        <v>0</v>
      </c>
      <c r="BO356">
        <v>0</v>
      </c>
      <c r="BP356">
        <v>0</v>
      </c>
      <c r="BW356" t="str">
        <f>"20:13:06.450"</f>
        <v>20:13:06.450</v>
      </c>
      <c r="CJ356">
        <v>0</v>
      </c>
      <c r="CK356">
        <v>2</v>
      </c>
      <c r="CL356">
        <v>0</v>
      </c>
      <c r="CM356">
        <v>2</v>
      </c>
      <c r="CN356">
        <v>0</v>
      </c>
      <c r="CO356">
        <v>5</v>
      </c>
      <c r="CP356" t="s">
        <v>119</v>
      </c>
      <c r="CQ356">
        <v>559</v>
      </c>
      <c r="CR356">
        <v>0</v>
      </c>
      <c r="CW356">
        <v>10402055</v>
      </c>
      <c r="CY356">
        <v>1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</row>
    <row r="357" spans="1:113" x14ac:dyDescent="0.3">
      <c r="A357" t="str">
        <f>"02/08/2021 20:13:04.143"</f>
        <v>02/08/2021 20:13:04.143</v>
      </c>
      <c r="C357" t="str">
        <f t="shared" si="17"/>
        <v>FFDFD3C0</v>
      </c>
      <c r="D357" t="s">
        <v>124</v>
      </c>
      <c r="E357">
        <v>13</v>
      </c>
      <c r="F357">
        <v>1013</v>
      </c>
      <c r="G357" t="s">
        <v>114</v>
      </c>
      <c r="J357" t="s">
        <v>125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>"20:13:06.445"</f>
        <v>20:13:06.445</v>
      </c>
      <c r="U357" t="str">
        <f t="shared" si="16"/>
        <v>AB01F4</v>
      </c>
      <c r="V357">
        <v>0</v>
      </c>
      <c r="W357">
        <v>0</v>
      </c>
      <c r="X357">
        <v>1</v>
      </c>
      <c r="Z357">
        <v>0</v>
      </c>
      <c r="AA357">
        <v>9</v>
      </c>
      <c r="AB357">
        <v>3</v>
      </c>
      <c r="AC357">
        <v>0</v>
      </c>
      <c r="AD357">
        <v>10</v>
      </c>
      <c r="AE357">
        <v>0</v>
      </c>
      <c r="AF357">
        <v>3</v>
      </c>
      <c r="AG357">
        <v>2</v>
      </c>
      <c r="AH357">
        <v>0</v>
      </c>
      <c r="AI357" t="s">
        <v>376</v>
      </c>
      <c r="AJ357">
        <v>39.546832999999999</v>
      </c>
      <c r="AK357" t="s">
        <v>377</v>
      </c>
      <c r="AL357">
        <v>-92.477288000000001</v>
      </c>
      <c r="AM357">
        <v>100</v>
      </c>
      <c r="AN357">
        <v>1900</v>
      </c>
      <c r="AO357" t="s">
        <v>118</v>
      </c>
      <c r="AP357">
        <v>-79</v>
      </c>
      <c r="AQ357">
        <v>121</v>
      </c>
      <c r="AR357">
        <v>0</v>
      </c>
      <c r="AZ357">
        <v>1200</v>
      </c>
      <c r="BA357">
        <v>1</v>
      </c>
      <c r="BB357" t="str">
        <f t="shared" si="18"/>
        <v xml:space="preserve">N8080G  </v>
      </c>
      <c r="BC357">
        <v>1</v>
      </c>
      <c r="BE357">
        <v>0</v>
      </c>
      <c r="BF357">
        <v>0</v>
      </c>
      <c r="BG357">
        <v>0</v>
      </c>
      <c r="BH357">
        <v>1850</v>
      </c>
      <c r="BI357">
        <v>1</v>
      </c>
      <c r="BJ357">
        <v>1</v>
      </c>
      <c r="BK357">
        <v>1</v>
      </c>
      <c r="BL357">
        <v>0</v>
      </c>
      <c r="BO357">
        <v>0</v>
      </c>
      <c r="BP357">
        <v>0</v>
      </c>
      <c r="BW357" t="str">
        <f>"20:13:06.450"</f>
        <v>20:13:06.450</v>
      </c>
      <c r="CJ357">
        <v>0</v>
      </c>
      <c r="CK357">
        <v>2</v>
      </c>
      <c r="CL357">
        <v>0</v>
      </c>
      <c r="CM357">
        <v>2</v>
      </c>
      <c r="CN357">
        <v>0</v>
      </c>
      <c r="CO357">
        <v>5</v>
      </c>
      <c r="CP357" t="s">
        <v>119</v>
      </c>
      <c r="CQ357">
        <v>559</v>
      </c>
      <c r="CR357">
        <v>0</v>
      </c>
      <c r="CW357">
        <v>10402055</v>
      </c>
      <c r="CY357">
        <v>1</v>
      </c>
      <c r="CZ357">
        <v>0</v>
      </c>
      <c r="DA357">
        <v>1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</row>
    <row r="358" spans="1:113" x14ac:dyDescent="0.3">
      <c r="A358" t="str">
        <f>"02/08/2021 20:13:04.143"</f>
        <v>02/08/2021 20:13:04.143</v>
      </c>
      <c r="C358" t="str">
        <f t="shared" si="17"/>
        <v>FFDFD3C0</v>
      </c>
      <c r="D358" t="s">
        <v>141</v>
      </c>
      <c r="E358">
        <v>17</v>
      </c>
      <c r="H358">
        <v>256</v>
      </c>
      <c r="I358" t="s">
        <v>142</v>
      </c>
      <c r="J358" t="s">
        <v>143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>"20:13:06.445"</f>
        <v>20:13:06.445</v>
      </c>
      <c r="U358" t="str">
        <f t="shared" si="16"/>
        <v>AB01F4</v>
      </c>
      <c r="V358">
        <v>0</v>
      </c>
      <c r="W358">
        <v>0</v>
      </c>
      <c r="X358">
        <v>1</v>
      </c>
      <c r="Z358">
        <v>0</v>
      </c>
      <c r="AA358">
        <v>9</v>
      </c>
      <c r="AB358">
        <v>3</v>
      </c>
      <c r="AC358">
        <v>0</v>
      </c>
      <c r="AD358">
        <v>10</v>
      </c>
      <c r="AE358">
        <v>0</v>
      </c>
      <c r="AF358">
        <v>3</v>
      </c>
      <c r="AG358">
        <v>2</v>
      </c>
      <c r="AH358">
        <v>0</v>
      </c>
      <c r="AI358" t="s">
        <v>376</v>
      </c>
      <c r="AJ358">
        <v>39.546832999999999</v>
      </c>
      <c r="AK358" t="s">
        <v>377</v>
      </c>
      <c r="AL358">
        <v>-92.477288000000001</v>
      </c>
      <c r="AM358">
        <v>100</v>
      </c>
      <c r="AN358">
        <v>1900</v>
      </c>
      <c r="AO358" t="s">
        <v>118</v>
      </c>
      <c r="AP358">
        <v>-79</v>
      </c>
      <c r="AQ358">
        <v>121</v>
      </c>
      <c r="AR358">
        <v>0</v>
      </c>
      <c r="AZ358">
        <v>1200</v>
      </c>
      <c r="BA358">
        <v>1</v>
      </c>
      <c r="BB358" t="str">
        <f t="shared" si="18"/>
        <v xml:space="preserve">N8080G  </v>
      </c>
      <c r="BC358">
        <v>1</v>
      </c>
      <c r="BE358">
        <v>0</v>
      </c>
      <c r="BF358">
        <v>0</v>
      </c>
      <c r="BG358">
        <v>0</v>
      </c>
      <c r="BH358">
        <v>1850</v>
      </c>
      <c r="BI358">
        <v>1</v>
      </c>
      <c r="BJ358">
        <v>1</v>
      </c>
      <c r="BK358">
        <v>1</v>
      </c>
      <c r="BL358">
        <v>0</v>
      </c>
      <c r="BO358">
        <v>0</v>
      </c>
      <c r="BP358">
        <v>0</v>
      </c>
      <c r="BW358" t="str">
        <f>"20:13:06.450"</f>
        <v>20:13:06.450</v>
      </c>
      <c r="CJ358">
        <v>0</v>
      </c>
      <c r="CK358">
        <v>2</v>
      </c>
      <c r="CL358">
        <v>0</v>
      </c>
      <c r="CM358">
        <v>2</v>
      </c>
      <c r="CN358">
        <v>0</v>
      </c>
      <c r="CO358">
        <v>5</v>
      </c>
      <c r="CP358" t="s">
        <v>119</v>
      </c>
      <c r="CQ358">
        <v>559</v>
      </c>
      <c r="CR358">
        <v>0</v>
      </c>
      <c r="CW358">
        <v>10402055</v>
      </c>
      <c r="CY358">
        <v>1</v>
      </c>
      <c r="CZ358">
        <v>0</v>
      </c>
      <c r="DA358">
        <v>1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</row>
    <row r="359" spans="1:113" x14ac:dyDescent="0.3">
      <c r="A359" t="str">
        <f>"02/08/2021 20:13:05.022"</f>
        <v>02/08/2021 20:13:05.022</v>
      </c>
      <c r="C359" t="str">
        <f t="shared" si="17"/>
        <v>FFDFD3C0</v>
      </c>
      <c r="D359" t="s">
        <v>141</v>
      </c>
      <c r="E359">
        <v>17</v>
      </c>
      <c r="H359">
        <v>256</v>
      </c>
      <c r="I359" t="s">
        <v>142</v>
      </c>
      <c r="J359" t="s">
        <v>143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>"20:13:07.367"</f>
        <v>20:13:07.367</v>
      </c>
      <c r="T359" t="str">
        <f>"20:13:06.867"</f>
        <v>20:13:06.867</v>
      </c>
      <c r="U359" t="str">
        <f t="shared" si="16"/>
        <v>AB01F4</v>
      </c>
      <c r="V359">
        <v>0</v>
      </c>
      <c r="W359">
        <v>0</v>
      </c>
      <c r="X359">
        <v>1</v>
      </c>
      <c r="Z359">
        <v>0</v>
      </c>
      <c r="AA359">
        <v>9</v>
      </c>
      <c r="AB359">
        <v>3</v>
      </c>
      <c r="AC359">
        <v>0</v>
      </c>
      <c r="AD359">
        <v>10</v>
      </c>
      <c r="AE359">
        <v>0</v>
      </c>
      <c r="AF359">
        <v>3</v>
      </c>
      <c r="AG359">
        <v>2</v>
      </c>
      <c r="AH359">
        <v>0</v>
      </c>
      <c r="AI359" t="s">
        <v>378</v>
      </c>
      <c r="AJ359">
        <v>39.547305000000001</v>
      </c>
      <c r="AK359" t="s">
        <v>379</v>
      </c>
      <c r="AL359">
        <v>-92.477716999999998</v>
      </c>
      <c r="AM359">
        <v>100</v>
      </c>
      <c r="AN359">
        <v>1900</v>
      </c>
      <c r="AO359" t="s">
        <v>118</v>
      </c>
      <c r="AP359">
        <v>-79</v>
      </c>
      <c r="AQ359">
        <v>121</v>
      </c>
      <c r="AR359">
        <v>0</v>
      </c>
      <c r="AZ359">
        <v>1200</v>
      </c>
      <c r="BA359">
        <v>1</v>
      </c>
      <c r="BB359" t="str">
        <f t="shared" si="18"/>
        <v xml:space="preserve">N8080G  </v>
      </c>
      <c r="BC359">
        <v>1</v>
      </c>
      <c r="BE359">
        <v>0</v>
      </c>
      <c r="BF359">
        <v>0</v>
      </c>
      <c r="BG359">
        <v>0</v>
      </c>
      <c r="BH359">
        <v>1850</v>
      </c>
      <c r="BI359">
        <v>1</v>
      </c>
      <c r="BJ359">
        <v>1</v>
      </c>
      <c r="BK359">
        <v>1</v>
      </c>
      <c r="BL359">
        <v>0</v>
      </c>
      <c r="BO359">
        <v>0</v>
      </c>
      <c r="BP359">
        <v>0</v>
      </c>
      <c r="BW359" t="str">
        <f>"20:13:07.373"</f>
        <v>20:13:07.373</v>
      </c>
      <c r="CJ359">
        <v>0</v>
      </c>
      <c r="CK359">
        <v>2</v>
      </c>
      <c r="CL359">
        <v>0</v>
      </c>
      <c r="CM359">
        <v>2</v>
      </c>
      <c r="CN359">
        <v>0</v>
      </c>
      <c r="CO359">
        <v>5</v>
      </c>
      <c r="CP359" t="s">
        <v>119</v>
      </c>
      <c r="CQ359">
        <v>559</v>
      </c>
      <c r="CR359">
        <v>0</v>
      </c>
      <c r="CW359">
        <v>10402203</v>
      </c>
      <c r="CY359">
        <v>1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</row>
    <row r="360" spans="1:113" x14ac:dyDescent="0.3">
      <c r="A360" t="str">
        <f>"02/08/2021 20:13:05.022"</f>
        <v>02/08/2021 20:13:05.022</v>
      </c>
      <c r="C360" t="str">
        <f t="shared" si="17"/>
        <v>FFDFD3C0</v>
      </c>
      <c r="D360" t="s">
        <v>113</v>
      </c>
      <c r="E360">
        <v>6</v>
      </c>
      <c r="H360">
        <v>165</v>
      </c>
      <c r="I360" t="s">
        <v>114</v>
      </c>
      <c r="J360" t="s">
        <v>115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>"20:13:07.367"</f>
        <v>20:13:07.367</v>
      </c>
      <c r="T360" t="str">
        <f>"20:13:06.867"</f>
        <v>20:13:06.867</v>
      </c>
      <c r="U360" t="str">
        <f t="shared" si="16"/>
        <v>AB01F4</v>
      </c>
      <c r="V360">
        <v>0</v>
      </c>
      <c r="W360">
        <v>0</v>
      </c>
      <c r="X360">
        <v>1</v>
      </c>
      <c r="Z360">
        <v>0</v>
      </c>
      <c r="AA360">
        <v>9</v>
      </c>
      <c r="AB360">
        <v>3</v>
      </c>
      <c r="AC360">
        <v>0</v>
      </c>
      <c r="AD360">
        <v>10</v>
      </c>
      <c r="AE360">
        <v>0</v>
      </c>
      <c r="AF360">
        <v>3</v>
      </c>
      <c r="AG360">
        <v>2</v>
      </c>
      <c r="AH360">
        <v>0</v>
      </c>
      <c r="AI360" t="s">
        <v>378</v>
      </c>
      <c r="AJ360">
        <v>39.547305000000001</v>
      </c>
      <c r="AK360" t="s">
        <v>379</v>
      </c>
      <c r="AL360">
        <v>-92.477716999999998</v>
      </c>
      <c r="AM360">
        <v>100</v>
      </c>
      <c r="AN360">
        <v>1900</v>
      </c>
      <c r="AO360" t="s">
        <v>118</v>
      </c>
      <c r="AP360">
        <v>-79</v>
      </c>
      <c r="AQ360">
        <v>121</v>
      </c>
      <c r="AR360">
        <v>0</v>
      </c>
      <c r="AZ360">
        <v>1200</v>
      </c>
      <c r="BA360">
        <v>1</v>
      </c>
      <c r="BB360" t="str">
        <f t="shared" si="18"/>
        <v xml:space="preserve">N8080G  </v>
      </c>
      <c r="BC360">
        <v>1</v>
      </c>
      <c r="BE360">
        <v>0</v>
      </c>
      <c r="BF360">
        <v>0</v>
      </c>
      <c r="BG360">
        <v>0</v>
      </c>
      <c r="BH360">
        <v>1850</v>
      </c>
      <c r="BI360">
        <v>1</v>
      </c>
      <c r="BJ360">
        <v>1</v>
      </c>
      <c r="BK360">
        <v>1</v>
      </c>
      <c r="BL360">
        <v>0</v>
      </c>
      <c r="BO360">
        <v>0</v>
      </c>
      <c r="BP360">
        <v>0</v>
      </c>
      <c r="BW360" t="str">
        <f>"20:13:07.373"</f>
        <v>20:13:07.373</v>
      </c>
      <c r="CJ360">
        <v>0</v>
      </c>
      <c r="CK360">
        <v>2</v>
      </c>
      <c r="CL360">
        <v>0</v>
      </c>
      <c r="CM360">
        <v>2</v>
      </c>
      <c r="CN360">
        <v>0</v>
      </c>
      <c r="CO360">
        <v>5</v>
      </c>
      <c r="CP360" t="s">
        <v>119</v>
      </c>
      <c r="CQ360">
        <v>559</v>
      </c>
      <c r="CR360">
        <v>0</v>
      </c>
      <c r="CW360">
        <v>10402203</v>
      </c>
      <c r="CY360">
        <v>1</v>
      </c>
      <c r="CZ360">
        <v>0</v>
      </c>
      <c r="DA360">
        <v>1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</row>
    <row r="361" spans="1:113" x14ac:dyDescent="0.3">
      <c r="A361" t="str">
        <f>"02/08/2021 20:13:05.022"</f>
        <v>02/08/2021 20:13:05.022</v>
      </c>
      <c r="C361" t="str">
        <f t="shared" si="17"/>
        <v>FFDFD3C0</v>
      </c>
      <c r="D361" t="s">
        <v>124</v>
      </c>
      <c r="E361">
        <v>13</v>
      </c>
      <c r="F361">
        <v>1013</v>
      </c>
      <c r="G361" t="s">
        <v>114</v>
      </c>
      <c r="J361" t="s">
        <v>125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>"20:13:07.367"</f>
        <v>20:13:07.367</v>
      </c>
      <c r="T361" t="str">
        <f>"20:13:06.867"</f>
        <v>20:13:06.867</v>
      </c>
      <c r="U361" t="str">
        <f t="shared" si="16"/>
        <v>AB01F4</v>
      </c>
      <c r="V361">
        <v>0</v>
      </c>
      <c r="W361">
        <v>0</v>
      </c>
      <c r="X361">
        <v>1</v>
      </c>
      <c r="Z361">
        <v>0</v>
      </c>
      <c r="AA361">
        <v>9</v>
      </c>
      <c r="AB361">
        <v>3</v>
      </c>
      <c r="AC361">
        <v>0</v>
      </c>
      <c r="AD361">
        <v>10</v>
      </c>
      <c r="AE361">
        <v>0</v>
      </c>
      <c r="AF361">
        <v>3</v>
      </c>
      <c r="AG361">
        <v>2</v>
      </c>
      <c r="AH361">
        <v>0</v>
      </c>
      <c r="AI361" t="s">
        <v>378</v>
      </c>
      <c r="AJ361">
        <v>39.547305000000001</v>
      </c>
      <c r="AK361" t="s">
        <v>379</v>
      </c>
      <c r="AL361">
        <v>-92.477716999999998</v>
      </c>
      <c r="AM361">
        <v>100</v>
      </c>
      <c r="AN361">
        <v>1900</v>
      </c>
      <c r="AO361" t="s">
        <v>118</v>
      </c>
      <c r="AP361">
        <v>-79</v>
      </c>
      <c r="AQ361">
        <v>121</v>
      </c>
      <c r="AR361">
        <v>0</v>
      </c>
      <c r="AZ361">
        <v>1200</v>
      </c>
      <c r="BA361">
        <v>1</v>
      </c>
      <c r="BB361" t="str">
        <f t="shared" si="18"/>
        <v xml:space="preserve">N8080G  </v>
      </c>
      <c r="BC361">
        <v>1</v>
      </c>
      <c r="BE361">
        <v>0</v>
      </c>
      <c r="BF361">
        <v>0</v>
      </c>
      <c r="BG361">
        <v>0</v>
      </c>
      <c r="BH361">
        <v>1850</v>
      </c>
      <c r="BI361">
        <v>1</v>
      </c>
      <c r="BJ361">
        <v>1</v>
      </c>
      <c r="BK361">
        <v>1</v>
      </c>
      <c r="BL361">
        <v>0</v>
      </c>
      <c r="BO361">
        <v>0</v>
      </c>
      <c r="BP361">
        <v>0</v>
      </c>
      <c r="BW361" t="str">
        <f>"20:13:07.373"</f>
        <v>20:13:07.373</v>
      </c>
      <c r="CJ361">
        <v>0</v>
      </c>
      <c r="CK361">
        <v>2</v>
      </c>
      <c r="CL361">
        <v>0</v>
      </c>
      <c r="CM361">
        <v>2</v>
      </c>
      <c r="CN361">
        <v>0</v>
      </c>
      <c r="CO361">
        <v>5</v>
      </c>
      <c r="CP361" t="s">
        <v>119</v>
      </c>
      <c r="CQ361">
        <v>559</v>
      </c>
      <c r="CR361">
        <v>0</v>
      </c>
      <c r="CW361">
        <v>10402203</v>
      </c>
      <c r="CY361">
        <v>1</v>
      </c>
      <c r="CZ361">
        <v>0</v>
      </c>
      <c r="DA361">
        <v>1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</row>
    <row r="362" spans="1:113" x14ac:dyDescent="0.3">
      <c r="A362" t="str">
        <f>"02/08/2021 20:13:06.013"</f>
        <v>02/08/2021 20:13:06.013</v>
      </c>
      <c r="C362" t="str">
        <f t="shared" si="17"/>
        <v>FFDFD3C0</v>
      </c>
      <c r="D362" t="s">
        <v>124</v>
      </c>
      <c r="E362">
        <v>13</v>
      </c>
      <c r="F362">
        <v>1013</v>
      </c>
      <c r="G362" t="s">
        <v>114</v>
      </c>
      <c r="J362" t="s">
        <v>125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>"20:13:08.352"</f>
        <v>20:13:08.352</v>
      </c>
      <c r="T362" t="str">
        <f>"20:13:07.852"</f>
        <v>20:13:07.852</v>
      </c>
      <c r="U362" t="str">
        <f t="shared" si="16"/>
        <v>AB01F4</v>
      </c>
      <c r="V362">
        <v>0</v>
      </c>
      <c r="W362">
        <v>0</v>
      </c>
      <c r="X362">
        <v>1</v>
      </c>
      <c r="Z362">
        <v>0</v>
      </c>
      <c r="AA362">
        <v>9</v>
      </c>
      <c r="AB362">
        <v>3</v>
      </c>
      <c r="AC362">
        <v>0</v>
      </c>
      <c r="AD362">
        <v>10</v>
      </c>
      <c r="AE362">
        <v>0</v>
      </c>
      <c r="AF362">
        <v>3</v>
      </c>
      <c r="AG362">
        <v>2</v>
      </c>
      <c r="AH362">
        <v>0</v>
      </c>
      <c r="AI362" t="s">
        <v>380</v>
      </c>
      <c r="AJ362">
        <v>39.547905999999998</v>
      </c>
      <c r="AK362" t="s">
        <v>381</v>
      </c>
      <c r="AL362">
        <v>-92.478189</v>
      </c>
      <c r="AM362">
        <v>100</v>
      </c>
      <c r="AN362">
        <v>1900</v>
      </c>
      <c r="AO362" t="s">
        <v>118</v>
      </c>
      <c r="AP362">
        <v>-79</v>
      </c>
      <c r="AQ362">
        <v>121</v>
      </c>
      <c r="AR362">
        <v>0</v>
      </c>
      <c r="AZ362">
        <v>1200</v>
      </c>
      <c r="BA362">
        <v>1</v>
      </c>
      <c r="BB362" t="str">
        <f t="shared" si="18"/>
        <v xml:space="preserve">N8080G  </v>
      </c>
      <c r="BC362">
        <v>1</v>
      </c>
      <c r="BE362">
        <v>0</v>
      </c>
      <c r="BF362">
        <v>0</v>
      </c>
      <c r="BG362">
        <v>0</v>
      </c>
      <c r="BH362">
        <v>1850</v>
      </c>
      <c r="BI362">
        <v>1</v>
      </c>
      <c r="BJ362">
        <v>1</v>
      </c>
      <c r="BK362">
        <v>1</v>
      </c>
      <c r="BL362">
        <v>0</v>
      </c>
      <c r="BO362">
        <v>0</v>
      </c>
      <c r="BP362">
        <v>0</v>
      </c>
      <c r="BW362" t="str">
        <f>"20:13:08.359"</f>
        <v>20:13:08.359</v>
      </c>
      <c r="CJ362">
        <v>0</v>
      </c>
      <c r="CK362">
        <v>2</v>
      </c>
      <c r="CL362">
        <v>0</v>
      </c>
      <c r="CM362">
        <v>2</v>
      </c>
      <c r="CN362">
        <v>0</v>
      </c>
      <c r="CO362">
        <v>6</v>
      </c>
      <c r="CP362" t="s">
        <v>119</v>
      </c>
      <c r="CQ362">
        <v>180</v>
      </c>
      <c r="CR362">
        <v>2</v>
      </c>
      <c r="CW362">
        <v>7824879</v>
      </c>
      <c r="CY362">
        <v>1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</row>
    <row r="363" spans="1:113" x14ac:dyDescent="0.3">
      <c r="A363" t="str">
        <f>"02/08/2021 20:13:06.013"</f>
        <v>02/08/2021 20:13:06.013</v>
      </c>
      <c r="C363" t="str">
        <f t="shared" si="17"/>
        <v>FFDFD3C0</v>
      </c>
      <c r="D363" t="s">
        <v>113</v>
      </c>
      <c r="E363">
        <v>6</v>
      </c>
      <c r="H363">
        <v>165</v>
      </c>
      <c r="I363" t="s">
        <v>114</v>
      </c>
      <c r="J363" t="s">
        <v>115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>"20:13:08.352"</f>
        <v>20:13:08.352</v>
      </c>
      <c r="T363" t="str">
        <f>"20:13:07.852"</f>
        <v>20:13:07.852</v>
      </c>
      <c r="U363" t="str">
        <f t="shared" si="16"/>
        <v>AB01F4</v>
      </c>
      <c r="V363">
        <v>0</v>
      </c>
      <c r="W363">
        <v>0</v>
      </c>
      <c r="X363">
        <v>1</v>
      </c>
      <c r="Z363">
        <v>0</v>
      </c>
      <c r="AA363">
        <v>9</v>
      </c>
      <c r="AB363">
        <v>3</v>
      </c>
      <c r="AC363">
        <v>0</v>
      </c>
      <c r="AD363">
        <v>10</v>
      </c>
      <c r="AE363">
        <v>0</v>
      </c>
      <c r="AF363">
        <v>3</v>
      </c>
      <c r="AG363">
        <v>2</v>
      </c>
      <c r="AH363">
        <v>0</v>
      </c>
      <c r="AI363" t="s">
        <v>380</v>
      </c>
      <c r="AJ363">
        <v>39.547905999999998</v>
      </c>
      <c r="AK363" t="s">
        <v>381</v>
      </c>
      <c r="AL363">
        <v>-92.478189</v>
      </c>
      <c r="AM363">
        <v>100</v>
      </c>
      <c r="AN363">
        <v>1900</v>
      </c>
      <c r="AO363" t="s">
        <v>118</v>
      </c>
      <c r="AP363">
        <v>-79</v>
      </c>
      <c r="AQ363">
        <v>121</v>
      </c>
      <c r="AR363">
        <v>0</v>
      </c>
      <c r="AZ363">
        <v>1200</v>
      </c>
      <c r="BA363">
        <v>1</v>
      </c>
      <c r="BB363" t="str">
        <f t="shared" si="18"/>
        <v xml:space="preserve">N8080G  </v>
      </c>
      <c r="BC363">
        <v>1</v>
      </c>
      <c r="BE363">
        <v>0</v>
      </c>
      <c r="BF363">
        <v>0</v>
      </c>
      <c r="BG363">
        <v>0</v>
      </c>
      <c r="BH363">
        <v>1850</v>
      </c>
      <c r="BI363">
        <v>1</v>
      </c>
      <c r="BJ363">
        <v>1</v>
      </c>
      <c r="BK363">
        <v>1</v>
      </c>
      <c r="BL363">
        <v>0</v>
      </c>
      <c r="BO363">
        <v>0</v>
      </c>
      <c r="BP363">
        <v>0</v>
      </c>
      <c r="BW363" t="str">
        <f>"20:13:08.359"</f>
        <v>20:13:08.359</v>
      </c>
      <c r="CJ363">
        <v>0</v>
      </c>
      <c r="CK363">
        <v>2</v>
      </c>
      <c r="CL363">
        <v>0</v>
      </c>
      <c r="CM363">
        <v>2</v>
      </c>
      <c r="CN363">
        <v>0</v>
      </c>
      <c r="CO363">
        <v>6</v>
      </c>
      <c r="CP363" t="s">
        <v>119</v>
      </c>
      <c r="CQ363">
        <v>180</v>
      </c>
      <c r="CR363">
        <v>2</v>
      </c>
      <c r="CW363">
        <v>7824879</v>
      </c>
      <c r="CY363">
        <v>1</v>
      </c>
      <c r="CZ363">
        <v>0</v>
      </c>
      <c r="DA363">
        <v>1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</row>
    <row r="364" spans="1:113" x14ac:dyDescent="0.3">
      <c r="A364" t="str">
        <f>"02/08/2021 20:13:06.013"</f>
        <v>02/08/2021 20:13:06.013</v>
      </c>
      <c r="C364" t="str">
        <f t="shared" si="17"/>
        <v>FFDFD3C0</v>
      </c>
      <c r="D364" t="s">
        <v>141</v>
      </c>
      <c r="E364">
        <v>17</v>
      </c>
      <c r="H364">
        <v>256</v>
      </c>
      <c r="I364" t="s">
        <v>142</v>
      </c>
      <c r="J364" t="s">
        <v>143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>"20:13:08.352"</f>
        <v>20:13:08.352</v>
      </c>
      <c r="T364" t="str">
        <f>"20:13:07.852"</f>
        <v>20:13:07.852</v>
      </c>
      <c r="U364" t="str">
        <f t="shared" si="16"/>
        <v>AB01F4</v>
      </c>
      <c r="V364">
        <v>0</v>
      </c>
      <c r="W364">
        <v>0</v>
      </c>
      <c r="X364">
        <v>1</v>
      </c>
      <c r="Z364">
        <v>0</v>
      </c>
      <c r="AA364">
        <v>9</v>
      </c>
      <c r="AB364">
        <v>3</v>
      </c>
      <c r="AC364">
        <v>0</v>
      </c>
      <c r="AD364">
        <v>10</v>
      </c>
      <c r="AE364">
        <v>0</v>
      </c>
      <c r="AF364">
        <v>3</v>
      </c>
      <c r="AG364">
        <v>2</v>
      </c>
      <c r="AH364">
        <v>0</v>
      </c>
      <c r="AI364" t="s">
        <v>380</v>
      </c>
      <c r="AJ364">
        <v>39.547905999999998</v>
      </c>
      <c r="AK364" t="s">
        <v>381</v>
      </c>
      <c r="AL364">
        <v>-92.478189</v>
      </c>
      <c r="AM364">
        <v>100</v>
      </c>
      <c r="AN364">
        <v>1900</v>
      </c>
      <c r="AO364" t="s">
        <v>118</v>
      </c>
      <c r="AP364">
        <v>-79</v>
      </c>
      <c r="AQ364">
        <v>121</v>
      </c>
      <c r="AR364">
        <v>0</v>
      </c>
      <c r="AZ364">
        <v>1200</v>
      </c>
      <c r="BA364">
        <v>1</v>
      </c>
      <c r="BB364" t="str">
        <f t="shared" si="18"/>
        <v xml:space="preserve">N8080G  </v>
      </c>
      <c r="BC364">
        <v>1</v>
      </c>
      <c r="BE364">
        <v>0</v>
      </c>
      <c r="BF364">
        <v>0</v>
      </c>
      <c r="BG364">
        <v>0</v>
      </c>
      <c r="BH364">
        <v>1850</v>
      </c>
      <c r="BI364">
        <v>1</v>
      </c>
      <c r="BJ364">
        <v>1</v>
      </c>
      <c r="BK364">
        <v>1</v>
      </c>
      <c r="BL364">
        <v>0</v>
      </c>
      <c r="BO364">
        <v>0</v>
      </c>
      <c r="BP364">
        <v>0</v>
      </c>
      <c r="BW364" t="str">
        <f>"20:13:08.359"</f>
        <v>20:13:08.359</v>
      </c>
      <c r="CJ364">
        <v>0</v>
      </c>
      <c r="CK364">
        <v>2</v>
      </c>
      <c r="CL364">
        <v>0</v>
      </c>
      <c r="CM364">
        <v>2</v>
      </c>
      <c r="CN364">
        <v>0</v>
      </c>
      <c r="CO364">
        <v>5</v>
      </c>
      <c r="CP364" t="s">
        <v>119</v>
      </c>
      <c r="CQ364">
        <v>559</v>
      </c>
      <c r="CR364">
        <v>0</v>
      </c>
      <c r="CW364">
        <v>10402361</v>
      </c>
      <c r="CY364">
        <v>1</v>
      </c>
      <c r="CZ364">
        <v>0</v>
      </c>
      <c r="DA364">
        <v>1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</row>
    <row r="365" spans="1:113" x14ac:dyDescent="0.3">
      <c r="A365" t="str">
        <f>"02/08/2021 20:13:07.021"</f>
        <v>02/08/2021 20:13:07.021</v>
      </c>
      <c r="C365" t="str">
        <f t="shared" si="17"/>
        <v>FFDFD3C0</v>
      </c>
      <c r="D365" t="s">
        <v>124</v>
      </c>
      <c r="E365">
        <v>13</v>
      </c>
      <c r="F365">
        <v>1013</v>
      </c>
      <c r="G365" t="s">
        <v>114</v>
      </c>
      <c r="J365" t="s">
        <v>125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>"20:13:09.328"</f>
        <v>20:13:09.328</v>
      </c>
      <c r="T365" t="str">
        <f>"20:13:08.828"</f>
        <v>20:13:08.828</v>
      </c>
      <c r="U365" t="str">
        <f t="shared" si="16"/>
        <v>AB01F4</v>
      </c>
      <c r="V365">
        <v>0</v>
      </c>
      <c r="W365">
        <v>0</v>
      </c>
      <c r="X365">
        <v>1</v>
      </c>
      <c r="Z365">
        <v>0</v>
      </c>
      <c r="AA365">
        <v>9</v>
      </c>
      <c r="AB365">
        <v>3</v>
      </c>
      <c r="AC365">
        <v>0</v>
      </c>
      <c r="AD365">
        <v>10</v>
      </c>
      <c r="AE365">
        <v>0</v>
      </c>
      <c r="AF365">
        <v>3</v>
      </c>
      <c r="AG365">
        <v>2</v>
      </c>
      <c r="AH365">
        <v>0</v>
      </c>
      <c r="AI365" t="s">
        <v>382</v>
      </c>
      <c r="AJ365">
        <v>39.548442000000001</v>
      </c>
      <c r="AK365" t="s">
        <v>383</v>
      </c>
      <c r="AL365">
        <v>-92.478662</v>
      </c>
      <c r="AM365">
        <v>100</v>
      </c>
      <c r="AN365">
        <v>1900</v>
      </c>
      <c r="AO365" t="s">
        <v>118</v>
      </c>
      <c r="AP365">
        <v>-78</v>
      </c>
      <c r="AQ365">
        <v>121</v>
      </c>
      <c r="AR365">
        <v>0</v>
      </c>
      <c r="AZ365">
        <v>1200</v>
      </c>
      <c r="BA365">
        <v>1</v>
      </c>
      <c r="BB365" t="str">
        <f t="shared" si="18"/>
        <v xml:space="preserve">N8080G  </v>
      </c>
      <c r="BC365">
        <v>1</v>
      </c>
      <c r="BE365">
        <v>0</v>
      </c>
      <c r="BF365">
        <v>0</v>
      </c>
      <c r="BG365">
        <v>0</v>
      </c>
      <c r="BH365">
        <v>1850</v>
      </c>
      <c r="BI365">
        <v>1</v>
      </c>
      <c r="BJ365">
        <v>1</v>
      </c>
      <c r="BK365">
        <v>1</v>
      </c>
      <c r="BL365">
        <v>0</v>
      </c>
      <c r="BO365">
        <v>0</v>
      </c>
      <c r="BP365">
        <v>0</v>
      </c>
      <c r="BW365" t="str">
        <f>"20:13:09.334"</f>
        <v>20:13:09.334</v>
      </c>
      <c r="CJ365">
        <v>0</v>
      </c>
      <c r="CK365">
        <v>2</v>
      </c>
      <c r="CL365">
        <v>0</v>
      </c>
      <c r="CM365">
        <v>2</v>
      </c>
      <c r="CN365">
        <v>0</v>
      </c>
      <c r="CO365">
        <v>6</v>
      </c>
      <c r="CP365" t="s">
        <v>119</v>
      </c>
      <c r="CQ365">
        <v>559</v>
      </c>
      <c r="CR365">
        <v>0</v>
      </c>
      <c r="CW365">
        <v>10402519</v>
      </c>
      <c r="CY365">
        <v>1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</row>
    <row r="366" spans="1:113" x14ac:dyDescent="0.3">
      <c r="A366" t="str">
        <f>"02/08/2021 20:13:07.021"</f>
        <v>02/08/2021 20:13:07.021</v>
      </c>
      <c r="C366" t="str">
        <f t="shared" si="17"/>
        <v>FFDFD3C0</v>
      </c>
      <c r="D366" t="s">
        <v>113</v>
      </c>
      <c r="E366">
        <v>6</v>
      </c>
      <c r="H366">
        <v>165</v>
      </c>
      <c r="I366" t="s">
        <v>114</v>
      </c>
      <c r="J366" t="s">
        <v>115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>"20:13:09.328"</f>
        <v>20:13:09.328</v>
      </c>
      <c r="T366" t="str">
        <f>"20:13:08.828"</f>
        <v>20:13:08.828</v>
      </c>
      <c r="U366" t="str">
        <f t="shared" si="16"/>
        <v>AB01F4</v>
      </c>
      <c r="V366">
        <v>0</v>
      </c>
      <c r="W366">
        <v>0</v>
      </c>
      <c r="X366">
        <v>1</v>
      </c>
      <c r="Z366">
        <v>0</v>
      </c>
      <c r="AA366">
        <v>9</v>
      </c>
      <c r="AB366">
        <v>3</v>
      </c>
      <c r="AC366">
        <v>0</v>
      </c>
      <c r="AD366">
        <v>10</v>
      </c>
      <c r="AE366">
        <v>0</v>
      </c>
      <c r="AF366">
        <v>3</v>
      </c>
      <c r="AG366">
        <v>2</v>
      </c>
      <c r="AH366">
        <v>0</v>
      </c>
      <c r="AI366" t="s">
        <v>382</v>
      </c>
      <c r="AJ366">
        <v>39.548442000000001</v>
      </c>
      <c r="AK366" t="s">
        <v>383</v>
      </c>
      <c r="AL366">
        <v>-92.478662</v>
      </c>
      <c r="AM366">
        <v>100</v>
      </c>
      <c r="AN366">
        <v>1900</v>
      </c>
      <c r="AO366" t="s">
        <v>118</v>
      </c>
      <c r="AP366">
        <v>-78</v>
      </c>
      <c r="AQ366">
        <v>121</v>
      </c>
      <c r="AR366">
        <v>0</v>
      </c>
      <c r="AZ366">
        <v>1200</v>
      </c>
      <c r="BA366">
        <v>1</v>
      </c>
      <c r="BB366" t="str">
        <f t="shared" si="18"/>
        <v xml:space="preserve">N8080G  </v>
      </c>
      <c r="BC366">
        <v>1</v>
      </c>
      <c r="BE366">
        <v>0</v>
      </c>
      <c r="BF366">
        <v>0</v>
      </c>
      <c r="BG366">
        <v>0</v>
      </c>
      <c r="BH366">
        <v>1850</v>
      </c>
      <c r="BI366">
        <v>1</v>
      </c>
      <c r="BJ366">
        <v>1</v>
      </c>
      <c r="BK366">
        <v>1</v>
      </c>
      <c r="BL366">
        <v>0</v>
      </c>
      <c r="BO366">
        <v>0</v>
      </c>
      <c r="BP366">
        <v>0</v>
      </c>
      <c r="BW366" t="str">
        <f>"20:13:09.334"</f>
        <v>20:13:09.334</v>
      </c>
      <c r="CJ366">
        <v>0</v>
      </c>
      <c r="CK366">
        <v>2</v>
      </c>
      <c r="CL366">
        <v>0</v>
      </c>
      <c r="CM366">
        <v>2</v>
      </c>
      <c r="CN366">
        <v>0</v>
      </c>
      <c r="CO366">
        <v>6</v>
      </c>
      <c r="CP366" t="s">
        <v>119</v>
      </c>
      <c r="CQ366">
        <v>559</v>
      </c>
      <c r="CR366">
        <v>0</v>
      </c>
      <c r="CW366">
        <v>10402519</v>
      </c>
      <c r="CY366">
        <v>1</v>
      </c>
      <c r="CZ366">
        <v>0</v>
      </c>
      <c r="DA366">
        <v>1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</row>
    <row r="367" spans="1:113" x14ac:dyDescent="0.3">
      <c r="A367" t="str">
        <f>"02/08/2021 20:13:07.021"</f>
        <v>02/08/2021 20:13:07.021</v>
      </c>
      <c r="C367" t="str">
        <f t="shared" si="17"/>
        <v>FFDFD3C0</v>
      </c>
      <c r="D367" t="s">
        <v>141</v>
      </c>
      <c r="E367">
        <v>17</v>
      </c>
      <c r="H367">
        <v>256</v>
      </c>
      <c r="I367" t="s">
        <v>142</v>
      </c>
      <c r="J367" t="s">
        <v>143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>"20:13:09.328"</f>
        <v>20:13:09.328</v>
      </c>
      <c r="T367" t="str">
        <f>"20:13:08.828"</f>
        <v>20:13:08.828</v>
      </c>
      <c r="U367" t="str">
        <f t="shared" si="16"/>
        <v>AB01F4</v>
      </c>
      <c r="V367">
        <v>0</v>
      </c>
      <c r="W367">
        <v>0</v>
      </c>
      <c r="X367">
        <v>1</v>
      </c>
      <c r="Z367">
        <v>0</v>
      </c>
      <c r="AA367">
        <v>9</v>
      </c>
      <c r="AB367">
        <v>3</v>
      </c>
      <c r="AC367">
        <v>0</v>
      </c>
      <c r="AD367">
        <v>10</v>
      </c>
      <c r="AE367">
        <v>0</v>
      </c>
      <c r="AF367">
        <v>3</v>
      </c>
      <c r="AG367">
        <v>2</v>
      </c>
      <c r="AH367">
        <v>0</v>
      </c>
      <c r="AI367" t="s">
        <v>382</v>
      </c>
      <c r="AJ367">
        <v>39.548442000000001</v>
      </c>
      <c r="AK367" t="s">
        <v>383</v>
      </c>
      <c r="AL367">
        <v>-92.478662</v>
      </c>
      <c r="AM367">
        <v>100</v>
      </c>
      <c r="AN367">
        <v>1900</v>
      </c>
      <c r="AO367" t="s">
        <v>118</v>
      </c>
      <c r="AP367">
        <v>-78</v>
      </c>
      <c r="AQ367">
        <v>121</v>
      </c>
      <c r="AR367">
        <v>0</v>
      </c>
      <c r="AZ367">
        <v>1200</v>
      </c>
      <c r="BA367">
        <v>1</v>
      </c>
      <c r="BB367" t="str">
        <f t="shared" si="18"/>
        <v xml:space="preserve">N8080G  </v>
      </c>
      <c r="BC367">
        <v>1</v>
      </c>
      <c r="BE367">
        <v>0</v>
      </c>
      <c r="BF367">
        <v>0</v>
      </c>
      <c r="BG367">
        <v>0</v>
      </c>
      <c r="BH367">
        <v>1850</v>
      </c>
      <c r="BI367">
        <v>1</v>
      </c>
      <c r="BJ367">
        <v>1</v>
      </c>
      <c r="BK367">
        <v>1</v>
      </c>
      <c r="BL367">
        <v>0</v>
      </c>
      <c r="BO367">
        <v>0</v>
      </c>
      <c r="BP367">
        <v>0</v>
      </c>
      <c r="BW367" t="str">
        <f>"20:13:09.334"</f>
        <v>20:13:09.334</v>
      </c>
      <c r="CJ367">
        <v>0</v>
      </c>
      <c r="CK367">
        <v>2</v>
      </c>
      <c r="CL367">
        <v>0</v>
      </c>
      <c r="CM367">
        <v>2</v>
      </c>
      <c r="CN367">
        <v>0</v>
      </c>
      <c r="CO367">
        <v>6</v>
      </c>
      <c r="CP367" t="s">
        <v>119</v>
      </c>
      <c r="CQ367">
        <v>559</v>
      </c>
      <c r="CR367">
        <v>0</v>
      </c>
      <c r="CW367">
        <v>10402519</v>
      </c>
      <c r="CY367">
        <v>1</v>
      </c>
      <c r="CZ367">
        <v>0</v>
      </c>
      <c r="DA367">
        <v>1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</row>
    <row r="368" spans="1:113" x14ac:dyDescent="0.3">
      <c r="A368" t="str">
        <f>"02/08/2021 20:13:08.004"</f>
        <v>02/08/2021 20:13:08.004</v>
      </c>
      <c r="C368" t="str">
        <f t="shared" si="17"/>
        <v>FFDFD3C0</v>
      </c>
      <c r="D368" t="s">
        <v>141</v>
      </c>
      <c r="E368">
        <v>17</v>
      </c>
      <c r="H368">
        <v>256</v>
      </c>
      <c r="I368" t="s">
        <v>142</v>
      </c>
      <c r="J368" t="s">
        <v>143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>"20:13:10.336"</f>
        <v>20:13:10.336</v>
      </c>
      <c r="U368" t="str">
        <f t="shared" si="16"/>
        <v>AB01F4</v>
      </c>
      <c r="V368">
        <v>0</v>
      </c>
      <c r="W368">
        <v>0</v>
      </c>
      <c r="X368">
        <v>1</v>
      </c>
      <c r="Z368">
        <v>0</v>
      </c>
      <c r="AA368">
        <v>9</v>
      </c>
      <c r="AB368">
        <v>3</v>
      </c>
      <c r="AC368">
        <v>0</v>
      </c>
      <c r="AD368">
        <v>10</v>
      </c>
      <c r="AE368">
        <v>0</v>
      </c>
      <c r="AF368">
        <v>3</v>
      </c>
      <c r="AG368">
        <v>2</v>
      </c>
      <c r="AH368">
        <v>0</v>
      </c>
      <c r="AI368" t="s">
        <v>384</v>
      </c>
      <c r="AJ368">
        <v>39.548999999999999</v>
      </c>
      <c r="AK368" t="s">
        <v>385</v>
      </c>
      <c r="AL368">
        <v>-92.479155000000006</v>
      </c>
      <c r="AM368">
        <v>100</v>
      </c>
      <c r="AN368">
        <v>1900</v>
      </c>
      <c r="AO368" t="s">
        <v>118</v>
      </c>
      <c r="AP368">
        <v>-78</v>
      </c>
      <c r="AQ368">
        <v>121</v>
      </c>
      <c r="AR368">
        <v>128</v>
      </c>
      <c r="AZ368">
        <v>1200</v>
      </c>
      <c r="BA368">
        <v>1</v>
      </c>
      <c r="BB368" t="str">
        <f t="shared" si="18"/>
        <v xml:space="preserve">N8080G  </v>
      </c>
      <c r="BC368">
        <v>1</v>
      </c>
      <c r="BE368">
        <v>0</v>
      </c>
      <c r="BF368">
        <v>0</v>
      </c>
      <c r="BG368">
        <v>0</v>
      </c>
      <c r="BH368">
        <v>1850</v>
      </c>
      <c r="BI368">
        <v>1</v>
      </c>
      <c r="BJ368">
        <v>1</v>
      </c>
      <c r="BK368">
        <v>1</v>
      </c>
      <c r="BL368">
        <v>0</v>
      </c>
      <c r="BO368">
        <v>0</v>
      </c>
      <c r="BP368">
        <v>0</v>
      </c>
      <c r="BW368" t="str">
        <f>"20:13:10.341"</f>
        <v>20:13:10.341</v>
      </c>
      <c r="CJ368">
        <v>0</v>
      </c>
      <c r="CK368">
        <v>2</v>
      </c>
      <c r="CL368">
        <v>0</v>
      </c>
      <c r="CM368">
        <v>2</v>
      </c>
      <c r="CN368">
        <v>0</v>
      </c>
      <c r="CO368">
        <v>5</v>
      </c>
      <c r="CP368" t="s">
        <v>119</v>
      </c>
      <c r="CQ368">
        <v>559</v>
      </c>
      <c r="CR368">
        <v>0</v>
      </c>
      <c r="CW368">
        <v>10402673</v>
      </c>
      <c r="CY368">
        <v>1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</row>
    <row r="369" spans="1:113" x14ac:dyDescent="0.3">
      <c r="A369" t="str">
        <f>"02/08/2021 20:13:08.004"</f>
        <v>02/08/2021 20:13:08.004</v>
      </c>
      <c r="C369" t="str">
        <f t="shared" si="17"/>
        <v>FFDFD3C0</v>
      </c>
      <c r="D369" t="s">
        <v>124</v>
      </c>
      <c r="E369">
        <v>13</v>
      </c>
      <c r="F369">
        <v>1013</v>
      </c>
      <c r="G369" t="s">
        <v>114</v>
      </c>
      <c r="J369" t="s">
        <v>125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>"20:13:10.336"</f>
        <v>20:13:10.336</v>
      </c>
      <c r="U369" t="str">
        <f t="shared" si="16"/>
        <v>AB01F4</v>
      </c>
      <c r="V369">
        <v>0</v>
      </c>
      <c r="W369">
        <v>0</v>
      </c>
      <c r="X369">
        <v>1</v>
      </c>
      <c r="Z369">
        <v>0</v>
      </c>
      <c r="AA369">
        <v>9</v>
      </c>
      <c r="AB369">
        <v>3</v>
      </c>
      <c r="AC369">
        <v>0</v>
      </c>
      <c r="AD369">
        <v>10</v>
      </c>
      <c r="AE369">
        <v>0</v>
      </c>
      <c r="AF369">
        <v>3</v>
      </c>
      <c r="AG369">
        <v>2</v>
      </c>
      <c r="AH369">
        <v>0</v>
      </c>
      <c r="AI369" t="s">
        <v>384</v>
      </c>
      <c r="AJ369">
        <v>39.548999999999999</v>
      </c>
      <c r="AK369" t="s">
        <v>385</v>
      </c>
      <c r="AL369">
        <v>-92.479155000000006</v>
      </c>
      <c r="AM369">
        <v>100</v>
      </c>
      <c r="AN369">
        <v>1900</v>
      </c>
      <c r="AO369" t="s">
        <v>118</v>
      </c>
      <c r="AP369">
        <v>-78</v>
      </c>
      <c r="AQ369">
        <v>121</v>
      </c>
      <c r="AR369">
        <v>128</v>
      </c>
      <c r="AZ369">
        <v>1200</v>
      </c>
      <c r="BA369">
        <v>1</v>
      </c>
      <c r="BB369" t="str">
        <f t="shared" si="18"/>
        <v xml:space="preserve">N8080G  </v>
      </c>
      <c r="BC369">
        <v>1</v>
      </c>
      <c r="BE369">
        <v>0</v>
      </c>
      <c r="BF369">
        <v>0</v>
      </c>
      <c r="BG369">
        <v>0</v>
      </c>
      <c r="BH369">
        <v>1850</v>
      </c>
      <c r="BI369">
        <v>1</v>
      </c>
      <c r="BJ369">
        <v>1</v>
      </c>
      <c r="BK369">
        <v>1</v>
      </c>
      <c r="BL369">
        <v>0</v>
      </c>
      <c r="BO369">
        <v>0</v>
      </c>
      <c r="BP369">
        <v>0</v>
      </c>
      <c r="BW369" t="str">
        <f>"20:13:10.341"</f>
        <v>20:13:10.341</v>
      </c>
      <c r="CJ369">
        <v>0</v>
      </c>
      <c r="CK369">
        <v>2</v>
      </c>
      <c r="CL369">
        <v>0</v>
      </c>
      <c r="CM369">
        <v>2</v>
      </c>
      <c r="CN369">
        <v>0</v>
      </c>
      <c r="CO369">
        <v>5</v>
      </c>
      <c r="CP369" t="s">
        <v>119</v>
      </c>
      <c r="CQ369">
        <v>559</v>
      </c>
      <c r="CR369">
        <v>0</v>
      </c>
      <c r="CW369">
        <v>10402673</v>
      </c>
      <c r="CY369">
        <v>1</v>
      </c>
      <c r="CZ369">
        <v>0</v>
      </c>
      <c r="DA369">
        <v>1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</row>
    <row r="370" spans="1:113" x14ac:dyDescent="0.3">
      <c r="A370" t="str">
        <f>"02/08/2021 20:13:08.004"</f>
        <v>02/08/2021 20:13:08.004</v>
      </c>
      <c r="C370" t="str">
        <f t="shared" si="17"/>
        <v>FFDFD3C0</v>
      </c>
      <c r="D370" t="s">
        <v>113</v>
      </c>
      <c r="E370">
        <v>6</v>
      </c>
      <c r="H370">
        <v>165</v>
      </c>
      <c r="I370" t="s">
        <v>114</v>
      </c>
      <c r="J370" t="s">
        <v>115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>"20:13:10.336"</f>
        <v>20:13:10.336</v>
      </c>
      <c r="U370" t="str">
        <f t="shared" si="16"/>
        <v>AB01F4</v>
      </c>
      <c r="V370">
        <v>0</v>
      </c>
      <c r="W370">
        <v>0</v>
      </c>
      <c r="X370">
        <v>1</v>
      </c>
      <c r="Z370">
        <v>0</v>
      </c>
      <c r="AA370">
        <v>9</v>
      </c>
      <c r="AB370">
        <v>3</v>
      </c>
      <c r="AC370">
        <v>0</v>
      </c>
      <c r="AD370">
        <v>10</v>
      </c>
      <c r="AE370">
        <v>0</v>
      </c>
      <c r="AF370">
        <v>3</v>
      </c>
      <c r="AG370">
        <v>2</v>
      </c>
      <c r="AH370">
        <v>0</v>
      </c>
      <c r="AI370" t="s">
        <v>384</v>
      </c>
      <c r="AJ370">
        <v>39.548999999999999</v>
      </c>
      <c r="AK370" t="s">
        <v>385</v>
      </c>
      <c r="AL370">
        <v>-92.479155000000006</v>
      </c>
      <c r="AM370">
        <v>100</v>
      </c>
      <c r="AN370">
        <v>1900</v>
      </c>
      <c r="AO370" t="s">
        <v>118</v>
      </c>
      <c r="AP370">
        <v>-78</v>
      </c>
      <c r="AQ370">
        <v>121</v>
      </c>
      <c r="AR370">
        <v>128</v>
      </c>
      <c r="AZ370">
        <v>1200</v>
      </c>
      <c r="BA370">
        <v>1</v>
      </c>
      <c r="BB370" t="str">
        <f t="shared" si="18"/>
        <v xml:space="preserve">N8080G  </v>
      </c>
      <c r="BC370">
        <v>1</v>
      </c>
      <c r="BE370">
        <v>0</v>
      </c>
      <c r="BF370">
        <v>0</v>
      </c>
      <c r="BG370">
        <v>0</v>
      </c>
      <c r="BH370">
        <v>1850</v>
      </c>
      <c r="BI370">
        <v>1</v>
      </c>
      <c r="BJ370">
        <v>1</v>
      </c>
      <c r="BK370">
        <v>1</v>
      </c>
      <c r="BL370">
        <v>0</v>
      </c>
      <c r="BO370">
        <v>0</v>
      </c>
      <c r="BP370">
        <v>0</v>
      </c>
      <c r="BW370" t="str">
        <f>"20:13:10.341"</f>
        <v>20:13:10.341</v>
      </c>
      <c r="CJ370">
        <v>0</v>
      </c>
      <c r="CK370">
        <v>2</v>
      </c>
      <c r="CL370">
        <v>0</v>
      </c>
      <c r="CM370">
        <v>2</v>
      </c>
      <c r="CN370">
        <v>0</v>
      </c>
      <c r="CO370">
        <v>5</v>
      </c>
      <c r="CP370" t="s">
        <v>119</v>
      </c>
      <c r="CQ370">
        <v>559</v>
      </c>
      <c r="CR370">
        <v>0</v>
      </c>
      <c r="CW370">
        <v>10402673</v>
      </c>
      <c r="CY370">
        <v>1</v>
      </c>
      <c r="CZ370">
        <v>0</v>
      </c>
      <c r="DA370">
        <v>1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</row>
    <row r="371" spans="1:113" x14ac:dyDescent="0.3">
      <c r="A371" t="str">
        <f>"02/08/2021 20:13:08.964"</f>
        <v>02/08/2021 20:13:08.964</v>
      </c>
      <c r="C371" t="str">
        <f t="shared" si="17"/>
        <v>FFDFD3C0</v>
      </c>
      <c r="D371" t="s">
        <v>141</v>
      </c>
      <c r="E371">
        <v>17</v>
      </c>
      <c r="H371">
        <v>256</v>
      </c>
      <c r="I371" t="s">
        <v>142</v>
      </c>
      <c r="J371" t="s">
        <v>143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>"20:13:11.297"</f>
        <v>20:13:11.297</v>
      </c>
      <c r="T371" t="str">
        <f>"20:13:10.797"</f>
        <v>20:13:10.797</v>
      </c>
      <c r="U371" t="str">
        <f t="shared" si="16"/>
        <v>AB01F4</v>
      </c>
      <c r="V371">
        <v>0</v>
      </c>
      <c r="W371">
        <v>0</v>
      </c>
      <c r="X371">
        <v>1</v>
      </c>
      <c r="Z371">
        <v>0</v>
      </c>
      <c r="AA371">
        <v>9</v>
      </c>
      <c r="AB371">
        <v>3</v>
      </c>
      <c r="AC371">
        <v>0</v>
      </c>
      <c r="AD371">
        <v>10</v>
      </c>
      <c r="AE371">
        <v>0</v>
      </c>
      <c r="AF371">
        <v>3</v>
      </c>
      <c r="AG371">
        <v>2</v>
      </c>
      <c r="AH371">
        <v>0</v>
      </c>
      <c r="AI371" t="s">
        <v>386</v>
      </c>
      <c r="AJ371">
        <v>39.549515</v>
      </c>
      <c r="AK371" t="s">
        <v>387</v>
      </c>
      <c r="AL371">
        <v>-92.479562999999999</v>
      </c>
      <c r="AM371">
        <v>100</v>
      </c>
      <c r="AN371">
        <v>1900</v>
      </c>
      <c r="AO371" t="s">
        <v>118</v>
      </c>
      <c r="AP371">
        <v>-78</v>
      </c>
      <c r="AQ371">
        <v>121</v>
      </c>
      <c r="AR371">
        <v>128</v>
      </c>
      <c r="AZ371">
        <v>1200</v>
      </c>
      <c r="BA371">
        <v>1</v>
      </c>
      <c r="BB371" t="str">
        <f t="shared" si="18"/>
        <v xml:space="preserve">N8080G  </v>
      </c>
      <c r="BC371">
        <v>1</v>
      </c>
      <c r="BE371">
        <v>0</v>
      </c>
      <c r="BF371">
        <v>0</v>
      </c>
      <c r="BG371">
        <v>0</v>
      </c>
      <c r="BH371">
        <v>1850</v>
      </c>
      <c r="BI371">
        <v>1</v>
      </c>
      <c r="BJ371">
        <v>1</v>
      </c>
      <c r="BK371">
        <v>1</v>
      </c>
      <c r="BL371">
        <v>0</v>
      </c>
      <c r="BO371">
        <v>0</v>
      </c>
      <c r="BP371">
        <v>0</v>
      </c>
      <c r="BW371" t="str">
        <f>"20:13:11.303"</f>
        <v>20:13:11.303</v>
      </c>
      <c r="CJ371">
        <v>0</v>
      </c>
      <c r="CK371">
        <v>2</v>
      </c>
      <c r="CL371">
        <v>0</v>
      </c>
      <c r="CM371">
        <v>2</v>
      </c>
      <c r="CN371">
        <v>0</v>
      </c>
      <c r="CO371">
        <v>6</v>
      </c>
      <c r="CP371" t="s">
        <v>119</v>
      </c>
      <c r="CQ371">
        <v>559</v>
      </c>
      <c r="CR371">
        <v>0</v>
      </c>
      <c r="CW371">
        <v>10402834</v>
      </c>
      <c r="CY371">
        <v>1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</row>
    <row r="372" spans="1:113" x14ac:dyDescent="0.3">
      <c r="A372" t="str">
        <f>"02/08/2021 20:13:08.964"</f>
        <v>02/08/2021 20:13:08.964</v>
      </c>
      <c r="C372" t="str">
        <f t="shared" si="17"/>
        <v>FFDFD3C0</v>
      </c>
      <c r="D372" t="s">
        <v>124</v>
      </c>
      <c r="E372">
        <v>13</v>
      </c>
      <c r="F372">
        <v>1013</v>
      </c>
      <c r="G372" t="s">
        <v>114</v>
      </c>
      <c r="J372" t="s">
        <v>125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>"20:13:11.297"</f>
        <v>20:13:11.297</v>
      </c>
      <c r="T372" t="str">
        <f>"20:13:10.797"</f>
        <v>20:13:10.797</v>
      </c>
      <c r="U372" t="str">
        <f t="shared" si="16"/>
        <v>AB01F4</v>
      </c>
      <c r="V372">
        <v>0</v>
      </c>
      <c r="W372">
        <v>0</v>
      </c>
      <c r="X372">
        <v>1</v>
      </c>
      <c r="Z372">
        <v>0</v>
      </c>
      <c r="AA372">
        <v>9</v>
      </c>
      <c r="AB372">
        <v>3</v>
      </c>
      <c r="AC372">
        <v>0</v>
      </c>
      <c r="AD372">
        <v>10</v>
      </c>
      <c r="AE372">
        <v>0</v>
      </c>
      <c r="AF372">
        <v>3</v>
      </c>
      <c r="AG372">
        <v>2</v>
      </c>
      <c r="AH372">
        <v>0</v>
      </c>
      <c r="AI372" t="s">
        <v>386</v>
      </c>
      <c r="AJ372">
        <v>39.549515</v>
      </c>
      <c r="AK372" t="s">
        <v>387</v>
      </c>
      <c r="AL372">
        <v>-92.479562999999999</v>
      </c>
      <c r="AM372">
        <v>100</v>
      </c>
      <c r="AN372">
        <v>1900</v>
      </c>
      <c r="AO372" t="s">
        <v>118</v>
      </c>
      <c r="AP372">
        <v>-78</v>
      </c>
      <c r="AQ372">
        <v>121</v>
      </c>
      <c r="AR372">
        <v>128</v>
      </c>
      <c r="AZ372">
        <v>1200</v>
      </c>
      <c r="BA372">
        <v>1</v>
      </c>
      <c r="BB372" t="str">
        <f t="shared" si="18"/>
        <v xml:space="preserve">N8080G  </v>
      </c>
      <c r="BC372">
        <v>1</v>
      </c>
      <c r="BE372">
        <v>0</v>
      </c>
      <c r="BF372">
        <v>0</v>
      </c>
      <c r="BG372">
        <v>0</v>
      </c>
      <c r="BH372">
        <v>1850</v>
      </c>
      <c r="BI372">
        <v>1</v>
      </c>
      <c r="BJ372">
        <v>1</v>
      </c>
      <c r="BK372">
        <v>1</v>
      </c>
      <c r="BL372">
        <v>0</v>
      </c>
      <c r="BO372">
        <v>0</v>
      </c>
      <c r="BP372">
        <v>0</v>
      </c>
      <c r="BW372" t="str">
        <f>"20:13:11.303"</f>
        <v>20:13:11.303</v>
      </c>
      <c r="CJ372">
        <v>0</v>
      </c>
      <c r="CK372">
        <v>2</v>
      </c>
      <c r="CL372">
        <v>0</v>
      </c>
      <c r="CM372">
        <v>2</v>
      </c>
      <c r="CN372">
        <v>0</v>
      </c>
      <c r="CO372">
        <v>6</v>
      </c>
      <c r="CP372" t="s">
        <v>119</v>
      </c>
      <c r="CQ372">
        <v>180</v>
      </c>
      <c r="CR372">
        <v>2</v>
      </c>
      <c r="CW372">
        <v>7827380</v>
      </c>
      <c r="CY372">
        <v>1</v>
      </c>
      <c r="CZ372">
        <v>0</v>
      </c>
      <c r="DA372">
        <v>1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</row>
    <row r="373" spans="1:113" x14ac:dyDescent="0.3">
      <c r="A373" t="str">
        <f>"02/08/2021 20:13:08.964"</f>
        <v>02/08/2021 20:13:08.964</v>
      </c>
      <c r="C373" t="str">
        <f t="shared" si="17"/>
        <v>FFDFD3C0</v>
      </c>
      <c r="D373" t="s">
        <v>113</v>
      </c>
      <c r="E373">
        <v>6</v>
      </c>
      <c r="H373">
        <v>165</v>
      </c>
      <c r="I373" t="s">
        <v>114</v>
      </c>
      <c r="J373" t="s">
        <v>115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>"20:13:11.297"</f>
        <v>20:13:11.297</v>
      </c>
      <c r="T373" t="str">
        <f>"20:13:10.797"</f>
        <v>20:13:10.797</v>
      </c>
      <c r="U373" t="str">
        <f t="shared" si="16"/>
        <v>AB01F4</v>
      </c>
      <c r="V373">
        <v>0</v>
      </c>
      <c r="W373">
        <v>0</v>
      </c>
      <c r="X373">
        <v>1</v>
      </c>
      <c r="Z373">
        <v>0</v>
      </c>
      <c r="AA373">
        <v>9</v>
      </c>
      <c r="AB373">
        <v>3</v>
      </c>
      <c r="AC373">
        <v>0</v>
      </c>
      <c r="AD373">
        <v>10</v>
      </c>
      <c r="AE373">
        <v>0</v>
      </c>
      <c r="AF373">
        <v>3</v>
      </c>
      <c r="AG373">
        <v>2</v>
      </c>
      <c r="AH373">
        <v>0</v>
      </c>
      <c r="AI373" t="s">
        <v>386</v>
      </c>
      <c r="AJ373">
        <v>39.549515</v>
      </c>
      <c r="AK373" t="s">
        <v>387</v>
      </c>
      <c r="AL373">
        <v>-92.479562999999999</v>
      </c>
      <c r="AM373">
        <v>100</v>
      </c>
      <c r="AN373">
        <v>1900</v>
      </c>
      <c r="AO373" t="s">
        <v>118</v>
      </c>
      <c r="AP373">
        <v>-78</v>
      </c>
      <c r="AQ373">
        <v>121</v>
      </c>
      <c r="AR373">
        <v>128</v>
      </c>
      <c r="AZ373">
        <v>1200</v>
      </c>
      <c r="BA373">
        <v>1</v>
      </c>
      <c r="BB373" t="str">
        <f t="shared" si="18"/>
        <v xml:space="preserve">N8080G  </v>
      </c>
      <c r="BC373">
        <v>1</v>
      </c>
      <c r="BE373">
        <v>0</v>
      </c>
      <c r="BF373">
        <v>0</v>
      </c>
      <c r="BG373">
        <v>0</v>
      </c>
      <c r="BH373">
        <v>1850</v>
      </c>
      <c r="BI373">
        <v>1</v>
      </c>
      <c r="BJ373">
        <v>1</v>
      </c>
      <c r="BK373">
        <v>1</v>
      </c>
      <c r="BL373">
        <v>0</v>
      </c>
      <c r="BO373">
        <v>0</v>
      </c>
      <c r="BP373">
        <v>0</v>
      </c>
      <c r="BW373" t="str">
        <f>"20:13:11.303"</f>
        <v>20:13:11.303</v>
      </c>
      <c r="CJ373">
        <v>0</v>
      </c>
      <c r="CK373">
        <v>2</v>
      </c>
      <c r="CL373">
        <v>0</v>
      </c>
      <c r="CM373">
        <v>2</v>
      </c>
      <c r="CN373">
        <v>0</v>
      </c>
      <c r="CO373">
        <v>6</v>
      </c>
      <c r="CP373" t="s">
        <v>119</v>
      </c>
      <c r="CQ373">
        <v>180</v>
      </c>
      <c r="CR373">
        <v>2</v>
      </c>
      <c r="CW373">
        <v>7827380</v>
      </c>
      <c r="CY373">
        <v>1</v>
      </c>
      <c r="CZ373">
        <v>0</v>
      </c>
      <c r="DA373">
        <v>1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</row>
    <row r="374" spans="1:113" x14ac:dyDescent="0.3">
      <c r="A374" t="str">
        <f>"02/08/2021 20:13:10.087"</f>
        <v>02/08/2021 20:13:10.087</v>
      </c>
      <c r="C374" t="str">
        <f t="shared" si="17"/>
        <v>FFDFD3C0</v>
      </c>
      <c r="D374" t="s">
        <v>124</v>
      </c>
      <c r="E374">
        <v>13</v>
      </c>
      <c r="F374">
        <v>1013</v>
      </c>
      <c r="G374" t="s">
        <v>114</v>
      </c>
      <c r="J374" t="s">
        <v>125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>"20:13:12.391"</f>
        <v>20:13:12.391</v>
      </c>
      <c r="T374" t="str">
        <f>"20:13:11.991"</f>
        <v>20:13:11.991</v>
      </c>
      <c r="U374" t="str">
        <f t="shared" si="16"/>
        <v>AB01F4</v>
      </c>
      <c r="V374">
        <v>0</v>
      </c>
      <c r="W374">
        <v>0</v>
      </c>
      <c r="X374">
        <v>1</v>
      </c>
      <c r="Z374">
        <v>0</v>
      </c>
      <c r="AA374">
        <v>9</v>
      </c>
      <c r="AB374">
        <v>3</v>
      </c>
      <c r="AC374">
        <v>0</v>
      </c>
      <c r="AD374">
        <v>10</v>
      </c>
      <c r="AE374">
        <v>0</v>
      </c>
      <c r="AF374">
        <v>3</v>
      </c>
      <c r="AG374">
        <v>2</v>
      </c>
      <c r="AH374">
        <v>0</v>
      </c>
      <c r="AI374" t="s">
        <v>388</v>
      </c>
      <c r="AJ374">
        <v>39.550137999999997</v>
      </c>
      <c r="AK374" t="s">
        <v>389</v>
      </c>
      <c r="AL374">
        <v>-92.480035000000001</v>
      </c>
      <c r="AM374">
        <v>100</v>
      </c>
      <c r="AN374">
        <v>1900</v>
      </c>
      <c r="AO374" t="s">
        <v>118</v>
      </c>
      <c r="AP374">
        <v>-77</v>
      </c>
      <c r="AQ374">
        <v>121</v>
      </c>
      <c r="AR374">
        <v>128</v>
      </c>
      <c r="AZ374">
        <v>1200</v>
      </c>
      <c r="BA374">
        <v>1</v>
      </c>
      <c r="BB374" t="str">
        <f t="shared" si="18"/>
        <v xml:space="preserve">N8080G  </v>
      </c>
      <c r="BC374">
        <v>1</v>
      </c>
      <c r="BE374">
        <v>0</v>
      </c>
      <c r="BF374">
        <v>0</v>
      </c>
      <c r="BG374">
        <v>0</v>
      </c>
      <c r="BH374">
        <v>1850</v>
      </c>
      <c r="BI374">
        <v>1</v>
      </c>
      <c r="BJ374">
        <v>1</v>
      </c>
      <c r="BK374">
        <v>1</v>
      </c>
      <c r="BL374">
        <v>0</v>
      </c>
      <c r="BO374">
        <v>0</v>
      </c>
      <c r="BP374">
        <v>0</v>
      </c>
      <c r="BW374" t="str">
        <f>"20:13:12.398"</f>
        <v>20:13:12.398</v>
      </c>
      <c r="CJ374">
        <v>0</v>
      </c>
      <c r="CK374">
        <v>2</v>
      </c>
      <c r="CL374">
        <v>0</v>
      </c>
      <c r="CM374">
        <v>2</v>
      </c>
      <c r="CN374">
        <v>0</v>
      </c>
      <c r="CO374">
        <v>2</v>
      </c>
      <c r="CP374" t="s">
        <v>119</v>
      </c>
      <c r="CQ374">
        <v>559</v>
      </c>
      <c r="CR374">
        <v>1</v>
      </c>
      <c r="CW374">
        <v>10402992</v>
      </c>
      <c r="CY374">
        <v>1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</row>
    <row r="375" spans="1:113" x14ac:dyDescent="0.3">
      <c r="A375" t="str">
        <f>"02/08/2021 20:13:10.087"</f>
        <v>02/08/2021 20:13:10.087</v>
      </c>
      <c r="C375" t="str">
        <f t="shared" si="17"/>
        <v>FFDFD3C0</v>
      </c>
      <c r="D375" t="s">
        <v>113</v>
      </c>
      <c r="E375">
        <v>6</v>
      </c>
      <c r="H375">
        <v>165</v>
      </c>
      <c r="I375" t="s">
        <v>114</v>
      </c>
      <c r="J375" t="s">
        <v>115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>"20:13:12.391"</f>
        <v>20:13:12.391</v>
      </c>
      <c r="T375" t="str">
        <f>"20:13:11.991"</f>
        <v>20:13:11.991</v>
      </c>
      <c r="U375" t="str">
        <f t="shared" si="16"/>
        <v>AB01F4</v>
      </c>
      <c r="V375">
        <v>0</v>
      </c>
      <c r="W375">
        <v>0</v>
      </c>
      <c r="X375">
        <v>1</v>
      </c>
      <c r="Z375">
        <v>0</v>
      </c>
      <c r="AA375">
        <v>9</v>
      </c>
      <c r="AB375">
        <v>3</v>
      </c>
      <c r="AC375">
        <v>0</v>
      </c>
      <c r="AD375">
        <v>10</v>
      </c>
      <c r="AE375">
        <v>0</v>
      </c>
      <c r="AF375">
        <v>3</v>
      </c>
      <c r="AG375">
        <v>2</v>
      </c>
      <c r="AH375">
        <v>0</v>
      </c>
      <c r="AI375" t="s">
        <v>388</v>
      </c>
      <c r="AJ375">
        <v>39.550137999999997</v>
      </c>
      <c r="AK375" t="s">
        <v>389</v>
      </c>
      <c r="AL375">
        <v>-92.480035000000001</v>
      </c>
      <c r="AM375">
        <v>100</v>
      </c>
      <c r="AN375">
        <v>1900</v>
      </c>
      <c r="AO375" t="s">
        <v>118</v>
      </c>
      <c r="AP375">
        <v>-77</v>
      </c>
      <c r="AQ375">
        <v>121</v>
      </c>
      <c r="AR375">
        <v>128</v>
      </c>
      <c r="AZ375">
        <v>1200</v>
      </c>
      <c r="BA375">
        <v>1</v>
      </c>
      <c r="BB375" t="str">
        <f t="shared" si="18"/>
        <v xml:space="preserve">N8080G  </v>
      </c>
      <c r="BC375">
        <v>1</v>
      </c>
      <c r="BE375">
        <v>0</v>
      </c>
      <c r="BF375">
        <v>0</v>
      </c>
      <c r="BG375">
        <v>0</v>
      </c>
      <c r="BH375">
        <v>1850</v>
      </c>
      <c r="BI375">
        <v>1</v>
      </c>
      <c r="BJ375">
        <v>1</v>
      </c>
      <c r="BK375">
        <v>1</v>
      </c>
      <c r="BL375">
        <v>0</v>
      </c>
      <c r="BO375">
        <v>0</v>
      </c>
      <c r="BP375">
        <v>0</v>
      </c>
      <c r="BW375" t="str">
        <f>"20:13:12.398"</f>
        <v>20:13:12.398</v>
      </c>
      <c r="CJ375">
        <v>0</v>
      </c>
      <c r="CK375">
        <v>2</v>
      </c>
      <c r="CL375">
        <v>0</v>
      </c>
      <c r="CM375">
        <v>2</v>
      </c>
      <c r="CN375">
        <v>0</v>
      </c>
      <c r="CO375">
        <v>2</v>
      </c>
      <c r="CP375" t="s">
        <v>119</v>
      </c>
      <c r="CQ375">
        <v>559</v>
      </c>
      <c r="CR375">
        <v>1</v>
      </c>
      <c r="CW375">
        <v>10402992</v>
      </c>
      <c r="CY375">
        <v>1</v>
      </c>
      <c r="CZ375">
        <v>0</v>
      </c>
      <c r="DA375">
        <v>1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</row>
    <row r="376" spans="1:113" x14ac:dyDescent="0.3">
      <c r="A376" t="str">
        <f>"02/08/2021 20:13:10.087"</f>
        <v>02/08/2021 20:13:10.087</v>
      </c>
      <c r="C376" t="str">
        <f t="shared" si="17"/>
        <v>FFDFD3C0</v>
      </c>
      <c r="D376" t="s">
        <v>141</v>
      </c>
      <c r="E376">
        <v>17</v>
      </c>
      <c r="H376">
        <v>256</v>
      </c>
      <c r="I376" t="s">
        <v>142</v>
      </c>
      <c r="J376" t="s">
        <v>143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>"20:13:12.391"</f>
        <v>20:13:12.391</v>
      </c>
      <c r="T376" t="str">
        <f>"20:13:11.991"</f>
        <v>20:13:11.991</v>
      </c>
      <c r="U376" t="str">
        <f t="shared" si="16"/>
        <v>AB01F4</v>
      </c>
      <c r="V376">
        <v>0</v>
      </c>
      <c r="W376">
        <v>0</v>
      </c>
      <c r="X376">
        <v>1</v>
      </c>
      <c r="Z376">
        <v>0</v>
      </c>
      <c r="AA376">
        <v>9</v>
      </c>
      <c r="AB376">
        <v>3</v>
      </c>
      <c r="AC376">
        <v>0</v>
      </c>
      <c r="AD376">
        <v>10</v>
      </c>
      <c r="AE376">
        <v>0</v>
      </c>
      <c r="AF376">
        <v>3</v>
      </c>
      <c r="AG376">
        <v>2</v>
      </c>
      <c r="AH376">
        <v>0</v>
      </c>
      <c r="AI376" t="s">
        <v>388</v>
      </c>
      <c r="AJ376">
        <v>39.550137999999997</v>
      </c>
      <c r="AK376" t="s">
        <v>389</v>
      </c>
      <c r="AL376">
        <v>-92.480035000000001</v>
      </c>
      <c r="AM376">
        <v>100</v>
      </c>
      <c r="AN376">
        <v>1900</v>
      </c>
      <c r="AO376" t="s">
        <v>118</v>
      </c>
      <c r="AP376">
        <v>-77</v>
      </c>
      <c r="AQ376">
        <v>121</v>
      </c>
      <c r="AR376">
        <v>128</v>
      </c>
      <c r="AZ376">
        <v>1200</v>
      </c>
      <c r="BA376">
        <v>1</v>
      </c>
      <c r="BB376" t="str">
        <f t="shared" si="18"/>
        <v xml:space="preserve">N8080G  </v>
      </c>
      <c r="BC376">
        <v>1</v>
      </c>
      <c r="BE376">
        <v>0</v>
      </c>
      <c r="BF376">
        <v>0</v>
      </c>
      <c r="BG376">
        <v>0</v>
      </c>
      <c r="BH376">
        <v>1850</v>
      </c>
      <c r="BI376">
        <v>1</v>
      </c>
      <c r="BJ376">
        <v>1</v>
      </c>
      <c r="BK376">
        <v>1</v>
      </c>
      <c r="BL376">
        <v>0</v>
      </c>
      <c r="BO376">
        <v>0</v>
      </c>
      <c r="BP376">
        <v>0</v>
      </c>
      <c r="BW376" t="str">
        <f>"20:13:12.398"</f>
        <v>20:13:12.398</v>
      </c>
      <c r="CJ376">
        <v>0</v>
      </c>
      <c r="CK376">
        <v>2</v>
      </c>
      <c r="CL376">
        <v>0</v>
      </c>
      <c r="CM376">
        <v>2</v>
      </c>
      <c r="CN376">
        <v>0</v>
      </c>
      <c r="CO376">
        <v>2</v>
      </c>
      <c r="CP376" t="s">
        <v>119</v>
      </c>
      <c r="CQ376">
        <v>559</v>
      </c>
      <c r="CR376">
        <v>1</v>
      </c>
      <c r="CW376">
        <v>10402992</v>
      </c>
      <c r="CY376">
        <v>1</v>
      </c>
      <c r="CZ376">
        <v>0</v>
      </c>
      <c r="DA376">
        <v>1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</row>
    <row r="377" spans="1:113" x14ac:dyDescent="0.3">
      <c r="A377" t="str">
        <f>"02/08/2021 20:13:12.993"</f>
        <v>02/08/2021 20:13:12.993</v>
      </c>
      <c r="C377" t="str">
        <f t="shared" si="17"/>
        <v>FFDFD3C0</v>
      </c>
      <c r="D377" t="s">
        <v>113</v>
      </c>
      <c r="E377">
        <v>6</v>
      </c>
      <c r="H377">
        <v>165</v>
      </c>
      <c r="I377" t="s">
        <v>114</v>
      </c>
      <c r="J377" t="s">
        <v>115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>"20:13:15.313"</f>
        <v>20:13:15.313</v>
      </c>
      <c r="T377" t="str">
        <f>"20:13:14.913"</f>
        <v>20:13:14.913</v>
      </c>
      <c r="U377" t="str">
        <f t="shared" si="16"/>
        <v>AB01F4</v>
      </c>
      <c r="V377">
        <v>0</v>
      </c>
      <c r="W377">
        <v>0</v>
      </c>
      <c r="X377">
        <v>1</v>
      </c>
      <c r="Z377">
        <v>0</v>
      </c>
      <c r="AA377">
        <v>9</v>
      </c>
      <c r="AB377">
        <v>3</v>
      </c>
      <c r="AC377">
        <v>0</v>
      </c>
      <c r="AD377">
        <v>10</v>
      </c>
      <c r="AE377">
        <v>0</v>
      </c>
      <c r="AF377">
        <v>3</v>
      </c>
      <c r="AG377">
        <v>2</v>
      </c>
      <c r="AH377">
        <v>0</v>
      </c>
      <c r="AI377" t="s">
        <v>390</v>
      </c>
      <c r="AJ377">
        <v>39.551833000000002</v>
      </c>
      <c r="AK377" t="s">
        <v>391</v>
      </c>
      <c r="AL377">
        <v>-92.481471999999997</v>
      </c>
      <c r="AM377">
        <v>100</v>
      </c>
      <c r="AN377">
        <v>1900</v>
      </c>
      <c r="AO377" t="s">
        <v>118</v>
      </c>
      <c r="AP377">
        <v>-77</v>
      </c>
      <c r="AQ377">
        <v>122</v>
      </c>
      <c r="AR377">
        <v>-64</v>
      </c>
      <c r="AZ377">
        <v>1200</v>
      </c>
      <c r="BA377">
        <v>1</v>
      </c>
      <c r="BB377" t="str">
        <f t="shared" si="18"/>
        <v xml:space="preserve">N8080G  </v>
      </c>
      <c r="BC377">
        <v>1</v>
      </c>
      <c r="BE377">
        <v>0</v>
      </c>
      <c r="BF377">
        <v>0</v>
      </c>
      <c r="BG377">
        <v>0</v>
      </c>
      <c r="BH377">
        <v>1850</v>
      </c>
      <c r="BI377">
        <v>1</v>
      </c>
      <c r="BJ377">
        <v>1</v>
      </c>
      <c r="BK377">
        <v>1</v>
      </c>
      <c r="BL377">
        <v>0</v>
      </c>
      <c r="BO377">
        <v>0</v>
      </c>
      <c r="BP377">
        <v>0</v>
      </c>
      <c r="BW377" t="str">
        <f>"20:13:15.319"</f>
        <v>20:13:15.319</v>
      </c>
      <c r="CJ377">
        <v>0</v>
      </c>
      <c r="CK377">
        <v>2</v>
      </c>
      <c r="CL377">
        <v>0</v>
      </c>
      <c r="CM377">
        <v>2</v>
      </c>
      <c r="CN377">
        <v>0</v>
      </c>
      <c r="CO377">
        <v>6</v>
      </c>
      <c r="CP377" t="s">
        <v>119</v>
      </c>
      <c r="CQ377">
        <v>559</v>
      </c>
      <c r="CR377">
        <v>0</v>
      </c>
      <c r="CW377">
        <v>10403449</v>
      </c>
      <c r="CY377">
        <v>1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</row>
    <row r="378" spans="1:113" x14ac:dyDescent="0.3">
      <c r="A378" t="str">
        <f>"02/08/2021 20:13:12.993"</f>
        <v>02/08/2021 20:13:12.993</v>
      </c>
      <c r="C378" t="str">
        <f t="shared" si="17"/>
        <v>FFDFD3C0</v>
      </c>
      <c r="D378" t="s">
        <v>141</v>
      </c>
      <c r="E378">
        <v>17</v>
      </c>
      <c r="H378">
        <v>256</v>
      </c>
      <c r="I378" t="s">
        <v>142</v>
      </c>
      <c r="J378" t="s">
        <v>143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>"20:13:15.313"</f>
        <v>20:13:15.313</v>
      </c>
      <c r="T378" t="str">
        <f>"20:13:14.913"</f>
        <v>20:13:14.913</v>
      </c>
      <c r="U378" t="str">
        <f t="shared" si="16"/>
        <v>AB01F4</v>
      </c>
      <c r="V378">
        <v>0</v>
      </c>
      <c r="W378">
        <v>0</v>
      </c>
      <c r="X378">
        <v>1</v>
      </c>
      <c r="Z378">
        <v>0</v>
      </c>
      <c r="AA378">
        <v>9</v>
      </c>
      <c r="AB378">
        <v>3</v>
      </c>
      <c r="AC378">
        <v>0</v>
      </c>
      <c r="AD378">
        <v>10</v>
      </c>
      <c r="AE378">
        <v>0</v>
      </c>
      <c r="AF378">
        <v>3</v>
      </c>
      <c r="AG378">
        <v>2</v>
      </c>
      <c r="AH378">
        <v>0</v>
      </c>
      <c r="AI378" t="s">
        <v>390</v>
      </c>
      <c r="AJ378">
        <v>39.551833000000002</v>
      </c>
      <c r="AK378" t="s">
        <v>391</v>
      </c>
      <c r="AL378">
        <v>-92.481471999999997</v>
      </c>
      <c r="AM378">
        <v>100</v>
      </c>
      <c r="AN378">
        <v>1900</v>
      </c>
      <c r="AO378" t="s">
        <v>118</v>
      </c>
      <c r="AP378">
        <v>-77</v>
      </c>
      <c r="AQ378">
        <v>122</v>
      </c>
      <c r="AR378">
        <v>-64</v>
      </c>
      <c r="AZ378">
        <v>1200</v>
      </c>
      <c r="BA378">
        <v>1</v>
      </c>
      <c r="BB378" t="str">
        <f t="shared" si="18"/>
        <v xml:space="preserve">N8080G  </v>
      </c>
      <c r="BC378">
        <v>1</v>
      </c>
      <c r="BE378">
        <v>0</v>
      </c>
      <c r="BF378">
        <v>0</v>
      </c>
      <c r="BG378">
        <v>0</v>
      </c>
      <c r="BH378">
        <v>1850</v>
      </c>
      <c r="BI378">
        <v>1</v>
      </c>
      <c r="BJ378">
        <v>1</v>
      </c>
      <c r="BK378">
        <v>1</v>
      </c>
      <c r="BL378">
        <v>0</v>
      </c>
      <c r="BO378">
        <v>0</v>
      </c>
      <c r="BP378">
        <v>0</v>
      </c>
      <c r="BW378" t="str">
        <f>"20:13:15.319"</f>
        <v>20:13:15.319</v>
      </c>
      <c r="CJ378">
        <v>0</v>
      </c>
      <c r="CK378">
        <v>2</v>
      </c>
      <c r="CL378">
        <v>0</v>
      </c>
      <c r="CM378">
        <v>2</v>
      </c>
      <c r="CN378">
        <v>0</v>
      </c>
      <c r="CO378">
        <v>6</v>
      </c>
      <c r="CP378" t="s">
        <v>119</v>
      </c>
      <c r="CQ378">
        <v>559</v>
      </c>
      <c r="CR378">
        <v>0</v>
      </c>
      <c r="CW378">
        <v>10403449</v>
      </c>
      <c r="CY378">
        <v>1</v>
      </c>
      <c r="CZ378">
        <v>0</v>
      </c>
      <c r="DA378">
        <v>1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</row>
    <row r="379" spans="1:113" x14ac:dyDescent="0.3">
      <c r="A379" t="str">
        <f>"02/08/2021 20:13:12.993"</f>
        <v>02/08/2021 20:13:12.993</v>
      </c>
      <c r="C379" t="str">
        <f t="shared" si="17"/>
        <v>FFDFD3C0</v>
      </c>
      <c r="D379" t="s">
        <v>124</v>
      </c>
      <c r="E379">
        <v>13</v>
      </c>
      <c r="F379">
        <v>1013</v>
      </c>
      <c r="G379" t="s">
        <v>114</v>
      </c>
      <c r="J379" t="s">
        <v>125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>"20:13:15.313"</f>
        <v>20:13:15.313</v>
      </c>
      <c r="T379" t="str">
        <f>"20:13:14.913"</f>
        <v>20:13:14.913</v>
      </c>
      <c r="U379" t="str">
        <f t="shared" si="16"/>
        <v>AB01F4</v>
      </c>
      <c r="V379">
        <v>0</v>
      </c>
      <c r="W379">
        <v>0</v>
      </c>
      <c r="X379">
        <v>1</v>
      </c>
      <c r="Z379">
        <v>0</v>
      </c>
      <c r="AA379">
        <v>9</v>
      </c>
      <c r="AB379">
        <v>3</v>
      </c>
      <c r="AC379">
        <v>0</v>
      </c>
      <c r="AD379">
        <v>10</v>
      </c>
      <c r="AE379">
        <v>0</v>
      </c>
      <c r="AF379">
        <v>3</v>
      </c>
      <c r="AG379">
        <v>2</v>
      </c>
      <c r="AH379">
        <v>0</v>
      </c>
      <c r="AI379" t="s">
        <v>390</v>
      </c>
      <c r="AJ379">
        <v>39.551833000000002</v>
      </c>
      <c r="AK379" t="s">
        <v>391</v>
      </c>
      <c r="AL379">
        <v>-92.481471999999997</v>
      </c>
      <c r="AM379">
        <v>100</v>
      </c>
      <c r="AN379">
        <v>1900</v>
      </c>
      <c r="AO379" t="s">
        <v>118</v>
      </c>
      <c r="AP379">
        <v>-77</v>
      </c>
      <c r="AQ379">
        <v>122</v>
      </c>
      <c r="AR379">
        <v>-64</v>
      </c>
      <c r="AZ379">
        <v>1200</v>
      </c>
      <c r="BA379">
        <v>1</v>
      </c>
      <c r="BB379" t="str">
        <f t="shared" si="18"/>
        <v xml:space="preserve">N8080G  </v>
      </c>
      <c r="BC379">
        <v>1</v>
      </c>
      <c r="BE379">
        <v>0</v>
      </c>
      <c r="BF379">
        <v>0</v>
      </c>
      <c r="BG379">
        <v>0</v>
      </c>
      <c r="BH379">
        <v>1850</v>
      </c>
      <c r="BI379">
        <v>1</v>
      </c>
      <c r="BJ379">
        <v>1</v>
      </c>
      <c r="BK379">
        <v>1</v>
      </c>
      <c r="BL379">
        <v>0</v>
      </c>
      <c r="BO379">
        <v>0</v>
      </c>
      <c r="BP379">
        <v>0</v>
      </c>
      <c r="BW379" t="str">
        <f>"20:13:15.319"</f>
        <v>20:13:15.319</v>
      </c>
      <c r="CJ379">
        <v>0</v>
      </c>
      <c r="CK379">
        <v>2</v>
      </c>
      <c r="CL379">
        <v>0</v>
      </c>
      <c r="CM379">
        <v>2</v>
      </c>
      <c r="CN379">
        <v>0</v>
      </c>
      <c r="CO379">
        <v>6</v>
      </c>
      <c r="CP379" t="s">
        <v>119</v>
      </c>
      <c r="CQ379">
        <v>559</v>
      </c>
      <c r="CR379">
        <v>0</v>
      </c>
      <c r="CW379">
        <v>10403449</v>
      </c>
      <c r="CY379">
        <v>1</v>
      </c>
      <c r="CZ379">
        <v>0</v>
      </c>
      <c r="DA379">
        <v>1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</row>
    <row r="380" spans="1:113" x14ac:dyDescent="0.3">
      <c r="A380" t="str">
        <f>"02/08/2021 20:13:14.155"</f>
        <v>02/08/2021 20:13:14.155</v>
      </c>
      <c r="C380" t="str">
        <f t="shared" si="17"/>
        <v>FFDFD3C0</v>
      </c>
      <c r="D380" t="s">
        <v>113</v>
      </c>
      <c r="E380">
        <v>6</v>
      </c>
      <c r="H380">
        <v>165</v>
      </c>
      <c r="I380" t="s">
        <v>114</v>
      </c>
      <c r="J380" t="s">
        <v>115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>"20:13:16.477"</f>
        <v>20:13:16.477</v>
      </c>
      <c r="T380" t="str">
        <f>"20:13:15.977"</f>
        <v>20:13:15.977</v>
      </c>
      <c r="U380" t="str">
        <f t="shared" si="16"/>
        <v>AB01F4</v>
      </c>
      <c r="V380">
        <v>0</v>
      </c>
      <c r="W380">
        <v>0</v>
      </c>
      <c r="X380">
        <v>1</v>
      </c>
      <c r="Z380">
        <v>0</v>
      </c>
      <c r="AA380">
        <v>9</v>
      </c>
      <c r="AB380">
        <v>3</v>
      </c>
      <c r="AC380">
        <v>0</v>
      </c>
      <c r="AD380">
        <v>10</v>
      </c>
      <c r="AE380">
        <v>0</v>
      </c>
      <c r="AF380">
        <v>3</v>
      </c>
      <c r="AG380">
        <v>2</v>
      </c>
      <c r="AH380">
        <v>0</v>
      </c>
      <c r="AI380" t="s">
        <v>392</v>
      </c>
      <c r="AJ380">
        <v>39.552455000000002</v>
      </c>
      <c r="AK380" t="s">
        <v>393</v>
      </c>
      <c r="AL380">
        <v>-92.481922999999995</v>
      </c>
      <c r="AM380">
        <v>100</v>
      </c>
      <c r="AN380">
        <v>1900</v>
      </c>
      <c r="AO380" t="s">
        <v>118</v>
      </c>
      <c r="AP380">
        <v>-77</v>
      </c>
      <c r="AQ380">
        <v>122</v>
      </c>
      <c r="AR380">
        <v>0</v>
      </c>
      <c r="AZ380">
        <v>1200</v>
      </c>
      <c r="BA380">
        <v>1</v>
      </c>
      <c r="BB380" t="str">
        <f t="shared" si="18"/>
        <v xml:space="preserve">N8080G  </v>
      </c>
      <c r="BC380">
        <v>1</v>
      </c>
      <c r="BE380">
        <v>0</v>
      </c>
      <c r="BF380">
        <v>0</v>
      </c>
      <c r="BG380">
        <v>0</v>
      </c>
      <c r="BH380">
        <v>1850</v>
      </c>
      <c r="BI380">
        <v>1</v>
      </c>
      <c r="BJ380">
        <v>1</v>
      </c>
      <c r="BK380">
        <v>1</v>
      </c>
      <c r="BL380">
        <v>0</v>
      </c>
      <c r="BO380">
        <v>0</v>
      </c>
      <c r="BP380">
        <v>0</v>
      </c>
      <c r="BW380" t="str">
        <f>"20:13:16.481"</f>
        <v>20:13:16.481</v>
      </c>
      <c r="CJ380">
        <v>0</v>
      </c>
      <c r="CK380">
        <v>2</v>
      </c>
      <c r="CL380">
        <v>0</v>
      </c>
      <c r="CM380">
        <v>2</v>
      </c>
      <c r="CN380">
        <v>0</v>
      </c>
      <c r="CO380">
        <v>5</v>
      </c>
      <c r="CP380" t="s">
        <v>119</v>
      </c>
      <c r="CQ380">
        <v>559</v>
      </c>
      <c r="CR380">
        <v>0</v>
      </c>
      <c r="CW380">
        <v>10403631</v>
      </c>
      <c r="CY380">
        <v>1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</row>
    <row r="381" spans="1:113" x14ac:dyDescent="0.3">
      <c r="A381" t="str">
        <f>"02/08/2021 20:13:14.155"</f>
        <v>02/08/2021 20:13:14.155</v>
      </c>
      <c r="C381" t="str">
        <f t="shared" si="17"/>
        <v>FFDFD3C0</v>
      </c>
      <c r="D381" t="s">
        <v>124</v>
      </c>
      <c r="E381">
        <v>13</v>
      </c>
      <c r="F381">
        <v>1013</v>
      </c>
      <c r="G381" t="s">
        <v>114</v>
      </c>
      <c r="J381" t="s">
        <v>125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>"20:13:16.477"</f>
        <v>20:13:16.477</v>
      </c>
      <c r="T381" t="str">
        <f>"20:13:15.977"</f>
        <v>20:13:15.977</v>
      </c>
      <c r="U381" t="str">
        <f t="shared" si="16"/>
        <v>AB01F4</v>
      </c>
      <c r="V381">
        <v>0</v>
      </c>
      <c r="W381">
        <v>0</v>
      </c>
      <c r="X381">
        <v>1</v>
      </c>
      <c r="Z381">
        <v>0</v>
      </c>
      <c r="AA381">
        <v>9</v>
      </c>
      <c r="AB381">
        <v>3</v>
      </c>
      <c r="AC381">
        <v>0</v>
      </c>
      <c r="AD381">
        <v>10</v>
      </c>
      <c r="AE381">
        <v>0</v>
      </c>
      <c r="AF381">
        <v>3</v>
      </c>
      <c r="AG381">
        <v>2</v>
      </c>
      <c r="AH381">
        <v>0</v>
      </c>
      <c r="AI381" t="s">
        <v>392</v>
      </c>
      <c r="AJ381">
        <v>39.552455000000002</v>
      </c>
      <c r="AK381" t="s">
        <v>393</v>
      </c>
      <c r="AL381">
        <v>-92.481922999999995</v>
      </c>
      <c r="AM381">
        <v>100</v>
      </c>
      <c r="AN381">
        <v>1900</v>
      </c>
      <c r="AO381" t="s">
        <v>118</v>
      </c>
      <c r="AP381">
        <v>-77</v>
      </c>
      <c r="AQ381">
        <v>122</v>
      </c>
      <c r="AR381">
        <v>0</v>
      </c>
      <c r="AZ381">
        <v>1200</v>
      </c>
      <c r="BA381">
        <v>1</v>
      </c>
      <c r="BB381" t="str">
        <f t="shared" si="18"/>
        <v xml:space="preserve">N8080G  </v>
      </c>
      <c r="BC381">
        <v>1</v>
      </c>
      <c r="BE381">
        <v>0</v>
      </c>
      <c r="BF381">
        <v>0</v>
      </c>
      <c r="BG381">
        <v>0</v>
      </c>
      <c r="BH381">
        <v>1850</v>
      </c>
      <c r="BI381">
        <v>1</v>
      </c>
      <c r="BJ381">
        <v>1</v>
      </c>
      <c r="BK381">
        <v>1</v>
      </c>
      <c r="BL381">
        <v>0</v>
      </c>
      <c r="BO381">
        <v>0</v>
      </c>
      <c r="BP381">
        <v>0</v>
      </c>
      <c r="BW381" t="str">
        <f>"20:13:16.481"</f>
        <v>20:13:16.481</v>
      </c>
      <c r="CJ381">
        <v>0</v>
      </c>
      <c r="CK381">
        <v>2</v>
      </c>
      <c r="CL381">
        <v>0</v>
      </c>
      <c r="CM381">
        <v>2</v>
      </c>
      <c r="CN381">
        <v>0</v>
      </c>
      <c r="CO381">
        <v>5</v>
      </c>
      <c r="CP381" t="s">
        <v>119</v>
      </c>
      <c r="CQ381">
        <v>559</v>
      </c>
      <c r="CR381">
        <v>0</v>
      </c>
      <c r="CW381">
        <v>10403631</v>
      </c>
      <c r="CY381">
        <v>1</v>
      </c>
      <c r="CZ381">
        <v>0</v>
      </c>
      <c r="DA381">
        <v>1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</row>
    <row r="382" spans="1:113" x14ac:dyDescent="0.3">
      <c r="A382" t="str">
        <f>"02/08/2021 20:13:14.155"</f>
        <v>02/08/2021 20:13:14.155</v>
      </c>
      <c r="C382" t="str">
        <f t="shared" si="17"/>
        <v>FFDFD3C0</v>
      </c>
      <c r="D382" t="s">
        <v>141</v>
      </c>
      <c r="E382">
        <v>17</v>
      </c>
      <c r="H382">
        <v>256</v>
      </c>
      <c r="I382" t="s">
        <v>142</v>
      </c>
      <c r="J382" t="s">
        <v>143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>"20:13:16.477"</f>
        <v>20:13:16.477</v>
      </c>
      <c r="T382" t="str">
        <f>"20:13:15.977"</f>
        <v>20:13:15.977</v>
      </c>
      <c r="U382" t="str">
        <f t="shared" si="16"/>
        <v>AB01F4</v>
      </c>
      <c r="V382">
        <v>0</v>
      </c>
      <c r="W382">
        <v>0</v>
      </c>
      <c r="X382">
        <v>1</v>
      </c>
      <c r="Z382">
        <v>0</v>
      </c>
      <c r="AA382">
        <v>9</v>
      </c>
      <c r="AB382">
        <v>3</v>
      </c>
      <c r="AC382">
        <v>0</v>
      </c>
      <c r="AD382">
        <v>10</v>
      </c>
      <c r="AE382">
        <v>0</v>
      </c>
      <c r="AF382">
        <v>3</v>
      </c>
      <c r="AG382">
        <v>2</v>
      </c>
      <c r="AH382">
        <v>0</v>
      </c>
      <c r="AI382" t="s">
        <v>392</v>
      </c>
      <c r="AJ382">
        <v>39.552455000000002</v>
      </c>
      <c r="AK382" t="s">
        <v>393</v>
      </c>
      <c r="AL382">
        <v>-92.481922999999995</v>
      </c>
      <c r="AM382">
        <v>100</v>
      </c>
      <c r="AN382">
        <v>1900</v>
      </c>
      <c r="AO382" t="s">
        <v>118</v>
      </c>
      <c r="AP382">
        <v>-77</v>
      </c>
      <c r="AQ382">
        <v>122</v>
      </c>
      <c r="AR382">
        <v>0</v>
      </c>
      <c r="AZ382">
        <v>1200</v>
      </c>
      <c r="BA382">
        <v>1</v>
      </c>
      <c r="BB382" t="str">
        <f t="shared" si="18"/>
        <v xml:space="preserve">N8080G  </v>
      </c>
      <c r="BC382">
        <v>1</v>
      </c>
      <c r="BE382">
        <v>0</v>
      </c>
      <c r="BF382">
        <v>0</v>
      </c>
      <c r="BG382">
        <v>0</v>
      </c>
      <c r="BH382">
        <v>1850</v>
      </c>
      <c r="BI382">
        <v>1</v>
      </c>
      <c r="BJ382">
        <v>1</v>
      </c>
      <c r="BK382">
        <v>1</v>
      </c>
      <c r="BL382">
        <v>0</v>
      </c>
      <c r="BO382">
        <v>0</v>
      </c>
      <c r="BP382">
        <v>0</v>
      </c>
      <c r="BW382" t="str">
        <f>"20:13:16.481"</f>
        <v>20:13:16.481</v>
      </c>
      <c r="CJ382">
        <v>0</v>
      </c>
      <c r="CK382">
        <v>2</v>
      </c>
      <c r="CL382">
        <v>0</v>
      </c>
      <c r="CM382">
        <v>2</v>
      </c>
      <c r="CN382">
        <v>0</v>
      </c>
      <c r="CO382">
        <v>5</v>
      </c>
      <c r="CP382" t="s">
        <v>119</v>
      </c>
      <c r="CQ382">
        <v>559</v>
      </c>
      <c r="CR382">
        <v>0</v>
      </c>
      <c r="CW382">
        <v>10403631</v>
      </c>
      <c r="CY382">
        <v>1</v>
      </c>
      <c r="CZ382">
        <v>0</v>
      </c>
      <c r="DA382">
        <v>1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</row>
    <row r="383" spans="1:113" x14ac:dyDescent="0.3">
      <c r="A383" t="str">
        <f>"02/08/2021 20:13:15.117"</f>
        <v>02/08/2021 20:13:15.117</v>
      </c>
      <c r="C383" t="str">
        <f t="shared" si="17"/>
        <v>FFDFD3C0</v>
      </c>
      <c r="D383" t="s">
        <v>113</v>
      </c>
      <c r="E383">
        <v>6</v>
      </c>
      <c r="H383">
        <v>165</v>
      </c>
      <c r="I383" t="s">
        <v>114</v>
      </c>
      <c r="J383" t="s">
        <v>115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>"20:13:17.445"</f>
        <v>20:13:17.445</v>
      </c>
      <c r="T383" t="str">
        <f>"20:13:16.945"</f>
        <v>20:13:16.945</v>
      </c>
      <c r="U383" t="str">
        <f t="shared" si="16"/>
        <v>AB01F4</v>
      </c>
      <c r="V383">
        <v>0</v>
      </c>
      <c r="W383">
        <v>0</v>
      </c>
      <c r="X383">
        <v>1</v>
      </c>
      <c r="Z383">
        <v>0</v>
      </c>
      <c r="AA383">
        <v>9</v>
      </c>
      <c r="AB383">
        <v>3</v>
      </c>
      <c r="AC383">
        <v>0</v>
      </c>
      <c r="AD383">
        <v>10</v>
      </c>
      <c r="AE383">
        <v>0</v>
      </c>
      <c r="AF383">
        <v>3</v>
      </c>
      <c r="AG383">
        <v>2</v>
      </c>
      <c r="AH383">
        <v>0</v>
      </c>
      <c r="AI383" t="s">
        <v>394</v>
      </c>
      <c r="AJ383">
        <v>39.553013</v>
      </c>
      <c r="AK383" t="s">
        <v>395</v>
      </c>
      <c r="AL383">
        <v>-92.482416999999998</v>
      </c>
      <c r="AM383">
        <v>100</v>
      </c>
      <c r="AN383">
        <v>1900</v>
      </c>
      <c r="AO383" t="s">
        <v>118</v>
      </c>
      <c r="AP383">
        <v>-77</v>
      </c>
      <c r="AQ383">
        <v>122</v>
      </c>
      <c r="AR383">
        <v>0</v>
      </c>
      <c r="AZ383">
        <v>1200</v>
      </c>
      <c r="BA383">
        <v>1</v>
      </c>
      <c r="BB383" t="str">
        <f t="shared" si="18"/>
        <v xml:space="preserve">N8080G  </v>
      </c>
      <c r="BC383">
        <v>1</v>
      </c>
      <c r="BE383">
        <v>0</v>
      </c>
      <c r="BF383">
        <v>0</v>
      </c>
      <c r="BG383">
        <v>0</v>
      </c>
      <c r="BH383">
        <v>1850</v>
      </c>
      <c r="BI383">
        <v>1</v>
      </c>
      <c r="BJ383">
        <v>1</v>
      </c>
      <c r="BK383">
        <v>1</v>
      </c>
      <c r="BL383">
        <v>0</v>
      </c>
      <c r="BO383">
        <v>0</v>
      </c>
      <c r="BP383">
        <v>0</v>
      </c>
      <c r="BW383" t="str">
        <f>"20:13:17.446"</f>
        <v>20:13:17.446</v>
      </c>
      <c r="CJ383">
        <v>0</v>
      </c>
      <c r="CK383">
        <v>2</v>
      </c>
      <c r="CL383">
        <v>0</v>
      </c>
      <c r="CM383">
        <v>2</v>
      </c>
      <c r="CN383">
        <v>0</v>
      </c>
      <c r="CO383">
        <v>6</v>
      </c>
      <c r="CP383" t="s">
        <v>119</v>
      </c>
      <c r="CQ383">
        <v>180</v>
      </c>
      <c r="CR383">
        <v>1</v>
      </c>
      <c r="CW383">
        <v>10364243</v>
      </c>
      <c r="CY383">
        <v>1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</row>
    <row r="384" spans="1:113" x14ac:dyDescent="0.3">
      <c r="A384" t="str">
        <f>"02/08/2021 20:13:15.117"</f>
        <v>02/08/2021 20:13:15.117</v>
      </c>
      <c r="C384" t="str">
        <f t="shared" si="17"/>
        <v>FFDFD3C0</v>
      </c>
      <c r="D384" t="s">
        <v>124</v>
      </c>
      <c r="E384">
        <v>13</v>
      </c>
      <c r="F384">
        <v>1013</v>
      </c>
      <c r="G384" t="s">
        <v>114</v>
      </c>
      <c r="J384" t="s">
        <v>125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>"20:13:17.445"</f>
        <v>20:13:17.445</v>
      </c>
      <c r="T384" t="str">
        <f>"20:13:16.945"</f>
        <v>20:13:16.945</v>
      </c>
      <c r="U384" t="str">
        <f t="shared" si="16"/>
        <v>AB01F4</v>
      </c>
      <c r="V384">
        <v>0</v>
      </c>
      <c r="W384">
        <v>0</v>
      </c>
      <c r="X384">
        <v>1</v>
      </c>
      <c r="Z384">
        <v>0</v>
      </c>
      <c r="AA384">
        <v>9</v>
      </c>
      <c r="AB384">
        <v>3</v>
      </c>
      <c r="AC384">
        <v>0</v>
      </c>
      <c r="AD384">
        <v>10</v>
      </c>
      <c r="AE384">
        <v>0</v>
      </c>
      <c r="AF384">
        <v>3</v>
      </c>
      <c r="AG384">
        <v>2</v>
      </c>
      <c r="AH384">
        <v>0</v>
      </c>
      <c r="AI384" t="s">
        <v>394</v>
      </c>
      <c r="AJ384">
        <v>39.553013</v>
      </c>
      <c r="AK384" t="s">
        <v>395</v>
      </c>
      <c r="AL384">
        <v>-92.482416999999998</v>
      </c>
      <c r="AM384">
        <v>100</v>
      </c>
      <c r="AN384">
        <v>1900</v>
      </c>
      <c r="AO384" t="s">
        <v>118</v>
      </c>
      <c r="AP384">
        <v>-77</v>
      </c>
      <c r="AQ384">
        <v>122</v>
      </c>
      <c r="AR384">
        <v>0</v>
      </c>
      <c r="AZ384">
        <v>1200</v>
      </c>
      <c r="BA384">
        <v>1</v>
      </c>
      <c r="BB384" t="str">
        <f t="shared" si="18"/>
        <v xml:space="preserve">N8080G  </v>
      </c>
      <c r="BC384">
        <v>1</v>
      </c>
      <c r="BE384">
        <v>0</v>
      </c>
      <c r="BF384">
        <v>0</v>
      </c>
      <c r="BG384">
        <v>0</v>
      </c>
      <c r="BH384">
        <v>1850</v>
      </c>
      <c r="BI384">
        <v>1</v>
      </c>
      <c r="BJ384">
        <v>1</v>
      </c>
      <c r="BK384">
        <v>1</v>
      </c>
      <c r="BL384">
        <v>0</v>
      </c>
      <c r="BO384">
        <v>0</v>
      </c>
      <c r="BP384">
        <v>0</v>
      </c>
      <c r="BW384" t="str">
        <f>"20:13:17.446"</f>
        <v>20:13:17.446</v>
      </c>
      <c r="CJ384">
        <v>0</v>
      </c>
      <c r="CK384">
        <v>2</v>
      </c>
      <c r="CL384">
        <v>0</v>
      </c>
      <c r="CM384">
        <v>2</v>
      </c>
      <c r="CN384">
        <v>0</v>
      </c>
      <c r="CO384">
        <v>6</v>
      </c>
      <c r="CP384" t="s">
        <v>119</v>
      </c>
      <c r="CQ384">
        <v>180</v>
      </c>
      <c r="CR384">
        <v>1</v>
      </c>
      <c r="CW384">
        <v>10364243</v>
      </c>
      <c r="CY384">
        <v>1</v>
      </c>
      <c r="CZ384">
        <v>0</v>
      </c>
      <c r="DA384">
        <v>1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</row>
    <row r="385" spans="1:113" x14ac:dyDescent="0.3">
      <c r="A385" t="str">
        <f>"02/08/2021 20:13:15.117"</f>
        <v>02/08/2021 20:13:15.117</v>
      </c>
      <c r="C385" t="str">
        <f t="shared" si="17"/>
        <v>FFDFD3C0</v>
      </c>
      <c r="D385" t="s">
        <v>141</v>
      </c>
      <c r="E385">
        <v>17</v>
      </c>
      <c r="H385">
        <v>256</v>
      </c>
      <c r="I385" t="s">
        <v>142</v>
      </c>
      <c r="J385" t="s">
        <v>143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>"20:13:17.445"</f>
        <v>20:13:17.445</v>
      </c>
      <c r="T385" t="str">
        <f>"20:13:16.945"</f>
        <v>20:13:16.945</v>
      </c>
      <c r="U385" t="str">
        <f t="shared" si="16"/>
        <v>AB01F4</v>
      </c>
      <c r="V385">
        <v>0</v>
      </c>
      <c r="W385">
        <v>0</v>
      </c>
      <c r="X385">
        <v>1</v>
      </c>
      <c r="Z385">
        <v>0</v>
      </c>
      <c r="AA385">
        <v>9</v>
      </c>
      <c r="AB385">
        <v>3</v>
      </c>
      <c r="AC385">
        <v>0</v>
      </c>
      <c r="AD385">
        <v>10</v>
      </c>
      <c r="AE385">
        <v>0</v>
      </c>
      <c r="AF385">
        <v>3</v>
      </c>
      <c r="AG385">
        <v>2</v>
      </c>
      <c r="AH385">
        <v>0</v>
      </c>
      <c r="AI385" t="s">
        <v>394</v>
      </c>
      <c r="AJ385">
        <v>39.553013</v>
      </c>
      <c r="AK385" t="s">
        <v>395</v>
      </c>
      <c r="AL385">
        <v>-92.482416999999998</v>
      </c>
      <c r="AM385">
        <v>100</v>
      </c>
      <c r="AN385">
        <v>1900</v>
      </c>
      <c r="AO385" t="s">
        <v>118</v>
      </c>
      <c r="AP385">
        <v>-77</v>
      </c>
      <c r="AQ385">
        <v>122</v>
      </c>
      <c r="AR385">
        <v>0</v>
      </c>
      <c r="AZ385">
        <v>1200</v>
      </c>
      <c r="BA385">
        <v>1</v>
      </c>
      <c r="BB385" t="str">
        <f t="shared" si="18"/>
        <v xml:space="preserve">N8080G  </v>
      </c>
      <c r="BC385">
        <v>1</v>
      </c>
      <c r="BE385">
        <v>0</v>
      </c>
      <c r="BF385">
        <v>0</v>
      </c>
      <c r="BG385">
        <v>0</v>
      </c>
      <c r="BH385">
        <v>1850</v>
      </c>
      <c r="BI385">
        <v>1</v>
      </c>
      <c r="BJ385">
        <v>1</v>
      </c>
      <c r="BK385">
        <v>1</v>
      </c>
      <c r="BL385">
        <v>0</v>
      </c>
      <c r="BO385">
        <v>0</v>
      </c>
      <c r="BP385">
        <v>0</v>
      </c>
      <c r="BW385" t="str">
        <f>"20:13:17.446"</f>
        <v>20:13:17.446</v>
      </c>
      <c r="CJ385">
        <v>0</v>
      </c>
      <c r="CK385">
        <v>2</v>
      </c>
      <c r="CL385">
        <v>0</v>
      </c>
      <c r="CM385">
        <v>2</v>
      </c>
      <c r="CN385">
        <v>0</v>
      </c>
      <c r="CO385">
        <v>5</v>
      </c>
      <c r="CP385" t="s">
        <v>119</v>
      </c>
      <c r="CQ385">
        <v>559</v>
      </c>
      <c r="CR385">
        <v>0</v>
      </c>
      <c r="CW385">
        <v>10403775</v>
      </c>
      <c r="CY385">
        <v>1</v>
      </c>
      <c r="CZ385">
        <v>0</v>
      </c>
      <c r="DA385">
        <v>1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</row>
    <row r="386" spans="1:113" x14ac:dyDescent="0.3">
      <c r="A386" t="str">
        <f>"02/08/2021 20:13:16.075"</f>
        <v>02/08/2021 20:13:16.075</v>
      </c>
      <c r="C386" t="str">
        <f t="shared" si="17"/>
        <v>FFDFD3C0</v>
      </c>
      <c r="D386" t="s">
        <v>124</v>
      </c>
      <c r="E386">
        <v>13</v>
      </c>
      <c r="F386">
        <v>1013</v>
      </c>
      <c r="G386" t="s">
        <v>114</v>
      </c>
      <c r="J386" t="s">
        <v>125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>"20:13:18.406"</f>
        <v>20:13:18.406</v>
      </c>
      <c r="T386" t="str">
        <f>"20:13:18.006"</f>
        <v>20:13:18.006</v>
      </c>
      <c r="U386" t="str">
        <f t="shared" ref="U386:U449" si="19">"AB01F4"</f>
        <v>AB01F4</v>
      </c>
      <c r="V386">
        <v>0</v>
      </c>
      <c r="W386">
        <v>0</v>
      </c>
      <c r="X386">
        <v>1</v>
      </c>
      <c r="Z386">
        <v>0</v>
      </c>
      <c r="AA386">
        <v>9</v>
      </c>
      <c r="AB386">
        <v>3</v>
      </c>
      <c r="AC386">
        <v>0</v>
      </c>
      <c r="AD386">
        <v>10</v>
      </c>
      <c r="AE386">
        <v>0</v>
      </c>
      <c r="AF386">
        <v>3</v>
      </c>
      <c r="AG386">
        <v>2</v>
      </c>
      <c r="AH386">
        <v>0</v>
      </c>
      <c r="AI386" t="s">
        <v>396</v>
      </c>
      <c r="AJ386">
        <v>39.553570999999998</v>
      </c>
      <c r="AK386" t="s">
        <v>397</v>
      </c>
      <c r="AL386">
        <v>-92.482845999999995</v>
      </c>
      <c r="AM386">
        <v>100</v>
      </c>
      <c r="AN386">
        <v>1900</v>
      </c>
      <c r="AO386" t="s">
        <v>118</v>
      </c>
      <c r="AP386">
        <v>-76</v>
      </c>
      <c r="AQ386">
        <v>122</v>
      </c>
      <c r="AR386">
        <v>0</v>
      </c>
      <c r="AZ386">
        <v>1200</v>
      </c>
      <c r="BA386">
        <v>1</v>
      </c>
      <c r="BB386" t="str">
        <f t="shared" si="18"/>
        <v xml:space="preserve">N8080G  </v>
      </c>
      <c r="BC386">
        <v>1</v>
      </c>
      <c r="BE386">
        <v>0</v>
      </c>
      <c r="BF386">
        <v>0</v>
      </c>
      <c r="BG386">
        <v>0</v>
      </c>
      <c r="BH386">
        <v>1850</v>
      </c>
      <c r="BI386">
        <v>1</v>
      </c>
      <c r="BJ386">
        <v>1</v>
      </c>
      <c r="BK386">
        <v>1</v>
      </c>
      <c r="BL386">
        <v>0</v>
      </c>
      <c r="BO386">
        <v>0</v>
      </c>
      <c r="BP386">
        <v>0</v>
      </c>
      <c r="BW386" t="str">
        <f>"20:13:18.411"</f>
        <v>20:13:18.411</v>
      </c>
      <c r="CJ386">
        <v>0</v>
      </c>
      <c r="CK386">
        <v>2</v>
      </c>
      <c r="CL386">
        <v>0</v>
      </c>
      <c r="CM386">
        <v>2</v>
      </c>
      <c r="CN386">
        <v>0</v>
      </c>
      <c r="CO386">
        <v>6</v>
      </c>
      <c r="CP386" t="s">
        <v>119</v>
      </c>
      <c r="CQ386">
        <v>559</v>
      </c>
      <c r="CR386">
        <v>0</v>
      </c>
      <c r="CW386">
        <v>10403935</v>
      </c>
      <c r="CY386">
        <v>1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</row>
    <row r="387" spans="1:113" x14ac:dyDescent="0.3">
      <c r="A387" t="str">
        <f>"02/08/2021 20:13:16.075"</f>
        <v>02/08/2021 20:13:16.075</v>
      </c>
      <c r="C387" t="str">
        <f t="shared" si="17"/>
        <v>FFDFD3C0</v>
      </c>
      <c r="D387" t="s">
        <v>113</v>
      </c>
      <c r="E387">
        <v>6</v>
      </c>
      <c r="H387">
        <v>165</v>
      </c>
      <c r="I387" t="s">
        <v>114</v>
      </c>
      <c r="J387" t="s">
        <v>115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>"20:13:18.406"</f>
        <v>20:13:18.406</v>
      </c>
      <c r="T387" t="str">
        <f>"20:13:18.006"</f>
        <v>20:13:18.006</v>
      </c>
      <c r="U387" t="str">
        <f t="shared" si="19"/>
        <v>AB01F4</v>
      </c>
      <c r="V387">
        <v>0</v>
      </c>
      <c r="W387">
        <v>0</v>
      </c>
      <c r="X387">
        <v>1</v>
      </c>
      <c r="Z387">
        <v>0</v>
      </c>
      <c r="AA387">
        <v>9</v>
      </c>
      <c r="AB387">
        <v>3</v>
      </c>
      <c r="AC387">
        <v>0</v>
      </c>
      <c r="AD387">
        <v>10</v>
      </c>
      <c r="AE387">
        <v>0</v>
      </c>
      <c r="AF387">
        <v>3</v>
      </c>
      <c r="AG387">
        <v>2</v>
      </c>
      <c r="AH387">
        <v>0</v>
      </c>
      <c r="AI387" t="s">
        <v>396</v>
      </c>
      <c r="AJ387">
        <v>39.553570999999998</v>
      </c>
      <c r="AK387" t="s">
        <v>397</v>
      </c>
      <c r="AL387">
        <v>-92.482845999999995</v>
      </c>
      <c r="AM387">
        <v>100</v>
      </c>
      <c r="AN387">
        <v>1900</v>
      </c>
      <c r="AO387" t="s">
        <v>118</v>
      </c>
      <c r="AP387">
        <v>-76</v>
      </c>
      <c r="AQ387">
        <v>122</v>
      </c>
      <c r="AR387">
        <v>0</v>
      </c>
      <c r="AZ387">
        <v>1200</v>
      </c>
      <c r="BA387">
        <v>1</v>
      </c>
      <c r="BB387" t="str">
        <f t="shared" si="18"/>
        <v xml:space="preserve">N8080G  </v>
      </c>
      <c r="BC387">
        <v>1</v>
      </c>
      <c r="BE387">
        <v>0</v>
      </c>
      <c r="BF387">
        <v>0</v>
      </c>
      <c r="BG387">
        <v>0</v>
      </c>
      <c r="BH387">
        <v>1850</v>
      </c>
      <c r="BI387">
        <v>1</v>
      </c>
      <c r="BJ387">
        <v>1</v>
      </c>
      <c r="BK387">
        <v>1</v>
      </c>
      <c r="BL387">
        <v>0</v>
      </c>
      <c r="BO387">
        <v>0</v>
      </c>
      <c r="BP387">
        <v>0</v>
      </c>
      <c r="BW387" t="str">
        <f>"20:13:18.411"</f>
        <v>20:13:18.411</v>
      </c>
      <c r="CJ387">
        <v>0</v>
      </c>
      <c r="CK387">
        <v>2</v>
      </c>
      <c r="CL387">
        <v>0</v>
      </c>
      <c r="CM387">
        <v>2</v>
      </c>
      <c r="CN387">
        <v>0</v>
      </c>
      <c r="CO387">
        <v>6</v>
      </c>
      <c r="CP387" t="s">
        <v>119</v>
      </c>
      <c r="CQ387">
        <v>559</v>
      </c>
      <c r="CR387">
        <v>0</v>
      </c>
      <c r="CW387">
        <v>10403935</v>
      </c>
      <c r="CY387">
        <v>1</v>
      </c>
      <c r="CZ387">
        <v>0</v>
      </c>
      <c r="DA387">
        <v>1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</row>
    <row r="388" spans="1:113" x14ac:dyDescent="0.3">
      <c r="A388" t="str">
        <f>"02/08/2021 20:13:16.075"</f>
        <v>02/08/2021 20:13:16.075</v>
      </c>
      <c r="C388" t="str">
        <f t="shared" si="17"/>
        <v>FFDFD3C0</v>
      </c>
      <c r="D388" t="s">
        <v>141</v>
      </c>
      <c r="E388">
        <v>17</v>
      </c>
      <c r="H388">
        <v>256</v>
      </c>
      <c r="I388" t="s">
        <v>142</v>
      </c>
      <c r="J388" t="s">
        <v>143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>"20:13:18.406"</f>
        <v>20:13:18.406</v>
      </c>
      <c r="T388" t="str">
        <f>"20:13:18.006"</f>
        <v>20:13:18.006</v>
      </c>
      <c r="U388" t="str">
        <f t="shared" si="19"/>
        <v>AB01F4</v>
      </c>
      <c r="V388">
        <v>0</v>
      </c>
      <c r="W388">
        <v>0</v>
      </c>
      <c r="X388">
        <v>1</v>
      </c>
      <c r="Z388">
        <v>0</v>
      </c>
      <c r="AA388">
        <v>9</v>
      </c>
      <c r="AB388">
        <v>3</v>
      </c>
      <c r="AC388">
        <v>0</v>
      </c>
      <c r="AD388">
        <v>10</v>
      </c>
      <c r="AE388">
        <v>0</v>
      </c>
      <c r="AF388">
        <v>3</v>
      </c>
      <c r="AG388">
        <v>2</v>
      </c>
      <c r="AH388">
        <v>0</v>
      </c>
      <c r="AI388" t="s">
        <v>396</v>
      </c>
      <c r="AJ388">
        <v>39.553570999999998</v>
      </c>
      <c r="AK388" t="s">
        <v>397</v>
      </c>
      <c r="AL388">
        <v>-92.482845999999995</v>
      </c>
      <c r="AM388">
        <v>100</v>
      </c>
      <c r="AN388">
        <v>1900</v>
      </c>
      <c r="AO388" t="s">
        <v>118</v>
      </c>
      <c r="AP388">
        <v>-76</v>
      </c>
      <c r="AQ388">
        <v>122</v>
      </c>
      <c r="AR388">
        <v>0</v>
      </c>
      <c r="AZ388">
        <v>1200</v>
      </c>
      <c r="BA388">
        <v>1</v>
      </c>
      <c r="BB388" t="str">
        <f t="shared" si="18"/>
        <v xml:space="preserve">N8080G  </v>
      </c>
      <c r="BC388">
        <v>1</v>
      </c>
      <c r="BE388">
        <v>0</v>
      </c>
      <c r="BF388">
        <v>0</v>
      </c>
      <c r="BG388">
        <v>0</v>
      </c>
      <c r="BH388">
        <v>1850</v>
      </c>
      <c r="BI388">
        <v>1</v>
      </c>
      <c r="BJ388">
        <v>1</v>
      </c>
      <c r="BK388">
        <v>1</v>
      </c>
      <c r="BL388">
        <v>0</v>
      </c>
      <c r="BO388">
        <v>0</v>
      </c>
      <c r="BP388">
        <v>0</v>
      </c>
      <c r="BW388" t="str">
        <f>"20:13:18.411"</f>
        <v>20:13:18.411</v>
      </c>
      <c r="CJ388">
        <v>0</v>
      </c>
      <c r="CK388">
        <v>2</v>
      </c>
      <c r="CL388">
        <v>0</v>
      </c>
      <c r="CM388">
        <v>2</v>
      </c>
      <c r="CN388">
        <v>0</v>
      </c>
      <c r="CO388">
        <v>6</v>
      </c>
      <c r="CP388" t="s">
        <v>119</v>
      </c>
      <c r="CQ388">
        <v>559</v>
      </c>
      <c r="CR388">
        <v>0</v>
      </c>
      <c r="CW388">
        <v>10403935</v>
      </c>
      <c r="CY388">
        <v>1</v>
      </c>
      <c r="CZ388">
        <v>0</v>
      </c>
      <c r="DA388">
        <v>1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</row>
    <row r="389" spans="1:113" x14ac:dyDescent="0.3">
      <c r="A389" t="str">
        <f>"02/08/2021 20:13:17.048"</f>
        <v>02/08/2021 20:13:17.048</v>
      </c>
      <c r="C389" t="str">
        <f t="shared" si="17"/>
        <v>FFDFD3C0</v>
      </c>
      <c r="D389" t="s">
        <v>141</v>
      </c>
      <c r="E389">
        <v>17</v>
      </c>
      <c r="H389">
        <v>256</v>
      </c>
      <c r="I389" t="s">
        <v>142</v>
      </c>
      <c r="J389" t="s">
        <v>143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>"20:13:19.359"</f>
        <v>20:13:19.359</v>
      </c>
      <c r="T389" t="str">
        <f>"20:13:18.859"</f>
        <v>20:13:18.859</v>
      </c>
      <c r="U389" t="str">
        <f t="shared" si="19"/>
        <v>AB01F4</v>
      </c>
      <c r="V389">
        <v>0</v>
      </c>
      <c r="W389">
        <v>0</v>
      </c>
      <c r="X389">
        <v>1</v>
      </c>
      <c r="Z389">
        <v>0</v>
      </c>
      <c r="AA389">
        <v>9</v>
      </c>
      <c r="AB389">
        <v>3</v>
      </c>
      <c r="AC389">
        <v>0</v>
      </c>
      <c r="AD389">
        <v>10</v>
      </c>
      <c r="AE389">
        <v>0</v>
      </c>
      <c r="AF389">
        <v>3</v>
      </c>
      <c r="AG389">
        <v>2</v>
      </c>
      <c r="AH389">
        <v>0</v>
      </c>
      <c r="AI389" t="s">
        <v>398</v>
      </c>
      <c r="AJ389">
        <v>39.554085999999998</v>
      </c>
      <c r="AK389" t="s">
        <v>399</v>
      </c>
      <c r="AL389">
        <v>-92.483275000000006</v>
      </c>
      <c r="AM389">
        <v>100</v>
      </c>
      <c r="AN389">
        <v>1900</v>
      </c>
      <c r="AO389" t="s">
        <v>118</v>
      </c>
      <c r="AP389">
        <v>-76</v>
      </c>
      <c r="AQ389">
        <v>122</v>
      </c>
      <c r="AR389">
        <v>0</v>
      </c>
      <c r="AZ389">
        <v>1200</v>
      </c>
      <c r="BA389">
        <v>1</v>
      </c>
      <c r="BB389" t="str">
        <f t="shared" si="18"/>
        <v xml:space="preserve">N8080G  </v>
      </c>
      <c r="BC389">
        <v>1</v>
      </c>
      <c r="BE389">
        <v>0</v>
      </c>
      <c r="BF389">
        <v>0</v>
      </c>
      <c r="BG389">
        <v>0</v>
      </c>
      <c r="BH389">
        <v>1850</v>
      </c>
      <c r="BI389">
        <v>1</v>
      </c>
      <c r="BJ389">
        <v>1</v>
      </c>
      <c r="BK389">
        <v>1</v>
      </c>
      <c r="BL389">
        <v>0</v>
      </c>
      <c r="BO389">
        <v>0</v>
      </c>
      <c r="BP389">
        <v>0</v>
      </c>
      <c r="BW389" t="str">
        <f>"20:13:19.364"</f>
        <v>20:13:19.364</v>
      </c>
      <c r="CJ389">
        <v>0</v>
      </c>
      <c r="CK389">
        <v>2</v>
      </c>
      <c r="CL389">
        <v>0</v>
      </c>
      <c r="CM389">
        <v>2</v>
      </c>
      <c r="CN389">
        <v>0</v>
      </c>
      <c r="CO389">
        <v>5</v>
      </c>
      <c r="CP389" t="s">
        <v>119</v>
      </c>
      <c r="CQ389">
        <v>559</v>
      </c>
      <c r="CR389">
        <v>0</v>
      </c>
      <c r="CW389">
        <v>10404088</v>
      </c>
      <c r="CY389">
        <v>1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</row>
    <row r="390" spans="1:113" x14ac:dyDescent="0.3">
      <c r="A390" t="str">
        <f>"02/08/2021 20:13:17.048"</f>
        <v>02/08/2021 20:13:17.048</v>
      </c>
      <c r="C390" t="str">
        <f t="shared" si="17"/>
        <v>FFDFD3C0</v>
      </c>
      <c r="D390" t="s">
        <v>124</v>
      </c>
      <c r="E390">
        <v>13</v>
      </c>
      <c r="F390">
        <v>1013</v>
      </c>
      <c r="G390" t="s">
        <v>114</v>
      </c>
      <c r="J390" t="s">
        <v>125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>"20:13:19.359"</f>
        <v>20:13:19.359</v>
      </c>
      <c r="T390" t="str">
        <f>"20:13:18.859"</f>
        <v>20:13:18.859</v>
      </c>
      <c r="U390" t="str">
        <f t="shared" si="19"/>
        <v>AB01F4</v>
      </c>
      <c r="V390">
        <v>0</v>
      </c>
      <c r="W390">
        <v>0</v>
      </c>
      <c r="X390">
        <v>1</v>
      </c>
      <c r="Z390">
        <v>0</v>
      </c>
      <c r="AA390">
        <v>9</v>
      </c>
      <c r="AB390">
        <v>3</v>
      </c>
      <c r="AC390">
        <v>0</v>
      </c>
      <c r="AD390">
        <v>10</v>
      </c>
      <c r="AE390">
        <v>0</v>
      </c>
      <c r="AF390">
        <v>3</v>
      </c>
      <c r="AG390">
        <v>2</v>
      </c>
      <c r="AH390">
        <v>0</v>
      </c>
      <c r="AI390" t="s">
        <v>398</v>
      </c>
      <c r="AJ390">
        <v>39.554085999999998</v>
      </c>
      <c r="AK390" t="s">
        <v>399</v>
      </c>
      <c r="AL390">
        <v>-92.483275000000006</v>
      </c>
      <c r="AM390">
        <v>100</v>
      </c>
      <c r="AN390">
        <v>1900</v>
      </c>
      <c r="AO390" t="s">
        <v>118</v>
      </c>
      <c r="AP390">
        <v>-76</v>
      </c>
      <c r="AQ390">
        <v>122</v>
      </c>
      <c r="AR390">
        <v>0</v>
      </c>
      <c r="AZ390">
        <v>1200</v>
      </c>
      <c r="BA390">
        <v>1</v>
      </c>
      <c r="BB390" t="str">
        <f t="shared" si="18"/>
        <v xml:space="preserve">N8080G  </v>
      </c>
      <c r="BC390">
        <v>1</v>
      </c>
      <c r="BE390">
        <v>0</v>
      </c>
      <c r="BF390">
        <v>0</v>
      </c>
      <c r="BG390">
        <v>0</v>
      </c>
      <c r="BH390">
        <v>1850</v>
      </c>
      <c r="BI390">
        <v>1</v>
      </c>
      <c r="BJ390">
        <v>1</v>
      </c>
      <c r="BK390">
        <v>1</v>
      </c>
      <c r="BL390">
        <v>0</v>
      </c>
      <c r="BO390">
        <v>0</v>
      </c>
      <c r="BP390">
        <v>0</v>
      </c>
      <c r="BW390" t="str">
        <f>"20:13:19.364"</f>
        <v>20:13:19.364</v>
      </c>
      <c r="CJ390">
        <v>0</v>
      </c>
      <c r="CK390">
        <v>2</v>
      </c>
      <c r="CL390">
        <v>0</v>
      </c>
      <c r="CM390">
        <v>2</v>
      </c>
      <c r="CN390">
        <v>0</v>
      </c>
      <c r="CO390">
        <v>5</v>
      </c>
      <c r="CP390" t="s">
        <v>119</v>
      </c>
      <c r="CQ390">
        <v>559</v>
      </c>
      <c r="CR390">
        <v>0</v>
      </c>
      <c r="CW390">
        <v>10404088</v>
      </c>
      <c r="CY390">
        <v>1</v>
      </c>
      <c r="CZ390">
        <v>0</v>
      </c>
      <c r="DA390">
        <v>1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</row>
    <row r="391" spans="1:113" x14ac:dyDescent="0.3">
      <c r="A391" t="str">
        <f>"02/08/2021 20:13:17.048"</f>
        <v>02/08/2021 20:13:17.048</v>
      </c>
      <c r="C391" t="str">
        <f t="shared" si="17"/>
        <v>FFDFD3C0</v>
      </c>
      <c r="D391" t="s">
        <v>113</v>
      </c>
      <c r="E391">
        <v>6</v>
      </c>
      <c r="H391">
        <v>165</v>
      </c>
      <c r="I391" t="s">
        <v>114</v>
      </c>
      <c r="J391" t="s">
        <v>115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>"20:13:19.359"</f>
        <v>20:13:19.359</v>
      </c>
      <c r="T391" t="str">
        <f>"20:13:18.859"</f>
        <v>20:13:18.859</v>
      </c>
      <c r="U391" t="str">
        <f t="shared" si="19"/>
        <v>AB01F4</v>
      </c>
      <c r="V391">
        <v>0</v>
      </c>
      <c r="W391">
        <v>0</v>
      </c>
      <c r="X391">
        <v>1</v>
      </c>
      <c r="Z391">
        <v>0</v>
      </c>
      <c r="AA391">
        <v>9</v>
      </c>
      <c r="AB391">
        <v>3</v>
      </c>
      <c r="AC391">
        <v>0</v>
      </c>
      <c r="AD391">
        <v>10</v>
      </c>
      <c r="AE391">
        <v>0</v>
      </c>
      <c r="AF391">
        <v>3</v>
      </c>
      <c r="AG391">
        <v>2</v>
      </c>
      <c r="AH391">
        <v>0</v>
      </c>
      <c r="AI391" t="s">
        <v>398</v>
      </c>
      <c r="AJ391">
        <v>39.554085999999998</v>
      </c>
      <c r="AK391" t="s">
        <v>399</v>
      </c>
      <c r="AL391">
        <v>-92.483275000000006</v>
      </c>
      <c r="AM391">
        <v>100</v>
      </c>
      <c r="AN391">
        <v>1900</v>
      </c>
      <c r="AO391" t="s">
        <v>118</v>
      </c>
      <c r="AP391">
        <v>-76</v>
      </c>
      <c r="AQ391">
        <v>122</v>
      </c>
      <c r="AR391">
        <v>0</v>
      </c>
      <c r="AZ391">
        <v>1200</v>
      </c>
      <c r="BA391">
        <v>1</v>
      </c>
      <c r="BB391" t="str">
        <f t="shared" si="18"/>
        <v xml:space="preserve">N8080G  </v>
      </c>
      <c r="BC391">
        <v>1</v>
      </c>
      <c r="BE391">
        <v>0</v>
      </c>
      <c r="BF391">
        <v>0</v>
      </c>
      <c r="BG391">
        <v>0</v>
      </c>
      <c r="BH391">
        <v>1850</v>
      </c>
      <c r="BI391">
        <v>1</v>
      </c>
      <c r="BJ391">
        <v>1</v>
      </c>
      <c r="BK391">
        <v>1</v>
      </c>
      <c r="BL391">
        <v>0</v>
      </c>
      <c r="BO391">
        <v>0</v>
      </c>
      <c r="BP391">
        <v>0</v>
      </c>
      <c r="BW391" t="str">
        <f>"20:13:19.364"</f>
        <v>20:13:19.364</v>
      </c>
      <c r="CJ391">
        <v>0</v>
      </c>
      <c r="CK391">
        <v>2</v>
      </c>
      <c r="CL391">
        <v>0</v>
      </c>
      <c r="CM391">
        <v>2</v>
      </c>
      <c r="CN391">
        <v>0</v>
      </c>
      <c r="CO391">
        <v>5</v>
      </c>
      <c r="CP391" t="s">
        <v>119</v>
      </c>
      <c r="CQ391">
        <v>559</v>
      </c>
      <c r="CR391">
        <v>0</v>
      </c>
      <c r="CW391">
        <v>10404088</v>
      </c>
      <c r="CY391">
        <v>1</v>
      </c>
      <c r="CZ391">
        <v>0</v>
      </c>
      <c r="DA391">
        <v>1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</row>
    <row r="392" spans="1:113" x14ac:dyDescent="0.3">
      <c r="A392" t="str">
        <f>"02/08/2021 20:13:18.001"</f>
        <v>02/08/2021 20:13:18.001</v>
      </c>
      <c r="C392" t="str">
        <f t="shared" si="17"/>
        <v>FFDFD3C0</v>
      </c>
      <c r="D392" t="s">
        <v>113</v>
      </c>
      <c r="E392">
        <v>6</v>
      </c>
      <c r="H392">
        <v>165</v>
      </c>
      <c r="I392" t="s">
        <v>114</v>
      </c>
      <c r="J392" t="s">
        <v>115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>"20:13:20.344"</f>
        <v>20:13:20.344</v>
      </c>
      <c r="U392" t="str">
        <f t="shared" si="19"/>
        <v>AB01F4</v>
      </c>
      <c r="V392">
        <v>0</v>
      </c>
      <c r="W392">
        <v>0</v>
      </c>
      <c r="X392">
        <v>1</v>
      </c>
      <c r="Z392">
        <v>0</v>
      </c>
      <c r="AA392">
        <v>9</v>
      </c>
      <c r="AB392">
        <v>3</v>
      </c>
      <c r="AC392">
        <v>0</v>
      </c>
      <c r="AD392">
        <v>10</v>
      </c>
      <c r="AE392">
        <v>0</v>
      </c>
      <c r="AF392">
        <v>3</v>
      </c>
      <c r="AG392">
        <v>2</v>
      </c>
      <c r="AH392">
        <v>0</v>
      </c>
      <c r="AI392" t="s">
        <v>400</v>
      </c>
      <c r="AJ392">
        <v>39.554622000000002</v>
      </c>
      <c r="AK392" t="s">
        <v>401</v>
      </c>
      <c r="AL392">
        <v>-92.483746999999994</v>
      </c>
      <c r="AM392">
        <v>100</v>
      </c>
      <c r="AN392">
        <v>1900</v>
      </c>
      <c r="AO392" t="s">
        <v>118</v>
      </c>
      <c r="AP392">
        <v>-76</v>
      </c>
      <c r="AQ392">
        <v>122</v>
      </c>
      <c r="AR392">
        <v>0</v>
      </c>
      <c r="AZ392">
        <v>1200</v>
      </c>
      <c r="BA392">
        <v>1</v>
      </c>
      <c r="BB392" t="str">
        <f t="shared" si="18"/>
        <v xml:space="preserve">N8080G  </v>
      </c>
      <c r="BC392">
        <v>1</v>
      </c>
      <c r="BE392">
        <v>0</v>
      </c>
      <c r="BF392">
        <v>0</v>
      </c>
      <c r="BG392">
        <v>0</v>
      </c>
      <c r="BH392">
        <v>1850</v>
      </c>
      <c r="BI392">
        <v>1</v>
      </c>
      <c r="BJ392">
        <v>1</v>
      </c>
      <c r="BK392">
        <v>1</v>
      </c>
      <c r="BL392">
        <v>0</v>
      </c>
      <c r="BO392">
        <v>0</v>
      </c>
      <c r="BP392">
        <v>0</v>
      </c>
      <c r="BW392" t="str">
        <f>"20:13:20.346"</f>
        <v>20:13:20.346</v>
      </c>
      <c r="CJ392">
        <v>0</v>
      </c>
      <c r="CK392">
        <v>2</v>
      </c>
      <c r="CL392">
        <v>0</v>
      </c>
      <c r="CM392">
        <v>2</v>
      </c>
      <c r="CN392">
        <v>0</v>
      </c>
      <c r="CO392">
        <v>6</v>
      </c>
      <c r="CP392" t="s">
        <v>119</v>
      </c>
      <c r="CQ392">
        <v>559</v>
      </c>
      <c r="CR392">
        <v>0</v>
      </c>
      <c r="CW392">
        <v>10404248</v>
      </c>
      <c r="CY392">
        <v>1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</row>
    <row r="393" spans="1:113" x14ac:dyDescent="0.3">
      <c r="A393" t="str">
        <f>"02/08/2021 20:13:18.001"</f>
        <v>02/08/2021 20:13:18.001</v>
      </c>
      <c r="C393" t="str">
        <f t="shared" si="17"/>
        <v>FFDFD3C0</v>
      </c>
      <c r="D393" t="s">
        <v>141</v>
      </c>
      <c r="E393">
        <v>17</v>
      </c>
      <c r="H393">
        <v>256</v>
      </c>
      <c r="I393" t="s">
        <v>142</v>
      </c>
      <c r="J393" t="s">
        <v>143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>"20:13:20.344"</f>
        <v>20:13:20.344</v>
      </c>
      <c r="U393" t="str">
        <f t="shared" si="19"/>
        <v>AB01F4</v>
      </c>
      <c r="V393">
        <v>0</v>
      </c>
      <c r="W393">
        <v>0</v>
      </c>
      <c r="X393">
        <v>1</v>
      </c>
      <c r="Z393">
        <v>0</v>
      </c>
      <c r="AA393">
        <v>9</v>
      </c>
      <c r="AB393">
        <v>3</v>
      </c>
      <c r="AC393">
        <v>0</v>
      </c>
      <c r="AD393">
        <v>10</v>
      </c>
      <c r="AE393">
        <v>0</v>
      </c>
      <c r="AF393">
        <v>3</v>
      </c>
      <c r="AG393">
        <v>2</v>
      </c>
      <c r="AH393">
        <v>0</v>
      </c>
      <c r="AI393" t="s">
        <v>400</v>
      </c>
      <c r="AJ393">
        <v>39.554622000000002</v>
      </c>
      <c r="AK393" t="s">
        <v>401</v>
      </c>
      <c r="AL393">
        <v>-92.483746999999994</v>
      </c>
      <c r="AM393">
        <v>100</v>
      </c>
      <c r="AN393">
        <v>1900</v>
      </c>
      <c r="AO393" t="s">
        <v>118</v>
      </c>
      <c r="AP393">
        <v>-76</v>
      </c>
      <c r="AQ393">
        <v>122</v>
      </c>
      <c r="AR393">
        <v>0</v>
      </c>
      <c r="AZ393">
        <v>1200</v>
      </c>
      <c r="BA393">
        <v>1</v>
      </c>
      <c r="BB393" t="str">
        <f t="shared" si="18"/>
        <v xml:space="preserve">N8080G  </v>
      </c>
      <c r="BC393">
        <v>1</v>
      </c>
      <c r="BE393">
        <v>0</v>
      </c>
      <c r="BF393">
        <v>0</v>
      </c>
      <c r="BG393">
        <v>0</v>
      </c>
      <c r="BH393">
        <v>1850</v>
      </c>
      <c r="BI393">
        <v>1</v>
      </c>
      <c r="BJ393">
        <v>1</v>
      </c>
      <c r="BK393">
        <v>1</v>
      </c>
      <c r="BL393">
        <v>0</v>
      </c>
      <c r="BO393">
        <v>0</v>
      </c>
      <c r="BP393">
        <v>0</v>
      </c>
      <c r="BW393" t="str">
        <f>"20:13:20.346"</f>
        <v>20:13:20.346</v>
      </c>
      <c r="CJ393">
        <v>0</v>
      </c>
      <c r="CK393">
        <v>2</v>
      </c>
      <c r="CL393">
        <v>0</v>
      </c>
      <c r="CM393">
        <v>2</v>
      </c>
      <c r="CN393">
        <v>0</v>
      </c>
      <c r="CO393">
        <v>6</v>
      </c>
      <c r="CP393" t="s">
        <v>119</v>
      </c>
      <c r="CQ393">
        <v>559</v>
      </c>
      <c r="CR393">
        <v>0</v>
      </c>
      <c r="CW393">
        <v>10404248</v>
      </c>
      <c r="CY393">
        <v>1</v>
      </c>
      <c r="CZ393">
        <v>0</v>
      </c>
      <c r="DA393">
        <v>1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</row>
    <row r="394" spans="1:113" x14ac:dyDescent="0.3">
      <c r="A394" t="str">
        <f>"02/08/2021 20:13:18.001"</f>
        <v>02/08/2021 20:13:18.001</v>
      </c>
      <c r="C394" t="str">
        <f t="shared" si="17"/>
        <v>FFDFD3C0</v>
      </c>
      <c r="D394" t="s">
        <v>124</v>
      </c>
      <c r="E394">
        <v>13</v>
      </c>
      <c r="F394">
        <v>1013</v>
      </c>
      <c r="G394" t="s">
        <v>114</v>
      </c>
      <c r="J394" t="s">
        <v>125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>"20:13:20.344"</f>
        <v>20:13:20.344</v>
      </c>
      <c r="U394" t="str">
        <f t="shared" si="19"/>
        <v>AB01F4</v>
      </c>
      <c r="V394">
        <v>0</v>
      </c>
      <c r="W394">
        <v>0</v>
      </c>
      <c r="X394">
        <v>1</v>
      </c>
      <c r="Z394">
        <v>0</v>
      </c>
      <c r="AA394">
        <v>9</v>
      </c>
      <c r="AB394">
        <v>3</v>
      </c>
      <c r="AC394">
        <v>0</v>
      </c>
      <c r="AD394">
        <v>10</v>
      </c>
      <c r="AE394">
        <v>0</v>
      </c>
      <c r="AF394">
        <v>3</v>
      </c>
      <c r="AG394">
        <v>2</v>
      </c>
      <c r="AH394">
        <v>0</v>
      </c>
      <c r="AI394" t="s">
        <v>400</v>
      </c>
      <c r="AJ394">
        <v>39.554622000000002</v>
      </c>
      <c r="AK394" t="s">
        <v>401</v>
      </c>
      <c r="AL394">
        <v>-92.483746999999994</v>
      </c>
      <c r="AM394">
        <v>100</v>
      </c>
      <c r="AN394">
        <v>1900</v>
      </c>
      <c r="AO394" t="s">
        <v>118</v>
      </c>
      <c r="AP394">
        <v>-76</v>
      </c>
      <c r="AQ394">
        <v>122</v>
      </c>
      <c r="AR394">
        <v>0</v>
      </c>
      <c r="AZ394">
        <v>1200</v>
      </c>
      <c r="BA394">
        <v>1</v>
      </c>
      <c r="BB394" t="str">
        <f t="shared" si="18"/>
        <v xml:space="preserve">N8080G  </v>
      </c>
      <c r="BC394">
        <v>1</v>
      </c>
      <c r="BE394">
        <v>0</v>
      </c>
      <c r="BF394">
        <v>0</v>
      </c>
      <c r="BG394">
        <v>0</v>
      </c>
      <c r="BH394">
        <v>1850</v>
      </c>
      <c r="BI394">
        <v>1</v>
      </c>
      <c r="BJ394">
        <v>1</v>
      </c>
      <c r="BK394">
        <v>1</v>
      </c>
      <c r="BL394">
        <v>0</v>
      </c>
      <c r="BO394">
        <v>0</v>
      </c>
      <c r="BP394">
        <v>0</v>
      </c>
      <c r="BW394" t="str">
        <f>"20:13:20.346"</f>
        <v>20:13:20.346</v>
      </c>
      <c r="CJ394">
        <v>0</v>
      </c>
      <c r="CK394">
        <v>2</v>
      </c>
      <c r="CL394">
        <v>0</v>
      </c>
      <c r="CM394">
        <v>2</v>
      </c>
      <c r="CN394">
        <v>0</v>
      </c>
      <c r="CO394">
        <v>6</v>
      </c>
      <c r="CP394" t="s">
        <v>119</v>
      </c>
      <c r="CQ394">
        <v>559</v>
      </c>
      <c r="CR394">
        <v>0</v>
      </c>
      <c r="CW394">
        <v>10404248</v>
      </c>
      <c r="CY394">
        <v>1</v>
      </c>
      <c r="CZ394">
        <v>0</v>
      </c>
      <c r="DA394">
        <v>1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</row>
    <row r="395" spans="1:113" x14ac:dyDescent="0.3">
      <c r="A395" t="str">
        <f>"02/08/2021 20:13:19.011"</f>
        <v>02/08/2021 20:13:19.011</v>
      </c>
      <c r="C395" t="str">
        <f t="shared" si="17"/>
        <v>FFDFD3C0</v>
      </c>
      <c r="D395" t="s">
        <v>113</v>
      </c>
      <c r="E395">
        <v>6</v>
      </c>
      <c r="H395">
        <v>165</v>
      </c>
      <c r="I395" t="s">
        <v>114</v>
      </c>
      <c r="J395" t="s">
        <v>115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>"20:13:21.336"</f>
        <v>20:13:21.336</v>
      </c>
      <c r="T395" t="str">
        <f>"20:13:20.836"</f>
        <v>20:13:20.836</v>
      </c>
      <c r="U395" t="str">
        <f t="shared" si="19"/>
        <v>AB01F4</v>
      </c>
      <c r="V395">
        <v>0</v>
      </c>
      <c r="W395">
        <v>0</v>
      </c>
      <c r="X395">
        <v>1</v>
      </c>
      <c r="Z395">
        <v>0</v>
      </c>
      <c r="AA395">
        <v>9</v>
      </c>
      <c r="AB395">
        <v>3</v>
      </c>
      <c r="AC395">
        <v>0</v>
      </c>
      <c r="AD395">
        <v>10</v>
      </c>
      <c r="AE395">
        <v>0</v>
      </c>
      <c r="AF395">
        <v>3</v>
      </c>
      <c r="AG395">
        <v>2</v>
      </c>
      <c r="AH395">
        <v>0</v>
      </c>
      <c r="AI395" t="s">
        <v>402</v>
      </c>
      <c r="AJ395">
        <v>39.555222999999998</v>
      </c>
      <c r="AK395" t="s">
        <v>403</v>
      </c>
      <c r="AL395">
        <v>-92.484218999999996</v>
      </c>
      <c r="AM395">
        <v>100</v>
      </c>
      <c r="AN395">
        <v>1900</v>
      </c>
      <c r="AO395" t="s">
        <v>118</v>
      </c>
      <c r="AP395">
        <v>-76</v>
      </c>
      <c r="AQ395">
        <v>122</v>
      </c>
      <c r="AR395">
        <v>0</v>
      </c>
      <c r="AZ395">
        <v>1200</v>
      </c>
      <c r="BA395">
        <v>1</v>
      </c>
      <c r="BB395" t="str">
        <f t="shared" si="18"/>
        <v xml:space="preserve">N8080G  </v>
      </c>
      <c r="BC395">
        <v>1</v>
      </c>
      <c r="BE395">
        <v>0</v>
      </c>
      <c r="BF395">
        <v>0</v>
      </c>
      <c r="BG395">
        <v>0</v>
      </c>
      <c r="BH395">
        <v>1850</v>
      </c>
      <c r="BI395">
        <v>1</v>
      </c>
      <c r="BJ395">
        <v>1</v>
      </c>
      <c r="BK395">
        <v>1</v>
      </c>
      <c r="BL395">
        <v>0</v>
      </c>
      <c r="BO395">
        <v>0</v>
      </c>
      <c r="BP395">
        <v>0</v>
      </c>
      <c r="BW395" t="str">
        <f>"20:13:21.337"</f>
        <v>20:13:21.337</v>
      </c>
      <c r="CJ395">
        <v>0</v>
      </c>
      <c r="CK395">
        <v>2</v>
      </c>
      <c r="CL395">
        <v>0</v>
      </c>
      <c r="CM395">
        <v>2</v>
      </c>
      <c r="CN395">
        <v>0</v>
      </c>
      <c r="CO395">
        <v>5</v>
      </c>
      <c r="CP395" t="s">
        <v>119</v>
      </c>
      <c r="CQ395">
        <v>559</v>
      </c>
      <c r="CR395">
        <v>0</v>
      </c>
      <c r="CW395">
        <v>10404397</v>
      </c>
      <c r="CY395">
        <v>1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</row>
    <row r="396" spans="1:113" x14ac:dyDescent="0.3">
      <c r="A396" t="str">
        <f>"02/08/2021 20:13:19.011"</f>
        <v>02/08/2021 20:13:19.011</v>
      </c>
      <c r="C396" t="str">
        <f t="shared" si="17"/>
        <v>FFDFD3C0</v>
      </c>
      <c r="D396" t="s">
        <v>141</v>
      </c>
      <c r="E396">
        <v>17</v>
      </c>
      <c r="H396">
        <v>256</v>
      </c>
      <c r="I396" t="s">
        <v>142</v>
      </c>
      <c r="J396" t="s">
        <v>143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>"20:13:21.336"</f>
        <v>20:13:21.336</v>
      </c>
      <c r="T396" t="str">
        <f>"20:13:20.836"</f>
        <v>20:13:20.836</v>
      </c>
      <c r="U396" t="str">
        <f t="shared" si="19"/>
        <v>AB01F4</v>
      </c>
      <c r="V396">
        <v>0</v>
      </c>
      <c r="W396">
        <v>0</v>
      </c>
      <c r="X396">
        <v>1</v>
      </c>
      <c r="Z396">
        <v>0</v>
      </c>
      <c r="AA396">
        <v>9</v>
      </c>
      <c r="AB396">
        <v>3</v>
      </c>
      <c r="AC396">
        <v>0</v>
      </c>
      <c r="AD396">
        <v>10</v>
      </c>
      <c r="AE396">
        <v>0</v>
      </c>
      <c r="AF396">
        <v>3</v>
      </c>
      <c r="AG396">
        <v>2</v>
      </c>
      <c r="AH396">
        <v>0</v>
      </c>
      <c r="AI396" t="s">
        <v>402</v>
      </c>
      <c r="AJ396">
        <v>39.555222999999998</v>
      </c>
      <c r="AK396" t="s">
        <v>403</v>
      </c>
      <c r="AL396">
        <v>-92.484218999999996</v>
      </c>
      <c r="AM396">
        <v>100</v>
      </c>
      <c r="AN396">
        <v>1900</v>
      </c>
      <c r="AO396" t="s">
        <v>118</v>
      </c>
      <c r="AP396">
        <v>-76</v>
      </c>
      <c r="AQ396">
        <v>122</v>
      </c>
      <c r="AR396">
        <v>0</v>
      </c>
      <c r="AZ396">
        <v>1200</v>
      </c>
      <c r="BA396">
        <v>1</v>
      </c>
      <c r="BB396" t="str">
        <f t="shared" si="18"/>
        <v xml:space="preserve">N8080G  </v>
      </c>
      <c r="BC396">
        <v>1</v>
      </c>
      <c r="BE396">
        <v>0</v>
      </c>
      <c r="BF396">
        <v>0</v>
      </c>
      <c r="BG396">
        <v>0</v>
      </c>
      <c r="BH396">
        <v>1850</v>
      </c>
      <c r="BI396">
        <v>1</v>
      </c>
      <c r="BJ396">
        <v>1</v>
      </c>
      <c r="BK396">
        <v>1</v>
      </c>
      <c r="BL396">
        <v>0</v>
      </c>
      <c r="BO396">
        <v>0</v>
      </c>
      <c r="BP396">
        <v>0</v>
      </c>
      <c r="BW396" t="str">
        <f>"20:13:21.337"</f>
        <v>20:13:21.337</v>
      </c>
      <c r="CJ396">
        <v>0</v>
      </c>
      <c r="CK396">
        <v>2</v>
      </c>
      <c r="CL396">
        <v>0</v>
      </c>
      <c r="CM396">
        <v>2</v>
      </c>
      <c r="CN396">
        <v>0</v>
      </c>
      <c r="CO396">
        <v>5</v>
      </c>
      <c r="CP396" t="s">
        <v>119</v>
      </c>
      <c r="CQ396">
        <v>559</v>
      </c>
      <c r="CR396">
        <v>0</v>
      </c>
      <c r="CW396">
        <v>10404397</v>
      </c>
      <c r="CY396">
        <v>1</v>
      </c>
      <c r="CZ396">
        <v>0</v>
      </c>
      <c r="DA396">
        <v>1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</row>
    <row r="397" spans="1:113" x14ac:dyDescent="0.3">
      <c r="A397" t="str">
        <f>"02/08/2021 20:13:19.011"</f>
        <v>02/08/2021 20:13:19.011</v>
      </c>
      <c r="C397" t="str">
        <f t="shared" si="17"/>
        <v>FFDFD3C0</v>
      </c>
      <c r="D397" t="s">
        <v>124</v>
      </c>
      <c r="E397">
        <v>13</v>
      </c>
      <c r="F397">
        <v>1013</v>
      </c>
      <c r="G397" t="s">
        <v>114</v>
      </c>
      <c r="J397" t="s">
        <v>125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>"20:13:21.336"</f>
        <v>20:13:21.336</v>
      </c>
      <c r="T397" t="str">
        <f>"20:13:20.836"</f>
        <v>20:13:20.836</v>
      </c>
      <c r="U397" t="str">
        <f t="shared" si="19"/>
        <v>AB01F4</v>
      </c>
      <c r="V397">
        <v>0</v>
      </c>
      <c r="W397">
        <v>0</v>
      </c>
      <c r="X397">
        <v>1</v>
      </c>
      <c r="Z397">
        <v>0</v>
      </c>
      <c r="AA397">
        <v>9</v>
      </c>
      <c r="AB397">
        <v>3</v>
      </c>
      <c r="AC397">
        <v>0</v>
      </c>
      <c r="AD397">
        <v>10</v>
      </c>
      <c r="AE397">
        <v>0</v>
      </c>
      <c r="AF397">
        <v>3</v>
      </c>
      <c r="AG397">
        <v>2</v>
      </c>
      <c r="AH397">
        <v>0</v>
      </c>
      <c r="AI397" t="s">
        <v>402</v>
      </c>
      <c r="AJ397">
        <v>39.555222999999998</v>
      </c>
      <c r="AK397" t="s">
        <v>403</v>
      </c>
      <c r="AL397">
        <v>-92.484218999999996</v>
      </c>
      <c r="AM397">
        <v>100</v>
      </c>
      <c r="AN397">
        <v>1900</v>
      </c>
      <c r="AO397" t="s">
        <v>118</v>
      </c>
      <c r="AP397">
        <v>-76</v>
      </c>
      <c r="AQ397">
        <v>122</v>
      </c>
      <c r="AR397">
        <v>0</v>
      </c>
      <c r="AZ397">
        <v>1200</v>
      </c>
      <c r="BA397">
        <v>1</v>
      </c>
      <c r="BB397" t="str">
        <f t="shared" si="18"/>
        <v xml:space="preserve">N8080G  </v>
      </c>
      <c r="BC397">
        <v>1</v>
      </c>
      <c r="BE397">
        <v>0</v>
      </c>
      <c r="BF397">
        <v>0</v>
      </c>
      <c r="BG397">
        <v>0</v>
      </c>
      <c r="BH397">
        <v>1850</v>
      </c>
      <c r="BI397">
        <v>1</v>
      </c>
      <c r="BJ397">
        <v>1</v>
      </c>
      <c r="BK397">
        <v>1</v>
      </c>
      <c r="BL397">
        <v>0</v>
      </c>
      <c r="BO397">
        <v>0</v>
      </c>
      <c r="BP397">
        <v>0</v>
      </c>
      <c r="BW397" t="str">
        <f>"20:13:21.337"</f>
        <v>20:13:21.337</v>
      </c>
      <c r="CJ397">
        <v>0</v>
      </c>
      <c r="CK397">
        <v>2</v>
      </c>
      <c r="CL397">
        <v>0</v>
      </c>
      <c r="CM397">
        <v>2</v>
      </c>
      <c r="CN397">
        <v>0</v>
      </c>
      <c r="CO397">
        <v>5</v>
      </c>
      <c r="CP397" t="s">
        <v>119</v>
      </c>
      <c r="CQ397">
        <v>559</v>
      </c>
      <c r="CR397">
        <v>0</v>
      </c>
      <c r="CW397">
        <v>10404397</v>
      </c>
      <c r="CY397">
        <v>1</v>
      </c>
      <c r="CZ397">
        <v>0</v>
      </c>
      <c r="DA397">
        <v>1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</row>
    <row r="398" spans="1:113" x14ac:dyDescent="0.3">
      <c r="A398" t="str">
        <f>"02/08/2021 20:13:20.445"</f>
        <v>02/08/2021 20:13:20.445</v>
      </c>
      <c r="C398" t="str">
        <f t="shared" si="17"/>
        <v>FFDFD3C0</v>
      </c>
      <c r="D398" t="s">
        <v>124</v>
      </c>
      <c r="E398">
        <v>13</v>
      </c>
      <c r="F398">
        <v>1013</v>
      </c>
      <c r="G398" t="s">
        <v>114</v>
      </c>
      <c r="J398" t="s">
        <v>125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>"20:13:22.797"</f>
        <v>20:13:22.797</v>
      </c>
      <c r="T398" t="str">
        <f>"20:13:22.297"</f>
        <v>20:13:22.297</v>
      </c>
      <c r="U398" t="str">
        <f t="shared" si="19"/>
        <v>AB01F4</v>
      </c>
      <c r="V398">
        <v>0</v>
      </c>
      <c r="W398">
        <v>0</v>
      </c>
      <c r="X398">
        <v>1</v>
      </c>
      <c r="Z398">
        <v>0</v>
      </c>
      <c r="AA398">
        <v>9</v>
      </c>
      <c r="AB398">
        <v>3</v>
      </c>
      <c r="AC398">
        <v>0</v>
      </c>
      <c r="AD398">
        <v>10</v>
      </c>
      <c r="AE398">
        <v>0</v>
      </c>
      <c r="AF398">
        <v>3</v>
      </c>
      <c r="AG398">
        <v>2</v>
      </c>
      <c r="AH398">
        <v>0</v>
      </c>
      <c r="AI398" t="s">
        <v>404</v>
      </c>
      <c r="AJ398">
        <v>39.555995000000003</v>
      </c>
      <c r="AK398" t="s">
        <v>405</v>
      </c>
      <c r="AL398">
        <v>-92.484819999999999</v>
      </c>
      <c r="AM398">
        <v>100</v>
      </c>
      <c r="AN398">
        <v>1900</v>
      </c>
      <c r="AO398" t="s">
        <v>118</v>
      </c>
      <c r="AP398">
        <v>-76</v>
      </c>
      <c r="AQ398">
        <v>122</v>
      </c>
      <c r="AR398">
        <v>0</v>
      </c>
      <c r="AZ398">
        <v>1200</v>
      </c>
      <c r="BA398">
        <v>1</v>
      </c>
      <c r="BB398" t="str">
        <f t="shared" si="18"/>
        <v xml:space="preserve">N8080G  </v>
      </c>
      <c r="BC398">
        <v>1</v>
      </c>
      <c r="BE398">
        <v>0</v>
      </c>
      <c r="BF398">
        <v>0</v>
      </c>
      <c r="BG398">
        <v>0</v>
      </c>
      <c r="BH398">
        <v>1850</v>
      </c>
      <c r="BI398">
        <v>1</v>
      </c>
      <c r="BJ398">
        <v>1</v>
      </c>
      <c r="BK398">
        <v>1</v>
      </c>
      <c r="BL398">
        <v>0</v>
      </c>
      <c r="BO398">
        <v>0</v>
      </c>
      <c r="BP398">
        <v>0</v>
      </c>
      <c r="BW398" t="str">
        <f>"20:13:22.802"</f>
        <v>20:13:22.802</v>
      </c>
      <c r="CJ398">
        <v>0</v>
      </c>
      <c r="CK398">
        <v>2</v>
      </c>
      <c r="CL398">
        <v>0</v>
      </c>
      <c r="CM398">
        <v>2</v>
      </c>
      <c r="CN398">
        <v>0</v>
      </c>
      <c r="CO398">
        <v>5</v>
      </c>
      <c r="CP398" t="s">
        <v>119</v>
      </c>
      <c r="CQ398">
        <v>559</v>
      </c>
      <c r="CR398">
        <v>0</v>
      </c>
      <c r="CW398">
        <v>10404621</v>
      </c>
      <c r="CY398">
        <v>1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</row>
    <row r="399" spans="1:113" x14ac:dyDescent="0.3">
      <c r="A399" t="str">
        <f>"02/08/2021 20:13:20.445"</f>
        <v>02/08/2021 20:13:20.445</v>
      </c>
      <c r="C399" t="str">
        <f t="shared" ref="C399:C462" si="20">"FFDFD3C0"</f>
        <v>FFDFD3C0</v>
      </c>
      <c r="D399" t="s">
        <v>113</v>
      </c>
      <c r="E399">
        <v>6</v>
      </c>
      <c r="H399">
        <v>165</v>
      </c>
      <c r="I399" t="s">
        <v>114</v>
      </c>
      <c r="J399" t="s">
        <v>115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>"20:13:22.797"</f>
        <v>20:13:22.797</v>
      </c>
      <c r="T399" t="str">
        <f>"20:13:22.297"</f>
        <v>20:13:22.297</v>
      </c>
      <c r="U399" t="str">
        <f t="shared" si="19"/>
        <v>AB01F4</v>
      </c>
      <c r="V399">
        <v>0</v>
      </c>
      <c r="W399">
        <v>0</v>
      </c>
      <c r="X399">
        <v>1</v>
      </c>
      <c r="Z399">
        <v>0</v>
      </c>
      <c r="AA399">
        <v>9</v>
      </c>
      <c r="AB399">
        <v>3</v>
      </c>
      <c r="AC399">
        <v>0</v>
      </c>
      <c r="AD399">
        <v>10</v>
      </c>
      <c r="AE399">
        <v>0</v>
      </c>
      <c r="AF399">
        <v>3</v>
      </c>
      <c r="AG399">
        <v>2</v>
      </c>
      <c r="AH399">
        <v>0</v>
      </c>
      <c r="AI399" t="s">
        <v>404</v>
      </c>
      <c r="AJ399">
        <v>39.555995000000003</v>
      </c>
      <c r="AK399" t="s">
        <v>405</v>
      </c>
      <c r="AL399">
        <v>-92.484819999999999</v>
      </c>
      <c r="AM399">
        <v>100</v>
      </c>
      <c r="AN399">
        <v>1900</v>
      </c>
      <c r="AO399" t="s">
        <v>118</v>
      </c>
      <c r="AP399">
        <v>-76</v>
      </c>
      <c r="AQ399">
        <v>122</v>
      </c>
      <c r="AR399">
        <v>0</v>
      </c>
      <c r="AZ399">
        <v>1200</v>
      </c>
      <c r="BA399">
        <v>1</v>
      </c>
      <c r="BB399" t="str">
        <f t="shared" ref="BB399:BB462" si="21">"N8080G  "</f>
        <v xml:space="preserve">N8080G  </v>
      </c>
      <c r="BC399">
        <v>1</v>
      </c>
      <c r="BE399">
        <v>0</v>
      </c>
      <c r="BF399">
        <v>0</v>
      </c>
      <c r="BG399">
        <v>0</v>
      </c>
      <c r="BH399">
        <v>1850</v>
      </c>
      <c r="BI399">
        <v>1</v>
      </c>
      <c r="BJ399">
        <v>1</v>
      </c>
      <c r="BK399">
        <v>1</v>
      </c>
      <c r="BL399">
        <v>0</v>
      </c>
      <c r="BO399">
        <v>0</v>
      </c>
      <c r="BP399">
        <v>0</v>
      </c>
      <c r="BW399" t="str">
        <f>"20:13:22.802"</f>
        <v>20:13:22.802</v>
      </c>
      <c r="CJ399">
        <v>0</v>
      </c>
      <c r="CK399">
        <v>2</v>
      </c>
      <c r="CL399">
        <v>0</v>
      </c>
      <c r="CM399">
        <v>2</v>
      </c>
      <c r="CN399">
        <v>0</v>
      </c>
      <c r="CO399">
        <v>5</v>
      </c>
      <c r="CP399" t="s">
        <v>119</v>
      </c>
      <c r="CQ399">
        <v>559</v>
      </c>
      <c r="CR399">
        <v>0</v>
      </c>
      <c r="CW399">
        <v>10404621</v>
      </c>
      <c r="CY399">
        <v>1</v>
      </c>
      <c r="CZ399">
        <v>0</v>
      </c>
      <c r="DA399">
        <v>1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</row>
    <row r="400" spans="1:113" x14ac:dyDescent="0.3">
      <c r="A400" t="str">
        <f>"02/08/2021 20:13:20.445"</f>
        <v>02/08/2021 20:13:20.445</v>
      </c>
      <c r="C400" t="str">
        <f t="shared" si="20"/>
        <v>FFDFD3C0</v>
      </c>
      <c r="D400" t="s">
        <v>141</v>
      </c>
      <c r="E400">
        <v>17</v>
      </c>
      <c r="H400">
        <v>256</v>
      </c>
      <c r="I400" t="s">
        <v>142</v>
      </c>
      <c r="J400" t="s">
        <v>143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>"20:13:22.797"</f>
        <v>20:13:22.797</v>
      </c>
      <c r="T400" t="str">
        <f>"20:13:22.297"</f>
        <v>20:13:22.297</v>
      </c>
      <c r="U400" t="str">
        <f t="shared" si="19"/>
        <v>AB01F4</v>
      </c>
      <c r="V400">
        <v>0</v>
      </c>
      <c r="W400">
        <v>0</v>
      </c>
      <c r="X400">
        <v>1</v>
      </c>
      <c r="Z400">
        <v>0</v>
      </c>
      <c r="AA400">
        <v>9</v>
      </c>
      <c r="AB400">
        <v>3</v>
      </c>
      <c r="AC400">
        <v>0</v>
      </c>
      <c r="AD400">
        <v>10</v>
      </c>
      <c r="AE400">
        <v>0</v>
      </c>
      <c r="AF400">
        <v>3</v>
      </c>
      <c r="AG400">
        <v>2</v>
      </c>
      <c r="AH400">
        <v>0</v>
      </c>
      <c r="AI400" t="s">
        <v>404</v>
      </c>
      <c r="AJ400">
        <v>39.555995000000003</v>
      </c>
      <c r="AK400" t="s">
        <v>405</v>
      </c>
      <c r="AL400">
        <v>-92.484819999999999</v>
      </c>
      <c r="AM400">
        <v>100</v>
      </c>
      <c r="AN400">
        <v>1900</v>
      </c>
      <c r="AO400" t="s">
        <v>118</v>
      </c>
      <c r="AP400">
        <v>-76</v>
      </c>
      <c r="AQ400">
        <v>122</v>
      </c>
      <c r="AR400">
        <v>0</v>
      </c>
      <c r="AZ400">
        <v>1200</v>
      </c>
      <c r="BA400">
        <v>1</v>
      </c>
      <c r="BB400" t="str">
        <f t="shared" si="21"/>
        <v xml:space="preserve">N8080G  </v>
      </c>
      <c r="BC400">
        <v>1</v>
      </c>
      <c r="BE400">
        <v>0</v>
      </c>
      <c r="BF400">
        <v>0</v>
      </c>
      <c r="BG400">
        <v>0</v>
      </c>
      <c r="BH400">
        <v>1850</v>
      </c>
      <c r="BI400">
        <v>1</v>
      </c>
      <c r="BJ400">
        <v>1</v>
      </c>
      <c r="BK400">
        <v>1</v>
      </c>
      <c r="BL400">
        <v>0</v>
      </c>
      <c r="BO400">
        <v>0</v>
      </c>
      <c r="BP400">
        <v>0</v>
      </c>
      <c r="BW400" t="str">
        <f>"20:13:22.802"</f>
        <v>20:13:22.802</v>
      </c>
      <c r="CJ400">
        <v>0</v>
      </c>
      <c r="CK400">
        <v>2</v>
      </c>
      <c r="CL400">
        <v>0</v>
      </c>
      <c r="CM400">
        <v>2</v>
      </c>
      <c r="CN400">
        <v>0</v>
      </c>
      <c r="CO400">
        <v>5</v>
      </c>
      <c r="CP400" t="s">
        <v>119</v>
      </c>
      <c r="CQ400">
        <v>559</v>
      </c>
      <c r="CR400">
        <v>0</v>
      </c>
      <c r="CW400">
        <v>10404621</v>
      </c>
      <c r="CY400">
        <v>1</v>
      </c>
      <c r="CZ400">
        <v>0</v>
      </c>
      <c r="DA400">
        <v>1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</row>
    <row r="401" spans="1:113" x14ac:dyDescent="0.3">
      <c r="A401" t="str">
        <f>"02/08/2021 20:13:21.592"</f>
        <v>02/08/2021 20:13:21.592</v>
      </c>
      <c r="C401" t="str">
        <f t="shared" si="20"/>
        <v>FFDFD3C0</v>
      </c>
      <c r="D401" t="s">
        <v>113</v>
      </c>
      <c r="E401">
        <v>6</v>
      </c>
      <c r="H401">
        <v>165</v>
      </c>
      <c r="I401" t="s">
        <v>114</v>
      </c>
      <c r="J401" t="s">
        <v>115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>"20:13:23.875"</f>
        <v>20:13:23.875</v>
      </c>
      <c r="U401" t="str">
        <f t="shared" si="19"/>
        <v>AB01F4</v>
      </c>
      <c r="V401">
        <v>0</v>
      </c>
      <c r="W401">
        <v>0</v>
      </c>
      <c r="X401">
        <v>1</v>
      </c>
      <c r="Z401">
        <v>0</v>
      </c>
      <c r="AA401">
        <v>9</v>
      </c>
      <c r="AB401">
        <v>3</v>
      </c>
      <c r="AC401">
        <v>0</v>
      </c>
      <c r="AD401">
        <v>10</v>
      </c>
      <c r="AE401">
        <v>0</v>
      </c>
      <c r="AF401">
        <v>3</v>
      </c>
      <c r="AG401">
        <v>2</v>
      </c>
      <c r="AH401">
        <v>0</v>
      </c>
      <c r="AI401" t="s">
        <v>406</v>
      </c>
      <c r="AJ401">
        <v>39.556638999999997</v>
      </c>
      <c r="AK401" t="s">
        <v>407</v>
      </c>
      <c r="AL401">
        <v>-92.485355999999996</v>
      </c>
      <c r="AM401">
        <v>100</v>
      </c>
      <c r="AN401">
        <v>1900</v>
      </c>
      <c r="AO401" t="s">
        <v>118</v>
      </c>
      <c r="AP401">
        <v>-76</v>
      </c>
      <c r="AQ401">
        <v>122</v>
      </c>
      <c r="AR401">
        <v>0</v>
      </c>
      <c r="AZ401">
        <v>1200</v>
      </c>
      <c r="BA401">
        <v>1</v>
      </c>
      <c r="BB401" t="str">
        <f t="shared" si="21"/>
        <v xml:space="preserve">N8080G  </v>
      </c>
      <c r="BC401">
        <v>1</v>
      </c>
      <c r="BE401">
        <v>0</v>
      </c>
      <c r="BF401">
        <v>0</v>
      </c>
      <c r="BG401">
        <v>0</v>
      </c>
      <c r="BH401">
        <v>1850</v>
      </c>
      <c r="BI401">
        <v>1</v>
      </c>
      <c r="BJ401">
        <v>1</v>
      </c>
      <c r="BK401">
        <v>1</v>
      </c>
      <c r="BL401">
        <v>0</v>
      </c>
      <c r="BO401">
        <v>0</v>
      </c>
      <c r="BP401">
        <v>0</v>
      </c>
      <c r="BW401" t="str">
        <f>"20:13:23.878"</f>
        <v>20:13:23.878</v>
      </c>
      <c r="CJ401">
        <v>0</v>
      </c>
      <c r="CK401">
        <v>2</v>
      </c>
      <c r="CL401">
        <v>0</v>
      </c>
      <c r="CM401">
        <v>2</v>
      </c>
      <c r="CN401">
        <v>0</v>
      </c>
      <c r="CO401">
        <v>5</v>
      </c>
      <c r="CP401" t="s">
        <v>119</v>
      </c>
      <c r="CQ401">
        <v>559</v>
      </c>
      <c r="CR401">
        <v>0</v>
      </c>
      <c r="CW401">
        <v>10404775</v>
      </c>
      <c r="CY401">
        <v>1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</row>
    <row r="402" spans="1:113" x14ac:dyDescent="0.3">
      <c r="A402" t="str">
        <f>"02/08/2021 20:13:21.592"</f>
        <v>02/08/2021 20:13:21.592</v>
      </c>
      <c r="C402" t="str">
        <f t="shared" si="20"/>
        <v>FFDFD3C0</v>
      </c>
      <c r="D402" t="s">
        <v>141</v>
      </c>
      <c r="E402">
        <v>17</v>
      </c>
      <c r="H402">
        <v>256</v>
      </c>
      <c r="I402" t="s">
        <v>142</v>
      </c>
      <c r="J402" t="s">
        <v>143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>"20:13:23.875"</f>
        <v>20:13:23.875</v>
      </c>
      <c r="U402" t="str">
        <f t="shared" si="19"/>
        <v>AB01F4</v>
      </c>
      <c r="V402">
        <v>0</v>
      </c>
      <c r="W402">
        <v>0</v>
      </c>
      <c r="X402">
        <v>1</v>
      </c>
      <c r="Z402">
        <v>0</v>
      </c>
      <c r="AA402">
        <v>9</v>
      </c>
      <c r="AB402">
        <v>3</v>
      </c>
      <c r="AC402">
        <v>0</v>
      </c>
      <c r="AD402">
        <v>10</v>
      </c>
      <c r="AE402">
        <v>0</v>
      </c>
      <c r="AF402">
        <v>3</v>
      </c>
      <c r="AG402">
        <v>2</v>
      </c>
      <c r="AH402">
        <v>0</v>
      </c>
      <c r="AI402" t="s">
        <v>406</v>
      </c>
      <c r="AJ402">
        <v>39.556638999999997</v>
      </c>
      <c r="AK402" t="s">
        <v>407</v>
      </c>
      <c r="AL402">
        <v>-92.485355999999996</v>
      </c>
      <c r="AM402">
        <v>100</v>
      </c>
      <c r="AN402">
        <v>1900</v>
      </c>
      <c r="AO402" t="s">
        <v>118</v>
      </c>
      <c r="AP402">
        <v>-76</v>
      </c>
      <c r="AQ402">
        <v>122</v>
      </c>
      <c r="AR402">
        <v>0</v>
      </c>
      <c r="AZ402">
        <v>1200</v>
      </c>
      <c r="BA402">
        <v>1</v>
      </c>
      <c r="BB402" t="str">
        <f t="shared" si="21"/>
        <v xml:space="preserve">N8080G  </v>
      </c>
      <c r="BC402">
        <v>1</v>
      </c>
      <c r="BE402">
        <v>0</v>
      </c>
      <c r="BF402">
        <v>0</v>
      </c>
      <c r="BG402">
        <v>0</v>
      </c>
      <c r="BH402">
        <v>1850</v>
      </c>
      <c r="BI402">
        <v>1</v>
      </c>
      <c r="BJ402">
        <v>1</v>
      </c>
      <c r="BK402">
        <v>1</v>
      </c>
      <c r="BL402">
        <v>0</v>
      </c>
      <c r="BO402">
        <v>0</v>
      </c>
      <c r="BP402">
        <v>0</v>
      </c>
      <c r="BW402" t="str">
        <f>"20:13:23.878"</f>
        <v>20:13:23.878</v>
      </c>
      <c r="CJ402">
        <v>0</v>
      </c>
      <c r="CK402">
        <v>2</v>
      </c>
      <c r="CL402">
        <v>0</v>
      </c>
      <c r="CM402">
        <v>2</v>
      </c>
      <c r="CN402">
        <v>0</v>
      </c>
      <c r="CO402">
        <v>5</v>
      </c>
      <c r="CP402" t="s">
        <v>119</v>
      </c>
      <c r="CQ402">
        <v>559</v>
      </c>
      <c r="CR402">
        <v>0</v>
      </c>
      <c r="CW402">
        <v>10404775</v>
      </c>
      <c r="CY402">
        <v>1</v>
      </c>
      <c r="CZ402">
        <v>0</v>
      </c>
      <c r="DA402">
        <v>1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</row>
    <row r="403" spans="1:113" x14ac:dyDescent="0.3">
      <c r="A403" t="str">
        <f>"02/08/2021 20:13:21.592"</f>
        <v>02/08/2021 20:13:21.592</v>
      </c>
      <c r="C403" t="str">
        <f t="shared" si="20"/>
        <v>FFDFD3C0</v>
      </c>
      <c r="D403" t="s">
        <v>124</v>
      </c>
      <c r="E403">
        <v>13</v>
      </c>
      <c r="F403">
        <v>1013</v>
      </c>
      <c r="G403" t="s">
        <v>114</v>
      </c>
      <c r="J403" t="s">
        <v>125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>"20:13:23.875"</f>
        <v>20:13:23.875</v>
      </c>
      <c r="U403" t="str">
        <f t="shared" si="19"/>
        <v>AB01F4</v>
      </c>
      <c r="V403">
        <v>0</v>
      </c>
      <c r="W403">
        <v>0</v>
      </c>
      <c r="X403">
        <v>1</v>
      </c>
      <c r="Z403">
        <v>0</v>
      </c>
      <c r="AA403">
        <v>9</v>
      </c>
      <c r="AB403">
        <v>3</v>
      </c>
      <c r="AC403">
        <v>0</v>
      </c>
      <c r="AD403">
        <v>10</v>
      </c>
      <c r="AE403">
        <v>0</v>
      </c>
      <c r="AF403">
        <v>3</v>
      </c>
      <c r="AG403">
        <v>2</v>
      </c>
      <c r="AH403">
        <v>0</v>
      </c>
      <c r="AI403" t="s">
        <v>406</v>
      </c>
      <c r="AJ403">
        <v>39.556638999999997</v>
      </c>
      <c r="AK403" t="s">
        <v>407</v>
      </c>
      <c r="AL403">
        <v>-92.485355999999996</v>
      </c>
      <c r="AM403">
        <v>100</v>
      </c>
      <c r="AN403">
        <v>1900</v>
      </c>
      <c r="AO403" t="s">
        <v>118</v>
      </c>
      <c r="AP403">
        <v>-76</v>
      </c>
      <c r="AQ403">
        <v>122</v>
      </c>
      <c r="AR403">
        <v>0</v>
      </c>
      <c r="AZ403">
        <v>1200</v>
      </c>
      <c r="BA403">
        <v>1</v>
      </c>
      <c r="BB403" t="str">
        <f t="shared" si="21"/>
        <v xml:space="preserve">N8080G  </v>
      </c>
      <c r="BC403">
        <v>1</v>
      </c>
      <c r="BE403">
        <v>0</v>
      </c>
      <c r="BF403">
        <v>0</v>
      </c>
      <c r="BG403">
        <v>0</v>
      </c>
      <c r="BH403">
        <v>1850</v>
      </c>
      <c r="BI403">
        <v>1</v>
      </c>
      <c r="BJ403">
        <v>1</v>
      </c>
      <c r="BK403">
        <v>1</v>
      </c>
      <c r="BL403">
        <v>0</v>
      </c>
      <c r="BO403">
        <v>0</v>
      </c>
      <c r="BP403">
        <v>0</v>
      </c>
      <c r="BW403" t="str">
        <f>"20:13:23.878"</f>
        <v>20:13:23.878</v>
      </c>
      <c r="CJ403">
        <v>0</v>
      </c>
      <c r="CK403">
        <v>2</v>
      </c>
      <c r="CL403">
        <v>0</v>
      </c>
      <c r="CM403">
        <v>2</v>
      </c>
      <c r="CN403">
        <v>0</v>
      </c>
      <c r="CO403">
        <v>5</v>
      </c>
      <c r="CP403" t="s">
        <v>119</v>
      </c>
      <c r="CQ403">
        <v>559</v>
      </c>
      <c r="CR403">
        <v>0</v>
      </c>
      <c r="CW403">
        <v>10404775</v>
      </c>
      <c r="CY403">
        <v>1</v>
      </c>
      <c r="CZ403">
        <v>0</v>
      </c>
      <c r="DA403">
        <v>1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</row>
    <row r="404" spans="1:113" x14ac:dyDescent="0.3">
      <c r="A404" t="str">
        <f>"02/08/2021 20:13:22.455"</f>
        <v>02/08/2021 20:13:22.455</v>
      </c>
      <c r="C404" t="str">
        <f t="shared" si="20"/>
        <v>FFDFD3C0</v>
      </c>
      <c r="D404" t="s">
        <v>113</v>
      </c>
      <c r="E404">
        <v>6</v>
      </c>
      <c r="H404">
        <v>165</v>
      </c>
      <c r="I404" t="s">
        <v>114</v>
      </c>
      <c r="J404" t="s">
        <v>115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>"20:13:24.805"</f>
        <v>20:13:24.805</v>
      </c>
      <c r="T404" t="str">
        <f>"20:13:24.405"</f>
        <v>20:13:24.405</v>
      </c>
      <c r="U404" t="str">
        <f t="shared" si="19"/>
        <v>AB01F4</v>
      </c>
      <c r="V404">
        <v>0</v>
      </c>
      <c r="W404">
        <v>0</v>
      </c>
      <c r="X404">
        <v>1</v>
      </c>
      <c r="Z404">
        <v>0</v>
      </c>
      <c r="AA404">
        <v>9</v>
      </c>
      <c r="AB404">
        <v>3</v>
      </c>
      <c r="AC404">
        <v>0</v>
      </c>
      <c r="AD404">
        <v>10</v>
      </c>
      <c r="AE404">
        <v>0</v>
      </c>
      <c r="AF404">
        <v>3</v>
      </c>
      <c r="AG404">
        <v>2</v>
      </c>
      <c r="AH404">
        <v>0</v>
      </c>
      <c r="AI404" t="s">
        <v>408</v>
      </c>
      <c r="AJ404">
        <v>39.557197000000002</v>
      </c>
      <c r="AK404" t="s">
        <v>409</v>
      </c>
      <c r="AL404">
        <v>-92.485785000000007</v>
      </c>
      <c r="AM404">
        <v>100</v>
      </c>
      <c r="AN404">
        <v>1900</v>
      </c>
      <c r="AO404" t="s">
        <v>118</v>
      </c>
      <c r="AP404">
        <v>-76</v>
      </c>
      <c r="AQ404">
        <v>122</v>
      </c>
      <c r="AR404">
        <v>0</v>
      </c>
      <c r="AZ404">
        <v>1200</v>
      </c>
      <c r="BA404">
        <v>1</v>
      </c>
      <c r="BB404" t="str">
        <f t="shared" si="21"/>
        <v xml:space="preserve">N8080G  </v>
      </c>
      <c r="BC404">
        <v>1</v>
      </c>
      <c r="BE404">
        <v>0</v>
      </c>
      <c r="BF404">
        <v>0</v>
      </c>
      <c r="BG404">
        <v>0</v>
      </c>
      <c r="BH404">
        <v>1850</v>
      </c>
      <c r="BI404">
        <v>1</v>
      </c>
      <c r="BJ404">
        <v>1</v>
      </c>
      <c r="BK404">
        <v>1</v>
      </c>
      <c r="BL404">
        <v>0</v>
      </c>
      <c r="BO404">
        <v>0</v>
      </c>
      <c r="BP404">
        <v>0</v>
      </c>
      <c r="BW404" t="str">
        <f>"20:13:24.807"</f>
        <v>20:13:24.807</v>
      </c>
      <c r="CJ404">
        <v>0</v>
      </c>
      <c r="CK404">
        <v>2</v>
      </c>
      <c r="CL404">
        <v>0</v>
      </c>
      <c r="CM404">
        <v>2</v>
      </c>
      <c r="CN404">
        <v>0</v>
      </c>
      <c r="CO404">
        <v>6</v>
      </c>
      <c r="CP404" t="s">
        <v>119</v>
      </c>
      <c r="CQ404">
        <v>180</v>
      </c>
      <c r="CR404">
        <v>2</v>
      </c>
      <c r="CW404">
        <v>7838337</v>
      </c>
      <c r="CY404">
        <v>1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</row>
    <row r="405" spans="1:113" x14ac:dyDescent="0.3">
      <c r="A405" t="str">
        <f>"02/08/2021 20:13:22.455"</f>
        <v>02/08/2021 20:13:22.455</v>
      </c>
      <c r="C405" t="str">
        <f t="shared" si="20"/>
        <v>FFDFD3C0</v>
      </c>
      <c r="D405" t="s">
        <v>141</v>
      </c>
      <c r="E405">
        <v>17</v>
      </c>
      <c r="H405">
        <v>256</v>
      </c>
      <c r="I405" t="s">
        <v>142</v>
      </c>
      <c r="J405" t="s">
        <v>143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>"20:13:24.805"</f>
        <v>20:13:24.805</v>
      </c>
      <c r="T405" t="str">
        <f>"20:13:24.405"</f>
        <v>20:13:24.405</v>
      </c>
      <c r="U405" t="str">
        <f t="shared" si="19"/>
        <v>AB01F4</v>
      </c>
      <c r="V405">
        <v>0</v>
      </c>
      <c r="W405">
        <v>0</v>
      </c>
      <c r="X405">
        <v>1</v>
      </c>
      <c r="Z405">
        <v>0</v>
      </c>
      <c r="AA405">
        <v>9</v>
      </c>
      <c r="AB405">
        <v>3</v>
      </c>
      <c r="AC405">
        <v>0</v>
      </c>
      <c r="AD405">
        <v>10</v>
      </c>
      <c r="AE405">
        <v>0</v>
      </c>
      <c r="AF405">
        <v>3</v>
      </c>
      <c r="AG405">
        <v>2</v>
      </c>
      <c r="AH405">
        <v>0</v>
      </c>
      <c r="AI405" t="s">
        <v>408</v>
      </c>
      <c r="AJ405">
        <v>39.557197000000002</v>
      </c>
      <c r="AK405" t="s">
        <v>409</v>
      </c>
      <c r="AL405">
        <v>-92.485785000000007</v>
      </c>
      <c r="AM405">
        <v>100</v>
      </c>
      <c r="AN405">
        <v>1900</v>
      </c>
      <c r="AO405" t="s">
        <v>118</v>
      </c>
      <c r="AP405">
        <v>-76</v>
      </c>
      <c r="AQ405">
        <v>122</v>
      </c>
      <c r="AR405">
        <v>0</v>
      </c>
      <c r="AZ405">
        <v>1200</v>
      </c>
      <c r="BA405">
        <v>1</v>
      </c>
      <c r="BB405" t="str">
        <f t="shared" si="21"/>
        <v xml:space="preserve">N8080G  </v>
      </c>
      <c r="BC405">
        <v>1</v>
      </c>
      <c r="BE405">
        <v>0</v>
      </c>
      <c r="BF405">
        <v>0</v>
      </c>
      <c r="BG405">
        <v>0</v>
      </c>
      <c r="BH405">
        <v>1850</v>
      </c>
      <c r="BI405">
        <v>1</v>
      </c>
      <c r="BJ405">
        <v>1</v>
      </c>
      <c r="BK405">
        <v>1</v>
      </c>
      <c r="BL405">
        <v>0</v>
      </c>
      <c r="BO405">
        <v>0</v>
      </c>
      <c r="BP405">
        <v>0</v>
      </c>
      <c r="BW405" t="str">
        <f>"20:13:24.807"</f>
        <v>20:13:24.807</v>
      </c>
      <c r="CJ405">
        <v>0</v>
      </c>
      <c r="CK405">
        <v>2</v>
      </c>
      <c r="CL405">
        <v>0</v>
      </c>
      <c r="CM405">
        <v>2</v>
      </c>
      <c r="CN405">
        <v>0</v>
      </c>
      <c r="CO405">
        <v>5</v>
      </c>
      <c r="CP405" t="s">
        <v>119</v>
      </c>
      <c r="CQ405">
        <v>559</v>
      </c>
      <c r="CR405">
        <v>0</v>
      </c>
      <c r="CW405">
        <v>10404923</v>
      </c>
      <c r="CY405">
        <v>1</v>
      </c>
      <c r="CZ405">
        <v>0</v>
      </c>
      <c r="DA405">
        <v>1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</row>
    <row r="406" spans="1:113" x14ac:dyDescent="0.3">
      <c r="A406" t="str">
        <f>"02/08/2021 20:13:22.455"</f>
        <v>02/08/2021 20:13:22.455</v>
      </c>
      <c r="C406" t="str">
        <f t="shared" si="20"/>
        <v>FFDFD3C0</v>
      </c>
      <c r="D406" t="s">
        <v>124</v>
      </c>
      <c r="E406">
        <v>13</v>
      </c>
      <c r="F406">
        <v>1013</v>
      </c>
      <c r="G406" t="s">
        <v>114</v>
      </c>
      <c r="J406" t="s">
        <v>125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>"20:13:24.805"</f>
        <v>20:13:24.805</v>
      </c>
      <c r="T406" t="str">
        <f>"20:13:24.405"</f>
        <v>20:13:24.405</v>
      </c>
      <c r="U406" t="str">
        <f t="shared" si="19"/>
        <v>AB01F4</v>
      </c>
      <c r="V406">
        <v>0</v>
      </c>
      <c r="W406">
        <v>0</v>
      </c>
      <c r="X406">
        <v>1</v>
      </c>
      <c r="Z406">
        <v>0</v>
      </c>
      <c r="AA406">
        <v>9</v>
      </c>
      <c r="AB406">
        <v>3</v>
      </c>
      <c r="AC406">
        <v>0</v>
      </c>
      <c r="AD406">
        <v>10</v>
      </c>
      <c r="AE406">
        <v>0</v>
      </c>
      <c r="AF406">
        <v>3</v>
      </c>
      <c r="AG406">
        <v>2</v>
      </c>
      <c r="AH406">
        <v>0</v>
      </c>
      <c r="AI406" t="s">
        <v>408</v>
      </c>
      <c r="AJ406">
        <v>39.557197000000002</v>
      </c>
      <c r="AK406" t="s">
        <v>409</v>
      </c>
      <c r="AL406">
        <v>-92.485785000000007</v>
      </c>
      <c r="AM406">
        <v>100</v>
      </c>
      <c r="AN406">
        <v>1900</v>
      </c>
      <c r="AO406" t="s">
        <v>118</v>
      </c>
      <c r="AP406">
        <v>-76</v>
      </c>
      <c r="AQ406">
        <v>122</v>
      </c>
      <c r="AR406">
        <v>0</v>
      </c>
      <c r="AZ406">
        <v>1200</v>
      </c>
      <c r="BA406">
        <v>1</v>
      </c>
      <c r="BB406" t="str">
        <f t="shared" si="21"/>
        <v xml:space="preserve">N8080G  </v>
      </c>
      <c r="BC406">
        <v>1</v>
      </c>
      <c r="BE406">
        <v>0</v>
      </c>
      <c r="BF406">
        <v>0</v>
      </c>
      <c r="BG406">
        <v>0</v>
      </c>
      <c r="BH406">
        <v>1850</v>
      </c>
      <c r="BI406">
        <v>1</v>
      </c>
      <c r="BJ406">
        <v>1</v>
      </c>
      <c r="BK406">
        <v>1</v>
      </c>
      <c r="BL406">
        <v>0</v>
      </c>
      <c r="BO406">
        <v>0</v>
      </c>
      <c r="BP406">
        <v>0</v>
      </c>
      <c r="BW406" t="str">
        <f>"20:13:24.807"</f>
        <v>20:13:24.807</v>
      </c>
      <c r="CJ406">
        <v>0</v>
      </c>
      <c r="CK406">
        <v>2</v>
      </c>
      <c r="CL406">
        <v>0</v>
      </c>
      <c r="CM406">
        <v>2</v>
      </c>
      <c r="CN406">
        <v>0</v>
      </c>
      <c r="CO406">
        <v>6</v>
      </c>
      <c r="CP406" t="s">
        <v>119</v>
      </c>
      <c r="CQ406">
        <v>180</v>
      </c>
      <c r="CR406">
        <v>2</v>
      </c>
      <c r="CW406">
        <v>7838337</v>
      </c>
      <c r="CY406">
        <v>1</v>
      </c>
      <c r="CZ406">
        <v>0</v>
      </c>
      <c r="DA406">
        <v>1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</row>
    <row r="407" spans="1:113" x14ac:dyDescent="0.3">
      <c r="A407" t="str">
        <f>"02/08/2021 20:13:23.465"</f>
        <v>02/08/2021 20:13:23.465</v>
      </c>
      <c r="C407" t="str">
        <f t="shared" si="20"/>
        <v>FFDFD3C0</v>
      </c>
      <c r="D407" t="s">
        <v>141</v>
      </c>
      <c r="E407">
        <v>17</v>
      </c>
      <c r="H407">
        <v>256</v>
      </c>
      <c r="I407" t="s">
        <v>142</v>
      </c>
      <c r="J407" t="s">
        <v>143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>"20:13:25.773"</f>
        <v>20:13:25.773</v>
      </c>
      <c r="T407" t="str">
        <f>"20:13:25.373"</f>
        <v>20:13:25.373</v>
      </c>
      <c r="U407" t="str">
        <f t="shared" si="19"/>
        <v>AB01F4</v>
      </c>
      <c r="V407">
        <v>0</v>
      </c>
      <c r="W407">
        <v>0</v>
      </c>
      <c r="X407">
        <v>1</v>
      </c>
      <c r="Z407">
        <v>0</v>
      </c>
      <c r="AA407">
        <v>9</v>
      </c>
      <c r="AB407">
        <v>3</v>
      </c>
      <c r="AC407">
        <v>0</v>
      </c>
      <c r="AD407">
        <v>10</v>
      </c>
      <c r="AE407">
        <v>0</v>
      </c>
      <c r="AF407">
        <v>3</v>
      </c>
      <c r="AG407">
        <v>2</v>
      </c>
      <c r="AH407">
        <v>0</v>
      </c>
      <c r="AI407" t="s">
        <v>410</v>
      </c>
      <c r="AJ407">
        <v>39.557690999999998</v>
      </c>
      <c r="AK407" t="s">
        <v>411</v>
      </c>
      <c r="AL407">
        <v>-92.486193</v>
      </c>
      <c r="AM407">
        <v>100</v>
      </c>
      <c r="AN407">
        <v>1900</v>
      </c>
      <c r="AO407" t="s">
        <v>118</v>
      </c>
      <c r="AP407">
        <v>-76</v>
      </c>
      <c r="AQ407">
        <v>122</v>
      </c>
      <c r="AR407">
        <v>0</v>
      </c>
      <c r="AZ407">
        <v>1200</v>
      </c>
      <c r="BA407">
        <v>1</v>
      </c>
      <c r="BB407" t="str">
        <f t="shared" si="21"/>
        <v xml:space="preserve">N8080G  </v>
      </c>
      <c r="BC407">
        <v>1</v>
      </c>
      <c r="BE407">
        <v>0</v>
      </c>
      <c r="BF407">
        <v>0</v>
      </c>
      <c r="BG407">
        <v>0</v>
      </c>
      <c r="BH407">
        <v>1850</v>
      </c>
      <c r="BI407">
        <v>1</v>
      </c>
      <c r="BJ407">
        <v>1</v>
      </c>
      <c r="BK407">
        <v>1</v>
      </c>
      <c r="BL407">
        <v>0</v>
      </c>
      <c r="BO407">
        <v>0</v>
      </c>
      <c r="BP407">
        <v>0</v>
      </c>
      <c r="BW407" t="str">
        <f>"20:13:25.777"</f>
        <v>20:13:25.777</v>
      </c>
      <c r="CJ407">
        <v>0</v>
      </c>
      <c r="CK407">
        <v>2</v>
      </c>
      <c r="CL407">
        <v>0</v>
      </c>
      <c r="CM407">
        <v>2</v>
      </c>
      <c r="CN407">
        <v>0</v>
      </c>
      <c r="CO407">
        <v>5</v>
      </c>
      <c r="CP407" t="s">
        <v>119</v>
      </c>
      <c r="CQ407">
        <v>559</v>
      </c>
      <c r="CR407">
        <v>0</v>
      </c>
      <c r="CW407">
        <v>10405067</v>
      </c>
      <c r="CY407">
        <v>1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</row>
    <row r="408" spans="1:113" x14ac:dyDescent="0.3">
      <c r="A408" t="str">
        <f>"02/08/2021 20:13:23.465"</f>
        <v>02/08/2021 20:13:23.465</v>
      </c>
      <c r="C408" t="str">
        <f t="shared" si="20"/>
        <v>FFDFD3C0</v>
      </c>
      <c r="D408" t="s">
        <v>113</v>
      </c>
      <c r="E408">
        <v>6</v>
      </c>
      <c r="H408">
        <v>165</v>
      </c>
      <c r="I408" t="s">
        <v>114</v>
      </c>
      <c r="J408" t="s">
        <v>115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>"20:13:25.773"</f>
        <v>20:13:25.773</v>
      </c>
      <c r="T408" t="str">
        <f>"20:13:25.373"</f>
        <v>20:13:25.373</v>
      </c>
      <c r="U408" t="str">
        <f t="shared" si="19"/>
        <v>AB01F4</v>
      </c>
      <c r="V408">
        <v>0</v>
      </c>
      <c r="W408">
        <v>0</v>
      </c>
      <c r="X408">
        <v>1</v>
      </c>
      <c r="Z408">
        <v>0</v>
      </c>
      <c r="AA408">
        <v>9</v>
      </c>
      <c r="AB408">
        <v>3</v>
      </c>
      <c r="AC408">
        <v>0</v>
      </c>
      <c r="AD408">
        <v>10</v>
      </c>
      <c r="AE408">
        <v>0</v>
      </c>
      <c r="AF408">
        <v>3</v>
      </c>
      <c r="AG408">
        <v>2</v>
      </c>
      <c r="AH408">
        <v>0</v>
      </c>
      <c r="AI408" t="s">
        <v>410</v>
      </c>
      <c r="AJ408">
        <v>39.557690999999998</v>
      </c>
      <c r="AK408" t="s">
        <v>411</v>
      </c>
      <c r="AL408">
        <v>-92.486193</v>
      </c>
      <c r="AM408">
        <v>100</v>
      </c>
      <c r="AN408">
        <v>1900</v>
      </c>
      <c r="AO408" t="s">
        <v>118</v>
      </c>
      <c r="AP408">
        <v>-76</v>
      </c>
      <c r="AQ408">
        <v>122</v>
      </c>
      <c r="AR408">
        <v>0</v>
      </c>
      <c r="AZ408">
        <v>1200</v>
      </c>
      <c r="BA408">
        <v>1</v>
      </c>
      <c r="BB408" t="str">
        <f t="shared" si="21"/>
        <v xml:space="preserve">N8080G  </v>
      </c>
      <c r="BC408">
        <v>1</v>
      </c>
      <c r="BE408">
        <v>0</v>
      </c>
      <c r="BF408">
        <v>0</v>
      </c>
      <c r="BG408">
        <v>0</v>
      </c>
      <c r="BH408">
        <v>1850</v>
      </c>
      <c r="BI408">
        <v>1</v>
      </c>
      <c r="BJ408">
        <v>1</v>
      </c>
      <c r="BK408">
        <v>1</v>
      </c>
      <c r="BL408">
        <v>0</v>
      </c>
      <c r="BO408">
        <v>0</v>
      </c>
      <c r="BP408">
        <v>0</v>
      </c>
      <c r="BW408" t="str">
        <f>"20:13:25.777"</f>
        <v>20:13:25.777</v>
      </c>
      <c r="CJ408">
        <v>0</v>
      </c>
      <c r="CK408">
        <v>2</v>
      </c>
      <c r="CL408">
        <v>0</v>
      </c>
      <c r="CM408">
        <v>2</v>
      </c>
      <c r="CN408">
        <v>0</v>
      </c>
      <c r="CO408">
        <v>5</v>
      </c>
      <c r="CP408" t="s">
        <v>119</v>
      </c>
      <c r="CQ408">
        <v>559</v>
      </c>
      <c r="CR408">
        <v>0</v>
      </c>
      <c r="CW408">
        <v>10405067</v>
      </c>
      <c r="CY408">
        <v>1</v>
      </c>
      <c r="CZ408">
        <v>0</v>
      </c>
      <c r="DA408">
        <v>1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</row>
    <row r="409" spans="1:113" x14ac:dyDescent="0.3">
      <c r="A409" t="str">
        <f>"02/08/2021 20:13:23.465"</f>
        <v>02/08/2021 20:13:23.465</v>
      </c>
      <c r="C409" t="str">
        <f t="shared" si="20"/>
        <v>FFDFD3C0</v>
      </c>
      <c r="D409" t="s">
        <v>124</v>
      </c>
      <c r="E409">
        <v>13</v>
      </c>
      <c r="F409">
        <v>1013</v>
      </c>
      <c r="G409" t="s">
        <v>114</v>
      </c>
      <c r="J409" t="s">
        <v>125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>"20:13:25.773"</f>
        <v>20:13:25.773</v>
      </c>
      <c r="T409" t="str">
        <f>"20:13:25.373"</f>
        <v>20:13:25.373</v>
      </c>
      <c r="U409" t="str">
        <f t="shared" si="19"/>
        <v>AB01F4</v>
      </c>
      <c r="V409">
        <v>0</v>
      </c>
      <c r="W409">
        <v>0</v>
      </c>
      <c r="X409">
        <v>1</v>
      </c>
      <c r="Z409">
        <v>0</v>
      </c>
      <c r="AA409">
        <v>9</v>
      </c>
      <c r="AB409">
        <v>3</v>
      </c>
      <c r="AC409">
        <v>0</v>
      </c>
      <c r="AD409">
        <v>10</v>
      </c>
      <c r="AE409">
        <v>0</v>
      </c>
      <c r="AF409">
        <v>3</v>
      </c>
      <c r="AG409">
        <v>2</v>
      </c>
      <c r="AH409">
        <v>0</v>
      </c>
      <c r="AI409" t="s">
        <v>410</v>
      </c>
      <c r="AJ409">
        <v>39.557690999999998</v>
      </c>
      <c r="AK409" t="s">
        <v>411</v>
      </c>
      <c r="AL409">
        <v>-92.486193</v>
      </c>
      <c r="AM409">
        <v>100</v>
      </c>
      <c r="AN409">
        <v>1900</v>
      </c>
      <c r="AO409" t="s">
        <v>118</v>
      </c>
      <c r="AP409">
        <v>-76</v>
      </c>
      <c r="AQ409">
        <v>122</v>
      </c>
      <c r="AR409">
        <v>0</v>
      </c>
      <c r="AZ409">
        <v>1200</v>
      </c>
      <c r="BA409">
        <v>1</v>
      </c>
      <c r="BB409" t="str">
        <f t="shared" si="21"/>
        <v xml:space="preserve">N8080G  </v>
      </c>
      <c r="BC409">
        <v>1</v>
      </c>
      <c r="BE409">
        <v>0</v>
      </c>
      <c r="BF409">
        <v>0</v>
      </c>
      <c r="BG409">
        <v>0</v>
      </c>
      <c r="BH409">
        <v>1850</v>
      </c>
      <c r="BI409">
        <v>1</v>
      </c>
      <c r="BJ409">
        <v>1</v>
      </c>
      <c r="BK409">
        <v>1</v>
      </c>
      <c r="BL409">
        <v>0</v>
      </c>
      <c r="BO409">
        <v>0</v>
      </c>
      <c r="BP409">
        <v>0</v>
      </c>
      <c r="BW409" t="str">
        <f>"20:13:25.777"</f>
        <v>20:13:25.777</v>
      </c>
      <c r="CJ409">
        <v>0</v>
      </c>
      <c r="CK409">
        <v>2</v>
      </c>
      <c r="CL409">
        <v>0</v>
      </c>
      <c r="CM409">
        <v>2</v>
      </c>
      <c r="CN409">
        <v>0</v>
      </c>
      <c r="CO409">
        <v>5</v>
      </c>
      <c r="CP409" t="s">
        <v>119</v>
      </c>
      <c r="CQ409">
        <v>559</v>
      </c>
      <c r="CR409">
        <v>0</v>
      </c>
      <c r="CW409">
        <v>10405067</v>
      </c>
      <c r="CY409">
        <v>1</v>
      </c>
      <c r="CZ409">
        <v>0</v>
      </c>
      <c r="DA409">
        <v>1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</row>
    <row r="410" spans="1:113" x14ac:dyDescent="0.3">
      <c r="A410" t="str">
        <f>"02/08/2021 20:13:24.321"</f>
        <v>02/08/2021 20:13:24.321</v>
      </c>
      <c r="C410" t="str">
        <f t="shared" si="20"/>
        <v>FFDFD3C0</v>
      </c>
      <c r="D410" t="s">
        <v>124</v>
      </c>
      <c r="E410">
        <v>13</v>
      </c>
      <c r="F410">
        <v>1013</v>
      </c>
      <c r="G410" t="s">
        <v>114</v>
      </c>
      <c r="J410" t="s">
        <v>125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>"20:13:26.641"</f>
        <v>20:13:26.641</v>
      </c>
      <c r="T410" t="str">
        <f>"20:13:26.241"</f>
        <v>20:13:26.241</v>
      </c>
      <c r="U410" t="str">
        <f t="shared" si="19"/>
        <v>AB01F4</v>
      </c>
      <c r="V410">
        <v>0</v>
      </c>
      <c r="W410">
        <v>0</v>
      </c>
      <c r="X410">
        <v>1</v>
      </c>
      <c r="Z410">
        <v>0</v>
      </c>
      <c r="AA410">
        <v>9</v>
      </c>
      <c r="AB410">
        <v>3</v>
      </c>
      <c r="AC410">
        <v>0</v>
      </c>
      <c r="AD410">
        <v>10</v>
      </c>
      <c r="AE410">
        <v>0</v>
      </c>
      <c r="AF410">
        <v>3</v>
      </c>
      <c r="AG410">
        <v>2</v>
      </c>
      <c r="AH410">
        <v>0</v>
      </c>
      <c r="AI410" t="s">
        <v>412</v>
      </c>
      <c r="AJ410">
        <v>39.558227000000002</v>
      </c>
      <c r="AK410" t="s">
        <v>413</v>
      </c>
      <c r="AL410">
        <v>-92.486643999999998</v>
      </c>
      <c r="AM410">
        <v>100</v>
      </c>
      <c r="AN410">
        <v>1900</v>
      </c>
      <c r="AO410" t="s">
        <v>118</v>
      </c>
      <c r="AP410">
        <v>-76</v>
      </c>
      <c r="AQ410">
        <v>122</v>
      </c>
      <c r="AR410">
        <v>-64</v>
      </c>
      <c r="AZ410">
        <v>1200</v>
      </c>
      <c r="BA410">
        <v>1</v>
      </c>
      <c r="BB410" t="str">
        <f t="shared" si="21"/>
        <v xml:space="preserve">N8080G  </v>
      </c>
      <c r="BC410">
        <v>1</v>
      </c>
      <c r="BE410">
        <v>0</v>
      </c>
      <c r="BF410">
        <v>0</v>
      </c>
      <c r="BG410">
        <v>0</v>
      </c>
      <c r="BH410">
        <v>1850</v>
      </c>
      <c r="BI410">
        <v>1</v>
      </c>
      <c r="BJ410">
        <v>1</v>
      </c>
      <c r="BK410">
        <v>1</v>
      </c>
      <c r="BL410">
        <v>0</v>
      </c>
      <c r="BO410">
        <v>0</v>
      </c>
      <c r="BP410">
        <v>0</v>
      </c>
      <c r="BW410" t="str">
        <f>"20:13:26.645"</f>
        <v>20:13:26.645</v>
      </c>
      <c r="CJ410">
        <v>0</v>
      </c>
      <c r="CK410">
        <v>2</v>
      </c>
      <c r="CL410">
        <v>0</v>
      </c>
      <c r="CM410">
        <v>2</v>
      </c>
      <c r="CN410">
        <v>0</v>
      </c>
      <c r="CO410">
        <v>5</v>
      </c>
      <c r="CP410" t="s">
        <v>119</v>
      </c>
      <c r="CQ410">
        <v>559</v>
      </c>
      <c r="CR410">
        <v>0</v>
      </c>
      <c r="CW410">
        <v>10405201</v>
      </c>
      <c r="CY410">
        <v>1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</row>
    <row r="411" spans="1:113" x14ac:dyDescent="0.3">
      <c r="A411" t="str">
        <f>"02/08/2021 20:13:24.321"</f>
        <v>02/08/2021 20:13:24.321</v>
      </c>
      <c r="C411" t="str">
        <f t="shared" si="20"/>
        <v>FFDFD3C0</v>
      </c>
      <c r="D411" t="s">
        <v>141</v>
      </c>
      <c r="E411">
        <v>17</v>
      </c>
      <c r="H411">
        <v>256</v>
      </c>
      <c r="I411" t="s">
        <v>142</v>
      </c>
      <c r="J411" t="s">
        <v>143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>"20:13:26.641"</f>
        <v>20:13:26.641</v>
      </c>
      <c r="T411" t="str">
        <f>"20:13:26.241"</f>
        <v>20:13:26.241</v>
      </c>
      <c r="U411" t="str">
        <f t="shared" si="19"/>
        <v>AB01F4</v>
      </c>
      <c r="V411">
        <v>0</v>
      </c>
      <c r="W411">
        <v>0</v>
      </c>
      <c r="X411">
        <v>1</v>
      </c>
      <c r="Z411">
        <v>0</v>
      </c>
      <c r="AA411">
        <v>9</v>
      </c>
      <c r="AB411">
        <v>3</v>
      </c>
      <c r="AC411">
        <v>0</v>
      </c>
      <c r="AD411">
        <v>10</v>
      </c>
      <c r="AE411">
        <v>0</v>
      </c>
      <c r="AF411">
        <v>3</v>
      </c>
      <c r="AG411">
        <v>2</v>
      </c>
      <c r="AH411">
        <v>0</v>
      </c>
      <c r="AI411" t="s">
        <v>412</v>
      </c>
      <c r="AJ411">
        <v>39.558227000000002</v>
      </c>
      <c r="AK411" t="s">
        <v>413</v>
      </c>
      <c r="AL411">
        <v>-92.486643999999998</v>
      </c>
      <c r="AM411">
        <v>100</v>
      </c>
      <c r="AN411">
        <v>1900</v>
      </c>
      <c r="AO411" t="s">
        <v>118</v>
      </c>
      <c r="AP411">
        <v>-76</v>
      </c>
      <c r="AQ411">
        <v>122</v>
      </c>
      <c r="AR411">
        <v>-64</v>
      </c>
      <c r="AZ411">
        <v>1200</v>
      </c>
      <c r="BA411">
        <v>1</v>
      </c>
      <c r="BB411" t="str">
        <f t="shared" si="21"/>
        <v xml:space="preserve">N8080G  </v>
      </c>
      <c r="BC411">
        <v>1</v>
      </c>
      <c r="BE411">
        <v>0</v>
      </c>
      <c r="BF411">
        <v>0</v>
      </c>
      <c r="BG411">
        <v>0</v>
      </c>
      <c r="BH411">
        <v>1850</v>
      </c>
      <c r="BI411">
        <v>1</v>
      </c>
      <c r="BJ411">
        <v>1</v>
      </c>
      <c r="BK411">
        <v>1</v>
      </c>
      <c r="BL411">
        <v>0</v>
      </c>
      <c r="BO411">
        <v>0</v>
      </c>
      <c r="BP411">
        <v>0</v>
      </c>
      <c r="BW411" t="str">
        <f>"20:13:26.645"</f>
        <v>20:13:26.645</v>
      </c>
      <c r="CJ411">
        <v>0</v>
      </c>
      <c r="CK411">
        <v>2</v>
      </c>
      <c r="CL411">
        <v>0</v>
      </c>
      <c r="CM411">
        <v>2</v>
      </c>
      <c r="CN411">
        <v>0</v>
      </c>
      <c r="CO411">
        <v>5</v>
      </c>
      <c r="CP411" t="s">
        <v>119</v>
      </c>
      <c r="CQ411">
        <v>559</v>
      </c>
      <c r="CR411">
        <v>0</v>
      </c>
      <c r="CW411">
        <v>10405201</v>
      </c>
      <c r="CY411">
        <v>1</v>
      </c>
      <c r="CZ411">
        <v>0</v>
      </c>
      <c r="DA411">
        <v>1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</row>
    <row r="412" spans="1:113" x14ac:dyDescent="0.3">
      <c r="A412" t="str">
        <f>"02/08/2021 20:13:24.321"</f>
        <v>02/08/2021 20:13:24.321</v>
      </c>
      <c r="C412" t="str">
        <f t="shared" si="20"/>
        <v>FFDFD3C0</v>
      </c>
      <c r="D412" t="s">
        <v>113</v>
      </c>
      <c r="E412">
        <v>6</v>
      </c>
      <c r="H412">
        <v>165</v>
      </c>
      <c r="I412" t="s">
        <v>114</v>
      </c>
      <c r="J412" t="s">
        <v>115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>"20:13:26.641"</f>
        <v>20:13:26.641</v>
      </c>
      <c r="T412" t="str">
        <f>"20:13:26.241"</f>
        <v>20:13:26.241</v>
      </c>
      <c r="U412" t="str">
        <f t="shared" si="19"/>
        <v>AB01F4</v>
      </c>
      <c r="V412">
        <v>0</v>
      </c>
      <c r="W412">
        <v>0</v>
      </c>
      <c r="X412">
        <v>1</v>
      </c>
      <c r="Z412">
        <v>0</v>
      </c>
      <c r="AA412">
        <v>9</v>
      </c>
      <c r="AB412">
        <v>3</v>
      </c>
      <c r="AC412">
        <v>0</v>
      </c>
      <c r="AD412">
        <v>10</v>
      </c>
      <c r="AE412">
        <v>0</v>
      </c>
      <c r="AF412">
        <v>3</v>
      </c>
      <c r="AG412">
        <v>2</v>
      </c>
      <c r="AH412">
        <v>0</v>
      </c>
      <c r="AI412" t="s">
        <v>412</v>
      </c>
      <c r="AJ412">
        <v>39.558227000000002</v>
      </c>
      <c r="AK412" t="s">
        <v>413</v>
      </c>
      <c r="AL412">
        <v>-92.486643999999998</v>
      </c>
      <c r="AM412">
        <v>100</v>
      </c>
      <c r="AN412">
        <v>1900</v>
      </c>
      <c r="AO412" t="s">
        <v>118</v>
      </c>
      <c r="AP412">
        <v>-76</v>
      </c>
      <c r="AQ412">
        <v>122</v>
      </c>
      <c r="AR412">
        <v>-64</v>
      </c>
      <c r="AZ412">
        <v>1200</v>
      </c>
      <c r="BA412">
        <v>1</v>
      </c>
      <c r="BB412" t="str">
        <f t="shared" si="21"/>
        <v xml:space="preserve">N8080G  </v>
      </c>
      <c r="BC412">
        <v>1</v>
      </c>
      <c r="BE412">
        <v>0</v>
      </c>
      <c r="BF412">
        <v>0</v>
      </c>
      <c r="BG412">
        <v>0</v>
      </c>
      <c r="BH412">
        <v>1850</v>
      </c>
      <c r="BI412">
        <v>1</v>
      </c>
      <c r="BJ412">
        <v>1</v>
      </c>
      <c r="BK412">
        <v>1</v>
      </c>
      <c r="BL412">
        <v>0</v>
      </c>
      <c r="BO412">
        <v>0</v>
      </c>
      <c r="BP412">
        <v>0</v>
      </c>
      <c r="BW412" t="str">
        <f>"20:13:26.645"</f>
        <v>20:13:26.645</v>
      </c>
      <c r="CJ412">
        <v>0</v>
      </c>
      <c r="CK412">
        <v>2</v>
      </c>
      <c r="CL412">
        <v>0</v>
      </c>
      <c r="CM412">
        <v>2</v>
      </c>
      <c r="CN412">
        <v>0</v>
      </c>
      <c r="CO412">
        <v>5</v>
      </c>
      <c r="CP412" t="s">
        <v>119</v>
      </c>
      <c r="CQ412">
        <v>559</v>
      </c>
      <c r="CR412">
        <v>0</v>
      </c>
      <c r="CW412">
        <v>10405201</v>
      </c>
      <c r="CY412">
        <v>1</v>
      </c>
      <c r="CZ412">
        <v>0</v>
      </c>
      <c r="DA412">
        <v>1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</row>
    <row r="413" spans="1:113" x14ac:dyDescent="0.3">
      <c r="A413" t="str">
        <f>"02/08/2021 20:13:25.335"</f>
        <v>02/08/2021 20:13:25.335</v>
      </c>
      <c r="C413" t="str">
        <f t="shared" si="20"/>
        <v>FFDFD3C0</v>
      </c>
      <c r="D413" t="s">
        <v>113</v>
      </c>
      <c r="E413">
        <v>6</v>
      </c>
      <c r="H413">
        <v>165</v>
      </c>
      <c r="I413" t="s">
        <v>114</v>
      </c>
      <c r="J413" t="s">
        <v>115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>"20:13:27.648"</f>
        <v>20:13:27.648</v>
      </c>
      <c r="T413" t="str">
        <f>"20:13:27.148"</f>
        <v>20:13:27.148</v>
      </c>
      <c r="U413" t="str">
        <f t="shared" si="19"/>
        <v>AB01F4</v>
      </c>
      <c r="V413">
        <v>0</v>
      </c>
      <c r="W413">
        <v>0</v>
      </c>
      <c r="X413">
        <v>1</v>
      </c>
      <c r="Z413">
        <v>0</v>
      </c>
      <c r="AA413">
        <v>9</v>
      </c>
      <c r="AB413">
        <v>3</v>
      </c>
      <c r="AC413">
        <v>0</v>
      </c>
      <c r="AD413">
        <v>10</v>
      </c>
      <c r="AE413">
        <v>0</v>
      </c>
      <c r="AF413">
        <v>3</v>
      </c>
      <c r="AG413">
        <v>2</v>
      </c>
      <c r="AH413">
        <v>0</v>
      </c>
      <c r="AI413" t="s">
        <v>414</v>
      </c>
      <c r="AJ413">
        <v>39.558785</v>
      </c>
      <c r="AK413" t="s">
        <v>415</v>
      </c>
      <c r="AL413">
        <v>-92.487050999999994</v>
      </c>
      <c r="AM413">
        <v>100</v>
      </c>
      <c r="AN413">
        <v>1900</v>
      </c>
      <c r="AO413" t="s">
        <v>118</v>
      </c>
      <c r="AP413">
        <v>-76</v>
      </c>
      <c r="AQ413">
        <v>123</v>
      </c>
      <c r="AR413">
        <v>0</v>
      </c>
      <c r="AZ413">
        <v>1200</v>
      </c>
      <c r="BA413">
        <v>1</v>
      </c>
      <c r="BB413" t="str">
        <f t="shared" si="21"/>
        <v xml:space="preserve">N8080G  </v>
      </c>
      <c r="BC413">
        <v>1</v>
      </c>
      <c r="BE413">
        <v>0</v>
      </c>
      <c r="BF413">
        <v>0</v>
      </c>
      <c r="BG413">
        <v>0</v>
      </c>
      <c r="BH413">
        <v>1850</v>
      </c>
      <c r="BI413">
        <v>1</v>
      </c>
      <c r="BJ413">
        <v>1</v>
      </c>
      <c r="BK413">
        <v>1</v>
      </c>
      <c r="BL413">
        <v>0</v>
      </c>
      <c r="BO413">
        <v>0</v>
      </c>
      <c r="BP413">
        <v>0</v>
      </c>
      <c r="BW413" t="str">
        <f>"20:13:27.651"</f>
        <v>20:13:27.651</v>
      </c>
      <c r="CJ413">
        <v>0</v>
      </c>
      <c r="CK413">
        <v>2</v>
      </c>
      <c r="CL413">
        <v>0</v>
      </c>
      <c r="CM413">
        <v>2</v>
      </c>
      <c r="CN413">
        <v>0</v>
      </c>
      <c r="CO413">
        <v>6</v>
      </c>
      <c r="CP413" t="s">
        <v>119</v>
      </c>
      <c r="CQ413">
        <v>559</v>
      </c>
      <c r="CR413">
        <v>0</v>
      </c>
      <c r="CW413">
        <v>10405360</v>
      </c>
      <c r="CY413">
        <v>1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</row>
    <row r="414" spans="1:113" x14ac:dyDescent="0.3">
      <c r="A414" t="str">
        <f>"02/08/2021 20:13:25.335"</f>
        <v>02/08/2021 20:13:25.335</v>
      </c>
      <c r="C414" t="str">
        <f t="shared" si="20"/>
        <v>FFDFD3C0</v>
      </c>
      <c r="D414" t="s">
        <v>141</v>
      </c>
      <c r="E414">
        <v>17</v>
      </c>
      <c r="H414">
        <v>256</v>
      </c>
      <c r="I414" t="s">
        <v>142</v>
      </c>
      <c r="J414" t="s">
        <v>143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>"20:13:27.648"</f>
        <v>20:13:27.648</v>
      </c>
      <c r="T414" t="str">
        <f>"20:13:27.148"</f>
        <v>20:13:27.148</v>
      </c>
      <c r="U414" t="str">
        <f t="shared" si="19"/>
        <v>AB01F4</v>
      </c>
      <c r="V414">
        <v>0</v>
      </c>
      <c r="W414">
        <v>0</v>
      </c>
      <c r="X414">
        <v>1</v>
      </c>
      <c r="Z414">
        <v>0</v>
      </c>
      <c r="AA414">
        <v>9</v>
      </c>
      <c r="AB414">
        <v>3</v>
      </c>
      <c r="AC414">
        <v>0</v>
      </c>
      <c r="AD414">
        <v>10</v>
      </c>
      <c r="AE414">
        <v>0</v>
      </c>
      <c r="AF414">
        <v>3</v>
      </c>
      <c r="AG414">
        <v>2</v>
      </c>
      <c r="AH414">
        <v>0</v>
      </c>
      <c r="AI414" t="s">
        <v>414</v>
      </c>
      <c r="AJ414">
        <v>39.558785</v>
      </c>
      <c r="AK414" t="s">
        <v>415</v>
      </c>
      <c r="AL414">
        <v>-92.487050999999994</v>
      </c>
      <c r="AM414">
        <v>100</v>
      </c>
      <c r="AN414">
        <v>1900</v>
      </c>
      <c r="AO414" t="s">
        <v>118</v>
      </c>
      <c r="AP414">
        <v>-76</v>
      </c>
      <c r="AQ414">
        <v>123</v>
      </c>
      <c r="AR414">
        <v>0</v>
      </c>
      <c r="AZ414">
        <v>1200</v>
      </c>
      <c r="BA414">
        <v>1</v>
      </c>
      <c r="BB414" t="str">
        <f t="shared" si="21"/>
        <v xml:space="preserve">N8080G  </v>
      </c>
      <c r="BC414">
        <v>1</v>
      </c>
      <c r="BE414">
        <v>0</v>
      </c>
      <c r="BF414">
        <v>0</v>
      </c>
      <c r="BG414">
        <v>0</v>
      </c>
      <c r="BH414">
        <v>1850</v>
      </c>
      <c r="BI414">
        <v>1</v>
      </c>
      <c r="BJ414">
        <v>1</v>
      </c>
      <c r="BK414">
        <v>1</v>
      </c>
      <c r="BL414">
        <v>0</v>
      </c>
      <c r="BO414">
        <v>0</v>
      </c>
      <c r="BP414">
        <v>0</v>
      </c>
      <c r="BW414" t="str">
        <f>"20:13:27.651"</f>
        <v>20:13:27.651</v>
      </c>
      <c r="CJ414">
        <v>0</v>
      </c>
      <c r="CK414">
        <v>2</v>
      </c>
      <c r="CL414">
        <v>0</v>
      </c>
      <c r="CM414">
        <v>2</v>
      </c>
      <c r="CN414">
        <v>0</v>
      </c>
      <c r="CO414">
        <v>6</v>
      </c>
      <c r="CP414" t="s">
        <v>119</v>
      </c>
      <c r="CQ414">
        <v>559</v>
      </c>
      <c r="CR414">
        <v>0</v>
      </c>
      <c r="CW414">
        <v>10405360</v>
      </c>
      <c r="CY414">
        <v>1</v>
      </c>
      <c r="CZ414">
        <v>0</v>
      </c>
      <c r="DA414">
        <v>1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</row>
    <row r="415" spans="1:113" x14ac:dyDescent="0.3">
      <c r="A415" t="str">
        <f>"02/08/2021 20:13:25.335"</f>
        <v>02/08/2021 20:13:25.335</v>
      </c>
      <c r="C415" t="str">
        <f t="shared" si="20"/>
        <v>FFDFD3C0</v>
      </c>
      <c r="D415" t="s">
        <v>124</v>
      </c>
      <c r="E415">
        <v>13</v>
      </c>
      <c r="F415">
        <v>1013</v>
      </c>
      <c r="G415" t="s">
        <v>114</v>
      </c>
      <c r="J415" t="s">
        <v>125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>"20:13:27.648"</f>
        <v>20:13:27.648</v>
      </c>
      <c r="T415" t="str">
        <f>"20:13:27.148"</f>
        <v>20:13:27.148</v>
      </c>
      <c r="U415" t="str">
        <f t="shared" si="19"/>
        <v>AB01F4</v>
      </c>
      <c r="V415">
        <v>0</v>
      </c>
      <c r="W415">
        <v>0</v>
      </c>
      <c r="X415">
        <v>1</v>
      </c>
      <c r="Z415">
        <v>0</v>
      </c>
      <c r="AA415">
        <v>9</v>
      </c>
      <c r="AB415">
        <v>3</v>
      </c>
      <c r="AC415">
        <v>0</v>
      </c>
      <c r="AD415">
        <v>10</v>
      </c>
      <c r="AE415">
        <v>0</v>
      </c>
      <c r="AF415">
        <v>3</v>
      </c>
      <c r="AG415">
        <v>2</v>
      </c>
      <c r="AH415">
        <v>0</v>
      </c>
      <c r="AI415" t="s">
        <v>414</v>
      </c>
      <c r="AJ415">
        <v>39.558785</v>
      </c>
      <c r="AK415" t="s">
        <v>415</v>
      </c>
      <c r="AL415">
        <v>-92.487050999999994</v>
      </c>
      <c r="AM415">
        <v>100</v>
      </c>
      <c r="AN415">
        <v>1900</v>
      </c>
      <c r="AO415" t="s">
        <v>118</v>
      </c>
      <c r="AP415">
        <v>-76</v>
      </c>
      <c r="AQ415">
        <v>123</v>
      </c>
      <c r="AR415">
        <v>0</v>
      </c>
      <c r="AZ415">
        <v>1200</v>
      </c>
      <c r="BA415">
        <v>1</v>
      </c>
      <c r="BB415" t="str">
        <f t="shared" si="21"/>
        <v xml:space="preserve">N8080G  </v>
      </c>
      <c r="BC415">
        <v>1</v>
      </c>
      <c r="BE415">
        <v>0</v>
      </c>
      <c r="BF415">
        <v>0</v>
      </c>
      <c r="BG415">
        <v>0</v>
      </c>
      <c r="BH415">
        <v>1850</v>
      </c>
      <c r="BI415">
        <v>1</v>
      </c>
      <c r="BJ415">
        <v>1</v>
      </c>
      <c r="BK415">
        <v>1</v>
      </c>
      <c r="BL415">
        <v>0</v>
      </c>
      <c r="BO415">
        <v>0</v>
      </c>
      <c r="BP415">
        <v>0</v>
      </c>
      <c r="BW415" t="str">
        <f>"20:13:27.651"</f>
        <v>20:13:27.651</v>
      </c>
      <c r="CJ415">
        <v>0</v>
      </c>
      <c r="CK415">
        <v>2</v>
      </c>
      <c r="CL415">
        <v>0</v>
      </c>
      <c r="CM415">
        <v>2</v>
      </c>
      <c r="CN415">
        <v>0</v>
      </c>
      <c r="CO415">
        <v>6</v>
      </c>
      <c r="CP415" t="s">
        <v>119</v>
      </c>
      <c r="CQ415">
        <v>559</v>
      </c>
      <c r="CR415">
        <v>0</v>
      </c>
      <c r="CW415">
        <v>10405360</v>
      </c>
      <c r="CY415">
        <v>1</v>
      </c>
      <c r="CZ415">
        <v>0</v>
      </c>
      <c r="DA415">
        <v>1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</row>
    <row r="416" spans="1:113" x14ac:dyDescent="0.3">
      <c r="A416" t="str">
        <f>"02/08/2021 20:13:26.282"</f>
        <v>02/08/2021 20:13:26.282</v>
      </c>
      <c r="C416" t="str">
        <f t="shared" si="20"/>
        <v>FFDFD3C0</v>
      </c>
      <c r="D416" t="s">
        <v>124</v>
      </c>
      <c r="E416">
        <v>13</v>
      </c>
      <c r="F416">
        <v>1013</v>
      </c>
      <c r="G416" t="s">
        <v>114</v>
      </c>
      <c r="J416" t="s">
        <v>125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>"20:13:28.625"</f>
        <v>20:13:28.625</v>
      </c>
      <c r="T416" t="str">
        <f>"20:13:28.225"</f>
        <v>20:13:28.225</v>
      </c>
      <c r="U416" t="str">
        <f t="shared" si="19"/>
        <v>AB01F4</v>
      </c>
      <c r="V416">
        <v>0</v>
      </c>
      <c r="W416">
        <v>0</v>
      </c>
      <c r="X416">
        <v>1</v>
      </c>
      <c r="Z416">
        <v>0</v>
      </c>
      <c r="AA416">
        <v>9</v>
      </c>
      <c r="AB416">
        <v>3</v>
      </c>
      <c r="AC416">
        <v>0</v>
      </c>
      <c r="AD416">
        <v>10</v>
      </c>
      <c r="AE416">
        <v>0</v>
      </c>
      <c r="AF416">
        <v>3</v>
      </c>
      <c r="AG416">
        <v>2</v>
      </c>
      <c r="AH416">
        <v>0</v>
      </c>
      <c r="AI416" t="s">
        <v>416</v>
      </c>
      <c r="AJ416">
        <v>39.559342999999998</v>
      </c>
      <c r="AK416" t="s">
        <v>417</v>
      </c>
      <c r="AL416">
        <v>-92.487544999999997</v>
      </c>
      <c r="AM416">
        <v>100</v>
      </c>
      <c r="AN416">
        <v>1900</v>
      </c>
      <c r="AO416" t="s">
        <v>118</v>
      </c>
      <c r="AP416">
        <v>-76</v>
      </c>
      <c r="AQ416">
        <v>123</v>
      </c>
      <c r="AR416">
        <v>64</v>
      </c>
      <c r="AZ416">
        <v>1200</v>
      </c>
      <c r="BA416">
        <v>1</v>
      </c>
      <c r="BB416" t="str">
        <f t="shared" si="21"/>
        <v xml:space="preserve">N8080G  </v>
      </c>
      <c r="BC416">
        <v>1</v>
      </c>
      <c r="BE416">
        <v>0</v>
      </c>
      <c r="BF416">
        <v>0</v>
      </c>
      <c r="BG416">
        <v>0</v>
      </c>
      <c r="BH416">
        <v>1850</v>
      </c>
      <c r="BI416">
        <v>1</v>
      </c>
      <c r="BJ416">
        <v>1</v>
      </c>
      <c r="BK416">
        <v>1</v>
      </c>
      <c r="BL416">
        <v>0</v>
      </c>
      <c r="BO416">
        <v>0</v>
      </c>
      <c r="BP416">
        <v>0</v>
      </c>
      <c r="BW416" t="str">
        <f>"20:13:28.630"</f>
        <v>20:13:28.630</v>
      </c>
      <c r="CJ416">
        <v>0</v>
      </c>
      <c r="CK416">
        <v>2</v>
      </c>
      <c r="CL416">
        <v>0</v>
      </c>
      <c r="CM416">
        <v>2</v>
      </c>
      <c r="CN416">
        <v>0</v>
      </c>
      <c r="CO416">
        <v>5</v>
      </c>
      <c r="CP416" t="s">
        <v>119</v>
      </c>
      <c r="CQ416">
        <v>559</v>
      </c>
      <c r="CR416">
        <v>0</v>
      </c>
      <c r="CW416">
        <v>10405515</v>
      </c>
      <c r="CY416">
        <v>1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</row>
    <row r="417" spans="1:113" x14ac:dyDescent="0.3">
      <c r="A417" t="str">
        <f>"02/08/2021 20:13:26.282"</f>
        <v>02/08/2021 20:13:26.282</v>
      </c>
      <c r="C417" t="str">
        <f t="shared" si="20"/>
        <v>FFDFD3C0</v>
      </c>
      <c r="D417" t="s">
        <v>113</v>
      </c>
      <c r="E417">
        <v>6</v>
      </c>
      <c r="H417">
        <v>165</v>
      </c>
      <c r="I417" t="s">
        <v>114</v>
      </c>
      <c r="J417" t="s">
        <v>115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>"20:13:28.625"</f>
        <v>20:13:28.625</v>
      </c>
      <c r="T417" t="str">
        <f>"20:13:28.225"</f>
        <v>20:13:28.225</v>
      </c>
      <c r="U417" t="str">
        <f t="shared" si="19"/>
        <v>AB01F4</v>
      </c>
      <c r="V417">
        <v>0</v>
      </c>
      <c r="W417">
        <v>0</v>
      </c>
      <c r="X417">
        <v>1</v>
      </c>
      <c r="Z417">
        <v>0</v>
      </c>
      <c r="AA417">
        <v>9</v>
      </c>
      <c r="AB417">
        <v>3</v>
      </c>
      <c r="AC417">
        <v>0</v>
      </c>
      <c r="AD417">
        <v>10</v>
      </c>
      <c r="AE417">
        <v>0</v>
      </c>
      <c r="AF417">
        <v>3</v>
      </c>
      <c r="AG417">
        <v>2</v>
      </c>
      <c r="AH417">
        <v>0</v>
      </c>
      <c r="AI417" t="s">
        <v>416</v>
      </c>
      <c r="AJ417">
        <v>39.559342999999998</v>
      </c>
      <c r="AK417" t="s">
        <v>417</v>
      </c>
      <c r="AL417">
        <v>-92.487544999999997</v>
      </c>
      <c r="AM417">
        <v>100</v>
      </c>
      <c r="AN417">
        <v>1900</v>
      </c>
      <c r="AO417" t="s">
        <v>118</v>
      </c>
      <c r="AP417">
        <v>-76</v>
      </c>
      <c r="AQ417">
        <v>123</v>
      </c>
      <c r="AR417">
        <v>64</v>
      </c>
      <c r="AZ417">
        <v>1200</v>
      </c>
      <c r="BA417">
        <v>1</v>
      </c>
      <c r="BB417" t="str">
        <f t="shared" si="21"/>
        <v xml:space="preserve">N8080G  </v>
      </c>
      <c r="BC417">
        <v>1</v>
      </c>
      <c r="BE417">
        <v>0</v>
      </c>
      <c r="BF417">
        <v>0</v>
      </c>
      <c r="BG417">
        <v>0</v>
      </c>
      <c r="BH417">
        <v>1850</v>
      </c>
      <c r="BI417">
        <v>1</v>
      </c>
      <c r="BJ417">
        <v>1</v>
      </c>
      <c r="BK417">
        <v>1</v>
      </c>
      <c r="BL417">
        <v>0</v>
      </c>
      <c r="BO417">
        <v>0</v>
      </c>
      <c r="BP417">
        <v>0</v>
      </c>
      <c r="BW417" t="str">
        <f>"20:13:28.630"</f>
        <v>20:13:28.630</v>
      </c>
      <c r="CJ417">
        <v>0</v>
      </c>
      <c r="CK417">
        <v>2</v>
      </c>
      <c r="CL417">
        <v>0</v>
      </c>
      <c r="CM417">
        <v>2</v>
      </c>
      <c r="CN417">
        <v>0</v>
      </c>
      <c r="CO417">
        <v>5</v>
      </c>
      <c r="CP417" t="s">
        <v>119</v>
      </c>
      <c r="CQ417">
        <v>559</v>
      </c>
      <c r="CR417">
        <v>0</v>
      </c>
      <c r="CW417">
        <v>10405515</v>
      </c>
      <c r="CY417">
        <v>1</v>
      </c>
      <c r="CZ417">
        <v>0</v>
      </c>
      <c r="DA417">
        <v>1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</row>
    <row r="418" spans="1:113" x14ac:dyDescent="0.3">
      <c r="A418" t="str">
        <f>"02/08/2021 20:13:26.282"</f>
        <v>02/08/2021 20:13:26.282</v>
      </c>
      <c r="C418" t="str">
        <f t="shared" si="20"/>
        <v>FFDFD3C0</v>
      </c>
      <c r="D418" t="s">
        <v>141</v>
      </c>
      <c r="E418">
        <v>17</v>
      </c>
      <c r="H418">
        <v>256</v>
      </c>
      <c r="I418" t="s">
        <v>142</v>
      </c>
      <c r="J418" t="s">
        <v>143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>"20:13:28.625"</f>
        <v>20:13:28.625</v>
      </c>
      <c r="T418" t="str">
        <f>"20:13:28.225"</f>
        <v>20:13:28.225</v>
      </c>
      <c r="U418" t="str">
        <f t="shared" si="19"/>
        <v>AB01F4</v>
      </c>
      <c r="V418">
        <v>0</v>
      </c>
      <c r="W418">
        <v>0</v>
      </c>
      <c r="X418">
        <v>1</v>
      </c>
      <c r="Z418">
        <v>0</v>
      </c>
      <c r="AA418">
        <v>9</v>
      </c>
      <c r="AB418">
        <v>3</v>
      </c>
      <c r="AC418">
        <v>0</v>
      </c>
      <c r="AD418">
        <v>10</v>
      </c>
      <c r="AE418">
        <v>0</v>
      </c>
      <c r="AF418">
        <v>3</v>
      </c>
      <c r="AG418">
        <v>2</v>
      </c>
      <c r="AH418">
        <v>0</v>
      </c>
      <c r="AI418" t="s">
        <v>416</v>
      </c>
      <c r="AJ418">
        <v>39.559342999999998</v>
      </c>
      <c r="AK418" t="s">
        <v>417</v>
      </c>
      <c r="AL418">
        <v>-92.487544999999997</v>
      </c>
      <c r="AM418">
        <v>100</v>
      </c>
      <c r="AN418">
        <v>1900</v>
      </c>
      <c r="AO418" t="s">
        <v>118</v>
      </c>
      <c r="AP418">
        <v>-76</v>
      </c>
      <c r="AQ418">
        <v>123</v>
      </c>
      <c r="AR418">
        <v>64</v>
      </c>
      <c r="AZ418">
        <v>1200</v>
      </c>
      <c r="BA418">
        <v>1</v>
      </c>
      <c r="BB418" t="str">
        <f t="shared" si="21"/>
        <v xml:space="preserve">N8080G  </v>
      </c>
      <c r="BC418">
        <v>1</v>
      </c>
      <c r="BE418">
        <v>0</v>
      </c>
      <c r="BF418">
        <v>0</v>
      </c>
      <c r="BG418">
        <v>0</v>
      </c>
      <c r="BH418">
        <v>1850</v>
      </c>
      <c r="BI418">
        <v>1</v>
      </c>
      <c r="BJ418">
        <v>1</v>
      </c>
      <c r="BK418">
        <v>1</v>
      </c>
      <c r="BL418">
        <v>0</v>
      </c>
      <c r="BO418">
        <v>0</v>
      </c>
      <c r="BP418">
        <v>0</v>
      </c>
      <c r="BW418" t="str">
        <f>"20:13:28.630"</f>
        <v>20:13:28.630</v>
      </c>
      <c r="CJ418">
        <v>0</v>
      </c>
      <c r="CK418">
        <v>2</v>
      </c>
      <c r="CL418">
        <v>0</v>
      </c>
      <c r="CM418">
        <v>2</v>
      </c>
      <c r="CN418">
        <v>0</v>
      </c>
      <c r="CO418">
        <v>5</v>
      </c>
      <c r="CP418" t="s">
        <v>119</v>
      </c>
      <c r="CQ418">
        <v>559</v>
      </c>
      <c r="CR418">
        <v>0</v>
      </c>
      <c r="CW418">
        <v>10405515</v>
      </c>
      <c r="CY418">
        <v>1</v>
      </c>
      <c r="CZ418">
        <v>0</v>
      </c>
      <c r="DA418">
        <v>1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</row>
    <row r="419" spans="1:113" x14ac:dyDescent="0.3">
      <c r="A419" t="str">
        <f>"02/08/2021 20:13:27.205"</f>
        <v>02/08/2021 20:13:27.205</v>
      </c>
      <c r="C419" t="str">
        <f t="shared" si="20"/>
        <v>FFDFD3C0</v>
      </c>
      <c r="D419" t="s">
        <v>141</v>
      </c>
      <c r="E419">
        <v>17</v>
      </c>
      <c r="H419">
        <v>256</v>
      </c>
      <c r="I419" t="s">
        <v>142</v>
      </c>
      <c r="J419" t="s">
        <v>143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>"20:13:29.563"</f>
        <v>20:13:29.563</v>
      </c>
      <c r="T419" t="str">
        <f>"20:13:29.163"</f>
        <v>20:13:29.163</v>
      </c>
      <c r="U419" t="str">
        <f t="shared" si="19"/>
        <v>AB01F4</v>
      </c>
      <c r="V419">
        <v>0</v>
      </c>
      <c r="W419">
        <v>0</v>
      </c>
      <c r="X419">
        <v>1</v>
      </c>
      <c r="Z419">
        <v>0</v>
      </c>
      <c r="AA419">
        <v>9</v>
      </c>
      <c r="AB419">
        <v>3</v>
      </c>
      <c r="AC419">
        <v>0</v>
      </c>
      <c r="AD419">
        <v>10</v>
      </c>
      <c r="AE419">
        <v>0</v>
      </c>
      <c r="AF419">
        <v>3</v>
      </c>
      <c r="AG419">
        <v>2</v>
      </c>
      <c r="AH419">
        <v>0</v>
      </c>
      <c r="AI419" t="s">
        <v>418</v>
      </c>
      <c r="AJ419">
        <v>39.559835999999997</v>
      </c>
      <c r="AK419" t="s">
        <v>419</v>
      </c>
      <c r="AL419">
        <v>-92.487931000000003</v>
      </c>
      <c r="AM419">
        <v>100</v>
      </c>
      <c r="AN419">
        <v>1900</v>
      </c>
      <c r="AO419" t="s">
        <v>118</v>
      </c>
      <c r="AP419">
        <v>-76</v>
      </c>
      <c r="AQ419">
        <v>123</v>
      </c>
      <c r="AR419">
        <v>128</v>
      </c>
      <c r="AZ419">
        <v>1200</v>
      </c>
      <c r="BA419">
        <v>1</v>
      </c>
      <c r="BB419" t="str">
        <f t="shared" si="21"/>
        <v xml:space="preserve">N8080G  </v>
      </c>
      <c r="BC419">
        <v>1</v>
      </c>
      <c r="BE419">
        <v>0</v>
      </c>
      <c r="BF419">
        <v>0</v>
      </c>
      <c r="BG419">
        <v>0</v>
      </c>
      <c r="BH419">
        <v>1850</v>
      </c>
      <c r="BI419">
        <v>1</v>
      </c>
      <c r="BJ419">
        <v>1</v>
      </c>
      <c r="BK419">
        <v>1</v>
      </c>
      <c r="BL419">
        <v>0</v>
      </c>
      <c r="BO419">
        <v>0</v>
      </c>
      <c r="BP419">
        <v>0</v>
      </c>
      <c r="BW419" t="str">
        <f>"20:13:29.563"</f>
        <v>20:13:29.563</v>
      </c>
      <c r="CJ419">
        <v>0</v>
      </c>
      <c r="CK419">
        <v>2</v>
      </c>
      <c r="CL419">
        <v>0</v>
      </c>
      <c r="CM419">
        <v>2</v>
      </c>
      <c r="CN419">
        <v>0</v>
      </c>
      <c r="CO419">
        <v>5</v>
      </c>
      <c r="CP419" t="s">
        <v>119</v>
      </c>
      <c r="CQ419">
        <v>559</v>
      </c>
      <c r="CR419">
        <v>0</v>
      </c>
      <c r="CW419">
        <v>10405665</v>
      </c>
      <c r="CY419">
        <v>1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</row>
    <row r="420" spans="1:113" x14ac:dyDescent="0.3">
      <c r="A420" t="str">
        <f>"02/08/2021 20:13:27.205"</f>
        <v>02/08/2021 20:13:27.205</v>
      </c>
      <c r="C420" t="str">
        <f t="shared" si="20"/>
        <v>FFDFD3C0</v>
      </c>
      <c r="D420" t="s">
        <v>113</v>
      </c>
      <c r="E420">
        <v>6</v>
      </c>
      <c r="H420">
        <v>165</v>
      </c>
      <c r="I420" t="s">
        <v>114</v>
      </c>
      <c r="J420" t="s">
        <v>115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>"20:13:29.563"</f>
        <v>20:13:29.563</v>
      </c>
      <c r="T420" t="str">
        <f>"20:13:29.163"</f>
        <v>20:13:29.163</v>
      </c>
      <c r="U420" t="str">
        <f t="shared" si="19"/>
        <v>AB01F4</v>
      </c>
      <c r="V420">
        <v>0</v>
      </c>
      <c r="W420">
        <v>0</v>
      </c>
      <c r="X420">
        <v>1</v>
      </c>
      <c r="Z420">
        <v>0</v>
      </c>
      <c r="AA420">
        <v>9</v>
      </c>
      <c r="AB420">
        <v>3</v>
      </c>
      <c r="AC420">
        <v>0</v>
      </c>
      <c r="AD420">
        <v>10</v>
      </c>
      <c r="AE420">
        <v>0</v>
      </c>
      <c r="AF420">
        <v>3</v>
      </c>
      <c r="AG420">
        <v>2</v>
      </c>
      <c r="AH420">
        <v>0</v>
      </c>
      <c r="AI420" t="s">
        <v>418</v>
      </c>
      <c r="AJ420">
        <v>39.559835999999997</v>
      </c>
      <c r="AK420" t="s">
        <v>419</v>
      </c>
      <c r="AL420">
        <v>-92.487931000000003</v>
      </c>
      <c r="AM420">
        <v>100</v>
      </c>
      <c r="AN420">
        <v>1900</v>
      </c>
      <c r="AO420" t="s">
        <v>118</v>
      </c>
      <c r="AP420">
        <v>-76</v>
      </c>
      <c r="AQ420">
        <v>123</v>
      </c>
      <c r="AR420">
        <v>128</v>
      </c>
      <c r="AZ420">
        <v>1200</v>
      </c>
      <c r="BA420">
        <v>1</v>
      </c>
      <c r="BB420" t="str">
        <f t="shared" si="21"/>
        <v xml:space="preserve">N8080G  </v>
      </c>
      <c r="BC420">
        <v>1</v>
      </c>
      <c r="BE420">
        <v>0</v>
      </c>
      <c r="BF420">
        <v>0</v>
      </c>
      <c r="BG420">
        <v>0</v>
      </c>
      <c r="BH420">
        <v>1850</v>
      </c>
      <c r="BI420">
        <v>1</v>
      </c>
      <c r="BJ420">
        <v>1</v>
      </c>
      <c r="BK420">
        <v>1</v>
      </c>
      <c r="BL420">
        <v>0</v>
      </c>
      <c r="BO420">
        <v>0</v>
      </c>
      <c r="BP420">
        <v>0</v>
      </c>
      <c r="BW420" t="str">
        <f>"20:13:29.563"</f>
        <v>20:13:29.563</v>
      </c>
      <c r="CJ420">
        <v>0</v>
      </c>
      <c r="CK420">
        <v>2</v>
      </c>
      <c r="CL420">
        <v>0</v>
      </c>
      <c r="CM420">
        <v>2</v>
      </c>
      <c r="CN420">
        <v>0</v>
      </c>
      <c r="CO420">
        <v>5</v>
      </c>
      <c r="CP420" t="s">
        <v>119</v>
      </c>
      <c r="CQ420">
        <v>559</v>
      </c>
      <c r="CR420">
        <v>0</v>
      </c>
      <c r="CW420">
        <v>10405665</v>
      </c>
      <c r="CY420">
        <v>1</v>
      </c>
      <c r="CZ420">
        <v>0</v>
      </c>
      <c r="DA420">
        <v>1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</row>
    <row r="421" spans="1:113" x14ac:dyDescent="0.3">
      <c r="A421" t="str">
        <f>"02/08/2021 20:13:27.205"</f>
        <v>02/08/2021 20:13:27.205</v>
      </c>
      <c r="C421" t="str">
        <f t="shared" si="20"/>
        <v>FFDFD3C0</v>
      </c>
      <c r="D421" t="s">
        <v>124</v>
      </c>
      <c r="E421">
        <v>13</v>
      </c>
      <c r="F421">
        <v>1013</v>
      </c>
      <c r="G421" t="s">
        <v>114</v>
      </c>
      <c r="J421" t="s">
        <v>125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>"20:13:29.563"</f>
        <v>20:13:29.563</v>
      </c>
      <c r="T421" t="str">
        <f>"20:13:29.163"</f>
        <v>20:13:29.163</v>
      </c>
      <c r="U421" t="str">
        <f t="shared" si="19"/>
        <v>AB01F4</v>
      </c>
      <c r="V421">
        <v>0</v>
      </c>
      <c r="W421">
        <v>0</v>
      </c>
      <c r="X421">
        <v>1</v>
      </c>
      <c r="Z421">
        <v>0</v>
      </c>
      <c r="AA421">
        <v>9</v>
      </c>
      <c r="AB421">
        <v>3</v>
      </c>
      <c r="AC421">
        <v>0</v>
      </c>
      <c r="AD421">
        <v>10</v>
      </c>
      <c r="AE421">
        <v>0</v>
      </c>
      <c r="AF421">
        <v>3</v>
      </c>
      <c r="AG421">
        <v>2</v>
      </c>
      <c r="AH421">
        <v>0</v>
      </c>
      <c r="AI421" t="s">
        <v>418</v>
      </c>
      <c r="AJ421">
        <v>39.559835999999997</v>
      </c>
      <c r="AK421" t="s">
        <v>419</v>
      </c>
      <c r="AL421">
        <v>-92.487931000000003</v>
      </c>
      <c r="AM421">
        <v>100</v>
      </c>
      <c r="AN421">
        <v>1900</v>
      </c>
      <c r="AO421" t="s">
        <v>118</v>
      </c>
      <c r="AP421">
        <v>-76</v>
      </c>
      <c r="AQ421">
        <v>123</v>
      </c>
      <c r="AR421">
        <v>128</v>
      </c>
      <c r="AZ421">
        <v>1200</v>
      </c>
      <c r="BA421">
        <v>1</v>
      </c>
      <c r="BB421" t="str">
        <f t="shared" si="21"/>
        <v xml:space="preserve">N8080G  </v>
      </c>
      <c r="BC421">
        <v>1</v>
      </c>
      <c r="BE421">
        <v>0</v>
      </c>
      <c r="BF421">
        <v>0</v>
      </c>
      <c r="BG421">
        <v>0</v>
      </c>
      <c r="BH421">
        <v>1850</v>
      </c>
      <c r="BI421">
        <v>1</v>
      </c>
      <c r="BJ421">
        <v>1</v>
      </c>
      <c r="BK421">
        <v>1</v>
      </c>
      <c r="BL421">
        <v>0</v>
      </c>
      <c r="BO421">
        <v>0</v>
      </c>
      <c r="BP421">
        <v>0</v>
      </c>
      <c r="BW421" t="str">
        <f>"20:13:29.563"</f>
        <v>20:13:29.563</v>
      </c>
      <c r="CJ421">
        <v>0</v>
      </c>
      <c r="CK421">
        <v>2</v>
      </c>
      <c r="CL421">
        <v>0</v>
      </c>
      <c r="CM421">
        <v>2</v>
      </c>
      <c r="CN421">
        <v>0</v>
      </c>
      <c r="CO421">
        <v>5</v>
      </c>
      <c r="CP421" t="s">
        <v>119</v>
      </c>
      <c r="CQ421">
        <v>559</v>
      </c>
      <c r="CR421">
        <v>0</v>
      </c>
      <c r="CW421">
        <v>10405665</v>
      </c>
      <c r="CY421">
        <v>1</v>
      </c>
      <c r="CZ421">
        <v>0</v>
      </c>
      <c r="DA421">
        <v>1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</row>
    <row r="422" spans="1:113" x14ac:dyDescent="0.3">
      <c r="A422" t="str">
        <f>"02/08/2021 20:13:28.091"</f>
        <v>02/08/2021 20:13:28.091</v>
      </c>
      <c r="C422" t="str">
        <f t="shared" si="20"/>
        <v>FFDFD3C0</v>
      </c>
      <c r="D422" t="s">
        <v>124</v>
      </c>
      <c r="E422">
        <v>13</v>
      </c>
      <c r="F422">
        <v>1013</v>
      </c>
      <c r="G422" t="s">
        <v>114</v>
      </c>
      <c r="J422" t="s">
        <v>125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>"20:13:30.430"</f>
        <v>20:13:30.430</v>
      </c>
      <c r="T422" t="str">
        <f>"20:13:30.030"</f>
        <v>20:13:30.030</v>
      </c>
      <c r="U422" t="str">
        <f t="shared" si="19"/>
        <v>AB01F4</v>
      </c>
      <c r="V422">
        <v>0</v>
      </c>
      <c r="W422">
        <v>0</v>
      </c>
      <c r="X422">
        <v>1</v>
      </c>
      <c r="Z422">
        <v>0</v>
      </c>
      <c r="AA422">
        <v>9</v>
      </c>
      <c r="AB422">
        <v>3</v>
      </c>
      <c r="AC422">
        <v>0</v>
      </c>
      <c r="AD422">
        <v>10</v>
      </c>
      <c r="AE422">
        <v>0</v>
      </c>
      <c r="AF422">
        <v>3</v>
      </c>
      <c r="AG422">
        <v>2</v>
      </c>
      <c r="AH422">
        <v>0</v>
      </c>
      <c r="AI422" t="s">
        <v>420</v>
      </c>
      <c r="AJ422">
        <v>39.560372999999998</v>
      </c>
      <c r="AK422" t="s">
        <v>421</v>
      </c>
      <c r="AL422">
        <v>-92.488338999999996</v>
      </c>
      <c r="AM422">
        <v>100</v>
      </c>
      <c r="AN422">
        <v>1900</v>
      </c>
      <c r="AO422" t="s">
        <v>118</v>
      </c>
      <c r="AP422">
        <v>-75</v>
      </c>
      <c r="AQ422">
        <v>123</v>
      </c>
      <c r="AR422">
        <v>128</v>
      </c>
      <c r="AZ422">
        <v>1200</v>
      </c>
      <c r="BA422">
        <v>1</v>
      </c>
      <c r="BB422" t="str">
        <f t="shared" si="21"/>
        <v xml:space="preserve">N8080G  </v>
      </c>
      <c r="BC422">
        <v>1</v>
      </c>
      <c r="BE422">
        <v>0</v>
      </c>
      <c r="BF422">
        <v>0</v>
      </c>
      <c r="BG422">
        <v>0</v>
      </c>
      <c r="BH422">
        <v>1850</v>
      </c>
      <c r="BI422">
        <v>1</v>
      </c>
      <c r="BJ422">
        <v>1</v>
      </c>
      <c r="BK422">
        <v>1</v>
      </c>
      <c r="BL422">
        <v>0</v>
      </c>
      <c r="BO422">
        <v>0</v>
      </c>
      <c r="BP422">
        <v>0</v>
      </c>
      <c r="BW422" t="str">
        <f>"20:13:30.433"</f>
        <v>20:13:30.433</v>
      </c>
      <c r="CJ422">
        <v>0</v>
      </c>
      <c r="CK422">
        <v>2</v>
      </c>
      <c r="CL422">
        <v>0</v>
      </c>
      <c r="CM422">
        <v>2</v>
      </c>
      <c r="CN422">
        <v>0</v>
      </c>
      <c r="CO422">
        <v>6</v>
      </c>
      <c r="CP422" t="s">
        <v>119</v>
      </c>
      <c r="CQ422">
        <v>180</v>
      </c>
      <c r="CR422">
        <v>1</v>
      </c>
      <c r="CW422">
        <v>10376323</v>
      </c>
      <c r="CY422">
        <v>1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</row>
    <row r="423" spans="1:113" x14ac:dyDescent="0.3">
      <c r="A423" t="str">
        <f>"02/08/2021 20:13:28.091"</f>
        <v>02/08/2021 20:13:28.091</v>
      </c>
      <c r="C423" t="str">
        <f t="shared" si="20"/>
        <v>FFDFD3C0</v>
      </c>
      <c r="D423" t="s">
        <v>141</v>
      </c>
      <c r="E423">
        <v>17</v>
      </c>
      <c r="H423">
        <v>256</v>
      </c>
      <c r="I423" t="s">
        <v>142</v>
      </c>
      <c r="J423" t="s">
        <v>143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>"20:13:30.430"</f>
        <v>20:13:30.430</v>
      </c>
      <c r="T423" t="str">
        <f>"20:13:30.030"</f>
        <v>20:13:30.030</v>
      </c>
      <c r="U423" t="str">
        <f t="shared" si="19"/>
        <v>AB01F4</v>
      </c>
      <c r="V423">
        <v>0</v>
      </c>
      <c r="W423">
        <v>0</v>
      </c>
      <c r="X423">
        <v>1</v>
      </c>
      <c r="Z423">
        <v>0</v>
      </c>
      <c r="AA423">
        <v>9</v>
      </c>
      <c r="AB423">
        <v>3</v>
      </c>
      <c r="AC423">
        <v>0</v>
      </c>
      <c r="AD423">
        <v>10</v>
      </c>
      <c r="AE423">
        <v>0</v>
      </c>
      <c r="AF423">
        <v>3</v>
      </c>
      <c r="AG423">
        <v>2</v>
      </c>
      <c r="AH423">
        <v>0</v>
      </c>
      <c r="AI423" t="s">
        <v>420</v>
      </c>
      <c r="AJ423">
        <v>39.560372999999998</v>
      </c>
      <c r="AK423" t="s">
        <v>421</v>
      </c>
      <c r="AL423">
        <v>-92.488338999999996</v>
      </c>
      <c r="AM423">
        <v>100</v>
      </c>
      <c r="AN423">
        <v>1900</v>
      </c>
      <c r="AO423" t="s">
        <v>118</v>
      </c>
      <c r="AP423">
        <v>-75</v>
      </c>
      <c r="AQ423">
        <v>123</v>
      </c>
      <c r="AR423">
        <v>128</v>
      </c>
      <c r="AZ423">
        <v>1200</v>
      </c>
      <c r="BA423">
        <v>1</v>
      </c>
      <c r="BB423" t="str">
        <f t="shared" si="21"/>
        <v xml:space="preserve">N8080G  </v>
      </c>
      <c r="BC423">
        <v>1</v>
      </c>
      <c r="BE423">
        <v>0</v>
      </c>
      <c r="BF423">
        <v>0</v>
      </c>
      <c r="BG423">
        <v>0</v>
      </c>
      <c r="BH423">
        <v>1850</v>
      </c>
      <c r="BI423">
        <v>1</v>
      </c>
      <c r="BJ423">
        <v>1</v>
      </c>
      <c r="BK423">
        <v>1</v>
      </c>
      <c r="BL423">
        <v>0</v>
      </c>
      <c r="BO423">
        <v>0</v>
      </c>
      <c r="BP423">
        <v>0</v>
      </c>
      <c r="BW423" t="str">
        <f>"20:13:30.433"</f>
        <v>20:13:30.433</v>
      </c>
      <c r="CJ423">
        <v>0</v>
      </c>
      <c r="CK423">
        <v>2</v>
      </c>
      <c r="CL423">
        <v>0</v>
      </c>
      <c r="CM423">
        <v>2</v>
      </c>
      <c r="CN423">
        <v>0</v>
      </c>
      <c r="CO423">
        <v>5</v>
      </c>
      <c r="CP423" t="s">
        <v>119</v>
      </c>
      <c r="CQ423">
        <v>559</v>
      </c>
      <c r="CR423">
        <v>0</v>
      </c>
      <c r="CW423">
        <v>10405798</v>
      </c>
      <c r="CY423">
        <v>1</v>
      </c>
      <c r="CZ423">
        <v>0</v>
      </c>
      <c r="DA423">
        <v>1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</row>
    <row r="424" spans="1:113" x14ac:dyDescent="0.3">
      <c r="A424" t="str">
        <f>"02/08/2021 20:13:28.091"</f>
        <v>02/08/2021 20:13:28.091</v>
      </c>
      <c r="C424" t="str">
        <f t="shared" si="20"/>
        <v>FFDFD3C0</v>
      </c>
      <c r="D424" t="s">
        <v>113</v>
      </c>
      <c r="E424">
        <v>6</v>
      </c>
      <c r="H424">
        <v>165</v>
      </c>
      <c r="I424" t="s">
        <v>114</v>
      </c>
      <c r="J424" t="s">
        <v>115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>"20:13:30.430"</f>
        <v>20:13:30.430</v>
      </c>
      <c r="T424" t="str">
        <f>"20:13:30.030"</f>
        <v>20:13:30.030</v>
      </c>
      <c r="U424" t="str">
        <f t="shared" si="19"/>
        <v>AB01F4</v>
      </c>
      <c r="V424">
        <v>0</v>
      </c>
      <c r="W424">
        <v>0</v>
      </c>
      <c r="X424">
        <v>1</v>
      </c>
      <c r="Z424">
        <v>0</v>
      </c>
      <c r="AA424">
        <v>9</v>
      </c>
      <c r="AB424">
        <v>3</v>
      </c>
      <c r="AC424">
        <v>0</v>
      </c>
      <c r="AD424">
        <v>10</v>
      </c>
      <c r="AE424">
        <v>0</v>
      </c>
      <c r="AF424">
        <v>3</v>
      </c>
      <c r="AG424">
        <v>2</v>
      </c>
      <c r="AH424">
        <v>0</v>
      </c>
      <c r="AI424" t="s">
        <v>420</v>
      </c>
      <c r="AJ424">
        <v>39.560372999999998</v>
      </c>
      <c r="AK424" t="s">
        <v>421</v>
      </c>
      <c r="AL424">
        <v>-92.488338999999996</v>
      </c>
      <c r="AM424">
        <v>100</v>
      </c>
      <c r="AN424">
        <v>1900</v>
      </c>
      <c r="AO424" t="s">
        <v>118</v>
      </c>
      <c r="AP424">
        <v>-75</v>
      </c>
      <c r="AQ424">
        <v>123</v>
      </c>
      <c r="AR424">
        <v>128</v>
      </c>
      <c r="AZ424">
        <v>1200</v>
      </c>
      <c r="BA424">
        <v>1</v>
      </c>
      <c r="BB424" t="str">
        <f t="shared" si="21"/>
        <v xml:space="preserve">N8080G  </v>
      </c>
      <c r="BC424">
        <v>1</v>
      </c>
      <c r="BE424">
        <v>0</v>
      </c>
      <c r="BF424">
        <v>0</v>
      </c>
      <c r="BG424">
        <v>0</v>
      </c>
      <c r="BH424">
        <v>1850</v>
      </c>
      <c r="BI424">
        <v>1</v>
      </c>
      <c r="BJ424">
        <v>1</v>
      </c>
      <c r="BK424">
        <v>1</v>
      </c>
      <c r="BL424">
        <v>0</v>
      </c>
      <c r="BO424">
        <v>0</v>
      </c>
      <c r="BP424">
        <v>0</v>
      </c>
      <c r="BW424" t="str">
        <f>"20:13:30.433"</f>
        <v>20:13:30.433</v>
      </c>
      <c r="CJ424">
        <v>0</v>
      </c>
      <c r="CK424">
        <v>2</v>
      </c>
      <c r="CL424">
        <v>0</v>
      </c>
      <c r="CM424">
        <v>2</v>
      </c>
      <c r="CN424">
        <v>0</v>
      </c>
      <c r="CO424">
        <v>6</v>
      </c>
      <c r="CP424" t="s">
        <v>119</v>
      </c>
      <c r="CQ424">
        <v>180</v>
      </c>
      <c r="CR424">
        <v>1</v>
      </c>
      <c r="CW424">
        <v>10376323</v>
      </c>
      <c r="CY424">
        <v>1</v>
      </c>
      <c r="CZ424">
        <v>0</v>
      </c>
      <c r="DA424">
        <v>1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</row>
    <row r="425" spans="1:113" x14ac:dyDescent="0.3">
      <c r="A425" t="str">
        <f>"02/08/2021 20:13:28.923"</f>
        <v>02/08/2021 20:13:28.923</v>
      </c>
      <c r="C425" t="str">
        <f t="shared" si="20"/>
        <v>FFDFD3C0</v>
      </c>
      <c r="D425" t="s">
        <v>141</v>
      </c>
      <c r="E425">
        <v>17</v>
      </c>
      <c r="H425">
        <v>256</v>
      </c>
      <c r="I425" t="s">
        <v>142</v>
      </c>
      <c r="J425" t="s">
        <v>143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>"20:13:31.242"</f>
        <v>20:13:31.242</v>
      </c>
      <c r="T425" t="str">
        <f>"20:13:30.942"</f>
        <v>20:13:30.942</v>
      </c>
      <c r="U425" t="str">
        <f t="shared" si="19"/>
        <v>AB01F4</v>
      </c>
      <c r="V425">
        <v>0</v>
      </c>
      <c r="W425">
        <v>0</v>
      </c>
      <c r="X425">
        <v>1</v>
      </c>
      <c r="Z425">
        <v>0</v>
      </c>
      <c r="AA425">
        <v>9</v>
      </c>
      <c r="AB425">
        <v>3</v>
      </c>
      <c r="AC425">
        <v>0</v>
      </c>
      <c r="AD425">
        <v>10</v>
      </c>
      <c r="AE425">
        <v>0</v>
      </c>
      <c r="AF425">
        <v>3</v>
      </c>
      <c r="AG425">
        <v>2</v>
      </c>
      <c r="AH425">
        <v>0</v>
      </c>
      <c r="AI425" t="s">
        <v>422</v>
      </c>
      <c r="AJ425">
        <v>39.560845</v>
      </c>
      <c r="AK425" t="s">
        <v>423</v>
      </c>
      <c r="AL425">
        <v>-92.488703999999998</v>
      </c>
      <c r="AM425">
        <v>100</v>
      </c>
      <c r="AN425">
        <v>1900</v>
      </c>
      <c r="AO425" t="s">
        <v>118</v>
      </c>
      <c r="AP425">
        <v>-75</v>
      </c>
      <c r="AQ425">
        <v>123</v>
      </c>
      <c r="AR425">
        <v>64</v>
      </c>
      <c r="AZ425">
        <v>1200</v>
      </c>
      <c r="BA425">
        <v>1</v>
      </c>
      <c r="BB425" t="str">
        <f t="shared" si="21"/>
        <v xml:space="preserve">N8080G  </v>
      </c>
      <c r="BC425">
        <v>1</v>
      </c>
      <c r="BE425">
        <v>0</v>
      </c>
      <c r="BF425">
        <v>0</v>
      </c>
      <c r="BG425">
        <v>0</v>
      </c>
      <c r="BH425">
        <v>1850</v>
      </c>
      <c r="BI425">
        <v>1</v>
      </c>
      <c r="BJ425">
        <v>1</v>
      </c>
      <c r="BK425">
        <v>1</v>
      </c>
      <c r="BL425">
        <v>0</v>
      </c>
      <c r="BO425">
        <v>0</v>
      </c>
      <c r="BP425">
        <v>0</v>
      </c>
      <c r="BW425" t="str">
        <f>"20:13:31.245"</f>
        <v>20:13:31.245</v>
      </c>
      <c r="CJ425">
        <v>0</v>
      </c>
      <c r="CK425">
        <v>2</v>
      </c>
      <c r="CL425">
        <v>0</v>
      </c>
      <c r="CM425">
        <v>2</v>
      </c>
      <c r="CN425">
        <v>0</v>
      </c>
      <c r="CO425">
        <v>5</v>
      </c>
      <c r="CP425" t="s">
        <v>119</v>
      </c>
      <c r="CQ425">
        <v>559</v>
      </c>
      <c r="CR425">
        <v>0</v>
      </c>
      <c r="CW425">
        <v>10405927</v>
      </c>
      <c r="CY425">
        <v>1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</row>
    <row r="426" spans="1:113" x14ac:dyDescent="0.3">
      <c r="A426" t="str">
        <f>"02/08/2021 20:13:28.923"</f>
        <v>02/08/2021 20:13:28.923</v>
      </c>
      <c r="C426" t="str">
        <f t="shared" si="20"/>
        <v>FFDFD3C0</v>
      </c>
      <c r="D426" t="s">
        <v>113</v>
      </c>
      <c r="E426">
        <v>6</v>
      </c>
      <c r="H426">
        <v>165</v>
      </c>
      <c r="I426" t="s">
        <v>114</v>
      </c>
      <c r="J426" t="s">
        <v>115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>"20:13:31.242"</f>
        <v>20:13:31.242</v>
      </c>
      <c r="T426" t="str">
        <f>"20:13:30.942"</f>
        <v>20:13:30.942</v>
      </c>
      <c r="U426" t="str">
        <f t="shared" si="19"/>
        <v>AB01F4</v>
      </c>
      <c r="V426">
        <v>0</v>
      </c>
      <c r="W426">
        <v>0</v>
      </c>
      <c r="X426">
        <v>1</v>
      </c>
      <c r="Z426">
        <v>0</v>
      </c>
      <c r="AA426">
        <v>9</v>
      </c>
      <c r="AB426">
        <v>3</v>
      </c>
      <c r="AC426">
        <v>0</v>
      </c>
      <c r="AD426">
        <v>10</v>
      </c>
      <c r="AE426">
        <v>0</v>
      </c>
      <c r="AF426">
        <v>3</v>
      </c>
      <c r="AG426">
        <v>2</v>
      </c>
      <c r="AH426">
        <v>0</v>
      </c>
      <c r="AI426" t="s">
        <v>422</v>
      </c>
      <c r="AJ426">
        <v>39.560845</v>
      </c>
      <c r="AK426" t="s">
        <v>423</v>
      </c>
      <c r="AL426">
        <v>-92.488703999999998</v>
      </c>
      <c r="AM426">
        <v>100</v>
      </c>
      <c r="AN426">
        <v>1900</v>
      </c>
      <c r="AO426" t="s">
        <v>118</v>
      </c>
      <c r="AP426">
        <v>-75</v>
      </c>
      <c r="AQ426">
        <v>123</v>
      </c>
      <c r="AR426">
        <v>64</v>
      </c>
      <c r="AZ426">
        <v>1200</v>
      </c>
      <c r="BA426">
        <v>1</v>
      </c>
      <c r="BB426" t="str">
        <f t="shared" si="21"/>
        <v xml:space="preserve">N8080G  </v>
      </c>
      <c r="BC426">
        <v>1</v>
      </c>
      <c r="BE426">
        <v>0</v>
      </c>
      <c r="BF426">
        <v>0</v>
      </c>
      <c r="BG426">
        <v>0</v>
      </c>
      <c r="BH426">
        <v>1850</v>
      </c>
      <c r="BI426">
        <v>1</v>
      </c>
      <c r="BJ426">
        <v>1</v>
      </c>
      <c r="BK426">
        <v>1</v>
      </c>
      <c r="BL426">
        <v>0</v>
      </c>
      <c r="BO426">
        <v>0</v>
      </c>
      <c r="BP426">
        <v>0</v>
      </c>
      <c r="BW426" t="str">
        <f>"20:13:31.245"</f>
        <v>20:13:31.245</v>
      </c>
      <c r="CJ426">
        <v>0</v>
      </c>
      <c r="CK426">
        <v>2</v>
      </c>
      <c r="CL426">
        <v>0</v>
      </c>
      <c r="CM426">
        <v>2</v>
      </c>
      <c r="CN426">
        <v>0</v>
      </c>
      <c r="CO426">
        <v>5</v>
      </c>
      <c r="CP426" t="s">
        <v>119</v>
      </c>
      <c r="CQ426">
        <v>559</v>
      </c>
      <c r="CR426">
        <v>0</v>
      </c>
      <c r="CW426">
        <v>10405927</v>
      </c>
      <c r="CY426">
        <v>1</v>
      </c>
      <c r="CZ426">
        <v>0</v>
      </c>
      <c r="DA426">
        <v>1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</row>
    <row r="427" spans="1:113" x14ac:dyDescent="0.3">
      <c r="A427" t="str">
        <f>"02/08/2021 20:13:28.923"</f>
        <v>02/08/2021 20:13:28.923</v>
      </c>
      <c r="C427" t="str">
        <f t="shared" si="20"/>
        <v>FFDFD3C0</v>
      </c>
      <c r="D427" t="s">
        <v>124</v>
      </c>
      <c r="E427">
        <v>13</v>
      </c>
      <c r="F427">
        <v>1013</v>
      </c>
      <c r="G427" t="s">
        <v>114</v>
      </c>
      <c r="J427" t="s">
        <v>125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>"20:13:31.242"</f>
        <v>20:13:31.242</v>
      </c>
      <c r="T427" t="str">
        <f>"20:13:30.942"</f>
        <v>20:13:30.942</v>
      </c>
      <c r="U427" t="str">
        <f t="shared" si="19"/>
        <v>AB01F4</v>
      </c>
      <c r="V427">
        <v>0</v>
      </c>
      <c r="W427">
        <v>0</v>
      </c>
      <c r="X427">
        <v>1</v>
      </c>
      <c r="Z427">
        <v>0</v>
      </c>
      <c r="AA427">
        <v>9</v>
      </c>
      <c r="AB427">
        <v>3</v>
      </c>
      <c r="AC427">
        <v>0</v>
      </c>
      <c r="AD427">
        <v>10</v>
      </c>
      <c r="AE427">
        <v>0</v>
      </c>
      <c r="AF427">
        <v>3</v>
      </c>
      <c r="AG427">
        <v>2</v>
      </c>
      <c r="AH427">
        <v>0</v>
      </c>
      <c r="AI427" t="s">
        <v>422</v>
      </c>
      <c r="AJ427">
        <v>39.560845</v>
      </c>
      <c r="AK427" t="s">
        <v>423</v>
      </c>
      <c r="AL427">
        <v>-92.488703999999998</v>
      </c>
      <c r="AM427">
        <v>100</v>
      </c>
      <c r="AN427">
        <v>1900</v>
      </c>
      <c r="AO427" t="s">
        <v>118</v>
      </c>
      <c r="AP427">
        <v>-75</v>
      </c>
      <c r="AQ427">
        <v>123</v>
      </c>
      <c r="AR427">
        <v>64</v>
      </c>
      <c r="AZ427">
        <v>1200</v>
      </c>
      <c r="BA427">
        <v>1</v>
      </c>
      <c r="BB427" t="str">
        <f t="shared" si="21"/>
        <v xml:space="preserve">N8080G  </v>
      </c>
      <c r="BC427">
        <v>1</v>
      </c>
      <c r="BE427">
        <v>0</v>
      </c>
      <c r="BF427">
        <v>0</v>
      </c>
      <c r="BG427">
        <v>0</v>
      </c>
      <c r="BH427">
        <v>1850</v>
      </c>
      <c r="BI427">
        <v>1</v>
      </c>
      <c r="BJ427">
        <v>1</v>
      </c>
      <c r="BK427">
        <v>1</v>
      </c>
      <c r="BL427">
        <v>0</v>
      </c>
      <c r="BO427">
        <v>0</v>
      </c>
      <c r="BP427">
        <v>0</v>
      </c>
      <c r="BW427" t="str">
        <f>"20:13:31.245"</f>
        <v>20:13:31.245</v>
      </c>
      <c r="CJ427">
        <v>0</v>
      </c>
      <c r="CK427">
        <v>2</v>
      </c>
      <c r="CL427">
        <v>0</v>
      </c>
      <c r="CM427">
        <v>2</v>
      </c>
      <c r="CN427">
        <v>0</v>
      </c>
      <c r="CO427">
        <v>5</v>
      </c>
      <c r="CP427" t="s">
        <v>119</v>
      </c>
      <c r="CQ427">
        <v>559</v>
      </c>
      <c r="CR427">
        <v>0</v>
      </c>
      <c r="CW427">
        <v>10405927</v>
      </c>
      <c r="CY427">
        <v>1</v>
      </c>
      <c r="CZ427">
        <v>0</v>
      </c>
      <c r="DA427">
        <v>1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</row>
    <row r="428" spans="1:113" x14ac:dyDescent="0.3">
      <c r="A428" t="str">
        <f>"02/08/2021 20:13:29.986"</f>
        <v>02/08/2021 20:13:29.986</v>
      </c>
      <c r="C428" t="str">
        <f t="shared" si="20"/>
        <v>FFDFD3C0</v>
      </c>
      <c r="D428" t="s">
        <v>141</v>
      </c>
      <c r="E428">
        <v>17</v>
      </c>
      <c r="H428">
        <v>256</v>
      </c>
      <c r="I428" t="s">
        <v>142</v>
      </c>
      <c r="J428" t="s">
        <v>143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>"20:13:32.313"</f>
        <v>20:13:32.313</v>
      </c>
      <c r="T428" t="str">
        <f>"20:13:31.813"</f>
        <v>20:13:31.813</v>
      </c>
      <c r="U428" t="str">
        <f t="shared" si="19"/>
        <v>AB01F4</v>
      </c>
      <c r="V428">
        <v>0</v>
      </c>
      <c r="W428">
        <v>0</v>
      </c>
      <c r="X428">
        <v>1</v>
      </c>
      <c r="Z428">
        <v>0</v>
      </c>
      <c r="AA428">
        <v>9</v>
      </c>
      <c r="AB428">
        <v>3</v>
      </c>
      <c r="AC428">
        <v>0</v>
      </c>
      <c r="AD428">
        <v>10</v>
      </c>
      <c r="AE428">
        <v>0</v>
      </c>
      <c r="AF428">
        <v>3</v>
      </c>
      <c r="AG428">
        <v>2</v>
      </c>
      <c r="AH428">
        <v>0</v>
      </c>
      <c r="AI428" t="s">
        <v>424</v>
      </c>
      <c r="AJ428">
        <v>39.561445999999997</v>
      </c>
      <c r="AK428" t="s">
        <v>425</v>
      </c>
      <c r="AL428">
        <v>-92.489176</v>
      </c>
      <c r="AM428">
        <v>100</v>
      </c>
      <c r="AN428">
        <v>1900</v>
      </c>
      <c r="AO428" t="s">
        <v>118</v>
      </c>
      <c r="AP428">
        <v>-75</v>
      </c>
      <c r="AQ428">
        <v>123</v>
      </c>
      <c r="AR428">
        <v>0</v>
      </c>
      <c r="AZ428">
        <v>1200</v>
      </c>
      <c r="BA428">
        <v>1</v>
      </c>
      <c r="BB428" t="str">
        <f t="shared" si="21"/>
        <v xml:space="preserve">N8080G  </v>
      </c>
      <c r="BC428">
        <v>1</v>
      </c>
      <c r="BE428">
        <v>0</v>
      </c>
      <c r="BF428">
        <v>0</v>
      </c>
      <c r="BG428">
        <v>0</v>
      </c>
      <c r="BH428">
        <v>1850</v>
      </c>
      <c r="BI428">
        <v>1</v>
      </c>
      <c r="BJ428">
        <v>1</v>
      </c>
      <c r="BK428">
        <v>1</v>
      </c>
      <c r="BL428">
        <v>0</v>
      </c>
      <c r="BO428">
        <v>0</v>
      </c>
      <c r="BP428">
        <v>0</v>
      </c>
      <c r="BW428" t="str">
        <f>"20:13:32.316"</f>
        <v>20:13:32.316</v>
      </c>
      <c r="CJ428">
        <v>0</v>
      </c>
      <c r="CK428">
        <v>2</v>
      </c>
      <c r="CL428">
        <v>0</v>
      </c>
      <c r="CM428">
        <v>2</v>
      </c>
      <c r="CN428">
        <v>0</v>
      </c>
      <c r="CO428">
        <v>5</v>
      </c>
      <c r="CP428" t="s">
        <v>119</v>
      </c>
      <c r="CQ428">
        <v>559</v>
      </c>
      <c r="CR428">
        <v>0</v>
      </c>
      <c r="CW428">
        <v>10406096</v>
      </c>
      <c r="CY428">
        <v>1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</row>
    <row r="429" spans="1:113" x14ac:dyDescent="0.3">
      <c r="A429" t="str">
        <f>"02/08/2021 20:13:29.986"</f>
        <v>02/08/2021 20:13:29.986</v>
      </c>
      <c r="C429" t="str">
        <f t="shared" si="20"/>
        <v>FFDFD3C0</v>
      </c>
      <c r="D429" t="s">
        <v>113</v>
      </c>
      <c r="E429">
        <v>6</v>
      </c>
      <c r="H429">
        <v>165</v>
      </c>
      <c r="I429" t="s">
        <v>114</v>
      </c>
      <c r="J429" t="s">
        <v>115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>"20:13:32.313"</f>
        <v>20:13:32.313</v>
      </c>
      <c r="T429" t="str">
        <f>"20:13:31.813"</f>
        <v>20:13:31.813</v>
      </c>
      <c r="U429" t="str">
        <f t="shared" si="19"/>
        <v>AB01F4</v>
      </c>
      <c r="V429">
        <v>0</v>
      </c>
      <c r="W429">
        <v>0</v>
      </c>
      <c r="X429">
        <v>1</v>
      </c>
      <c r="Z429">
        <v>0</v>
      </c>
      <c r="AA429">
        <v>9</v>
      </c>
      <c r="AB429">
        <v>3</v>
      </c>
      <c r="AC429">
        <v>0</v>
      </c>
      <c r="AD429">
        <v>10</v>
      </c>
      <c r="AE429">
        <v>0</v>
      </c>
      <c r="AF429">
        <v>3</v>
      </c>
      <c r="AG429">
        <v>2</v>
      </c>
      <c r="AH429">
        <v>0</v>
      </c>
      <c r="AI429" t="s">
        <v>424</v>
      </c>
      <c r="AJ429">
        <v>39.561445999999997</v>
      </c>
      <c r="AK429" t="s">
        <v>425</v>
      </c>
      <c r="AL429">
        <v>-92.489176</v>
      </c>
      <c r="AM429">
        <v>100</v>
      </c>
      <c r="AN429">
        <v>1900</v>
      </c>
      <c r="AO429" t="s">
        <v>118</v>
      </c>
      <c r="AP429">
        <v>-75</v>
      </c>
      <c r="AQ429">
        <v>123</v>
      </c>
      <c r="AR429">
        <v>0</v>
      </c>
      <c r="AZ429">
        <v>1200</v>
      </c>
      <c r="BA429">
        <v>1</v>
      </c>
      <c r="BB429" t="str">
        <f t="shared" si="21"/>
        <v xml:space="preserve">N8080G  </v>
      </c>
      <c r="BC429">
        <v>1</v>
      </c>
      <c r="BE429">
        <v>0</v>
      </c>
      <c r="BF429">
        <v>0</v>
      </c>
      <c r="BG429">
        <v>0</v>
      </c>
      <c r="BH429">
        <v>1850</v>
      </c>
      <c r="BI429">
        <v>1</v>
      </c>
      <c r="BJ429">
        <v>1</v>
      </c>
      <c r="BK429">
        <v>1</v>
      </c>
      <c r="BL429">
        <v>0</v>
      </c>
      <c r="BO429">
        <v>0</v>
      </c>
      <c r="BP429">
        <v>0</v>
      </c>
      <c r="BW429" t="str">
        <f>"20:13:32.316"</f>
        <v>20:13:32.316</v>
      </c>
      <c r="CJ429">
        <v>0</v>
      </c>
      <c r="CK429">
        <v>2</v>
      </c>
      <c r="CL429">
        <v>0</v>
      </c>
      <c r="CM429">
        <v>2</v>
      </c>
      <c r="CN429">
        <v>0</v>
      </c>
      <c r="CO429">
        <v>5</v>
      </c>
      <c r="CP429" t="s">
        <v>119</v>
      </c>
      <c r="CQ429">
        <v>559</v>
      </c>
      <c r="CR429">
        <v>0</v>
      </c>
      <c r="CW429">
        <v>10406096</v>
      </c>
      <c r="CY429">
        <v>1</v>
      </c>
      <c r="CZ429">
        <v>0</v>
      </c>
      <c r="DA429">
        <v>1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</row>
    <row r="430" spans="1:113" x14ac:dyDescent="0.3">
      <c r="A430" t="str">
        <f>"02/08/2021 20:13:29.986"</f>
        <v>02/08/2021 20:13:29.986</v>
      </c>
      <c r="C430" t="str">
        <f t="shared" si="20"/>
        <v>FFDFD3C0</v>
      </c>
      <c r="D430" t="s">
        <v>124</v>
      </c>
      <c r="E430">
        <v>13</v>
      </c>
      <c r="F430">
        <v>1013</v>
      </c>
      <c r="G430" t="s">
        <v>114</v>
      </c>
      <c r="J430" t="s">
        <v>125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>"20:13:32.313"</f>
        <v>20:13:32.313</v>
      </c>
      <c r="T430" t="str">
        <f>"20:13:31.813"</f>
        <v>20:13:31.813</v>
      </c>
      <c r="U430" t="str">
        <f t="shared" si="19"/>
        <v>AB01F4</v>
      </c>
      <c r="V430">
        <v>0</v>
      </c>
      <c r="W430">
        <v>0</v>
      </c>
      <c r="X430">
        <v>1</v>
      </c>
      <c r="Z430">
        <v>0</v>
      </c>
      <c r="AA430">
        <v>9</v>
      </c>
      <c r="AB430">
        <v>3</v>
      </c>
      <c r="AC430">
        <v>0</v>
      </c>
      <c r="AD430">
        <v>10</v>
      </c>
      <c r="AE430">
        <v>0</v>
      </c>
      <c r="AF430">
        <v>3</v>
      </c>
      <c r="AG430">
        <v>2</v>
      </c>
      <c r="AH430">
        <v>0</v>
      </c>
      <c r="AI430" t="s">
        <v>424</v>
      </c>
      <c r="AJ430">
        <v>39.561445999999997</v>
      </c>
      <c r="AK430" t="s">
        <v>425</v>
      </c>
      <c r="AL430">
        <v>-92.489176</v>
      </c>
      <c r="AM430">
        <v>100</v>
      </c>
      <c r="AN430">
        <v>1900</v>
      </c>
      <c r="AO430" t="s">
        <v>118</v>
      </c>
      <c r="AP430">
        <v>-75</v>
      </c>
      <c r="AQ430">
        <v>123</v>
      </c>
      <c r="AR430">
        <v>0</v>
      </c>
      <c r="AZ430">
        <v>1200</v>
      </c>
      <c r="BA430">
        <v>1</v>
      </c>
      <c r="BB430" t="str">
        <f t="shared" si="21"/>
        <v xml:space="preserve">N8080G  </v>
      </c>
      <c r="BC430">
        <v>1</v>
      </c>
      <c r="BE430">
        <v>0</v>
      </c>
      <c r="BF430">
        <v>0</v>
      </c>
      <c r="BG430">
        <v>0</v>
      </c>
      <c r="BH430">
        <v>1850</v>
      </c>
      <c r="BI430">
        <v>1</v>
      </c>
      <c r="BJ430">
        <v>1</v>
      </c>
      <c r="BK430">
        <v>1</v>
      </c>
      <c r="BL430">
        <v>0</v>
      </c>
      <c r="BO430">
        <v>0</v>
      </c>
      <c r="BP430">
        <v>0</v>
      </c>
      <c r="BW430" t="str">
        <f>"20:13:32.316"</f>
        <v>20:13:32.316</v>
      </c>
      <c r="CJ430">
        <v>0</v>
      </c>
      <c r="CK430">
        <v>2</v>
      </c>
      <c r="CL430">
        <v>0</v>
      </c>
      <c r="CM430">
        <v>2</v>
      </c>
      <c r="CN430">
        <v>0</v>
      </c>
      <c r="CO430">
        <v>5</v>
      </c>
      <c r="CP430" t="s">
        <v>119</v>
      </c>
      <c r="CQ430">
        <v>559</v>
      </c>
      <c r="CR430">
        <v>0</v>
      </c>
      <c r="CW430">
        <v>10406096</v>
      </c>
      <c r="CY430">
        <v>1</v>
      </c>
      <c r="CZ430">
        <v>0</v>
      </c>
      <c r="DA430">
        <v>1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</row>
    <row r="431" spans="1:113" x14ac:dyDescent="0.3">
      <c r="A431" t="str">
        <f>"02/08/2021 20:13:30.997"</f>
        <v>02/08/2021 20:13:30.997</v>
      </c>
      <c r="C431" t="str">
        <f t="shared" si="20"/>
        <v>FFDFD3C0</v>
      </c>
      <c r="D431" t="s">
        <v>141</v>
      </c>
      <c r="E431">
        <v>17</v>
      </c>
      <c r="H431">
        <v>256</v>
      </c>
      <c r="I431" t="s">
        <v>142</v>
      </c>
      <c r="J431" t="s">
        <v>143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>"20:13:33.320"</f>
        <v>20:13:33.320</v>
      </c>
      <c r="T431" t="str">
        <f>"20:13:32.320"</f>
        <v>20:13:32.320</v>
      </c>
      <c r="U431" t="str">
        <f t="shared" si="19"/>
        <v>AB01F4</v>
      </c>
      <c r="V431">
        <v>0</v>
      </c>
      <c r="W431">
        <v>0</v>
      </c>
      <c r="X431">
        <v>1</v>
      </c>
      <c r="Z431">
        <v>0</v>
      </c>
      <c r="AA431">
        <v>9</v>
      </c>
      <c r="AB431">
        <v>3</v>
      </c>
      <c r="AC431">
        <v>0</v>
      </c>
      <c r="AD431">
        <v>10</v>
      </c>
      <c r="AE431">
        <v>0</v>
      </c>
      <c r="AF431">
        <v>3</v>
      </c>
      <c r="AG431">
        <v>2</v>
      </c>
      <c r="AH431">
        <v>0</v>
      </c>
      <c r="AI431" t="s">
        <v>426</v>
      </c>
      <c r="AJ431">
        <v>39.562047</v>
      </c>
      <c r="AK431" t="s">
        <v>427</v>
      </c>
      <c r="AL431">
        <v>-92.489604999999997</v>
      </c>
      <c r="AM431">
        <v>100</v>
      </c>
      <c r="AN431">
        <v>1900</v>
      </c>
      <c r="AO431" t="s">
        <v>118</v>
      </c>
      <c r="AP431">
        <v>-74</v>
      </c>
      <c r="AQ431">
        <v>123</v>
      </c>
      <c r="AR431">
        <v>-64</v>
      </c>
      <c r="AZ431">
        <v>1200</v>
      </c>
      <c r="BA431">
        <v>1</v>
      </c>
      <c r="BB431" t="str">
        <f t="shared" si="21"/>
        <v xml:space="preserve">N8080G  </v>
      </c>
      <c r="BC431">
        <v>1</v>
      </c>
      <c r="BE431">
        <v>0</v>
      </c>
      <c r="BF431">
        <v>0</v>
      </c>
      <c r="BG431">
        <v>0</v>
      </c>
      <c r="BH431">
        <v>1850</v>
      </c>
      <c r="BI431">
        <v>1</v>
      </c>
      <c r="BJ431">
        <v>1</v>
      </c>
      <c r="BK431">
        <v>1</v>
      </c>
      <c r="BL431">
        <v>0</v>
      </c>
      <c r="BO431">
        <v>0</v>
      </c>
      <c r="BP431">
        <v>0</v>
      </c>
      <c r="BW431" t="str">
        <f>"20:13:33.322"</f>
        <v>20:13:33.322</v>
      </c>
      <c r="CJ431">
        <v>0</v>
      </c>
      <c r="CK431">
        <v>2</v>
      </c>
      <c r="CL431">
        <v>0</v>
      </c>
      <c r="CM431">
        <v>2</v>
      </c>
      <c r="CN431">
        <v>0</v>
      </c>
      <c r="CO431">
        <v>5</v>
      </c>
      <c r="CP431" t="s">
        <v>119</v>
      </c>
      <c r="CQ431">
        <v>559</v>
      </c>
      <c r="CR431">
        <v>0</v>
      </c>
      <c r="CW431">
        <v>10406250</v>
      </c>
      <c r="CY431">
        <v>1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</row>
    <row r="432" spans="1:113" x14ac:dyDescent="0.3">
      <c r="A432" t="str">
        <f>"02/08/2021 20:13:30.997"</f>
        <v>02/08/2021 20:13:30.997</v>
      </c>
      <c r="C432" t="str">
        <f t="shared" si="20"/>
        <v>FFDFD3C0</v>
      </c>
      <c r="D432" t="s">
        <v>113</v>
      </c>
      <c r="E432">
        <v>6</v>
      </c>
      <c r="H432">
        <v>165</v>
      </c>
      <c r="I432" t="s">
        <v>114</v>
      </c>
      <c r="J432" t="s">
        <v>115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>"20:13:33.320"</f>
        <v>20:13:33.320</v>
      </c>
      <c r="T432" t="str">
        <f>"20:13:32.320"</f>
        <v>20:13:32.320</v>
      </c>
      <c r="U432" t="str">
        <f t="shared" si="19"/>
        <v>AB01F4</v>
      </c>
      <c r="V432">
        <v>0</v>
      </c>
      <c r="W432">
        <v>0</v>
      </c>
      <c r="X432">
        <v>1</v>
      </c>
      <c r="Z432">
        <v>0</v>
      </c>
      <c r="AA432">
        <v>9</v>
      </c>
      <c r="AB432">
        <v>3</v>
      </c>
      <c r="AC432">
        <v>0</v>
      </c>
      <c r="AD432">
        <v>10</v>
      </c>
      <c r="AE432">
        <v>0</v>
      </c>
      <c r="AF432">
        <v>3</v>
      </c>
      <c r="AG432">
        <v>2</v>
      </c>
      <c r="AH432">
        <v>0</v>
      </c>
      <c r="AI432" t="s">
        <v>426</v>
      </c>
      <c r="AJ432">
        <v>39.562047</v>
      </c>
      <c r="AK432" t="s">
        <v>427</v>
      </c>
      <c r="AL432">
        <v>-92.489604999999997</v>
      </c>
      <c r="AM432">
        <v>100</v>
      </c>
      <c r="AN432">
        <v>1900</v>
      </c>
      <c r="AO432" t="s">
        <v>118</v>
      </c>
      <c r="AP432">
        <v>-74</v>
      </c>
      <c r="AQ432">
        <v>123</v>
      </c>
      <c r="AR432">
        <v>-64</v>
      </c>
      <c r="AZ432">
        <v>1200</v>
      </c>
      <c r="BA432">
        <v>1</v>
      </c>
      <c r="BB432" t="str">
        <f t="shared" si="21"/>
        <v xml:space="preserve">N8080G  </v>
      </c>
      <c r="BC432">
        <v>1</v>
      </c>
      <c r="BE432">
        <v>0</v>
      </c>
      <c r="BF432">
        <v>0</v>
      </c>
      <c r="BG432">
        <v>0</v>
      </c>
      <c r="BH432">
        <v>1850</v>
      </c>
      <c r="BI432">
        <v>1</v>
      </c>
      <c r="BJ432">
        <v>1</v>
      </c>
      <c r="BK432">
        <v>1</v>
      </c>
      <c r="BL432">
        <v>0</v>
      </c>
      <c r="BO432">
        <v>0</v>
      </c>
      <c r="BP432">
        <v>0</v>
      </c>
      <c r="BW432" t="str">
        <f>"20:13:33.322"</f>
        <v>20:13:33.322</v>
      </c>
      <c r="CJ432">
        <v>0</v>
      </c>
      <c r="CK432">
        <v>2</v>
      </c>
      <c r="CL432">
        <v>0</v>
      </c>
      <c r="CM432">
        <v>2</v>
      </c>
      <c r="CN432">
        <v>0</v>
      </c>
      <c r="CO432">
        <v>5</v>
      </c>
      <c r="CP432" t="s">
        <v>119</v>
      </c>
      <c r="CQ432">
        <v>559</v>
      </c>
      <c r="CR432">
        <v>0</v>
      </c>
      <c r="CW432">
        <v>10406250</v>
      </c>
      <c r="CY432">
        <v>1</v>
      </c>
      <c r="CZ432">
        <v>0</v>
      </c>
      <c r="DA432">
        <v>1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</row>
    <row r="433" spans="1:113" x14ac:dyDescent="0.3">
      <c r="A433" t="str">
        <f>"02/08/2021 20:13:30.997"</f>
        <v>02/08/2021 20:13:30.997</v>
      </c>
      <c r="C433" t="str">
        <f t="shared" si="20"/>
        <v>FFDFD3C0</v>
      </c>
      <c r="D433" t="s">
        <v>124</v>
      </c>
      <c r="E433">
        <v>13</v>
      </c>
      <c r="F433">
        <v>1013</v>
      </c>
      <c r="G433" t="s">
        <v>114</v>
      </c>
      <c r="J433" t="s">
        <v>125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>"20:13:33.320"</f>
        <v>20:13:33.320</v>
      </c>
      <c r="T433" t="str">
        <f>"20:13:32.320"</f>
        <v>20:13:32.320</v>
      </c>
      <c r="U433" t="str">
        <f t="shared" si="19"/>
        <v>AB01F4</v>
      </c>
      <c r="V433">
        <v>0</v>
      </c>
      <c r="W433">
        <v>0</v>
      </c>
      <c r="X433">
        <v>1</v>
      </c>
      <c r="Z433">
        <v>0</v>
      </c>
      <c r="AA433">
        <v>9</v>
      </c>
      <c r="AB433">
        <v>3</v>
      </c>
      <c r="AC433">
        <v>0</v>
      </c>
      <c r="AD433">
        <v>10</v>
      </c>
      <c r="AE433">
        <v>0</v>
      </c>
      <c r="AF433">
        <v>3</v>
      </c>
      <c r="AG433">
        <v>2</v>
      </c>
      <c r="AH433">
        <v>0</v>
      </c>
      <c r="AI433" t="s">
        <v>426</v>
      </c>
      <c r="AJ433">
        <v>39.562047</v>
      </c>
      <c r="AK433" t="s">
        <v>427</v>
      </c>
      <c r="AL433">
        <v>-92.489604999999997</v>
      </c>
      <c r="AM433">
        <v>100</v>
      </c>
      <c r="AN433">
        <v>1900</v>
      </c>
      <c r="AO433" t="s">
        <v>118</v>
      </c>
      <c r="AP433">
        <v>-74</v>
      </c>
      <c r="AQ433">
        <v>123</v>
      </c>
      <c r="AR433">
        <v>-64</v>
      </c>
      <c r="AZ433">
        <v>1200</v>
      </c>
      <c r="BA433">
        <v>1</v>
      </c>
      <c r="BB433" t="str">
        <f t="shared" si="21"/>
        <v xml:space="preserve">N8080G  </v>
      </c>
      <c r="BC433">
        <v>1</v>
      </c>
      <c r="BE433">
        <v>0</v>
      </c>
      <c r="BF433">
        <v>0</v>
      </c>
      <c r="BG433">
        <v>0</v>
      </c>
      <c r="BH433">
        <v>1850</v>
      </c>
      <c r="BI433">
        <v>1</v>
      </c>
      <c r="BJ433">
        <v>1</v>
      </c>
      <c r="BK433">
        <v>1</v>
      </c>
      <c r="BL433">
        <v>0</v>
      </c>
      <c r="BO433">
        <v>0</v>
      </c>
      <c r="BP433">
        <v>0</v>
      </c>
      <c r="BW433" t="str">
        <f>"20:13:33.322"</f>
        <v>20:13:33.322</v>
      </c>
      <c r="CJ433">
        <v>0</v>
      </c>
      <c r="CK433">
        <v>2</v>
      </c>
      <c r="CL433">
        <v>0</v>
      </c>
      <c r="CM433">
        <v>2</v>
      </c>
      <c r="CN433">
        <v>0</v>
      </c>
      <c r="CO433">
        <v>5</v>
      </c>
      <c r="CP433" t="s">
        <v>119</v>
      </c>
      <c r="CQ433">
        <v>559</v>
      </c>
      <c r="CR433">
        <v>0</v>
      </c>
      <c r="CW433">
        <v>10406250</v>
      </c>
      <c r="CY433">
        <v>1</v>
      </c>
      <c r="CZ433">
        <v>0</v>
      </c>
      <c r="DA433">
        <v>1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</row>
    <row r="434" spans="1:113" x14ac:dyDescent="0.3">
      <c r="A434" t="str">
        <f>"02/08/2021 20:13:31.907"</f>
        <v>02/08/2021 20:13:31.907</v>
      </c>
      <c r="C434" t="str">
        <f t="shared" si="20"/>
        <v>FFDFD3C0</v>
      </c>
      <c r="D434" t="s">
        <v>141</v>
      </c>
      <c r="E434">
        <v>17</v>
      </c>
      <c r="H434">
        <v>256</v>
      </c>
      <c r="I434" t="s">
        <v>142</v>
      </c>
      <c r="J434" t="s">
        <v>143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>"20:13:34.219"</f>
        <v>20:13:34.219</v>
      </c>
      <c r="T434" t="str">
        <f>"20:13:33.819"</f>
        <v>20:13:33.819</v>
      </c>
      <c r="U434" t="str">
        <f t="shared" si="19"/>
        <v>AB01F4</v>
      </c>
      <c r="V434">
        <v>0</v>
      </c>
      <c r="W434">
        <v>0</v>
      </c>
      <c r="X434">
        <v>1</v>
      </c>
      <c r="Z434">
        <v>0</v>
      </c>
      <c r="AA434">
        <v>9</v>
      </c>
      <c r="AB434">
        <v>3</v>
      </c>
      <c r="AC434">
        <v>0</v>
      </c>
      <c r="AD434">
        <v>10</v>
      </c>
      <c r="AE434">
        <v>0</v>
      </c>
      <c r="AF434">
        <v>3</v>
      </c>
      <c r="AG434">
        <v>2</v>
      </c>
      <c r="AH434">
        <v>0</v>
      </c>
      <c r="AI434" t="s">
        <v>428</v>
      </c>
      <c r="AJ434">
        <v>39.562562</v>
      </c>
      <c r="AK434" t="s">
        <v>429</v>
      </c>
      <c r="AL434">
        <v>-92.489991000000003</v>
      </c>
      <c r="AM434">
        <v>100</v>
      </c>
      <c r="AN434">
        <v>1900</v>
      </c>
      <c r="AO434" t="s">
        <v>118</v>
      </c>
      <c r="AP434">
        <v>-72</v>
      </c>
      <c r="AQ434">
        <v>125</v>
      </c>
      <c r="AR434">
        <v>0</v>
      </c>
      <c r="AZ434">
        <v>1200</v>
      </c>
      <c r="BA434">
        <v>1</v>
      </c>
      <c r="BB434" t="str">
        <f t="shared" si="21"/>
        <v xml:space="preserve">N8080G  </v>
      </c>
      <c r="BC434">
        <v>1</v>
      </c>
      <c r="BE434">
        <v>0</v>
      </c>
      <c r="BF434">
        <v>0</v>
      </c>
      <c r="BG434">
        <v>0</v>
      </c>
      <c r="BH434">
        <v>1850</v>
      </c>
      <c r="BI434">
        <v>1</v>
      </c>
      <c r="BJ434">
        <v>1</v>
      </c>
      <c r="BK434">
        <v>1</v>
      </c>
      <c r="BL434">
        <v>0</v>
      </c>
      <c r="BO434">
        <v>0</v>
      </c>
      <c r="BP434">
        <v>0</v>
      </c>
      <c r="BW434" t="str">
        <f>"20:13:34.225"</f>
        <v>20:13:34.225</v>
      </c>
      <c r="CJ434">
        <v>0</v>
      </c>
      <c r="CK434">
        <v>2</v>
      </c>
      <c r="CL434">
        <v>0</v>
      </c>
      <c r="CM434">
        <v>2</v>
      </c>
      <c r="CN434">
        <v>0</v>
      </c>
      <c r="CO434">
        <v>6</v>
      </c>
      <c r="CP434" t="s">
        <v>119</v>
      </c>
      <c r="CQ434">
        <v>559</v>
      </c>
      <c r="CR434">
        <v>0</v>
      </c>
      <c r="CW434">
        <v>10406395</v>
      </c>
      <c r="CY434">
        <v>1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</row>
    <row r="435" spans="1:113" x14ac:dyDescent="0.3">
      <c r="A435" t="str">
        <f>"02/08/2021 20:13:31.907"</f>
        <v>02/08/2021 20:13:31.907</v>
      </c>
      <c r="C435" t="str">
        <f t="shared" si="20"/>
        <v>FFDFD3C0</v>
      </c>
      <c r="D435" t="s">
        <v>113</v>
      </c>
      <c r="E435">
        <v>6</v>
      </c>
      <c r="H435">
        <v>165</v>
      </c>
      <c r="I435" t="s">
        <v>114</v>
      </c>
      <c r="J435" t="s">
        <v>115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>"20:13:34.219"</f>
        <v>20:13:34.219</v>
      </c>
      <c r="T435" t="str">
        <f>"20:13:33.819"</f>
        <v>20:13:33.819</v>
      </c>
      <c r="U435" t="str">
        <f t="shared" si="19"/>
        <v>AB01F4</v>
      </c>
      <c r="V435">
        <v>0</v>
      </c>
      <c r="W435">
        <v>0</v>
      </c>
      <c r="X435">
        <v>1</v>
      </c>
      <c r="Z435">
        <v>0</v>
      </c>
      <c r="AA435">
        <v>9</v>
      </c>
      <c r="AB435">
        <v>3</v>
      </c>
      <c r="AC435">
        <v>0</v>
      </c>
      <c r="AD435">
        <v>10</v>
      </c>
      <c r="AE435">
        <v>0</v>
      </c>
      <c r="AF435">
        <v>3</v>
      </c>
      <c r="AG435">
        <v>2</v>
      </c>
      <c r="AH435">
        <v>0</v>
      </c>
      <c r="AI435" t="s">
        <v>428</v>
      </c>
      <c r="AJ435">
        <v>39.562562</v>
      </c>
      <c r="AK435" t="s">
        <v>429</v>
      </c>
      <c r="AL435">
        <v>-92.489991000000003</v>
      </c>
      <c r="AM435">
        <v>100</v>
      </c>
      <c r="AN435">
        <v>1900</v>
      </c>
      <c r="AO435" t="s">
        <v>118</v>
      </c>
      <c r="AP435">
        <v>-72</v>
      </c>
      <c r="AQ435">
        <v>125</v>
      </c>
      <c r="AR435">
        <v>0</v>
      </c>
      <c r="AZ435">
        <v>1200</v>
      </c>
      <c r="BA435">
        <v>1</v>
      </c>
      <c r="BB435" t="str">
        <f t="shared" si="21"/>
        <v xml:space="preserve">N8080G  </v>
      </c>
      <c r="BC435">
        <v>1</v>
      </c>
      <c r="BE435">
        <v>0</v>
      </c>
      <c r="BF435">
        <v>0</v>
      </c>
      <c r="BG435">
        <v>0</v>
      </c>
      <c r="BH435">
        <v>1850</v>
      </c>
      <c r="BI435">
        <v>1</v>
      </c>
      <c r="BJ435">
        <v>1</v>
      </c>
      <c r="BK435">
        <v>1</v>
      </c>
      <c r="BL435">
        <v>0</v>
      </c>
      <c r="BO435">
        <v>0</v>
      </c>
      <c r="BP435">
        <v>0</v>
      </c>
      <c r="BW435" t="str">
        <f>"20:13:34.225"</f>
        <v>20:13:34.225</v>
      </c>
      <c r="CJ435">
        <v>0</v>
      </c>
      <c r="CK435">
        <v>2</v>
      </c>
      <c r="CL435">
        <v>0</v>
      </c>
      <c r="CM435">
        <v>2</v>
      </c>
      <c r="CN435">
        <v>0</v>
      </c>
      <c r="CO435">
        <v>6</v>
      </c>
      <c r="CP435" t="s">
        <v>119</v>
      </c>
      <c r="CQ435">
        <v>559</v>
      </c>
      <c r="CR435">
        <v>0</v>
      </c>
      <c r="CW435">
        <v>10406395</v>
      </c>
      <c r="CY435">
        <v>1</v>
      </c>
      <c r="CZ435">
        <v>0</v>
      </c>
      <c r="DA435">
        <v>1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</row>
    <row r="436" spans="1:113" x14ac:dyDescent="0.3">
      <c r="A436" t="str">
        <f>"02/08/2021 20:13:31.907"</f>
        <v>02/08/2021 20:13:31.907</v>
      </c>
      <c r="C436" t="str">
        <f t="shared" si="20"/>
        <v>FFDFD3C0</v>
      </c>
      <c r="D436" t="s">
        <v>124</v>
      </c>
      <c r="E436">
        <v>13</v>
      </c>
      <c r="F436">
        <v>1013</v>
      </c>
      <c r="G436" t="s">
        <v>114</v>
      </c>
      <c r="J436" t="s">
        <v>125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>"20:13:34.219"</f>
        <v>20:13:34.219</v>
      </c>
      <c r="T436" t="str">
        <f>"20:13:33.819"</f>
        <v>20:13:33.819</v>
      </c>
      <c r="U436" t="str">
        <f t="shared" si="19"/>
        <v>AB01F4</v>
      </c>
      <c r="V436">
        <v>0</v>
      </c>
      <c r="W436">
        <v>0</v>
      </c>
      <c r="X436">
        <v>1</v>
      </c>
      <c r="Z436">
        <v>0</v>
      </c>
      <c r="AA436">
        <v>9</v>
      </c>
      <c r="AB436">
        <v>3</v>
      </c>
      <c r="AC436">
        <v>0</v>
      </c>
      <c r="AD436">
        <v>10</v>
      </c>
      <c r="AE436">
        <v>0</v>
      </c>
      <c r="AF436">
        <v>3</v>
      </c>
      <c r="AG436">
        <v>2</v>
      </c>
      <c r="AH436">
        <v>0</v>
      </c>
      <c r="AI436" t="s">
        <v>428</v>
      </c>
      <c r="AJ436">
        <v>39.562562</v>
      </c>
      <c r="AK436" t="s">
        <v>429</v>
      </c>
      <c r="AL436">
        <v>-92.489991000000003</v>
      </c>
      <c r="AM436">
        <v>100</v>
      </c>
      <c r="AN436">
        <v>1900</v>
      </c>
      <c r="AO436" t="s">
        <v>118</v>
      </c>
      <c r="AP436">
        <v>-72</v>
      </c>
      <c r="AQ436">
        <v>125</v>
      </c>
      <c r="AR436">
        <v>0</v>
      </c>
      <c r="AZ436">
        <v>1200</v>
      </c>
      <c r="BA436">
        <v>1</v>
      </c>
      <c r="BB436" t="str">
        <f t="shared" si="21"/>
        <v xml:space="preserve">N8080G  </v>
      </c>
      <c r="BC436">
        <v>1</v>
      </c>
      <c r="BE436">
        <v>0</v>
      </c>
      <c r="BF436">
        <v>0</v>
      </c>
      <c r="BG436">
        <v>0</v>
      </c>
      <c r="BH436">
        <v>1850</v>
      </c>
      <c r="BI436">
        <v>1</v>
      </c>
      <c r="BJ436">
        <v>1</v>
      </c>
      <c r="BK436">
        <v>1</v>
      </c>
      <c r="BL436">
        <v>0</v>
      </c>
      <c r="BO436">
        <v>0</v>
      </c>
      <c r="BP436">
        <v>0</v>
      </c>
      <c r="BW436" t="str">
        <f>"20:13:34.225"</f>
        <v>20:13:34.225</v>
      </c>
      <c r="CJ436">
        <v>0</v>
      </c>
      <c r="CK436">
        <v>2</v>
      </c>
      <c r="CL436">
        <v>0</v>
      </c>
      <c r="CM436">
        <v>2</v>
      </c>
      <c r="CN436">
        <v>0</v>
      </c>
      <c r="CO436">
        <v>6</v>
      </c>
      <c r="CP436" t="s">
        <v>119</v>
      </c>
      <c r="CQ436">
        <v>559</v>
      </c>
      <c r="CR436">
        <v>0</v>
      </c>
      <c r="CW436">
        <v>10406395</v>
      </c>
      <c r="CY436">
        <v>1</v>
      </c>
      <c r="CZ436">
        <v>0</v>
      </c>
      <c r="DA436">
        <v>1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</row>
    <row r="437" spans="1:113" x14ac:dyDescent="0.3">
      <c r="A437" t="str">
        <f>"02/08/2021 20:13:32.866"</f>
        <v>02/08/2021 20:13:32.866</v>
      </c>
      <c r="C437" t="str">
        <f t="shared" si="20"/>
        <v>FFDFD3C0</v>
      </c>
      <c r="D437" t="s">
        <v>124</v>
      </c>
      <c r="E437">
        <v>13</v>
      </c>
      <c r="F437">
        <v>1013</v>
      </c>
      <c r="G437" t="s">
        <v>114</v>
      </c>
      <c r="J437" t="s">
        <v>125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>"20:13:35.180"</f>
        <v>20:13:35.180</v>
      </c>
      <c r="T437" t="str">
        <f>"20:13:34.780"</f>
        <v>20:13:34.780</v>
      </c>
      <c r="U437" t="str">
        <f t="shared" si="19"/>
        <v>AB01F4</v>
      </c>
      <c r="V437">
        <v>0</v>
      </c>
      <c r="W437">
        <v>0</v>
      </c>
      <c r="X437">
        <v>1</v>
      </c>
      <c r="Z437">
        <v>0</v>
      </c>
      <c r="AA437">
        <v>9</v>
      </c>
      <c r="AB437">
        <v>3</v>
      </c>
      <c r="AC437">
        <v>0</v>
      </c>
      <c r="AD437">
        <v>10</v>
      </c>
      <c r="AE437">
        <v>0</v>
      </c>
      <c r="AF437">
        <v>3</v>
      </c>
      <c r="AG437">
        <v>2</v>
      </c>
      <c r="AH437">
        <v>0</v>
      </c>
      <c r="AI437" t="s">
        <v>430</v>
      </c>
      <c r="AJ437">
        <v>39.563097999999997</v>
      </c>
      <c r="AK437" t="s">
        <v>431</v>
      </c>
      <c r="AL437">
        <v>-92.490376999999995</v>
      </c>
      <c r="AM437">
        <v>100</v>
      </c>
      <c r="AN437">
        <v>1900</v>
      </c>
      <c r="AO437" t="s">
        <v>118</v>
      </c>
      <c r="AP437">
        <v>-68</v>
      </c>
      <c r="AQ437">
        <v>126</v>
      </c>
      <c r="AR437">
        <v>0</v>
      </c>
      <c r="AZ437">
        <v>1200</v>
      </c>
      <c r="BA437">
        <v>1</v>
      </c>
      <c r="BB437" t="str">
        <f t="shared" si="21"/>
        <v xml:space="preserve">N8080G  </v>
      </c>
      <c r="BC437">
        <v>1</v>
      </c>
      <c r="BE437">
        <v>0</v>
      </c>
      <c r="BF437">
        <v>0</v>
      </c>
      <c r="BG437">
        <v>0</v>
      </c>
      <c r="BH437">
        <v>1850</v>
      </c>
      <c r="BI437">
        <v>1</v>
      </c>
      <c r="BJ437">
        <v>1</v>
      </c>
      <c r="BK437">
        <v>1</v>
      </c>
      <c r="BL437">
        <v>0</v>
      </c>
      <c r="BO437">
        <v>0</v>
      </c>
      <c r="BP437">
        <v>0</v>
      </c>
      <c r="BW437" t="str">
        <f>"20:13:35.185"</f>
        <v>20:13:35.185</v>
      </c>
      <c r="CJ437">
        <v>0</v>
      </c>
      <c r="CK437">
        <v>2</v>
      </c>
      <c r="CL437">
        <v>0</v>
      </c>
      <c r="CM437">
        <v>2</v>
      </c>
      <c r="CN437">
        <v>0</v>
      </c>
      <c r="CO437">
        <v>6</v>
      </c>
      <c r="CP437" t="s">
        <v>119</v>
      </c>
      <c r="CQ437">
        <v>180</v>
      </c>
      <c r="CR437">
        <v>1</v>
      </c>
      <c r="CW437">
        <v>10380741</v>
      </c>
      <c r="CY437">
        <v>1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</row>
    <row r="438" spans="1:113" x14ac:dyDescent="0.3">
      <c r="A438" t="str">
        <f>"02/08/2021 20:13:32.866"</f>
        <v>02/08/2021 20:13:32.866</v>
      </c>
      <c r="C438" t="str">
        <f t="shared" si="20"/>
        <v>FFDFD3C0</v>
      </c>
      <c r="D438" t="s">
        <v>141</v>
      </c>
      <c r="E438">
        <v>17</v>
      </c>
      <c r="H438">
        <v>256</v>
      </c>
      <c r="I438" t="s">
        <v>142</v>
      </c>
      <c r="J438" t="s">
        <v>143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>"20:13:35.180"</f>
        <v>20:13:35.180</v>
      </c>
      <c r="T438" t="str">
        <f>"20:13:34.780"</f>
        <v>20:13:34.780</v>
      </c>
      <c r="U438" t="str">
        <f t="shared" si="19"/>
        <v>AB01F4</v>
      </c>
      <c r="V438">
        <v>0</v>
      </c>
      <c r="W438">
        <v>0</v>
      </c>
      <c r="X438">
        <v>1</v>
      </c>
      <c r="Z438">
        <v>0</v>
      </c>
      <c r="AA438">
        <v>9</v>
      </c>
      <c r="AB438">
        <v>3</v>
      </c>
      <c r="AC438">
        <v>0</v>
      </c>
      <c r="AD438">
        <v>10</v>
      </c>
      <c r="AE438">
        <v>0</v>
      </c>
      <c r="AF438">
        <v>3</v>
      </c>
      <c r="AG438">
        <v>2</v>
      </c>
      <c r="AH438">
        <v>0</v>
      </c>
      <c r="AI438" t="s">
        <v>430</v>
      </c>
      <c r="AJ438">
        <v>39.563097999999997</v>
      </c>
      <c r="AK438" t="s">
        <v>431</v>
      </c>
      <c r="AL438">
        <v>-92.490376999999995</v>
      </c>
      <c r="AM438">
        <v>100</v>
      </c>
      <c r="AN438">
        <v>1900</v>
      </c>
      <c r="AO438" t="s">
        <v>118</v>
      </c>
      <c r="AP438">
        <v>-68</v>
      </c>
      <c r="AQ438">
        <v>126</v>
      </c>
      <c r="AR438">
        <v>0</v>
      </c>
      <c r="AZ438">
        <v>1200</v>
      </c>
      <c r="BA438">
        <v>1</v>
      </c>
      <c r="BB438" t="str">
        <f t="shared" si="21"/>
        <v xml:space="preserve">N8080G  </v>
      </c>
      <c r="BC438">
        <v>1</v>
      </c>
      <c r="BE438">
        <v>0</v>
      </c>
      <c r="BF438">
        <v>0</v>
      </c>
      <c r="BG438">
        <v>0</v>
      </c>
      <c r="BH438">
        <v>1850</v>
      </c>
      <c r="BI438">
        <v>1</v>
      </c>
      <c r="BJ438">
        <v>1</v>
      </c>
      <c r="BK438">
        <v>1</v>
      </c>
      <c r="BL438">
        <v>0</v>
      </c>
      <c r="BO438">
        <v>0</v>
      </c>
      <c r="BP438">
        <v>0</v>
      </c>
      <c r="BW438" t="str">
        <f>"20:13:35.185"</f>
        <v>20:13:35.185</v>
      </c>
      <c r="CJ438">
        <v>0</v>
      </c>
      <c r="CK438">
        <v>2</v>
      </c>
      <c r="CL438">
        <v>0</v>
      </c>
      <c r="CM438">
        <v>2</v>
      </c>
      <c r="CN438">
        <v>0</v>
      </c>
      <c r="CO438">
        <v>6</v>
      </c>
      <c r="CP438" t="s">
        <v>119</v>
      </c>
      <c r="CQ438">
        <v>559</v>
      </c>
      <c r="CR438">
        <v>0</v>
      </c>
      <c r="CW438">
        <v>10406537</v>
      </c>
      <c r="CY438">
        <v>1</v>
      </c>
      <c r="CZ438">
        <v>0</v>
      </c>
      <c r="DA438">
        <v>1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</row>
    <row r="439" spans="1:113" x14ac:dyDescent="0.3">
      <c r="A439" t="str">
        <f>"02/08/2021 20:13:32.866"</f>
        <v>02/08/2021 20:13:32.866</v>
      </c>
      <c r="C439" t="str">
        <f t="shared" si="20"/>
        <v>FFDFD3C0</v>
      </c>
      <c r="D439" t="s">
        <v>113</v>
      </c>
      <c r="E439">
        <v>6</v>
      </c>
      <c r="H439">
        <v>165</v>
      </c>
      <c r="I439" t="s">
        <v>114</v>
      </c>
      <c r="J439" t="s">
        <v>115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>"20:13:35.180"</f>
        <v>20:13:35.180</v>
      </c>
      <c r="T439" t="str">
        <f>"20:13:34.780"</f>
        <v>20:13:34.780</v>
      </c>
      <c r="U439" t="str">
        <f t="shared" si="19"/>
        <v>AB01F4</v>
      </c>
      <c r="V439">
        <v>0</v>
      </c>
      <c r="W439">
        <v>0</v>
      </c>
      <c r="X439">
        <v>1</v>
      </c>
      <c r="Z439">
        <v>0</v>
      </c>
      <c r="AA439">
        <v>9</v>
      </c>
      <c r="AB439">
        <v>3</v>
      </c>
      <c r="AC439">
        <v>0</v>
      </c>
      <c r="AD439">
        <v>10</v>
      </c>
      <c r="AE439">
        <v>0</v>
      </c>
      <c r="AF439">
        <v>3</v>
      </c>
      <c r="AG439">
        <v>2</v>
      </c>
      <c r="AH439">
        <v>0</v>
      </c>
      <c r="AI439" t="s">
        <v>430</v>
      </c>
      <c r="AJ439">
        <v>39.563097999999997</v>
      </c>
      <c r="AK439" t="s">
        <v>431</v>
      </c>
      <c r="AL439">
        <v>-92.490376999999995</v>
      </c>
      <c r="AM439">
        <v>100</v>
      </c>
      <c r="AN439">
        <v>1900</v>
      </c>
      <c r="AO439" t="s">
        <v>118</v>
      </c>
      <c r="AP439">
        <v>-68</v>
      </c>
      <c r="AQ439">
        <v>126</v>
      </c>
      <c r="AR439">
        <v>0</v>
      </c>
      <c r="AZ439">
        <v>1200</v>
      </c>
      <c r="BA439">
        <v>1</v>
      </c>
      <c r="BB439" t="str">
        <f t="shared" si="21"/>
        <v xml:space="preserve">N8080G  </v>
      </c>
      <c r="BC439">
        <v>1</v>
      </c>
      <c r="BE439">
        <v>0</v>
      </c>
      <c r="BF439">
        <v>0</v>
      </c>
      <c r="BG439">
        <v>0</v>
      </c>
      <c r="BH439">
        <v>1850</v>
      </c>
      <c r="BI439">
        <v>1</v>
      </c>
      <c r="BJ439">
        <v>1</v>
      </c>
      <c r="BK439">
        <v>1</v>
      </c>
      <c r="BL439">
        <v>0</v>
      </c>
      <c r="BO439">
        <v>0</v>
      </c>
      <c r="BP439">
        <v>0</v>
      </c>
      <c r="BW439" t="str">
        <f>"20:13:35.185"</f>
        <v>20:13:35.185</v>
      </c>
      <c r="CJ439">
        <v>0</v>
      </c>
      <c r="CK439">
        <v>2</v>
      </c>
      <c r="CL439">
        <v>0</v>
      </c>
      <c r="CM439">
        <v>2</v>
      </c>
      <c r="CN439">
        <v>0</v>
      </c>
      <c r="CO439">
        <v>6</v>
      </c>
      <c r="CP439" t="s">
        <v>119</v>
      </c>
      <c r="CQ439">
        <v>180</v>
      </c>
      <c r="CR439">
        <v>1</v>
      </c>
      <c r="CW439">
        <v>10380741</v>
      </c>
      <c r="CY439">
        <v>1</v>
      </c>
      <c r="CZ439">
        <v>0</v>
      </c>
      <c r="DA439">
        <v>1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</row>
    <row r="440" spans="1:113" x14ac:dyDescent="0.3">
      <c r="A440" t="str">
        <f>"02/08/2021 20:13:33.873"</f>
        <v>02/08/2021 20:13:33.873</v>
      </c>
      <c r="C440" t="str">
        <f t="shared" si="20"/>
        <v>FFDFD3C0</v>
      </c>
      <c r="D440" t="s">
        <v>124</v>
      </c>
      <c r="E440">
        <v>13</v>
      </c>
      <c r="F440">
        <v>1013</v>
      </c>
      <c r="G440" t="s">
        <v>114</v>
      </c>
      <c r="J440" t="s">
        <v>125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>"20:13:36.188"</f>
        <v>20:13:36.188</v>
      </c>
      <c r="T440" t="str">
        <f>"20:13:35.688"</f>
        <v>20:13:35.688</v>
      </c>
      <c r="U440" t="str">
        <f t="shared" si="19"/>
        <v>AB01F4</v>
      </c>
      <c r="V440">
        <v>0</v>
      </c>
      <c r="W440">
        <v>0</v>
      </c>
      <c r="X440">
        <v>1</v>
      </c>
      <c r="Z440">
        <v>0</v>
      </c>
      <c r="AA440">
        <v>9</v>
      </c>
      <c r="AB440">
        <v>3</v>
      </c>
      <c r="AC440">
        <v>0</v>
      </c>
      <c r="AD440">
        <v>10</v>
      </c>
      <c r="AE440">
        <v>0</v>
      </c>
      <c r="AF440">
        <v>3</v>
      </c>
      <c r="AG440">
        <v>2</v>
      </c>
      <c r="AH440">
        <v>0</v>
      </c>
      <c r="AI440" t="s">
        <v>432</v>
      </c>
      <c r="AJ440">
        <v>39.563699</v>
      </c>
      <c r="AK440" t="s">
        <v>433</v>
      </c>
      <c r="AL440">
        <v>-92.490741999999997</v>
      </c>
      <c r="AM440">
        <v>100</v>
      </c>
      <c r="AN440">
        <v>1900</v>
      </c>
      <c r="AO440" t="s">
        <v>118</v>
      </c>
      <c r="AP440">
        <v>-65</v>
      </c>
      <c r="AQ440">
        <v>128</v>
      </c>
      <c r="AR440">
        <v>0</v>
      </c>
      <c r="AZ440">
        <v>1200</v>
      </c>
      <c r="BA440">
        <v>1</v>
      </c>
      <c r="BB440" t="str">
        <f t="shared" si="21"/>
        <v xml:space="preserve">N8080G  </v>
      </c>
      <c r="BC440">
        <v>1</v>
      </c>
      <c r="BE440">
        <v>0</v>
      </c>
      <c r="BF440">
        <v>0</v>
      </c>
      <c r="BG440">
        <v>0</v>
      </c>
      <c r="BH440">
        <v>1850</v>
      </c>
      <c r="BI440">
        <v>1</v>
      </c>
      <c r="BJ440">
        <v>1</v>
      </c>
      <c r="BK440">
        <v>1</v>
      </c>
      <c r="BL440">
        <v>0</v>
      </c>
      <c r="BO440">
        <v>0</v>
      </c>
      <c r="BP440">
        <v>0</v>
      </c>
      <c r="BW440" t="str">
        <f>"20:13:36.188"</f>
        <v>20:13:36.188</v>
      </c>
      <c r="CJ440">
        <v>0</v>
      </c>
      <c r="CK440">
        <v>2</v>
      </c>
      <c r="CL440">
        <v>0</v>
      </c>
      <c r="CM440">
        <v>2</v>
      </c>
      <c r="CN440">
        <v>0</v>
      </c>
      <c r="CO440">
        <v>6</v>
      </c>
      <c r="CP440" t="s">
        <v>119</v>
      </c>
      <c r="CQ440">
        <v>559</v>
      </c>
      <c r="CR440">
        <v>0</v>
      </c>
      <c r="CW440">
        <v>10406697</v>
      </c>
      <c r="CY440">
        <v>1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</row>
    <row r="441" spans="1:113" x14ac:dyDescent="0.3">
      <c r="A441" t="str">
        <f>"02/08/2021 20:13:33.873"</f>
        <v>02/08/2021 20:13:33.873</v>
      </c>
      <c r="C441" t="str">
        <f t="shared" si="20"/>
        <v>FFDFD3C0</v>
      </c>
      <c r="D441" t="s">
        <v>141</v>
      </c>
      <c r="E441">
        <v>17</v>
      </c>
      <c r="H441">
        <v>256</v>
      </c>
      <c r="I441" t="s">
        <v>142</v>
      </c>
      <c r="J441" t="s">
        <v>143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>"20:13:36.188"</f>
        <v>20:13:36.188</v>
      </c>
      <c r="T441" t="str">
        <f>"20:13:35.688"</f>
        <v>20:13:35.688</v>
      </c>
      <c r="U441" t="str">
        <f t="shared" si="19"/>
        <v>AB01F4</v>
      </c>
      <c r="V441">
        <v>0</v>
      </c>
      <c r="W441">
        <v>0</v>
      </c>
      <c r="X441">
        <v>1</v>
      </c>
      <c r="Z441">
        <v>0</v>
      </c>
      <c r="AA441">
        <v>9</v>
      </c>
      <c r="AB441">
        <v>3</v>
      </c>
      <c r="AC441">
        <v>0</v>
      </c>
      <c r="AD441">
        <v>10</v>
      </c>
      <c r="AE441">
        <v>0</v>
      </c>
      <c r="AF441">
        <v>3</v>
      </c>
      <c r="AG441">
        <v>2</v>
      </c>
      <c r="AH441">
        <v>0</v>
      </c>
      <c r="AI441" t="s">
        <v>432</v>
      </c>
      <c r="AJ441">
        <v>39.563699</v>
      </c>
      <c r="AK441" t="s">
        <v>433</v>
      </c>
      <c r="AL441">
        <v>-92.490741999999997</v>
      </c>
      <c r="AM441">
        <v>100</v>
      </c>
      <c r="AN441">
        <v>1900</v>
      </c>
      <c r="AO441" t="s">
        <v>118</v>
      </c>
      <c r="AP441">
        <v>-65</v>
      </c>
      <c r="AQ441">
        <v>128</v>
      </c>
      <c r="AR441">
        <v>0</v>
      </c>
      <c r="AZ441">
        <v>1200</v>
      </c>
      <c r="BA441">
        <v>1</v>
      </c>
      <c r="BB441" t="str">
        <f t="shared" si="21"/>
        <v xml:space="preserve">N8080G  </v>
      </c>
      <c r="BC441">
        <v>1</v>
      </c>
      <c r="BE441">
        <v>0</v>
      </c>
      <c r="BF441">
        <v>0</v>
      </c>
      <c r="BG441">
        <v>0</v>
      </c>
      <c r="BH441">
        <v>1850</v>
      </c>
      <c r="BI441">
        <v>1</v>
      </c>
      <c r="BJ441">
        <v>1</v>
      </c>
      <c r="BK441">
        <v>1</v>
      </c>
      <c r="BL441">
        <v>0</v>
      </c>
      <c r="BO441">
        <v>0</v>
      </c>
      <c r="BP441">
        <v>0</v>
      </c>
      <c r="BW441" t="str">
        <f>"20:13:36.188"</f>
        <v>20:13:36.188</v>
      </c>
      <c r="CJ441">
        <v>0</v>
      </c>
      <c r="CK441">
        <v>2</v>
      </c>
      <c r="CL441">
        <v>0</v>
      </c>
      <c r="CM441">
        <v>2</v>
      </c>
      <c r="CN441">
        <v>0</v>
      </c>
      <c r="CO441">
        <v>6</v>
      </c>
      <c r="CP441" t="s">
        <v>119</v>
      </c>
      <c r="CQ441">
        <v>559</v>
      </c>
      <c r="CR441">
        <v>0</v>
      </c>
      <c r="CW441">
        <v>10406697</v>
      </c>
      <c r="CY441">
        <v>1</v>
      </c>
      <c r="CZ441">
        <v>0</v>
      </c>
      <c r="DA441">
        <v>1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</row>
    <row r="442" spans="1:113" x14ac:dyDescent="0.3">
      <c r="A442" t="str">
        <f>"02/08/2021 20:13:33.873"</f>
        <v>02/08/2021 20:13:33.873</v>
      </c>
      <c r="C442" t="str">
        <f t="shared" si="20"/>
        <v>FFDFD3C0</v>
      </c>
      <c r="D442" t="s">
        <v>113</v>
      </c>
      <c r="E442">
        <v>6</v>
      </c>
      <c r="H442">
        <v>165</v>
      </c>
      <c r="I442" t="s">
        <v>114</v>
      </c>
      <c r="J442" t="s">
        <v>115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>"20:13:36.188"</f>
        <v>20:13:36.188</v>
      </c>
      <c r="T442" t="str">
        <f>"20:13:35.688"</f>
        <v>20:13:35.688</v>
      </c>
      <c r="U442" t="str">
        <f t="shared" si="19"/>
        <v>AB01F4</v>
      </c>
      <c r="V442">
        <v>0</v>
      </c>
      <c r="W442">
        <v>0</v>
      </c>
      <c r="X442">
        <v>1</v>
      </c>
      <c r="Z442">
        <v>0</v>
      </c>
      <c r="AA442">
        <v>9</v>
      </c>
      <c r="AB442">
        <v>3</v>
      </c>
      <c r="AC442">
        <v>0</v>
      </c>
      <c r="AD442">
        <v>10</v>
      </c>
      <c r="AE442">
        <v>0</v>
      </c>
      <c r="AF442">
        <v>3</v>
      </c>
      <c r="AG442">
        <v>2</v>
      </c>
      <c r="AH442">
        <v>0</v>
      </c>
      <c r="AI442" t="s">
        <v>432</v>
      </c>
      <c r="AJ442">
        <v>39.563699</v>
      </c>
      <c r="AK442" t="s">
        <v>433</v>
      </c>
      <c r="AL442">
        <v>-92.490741999999997</v>
      </c>
      <c r="AM442">
        <v>100</v>
      </c>
      <c r="AN442">
        <v>1900</v>
      </c>
      <c r="AO442" t="s">
        <v>118</v>
      </c>
      <c r="AP442">
        <v>-65</v>
      </c>
      <c r="AQ442">
        <v>128</v>
      </c>
      <c r="AR442">
        <v>0</v>
      </c>
      <c r="AZ442">
        <v>1200</v>
      </c>
      <c r="BA442">
        <v>1</v>
      </c>
      <c r="BB442" t="str">
        <f t="shared" si="21"/>
        <v xml:space="preserve">N8080G  </v>
      </c>
      <c r="BC442">
        <v>1</v>
      </c>
      <c r="BE442">
        <v>0</v>
      </c>
      <c r="BF442">
        <v>0</v>
      </c>
      <c r="BG442">
        <v>0</v>
      </c>
      <c r="BH442">
        <v>1850</v>
      </c>
      <c r="BI442">
        <v>1</v>
      </c>
      <c r="BJ442">
        <v>1</v>
      </c>
      <c r="BK442">
        <v>1</v>
      </c>
      <c r="BL442">
        <v>0</v>
      </c>
      <c r="BO442">
        <v>0</v>
      </c>
      <c r="BP442">
        <v>0</v>
      </c>
      <c r="BW442" t="str">
        <f>"20:13:36.188"</f>
        <v>20:13:36.188</v>
      </c>
      <c r="CJ442">
        <v>0</v>
      </c>
      <c r="CK442">
        <v>2</v>
      </c>
      <c r="CL442">
        <v>0</v>
      </c>
      <c r="CM442">
        <v>2</v>
      </c>
      <c r="CN442">
        <v>0</v>
      </c>
      <c r="CO442">
        <v>6</v>
      </c>
      <c r="CP442" t="s">
        <v>119</v>
      </c>
      <c r="CQ442">
        <v>559</v>
      </c>
      <c r="CR442">
        <v>0</v>
      </c>
      <c r="CW442">
        <v>10406697</v>
      </c>
      <c r="CY442">
        <v>1</v>
      </c>
      <c r="CZ442">
        <v>0</v>
      </c>
      <c r="DA442">
        <v>1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</row>
    <row r="443" spans="1:113" x14ac:dyDescent="0.3">
      <c r="A443" t="str">
        <f>"02/08/2021 20:13:34.779"</f>
        <v>02/08/2021 20:13:34.779</v>
      </c>
      <c r="C443" t="str">
        <f t="shared" si="20"/>
        <v>FFDFD3C0</v>
      </c>
      <c r="D443" t="s">
        <v>124</v>
      </c>
      <c r="E443">
        <v>13</v>
      </c>
      <c r="F443">
        <v>1013</v>
      </c>
      <c r="G443" t="s">
        <v>114</v>
      </c>
      <c r="J443" t="s">
        <v>125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>"20:13:37.086"</f>
        <v>20:13:37.086</v>
      </c>
      <c r="T443" t="str">
        <f>"20:13:36.786"</f>
        <v>20:13:36.786</v>
      </c>
      <c r="U443" t="str">
        <f t="shared" si="19"/>
        <v>AB01F4</v>
      </c>
      <c r="V443">
        <v>0</v>
      </c>
      <c r="W443">
        <v>0</v>
      </c>
      <c r="X443">
        <v>1</v>
      </c>
      <c r="Z443">
        <v>0</v>
      </c>
      <c r="AA443">
        <v>9</v>
      </c>
      <c r="AB443">
        <v>3</v>
      </c>
      <c r="AC443">
        <v>0</v>
      </c>
      <c r="AD443">
        <v>10</v>
      </c>
      <c r="AE443">
        <v>0</v>
      </c>
      <c r="AF443">
        <v>3</v>
      </c>
      <c r="AG443">
        <v>2</v>
      </c>
      <c r="AH443">
        <v>0</v>
      </c>
      <c r="AI443" t="s">
        <v>434</v>
      </c>
      <c r="AJ443">
        <v>39.564234999999996</v>
      </c>
      <c r="AK443" t="s">
        <v>435</v>
      </c>
      <c r="AL443">
        <v>-92.491085999999996</v>
      </c>
      <c r="AM443">
        <v>100</v>
      </c>
      <c r="AN443">
        <v>1900</v>
      </c>
      <c r="AO443" t="s">
        <v>118</v>
      </c>
      <c r="AP443">
        <v>-62</v>
      </c>
      <c r="AQ443">
        <v>129</v>
      </c>
      <c r="AR443">
        <v>64</v>
      </c>
      <c r="AZ443">
        <v>1200</v>
      </c>
      <c r="BA443">
        <v>1</v>
      </c>
      <c r="BB443" t="str">
        <f t="shared" si="21"/>
        <v xml:space="preserve">N8080G  </v>
      </c>
      <c r="BC443">
        <v>1</v>
      </c>
      <c r="BE443">
        <v>0</v>
      </c>
      <c r="BF443">
        <v>0</v>
      </c>
      <c r="BG443">
        <v>0</v>
      </c>
      <c r="BH443">
        <v>1850</v>
      </c>
      <c r="BI443">
        <v>1</v>
      </c>
      <c r="BJ443">
        <v>1</v>
      </c>
      <c r="BK443">
        <v>1</v>
      </c>
      <c r="BL443">
        <v>0</v>
      </c>
      <c r="BO443">
        <v>0</v>
      </c>
      <c r="BP443">
        <v>0</v>
      </c>
      <c r="BW443" t="str">
        <f>"20:13:37.089"</f>
        <v>20:13:37.089</v>
      </c>
      <c r="CJ443">
        <v>0</v>
      </c>
      <c r="CK443">
        <v>2</v>
      </c>
      <c r="CL443">
        <v>0</v>
      </c>
      <c r="CM443">
        <v>2</v>
      </c>
      <c r="CN443">
        <v>0</v>
      </c>
      <c r="CO443">
        <v>5</v>
      </c>
      <c r="CP443" t="s">
        <v>119</v>
      </c>
      <c r="CQ443">
        <v>559</v>
      </c>
      <c r="CR443">
        <v>0</v>
      </c>
      <c r="CW443">
        <v>10406848</v>
      </c>
      <c r="CY443">
        <v>1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</row>
    <row r="444" spans="1:113" x14ac:dyDescent="0.3">
      <c r="A444" t="str">
        <f>"02/08/2021 20:13:34.779"</f>
        <v>02/08/2021 20:13:34.779</v>
      </c>
      <c r="C444" t="str">
        <f t="shared" si="20"/>
        <v>FFDFD3C0</v>
      </c>
      <c r="D444" t="s">
        <v>141</v>
      </c>
      <c r="E444">
        <v>17</v>
      </c>
      <c r="H444">
        <v>256</v>
      </c>
      <c r="I444" t="s">
        <v>142</v>
      </c>
      <c r="J444" t="s">
        <v>143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>"20:13:37.086"</f>
        <v>20:13:37.086</v>
      </c>
      <c r="T444" t="str">
        <f>"20:13:36.786"</f>
        <v>20:13:36.786</v>
      </c>
      <c r="U444" t="str">
        <f t="shared" si="19"/>
        <v>AB01F4</v>
      </c>
      <c r="V444">
        <v>0</v>
      </c>
      <c r="W444">
        <v>0</v>
      </c>
      <c r="X444">
        <v>1</v>
      </c>
      <c r="Z444">
        <v>0</v>
      </c>
      <c r="AA444">
        <v>9</v>
      </c>
      <c r="AB444">
        <v>3</v>
      </c>
      <c r="AC444">
        <v>0</v>
      </c>
      <c r="AD444">
        <v>10</v>
      </c>
      <c r="AE444">
        <v>0</v>
      </c>
      <c r="AF444">
        <v>3</v>
      </c>
      <c r="AG444">
        <v>2</v>
      </c>
      <c r="AH444">
        <v>0</v>
      </c>
      <c r="AI444" t="s">
        <v>434</v>
      </c>
      <c r="AJ444">
        <v>39.564234999999996</v>
      </c>
      <c r="AK444" t="s">
        <v>435</v>
      </c>
      <c r="AL444">
        <v>-92.491085999999996</v>
      </c>
      <c r="AM444">
        <v>100</v>
      </c>
      <c r="AN444">
        <v>1900</v>
      </c>
      <c r="AO444" t="s">
        <v>118</v>
      </c>
      <c r="AP444">
        <v>-62</v>
      </c>
      <c r="AQ444">
        <v>129</v>
      </c>
      <c r="AR444">
        <v>64</v>
      </c>
      <c r="AZ444">
        <v>1200</v>
      </c>
      <c r="BA444">
        <v>1</v>
      </c>
      <c r="BB444" t="str">
        <f t="shared" si="21"/>
        <v xml:space="preserve">N8080G  </v>
      </c>
      <c r="BC444">
        <v>1</v>
      </c>
      <c r="BE444">
        <v>0</v>
      </c>
      <c r="BF444">
        <v>0</v>
      </c>
      <c r="BG444">
        <v>0</v>
      </c>
      <c r="BH444">
        <v>1850</v>
      </c>
      <c r="BI444">
        <v>1</v>
      </c>
      <c r="BJ444">
        <v>1</v>
      </c>
      <c r="BK444">
        <v>1</v>
      </c>
      <c r="BL444">
        <v>0</v>
      </c>
      <c r="BO444">
        <v>0</v>
      </c>
      <c r="BP444">
        <v>0</v>
      </c>
      <c r="BW444" t="str">
        <f>"20:13:37.089"</f>
        <v>20:13:37.089</v>
      </c>
      <c r="CJ444">
        <v>0</v>
      </c>
      <c r="CK444">
        <v>2</v>
      </c>
      <c r="CL444">
        <v>0</v>
      </c>
      <c r="CM444">
        <v>2</v>
      </c>
      <c r="CN444">
        <v>0</v>
      </c>
      <c r="CO444">
        <v>5</v>
      </c>
      <c r="CP444" t="s">
        <v>119</v>
      </c>
      <c r="CQ444">
        <v>559</v>
      </c>
      <c r="CR444">
        <v>0</v>
      </c>
      <c r="CW444">
        <v>10406848</v>
      </c>
      <c r="CY444">
        <v>1</v>
      </c>
      <c r="CZ444">
        <v>0</v>
      </c>
      <c r="DA444">
        <v>1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</row>
    <row r="445" spans="1:113" x14ac:dyDescent="0.3">
      <c r="A445" t="str">
        <f>"02/08/2021 20:13:34.779"</f>
        <v>02/08/2021 20:13:34.779</v>
      </c>
      <c r="C445" t="str">
        <f t="shared" si="20"/>
        <v>FFDFD3C0</v>
      </c>
      <c r="D445" t="s">
        <v>113</v>
      </c>
      <c r="E445">
        <v>6</v>
      </c>
      <c r="H445">
        <v>165</v>
      </c>
      <c r="I445" t="s">
        <v>114</v>
      </c>
      <c r="J445" t="s">
        <v>115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>"20:13:37.086"</f>
        <v>20:13:37.086</v>
      </c>
      <c r="T445" t="str">
        <f>"20:13:36.786"</f>
        <v>20:13:36.786</v>
      </c>
      <c r="U445" t="str">
        <f t="shared" si="19"/>
        <v>AB01F4</v>
      </c>
      <c r="V445">
        <v>0</v>
      </c>
      <c r="W445">
        <v>0</v>
      </c>
      <c r="X445">
        <v>1</v>
      </c>
      <c r="Z445">
        <v>0</v>
      </c>
      <c r="AA445">
        <v>9</v>
      </c>
      <c r="AB445">
        <v>3</v>
      </c>
      <c r="AC445">
        <v>0</v>
      </c>
      <c r="AD445">
        <v>10</v>
      </c>
      <c r="AE445">
        <v>0</v>
      </c>
      <c r="AF445">
        <v>3</v>
      </c>
      <c r="AG445">
        <v>2</v>
      </c>
      <c r="AH445">
        <v>0</v>
      </c>
      <c r="AI445" t="s">
        <v>434</v>
      </c>
      <c r="AJ445">
        <v>39.564234999999996</v>
      </c>
      <c r="AK445" t="s">
        <v>435</v>
      </c>
      <c r="AL445">
        <v>-92.491085999999996</v>
      </c>
      <c r="AM445">
        <v>100</v>
      </c>
      <c r="AN445">
        <v>1900</v>
      </c>
      <c r="AO445" t="s">
        <v>118</v>
      </c>
      <c r="AP445">
        <v>-62</v>
      </c>
      <c r="AQ445">
        <v>129</v>
      </c>
      <c r="AR445">
        <v>64</v>
      </c>
      <c r="AZ445">
        <v>1200</v>
      </c>
      <c r="BA445">
        <v>1</v>
      </c>
      <c r="BB445" t="str">
        <f t="shared" si="21"/>
        <v xml:space="preserve">N8080G  </v>
      </c>
      <c r="BC445">
        <v>1</v>
      </c>
      <c r="BE445">
        <v>0</v>
      </c>
      <c r="BF445">
        <v>0</v>
      </c>
      <c r="BG445">
        <v>0</v>
      </c>
      <c r="BH445">
        <v>1850</v>
      </c>
      <c r="BI445">
        <v>1</v>
      </c>
      <c r="BJ445">
        <v>1</v>
      </c>
      <c r="BK445">
        <v>1</v>
      </c>
      <c r="BL445">
        <v>0</v>
      </c>
      <c r="BO445">
        <v>0</v>
      </c>
      <c r="BP445">
        <v>0</v>
      </c>
      <c r="BW445" t="str">
        <f>"20:13:37.089"</f>
        <v>20:13:37.089</v>
      </c>
      <c r="CJ445">
        <v>0</v>
      </c>
      <c r="CK445">
        <v>2</v>
      </c>
      <c r="CL445">
        <v>0</v>
      </c>
      <c r="CM445">
        <v>2</v>
      </c>
      <c r="CN445">
        <v>0</v>
      </c>
      <c r="CO445">
        <v>5</v>
      </c>
      <c r="CP445" t="s">
        <v>119</v>
      </c>
      <c r="CQ445">
        <v>559</v>
      </c>
      <c r="CR445">
        <v>0</v>
      </c>
      <c r="CW445">
        <v>10406848</v>
      </c>
      <c r="CY445">
        <v>1</v>
      </c>
      <c r="CZ445">
        <v>0</v>
      </c>
      <c r="DA445">
        <v>1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</row>
    <row r="446" spans="1:113" x14ac:dyDescent="0.3">
      <c r="A446" t="str">
        <f>"02/08/2021 20:13:35.634"</f>
        <v>02/08/2021 20:13:35.634</v>
      </c>
      <c r="C446" t="str">
        <f t="shared" si="20"/>
        <v>FFDFD3C0</v>
      </c>
      <c r="D446" t="s">
        <v>124</v>
      </c>
      <c r="E446">
        <v>13</v>
      </c>
      <c r="F446">
        <v>1013</v>
      </c>
      <c r="G446" t="s">
        <v>114</v>
      </c>
      <c r="J446" t="s">
        <v>125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>"20:13:37.945"</f>
        <v>20:13:37.945</v>
      </c>
      <c r="T446" t="str">
        <f>"20:13:37.545"</f>
        <v>20:13:37.545</v>
      </c>
      <c r="U446" t="str">
        <f t="shared" si="19"/>
        <v>AB01F4</v>
      </c>
      <c r="V446">
        <v>0</v>
      </c>
      <c r="W446">
        <v>0</v>
      </c>
      <c r="X446">
        <v>1</v>
      </c>
      <c r="Z446">
        <v>0</v>
      </c>
      <c r="AA446">
        <v>9</v>
      </c>
      <c r="AB446">
        <v>3</v>
      </c>
      <c r="AC446">
        <v>0</v>
      </c>
      <c r="AD446">
        <v>10</v>
      </c>
      <c r="AE446">
        <v>0</v>
      </c>
      <c r="AF446">
        <v>3</v>
      </c>
      <c r="AG446">
        <v>2</v>
      </c>
      <c r="AH446">
        <v>0</v>
      </c>
      <c r="AI446" t="s">
        <v>436</v>
      </c>
      <c r="AJ446">
        <v>39.564749999999997</v>
      </c>
      <c r="AK446" t="s">
        <v>437</v>
      </c>
      <c r="AL446">
        <v>-92.491386000000006</v>
      </c>
      <c r="AM446">
        <v>100</v>
      </c>
      <c r="AN446">
        <v>1900</v>
      </c>
      <c r="AO446" t="s">
        <v>118</v>
      </c>
      <c r="AP446">
        <v>-59</v>
      </c>
      <c r="AQ446">
        <v>130</v>
      </c>
      <c r="AR446">
        <v>64</v>
      </c>
      <c r="AZ446">
        <v>1200</v>
      </c>
      <c r="BA446">
        <v>1</v>
      </c>
      <c r="BB446" t="str">
        <f t="shared" si="21"/>
        <v xml:space="preserve">N8080G  </v>
      </c>
      <c r="BC446">
        <v>1</v>
      </c>
      <c r="BE446">
        <v>0</v>
      </c>
      <c r="BF446">
        <v>0</v>
      </c>
      <c r="BG446">
        <v>0</v>
      </c>
      <c r="BH446">
        <v>1850</v>
      </c>
      <c r="BI446">
        <v>1</v>
      </c>
      <c r="BJ446">
        <v>1</v>
      </c>
      <c r="BK446">
        <v>1</v>
      </c>
      <c r="BL446">
        <v>0</v>
      </c>
      <c r="BO446">
        <v>0</v>
      </c>
      <c r="BP446">
        <v>0</v>
      </c>
      <c r="BW446" t="str">
        <f>"20:13:37.951"</f>
        <v>20:13:37.951</v>
      </c>
      <c r="CJ446">
        <v>0</v>
      </c>
      <c r="CK446">
        <v>2</v>
      </c>
      <c r="CL446">
        <v>0</v>
      </c>
      <c r="CM446">
        <v>2</v>
      </c>
      <c r="CN446">
        <v>0</v>
      </c>
      <c r="CO446">
        <v>6</v>
      </c>
      <c r="CP446" t="s">
        <v>119</v>
      </c>
      <c r="CQ446">
        <v>559</v>
      </c>
      <c r="CR446">
        <v>0</v>
      </c>
      <c r="CW446">
        <v>10406979</v>
      </c>
      <c r="CY446">
        <v>1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</row>
    <row r="447" spans="1:113" x14ac:dyDescent="0.3">
      <c r="A447" t="str">
        <f>"02/08/2021 20:13:35.634"</f>
        <v>02/08/2021 20:13:35.634</v>
      </c>
      <c r="C447" t="str">
        <f t="shared" si="20"/>
        <v>FFDFD3C0</v>
      </c>
      <c r="D447" t="s">
        <v>141</v>
      </c>
      <c r="E447">
        <v>17</v>
      </c>
      <c r="H447">
        <v>256</v>
      </c>
      <c r="I447" t="s">
        <v>142</v>
      </c>
      <c r="J447" t="s">
        <v>143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>"20:13:37.945"</f>
        <v>20:13:37.945</v>
      </c>
      <c r="T447" t="str">
        <f>"20:13:37.545"</f>
        <v>20:13:37.545</v>
      </c>
      <c r="U447" t="str">
        <f t="shared" si="19"/>
        <v>AB01F4</v>
      </c>
      <c r="V447">
        <v>0</v>
      </c>
      <c r="W447">
        <v>0</v>
      </c>
      <c r="X447">
        <v>1</v>
      </c>
      <c r="Z447">
        <v>0</v>
      </c>
      <c r="AA447">
        <v>9</v>
      </c>
      <c r="AB447">
        <v>3</v>
      </c>
      <c r="AC447">
        <v>0</v>
      </c>
      <c r="AD447">
        <v>10</v>
      </c>
      <c r="AE447">
        <v>0</v>
      </c>
      <c r="AF447">
        <v>3</v>
      </c>
      <c r="AG447">
        <v>2</v>
      </c>
      <c r="AH447">
        <v>0</v>
      </c>
      <c r="AI447" t="s">
        <v>436</v>
      </c>
      <c r="AJ447">
        <v>39.564749999999997</v>
      </c>
      <c r="AK447" t="s">
        <v>437</v>
      </c>
      <c r="AL447">
        <v>-92.491386000000006</v>
      </c>
      <c r="AM447">
        <v>100</v>
      </c>
      <c r="AN447">
        <v>1900</v>
      </c>
      <c r="AO447" t="s">
        <v>118</v>
      </c>
      <c r="AP447">
        <v>-59</v>
      </c>
      <c r="AQ447">
        <v>130</v>
      </c>
      <c r="AR447">
        <v>64</v>
      </c>
      <c r="AZ447">
        <v>1200</v>
      </c>
      <c r="BA447">
        <v>1</v>
      </c>
      <c r="BB447" t="str">
        <f t="shared" si="21"/>
        <v xml:space="preserve">N8080G  </v>
      </c>
      <c r="BC447">
        <v>1</v>
      </c>
      <c r="BE447">
        <v>0</v>
      </c>
      <c r="BF447">
        <v>0</v>
      </c>
      <c r="BG447">
        <v>0</v>
      </c>
      <c r="BH447">
        <v>1850</v>
      </c>
      <c r="BI447">
        <v>1</v>
      </c>
      <c r="BJ447">
        <v>1</v>
      </c>
      <c r="BK447">
        <v>1</v>
      </c>
      <c r="BL447">
        <v>0</v>
      </c>
      <c r="BO447">
        <v>0</v>
      </c>
      <c r="BP447">
        <v>0</v>
      </c>
      <c r="BW447" t="str">
        <f>"20:13:37.951"</f>
        <v>20:13:37.951</v>
      </c>
      <c r="CJ447">
        <v>0</v>
      </c>
      <c r="CK447">
        <v>2</v>
      </c>
      <c r="CL447">
        <v>0</v>
      </c>
      <c r="CM447">
        <v>2</v>
      </c>
      <c r="CN447">
        <v>0</v>
      </c>
      <c r="CO447">
        <v>6</v>
      </c>
      <c r="CP447" t="s">
        <v>119</v>
      </c>
      <c r="CQ447">
        <v>559</v>
      </c>
      <c r="CR447">
        <v>0</v>
      </c>
      <c r="CW447">
        <v>10406979</v>
      </c>
      <c r="CY447">
        <v>1</v>
      </c>
      <c r="CZ447">
        <v>0</v>
      </c>
      <c r="DA447">
        <v>1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</row>
    <row r="448" spans="1:113" x14ac:dyDescent="0.3">
      <c r="A448" t="str">
        <f>"02/08/2021 20:13:35.634"</f>
        <v>02/08/2021 20:13:35.634</v>
      </c>
      <c r="C448" t="str">
        <f t="shared" si="20"/>
        <v>FFDFD3C0</v>
      </c>
      <c r="D448" t="s">
        <v>113</v>
      </c>
      <c r="E448">
        <v>6</v>
      </c>
      <c r="H448">
        <v>165</v>
      </c>
      <c r="I448" t="s">
        <v>114</v>
      </c>
      <c r="J448" t="s">
        <v>115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>"20:13:37.945"</f>
        <v>20:13:37.945</v>
      </c>
      <c r="T448" t="str">
        <f>"20:13:37.545"</f>
        <v>20:13:37.545</v>
      </c>
      <c r="U448" t="str">
        <f t="shared" si="19"/>
        <v>AB01F4</v>
      </c>
      <c r="V448">
        <v>0</v>
      </c>
      <c r="W448">
        <v>0</v>
      </c>
      <c r="X448">
        <v>1</v>
      </c>
      <c r="Z448">
        <v>0</v>
      </c>
      <c r="AA448">
        <v>9</v>
      </c>
      <c r="AB448">
        <v>3</v>
      </c>
      <c r="AC448">
        <v>0</v>
      </c>
      <c r="AD448">
        <v>10</v>
      </c>
      <c r="AE448">
        <v>0</v>
      </c>
      <c r="AF448">
        <v>3</v>
      </c>
      <c r="AG448">
        <v>2</v>
      </c>
      <c r="AH448">
        <v>0</v>
      </c>
      <c r="AI448" t="s">
        <v>436</v>
      </c>
      <c r="AJ448">
        <v>39.564749999999997</v>
      </c>
      <c r="AK448" t="s">
        <v>437</v>
      </c>
      <c r="AL448">
        <v>-92.491386000000006</v>
      </c>
      <c r="AM448">
        <v>100</v>
      </c>
      <c r="AN448">
        <v>1900</v>
      </c>
      <c r="AO448" t="s">
        <v>118</v>
      </c>
      <c r="AP448">
        <v>-59</v>
      </c>
      <c r="AQ448">
        <v>130</v>
      </c>
      <c r="AR448">
        <v>64</v>
      </c>
      <c r="AZ448">
        <v>1200</v>
      </c>
      <c r="BA448">
        <v>1</v>
      </c>
      <c r="BB448" t="str">
        <f t="shared" si="21"/>
        <v xml:space="preserve">N8080G  </v>
      </c>
      <c r="BC448">
        <v>1</v>
      </c>
      <c r="BE448">
        <v>0</v>
      </c>
      <c r="BF448">
        <v>0</v>
      </c>
      <c r="BG448">
        <v>0</v>
      </c>
      <c r="BH448">
        <v>1850</v>
      </c>
      <c r="BI448">
        <v>1</v>
      </c>
      <c r="BJ448">
        <v>1</v>
      </c>
      <c r="BK448">
        <v>1</v>
      </c>
      <c r="BL448">
        <v>0</v>
      </c>
      <c r="BO448">
        <v>0</v>
      </c>
      <c r="BP448">
        <v>0</v>
      </c>
      <c r="BW448" t="str">
        <f>"20:13:37.951"</f>
        <v>20:13:37.951</v>
      </c>
      <c r="CJ448">
        <v>0</v>
      </c>
      <c r="CK448">
        <v>2</v>
      </c>
      <c r="CL448">
        <v>0</v>
      </c>
      <c r="CM448">
        <v>2</v>
      </c>
      <c r="CN448">
        <v>0</v>
      </c>
      <c r="CO448">
        <v>6</v>
      </c>
      <c r="CP448" t="s">
        <v>119</v>
      </c>
      <c r="CQ448">
        <v>559</v>
      </c>
      <c r="CR448">
        <v>0</v>
      </c>
      <c r="CW448">
        <v>10406979</v>
      </c>
      <c r="CY448">
        <v>1</v>
      </c>
      <c r="CZ448">
        <v>0</v>
      </c>
      <c r="DA448">
        <v>1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</row>
    <row r="449" spans="1:113" x14ac:dyDescent="0.3">
      <c r="A449" t="str">
        <f>"02/08/2021 20:13:36.640"</f>
        <v>02/08/2021 20:13:36.640</v>
      </c>
      <c r="C449" t="str">
        <f t="shared" si="20"/>
        <v>FFDFD3C0</v>
      </c>
      <c r="D449" t="s">
        <v>124</v>
      </c>
      <c r="E449">
        <v>13</v>
      </c>
      <c r="F449">
        <v>1013</v>
      </c>
      <c r="G449" t="s">
        <v>114</v>
      </c>
      <c r="J449" t="s">
        <v>125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"20:13:38.961"</f>
        <v>20:13:38.961</v>
      </c>
      <c r="T449" t="str">
        <f>"20:13:38.461"</f>
        <v>20:13:38.461</v>
      </c>
      <c r="U449" t="str">
        <f t="shared" si="19"/>
        <v>AB01F4</v>
      </c>
      <c r="V449">
        <v>0</v>
      </c>
      <c r="W449">
        <v>0</v>
      </c>
      <c r="X449">
        <v>1</v>
      </c>
      <c r="Z449">
        <v>0</v>
      </c>
      <c r="AA449">
        <v>9</v>
      </c>
      <c r="AB449">
        <v>3</v>
      </c>
      <c r="AC449">
        <v>0</v>
      </c>
      <c r="AD449">
        <v>10</v>
      </c>
      <c r="AE449">
        <v>0</v>
      </c>
      <c r="AF449">
        <v>3</v>
      </c>
      <c r="AG449">
        <v>2</v>
      </c>
      <c r="AH449">
        <v>0</v>
      </c>
      <c r="AI449" t="s">
        <v>438</v>
      </c>
      <c r="AJ449">
        <v>39.565393999999998</v>
      </c>
      <c r="AK449" t="s">
        <v>439</v>
      </c>
      <c r="AL449">
        <v>-92.491750999999994</v>
      </c>
      <c r="AM449">
        <v>100</v>
      </c>
      <c r="AN449">
        <v>1900</v>
      </c>
      <c r="AO449" t="s">
        <v>118</v>
      </c>
      <c r="AP449">
        <v>-56</v>
      </c>
      <c r="AQ449">
        <v>131</v>
      </c>
      <c r="AR449">
        <v>64</v>
      </c>
      <c r="AZ449">
        <v>1200</v>
      </c>
      <c r="BA449">
        <v>1</v>
      </c>
      <c r="BB449" t="str">
        <f t="shared" si="21"/>
        <v xml:space="preserve">N8080G  </v>
      </c>
      <c r="BC449">
        <v>1</v>
      </c>
      <c r="BE449">
        <v>0</v>
      </c>
      <c r="BF449">
        <v>0</v>
      </c>
      <c r="BG449">
        <v>0</v>
      </c>
      <c r="BH449">
        <v>1850</v>
      </c>
      <c r="BI449">
        <v>1</v>
      </c>
      <c r="BJ449">
        <v>1</v>
      </c>
      <c r="BK449">
        <v>1</v>
      </c>
      <c r="BL449">
        <v>0</v>
      </c>
      <c r="BO449">
        <v>0</v>
      </c>
      <c r="BP449">
        <v>0</v>
      </c>
      <c r="BW449" t="str">
        <f>"20:13:38.961"</f>
        <v>20:13:38.961</v>
      </c>
      <c r="CJ449">
        <v>0</v>
      </c>
      <c r="CK449">
        <v>2</v>
      </c>
      <c r="CL449">
        <v>0</v>
      </c>
      <c r="CM449">
        <v>2</v>
      </c>
      <c r="CN449">
        <v>0</v>
      </c>
      <c r="CO449">
        <v>6</v>
      </c>
      <c r="CP449" t="s">
        <v>119</v>
      </c>
      <c r="CQ449">
        <v>180</v>
      </c>
      <c r="CR449">
        <v>2</v>
      </c>
      <c r="CW449">
        <v>7849769</v>
      </c>
      <c r="CY449">
        <v>1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</row>
    <row r="450" spans="1:113" x14ac:dyDescent="0.3">
      <c r="A450" t="str">
        <f>"02/08/2021 20:13:36.640"</f>
        <v>02/08/2021 20:13:36.640</v>
      </c>
      <c r="C450" t="str">
        <f t="shared" si="20"/>
        <v>FFDFD3C0</v>
      </c>
      <c r="D450" t="s">
        <v>141</v>
      </c>
      <c r="E450">
        <v>17</v>
      </c>
      <c r="H450">
        <v>256</v>
      </c>
      <c r="I450" t="s">
        <v>142</v>
      </c>
      <c r="J450" t="s">
        <v>143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>"20:13:38.961"</f>
        <v>20:13:38.961</v>
      </c>
      <c r="T450" t="str">
        <f>"20:13:38.461"</f>
        <v>20:13:38.461</v>
      </c>
      <c r="U450" t="str">
        <f t="shared" ref="U450:U513" si="22">"AB01F4"</f>
        <v>AB01F4</v>
      </c>
      <c r="V450">
        <v>0</v>
      </c>
      <c r="W450">
        <v>0</v>
      </c>
      <c r="X450">
        <v>1</v>
      </c>
      <c r="Z450">
        <v>0</v>
      </c>
      <c r="AA450">
        <v>9</v>
      </c>
      <c r="AB450">
        <v>3</v>
      </c>
      <c r="AC450">
        <v>0</v>
      </c>
      <c r="AD450">
        <v>10</v>
      </c>
      <c r="AE450">
        <v>0</v>
      </c>
      <c r="AF450">
        <v>3</v>
      </c>
      <c r="AG450">
        <v>2</v>
      </c>
      <c r="AH450">
        <v>0</v>
      </c>
      <c r="AI450" t="s">
        <v>438</v>
      </c>
      <c r="AJ450">
        <v>39.565393999999998</v>
      </c>
      <c r="AK450" t="s">
        <v>439</v>
      </c>
      <c r="AL450">
        <v>-92.491750999999994</v>
      </c>
      <c r="AM450">
        <v>100</v>
      </c>
      <c r="AN450">
        <v>1900</v>
      </c>
      <c r="AO450" t="s">
        <v>118</v>
      </c>
      <c r="AP450">
        <v>-56</v>
      </c>
      <c r="AQ450">
        <v>131</v>
      </c>
      <c r="AR450">
        <v>64</v>
      </c>
      <c r="AZ450">
        <v>1200</v>
      </c>
      <c r="BA450">
        <v>1</v>
      </c>
      <c r="BB450" t="str">
        <f t="shared" si="21"/>
        <v xml:space="preserve">N8080G  </v>
      </c>
      <c r="BC450">
        <v>1</v>
      </c>
      <c r="BE450">
        <v>0</v>
      </c>
      <c r="BF450">
        <v>0</v>
      </c>
      <c r="BG450">
        <v>0</v>
      </c>
      <c r="BH450">
        <v>1850</v>
      </c>
      <c r="BI450">
        <v>1</v>
      </c>
      <c r="BJ450">
        <v>1</v>
      </c>
      <c r="BK450">
        <v>1</v>
      </c>
      <c r="BL450">
        <v>0</v>
      </c>
      <c r="BO450">
        <v>0</v>
      </c>
      <c r="BP450">
        <v>0</v>
      </c>
      <c r="BW450" t="str">
        <f>"20:13:38.962"</f>
        <v>20:13:38.962</v>
      </c>
      <c r="CJ450">
        <v>0</v>
      </c>
      <c r="CK450">
        <v>2</v>
      </c>
      <c r="CL450">
        <v>0</v>
      </c>
      <c r="CM450">
        <v>2</v>
      </c>
      <c r="CN450">
        <v>0</v>
      </c>
      <c r="CO450">
        <v>6</v>
      </c>
      <c r="CP450" t="s">
        <v>119</v>
      </c>
      <c r="CQ450">
        <v>559</v>
      </c>
      <c r="CR450">
        <v>0</v>
      </c>
      <c r="CW450">
        <v>10407138</v>
      </c>
      <c r="CY450">
        <v>1</v>
      </c>
      <c r="CZ450">
        <v>0</v>
      </c>
      <c r="DA450">
        <v>1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</row>
    <row r="451" spans="1:113" x14ac:dyDescent="0.3">
      <c r="A451" t="str">
        <f>"02/08/2021 20:13:36.640"</f>
        <v>02/08/2021 20:13:36.640</v>
      </c>
      <c r="C451" t="str">
        <f t="shared" si="20"/>
        <v>FFDFD3C0</v>
      </c>
      <c r="D451" t="s">
        <v>113</v>
      </c>
      <c r="E451">
        <v>6</v>
      </c>
      <c r="H451">
        <v>165</v>
      </c>
      <c r="I451" t="s">
        <v>114</v>
      </c>
      <c r="J451" t="s">
        <v>115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>"20:13:38.961"</f>
        <v>20:13:38.961</v>
      </c>
      <c r="T451" t="str">
        <f>"20:13:38.461"</f>
        <v>20:13:38.461</v>
      </c>
      <c r="U451" t="str">
        <f t="shared" si="22"/>
        <v>AB01F4</v>
      </c>
      <c r="V451">
        <v>0</v>
      </c>
      <c r="W451">
        <v>0</v>
      </c>
      <c r="X451">
        <v>1</v>
      </c>
      <c r="Z451">
        <v>0</v>
      </c>
      <c r="AA451">
        <v>9</v>
      </c>
      <c r="AB451">
        <v>3</v>
      </c>
      <c r="AC451">
        <v>0</v>
      </c>
      <c r="AD451">
        <v>10</v>
      </c>
      <c r="AE451">
        <v>0</v>
      </c>
      <c r="AF451">
        <v>3</v>
      </c>
      <c r="AG451">
        <v>2</v>
      </c>
      <c r="AH451">
        <v>0</v>
      </c>
      <c r="AI451" t="s">
        <v>438</v>
      </c>
      <c r="AJ451">
        <v>39.565393999999998</v>
      </c>
      <c r="AK451" t="s">
        <v>439</v>
      </c>
      <c r="AL451">
        <v>-92.491750999999994</v>
      </c>
      <c r="AM451">
        <v>100</v>
      </c>
      <c r="AN451">
        <v>1900</v>
      </c>
      <c r="AO451" t="s">
        <v>118</v>
      </c>
      <c r="AP451">
        <v>-56</v>
      </c>
      <c r="AQ451">
        <v>131</v>
      </c>
      <c r="AR451">
        <v>64</v>
      </c>
      <c r="AZ451">
        <v>1200</v>
      </c>
      <c r="BA451">
        <v>1</v>
      </c>
      <c r="BB451" t="str">
        <f t="shared" si="21"/>
        <v xml:space="preserve">N8080G  </v>
      </c>
      <c r="BC451">
        <v>1</v>
      </c>
      <c r="BE451">
        <v>0</v>
      </c>
      <c r="BF451">
        <v>0</v>
      </c>
      <c r="BG451">
        <v>0</v>
      </c>
      <c r="BH451">
        <v>1850</v>
      </c>
      <c r="BI451">
        <v>1</v>
      </c>
      <c r="BJ451">
        <v>1</v>
      </c>
      <c r="BK451">
        <v>1</v>
      </c>
      <c r="BL451">
        <v>0</v>
      </c>
      <c r="BO451">
        <v>0</v>
      </c>
      <c r="BP451">
        <v>0</v>
      </c>
      <c r="BW451" t="str">
        <f>"20:13:38.961"</f>
        <v>20:13:38.961</v>
      </c>
      <c r="CJ451">
        <v>0</v>
      </c>
      <c r="CK451">
        <v>2</v>
      </c>
      <c r="CL451">
        <v>0</v>
      </c>
      <c r="CM451">
        <v>2</v>
      </c>
      <c r="CN451">
        <v>0</v>
      </c>
      <c r="CO451">
        <v>6</v>
      </c>
      <c r="CP451" t="s">
        <v>119</v>
      </c>
      <c r="CQ451">
        <v>180</v>
      </c>
      <c r="CR451">
        <v>2</v>
      </c>
      <c r="CW451">
        <v>7849769</v>
      </c>
      <c r="CY451">
        <v>1</v>
      </c>
      <c r="CZ451">
        <v>0</v>
      </c>
      <c r="DA451">
        <v>1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</row>
    <row r="452" spans="1:113" x14ac:dyDescent="0.3">
      <c r="A452" t="str">
        <f>"02/08/2021 20:13:37.723"</f>
        <v>02/08/2021 20:13:37.723</v>
      </c>
      <c r="C452" t="str">
        <f t="shared" si="20"/>
        <v>FFDFD3C0</v>
      </c>
      <c r="D452" t="s">
        <v>113</v>
      </c>
      <c r="E452">
        <v>6</v>
      </c>
      <c r="H452">
        <v>165</v>
      </c>
      <c r="I452" t="s">
        <v>114</v>
      </c>
      <c r="J452" t="s">
        <v>115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>"20:13:40.055"</f>
        <v>20:13:40.055</v>
      </c>
      <c r="T452" t="str">
        <f>"20:13:39.555"</f>
        <v>20:13:39.555</v>
      </c>
      <c r="U452" t="str">
        <f t="shared" si="22"/>
        <v>AB01F4</v>
      </c>
      <c r="V452">
        <v>0</v>
      </c>
      <c r="W452">
        <v>0</v>
      </c>
      <c r="X452">
        <v>1</v>
      </c>
      <c r="Z452">
        <v>0</v>
      </c>
      <c r="AA452">
        <v>9</v>
      </c>
      <c r="AB452">
        <v>3</v>
      </c>
      <c r="AC452">
        <v>0</v>
      </c>
      <c r="AD452">
        <v>10</v>
      </c>
      <c r="AE452">
        <v>0</v>
      </c>
      <c r="AF452">
        <v>3</v>
      </c>
      <c r="AG452">
        <v>2</v>
      </c>
      <c r="AH452">
        <v>0</v>
      </c>
      <c r="AI452" t="s">
        <v>440</v>
      </c>
      <c r="AJ452">
        <v>39.566059000000003</v>
      </c>
      <c r="AK452" t="s">
        <v>441</v>
      </c>
      <c r="AL452">
        <v>-92.492073000000005</v>
      </c>
      <c r="AM452">
        <v>100</v>
      </c>
      <c r="AN452">
        <v>1900</v>
      </c>
      <c r="AO452" t="s">
        <v>118</v>
      </c>
      <c r="AP452">
        <v>-52</v>
      </c>
      <c r="AQ452">
        <v>132</v>
      </c>
      <c r="AR452">
        <v>0</v>
      </c>
      <c r="AZ452">
        <v>1200</v>
      </c>
      <c r="BA452">
        <v>1</v>
      </c>
      <c r="BB452" t="str">
        <f t="shared" si="21"/>
        <v xml:space="preserve">N8080G  </v>
      </c>
      <c r="BC452">
        <v>1</v>
      </c>
      <c r="BE452">
        <v>0</v>
      </c>
      <c r="BF452">
        <v>0</v>
      </c>
      <c r="BG452">
        <v>0</v>
      </c>
      <c r="BH452">
        <v>1850</v>
      </c>
      <c r="BI452">
        <v>1</v>
      </c>
      <c r="BJ452">
        <v>1</v>
      </c>
      <c r="BK452">
        <v>1</v>
      </c>
      <c r="BL452">
        <v>0</v>
      </c>
      <c r="BO452">
        <v>0</v>
      </c>
      <c r="BP452">
        <v>0</v>
      </c>
      <c r="BW452" t="str">
        <f>"20:13:40.062"</f>
        <v>20:13:40.062</v>
      </c>
      <c r="CJ452">
        <v>0</v>
      </c>
      <c r="CK452">
        <v>2</v>
      </c>
      <c r="CL452">
        <v>0</v>
      </c>
      <c r="CM452">
        <v>2</v>
      </c>
      <c r="CN452">
        <v>0</v>
      </c>
      <c r="CO452">
        <v>7</v>
      </c>
      <c r="CP452" t="s">
        <v>119</v>
      </c>
      <c r="CQ452">
        <v>180</v>
      </c>
      <c r="CR452">
        <v>2</v>
      </c>
      <c r="CW452">
        <v>7850586</v>
      </c>
      <c r="CY452">
        <v>1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</row>
    <row r="453" spans="1:113" x14ac:dyDescent="0.3">
      <c r="A453" t="str">
        <f>"02/08/2021 20:13:37.723"</f>
        <v>02/08/2021 20:13:37.723</v>
      </c>
      <c r="C453" t="str">
        <f t="shared" si="20"/>
        <v>FFDFD3C0</v>
      </c>
      <c r="D453" t="s">
        <v>141</v>
      </c>
      <c r="E453">
        <v>17</v>
      </c>
      <c r="H453">
        <v>256</v>
      </c>
      <c r="I453" t="s">
        <v>142</v>
      </c>
      <c r="J453" t="s">
        <v>143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>"20:13:40.063"</f>
        <v>20:13:40.063</v>
      </c>
      <c r="T453" t="str">
        <f>"20:13:39.563"</f>
        <v>20:13:39.563</v>
      </c>
      <c r="U453" t="str">
        <f t="shared" si="22"/>
        <v>AB01F4</v>
      </c>
      <c r="V453">
        <v>0</v>
      </c>
      <c r="W453">
        <v>0</v>
      </c>
      <c r="X453">
        <v>1</v>
      </c>
      <c r="Z453">
        <v>0</v>
      </c>
      <c r="AA453">
        <v>9</v>
      </c>
      <c r="AB453">
        <v>3</v>
      </c>
      <c r="AC453">
        <v>0</v>
      </c>
      <c r="AD453">
        <v>10</v>
      </c>
      <c r="AE453">
        <v>0</v>
      </c>
      <c r="AF453">
        <v>3</v>
      </c>
      <c r="AG453">
        <v>2</v>
      </c>
      <c r="AH453">
        <v>0</v>
      </c>
      <c r="AI453" t="s">
        <v>440</v>
      </c>
      <c r="AJ453">
        <v>39.566059000000003</v>
      </c>
      <c r="AK453" t="s">
        <v>441</v>
      </c>
      <c r="AL453">
        <v>-92.492073000000005</v>
      </c>
      <c r="AM453">
        <v>100</v>
      </c>
      <c r="AN453">
        <v>1900</v>
      </c>
      <c r="AO453" t="s">
        <v>118</v>
      </c>
      <c r="AP453">
        <v>-52</v>
      </c>
      <c r="AQ453">
        <v>132</v>
      </c>
      <c r="AR453">
        <v>0</v>
      </c>
      <c r="AZ453">
        <v>1200</v>
      </c>
      <c r="BA453">
        <v>1</v>
      </c>
      <c r="BB453" t="str">
        <f t="shared" si="21"/>
        <v xml:space="preserve">N8080G  </v>
      </c>
      <c r="BC453">
        <v>1</v>
      </c>
      <c r="BE453">
        <v>0</v>
      </c>
      <c r="BF453">
        <v>0</v>
      </c>
      <c r="BG453">
        <v>0</v>
      </c>
      <c r="BH453">
        <v>1850</v>
      </c>
      <c r="BI453">
        <v>1</v>
      </c>
      <c r="BJ453">
        <v>1</v>
      </c>
      <c r="BK453">
        <v>1</v>
      </c>
      <c r="BL453">
        <v>0</v>
      </c>
      <c r="BO453">
        <v>0</v>
      </c>
      <c r="BP453">
        <v>0</v>
      </c>
      <c r="BW453" t="str">
        <f>"20:13:40.063"</f>
        <v>20:13:40.063</v>
      </c>
      <c r="CJ453">
        <v>0</v>
      </c>
      <c r="CK453">
        <v>2</v>
      </c>
      <c r="CL453">
        <v>0</v>
      </c>
      <c r="CM453">
        <v>2</v>
      </c>
      <c r="CN453">
        <v>0</v>
      </c>
      <c r="CO453">
        <v>5</v>
      </c>
      <c r="CP453" t="s">
        <v>119</v>
      </c>
      <c r="CQ453">
        <v>559</v>
      </c>
      <c r="CR453">
        <v>0</v>
      </c>
      <c r="CW453">
        <v>10407316</v>
      </c>
      <c r="CY453">
        <v>1</v>
      </c>
      <c r="CZ453">
        <v>0</v>
      </c>
      <c r="DA453">
        <v>1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</row>
    <row r="454" spans="1:113" x14ac:dyDescent="0.3">
      <c r="A454" t="str">
        <f>"02/08/2021 20:13:37.723"</f>
        <v>02/08/2021 20:13:37.723</v>
      </c>
      <c r="C454" t="str">
        <f t="shared" si="20"/>
        <v>FFDFD3C0</v>
      </c>
      <c r="D454" t="s">
        <v>124</v>
      </c>
      <c r="E454">
        <v>13</v>
      </c>
      <c r="F454">
        <v>1013</v>
      </c>
      <c r="G454" t="s">
        <v>114</v>
      </c>
      <c r="J454" t="s">
        <v>125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>"20:13:40.055"</f>
        <v>20:13:40.055</v>
      </c>
      <c r="T454" t="str">
        <f>"20:13:39.555"</f>
        <v>20:13:39.555</v>
      </c>
      <c r="U454" t="str">
        <f t="shared" si="22"/>
        <v>AB01F4</v>
      </c>
      <c r="V454">
        <v>0</v>
      </c>
      <c r="W454">
        <v>0</v>
      </c>
      <c r="X454">
        <v>1</v>
      </c>
      <c r="Z454">
        <v>0</v>
      </c>
      <c r="AA454">
        <v>9</v>
      </c>
      <c r="AB454">
        <v>3</v>
      </c>
      <c r="AC454">
        <v>0</v>
      </c>
      <c r="AD454">
        <v>10</v>
      </c>
      <c r="AE454">
        <v>0</v>
      </c>
      <c r="AF454">
        <v>3</v>
      </c>
      <c r="AG454">
        <v>2</v>
      </c>
      <c r="AH454">
        <v>0</v>
      </c>
      <c r="AI454" t="s">
        <v>440</v>
      </c>
      <c r="AJ454">
        <v>39.566059000000003</v>
      </c>
      <c r="AK454" t="s">
        <v>441</v>
      </c>
      <c r="AL454">
        <v>-92.492073000000005</v>
      </c>
      <c r="AM454">
        <v>100</v>
      </c>
      <c r="AN454">
        <v>1900</v>
      </c>
      <c r="AO454" t="s">
        <v>118</v>
      </c>
      <c r="AP454">
        <v>-52</v>
      </c>
      <c r="AQ454">
        <v>132</v>
      </c>
      <c r="AR454">
        <v>0</v>
      </c>
      <c r="AZ454">
        <v>1200</v>
      </c>
      <c r="BA454">
        <v>1</v>
      </c>
      <c r="BB454" t="str">
        <f t="shared" si="21"/>
        <v xml:space="preserve">N8080G  </v>
      </c>
      <c r="BC454">
        <v>1</v>
      </c>
      <c r="BE454">
        <v>0</v>
      </c>
      <c r="BF454">
        <v>0</v>
      </c>
      <c r="BG454">
        <v>0</v>
      </c>
      <c r="BH454">
        <v>1850</v>
      </c>
      <c r="BI454">
        <v>1</v>
      </c>
      <c r="BJ454">
        <v>1</v>
      </c>
      <c r="BK454">
        <v>1</v>
      </c>
      <c r="BL454">
        <v>0</v>
      </c>
      <c r="BO454">
        <v>0</v>
      </c>
      <c r="BP454">
        <v>0</v>
      </c>
      <c r="BW454" t="str">
        <f>"20:13:40.062"</f>
        <v>20:13:40.062</v>
      </c>
      <c r="CJ454">
        <v>0</v>
      </c>
      <c r="CK454">
        <v>2</v>
      </c>
      <c r="CL454">
        <v>0</v>
      </c>
      <c r="CM454">
        <v>2</v>
      </c>
      <c r="CN454">
        <v>0</v>
      </c>
      <c r="CO454">
        <v>7</v>
      </c>
      <c r="CP454" t="s">
        <v>119</v>
      </c>
      <c r="CQ454">
        <v>180</v>
      </c>
      <c r="CR454">
        <v>2</v>
      </c>
      <c r="CW454">
        <v>7850586</v>
      </c>
      <c r="CY454">
        <v>1</v>
      </c>
      <c r="CZ454">
        <v>0</v>
      </c>
      <c r="DA454">
        <v>1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</row>
    <row r="455" spans="1:113" x14ac:dyDescent="0.3">
      <c r="A455" t="str">
        <f>"02/08/2021 20:13:38.751"</f>
        <v>02/08/2021 20:13:38.751</v>
      </c>
      <c r="C455" t="str">
        <f t="shared" si="20"/>
        <v>FFDFD3C0</v>
      </c>
      <c r="D455" t="s">
        <v>124</v>
      </c>
      <c r="E455">
        <v>13</v>
      </c>
      <c r="F455">
        <v>1013</v>
      </c>
      <c r="G455" t="s">
        <v>114</v>
      </c>
      <c r="J455" t="s">
        <v>125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>"20:13:41.086"</f>
        <v>20:13:41.086</v>
      </c>
      <c r="T455" t="str">
        <f>"20:13:40.686"</f>
        <v>20:13:40.686</v>
      </c>
      <c r="U455" t="str">
        <f t="shared" si="22"/>
        <v>AB01F4</v>
      </c>
      <c r="V455">
        <v>0</v>
      </c>
      <c r="W455">
        <v>0</v>
      </c>
      <c r="X455">
        <v>1</v>
      </c>
      <c r="Z455">
        <v>0</v>
      </c>
      <c r="AA455">
        <v>9</v>
      </c>
      <c r="AB455">
        <v>3</v>
      </c>
      <c r="AC455">
        <v>0</v>
      </c>
      <c r="AD455">
        <v>10</v>
      </c>
      <c r="AE455">
        <v>0</v>
      </c>
      <c r="AF455">
        <v>3</v>
      </c>
      <c r="AG455">
        <v>2</v>
      </c>
      <c r="AH455">
        <v>0</v>
      </c>
      <c r="AI455" t="s">
        <v>442</v>
      </c>
      <c r="AJ455">
        <v>39.566659999999999</v>
      </c>
      <c r="AK455" t="s">
        <v>443</v>
      </c>
      <c r="AL455">
        <v>-92.492373000000001</v>
      </c>
      <c r="AM455">
        <v>100</v>
      </c>
      <c r="AN455">
        <v>1900</v>
      </c>
      <c r="AO455" t="s">
        <v>118</v>
      </c>
      <c r="AP455">
        <v>-49</v>
      </c>
      <c r="AQ455">
        <v>133</v>
      </c>
      <c r="AR455">
        <v>-128</v>
      </c>
      <c r="AZ455">
        <v>1200</v>
      </c>
      <c r="BA455">
        <v>1</v>
      </c>
      <c r="BB455" t="str">
        <f t="shared" si="21"/>
        <v xml:space="preserve">N8080G  </v>
      </c>
      <c r="BC455">
        <v>1</v>
      </c>
      <c r="BE455">
        <v>0</v>
      </c>
      <c r="BF455">
        <v>0</v>
      </c>
      <c r="BG455">
        <v>0</v>
      </c>
      <c r="BH455">
        <v>1850</v>
      </c>
      <c r="BI455">
        <v>1</v>
      </c>
      <c r="BJ455">
        <v>1</v>
      </c>
      <c r="BK455">
        <v>1</v>
      </c>
      <c r="BL455">
        <v>0</v>
      </c>
      <c r="BO455">
        <v>0</v>
      </c>
      <c r="BP455">
        <v>0</v>
      </c>
      <c r="BW455" t="str">
        <f>"20:13:41.091"</f>
        <v>20:13:41.091</v>
      </c>
      <c r="CJ455">
        <v>0</v>
      </c>
      <c r="CK455">
        <v>2</v>
      </c>
      <c r="CL455">
        <v>0</v>
      </c>
      <c r="CM455">
        <v>2</v>
      </c>
      <c r="CN455">
        <v>0</v>
      </c>
      <c r="CO455">
        <v>5</v>
      </c>
      <c r="CP455" t="s">
        <v>119</v>
      </c>
      <c r="CQ455">
        <v>559</v>
      </c>
      <c r="CR455">
        <v>0</v>
      </c>
      <c r="CW455">
        <v>10407476</v>
      </c>
      <c r="CY455">
        <v>1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</row>
    <row r="456" spans="1:113" x14ac:dyDescent="0.3">
      <c r="A456" t="str">
        <f>"02/08/2021 20:13:38.751"</f>
        <v>02/08/2021 20:13:38.751</v>
      </c>
      <c r="C456" t="str">
        <f t="shared" si="20"/>
        <v>FFDFD3C0</v>
      </c>
      <c r="D456" t="s">
        <v>141</v>
      </c>
      <c r="E456">
        <v>17</v>
      </c>
      <c r="H456">
        <v>256</v>
      </c>
      <c r="I456" t="s">
        <v>142</v>
      </c>
      <c r="J456" t="s">
        <v>143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>"20:13:41.086"</f>
        <v>20:13:41.086</v>
      </c>
      <c r="T456" t="str">
        <f>"20:13:40.686"</f>
        <v>20:13:40.686</v>
      </c>
      <c r="U456" t="str">
        <f t="shared" si="22"/>
        <v>AB01F4</v>
      </c>
      <c r="V456">
        <v>0</v>
      </c>
      <c r="W456">
        <v>0</v>
      </c>
      <c r="X456">
        <v>1</v>
      </c>
      <c r="Z456">
        <v>0</v>
      </c>
      <c r="AA456">
        <v>9</v>
      </c>
      <c r="AB456">
        <v>3</v>
      </c>
      <c r="AC456">
        <v>0</v>
      </c>
      <c r="AD456">
        <v>10</v>
      </c>
      <c r="AE456">
        <v>0</v>
      </c>
      <c r="AF456">
        <v>3</v>
      </c>
      <c r="AG456">
        <v>2</v>
      </c>
      <c r="AH456">
        <v>0</v>
      </c>
      <c r="AI456" t="s">
        <v>442</v>
      </c>
      <c r="AJ456">
        <v>39.566659999999999</v>
      </c>
      <c r="AK456" t="s">
        <v>443</v>
      </c>
      <c r="AL456">
        <v>-92.492373000000001</v>
      </c>
      <c r="AM456">
        <v>100</v>
      </c>
      <c r="AN456">
        <v>1900</v>
      </c>
      <c r="AO456" t="s">
        <v>118</v>
      </c>
      <c r="AP456">
        <v>-49</v>
      </c>
      <c r="AQ456">
        <v>133</v>
      </c>
      <c r="AR456">
        <v>-128</v>
      </c>
      <c r="AZ456">
        <v>1200</v>
      </c>
      <c r="BA456">
        <v>1</v>
      </c>
      <c r="BB456" t="str">
        <f t="shared" si="21"/>
        <v xml:space="preserve">N8080G  </v>
      </c>
      <c r="BC456">
        <v>1</v>
      </c>
      <c r="BE456">
        <v>0</v>
      </c>
      <c r="BF456">
        <v>0</v>
      </c>
      <c r="BG456">
        <v>0</v>
      </c>
      <c r="BH456">
        <v>1850</v>
      </c>
      <c r="BI456">
        <v>1</v>
      </c>
      <c r="BJ456">
        <v>1</v>
      </c>
      <c r="BK456">
        <v>1</v>
      </c>
      <c r="BL456">
        <v>0</v>
      </c>
      <c r="BO456">
        <v>0</v>
      </c>
      <c r="BP456">
        <v>0</v>
      </c>
      <c r="BW456" t="str">
        <f>"20:13:41.091"</f>
        <v>20:13:41.091</v>
      </c>
      <c r="CJ456">
        <v>0</v>
      </c>
      <c r="CK456">
        <v>2</v>
      </c>
      <c r="CL456">
        <v>0</v>
      </c>
      <c r="CM456">
        <v>2</v>
      </c>
      <c r="CN456">
        <v>0</v>
      </c>
      <c r="CO456">
        <v>5</v>
      </c>
      <c r="CP456" t="s">
        <v>119</v>
      </c>
      <c r="CQ456">
        <v>559</v>
      </c>
      <c r="CR456">
        <v>0</v>
      </c>
      <c r="CW456">
        <v>10407476</v>
      </c>
      <c r="CY456">
        <v>1</v>
      </c>
      <c r="CZ456">
        <v>0</v>
      </c>
      <c r="DA456">
        <v>1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</row>
    <row r="457" spans="1:113" x14ac:dyDescent="0.3">
      <c r="A457" t="str">
        <f>"02/08/2021 20:13:38.751"</f>
        <v>02/08/2021 20:13:38.751</v>
      </c>
      <c r="C457" t="str">
        <f t="shared" si="20"/>
        <v>FFDFD3C0</v>
      </c>
      <c r="D457" t="s">
        <v>113</v>
      </c>
      <c r="E457">
        <v>6</v>
      </c>
      <c r="H457">
        <v>165</v>
      </c>
      <c r="I457" t="s">
        <v>114</v>
      </c>
      <c r="J457" t="s">
        <v>115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>"20:13:41.086"</f>
        <v>20:13:41.086</v>
      </c>
      <c r="T457" t="str">
        <f>"20:13:40.686"</f>
        <v>20:13:40.686</v>
      </c>
      <c r="U457" t="str">
        <f t="shared" si="22"/>
        <v>AB01F4</v>
      </c>
      <c r="V457">
        <v>0</v>
      </c>
      <c r="W457">
        <v>0</v>
      </c>
      <c r="X457">
        <v>1</v>
      </c>
      <c r="Z457">
        <v>0</v>
      </c>
      <c r="AA457">
        <v>9</v>
      </c>
      <c r="AB457">
        <v>3</v>
      </c>
      <c r="AC457">
        <v>0</v>
      </c>
      <c r="AD457">
        <v>10</v>
      </c>
      <c r="AE457">
        <v>0</v>
      </c>
      <c r="AF457">
        <v>3</v>
      </c>
      <c r="AG457">
        <v>2</v>
      </c>
      <c r="AH457">
        <v>0</v>
      </c>
      <c r="AI457" t="s">
        <v>442</v>
      </c>
      <c r="AJ457">
        <v>39.566659999999999</v>
      </c>
      <c r="AK457" t="s">
        <v>443</v>
      </c>
      <c r="AL457">
        <v>-92.492373000000001</v>
      </c>
      <c r="AM457">
        <v>100</v>
      </c>
      <c r="AN457">
        <v>1900</v>
      </c>
      <c r="AO457" t="s">
        <v>118</v>
      </c>
      <c r="AP457">
        <v>-49</v>
      </c>
      <c r="AQ457">
        <v>133</v>
      </c>
      <c r="AR457">
        <v>-128</v>
      </c>
      <c r="AZ457">
        <v>1200</v>
      </c>
      <c r="BA457">
        <v>1</v>
      </c>
      <c r="BB457" t="str">
        <f t="shared" si="21"/>
        <v xml:space="preserve">N8080G  </v>
      </c>
      <c r="BC457">
        <v>1</v>
      </c>
      <c r="BE457">
        <v>0</v>
      </c>
      <c r="BF457">
        <v>0</v>
      </c>
      <c r="BG457">
        <v>0</v>
      </c>
      <c r="BH457">
        <v>1850</v>
      </c>
      <c r="BI457">
        <v>1</v>
      </c>
      <c r="BJ457">
        <v>1</v>
      </c>
      <c r="BK457">
        <v>1</v>
      </c>
      <c r="BL457">
        <v>0</v>
      </c>
      <c r="BO457">
        <v>0</v>
      </c>
      <c r="BP457">
        <v>0</v>
      </c>
      <c r="BW457" t="str">
        <f>"20:13:41.091"</f>
        <v>20:13:41.091</v>
      </c>
      <c r="CJ457">
        <v>0</v>
      </c>
      <c r="CK457">
        <v>2</v>
      </c>
      <c r="CL457">
        <v>0</v>
      </c>
      <c r="CM457">
        <v>2</v>
      </c>
      <c r="CN457">
        <v>0</v>
      </c>
      <c r="CO457">
        <v>5</v>
      </c>
      <c r="CP457" t="s">
        <v>119</v>
      </c>
      <c r="CQ457">
        <v>559</v>
      </c>
      <c r="CR457">
        <v>0</v>
      </c>
      <c r="CW457">
        <v>10407476</v>
      </c>
      <c r="CY457">
        <v>1</v>
      </c>
      <c r="CZ457">
        <v>0</v>
      </c>
      <c r="DA457">
        <v>1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</row>
    <row r="458" spans="1:113" x14ac:dyDescent="0.3">
      <c r="A458" t="str">
        <f>"02/08/2021 20:13:39.792"</f>
        <v>02/08/2021 20:13:39.792</v>
      </c>
      <c r="C458" t="str">
        <f t="shared" si="20"/>
        <v>FFDFD3C0</v>
      </c>
      <c r="D458" t="s">
        <v>113</v>
      </c>
      <c r="E458">
        <v>6</v>
      </c>
      <c r="H458">
        <v>165</v>
      </c>
      <c r="I458" t="s">
        <v>114</v>
      </c>
      <c r="J458" t="s">
        <v>115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>"20:13:42.109"</f>
        <v>20:13:42.109</v>
      </c>
      <c r="T458" t="str">
        <f>"20:13:41.709"</f>
        <v>20:13:41.709</v>
      </c>
      <c r="U458" t="str">
        <f t="shared" si="22"/>
        <v>AB01F4</v>
      </c>
      <c r="V458">
        <v>0</v>
      </c>
      <c r="W458">
        <v>0</v>
      </c>
      <c r="X458">
        <v>1</v>
      </c>
      <c r="Z458">
        <v>0</v>
      </c>
      <c r="AA458">
        <v>9</v>
      </c>
      <c r="AB458">
        <v>3</v>
      </c>
      <c r="AC458">
        <v>0</v>
      </c>
      <c r="AD458">
        <v>10</v>
      </c>
      <c r="AE458">
        <v>0</v>
      </c>
      <c r="AF458">
        <v>3</v>
      </c>
      <c r="AG458">
        <v>2</v>
      </c>
      <c r="AH458">
        <v>0</v>
      </c>
      <c r="AI458" t="s">
        <v>444</v>
      </c>
      <c r="AJ458">
        <v>39.567346999999998</v>
      </c>
      <c r="AK458" t="s">
        <v>445</v>
      </c>
      <c r="AL458">
        <v>-92.492652000000007</v>
      </c>
      <c r="AM458">
        <v>100</v>
      </c>
      <c r="AN458">
        <v>1900</v>
      </c>
      <c r="AO458" t="s">
        <v>118</v>
      </c>
      <c r="AP458">
        <v>-45</v>
      </c>
      <c r="AQ458">
        <v>134</v>
      </c>
      <c r="AR458">
        <v>-128</v>
      </c>
      <c r="AZ458">
        <v>1200</v>
      </c>
      <c r="BA458">
        <v>1</v>
      </c>
      <c r="BB458" t="str">
        <f t="shared" si="21"/>
        <v xml:space="preserve">N8080G  </v>
      </c>
      <c r="BC458">
        <v>1</v>
      </c>
      <c r="BE458">
        <v>0</v>
      </c>
      <c r="BF458">
        <v>0</v>
      </c>
      <c r="BG458">
        <v>0</v>
      </c>
      <c r="BH458">
        <v>1850</v>
      </c>
      <c r="BI458">
        <v>1</v>
      </c>
      <c r="BJ458">
        <v>1</v>
      </c>
      <c r="BK458">
        <v>1</v>
      </c>
      <c r="BL458">
        <v>0</v>
      </c>
      <c r="BO458">
        <v>0</v>
      </c>
      <c r="BP458">
        <v>0</v>
      </c>
      <c r="BW458" t="str">
        <f>"20:13:42.110"</f>
        <v>20:13:42.110</v>
      </c>
      <c r="CJ458">
        <v>0</v>
      </c>
      <c r="CK458">
        <v>2</v>
      </c>
      <c r="CL458">
        <v>0</v>
      </c>
      <c r="CM458">
        <v>2</v>
      </c>
      <c r="CN458">
        <v>0</v>
      </c>
      <c r="CO458">
        <v>6</v>
      </c>
      <c r="CP458" t="s">
        <v>119</v>
      </c>
      <c r="CQ458">
        <v>180</v>
      </c>
      <c r="CR458">
        <v>1</v>
      </c>
      <c r="CW458">
        <v>10387217</v>
      </c>
      <c r="CY458">
        <v>1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</row>
    <row r="459" spans="1:113" x14ac:dyDescent="0.3">
      <c r="A459" t="str">
        <f>"02/08/2021 20:13:39.792"</f>
        <v>02/08/2021 20:13:39.792</v>
      </c>
      <c r="C459" t="str">
        <f t="shared" si="20"/>
        <v>FFDFD3C0</v>
      </c>
      <c r="D459" t="s">
        <v>141</v>
      </c>
      <c r="E459">
        <v>17</v>
      </c>
      <c r="H459">
        <v>256</v>
      </c>
      <c r="I459" t="s">
        <v>142</v>
      </c>
      <c r="J459" t="s">
        <v>143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>"20:13:42.109"</f>
        <v>20:13:42.109</v>
      </c>
      <c r="T459" t="str">
        <f>"20:13:41.709"</f>
        <v>20:13:41.709</v>
      </c>
      <c r="U459" t="str">
        <f t="shared" si="22"/>
        <v>AB01F4</v>
      </c>
      <c r="V459">
        <v>0</v>
      </c>
      <c r="W459">
        <v>0</v>
      </c>
      <c r="X459">
        <v>1</v>
      </c>
      <c r="Z459">
        <v>0</v>
      </c>
      <c r="AA459">
        <v>9</v>
      </c>
      <c r="AB459">
        <v>3</v>
      </c>
      <c r="AC459">
        <v>0</v>
      </c>
      <c r="AD459">
        <v>10</v>
      </c>
      <c r="AE459">
        <v>0</v>
      </c>
      <c r="AF459">
        <v>3</v>
      </c>
      <c r="AG459">
        <v>2</v>
      </c>
      <c r="AH459">
        <v>0</v>
      </c>
      <c r="AI459" t="s">
        <v>444</v>
      </c>
      <c r="AJ459">
        <v>39.567346999999998</v>
      </c>
      <c r="AK459" t="s">
        <v>445</v>
      </c>
      <c r="AL459">
        <v>-92.492652000000007</v>
      </c>
      <c r="AM459">
        <v>100</v>
      </c>
      <c r="AN459">
        <v>1900</v>
      </c>
      <c r="AO459" t="s">
        <v>118</v>
      </c>
      <c r="AP459">
        <v>-45</v>
      </c>
      <c r="AQ459">
        <v>134</v>
      </c>
      <c r="AR459">
        <v>-128</v>
      </c>
      <c r="AZ459">
        <v>1200</v>
      </c>
      <c r="BA459">
        <v>1</v>
      </c>
      <c r="BB459" t="str">
        <f t="shared" si="21"/>
        <v xml:space="preserve">N8080G  </v>
      </c>
      <c r="BC459">
        <v>1</v>
      </c>
      <c r="BE459">
        <v>0</v>
      </c>
      <c r="BF459">
        <v>0</v>
      </c>
      <c r="BG459">
        <v>0</v>
      </c>
      <c r="BH459">
        <v>1850</v>
      </c>
      <c r="BI459">
        <v>1</v>
      </c>
      <c r="BJ459">
        <v>1</v>
      </c>
      <c r="BK459">
        <v>1</v>
      </c>
      <c r="BL459">
        <v>0</v>
      </c>
      <c r="BO459">
        <v>0</v>
      </c>
      <c r="BP459">
        <v>0</v>
      </c>
      <c r="BW459" t="str">
        <f>"20:13:42.111"</f>
        <v>20:13:42.111</v>
      </c>
      <c r="CJ459">
        <v>0</v>
      </c>
      <c r="CK459">
        <v>2</v>
      </c>
      <c r="CL459">
        <v>0</v>
      </c>
      <c r="CM459">
        <v>2</v>
      </c>
      <c r="CN459">
        <v>0</v>
      </c>
      <c r="CO459">
        <v>5</v>
      </c>
      <c r="CP459" t="s">
        <v>119</v>
      </c>
      <c r="CQ459">
        <v>559</v>
      </c>
      <c r="CR459">
        <v>0</v>
      </c>
      <c r="CW459">
        <v>10407643</v>
      </c>
      <c r="CY459">
        <v>1</v>
      </c>
      <c r="CZ459">
        <v>0</v>
      </c>
      <c r="DA459">
        <v>1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</row>
    <row r="460" spans="1:113" x14ac:dyDescent="0.3">
      <c r="A460" t="str">
        <f>"02/08/2021 20:13:39.792"</f>
        <v>02/08/2021 20:13:39.792</v>
      </c>
      <c r="C460" t="str">
        <f t="shared" si="20"/>
        <v>FFDFD3C0</v>
      </c>
      <c r="D460" t="s">
        <v>124</v>
      </c>
      <c r="E460">
        <v>13</v>
      </c>
      <c r="F460">
        <v>1013</v>
      </c>
      <c r="G460" t="s">
        <v>114</v>
      </c>
      <c r="J460" t="s">
        <v>125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>"20:13:42.109"</f>
        <v>20:13:42.109</v>
      </c>
      <c r="T460" t="str">
        <f>"20:13:41.709"</f>
        <v>20:13:41.709</v>
      </c>
      <c r="U460" t="str">
        <f t="shared" si="22"/>
        <v>AB01F4</v>
      </c>
      <c r="V460">
        <v>0</v>
      </c>
      <c r="W460">
        <v>0</v>
      </c>
      <c r="X460">
        <v>1</v>
      </c>
      <c r="Z460">
        <v>0</v>
      </c>
      <c r="AA460">
        <v>9</v>
      </c>
      <c r="AB460">
        <v>3</v>
      </c>
      <c r="AC460">
        <v>0</v>
      </c>
      <c r="AD460">
        <v>10</v>
      </c>
      <c r="AE460">
        <v>0</v>
      </c>
      <c r="AF460">
        <v>3</v>
      </c>
      <c r="AG460">
        <v>2</v>
      </c>
      <c r="AH460">
        <v>0</v>
      </c>
      <c r="AI460" t="s">
        <v>444</v>
      </c>
      <c r="AJ460">
        <v>39.567346999999998</v>
      </c>
      <c r="AK460" t="s">
        <v>445</v>
      </c>
      <c r="AL460">
        <v>-92.492652000000007</v>
      </c>
      <c r="AM460">
        <v>100</v>
      </c>
      <c r="AN460">
        <v>1900</v>
      </c>
      <c r="AO460" t="s">
        <v>118</v>
      </c>
      <c r="AP460">
        <v>-45</v>
      </c>
      <c r="AQ460">
        <v>134</v>
      </c>
      <c r="AR460">
        <v>-128</v>
      </c>
      <c r="AZ460">
        <v>1200</v>
      </c>
      <c r="BA460">
        <v>1</v>
      </c>
      <c r="BB460" t="str">
        <f t="shared" si="21"/>
        <v xml:space="preserve">N8080G  </v>
      </c>
      <c r="BC460">
        <v>1</v>
      </c>
      <c r="BE460">
        <v>0</v>
      </c>
      <c r="BF460">
        <v>0</v>
      </c>
      <c r="BG460">
        <v>0</v>
      </c>
      <c r="BH460">
        <v>1850</v>
      </c>
      <c r="BI460">
        <v>1</v>
      </c>
      <c r="BJ460">
        <v>1</v>
      </c>
      <c r="BK460">
        <v>1</v>
      </c>
      <c r="BL460">
        <v>0</v>
      </c>
      <c r="BO460">
        <v>0</v>
      </c>
      <c r="BP460">
        <v>0</v>
      </c>
      <c r="BW460" t="str">
        <f>"20:13:42.110"</f>
        <v>20:13:42.110</v>
      </c>
      <c r="CJ460">
        <v>0</v>
      </c>
      <c r="CK460">
        <v>2</v>
      </c>
      <c r="CL460">
        <v>0</v>
      </c>
      <c r="CM460">
        <v>2</v>
      </c>
      <c r="CN460">
        <v>0</v>
      </c>
      <c r="CO460">
        <v>6</v>
      </c>
      <c r="CP460" t="s">
        <v>119</v>
      </c>
      <c r="CQ460">
        <v>180</v>
      </c>
      <c r="CR460">
        <v>1</v>
      </c>
      <c r="CW460">
        <v>10387217</v>
      </c>
      <c r="CY460">
        <v>1</v>
      </c>
      <c r="CZ460">
        <v>0</v>
      </c>
      <c r="DA460">
        <v>1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</row>
    <row r="461" spans="1:113" x14ac:dyDescent="0.3">
      <c r="A461" t="str">
        <f>"02/08/2021 20:13:40.803"</f>
        <v>02/08/2021 20:13:40.803</v>
      </c>
      <c r="C461" t="str">
        <f t="shared" si="20"/>
        <v>FFDFD3C0</v>
      </c>
      <c r="D461" t="s">
        <v>113</v>
      </c>
      <c r="E461">
        <v>6</v>
      </c>
      <c r="H461">
        <v>165</v>
      </c>
      <c r="I461" t="s">
        <v>114</v>
      </c>
      <c r="J461" t="s">
        <v>115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>"20:13:43.156"</f>
        <v>20:13:43.156</v>
      </c>
      <c r="T461" t="str">
        <f>"20:13:42.756"</f>
        <v>20:13:42.756</v>
      </c>
      <c r="U461" t="str">
        <f t="shared" si="22"/>
        <v>AB01F4</v>
      </c>
      <c r="V461">
        <v>0</v>
      </c>
      <c r="W461">
        <v>0</v>
      </c>
      <c r="X461">
        <v>1</v>
      </c>
      <c r="Z461">
        <v>0</v>
      </c>
      <c r="AA461">
        <v>9</v>
      </c>
      <c r="AB461">
        <v>3</v>
      </c>
      <c r="AC461">
        <v>0</v>
      </c>
      <c r="AD461">
        <v>10</v>
      </c>
      <c r="AE461">
        <v>0</v>
      </c>
      <c r="AF461">
        <v>3</v>
      </c>
      <c r="AG461">
        <v>2</v>
      </c>
      <c r="AH461">
        <v>0</v>
      </c>
      <c r="AI461" t="s">
        <v>446</v>
      </c>
      <c r="AJ461">
        <v>39.567990000000002</v>
      </c>
      <c r="AK461" t="s">
        <v>447</v>
      </c>
      <c r="AL461">
        <v>-92.492887999999994</v>
      </c>
      <c r="AM461">
        <v>100</v>
      </c>
      <c r="AN461">
        <v>1900</v>
      </c>
      <c r="AO461" t="s">
        <v>118</v>
      </c>
      <c r="AP461">
        <v>-42</v>
      </c>
      <c r="AQ461">
        <v>135</v>
      </c>
      <c r="AR461">
        <v>-64</v>
      </c>
      <c r="AZ461">
        <v>1200</v>
      </c>
      <c r="BA461">
        <v>1</v>
      </c>
      <c r="BB461" t="str">
        <f t="shared" si="21"/>
        <v xml:space="preserve">N8080G  </v>
      </c>
      <c r="BC461">
        <v>1</v>
      </c>
      <c r="BE461">
        <v>0</v>
      </c>
      <c r="BF461">
        <v>0</v>
      </c>
      <c r="BG461">
        <v>0</v>
      </c>
      <c r="BH461">
        <v>1850</v>
      </c>
      <c r="BI461">
        <v>1</v>
      </c>
      <c r="BJ461">
        <v>1</v>
      </c>
      <c r="BK461">
        <v>1</v>
      </c>
      <c r="BL461">
        <v>0</v>
      </c>
      <c r="BO461">
        <v>0</v>
      </c>
      <c r="BP461">
        <v>0</v>
      </c>
      <c r="BW461" t="str">
        <f>"20:13:43.164"</f>
        <v>20:13:43.164</v>
      </c>
      <c r="CJ461">
        <v>0</v>
      </c>
      <c r="CK461">
        <v>2</v>
      </c>
      <c r="CL461">
        <v>0</v>
      </c>
      <c r="CM461">
        <v>2</v>
      </c>
      <c r="CN461">
        <v>0</v>
      </c>
      <c r="CO461">
        <v>6</v>
      </c>
      <c r="CP461" t="s">
        <v>119</v>
      </c>
      <c r="CQ461">
        <v>180</v>
      </c>
      <c r="CR461">
        <v>1</v>
      </c>
      <c r="CW461">
        <v>10388273</v>
      </c>
      <c r="CY461">
        <v>1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</row>
    <row r="462" spans="1:113" x14ac:dyDescent="0.3">
      <c r="A462" t="str">
        <f>"02/08/2021 20:13:40.803"</f>
        <v>02/08/2021 20:13:40.803</v>
      </c>
      <c r="C462" t="str">
        <f t="shared" si="20"/>
        <v>FFDFD3C0</v>
      </c>
      <c r="D462" t="s">
        <v>141</v>
      </c>
      <c r="E462">
        <v>17</v>
      </c>
      <c r="H462">
        <v>256</v>
      </c>
      <c r="I462" t="s">
        <v>142</v>
      </c>
      <c r="J462" t="s">
        <v>143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>"20:13:43.164"</f>
        <v>20:13:43.164</v>
      </c>
      <c r="T462" t="str">
        <f>"20:13:42.764"</f>
        <v>20:13:42.764</v>
      </c>
      <c r="U462" t="str">
        <f t="shared" si="22"/>
        <v>AB01F4</v>
      </c>
      <c r="V462">
        <v>0</v>
      </c>
      <c r="W462">
        <v>0</v>
      </c>
      <c r="X462">
        <v>1</v>
      </c>
      <c r="Z462">
        <v>0</v>
      </c>
      <c r="AA462">
        <v>9</v>
      </c>
      <c r="AB462">
        <v>3</v>
      </c>
      <c r="AC462">
        <v>0</v>
      </c>
      <c r="AD462">
        <v>10</v>
      </c>
      <c r="AE462">
        <v>0</v>
      </c>
      <c r="AF462">
        <v>3</v>
      </c>
      <c r="AG462">
        <v>2</v>
      </c>
      <c r="AH462">
        <v>0</v>
      </c>
      <c r="AI462" t="s">
        <v>446</v>
      </c>
      <c r="AJ462">
        <v>39.567990000000002</v>
      </c>
      <c r="AK462" t="s">
        <v>447</v>
      </c>
      <c r="AL462">
        <v>-92.492887999999994</v>
      </c>
      <c r="AM462">
        <v>100</v>
      </c>
      <c r="AN462">
        <v>1900</v>
      </c>
      <c r="AO462" t="s">
        <v>118</v>
      </c>
      <c r="AP462">
        <v>-42</v>
      </c>
      <c r="AQ462">
        <v>135</v>
      </c>
      <c r="AR462">
        <v>-64</v>
      </c>
      <c r="AZ462">
        <v>1200</v>
      </c>
      <c r="BA462">
        <v>1</v>
      </c>
      <c r="BB462" t="str">
        <f t="shared" si="21"/>
        <v xml:space="preserve">N8080G  </v>
      </c>
      <c r="BC462">
        <v>1</v>
      </c>
      <c r="BE462">
        <v>0</v>
      </c>
      <c r="BF462">
        <v>0</v>
      </c>
      <c r="BG462">
        <v>0</v>
      </c>
      <c r="BH462">
        <v>1850</v>
      </c>
      <c r="BI462">
        <v>1</v>
      </c>
      <c r="BJ462">
        <v>1</v>
      </c>
      <c r="BK462">
        <v>1</v>
      </c>
      <c r="BL462">
        <v>0</v>
      </c>
      <c r="BO462">
        <v>0</v>
      </c>
      <c r="BP462">
        <v>0</v>
      </c>
      <c r="BW462" t="str">
        <f>"20:13:43.164"</f>
        <v>20:13:43.164</v>
      </c>
      <c r="CJ462">
        <v>0</v>
      </c>
      <c r="CK462">
        <v>2</v>
      </c>
      <c r="CL462">
        <v>0</v>
      </c>
      <c r="CM462">
        <v>2</v>
      </c>
      <c r="CN462">
        <v>0</v>
      </c>
      <c r="CO462">
        <v>5</v>
      </c>
      <c r="CP462" t="s">
        <v>119</v>
      </c>
      <c r="CQ462">
        <v>559</v>
      </c>
      <c r="CR462">
        <v>0</v>
      </c>
      <c r="CW462">
        <v>10407809</v>
      </c>
      <c r="CY462">
        <v>1</v>
      </c>
      <c r="CZ462">
        <v>0</v>
      </c>
      <c r="DA462">
        <v>1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</row>
    <row r="463" spans="1:113" x14ac:dyDescent="0.3">
      <c r="A463" t="str">
        <f>"02/08/2021 20:13:40.803"</f>
        <v>02/08/2021 20:13:40.803</v>
      </c>
      <c r="C463" t="str">
        <f t="shared" ref="C463:C520" si="23">"FFDFD3C0"</f>
        <v>FFDFD3C0</v>
      </c>
      <c r="D463" t="s">
        <v>124</v>
      </c>
      <c r="E463">
        <v>13</v>
      </c>
      <c r="F463">
        <v>1013</v>
      </c>
      <c r="G463" t="s">
        <v>114</v>
      </c>
      <c r="J463" t="s">
        <v>125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>"20:13:43.156"</f>
        <v>20:13:43.156</v>
      </c>
      <c r="T463" t="str">
        <f>"20:13:42.756"</f>
        <v>20:13:42.756</v>
      </c>
      <c r="U463" t="str">
        <f t="shared" si="22"/>
        <v>AB01F4</v>
      </c>
      <c r="V463">
        <v>0</v>
      </c>
      <c r="W463">
        <v>0</v>
      </c>
      <c r="X463">
        <v>1</v>
      </c>
      <c r="Z463">
        <v>0</v>
      </c>
      <c r="AA463">
        <v>9</v>
      </c>
      <c r="AB463">
        <v>3</v>
      </c>
      <c r="AC463">
        <v>0</v>
      </c>
      <c r="AD463">
        <v>10</v>
      </c>
      <c r="AE463">
        <v>0</v>
      </c>
      <c r="AF463">
        <v>3</v>
      </c>
      <c r="AG463">
        <v>2</v>
      </c>
      <c r="AH463">
        <v>0</v>
      </c>
      <c r="AI463" t="s">
        <v>446</v>
      </c>
      <c r="AJ463">
        <v>39.567990000000002</v>
      </c>
      <c r="AK463" t="s">
        <v>447</v>
      </c>
      <c r="AL463">
        <v>-92.492887999999994</v>
      </c>
      <c r="AM463">
        <v>100</v>
      </c>
      <c r="AN463">
        <v>1900</v>
      </c>
      <c r="AO463" t="s">
        <v>118</v>
      </c>
      <c r="AP463">
        <v>-42</v>
      </c>
      <c r="AQ463">
        <v>135</v>
      </c>
      <c r="AR463">
        <v>-64</v>
      </c>
      <c r="AZ463">
        <v>1200</v>
      </c>
      <c r="BA463">
        <v>1</v>
      </c>
      <c r="BB463" t="str">
        <f t="shared" ref="BB463:BB526" si="24">"N8080G  "</f>
        <v xml:space="preserve">N8080G  </v>
      </c>
      <c r="BC463">
        <v>1</v>
      </c>
      <c r="BE463">
        <v>0</v>
      </c>
      <c r="BF463">
        <v>0</v>
      </c>
      <c r="BG463">
        <v>0</v>
      </c>
      <c r="BH463">
        <v>1850</v>
      </c>
      <c r="BI463">
        <v>1</v>
      </c>
      <c r="BJ463">
        <v>1</v>
      </c>
      <c r="BK463">
        <v>1</v>
      </c>
      <c r="BL463">
        <v>0</v>
      </c>
      <c r="BO463">
        <v>0</v>
      </c>
      <c r="BP463">
        <v>0</v>
      </c>
      <c r="BW463" t="str">
        <f>"20:13:43.164"</f>
        <v>20:13:43.164</v>
      </c>
      <c r="CJ463">
        <v>0</v>
      </c>
      <c r="CK463">
        <v>2</v>
      </c>
      <c r="CL463">
        <v>0</v>
      </c>
      <c r="CM463">
        <v>2</v>
      </c>
      <c r="CN463">
        <v>0</v>
      </c>
      <c r="CO463">
        <v>6</v>
      </c>
      <c r="CP463" t="s">
        <v>119</v>
      </c>
      <c r="CQ463">
        <v>180</v>
      </c>
      <c r="CR463">
        <v>1</v>
      </c>
      <c r="CW463">
        <v>10388273</v>
      </c>
      <c r="CY463">
        <v>1</v>
      </c>
      <c r="CZ463">
        <v>0</v>
      </c>
      <c r="DA463">
        <v>1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</row>
    <row r="464" spans="1:113" x14ac:dyDescent="0.3">
      <c r="A464" t="str">
        <f>"02/08/2021 20:13:41.765"</f>
        <v>02/08/2021 20:13:41.765</v>
      </c>
      <c r="C464" t="str">
        <f t="shared" si="23"/>
        <v>FFDFD3C0</v>
      </c>
      <c r="D464" t="s">
        <v>113</v>
      </c>
      <c r="E464">
        <v>6</v>
      </c>
      <c r="H464">
        <v>165</v>
      </c>
      <c r="I464" t="s">
        <v>114</v>
      </c>
      <c r="J464" t="s">
        <v>115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>"20:13:44.078"</f>
        <v>20:13:44.078</v>
      </c>
      <c r="T464" t="str">
        <f>"20:13:43.678"</f>
        <v>20:13:43.678</v>
      </c>
      <c r="U464" t="str">
        <f t="shared" si="22"/>
        <v>AB01F4</v>
      </c>
      <c r="V464">
        <v>0</v>
      </c>
      <c r="W464">
        <v>0</v>
      </c>
      <c r="X464">
        <v>1</v>
      </c>
      <c r="Z464">
        <v>0</v>
      </c>
      <c r="AA464">
        <v>9</v>
      </c>
      <c r="AB464">
        <v>3</v>
      </c>
      <c r="AC464">
        <v>0</v>
      </c>
      <c r="AD464">
        <v>10</v>
      </c>
      <c r="AE464">
        <v>0</v>
      </c>
      <c r="AF464">
        <v>3</v>
      </c>
      <c r="AG464">
        <v>2</v>
      </c>
      <c r="AH464">
        <v>0</v>
      </c>
      <c r="AI464" t="s">
        <v>448</v>
      </c>
      <c r="AJ464">
        <v>39.568570000000001</v>
      </c>
      <c r="AK464" t="s">
        <v>449</v>
      </c>
      <c r="AL464">
        <v>-92.493103000000005</v>
      </c>
      <c r="AM464">
        <v>100</v>
      </c>
      <c r="AN464">
        <v>1900</v>
      </c>
      <c r="AO464" t="s">
        <v>118</v>
      </c>
      <c r="AP464">
        <v>-39</v>
      </c>
      <c r="AQ464">
        <v>135</v>
      </c>
      <c r="AR464">
        <v>0</v>
      </c>
      <c r="AZ464">
        <v>1200</v>
      </c>
      <c r="BA464">
        <v>1</v>
      </c>
      <c r="BB464" t="str">
        <f t="shared" si="24"/>
        <v xml:space="preserve">N8080G  </v>
      </c>
      <c r="BC464">
        <v>1</v>
      </c>
      <c r="BE464">
        <v>0</v>
      </c>
      <c r="BF464">
        <v>0</v>
      </c>
      <c r="BG464">
        <v>0</v>
      </c>
      <c r="BH464">
        <v>1850</v>
      </c>
      <c r="BI464">
        <v>1</v>
      </c>
      <c r="BJ464">
        <v>1</v>
      </c>
      <c r="BK464">
        <v>1</v>
      </c>
      <c r="BL464">
        <v>0</v>
      </c>
      <c r="BO464">
        <v>0</v>
      </c>
      <c r="BP464">
        <v>0</v>
      </c>
      <c r="BW464" t="str">
        <f>"20:13:44.085"</f>
        <v>20:13:44.085</v>
      </c>
      <c r="CJ464">
        <v>0</v>
      </c>
      <c r="CK464">
        <v>2</v>
      </c>
      <c r="CL464">
        <v>0</v>
      </c>
      <c r="CM464">
        <v>2</v>
      </c>
      <c r="CN464">
        <v>0</v>
      </c>
      <c r="CO464">
        <v>6</v>
      </c>
      <c r="CP464" t="s">
        <v>119</v>
      </c>
      <c r="CQ464">
        <v>180</v>
      </c>
      <c r="CR464">
        <v>2</v>
      </c>
      <c r="CW464">
        <v>7853824</v>
      </c>
      <c r="CY464">
        <v>1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</row>
    <row r="465" spans="1:113" x14ac:dyDescent="0.3">
      <c r="A465" t="str">
        <f>"02/08/2021 20:13:41.765"</f>
        <v>02/08/2021 20:13:41.765</v>
      </c>
      <c r="C465" t="str">
        <f t="shared" si="23"/>
        <v>FFDFD3C0</v>
      </c>
      <c r="D465" t="s">
        <v>141</v>
      </c>
      <c r="E465">
        <v>17</v>
      </c>
      <c r="H465">
        <v>256</v>
      </c>
      <c r="I465" t="s">
        <v>142</v>
      </c>
      <c r="J465" t="s">
        <v>143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>"20:13:44.078"</f>
        <v>20:13:44.078</v>
      </c>
      <c r="T465" t="str">
        <f>"20:13:43.678"</f>
        <v>20:13:43.678</v>
      </c>
      <c r="U465" t="str">
        <f t="shared" si="22"/>
        <v>AB01F4</v>
      </c>
      <c r="V465">
        <v>0</v>
      </c>
      <c r="W465">
        <v>0</v>
      </c>
      <c r="X465">
        <v>1</v>
      </c>
      <c r="Z465">
        <v>0</v>
      </c>
      <c r="AA465">
        <v>9</v>
      </c>
      <c r="AB465">
        <v>3</v>
      </c>
      <c r="AC465">
        <v>0</v>
      </c>
      <c r="AD465">
        <v>10</v>
      </c>
      <c r="AE465">
        <v>0</v>
      </c>
      <c r="AF465">
        <v>3</v>
      </c>
      <c r="AG465">
        <v>2</v>
      </c>
      <c r="AH465">
        <v>0</v>
      </c>
      <c r="AI465" t="s">
        <v>448</v>
      </c>
      <c r="AJ465">
        <v>39.568570000000001</v>
      </c>
      <c r="AK465" t="s">
        <v>449</v>
      </c>
      <c r="AL465">
        <v>-92.493103000000005</v>
      </c>
      <c r="AM465">
        <v>100</v>
      </c>
      <c r="AN465">
        <v>1900</v>
      </c>
      <c r="AO465" t="s">
        <v>118</v>
      </c>
      <c r="AP465">
        <v>-39</v>
      </c>
      <c r="AQ465">
        <v>135</v>
      </c>
      <c r="AR465">
        <v>0</v>
      </c>
      <c r="AZ465">
        <v>1200</v>
      </c>
      <c r="BA465">
        <v>1</v>
      </c>
      <c r="BB465" t="str">
        <f t="shared" si="24"/>
        <v xml:space="preserve">N8080G  </v>
      </c>
      <c r="BC465">
        <v>1</v>
      </c>
      <c r="BE465">
        <v>0</v>
      </c>
      <c r="BF465">
        <v>0</v>
      </c>
      <c r="BG465">
        <v>0</v>
      </c>
      <c r="BH465">
        <v>1850</v>
      </c>
      <c r="BI465">
        <v>1</v>
      </c>
      <c r="BJ465">
        <v>1</v>
      </c>
      <c r="BK465">
        <v>1</v>
      </c>
      <c r="BL465">
        <v>0</v>
      </c>
      <c r="BO465">
        <v>0</v>
      </c>
      <c r="BP465">
        <v>0</v>
      </c>
      <c r="BW465" t="str">
        <f>"20:13:44.085"</f>
        <v>20:13:44.085</v>
      </c>
      <c r="CJ465">
        <v>0</v>
      </c>
      <c r="CK465">
        <v>2</v>
      </c>
      <c r="CL465">
        <v>0</v>
      </c>
      <c r="CM465">
        <v>2</v>
      </c>
      <c r="CN465">
        <v>0</v>
      </c>
      <c r="CO465">
        <v>5</v>
      </c>
      <c r="CP465" t="s">
        <v>119</v>
      </c>
      <c r="CQ465">
        <v>559</v>
      </c>
      <c r="CR465">
        <v>0</v>
      </c>
      <c r="CW465">
        <v>10407960</v>
      </c>
      <c r="CY465">
        <v>1</v>
      </c>
      <c r="CZ465">
        <v>0</v>
      </c>
      <c r="DA465">
        <v>1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</row>
    <row r="466" spans="1:113" x14ac:dyDescent="0.3">
      <c r="A466" t="str">
        <f>"02/08/2021 20:13:41.765"</f>
        <v>02/08/2021 20:13:41.765</v>
      </c>
      <c r="C466" t="str">
        <f t="shared" si="23"/>
        <v>FFDFD3C0</v>
      </c>
      <c r="D466" t="s">
        <v>124</v>
      </c>
      <c r="E466">
        <v>13</v>
      </c>
      <c r="F466">
        <v>1013</v>
      </c>
      <c r="G466" t="s">
        <v>114</v>
      </c>
      <c r="J466" t="s">
        <v>125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>"20:13:44.078"</f>
        <v>20:13:44.078</v>
      </c>
      <c r="T466" t="str">
        <f>"20:13:43.678"</f>
        <v>20:13:43.678</v>
      </c>
      <c r="U466" t="str">
        <f t="shared" si="22"/>
        <v>AB01F4</v>
      </c>
      <c r="V466">
        <v>0</v>
      </c>
      <c r="W466">
        <v>0</v>
      </c>
      <c r="X466">
        <v>1</v>
      </c>
      <c r="Z466">
        <v>0</v>
      </c>
      <c r="AA466">
        <v>9</v>
      </c>
      <c r="AB466">
        <v>3</v>
      </c>
      <c r="AC466">
        <v>0</v>
      </c>
      <c r="AD466">
        <v>10</v>
      </c>
      <c r="AE466">
        <v>0</v>
      </c>
      <c r="AF466">
        <v>3</v>
      </c>
      <c r="AG466">
        <v>2</v>
      </c>
      <c r="AH466">
        <v>0</v>
      </c>
      <c r="AI466" t="s">
        <v>448</v>
      </c>
      <c r="AJ466">
        <v>39.568570000000001</v>
      </c>
      <c r="AK466" t="s">
        <v>449</v>
      </c>
      <c r="AL466">
        <v>-92.493103000000005</v>
      </c>
      <c r="AM466">
        <v>100</v>
      </c>
      <c r="AN466">
        <v>1900</v>
      </c>
      <c r="AO466" t="s">
        <v>118</v>
      </c>
      <c r="AP466">
        <v>-39</v>
      </c>
      <c r="AQ466">
        <v>135</v>
      </c>
      <c r="AR466">
        <v>0</v>
      </c>
      <c r="AZ466">
        <v>1200</v>
      </c>
      <c r="BA466">
        <v>1</v>
      </c>
      <c r="BB466" t="str">
        <f t="shared" si="24"/>
        <v xml:space="preserve">N8080G  </v>
      </c>
      <c r="BC466">
        <v>1</v>
      </c>
      <c r="BE466">
        <v>0</v>
      </c>
      <c r="BF466">
        <v>0</v>
      </c>
      <c r="BG466">
        <v>0</v>
      </c>
      <c r="BH466">
        <v>1850</v>
      </c>
      <c r="BI466">
        <v>1</v>
      </c>
      <c r="BJ466">
        <v>1</v>
      </c>
      <c r="BK466">
        <v>1</v>
      </c>
      <c r="BL466">
        <v>0</v>
      </c>
      <c r="BO466">
        <v>0</v>
      </c>
      <c r="BP466">
        <v>0</v>
      </c>
      <c r="BW466" t="str">
        <f>"20:13:44.085"</f>
        <v>20:13:44.085</v>
      </c>
      <c r="CJ466">
        <v>0</v>
      </c>
      <c r="CK466">
        <v>2</v>
      </c>
      <c r="CL466">
        <v>0</v>
      </c>
      <c r="CM466">
        <v>2</v>
      </c>
      <c r="CN466">
        <v>0</v>
      </c>
      <c r="CO466">
        <v>6</v>
      </c>
      <c r="CP466" t="s">
        <v>119</v>
      </c>
      <c r="CQ466">
        <v>180</v>
      </c>
      <c r="CR466">
        <v>2</v>
      </c>
      <c r="CW466">
        <v>7853824</v>
      </c>
      <c r="CY466">
        <v>1</v>
      </c>
      <c r="CZ466">
        <v>0</v>
      </c>
      <c r="DA466">
        <v>1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</row>
    <row r="467" spans="1:113" x14ac:dyDescent="0.3">
      <c r="A467" t="str">
        <f>"02/08/2021 20:13:42.776"</f>
        <v>02/08/2021 20:13:42.776</v>
      </c>
      <c r="C467" t="str">
        <f t="shared" si="23"/>
        <v>FFDFD3C0</v>
      </c>
      <c r="D467" t="s">
        <v>113</v>
      </c>
      <c r="E467">
        <v>6</v>
      </c>
      <c r="H467">
        <v>165</v>
      </c>
      <c r="I467" t="s">
        <v>114</v>
      </c>
      <c r="J467" t="s">
        <v>115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>"20:13:45.109"</f>
        <v>20:13:45.109</v>
      </c>
      <c r="T467" t="str">
        <f>"20:13:44.609"</f>
        <v>20:13:44.609</v>
      </c>
      <c r="U467" t="str">
        <f t="shared" si="22"/>
        <v>AB01F4</v>
      </c>
      <c r="V467">
        <v>0</v>
      </c>
      <c r="W467">
        <v>0</v>
      </c>
      <c r="X467">
        <v>1</v>
      </c>
      <c r="Z467">
        <v>0</v>
      </c>
      <c r="AA467">
        <v>9</v>
      </c>
      <c r="AB467">
        <v>3</v>
      </c>
      <c r="AC467">
        <v>0</v>
      </c>
      <c r="AD467">
        <v>10</v>
      </c>
      <c r="AE467">
        <v>0</v>
      </c>
      <c r="AF467">
        <v>3</v>
      </c>
      <c r="AG467">
        <v>2</v>
      </c>
      <c r="AH467">
        <v>0</v>
      </c>
      <c r="AI467" t="s">
        <v>450</v>
      </c>
      <c r="AJ467">
        <v>39.569234999999999</v>
      </c>
      <c r="AK467" t="s">
        <v>451</v>
      </c>
      <c r="AL467">
        <v>-92.493359999999996</v>
      </c>
      <c r="AM467">
        <v>100</v>
      </c>
      <c r="AN467">
        <v>1900</v>
      </c>
      <c r="AO467" t="s">
        <v>118</v>
      </c>
      <c r="AP467">
        <v>-37</v>
      </c>
      <c r="AQ467">
        <v>136</v>
      </c>
      <c r="AR467">
        <v>64</v>
      </c>
      <c r="AZ467">
        <v>1200</v>
      </c>
      <c r="BA467">
        <v>1</v>
      </c>
      <c r="BB467" t="str">
        <f t="shared" si="24"/>
        <v xml:space="preserve">N8080G  </v>
      </c>
      <c r="BC467">
        <v>1</v>
      </c>
      <c r="BE467">
        <v>0</v>
      </c>
      <c r="BF467">
        <v>0</v>
      </c>
      <c r="BG467">
        <v>0</v>
      </c>
      <c r="BH467">
        <v>1850</v>
      </c>
      <c r="BI467">
        <v>1</v>
      </c>
      <c r="BJ467">
        <v>1</v>
      </c>
      <c r="BK467">
        <v>1</v>
      </c>
      <c r="BL467">
        <v>0</v>
      </c>
      <c r="BO467">
        <v>0</v>
      </c>
      <c r="BP467">
        <v>0</v>
      </c>
      <c r="BW467" t="str">
        <f>"20:13:45.112"</f>
        <v>20:13:45.112</v>
      </c>
      <c r="CJ467">
        <v>0</v>
      </c>
      <c r="CK467">
        <v>2</v>
      </c>
      <c r="CL467">
        <v>0</v>
      </c>
      <c r="CM467">
        <v>2</v>
      </c>
      <c r="CN467">
        <v>0</v>
      </c>
      <c r="CO467">
        <v>5</v>
      </c>
      <c r="CP467" t="s">
        <v>119</v>
      </c>
      <c r="CQ467">
        <v>559</v>
      </c>
      <c r="CR467">
        <v>0</v>
      </c>
      <c r="CW467">
        <v>10408117</v>
      </c>
      <c r="CY467">
        <v>1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</row>
    <row r="468" spans="1:113" x14ac:dyDescent="0.3">
      <c r="A468" t="str">
        <f>"02/08/2021 20:13:42.776"</f>
        <v>02/08/2021 20:13:42.776</v>
      </c>
      <c r="C468" t="str">
        <f t="shared" si="23"/>
        <v>FFDFD3C0</v>
      </c>
      <c r="D468" t="s">
        <v>141</v>
      </c>
      <c r="E468">
        <v>17</v>
      </c>
      <c r="H468">
        <v>256</v>
      </c>
      <c r="I468" t="s">
        <v>142</v>
      </c>
      <c r="J468" t="s">
        <v>143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>"20:13:45.109"</f>
        <v>20:13:45.109</v>
      </c>
      <c r="T468" t="str">
        <f>"20:13:44.609"</f>
        <v>20:13:44.609</v>
      </c>
      <c r="U468" t="str">
        <f t="shared" si="22"/>
        <v>AB01F4</v>
      </c>
      <c r="V468">
        <v>0</v>
      </c>
      <c r="W468">
        <v>0</v>
      </c>
      <c r="X468">
        <v>1</v>
      </c>
      <c r="Z468">
        <v>0</v>
      </c>
      <c r="AA468">
        <v>9</v>
      </c>
      <c r="AB468">
        <v>3</v>
      </c>
      <c r="AC468">
        <v>0</v>
      </c>
      <c r="AD468">
        <v>10</v>
      </c>
      <c r="AE468">
        <v>0</v>
      </c>
      <c r="AF468">
        <v>3</v>
      </c>
      <c r="AG468">
        <v>2</v>
      </c>
      <c r="AH468">
        <v>0</v>
      </c>
      <c r="AI468" t="s">
        <v>450</v>
      </c>
      <c r="AJ468">
        <v>39.569234999999999</v>
      </c>
      <c r="AK468" t="s">
        <v>451</v>
      </c>
      <c r="AL468">
        <v>-92.493359999999996</v>
      </c>
      <c r="AM468">
        <v>100</v>
      </c>
      <c r="AN468">
        <v>1900</v>
      </c>
      <c r="AO468" t="s">
        <v>118</v>
      </c>
      <c r="AP468">
        <v>-37</v>
      </c>
      <c r="AQ468">
        <v>136</v>
      </c>
      <c r="AR468">
        <v>64</v>
      </c>
      <c r="AZ468">
        <v>1200</v>
      </c>
      <c r="BA468">
        <v>1</v>
      </c>
      <c r="BB468" t="str">
        <f t="shared" si="24"/>
        <v xml:space="preserve">N8080G  </v>
      </c>
      <c r="BC468">
        <v>1</v>
      </c>
      <c r="BE468">
        <v>0</v>
      </c>
      <c r="BF468">
        <v>0</v>
      </c>
      <c r="BG468">
        <v>0</v>
      </c>
      <c r="BH468">
        <v>1850</v>
      </c>
      <c r="BI468">
        <v>1</v>
      </c>
      <c r="BJ468">
        <v>1</v>
      </c>
      <c r="BK468">
        <v>1</v>
      </c>
      <c r="BL468">
        <v>0</v>
      </c>
      <c r="BO468">
        <v>0</v>
      </c>
      <c r="BP468">
        <v>0</v>
      </c>
      <c r="BW468" t="str">
        <f>"20:13:45.112"</f>
        <v>20:13:45.112</v>
      </c>
      <c r="CJ468">
        <v>0</v>
      </c>
      <c r="CK468">
        <v>2</v>
      </c>
      <c r="CL468">
        <v>0</v>
      </c>
      <c r="CM468">
        <v>2</v>
      </c>
      <c r="CN468">
        <v>0</v>
      </c>
      <c r="CO468">
        <v>5</v>
      </c>
      <c r="CP468" t="s">
        <v>119</v>
      </c>
      <c r="CQ468">
        <v>559</v>
      </c>
      <c r="CR468">
        <v>0</v>
      </c>
      <c r="CW468">
        <v>10408117</v>
      </c>
      <c r="CY468">
        <v>1</v>
      </c>
      <c r="CZ468">
        <v>0</v>
      </c>
      <c r="DA468">
        <v>1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</row>
    <row r="469" spans="1:113" x14ac:dyDescent="0.3">
      <c r="A469" t="str">
        <f>"02/08/2021 20:13:42.776"</f>
        <v>02/08/2021 20:13:42.776</v>
      </c>
      <c r="C469" t="str">
        <f t="shared" si="23"/>
        <v>FFDFD3C0</v>
      </c>
      <c r="D469" t="s">
        <v>124</v>
      </c>
      <c r="E469">
        <v>13</v>
      </c>
      <c r="F469">
        <v>1013</v>
      </c>
      <c r="G469" t="s">
        <v>114</v>
      </c>
      <c r="J469" t="s">
        <v>125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>"20:13:45.109"</f>
        <v>20:13:45.109</v>
      </c>
      <c r="T469" t="str">
        <f>"20:13:44.609"</f>
        <v>20:13:44.609</v>
      </c>
      <c r="U469" t="str">
        <f t="shared" si="22"/>
        <v>AB01F4</v>
      </c>
      <c r="V469">
        <v>0</v>
      </c>
      <c r="W469">
        <v>0</v>
      </c>
      <c r="X469">
        <v>1</v>
      </c>
      <c r="Z469">
        <v>0</v>
      </c>
      <c r="AA469">
        <v>9</v>
      </c>
      <c r="AB469">
        <v>3</v>
      </c>
      <c r="AC469">
        <v>0</v>
      </c>
      <c r="AD469">
        <v>10</v>
      </c>
      <c r="AE469">
        <v>0</v>
      </c>
      <c r="AF469">
        <v>3</v>
      </c>
      <c r="AG469">
        <v>2</v>
      </c>
      <c r="AH469">
        <v>0</v>
      </c>
      <c r="AI469" t="s">
        <v>450</v>
      </c>
      <c r="AJ469">
        <v>39.569234999999999</v>
      </c>
      <c r="AK469" t="s">
        <v>451</v>
      </c>
      <c r="AL469">
        <v>-92.493359999999996</v>
      </c>
      <c r="AM469">
        <v>100</v>
      </c>
      <c r="AN469">
        <v>1900</v>
      </c>
      <c r="AO469" t="s">
        <v>118</v>
      </c>
      <c r="AP469">
        <v>-37</v>
      </c>
      <c r="AQ469">
        <v>136</v>
      </c>
      <c r="AR469">
        <v>64</v>
      </c>
      <c r="AZ469">
        <v>1200</v>
      </c>
      <c r="BA469">
        <v>1</v>
      </c>
      <c r="BB469" t="str">
        <f t="shared" si="24"/>
        <v xml:space="preserve">N8080G  </v>
      </c>
      <c r="BC469">
        <v>1</v>
      </c>
      <c r="BE469">
        <v>0</v>
      </c>
      <c r="BF469">
        <v>0</v>
      </c>
      <c r="BG469">
        <v>0</v>
      </c>
      <c r="BH469">
        <v>1850</v>
      </c>
      <c r="BI469">
        <v>1</v>
      </c>
      <c r="BJ469">
        <v>1</v>
      </c>
      <c r="BK469">
        <v>1</v>
      </c>
      <c r="BL469">
        <v>0</v>
      </c>
      <c r="BO469">
        <v>0</v>
      </c>
      <c r="BP469">
        <v>0</v>
      </c>
      <c r="BW469" t="str">
        <f>"20:13:45.112"</f>
        <v>20:13:45.112</v>
      </c>
      <c r="CJ469">
        <v>0</v>
      </c>
      <c r="CK469">
        <v>2</v>
      </c>
      <c r="CL469">
        <v>0</v>
      </c>
      <c r="CM469">
        <v>2</v>
      </c>
      <c r="CN469">
        <v>0</v>
      </c>
      <c r="CO469">
        <v>5</v>
      </c>
      <c r="CP469" t="s">
        <v>119</v>
      </c>
      <c r="CQ469">
        <v>559</v>
      </c>
      <c r="CR469">
        <v>0</v>
      </c>
      <c r="CW469">
        <v>10408117</v>
      </c>
      <c r="CY469">
        <v>1</v>
      </c>
      <c r="CZ469">
        <v>0</v>
      </c>
      <c r="DA469">
        <v>1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</row>
    <row r="470" spans="1:113" x14ac:dyDescent="0.3">
      <c r="A470" t="str">
        <f>"02/08/2021 20:13:43.737"</f>
        <v>02/08/2021 20:13:43.737</v>
      </c>
      <c r="C470" t="str">
        <f t="shared" si="23"/>
        <v>FFDFD3C0</v>
      </c>
      <c r="D470" t="s">
        <v>113</v>
      </c>
      <c r="E470">
        <v>6</v>
      </c>
      <c r="H470">
        <v>165</v>
      </c>
      <c r="I470" t="s">
        <v>114</v>
      </c>
      <c r="J470" t="s">
        <v>115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>"20:13:46.102"</f>
        <v>20:13:46.102</v>
      </c>
      <c r="T470" t="str">
        <f>"20:13:45.602"</f>
        <v>20:13:45.602</v>
      </c>
      <c r="U470" t="str">
        <f t="shared" si="22"/>
        <v>AB01F4</v>
      </c>
      <c r="V470">
        <v>0</v>
      </c>
      <c r="W470">
        <v>0</v>
      </c>
      <c r="X470">
        <v>1</v>
      </c>
      <c r="Z470">
        <v>0</v>
      </c>
      <c r="AA470">
        <v>9</v>
      </c>
      <c r="AB470">
        <v>3</v>
      </c>
      <c r="AC470">
        <v>0</v>
      </c>
      <c r="AD470">
        <v>10</v>
      </c>
      <c r="AE470">
        <v>0</v>
      </c>
      <c r="AF470">
        <v>3</v>
      </c>
      <c r="AG470">
        <v>2</v>
      </c>
      <c r="AH470">
        <v>0</v>
      </c>
      <c r="AI470" t="s">
        <v>452</v>
      </c>
      <c r="AJ470">
        <v>39.569771000000003</v>
      </c>
      <c r="AK470" t="s">
        <v>453</v>
      </c>
      <c r="AL470">
        <v>-92.493532000000002</v>
      </c>
      <c r="AM470">
        <v>100</v>
      </c>
      <c r="AN470">
        <v>1900</v>
      </c>
      <c r="AO470" t="s">
        <v>118</v>
      </c>
      <c r="AP470">
        <v>-35</v>
      </c>
      <c r="AQ470">
        <v>136</v>
      </c>
      <c r="AR470">
        <v>64</v>
      </c>
      <c r="AZ470">
        <v>1200</v>
      </c>
      <c r="BA470">
        <v>1</v>
      </c>
      <c r="BB470" t="str">
        <f t="shared" si="24"/>
        <v xml:space="preserve">N8080G  </v>
      </c>
      <c r="BC470">
        <v>1</v>
      </c>
      <c r="BE470">
        <v>0</v>
      </c>
      <c r="BF470">
        <v>0</v>
      </c>
      <c r="BG470">
        <v>0</v>
      </c>
      <c r="BH470">
        <v>1850</v>
      </c>
      <c r="BI470">
        <v>1</v>
      </c>
      <c r="BJ470">
        <v>1</v>
      </c>
      <c r="BK470">
        <v>1</v>
      </c>
      <c r="BL470">
        <v>0</v>
      </c>
      <c r="BO470">
        <v>0</v>
      </c>
      <c r="BP470">
        <v>0</v>
      </c>
      <c r="BW470" t="str">
        <f>"20:13:46.102"</f>
        <v>20:13:46.102</v>
      </c>
      <c r="CJ470">
        <v>0</v>
      </c>
      <c r="CK470">
        <v>2</v>
      </c>
      <c r="CL470">
        <v>0</v>
      </c>
      <c r="CM470">
        <v>2</v>
      </c>
      <c r="CN470">
        <v>0</v>
      </c>
      <c r="CO470">
        <v>5</v>
      </c>
      <c r="CP470" t="s">
        <v>119</v>
      </c>
      <c r="CQ470">
        <v>559</v>
      </c>
      <c r="CR470">
        <v>0</v>
      </c>
      <c r="CW470">
        <v>10408281</v>
      </c>
      <c r="CY470">
        <v>1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</row>
    <row r="471" spans="1:113" x14ac:dyDescent="0.3">
      <c r="A471" t="str">
        <f>"02/08/2021 20:13:43.737"</f>
        <v>02/08/2021 20:13:43.737</v>
      </c>
      <c r="C471" t="str">
        <f t="shared" si="23"/>
        <v>FFDFD3C0</v>
      </c>
      <c r="D471" t="s">
        <v>124</v>
      </c>
      <c r="E471">
        <v>13</v>
      </c>
      <c r="F471">
        <v>1013</v>
      </c>
      <c r="G471" t="s">
        <v>114</v>
      </c>
      <c r="J471" t="s">
        <v>125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>"20:13:46.102"</f>
        <v>20:13:46.102</v>
      </c>
      <c r="T471" t="str">
        <f>"20:13:45.602"</f>
        <v>20:13:45.602</v>
      </c>
      <c r="U471" t="str">
        <f t="shared" si="22"/>
        <v>AB01F4</v>
      </c>
      <c r="V471">
        <v>0</v>
      </c>
      <c r="W471">
        <v>0</v>
      </c>
      <c r="X471">
        <v>1</v>
      </c>
      <c r="Z471">
        <v>0</v>
      </c>
      <c r="AA471">
        <v>9</v>
      </c>
      <c r="AB471">
        <v>3</v>
      </c>
      <c r="AC471">
        <v>0</v>
      </c>
      <c r="AD471">
        <v>10</v>
      </c>
      <c r="AE471">
        <v>0</v>
      </c>
      <c r="AF471">
        <v>3</v>
      </c>
      <c r="AG471">
        <v>2</v>
      </c>
      <c r="AH471">
        <v>0</v>
      </c>
      <c r="AI471" t="s">
        <v>452</v>
      </c>
      <c r="AJ471">
        <v>39.569771000000003</v>
      </c>
      <c r="AK471" t="s">
        <v>453</v>
      </c>
      <c r="AL471">
        <v>-92.493532000000002</v>
      </c>
      <c r="AM471">
        <v>100</v>
      </c>
      <c r="AN471">
        <v>1900</v>
      </c>
      <c r="AO471" t="s">
        <v>118</v>
      </c>
      <c r="AP471">
        <v>-35</v>
      </c>
      <c r="AQ471">
        <v>136</v>
      </c>
      <c r="AR471">
        <v>64</v>
      </c>
      <c r="AZ471">
        <v>1200</v>
      </c>
      <c r="BA471">
        <v>1</v>
      </c>
      <c r="BB471" t="str">
        <f t="shared" si="24"/>
        <v xml:space="preserve">N8080G  </v>
      </c>
      <c r="BC471">
        <v>1</v>
      </c>
      <c r="BE471">
        <v>0</v>
      </c>
      <c r="BF471">
        <v>0</v>
      </c>
      <c r="BG471">
        <v>0</v>
      </c>
      <c r="BH471">
        <v>1850</v>
      </c>
      <c r="BI471">
        <v>1</v>
      </c>
      <c r="BJ471">
        <v>1</v>
      </c>
      <c r="BK471">
        <v>1</v>
      </c>
      <c r="BL471">
        <v>0</v>
      </c>
      <c r="BO471">
        <v>0</v>
      </c>
      <c r="BP471">
        <v>0</v>
      </c>
      <c r="BW471" t="str">
        <f>"20:13:46.102"</f>
        <v>20:13:46.102</v>
      </c>
      <c r="CJ471">
        <v>0</v>
      </c>
      <c r="CK471">
        <v>2</v>
      </c>
      <c r="CL471">
        <v>0</v>
      </c>
      <c r="CM471">
        <v>2</v>
      </c>
      <c r="CN471">
        <v>0</v>
      </c>
      <c r="CO471">
        <v>5</v>
      </c>
      <c r="CP471" t="s">
        <v>119</v>
      </c>
      <c r="CQ471">
        <v>559</v>
      </c>
      <c r="CR471">
        <v>0</v>
      </c>
      <c r="CW471">
        <v>10408281</v>
      </c>
      <c r="CY471">
        <v>1</v>
      </c>
      <c r="CZ471">
        <v>0</v>
      </c>
      <c r="DA471">
        <v>1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</row>
    <row r="472" spans="1:113" x14ac:dyDescent="0.3">
      <c r="A472" t="str">
        <f>"02/08/2021 20:13:43.737"</f>
        <v>02/08/2021 20:13:43.737</v>
      </c>
      <c r="C472" t="str">
        <f t="shared" si="23"/>
        <v>FFDFD3C0</v>
      </c>
      <c r="D472" t="s">
        <v>141</v>
      </c>
      <c r="E472">
        <v>17</v>
      </c>
      <c r="H472">
        <v>256</v>
      </c>
      <c r="I472" t="s">
        <v>142</v>
      </c>
      <c r="J472" t="s">
        <v>143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>"20:13:46.102"</f>
        <v>20:13:46.102</v>
      </c>
      <c r="T472" t="str">
        <f>"20:13:45.602"</f>
        <v>20:13:45.602</v>
      </c>
      <c r="U472" t="str">
        <f t="shared" si="22"/>
        <v>AB01F4</v>
      </c>
      <c r="V472">
        <v>0</v>
      </c>
      <c r="W472">
        <v>0</v>
      </c>
      <c r="X472">
        <v>1</v>
      </c>
      <c r="Z472">
        <v>0</v>
      </c>
      <c r="AA472">
        <v>9</v>
      </c>
      <c r="AB472">
        <v>3</v>
      </c>
      <c r="AC472">
        <v>0</v>
      </c>
      <c r="AD472">
        <v>10</v>
      </c>
      <c r="AE472">
        <v>0</v>
      </c>
      <c r="AF472">
        <v>3</v>
      </c>
      <c r="AG472">
        <v>2</v>
      </c>
      <c r="AH472">
        <v>0</v>
      </c>
      <c r="AI472" t="s">
        <v>452</v>
      </c>
      <c r="AJ472">
        <v>39.569771000000003</v>
      </c>
      <c r="AK472" t="s">
        <v>453</v>
      </c>
      <c r="AL472">
        <v>-92.493532000000002</v>
      </c>
      <c r="AM472">
        <v>100</v>
      </c>
      <c r="AN472">
        <v>1900</v>
      </c>
      <c r="AO472" t="s">
        <v>118</v>
      </c>
      <c r="AP472">
        <v>-35</v>
      </c>
      <c r="AQ472">
        <v>136</v>
      </c>
      <c r="AR472">
        <v>64</v>
      </c>
      <c r="AZ472">
        <v>1200</v>
      </c>
      <c r="BA472">
        <v>1</v>
      </c>
      <c r="BB472" t="str">
        <f t="shared" si="24"/>
        <v xml:space="preserve">N8080G  </v>
      </c>
      <c r="BC472">
        <v>1</v>
      </c>
      <c r="BE472">
        <v>0</v>
      </c>
      <c r="BF472">
        <v>0</v>
      </c>
      <c r="BG472">
        <v>0</v>
      </c>
      <c r="BH472">
        <v>1850</v>
      </c>
      <c r="BI472">
        <v>1</v>
      </c>
      <c r="BJ472">
        <v>1</v>
      </c>
      <c r="BK472">
        <v>1</v>
      </c>
      <c r="BL472">
        <v>0</v>
      </c>
      <c r="BO472">
        <v>0</v>
      </c>
      <c r="BP472">
        <v>0</v>
      </c>
      <c r="BW472" t="str">
        <f>"20:13:46.102"</f>
        <v>20:13:46.102</v>
      </c>
      <c r="CJ472">
        <v>0</v>
      </c>
      <c r="CK472">
        <v>2</v>
      </c>
      <c r="CL472">
        <v>0</v>
      </c>
      <c r="CM472">
        <v>2</v>
      </c>
      <c r="CN472">
        <v>0</v>
      </c>
      <c r="CO472">
        <v>5</v>
      </c>
      <c r="CP472" t="s">
        <v>119</v>
      </c>
      <c r="CQ472">
        <v>559</v>
      </c>
      <c r="CR472">
        <v>0</v>
      </c>
      <c r="CW472">
        <v>10408281</v>
      </c>
      <c r="CY472">
        <v>1</v>
      </c>
      <c r="CZ472">
        <v>0</v>
      </c>
      <c r="DA472">
        <v>1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</row>
    <row r="473" spans="1:113" x14ac:dyDescent="0.3">
      <c r="A473" t="str">
        <f>"02/08/2021 20:13:44.883"</f>
        <v>02/08/2021 20:13:44.883</v>
      </c>
      <c r="C473" t="str">
        <f t="shared" si="23"/>
        <v>FFDFD3C0</v>
      </c>
      <c r="D473" t="s">
        <v>124</v>
      </c>
      <c r="E473">
        <v>13</v>
      </c>
      <c r="F473">
        <v>1013</v>
      </c>
      <c r="G473" t="s">
        <v>114</v>
      </c>
      <c r="J473" t="s">
        <v>125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>"20:13:47.211"</f>
        <v>20:13:47.211</v>
      </c>
      <c r="U473" t="str">
        <f t="shared" si="22"/>
        <v>AB01F4</v>
      </c>
      <c r="V473">
        <v>0</v>
      </c>
      <c r="W473">
        <v>0</v>
      </c>
      <c r="X473">
        <v>1</v>
      </c>
      <c r="Z473">
        <v>0</v>
      </c>
      <c r="AA473">
        <v>9</v>
      </c>
      <c r="AB473">
        <v>3</v>
      </c>
      <c r="AC473">
        <v>0</v>
      </c>
      <c r="AD473">
        <v>10</v>
      </c>
      <c r="AE473">
        <v>0</v>
      </c>
      <c r="AF473">
        <v>3</v>
      </c>
      <c r="AG473">
        <v>2</v>
      </c>
      <c r="AH473">
        <v>0</v>
      </c>
      <c r="AI473" t="s">
        <v>454</v>
      </c>
      <c r="AJ473">
        <v>39.570565000000002</v>
      </c>
      <c r="AK473" t="s">
        <v>455</v>
      </c>
      <c r="AL473">
        <v>-92.493768000000003</v>
      </c>
      <c r="AM473">
        <v>100</v>
      </c>
      <c r="AN473">
        <v>1900</v>
      </c>
      <c r="AO473" t="s">
        <v>118</v>
      </c>
      <c r="AP473">
        <v>-31</v>
      </c>
      <c r="AQ473">
        <v>136</v>
      </c>
      <c r="AR473">
        <v>0</v>
      </c>
      <c r="AZ473">
        <v>1200</v>
      </c>
      <c r="BA473">
        <v>1</v>
      </c>
      <c r="BB473" t="str">
        <f t="shared" si="24"/>
        <v xml:space="preserve">N8080G  </v>
      </c>
      <c r="BC473">
        <v>1</v>
      </c>
      <c r="BE473">
        <v>0</v>
      </c>
      <c r="BF473">
        <v>0</v>
      </c>
      <c r="BG473">
        <v>0</v>
      </c>
      <c r="BH473">
        <v>1850</v>
      </c>
      <c r="BI473">
        <v>1</v>
      </c>
      <c r="BJ473">
        <v>1</v>
      </c>
      <c r="BK473">
        <v>1</v>
      </c>
      <c r="BL473">
        <v>0</v>
      </c>
      <c r="BO473">
        <v>0</v>
      </c>
      <c r="BP473">
        <v>0</v>
      </c>
      <c r="BW473" t="str">
        <f>"20:13:47.213"</f>
        <v>20:13:47.213</v>
      </c>
      <c r="CJ473">
        <v>0</v>
      </c>
      <c r="CK473">
        <v>2</v>
      </c>
      <c r="CL473">
        <v>0</v>
      </c>
      <c r="CM473">
        <v>2</v>
      </c>
      <c r="CN473">
        <v>0</v>
      </c>
      <c r="CO473">
        <v>5</v>
      </c>
      <c r="CP473" t="s">
        <v>119</v>
      </c>
      <c r="CQ473">
        <v>559</v>
      </c>
      <c r="CR473">
        <v>0</v>
      </c>
      <c r="CW473">
        <v>10408449</v>
      </c>
      <c r="CY473">
        <v>1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</row>
    <row r="474" spans="1:113" x14ac:dyDescent="0.3">
      <c r="A474" t="str">
        <f>"02/08/2021 20:13:44.883"</f>
        <v>02/08/2021 20:13:44.883</v>
      </c>
      <c r="C474" t="str">
        <f t="shared" si="23"/>
        <v>FFDFD3C0</v>
      </c>
      <c r="D474" t="s">
        <v>141</v>
      </c>
      <c r="E474">
        <v>17</v>
      </c>
      <c r="H474">
        <v>256</v>
      </c>
      <c r="I474" t="s">
        <v>142</v>
      </c>
      <c r="J474" t="s">
        <v>143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>"20:13:47.211"</f>
        <v>20:13:47.211</v>
      </c>
      <c r="U474" t="str">
        <f t="shared" si="22"/>
        <v>AB01F4</v>
      </c>
      <c r="V474">
        <v>0</v>
      </c>
      <c r="W474">
        <v>0</v>
      </c>
      <c r="X474">
        <v>1</v>
      </c>
      <c r="Z474">
        <v>0</v>
      </c>
      <c r="AA474">
        <v>9</v>
      </c>
      <c r="AB474">
        <v>3</v>
      </c>
      <c r="AC474">
        <v>0</v>
      </c>
      <c r="AD474">
        <v>10</v>
      </c>
      <c r="AE474">
        <v>0</v>
      </c>
      <c r="AF474">
        <v>3</v>
      </c>
      <c r="AG474">
        <v>2</v>
      </c>
      <c r="AH474">
        <v>0</v>
      </c>
      <c r="AI474" t="s">
        <v>454</v>
      </c>
      <c r="AJ474">
        <v>39.570565000000002</v>
      </c>
      <c r="AK474" t="s">
        <v>455</v>
      </c>
      <c r="AL474">
        <v>-92.493768000000003</v>
      </c>
      <c r="AM474">
        <v>100</v>
      </c>
      <c r="AN474">
        <v>1900</v>
      </c>
      <c r="AO474" t="s">
        <v>118</v>
      </c>
      <c r="AP474">
        <v>-31</v>
      </c>
      <c r="AQ474">
        <v>136</v>
      </c>
      <c r="AR474">
        <v>0</v>
      </c>
      <c r="AZ474">
        <v>1200</v>
      </c>
      <c r="BA474">
        <v>1</v>
      </c>
      <c r="BB474" t="str">
        <f t="shared" si="24"/>
        <v xml:space="preserve">N8080G  </v>
      </c>
      <c r="BC474">
        <v>1</v>
      </c>
      <c r="BE474">
        <v>0</v>
      </c>
      <c r="BF474">
        <v>0</v>
      </c>
      <c r="BG474">
        <v>0</v>
      </c>
      <c r="BH474">
        <v>1850</v>
      </c>
      <c r="BI474">
        <v>1</v>
      </c>
      <c r="BJ474">
        <v>1</v>
      </c>
      <c r="BK474">
        <v>1</v>
      </c>
      <c r="BL474">
        <v>0</v>
      </c>
      <c r="BO474">
        <v>0</v>
      </c>
      <c r="BP474">
        <v>0</v>
      </c>
      <c r="BW474" t="str">
        <f>"20:13:47.213"</f>
        <v>20:13:47.213</v>
      </c>
      <c r="CJ474">
        <v>0</v>
      </c>
      <c r="CK474">
        <v>2</v>
      </c>
      <c r="CL474">
        <v>0</v>
      </c>
      <c r="CM474">
        <v>2</v>
      </c>
      <c r="CN474">
        <v>0</v>
      </c>
      <c r="CO474">
        <v>5</v>
      </c>
      <c r="CP474" t="s">
        <v>119</v>
      </c>
      <c r="CQ474">
        <v>559</v>
      </c>
      <c r="CR474">
        <v>0</v>
      </c>
      <c r="CW474">
        <v>10408449</v>
      </c>
      <c r="CY474">
        <v>1</v>
      </c>
      <c r="CZ474">
        <v>0</v>
      </c>
      <c r="DA474">
        <v>1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</row>
    <row r="475" spans="1:113" x14ac:dyDescent="0.3">
      <c r="A475" t="str">
        <f>"02/08/2021 20:13:44.883"</f>
        <v>02/08/2021 20:13:44.883</v>
      </c>
      <c r="C475" t="str">
        <f t="shared" si="23"/>
        <v>FFDFD3C0</v>
      </c>
      <c r="D475" t="s">
        <v>113</v>
      </c>
      <c r="E475">
        <v>6</v>
      </c>
      <c r="H475">
        <v>165</v>
      </c>
      <c r="I475" t="s">
        <v>114</v>
      </c>
      <c r="J475" t="s">
        <v>115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>"20:13:47.211"</f>
        <v>20:13:47.211</v>
      </c>
      <c r="U475" t="str">
        <f t="shared" si="22"/>
        <v>AB01F4</v>
      </c>
      <c r="V475">
        <v>0</v>
      </c>
      <c r="W475">
        <v>0</v>
      </c>
      <c r="X475">
        <v>1</v>
      </c>
      <c r="Z475">
        <v>0</v>
      </c>
      <c r="AA475">
        <v>9</v>
      </c>
      <c r="AB475">
        <v>3</v>
      </c>
      <c r="AC475">
        <v>0</v>
      </c>
      <c r="AD475">
        <v>10</v>
      </c>
      <c r="AE475">
        <v>0</v>
      </c>
      <c r="AF475">
        <v>3</v>
      </c>
      <c r="AG475">
        <v>2</v>
      </c>
      <c r="AH475">
        <v>0</v>
      </c>
      <c r="AI475" t="s">
        <v>454</v>
      </c>
      <c r="AJ475">
        <v>39.570565000000002</v>
      </c>
      <c r="AK475" t="s">
        <v>455</v>
      </c>
      <c r="AL475">
        <v>-92.493768000000003</v>
      </c>
      <c r="AM475">
        <v>100</v>
      </c>
      <c r="AN475">
        <v>1900</v>
      </c>
      <c r="AO475" t="s">
        <v>118</v>
      </c>
      <c r="AP475">
        <v>-31</v>
      </c>
      <c r="AQ475">
        <v>136</v>
      </c>
      <c r="AR475">
        <v>0</v>
      </c>
      <c r="AZ475">
        <v>1200</v>
      </c>
      <c r="BA475">
        <v>1</v>
      </c>
      <c r="BB475" t="str">
        <f t="shared" si="24"/>
        <v xml:space="preserve">N8080G  </v>
      </c>
      <c r="BC475">
        <v>1</v>
      </c>
      <c r="BE475">
        <v>0</v>
      </c>
      <c r="BF475">
        <v>0</v>
      </c>
      <c r="BG475">
        <v>0</v>
      </c>
      <c r="BH475">
        <v>1850</v>
      </c>
      <c r="BI475">
        <v>1</v>
      </c>
      <c r="BJ475">
        <v>1</v>
      </c>
      <c r="BK475">
        <v>1</v>
      </c>
      <c r="BL475">
        <v>0</v>
      </c>
      <c r="BO475">
        <v>0</v>
      </c>
      <c r="BP475">
        <v>0</v>
      </c>
      <c r="BW475" t="str">
        <f>"20:13:47.213"</f>
        <v>20:13:47.213</v>
      </c>
      <c r="CJ475">
        <v>0</v>
      </c>
      <c r="CK475">
        <v>2</v>
      </c>
      <c r="CL475">
        <v>0</v>
      </c>
      <c r="CM475">
        <v>2</v>
      </c>
      <c r="CN475">
        <v>0</v>
      </c>
      <c r="CO475">
        <v>5</v>
      </c>
      <c r="CP475" t="s">
        <v>119</v>
      </c>
      <c r="CQ475">
        <v>559</v>
      </c>
      <c r="CR475">
        <v>0</v>
      </c>
      <c r="CW475">
        <v>10408449</v>
      </c>
      <c r="CY475">
        <v>1</v>
      </c>
      <c r="CZ475">
        <v>0</v>
      </c>
      <c r="DA475">
        <v>1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</row>
    <row r="476" spans="1:113" x14ac:dyDescent="0.3">
      <c r="A476" t="str">
        <f>"02/08/2021 20:13:46.313"</f>
        <v>02/08/2021 20:13:46.313</v>
      </c>
      <c r="C476" t="str">
        <f t="shared" si="23"/>
        <v>FFDFD3C0</v>
      </c>
      <c r="D476" t="s">
        <v>113</v>
      </c>
      <c r="E476">
        <v>6</v>
      </c>
      <c r="H476">
        <v>165</v>
      </c>
      <c r="I476" t="s">
        <v>114</v>
      </c>
      <c r="J476" t="s">
        <v>115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>"20:13:48.648"</f>
        <v>20:13:48.648</v>
      </c>
      <c r="T476" t="str">
        <f>"20:13:48.148"</f>
        <v>20:13:48.148</v>
      </c>
      <c r="U476" t="str">
        <f t="shared" si="22"/>
        <v>AB01F4</v>
      </c>
      <c r="V476">
        <v>0</v>
      </c>
      <c r="W476">
        <v>0</v>
      </c>
      <c r="X476">
        <v>1</v>
      </c>
      <c r="Z476">
        <v>0</v>
      </c>
      <c r="AA476">
        <v>9</v>
      </c>
      <c r="AB476">
        <v>3</v>
      </c>
      <c r="AC476">
        <v>0</v>
      </c>
      <c r="AD476">
        <v>10</v>
      </c>
      <c r="AE476">
        <v>0</v>
      </c>
      <c r="AF476">
        <v>3</v>
      </c>
      <c r="AG476">
        <v>2</v>
      </c>
      <c r="AH476">
        <v>0</v>
      </c>
      <c r="AI476" t="s">
        <v>456</v>
      </c>
      <c r="AJ476">
        <v>39.571444999999997</v>
      </c>
      <c r="AK476" t="s">
        <v>457</v>
      </c>
      <c r="AL476">
        <v>-92.494024999999993</v>
      </c>
      <c r="AM476">
        <v>100</v>
      </c>
      <c r="AN476">
        <v>1900</v>
      </c>
      <c r="AO476" t="s">
        <v>118</v>
      </c>
      <c r="AP476">
        <v>-30</v>
      </c>
      <c r="AQ476">
        <v>136</v>
      </c>
      <c r="AR476">
        <v>-128</v>
      </c>
      <c r="AZ476">
        <v>1200</v>
      </c>
      <c r="BA476">
        <v>1</v>
      </c>
      <c r="BB476" t="str">
        <f t="shared" si="24"/>
        <v xml:space="preserve">N8080G  </v>
      </c>
      <c r="BC476">
        <v>1</v>
      </c>
      <c r="BE476">
        <v>0</v>
      </c>
      <c r="BF476">
        <v>0</v>
      </c>
      <c r="BG476">
        <v>0</v>
      </c>
      <c r="BH476">
        <v>1850</v>
      </c>
      <c r="BI476">
        <v>1</v>
      </c>
      <c r="BJ476">
        <v>1</v>
      </c>
      <c r="BK476">
        <v>1</v>
      </c>
      <c r="BL476">
        <v>0</v>
      </c>
      <c r="BO476">
        <v>0</v>
      </c>
      <c r="BP476">
        <v>0</v>
      </c>
      <c r="BW476" t="str">
        <f>"20:13:48.649"</f>
        <v>20:13:48.649</v>
      </c>
      <c r="CJ476">
        <v>0</v>
      </c>
      <c r="CK476">
        <v>2</v>
      </c>
      <c r="CL476">
        <v>0</v>
      </c>
      <c r="CM476">
        <v>2</v>
      </c>
      <c r="CN476">
        <v>0</v>
      </c>
      <c r="CO476">
        <v>7</v>
      </c>
      <c r="CP476" t="s">
        <v>119</v>
      </c>
      <c r="CQ476">
        <v>180</v>
      </c>
      <c r="CR476">
        <v>2</v>
      </c>
      <c r="CW476">
        <v>7857451</v>
      </c>
      <c r="CY476">
        <v>1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</row>
    <row r="477" spans="1:113" x14ac:dyDescent="0.3">
      <c r="A477" t="str">
        <f>"02/08/2021 20:13:46.313"</f>
        <v>02/08/2021 20:13:46.313</v>
      </c>
      <c r="C477" t="str">
        <f t="shared" si="23"/>
        <v>FFDFD3C0</v>
      </c>
      <c r="D477" t="s">
        <v>141</v>
      </c>
      <c r="E477">
        <v>17</v>
      </c>
      <c r="H477">
        <v>256</v>
      </c>
      <c r="I477" t="s">
        <v>142</v>
      </c>
      <c r="J477" t="s">
        <v>143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>"20:13:48.648"</f>
        <v>20:13:48.648</v>
      </c>
      <c r="T477" t="str">
        <f>"20:13:47.748"</f>
        <v>20:13:47.748</v>
      </c>
      <c r="U477" t="str">
        <f t="shared" si="22"/>
        <v>AB01F4</v>
      </c>
      <c r="V477">
        <v>0</v>
      </c>
      <c r="W477">
        <v>0</v>
      </c>
      <c r="X477">
        <v>1</v>
      </c>
      <c r="Z477">
        <v>0</v>
      </c>
      <c r="AA477">
        <v>9</v>
      </c>
      <c r="AB477">
        <v>3</v>
      </c>
      <c r="AC477">
        <v>0</v>
      </c>
      <c r="AD477">
        <v>10</v>
      </c>
      <c r="AE477">
        <v>0</v>
      </c>
      <c r="AF477">
        <v>3</v>
      </c>
      <c r="AG477">
        <v>2</v>
      </c>
      <c r="AH477">
        <v>0</v>
      </c>
      <c r="AI477" t="s">
        <v>456</v>
      </c>
      <c r="AJ477">
        <v>39.571444999999997</v>
      </c>
      <c r="AK477" t="s">
        <v>457</v>
      </c>
      <c r="AL477">
        <v>-92.494024999999993</v>
      </c>
      <c r="AM477">
        <v>100</v>
      </c>
      <c r="AN477">
        <v>1900</v>
      </c>
      <c r="AO477" t="s">
        <v>118</v>
      </c>
      <c r="AP477">
        <v>-31</v>
      </c>
      <c r="AQ477">
        <v>136</v>
      </c>
      <c r="AR477">
        <v>-64</v>
      </c>
      <c r="AZ477">
        <v>1200</v>
      </c>
      <c r="BA477">
        <v>1</v>
      </c>
      <c r="BB477" t="str">
        <f t="shared" si="24"/>
        <v xml:space="preserve">N8080G  </v>
      </c>
      <c r="BC477">
        <v>1</v>
      </c>
      <c r="BE477">
        <v>0</v>
      </c>
      <c r="BF477">
        <v>0</v>
      </c>
      <c r="BG477">
        <v>0</v>
      </c>
      <c r="BH477">
        <v>1850</v>
      </c>
      <c r="BI477">
        <v>1</v>
      </c>
      <c r="BJ477">
        <v>1</v>
      </c>
      <c r="BK477">
        <v>1</v>
      </c>
      <c r="BL477">
        <v>0</v>
      </c>
      <c r="BO477">
        <v>0</v>
      </c>
      <c r="BP477">
        <v>0</v>
      </c>
      <c r="BW477" t="str">
        <f>"20:13:48.650"</f>
        <v>20:13:48.650</v>
      </c>
      <c r="CJ477">
        <v>0</v>
      </c>
      <c r="CK477">
        <v>2</v>
      </c>
      <c r="CL477">
        <v>0</v>
      </c>
      <c r="CM477">
        <v>2</v>
      </c>
      <c r="CN477">
        <v>0</v>
      </c>
      <c r="CO477">
        <v>5</v>
      </c>
      <c r="CP477" t="s">
        <v>119</v>
      </c>
      <c r="CQ477">
        <v>559</v>
      </c>
      <c r="CR477">
        <v>0</v>
      </c>
      <c r="CW477">
        <v>10408675</v>
      </c>
      <c r="CY477">
        <v>1</v>
      </c>
      <c r="CZ477">
        <v>0</v>
      </c>
      <c r="DA477">
        <v>1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</row>
    <row r="478" spans="1:113" x14ac:dyDescent="0.3">
      <c r="A478" t="str">
        <f>"02/08/2021 20:13:46.313"</f>
        <v>02/08/2021 20:13:46.313</v>
      </c>
      <c r="C478" t="str">
        <f t="shared" si="23"/>
        <v>FFDFD3C0</v>
      </c>
      <c r="D478" t="s">
        <v>124</v>
      </c>
      <c r="E478">
        <v>13</v>
      </c>
      <c r="F478">
        <v>1013</v>
      </c>
      <c r="G478" t="s">
        <v>114</v>
      </c>
      <c r="J478" t="s">
        <v>125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>"20:13:48.648"</f>
        <v>20:13:48.648</v>
      </c>
      <c r="T478" t="str">
        <f>"20:13:48.148"</f>
        <v>20:13:48.148</v>
      </c>
      <c r="U478" t="str">
        <f t="shared" si="22"/>
        <v>AB01F4</v>
      </c>
      <c r="V478">
        <v>0</v>
      </c>
      <c r="W478">
        <v>0</v>
      </c>
      <c r="X478">
        <v>1</v>
      </c>
      <c r="Z478">
        <v>0</v>
      </c>
      <c r="AA478">
        <v>9</v>
      </c>
      <c r="AB478">
        <v>3</v>
      </c>
      <c r="AC478">
        <v>0</v>
      </c>
      <c r="AD478">
        <v>10</v>
      </c>
      <c r="AE478">
        <v>0</v>
      </c>
      <c r="AF478">
        <v>3</v>
      </c>
      <c r="AG478">
        <v>2</v>
      </c>
      <c r="AH478">
        <v>0</v>
      </c>
      <c r="AI478" t="s">
        <v>456</v>
      </c>
      <c r="AJ478">
        <v>39.571444999999997</v>
      </c>
      <c r="AK478" t="s">
        <v>457</v>
      </c>
      <c r="AL478">
        <v>-92.494024999999993</v>
      </c>
      <c r="AM478">
        <v>100</v>
      </c>
      <c r="AN478">
        <v>1900</v>
      </c>
      <c r="AO478" t="s">
        <v>118</v>
      </c>
      <c r="AP478">
        <v>-30</v>
      </c>
      <c r="AQ478">
        <v>136</v>
      </c>
      <c r="AR478">
        <v>-128</v>
      </c>
      <c r="AZ478">
        <v>1200</v>
      </c>
      <c r="BA478">
        <v>1</v>
      </c>
      <c r="BB478" t="str">
        <f t="shared" si="24"/>
        <v xml:space="preserve">N8080G  </v>
      </c>
      <c r="BC478">
        <v>1</v>
      </c>
      <c r="BE478">
        <v>0</v>
      </c>
      <c r="BF478">
        <v>0</v>
      </c>
      <c r="BG478">
        <v>0</v>
      </c>
      <c r="BH478">
        <v>1850</v>
      </c>
      <c r="BI478">
        <v>1</v>
      </c>
      <c r="BJ478">
        <v>1</v>
      </c>
      <c r="BK478">
        <v>1</v>
      </c>
      <c r="BL478">
        <v>0</v>
      </c>
      <c r="BO478">
        <v>0</v>
      </c>
      <c r="BP478">
        <v>0</v>
      </c>
      <c r="BW478" t="str">
        <f>"20:13:48.649"</f>
        <v>20:13:48.649</v>
      </c>
      <c r="CJ478">
        <v>0</v>
      </c>
      <c r="CK478">
        <v>2</v>
      </c>
      <c r="CL478">
        <v>0</v>
      </c>
      <c r="CM478">
        <v>2</v>
      </c>
      <c r="CN478">
        <v>0</v>
      </c>
      <c r="CO478">
        <v>7</v>
      </c>
      <c r="CP478" t="s">
        <v>119</v>
      </c>
      <c r="CQ478">
        <v>180</v>
      </c>
      <c r="CR478">
        <v>2</v>
      </c>
      <c r="CW478">
        <v>7857451</v>
      </c>
      <c r="CY478">
        <v>1</v>
      </c>
      <c r="CZ478">
        <v>0</v>
      </c>
      <c r="DA478">
        <v>1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</row>
    <row r="479" spans="1:113" x14ac:dyDescent="0.3">
      <c r="A479" t="str">
        <f>"02/08/2021 20:13:47.393"</f>
        <v>02/08/2021 20:13:47.393</v>
      </c>
      <c r="C479" t="str">
        <f t="shared" si="23"/>
        <v>FFDFD3C0</v>
      </c>
      <c r="D479" t="s">
        <v>124</v>
      </c>
      <c r="E479">
        <v>13</v>
      </c>
      <c r="F479">
        <v>1013</v>
      </c>
      <c r="G479" t="s">
        <v>114</v>
      </c>
      <c r="J479" t="s">
        <v>125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>"20:13:49.719"</f>
        <v>20:13:49.719</v>
      </c>
      <c r="U479" t="str">
        <f t="shared" si="22"/>
        <v>AB01F4</v>
      </c>
      <c r="V479">
        <v>0</v>
      </c>
      <c r="W479">
        <v>0</v>
      </c>
      <c r="X479">
        <v>1</v>
      </c>
      <c r="Z479">
        <v>0</v>
      </c>
      <c r="AA479">
        <v>9</v>
      </c>
      <c r="AB479">
        <v>3</v>
      </c>
      <c r="AC479">
        <v>0</v>
      </c>
      <c r="AD479">
        <v>10</v>
      </c>
      <c r="AE479">
        <v>0</v>
      </c>
      <c r="AF479">
        <v>3</v>
      </c>
      <c r="AG479">
        <v>2</v>
      </c>
      <c r="AH479">
        <v>0</v>
      </c>
      <c r="AI479" t="s">
        <v>458</v>
      </c>
      <c r="AJ479">
        <v>39.572110000000002</v>
      </c>
      <c r="AK479" t="s">
        <v>459</v>
      </c>
      <c r="AL479">
        <v>-92.494197</v>
      </c>
      <c r="AM479">
        <v>100</v>
      </c>
      <c r="AN479">
        <v>1900</v>
      </c>
      <c r="AO479" t="s">
        <v>118</v>
      </c>
      <c r="AP479">
        <v>-27</v>
      </c>
      <c r="AQ479">
        <v>137</v>
      </c>
      <c r="AR479">
        <v>-192</v>
      </c>
      <c r="AZ479">
        <v>1200</v>
      </c>
      <c r="BA479">
        <v>1</v>
      </c>
      <c r="BB479" t="str">
        <f t="shared" si="24"/>
        <v xml:space="preserve">N8080G  </v>
      </c>
      <c r="BC479">
        <v>1</v>
      </c>
      <c r="BE479">
        <v>0</v>
      </c>
      <c r="BF479">
        <v>0</v>
      </c>
      <c r="BG479">
        <v>0</v>
      </c>
      <c r="BH479">
        <v>1850</v>
      </c>
      <c r="BI479">
        <v>1</v>
      </c>
      <c r="BJ479">
        <v>1</v>
      </c>
      <c r="BK479">
        <v>1</v>
      </c>
      <c r="BL479">
        <v>0</v>
      </c>
      <c r="BO479">
        <v>0</v>
      </c>
      <c r="BP479">
        <v>0</v>
      </c>
      <c r="BW479" t="str">
        <f>"20:13:49.721"</f>
        <v>20:13:49.721</v>
      </c>
      <c r="CJ479">
        <v>0</v>
      </c>
      <c r="CK479">
        <v>2</v>
      </c>
      <c r="CL479">
        <v>0</v>
      </c>
      <c r="CM479">
        <v>2</v>
      </c>
      <c r="CN479">
        <v>0</v>
      </c>
      <c r="CO479">
        <v>5</v>
      </c>
      <c r="CP479" t="s">
        <v>119</v>
      </c>
      <c r="CQ479">
        <v>559</v>
      </c>
      <c r="CR479">
        <v>0</v>
      </c>
      <c r="CW479">
        <v>10408847</v>
      </c>
      <c r="CY479">
        <v>1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</row>
    <row r="480" spans="1:113" x14ac:dyDescent="0.3">
      <c r="A480" t="str">
        <f>"02/08/2021 20:13:47.393"</f>
        <v>02/08/2021 20:13:47.393</v>
      </c>
      <c r="C480" t="str">
        <f t="shared" si="23"/>
        <v>FFDFD3C0</v>
      </c>
      <c r="D480" t="s">
        <v>141</v>
      </c>
      <c r="E480">
        <v>17</v>
      </c>
      <c r="H480">
        <v>256</v>
      </c>
      <c r="I480" t="s">
        <v>142</v>
      </c>
      <c r="J480" t="s">
        <v>143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>"20:13:49.719"</f>
        <v>20:13:49.719</v>
      </c>
      <c r="U480" t="str">
        <f t="shared" si="22"/>
        <v>AB01F4</v>
      </c>
      <c r="V480">
        <v>0</v>
      </c>
      <c r="W480">
        <v>0</v>
      </c>
      <c r="X480">
        <v>1</v>
      </c>
      <c r="Z480">
        <v>0</v>
      </c>
      <c r="AA480">
        <v>9</v>
      </c>
      <c r="AB480">
        <v>3</v>
      </c>
      <c r="AC480">
        <v>0</v>
      </c>
      <c r="AD480">
        <v>10</v>
      </c>
      <c r="AE480">
        <v>0</v>
      </c>
      <c r="AF480">
        <v>3</v>
      </c>
      <c r="AG480">
        <v>2</v>
      </c>
      <c r="AH480">
        <v>0</v>
      </c>
      <c r="AI480" t="s">
        <v>458</v>
      </c>
      <c r="AJ480">
        <v>39.572110000000002</v>
      </c>
      <c r="AK480" t="s">
        <v>459</v>
      </c>
      <c r="AL480">
        <v>-92.494197</v>
      </c>
      <c r="AM480">
        <v>100</v>
      </c>
      <c r="AN480">
        <v>1900</v>
      </c>
      <c r="AO480" t="s">
        <v>118</v>
      </c>
      <c r="AP480">
        <v>-27</v>
      </c>
      <c r="AQ480">
        <v>137</v>
      </c>
      <c r="AR480">
        <v>-192</v>
      </c>
      <c r="AZ480">
        <v>1200</v>
      </c>
      <c r="BA480">
        <v>1</v>
      </c>
      <c r="BB480" t="str">
        <f t="shared" si="24"/>
        <v xml:space="preserve">N8080G  </v>
      </c>
      <c r="BC480">
        <v>1</v>
      </c>
      <c r="BE480">
        <v>0</v>
      </c>
      <c r="BF480">
        <v>0</v>
      </c>
      <c r="BG480">
        <v>0</v>
      </c>
      <c r="BH480">
        <v>1850</v>
      </c>
      <c r="BI480">
        <v>1</v>
      </c>
      <c r="BJ480">
        <v>1</v>
      </c>
      <c r="BK480">
        <v>1</v>
      </c>
      <c r="BL480">
        <v>0</v>
      </c>
      <c r="BO480">
        <v>0</v>
      </c>
      <c r="BP480">
        <v>0</v>
      </c>
      <c r="BW480" t="str">
        <f>"20:13:49.721"</f>
        <v>20:13:49.721</v>
      </c>
      <c r="CJ480">
        <v>0</v>
      </c>
      <c r="CK480">
        <v>2</v>
      </c>
      <c r="CL480">
        <v>0</v>
      </c>
      <c r="CM480">
        <v>2</v>
      </c>
      <c r="CN480">
        <v>0</v>
      </c>
      <c r="CO480">
        <v>5</v>
      </c>
      <c r="CP480" t="s">
        <v>119</v>
      </c>
      <c r="CQ480">
        <v>559</v>
      </c>
      <c r="CR480">
        <v>0</v>
      </c>
      <c r="CW480">
        <v>10408847</v>
      </c>
      <c r="CY480">
        <v>1</v>
      </c>
      <c r="CZ480">
        <v>0</v>
      </c>
      <c r="DA480">
        <v>1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</row>
    <row r="481" spans="1:113" x14ac:dyDescent="0.3">
      <c r="A481" t="str">
        <f>"02/08/2021 20:13:47.393"</f>
        <v>02/08/2021 20:13:47.393</v>
      </c>
      <c r="C481" t="str">
        <f t="shared" si="23"/>
        <v>FFDFD3C0</v>
      </c>
      <c r="D481" t="s">
        <v>113</v>
      </c>
      <c r="E481">
        <v>6</v>
      </c>
      <c r="H481">
        <v>165</v>
      </c>
      <c r="I481" t="s">
        <v>114</v>
      </c>
      <c r="J481" t="s">
        <v>115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>"20:13:49.719"</f>
        <v>20:13:49.719</v>
      </c>
      <c r="U481" t="str">
        <f t="shared" si="22"/>
        <v>AB01F4</v>
      </c>
      <c r="V481">
        <v>0</v>
      </c>
      <c r="W481">
        <v>0</v>
      </c>
      <c r="X481">
        <v>1</v>
      </c>
      <c r="Z481">
        <v>0</v>
      </c>
      <c r="AA481">
        <v>9</v>
      </c>
      <c r="AB481">
        <v>3</v>
      </c>
      <c r="AC481">
        <v>0</v>
      </c>
      <c r="AD481">
        <v>10</v>
      </c>
      <c r="AE481">
        <v>0</v>
      </c>
      <c r="AF481">
        <v>3</v>
      </c>
      <c r="AG481">
        <v>2</v>
      </c>
      <c r="AH481">
        <v>0</v>
      </c>
      <c r="AI481" t="s">
        <v>458</v>
      </c>
      <c r="AJ481">
        <v>39.572110000000002</v>
      </c>
      <c r="AK481" t="s">
        <v>459</v>
      </c>
      <c r="AL481">
        <v>-92.494197</v>
      </c>
      <c r="AM481">
        <v>100</v>
      </c>
      <c r="AN481">
        <v>1900</v>
      </c>
      <c r="AO481" t="s">
        <v>118</v>
      </c>
      <c r="AP481">
        <v>-27</v>
      </c>
      <c r="AQ481">
        <v>137</v>
      </c>
      <c r="AR481">
        <v>-192</v>
      </c>
      <c r="AZ481">
        <v>1200</v>
      </c>
      <c r="BA481">
        <v>1</v>
      </c>
      <c r="BB481" t="str">
        <f t="shared" si="24"/>
        <v xml:space="preserve">N8080G  </v>
      </c>
      <c r="BC481">
        <v>1</v>
      </c>
      <c r="BE481">
        <v>0</v>
      </c>
      <c r="BF481">
        <v>0</v>
      </c>
      <c r="BG481">
        <v>0</v>
      </c>
      <c r="BH481">
        <v>1850</v>
      </c>
      <c r="BI481">
        <v>1</v>
      </c>
      <c r="BJ481">
        <v>1</v>
      </c>
      <c r="BK481">
        <v>1</v>
      </c>
      <c r="BL481">
        <v>0</v>
      </c>
      <c r="BO481">
        <v>0</v>
      </c>
      <c r="BP481">
        <v>0</v>
      </c>
      <c r="BW481" t="str">
        <f>"20:13:49.721"</f>
        <v>20:13:49.721</v>
      </c>
      <c r="CJ481">
        <v>0</v>
      </c>
      <c r="CK481">
        <v>2</v>
      </c>
      <c r="CL481">
        <v>0</v>
      </c>
      <c r="CM481">
        <v>2</v>
      </c>
      <c r="CN481">
        <v>0</v>
      </c>
      <c r="CO481">
        <v>5</v>
      </c>
      <c r="CP481" t="s">
        <v>119</v>
      </c>
      <c r="CQ481">
        <v>559</v>
      </c>
      <c r="CR481">
        <v>0</v>
      </c>
      <c r="CW481">
        <v>10408847</v>
      </c>
      <c r="CY481">
        <v>1</v>
      </c>
      <c r="CZ481">
        <v>0</v>
      </c>
      <c r="DA481">
        <v>1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</row>
    <row r="482" spans="1:113" x14ac:dyDescent="0.3">
      <c r="A482" t="str">
        <f>"02/08/2021 20:13:48.475"</f>
        <v>02/08/2021 20:13:48.475</v>
      </c>
      <c r="C482" t="str">
        <f t="shared" si="23"/>
        <v>FFDFD3C0</v>
      </c>
      <c r="D482" t="s">
        <v>141</v>
      </c>
      <c r="E482">
        <v>17</v>
      </c>
      <c r="H482">
        <v>256</v>
      </c>
      <c r="I482" t="s">
        <v>142</v>
      </c>
      <c r="J482" t="s">
        <v>143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>"20:13:50.781"</f>
        <v>20:13:50.781</v>
      </c>
      <c r="T482" t="str">
        <f>"20:13:50.281"</f>
        <v>20:13:50.281</v>
      </c>
      <c r="U482" t="str">
        <f t="shared" si="22"/>
        <v>AB01F4</v>
      </c>
      <c r="V482">
        <v>0</v>
      </c>
      <c r="W482">
        <v>0</v>
      </c>
      <c r="X482">
        <v>1</v>
      </c>
      <c r="Z482">
        <v>0</v>
      </c>
      <c r="AA482">
        <v>9</v>
      </c>
      <c r="AB482">
        <v>3</v>
      </c>
      <c r="AC482">
        <v>0</v>
      </c>
      <c r="AD482">
        <v>10</v>
      </c>
      <c r="AE482">
        <v>0</v>
      </c>
      <c r="AF482">
        <v>3</v>
      </c>
      <c r="AG482">
        <v>2</v>
      </c>
      <c r="AH482">
        <v>0</v>
      </c>
      <c r="AI482" t="s">
        <v>460</v>
      </c>
      <c r="AJ482">
        <v>39.572754000000003</v>
      </c>
      <c r="AK482" t="s">
        <v>461</v>
      </c>
      <c r="AL482">
        <v>-92.494304</v>
      </c>
      <c r="AM482">
        <v>100</v>
      </c>
      <c r="AN482">
        <v>1900</v>
      </c>
      <c r="AO482" t="s">
        <v>118</v>
      </c>
      <c r="AP482">
        <v>-27</v>
      </c>
      <c r="AQ482">
        <v>137</v>
      </c>
      <c r="AR482">
        <v>-64</v>
      </c>
      <c r="AZ482">
        <v>1200</v>
      </c>
      <c r="BA482">
        <v>1</v>
      </c>
      <c r="BB482" t="str">
        <f t="shared" si="24"/>
        <v xml:space="preserve">N8080G  </v>
      </c>
      <c r="BC482">
        <v>1</v>
      </c>
      <c r="BE482">
        <v>0</v>
      </c>
      <c r="BF482">
        <v>0</v>
      </c>
      <c r="BG482">
        <v>0</v>
      </c>
      <c r="BH482">
        <v>1850</v>
      </c>
      <c r="BI482">
        <v>1</v>
      </c>
      <c r="BJ482">
        <v>1</v>
      </c>
      <c r="BK482">
        <v>1</v>
      </c>
      <c r="BL482">
        <v>0</v>
      </c>
      <c r="BO482">
        <v>0</v>
      </c>
      <c r="BP482">
        <v>0</v>
      </c>
      <c r="BW482" t="str">
        <f>"20:13:50.786"</f>
        <v>20:13:50.786</v>
      </c>
      <c r="CJ482">
        <v>0</v>
      </c>
      <c r="CK482">
        <v>2</v>
      </c>
      <c r="CL482">
        <v>0</v>
      </c>
      <c r="CM482">
        <v>2</v>
      </c>
      <c r="CN482">
        <v>0</v>
      </c>
      <c r="CO482">
        <v>6</v>
      </c>
      <c r="CP482" t="s">
        <v>119</v>
      </c>
      <c r="CQ482">
        <v>559</v>
      </c>
      <c r="CR482">
        <v>0</v>
      </c>
      <c r="CW482">
        <v>10409019</v>
      </c>
      <c r="CY482">
        <v>1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</row>
    <row r="483" spans="1:113" x14ac:dyDescent="0.3">
      <c r="A483" t="str">
        <f>"02/08/2021 20:13:48.475"</f>
        <v>02/08/2021 20:13:48.475</v>
      </c>
      <c r="C483" t="str">
        <f t="shared" si="23"/>
        <v>FFDFD3C0</v>
      </c>
      <c r="D483" t="s">
        <v>113</v>
      </c>
      <c r="E483">
        <v>6</v>
      </c>
      <c r="H483">
        <v>165</v>
      </c>
      <c r="I483" t="s">
        <v>114</v>
      </c>
      <c r="J483" t="s">
        <v>115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>"20:13:50.781"</f>
        <v>20:13:50.781</v>
      </c>
      <c r="T483" t="str">
        <f>"20:13:50.281"</f>
        <v>20:13:50.281</v>
      </c>
      <c r="U483" t="str">
        <f t="shared" si="22"/>
        <v>AB01F4</v>
      </c>
      <c r="V483">
        <v>0</v>
      </c>
      <c r="W483">
        <v>0</v>
      </c>
      <c r="X483">
        <v>1</v>
      </c>
      <c r="Z483">
        <v>0</v>
      </c>
      <c r="AA483">
        <v>9</v>
      </c>
      <c r="AB483">
        <v>3</v>
      </c>
      <c r="AC483">
        <v>0</v>
      </c>
      <c r="AD483">
        <v>10</v>
      </c>
      <c r="AE483">
        <v>0</v>
      </c>
      <c r="AF483">
        <v>3</v>
      </c>
      <c r="AG483">
        <v>2</v>
      </c>
      <c r="AH483">
        <v>0</v>
      </c>
      <c r="AI483" t="s">
        <v>460</v>
      </c>
      <c r="AJ483">
        <v>39.572754000000003</v>
      </c>
      <c r="AK483" t="s">
        <v>461</v>
      </c>
      <c r="AL483">
        <v>-92.494304</v>
      </c>
      <c r="AM483">
        <v>100</v>
      </c>
      <c r="AN483">
        <v>1900</v>
      </c>
      <c r="AO483" t="s">
        <v>118</v>
      </c>
      <c r="AP483">
        <v>-27</v>
      </c>
      <c r="AQ483">
        <v>137</v>
      </c>
      <c r="AR483">
        <v>-64</v>
      </c>
      <c r="AZ483">
        <v>1200</v>
      </c>
      <c r="BA483">
        <v>1</v>
      </c>
      <c r="BB483" t="str">
        <f t="shared" si="24"/>
        <v xml:space="preserve">N8080G  </v>
      </c>
      <c r="BC483">
        <v>1</v>
      </c>
      <c r="BE483">
        <v>0</v>
      </c>
      <c r="BF483">
        <v>0</v>
      </c>
      <c r="BG483">
        <v>0</v>
      </c>
      <c r="BH483">
        <v>1850</v>
      </c>
      <c r="BI483">
        <v>1</v>
      </c>
      <c r="BJ483">
        <v>1</v>
      </c>
      <c r="BK483">
        <v>1</v>
      </c>
      <c r="BL483">
        <v>0</v>
      </c>
      <c r="BO483">
        <v>0</v>
      </c>
      <c r="BP483">
        <v>0</v>
      </c>
      <c r="BW483" t="str">
        <f>"20:13:50.786"</f>
        <v>20:13:50.786</v>
      </c>
      <c r="CJ483">
        <v>0</v>
      </c>
      <c r="CK483">
        <v>2</v>
      </c>
      <c r="CL483">
        <v>0</v>
      </c>
      <c r="CM483">
        <v>2</v>
      </c>
      <c r="CN483">
        <v>0</v>
      </c>
      <c r="CO483">
        <v>6</v>
      </c>
      <c r="CP483" t="s">
        <v>119</v>
      </c>
      <c r="CQ483">
        <v>559</v>
      </c>
      <c r="CR483">
        <v>0</v>
      </c>
      <c r="CW483">
        <v>10409019</v>
      </c>
      <c r="CY483">
        <v>1</v>
      </c>
      <c r="CZ483">
        <v>0</v>
      </c>
      <c r="DA483">
        <v>1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</row>
    <row r="484" spans="1:113" x14ac:dyDescent="0.3">
      <c r="A484" t="str">
        <f>"02/08/2021 20:13:48.475"</f>
        <v>02/08/2021 20:13:48.475</v>
      </c>
      <c r="C484" t="str">
        <f t="shared" si="23"/>
        <v>FFDFD3C0</v>
      </c>
      <c r="D484" t="s">
        <v>124</v>
      </c>
      <c r="E484">
        <v>13</v>
      </c>
      <c r="F484">
        <v>1013</v>
      </c>
      <c r="G484" t="s">
        <v>114</v>
      </c>
      <c r="J484" t="s">
        <v>125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>"20:13:50.781"</f>
        <v>20:13:50.781</v>
      </c>
      <c r="T484" t="str">
        <f>"20:13:50.281"</f>
        <v>20:13:50.281</v>
      </c>
      <c r="U484" t="str">
        <f t="shared" si="22"/>
        <v>AB01F4</v>
      </c>
      <c r="V484">
        <v>0</v>
      </c>
      <c r="W484">
        <v>0</v>
      </c>
      <c r="X484">
        <v>1</v>
      </c>
      <c r="Z484">
        <v>0</v>
      </c>
      <c r="AA484">
        <v>9</v>
      </c>
      <c r="AB484">
        <v>3</v>
      </c>
      <c r="AC484">
        <v>0</v>
      </c>
      <c r="AD484">
        <v>10</v>
      </c>
      <c r="AE484">
        <v>0</v>
      </c>
      <c r="AF484">
        <v>3</v>
      </c>
      <c r="AG484">
        <v>2</v>
      </c>
      <c r="AH484">
        <v>0</v>
      </c>
      <c r="AI484" t="s">
        <v>460</v>
      </c>
      <c r="AJ484">
        <v>39.572754000000003</v>
      </c>
      <c r="AK484" t="s">
        <v>461</v>
      </c>
      <c r="AL484">
        <v>-92.494304</v>
      </c>
      <c r="AM484">
        <v>100</v>
      </c>
      <c r="AN484">
        <v>1900</v>
      </c>
      <c r="AO484" t="s">
        <v>118</v>
      </c>
      <c r="AP484">
        <v>-27</v>
      </c>
      <c r="AQ484">
        <v>137</v>
      </c>
      <c r="AR484">
        <v>-64</v>
      </c>
      <c r="AZ484">
        <v>1200</v>
      </c>
      <c r="BA484">
        <v>1</v>
      </c>
      <c r="BB484" t="str">
        <f t="shared" si="24"/>
        <v xml:space="preserve">N8080G  </v>
      </c>
      <c r="BC484">
        <v>1</v>
      </c>
      <c r="BE484">
        <v>0</v>
      </c>
      <c r="BF484">
        <v>0</v>
      </c>
      <c r="BG484">
        <v>0</v>
      </c>
      <c r="BH484">
        <v>1850</v>
      </c>
      <c r="BI484">
        <v>1</v>
      </c>
      <c r="BJ484">
        <v>1</v>
      </c>
      <c r="BK484">
        <v>1</v>
      </c>
      <c r="BL484">
        <v>0</v>
      </c>
      <c r="BO484">
        <v>0</v>
      </c>
      <c r="BP484">
        <v>0</v>
      </c>
      <c r="BW484" t="str">
        <f>"20:13:50.786"</f>
        <v>20:13:50.786</v>
      </c>
      <c r="CJ484">
        <v>0</v>
      </c>
      <c r="CK484">
        <v>2</v>
      </c>
      <c r="CL484">
        <v>0</v>
      </c>
      <c r="CM484">
        <v>2</v>
      </c>
      <c r="CN484">
        <v>0</v>
      </c>
      <c r="CO484">
        <v>6</v>
      </c>
      <c r="CP484" t="s">
        <v>119</v>
      </c>
      <c r="CQ484">
        <v>559</v>
      </c>
      <c r="CR484">
        <v>0</v>
      </c>
      <c r="CW484">
        <v>10409019</v>
      </c>
      <c r="CY484">
        <v>1</v>
      </c>
      <c r="CZ484">
        <v>0</v>
      </c>
      <c r="DA484">
        <v>1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</row>
    <row r="485" spans="1:113" x14ac:dyDescent="0.3">
      <c r="A485" t="str">
        <f>"02/08/2021 20:13:50.065"</f>
        <v>02/08/2021 20:13:50.065</v>
      </c>
      <c r="C485" t="str">
        <f t="shared" si="23"/>
        <v>FFDFD3C0</v>
      </c>
      <c r="D485" t="s">
        <v>124</v>
      </c>
      <c r="E485">
        <v>13</v>
      </c>
      <c r="F485">
        <v>1013</v>
      </c>
      <c r="G485" t="s">
        <v>114</v>
      </c>
      <c r="J485" t="s">
        <v>125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>"20:13:52.383"</f>
        <v>20:13:52.383</v>
      </c>
      <c r="T485" t="str">
        <f>"20:13:51.883"</f>
        <v>20:13:51.883</v>
      </c>
      <c r="U485" t="str">
        <f t="shared" si="22"/>
        <v>AB01F4</v>
      </c>
      <c r="V485">
        <v>0</v>
      </c>
      <c r="W485">
        <v>0</v>
      </c>
      <c r="X485">
        <v>1</v>
      </c>
      <c r="Z485">
        <v>0</v>
      </c>
      <c r="AA485">
        <v>9</v>
      </c>
      <c r="AB485">
        <v>3</v>
      </c>
      <c r="AC485">
        <v>0</v>
      </c>
      <c r="AD485">
        <v>10</v>
      </c>
      <c r="AE485">
        <v>0</v>
      </c>
      <c r="AF485">
        <v>3</v>
      </c>
      <c r="AG485">
        <v>2</v>
      </c>
      <c r="AH485">
        <v>0</v>
      </c>
      <c r="AI485" t="s">
        <v>462</v>
      </c>
      <c r="AJ485">
        <v>39.573762000000002</v>
      </c>
      <c r="AK485" t="s">
        <v>463</v>
      </c>
      <c r="AL485">
        <v>-92.494562000000002</v>
      </c>
      <c r="AM485">
        <v>100</v>
      </c>
      <c r="AN485">
        <v>1900</v>
      </c>
      <c r="AO485" t="s">
        <v>118</v>
      </c>
      <c r="AP485">
        <v>-25</v>
      </c>
      <c r="AQ485">
        <v>137</v>
      </c>
      <c r="AR485">
        <v>64</v>
      </c>
      <c r="AZ485">
        <v>1200</v>
      </c>
      <c r="BA485">
        <v>1</v>
      </c>
      <c r="BB485" t="str">
        <f t="shared" si="24"/>
        <v xml:space="preserve">N8080G  </v>
      </c>
      <c r="BC485">
        <v>1</v>
      </c>
      <c r="BE485">
        <v>0</v>
      </c>
      <c r="BF485">
        <v>0</v>
      </c>
      <c r="BG485">
        <v>0</v>
      </c>
      <c r="BH485">
        <v>1850</v>
      </c>
      <c r="BI485">
        <v>1</v>
      </c>
      <c r="BJ485">
        <v>1</v>
      </c>
      <c r="BK485">
        <v>1</v>
      </c>
      <c r="BL485">
        <v>0</v>
      </c>
      <c r="BO485">
        <v>0</v>
      </c>
      <c r="BP485">
        <v>0</v>
      </c>
      <c r="BW485" t="str">
        <f>"20:13:52.387"</f>
        <v>20:13:52.387</v>
      </c>
      <c r="CJ485">
        <v>0</v>
      </c>
      <c r="CK485">
        <v>2</v>
      </c>
      <c r="CL485">
        <v>0</v>
      </c>
      <c r="CM485">
        <v>2</v>
      </c>
      <c r="CN485">
        <v>0</v>
      </c>
      <c r="CO485">
        <v>5</v>
      </c>
      <c r="CP485" t="s">
        <v>119</v>
      </c>
      <c r="CQ485">
        <v>559</v>
      </c>
      <c r="CR485">
        <v>0</v>
      </c>
      <c r="CW485">
        <v>10409271</v>
      </c>
      <c r="CY485">
        <v>1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</row>
    <row r="486" spans="1:113" x14ac:dyDescent="0.3">
      <c r="A486" t="str">
        <f>"02/08/2021 20:13:50.065"</f>
        <v>02/08/2021 20:13:50.065</v>
      </c>
      <c r="C486" t="str">
        <f t="shared" si="23"/>
        <v>FFDFD3C0</v>
      </c>
      <c r="D486" t="s">
        <v>141</v>
      </c>
      <c r="E486">
        <v>17</v>
      </c>
      <c r="H486">
        <v>256</v>
      </c>
      <c r="I486" t="s">
        <v>142</v>
      </c>
      <c r="J486" t="s">
        <v>143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>"20:13:52.383"</f>
        <v>20:13:52.383</v>
      </c>
      <c r="T486" t="str">
        <f>"20:13:51.883"</f>
        <v>20:13:51.883</v>
      </c>
      <c r="U486" t="str">
        <f t="shared" si="22"/>
        <v>AB01F4</v>
      </c>
      <c r="V486">
        <v>0</v>
      </c>
      <c r="W486">
        <v>0</v>
      </c>
      <c r="X486">
        <v>1</v>
      </c>
      <c r="Z486">
        <v>0</v>
      </c>
      <c r="AA486">
        <v>9</v>
      </c>
      <c r="AB486">
        <v>3</v>
      </c>
      <c r="AC486">
        <v>0</v>
      </c>
      <c r="AD486">
        <v>10</v>
      </c>
      <c r="AE486">
        <v>0</v>
      </c>
      <c r="AF486">
        <v>3</v>
      </c>
      <c r="AG486">
        <v>2</v>
      </c>
      <c r="AH486">
        <v>0</v>
      </c>
      <c r="AI486" t="s">
        <v>462</v>
      </c>
      <c r="AJ486">
        <v>39.573762000000002</v>
      </c>
      <c r="AK486" t="s">
        <v>463</v>
      </c>
      <c r="AL486">
        <v>-92.494562000000002</v>
      </c>
      <c r="AM486">
        <v>100</v>
      </c>
      <c r="AN486">
        <v>1900</v>
      </c>
      <c r="AO486" t="s">
        <v>118</v>
      </c>
      <c r="AP486">
        <v>-25</v>
      </c>
      <c r="AQ486">
        <v>137</v>
      </c>
      <c r="AR486">
        <v>64</v>
      </c>
      <c r="AZ486">
        <v>1200</v>
      </c>
      <c r="BA486">
        <v>1</v>
      </c>
      <c r="BB486" t="str">
        <f t="shared" si="24"/>
        <v xml:space="preserve">N8080G  </v>
      </c>
      <c r="BC486">
        <v>1</v>
      </c>
      <c r="BE486">
        <v>0</v>
      </c>
      <c r="BF486">
        <v>0</v>
      </c>
      <c r="BG486">
        <v>0</v>
      </c>
      <c r="BH486">
        <v>1850</v>
      </c>
      <c r="BI486">
        <v>1</v>
      </c>
      <c r="BJ486">
        <v>1</v>
      </c>
      <c r="BK486">
        <v>1</v>
      </c>
      <c r="BL486">
        <v>0</v>
      </c>
      <c r="BO486">
        <v>0</v>
      </c>
      <c r="BP486">
        <v>0</v>
      </c>
      <c r="BW486" t="str">
        <f>"20:13:52.387"</f>
        <v>20:13:52.387</v>
      </c>
      <c r="CJ486">
        <v>0</v>
      </c>
      <c r="CK486">
        <v>2</v>
      </c>
      <c r="CL486">
        <v>0</v>
      </c>
      <c r="CM486">
        <v>2</v>
      </c>
      <c r="CN486">
        <v>0</v>
      </c>
      <c r="CO486">
        <v>5</v>
      </c>
      <c r="CP486" t="s">
        <v>119</v>
      </c>
      <c r="CQ486">
        <v>559</v>
      </c>
      <c r="CR486">
        <v>0</v>
      </c>
      <c r="CW486">
        <v>10409271</v>
      </c>
      <c r="CY486">
        <v>1</v>
      </c>
      <c r="CZ486">
        <v>0</v>
      </c>
      <c r="DA486">
        <v>1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</row>
    <row r="487" spans="1:113" x14ac:dyDescent="0.3">
      <c r="A487" t="str">
        <f>"02/08/2021 20:13:50.065"</f>
        <v>02/08/2021 20:13:50.065</v>
      </c>
      <c r="C487" t="str">
        <f t="shared" si="23"/>
        <v>FFDFD3C0</v>
      </c>
      <c r="D487" t="s">
        <v>113</v>
      </c>
      <c r="E487">
        <v>6</v>
      </c>
      <c r="H487">
        <v>165</v>
      </c>
      <c r="I487" t="s">
        <v>114</v>
      </c>
      <c r="J487" t="s">
        <v>115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>"20:13:52.383"</f>
        <v>20:13:52.383</v>
      </c>
      <c r="T487" t="str">
        <f>"20:13:51.883"</f>
        <v>20:13:51.883</v>
      </c>
      <c r="U487" t="str">
        <f t="shared" si="22"/>
        <v>AB01F4</v>
      </c>
      <c r="V487">
        <v>0</v>
      </c>
      <c r="W487">
        <v>0</v>
      </c>
      <c r="X487">
        <v>1</v>
      </c>
      <c r="Z487">
        <v>0</v>
      </c>
      <c r="AA487">
        <v>9</v>
      </c>
      <c r="AB487">
        <v>3</v>
      </c>
      <c r="AC487">
        <v>0</v>
      </c>
      <c r="AD487">
        <v>10</v>
      </c>
      <c r="AE487">
        <v>0</v>
      </c>
      <c r="AF487">
        <v>3</v>
      </c>
      <c r="AG487">
        <v>2</v>
      </c>
      <c r="AH487">
        <v>0</v>
      </c>
      <c r="AI487" t="s">
        <v>462</v>
      </c>
      <c r="AJ487">
        <v>39.573762000000002</v>
      </c>
      <c r="AK487" t="s">
        <v>463</v>
      </c>
      <c r="AL487">
        <v>-92.494562000000002</v>
      </c>
      <c r="AM487">
        <v>100</v>
      </c>
      <c r="AN487">
        <v>1900</v>
      </c>
      <c r="AO487" t="s">
        <v>118</v>
      </c>
      <c r="AP487">
        <v>-25</v>
      </c>
      <c r="AQ487">
        <v>137</v>
      </c>
      <c r="AR487">
        <v>64</v>
      </c>
      <c r="AZ487">
        <v>1200</v>
      </c>
      <c r="BA487">
        <v>1</v>
      </c>
      <c r="BB487" t="str">
        <f t="shared" si="24"/>
        <v xml:space="preserve">N8080G  </v>
      </c>
      <c r="BC487">
        <v>1</v>
      </c>
      <c r="BE487">
        <v>0</v>
      </c>
      <c r="BF487">
        <v>0</v>
      </c>
      <c r="BG487">
        <v>0</v>
      </c>
      <c r="BH487">
        <v>1850</v>
      </c>
      <c r="BI487">
        <v>1</v>
      </c>
      <c r="BJ487">
        <v>1</v>
      </c>
      <c r="BK487">
        <v>1</v>
      </c>
      <c r="BL487">
        <v>0</v>
      </c>
      <c r="BO487">
        <v>0</v>
      </c>
      <c r="BP487">
        <v>0</v>
      </c>
      <c r="BW487" t="str">
        <f>"20:13:52.387"</f>
        <v>20:13:52.387</v>
      </c>
      <c r="CJ487">
        <v>0</v>
      </c>
      <c r="CK487">
        <v>2</v>
      </c>
      <c r="CL487">
        <v>0</v>
      </c>
      <c r="CM487">
        <v>2</v>
      </c>
      <c r="CN487">
        <v>0</v>
      </c>
      <c r="CO487">
        <v>5</v>
      </c>
      <c r="CP487" t="s">
        <v>119</v>
      </c>
      <c r="CQ487">
        <v>559</v>
      </c>
      <c r="CR487">
        <v>0</v>
      </c>
      <c r="CW487">
        <v>10409271</v>
      </c>
      <c r="CY487">
        <v>1</v>
      </c>
      <c r="CZ487">
        <v>0</v>
      </c>
      <c r="DA487">
        <v>1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</row>
    <row r="488" spans="1:113" x14ac:dyDescent="0.3">
      <c r="A488" t="str">
        <f>"02/08/2021 20:13:51.201"</f>
        <v>02/08/2021 20:13:51.201</v>
      </c>
      <c r="C488" t="str">
        <f t="shared" si="23"/>
        <v>FFDFD3C0</v>
      </c>
      <c r="D488" t="s">
        <v>141</v>
      </c>
      <c r="E488">
        <v>17</v>
      </c>
      <c r="H488">
        <v>256</v>
      </c>
      <c r="I488" t="s">
        <v>142</v>
      </c>
      <c r="J488" t="s">
        <v>143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>"20:13:53.523"</f>
        <v>20:13:53.523</v>
      </c>
      <c r="U488" t="str">
        <f t="shared" si="22"/>
        <v>AB01F4</v>
      </c>
      <c r="V488">
        <v>0</v>
      </c>
      <c r="W488">
        <v>0</v>
      </c>
      <c r="X488">
        <v>1</v>
      </c>
      <c r="Z488">
        <v>0</v>
      </c>
      <c r="AA488">
        <v>9</v>
      </c>
      <c r="AB488">
        <v>3</v>
      </c>
      <c r="AC488">
        <v>0</v>
      </c>
      <c r="AD488">
        <v>10</v>
      </c>
      <c r="AE488">
        <v>0</v>
      </c>
      <c r="AF488">
        <v>3</v>
      </c>
      <c r="AG488">
        <v>2</v>
      </c>
      <c r="AH488">
        <v>0</v>
      </c>
      <c r="AI488" t="s">
        <v>464</v>
      </c>
      <c r="AJ488">
        <v>39.574534999999997</v>
      </c>
      <c r="AK488" t="s">
        <v>465</v>
      </c>
      <c r="AL488">
        <v>-92.494732999999997</v>
      </c>
      <c r="AM488">
        <v>100</v>
      </c>
      <c r="AN488">
        <v>1900</v>
      </c>
      <c r="AO488" t="s">
        <v>118</v>
      </c>
      <c r="AP488">
        <v>-24</v>
      </c>
      <c r="AQ488">
        <v>137</v>
      </c>
      <c r="AR488">
        <v>128</v>
      </c>
      <c r="AZ488">
        <v>1200</v>
      </c>
      <c r="BA488">
        <v>1</v>
      </c>
      <c r="BB488" t="str">
        <f t="shared" si="24"/>
        <v xml:space="preserve">N8080G  </v>
      </c>
      <c r="BC488">
        <v>1</v>
      </c>
      <c r="BE488">
        <v>0</v>
      </c>
      <c r="BF488">
        <v>0</v>
      </c>
      <c r="BG488">
        <v>0</v>
      </c>
      <c r="BH488">
        <v>1850</v>
      </c>
      <c r="BI488">
        <v>1</v>
      </c>
      <c r="BJ488">
        <v>1</v>
      </c>
      <c r="BK488">
        <v>1</v>
      </c>
      <c r="BL488">
        <v>0</v>
      </c>
      <c r="BO488">
        <v>0</v>
      </c>
      <c r="BP488">
        <v>0</v>
      </c>
      <c r="BW488" t="str">
        <f>"20:13:53.527"</f>
        <v>20:13:53.527</v>
      </c>
      <c r="CJ488">
        <v>0</v>
      </c>
      <c r="CK488">
        <v>2</v>
      </c>
      <c r="CL488">
        <v>0</v>
      </c>
      <c r="CM488">
        <v>2</v>
      </c>
      <c r="CN488">
        <v>0</v>
      </c>
      <c r="CO488">
        <v>5</v>
      </c>
      <c r="CP488" t="s">
        <v>119</v>
      </c>
      <c r="CQ488">
        <v>559</v>
      </c>
      <c r="CR488">
        <v>0</v>
      </c>
      <c r="CW488">
        <v>10409456</v>
      </c>
      <c r="CY488">
        <v>1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</row>
    <row r="489" spans="1:113" x14ac:dyDescent="0.3">
      <c r="A489" t="str">
        <f>"02/08/2021 20:13:51.201"</f>
        <v>02/08/2021 20:13:51.201</v>
      </c>
      <c r="C489" t="str">
        <f t="shared" si="23"/>
        <v>FFDFD3C0</v>
      </c>
      <c r="D489" t="s">
        <v>113</v>
      </c>
      <c r="E489">
        <v>6</v>
      </c>
      <c r="H489">
        <v>165</v>
      </c>
      <c r="I489" t="s">
        <v>114</v>
      </c>
      <c r="J489" t="s">
        <v>115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"20:13:53.523"</f>
        <v>20:13:53.523</v>
      </c>
      <c r="U489" t="str">
        <f t="shared" si="22"/>
        <v>AB01F4</v>
      </c>
      <c r="V489">
        <v>0</v>
      </c>
      <c r="W489">
        <v>0</v>
      </c>
      <c r="X489">
        <v>1</v>
      </c>
      <c r="Z489">
        <v>0</v>
      </c>
      <c r="AA489">
        <v>9</v>
      </c>
      <c r="AB489">
        <v>3</v>
      </c>
      <c r="AC489">
        <v>0</v>
      </c>
      <c r="AD489">
        <v>10</v>
      </c>
      <c r="AE489">
        <v>0</v>
      </c>
      <c r="AF489">
        <v>3</v>
      </c>
      <c r="AG489">
        <v>2</v>
      </c>
      <c r="AH489">
        <v>0</v>
      </c>
      <c r="AI489" t="s">
        <v>464</v>
      </c>
      <c r="AJ489">
        <v>39.574534999999997</v>
      </c>
      <c r="AK489" t="s">
        <v>465</v>
      </c>
      <c r="AL489">
        <v>-92.494732999999997</v>
      </c>
      <c r="AM489">
        <v>100</v>
      </c>
      <c r="AN489">
        <v>1900</v>
      </c>
      <c r="AO489" t="s">
        <v>118</v>
      </c>
      <c r="AP489">
        <v>-24</v>
      </c>
      <c r="AQ489">
        <v>137</v>
      </c>
      <c r="AR489">
        <v>128</v>
      </c>
      <c r="AZ489">
        <v>1200</v>
      </c>
      <c r="BA489">
        <v>1</v>
      </c>
      <c r="BB489" t="str">
        <f t="shared" si="24"/>
        <v xml:space="preserve">N8080G  </v>
      </c>
      <c r="BC489">
        <v>1</v>
      </c>
      <c r="BE489">
        <v>0</v>
      </c>
      <c r="BF489">
        <v>0</v>
      </c>
      <c r="BG489">
        <v>0</v>
      </c>
      <c r="BH489">
        <v>1850</v>
      </c>
      <c r="BI489">
        <v>1</v>
      </c>
      <c r="BJ489">
        <v>1</v>
      </c>
      <c r="BK489">
        <v>1</v>
      </c>
      <c r="BL489">
        <v>0</v>
      </c>
      <c r="BO489">
        <v>0</v>
      </c>
      <c r="BP489">
        <v>0</v>
      </c>
      <c r="BW489" t="str">
        <f>"20:13:53.527"</f>
        <v>20:13:53.527</v>
      </c>
      <c r="CJ489">
        <v>0</v>
      </c>
      <c r="CK489">
        <v>2</v>
      </c>
      <c r="CL489">
        <v>0</v>
      </c>
      <c r="CM489">
        <v>2</v>
      </c>
      <c r="CN489">
        <v>0</v>
      </c>
      <c r="CO489">
        <v>5</v>
      </c>
      <c r="CP489" t="s">
        <v>119</v>
      </c>
      <c r="CQ489">
        <v>559</v>
      </c>
      <c r="CR489">
        <v>0</v>
      </c>
      <c r="CW489">
        <v>10409456</v>
      </c>
      <c r="CY489">
        <v>1</v>
      </c>
      <c r="CZ489">
        <v>0</v>
      </c>
      <c r="DA489">
        <v>1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</row>
    <row r="490" spans="1:113" x14ac:dyDescent="0.3">
      <c r="A490" t="str">
        <f>"02/08/2021 20:13:51.201"</f>
        <v>02/08/2021 20:13:51.201</v>
      </c>
      <c r="C490" t="str">
        <f t="shared" si="23"/>
        <v>FFDFD3C0</v>
      </c>
      <c r="D490" t="s">
        <v>124</v>
      </c>
      <c r="E490">
        <v>13</v>
      </c>
      <c r="F490">
        <v>1013</v>
      </c>
      <c r="G490" t="s">
        <v>114</v>
      </c>
      <c r="J490" t="s">
        <v>125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>"20:13:53.523"</f>
        <v>20:13:53.523</v>
      </c>
      <c r="U490" t="str">
        <f t="shared" si="22"/>
        <v>AB01F4</v>
      </c>
      <c r="V490">
        <v>0</v>
      </c>
      <c r="W490">
        <v>0</v>
      </c>
      <c r="X490">
        <v>1</v>
      </c>
      <c r="Z490">
        <v>0</v>
      </c>
      <c r="AA490">
        <v>9</v>
      </c>
      <c r="AB490">
        <v>3</v>
      </c>
      <c r="AC490">
        <v>0</v>
      </c>
      <c r="AD490">
        <v>10</v>
      </c>
      <c r="AE490">
        <v>0</v>
      </c>
      <c r="AF490">
        <v>3</v>
      </c>
      <c r="AG490">
        <v>2</v>
      </c>
      <c r="AH490">
        <v>0</v>
      </c>
      <c r="AI490" t="s">
        <v>464</v>
      </c>
      <c r="AJ490">
        <v>39.574534999999997</v>
      </c>
      <c r="AK490" t="s">
        <v>465</v>
      </c>
      <c r="AL490">
        <v>-92.494732999999997</v>
      </c>
      <c r="AM490">
        <v>100</v>
      </c>
      <c r="AN490">
        <v>1900</v>
      </c>
      <c r="AO490" t="s">
        <v>118</v>
      </c>
      <c r="AP490">
        <v>-24</v>
      </c>
      <c r="AQ490">
        <v>137</v>
      </c>
      <c r="AR490">
        <v>128</v>
      </c>
      <c r="AZ490">
        <v>1200</v>
      </c>
      <c r="BA490">
        <v>1</v>
      </c>
      <c r="BB490" t="str">
        <f t="shared" si="24"/>
        <v xml:space="preserve">N8080G  </v>
      </c>
      <c r="BC490">
        <v>1</v>
      </c>
      <c r="BE490">
        <v>0</v>
      </c>
      <c r="BF490">
        <v>0</v>
      </c>
      <c r="BG490">
        <v>0</v>
      </c>
      <c r="BH490">
        <v>1850</v>
      </c>
      <c r="BI490">
        <v>1</v>
      </c>
      <c r="BJ490">
        <v>1</v>
      </c>
      <c r="BK490">
        <v>1</v>
      </c>
      <c r="BL490">
        <v>0</v>
      </c>
      <c r="BO490">
        <v>0</v>
      </c>
      <c r="BP490">
        <v>0</v>
      </c>
      <c r="BW490" t="str">
        <f>"20:13:53.527"</f>
        <v>20:13:53.527</v>
      </c>
      <c r="CJ490">
        <v>0</v>
      </c>
      <c r="CK490">
        <v>2</v>
      </c>
      <c r="CL490">
        <v>0</v>
      </c>
      <c r="CM490">
        <v>2</v>
      </c>
      <c r="CN490">
        <v>0</v>
      </c>
      <c r="CO490">
        <v>5</v>
      </c>
      <c r="CP490" t="s">
        <v>119</v>
      </c>
      <c r="CQ490">
        <v>559</v>
      </c>
      <c r="CR490">
        <v>0</v>
      </c>
      <c r="CW490">
        <v>10409456</v>
      </c>
      <c r="CY490">
        <v>1</v>
      </c>
      <c r="CZ490">
        <v>0</v>
      </c>
      <c r="DA490">
        <v>1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</row>
    <row r="491" spans="1:113" x14ac:dyDescent="0.3">
      <c r="A491" t="str">
        <f>"02/08/2021 20:13:52.327"</f>
        <v>02/08/2021 20:13:52.327</v>
      </c>
      <c r="C491" t="str">
        <f t="shared" si="23"/>
        <v>FFDFD3C0</v>
      </c>
      <c r="D491" t="s">
        <v>124</v>
      </c>
      <c r="E491">
        <v>13</v>
      </c>
      <c r="F491">
        <v>1013</v>
      </c>
      <c r="G491" t="s">
        <v>114</v>
      </c>
      <c r="J491" t="s">
        <v>125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>"20:13:54.656"</f>
        <v>20:13:54.656</v>
      </c>
      <c r="T491" t="str">
        <f>"20:13:54.156"</f>
        <v>20:13:54.156</v>
      </c>
      <c r="U491" t="str">
        <f t="shared" si="22"/>
        <v>AB01F4</v>
      </c>
      <c r="V491">
        <v>0</v>
      </c>
      <c r="W491">
        <v>0</v>
      </c>
      <c r="X491">
        <v>1</v>
      </c>
      <c r="Z491">
        <v>0</v>
      </c>
      <c r="AA491">
        <v>9</v>
      </c>
      <c r="AB491">
        <v>3</v>
      </c>
      <c r="AC491">
        <v>0</v>
      </c>
      <c r="AD491">
        <v>10</v>
      </c>
      <c r="AE491">
        <v>0</v>
      </c>
      <c r="AF491">
        <v>3</v>
      </c>
      <c r="AG491">
        <v>2</v>
      </c>
      <c r="AH491">
        <v>0</v>
      </c>
      <c r="AI491" t="s">
        <v>466</v>
      </c>
      <c r="AJ491">
        <v>39.575221999999997</v>
      </c>
      <c r="AK491" t="s">
        <v>467</v>
      </c>
      <c r="AL491">
        <v>-92.494883999999999</v>
      </c>
      <c r="AM491">
        <v>100</v>
      </c>
      <c r="AN491">
        <v>1900</v>
      </c>
      <c r="AO491" t="s">
        <v>118</v>
      </c>
      <c r="AP491">
        <v>-23</v>
      </c>
      <c r="AQ491">
        <v>137</v>
      </c>
      <c r="AR491">
        <v>128</v>
      </c>
      <c r="AZ491">
        <v>1200</v>
      </c>
      <c r="BA491">
        <v>1</v>
      </c>
      <c r="BB491" t="str">
        <f t="shared" si="24"/>
        <v xml:space="preserve">N8080G  </v>
      </c>
      <c r="BC491">
        <v>1</v>
      </c>
      <c r="BE491">
        <v>0</v>
      </c>
      <c r="BF491">
        <v>0</v>
      </c>
      <c r="BG491">
        <v>0</v>
      </c>
      <c r="BH491">
        <v>1850</v>
      </c>
      <c r="BI491">
        <v>1</v>
      </c>
      <c r="BJ491">
        <v>1</v>
      </c>
      <c r="BK491">
        <v>1</v>
      </c>
      <c r="BL491">
        <v>0</v>
      </c>
      <c r="BO491">
        <v>0</v>
      </c>
      <c r="BP491">
        <v>0</v>
      </c>
      <c r="BW491" t="str">
        <f>"20:13:54.663"</f>
        <v>20:13:54.663</v>
      </c>
      <c r="CJ491">
        <v>0</v>
      </c>
      <c r="CK491">
        <v>2</v>
      </c>
      <c r="CL491">
        <v>0</v>
      </c>
      <c r="CM491">
        <v>2</v>
      </c>
      <c r="CN491">
        <v>0</v>
      </c>
      <c r="CO491">
        <v>5</v>
      </c>
      <c r="CP491" t="s">
        <v>119</v>
      </c>
      <c r="CQ491">
        <v>559</v>
      </c>
      <c r="CR491">
        <v>0</v>
      </c>
      <c r="CW491">
        <v>10409630</v>
      </c>
      <c r="CY491">
        <v>1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</row>
    <row r="492" spans="1:113" x14ac:dyDescent="0.3">
      <c r="A492" t="str">
        <f>"02/08/2021 20:13:52.327"</f>
        <v>02/08/2021 20:13:52.327</v>
      </c>
      <c r="C492" t="str">
        <f t="shared" si="23"/>
        <v>FFDFD3C0</v>
      </c>
      <c r="D492" t="s">
        <v>113</v>
      </c>
      <c r="E492">
        <v>6</v>
      </c>
      <c r="H492">
        <v>165</v>
      </c>
      <c r="I492" t="s">
        <v>114</v>
      </c>
      <c r="J492" t="s">
        <v>115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>"20:13:54.656"</f>
        <v>20:13:54.656</v>
      </c>
      <c r="T492" t="str">
        <f>"20:13:54.156"</f>
        <v>20:13:54.156</v>
      </c>
      <c r="U492" t="str">
        <f t="shared" si="22"/>
        <v>AB01F4</v>
      </c>
      <c r="V492">
        <v>0</v>
      </c>
      <c r="W492">
        <v>0</v>
      </c>
      <c r="X492">
        <v>1</v>
      </c>
      <c r="Z492">
        <v>0</v>
      </c>
      <c r="AA492">
        <v>9</v>
      </c>
      <c r="AB492">
        <v>3</v>
      </c>
      <c r="AC492">
        <v>0</v>
      </c>
      <c r="AD492">
        <v>10</v>
      </c>
      <c r="AE492">
        <v>0</v>
      </c>
      <c r="AF492">
        <v>3</v>
      </c>
      <c r="AG492">
        <v>2</v>
      </c>
      <c r="AH492">
        <v>0</v>
      </c>
      <c r="AI492" t="s">
        <v>466</v>
      </c>
      <c r="AJ492">
        <v>39.575221999999997</v>
      </c>
      <c r="AK492" t="s">
        <v>467</v>
      </c>
      <c r="AL492">
        <v>-92.494883999999999</v>
      </c>
      <c r="AM492">
        <v>100</v>
      </c>
      <c r="AN492">
        <v>1900</v>
      </c>
      <c r="AO492" t="s">
        <v>118</v>
      </c>
      <c r="AP492">
        <v>-23</v>
      </c>
      <c r="AQ492">
        <v>137</v>
      </c>
      <c r="AR492">
        <v>128</v>
      </c>
      <c r="AZ492">
        <v>1200</v>
      </c>
      <c r="BA492">
        <v>1</v>
      </c>
      <c r="BB492" t="str">
        <f t="shared" si="24"/>
        <v xml:space="preserve">N8080G  </v>
      </c>
      <c r="BC492">
        <v>1</v>
      </c>
      <c r="BE492">
        <v>0</v>
      </c>
      <c r="BF492">
        <v>0</v>
      </c>
      <c r="BG492">
        <v>0</v>
      </c>
      <c r="BH492">
        <v>1850</v>
      </c>
      <c r="BI492">
        <v>1</v>
      </c>
      <c r="BJ492">
        <v>1</v>
      </c>
      <c r="BK492">
        <v>1</v>
      </c>
      <c r="BL492">
        <v>0</v>
      </c>
      <c r="BO492">
        <v>0</v>
      </c>
      <c r="BP492">
        <v>0</v>
      </c>
      <c r="BW492" t="str">
        <f>"20:13:54.663"</f>
        <v>20:13:54.663</v>
      </c>
      <c r="CJ492">
        <v>0</v>
      </c>
      <c r="CK492">
        <v>2</v>
      </c>
      <c r="CL492">
        <v>0</v>
      </c>
      <c r="CM492">
        <v>2</v>
      </c>
      <c r="CN492">
        <v>0</v>
      </c>
      <c r="CO492">
        <v>5</v>
      </c>
      <c r="CP492" t="s">
        <v>119</v>
      </c>
      <c r="CQ492">
        <v>559</v>
      </c>
      <c r="CR492">
        <v>0</v>
      </c>
      <c r="CW492">
        <v>10409630</v>
      </c>
      <c r="CY492">
        <v>1</v>
      </c>
      <c r="CZ492">
        <v>0</v>
      </c>
      <c r="DA492">
        <v>1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</row>
    <row r="493" spans="1:113" x14ac:dyDescent="0.3">
      <c r="A493" t="str">
        <f>"02/08/2021 20:13:52.327"</f>
        <v>02/08/2021 20:13:52.327</v>
      </c>
      <c r="C493" t="str">
        <f t="shared" si="23"/>
        <v>FFDFD3C0</v>
      </c>
      <c r="D493" t="s">
        <v>141</v>
      </c>
      <c r="E493">
        <v>17</v>
      </c>
      <c r="H493">
        <v>256</v>
      </c>
      <c r="I493" t="s">
        <v>142</v>
      </c>
      <c r="J493" t="s">
        <v>143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>"20:13:54.656"</f>
        <v>20:13:54.656</v>
      </c>
      <c r="T493" t="str">
        <f>"20:13:54.156"</f>
        <v>20:13:54.156</v>
      </c>
      <c r="U493" t="str">
        <f t="shared" si="22"/>
        <v>AB01F4</v>
      </c>
      <c r="V493">
        <v>0</v>
      </c>
      <c r="W493">
        <v>0</v>
      </c>
      <c r="X493">
        <v>1</v>
      </c>
      <c r="Z493">
        <v>0</v>
      </c>
      <c r="AA493">
        <v>9</v>
      </c>
      <c r="AB493">
        <v>3</v>
      </c>
      <c r="AC493">
        <v>0</v>
      </c>
      <c r="AD493">
        <v>10</v>
      </c>
      <c r="AE493">
        <v>0</v>
      </c>
      <c r="AF493">
        <v>3</v>
      </c>
      <c r="AG493">
        <v>2</v>
      </c>
      <c r="AH493">
        <v>0</v>
      </c>
      <c r="AI493" t="s">
        <v>466</v>
      </c>
      <c r="AJ493">
        <v>39.575221999999997</v>
      </c>
      <c r="AK493" t="s">
        <v>467</v>
      </c>
      <c r="AL493">
        <v>-92.494883999999999</v>
      </c>
      <c r="AM493">
        <v>100</v>
      </c>
      <c r="AN493">
        <v>1900</v>
      </c>
      <c r="AO493" t="s">
        <v>118</v>
      </c>
      <c r="AP493">
        <v>-23</v>
      </c>
      <c r="AQ493">
        <v>137</v>
      </c>
      <c r="AR493">
        <v>128</v>
      </c>
      <c r="AZ493">
        <v>1200</v>
      </c>
      <c r="BA493">
        <v>1</v>
      </c>
      <c r="BB493" t="str">
        <f t="shared" si="24"/>
        <v xml:space="preserve">N8080G  </v>
      </c>
      <c r="BC493">
        <v>1</v>
      </c>
      <c r="BE493">
        <v>0</v>
      </c>
      <c r="BF493">
        <v>0</v>
      </c>
      <c r="BG493">
        <v>0</v>
      </c>
      <c r="BH493">
        <v>1850</v>
      </c>
      <c r="BI493">
        <v>1</v>
      </c>
      <c r="BJ493">
        <v>1</v>
      </c>
      <c r="BK493">
        <v>1</v>
      </c>
      <c r="BL493">
        <v>0</v>
      </c>
      <c r="BO493">
        <v>0</v>
      </c>
      <c r="BP493">
        <v>0</v>
      </c>
      <c r="BW493" t="str">
        <f>"20:13:54.663"</f>
        <v>20:13:54.663</v>
      </c>
      <c r="CJ493">
        <v>0</v>
      </c>
      <c r="CK493">
        <v>2</v>
      </c>
      <c r="CL493">
        <v>0</v>
      </c>
      <c r="CM493">
        <v>2</v>
      </c>
      <c r="CN493">
        <v>0</v>
      </c>
      <c r="CO493">
        <v>5</v>
      </c>
      <c r="CP493" t="s">
        <v>119</v>
      </c>
      <c r="CQ493">
        <v>559</v>
      </c>
      <c r="CR493">
        <v>0</v>
      </c>
      <c r="CW493">
        <v>10409630</v>
      </c>
      <c r="CY493">
        <v>1</v>
      </c>
      <c r="CZ493">
        <v>0</v>
      </c>
      <c r="DA493">
        <v>1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</row>
    <row r="494" spans="1:113" x14ac:dyDescent="0.3">
      <c r="A494" t="str">
        <f>"02/08/2021 20:13:53.231"</f>
        <v>02/08/2021 20:13:53.231</v>
      </c>
      <c r="C494" t="str">
        <f t="shared" si="23"/>
        <v>FFDFD3C0</v>
      </c>
      <c r="D494" t="s">
        <v>124</v>
      </c>
      <c r="E494">
        <v>13</v>
      </c>
      <c r="F494">
        <v>1013</v>
      </c>
      <c r="G494" t="s">
        <v>114</v>
      </c>
      <c r="J494" t="s">
        <v>125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>"20:13:55.547"</f>
        <v>20:13:55.547</v>
      </c>
      <c r="T494" t="str">
        <f>"20:13:55.147"</f>
        <v>20:13:55.147</v>
      </c>
      <c r="U494" t="str">
        <f t="shared" si="22"/>
        <v>AB01F4</v>
      </c>
      <c r="V494">
        <v>0</v>
      </c>
      <c r="W494">
        <v>0</v>
      </c>
      <c r="X494">
        <v>1</v>
      </c>
      <c r="Z494">
        <v>0</v>
      </c>
      <c r="AA494">
        <v>9</v>
      </c>
      <c r="AB494">
        <v>3</v>
      </c>
      <c r="AC494">
        <v>0</v>
      </c>
      <c r="AD494">
        <v>10</v>
      </c>
      <c r="AE494">
        <v>0</v>
      </c>
      <c r="AF494">
        <v>3</v>
      </c>
      <c r="AG494">
        <v>2</v>
      </c>
      <c r="AH494">
        <v>0</v>
      </c>
      <c r="AI494" t="s">
        <v>468</v>
      </c>
      <c r="AJ494">
        <v>39.575822000000002</v>
      </c>
      <c r="AK494" t="s">
        <v>469</v>
      </c>
      <c r="AL494">
        <v>-92.495034000000004</v>
      </c>
      <c r="AM494">
        <v>100</v>
      </c>
      <c r="AN494">
        <v>1900</v>
      </c>
      <c r="AO494" t="s">
        <v>118</v>
      </c>
      <c r="AP494">
        <v>-23</v>
      </c>
      <c r="AQ494">
        <v>137</v>
      </c>
      <c r="AR494">
        <v>0</v>
      </c>
      <c r="AZ494">
        <v>1200</v>
      </c>
      <c r="BA494">
        <v>1</v>
      </c>
      <c r="BB494" t="str">
        <f t="shared" si="24"/>
        <v xml:space="preserve">N8080G  </v>
      </c>
      <c r="BC494">
        <v>1</v>
      </c>
      <c r="BE494">
        <v>0</v>
      </c>
      <c r="BF494">
        <v>0</v>
      </c>
      <c r="BG494">
        <v>0</v>
      </c>
      <c r="BH494">
        <v>1850</v>
      </c>
      <c r="BI494">
        <v>1</v>
      </c>
      <c r="BJ494">
        <v>1</v>
      </c>
      <c r="BK494">
        <v>1</v>
      </c>
      <c r="BL494">
        <v>0</v>
      </c>
      <c r="BO494">
        <v>0</v>
      </c>
      <c r="BP494">
        <v>0</v>
      </c>
      <c r="BW494" t="str">
        <f>"20:13:55.549"</f>
        <v>20:13:55.549</v>
      </c>
      <c r="CJ494">
        <v>0</v>
      </c>
      <c r="CK494">
        <v>2</v>
      </c>
      <c r="CL494">
        <v>0</v>
      </c>
      <c r="CM494">
        <v>2</v>
      </c>
      <c r="CN494">
        <v>0</v>
      </c>
      <c r="CO494">
        <v>5</v>
      </c>
      <c r="CP494" t="s">
        <v>119</v>
      </c>
      <c r="CQ494">
        <v>559</v>
      </c>
      <c r="CR494">
        <v>0</v>
      </c>
      <c r="CW494">
        <v>10409778</v>
      </c>
      <c r="CY494">
        <v>1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</row>
    <row r="495" spans="1:113" x14ac:dyDescent="0.3">
      <c r="A495" t="str">
        <f>"02/08/2021 20:13:53.231"</f>
        <v>02/08/2021 20:13:53.231</v>
      </c>
      <c r="C495" t="str">
        <f t="shared" si="23"/>
        <v>FFDFD3C0</v>
      </c>
      <c r="D495" t="s">
        <v>113</v>
      </c>
      <c r="E495">
        <v>6</v>
      </c>
      <c r="H495">
        <v>165</v>
      </c>
      <c r="I495" t="s">
        <v>114</v>
      </c>
      <c r="J495" t="s">
        <v>115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>"20:13:55.547"</f>
        <v>20:13:55.547</v>
      </c>
      <c r="T495" t="str">
        <f>"20:13:55.147"</f>
        <v>20:13:55.147</v>
      </c>
      <c r="U495" t="str">
        <f t="shared" si="22"/>
        <v>AB01F4</v>
      </c>
      <c r="V495">
        <v>0</v>
      </c>
      <c r="W495">
        <v>0</v>
      </c>
      <c r="X495">
        <v>1</v>
      </c>
      <c r="Z495">
        <v>0</v>
      </c>
      <c r="AA495">
        <v>9</v>
      </c>
      <c r="AB495">
        <v>3</v>
      </c>
      <c r="AC495">
        <v>0</v>
      </c>
      <c r="AD495">
        <v>10</v>
      </c>
      <c r="AE495">
        <v>0</v>
      </c>
      <c r="AF495">
        <v>3</v>
      </c>
      <c r="AG495">
        <v>2</v>
      </c>
      <c r="AH495">
        <v>0</v>
      </c>
      <c r="AI495" t="s">
        <v>468</v>
      </c>
      <c r="AJ495">
        <v>39.575822000000002</v>
      </c>
      <c r="AK495" t="s">
        <v>469</v>
      </c>
      <c r="AL495">
        <v>-92.495034000000004</v>
      </c>
      <c r="AM495">
        <v>100</v>
      </c>
      <c r="AN495">
        <v>1900</v>
      </c>
      <c r="AO495" t="s">
        <v>118</v>
      </c>
      <c r="AP495">
        <v>-23</v>
      </c>
      <c r="AQ495">
        <v>137</v>
      </c>
      <c r="AR495">
        <v>0</v>
      </c>
      <c r="AZ495">
        <v>1200</v>
      </c>
      <c r="BA495">
        <v>1</v>
      </c>
      <c r="BB495" t="str">
        <f t="shared" si="24"/>
        <v xml:space="preserve">N8080G  </v>
      </c>
      <c r="BC495">
        <v>1</v>
      </c>
      <c r="BE495">
        <v>0</v>
      </c>
      <c r="BF495">
        <v>0</v>
      </c>
      <c r="BG495">
        <v>0</v>
      </c>
      <c r="BH495">
        <v>1850</v>
      </c>
      <c r="BI495">
        <v>1</v>
      </c>
      <c r="BJ495">
        <v>1</v>
      </c>
      <c r="BK495">
        <v>1</v>
      </c>
      <c r="BL495">
        <v>0</v>
      </c>
      <c r="BO495">
        <v>0</v>
      </c>
      <c r="BP495">
        <v>0</v>
      </c>
      <c r="BW495" t="str">
        <f>"20:13:55.549"</f>
        <v>20:13:55.549</v>
      </c>
      <c r="CJ495">
        <v>0</v>
      </c>
      <c r="CK495">
        <v>2</v>
      </c>
      <c r="CL495">
        <v>0</v>
      </c>
      <c r="CM495">
        <v>2</v>
      </c>
      <c r="CN495">
        <v>0</v>
      </c>
      <c r="CO495">
        <v>5</v>
      </c>
      <c r="CP495" t="s">
        <v>119</v>
      </c>
      <c r="CQ495">
        <v>559</v>
      </c>
      <c r="CR495">
        <v>0</v>
      </c>
      <c r="CW495">
        <v>10409778</v>
      </c>
      <c r="CY495">
        <v>1</v>
      </c>
      <c r="CZ495">
        <v>0</v>
      </c>
      <c r="DA495">
        <v>1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</row>
    <row r="496" spans="1:113" x14ac:dyDescent="0.3">
      <c r="A496" t="str">
        <f>"02/08/2021 20:13:53.231"</f>
        <v>02/08/2021 20:13:53.231</v>
      </c>
      <c r="C496" t="str">
        <f t="shared" si="23"/>
        <v>FFDFD3C0</v>
      </c>
      <c r="D496" t="s">
        <v>141</v>
      </c>
      <c r="E496">
        <v>17</v>
      </c>
      <c r="H496">
        <v>256</v>
      </c>
      <c r="I496" t="s">
        <v>142</v>
      </c>
      <c r="J496" t="s">
        <v>143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>"20:13:55.547"</f>
        <v>20:13:55.547</v>
      </c>
      <c r="T496" t="str">
        <f>"20:13:55.147"</f>
        <v>20:13:55.147</v>
      </c>
      <c r="U496" t="str">
        <f t="shared" si="22"/>
        <v>AB01F4</v>
      </c>
      <c r="V496">
        <v>0</v>
      </c>
      <c r="W496">
        <v>0</v>
      </c>
      <c r="X496">
        <v>1</v>
      </c>
      <c r="Z496">
        <v>0</v>
      </c>
      <c r="AA496">
        <v>9</v>
      </c>
      <c r="AB496">
        <v>3</v>
      </c>
      <c r="AC496">
        <v>0</v>
      </c>
      <c r="AD496">
        <v>10</v>
      </c>
      <c r="AE496">
        <v>0</v>
      </c>
      <c r="AF496">
        <v>3</v>
      </c>
      <c r="AG496">
        <v>2</v>
      </c>
      <c r="AH496">
        <v>0</v>
      </c>
      <c r="AI496" t="s">
        <v>468</v>
      </c>
      <c r="AJ496">
        <v>39.575822000000002</v>
      </c>
      <c r="AK496" t="s">
        <v>469</v>
      </c>
      <c r="AL496">
        <v>-92.495034000000004</v>
      </c>
      <c r="AM496">
        <v>100</v>
      </c>
      <c r="AN496">
        <v>1900</v>
      </c>
      <c r="AO496" t="s">
        <v>118</v>
      </c>
      <c r="AP496">
        <v>-23</v>
      </c>
      <c r="AQ496">
        <v>137</v>
      </c>
      <c r="AR496">
        <v>0</v>
      </c>
      <c r="AZ496">
        <v>1200</v>
      </c>
      <c r="BA496">
        <v>1</v>
      </c>
      <c r="BB496" t="str">
        <f t="shared" si="24"/>
        <v xml:space="preserve">N8080G  </v>
      </c>
      <c r="BC496">
        <v>1</v>
      </c>
      <c r="BE496">
        <v>0</v>
      </c>
      <c r="BF496">
        <v>0</v>
      </c>
      <c r="BG496">
        <v>0</v>
      </c>
      <c r="BH496">
        <v>1850</v>
      </c>
      <c r="BI496">
        <v>1</v>
      </c>
      <c r="BJ496">
        <v>1</v>
      </c>
      <c r="BK496">
        <v>1</v>
      </c>
      <c r="BL496">
        <v>0</v>
      </c>
      <c r="BO496">
        <v>0</v>
      </c>
      <c r="BP496">
        <v>0</v>
      </c>
      <c r="BW496" t="str">
        <f>"20:13:55.549"</f>
        <v>20:13:55.549</v>
      </c>
      <c r="CJ496">
        <v>0</v>
      </c>
      <c r="CK496">
        <v>2</v>
      </c>
      <c r="CL496">
        <v>0</v>
      </c>
      <c r="CM496">
        <v>2</v>
      </c>
      <c r="CN496">
        <v>0</v>
      </c>
      <c r="CO496">
        <v>5</v>
      </c>
      <c r="CP496" t="s">
        <v>119</v>
      </c>
      <c r="CQ496">
        <v>559</v>
      </c>
      <c r="CR496">
        <v>0</v>
      </c>
      <c r="CW496">
        <v>10409778</v>
      </c>
      <c r="CY496">
        <v>1</v>
      </c>
      <c r="CZ496">
        <v>0</v>
      </c>
      <c r="DA496">
        <v>1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</row>
    <row r="497" spans="1:113" x14ac:dyDescent="0.3">
      <c r="A497" t="str">
        <f>"02/08/2021 20:13:54.231"</f>
        <v>02/08/2021 20:13:54.231</v>
      </c>
      <c r="C497" t="str">
        <f t="shared" si="23"/>
        <v>FFDFD3C0</v>
      </c>
      <c r="D497" t="s">
        <v>141</v>
      </c>
      <c r="E497">
        <v>17</v>
      </c>
      <c r="H497">
        <v>256</v>
      </c>
      <c r="I497" t="s">
        <v>142</v>
      </c>
      <c r="J497" t="s">
        <v>143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>"20:13:56.523"</f>
        <v>20:13:56.523</v>
      </c>
      <c r="T497" t="str">
        <f>"20:13:56.123"</f>
        <v>20:13:56.123</v>
      </c>
      <c r="U497" t="str">
        <f t="shared" si="22"/>
        <v>AB01F4</v>
      </c>
      <c r="V497">
        <v>0</v>
      </c>
      <c r="W497">
        <v>0</v>
      </c>
      <c r="X497">
        <v>1</v>
      </c>
      <c r="Z497">
        <v>0</v>
      </c>
      <c r="AA497">
        <v>9</v>
      </c>
      <c r="AB497">
        <v>3</v>
      </c>
      <c r="AC497">
        <v>0</v>
      </c>
      <c r="AD497">
        <v>10</v>
      </c>
      <c r="AE497">
        <v>0</v>
      </c>
      <c r="AF497">
        <v>3</v>
      </c>
      <c r="AG497">
        <v>2</v>
      </c>
      <c r="AH497">
        <v>0</v>
      </c>
      <c r="AI497" t="s">
        <v>470</v>
      </c>
      <c r="AJ497">
        <v>39.576466000000003</v>
      </c>
      <c r="AK497" t="s">
        <v>471</v>
      </c>
      <c r="AL497">
        <v>-92.495141000000004</v>
      </c>
      <c r="AM497">
        <v>100</v>
      </c>
      <c r="AN497">
        <v>1900</v>
      </c>
      <c r="AO497" t="s">
        <v>118</v>
      </c>
      <c r="AP497">
        <v>-22</v>
      </c>
      <c r="AQ497">
        <v>136</v>
      </c>
      <c r="AR497">
        <v>0</v>
      </c>
      <c r="AZ497">
        <v>1200</v>
      </c>
      <c r="BA497">
        <v>1</v>
      </c>
      <c r="BB497" t="str">
        <f t="shared" si="24"/>
        <v xml:space="preserve">N8080G  </v>
      </c>
      <c r="BC497">
        <v>1</v>
      </c>
      <c r="BE497">
        <v>0</v>
      </c>
      <c r="BF497">
        <v>0</v>
      </c>
      <c r="BG497">
        <v>0</v>
      </c>
      <c r="BH497">
        <v>1850</v>
      </c>
      <c r="BI497">
        <v>1</v>
      </c>
      <c r="BJ497">
        <v>1</v>
      </c>
      <c r="BK497">
        <v>1</v>
      </c>
      <c r="BL497">
        <v>0</v>
      </c>
      <c r="BO497">
        <v>0</v>
      </c>
      <c r="BP497">
        <v>0</v>
      </c>
      <c r="BW497" t="str">
        <f>"20:13:56.527"</f>
        <v>20:13:56.527</v>
      </c>
      <c r="CJ497">
        <v>0</v>
      </c>
      <c r="CK497">
        <v>2</v>
      </c>
      <c r="CL497">
        <v>0</v>
      </c>
      <c r="CM497">
        <v>2</v>
      </c>
      <c r="CN497">
        <v>0</v>
      </c>
      <c r="CO497">
        <v>5</v>
      </c>
      <c r="CP497" t="s">
        <v>119</v>
      </c>
      <c r="CQ497">
        <v>559</v>
      </c>
      <c r="CR497">
        <v>0</v>
      </c>
      <c r="CW497">
        <v>10409926</v>
      </c>
      <c r="CY497">
        <v>1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</row>
    <row r="498" spans="1:113" x14ac:dyDescent="0.3">
      <c r="A498" t="str">
        <f>"02/08/2021 20:13:54.231"</f>
        <v>02/08/2021 20:13:54.231</v>
      </c>
      <c r="C498" t="str">
        <f t="shared" si="23"/>
        <v>FFDFD3C0</v>
      </c>
      <c r="D498" t="s">
        <v>124</v>
      </c>
      <c r="E498">
        <v>13</v>
      </c>
      <c r="F498">
        <v>1013</v>
      </c>
      <c r="G498" t="s">
        <v>114</v>
      </c>
      <c r="J498" t="s">
        <v>125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>"20:13:56.523"</f>
        <v>20:13:56.523</v>
      </c>
      <c r="T498" t="str">
        <f>"20:13:56.123"</f>
        <v>20:13:56.123</v>
      </c>
      <c r="U498" t="str">
        <f t="shared" si="22"/>
        <v>AB01F4</v>
      </c>
      <c r="V498">
        <v>0</v>
      </c>
      <c r="W498">
        <v>0</v>
      </c>
      <c r="X498">
        <v>1</v>
      </c>
      <c r="Z498">
        <v>0</v>
      </c>
      <c r="AA498">
        <v>9</v>
      </c>
      <c r="AB498">
        <v>3</v>
      </c>
      <c r="AC498">
        <v>0</v>
      </c>
      <c r="AD498">
        <v>10</v>
      </c>
      <c r="AE498">
        <v>0</v>
      </c>
      <c r="AF498">
        <v>3</v>
      </c>
      <c r="AG498">
        <v>2</v>
      </c>
      <c r="AH498">
        <v>0</v>
      </c>
      <c r="AI498" t="s">
        <v>470</v>
      </c>
      <c r="AJ498">
        <v>39.576466000000003</v>
      </c>
      <c r="AK498" t="s">
        <v>471</v>
      </c>
      <c r="AL498">
        <v>-92.495141000000004</v>
      </c>
      <c r="AM498">
        <v>100</v>
      </c>
      <c r="AN498">
        <v>1900</v>
      </c>
      <c r="AO498" t="s">
        <v>118</v>
      </c>
      <c r="AP498">
        <v>-22</v>
      </c>
      <c r="AQ498">
        <v>136</v>
      </c>
      <c r="AR498">
        <v>0</v>
      </c>
      <c r="AZ498">
        <v>1200</v>
      </c>
      <c r="BA498">
        <v>1</v>
      </c>
      <c r="BB498" t="str">
        <f t="shared" si="24"/>
        <v xml:space="preserve">N8080G  </v>
      </c>
      <c r="BC498">
        <v>1</v>
      </c>
      <c r="BE498">
        <v>0</v>
      </c>
      <c r="BF498">
        <v>0</v>
      </c>
      <c r="BG498">
        <v>0</v>
      </c>
      <c r="BH498">
        <v>1850</v>
      </c>
      <c r="BI498">
        <v>1</v>
      </c>
      <c r="BJ498">
        <v>1</v>
      </c>
      <c r="BK498">
        <v>1</v>
      </c>
      <c r="BL498">
        <v>0</v>
      </c>
      <c r="BO498">
        <v>0</v>
      </c>
      <c r="BP498">
        <v>0</v>
      </c>
      <c r="BW498" t="str">
        <f>"20:13:56.527"</f>
        <v>20:13:56.527</v>
      </c>
      <c r="CJ498">
        <v>0</v>
      </c>
      <c r="CK498">
        <v>2</v>
      </c>
      <c r="CL498">
        <v>0</v>
      </c>
      <c r="CM498">
        <v>2</v>
      </c>
      <c r="CN498">
        <v>0</v>
      </c>
      <c r="CO498">
        <v>5</v>
      </c>
      <c r="CP498" t="s">
        <v>119</v>
      </c>
      <c r="CQ498">
        <v>559</v>
      </c>
      <c r="CR498">
        <v>0</v>
      </c>
      <c r="CW498">
        <v>10409926</v>
      </c>
      <c r="CY498">
        <v>1</v>
      </c>
      <c r="CZ498">
        <v>0</v>
      </c>
      <c r="DA498">
        <v>1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</row>
    <row r="499" spans="1:113" x14ac:dyDescent="0.3">
      <c r="A499" t="str">
        <f>"02/08/2021 20:13:54.231"</f>
        <v>02/08/2021 20:13:54.231</v>
      </c>
      <c r="C499" t="str">
        <f t="shared" si="23"/>
        <v>FFDFD3C0</v>
      </c>
      <c r="D499" t="s">
        <v>113</v>
      </c>
      <c r="E499">
        <v>6</v>
      </c>
      <c r="H499">
        <v>165</v>
      </c>
      <c r="I499" t="s">
        <v>114</v>
      </c>
      <c r="J499" t="s">
        <v>115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>"20:13:56.523"</f>
        <v>20:13:56.523</v>
      </c>
      <c r="T499" t="str">
        <f>"20:13:56.123"</f>
        <v>20:13:56.123</v>
      </c>
      <c r="U499" t="str">
        <f t="shared" si="22"/>
        <v>AB01F4</v>
      </c>
      <c r="V499">
        <v>0</v>
      </c>
      <c r="W499">
        <v>0</v>
      </c>
      <c r="X499">
        <v>1</v>
      </c>
      <c r="Z499">
        <v>0</v>
      </c>
      <c r="AA499">
        <v>9</v>
      </c>
      <c r="AB499">
        <v>3</v>
      </c>
      <c r="AC499">
        <v>0</v>
      </c>
      <c r="AD499">
        <v>10</v>
      </c>
      <c r="AE499">
        <v>0</v>
      </c>
      <c r="AF499">
        <v>3</v>
      </c>
      <c r="AG499">
        <v>2</v>
      </c>
      <c r="AH499">
        <v>0</v>
      </c>
      <c r="AI499" t="s">
        <v>470</v>
      </c>
      <c r="AJ499">
        <v>39.576466000000003</v>
      </c>
      <c r="AK499" t="s">
        <v>471</v>
      </c>
      <c r="AL499">
        <v>-92.495141000000004</v>
      </c>
      <c r="AM499">
        <v>100</v>
      </c>
      <c r="AN499">
        <v>1900</v>
      </c>
      <c r="AO499" t="s">
        <v>118</v>
      </c>
      <c r="AP499">
        <v>-22</v>
      </c>
      <c r="AQ499">
        <v>136</v>
      </c>
      <c r="AR499">
        <v>0</v>
      </c>
      <c r="AZ499">
        <v>1200</v>
      </c>
      <c r="BA499">
        <v>1</v>
      </c>
      <c r="BB499" t="str">
        <f t="shared" si="24"/>
        <v xml:space="preserve">N8080G  </v>
      </c>
      <c r="BC499">
        <v>1</v>
      </c>
      <c r="BE499">
        <v>0</v>
      </c>
      <c r="BF499">
        <v>0</v>
      </c>
      <c r="BG499">
        <v>0</v>
      </c>
      <c r="BH499">
        <v>1850</v>
      </c>
      <c r="BI499">
        <v>1</v>
      </c>
      <c r="BJ499">
        <v>1</v>
      </c>
      <c r="BK499">
        <v>1</v>
      </c>
      <c r="BL499">
        <v>0</v>
      </c>
      <c r="BO499">
        <v>0</v>
      </c>
      <c r="BP499">
        <v>0</v>
      </c>
      <c r="BW499" t="str">
        <f>"20:13:56.527"</f>
        <v>20:13:56.527</v>
      </c>
      <c r="CJ499">
        <v>0</v>
      </c>
      <c r="CK499">
        <v>2</v>
      </c>
      <c r="CL499">
        <v>0</v>
      </c>
      <c r="CM499">
        <v>2</v>
      </c>
      <c r="CN499">
        <v>0</v>
      </c>
      <c r="CO499">
        <v>5</v>
      </c>
      <c r="CP499" t="s">
        <v>119</v>
      </c>
      <c r="CQ499">
        <v>559</v>
      </c>
      <c r="CR499">
        <v>0</v>
      </c>
      <c r="CW499">
        <v>10409926</v>
      </c>
      <c r="CY499">
        <v>1</v>
      </c>
      <c r="CZ499">
        <v>0</v>
      </c>
      <c r="DA499">
        <v>1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</row>
    <row r="500" spans="1:113" x14ac:dyDescent="0.3">
      <c r="A500" t="str">
        <f>"02/08/2021 20:13:55.090"</f>
        <v>02/08/2021 20:13:55.090</v>
      </c>
      <c r="C500" t="str">
        <f t="shared" si="23"/>
        <v>FFDFD3C0</v>
      </c>
      <c r="D500" t="s">
        <v>141</v>
      </c>
      <c r="E500">
        <v>17</v>
      </c>
      <c r="H500">
        <v>256</v>
      </c>
      <c r="I500" t="s">
        <v>142</v>
      </c>
      <c r="J500" t="s">
        <v>143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>"20:13:57.406"</f>
        <v>20:13:57.406</v>
      </c>
      <c r="T500" t="str">
        <f>"20:13:57.006"</f>
        <v>20:13:57.006</v>
      </c>
      <c r="U500" t="str">
        <f t="shared" si="22"/>
        <v>AB01F4</v>
      </c>
      <c r="V500">
        <v>0</v>
      </c>
      <c r="W500">
        <v>0</v>
      </c>
      <c r="X500">
        <v>1</v>
      </c>
      <c r="Z500">
        <v>0</v>
      </c>
      <c r="AA500">
        <v>9</v>
      </c>
      <c r="AB500">
        <v>3</v>
      </c>
      <c r="AC500">
        <v>0</v>
      </c>
      <c r="AD500">
        <v>10</v>
      </c>
      <c r="AE500">
        <v>0</v>
      </c>
      <c r="AF500">
        <v>3</v>
      </c>
      <c r="AG500">
        <v>2</v>
      </c>
      <c r="AH500">
        <v>0</v>
      </c>
      <c r="AI500" t="s">
        <v>472</v>
      </c>
      <c r="AJ500">
        <v>39.576981000000004</v>
      </c>
      <c r="AK500" t="s">
        <v>473</v>
      </c>
      <c r="AL500">
        <v>-92.495290999999995</v>
      </c>
      <c r="AM500">
        <v>100</v>
      </c>
      <c r="AN500">
        <v>1900</v>
      </c>
      <c r="AO500" t="s">
        <v>118</v>
      </c>
      <c r="AP500">
        <v>-22</v>
      </c>
      <c r="AQ500">
        <v>136</v>
      </c>
      <c r="AR500">
        <v>0</v>
      </c>
      <c r="AZ500">
        <v>1200</v>
      </c>
      <c r="BA500">
        <v>1</v>
      </c>
      <c r="BB500" t="str">
        <f t="shared" si="24"/>
        <v xml:space="preserve">N8080G  </v>
      </c>
      <c r="BC500">
        <v>1</v>
      </c>
      <c r="BE500">
        <v>0</v>
      </c>
      <c r="BF500">
        <v>0</v>
      </c>
      <c r="BG500">
        <v>0</v>
      </c>
      <c r="BH500">
        <v>1850</v>
      </c>
      <c r="BI500">
        <v>1</v>
      </c>
      <c r="BJ500">
        <v>1</v>
      </c>
      <c r="BK500">
        <v>1</v>
      </c>
      <c r="BL500">
        <v>0</v>
      </c>
      <c r="BO500">
        <v>0</v>
      </c>
      <c r="BP500">
        <v>0</v>
      </c>
      <c r="BW500" t="str">
        <f>"20:13:57.407"</f>
        <v>20:13:57.407</v>
      </c>
      <c r="CJ500">
        <v>0</v>
      </c>
      <c r="CK500">
        <v>2</v>
      </c>
      <c r="CL500">
        <v>0</v>
      </c>
      <c r="CM500">
        <v>2</v>
      </c>
      <c r="CN500">
        <v>0</v>
      </c>
      <c r="CO500">
        <v>5</v>
      </c>
      <c r="CP500" t="s">
        <v>119</v>
      </c>
      <c r="CQ500">
        <v>559</v>
      </c>
      <c r="CR500">
        <v>0</v>
      </c>
      <c r="CW500">
        <v>10410068</v>
      </c>
      <c r="CY500">
        <v>1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</row>
    <row r="501" spans="1:113" x14ac:dyDescent="0.3">
      <c r="A501" t="str">
        <f>"02/08/2021 20:13:55.090"</f>
        <v>02/08/2021 20:13:55.090</v>
      </c>
      <c r="C501" t="str">
        <f t="shared" si="23"/>
        <v>FFDFD3C0</v>
      </c>
      <c r="D501" t="s">
        <v>124</v>
      </c>
      <c r="E501">
        <v>13</v>
      </c>
      <c r="F501">
        <v>1013</v>
      </c>
      <c r="G501" t="s">
        <v>114</v>
      </c>
      <c r="J501" t="s">
        <v>125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>"20:13:57.406"</f>
        <v>20:13:57.406</v>
      </c>
      <c r="T501" t="str">
        <f>"20:13:57.006"</f>
        <v>20:13:57.006</v>
      </c>
      <c r="U501" t="str">
        <f t="shared" si="22"/>
        <v>AB01F4</v>
      </c>
      <c r="V501">
        <v>0</v>
      </c>
      <c r="W501">
        <v>0</v>
      </c>
      <c r="X501">
        <v>1</v>
      </c>
      <c r="Z501">
        <v>0</v>
      </c>
      <c r="AA501">
        <v>9</v>
      </c>
      <c r="AB501">
        <v>3</v>
      </c>
      <c r="AC501">
        <v>0</v>
      </c>
      <c r="AD501">
        <v>10</v>
      </c>
      <c r="AE501">
        <v>0</v>
      </c>
      <c r="AF501">
        <v>3</v>
      </c>
      <c r="AG501">
        <v>2</v>
      </c>
      <c r="AH501">
        <v>0</v>
      </c>
      <c r="AI501" t="s">
        <v>472</v>
      </c>
      <c r="AJ501">
        <v>39.576981000000004</v>
      </c>
      <c r="AK501" t="s">
        <v>473</v>
      </c>
      <c r="AL501">
        <v>-92.495290999999995</v>
      </c>
      <c r="AM501">
        <v>100</v>
      </c>
      <c r="AN501">
        <v>1900</v>
      </c>
      <c r="AO501" t="s">
        <v>118</v>
      </c>
      <c r="AP501">
        <v>-22</v>
      </c>
      <c r="AQ501">
        <v>136</v>
      </c>
      <c r="AR501">
        <v>0</v>
      </c>
      <c r="AZ501">
        <v>1200</v>
      </c>
      <c r="BA501">
        <v>1</v>
      </c>
      <c r="BB501" t="str">
        <f t="shared" si="24"/>
        <v xml:space="preserve">N8080G  </v>
      </c>
      <c r="BC501">
        <v>1</v>
      </c>
      <c r="BE501">
        <v>0</v>
      </c>
      <c r="BF501">
        <v>0</v>
      </c>
      <c r="BG501">
        <v>0</v>
      </c>
      <c r="BH501">
        <v>1850</v>
      </c>
      <c r="BI501">
        <v>1</v>
      </c>
      <c r="BJ501">
        <v>1</v>
      </c>
      <c r="BK501">
        <v>1</v>
      </c>
      <c r="BL501">
        <v>0</v>
      </c>
      <c r="BO501">
        <v>0</v>
      </c>
      <c r="BP501">
        <v>0</v>
      </c>
      <c r="BW501" t="str">
        <f>"20:13:57.407"</f>
        <v>20:13:57.407</v>
      </c>
      <c r="CJ501">
        <v>0</v>
      </c>
      <c r="CK501">
        <v>2</v>
      </c>
      <c r="CL501">
        <v>0</v>
      </c>
      <c r="CM501">
        <v>2</v>
      </c>
      <c r="CN501">
        <v>0</v>
      </c>
      <c r="CO501">
        <v>5</v>
      </c>
      <c r="CP501" t="s">
        <v>119</v>
      </c>
      <c r="CQ501">
        <v>559</v>
      </c>
      <c r="CR501">
        <v>0</v>
      </c>
      <c r="CW501">
        <v>10410068</v>
      </c>
      <c r="CY501">
        <v>1</v>
      </c>
      <c r="CZ501">
        <v>0</v>
      </c>
      <c r="DA501">
        <v>1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</row>
    <row r="502" spans="1:113" x14ac:dyDescent="0.3">
      <c r="A502" t="str">
        <f>"02/08/2021 20:13:55.090"</f>
        <v>02/08/2021 20:13:55.090</v>
      </c>
      <c r="C502" t="str">
        <f t="shared" si="23"/>
        <v>FFDFD3C0</v>
      </c>
      <c r="D502" t="s">
        <v>113</v>
      </c>
      <c r="E502">
        <v>6</v>
      </c>
      <c r="H502">
        <v>165</v>
      </c>
      <c r="I502" t="s">
        <v>114</v>
      </c>
      <c r="J502" t="s">
        <v>115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>"20:13:57.406"</f>
        <v>20:13:57.406</v>
      </c>
      <c r="T502" t="str">
        <f>"20:13:57.006"</f>
        <v>20:13:57.006</v>
      </c>
      <c r="U502" t="str">
        <f t="shared" si="22"/>
        <v>AB01F4</v>
      </c>
      <c r="V502">
        <v>0</v>
      </c>
      <c r="W502">
        <v>0</v>
      </c>
      <c r="X502">
        <v>1</v>
      </c>
      <c r="Z502">
        <v>0</v>
      </c>
      <c r="AA502">
        <v>9</v>
      </c>
      <c r="AB502">
        <v>3</v>
      </c>
      <c r="AC502">
        <v>0</v>
      </c>
      <c r="AD502">
        <v>10</v>
      </c>
      <c r="AE502">
        <v>0</v>
      </c>
      <c r="AF502">
        <v>3</v>
      </c>
      <c r="AG502">
        <v>2</v>
      </c>
      <c r="AH502">
        <v>0</v>
      </c>
      <c r="AI502" t="s">
        <v>472</v>
      </c>
      <c r="AJ502">
        <v>39.576981000000004</v>
      </c>
      <c r="AK502" t="s">
        <v>473</v>
      </c>
      <c r="AL502">
        <v>-92.495290999999995</v>
      </c>
      <c r="AM502">
        <v>100</v>
      </c>
      <c r="AN502">
        <v>1900</v>
      </c>
      <c r="AO502" t="s">
        <v>118</v>
      </c>
      <c r="AP502">
        <v>-22</v>
      </c>
      <c r="AQ502">
        <v>136</v>
      </c>
      <c r="AR502">
        <v>0</v>
      </c>
      <c r="AZ502">
        <v>1200</v>
      </c>
      <c r="BA502">
        <v>1</v>
      </c>
      <c r="BB502" t="str">
        <f t="shared" si="24"/>
        <v xml:space="preserve">N8080G  </v>
      </c>
      <c r="BC502">
        <v>1</v>
      </c>
      <c r="BE502">
        <v>0</v>
      </c>
      <c r="BF502">
        <v>0</v>
      </c>
      <c r="BG502">
        <v>0</v>
      </c>
      <c r="BH502">
        <v>1850</v>
      </c>
      <c r="BI502">
        <v>1</v>
      </c>
      <c r="BJ502">
        <v>1</v>
      </c>
      <c r="BK502">
        <v>1</v>
      </c>
      <c r="BL502">
        <v>0</v>
      </c>
      <c r="BO502">
        <v>0</v>
      </c>
      <c r="BP502">
        <v>0</v>
      </c>
      <c r="BW502" t="str">
        <f>"20:13:57.407"</f>
        <v>20:13:57.407</v>
      </c>
      <c r="CJ502">
        <v>0</v>
      </c>
      <c r="CK502">
        <v>2</v>
      </c>
      <c r="CL502">
        <v>0</v>
      </c>
      <c r="CM502">
        <v>2</v>
      </c>
      <c r="CN502">
        <v>0</v>
      </c>
      <c r="CO502">
        <v>5</v>
      </c>
      <c r="CP502" t="s">
        <v>119</v>
      </c>
      <c r="CQ502">
        <v>559</v>
      </c>
      <c r="CR502">
        <v>0</v>
      </c>
      <c r="CW502">
        <v>10410068</v>
      </c>
      <c r="CY502">
        <v>1</v>
      </c>
      <c r="CZ502">
        <v>0</v>
      </c>
      <c r="DA502">
        <v>1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</row>
    <row r="503" spans="1:113" x14ac:dyDescent="0.3">
      <c r="A503" t="str">
        <f>"02/08/2021 20:13:56.097"</f>
        <v>02/08/2021 20:13:56.097</v>
      </c>
      <c r="C503" t="str">
        <f t="shared" si="23"/>
        <v>FFDFD3C0</v>
      </c>
      <c r="D503" t="s">
        <v>124</v>
      </c>
      <c r="E503">
        <v>13</v>
      </c>
      <c r="F503">
        <v>1013</v>
      </c>
      <c r="G503" t="s">
        <v>114</v>
      </c>
      <c r="J503" t="s">
        <v>125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>"20:13:58.422"</f>
        <v>20:13:58.422</v>
      </c>
      <c r="T503" t="str">
        <f>"20:13:57.922"</f>
        <v>20:13:57.922</v>
      </c>
      <c r="U503" t="str">
        <f t="shared" si="22"/>
        <v>AB01F4</v>
      </c>
      <c r="V503">
        <v>0</v>
      </c>
      <c r="W503">
        <v>0</v>
      </c>
      <c r="X503">
        <v>1</v>
      </c>
      <c r="Z503">
        <v>0</v>
      </c>
      <c r="AA503">
        <v>9</v>
      </c>
      <c r="AB503">
        <v>3</v>
      </c>
      <c r="AC503">
        <v>0</v>
      </c>
      <c r="AD503">
        <v>10</v>
      </c>
      <c r="AE503">
        <v>0</v>
      </c>
      <c r="AF503">
        <v>3</v>
      </c>
      <c r="AG503">
        <v>2</v>
      </c>
      <c r="AH503">
        <v>0</v>
      </c>
      <c r="AI503" t="s">
        <v>474</v>
      </c>
      <c r="AJ503">
        <v>39.577646000000001</v>
      </c>
      <c r="AK503" t="s">
        <v>475</v>
      </c>
      <c r="AL503">
        <v>-92.495419999999996</v>
      </c>
      <c r="AM503">
        <v>100</v>
      </c>
      <c r="AN503">
        <v>1900</v>
      </c>
      <c r="AO503" t="s">
        <v>118</v>
      </c>
      <c r="AP503">
        <v>-21</v>
      </c>
      <c r="AQ503">
        <v>137</v>
      </c>
      <c r="AR503">
        <v>0</v>
      </c>
      <c r="AZ503">
        <v>1200</v>
      </c>
      <c r="BA503">
        <v>1</v>
      </c>
      <c r="BB503" t="str">
        <f t="shared" si="24"/>
        <v xml:space="preserve">N8080G  </v>
      </c>
      <c r="BC503">
        <v>1</v>
      </c>
      <c r="BE503">
        <v>0</v>
      </c>
      <c r="BF503">
        <v>0</v>
      </c>
      <c r="BG503">
        <v>0</v>
      </c>
      <c r="BH503">
        <v>1850</v>
      </c>
      <c r="BI503">
        <v>1</v>
      </c>
      <c r="BJ503">
        <v>1</v>
      </c>
      <c r="BK503">
        <v>1</v>
      </c>
      <c r="BL503">
        <v>0</v>
      </c>
      <c r="BO503">
        <v>0</v>
      </c>
      <c r="BP503">
        <v>0</v>
      </c>
      <c r="BW503" t="str">
        <f>"20:13:58.428"</f>
        <v>20:13:58.428</v>
      </c>
      <c r="CJ503">
        <v>0</v>
      </c>
      <c r="CK503">
        <v>2</v>
      </c>
      <c r="CL503">
        <v>0</v>
      </c>
      <c r="CM503">
        <v>2</v>
      </c>
      <c r="CN503">
        <v>0</v>
      </c>
      <c r="CO503">
        <v>5</v>
      </c>
      <c r="CP503" t="s">
        <v>119</v>
      </c>
      <c r="CQ503">
        <v>559</v>
      </c>
      <c r="CR503">
        <v>0</v>
      </c>
      <c r="CW503">
        <v>10410237</v>
      </c>
      <c r="CY503">
        <v>1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</row>
    <row r="504" spans="1:113" x14ac:dyDescent="0.3">
      <c r="A504" t="str">
        <f>"02/08/2021 20:13:56.097"</f>
        <v>02/08/2021 20:13:56.097</v>
      </c>
      <c r="C504" t="str">
        <f t="shared" si="23"/>
        <v>FFDFD3C0</v>
      </c>
      <c r="D504" t="s">
        <v>141</v>
      </c>
      <c r="E504">
        <v>17</v>
      </c>
      <c r="H504">
        <v>256</v>
      </c>
      <c r="I504" t="s">
        <v>142</v>
      </c>
      <c r="J504" t="s">
        <v>143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>"20:13:58.422"</f>
        <v>20:13:58.422</v>
      </c>
      <c r="T504" t="str">
        <f>"20:13:57.922"</f>
        <v>20:13:57.922</v>
      </c>
      <c r="U504" t="str">
        <f t="shared" si="22"/>
        <v>AB01F4</v>
      </c>
      <c r="V504">
        <v>0</v>
      </c>
      <c r="W504">
        <v>0</v>
      </c>
      <c r="X504">
        <v>1</v>
      </c>
      <c r="Z504">
        <v>0</v>
      </c>
      <c r="AA504">
        <v>9</v>
      </c>
      <c r="AB504">
        <v>3</v>
      </c>
      <c r="AC504">
        <v>0</v>
      </c>
      <c r="AD504">
        <v>10</v>
      </c>
      <c r="AE504">
        <v>0</v>
      </c>
      <c r="AF504">
        <v>3</v>
      </c>
      <c r="AG504">
        <v>2</v>
      </c>
      <c r="AH504">
        <v>0</v>
      </c>
      <c r="AI504" t="s">
        <v>474</v>
      </c>
      <c r="AJ504">
        <v>39.577646000000001</v>
      </c>
      <c r="AK504" t="s">
        <v>475</v>
      </c>
      <c r="AL504">
        <v>-92.495419999999996</v>
      </c>
      <c r="AM504">
        <v>100</v>
      </c>
      <c r="AN504">
        <v>1900</v>
      </c>
      <c r="AO504" t="s">
        <v>118</v>
      </c>
      <c r="AP504">
        <v>-21</v>
      </c>
      <c r="AQ504">
        <v>137</v>
      </c>
      <c r="AR504">
        <v>0</v>
      </c>
      <c r="AZ504">
        <v>1200</v>
      </c>
      <c r="BA504">
        <v>1</v>
      </c>
      <c r="BB504" t="str">
        <f t="shared" si="24"/>
        <v xml:space="preserve">N8080G  </v>
      </c>
      <c r="BC504">
        <v>1</v>
      </c>
      <c r="BE504">
        <v>0</v>
      </c>
      <c r="BF504">
        <v>0</v>
      </c>
      <c r="BG504">
        <v>0</v>
      </c>
      <c r="BH504">
        <v>1850</v>
      </c>
      <c r="BI504">
        <v>1</v>
      </c>
      <c r="BJ504">
        <v>1</v>
      </c>
      <c r="BK504">
        <v>1</v>
      </c>
      <c r="BL504">
        <v>0</v>
      </c>
      <c r="BO504">
        <v>0</v>
      </c>
      <c r="BP504">
        <v>0</v>
      </c>
      <c r="BW504" t="str">
        <f>"20:13:58.428"</f>
        <v>20:13:58.428</v>
      </c>
      <c r="CJ504">
        <v>0</v>
      </c>
      <c r="CK504">
        <v>2</v>
      </c>
      <c r="CL504">
        <v>0</v>
      </c>
      <c r="CM504">
        <v>2</v>
      </c>
      <c r="CN504">
        <v>0</v>
      </c>
      <c r="CO504">
        <v>5</v>
      </c>
      <c r="CP504" t="s">
        <v>119</v>
      </c>
      <c r="CQ504">
        <v>559</v>
      </c>
      <c r="CR504">
        <v>0</v>
      </c>
      <c r="CW504">
        <v>10410237</v>
      </c>
      <c r="CY504">
        <v>1</v>
      </c>
      <c r="CZ504">
        <v>0</v>
      </c>
      <c r="DA504">
        <v>1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</row>
    <row r="505" spans="1:113" x14ac:dyDescent="0.3">
      <c r="A505" t="str">
        <f>"02/08/2021 20:13:56.097"</f>
        <v>02/08/2021 20:13:56.097</v>
      </c>
      <c r="C505" t="str">
        <f t="shared" si="23"/>
        <v>FFDFD3C0</v>
      </c>
      <c r="D505" t="s">
        <v>113</v>
      </c>
      <c r="E505">
        <v>6</v>
      </c>
      <c r="H505">
        <v>165</v>
      </c>
      <c r="I505" t="s">
        <v>114</v>
      </c>
      <c r="J505" t="s">
        <v>115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>"20:13:58.422"</f>
        <v>20:13:58.422</v>
      </c>
      <c r="T505" t="str">
        <f>"20:13:57.922"</f>
        <v>20:13:57.922</v>
      </c>
      <c r="U505" t="str">
        <f t="shared" si="22"/>
        <v>AB01F4</v>
      </c>
      <c r="V505">
        <v>0</v>
      </c>
      <c r="W505">
        <v>0</v>
      </c>
      <c r="X505">
        <v>1</v>
      </c>
      <c r="Z505">
        <v>0</v>
      </c>
      <c r="AA505">
        <v>9</v>
      </c>
      <c r="AB505">
        <v>3</v>
      </c>
      <c r="AC505">
        <v>0</v>
      </c>
      <c r="AD505">
        <v>10</v>
      </c>
      <c r="AE505">
        <v>0</v>
      </c>
      <c r="AF505">
        <v>3</v>
      </c>
      <c r="AG505">
        <v>2</v>
      </c>
      <c r="AH505">
        <v>0</v>
      </c>
      <c r="AI505" t="s">
        <v>474</v>
      </c>
      <c r="AJ505">
        <v>39.577646000000001</v>
      </c>
      <c r="AK505" t="s">
        <v>475</v>
      </c>
      <c r="AL505">
        <v>-92.495419999999996</v>
      </c>
      <c r="AM505">
        <v>100</v>
      </c>
      <c r="AN505">
        <v>1900</v>
      </c>
      <c r="AO505" t="s">
        <v>118</v>
      </c>
      <c r="AP505">
        <v>-21</v>
      </c>
      <c r="AQ505">
        <v>137</v>
      </c>
      <c r="AR505">
        <v>0</v>
      </c>
      <c r="AZ505">
        <v>1200</v>
      </c>
      <c r="BA505">
        <v>1</v>
      </c>
      <c r="BB505" t="str">
        <f t="shared" si="24"/>
        <v xml:space="preserve">N8080G  </v>
      </c>
      <c r="BC505">
        <v>1</v>
      </c>
      <c r="BE505">
        <v>0</v>
      </c>
      <c r="BF505">
        <v>0</v>
      </c>
      <c r="BG505">
        <v>0</v>
      </c>
      <c r="BH505">
        <v>1850</v>
      </c>
      <c r="BI505">
        <v>1</v>
      </c>
      <c r="BJ505">
        <v>1</v>
      </c>
      <c r="BK505">
        <v>1</v>
      </c>
      <c r="BL505">
        <v>0</v>
      </c>
      <c r="BO505">
        <v>0</v>
      </c>
      <c r="BP505">
        <v>0</v>
      </c>
      <c r="BW505" t="str">
        <f>"20:13:58.428"</f>
        <v>20:13:58.428</v>
      </c>
      <c r="CJ505">
        <v>0</v>
      </c>
      <c r="CK505">
        <v>2</v>
      </c>
      <c r="CL505">
        <v>0</v>
      </c>
      <c r="CM505">
        <v>2</v>
      </c>
      <c r="CN505">
        <v>0</v>
      </c>
      <c r="CO505">
        <v>5</v>
      </c>
      <c r="CP505" t="s">
        <v>119</v>
      </c>
      <c r="CQ505">
        <v>559</v>
      </c>
      <c r="CR505">
        <v>0</v>
      </c>
      <c r="CW505">
        <v>10410237</v>
      </c>
      <c r="CY505">
        <v>1</v>
      </c>
      <c r="CZ505">
        <v>0</v>
      </c>
      <c r="DA505">
        <v>1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</row>
    <row r="506" spans="1:113" x14ac:dyDescent="0.3">
      <c r="A506" t="str">
        <f>"02/08/2021 20:13:57.635"</f>
        <v>02/08/2021 20:13:57.635</v>
      </c>
      <c r="C506" t="str">
        <f t="shared" si="23"/>
        <v>FFDFD3C0</v>
      </c>
      <c r="D506" t="s">
        <v>113</v>
      </c>
      <c r="E506">
        <v>6</v>
      </c>
      <c r="H506">
        <v>165</v>
      </c>
      <c r="I506" t="s">
        <v>114</v>
      </c>
      <c r="J506" t="s">
        <v>115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>"20:13:59.961"</f>
        <v>20:13:59.961</v>
      </c>
      <c r="T506" t="str">
        <f>"20:13:59.461"</f>
        <v>20:13:59.461</v>
      </c>
      <c r="U506" t="str">
        <f t="shared" si="22"/>
        <v>AB01F4</v>
      </c>
      <c r="V506">
        <v>0</v>
      </c>
      <c r="W506">
        <v>0</v>
      </c>
      <c r="X506">
        <v>1</v>
      </c>
      <c r="Z506">
        <v>0</v>
      </c>
      <c r="AA506">
        <v>9</v>
      </c>
      <c r="AB506">
        <v>3</v>
      </c>
      <c r="AC506">
        <v>0</v>
      </c>
      <c r="AD506">
        <v>10</v>
      </c>
      <c r="AE506">
        <v>0</v>
      </c>
      <c r="AF506">
        <v>3</v>
      </c>
      <c r="AG506">
        <v>2</v>
      </c>
      <c r="AH506">
        <v>0</v>
      </c>
      <c r="AI506" t="s">
        <v>476</v>
      </c>
      <c r="AJ506">
        <v>39.578612</v>
      </c>
      <c r="AK506" t="s">
        <v>477</v>
      </c>
      <c r="AL506">
        <v>-92.495570000000001</v>
      </c>
      <c r="AM506">
        <v>100</v>
      </c>
      <c r="AN506">
        <v>1900</v>
      </c>
      <c r="AO506" t="s">
        <v>118</v>
      </c>
      <c r="AP506">
        <v>-21</v>
      </c>
      <c r="AQ506">
        <v>137</v>
      </c>
      <c r="AR506">
        <v>0</v>
      </c>
      <c r="AZ506">
        <v>1200</v>
      </c>
      <c r="BA506">
        <v>1</v>
      </c>
      <c r="BB506" t="str">
        <f t="shared" si="24"/>
        <v xml:space="preserve">N8080G  </v>
      </c>
      <c r="BC506">
        <v>1</v>
      </c>
      <c r="BE506">
        <v>0</v>
      </c>
      <c r="BF506">
        <v>0</v>
      </c>
      <c r="BG506">
        <v>0</v>
      </c>
      <c r="BH506">
        <v>1850</v>
      </c>
      <c r="BI506">
        <v>1</v>
      </c>
      <c r="BJ506">
        <v>1</v>
      </c>
      <c r="BK506">
        <v>1</v>
      </c>
      <c r="BL506">
        <v>0</v>
      </c>
      <c r="BO506">
        <v>0</v>
      </c>
      <c r="BP506">
        <v>0</v>
      </c>
      <c r="BW506" t="str">
        <f>"20:13:59.968"</f>
        <v>20:13:59.968</v>
      </c>
      <c r="CJ506">
        <v>0</v>
      </c>
      <c r="CK506">
        <v>2</v>
      </c>
      <c r="CL506">
        <v>0</v>
      </c>
      <c r="CM506">
        <v>2</v>
      </c>
      <c r="CN506">
        <v>0</v>
      </c>
      <c r="CO506">
        <v>6</v>
      </c>
      <c r="CP506" t="s">
        <v>119</v>
      </c>
      <c r="CQ506">
        <v>180</v>
      </c>
      <c r="CR506">
        <v>2</v>
      </c>
      <c r="CW506">
        <v>7866523</v>
      </c>
      <c r="CY506">
        <v>1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</row>
    <row r="507" spans="1:113" x14ac:dyDescent="0.3">
      <c r="A507" t="str">
        <f>"02/08/2021 20:13:57.635"</f>
        <v>02/08/2021 20:13:57.635</v>
      </c>
      <c r="C507" t="str">
        <f t="shared" si="23"/>
        <v>FFDFD3C0</v>
      </c>
      <c r="D507" t="s">
        <v>124</v>
      </c>
      <c r="E507">
        <v>13</v>
      </c>
      <c r="F507">
        <v>1013</v>
      </c>
      <c r="G507" t="s">
        <v>114</v>
      </c>
      <c r="J507" t="s">
        <v>125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>"20:13:59.961"</f>
        <v>20:13:59.961</v>
      </c>
      <c r="T507" t="str">
        <f>"20:13:59.461"</f>
        <v>20:13:59.461</v>
      </c>
      <c r="U507" t="str">
        <f t="shared" si="22"/>
        <v>AB01F4</v>
      </c>
      <c r="V507">
        <v>0</v>
      </c>
      <c r="W507">
        <v>0</v>
      </c>
      <c r="X507">
        <v>1</v>
      </c>
      <c r="Z507">
        <v>0</v>
      </c>
      <c r="AA507">
        <v>9</v>
      </c>
      <c r="AB507">
        <v>3</v>
      </c>
      <c r="AC507">
        <v>0</v>
      </c>
      <c r="AD507">
        <v>10</v>
      </c>
      <c r="AE507">
        <v>0</v>
      </c>
      <c r="AF507">
        <v>3</v>
      </c>
      <c r="AG507">
        <v>2</v>
      </c>
      <c r="AH507">
        <v>0</v>
      </c>
      <c r="AI507" t="s">
        <v>476</v>
      </c>
      <c r="AJ507">
        <v>39.578612</v>
      </c>
      <c r="AK507" t="s">
        <v>477</v>
      </c>
      <c r="AL507">
        <v>-92.495570000000001</v>
      </c>
      <c r="AM507">
        <v>100</v>
      </c>
      <c r="AN507">
        <v>1900</v>
      </c>
      <c r="AO507" t="s">
        <v>118</v>
      </c>
      <c r="AP507">
        <v>-21</v>
      </c>
      <c r="AQ507">
        <v>137</v>
      </c>
      <c r="AR507">
        <v>0</v>
      </c>
      <c r="AZ507">
        <v>1200</v>
      </c>
      <c r="BA507">
        <v>1</v>
      </c>
      <c r="BB507" t="str">
        <f t="shared" si="24"/>
        <v xml:space="preserve">N8080G  </v>
      </c>
      <c r="BC507">
        <v>1</v>
      </c>
      <c r="BE507">
        <v>0</v>
      </c>
      <c r="BF507">
        <v>0</v>
      </c>
      <c r="BG507">
        <v>0</v>
      </c>
      <c r="BH507">
        <v>1850</v>
      </c>
      <c r="BI507">
        <v>1</v>
      </c>
      <c r="BJ507">
        <v>1</v>
      </c>
      <c r="BK507">
        <v>1</v>
      </c>
      <c r="BL507">
        <v>0</v>
      </c>
      <c r="BO507">
        <v>0</v>
      </c>
      <c r="BP507">
        <v>0</v>
      </c>
      <c r="BW507" t="str">
        <f>"20:13:59.968"</f>
        <v>20:13:59.968</v>
      </c>
      <c r="CJ507">
        <v>0</v>
      </c>
      <c r="CK507">
        <v>2</v>
      </c>
      <c r="CL507">
        <v>0</v>
      </c>
      <c r="CM507">
        <v>2</v>
      </c>
      <c r="CN507">
        <v>0</v>
      </c>
      <c r="CO507">
        <v>6</v>
      </c>
      <c r="CP507" t="s">
        <v>119</v>
      </c>
      <c r="CQ507">
        <v>180</v>
      </c>
      <c r="CR507">
        <v>2</v>
      </c>
      <c r="CW507">
        <v>7866523</v>
      </c>
      <c r="CY507">
        <v>1</v>
      </c>
      <c r="CZ507">
        <v>0</v>
      </c>
      <c r="DA507">
        <v>1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</row>
    <row r="508" spans="1:113" x14ac:dyDescent="0.3">
      <c r="A508" t="str">
        <f>"02/08/2021 20:13:57.635"</f>
        <v>02/08/2021 20:13:57.635</v>
      </c>
      <c r="C508" t="str">
        <f t="shared" si="23"/>
        <v>FFDFD3C0</v>
      </c>
      <c r="D508" t="s">
        <v>141</v>
      </c>
      <c r="E508">
        <v>17</v>
      </c>
      <c r="H508">
        <v>256</v>
      </c>
      <c r="I508" t="s">
        <v>142</v>
      </c>
      <c r="J508" t="s">
        <v>143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>"20:13:59.961"</f>
        <v>20:13:59.961</v>
      </c>
      <c r="T508" t="str">
        <f>"20:13:59.461"</f>
        <v>20:13:59.461</v>
      </c>
      <c r="U508" t="str">
        <f t="shared" si="22"/>
        <v>AB01F4</v>
      </c>
      <c r="V508">
        <v>0</v>
      </c>
      <c r="W508">
        <v>0</v>
      </c>
      <c r="X508">
        <v>1</v>
      </c>
      <c r="Z508">
        <v>0</v>
      </c>
      <c r="AA508">
        <v>9</v>
      </c>
      <c r="AB508">
        <v>3</v>
      </c>
      <c r="AC508">
        <v>0</v>
      </c>
      <c r="AD508">
        <v>10</v>
      </c>
      <c r="AE508">
        <v>0</v>
      </c>
      <c r="AF508">
        <v>3</v>
      </c>
      <c r="AG508">
        <v>2</v>
      </c>
      <c r="AH508">
        <v>0</v>
      </c>
      <c r="AI508" t="s">
        <v>476</v>
      </c>
      <c r="AJ508">
        <v>39.578612</v>
      </c>
      <c r="AK508" t="s">
        <v>477</v>
      </c>
      <c r="AL508">
        <v>-92.495570000000001</v>
      </c>
      <c r="AM508">
        <v>100</v>
      </c>
      <c r="AN508">
        <v>1900</v>
      </c>
      <c r="AO508" t="s">
        <v>118</v>
      </c>
      <c r="AP508">
        <v>-21</v>
      </c>
      <c r="AQ508">
        <v>137</v>
      </c>
      <c r="AR508">
        <v>0</v>
      </c>
      <c r="AZ508">
        <v>1200</v>
      </c>
      <c r="BA508">
        <v>1</v>
      </c>
      <c r="BB508" t="str">
        <f t="shared" si="24"/>
        <v xml:space="preserve">N8080G  </v>
      </c>
      <c r="BC508">
        <v>1</v>
      </c>
      <c r="BE508">
        <v>0</v>
      </c>
      <c r="BF508">
        <v>0</v>
      </c>
      <c r="BG508">
        <v>0</v>
      </c>
      <c r="BH508">
        <v>1850</v>
      </c>
      <c r="BI508">
        <v>1</v>
      </c>
      <c r="BJ508">
        <v>1</v>
      </c>
      <c r="BK508">
        <v>1</v>
      </c>
      <c r="BL508">
        <v>0</v>
      </c>
      <c r="BO508">
        <v>0</v>
      </c>
      <c r="BP508">
        <v>0</v>
      </c>
      <c r="BW508" t="str">
        <f>"20:13:59.968"</f>
        <v>20:13:59.968</v>
      </c>
      <c r="CJ508">
        <v>0</v>
      </c>
      <c r="CK508">
        <v>2</v>
      </c>
      <c r="CL508">
        <v>0</v>
      </c>
      <c r="CM508">
        <v>2</v>
      </c>
      <c r="CN508">
        <v>0</v>
      </c>
      <c r="CO508">
        <v>5</v>
      </c>
      <c r="CP508" t="s">
        <v>119</v>
      </c>
      <c r="CQ508">
        <v>559</v>
      </c>
      <c r="CR508">
        <v>0</v>
      </c>
      <c r="CW508">
        <v>10410489</v>
      </c>
      <c r="CY508">
        <v>1</v>
      </c>
      <c r="CZ508">
        <v>0</v>
      </c>
      <c r="DA508">
        <v>1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</row>
    <row r="509" spans="1:113" x14ac:dyDescent="0.3">
      <c r="A509" t="str">
        <f>"02/08/2021 20:13:58.611"</f>
        <v>02/08/2021 20:13:58.611</v>
      </c>
      <c r="C509" t="str">
        <f t="shared" si="23"/>
        <v>FFDFD3C0</v>
      </c>
      <c r="D509" t="s">
        <v>124</v>
      </c>
      <c r="E509">
        <v>13</v>
      </c>
      <c r="F509">
        <v>1013</v>
      </c>
      <c r="G509" t="s">
        <v>114</v>
      </c>
      <c r="J509" t="s">
        <v>125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>"20:14:00.945"</f>
        <v>20:14:00.945</v>
      </c>
      <c r="T509" t="str">
        <f>"20:14:00.445"</f>
        <v>20:14:00.445</v>
      </c>
      <c r="U509" t="str">
        <f t="shared" si="22"/>
        <v>AB01F4</v>
      </c>
      <c r="V509">
        <v>0</v>
      </c>
      <c r="W509">
        <v>0</v>
      </c>
      <c r="X509">
        <v>1</v>
      </c>
      <c r="Z509">
        <v>0</v>
      </c>
      <c r="AA509">
        <v>9</v>
      </c>
      <c r="AB509">
        <v>3</v>
      </c>
      <c r="AC509">
        <v>0</v>
      </c>
      <c r="AD509">
        <v>10</v>
      </c>
      <c r="AE509">
        <v>0</v>
      </c>
      <c r="AF509">
        <v>3</v>
      </c>
      <c r="AG509">
        <v>2</v>
      </c>
      <c r="AH509">
        <v>0</v>
      </c>
      <c r="AI509" t="s">
        <v>478</v>
      </c>
      <c r="AJ509">
        <v>39.579213000000003</v>
      </c>
      <c r="AK509" t="s">
        <v>479</v>
      </c>
      <c r="AL509">
        <v>-92.495677000000001</v>
      </c>
      <c r="AM509">
        <v>100</v>
      </c>
      <c r="AN509">
        <v>1900</v>
      </c>
      <c r="AO509" t="s">
        <v>118</v>
      </c>
      <c r="AP509">
        <v>-21</v>
      </c>
      <c r="AQ509">
        <v>136</v>
      </c>
      <c r="AR509">
        <v>0</v>
      </c>
      <c r="AZ509">
        <v>1200</v>
      </c>
      <c r="BA509">
        <v>1</v>
      </c>
      <c r="BB509" t="str">
        <f t="shared" si="24"/>
        <v xml:space="preserve">N8080G  </v>
      </c>
      <c r="BC509">
        <v>1</v>
      </c>
      <c r="BE509">
        <v>0</v>
      </c>
      <c r="BF509">
        <v>0</v>
      </c>
      <c r="BG509">
        <v>0</v>
      </c>
      <c r="BH509">
        <v>1850</v>
      </c>
      <c r="BI509">
        <v>1</v>
      </c>
      <c r="BJ509">
        <v>1</v>
      </c>
      <c r="BK509">
        <v>1</v>
      </c>
      <c r="BL509">
        <v>0</v>
      </c>
      <c r="BO509">
        <v>0</v>
      </c>
      <c r="BP509">
        <v>0</v>
      </c>
      <c r="BW509" t="str">
        <f>"20:14:00.951"</f>
        <v>20:14:00.951</v>
      </c>
      <c r="CJ509">
        <v>0</v>
      </c>
      <c r="CK509">
        <v>2</v>
      </c>
      <c r="CL509">
        <v>0</v>
      </c>
      <c r="CM509">
        <v>2</v>
      </c>
      <c r="CN509">
        <v>0</v>
      </c>
      <c r="CO509">
        <v>6</v>
      </c>
      <c r="CP509" t="s">
        <v>119</v>
      </c>
      <c r="CQ509">
        <v>180</v>
      </c>
      <c r="CR509">
        <v>1</v>
      </c>
      <c r="CW509">
        <v>10404932</v>
      </c>
      <c r="CY509">
        <v>1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</row>
    <row r="510" spans="1:113" x14ac:dyDescent="0.3">
      <c r="A510" t="str">
        <f>"02/08/2021 20:13:58.611"</f>
        <v>02/08/2021 20:13:58.611</v>
      </c>
      <c r="C510" t="str">
        <f t="shared" si="23"/>
        <v>FFDFD3C0</v>
      </c>
      <c r="D510" t="s">
        <v>141</v>
      </c>
      <c r="E510">
        <v>17</v>
      </c>
      <c r="H510">
        <v>256</v>
      </c>
      <c r="I510" t="s">
        <v>142</v>
      </c>
      <c r="J510" t="s">
        <v>143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>"20:14:00.945"</f>
        <v>20:14:00.945</v>
      </c>
      <c r="T510" t="str">
        <f>"20:14:00.445"</f>
        <v>20:14:00.445</v>
      </c>
      <c r="U510" t="str">
        <f t="shared" si="22"/>
        <v>AB01F4</v>
      </c>
      <c r="V510">
        <v>0</v>
      </c>
      <c r="W510">
        <v>0</v>
      </c>
      <c r="X510">
        <v>1</v>
      </c>
      <c r="Z510">
        <v>0</v>
      </c>
      <c r="AA510">
        <v>9</v>
      </c>
      <c r="AB510">
        <v>3</v>
      </c>
      <c r="AC510">
        <v>0</v>
      </c>
      <c r="AD510">
        <v>10</v>
      </c>
      <c r="AE510">
        <v>0</v>
      </c>
      <c r="AF510">
        <v>3</v>
      </c>
      <c r="AG510">
        <v>2</v>
      </c>
      <c r="AH510">
        <v>0</v>
      </c>
      <c r="AI510" t="s">
        <v>478</v>
      </c>
      <c r="AJ510">
        <v>39.579213000000003</v>
      </c>
      <c r="AK510" t="s">
        <v>479</v>
      </c>
      <c r="AL510">
        <v>-92.495677000000001</v>
      </c>
      <c r="AM510">
        <v>100</v>
      </c>
      <c r="AN510">
        <v>1900</v>
      </c>
      <c r="AO510" t="s">
        <v>118</v>
      </c>
      <c r="AP510">
        <v>-21</v>
      </c>
      <c r="AQ510">
        <v>136</v>
      </c>
      <c r="AR510">
        <v>0</v>
      </c>
      <c r="AZ510">
        <v>1200</v>
      </c>
      <c r="BA510">
        <v>1</v>
      </c>
      <c r="BB510" t="str">
        <f t="shared" si="24"/>
        <v xml:space="preserve">N8080G  </v>
      </c>
      <c r="BC510">
        <v>1</v>
      </c>
      <c r="BE510">
        <v>0</v>
      </c>
      <c r="BF510">
        <v>0</v>
      </c>
      <c r="BG510">
        <v>0</v>
      </c>
      <c r="BH510">
        <v>1850</v>
      </c>
      <c r="BI510">
        <v>1</v>
      </c>
      <c r="BJ510">
        <v>1</v>
      </c>
      <c r="BK510">
        <v>1</v>
      </c>
      <c r="BL510">
        <v>0</v>
      </c>
      <c r="BO510">
        <v>0</v>
      </c>
      <c r="BP510">
        <v>0</v>
      </c>
      <c r="BW510" t="str">
        <f>"20:14:00.951"</f>
        <v>20:14:00.951</v>
      </c>
      <c r="CJ510">
        <v>0</v>
      </c>
      <c r="CK510">
        <v>2</v>
      </c>
      <c r="CL510">
        <v>0</v>
      </c>
      <c r="CM510">
        <v>2</v>
      </c>
      <c r="CN510">
        <v>0</v>
      </c>
      <c r="CO510">
        <v>5</v>
      </c>
      <c r="CP510" t="s">
        <v>119</v>
      </c>
      <c r="CQ510">
        <v>559</v>
      </c>
      <c r="CR510">
        <v>0</v>
      </c>
      <c r="CW510">
        <v>10410644</v>
      </c>
      <c r="CY510">
        <v>1</v>
      </c>
      <c r="CZ510">
        <v>0</v>
      </c>
      <c r="DA510">
        <v>1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</row>
    <row r="511" spans="1:113" x14ac:dyDescent="0.3">
      <c r="A511" t="str">
        <f>"02/08/2021 20:13:58.611"</f>
        <v>02/08/2021 20:13:58.611</v>
      </c>
      <c r="C511" t="str">
        <f t="shared" si="23"/>
        <v>FFDFD3C0</v>
      </c>
      <c r="D511" t="s">
        <v>113</v>
      </c>
      <c r="E511">
        <v>6</v>
      </c>
      <c r="H511">
        <v>165</v>
      </c>
      <c r="I511" t="s">
        <v>114</v>
      </c>
      <c r="J511" t="s">
        <v>115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>"20:14:00.945"</f>
        <v>20:14:00.945</v>
      </c>
      <c r="T511" t="str">
        <f>"20:14:00.445"</f>
        <v>20:14:00.445</v>
      </c>
      <c r="U511" t="str">
        <f t="shared" si="22"/>
        <v>AB01F4</v>
      </c>
      <c r="V511">
        <v>0</v>
      </c>
      <c r="W511">
        <v>0</v>
      </c>
      <c r="X511">
        <v>1</v>
      </c>
      <c r="Z511">
        <v>0</v>
      </c>
      <c r="AA511">
        <v>9</v>
      </c>
      <c r="AB511">
        <v>3</v>
      </c>
      <c r="AC511">
        <v>0</v>
      </c>
      <c r="AD511">
        <v>10</v>
      </c>
      <c r="AE511">
        <v>0</v>
      </c>
      <c r="AF511">
        <v>3</v>
      </c>
      <c r="AG511">
        <v>2</v>
      </c>
      <c r="AH511">
        <v>0</v>
      </c>
      <c r="AI511" t="s">
        <v>478</v>
      </c>
      <c r="AJ511">
        <v>39.579213000000003</v>
      </c>
      <c r="AK511" t="s">
        <v>479</v>
      </c>
      <c r="AL511">
        <v>-92.495677000000001</v>
      </c>
      <c r="AM511">
        <v>100</v>
      </c>
      <c r="AN511">
        <v>1900</v>
      </c>
      <c r="AO511" t="s">
        <v>118</v>
      </c>
      <c r="AP511">
        <v>-21</v>
      </c>
      <c r="AQ511">
        <v>136</v>
      </c>
      <c r="AR511">
        <v>0</v>
      </c>
      <c r="AZ511">
        <v>1200</v>
      </c>
      <c r="BA511">
        <v>1</v>
      </c>
      <c r="BB511" t="str">
        <f t="shared" si="24"/>
        <v xml:space="preserve">N8080G  </v>
      </c>
      <c r="BC511">
        <v>1</v>
      </c>
      <c r="BE511">
        <v>0</v>
      </c>
      <c r="BF511">
        <v>0</v>
      </c>
      <c r="BG511">
        <v>0</v>
      </c>
      <c r="BH511">
        <v>1850</v>
      </c>
      <c r="BI511">
        <v>1</v>
      </c>
      <c r="BJ511">
        <v>1</v>
      </c>
      <c r="BK511">
        <v>1</v>
      </c>
      <c r="BL511">
        <v>0</v>
      </c>
      <c r="BO511">
        <v>0</v>
      </c>
      <c r="BP511">
        <v>0</v>
      </c>
      <c r="BW511" t="str">
        <f>"20:14:00.951"</f>
        <v>20:14:00.951</v>
      </c>
      <c r="CJ511">
        <v>0</v>
      </c>
      <c r="CK511">
        <v>2</v>
      </c>
      <c r="CL511">
        <v>0</v>
      </c>
      <c r="CM511">
        <v>2</v>
      </c>
      <c r="CN511">
        <v>0</v>
      </c>
      <c r="CO511">
        <v>6</v>
      </c>
      <c r="CP511" t="s">
        <v>119</v>
      </c>
      <c r="CQ511">
        <v>180</v>
      </c>
      <c r="CR511">
        <v>1</v>
      </c>
      <c r="CW511">
        <v>10404932</v>
      </c>
      <c r="CY511">
        <v>1</v>
      </c>
      <c r="CZ511">
        <v>0</v>
      </c>
      <c r="DA511">
        <v>1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</row>
    <row r="512" spans="1:113" x14ac:dyDescent="0.3">
      <c r="A512" t="str">
        <f>"02/08/2021 20:13:59.756"</f>
        <v>02/08/2021 20:13:59.756</v>
      </c>
      <c r="C512" t="str">
        <f t="shared" si="23"/>
        <v>FFDFD3C0</v>
      </c>
      <c r="D512" t="s">
        <v>113</v>
      </c>
      <c r="E512">
        <v>6</v>
      </c>
      <c r="H512">
        <v>165</v>
      </c>
      <c r="I512" t="s">
        <v>114</v>
      </c>
      <c r="J512" t="s">
        <v>115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>"20:14:02.078"</f>
        <v>20:14:02.078</v>
      </c>
      <c r="T512" t="str">
        <f>"20:14:01.578"</f>
        <v>20:14:01.578</v>
      </c>
      <c r="U512" t="str">
        <f t="shared" si="22"/>
        <v>AB01F4</v>
      </c>
      <c r="V512">
        <v>0</v>
      </c>
      <c r="W512">
        <v>0</v>
      </c>
      <c r="X512">
        <v>1</v>
      </c>
      <c r="Z512">
        <v>0</v>
      </c>
      <c r="AA512">
        <v>9</v>
      </c>
      <c r="AB512">
        <v>3</v>
      </c>
      <c r="AC512">
        <v>0</v>
      </c>
      <c r="AD512">
        <v>10</v>
      </c>
      <c r="AE512">
        <v>0</v>
      </c>
      <c r="AF512">
        <v>3</v>
      </c>
      <c r="AG512">
        <v>2</v>
      </c>
      <c r="AH512">
        <v>0</v>
      </c>
      <c r="AI512" t="s">
        <v>480</v>
      </c>
      <c r="AJ512">
        <v>39.579920999999999</v>
      </c>
      <c r="AK512" t="s">
        <v>481</v>
      </c>
      <c r="AL512">
        <v>-92.495849000000007</v>
      </c>
      <c r="AM512">
        <v>100</v>
      </c>
      <c r="AN512">
        <v>1900</v>
      </c>
      <c r="AO512" t="s">
        <v>118</v>
      </c>
      <c r="AP512">
        <v>-20</v>
      </c>
      <c r="AQ512">
        <v>136</v>
      </c>
      <c r="AR512">
        <v>-64</v>
      </c>
      <c r="AZ512">
        <v>1200</v>
      </c>
      <c r="BA512">
        <v>1</v>
      </c>
      <c r="BB512" t="str">
        <f t="shared" si="24"/>
        <v xml:space="preserve">N8080G  </v>
      </c>
      <c r="BC512">
        <v>1</v>
      </c>
      <c r="BE512">
        <v>0</v>
      </c>
      <c r="BF512">
        <v>0</v>
      </c>
      <c r="BG512">
        <v>0</v>
      </c>
      <c r="BH512">
        <v>1850</v>
      </c>
      <c r="BI512">
        <v>1</v>
      </c>
      <c r="BJ512">
        <v>1</v>
      </c>
      <c r="BK512">
        <v>1</v>
      </c>
      <c r="BL512">
        <v>0</v>
      </c>
      <c r="BO512">
        <v>0</v>
      </c>
      <c r="BP512">
        <v>0</v>
      </c>
      <c r="BW512" t="str">
        <f>"20:14:02.080"</f>
        <v>20:14:02.080</v>
      </c>
      <c r="CJ512">
        <v>0</v>
      </c>
      <c r="CK512">
        <v>2</v>
      </c>
      <c r="CL512">
        <v>0</v>
      </c>
      <c r="CM512">
        <v>2</v>
      </c>
      <c r="CN512">
        <v>0</v>
      </c>
      <c r="CO512">
        <v>7</v>
      </c>
      <c r="CP512" t="s">
        <v>119</v>
      </c>
      <c r="CQ512">
        <v>180</v>
      </c>
      <c r="CR512">
        <v>2</v>
      </c>
      <c r="CW512">
        <v>7868301</v>
      </c>
      <c r="CY512">
        <v>1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</row>
    <row r="513" spans="1:113" x14ac:dyDescent="0.3">
      <c r="A513" t="str">
        <f>"02/08/2021 20:13:59.756"</f>
        <v>02/08/2021 20:13:59.756</v>
      </c>
      <c r="C513" t="str">
        <f t="shared" si="23"/>
        <v>FFDFD3C0</v>
      </c>
      <c r="D513" t="s">
        <v>124</v>
      </c>
      <c r="E513">
        <v>13</v>
      </c>
      <c r="F513">
        <v>1013</v>
      </c>
      <c r="G513" t="s">
        <v>114</v>
      </c>
      <c r="J513" t="s">
        <v>125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>"20:14:02.078"</f>
        <v>20:14:02.078</v>
      </c>
      <c r="T513" t="str">
        <f>"20:14:01.578"</f>
        <v>20:14:01.578</v>
      </c>
      <c r="U513" t="str">
        <f t="shared" si="22"/>
        <v>AB01F4</v>
      </c>
      <c r="V513">
        <v>0</v>
      </c>
      <c r="W513">
        <v>0</v>
      </c>
      <c r="X513">
        <v>1</v>
      </c>
      <c r="Z513">
        <v>0</v>
      </c>
      <c r="AA513">
        <v>9</v>
      </c>
      <c r="AB513">
        <v>3</v>
      </c>
      <c r="AC513">
        <v>0</v>
      </c>
      <c r="AD513">
        <v>10</v>
      </c>
      <c r="AE513">
        <v>0</v>
      </c>
      <c r="AF513">
        <v>3</v>
      </c>
      <c r="AG513">
        <v>2</v>
      </c>
      <c r="AH513">
        <v>0</v>
      </c>
      <c r="AI513" t="s">
        <v>480</v>
      </c>
      <c r="AJ513">
        <v>39.579920999999999</v>
      </c>
      <c r="AK513" t="s">
        <v>481</v>
      </c>
      <c r="AL513">
        <v>-92.495849000000007</v>
      </c>
      <c r="AM513">
        <v>100</v>
      </c>
      <c r="AN513">
        <v>1900</v>
      </c>
      <c r="AO513" t="s">
        <v>118</v>
      </c>
      <c r="AP513">
        <v>-20</v>
      </c>
      <c r="AQ513">
        <v>136</v>
      </c>
      <c r="AR513">
        <v>-64</v>
      </c>
      <c r="AZ513">
        <v>1200</v>
      </c>
      <c r="BA513">
        <v>1</v>
      </c>
      <c r="BB513" t="str">
        <f t="shared" si="24"/>
        <v xml:space="preserve">N8080G  </v>
      </c>
      <c r="BC513">
        <v>1</v>
      </c>
      <c r="BE513">
        <v>0</v>
      </c>
      <c r="BF513">
        <v>0</v>
      </c>
      <c r="BG513">
        <v>0</v>
      </c>
      <c r="BH513">
        <v>1850</v>
      </c>
      <c r="BI513">
        <v>1</v>
      </c>
      <c r="BJ513">
        <v>1</v>
      </c>
      <c r="BK513">
        <v>1</v>
      </c>
      <c r="BL513">
        <v>0</v>
      </c>
      <c r="BO513">
        <v>0</v>
      </c>
      <c r="BP513">
        <v>0</v>
      </c>
      <c r="BW513" t="str">
        <f>"20:14:02.080"</f>
        <v>20:14:02.080</v>
      </c>
      <c r="CJ513">
        <v>0</v>
      </c>
      <c r="CK513">
        <v>2</v>
      </c>
      <c r="CL513">
        <v>0</v>
      </c>
      <c r="CM513">
        <v>2</v>
      </c>
      <c r="CN513">
        <v>0</v>
      </c>
      <c r="CO513">
        <v>7</v>
      </c>
      <c r="CP513" t="s">
        <v>119</v>
      </c>
      <c r="CQ513">
        <v>180</v>
      </c>
      <c r="CR513">
        <v>2</v>
      </c>
      <c r="CW513">
        <v>7868301</v>
      </c>
      <c r="CY513">
        <v>1</v>
      </c>
      <c r="CZ513">
        <v>0</v>
      </c>
      <c r="DA513">
        <v>1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</row>
    <row r="514" spans="1:113" x14ac:dyDescent="0.3">
      <c r="A514" t="str">
        <f>"02/08/2021 20:13:59.756"</f>
        <v>02/08/2021 20:13:59.756</v>
      </c>
      <c r="C514" t="str">
        <f t="shared" si="23"/>
        <v>FFDFD3C0</v>
      </c>
      <c r="D514" t="s">
        <v>141</v>
      </c>
      <c r="E514">
        <v>17</v>
      </c>
      <c r="H514">
        <v>256</v>
      </c>
      <c r="I514" t="s">
        <v>142</v>
      </c>
      <c r="J514" t="s">
        <v>143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>"20:14:02.078"</f>
        <v>20:14:02.078</v>
      </c>
      <c r="T514" t="str">
        <f>"20:14:01.578"</f>
        <v>20:14:01.578</v>
      </c>
      <c r="U514" t="str">
        <f t="shared" ref="U514:U577" si="25">"AB01F4"</f>
        <v>AB01F4</v>
      </c>
      <c r="V514">
        <v>0</v>
      </c>
      <c r="W514">
        <v>0</v>
      </c>
      <c r="X514">
        <v>1</v>
      </c>
      <c r="Z514">
        <v>0</v>
      </c>
      <c r="AA514">
        <v>9</v>
      </c>
      <c r="AB514">
        <v>3</v>
      </c>
      <c r="AC514">
        <v>0</v>
      </c>
      <c r="AD514">
        <v>10</v>
      </c>
      <c r="AE514">
        <v>0</v>
      </c>
      <c r="AF514">
        <v>3</v>
      </c>
      <c r="AG514">
        <v>2</v>
      </c>
      <c r="AH514">
        <v>0</v>
      </c>
      <c r="AI514" t="s">
        <v>480</v>
      </c>
      <c r="AJ514">
        <v>39.579920999999999</v>
      </c>
      <c r="AK514" t="s">
        <v>481</v>
      </c>
      <c r="AL514">
        <v>-92.495849000000007</v>
      </c>
      <c r="AM514">
        <v>100</v>
      </c>
      <c r="AN514">
        <v>1900</v>
      </c>
      <c r="AO514" t="s">
        <v>118</v>
      </c>
      <c r="AP514">
        <v>-20</v>
      </c>
      <c r="AQ514">
        <v>136</v>
      </c>
      <c r="AR514">
        <v>-64</v>
      </c>
      <c r="AZ514">
        <v>1200</v>
      </c>
      <c r="BA514">
        <v>1</v>
      </c>
      <c r="BB514" t="str">
        <f t="shared" si="24"/>
        <v xml:space="preserve">N8080G  </v>
      </c>
      <c r="BC514">
        <v>1</v>
      </c>
      <c r="BE514">
        <v>0</v>
      </c>
      <c r="BF514">
        <v>0</v>
      </c>
      <c r="BG514">
        <v>0</v>
      </c>
      <c r="BH514">
        <v>1850</v>
      </c>
      <c r="BI514">
        <v>1</v>
      </c>
      <c r="BJ514">
        <v>1</v>
      </c>
      <c r="BK514">
        <v>1</v>
      </c>
      <c r="BL514">
        <v>0</v>
      </c>
      <c r="BO514">
        <v>0</v>
      </c>
      <c r="BP514">
        <v>0</v>
      </c>
      <c r="BW514" t="str">
        <f>"20:14:02.080"</f>
        <v>20:14:02.080</v>
      </c>
      <c r="CJ514">
        <v>0</v>
      </c>
      <c r="CK514">
        <v>2</v>
      </c>
      <c r="CL514">
        <v>0</v>
      </c>
      <c r="CM514">
        <v>2</v>
      </c>
      <c r="CN514">
        <v>0</v>
      </c>
      <c r="CO514">
        <v>5</v>
      </c>
      <c r="CP514" t="s">
        <v>119</v>
      </c>
      <c r="CQ514">
        <v>559</v>
      </c>
      <c r="CR514">
        <v>0</v>
      </c>
      <c r="CW514">
        <v>10410818</v>
      </c>
      <c r="CY514">
        <v>1</v>
      </c>
      <c r="CZ514">
        <v>0</v>
      </c>
      <c r="DA514">
        <v>1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</row>
    <row r="515" spans="1:113" x14ac:dyDescent="0.3">
      <c r="A515" t="str">
        <f>"02/08/2021 20:14:00.596"</f>
        <v>02/08/2021 20:14:00.596</v>
      </c>
      <c r="C515" t="str">
        <f t="shared" si="23"/>
        <v>FFDFD3C0</v>
      </c>
      <c r="D515" t="s">
        <v>141</v>
      </c>
      <c r="E515">
        <v>17</v>
      </c>
      <c r="H515">
        <v>256</v>
      </c>
      <c r="I515" t="s">
        <v>142</v>
      </c>
      <c r="J515" t="s">
        <v>143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>"20:14:02.922"</f>
        <v>20:14:02.922</v>
      </c>
      <c r="U515" t="str">
        <f t="shared" si="25"/>
        <v>AB01F4</v>
      </c>
      <c r="V515">
        <v>0</v>
      </c>
      <c r="W515">
        <v>0</v>
      </c>
      <c r="X515">
        <v>1</v>
      </c>
      <c r="Z515">
        <v>0</v>
      </c>
      <c r="AA515">
        <v>9</v>
      </c>
      <c r="AB515">
        <v>3</v>
      </c>
      <c r="AC515">
        <v>0</v>
      </c>
      <c r="AD515">
        <v>10</v>
      </c>
      <c r="AE515">
        <v>0</v>
      </c>
      <c r="AF515">
        <v>3</v>
      </c>
      <c r="AG515">
        <v>2</v>
      </c>
      <c r="AH515">
        <v>0</v>
      </c>
      <c r="AI515" t="s">
        <v>482</v>
      </c>
      <c r="AJ515">
        <v>39.580500000000001</v>
      </c>
      <c r="AK515" t="s">
        <v>483</v>
      </c>
      <c r="AL515">
        <v>-92.495935000000003</v>
      </c>
      <c r="AM515">
        <v>100</v>
      </c>
      <c r="AN515">
        <v>1900</v>
      </c>
      <c r="AO515" t="s">
        <v>118</v>
      </c>
      <c r="AP515">
        <v>-20</v>
      </c>
      <c r="AQ515">
        <v>136</v>
      </c>
      <c r="AR515">
        <v>-64</v>
      </c>
      <c r="AZ515">
        <v>1200</v>
      </c>
      <c r="BA515">
        <v>1</v>
      </c>
      <c r="BB515" t="str">
        <f t="shared" si="24"/>
        <v xml:space="preserve">N8080G  </v>
      </c>
      <c r="BC515">
        <v>1</v>
      </c>
      <c r="BE515">
        <v>0</v>
      </c>
      <c r="BF515">
        <v>0</v>
      </c>
      <c r="BG515">
        <v>0</v>
      </c>
      <c r="BH515">
        <v>1850</v>
      </c>
      <c r="BI515">
        <v>1</v>
      </c>
      <c r="BJ515">
        <v>1</v>
      </c>
      <c r="BK515">
        <v>1</v>
      </c>
      <c r="BL515">
        <v>0</v>
      </c>
      <c r="BO515">
        <v>0</v>
      </c>
      <c r="BP515">
        <v>0</v>
      </c>
      <c r="BW515" t="str">
        <f>"20:14:02.927"</f>
        <v>20:14:02.927</v>
      </c>
      <c r="CJ515">
        <v>0</v>
      </c>
      <c r="CK515">
        <v>2</v>
      </c>
      <c r="CL515">
        <v>0</v>
      </c>
      <c r="CM515">
        <v>2</v>
      </c>
      <c r="CN515">
        <v>0</v>
      </c>
      <c r="CO515">
        <v>5</v>
      </c>
      <c r="CP515" t="s">
        <v>119</v>
      </c>
      <c r="CQ515">
        <v>559</v>
      </c>
      <c r="CR515">
        <v>0</v>
      </c>
      <c r="CW515">
        <v>10410959</v>
      </c>
      <c r="CY515">
        <v>1</v>
      </c>
      <c r="CZ515">
        <v>0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</row>
    <row r="516" spans="1:113" x14ac:dyDescent="0.3">
      <c r="A516" t="str">
        <f>"02/08/2021 20:14:00.596"</f>
        <v>02/08/2021 20:14:00.596</v>
      </c>
      <c r="C516" t="str">
        <f t="shared" si="23"/>
        <v>FFDFD3C0</v>
      </c>
      <c r="D516" t="s">
        <v>113</v>
      </c>
      <c r="E516">
        <v>6</v>
      </c>
      <c r="H516">
        <v>165</v>
      </c>
      <c r="I516" t="s">
        <v>114</v>
      </c>
      <c r="J516" t="s">
        <v>115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>"20:14:02.922"</f>
        <v>20:14:02.922</v>
      </c>
      <c r="U516" t="str">
        <f t="shared" si="25"/>
        <v>AB01F4</v>
      </c>
      <c r="V516">
        <v>0</v>
      </c>
      <c r="W516">
        <v>0</v>
      </c>
      <c r="X516">
        <v>1</v>
      </c>
      <c r="Z516">
        <v>0</v>
      </c>
      <c r="AA516">
        <v>9</v>
      </c>
      <c r="AB516">
        <v>3</v>
      </c>
      <c r="AC516">
        <v>0</v>
      </c>
      <c r="AD516">
        <v>10</v>
      </c>
      <c r="AE516">
        <v>0</v>
      </c>
      <c r="AF516">
        <v>3</v>
      </c>
      <c r="AG516">
        <v>2</v>
      </c>
      <c r="AH516">
        <v>0</v>
      </c>
      <c r="AI516" t="s">
        <v>482</v>
      </c>
      <c r="AJ516">
        <v>39.580500000000001</v>
      </c>
      <c r="AK516" t="s">
        <v>483</v>
      </c>
      <c r="AL516">
        <v>-92.495935000000003</v>
      </c>
      <c r="AM516">
        <v>100</v>
      </c>
      <c r="AN516">
        <v>1900</v>
      </c>
      <c r="AO516" t="s">
        <v>118</v>
      </c>
      <c r="AP516">
        <v>-20</v>
      </c>
      <c r="AQ516">
        <v>136</v>
      </c>
      <c r="AR516">
        <v>-64</v>
      </c>
      <c r="AZ516">
        <v>1200</v>
      </c>
      <c r="BA516">
        <v>1</v>
      </c>
      <c r="BB516" t="str">
        <f t="shared" si="24"/>
        <v xml:space="preserve">N8080G  </v>
      </c>
      <c r="BC516">
        <v>1</v>
      </c>
      <c r="BE516">
        <v>0</v>
      </c>
      <c r="BF516">
        <v>0</v>
      </c>
      <c r="BG516">
        <v>0</v>
      </c>
      <c r="BH516">
        <v>1850</v>
      </c>
      <c r="BI516">
        <v>1</v>
      </c>
      <c r="BJ516">
        <v>1</v>
      </c>
      <c r="BK516">
        <v>1</v>
      </c>
      <c r="BL516">
        <v>0</v>
      </c>
      <c r="BO516">
        <v>0</v>
      </c>
      <c r="BP516">
        <v>0</v>
      </c>
      <c r="BW516" t="str">
        <f>"20:14:02.927"</f>
        <v>20:14:02.927</v>
      </c>
      <c r="CJ516">
        <v>0</v>
      </c>
      <c r="CK516">
        <v>2</v>
      </c>
      <c r="CL516">
        <v>0</v>
      </c>
      <c r="CM516">
        <v>2</v>
      </c>
      <c r="CN516">
        <v>0</v>
      </c>
      <c r="CO516">
        <v>5</v>
      </c>
      <c r="CP516" t="s">
        <v>119</v>
      </c>
      <c r="CQ516">
        <v>559</v>
      </c>
      <c r="CR516">
        <v>0</v>
      </c>
      <c r="CW516">
        <v>10410959</v>
      </c>
      <c r="CY516">
        <v>1</v>
      </c>
      <c r="CZ516">
        <v>0</v>
      </c>
      <c r="DA516">
        <v>1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</row>
    <row r="517" spans="1:113" x14ac:dyDescent="0.3">
      <c r="A517" t="str">
        <f>"02/08/2021 20:14:00.596"</f>
        <v>02/08/2021 20:14:00.596</v>
      </c>
      <c r="C517" t="str">
        <f t="shared" si="23"/>
        <v>FFDFD3C0</v>
      </c>
      <c r="D517" t="s">
        <v>124</v>
      </c>
      <c r="E517">
        <v>13</v>
      </c>
      <c r="F517">
        <v>1013</v>
      </c>
      <c r="G517" t="s">
        <v>114</v>
      </c>
      <c r="J517" t="s">
        <v>125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>"20:14:02.922"</f>
        <v>20:14:02.922</v>
      </c>
      <c r="U517" t="str">
        <f t="shared" si="25"/>
        <v>AB01F4</v>
      </c>
      <c r="V517">
        <v>0</v>
      </c>
      <c r="W517">
        <v>0</v>
      </c>
      <c r="X517">
        <v>1</v>
      </c>
      <c r="Z517">
        <v>0</v>
      </c>
      <c r="AA517">
        <v>9</v>
      </c>
      <c r="AB517">
        <v>3</v>
      </c>
      <c r="AC517">
        <v>0</v>
      </c>
      <c r="AD517">
        <v>10</v>
      </c>
      <c r="AE517">
        <v>0</v>
      </c>
      <c r="AF517">
        <v>3</v>
      </c>
      <c r="AG517">
        <v>2</v>
      </c>
      <c r="AH517">
        <v>0</v>
      </c>
      <c r="AI517" t="s">
        <v>482</v>
      </c>
      <c r="AJ517">
        <v>39.580500000000001</v>
      </c>
      <c r="AK517" t="s">
        <v>483</v>
      </c>
      <c r="AL517">
        <v>-92.495935000000003</v>
      </c>
      <c r="AM517">
        <v>100</v>
      </c>
      <c r="AN517">
        <v>1900</v>
      </c>
      <c r="AO517" t="s">
        <v>118</v>
      </c>
      <c r="AP517">
        <v>-20</v>
      </c>
      <c r="AQ517">
        <v>136</v>
      </c>
      <c r="AR517">
        <v>-64</v>
      </c>
      <c r="AZ517">
        <v>1200</v>
      </c>
      <c r="BA517">
        <v>1</v>
      </c>
      <c r="BB517" t="str">
        <f t="shared" si="24"/>
        <v xml:space="preserve">N8080G  </v>
      </c>
      <c r="BC517">
        <v>1</v>
      </c>
      <c r="BE517">
        <v>0</v>
      </c>
      <c r="BF517">
        <v>0</v>
      </c>
      <c r="BG517">
        <v>0</v>
      </c>
      <c r="BH517">
        <v>1850</v>
      </c>
      <c r="BI517">
        <v>1</v>
      </c>
      <c r="BJ517">
        <v>1</v>
      </c>
      <c r="BK517">
        <v>1</v>
      </c>
      <c r="BL517">
        <v>0</v>
      </c>
      <c r="BO517">
        <v>0</v>
      </c>
      <c r="BP517">
        <v>0</v>
      </c>
      <c r="BW517" t="str">
        <f>"20:14:02.927"</f>
        <v>20:14:02.927</v>
      </c>
      <c r="CJ517">
        <v>0</v>
      </c>
      <c r="CK517">
        <v>2</v>
      </c>
      <c r="CL517">
        <v>0</v>
      </c>
      <c r="CM517">
        <v>2</v>
      </c>
      <c r="CN517">
        <v>0</v>
      </c>
      <c r="CO517">
        <v>5</v>
      </c>
      <c r="CP517" t="s">
        <v>119</v>
      </c>
      <c r="CQ517">
        <v>559</v>
      </c>
      <c r="CR517">
        <v>0</v>
      </c>
      <c r="CW517">
        <v>10410959</v>
      </c>
      <c r="CY517">
        <v>1</v>
      </c>
      <c r="CZ517">
        <v>0</v>
      </c>
      <c r="DA517">
        <v>1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</row>
    <row r="518" spans="1:113" x14ac:dyDescent="0.3">
      <c r="A518" t="str">
        <f>"02/08/2021 20:14:01.676"</f>
        <v>02/08/2021 20:14:01.676</v>
      </c>
      <c r="C518" t="str">
        <f t="shared" si="23"/>
        <v>FFDFD3C0</v>
      </c>
      <c r="D518" t="s">
        <v>124</v>
      </c>
      <c r="E518">
        <v>13</v>
      </c>
      <c r="F518">
        <v>1013</v>
      </c>
      <c r="G518" t="s">
        <v>114</v>
      </c>
      <c r="J518" t="s">
        <v>125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>"20:14:04.016"</f>
        <v>20:14:04.016</v>
      </c>
      <c r="U518" t="str">
        <f t="shared" si="25"/>
        <v>AB01F4</v>
      </c>
      <c r="V518">
        <v>0</v>
      </c>
      <c r="W518">
        <v>0</v>
      </c>
      <c r="X518">
        <v>1</v>
      </c>
      <c r="Z518">
        <v>0</v>
      </c>
      <c r="AA518">
        <v>9</v>
      </c>
      <c r="AB518">
        <v>3</v>
      </c>
      <c r="AC518">
        <v>0</v>
      </c>
      <c r="AD518">
        <v>10</v>
      </c>
      <c r="AE518">
        <v>0</v>
      </c>
      <c r="AF518">
        <v>3</v>
      </c>
      <c r="AG518">
        <v>2</v>
      </c>
      <c r="AH518">
        <v>0</v>
      </c>
      <c r="AI518" t="s">
        <v>484</v>
      </c>
      <c r="AJ518">
        <v>39.581187</v>
      </c>
      <c r="AK518" t="s">
        <v>485</v>
      </c>
      <c r="AL518">
        <v>-92.496084999999994</v>
      </c>
      <c r="AM518">
        <v>100</v>
      </c>
      <c r="AN518">
        <v>1900</v>
      </c>
      <c r="AO518" t="s">
        <v>118</v>
      </c>
      <c r="AP518">
        <v>-20</v>
      </c>
      <c r="AQ518">
        <v>136</v>
      </c>
      <c r="AR518">
        <v>-64</v>
      </c>
      <c r="AZ518">
        <v>1200</v>
      </c>
      <c r="BA518">
        <v>1</v>
      </c>
      <c r="BB518" t="str">
        <f t="shared" si="24"/>
        <v xml:space="preserve">N8080G  </v>
      </c>
      <c r="BC518">
        <v>1</v>
      </c>
      <c r="BE518">
        <v>0</v>
      </c>
      <c r="BF518">
        <v>0</v>
      </c>
      <c r="BG518">
        <v>0</v>
      </c>
      <c r="BH518">
        <v>1850</v>
      </c>
      <c r="BI518">
        <v>1</v>
      </c>
      <c r="BJ518">
        <v>1</v>
      </c>
      <c r="BK518">
        <v>1</v>
      </c>
      <c r="BL518">
        <v>0</v>
      </c>
      <c r="BO518">
        <v>0</v>
      </c>
      <c r="BP518">
        <v>0</v>
      </c>
      <c r="BW518" t="str">
        <f>"20:14:04.023"</f>
        <v>20:14:04.023</v>
      </c>
      <c r="CJ518">
        <v>0</v>
      </c>
      <c r="CK518">
        <v>2</v>
      </c>
      <c r="CL518">
        <v>0</v>
      </c>
      <c r="CM518">
        <v>2</v>
      </c>
      <c r="CN518">
        <v>0</v>
      </c>
      <c r="CO518">
        <v>5</v>
      </c>
      <c r="CP518" t="s">
        <v>119</v>
      </c>
      <c r="CQ518">
        <v>559</v>
      </c>
      <c r="CR518">
        <v>0</v>
      </c>
      <c r="CW518">
        <v>10411123</v>
      </c>
      <c r="CY518">
        <v>1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</row>
    <row r="519" spans="1:113" x14ac:dyDescent="0.3">
      <c r="A519" t="str">
        <f>"02/08/2021 20:14:01.676"</f>
        <v>02/08/2021 20:14:01.676</v>
      </c>
      <c r="C519" t="str">
        <f t="shared" si="23"/>
        <v>FFDFD3C0</v>
      </c>
      <c r="D519" t="s">
        <v>113</v>
      </c>
      <c r="E519">
        <v>6</v>
      </c>
      <c r="H519">
        <v>165</v>
      </c>
      <c r="I519" t="s">
        <v>114</v>
      </c>
      <c r="J519" t="s">
        <v>115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>"20:14:04.016"</f>
        <v>20:14:04.016</v>
      </c>
      <c r="U519" t="str">
        <f t="shared" si="25"/>
        <v>AB01F4</v>
      </c>
      <c r="V519">
        <v>0</v>
      </c>
      <c r="W519">
        <v>0</v>
      </c>
      <c r="X519">
        <v>1</v>
      </c>
      <c r="Z519">
        <v>0</v>
      </c>
      <c r="AA519">
        <v>9</v>
      </c>
      <c r="AB519">
        <v>3</v>
      </c>
      <c r="AC519">
        <v>0</v>
      </c>
      <c r="AD519">
        <v>10</v>
      </c>
      <c r="AE519">
        <v>0</v>
      </c>
      <c r="AF519">
        <v>3</v>
      </c>
      <c r="AG519">
        <v>2</v>
      </c>
      <c r="AH519">
        <v>0</v>
      </c>
      <c r="AI519" t="s">
        <v>484</v>
      </c>
      <c r="AJ519">
        <v>39.581187</v>
      </c>
      <c r="AK519" t="s">
        <v>485</v>
      </c>
      <c r="AL519">
        <v>-92.496084999999994</v>
      </c>
      <c r="AM519">
        <v>100</v>
      </c>
      <c r="AN519">
        <v>1900</v>
      </c>
      <c r="AO519" t="s">
        <v>118</v>
      </c>
      <c r="AP519">
        <v>-20</v>
      </c>
      <c r="AQ519">
        <v>136</v>
      </c>
      <c r="AR519">
        <v>-64</v>
      </c>
      <c r="AZ519">
        <v>1200</v>
      </c>
      <c r="BA519">
        <v>1</v>
      </c>
      <c r="BB519" t="str">
        <f t="shared" si="24"/>
        <v xml:space="preserve">N8080G  </v>
      </c>
      <c r="BC519">
        <v>1</v>
      </c>
      <c r="BE519">
        <v>0</v>
      </c>
      <c r="BF519">
        <v>0</v>
      </c>
      <c r="BG519">
        <v>0</v>
      </c>
      <c r="BH519">
        <v>1850</v>
      </c>
      <c r="BI519">
        <v>1</v>
      </c>
      <c r="BJ519">
        <v>1</v>
      </c>
      <c r="BK519">
        <v>1</v>
      </c>
      <c r="BL519">
        <v>0</v>
      </c>
      <c r="BO519">
        <v>0</v>
      </c>
      <c r="BP519">
        <v>0</v>
      </c>
      <c r="BW519" t="str">
        <f>"20:14:04.023"</f>
        <v>20:14:04.023</v>
      </c>
      <c r="CJ519">
        <v>0</v>
      </c>
      <c r="CK519">
        <v>2</v>
      </c>
      <c r="CL519">
        <v>0</v>
      </c>
      <c r="CM519">
        <v>2</v>
      </c>
      <c r="CN519">
        <v>0</v>
      </c>
      <c r="CO519">
        <v>5</v>
      </c>
      <c r="CP519" t="s">
        <v>119</v>
      </c>
      <c r="CQ519">
        <v>559</v>
      </c>
      <c r="CR519">
        <v>0</v>
      </c>
      <c r="CW519">
        <v>10411123</v>
      </c>
      <c r="CY519">
        <v>1</v>
      </c>
      <c r="CZ519">
        <v>0</v>
      </c>
      <c r="DA519">
        <v>1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</row>
    <row r="520" spans="1:113" x14ac:dyDescent="0.3">
      <c r="A520" t="str">
        <f>"02/08/2021 20:14:01.676"</f>
        <v>02/08/2021 20:14:01.676</v>
      </c>
      <c r="C520" t="str">
        <f t="shared" si="23"/>
        <v>FFDFD3C0</v>
      </c>
      <c r="D520" t="s">
        <v>141</v>
      </c>
      <c r="E520">
        <v>17</v>
      </c>
      <c r="H520">
        <v>256</v>
      </c>
      <c r="I520" t="s">
        <v>142</v>
      </c>
      <c r="J520" t="s">
        <v>143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>"20:14:04.016"</f>
        <v>20:14:04.016</v>
      </c>
      <c r="U520" t="str">
        <f t="shared" si="25"/>
        <v>AB01F4</v>
      </c>
      <c r="V520">
        <v>0</v>
      </c>
      <c r="W520">
        <v>0</v>
      </c>
      <c r="X520">
        <v>1</v>
      </c>
      <c r="Z520">
        <v>0</v>
      </c>
      <c r="AA520">
        <v>9</v>
      </c>
      <c r="AB520">
        <v>3</v>
      </c>
      <c r="AC520">
        <v>0</v>
      </c>
      <c r="AD520">
        <v>10</v>
      </c>
      <c r="AE520">
        <v>0</v>
      </c>
      <c r="AF520">
        <v>3</v>
      </c>
      <c r="AG520">
        <v>2</v>
      </c>
      <c r="AH520">
        <v>0</v>
      </c>
      <c r="AI520" t="s">
        <v>484</v>
      </c>
      <c r="AJ520">
        <v>39.581187</v>
      </c>
      <c r="AK520" t="s">
        <v>485</v>
      </c>
      <c r="AL520">
        <v>-92.496084999999994</v>
      </c>
      <c r="AM520">
        <v>100</v>
      </c>
      <c r="AN520">
        <v>1900</v>
      </c>
      <c r="AO520" t="s">
        <v>118</v>
      </c>
      <c r="AP520">
        <v>-20</v>
      </c>
      <c r="AQ520">
        <v>136</v>
      </c>
      <c r="AR520">
        <v>-64</v>
      </c>
      <c r="AZ520">
        <v>1200</v>
      </c>
      <c r="BA520">
        <v>1</v>
      </c>
      <c r="BB520" t="str">
        <f t="shared" si="24"/>
        <v xml:space="preserve">N8080G  </v>
      </c>
      <c r="BC520">
        <v>1</v>
      </c>
      <c r="BE520">
        <v>0</v>
      </c>
      <c r="BF520">
        <v>0</v>
      </c>
      <c r="BG520">
        <v>0</v>
      </c>
      <c r="BH520">
        <v>1850</v>
      </c>
      <c r="BI520">
        <v>1</v>
      </c>
      <c r="BJ520">
        <v>1</v>
      </c>
      <c r="BK520">
        <v>1</v>
      </c>
      <c r="BL520">
        <v>0</v>
      </c>
      <c r="BO520">
        <v>0</v>
      </c>
      <c r="BP520">
        <v>0</v>
      </c>
      <c r="BW520" t="str">
        <f>"20:14:04.023"</f>
        <v>20:14:04.023</v>
      </c>
      <c r="CJ520">
        <v>0</v>
      </c>
      <c r="CK520">
        <v>2</v>
      </c>
      <c r="CL520">
        <v>0</v>
      </c>
      <c r="CM520">
        <v>2</v>
      </c>
      <c r="CN520">
        <v>0</v>
      </c>
      <c r="CO520">
        <v>5</v>
      </c>
      <c r="CP520" t="s">
        <v>119</v>
      </c>
      <c r="CQ520">
        <v>559</v>
      </c>
      <c r="CR520">
        <v>0</v>
      </c>
      <c r="CW520">
        <v>10411123</v>
      </c>
      <c r="CY520">
        <v>1</v>
      </c>
      <c r="CZ520">
        <v>0</v>
      </c>
      <c r="DA520">
        <v>1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</row>
    <row r="521" spans="1:113" x14ac:dyDescent="0.3">
      <c r="A521" t="str">
        <f>"02/08/2021 20:14:05.905"</f>
        <v>02/08/2021 20:14:05.905</v>
      </c>
      <c r="C521" t="str">
        <f t="shared" ref="C521:C584" si="26">"FFDFD7C0"</f>
        <v>FFDFD7C0</v>
      </c>
      <c r="D521" t="s">
        <v>141</v>
      </c>
      <c r="E521">
        <v>17</v>
      </c>
      <c r="H521">
        <v>256</v>
      </c>
      <c r="I521" t="s">
        <v>142</v>
      </c>
      <c r="J521" t="s">
        <v>143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>"20:14:08.266"</f>
        <v>20:14:08.266</v>
      </c>
      <c r="T521" t="str">
        <f>"20:14:07.266"</f>
        <v>20:14:07.266</v>
      </c>
      <c r="U521" t="str">
        <f t="shared" si="25"/>
        <v>AB01F4</v>
      </c>
      <c r="V521">
        <v>0</v>
      </c>
      <c r="W521">
        <v>0</v>
      </c>
      <c r="X521">
        <v>1</v>
      </c>
      <c r="Z521">
        <v>0</v>
      </c>
      <c r="AA521">
        <v>9</v>
      </c>
      <c r="AB521">
        <v>3</v>
      </c>
      <c r="AC521">
        <v>0</v>
      </c>
      <c r="AD521">
        <v>10</v>
      </c>
      <c r="AE521">
        <v>0</v>
      </c>
      <c r="AF521">
        <v>3</v>
      </c>
      <c r="AG521">
        <v>2</v>
      </c>
      <c r="AH521">
        <v>0</v>
      </c>
      <c r="AI521" t="s">
        <v>486</v>
      </c>
      <c r="AJ521">
        <v>39.583826000000002</v>
      </c>
      <c r="AK521" t="s">
        <v>487</v>
      </c>
      <c r="AL521">
        <v>-92.496578999999997</v>
      </c>
      <c r="AM521">
        <v>100</v>
      </c>
      <c r="AN521">
        <v>1900</v>
      </c>
      <c r="AO521" t="s">
        <v>118</v>
      </c>
      <c r="AP521">
        <v>-20</v>
      </c>
      <c r="AQ521">
        <v>136</v>
      </c>
      <c r="AR521">
        <v>64</v>
      </c>
      <c r="AZ521">
        <v>1200</v>
      </c>
      <c r="BA521">
        <v>1</v>
      </c>
      <c r="BB521" t="str">
        <f t="shared" si="24"/>
        <v xml:space="preserve">N8080G  </v>
      </c>
      <c r="BC521">
        <v>1</v>
      </c>
      <c r="BE521">
        <v>0</v>
      </c>
      <c r="BF521">
        <v>0</v>
      </c>
      <c r="BG521">
        <v>0</v>
      </c>
      <c r="BH521">
        <v>1850</v>
      </c>
      <c r="BI521">
        <v>1</v>
      </c>
      <c r="BJ521">
        <v>1</v>
      </c>
      <c r="BK521">
        <v>1</v>
      </c>
      <c r="BL521">
        <v>0</v>
      </c>
      <c r="BO521">
        <v>0</v>
      </c>
      <c r="BP521">
        <v>0</v>
      </c>
      <c r="BW521" t="str">
        <f>"20:14:08.268"</f>
        <v>20:14:08.268</v>
      </c>
      <c r="BZ521">
        <v>0</v>
      </c>
      <c r="CA521">
        <v>2016</v>
      </c>
      <c r="CB521">
        <v>224</v>
      </c>
      <c r="CD521">
        <v>1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2</v>
      </c>
      <c r="CL521">
        <v>0</v>
      </c>
      <c r="CM521">
        <v>2</v>
      </c>
      <c r="CN521">
        <v>0</v>
      </c>
      <c r="CO521">
        <v>6</v>
      </c>
      <c r="CP521" t="s">
        <v>119</v>
      </c>
      <c r="CQ521">
        <v>559</v>
      </c>
      <c r="CR521">
        <v>0</v>
      </c>
      <c r="CW521">
        <v>10411798</v>
      </c>
      <c r="CY521">
        <v>1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</row>
    <row r="522" spans="1:113" x14ac:dyDescent="0.3">
      <c r="A522" t="str">
        <f>"02/08/2021 20:14:05.905"</f>
        <v>02/08/2021 20:14:05.905</v>
      </c>
      <c r="C522" t="str">
        <f t="shared" si="26"/>
        <v>FFDFD7C0</v>
      </c>
      <c r="D522" t="s">
        <v>113</v>
      </c>
      <c r="E522">
        <v>6</v>
      </c>
      <c r="H522">
        <v>165</v>
      </c>
      <c r="I522" t="s">
        <v>114</v>
      </c>
      <c r="J522" t="s">
        <v>115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>"20:14:08.266"</f>
        <v>20:14:08.266</v>
      </c>
      <c r="T522" t="str">
        <f>"20:14:07.866"</f>
        <v>20:14:07.866</v>
      </c>
      <c r="U522" t="str">
        <f t="shared" si="25"/>
        <v>AB01F4</v>
      </c>
      <c r="V522">
        <v>0</v>
      </c>
      <c r="W522">
        <v>0</v>
      </c>
      <c r="X522">
        <v>1</v>
      </c>
      <c r="Z522">
        <v>0</v>
      </c>
      <c r="AA522">
        <v>9</v>
      </c>
      <c r="AB522">
        <v>3</v>
      </c>
      <c r="AC522">
        <v>0</v>
      </c>
      <c r="AD522">
        <v>10</v>
      </c>
      <c r="AE522">
        <v>0</v>
      </c>
      <c r="AF522">
        <v>3</v>
      </c>
      <c r="AG522">
        <v>2</v>
      </c>
      <c r="AH522">
        <v>0</v>
      </c>
      <c r="AI522" t="s">
        <v>486</v>
      </c>
      <c r="AJ522">
        <v>39.583826000000002</v>
      </c>
      <c r="AK522" t="s">
        <v>487</v>
      </c>
      <c r="AL522">
        <v>-92.496578999999997</v>
      </c>
      <c r="AM522">
        <v>100</v>
      </c>
      <c r="AN522">
        <v>1900</v>
      </c>
      <c r="AO522" t="s">
        <v>118</v>
      </c>
      <c r="AP522">
        <v>-20</v>
      </c>
      <c r="AQ522">
        <v>136</v>
      </c>
      <c r="AR522">
        <v>0</v>
      </c>
      <c r="AZ522">
        <v>1200</v>
      </c>
      <c r="BA522">
        <v>1</v>
      </c>
      <c r="BB522" t="str">
        <f t="shared" si="24"/>
        <v xml:space="preserve">N8080G  </v>
      </c>
      <c r="BC522">
        <v>1</v>
      </c>
      <c r="BE522">
        <v>0</v>
      </c>
      <c r="BF522">
        <v>0</v>
      </c>
      <c r="BG522">
        <v>0</v>
      </c>
      <c r="BH522">
        <v>1850</v>
      </c>
      <c r="BI522">
        <v>1</v>
      </c>
      <c r="BJ522">
        <v>1</v>
      </c>
      <c r="BK522">
        <v>1</v>
      </c>
      <c r="BL522">
        <v>0</v>
      </c>
      <c r="BO522">
        <v>0</v>
      </c>
      <c r="BP522">
        <v>0</v>
      </c>
      <c r="BW522" t="str">
        <f>"20:14:08.268"</f>
        <v>20:14:08.268</v>
      </c>
      <c r="BZ522">
        <v>0</v>
      </c>
      <c r="CA522">
        <v>2016</v>
      </c>
      <c r="CB522">
        <v>224</v>
      </c>
      <c r="CD522">
        <v>1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2</v>
      </c>
      <c r="CL522">
        <v>0</v>
      </c>
      <c r="CM522">
        <v>2</v>
      </c>
      <c r="CN522">
        <v>0</v>
      </c>
      <c r="CO522">
        <v>6</v>
      </c>
      <c r="CP522" t="s">
        <v>119</v>
      </c>
      <c r="CQ522">
        <v>180</v>
      </c>
      <c r="CR522">
        <v>2</v>
      </c>
      <c r="CW522">
        <v>7873248</v>
      </c>
      <c r="CY522">
        <v>1</v>
      </c>
      <c r="CZ522">
        <v>0</v>
      </c>
      <c r="DA522">
        <v>1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</row>
    <row r="523" spans="1:113" x14ac:dyDescent="0.3">
      <c r="A523" t="str">
        <f>"02/08/2021 20:14:05.905"</f>
        <v>02/08/2021 20:14:05.905</v>
      </c>
      <c r="C523" t="str">
        <f t="shared" si="26"/>
        <v>FFDFD7C0</v>
      </c>
      <c r="D523" t="s">
        <v>124</v>
      </c>
      <c r="E523">
        <v>13</v>
      </c>
      <c r="F523">
        <v>1013</v>
      </c>
      <c r="G523" t="s">
        <v>114</v>
      </c>
      <c r="J523" t="s">
        <v>125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>"20:14:08.266"</f>
        <v>20:14:08.266</v>
      </c>
      <c r="T523" t="str">
        <f>"20:14:07.866"</f>
        <v>20:14:07.866</v>
      </c>
      <c r="U523" t="str">
        <f t="shared" si="25"/>
        <v>AB01F4</v>
      </c>
      <c r="V523">
        <v>0</v>
      </c>
      <c r="W523">
        <v>0</v>
      </c>
      <c r="X523">
        <v>1</v>
      </c>
      <c r="Z523">
        <v>0</v>
      </c>
      <c r="AA523">
        <v>9</v>
      </c>
      <c r="AB523">
        <v>3</v>
      </c>
      <c r="AC523">
        <v>0</v>
      </c>
      <c r="AD523">
        <v>10</v>
      </c>
      <c r="AE523">
        <v>0</v>
      </c>
      <c r="AF523">
        <v>3</v>
      </c>
      <c r="AG523">
        <v>2</v>
      </c>
      <c r="AH523">
        <v>0</v>
      </c>
      <c r="AI523" t="s">
        <v>486</v>
      </c>
      <c r="AJ523">
        <v>39.583826000000002</v>
      </c>
      <c r="AK523" t="s">
        <v>487</v>
      </c>
      <c r="AL523">
        <v>-92.496578999999997</v>
      </c>
      <c r="AM523">
        <v>100</v>
      </c>
      <c r="AN523">
        <v>1900</v>
      </c>
      <c r="AO523" t="s">
        <v>118</v>
      </c>
      <c r="AP523">
        <v>-20</v>
      </c>
      <c r="AQ523">
        <v>136</v>
      </c>
      <c r="AR523">
        <v>0</v>
      </c>
      <c r="AZ523">
        <v>1200</v>
      </c>
      <c r="BA523">
        <v>1</v>
      </c>
      <c r="BB523" t="str">
        <f t="shared" si="24"/>
        <v xml:space="preserve">N8080G  </v>
      </c>
      <c r="BC523">
        <v>1</v>
      </c>
      <c r="BE523">
        <v>0</v>
      </c>
      <c r="BF523">
        <v>0</v>
      </c>
      <c r="BG523">
        <v>0</v>
      </c>
      <c r="BH523">
        <v>1850</v>
      </c>
      <c r="BI523">
        <v>1</v>
      </c>
      <c r="BJ523">
        <v>1</v>
      </c>
      <c r="BK523">
        <v>1</v>
      </c>
      <c r="BL523">
        <v>0</v>
      </c>
      <c r="BO523">
        <v>0</v>
      </c>
      <c r="BP523">
        <v>0</v>
      </c>
      <c r="BW523" t="str">
        <f>"20:14:08.268"</f>
        <v>20:14:08.268</v>
      </c>
      <c r="BZ523">
        <v>0</v>
      </c>
      <c r="CA523">
        <v>2016</v>
      </c>
      <c r="CB523">
        <v>224</v>
      </c>
      <c r="CD523">
        <v>1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2</v>
      </c>
      <c r="CL523">
        <v>0</v>
      </c>
      <c r="CM523">
        <v>2</v>
      </c>
      <c r="CN523">
        <v>0</v>
      </c>
      <c r="CO523">
        <v>6</v>
      </c>
      <c r="CP523" t="s">
        <v>119</v>
      </c>
      <c r="CQ523">
        <v>180</v>
      </c>
      <c r="CR523">
        <v>2</v>
      </c>
      <c r="CW523">
        <v>7873248</v>
      </c>
      <c r="CY523">
        <v>1</v>
      </c>
      <c r="CZ523">
        <v>0</v>
      </c>
      <c r="DA523">
        <v>1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</row>
    <row r="524" spans="1:113" x14ac:dyDescent="0.3">
      <c r="A524" t="str">
        <f>"02/08/2021 20:14:06.801"</f>
        <v>02/08/2021 20:14:06.801</v>
      </c>
      <c r="C524" t="str">
        <f t="shared" si="26"/>
        <v>FFDFD7C0</v>
      </c>
      <c r="D524" t="s">
        <v>124</v>
      </c>
      <c r="E524">
        <v>13</v>
      </c>
      <c r="F524">
        <v>1013</v>
      </c>
      <c r="G524" t="s">
        <v>114</v>
      </c>
      <c r="J524" t="s">
        <v>125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>"20:14:09.156"</f>
        <v>20:14:09.156</v>
      </c>
      <c r="U524" t="str">
        <f t="shared" si="25"/>
        <v>AB01F4</v>
      </c>
      <c r="V524">
        <v>0</v>
      </c>
      <c r="W524">
        <v>0</v>
      </c>
      <c r="X524">
        <v>1</v>
      </c>
      <c r="Z524">
        <v>0</v>
      </c>
      <c r="AA524">
        <v>9</v>
      </c>
      <c r="AB524">
        <v>3</v>
      </c>
      <c r="AC524">
        <v>0</v>
      </c>
      <c r="AD524">
        <v>10</v>
      </c>
      <c r="AE524">
        <v>0</v>
      </c>
      <c r="AF524">
        <v>3</v>
      </c>
      <c r="AG524">
        <v>2</v>
      </c>
      <c r="AH524">
        <v>0</v>
      </c>
      <c r="AI524" t="s">
        <v>488</v>
      </c>
      <c r="AJ524">
        <v>39.584384</v>
      </c>
      <c r="AK524" t="s">
        <v>489</v>
      </c>
      <c r="AL524">
        <v>-92.496707000000001</v>
      </c>
      <c r="AM524">
        <v>100</v>
      </c>
      <c r="AN524">
        <v>1900</v>
      </c>
      <c r="AO524" t="s">
        <v>118</v>
      </c>
      <c r="AP524">
        <v>-19</v>
      </c>
      <c r="AQ524">
        <v>136</v>
      </c>
      <c r="AR524">
        <v>64</v>
      </c>
      <c r="AZ524">
        <v>1200</v>
      </c>
      <c r="BA524">
        <v>1</v>
      </c>
      <c r="BB524" t="str">
        <f t="shared" si="24"/>
        <v xml:space="preserve">N8080G  </v>
      </c>
      <c r="BC524">
        <v>1</v>
      </c>
      <c r="BE524">
        <v>0</v>
      </c>
      <c r="BF524">
        <v>0</v>
      </c>
      <c r="BG524">
        <v>0</v>
      </c>
      <c r="BH524">
        <v>1850</v>
      </c>
      <c r="BI524">
        <v>1</v>
      </c>
      <c r="BJ524">
        <v>1</v>
      </c>
      <c r="BK524">
        <v>1</v>
      </c>
      <c r="BL524">
        <v>0</v>
      </c>
      <c r="BO524">
        <v>0</v>
      </c>
      <c r="BP524">
        <v>0</v>
      </c>
      <c r="BW524" t="str">
        <f>"20:14:09.161"</f>
        <v>20:14:09.161</v>
      </c>
      <c r="BZ524">
        <v>0</v>
      </c>
      <c r="CA524">
        <v>2016</v>
      </c>
      <c r="CB524">
        <v>224</v>
      </c>
      <c r="CD524">
        <v>1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2</v>
      </c>
      <c r="CL524">
        <v>0</v>
      </c>
      <c r="CM524">
        <v>2</v>
      </c>
      <c r="CN524">
        <v>0</v>
      </c>
      <c r="CO524">
        <v>6</v>
      </c>
      <c r="CP524" t="s">
        <v>119</v>
      </c>
      <c r="CQ524">
        <v>559</v>
      </c>
      <c r="CR524">
        <v>0</v>
      </c>
      <c r="CW524">
        <v>10411939</v>
      </c>
      <c r="CY524">
        <v>1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</row>
    <row r="525" spans="1:113" x14ac:dyDescent="0.3">
      <c r="A525" t="str">
        <f>"02/08/2021 20:14:06.801"</f>
        <v>02/08/2021 20:14:06.801</v>
      </c>
      <c r="C525" t="str">
        <f t="shared" si="26"/>
        <v>FFDFD7C0</v>
      </c>
      <c r="D525" t="s">
        <v>141</v>
      </c>
      <c r="E525">
        <v>17</v>
      </c>
      <c r="H525">
        <v>256</v>
      </c>
      <c r="I525" t="s">
        <v>142</v>
      </c>
      <c r="J525" t="s">
        <v>143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>"20:14:09.156"</f>
        <v>20:14:09.156</v>
      </c>
      <c r="U525" t="str">
        <f t="shared" si="25"/>
        <v>AB01F4</v>
      </c>
      <c r="V525">
        <v>0</v>
      </c>
      <c r="W525">
        <v>0</v>
      </c>
      <c r="X525">
        <v>1</v>
      </c>
      <c r="Z525">
        <v>0</v>
      </c>
      <c r="AA525">
        <v>9</v>
      </c>
      <c r="AB525">
        <v>3</v>
      </c>
      <c r="AC525">
        <v>0</v>
      </c>
      <c r="AD525">
        <v>10</v>
      </c>
      <c r="AE525">
        <v>0</v>
      </c>
      <c r="AF525">
        <v>3</v>
      </c>
      <c r="AG525">
        <v>2</v>
      </c>
      <c r="AH525">
        <v>0</v>
      </c>
      <c r="AI525" t="s">
        <v>488</v>
      </c>
      <c r="AJ525">
        <v>39.584384</v>
      </c>
      <c r="AK525" t="s">
        <v>489</v>
      </c>
      <c r="AL525">
        <v>-92.496707000000001</v>
      </c>
      <c r="AM525">
        <v>100</v>
      </c>
      <c r="AN525">
        <v>1900</v>
      </c>
      <c r="AO525" t="s">
        <v>118</v>
      </c>
      <c r="AP525">
        <v>-19</v>
      </c>
      <c r="AQ525">
        <v>136</v>
      </c>
      <c r="AR525">
        <v>64</v>
      </c>
      <c r="AZ525">
        <v>1200</v>
      </c>
      <c r="BA525">
        <v>1</v>
      </c>
      <c r="BB525" t="str">
        <f t="shared" si="24"/>
        <v xml:space="preserve">N8080G  </v>
      </c>
      <c r="BC525">
        <v>1</v>
      </c>
      <c r="BE525">
        <v>0</v>
      </c>
      <c r="BF525">
        <v>0</v>
      </c>
      <c r="BG525">
        <v>0</v>
      </c>
      <c r="BH525">
        <v>1850</v>
      </c>
      <c r="BI525">
        <v>1</v>
      </c>
      <c r="BJ525">
        <v>1</v>
      </c>
      <c r="BK525">
        <v>1</v>
      </c>
      <c r="BL525">
        <v>0</v>
      </c>
      <c r="BO525">
        <v>0</v>
      </c>
      <c r="BP525">
        <v>0</v>
      </c>
      <c r="BW525" t="str">
        <f>"20:14:09.161"</f>
        <v>20:14:09.161</v>
      </c>
      <c r="BZ525">
        <v>0</v>
      </c>
      <c r="CA525">
        <v>2016</v>
      </c>
      <c r="CB525">
        <v>224</v>
      </c>
      <c r="CD525">
        <v>1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2</v>
      </c>
      <c r="CL525">
        <v>0</v>
      </c>
      <c r="CM525">
        <v>2</v>
      </c>
      <c r="CN525">
        <v>0</v>
      </c>
      <c r="CO525">
        <v>6</v>
      </c>
      <c r="CP525" t="s">
        <v>119</v>
      </c>
      <c r="CQ525">
        <v>559</v>
      </c>
      <c r="CR525">
        <v>0</v>
      </c>
      <c r="CW525">
        <v>10411939</v>
      </c>
      <c r="CY525">
        <v>1</v>
      </c>
      <c r="CZ525">
        <v>0</v>
      </c>
      <c r="DA525">
        <v>1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</row>
    <row r="526" spans="1:113" x14ac:dyDescent="0.3">
      <c r="A526" t="str">
        <f>"02/08/2021 20:14:06.801"</f>
        <v>02/08/2021 20:14:06.801</v>
      </c>
      <c r="C526" t="str">
        <f t="shared" si="26"/>
        <v>FFDFD7C0</v>
      </c>
      <c r="D526" t="s">
        <v>113</v>
      </c>
      <c r="E526">
        <v>6</v>
      </c>
      <c r="H526">
        <v>165</v>
      </c>
      <c r="I526" t="s">
        <v>114</v>
      </c>
      <c r="J526" t="s">
        <v>115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>"20:14:09.156"</f>
        <v>20:14:09.156</v>
      </c>
      <c r="U526" t="str">
        <f t="shared" si="25"/>
        <v>AB01F4</v>
      </c>
      <c r="V526">
        <v>0</v>
      </c>
      <c r="W526">
        <v>0</v>
      </c>
      <c r="X526">
        <v>1</v>
      </c>
      <c r="Z526">
        <v>0</v>
      </c>
      <c r="AA526">
        <v>9</v>
      </c>
      <c r="AB526">
        <v>3</v>
      </c>
      <c r="AC526">
        <v>0</v>
      </c>
      <c r="AD526">
        <v>10</v>
      </c>
      <c r="AE526">
        <v>0</v>
      </c>
      <c r="AF526">
        <v>3</v>
      </c>
      <c r="AG526">
        <v>2</v>
      </c>
      <c r="AH526">
        <v>0</v>
      </c>
      <c r="AI526" t="s">
        <v>488</v>
      </c>
      <c r="AJ526">
        <v>39.584384</v>
      </c>
      <c r="AK526" t="s">
        <v>489</v>
      </c>
      <c r="AL526">
        <v>-92.496707000000001</v>
      </c>
      <c r="AM526">
        <v>100</v>
      </c>
      <c r="AN526">
        <v>1900</v>
      </c>
      <c r="AO526" t="s">
        <v>118</v>
      </c>
      <c r="AP526">
        <v>-19</v>
      </c>
      <c r="AQ526">
        <v>136</v>
      </c>
      <c r="AR526">
        <v>64</v>
      </c>
      <c r="AZ526">
        <v>1200</v>
      </c>
      <c r="BA526">
        <v>1</v>
      </c>
      <c r="BB526" t="str">
        <f t="shared" si="24"/>
        <v xml:space="preserve">N8080G  </v>
      </c>
      <c r="BC526">
        <v>1</v>
      </c>
      <c r="BE526">
        <v>0</v>
      </c>
      <c r="BF526">
        <v>0</v>
      </c>
      <c r="BG526">
        <v>0</v>
      </c>
      <c r="BH526">
        <v>1850</v>
      </c>
      <c r="BI526">
        <v>1</v>
      </c>
      <c r="BJ526">
        <v>1</v>
      </c>
      <c r="BK526">
        <v>1</v>
      </c>
      <c r="BL526">
        <v>0</v>
      </c>
      <c r="BO526">
        <v>0</v>
      </c>
      <c r="BP526">
        <v>0</v>
      </c>
      <c r="BW526" t="str">
        <f>"20:14:09.161"</f>
        <v>20:14:09.161</v>
      </c>
      <c r="BZ526">
        <v>0</v>
      </c>
      <c r="CA526">
        <v>2016</v>
      </c>
      <c r="CB526">
        <v>224</v>
      </c>
      <c r="CD526">
        <v>1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2</v>
      </c>
      <c r="CL526">
        <v>0</v>
      </c>
      <c r="CM526">
        <v>2</v>
      </c>
      <c r="CN526">
        <v>0</v>
      </c>
      <c r="CO526">
        <v>6</v>
      </c>
      <c r="CP526" t="s">
        <v>119</v>
      </c>
      <c r="CQ526">
        <v>559</v>
      </c>
      <c r="CR526">
        <v>0</v>
      </c>
      <c r="CW526">
        <v>10411939</v>
      </c>
      <c r="CY526">
        <v>1</v>
      </c>
      <c r="CZ526">
        <v>0</v>
      </c>
      <c r="DA526">
        <v>1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</row>
    <row r="527" spans="1:113" x14ac:dyDescent="0.3">
      <c r="A527" t="str">
        <f>"02/08/2021 20:14:07.844"</f>
        <v>02/08/2021 20:14:07.844</v>
      </c>
      <c r="C527" t="str">
        <f t="shared" si="26"/>
        <v>FFDFD7C0</v>
      </c>
      <c r="D527" t="s">
        <v>113</v>
      </c>
      <c r="E527">
        <v>6</v>
      </c>
      <c r="H527">
        <v>165</v>
      </c>
      <c r="I527" t="s">
        <v>114</v>
      </c>
      <c r="J527" t="s">
        <v>115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>"20:14:10.164"</f>
        <v>20:14:10.164</v>
      </c>
      <c r="T527" t="str">
        <f>"20:14:09.664"</f>
        <v>20:14:09.664</v>
      </c>
      <c r="U527" t="str">
        <f t="shared" si="25"/>
        <v>AB01F4</v>
      </c>
      <c r="V527">
        <v>0</v>
      </c>
      <c r="W527">
        <v>0</v>
      </c>
      <c r="X527">
        <v>1</v>
      </c>
      <c r="Z527">
        <v>0</v>
      </c>
      <c r="AA527">
        <v>9</v>
      </c>
      <c r="AB527">
        <v>3</v>
      </c>
      <c r="AC527">
        <v>0</v>
      </c>
      <c r="AD527">
        <v>10</v>
      </c>
      <c r="AE527">
        <v>0</v>
      </c>
      <c r="AF527">
        <v>3</v>
      </c>
      <c r="AG527">
        <v>2</v>
      </c>
      <c r="AH527">
        <v>0</v>
      </c>
      <c r="AI527" t="s">
        <v>490</v>
      </c>
      <c r="AJ527">
        <v>39.585070999999999</v>
      </c>
      <c r="AK527" t="s">
        <v>491</v>
      </c>
      <c r="AL527">
        <v>-92.496814999999998</v>
      </c>
      <c r="AM527">
        <v>100</v>
      </c>
      <c r="AN527">
        <v>1900</v>
      </c>
      <c r="AO527" t="s">
        <v>118</v>
      </c>
      <c r="AP527">
        <v>-19</v>
      </c>
      <c r="AQ527">
        <v>136</v>
      </c>
      <c r="AR527">
        <v>64</v>
      </c>
      <c r="AZ527">
        <v>1200</v>
      </c>
      <c r="BA527">
        <v>1</v>
      </c>
      <c r="BB527" t="str">
        <f t="shared" ref="BB527:BB590" si="27">"N8080G  "</f>
        <v xml:space="preserve">N8080G  </v>
      </c>
      <c r="BC527">
        <v>1</v>
      </c>
      <c r="BE527">
        <v>0</v>
      </c>
      <c r="BF527">
        <v>0</v>
      </c>
      <c r="BG527">
        <v>0</v>
      </c>
      <c r="BH527">
        <v>1850</v>
      </c>
      <c r="BI527">
        <v>1</v>
      </c>
      <c r="BJ527">
        <v>1</v>
      </c>
      <c r="BK527">
        <v>1</v>
      </c>
      <c r="BL527">
        <v>0</v>
      </c>
      <c r="BO527">
        <v>0</v>
      </c>
      <c r="BP527">
        <v>0</v>
      </c>
      <c r="BW527" t="str">
        <f>"20:14:10.167"</f>
        <v>20:14:10.167</v>
      </c>
      <c r="BZ527">
        <v>0</v>
      </c>
      <c r="CA527">
        <v>2016</v>
      </c>
      <c r="CB527">
        <v>224</v>
      </c>
      <c r="CD527">
        <v>1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2</v>
      </c>
      <c r="CL527">
        <v>0</v>
      </c>
      <c r="CM527">
        <v>2</v>
      </c>
      <c r="CN527">
        <v>0</v>
      </c>
      <c r="CO527">
        <v>6</v>
      </c>
      <c r="CP527" t="s">
        <v>119</v>
      </c>
      <c r="CQ527">
        <v>180</v>
      </c>
      <c r="CR527">
        <v>1</v>
      </c>
      <c r="CW527">
        <v>10413461</v>
      </c>
      <c r="CY527">
        <v>1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</row>
    <row r="528" spans="1:113" x14ac:dyDescent="0.3">
      <c r="A528" t="str">
        <f>"02/08/2021 20:14:07.844"</f>
        <v>02/08/2021 20:14:07.844</v>
      </c>
      <c r="C528" t="str">
        <f t="shared" si="26"/>
        <v>FFDFD7C0</v>
      </c>
      <c r="D528" t="s">
        <v>141</v>
      </c>
      <c r="E528">
        <v>17</v>
      </c>
      <c r="H528">
        <v>256</v>
      </c>
      <c r="I528" t="s">
        <v>142</v>
      </c>
      <c r="J528" t="s">
        <v>143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>"20:14:10.164"</f>
        <v>20:14:10.164</v>
      </c>
      <c r="T528" t="str">
        <f>"20:14:09.664"</f>
        <v>20:14:09.664</v>
      </c>
      <c r="U528" t="str">
        <f t="shared" si="25"/>
        <v>AB01F4</v>
      </c>
      <c r="V528">
        <v>0</v>
      </c>
      <c r="W528">
        <v>0</v>
      </c>
      <c r="X528">
        <v>1</v>
      </c>
      <c r="Z528">
        <v>0</v>
      </c>
      <c r="AA528">
        <v>9</v>
      </c>
      <c r="AB528">
        <v>3</v>
      </c>
      <c r="AC528">
        <v>0</v>
      </c>
      <c r="AD528">
        <v>10</v>
      </c>
      <c r="AE528">
        <v>0</v>
      </c>
      <c r="AF528">
        <v>3</v>
      </c>
      <c r="AG528">
        <v>2</v>
      </c>
      <c r="AH528">
        <v>0</v>
      </c>
      <c r="AI528" t="s">
        <v>490</v>
      </c>
      <c r="AJ528">
        <v>39.585070999999999</v>
      </c>
      <c r="AK528" t="s">
        <v>491</v>
      </c>
      <c r="AL528">
        <v>-92.496814999999998</v>
      </c>
      <c r="AM528">
        <v>100</v>
      </c>
      <c r="AN528">
        <v>1900</v>
      </c>
      <c r="AO528" t="s">
        <v>118</v>
      </c>
      <c r="AP528">
        <v>-19</v>
      </c>
      <c r="AQ528">
        <v>136</v>
      </c>
      <c r="AR528">
        <v>64</v>
      </c>
      <c r="AZ528">
        <v>1200</v>
      </c>
      <c r="BA528">
        <v>1</v>
      </c>
      <c r="BB528" t="str">
        <f t="shared" si="27"/>
        <v xml:space="preserve">N8080G  </v>
      </c>
      <c r="BC528">
        <v>1</v>
      </c>
      <c r="BE528">
        <v>0</v>
      </c>
      <c r="BF528">
        <v>0</v>
      </c>
      <c r="BG528">
        <v>0</v>
      </c>
      <c r="BH528">
        <v>1850</v>
      </c>
      <c r="BI528">
        <v>1</v>
      </c>
      <c r="BJ528">
        <v>1</v>
      </c>
      <c r="BK528">
        <v>1</v>
      </c>
      <c r="BL528">
        <v>0</v>
      </c>
      <c r="BO528">
        <v>0</v>
      </c>
      <c r="BP528">
        <v>0</v>
      </c>
      <c r="BW528" t="str">
        <f>"20:14:10.167"</f>
        <v>20:14:10.167</v>
      </c>
      <c r="BZ528">
        <v>0</v>
      </c>
      <c r="CA528">
        <v>2016</v>
      </c>
      <c r="CB528">
        <v>224</v>
      </c>
      <c r="CD528">
        <v>1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2</v>
      </c>
      <c r="CL528">
        <v>0</v>
      </c>
      <c r="CM528">
        <v>2</v>
      </c>
      <c r="CN528">
        <v>0</v>
      </c>
      <c r="CO528">
        <v>5</v>
      </c>
      <c r="CP528" t="s">
        <v>119</v>
      </c>
      <c r="CQ528">
        <v>559</v>
      </c>
      <c r="CR528">
        <v>0</v>
      </c>
      <c r="CW528">
        <v>10412089</v>
      </c>
      <c r="CY528">
        <v>1</v>
      </c>
      <c r="CZ528">
        <v>0</v>
      </c>
      <c r="DA528">
        <v>1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</row>
    <row r="529" spans="1:113" x14ac:dyDescent="0.3">
      <c r="A529" t="str">
        <f>"02/08/2021 20:14:07.844"</f>
        <v>02/08/2021 20:14:07.844</v>
      </c>
      <c r="C529" t="str">
        <f t="shared" si="26"/>
        <v>FFDFD7C0</v>
      </c>
      <c r="D529" t="s">
        <v>124</v>
      </c>
      <c r="E529">
        <v>13</v>
      </c>
      <c r="F529">
        <v>1013</v>
      </c>
      <c r="G529" t="s">
        <v>114</v>
      </c>
      <c r="J529" t="s">
        <v>125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>"20:14:10.164"</f>
        <v>20:14:10.164</v>
      </c>
      <c r="T529" t="str">
        <f>"20:14:09.664"</f>
        <v>20:14:09.664</v>
      </c>
      <c r="U529" t="str">
        <f t="shared" si="25"/>
        <v>AB01F4</v>
      </c>
      <c r="V529">
        <v>0</v>
      </c>
      <c r="W529">
        <v>0</v>
      </c>
      <c r="X529">
        <v>1</v>
      </c>
      <c r="Z529">
        <v>0</v>
      </c>
      <c r="AA529">
        <v>9</v>
      </c>
      <c r="AB529">
        <v>3</v>
      </c>
      <c r="AC529">
        <v>0</v>
      </c>
      <c r="AD529">
        <v>10</v>
      </c>
      <c r="AE529">
        <v>0</v>
      </c>
      <c r="AF529">
        <v>3</v>
      </c>
      <c r="AG529">
        <v>2</v>
      </c>
      <c r="AH529">
        <v>0</v>
      </c>
      <c r="AI529" t="s">
        <v>490</v>
      </c>
      <c r="AJ529">
        <v>39.585070999999999</v>
      </c>
      <c r="AK529" t="s">
        <v>491</v>
      </c>
      <c r="AL529">
        <v>-92.496814999999998</v>
      </c>
      <c r="AM529">
        <v>100</v>
      </c>
      <c r="AN529">
        <v>1900</v>
      </c>
      <c r="AO529" t="s">
        <v>118</v>
      </c>
      <c r="AP529">
        <v>-19</v>
      </c>
      <c r="AQ529">
        <v>136</v>
      </c>
      <c r="AR529">
        <v>64</v>
      </c>
      <c r="AZ529">
        <v>1200</v>
      </c>
      <c r="BA529">
        <v>1</v>
      </c>
      <c r="BB529" t="str">
        <f t="shared" si="27"/>
        <v xml:space="preserve">N8080G  </v>
      </c>
      <c r="BC529">
        <v>1</v>
      </c>
      <c r="BE529">
        <v>0</v>
      </c>
      <c r="BF529">
        <v>0</v>
      </c>
      <c r="BG529">
        <v>0</v>
      </c>
      <c r="BH529">
        <v>1850</v>
      </c>
      <c r="BI529">
        <v>1</v>
      </c>
      <c r="BJ529">
        <v>1</v>
      </c>
      <c r="BK529">
        <v>1</v>
      </c>
      <c r="BL529">
        <v>0</v>
      </c>
      <c r="BO529">
        <v>0</v>
      </c>
      <c r="BP529">
        <v>0</v>
      </c>
      <c r="BW529" t="str">
        <f>"20:14:10.167"</f>
        <v>20:14:10.167</v>
      </c>
      <c r="BZ529">
        <v>0</v>
      </c>
      <c r="CA529">
        <v>2016</v>
      </c>
      <c r="CB529">
        <v>224</v>
      </c>
      <c r="CD529">
        <v>1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2</v>
      </c>
      <c r="CL529">
        <v>0</v>
      </c>
      <c r="CM529">
        <v>2</v>
      </c>
      <c r="CN529">
        <v>0</v>
      </c>
      <c r="CO529">
        <v>6</v>
      </c>
      <c r="CP529" t="s">
        <v>119</v>
      </c>
      <c r="CQ529">
        <v>180</v>
      </c>
      <c r="CR529">
        <v>1</v>
      </c>
      <c r="CW529">
        <v>10413461</v>
      </c>
      <c r="CY529">
        <v>1</v>
      </c>
      <c r="CZ529">
        <v>0</v>
      </c>
      <c r="DA529">
        <v>1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</row>
    <row r="530" spans="1:113" x14ac:dyDescent="0.3">
      <c r="A530" t="str">
        <f>"02/08/2021 20:14:08.783"</f>
        <v>02/08/2021 20:14:08.783</v>
      </c>
      <c r="C530" t="str">
        <f t="shared" si="26"/>
        <v>FFDFD7C0</v>
      </c>
      <c r="D530" t="s">
        <v>141</v>
      </c>
      <c r="E530">
        <v>17</v>
      </c>
      <c r="H530">
        <v>256</v>
      </c>
      <c r="I530" t="s">
        <v>142</v>
      </c>
      <c r="J530" t="s">
        <v>143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>"20:14:11.094"</f>
        <v>20:14:11.094</v>
      </c>
      <c r="U530" t="str">
        <f t="shared" si="25"/>
        <v>AB01F4</v>
      </c>
      <c r="V530">
        <v>0</v>
      </c>
      <c r="W530">
        <v>0</v>
      </c>
      <c r="X530">
        <v>1</v>
      </c>
      <c r="Z530">
        <v>0</v>
      </c>
      <c r="AA530">
        <v>9</v>
      </c>
      <c r="AB530">
        <v>3</v>
      </c>
      <c r="AC530">
        <v>0</v>
      </c>
      <c r="AD530">
        <v>10</v>
      </c>
      <c r="AE530">
        <v>0</v>
      </c>
      <c r="AF530">
        <v>3</v>
      </c>
      <c r="AG530">
        <v>2</v>
      </c>
      <c r="AH530">
        <v>0</v>
      </c>
      <c r="AI530" t="s">
        <v>492</v>
      </c>
      <c r="AJ530">
        <v>39.585607000000003</v>
      </c>
      <c r="AK530" t="s">
        <v>493</v>
      </c>
      <c r="AL530">
        <v>-92.496879000000007</v>
      </c>
      <c r="AM530">
        <v>100</v>
      </c>
      <c r="AN530">
        <v>1900</v>
      </c>
      <c r="AO530" t="s">
        <v>118</v>
      </c>
      <c r="AP530">
        <v>-19</v>
      </c>
      <c r="AQ530">
        <v>136</v>
      </c>
      <c r="AR530">
        <v>-64</v>
      </c>
      <c r="AZ530">
        <v>1200</v>
      </c>
      <c r="BA530">
        <v>1</v>
      </c>
      <c r="BB530" t="str">
        <f t="shared" si="27"/>
        <v xml:space="preserve">N8080G  </v>
      </c>
      <c r="BC530">
        <v>1</v>
      </c>
      <c r="BE530">
        <v>0</v>
      </c>
      <c r="BF530">
        <v>0</v>
      </c>
      <c r="BG530">
        <v>0</v>
      </c>
      <c r="BH530">
        <v>1850</v>
      </c>
      <c r="BI530">
        <v>1</v>
      </c>
      <c r="BJ530">
        <v>1</v>
      </c>
      <c r="BK530">
        <v>1</v>
      </c>
      <c r="BL530">
        <v>0</v>
      </c>
      <c r="BO530">
        <v>0</v>
      </c>
      <c r="BP530">
        <v>0</v>
      </c>
      <c r="BW530" t="str">
        <f>"20:14:11.096"</f>
        <v>20:14:11.096</v>
      </c>
      <c r="BZ530">
        <v>0</v>
      </c>
      <c r="CA530">
        <v>2016</v>
      </c>
      <c r="CB530">
        <v>224</v>
      </c>
      <c r="CD530">
        <v>1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2</v>
      </c>
      <c r="CL530">
        <v>0</v>
      </c>
      <c r="CM530">
        <v>2</v>
      </c>
      <c r="CN530">
        <v>0</v>
      </c>
      <c r="CO530">
        <v>5</v>
      </c>
      <c r="CP530" t="s">
        <v>119</v>
      </c>
      <c r="CQ530">
        <v>559</v>
      </c>
      <c r="CR530">
        <v>0</v>
      </c>
      <c r="CW530">
        <v>10412242</v>
      </c>
      <c r="CY530">
        <v>1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</row>
    <row r="531" spans="1:113" x14ac:dyDescent="0.3">
      <c r="A531" t="str">
        <f>"02/08/2021 20:14:08.783"</f>
        <v>02/08/2021 20:14:08.783</v>
      </c>
      <c r="C531" t="str">
        <f t="shared" si="26"/>
        <v>FFDFD7C0</v>
      </c>
      <c r="D531" t="s">
        <v>113</v>
      </c>
      <c r="E531">
        <v>6</v>
      </c>
      <c r="H531">
        <v>165</v>
      </c>
      <c r="I531" t="s">
        <v>114</v>
      </c>
      <c r="J531" t="s">
        <v>115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>"20:14:11.094"</f>
        <v>20:14:11.094</v>
      </c>
      <c r="U531" t="str">
        <f t="shared" si="25"/>
        <v>AB01F4</v>
      </c>
      <c r="V531">
        <v>0</v>
      </c>
      <c r="W531">
        <v>0</v>
      </c>
      <c r="X531">
        <v>1</v>
      </c>
      <c r="Z531">
        <v>0</v>
      </c>
      <c r="AA531">
        <v>9</v>
      </c>
      <c r="AB531">
        <v>3</v>
      </c>
      <c r="AC531">
        <v>0</v>
      </c>
      <c r="AD531">
        <v>10</v>
      </c>
      <c r="AE531">
        <v>0</v>
      </c>
      <c r="AF531">
        <v>3</v>
      </c>
      <c r="AG531">
        <v>2</v>
      </c>
      <c r="AH531">
        <v>0</v>
      </c>
      <c r="AI531" t="s">
        <v>492</v>
      </c>
      <c r="AJ531">
        <v>39.585607000000003</v>
      </c>
      <c r="AK531" t="s">
        <v>493</v>
      </c>
      <c r="AL531">
        <v>-92.496879000000007</v>
      </c>
      <c r="AM531">
        <v>100</v>
      </c>
      <c r="AN531">
        <v>1900</v>
      </c>
      <c r="AO531" t="s">
        <v>118</v>
      </c>
      <c r="AP531">
        <v>-19</v>
      </c>
      <c r="AQ531">
        <v>136</v>
      </c>
      <c r="AR531">
        <v>-64</v>
      </c>
      <c r="AZ531">
        <v>1200</v>
      </c>
      <c r="BA531">
        <v>1</v>
      </c>
      <c r="BB531" t="str">
        <f t="shared" si="27"/>
        <v xml:space="preserve">N8080G  </v>
      </c>
      <c r="BC531">
        <v>1</v>
      </c>
      <c r="BE531">
        <v>0</v>
      </c>
      <c r="BF531">
        <v>0</v>
      </c>
      <c r="BG531">
        <v>0</v>
      </c>
      <c r="BH531">
        <v>1850</v>
      </c>
      <c r="BI531">
        <v>1</v>
      </c>
      <c r="BJ531">
        <v>1</v>
      </c>
      <c r="BK531">
        <v>1</v>
      </c>
      <c r="BL531">
        <v>0</v>
      </c>
      <c r="BO531">
        <v>0</v>
      </c>
      <c r="BP531">
        <v>0</v>
      </c>
      <c r="BW531" t="str">
        <f>"20:14:11.096"</f>
        <v>20:14:11.096</v>
      </c>
      <c r="BZ531">
        <v>0</v>
      </c>
      <c r="CA531">
        <v>2016</v>
      </c>
      <c r="CB531">
        <v>224</v>
      </c>
      <c r="CD531">
        <v>1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2</v>
      </c>
      <c r="CL531">
        <v>0</v>
      </c>
      <c r="CM531">
        <v>2</v>
      </c>
      <c r="CN531">
        <v>0</v>
      </c>
      <c r="CO531">
        <v>5</v>
      </c>
      <c r="CP531" t="s">
        <v>119</v>
      </c>
      <c r="CQ531">
        <v>559</v>
      </c>
      <c r="CR531">
        <v>0</v>
      </c>
      <c r="CW531">
        <v>10412242</v>
      </c>
      <c r="CY531">
        <v>1</v>
      </c>
      <c r="CZ531">
        <v>0</v>
      </c>
      <c r="DA531">
        <v>1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</row>
    <row r="532" spans="1:113" x14ac:dyDescent="0.3">
      <c r="A532" t="str">
        <f>"02/08/2021 20:14:08.783"</f>
        <v>02/08/2021 20:14:08.783</v>
      </c>
      <c r="C532" t="str">
        <f t="shared" si="26"/>
        <v>FFDFD7C0</v>
      </c>
      <c r="D532" t="s">
        <v>124</v>
      </c>
      <c r="E532">
        <v>13</v>
      </c>
      <c r="F532">
        <v>1013</v>
      </c>
      <c r="G532" t="s">
        <v>114</v>
      </c>
      <c r="J532" t="s">
        <v>125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>"20:14:11.094"</f>
        <v>20:14:11.094</v>
      </c>
      <c r="U532" t="str">
        <f t="shared" si="25"/>
        <v>AB01F4</v>
      </c>
      <c r="V532">
        <v>0</v>
      </c>
      <c r="W532">
        <v>0</v>
      </c>
      <c r="X532">
        <v>1</v>
      </c>
      <c r="Z532">
        <v>0</v>
      </c>
      <c r="AA532">
        <v>9</v>
      </c>
      <c r="AB532">
        <v>3</v>
      </c>
      <c r="AC532">
        <v>0</v>
      </c>
      <c r="AD532">
        <v>10</v>
      </c>
      <c r="AE532">
        <v>0</v>
      </c>
      <c r="AF532">
        <v>3</v>
      </c>
      <c r="AG532">
        <v>2</v>
      </c>
      <c r="AH532">
        <v>0</v>
      </c>
      <c r="AI532" t="s">
        <v>492</v>
      </c>
      <c r="AJ532">
        <v>39.585607000000003</v>
      </c>
      <c r="AK532" t="s">
        <v>493</v>
      </c>
      <c r="AL532">
        <v>-92.496879000000007</v>
      </c>
      <c r="AM532">
        <v>100</v>
      </c>
      <c r="AN532">
        <v>1900</v>
      </c>
      <c r="AO532" t="s">
        <v>118</v>
      </c>
      <c r="AP532">
        <v>-19</v>
      </c>
      <c r="AQ532">
        <v>136</v>
      </c>
      <c r="AR532">
        <v>-64</v>
      </c>
      <c r="AZ532">
        <v>1200</v>
      </c>
      <c r="BA532">
        <v>1</v>
      </c>
      <c r="BB532" t="str">
        <f t="shared" si="27"/>
        <v xml:space="preserve">N8080G  </v>
      </c>
      <c r="BC532">
        <v>1</v>
      </c>
      <c r="BE532">
        <v>0</v>
      </c>
      <c r="BF532">
        <v>0</v>
      </c>
      <c r="BG532">
        <v>0</v>
      </c>
      <c r="BH532">
        <v>1850</v>
      </c>
      <c r="BI532">
        <v>1</v>
      </c>
      <c r="BJ532">
        <v>1</v>
      </c>
      <c r="BK532">
        <v>1</v>
      </c>
      <c r="BL532">
        <v>0</v>
      </c>
      <c r="BO532">
        <v>0</v>
      </c>
      <c r="BP532">
        <v>0</v>
      </c>
      <c r="BW532" t="str">
        <f>"20:14:11.096"</f>
        <v>20:14:11.096</v>
      </c>
      <c r="BZ532">
        <v>0</v>
      </c>
      <c r="CA532">
        <v>2016</v>
      </c>
      <c r="CB532">
        <v>224</v>
      </c>
      <c r="CD532">
        <v>1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2</v>
      </c>
      <c r="CL532">
        <v>0</v>
      </c>
      <c r="CM532">
        <v>2</v>
      </c>
      <c r="CN532">
        <v>0</v>
      </c>
      <c r="CO532">
        <v>5</v>
      </c>
      <c r="CP532" t="s">
        <v>119</v>
      </c>
      <c r="CQ532">
        <v>559</v>
      </c>
      <c r="CR532">
        <v>0</v>
      </c>
      <c r="CW532">
        <v>10412242</v>
      </c>
      <c r="CY532">
        <v>1</v>
      </c>
      <c r="CZ532">
        <v>0</v>
      </c>
      <c r="DA532">
        <v>1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</row>
    <row r="533" spans="1:113" x14ac:dyDescent="0.3">
      <c r="A533" t="str">
        <f>"02/08/2021 20:14:09.815"</f>
        <v>02/08/2021 20:14:09.815</v>
      </c>
      <c r="C533" t="str">
        <f t="shared" si="26"/>
        <v>FFDFD7C0</v>
      </c>
      <c r="D533" t="s">
        <v>113</v>
      </c>
      <c r="E533">
        <v>6</v>
      </c>
      <c r="H533">
        <v>165</v>
      </c>
      <c r="I533" t="s">
        <v>114</v>
      </c>
      <c r="J533" t="s">
        <v>115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>"20:14:12.141"</f>
        <v>20:14:12.141</v>
      </c>
      <c r="T533" t="str">
        <f>"20:14:11.641"</f>
        <v>20:14:11.641</v>
      </c>
      <c r="U533" t="str">
        <f t="shared" si="25"/>
        <v>AB01F4</v>
      </c>
      <c r="V533">
        <v>0</v>
      </c>
      <c r="W533">
        <v>0</v>
      </c>
      <c r="X533">
        <v>1</v>
      </c>
      <c r="Z533">
        <v>0</v>
      </c>
      <c r="AA533">
        <v>9</v>
      </c>
      <c r="AB533">
        <v>3</v>
      </c>
      <c r="AC533">
        <v>0</v>
      </c>
      <c r="AD533">
        <v>10</v>
      </c>
      <c r="AE533">
        <v>0</v>
      </c>
      <c r="AF533">
        <v>3</v>
      </c>
      <c r="AG533">
        <v>2</v>
      </c>
      <c r="AH533">
        <v>0</v>
      </c>
      <c r="AI533" t="s">
        <v>494</v>
      </c>
      <c r="AJ533">
        <v>39.586294000000002</v>
      </c>
      <c r="AK533" t="s">
        <v>495</v>
      </c>
      <c r="AL533">
        <v>-92.497007999999994</v>
      </c>
      <c r="AM533">
        <v>100</v>
      </c>
      <c r="AN533">
        <v>1900</v>
      </c>
      <c r="AO533" t="s">
        <v>118</v>
      </c>
      <c r="AP533">
        <v>-19</v>
      </c>
      <c r="AQ533">
        <v>136</v>
      </c>
      <c r="AR533">
        <v>-64</v>
      </c>
      <c r="AZ533">
        <v>1200</v>
      </c>
      <c r="BA533">
        <v>1</v>
      </c>
      <c r="BB533" t="str">
        <f t="shared" si="27"/>
        <v xml:space="preserve">N8080G  </v>
      </c>
      <c r="BC533">
        <v>1</v>
      </c>
      <c r="BE533">
        <v>0</v>
      </c>
      <c r="BF533">
        <v>0</v>
      </c>
      <c r="BG533">
        <v>0</v>
      </c>
      <c r="BH533">
        <v>1850</v>
      </c>
      <c r="BI533">
        <v>1</v>
      </c>
      <c r="BJ533">
        <v>1</v>
      </c>
      <c r="BK533">
        <v>1</v>
      </c>
      <c r="BL533">
        <v>0</v>
      </c>
      <c r="BO533">
        <v>0</v>
      </c>
      <c r="BP533">
        <v>0</v>
      </c>
      <c r="BW533" t="str">
        <f>"20:14:12.148"</f>
        <v>20:14:12.148</v>
      </c>
      <c r="BZ533">
        <v>0</v>
      </c>
      <c r="CA533">
        <v>2016</v>
      </c>
      <c r="CB533">
        <v>224</v>
      </c>
      <c r="CD533">
        <v>1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2</v>
      </c>
      <c r="CL533">
        <v>0</v>
      </c>
      <c r="CM533">
        <v>2</v>
      </c>
      <c r="CN533">
        <v>0</v>
      </c>
      <c r="CO533">
        <v>6</v>
      </c>
      <c r="CP533" t="s">
        <v>119</v>
      </c>
      <c r="CQ533">
        <v>180</v>
      </c>
      <c r="CR533">
        <v>2</v>
      </c>
      <c r="CW533">
        <v>7876410</v>
      </c>
      <c r="CY533">
        <v>1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</row>
    <row r="534" spans="1:113" x14ac:dyDescent="0.3">
      <c r="A534" t="str">
        <f>"02/08/2021 20:14:09.815"</f>
        <v>02/08/2021 20:14:09.815</v>
      </c>
      <c r="C534" t="str">
        <f t="shared" si="26"/>
        <v>FFDFD7C0</v>
      </c>
      <c r="D534" t="s">
        <v>124</v>
      </c>
      <c r="E534">
        <v>13</v>
      </c>
      <c r="F534">
        <v>1013</v>
      </c>
      <c r="G534" t="s">
        <v>114</v>
      </c>
      <c r="J534" t="s">
        <v>125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>"20:14:12.141"</f>
        <v>20:14:12.141</v>
      </c>
      <c r="T534" t="str">
        <f>"20:14:11.641"</f>
        <v>20:14:11.641</v>
      </c>
      <c r="U534" t="str">
        <f t="shared" si="25"/>
        <v>AB01F4</v>
      </c>
      <c r="V534">
        <v>0</v>
      </c>
      <c r="W534">
        <v>0</v>
      </c>
      <c r="X534">
        <v>1</v>
      </c>
      <c r="Z534">
        <v>0</v>
      </c>
      <c r="AA534">
        <v>9</v>
      </c>
      <c r="AB534">
        <v>3</v>
      </c>
      <c r="AC534">
        <v>0</v>
      </c>
      <c r="AD534">
        <v>10</v>
      </c>
      <c r="AE534">
        <v>0</v>
      </c>
      <c r="AF534">
        <v>3</v>
      </c>
      <c r="AG534">
        <v>2</v>
      </c>
      <c r="AH534">
        <v>0</v>
      </c>
      <c r="AI534" t="s">
        <v>494</v>
      </c>
      <c r="AJ534">
        <v>39.586294000000002</v>
      </c>
      <c r="AK534" t="s">
        <v>495</v>
      </c>
      <c r="AL534">
        <v>-92.497007999999994</v>
      </c>
      <c r="AM534">
        <v>100</v>
      </c>
      <c r="AN534">
        <v>1900</v>
      </c>
      <c r="AO534" t="s">
        <v>118</v>
      </c>
      <c r="AP534">
        <v>-19</v>
      </c>
      <c r="AQ534">
        <v>136</v>
      </c>
      <c r="AR534">
        <v>-64</v>
      </c>
      <c r="AZ534">
        <v>1200</v>
      </c>
      <c r="BA534">
        <v>1</v>
      </c>
      <c r="BB534" t="str">
        <f t="shared" si="27"/>
        <v xml:space="preserve">N8080G  </v>
      </c>
      <c r="BC534">
        <v>1</v>
      </c>
      <c r="BE534">
        <v>0</v>
      </c>
      <c r="BF534">
        <v>0</v>
      </c>
      <c r="BG534">
        <v>0</v>
      </c>
      <c r="BH534">
        <v>1850</v>
      </c>
      <c r="BI534">
        <v>1</v>
      </c>
      <c r="BJ534">
        <v>1</v>
      </c>
      <c r="BK534">
        <v>1</v>
      </c>
      <c r="BL534">
        <v>0</v>
      </c>
      <c r="BO534">
        <v>0</v>
      </c>
      <c r="BP534">
        <v>0</v>
      </c>
      <c r="BW534" t="str">
        <f>"20:14:12.148"</f>
        <v>20:14:12.148</v>
      </c>
      <c r="BZ534">
        <v>0</v>
      </c>
      <c r="CA534">
        <v>2016</v>
      </c>
      <c r="CB534">
        <v>224</v>
      </c>
      <c r="CD534">
        <v>1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2</v>
      </c>
      <c r="CL534">
        <v>0</v>
      </c>
      <c r="CM534">
        <v>2</v>
      </c>
      <c r="CN534">
        <v>0</v>
      </c>
      <c r="CO534">
        <v>6</v>
      </c>
      <c r="CP534" t="s">
        <v>119</v>
      </c>
      <c r="CQ534">
        <v>180</v>
      </c>
      <c r="CR534">
        <v>2</v>
      </c>
      <c r="CW534">
        <v>7876410</v>
      </c>
      <c r="CY534">
        <v>1</v>
      </c>
      <c r="CZ534">
        <v>0</v>
      </c>
      <c r="DA534">
        <v>1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</row>
    <row r="535" spans="1:113" x14ac:dyDescent="0.3">
      <c r="A535" t="str">
        <f>"02/08/2021 20:14:09.815"</f>
        <v>02/08/2021 20:14:09.815</v>
      </c>
      <c r="C535" t="str">
        <f t="shared" si="26"/>
        <v>FFDFD7C0</v>
      </c>
      <c r="D535" t="s">
        <v>141</v>
      </c>
      <c r="E535">
        <v>17</v>
      </c>
      <c r="H535">
        <v>256</v>
      </c>
      <c r="I535" t="s">
        <v>142</v>
      </c>
      <c r="J535" t="s">
        <v>143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>"20:14:12.141"</f>
        <v>20:14:12.141</v>
      </c>
      <c r="T535" t="str">
        <f>"20:14:11.641"</f>
        <v>20:14:11.641</v>
      </c>
      <c r="U535" t="str">
        <f t="shared" si="25"/>
        <v>AB01F4</v>
      </c>
      <c r="V535">
        <v>0</v>
      </c>
      <c r="W535">
        <v>0</v>
      </c>
      <c r="X535">
        <v>1</v>
      </c>
      <c r="Z535">
        <v>0</v>
      </c>
      <c r="AA535">
        <v>9</v>
      </c>
      <c r="AB535">
        <v>3</v>
      </c>
      <c r="AC535">
        <v>0</v>
      </c>
      <c r="AD535">
        <v>10</v>
      </c>
      <c r="AE535">
        <v>0</v>
      </c>
      <c r="AF535">
        <v>3</v>
      </c>
      <c r="AG535">
        <v>2</v>
      </c>
      <c r="AH535">
        <v>0</v>
      </c>
      <c r="AI535" t="s">
        <v>494</v>
      </c>
      <c r="AJ535">
        <v>39.586294000000002</v>
      </c>
      <c r="AK535" t="s">
        <v>495</v>
      </c>
      <c r="AL535">
        <v>-92.497007999999994</v>
      </c>
      <c r="AM535">
        <v>100</v>
      </c>
      <c r="AN535">
        <v>1900</v>
      </c>
      <c r="AO535" t="s">
        <v>118</v>
      </c>
      <c r="AP535">
        <v>-19</v>
      </c>
      <c r="AQ535">
        <v>136</v>
      </c>
      <c r="AR535">
        <v>-64</v>
      </c>
      <c r="AZ535">
        <v>1200</v>
      </c>
      <c r="BA535">
        <v>1</v>
      </c>
      <c r="BB535" t="str">
        <f t="shared" si="27"/>
        <v xml:space="preserve">N8080G  </v>
      </c>
      <c r="BC535">
        <v>1</v>
      </c>
      <c r="BE535">
        <v>0</v>
      </c>
      <c r="BF535">
        <v>0</v>
      </c>
      <c r="BG535">
        <v>0</v>
      </c>
      <c r="BH535">
        <v>1850</v>
      </c>
      <c r="BI535">
        <v>1</v>
      </c>
      <c r="BJ535">
        <v>1</v>
      </c>
      <c r="BK535">
        <v>1</v>
      </c>
      <c r="BL535">
        <v>0</v>
      </c>
      <c r="BO535">
        <v>0</v>
      </c>
      <c r="BP535">
        <v>0</v>
      </c>
      <c r="BW535" t="str">
        <f>"20:14:12.148"</f>
        <v>20:14:12.148</v>
      </c>
      <c r="BZ535">
        <v>0</v>
      </c>
      <c r="CA535">
        <v>2016</v>
      </c>
      <c r="CB535">
        <v>224</v>
      </c>
      <c r="CD535">
        <v>1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2</v>
      </c>
      <c r="CL535">
        <v>0</v>
      </c>
      <c r="CM535">
        <v>2</v>
      </c>
      <c r="CN535">
        <v>0</v>
      </c>
      <c r="CO535">
        <v>5</v>
      </c>
      <c r="CP535" t="s">
        <v>119</v>
      </c>
      <c r="CQ535">
        <v>559</v>
      </c>
      <c r="CR535">
        <v>0</v>
      </c>
      <c r="CW535">
        <v>10412417</v>
      </c>
      <c r="CY535">
        <v>1</v>
      </c>
      <c r="CZ535">
        <v>0</v>
      </c>
      <c r="DA535">
        <v>1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</row>
    <row r="536" spans="1:113" x14ac:dyDescent="0.3">
      <c r="A536" t="str">
        <f>"02/08/2021 20:14:10.807"</f>
        <v>02/08/2021 20:14:10.807</v>
      </c>
      <c r="C536" t="str">
        <f t="shared" si="26"/>
        <v>FFDFD7C0</v>
      </c>
      <c r="D536" t="s">
        <v>141</v>
      </c>
      <c r="E536">
        <v>17</v>
      </c>
      <c r="H536">
        <v>256</v>
      </c>
      <c r="I536" t="s">
        <v>142</v>
      </c>
      <c r="J536" t="s">
        <v>143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>"20:14:13.141"</f>
        <v>20:14:13.141</v>
      </c>
      <c r="T536" t="str">
        <f>"20:14:12.641"</f>
        <v>20:14:12.641</v>
      </c>
      <c r="U536" t="str">
        <f t="shared" si="25"/>
        <v>AB01F4</v>
      </c>
      <c r="V536">
        <v>0</v>
      </c>
      <c r="W536">
        <v>0</v>
      </c>
      <c r="X536">
        <v>1</v>
      </c>
      <c r="Z536">
        <v>0</v>
      </c>
      <c r="AA536">
        <v>9</v>
      </c>
      <c r="AB536">
        <v>3</v>
      </c>
      <c r="AC536">
        <v>0</v>
      </c>
      <c r="AD536">
        <v>10</v>
      </c>
      <c r="AE536">
        <v>0</v>
      </c>
      <c r="AF536">
        <v>3</v>
      </c>
      <c r="AG536">
        <v>2</v>
      </c>
      <c r="AH536">
        <v>0</v>
      </c>
      <c r="AI536" t="s">
        <v>496</v>
      </c>
      <c r="AJ536">
        <v>39.586936999999999</v>
      </c>
      <c r="AK536" t="s">
        <v>497</v>
      </c>
      <c r="AL536">
        <v>-92.497114999999994</v>
      </c>
      <c r="AM536">
        <v>100</v>
      </c>
      <c r="AN536">
        <v>1900</v>
      </c>
      <c r="AO536" t="s">
        <v>118</v>
      </c>
      <c r="AP536">
        <v>-19</v>
      </c>
      <c r="AQ536">
        <v>136</v>
      </c>
      <c r="AR536">
        <v>-128</v>
      </c>
      <c r="AZ536">
        <v>1200</v>
      </c>
      <c r="BA536">
        <v>1</v>
      </c>
      <c r="BB536" t="str">
        <f t="shared" si="27"/>
        <v xml:space="preserve">N8080G  </v>
      </c>
      <c r="BC536">
        <v>1</v>
      </c>
      <c r="BE536">
        <v>0</v>
      </c>
      <c r="BF536">
        <v>0</v>
      </c>
      <c r="BG536">
        <v>0</v>
      </c>
      <c r="BH536">
        <v>1850</v>
      </c>
      <c r="BI536">
        <v>1</v>
      </c>
      <c r="BJ536">
        <v>1</v>
      </c>
      <c r="BK536">
        <v>1</v>
      </c>
      <c r="BL536">
        <v>0</v>
      </c>
      <c r="BO536">
        <v>0</v>
      </c>
      <c r="BP536">
        <v>0</v>
      </c>
      <c r="BW536" t="str">
        <f>"20:14:13.146"</f>
        <v>20:14:13.146</v>
      </c>
      <c r="BZ536">
        <v>0</v>
      </c>
      <c r="CA536">
        <v>2016</v>
      </c>
      <c r="CB536">
        <v>224</v>
      </c>
      <c r="CD536">
        <v>1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2</v>
      </c>
      <c r="CL536">
        <v>0</v>
      </c>
      <c r="CM536">
        <v>2</v>
      </c>
      <c r="CN536">
        <v>0</v>
      </c>
      <c r="CO536">
        <v>5</v>
      </c>
      <c r="CP536" t="s">
        <v>119</v>
      </c>
      <c r="CQ536">
        <v>559</v>
      </c>
      <c r="CR536">
        <v>0</v>
      </c>
      <c r="CW536">
        <v>10412570</v>
      </c>
      <c r="CY536">
        <v>1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</row>
    <row r="537" spans="1:113" x14ac:dyDescent="0.3">
      <c r="A537" t="str">
        <f>"02/08/2021 20:14:10.807"</f>
        <v>02/08/2021 20:14:10.807</v>
      </c>
      <c r="C537" t="str">
        <f t="shared" si="26"/>
        <v>FFDFD7C0</v>
      </c>
      <c r="D537" t="s">
        <v>124</v>
      </c>
      <c r="E537">
        <v>13</v>
      </c>
      <c r="F537">
        <v>1013</v>
      </c>
      <c r="G537" t="s">
        <v>114</v>
      </c>
      <c r="J537" t="s">
        <v>125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>"20:14:13.141"</f>
        <v>20:14:13.141</v>
      </c>
      <c r="T537" t="str">
        <f>"20:14:12.641"</f>
        <v>20:14:12.641</v>
      </c>
      <c r="U537" t="str">
        <f t="shared" si="25"/>
        <v>AB01F4</v>
      </c>
      <c r="V537">
        <v>0</v>
      </c>
      <c r="W537">
        <v>0</v>
      </c>
      <c r="X537">
        <v>1</v>
      </c>
      <c r="Z537">
        <v>0</v>
      </c>
      <c r="AA537">
        <v>9</v>
      </c>
      <c r="AB537">
        <v>3</v>
      </c>
      <c r="AC537">
        <v>0</v>
      </c>
      <c r="AD537">
        <v>10</v>
      </c>
      <c r="AE537">
        <v>0</v>
      </c>
      <c r="AF537">
        <v>3</v>
      </c>
      <c r="AG537">
        <v>2</v>
      </c>
      <c r="AH537">
        <v>0</v>
      </c>
      <c r="AI537" t="s">
        <v>496</v>
      </c>
      <c r="AJ537">
        <v>39.586936999999999</v>
      </c>
      <c r="AK537" t="s">
        <v>497</v>
      </c>
      <c r="AL537">
        <v>-92.497114999999994</v>
      </c>
      <c r="AM537">
        <v>100</v>
      </c>
      <c r="AN537">
        <v>1900</v>
      </c>
      <c r="AO537" t="s">
        <v>118</v>
      </c>
      <c r="AP537">
        <v>-19</v>
      </c>
      <c r="AQ537">
        <v>136</v>
      </c>
      <c r="AR537">
        <v>-128</v>
      </c>
      <c r="AZ537">
        <v>1200</v>
      </c>
      <c r="BA537">
        <v>1</v>
      </c>
      <c r="BB537" t="str">
        <f t="shared" si="27"/>
        <v xml:space="preserve">N8080G  </v>
      </c>
      <c r="BC537">
        <v>1</v>
      </c>
      <c r="BE537">
        <v>0</v>
      </c>
      <c r="BF537">
        <v>0</v>
      </c>
      <c r="BG537">
        <v>0</v>
      </c>
      <c r="BH537">
        <v>1850</v>
      </c>
      <c r="BI537">
        <v>1</v>
      </c>
      <c r="BJ537">
        <v>1</v>
      </c>
      <c r="BK537">
        <v>1</v>
      </c>
      <c r="BL537">
        <v>0</v>
      </c>
      <c r="BO537">
        <v>0</v>
      </c>
      <c r="BP537">
        <v>0</v>
      </c>
      <c r="BW537" t="str">
        <f>"20:14:13.146"</f>
        <v>20:14:13.146</v>
      </c>
      <c r="BZ537">
        <v>0</v>
      </c>
      <c r="CA537">
        <v>2016</v>
      </c>
      <c r="CB537">
        <v>224</v>
      </c>
      <c r="CD537">
        <v>1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2</v>
      </c>
      <c r="CL537">
        <v>0</v>
      </c>
      <c r="CM537">
        <v>2</v>
      </c>
      <c r="CN537">
        <v>0</v>
      </c>
      <c r="CO537">
        <v>5</v>
      </c>
      <c r="CP537" t="s">
        <v>119</v>
      </c>
      <c r="CQ537">
        <v>559</v>
      </c>
      <c r="CR537">
        <v>0</v>
      </c>
      <c r="CW537">
        <v>10412570</v>
      </c>
      <c r="CY537">
        <v>1</v>
      </c>
      <c r="CZ537">
        <v>0</v>
      </c>
      <c r="DA537">
        <v>1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</row>
    <row r="538" spans="1:113" x14ac:dyDescent="0.3">
      <c r="A538" t="str">
        <f>"02/08/2021 20:14:10.807"</f>
        <v>02/08/2021 20:14:10.807</v>
      </c>
      <c r="C538" t="str">
        <f t="shared" si="26"/>
        <v>FFDFD7C0</v>
      </c>
      <c r="D538" t="s">
        <v>113</v>
      </c>
      <c r="E538">
        <v>6</v>
      </c>
      <c r="H538">
        <v>165</v>
      </c>
      <c r="I538" t="s">
        <v>114</v>
      </c>
      <c r="J538" t="s">
        <v>115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>"20:14:13.141"</f>
        <v>20:14:13.141</v>
      </c>
      <c r="T538" t="str">
        <f>"20:14:12.641"</f>
        <v>20:14:12.641</v>
      </c>
      <c r="U538" t="str">
        <f t="shared" si="25"/>
        <v>AB01F4</v>
      </c>
      <c r="V538">
        <v>0</v>
      </c>
      <c r="W538">
        <v>0</v>
      </c>
      <c r="X538">
        <v>1</v>
      </c>
      <c r="Z538">
        <v>0</v>
      </c>
      <c r="AA538">
        <v>9</v>
      </c>
      <c r="AB538">
        <v>3</v>
      </c>
      <c r="AC538">
        <v>0</v>
      </c>
      <c r="AD538">
        <v>10</v>
      </c>
      <c r="AE538">
        <v>0</v>
      </c>
      <c r="AF538">
        <v>3</v>
      </c>
      <c r="AG538">
        <v>2</v>
      </c>
      <c r="AH538">
        <v>0</v>
      </c>
      <c r="AI538" t="s">
        <v>496</v>
      </c>
      <c r="AJ538">
        <v>39.586936999999999</v>
      </c>
      <c r="AK538" t="s">
        <v>497</v>
      </c>
      <c r="AL538">
        <v>-92.497114999999994</v>
      </c>
      <c r="AM538">
        <v>100</v>
      </c>
      <c r="AN538">
        <v>1900</v>
      </c>
      <c r="AO538" t="s">
        <v>118</v>
      </c>
      <c r="AP538">
        <v>-19</v>
      </c>
      <c r="AQ538">
        <v>136</v>
      </c>
      <c r="AR538">
        <v>-128</v>
      </c>
      <c r="AZ538">
        <v>1200</v>
      </c>
      <c r="BA538">
        <v>1</v>
      </c>
      <c r="BB538" t="str">
        <f t="shared" si="27"/>
        <v xml:space="preserve">N8080G  </v>
      </c>
      <c r="BC538">
        <v>1</v>
      </c>
      <c r="BE538">
        <v>0</v>
      </c>
      <c r="BF538">
        <v>0</v>
      </c>
      <c r="BG538">
        <v>0</v>
      </c>
      <c r="BH538">
        <v>1850</v>
      </c>
      <c r="BI538">
        <v>1</v>
      </c>
      <c r="BJ538">
        <v>1</v>
      </c>
      <c r="BK538">
        <v>1</v>
      </c>
      <c r="BL538">
        <v>0</v>
      </c>
      <c r="BO538">
        <v>0</v>
      </c>
      <c r="BP538">
        <v>0</v>
      </c>
      <c r="BW538" t="str">
        <f>"20:14:13.146"</f>
        <v>20:14:13.146</v>
      </c>
      <c r="BZ538">
        <v>0</v>
      </c>
      <c r="CA538">
        <v>2016</v>
      </c>
      <c r="CB538">
        <v>224</v>
      </c>
      <c r="CD538">
        <v>1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2</v>
      </c>
      <c r="CL538">
        <v>0</v>
      </c>
      <c r="CM538">
        <v>2</v>
      </c>
      <c r="CN538">
        <v>0</v>
      </c>
      <c r="CO538">
        <v>5</v>
      </c>
      <c r="CP538" t="s">
        <v>119</v>
      </c>
      <c r="CQ538">
        <v>559</v>
      </c>
      <c r="CR538">
        <v>0</v>
      </c>
      <c r="CW538">
        <v>10412570</v>
      </c>
      <c r="CY538">
        <v>1</v>
      </c>
      <c r="CZ538">
        <v>0</v>
      </c>
      <c r="DA538">
        <v>1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</row>
    <row r="539" spans="1:113" x14ac:dyDescent="0.3">
      <c r="A539" t="str">
        <f>"02/08/2021 20:14:11.728"</f>
        <v>02/08/2021 20:14:11.728</v>
      </c>
      <c r="C539" t="str">
        <f t="shared" si="26"/>
        <v>FFDFD7C0</v>
      </c>
      <c r="D539" t="s">
        <v>124</v>
      </c>
      <c r="E539">
        <v>13</v>
      </c>
      <c r="F539">
        <v>1013</v>
      </c>
      <c r="G539" t="s">
        <v>114</v>
      </c>
      <c r="J539" t="s">
        <v>125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>"20:14:14.031"</f>
        <v>20:14:14.031</v>
      </c>
      <c r="T539" t="str">
        <f>"20:14:13.631"</f>
        <v>20:14:13.631</v>
      </c>
      <c r="U539" t="str">
        <f t="shared" si="25"/>
        <v>AB01F4</v>
      </c>
      <c r="V539">
        <v>0</v>
      </c>
      <c r="W539">
        <v>0</v>
      </c>
      <c r="X539">
        <v>1</v>
      </c>
      <c r="Z539">
        <v>0</v>
      </c>
      <c r="AA539">
        <v>9</v>
      </c>
      <c r="AB539">
        <v>3</v>
      </c>
      <c r="AC539">
        <v>0</v>
      </c>
      <c r="AD539">
        <v>10</v>
      </c>
      <c r="AE539">
        <v>0</v>
      </c>
      <c r="AF539">
        <v>3</v>
      </c>
      <c r="AG539">
        <v>2</v>
      </c>
      <c r="AH539">
        <v>0</v>
      </c>
      <c r="AI539" t="s">
        <v>498</v>
      </c>
      <c r="AJ539">
        <v>39.587516999999998</v>
      </c>
      <c r="AK539" t="s">
        <v>499</v>
      </c>
      <c r="AL539">
        <v>-92.497243999999995</v>
      </c>
      <c r="AM539">
        <v>100</v>
      </c>
      <c r="AN539">
        <v>1900</v>
      </c>
      <c r="AO539" t="s">
        <v>118</v>
      </c>
      <c r="AP539">
        <v>-19</v>
      </c>
      <c r="AQ539">
        <v>136</v>
      </c>
      <c r="AR539">
        <v>-128</v>
      </c>
      <c r="AZ539">
        <v>1200</v>
      </c>
      <c r="BA539">
        <v>1</v>
      </c>
      <c r="BB539" t="str">
        <f t="shared" si="27"/>
        <v xml:space="preserve">N8080G  </v>
      </c>
      <c r="BC539">
        <v>1</v>
      </c>
      <c r="BE539">
        <v>0</v>
      </c>
      <c r="BF539">
        <v>0</v>
      </c>
      <c r="BG539">
        <v>0</v>
      </c>
      <c r="BH539">
        <v>1850</v>
      </c>
      <c r="BI539">
        <v>1</v>
      </c>
      <c r="BJ539">
        <v>1</v>
      </c>
      <c r="BK539">
        <v>1</v>
      </c>
      <c r="BL539">
        <v>0</v>
      </c>
      <c r="BO539">
        <v>0</v>
      </c>
      <c r="BP539">
        <v>0</v>
      </c>
      <c r="BW539" t="str">
        <f>"20:14:14.034"</f>
        <v>20:14:14.034</v>
      </c>
      <c r="BZ539">
        <v>0</v>
      </c>
      <c r="CA539">
        <v>2016</v>
      </c>
      <c r="CB539">
        <v>224</v>
      </c>
      <c r="CD539">
        <v>1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2</v>
      </c>
      <c r="CL539">
        <v>0</v>
      </c>
      <c r="CM539">
        <v>2</v>
      </c>
      <c r="CN539">
        <v>0</v>
      </c>
      <c r="CO539">
        <v>6</v>
      </c>
      <c r="CP539" t="s">
        <v>119</v>
      </c>
      <c r="CQ539">
        <v>180</v>
      </c>
      <c r="CR539">
        <v>2</v>
      </c>
      <c r="CW539">
        <v>7877914</v>
      </c>
      <c r="CY539">
        <v>1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</row>
    <row r="540" spans="1:113" x14ac:dyDescent="0.3">
      <c r="A540" t="str">
        <f>"02/08/2021 20:14:11.728"</f>
        <v>02/08/2021 20:14:11.728</v>
      </c>
      <c r="C540" t="str">
        <f t="shared" si="26"/>
        <v>FFDFD7C0</v>
      </c>
      <c r="D540" t="s">
        <v>141</v>
      </c>
      <c r="E540">
        <v>17</v>
      </c>
      <c r="H540">
        <v>256</v>
      </c>
      <c r="I540" t="s">
        <v>142</v>
      </c>
      <c r="J540" t="s">
        <v>143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>"20:14:14.031"</f>
        <v>20:14:14.031</v>
      </c>
      <c r="T540" t="str">
        <f>"20:14:13.631"</f>
        <v>20:14:13.631</v>
      </c>
      <c r="U540" t="str">
        <f t="shared" si="25"/>
        <v>AB01F4</v>
      </c>
      <c r="V540">
        <v>0</v>
      </c>
      <c r="W540">
        <v>0</v>
      </c>
      <c r="X540">
        <v>1</v>
      </c>
      <c r="Z540">
        <v>0</v>
      </c>
      <c r="AA540">
        <v>9</v>
      </c>
      <c r="AB540">
        <v>3</v>
      </c>
      <c r="AC540">
        <v>0</v>
      </c>
      <c r="AD540">
        <v>10</v>
      </c>
      <c r="AE540">
        <v>0</v>
      </c>
      <c r="AF540">
        <v>3</v>
      </c>
      <c r="AG540">
        <v>2</v>
      </c>
      <c r="AH540">
        <v>0</v>
      </c>
      <c r="AI540" t="s">
        <v>498</v>
      </c>
      <c r="AJ540">
        <v>39.587516999999998</v>
      </c>
      <c r="AK540" t="s">
        <v>499</v>
      </c>
      <c r="AL540">
        <v>-92.497243999999995</v>
      </c>
      <c r="AM540">
        <v>100</v>
      </c>
      <c r="AN540">
        <v>1900</v>
      </c>
      <c r="AO540" t="s">
        <v>118</v>
      </c>
      <c r="AP540">
        <v>-19</v>
      </c>
      <c r="AQ540">
        <v>136</v>
      </c>
      <c r="AR540">
        <v>-128</v>
      </c>
      <c r="AZ540">
        <v>1200</v>
      </c>
      <c r="BA540">
        <v>1</v>
      </c>
      <c r="BB540" t="str">
        <f t="shared" si="27"/>
        <v xml:space="preserve">N8080G  </v>
      </c>
      <c r="BC540">
        <v>1</v>
      </c>
      <c r="BE540">
        <v>0</v>
      </c>
      <c r="BF540">
        <v>0</v>
      </c>
      <c r="BG540">
        <v>0</v>
      </c>
      <c r="BH540">
        <v>1850</v>
      </c>
      <c r="BI540">
        <v>1</v>
      </c>
      <c r="BJ540">
        <v>1</v>
      </c>
      <c r="BK540">
        <v>1</v>
      </c>
      <c r="BL540">
        <v>0</v>
      </c>
      <c r="BO540">
        <v>0</v>
      </c>
      <c r="BP540">
        <v>0</v>
      </c>
      <c r="BW540" t="str">
        <f>"20:14:14.034"</f>
        <v>20:14:14.034</v>
      </c>
      <c r="BZ540">
        <v>0</v>
      </c>
      <c r="CA540">
        <v>2016</v>
      </c>
      <c r="CB540">
        <v>224</v>
      </c>
      <c r="CD540">
        <v>1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2</v>
      </c>
      <c r="CL540">
        <v>0</v>
      </c>
      <c r="CM540">
        <v>2</v>
      </c>
      <c r="CN540">
        <v>0</v>
      </c>
      <c r="CO540">
        <v>5</v>
      </c>
      <c r="CP540" t="s">
        <v>119</v>
      </c>
      <c r="CQ540">
        <v>559</v>
      </c>
      <c r="CR540">
        <v>0</v>
      </c>
      <c r="CW540">
        <v>10412712</v>
      </c>
      <c r="CY540">
        <v>1</v>
      </c>
      <c r="CZ540">
        <v>0</v>
      </c>
      <c r="DA540">
        <v>1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</row>
    <row r="541" spans="1:113" x14ac:dyDescent="0.3">
      <c r="A541" t="str">
        <f>"02/08/2021 20:14:11.728"</f>
        <v>02/08/2021 20:14:11.728</v>
      </c>
      <c r="C541" t="str">
        <f t="shared" si="26"/>
        <v>FFDFD7C0</v>
      </c>
      <c r="D541" t="s">
        <v>113</v>
      </c>
      <c r="E541">
        <v>6</v>
      </c>
      <c r="H541">
        <v>165</v>
      </c>
      <c r="I541" t="s">
        <v>114</v>
      </c>
      <c r="J541" t="s">
        <v>115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>"20:14:14.031"</f>
        <v>20:14:14.031</v>
      </c>
      <c r="T541" t="str">
        <f>"20:14:13.631"</f>
        <v>20:14:13.631</v>
      </c>
      <c r="U541" t="str">
        <f t="shared" si="25"/>
        <v>AB01F4</v>
      </c>
      <c r="V541">
        <v>0</v>
      </c>
      <c r="W541">
        <v>0</v>
      </c>
      <c r="X541">
        <v>1</v>
      </c>
      <c r="Z541">
        <v>0</v>
      </c>
      <c r="AA541">
        <v>9</v>
      </c>
      <c r="AB541">
        <v>3</v>
      </c>
      <c r="AC541">
        <v>0</v>
      </c>
      <c r="AD541">
        <v>10</v>
      </c>
      <c r="AE541">
        <v>0</v>
      </c>
      <c r="AF541">
        <v>3</v>
      </c>
      <c r="AG541">
        <v>2</v>
      </c>
      <c r="AH541">
        <v>0</v>
      </c>
      <c r="AI541" t="s">
        <v>498</v>
      </c>
      <c r="AJ541">
        <v>39.587516999999998</v>
      </c>
      <c r="AK541" t="s">
        <v>499</v>
      </c>
      <c r="AL541">
        <v>-92.497243999999995</v>
      </c>
      <c r="AM541">
        <v>100</v>
      </c>
      <c r="AN541">
        <v>1900</v>
      </c>
      <c r="AO541" t="s">
        <v>118</v>
      </c>
      <c r="AP541">
        <v>-19</v>
      </c>
      <c r="AQ541">
        <v>136</v>
      </c>
      <c r="AR541">
        <v>-128</v>
      </c>
      <c r="AZ541">
        <v>1200</v>
      </c>
      <c r="BA541">
        <v>1</v>
      </c>
      <c r="BB541" t="str">
        <f t="shared" si="27"/>
        <v xml:space="preserve">N8080G  </v>
      </c>
      <c r="BC541">
        <v>1</v>
      </c>
      <c r="BE541">
        <v>0</v>
      </c>
      <c r="BF541">
        <v>0</v>
      </c>
      <c r="BG541">
        <v>0</v>
      </c>
      <c r="BH541">
        <v>1850</v>
      </c>
      <c r="BI541">
        <v>1</v>
      </c>
      <c r="BJ541">
        <v>1</v>
      </c>
      <c r="BK541">
        <v>1</v>
      </c>
      <c r="BL541">
        <v>0</v>
      </c>
      <c r="BO541">
        <v>0</v>
      </c>
      <c r="BP541">
        <v>0</v>
      </c>
      <c r="BW541" t="str">
        <f>"20:14:14.034"</f>
        <v>20:14:14.034</v>
      </c>
      <c r="BZ541">
        <v>0</v>
      </c>
      <c r="CA541">
        <v>2016</v>
      </c>
      <c r="CB541">
        <v>224</v>
      </c>
      <c r="CD541">
        <v>1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2</v>
      </c>
      <c r="CL541">
        <v>0</v>
      </c>
      <c r="CM541">
        <v>2</v>
      </c>
      <c r="CN541">
        <v>0</v>
      </c>
      <c r="CO541">
        <v>6</v>
      </c>
      <c r="CP541" t="s">
        <v>119</v>
      </c>
      <c r="CQ541">
        <v>180</v>
      </c>
      <c r="CR541">
        <v>2</v>
      </c>
      <c r="CW541">
        <v>7877914</v>
      </c>
      <c r="CY541">
        <v>1</v>
      </c>
      <c r="CZ541">
        <v>0</v>
      </c>
      <c r="DA541">
        <v>1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</row>
    <row r="542" spans="1:113" x14ac:dyDescent="0.3">
      <c r="A542" t="str">
        <f>"02/08/2021 20:14:12.783"</f>
        <v>02/08/2021 20:14:12.783</v>
      </c>
      <c r="C542" t="str">
        <f t="shared" si="26"/>
        <v>FFDFD7C0</v>
      </c>
      <c r="D542" t="s">
        <v>124</v>
      </c>
      <c r="E542">
        <v>13</v>
      </c>
      <c r="F542">
        <v>1013</v>
      </c>
      <c r="G542" t="s">
        <v>114</v>
      </c>
      <c r="J542" t="s">
        <v>125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>"20:14:15.117"</f>
        <v>20:14:15.117</v>
      </c>
      <c r="T542" t="str">
        <f>"20:14:14.617"</f>
        <v>20:14:14.617</v>
      </c>
      <c r="U542" t="str">
        <f t="shared" si="25"/>
        <v>AB01F4</v>
      </c>
      <c r="V542">
        <v>0</v>
      </c>
      <c r="W542">
        <v>0</v>
      </c>
      <c r="X542">
        <v>1</v>
      </c>
      <c r="Z542">
        <v>0</v>
      </c>
      <c r="AA542">
        <v>9</v>
      </c>
      <c r="AB542">
        <v>3</v>
      </c>
      <c r="AC542">
        <v>0</v>
      </c>
      <c r="AD542">
        <v>10</v>
      </c>
      <c r="AE542">
        <v>0</v>
      </c>
      <c r="AF542">
        <v>3</v>
      </c>
      <c r="AG542">
        <v>2</v>
      </c>
      <c r="AH542">
        <v>0</v>
      </c>
      <c r="AI542" t="s">
        <v>500</v>
      </c>
      <c r="AJ542">
        <v>39.588182000000003</v>
      </c>
      <c r="AK542" t="s">
        <v>501</v>
      </c>
      <c r="AL542">
        <v>-92.497350999999995</v>
      </c>
      <c r="AM542">
        <v>100</v>
      </c>
      <c r="AN542">
        <v>1900</v>
      </c>
      <c r="AO542" t="s">
        <v>118</v>
      </c>
      <c r="AP542">
        <v>-19</v>
      </c>
      <c r="AQ542">
        <v>137</v>
      </c>
      <c r="AR542">
        <v>-128</v>
      </c>
      <c r="AZ542">
        <v>1200</v>
      </c>
      <c r="BA542">
        <v>1</v>
      </c>
      <c r="BB542" t="str">
        <f t="shared" si="27"/>
        <v xml:space="preserve">N8080G  </v>
      </c>
      <c r="BC542">
        <v>1</v>
      </c>
      <c r="BE542">
        <v>0</v>
      </c>
      <c r="BF542">
        <v>0</v>
      </c>
      <c r="BG542">
        <v>0</v>
      </c>
      <c r="BH542">
        <v>1850</v>
      </c>
      <c r="BI542">
        <v>1</v>
      </c>
      <c r="BJ542">
        <v>1</v>
      </c>
      <c r="BK542">
        <v>1</v>
      </c>
      <c r="BL542">
        <v>0</v>
      </c>
      <c r="BO542">
        <v>0</v>
      </c>
      <c r="BP542">
        <v>0</v>
      </c>
      <c r="BW542" t="str">
        <f>"20:14:15.118"</f>
        <v>20:14:15.118</v>
      </c>
      <c r="BZ542">
        <v>0</v>
      </c>
      <c r="CA542">
        <v>2016</v>
      </c>
      <c r="CB542">
        <v>224</v>
      </c>
      <c r="CD542">
        <v>1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2</v>
      </c>
      <c r="CL542">
        <v>0</v>
      </c>
      <c r="CM542">
        <v>2</v>
      </c>
      <c r="CN542">
        <v>0</v>
      </c>
      <c r="CO542">
        <v>6</v>
      </c>
      <c r="CP542" t="s">
        <v>119</v>
      </c>
      <c r="CQ542">
        <v>180</v>
      </c>
      <c r="CR542">
        <v>2</v>
      </c>
      <c r="CW542">
        <v>7878880</v>
      </c>
      <c r="CY542">
        <v>1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</row>
    <row r="543" spans="1:113" x14ac:dyDescent="0.3">
      <c r="A543" t="str">
        <f>"02/08/2021 20:14:12.783"</f>
        <v>02/08/2021 20:14:12.783</v>
      </c>
      <c r="C543" t="str">
        <f t="shared" si="26"/>
        <v>FFDFD7C0</v>
      </c>
      <c r="D543" t="s">
        <v>113</v>
      </c>
      <c r="E543">
        <v>6</v>
      </c>
      <c r="H543">
        <v>165</v>
      </c>
      <c r="I543" t="s">
        <v>114</v>
      </c>
      <c r="J543" t="s">
        <v>115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>"20:14:15.117"</f>
        <v>20:14:15.117</v>
      </c>
      <c r="T543" t="str">
        <f>"20:14:14.617"</f>
        <v>20:14:14.617</v>
      </c>
      <c r="U543" t="str">
        <f t="shared" si="25"/>
        <v>AB01F4</v>
      </c>
      <c r="V543">
        <v>0</v>
      </c>
      <c r="W543">
        <v>0</v>
      </c>
      <c r="X543">
        <v>1</v>
      </c>
      <c r="Z543">
        <v>0</v>
      </c>
      <c r="AA543">
        <v>9</v>
      </c>
      <c r="AB543">
        <v>3</v>
      </c>
      <c r="AC543">
        <v>0</v>
      </c>
      <c r="AD543">
        <v>10</v>
      </c>
      <c r="AE543">
        <v>0</v>
      </c>
      <c r="AF543">
        <v>3</v>
      </c>
      <c r="AG543">
        <v>2</v>
      </c>
      <c r="AH543">
        <v>0</v>
      </c>
      <c r="AI543" t="s">
        <v>500</v>
      </c>
      <c r="AJ543">
        <v>39.588182000000003</v>
      </c>
      <c r="AK543" t="s">
        <v>501</v>
      </c>
      <c r="AL543">
        <v>-92.497350999999995</v>
      </c>
      <c r="AM543">
        <v>100</v>
      </c>
      <c r="AN543">
        <v>1900</v>
      </c>
      <c r="AO543" t="s">
        <v>118</v>
      </c>
      <c r="AP543">
        <v>-19</v>
      </c>
      <c r="AQ543">
        <v>137</v>
      </c>
      <c r="AR543">
        <v>-128</v>
      </c>
      <c r="AZ543">
        <v>1200</v>
      </c>
      <c r="BA543">
        <v>1</v>
      </c>
      <c r="BB543" t="str">
        <f t="shared" si="27"/>
        <v xml:space="preserve">N8080G  </v>
      </c>
      <c r="BC543">
        <v>1</v>
      </c>
      <c r="BE543">
        <v>0</v>
      </c>
      <c r="BF543">
        <v>0</v>
      </c>
      <c r="BG543">
        <v>0</v>
      </c>
      <c r="BH543">
        <v>1850</v>
      </c>
      <c r="BI543">
        <v>1</v>
      </c>
      <c r="BJ543">
        <v>1</v>
      </c>
      <c r="BK543">
        <v>1</v>
      </c>
      <c r="BL543">
        <v>0</v>
      </c>
      <c r="BO543">
        <v>0</v>
      </c>
      <c r="BP543">
        <v>0</v>
      </c>
      <c r="BW543" t="str">
        <f>"20:14:15.118"</f>
        <v>20:14:15.118</v>
      </c>
      <c r="BZ543">
        <v>0</v>
      </c>
      <c r="CA543">
        <v>2016</v>
      </c>
      <c r="CB543">
        <v>224</v>
      </c>
      <c r="CD543">
        <v>1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2</v>
      </c>
      <c r="CL543">
        <v>0</v>
      </c>
      <c r="CM543">
        <v>2</v>
      </c>
      <c r="CN543">
        <v>0</v>
      </c>
      <c r="CO543">
        <v>6</v>
      </c>
      <c r="CP543" t="s">
        <v>119</v>
      </c>
      <c r="CQ543">
        <v>180</v>
      </c>
      <c r="CR543">
        <v>2</v>
      </c>
      <c r="CW543">
        <v>7878880</v>
      </c>
      <c r="CY543">
        <v>1</v>
      </c>
      <c r="CZ543">
        <v>0</v>
      </c>
      <c r="DA543">
        <v>1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</row>
    <row r="544" spans="1:113" x14ac:dyDescent="0.3">
      <c r="A544" t="str">
        <f>"02/08/2021 20:14:12.783"</f>
        <v>02/08/2021 20:14:12.783</v>
      </c>
      <c r="C544" t="str">
        <f t="shared" si="26"/>
        <v>FFDFD7C0</v>
      </c>
      <c r="D544" t="s">
        <v>141</v>
      </c>
      <c r="E544">
        <v>17</v>
      </c>
      <c r="H544">
        <v>256</v>
      </c>
      <c r="I544" t="s">
        <v>142</v>
      </c>
      <c r="J544" t="s">
        <v>143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>"20:14:15.117"</f>
        <v>20:14:15.117</v>
      </c>
      <c r="T544" t="str">
        <f>"20:14:14.617"</f>
        <v>20:14:14.617</v>
      </c>
      <c r="U544" t="str">
        <f t="shared" si="25"/>
        <v>AB01F4</v>
      </c>
      <c r="V544">
        <v>0</v>
      </c>
      <c r="W544">
        <v>0</v>
      </c>
      <c r="X544">
        <v>1</v>
      </c>
      <c r="Z544">
        <v>0</v>
      </c>
      <c r="AA544">
        <v>9</v>
      </c>
      <c r="AB544">
        <v>3</v>
      </c>
      <c r="AC544">
        <v>0</v>
      </c>
      <c r="AD544">
        <v>10</v>
      </c>
      <c r="AE544">
        <v>0</v>
      </c>
      <c r="AF544">
        <v>3</v>
      </c>
      <c r="AG544">
        <v>2</v>
      </c>
      <c r="AH544">
        <v>0</v>
      </c>
      <c r="AI544" t="s">
        <v>500</v>
      </c>
      <c r="AJ544">
        <v>39.588182000000003</v>
      </c>
      <c r="AK544" t="s">
        <v>501</v>
      </c>
      <c r="AL544">
        <v>-92.497350999999995</v>
      </c>
      <c r="AM544">
        <v>100</v>
      </c>
      <c r="AN544">
        <v>1900</v>
      </c>
      <c r="AO544" t="s">
        <v>118</v>
      </c>
      <c r="AP544">
        <v>-19</v>
      </c>
      <c r="AQ544">
        <v>137</v>
      </c>
      <c r="AR544">
        <v>-128</v>
      </c>
      <c r="AZ544">
        <v>1200</v>
      </c>
      <c r="BA544">
        <v>1</v>
      </c>
      <c r="BB544" t="str">
        <f t="shared" si="27"/>
        <v xml:space="preserve">N8080G  </v>
      </c>
      <c r="BC544">
        <v>1</v>
      </c>
      <c r="BE544">
        <v>0</v>
      </c>
      <c r="BF544">
        <v>0</v>
      </c>
      <c r="BG544">
        <v>0</v>
      </c>
      <c r="BH544">
        <v>1850</v>
      </c>
      <c r="BI544">
        <v>1</v>
      </c>
      <c r="BJ544">
        <v>1</v>
      </c>
      <c r="BK544">
        <v>1</v>
      </c>
      <c r="BL544">
        <v>0</v>
      </c>
      <c r="BO544">
        <v>0</v>
      </c>
      <c r="BP544">
        <v>0</v>
      </c>
      <c r="BW544" t="str">
        <f>"20:14:15.118"</f>
        <v>20:14:15.118</v>
      </c>
      <c r="BZ544">
        <v>0</v>
      </c>
      <c r="CA544">
        <v>2016</v>
      </c>
      <c r="CB544">
        <v>224</v>
      </c>
      <c r="CD544">
        <v>1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2</v>
      </c>
      <c r="CL544">
        <v>0</v>
      </c>
      <c r="CM544">
        <v>2</v>
      </c>
      <c r="CN544">
        <v>0</v>
      </c>
      <c r="CO544">
        <v>5</v>
      </c>
      <c r="CP544" t="s">
        <v>119</v>
      </c>
      <c r="CQ544">
        <v>559</v>
      </c>
      <c r="CR544">
        <v>0</v>
      </c>
      <c r="CW544">
        <v>10412876</v>
      </c>
      <c r="CY544">
        <v>1</v>
      </c>
      <c r="CZ544">
        <v>0</v>
      </c>
      <c r="DA544">
        <v>1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</row>
    <row r="545" spans="1:113" x14ac:dyDescent="0.3">
      <c r="A545" t="str">
        <f>"02/08/2021 20:14:13.789"</f>
        <v>02/08/2021 20:14:13.789</v>
      </c>
      <c r="C545" t="str">
        <f t="shared" si="26"/>
        <v>FFDFD7C0</v>
      </c>
      <c r="D545" t="s">
        <v>124</v>
      </c>
      <c r="E545">
        <v>13</v>
      </c>
      <c r="F545">
        <v>1013</v>
      </c>
      <c r="G545" t="s">
        <v>114</v>
      </c>
      <c r="J545" t="s">
        <v>125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>"20:14:16.109"</f>
        <v>20:14:16.109</v>
      </c>
      <c r="T545" t="str">
        <f>"20:14:15.709"</f>
        <v>20:14:15.709</v>
      </c>
      <c r="U545" t="str">
        <f t="shared" si="25"/>
        <v>AB01F4</v>
      </c>
      <c r="V545">
        <v>0</v>
      </c>
      <c r="W545">
        <v>0</v>
      </c>
      <c r="X545">
        <v>1</v>
      </c>
      <c r="Z545">
        <v>0</v>
      </c>
      <c r="AA545">
        <v>9</v>
      </c>
      <c r="AB545">
        <v>3</v>
      </c>
      <c r="AC545">
        <v>0</v>
      </c>
      <c r="AD545">
        <v>10</v>
      </c>
      <c r="AE545">
        <v>0</v>
      </c>
      <c r="AF545">
        <v>3</v>
      </c>
      <c r="AG545">
        <v>2</v>
      </c>
      <c r="AH545">
        <v>0</v>
      </c>
      <c r="AI545" t="s">
        <v>502</v>
      </c>
      <c r="AJ545">
        <v>39.588825999999997</v>
      </c>
      <c r="AK545" t="s">
        <v>503</v>
      </c>
      <c r="AL545">
        <v>-92.497479999999996</v>
      </c>
      <c r="AM545">
        <v>100</v>
      </c>
      <c r="AN545">
        <v>1900</v>
      </c>
      <c r="AO545" t="s">
        <v>118</v>
      </c>
      <c r="AP545">
        <v>-18</v>
      </c>
      <c r="AQ545">
        <v>137</v>
      </c>
      <c r="AR545">
        <v>-256</v>
      </c>
      <c r="AZ545">
        <v>1200</v>
      </c>
      <c r="BA545">
        <v>1</v>
      </c>
      <c r="BB545" t="str">
        <f t="shared" si="27"/>
        <v xml:space="preserve">N8080G  </v>
      </c>
      <c r="BC545">
        <v>1</v>
      </c>
      <c r="BE545">
        <v>0</v>
      </c>
      <c r="BF545">
        <v>0</v>
      </c>
      <c r="BG545">
        <v>0</v>
      </c>
      <c r="BH545">
        <v>1825</v>
      </c>
      <c r="BI545">
        <v>1</v>
      </c>
      <c r="BJ545">
        <v>1</v>
      </c>
      <c r="BK545">
        <v>1</v>
      </c>
      <c r="BL545">
        <v>0</v>
      </c>
      <c r="BO545">
        <v>0</v>
      </c>
      <c r="BP545">
        <v>0</v>
      </c>
      <c r="BW545" t="str">
        <f>"20:14:16.109"</f>
        <v>20:14:16.109</v>
      </c>
      <c r="BZ545">
        <v>0</v>
      </c>
      <c r="CA545">
        <v>2016</v>
      </c>
      <c r="CB545">
        <v>224</v>
      </c>
      <c r="CD545">
        <v>1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2</v>
      </c>
      <c r="CL545">
        <v>0</v>
      </c>
      <c r="CM545">
        <v>2</v>
      </c>
      <c r="CN545">
        <v>0</v>
      </c>
      <c r="CO545">
        <v>6</v>
      </c>
      <c r="CP545" t="s">
        <v>119</v>
      </c>
      <c r="CQ545">
        <v>180</v>
      </c>
      <c r="CR545">
        <v>2</v>
      </c>
      <c r="CW545">
        <v>7879633</v>
      </c>
      <c r="CY545">
        <v>1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</row>
    <row r="546" spans="1:113" x14ac:dyDescent="0.3">
      <c r="A546" t="str">
        <f>"02/08/2021 20:14:13.789"</f>
        <v>02/08/2021 20:14:13.789</v>
      </c>
      <c r="C546" t="str">
        <f t="shared" si="26"/>
        <v>FFDFD7C0</v>
      </c>
      <c r="D546" t="s">
        <v>141</v>
      </c>
      <c r="E546">
        <v>17</v>
      </c>
      <c r="H546">
        <v>256</v>
      </c>
      <c r="I546" t="s">
        <v>142</v>
      </c>
      <c r="J546" t="s">
        <v>143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>"20:14:16.109"</f>
        <v>20:14:16.109</v>
      </c>
      <c r="T546" t="str">
        <f>"20:14:15.709"</f>
        <v>20:14:15.709</v>
      </c>
      <c r="U546" t="str">
        <f t="shared" si="25"/>
        <v>AB01F4</v>
      </c>
      <c r="V546">
        <v>0</v>
      </c>
      <c r="W546">
        <v>0</v>
      </c>
      <c r="X546">
        <v>1</v>
      </c>
      <c r="Z546">
        <v>0</v>
      </c>
      <c r="AA546">
        <v>9</v>
      </c>
      <c r="AB546">
        <v>3</v>
      </c>
      <c r="AC546">
        <v>0</v>
      </c>
      <c r="AD546">
        <v>10</v>
      </c>
      <c r="AE546">
        <v>0</v>
      </c>
      <c r="AF546">
        <v>3</v>
      </c>
      <c r="AG546">
        <v>2</v>
      </c>
      <c r="AH546">
        <v>0</v>
      </c>
      <c r="AI546" t="s">
        <v>502</v>
      </c>
      <c r="AJ546">
        <v>39.588825999999997</v>
      </c>
      <c r="AK546" t="s">
        <v>503</v>
      </c>
      <c r="AL546">
        <v>-92.497479999999996</v>
      </c>
      <c r="AM546">
        <v>100</v>
      </c>
      <c r="AN546">
        <v>1900</v>
      </c>
      <c r="AO546" t="s">
        <v>118</v>
      </c>
      <c r="AP546">
        <v>-18</v>
      </c>
      <c r="AQ546">
        <v>137</v>
      </c>
      <c r="AR546">
        <v>-256</v>
      </c>
      <c r="AZ546">
        <v>1200</v>
      </c>
      <c r="BA546">
        <v>1</v>
      </c>
      <c r="BB546" t="str">
        <f t="shared" si="27"/>
        <v xml:space="preserve">N8080G  </v>
      </c>
      <c r="BC546">
        <v>1</v>
      </c>
      <c r="BE546">
        <v>0</v>
      </c>
      <c r="BF546">
        <v>0</v>
      </c>
      <c r="BG546">
        <v>0</v>
      </c>
      <c r="BH546">
        <v>1825</v>
      </c>
      <c r="BI546">
        <v>1</v>
      </c>
      <c r="BJ546">
        <v>1</v>
      </c>
      <c r="BK546">
        <v>1</v>
      </c>
      <c r="BL546">
        <v>0</v>
      </c>
      <c r="BO546">
        <v>0</v>
      </c>
      <c r="BP546">
        <v>0</v>
      </c>
      <c r="BW546" t="str">
        <f>"20:14:16.110"</f>
        <v>20:14:16.110</v>
      </c>
      <c r="BZ546">
        <v>0</v>
      </c>
      <c r="CA546">
        <v>2016</v>
      </c>
      <c r="CB546">
        <v>224</v>
      </c>
      <c r="CD546">
        <v>1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2</v>
      </c>
      <c r="CL546">
        <v>0</v>
      </c>
      <c r="CM546">
        <v>2</v>
      </c>
      <c r="CN546">
        <v>0</v>
      </c>
      <c r="CO546">
        <v>5</v>
      </c>
      <c r="CP546" t="s">
        <v>119</v>
      </c>
      <c r="CQ546">
        <v>559</v>
      </c>
      <c r="CR546">
        <v>0</v>
      </c>
      <c r="CW546">
        <v>10413058</v>
      </c>
      <c r="CY546">
        <v>1</v>
      </c>
      <c r="CZ546">
        <v>0</v>
      </c>
      <c r="DA546">
        <v>1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</row>
    <row r="547" spans="1:113" x14ac:dyDescent="0.3">
      <c r="A547" t="str">
        <f>"02/08/2021 20:14:13.789"</f>
        <v>02/08/2021 20:14:13.789</v>
      </c>
      <c r="C547" t="str">
        <f t="shared" si="26"/>
        <v>FFDFD7C0</v>
      </c>
      <c r="D547" t="s">
        <v>113</v>
      </c>
      <c r="E547">
        <v>6</v>
      </c>
      <c r="H547">
        <v>165</v>
      </c>
      <c r="I547" t="s">
        <v>114</v>
      </c>
      <c r="J547" t="s">
        <v>115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>"20:14:16.109"</f>
        <v>20:14:16.109</v>
      </c>
      <c r="T547" t="str">
        <f>"20:14:15.709"</f>
        <v>20:14:15.709</v>
      </c>
      <c r="U547" t="str">
        <f t="shared" si="25"/>
        <v>AB01F4</v>
      </c>
      <c r="V547">
        <v>0</v>
      </c>
      <c r="W547">
        <v>0</v>
      </c>
      <c r="X547">
        <v>1</v>
      </c>
      <c r="Z547">
        <v>0</v>
      </c>
      <c r="AA547">
        <v>9</v>
      </c>
      <c r="AB547">
        <v>3</v>
      </c>
      <c r="AC547">
        <v>0</v>
      </c>
      <c r="AD547">
        <v>10</v>
      </c>
      <c r="AE547">
        <v>0</v>
      </c>
      <c r="AF547">
        <v>3</v>
      </c>
      <c r="AG547">
        <v>2</v>
      </c>
      <c r="AH547">
        <v>0</v>
      </c>
      <c r="AI547" t="s">
        <v>502</v>
      </c>
      <c r="AJ547">
        <v>39.588825999999997</v>
      </c>
      <c r="AK547" t="s">
        <v>503</v>
      </c>
      <c r="AL547">
        <v>-92.497479999999996</v>
      </c>
      <c r="AM547">
        <v>100</v>
      </c>
      <c r="AN547">
        <v>1900</v>
      </c>
      <c r="AO547" t="s">
        <v>118</v>
      </c>
      <c r="AP547">
        <v>-18</v>
      </c>
      <c r="AQ547">
        <v>137</v>
      </c>
      <c r="AR547">
        <v>-256</v>
      </c>
      <c r="AZ547">
        <v>1200</v>
      </c>
      <c r="BA547">
        <v>1</v>
      </c>
      <c r="BB547" t="str">
        <f t="shared" si="27"/>
        <v xml:space="preserve">N8080G  </v>
      </c>
      <c r="BC547">
        <v>1</v>
      </c>
      <c r="BE547">
        <v>0</v>
      </c>
      <c r="BF547">
        <v>0</v>
      </c>
      <c r="BG547">
        <v>0</v>
      </c>
      <c r="BH547">
        <v>1825</v>
      </c>
      <c r="BI547">
        <v>1</v>
      </c>
      <c r="BJ547">
        <v>1</v>
      </c>
      <c r="BK547">
        <v>1</v>
      </c>
      <c r="BL547">
        <v>0</v>
      </c>
      <c r="BO547">
        <v>0</v>
      </c>
      <c r="BP547">
        <v>0</v>
      </c>
      <c r="BW547" t="str">
        <f>"20:14:16.109"</f>
        <v>20:14:16.109</v>
      </c>
      <c r="BZ547">
        <v>0</v>
      </c>
      <c r="CA547">
        <v>2016</v>
      </c>
      <c r="CB547">
        <v>224</v>
      </c>
      <c r="CD547">
        <v>1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2</v>
      </c>
      <c r="CL547">
        <v>0</v>
      </c>
      <c r="CM547">
        <v>2</v>
      </c>
      <c r="CN547">
        <v>0</v>
      </c>
      <c r="CO547">
        <v>6</v>
      </c>
      <c r="CP547" t="s">
        <v>119</v>
      </c>
      <c r="CQ547">
        <v>180</v>
      </c>
      <c r="CR547">
        <v>2</v>
      </c>
      <c r="CW547">
        <v>7879633</v>
      </c>
      <c r="CY547">
        <v>1</v>
      </c>
      <c r="CZ547">
        <v>0</v>
      </c>
      <c r="DA547">
        <v>1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</row>
    <row r="548" spans="1:113" x14ac:dyDescent="0.3">
      <c r="A548" t="str">
        <f>"02/08/2021 20:14:14.744"</f>
        <v>02/08/2021 20:14:14.744</v>
      </c>
      <c r="C548" t="str">
        <f t="shared" si="26"/>
        <v>FFDFD7C0</v>
      </c>
      <c r="D548" t="s">
        <v>124</v>
      </c>
      <c r="E548">
        <v>13</v>
      </c>
      <c r="F548">
        <v>1013</v>
      </c>
      <c r="G548" t="s">
        <v>114</v>
      </c>
      <c r="J548" t="s">
        <v>125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>"20:14:17.063"</f>
        <v>20:14:17.063</v>
      </c>
      <c r="T548" t="str">
        <f>"20:14:16.563"</f>
        <v>20:14:16.563</v>
      </c>
      <c r="U548" t="str">
        <f t="shared" si="25"/>
        <v>AB01F4</v>
      </c>
      <c r="V548">
        <v>0</v>
      </c>
      <c r="W548">
        <v>0</v>
      </c>
      <c r="X548">
        <v>1</v>
      </c>
      <c r="Z548">
        <v>0</v>
      </c>
      <c r="AA548">
        <v>9</v>
      </c>
      <c r="AB548">
        <v>3</v>
      </c>
      <c r="AC548">
        <v>0</v>
      </c>
      <c r="AD548">
        <v>10</v>
      </c>
      <c r="AE548">
        <v>0</v>
      </c>
      <c r="AF548">
        <v>3</v>
      </c>
      <c r="AG548">
        <v>2</v>
      </c>
      <c r="AH548">
        <v>0</v>
      </c>
      <c r="AI548" t="s">
        <v>504</v>
      </c>
      <c r="AJ548">
        <v>39.589384000000003</v>
      </c>
      <c r="AK548" t="s">
        <v>505</v>
      </c>
      <c r="AL548">
        <v>-92.497566000000006</v>
      </c>
      <c r="AM548">
        <v>100</v>
      </c>
      <c r="AN548">
        <v>1900</v>
      </c>
      <c r="AO548" t="s">
        <v>118</v>
      </c>
      <c r="AP548">
        <v>-18</v>
      </c>
      <c r="AQ548">
        <v>137</v>
      </c>
      <c r="AR548">
        <v>-256</v>
      </c>
      <c r="AZ548">
        <v>1200</v>
      </c>
      <c r="BA548">
        <v>1</v>
      </c>
      <c r="BB548" t="str">
        <f t="shared" si="27"/>
        <v xml:space="preserve">N8080G  </v>
      </c>
      <c r="BC548">
        <v>1</v>
      </c>
      <c r="BE548">
        <v>0</v>
      </c>
      <c r="BF548">
        <v>0</v>
      </c>
      <c r="BG548">
        <v>0</v>
      </c>
      <c r="BH548">
        <v>1825</v>
      </c>
      <c r="BI548">
        <v>1</v>
      </c>
      <c r="BJ548">
        <v>1</v>
      </c>
      <c r="BK548">
        <v>1</v>
      </c>
      <c r="BL548">
        <v>0</v>
      </c>
      <c r="BO548">
        <v>0</v>
      </c>
      <c r="BP548">
        <v>0</v>
      </c>
      <c r="BW548" t="str">
        <f>"20:14:17.068"</f>
        <v>20:14:17.068</v>
      </c>
      <c r="BZ548">
        <v>0</v>
      </c>
      <c r="CA548">
        <v>2016</v>
      </c>
      <c r="CB548">
        <v>224</v>
      </c>
      <c r="CD548">
        <v>1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2</v>
      </c>
      <c r="CL548">
        <v>0</v>
      </c>
      <c r="CM548">
        <v>2</v>
      </c>
      <c r="CN548">
        <v>0</v>
      </c>
      <c r="CO548">
        <v>6</v>
      </c>
      <c r="CP548" t="s">
        <v>119</v>
      </c>
      <c r="CQ548">
        <v>180</v>
      </c>
      <c r="CR548">
        <v>2</v>
      </c>
      <c r="CW548">
        <v>7880358</v>
      </c>
      <c r="CY548">
        <v>1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</row>
    <row r="549" spans="1:113" x14ac:dyDescent="0.3">
      <c r="A549" t="str">
        <f>"02/08/2021 20:14:14.744"</f>
        <v>02/08/2021 20:14:14.744</v>
      </c>
      <c r="C549" t="str">
        <f t="shared" si="26"/>
        <v>FFDFD7C0</v>
      </c>
      <c r="D549" t="s">
        <v>141</v>
      </c>
      <c r="E549">
        <v>17</v>
      </c>
      <c r="H549">
        <v>256</v>
      </c>
      <c r="I549" t="s">
        <v>142</v>
      </c>
      <c r="J549" t="s">
        <v>143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>"20:14:17.063"</f>
        <v>20:14:17.063</v>
      </c>
      <c r="T549" t="str">
        <f>"20:14:16.563"</f>
        <v>20:14:16.563</v>
      </c>
      <c r="U549" t="str">
        <f t="shared" si="25"/>
        <v>AB01F4</v>
      </c>
      <c r="V549">
        <v>0</v>
      </c>
      <c r="W549">
        <v>0</v>
      </c>
      <c r="X549">
        <v>1</v>
      </c>
      <c r="Z549">
        <v>0</v>
      </c>
      <c r="AA549">
        <v>9</v>
      </c>
      <c r="AB549">
        <v>3</v>
      </c>
      <c r="AC549">
        <v>0</v>
      </c>
      <c r="AD549">
        <v>10</v>
      </c>
      <c r="AE549">
        <v>0</v>
      </c>
      <c r="AF549">
        <v>3</v>
      </c>
      <c r="AG549">
        <v>2</v>
      </c>
      <c r="AH549">
        <v>0</v>
      </c>
      <c r="AI549" t="s">
        <v>504</v>
      </c>
      <c r="AJ549">
        <v>39.589384000000003</v>
      </c>
      <c r="AK549" t="s">
        <v>505</v>
      </c>
      <c r="AL549">
        <v>-92.497566000000006</v>
      </c>
      <c r="AM549">
        <v>100</v>
      </c>
      <c r="AN549">
        <v>1900</v>
      </c>
      <c r="AO549" t="s">
        <v>118</v>
      </c>
      <c r="AP549">
        <v>-18</v>
      </c>
      <c r="AQ549">
        <v>137</v>
      </c>
      <c r="AR549">
        <v>-256</v>
      </c>
      <c r="AZ549">
        <v>1200</v>
      </c>
      <c r="BA549">
        <v>1</v>
      </c>
      <c r="BB549" t="str">
        <f t="shared" si="27"/>
        <v xml:space="preserve">N8080G  </v>
      </c>
      <c r="BC549">
        <v>1</v>
      </c>
      <c r="BE549">
        <v>0</v>
      </c>
      <c r="BF549">
        <v>0</v>
      </c>
      <c r="BG549">
        <v>0</v>
      </c>
      <c r="BH549">
        <v>1825</v>
      </c>
      <c r="BI549">
        <v>1</v>
      </c>
      <c r="BJ549">
        <v>1</v>
      </c>
      <c r="BK549">
        <v>1</v>
      </c>
      <c r="BL549">
        <v>0</v>
      </c>
      <c r="BO549">
        <v>0</v>
      </c>
      <c r="BP549">
        <v>0</v>
      </c>
      <c r="BW549" t="str">
        <f>"20:14:17.068"</f>
        <v>20:14:17.068</v>
      </c>
      <c r="BZ549">
        <v>0</v>
      </c>
      <c r="CA549">
        <v>2016</v>
      </c>
      <c r="CB549">
        <v>224</v>
      </c>
      <c r="CD549">
        <v>1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2</v>
      </c>
      <c r="CL549">
        <v>0</v>
      </c>
      <c r="CM549">
        <v>2</v>
      </c>
      <c r="CN549">
        <v>0</v>
      </c>
      <c r="CO549">
        <v>5</v>
      </c>
      <c r="CP549" t="s">
        <v>119</v>
      </c>
      <c r="CQ549">
        <v>559</v>
      </c>
      <c r="CR549">
        <v>0</v>
      </c>
      <c r="CW549">
        <v>10413222</v>
      </c>
      <c r="CY549">
        <v>1</v>
      </c>
      <c r="CZ549">
        <v>0</v>
      </c>
      <c r="DA549">
        <v>1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</row>
    <row r="550" spans="1:113" x14ac:dyDescent="0.3">
      <c r="A550" t="str">
        <f>"02/08/2021 20:14:14.744"</f>
        <v>02/08/2021 20:14:14.744</v>
      </c>
      <c r="C550" t="str">
        <f t="shared" si="26"/>
        <v>FFDFD7C0</v>
      </c>
      <c r="D550" t="s">
        <v>113</v>
      </c>
      <c r="E550">
        <v>6</v>
      </c>
      <c r="H550">
        <v>165</v>
      </c>
      <c r="I550" t="s">
        <v>114</v>
      </c>
      <c r="J550" t="s">
        <v>115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>"20:14:17.063"</f>
        <v>20:14:17.063</v>
      </c>
      <c r="T550" t="str">
        <f>"20:14:16.563"</f>
        <v>20:14:16.563</v>
      </c>
      <c r="U550" t="str">
        <f t="shared" si="25"/>
        <v>AB01F4</v>
      </c>
      <c r="V550">
        <v>0</v>
      </c>
      <c r="W550">
        <v>0</v>
      </c>
      <c r="X550">
        <v>1</v>
      </c>
      <c r="Z550">
        <v>0</v>
      </c>
      <c r="AA550">
        <v>9</v>
      </c>
      <c r="AB550">
        <v>3</v>
      </c>
      <c r="AC550">
        <v>0</v>
      </c>
      <c r="AD550">
        <v>10</v>
      </c>
      <c r="AE550">
        <v>0</v>
      </c>
      <c r="AF550">
        <v>3</v>
      </c>
      <c r="AG550">
        <v>2</v>
      </c>
      <c r="AH550">
        <v>0</v>
      </c>
      <c r="AI550" t="s">
        <v>504</v>
      </c>
      <c r="AJ550">
        <v>39.589384000000003</v>
      </c>
      <c r="AK550" t="s">
        <v>505</v>
      </c>
      <c r="AL550">
        <v>-92.497566000000006</v>
      </c>
      <c r="AM550">
        <v>100</v>
      </c>
      <c r="AN550">
        <v>1900</v>
      </c>
      <c r="AO550" t="s">
        <v>118</v>
      </c>
      <c r="AP550">
        <v>-18</v>
      </c>
      <c r="AQ550">
        <v>137</v>
      </c>
      <c r="AR550">
        <v>-256</v>
      </c>
      <c r="AZ550">
        <v>1200</v>
      </c>
      <c r="BA550">
        <v>1</v>
      </c>
      <c r="BB550" t="str">
        <f t="shared" si="27"/>
        <v xml:space="preserve">N8080G  </v>
      </c>
      <c r="BC550">
        <v>1</v>
      </c>
      <c r="BE550">
        <v>0</v>
      </c>
      <c r="BF550">
        <v>0</v>
      </c>
      <c r="BG550">
        <v>0</v>
      </c>
      <c r="BH550">
        <v>1825</v>
      </c>
      <c r="BI550">
        <v>1</v>
      </c>
      <c r="BJ550">
        <v>1</v>
      </c>
      <c r="BK550">
        <v>1</v>
      </c>
      <c r="BL550">
        <v>0</v>
      </c>
      <c r="BO550">
        <v>0</v>
      </c>
      <c r="BP550">
        <v>0</v>
      </c>
      <c r="BW550" t="str">
        <f>"20:14:17.068"</f>
        <v>20:14:17.068</v>
      </c>
      <c r="BZ550">
        <v>0</v>
      </c>
      <c r="CA550">
        <v>2016</v>
      </c>
      <c r="CB550">
        <v>224</v>
      </c>
      <c r="CD550">
        <v>1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2</v>
      </c>
      <c r="CL550">
        <v>0</v>
      </c>
      <c r="CM550">
        <v>2</v>
      </c>
      <c r="CN550">
        <v>0</v>
      </c>
      <c r="CO550">
        <v>6</v>
      </c>
      <c r="CP550" t="s">
        <v>119</v>
      </c>
      <c r="CQ550">
        <v>180</v>
      </c>
      <c r="CR550">
        <v>2</v>
      </c>
      <c r="CW550">
        <v>7880358</v>
      </c>
      <c r="CY550">
        <v>1</v>
      </c>
      <c r="CZ550">
        <v>0</v>
      </c>
      <c r="DA550">
        <v>1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</row>
    <row r="551" spans="1:113" x14ac:dyDescent="0.3">
      <c r="A551" t="str">
        <f>"02/08/2021 20:14:15.705"</f>
        <v>02/08/2021 20:14:15.705</v>
      </c>
      <c r="C551" t="str">
        <f t="shared" si="26"/>
        <v>FFDFD7C0</v>
      </c>
      <c r="D551" t="s">
        <v>141</v>
      </c>
      <c r="E551">
        <v>17</v>
      </c>
      <c r="H551">
        <v>256</v>
      </c>
      <c r="I551" t="s">
        <v>142</v>
      </c>
      <c r="J551" t="s">
        <v>143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>"20:14:18.023"</f>
        <v>20:14:18.023</v>
      </c>
      <c r="U551" t="str">
        <f t="shared" si="25"/>
        <v>AB01F4</v>
      </c>
      <c r="V551">
        <v>0</v>
      </c>
      <c r="W551">
        <v>0</v>
      </c>
      <c r="X551">
        <v>1</v>
      </c>
      <c r="Z551">
        <v>0</v>
      </c>
      <c r="AA551">
        <v>9</v>
      </c>
      <c r="AB551">
        <v>3</v>
      </c>
      <c r="AC551">
        <v>0</v>
      </c>
      <c r="AD551">
        <v>10</v>
      </c>
      <c r="AE551">
        <v>0</v>
      </c>
      <c r="AF551">
        <v>3</v>
      </c>
      <c r="AG551">
        <v>2</v>
      </c>
      <c r="AH551">
        <v>0</v>
      </c>
      <c r="AI551" t="s">
        <v>506</v>
      </c>
      <c r="AJ551">
        <v>39.590026999999999</v>
      </c>
      <c r="AK551" t="s">
        <v>507</v>
      </c>
      <c r="AL551">
        <v>-92.497673000000006</v>
      </c>
      <c r="AM551">
        <v>100</v>
      </c>
      <c r="AN551">
        <v>1900</v>
      </c>
      <c r="AO551" t="s">
        <v>118</v>
      </c>
      <c r="AP551">
        <v>-19</v>
      </c>
      <c r="AQ551">
        <v>137</v>
      </c>
      <c r="AR551">
        <v>-256</v>
      </c>
      <c r="AZ551">
        <v>1200</v>
      </c>
      <c r="BA551">
        <v>1</v>
      </c>
      <c r="BB551" t="str">
        <f t="shared" si="27"/>
        <v xml:space="preserve">N8080G  </v>
      </c>
      <c r="BC551">
        <v>1</v>
      </c>
      <c r="BE551">
        <v>0</v>
      </c>
      <c r="BF551">
        <v>0</v>
      </c>
      <c r="BG551">
        <v>0</v>
      </c>
      <c r="BH551">
        <v>1825</v>
      </c>
      <c r="BI551">
        <v>1</v>
      </c>
      <c r="BJ551">
        <v>1</v>
      </c>
      <c r="BK551">
        <v>1</v>
      </c>
      <c r="BL551">
        <v>0</v>
      </c>
      <c r="BO551">
        <v>0</v>
      </c>
      <c r="BP551">
        <v>0</v>
      </c>
      <c r="BW551" t="str">
        <f>"20:14:18.030"</f>
        <v>20:14:18.030</v>
      </c>
      <c r="BZ551">
        <v>0</v>
      </c>
      <c r="CA551">
        <v>2016</v>
      </c>
      <c r="CB551">
        <v>224</v>
      </c>
      <c r="CD551">
        <v>1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2</v>
      </c>
      <c r="CL551">
        <v>0</v>
      </c>
      <c r="CM551">
        <v>2</v>
      </c>
      <c r="CN551">
        <v>0</v>
      </c>
      <c r="CO551">
        <v>5</v>
      </c>
      <c r="CP551" t="s">
        <v>119</v>
      </c>
      <c r="CQ551">
        <v>559</v>
      </c>
      <c r="CR551">
        <v>0</v>
      </c>
      <c r="CW551">
        <v>10413374</v>
      </c>
      <c r="CY551">
        <v>1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</row>
    <row r="552" spans="1:113" x14ac:dyDescent="0.3">
      <c r="A552" t="str">
        <f>"02/08/2021 20:14:15.705"</f>
        <v>02/08/2021 20:14:15.705</v>
      </c>
      <c r="C552" t="str">
        <f t="shared" si="26"/>
        <v>FFDFD7C0</v>
      </c>
      <c r="D552" t="s">
        <v>113</v>
      </c>
      <c r="E552">
        <v>6</v>
      </c>
      <c r="H552">
        <v>165</v>
      </c>
      <c r="I552" t="s">
        <v>114</v>
      </c>
      <c r="J552" t="s">
        <v>115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>"20:14:18.023"</f>
        <v>20:14:18.023</v>
      </c>
      <c r="U552" t="str">
        <f t="shared" si="25"/>
        <v>AB01F4</v>
      </c>
      <c r="V552">
        <v>0</v>
      </c>
      <c r="W552">
        <v>0</v>
      </c>
      <c r="X552">
        <v>1</v>
      </c>
      <c r="Z552">
        <v>0</v>
      </c>
      <c r="AA552">
        <v>9</v>
      </c>
      <c r="AB552">
        <v>3</v>
      </c>
      <c r="AC552">
        <v>0</v>
      </c>
      <c r="AD552">
        <v>10</v>
      </c>
      <c r="AE552">
        <v>0</v>
      </c>
      <c r="AF552">
        <v>3</v>
      </c>
      <c r="AG552">
        <v>2</v>
      </c>
      <c r="AH552">
        <v>0</v>
      </c>
      <c r="AI552" t="s">
        <v>506</v>
      </c>
      <c r="AJ552">
        <v>39.590026999999999</v>
      </c>
      <c r="AK552" t="s">
        <v>507</v>
      </c>
      <c r="AL552">
        <v>-92.497673000000006</v>
      </c>
      <c r="AM552">
        <v>100</v>
      </c>
      <c r="AN552">
        <v>1900</v>
      </c>
      <c r="AO552" t="s">
        <v>118</v>
      </c>
      <c r="AP552">
        <v>-19</v>
      </c>
      <c r="AQ552">
        <v>137</v>
      </c>
      <c r="AR552">
        <v>-256</v>
      </c>
      <c r="AZ552">
        <v>1200</v>
      </c>
      <c r="BA552">
        <v>1</v>
      </c>
      <c r="BB552" t="str">
        <f t="shared" si="27"/>
        <v xml:space="preserve">N8080G  </v>
      </c>
      <c r="BC552">
        <v>1</v>
      </c>
      <c r="BE552">
        <v>0</v>
      </c>
      <c r="BF552">
        <v>0</v>
      </c>
      <c r="BG552">
        <v>0</v>
      </c>
      <c r="BH552">
        <v>1825</v>
      </c>
      <c r="BI552">
        <v>1</v>
      </c>
      <c r="BJ552">
        <v>1</v>
      </c>
      <c r="BK552">
        <v>1</v>
      </c>
      <c r="BL552">
        <v>0</v>
      </c>
      <c r="BO552">
        <v>0</v>
      </c>
      <c r="BP552">
        <v>0</v>
      </c>
      <c r="BW552" t="str">
        <f>"20:14:18.030"</f>
        <v>20:14:18.030</v>
      </c>
      <c r="BZ552">
        <v>0</v>
      </c>
      <c r="CA552">
        <v>2016</v>
      </c>
      <c r="CB552">
        <v>224</v>
      </c>
      <c r="CD552">
        <v>1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2</v>
      </c>
      <c r="CL552">
        <v>0</v>
      </c>
      <c r="CM552">
        <v>2</v>
      </c>
      <c r="CN552">
        <v>0</v>
      </c>
      <c r="CO552">
        <v>5</v>
      </c>
      <c r="CP552" t="s">
        <v>119</v>
      </c>
      <c r="CQ552">
        <v>559</v>
      </c>
      <c r="CR552">
        <v>0</v>
      </c>
      <c r="CW552">
        <v>10413374</v>
      </c>
      <c r="CY552">
        <v>1</v>
      </c>
      <c r="CZ552">
        <v>0</v>
      </c>
      <c r="DA552">
        <v>1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</row>
    <row r="553" spans="1:113" x14ac:dyDescent="0.3">
      <c r="A553" t="str">
        <f>"02/08/2021 20:14:15.705"</f>
        <v>02/08/2021 20:14:15.705</v>
      </c>
      <c r="C553" t="str">
        <f t="shared" si="26"/>
        <v>FFDFD7C0</v>
      </c>
      <c r="D553" t="s">
        <v>124</v>
      </c>
      <c r="E553">
        <v>13</v>
      </c>
      <c r="F553">
        <v>1013</v>
      </c>
      <c r="G553" t="s">
        <v>114</v>
      </c>
      <c r="J553" t="s">
        <v>125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>"20:14:18.023"</f>
        <v>20:14:18.023</v>
      </c>
      <c r="U553" t="str">
        <f t="shared" si="25"/>
        <v>AB01F4</v>
      </c>
      <c r="V553">
        <v>0</v>
      </c>
      <c r="W553">
        <v>0</v>
      </c>
      <c r="X553">
        <v>1</v>
      </c>
      <c r="Z553">
        <v>0</v>
      </c>
      <c r="AA553">
        <v>9</v>
      </c>
      <c r="AB553">
        <v>3</v>
      </c>
      <c r="AC553">
        <v>0</v>
      </c>
      <c r="AD553">
        <v>10</v>
      </c>
      <c r="AE553">
        <v>0</v>
      </c>
      <c r="AF553">
        <v>3</v>
      </c>
      <c r="AG553">
        <v>2</v>
      </c>
      <c r="AH553">
        <v>0</v>
      </c>
      <c r="AI553" t="s">
        <v>506</v>
      </c>
      <c r="AJ553">
        <v>39.590026999999999</v>
      </c>
      <c r="AK553" t="s">
        <v>507</v>
      </c>
      <c r="AL553">
        <v>-92.497673000000006</v>
      </c>
      <c r="AM553">
        <v>100</v>
      </c>
      <c r="AN553">
        <v>1900</v>
      </c>
      <c r="AO553" t="s">
        <v>118</v>
      </c>
      <c r="AP553">
        <v>-19</v>
      </c>
      <c r="AQ553">
        <v>137</v>
      </c>
      <c r="AR553">
        <v>-256</v>
      </c>
      <c r="AZ553">
        <v>1200</v>
      </c>
      <c r="BA553">
        <v>1</v>
      </c>
      <c r="BB553" t="str">
        <f t="shared" si="27"/>
        <v xml:space="preserve">N8080G  </v>
      </c>
      <c r="BC553">
        <v>1</v>
      </c>
      <c r="BE553">
        <v>0</v>
      </c>
      <c r="BF553">
        <v>0</v>
      </c>
      <c r="BG553">
        <v>0</v>
      </c>
      <c r="BH553">
        <v>1825</v>
      </c>
      <c r="BI553">
        <v>1</v>
      </c>
      <c r="BJ553">
        <v>1</v>
      </c>
      <c r="BK553">
        <v>1</v>
      </c>
      <c r="BL553">
        <v>0</v>
      </c>
      <c r="BO553">
        <v>0</v>
      </c>
      <c r="BP553">
        <v>0</v>
      </c>
      <c r="BW553" t="str">
        <f>"20:14:18.030"</f>
        <v>20:14:18.030</v>
      </c>
      <c r="BZ553">
        <v>0</v>
      </c>
      <c r="CA553">
        <v>2016</v>
      </c>
      <c r="CB553">
        <v>224</v>
      </c>
      <c r="CD553">
        <v>1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2</v>
      </c>
      <c r="CL553">
        <v>0</v>
      </c>
      <c r="CM553">
        <v>2</v>
      </c>
      <c r="CN553">
        <v>0</v>
      </c>
      <c r="CO553">
        <v>5</v>
      </c>
      <c r="CP553" t="s">
        <v>119</v>
      </c>
      <c r="CQ553">
        <v>559</v>
      </c>
      <c r="CR553">
        <v>0</v>
      </c>
      <c r="CW553">
        <v>10413374</v>
      </c>
      <c r="CY553">
        <v>1</v>
      </c>
      <c r="CZ553">
        <v>0</v>
      </c>
      <c r="DA553">
        <v>1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</row>
    <row r="554" spans="1:113" x14ac:dyDescent="0.3">
      <c r="A554" t="str">
        <f>"02/08/2021 20:14:16.786"</f>
        <v>02/08/2021 20:14:16.786</v>
      </c>
      <c r="C554" t="str">
        <f t="shared" si="26"/>
        <v>FFDFD7C0</v>
      </c>
      <c r="D554" t="s">
        <v>113</v>
      </c>
      <c r="E554">
        <v>6</v>
      </c>
      <c r="H554">
        <v>165</v>
      </c>
      <c r="I554" t="s">
        <v>114</v>
      </c>
      <c r="J554" t="s">
        <v>115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>"20:14:19.141"</f>
        <v>20:14:19.141</v>
      </c>
      <c r="T554" t="str">
        <f>"20:14:18.641"</f>
        <v>20:14:18.641</v>
      </c>
      <c r="U554" t="str">
        <f t="shared" si="25"/>
        <v>AB01F4</v>
      </c>
      <c r="V554">
        <v>0</v>
      </c>
      <c r="W554">
        <v>0</v>
      </c>
      <c r="X554">
        <v>1</v>
      </c>
      <c r="Z554">
        <v>0</v>
      </c>
      <c r="AA554">
        <v>9</v>
      </c>
      <c r="AB554">
        <v>3</v>
      </c>
      <c r="AC554">
        <v>0</v>
      </c>
      <c r="AD554">
        <v>10</v>
      </c>
      <c r="AE554">
        <v>0</v>
      </c>
      <c r="AF554">
        <v>3</v>
      </c>
      <c r="AG554">
        <v>2</v>
      </c>
      <c r="AH554">
        <v>0</v>
      </c>
      <c r="AI554" t="s">
        <v>508</v>
      </c>
      <c r="AJ554">
        <v>39.590735000000002</v>
      </c>
      <c r="AK554" t="s">
        <v>509</v>
      </c>
      <c r="AL554">
        <v>-92.497780000000006</v>
      </c>
      <c r="AM554">
        <v>100</v>
      </c>
      <c r="AN554">
        <v>1900</v>
      </c>
      <c r="AO554" t="s">
        <v>118</v>
      </c>
      <c r="AP554">
        <v>-19</v>
      </c>
      <c r="AQ554">
        <v>137</v>
      </c>
      <c r="AR554">
        <v>-256</v>
      </c>
      <c r="AZ554">
        <v>1200</v>
      </c>
      <c r="BA554">
        <v>1</v>
      </c>
      <c r="BB554" t="str">
        <f t="shared" si="27"/>
        <v xml:space="preserve">N8080G  </v>
      </c>
      <c r="BC554">
        <v>1</v>
      </c>
      <c r="BE554">
        <v>0</v>
      </c>
      <c r="BF554">
        <v>0</v>
      </c>
      <c r="BG554">
        <v>0</v>
      </c>
      <c r="BH554">
        <v>1825</v>
      </c>
      <c r="BI554">
        <v>1</v>
      </c>
      <c r="BJ554">
        <v>1</v>
      </c>
      <c r="BK554">
        <v>1</v>
      </c>
      <c r="BL554">
        <v>0</v>
      </c>
      <c r="BO554">
        <v>0</v>
      </c>
      <c r="BP554">
        <v>0</v>
      </c>
      <c r="BW554" t="str">
        <f>"20:14:19.144"</f>
        <v>20:14:19.144</v>
      </c>
      <c r="BZ554">
        <v>0</v>
      </c>
      <c r="CA554">
        <v>2016</v>
      </c>
      <c r="CB554">
        <v>224</v>
      </c>
      <c r="CD554">
        <v>1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2</v>
      </c>
      <c r="CL554">
        <v>0</v>
      </c>
      <c r="CM554">
        <v>2</v>
      </c>
      <c r="CN554">
        <v>0</v>
      </c>
      <c r="CO554">
        <v>6</v>
      </c>
      <c r="CP554" t="s">
        <v>119</v>
      </c>
      <c r="CQ554">
        <v>180</v>
      </c>
      <c r="CR554">
        <v>2</v>
      </c>
      <c r="CW554">
        <v>7882045</v>
      </c>
      <c r="CY554">
        <v>1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</row>
    <row r="555" spans="1:113" x14ac:dyDescent="0.3">
      <c r="A555" t="str">
        <f>"02/08/2021 20:14:16.786"</f>
        <v>02/08/2021 20:14:16.786</v>
      </c>
      <c r="C555" t="str">
        <f t="shared" si="26"/>
        <v>FFDFD7C0</v>
      </c>
      <c r="D555" t="s">
        <v>124</v>
      </c>
      <c r="E555">
        <v>13</v>
      </c>
      <c r="F555">
        <v>1013</v>
      </c>
      <c r="G555" t="s">
        <v>114</v>
      </c>
      <c r="J555" t="s">
        <v>125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>"20:14:19.141"</f>
        <v>20:14:19.141</v>
      </c>
      <c r="T555" t="str">
        <f>"20:14:18.641"</f>
        <v>20:14:18.641</v>
      </c>
      <c r="U555" t="str">
        <f t="shared" si="25"/>
        <v>AB01F4</v>
      </c>
      <c r="V555">
        <v>0</v>
      </c>
      <c r="W555">
        <v>0</v>
      </c>
      <c r="X555">
        <v>1</v>
      </c>
      <c r="Z555">
        <v>0</v>
      </c>
      <c r="AA555">
        <v>9</v>
      </c>
      <c r="AB555">
        <v>3</v>
      </c>
      <c r="AC555">
        <v>0</v>
      </c>
      <c r="AD555">
        <v>10</v>
      </c>
      <c r="AE555">
        <v>0</v>
      </c>
      <c r="AF555">
        <v>3</v>
      </c>
      <c r="AG555">
        <v>2</v>
      </c>
      <c r="AH555">
        <v>0</v>
      </c>
      <c r="AI555" t="s">
        <v>508</v>
      </c>
      <c r="AJ555">
        <v>39.590735000000002</v>
      </c>
      <c r="AK555" t="s">
        <v>509</v>
      </c>
      <c r="AL555">
        <v>-92.497780000000006</v>
      </c>
      <c r="AM555">
        <v>100</v>
      </c>
      <c r="AN555">
        <v>1900</v>
      </c>
      <c r="AO555" t="s">
        <v>118</v>
      </c>
      <c r="AP555">
        <v>-19</v>
      </c>
      <c r="AQ555">
        <v>137</v>
      </c>
      <c r="AR555">
        <v>-256</v>
      </c>
      <c r="AZ555">
        <v>1200</v>
      </c>
      <c r="BA555">
        <v>1</v>
      </c>
      <c r="BB555" t="str">
        <f t="shared" si="27"/>
        <v xml:space="preserve">N8080G  </v>
      </c>
      <c r="BC555">
        <v>1</v>
      </c>
      <c r="BE555">
        <v>0</v>
      </c>
      <c r="BF555">
        <v>0</v>
      </c>
      <c r="BG555">
        <v>0</v>
      </c>
      <c r="BH555">
        <v>1825</v>
      </c>
      <c r="BI555">
        <v>1</v>
      </c>
      <c r="BJ555">
        <v>1</v>
      </c>
      <c r="BK555">
        <v>1</v>
      </c>
      <c r="BL555">
        <v>0</v>
      </c>
      <c r="BO555">
        <v>0</v>
      </c>
      <c r="BP555">
        <v>0</v>
      </c>
      <c r="BW555" t="str">
        <f>"20:14:19.144"</f>
        <v>20:14:19.144</v>
      </c>
      <c r="BZ555">
        <v>0</v>
      </c>
      <c r="CA555">
        <v>2016</v>
      </c>
      <c r="CB555">
        <v>224</v>
      </c>
      <c r="CD555">
        <v>1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2</v>
      </c>
      <c r="CL555">
        <v>0</v>
      </c>
      <c r="CM555">
        <v>2</v>
      </c>
      <c r="CN555">
        <v>0</v>
      </c>
      <c r="CO555">
        <v>6</v>
      </c>
      <c r="CP555" t="s">
        <v>119</v>
      </c>
      <c r="CQ555">
        <v>180</v>
      </c>
      <c r="CR555">
        <v>2</v>
      </c>
      <c r="CW555">
        <v>7882045</v>
      </c>
      <c r="CY555">
        <v>1</v>
      </c>
      <c r="CZ555">
        <v>0</v>
      </c>
      <c r="DA555">
        <v>1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</row>
    <row r="556" spans="1:113" x14ac:dyDescent="0.3">
      <c r="A556" t="str">
        <f>"02/08/2021 20:14:16.786"</f>
        <v>02/08/2021 20:14:16.786</v>
      </c>
      <c r="C556" t="str">
        <f t="shared" si="26"/>
        <v>FFDFD7C0</v>
      </c>
      <c r="D556" t="s">
        <v>141</v>
      </c>
      <c r="E556">
        <v>17</v>
      </c>
      <c r="H556">
        <v>256</v>
      </c>
      <c r="I556" t="s">
        <v>142</v>
      </c>
      <c r="J556" t="s">
        <v>143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>"20:14:19.141"</f>
        <v>20:14:19.141</v>
      </c>
      <c r="T556" t="str">
        <f>"20:14:18.641"</f>
        <v>20:14:18.641</v>
      </c>
      <c r="U556" t="str">
        <f t="shared" si="25"/>
        <v>AB01F4</v>
      </c>
      <c r="V556">
        <v>0</v>
      </c>
      <c r="W556">
        <v>0</v>
      </c>
      <c r="X556">
        <v>1</v>
      </c>
      <c r="Z556">
        <v>0</v>
      </c>
      <c r="AA556">
        <v>9</v>
      </c>
      <c r="AB556">
        <v>3</v>
      </c>
      <c r="AC556">
        <v>0</v>
      </c>
      <c r="AD556">
        <v>10</v>
      </c>
      <c r="AE556">
        <v>0</v>
      </c>
      <c r="AF556">
        <v>3</v>
      </c>
      <c r="AG556">
        <v>2</v>
      </c>
      <c r="AH556">
        <v>0</v>
      </c>
      <c r="AI556" t="s">
        <v>508</v>
      </c>
      <c r="AJ556">
        <v>39.590735000000002</v>
      </c>
      <c r="AK556" t="s">
        <v>509</v>
      </c>
      <c r="AL556">
        <v>-92.497780000000006</v>
      </c>
      <c r="AM556">
        <v>100</v>
      </c>
      <c r="AN556">
        <v>1900</v>
      </c>
      <c r="AO556" t="s">
        <v>118</v>
      </c>
      <c r="AP556">
        <v>-19</v>
      </c>
      <c r="AQ556">
        <v>137</v>
      </c>
      <c r="AR556">
        <v>-256</v>
      </c>
      <c r="AZ556">
        <v>1200</v>
      </c>
      <c r="BA556">
        <v>1</v>
      </c>
      <c r="BB556" t="str">
        <f t="shared" si="27"/>
        <v xml:space="preserve">N8080G  </v>
      </c>
      <c r="BC556">
        <v>1</v>
      </c>
      <c r="BE556">
        <v>0</v>
      </c>
      <c r="BF556">
        <v>0</v>
      </c>
      <c r="BG556">
        <v>0</v>
      </c>
      <c r="BH556">
        <v>1825</v>
      </c>
      <c r="BI556">
        <v>1</v>
      </c>
      <c r="BJ556">
        <v>1</v>
      </c>
      <c r="BK556">
        <v>1</v>
      </c>
      <c r="BL556">
        <v>0</v>
      </c>
      <c r="BO556">
        <v>0</v>
      </c>
      <c r="BP556">
        <v>0</v>
      </c>
      <c r="BW556" t="str">
        <f>"20:14:19.144"</f>
        <v>20:14:19.144</v>
      </c>
      <c r="BZ556">
        <v>0</v>
      </c>
      <c r="CA556">
        <v>2016</v>
      </c>
      <c r="CB556">
        <v>224</v>
      </c>
      <c r="CD556">
        <v>1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2</v>
      </c>
      <c r="CL556">
        <v>0</v>
      </c>
      <c r="CM556">
        <v>2</v>
      </c>
      <c r="CN556">
        <v>0</v>
      </c>
      <c r="CO556">
        <v>5</v>
      </c>
      <c r="CP556" t="s">
        <v>119</v>
      </c>
      <c r="CQ556">
        <v>559</v>
      </c>
      <c r="CR556">
        <v>0</v>
      </c>
      <c r="CW556">
        <v>10413543</v>
      </c>
      <c r="CY556">
        <v>1</v>
      </c>
      <c r="CZ556">
        <v>0</v>
      </c>
      <c r="DA556">
        <v>1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</row>
    <row r="557" spans="1:113" x14ac:dyDescent="0.3">
      <c r="A557" t="str">
        <f>"02/08/2021 20:14:17.950"</f>
        <v>02/08/2021 20:14:17.950</v>
      </c>
      <c r="C557" t="str">
        <f t="shared" si="26"/>
        <v>FFDFD7C0</v>
      </c>
      <c r="D557" t="s">
        <v>113</v>
      </c>
      <c r="E557">
        <v>6</v>
      </c>
      <c r="H557">
        <v>165</v>
      </c>
      <c r="I557" t="s">
        <v>114</v>
      </c>
      <c r="J557" t="s">
        <v>115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>"20:14:20.258"</f>
        <v>20:14:20.258</v>
      </c>
      <c r="T557" t="str">
        <f>"20:14:19.758"</f>
        <v>20:14:19.758</v>
      </c>
      <c r="U557" t="str">
        <f t="shared" si="25"/>
        <v>AB01F4</v>
      </c>
      <c r="V557">
        <v>0</v>
      </c>
      <c r="W557">
        <v>0</v>
      </c>
      <c r="X557">
        <v>1</v>
      </c>
      <c r="Z557">
        <v>0</v>
      </c>
      <c r="AA557">
        <v>9</v>
      </c>
      <c r="AB557">
        <v>3</v>
      </c>
      <c r="AC557">
        <v>0</v>
      </c>
      <c r="AD557">
        <v>10</v>
      </c>
      <c r="AE557">
        <v>0</v>
      </c>
      <c r="AF557">
        <v>3</v>
      </c>
      <c r="AG557">
        <v>2</v>
      </c>
      <c r="AH557">
        <v>0</v>
      </c>
      <c r="AI557" t="s">
        <v>510</v>
      </c>
      <c r="AJ557">
        <v>39.591422000000001</v>
      </c>
      <c r="AK557" t="s">
        <v>511</v>
      </c>
      <c r="AL557">
        <v>-92.497930999999994</v>
      </c>
      <c r="AM557">
        <v>100</v>
      </c>
      <c r="AN557">
        <v>1900</v>
      </c>
      <c r="AO557" t="s">
        <v>118</v>
      </c>
      <c r="AP557">
        <v>-19</v>
      </c>
      <c r="AQ557">
        <v>137</v>
      </c>
      <c r="AR557">
        <v>-192</v>
      </c>
      <c r="AZ557">
        <v>1200</v>
      </c>
      <c r="BA557">
        <v>1</v>
      </c>
      <c r="BB557" t="str">
        <f t="shared" si="27"/>
        <v xml:space="preserve">N8080G  </v>
      </c>
      <c r="BC557">
        <v>1</v>
      </c>
      <c r="BE557">
        <v>0</v>
      </c>
      <c r="BF557">
        <v>0</v>
      </c>
      <c r="BG557">
        <v>0</v>
      </c>
      <c r="BH557">
        <v>1825</v>
      </c>
      <c r="BI557">
        <v>1</v>
      </c>
      <c r="BJ557">
        <v>1</v>
      </c>
      <c r="BK557">
        <v>1</v>
      </c>
      <c r="BL557">
        <v>0</v>
      </c>
      <c r="BO557">
        <v>0</v>
      </c>
      <c r="BP557">
        <v>0</v>
      </c>
      <c r="BW557" t="str">
        <f>"20:14:20.261"</f>
        <v>20:14:20.261</v>
      </c>
      <c r="BZ557">
        <v>0</v>
      </c>
      <c r="CA557">
        <v>2016</v>
      </c>
      <c r="CB557">
        <v>224</v>
      </c>
      <c r="CD557">
        <v>1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2</v>
      </c>
      <c r="CL557">
        <v>0</v>
      </c>
      <c r="CM557">
        <v>2</v>
      </c>
      <c r="CN557">
        <v>0</v>
      </c>
      <c r="CO557">
        <v>6</v>
      </c>
      <c r="CP557" t="s">
        <v>119</v>
      </c>
      <c r="CQ557">
        <v>180</v>
      </c>
      <c r="CR557">
        <v>1</v>
      </c>
      <c r="CW557">
        <v>10422859</v>
      </c>
      <c r="CY557">
        <v>1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</row>
    <row r="558" spans="1:113" x14ac:dyDescent="0.3">
      <c r="A558" t="str">
        <f>"02/08/2021 20:14:17.950"</f>
        <v>02/08/2021 20:14:17.950</v>
      </c>
      <c r="C558" t="str">
        <f t="shared" si="26"/>
        <v>FFDFD7C0</v>
      </c>
      <c r="D558" t="s">
        <v>141</v>
      </c>
      <c r="E558">
        <v>17</v>
      </c>
      <c r="H558">
        <v>256</v>
      </c>
      <c r="I558" t="s">
        <v>142</v>
      </c>
      <c r="J558" t="s">
        <v>143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>"20:14:20.258"</f>
        <v>20:14:20.258</v>
      </c>
      <c r="T558" t="str">
        <f>"20:14:19.758"</f>
        <v>20:14:19.758</v>
      </c>
      <c r="U558" t="str">
        <f t="shared" si="25"/>
        <v>AB01F4</v>
      </c>
      <c r="V558">
        <v>0</v>
      </c>
      <c r="W558">
        <v>0</v>
      </c>
      <c r="X558">
        <v>1</v>
      </c>
      <c r="Z558">
        <v>0</v>
      </c>
      <c r="AA558">
        <v>9</v>
      </c>
      <c r="AB558">
        <v>3</v>
      </c>
      <c r="AC558">
        <v>0</v>
      </c>
      <c r="AD558">
        <v>10</v>
      </c>
      <c r="AE558">
        <v>0</v>
      </c>
      <c r="AF558">
        <v>3</v>
      </c>
      <c r="AG558">
        <v>2</v>
      </c>
      <c r="AH558">
        <v>0</v>
      </c>
      <c r="AI558" t="s">
        <v>510</v>
      </c>
      <c r="AJ558">
        <v>39.591422000000001</v>
      </c>
      <c r="AK558" t="s">
        <v>511</v>
      </c>
      <c r="AL558">
        <v>-92.497930999999994</v>
      </c>
      <c r="AM558">
        <v>100</v>
      </c>
      <c r="AN558">
        <v>1900</v>
      </c>
      <c r="AO558" t="s">
        <v>118</v>
      </c>
      <c r="AP558">
        <v>-19</v>
      </c>
      <c r="AQ558">
        <v>137</v>
      </c>
      <c r="AR558">
        <v>-192</v>
      </c>
      <c r="AZ558">
        <v>1200</v>
      </c>
      <c r="BA558">
        <v>1</v>
      </c>
      <c r="BB558" t="str">
        <f t="shared" si="27"/>
        <v xml:space="preserve">N8080G  </v>
      </c>
      <c r="BC558">
        <v>1</v>
      </c>
      <c r="BE558">
        <v>0</v>
      </c>
      <c r="BF558">
        <v>0</v>
      </c>
      <c r="BG558">
        <v>0</v>
      </c>
      <c r="BH558">
        <v>1825</v>
      </c>
      <c r="BI558">
        <v>1</v>
      </c>
      <c r="BJ558">
        <v>1</v>
      </c>
      <c r="BK558">
        <v>1</v>
      </c>
      <c r="BL558">
        <v>0</v>
      </c>
      <c r="BO558">
        <v>0</v>
      </c>
      <c r="BP558">
        <v>0</v>
      </c>
      <c r="BW558" t="str">
        <f>"20:14:20.261"</f>
        <v>20:14:20.261</v>
      </c>
      <c r="BZ558">
        <v>0</v>
      </c>
      <c r="CA558">
        <v>2016</v>
      </c>
      <c r="CB558">
        <v>224</v>
      </c>
      <c r="CD558">
        <v>1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2</v>
      </c>
      <c r="CL558">
        <v>0</v>
      </c>
      <c r="CM558">
        <v>2</v>
      </c>
      <c r="CN558">
        <v>0</v>
      </c>
      <c r="CO558">
        <v>5</v>
      </c>
      <c r="CP558" t="s">
        <v>119</v>
      </c>
      <c r="CQ558">
        <v>559</v>
      </c>
      <c r="CR558">
        <v>0</v>
      </c>
      <c r="CW558">
        <v>10413715</v>
      </c>
      <c r="CY558">
        <v>1</v>
      </c>
      <c r="CZ558">
        <v>0</v>
      </c>
      <c r="DA558">
        <v>1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</row>
    <row r="559" spans="1:113" x14ac:dyDescent="0.3">
      <c r="A559" t="str">
        <f>"02/08/2021 20:14:17.950"</f>
        <v>02/08/2021 20:14:17.950</v>
      </c>
      <c r="C559" t="str">
        <f t="shared" si="26"/>
        <v>FFDFD7C0</v>
      </c>
      <c r="D559" t="s">
        <v>124</v>
      </c>
      <c r="E559">
        <v>13</v>
      </c>
      <c r="F559">
        <v>1013</v>
      </c>
      <c r="G559" t="s">
        <v>114</v>
      </c>
      <c r="J559" t="s">
        <v>125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>"20:14:20.258"</f>
        <v>20:14:20.258</v>
      </c>
      <c r="T559" t="str">
        <f>"20:14:19.758"</f>
        <v>20:14:19.758</v>
      </c>
      <c r="U559" t="str">
        <f t="shared" si="25"/>
        <v>AB01F4</v>
      </c>
      <c r="V559">
        <v>0</v>
      </c>
      <c r="W559">
        <v>0</v>
      </c>
      <c r="X559">
        <v>1</v>
      </c>
      <c r="Z559">
        <v>0</v>
      </c>
      <c r="AA559">
        <v>9</v>
      </c>
      <c r="AB559">
        <v>3</v>
      </c>
      <c r="AC559">
        <v>0</v>
      </c>
      <c r="AD559">
        <v>10</v>
      </c>
      <c r="AE559">
        <v>0</v>
      </c>
      <c r="AF559">
        <v>3</v>
      </c>
      <c r="AG559">
        <v>2</v>
      </c>
      <c r="AH559">
        <v>0</v>
      </c>
      <c r="AI559" t="s">
        <v>510</v>
      </c>
      <c r="AJ559">
        <v>39.591422000000001</v>
      </c>
      <c r="AK559" t="s">
        <v>511</v>
      </c>
      <c r="AL559">
        <v>-92.497930999999994</v>
      </c>
      <c r="AM559">
        <v>100</v>
      </c>
      <c r="AN559">
        <v>1900</v>
      </c>
      <c r="AO559" t="s">
        <v>118</v>
      </c>
      <c r="AP559">
        <v>-19</v>
      </c>
      <c r="AQ559">
        <v>137</v>
      </c>
      <c r="AR559">
        <v>-192</v>
      </c>
      <c r="AZ559">
        <v>1200</v>
      </c>
      <c r="BA559">
        <v>1</v>
      </c>
      <c r="BB559" t="str">
        <f t="shared" si="27"/>
        <v xml:space="preserve">N8080G  </v>
      </c>
      <c r="BC559">
        <v>1</v>
      </c>
      <c r="BE559">
        <v>0</v>
      </c>
      <c r="BF559">
        <v>0</v>
      </c>
      <c r="BG559">
        <v>0</v>
      </c>
      <c r="BH559">
        <v>1825</v>
      </c>
      <c r="BI559">
        <v>1</v>
      </c>
      <c r="BJ559">
        <v>1</v>
      </c>
      <c r="BK559">
        <v>1</v>
      </c>
      <c r="BL559">
        <v>0</v>
      </c>
      <c r="BO559">
        <v>0</v>
      </c>
      <c r="BP559">
        <v>0</v>
      </c>
      <c r="BW559" t="str">
        <f>"20:14:20.261"</f>
        <v>20:14:20.261</v>
      </c>
      <c r="BZ559">
        <v>0</v>
      </c>
      <c r="CA559">
        <v>2016</v>
      </c>
      <c r="CB559">
        <v>224</v>
      </c>
      <c r="CD559">
        <v>1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2</v>
      </c>
      <c r="CL559">
        <v>0</v>
      </c>
      <c r="CM559">
        <v>2</v>
      </c>
      <c r="CN559">
        <v>0</v>
      </c>
      <c r="CO559">
        <v>6</v>
      </c>
      <c r="CP559" t="s">
        <v>119</v>
      </c>
      <c r="CQ559">
        <v>180</v>
      </c>
      <c r="CR559">
        <v>1</v>
      </c>
      <c r="CW559">
        <v>10422859</v>
      </c>
      <c r="CY559">
        <v>1</v>
      </c>
      <c r="CZ559">
        <v>0</v>
      </c>
      <c r="DA559">
        <v>1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</row>
    <row r="560" spans="1:113" x14ac:dyDescent="0.3">
      <c r="A560" t="str">
        <f>"02/08/2021 20:14:19.114"</f>
        <v>02/08/2021 20:14:19.114</v>
      </c>
      <c r="C560" t="str">
        <f t="shared" si="26"/>
        <v>FFDFD7C0</v>
      </c>
      <c r="D560" t="s">
        <v>113</v>
      </c>
      <c r="E560">
        <v>6</v>
      </c>
      <c r="H560">
        <v>165</v>
      </c>
      <c r="I560" t="s">
        <v>114</v>
      </c>
      <c r="J560" t="s">
        <v>115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>"20:14:21.422"</f>
        <v>20:14:21.422</v>
      </c>
      <c r="T560" t="str">
        <f>"20:14:20.922"</f>
        <v>20:14:20.922</v>
      </c>
      <c r="U560" t="str">
        <f t="shared" si="25"/>
        <v>AB01F4</v>
      </c>
      <c r="V560">
        <v>0</v>
      </c>
      <c r="W560">
        <v>0</v>
      </c>
      <c r="X560">
        <v>1</v>
      </c>
      <c r="Z560">
        <v>0</v>
      </c>
      <c r="AA560">
        <v>9</v>
      </c>
      <c r="AB560">
        <v>3</v>
      </c>
      <c r="AC560">
        <v>0</v>
      </c>
      <c r="AD560">
        <v>10</v>
      </c>
      <c r="AE560">
        <v>0</v>
      </c>
      <c r="AF560">
        <v>3</v>
      </c>
      <c r="AG560">
        <v>2</v>
      </c>
      <c r="AH560">
        <v>0</v>
      </c>
      <c r="AI560" t="s">
        <v>512</v>
      </c>
      <c r="AJ560">
        <v>39.592216000000001</v>
      </c>
      <c r="AK560" t="s">
        <v>513</v>
      </c>
      <c r="AL560">
        <v>-92.498037999999994</v>
      </c>
      <c r="AM560">
        <v>100</v>
      </c>
      <c r="AN560">
        <v>1900</v>
      </c>
      <c r="AO560" t="s">
        <v>118</v>
      </c>
      <c r="AP560">
        <v>-19</v>
      </c>
      <c r="AQ560">
        <v>138</v>
      </c>
      <c r="AR560">
        <v>-128</v>
      </c>
      <c r="AZ560">
        <v>1200</v>
      </c>
      <c r="BA560">
        <v>1</v>
      </c>
      <c r="BB560" t="str">
        <f t="shared" si="27"/>
        <v xml:space="preserve">N8080G  </v>
      </c>
      <c r="BC560">
        <v>1</v>
      </c>
      <c r="BE560">
        <v>0</v>
      </c>
      <c r="BF560">
        <v>0</v>
      </c>
      <c r="BG560">
        <v>0</v>
      </c>
      <c r="BH560">
        <v>1825</v>
      </c>
      <c r="BI560">
        <v>1</v>
      </c>
      <c r="BJ560">
        <v>1</v>
      </c>
      <c r="BK560">
        <v>1</v>
      </c>
      <c r="BL560">
        <v>0</v>
      </c>
      <c r="BO560">
        <v>0</v>
      </c>
      <c r="BP560">
        <v>0</v>
      </c>
      <c r="BW560" t="str">
        <f>"20:14:21.426"</f>
        <v>20:14:21.426</v>
      </c>
      <c r="BZ560">
        <v>0</v>
      </c>
      <c r="CA560">
        <v>2016</v>
      </c>
      <c r="CB560">
        <v>224</v>
      </c>
      <c r="CD560">
        <v>1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2</v>
      </c>
      <c r="CL560">
        <v>0</v>
      </c>
      <c r="CM560">
        <v>2</v>
      </c>
      <c r="CN560">
        <v>0</v>
      </c>
      <c r="CO560">
        <v>6</v>
      </c>
      <c r="CP560" t="s">
        <v>119</v>
      </c>
      <c r="CQ560">
        <v>180</v>
      </c>
      <c r="CR560">
        <v>1</v>
      </c>
      <c r="CW560">
        <v>10423808</v>
      </c>
      <c r="CY560">
        <v>1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</row>
    <row r="561" spans="1:113" x14ac:dyDescent="0.3">
      <c r="A561" t="str">
        <f>"02/08/2021 20:14:19.114"</f>
        <v>02/08/2021 20:14:19.114</v>
      </c>
      <c r="C561" t="str">
        <f t="shared" si="26"/>
        <v>FFDFD7C0</v>
      </c>
      <c r="D561" t="s">
        <v>124</v>
      </c>
      <c r="E561">
        <v>13</v>
      </c>
      <c r="F561">
        <v>1013</v>
      </c>
      <c r="G561" t="s">
        <v>114</v>
      </c>
      <c r="J561" t="s">
        <v>125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>"20:14:21.422"</f>
        <v>20:14:21.422</v>
      </c>
      <c r="T561" t="str">
        <f>"20:14:20.922"</f>
        <v>20:14:20.922</v>
      </c>
      <c r="U561" t="str">
        <f t="shared" si="25"/>
        <v>AB01F4</v>
      </c>
      <c r="V561">
        <v>0</v>
      </c>
      <c r="W561">
        <v>0</v>
      </c>
      <c r="X561">
        <v>1</v>
      </c>
      <c r="Z561">
        <v>0</v>
      </c>
      <c r="AA561">
        <v>9</v>
      </c>
      <c r="AB561">
        <v>3</v>
      </c>
      <c r="AC561">
        <v>0</v>
      </c>
      <c r="AD561">
        <v>10</v>
      </c>
      <c r="AE561">
        <v>0</v>
      </c>
      <c r="AF561">
        <v>3</v>
      </c>
      <c r="AG561">
        <v>2</v>
      </c>
      <c r="AH561">
        <v>0</v>
      </c>
      <c r="AI561" t="s">
        <v>512</v>
      </c>
      <c r="AJ561">
        <v>39.592216000000001</v>
      </c>
      <c r="AK561" t="s">
        <v>513</v>
      </c>
      <c r="AL561">
        <v>-92.498037999999994</v>
      </c>
      <c r="AM561">
        <v>100</v>
      </c>
      <c r="AN561">
        <v>1900</v>
      </c>
      <c r="AO561" t="s">
        <v>118</v>
      </c>
      <c r="AP561">
        <v>-19</v>
      </c>
      <c r="AQ561">
        <v>138</v>
      </c>
      <c r="AR561">
        <v>-128</v>
      </c>
      <c r="AZ561">
        <v>1200</v>
      </c>
      <c r="BA561">
        <v>1</v>
      </c>
      <c r="BB561" t="str">
        <f t="shared" si="27"/>
        <v xml:space="preserve">N8080G  </v>
      </c>
      <c r="BC561">
        <v>1</v>
      </c>
      <c r="BE561">
        <v>0</v>
      </c>
      <c r="BF561">
        <v>0</v>
      </c>
      <c r="BG561">
        <v>0</v>
      </c>
      <c r="BH561">
        <v>1825</v>
      </c>
      <c r="BI561">
        <v>1</v>
      </c>
      <c r="BJ561">
        <v>1</v>
      </c>
      <c r="BK561">
        <v>1</v>
      </c>
      <c r="BL561">
        <v>0</v>
      </c>
      <c r="BO561">
        <v>0</v>
      </c>
      <c r="BP561">
        <v>0</v>
      </c>
      <c r="BW561" t="str">
        <f>"20:14:21.426"</f>
        <v>20:14:21.426</v>
      </c>
      <c r="BZ561">
        <v>0</v>
      </c>
      <c r="CA561">
        <v>2016</v>
      </c>
      <c r="CB561">
        <v>224</v>
      </c>
      <c r="CD561">
        <v>1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2</v>
      </c>
      <c r="CL561">
        <v>0</v>
      </c>
      <c r="CM561">
        <v>2</v>
      </c>
      <c r="CN561">
        <v>0</v>
      </c>
      <c r="CO561">
        <v>6</v>
      </c>
      <c r="CP561" t="s">
        <v>119</v>
      </c>
      <c r="CQ561">
        <v>180</v>
      </c>
      <c r="CR561">
        <v>1</v>
      </c>
      <c r="CW561">
        <v>10423808</v>
      </c>
      <c r="CY561">
        <v>1</v>
      </c>
      <c r="CZ561">
        <v>0</v>
      </c>
      <c r="DA561">
        <v>1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</row>
    <row r="562" spans="1:113" x14ac:dyDescent="0.3">
      <c r="A562" t="str">
        <f>"02/08/2021 20:14:19.114"</f>
        <v>02/08/2021 20:14:19.114</v>
      </c>
      <c r="C562" t="str">
        <f t="shared" si="26"/>
        <v>FFDFD7C0</v>
      </c>
      <c r="D562" t="s">
        <v>141</v>
      </c>
      <c r="E562">
        <v>17</v>
      </c>
      <c r="H562">
        <v>256</v>
      </c>
      <c r="I562" t="s">
        <v>142</v>
      </c>
      <c r="J562" t="s">
        <v>143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>"20:14:21.422"</f>
        <v>20:14:21.422</v>
      </c>
      <c r="T562" t="str">
        <f>"20:14:20.922"</f>
        <v>20:14:20.922</v>
      </c>
      <c r="U562" t="str">
        <f t="shared" si="25"/>
        <v>AB01F4</v>
      </c>
      <c r="V562">
        <v>0</v>
      </c>
      <c r="W562">
        <v>0</v>
      </c>
      <c r="X562">
        <v>1</v>
      </c>
      <c r="Z562">
        <v>0</v>
      </c>
      <c r="AA562">
        <v>9</v>
      </c>
      <c r="AB562">
        <v>3</v>
      </c>
      <c r="AC562">
        <v>0</v>
      </c>
      <c r="AD562">
        <v>10</v>
      </c>
      <c r="AE562">
        <v>0</v>
      </c>
      <c r="AF562">
        <v>3</v>
      </c>
      <c r="AG562">
        <v>2</v>
      </c>
      <c r="AH562">
        <v>0</v>
      </c>
      <c r="AI562" t="s">
        <v>512</v>
      </c>
      <c r="AJ562">
        <v>39.592216000000001</v>
      </c>
      <c r="AK562" t="s">
        <v>513</v>
      </c>
      <c r="AL562">
        <v>-92.498037999999994</v>
      </c>
      <c r="AM562">
        <v>100</v>
      </c>
      <c r="AN562">
        <v>1900</v>
      </c>
      <c r="AO562" t="s">
        <v>118</v>
      </c>
      <c r="AP562">
        <v>-19</v>
      </c>
      <c r="AQ562">
        <v>138</v>
      </c>
      <c r="AR562">
        <v>-128</v>
      </c>
      <c r="AZ562">
        <v>1200</v>
      </c>
      <c r="BA562">
        <v>1</v>
      </c>
      <c r="BB562" t="str">
        <f t="shared" si="27"/>
        <v xml:space="preserve">N8080G  </v>
      </c>
      <c r="BC562">
        <v>1</v>
      </c>
      <c r="BE562">
        <v>0</v>
      </c>
      <c r="BF562">
        <v>0</v>
      </c>
      <c r="BG562">
        <v>0</v>
      </c>
      <c r="BH562">
        <v>1825</v>
      </c>
      <c r="BI562">
        <v>1</v>
      </c>
      <c r="BJ562">
        <v>1</v>
      </c>
      <c r="BK562">
        <v>1</v>
      </c>
      <c r="BL562">
        <v>0</v>
      </c>
      <c r="BO562">
        <v>0</v>
      </c>
      <c r="BP562">
        <v>0</v>
      </c>
      <c r="BW562" t="str">
        <f>"20:14:21.426"</f>
        <v>20:14:21.426</v>
      </c>
      <c r="BZ562">
        <v>0</v>
      </c>
      <c r="CA562">
        <v>2016</v>
      </c>
      <c r="CB562">
        <v>224</v>
      </c>
      <c r="CD562">
        <v>1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2</v>
      </c>
      <c r="CL562">
        <v>0</v>
      </c>
      <c r="CM562">
        <v>2</v>
      </c>
      <c r="CN562">
        <v>0</v>
      </c>
      <c r="CO562">
        <v>5</v>
      </c>
      <c r="CP562" t="s">
        <v>119</v>
      </c>
      <c r="CQ562">
        <v>559</v>
      </c>
      <c r="CR562">
        <v>0</v>
      </c>
      <c r="CW562">
        <v>10413906</v>
      </c>
      <c r="CY562">
        <v>1</v>
      </c>
      <c r="CZ562">
        <v>0</v>
      </c>
      <c r="DA562">
        <v>1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</row>
    <row r="563" spans="1:113" x14ac:dyDescent="0.3">
      <c r="A563" t="str">
        <f>"02/08/2021 20:14:20.048"</f>
        <v>02/08/2021 20:14:20.048</v>
      </c>
      <c r="C563" t="str">
        <f t="shared" si="26"/>
        <v>FFDFD7C0</v>
      </c>
      <c r="D563" t="s">
        <v>141</v>
      </c>
      <c r="E563">
        <v>17</v>
      </c>
      <c r="H563">
        <v>256</v>
      </c>
      <c r="I563" t="s">
        <v>142</v>
      </c>
      <c r="J563" t="s">
        <v>143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>"20:14:22.367"</f>
        <v>20:14:22.367</v>
      </c>
      <c r="T563" t="str">
        <f>"20:14:21.867"</f>
        <v>20:14:21.867</v>
      </c>
      <c r="U563" t="str">
        <f t="shared" si="25"/>
        <v>AB01F4</v>
      </c>
      <c r="V563">
        <v>0</v>
      </c>
      <c r="W563">
        <v>0</v>
      </c>
      <c r="X563">
        <v>1</v>
      </c>
      <c r="Z563">
        <v>0</v>
      </c>
      <c r="AA563">
        <v>9</v>
      </c>
      <c r="AB563">
        <v>3</v>
      </c>
      <c r="AC563">
        <v>0</v>
      </c>
      <c r="AD563">
        <v>10</v>
      </c>
      <c r="AE563">
        <v>0</v>
      </c>
      <c r="AF563">
        <v>3</v>
      </c>
      <c r="AG563">
        <v>2</v>
      </c>
      <c r="AH563">
        <v>0</v>
      </c>
      <c r="AI563" t="s">
        <v>514</v>
      </c>
      <c r="AJ563">
        <v>39.592751999999997</v>
      </c>
      <c r="AK563" t="s">
        <v>515</v>
      </c>
      <c r="AL563">
        <v>-92.498144999999994</v>
      </c>
      <c r="AM563">
        <v>100</v>
      </c>
      <c r="AN563">
        <v>1900</v>
      </c>
      <c r="AO563" t="s">
        <v>118</v>
      </c>
      <c r="AP563">
        <v>-18</v>
      </c>
      <c r="AQ563">
        <v>138</v>
      </c>
      <c r="AR563">
        <v>-128</v>
      </c>
      <c r="AZ563">
        <v>1200</v>
      </c>
      <c r="BA563">
        <v>1</v>
      </c>
      <c r="BB563" t="str">
        <f t="shared" si="27"/>
        <v xml:space="preserve">N8080G  </v>
      </c>
      <c r="BC563">
        <v>1</v>
      </c>
      <c r="BE563">
        <v>0</v>
      </c>
      <c r="BF563">
        <v>0</v>
      </c>
      <c r="BG563">
        <v>0</v>
      </c>
      <c r="BH563">
        <v>1825</v>
      </c>
      <c r="BI563">
        <v>1</v>
      </c>
      <c r="BJ563">
        <v>1</v>
      </c>
      <c r="BK563">
        <v>1</v>
      </c>
      <c r="BL563">
        <v>0</v>
      </c>
      <c r="BO563">
        <v>0</v>
      </c>
      <c r="BP563">
        <v>0</v>
      </c>
      <c r="BW563" t="str">
        <f>"20:14:22.368"</f>
        <v>20:14:22.368</v>
      </c>
      <c r="BZ563">
        <v>0</v>
      </c>
      <c r="CA563">
        <v>2016</v>
      </c>
      <c r="CB563">
        <v>224</v>
      </c>
      <c r="CD563">
        <v>1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2</v>
      </c>
      <c r="CL563">
        <v>0</v>
      </c>
      <c r="CM563">
        <v>2</v>
      </c>
      <c r="CN563">
        <v>0</v>
      </c>
      <c r="CO563">
        <v>5</v>
      </c>
      <c r="CP563" t="s">
        <v>119</v>
      </c>
      <c r="CQ563">
        <v>559</v>
      </c>
      <c r="CR563">
        <v>0</v>
      </c>
      <c r="CW563">
        <v>10414070</v>
      </c>
      <c r="CY563">
        <v>1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</row>
    <row r="564" spans="1:113" x14ac:dyDescent="0.3">
      <c r="A564" t="str">
        <f>"02/08/2021 20:14:20.048"</f>
        <v>02/08/2021 20:14:20.048</v>
      </c>
      <c r="C564" t="str">
        <f t="shared" si="26"/>
        <v>FFDFD7C0</v>
      </c>
      <c r="D564" t="s">
        <v>113</v>
      </c>
      <c r="E564">
        <v>6</v>
      </c>
      <c r="H564">
        <v>165</v>
      </c>
      <c r="I564" t="s">
        <v>114</v>
      </c>
      <c r="J564" t="s">
        <v>115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>"20:14:22.367"</f>
        <v>20:14:22.367</v>
      </c>
      <c r="T564" t="str">
        <f>"20:14:21.867"</f>
        <v>20:14:21.867</v>
      </c>
      <c r="U564" t="str">
        <f t="shared" si="25"/>
        <v>AB01F4</v>
      </c>
      <c r="V564">
        <v>0</v>
      </c>
      <c r="W564">
        <v>0</v>
      </c>
      <c r="X564">
        <v>1</v>
      </c>
      <c r="Z564">
        <v>0</v>
      </c>
      <c r="AA564">
        <v>9</v>
      </c>
      <c r="AB564">
        <v>3</v>
      </c>
      <c r="AC564">
        <v>0</v>
      </c>
      <c r="AD564">
        <v>10</v>
      </c>
      <c r="AE564">
        <v>0</v>
      </c>
      <c r="AF564">
        <v>3</v>
      </c>
      <c r="AG564">
        <v>2</v>
      </c>
      <c r="AH564">
        <v>0</v>
      </c>
      <c r="AI564" t="s">
        <v>514</v>
      </c>
      <c r="AJ564">
        <v>39.592751999999997</v>
      </c>
      <c r="AK564" t="s">
        <v>515</v>
      </c>
      <c r="AL564">
        <v>-92.498144999999994</v>
      </c>
      <c r="AM564">
        <v>100</v>
      </c>
      <c r="AN564">
        <v>1900</v>
      </c>
      <c r="AO564" t="s">
        <v>118</v>
      </c>
      <c r="AP564">
        <v>-18</v>
      </c>
      <c r="AQ564">
        <v>138</v>
      </c>
      <c r="AR564">
        <v>-128</v>
      </c>
      <c r="AZ564">
        <v>1200</v>
      </c>
      <c r="BA564">
        <v>1</v>
      </c>
      <c r="BB564" t="str">
        <f t="shared" si="27"/>
        <v xml:space="preserve">N8080G  </v>
      </c>
      <c r="BC564">
        <v>1</v>
      </c>
      <c r="BE564">
        <v>0</v>
      </c>
      <c r="BF564">
        <v>0</v>
      </c>
      <c r="BG564">
        <v>0</v>
      </c>
      <c r="BH564">
        <v>1825</v>
      </c>
      <c r="BI564">
        <v>1</v>
      </c>
      <c r="BJ564">
        <v>1</v>
      </c>
      <c r="BK564">
        <v>1</v>
      </c>
      <c r="BL564">
        <v>0</v>
      </c>
      <c r="BO564">
        <v>0</v>
      </c>
      <c r="BP564">
        <v>0</v>
      </c>
      <c r="BW564" t="str">
        <f>"20:14:22.368"</f>
        <v>20:14:22.368</v>
      </c>
      <c r="BZ564">
        <v>0</v>
      </c>
      <c r="CA564">
        <v>2016</v>
      </c>
      <c r="CB564">
        <v>224</v>
      </c>
      <c r="CD564">
        <v>1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2</v>
      </c>
      <c r="CL564">
        <v>0</v>
      </c>
      <c r="CM564">
        <v>2</v>
      </c>
      <c r="CN564">
        <v>0</v>
      </c>
      <c r="CO564">
        <v>5</v>
      </c>
      <c r="CP564" t="s">
        <v>119</v>
      </c>
      <c r="CQ564">
        <v>559</v>
      </c>
      <c r="CR564">
        <v>0</v>
      </c>
      <c r="CW564">
        <v>10414070</v>
      </c>
      <c r="CY564">
        <v>1</v>
      </c>
      <c r="CZ564">
        <v>0</v>
      </c>
      <c r="DA564">
        <v>1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</row>
    <row r="565" spans="1:113" x14ac:dyDescent="0.3">
      <c r="A565" t="str">
        <f>"02/08/2021 20:14:20.048"</f>
        <v>02/08/2021 20:14:20.048</v>
      </c>
      <c r="C565" t="str">
        <f t="shared" si="26"/>
        <v>FFDFD7C0</v>
      </c>
      <c r="D565" t="s">
        <v>124</v>
      </c>
      <c r="E565">
        <v>13</v>
      </c>
      <c r="F565">
        <v>1013</v>
      </c>
      <c r="G565" t="s">
        <v>114</v>
      </c>
      <c r="J565" t="s">
        <v>125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>"20:14:22.367"</f>
        <v>20:14:22.367</v>
      </c>
      <c r="T565" t="str">
        <f>"20:14:21.867"</f>
        <v>20:14:21.867</v>
      </c>
      <c r="U565" t="str">
        <f t="shared" si="25"/>
        <v>AB01F4</v>
      </c>
      <c r="V565">
        <v>0</v>
      </c>
      <c r="W565">
        <v>0</v>
      </c>
      <c r="X565">
        <v>1</v>
      </c>
      <c r="Z565">
        <v>0</v>
      </c>
      <c r="AA565">
        <v>9</v>
      </c>
      <c r="AB565">
        <v>3</v>
      </c>
      <c r="AC565">
        <v>0</v>
      </c>
      <c r="AD565">
        <v>10</v>
      </c>
      <c r="AE565">
        <v>0</v>
      </c>
      <c r="AF565">
        <v>3</v>
      </c>
      <c r="AG565">
        <v>2</v>
      </c>
      <c r="AH565">
        <v>0</v>
      </c>
      <c r="AI565" t="s">
        <v>514</v>
      </c>
      <c r="AJ565">
        <v>39.592751999999997</v>
      </c>
      <c r="AK565" t="s">
        <v>515</v>
      </c>
      <c r="AL565">
        <v>-92.498144999999994</v>
      </c>
      <c r="AM565">
        <v>100</v>
      </c>
      <c r="AN565">
        <v>1900</v>
      </c>
      <c r="AO565" t="s">
        <v>118</v>
      </c>
      <c r="AP565">
        <v>-18</v>
      </c>
      <c r="AQ565">
        <v>138</v>
      </c>
      <c r="AR565">
        <v>-128</v>
      </c>
      <c r="AZ565">
        <v>1200</v>
      </c>
      <c r="BA565">
        <v>1</v>
      </c>
      <c r="BB565" t="str">
        <f t="shared" si="27"/>
        <v xml:space="preserve">N8080G  </v>
      </c>
      <c r="BC565">
        <v>1</v>
      </c>
      <c r="BE565">
        <v>0</v>
      </c>
      <c r="BF565">
        <v>0</v>
      </c>
      <c r="BG565">
        <v>0</v>
      </c>
      <c r="BH565">
        <v>1825</v>
      </c>
      <c r="BI565">
        <v>1</v>
      </c>
      <c r="BJ565">
        <v>1</v>
      </c>
      <c r="BK565">
        <v>1</v>
      </c>
      <c r="BL565">
        <v>0</v>
      </c>
      <c r="BO565">
        <v>0</v>
      </c>
      <c r="BP565">
        <v>0</v>
      </c>
      <c r="BW565" t="str">
        <f>"20:14:22.368"</f>
        <v>20:14:22.368</v>
      </c>
      <c r="BZ565">
        <v>0</v>
      </c>
      <c r="CA565">
        <v>2016</v>
      </c>
      <c r="CB565">
        <v>224</v>
      </c>
      <c r="CD565">
        <v>1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2</v>
      </c>
      <c r="CL565">
        <v>0</v>
      </c>
      <c r="CM565">
        <v>2</v>
      </c>
      <c r="CN565">
        <v>0</v>
      </c>
      <c r="CO565">
        <v>5</v>
      </c>
      <c r="CP565" t="s">
        <v>119</v>
      </c>
      <c r="CQ565">
        <v>559</v>
      </c>
      <c r="CR565">
        <v>0</v>
      </c>
      <c r="CW565">
        <v>10414070</v>
      </c>
      <c r="CY565">
        <v>1</v>
      </c>
      <c r="CZ565">
        <v>0</v>
      </c>
      <c r="DA565">
        <v>1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</row>
    <row r="566" spans="1:113" x14ac:dyDescent="0.3">
      <c r="A566" t="str">
        <f>"02/08/2021 20:14:21.082"</f>
        <v>02/08/2021 20:14:21.082</v>
      </c>
      <c r="C566" t="str">
        <f t="shared" si="26"/>
        <v>FFDFD7C0</v>
      </c>
      <c r="D566" t="s">
        <v>124</v>
      </c>
      <c r="E566">
        <v>13</v>
      </c>
      <c r="F566">
        <v>1013</v>
      </c>
      <c r="G566" t="s">
        <v>114</v>
      </c>
      <c r="J566" t="s">
        <v>125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>"20:14:23.445"</f>
        <v>20:14:23.445</v>
      </c>
      <c r="T566" t="str">
        <f>"20:14:22.945"</f>
        <v>20:14:22.945</v>
      </c>
      <c r="U566" t="str">
        <f t="shared" si="25"/>
        <v>AB01F4</v>
      </c>
      <c r="V566">
        <v>0</v>
      </c>
      <c r="W566">
        <v>0</v>
      </c>
      <c r="X566">
        <v>1</v>
      </c>
      <c r="Z566">
        <v>0</v>
      </c>
      <c r="AA566">
        <v>9</v>
      </c>
      <c r="AB566">
        <v>3</v>
      </c>
      <c r="AC566">
        <v>0</v>
      </c>
      <c r="AD566">
        <v>10</v>
      </c>
      <c r="AE566">
        <v>0</v>
      </c>
      <c r="AF566">
        <v>3</v>
      </c>
      <c r="AG566">
        <v>2</v>
      </c>
      <c r="AH566">
        <v>0</v>
      </c>
      <c r="AI566" t="s">
        <v>516</v>
      </c>
      <c r="AJ566">
        <v>39.593460999999998</v>
      </c>
      <c r="AK566" t="s">
        <v>517</v>
      </c>
      <c r="AL566">
        <v>-92.498294999999999</v>
      </c>
      <c r="AM566">
        <v>100</v>
      </c>
      <c r="AN566">
        <v>1900</v>
      </c>
      <c r="AO566" t="s">
        <v>118</v>
      </c>
      <c r="AP566">
        <v>-17</v>
      </c>
      <c r="AQ566">
        <v>138</v>
      </c>
      <c r="AR566">
        <v>-128</v>
      </c>
      <c r="AZ566">
        <v>1200</v>
      </c>
      <c r="BA566">
        <v>1</v>
      </c>
      <c r="BB566" t="str">
        <f t="shared" si="27"/>
        <v xml:space="preserve">N8080G  </v>
      </c>
      <c r="BC566">
        <v>1</v>
      </c>
      <c r="BE566">
        <v>0</v>
      </c>
      <c r="BF566">
        <v>0</v>
      </c>
      <c r="BG566">
        <v>0</v>
      </c>
      <c r="BH566">
        <v>1825</v>
      </c>
      <c r="BI566">
        <v>1</v>
      </c>
      <c r="BJ566">
        <v>1</v>
      </c>
      <c r="BK566">
        <v>1</v>
      </c>
      <c r="BL566">
        <v>0</v>
      </c>
      <c r="BO566">
        <v>0</v>
      </c>
      <c r="BP566">
        <v>0</v>
      </c>
      <c r="BW566" t="str">
        <f>"20:14:23.451"</f>
        <v>20:14:23.451</v>
      </c>
      <c r="BZ566">
        <v>0</v>
      </c>
      <c r="CA566">
        <v>2016</v>
      </c>
      <c r="CB566">
        <v>224</v>
      </c>
      <c r="CD566">
        <v>1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2</v>
      </c>
      <c r="CL566">
        <v>0</v>
      </c>
      <c r="CM566">
        <v>2</v>
      </c>
      <c r="CN566">
        <v>0</v>
      </c>
      <c r="CO566">
        <v>5</v>
      </c>
      <c r="CP566" t="s">
        <v>119</v>
      </c>
      <c r="CQ566">
        <v>559</v>
      </c>
      <c r="CR566">
        <v>0</v>
      </c>
      <c r="CW566">
        <v>10414245</v>
      </c>
      <c r="CY566">
        <v>1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</row>
    <row r="567" spans="1:113" x14ac:dyDescent="0.3">
      <c r="A567" t="str">
        <f>"02/08/2021 20:14:21.082"</f>
        <v>02/08/2021 20:14:21.082</v>
      </c>
      <c r="C567" t="str">
        <f t="shared" si="26"/>
        <v>FFDFD7C0</v>
      </c>
      <c r="D567" t="s">
        <v>113</v>
      </c>
      <c r="E567">
        <v>6</v>
      </c>
      <c r="H567">
        <v>165</v>
      </c>
      <c r="I567" t="s">
        <v>114</v>
      </c>
      <c r="J567" t="s">
        <v>115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>"20:14:23.445"</f>
        <v>20:14:23.445</v>
      </c>
      <c r="T567" t="str">
        <f>"20:14:22.945"</f>
        <v>20:14:22.945</v>
      </c>
      <c r="U567" t="str">
        <f t="shared" si="25"/>
        <v>AB01F4</v>
      </c>
      <c r="V567">
        <v>0</v>
      </c>
      <c r="W567">
        <v>0</v>
      </c>
      <c r="X567">
        <v>1</v>
      </c>
      <c r="Z567">
        <v>0</v>
      </c>
      <c r="AA567">
        <v>9</v>
      </c>
      <c r="AB567">
        <v>3</v>
      </c>
      <c r="AC567">
        <v>0</v>
      </c>
      <c r="AD567">
        <v>10</v>
      </c>
      <c r="AE567">
        <v>0</v>
      </c>
      <c r="AF567">
        <v>3</v>
      </c>
      <c r="AG567">
        <v>2</v>
      </c>
      <c r="AH567">
        <v>0</v>
      </c>
      <c r="AI567" t="s">
        <v>516</v>
      </c>
      <c r="AJ567">
        <v>39.593460999999998</v>
      </c>
      <c r="AK567" t="s">
        <v>517</v>
      </c>
      <c r="AL567">
        <v>-92.498294999999999</v>
      </c>
      <c r="AM567">
        <v>100</v>
      </c>
      <c r="AN567">
        <v>1900</v>
      </c>
      <c r="AO567" t="s">
        <v>118</v>
      </c>
      <c r="AP567">
        <v>-17</v>
      </c>
      <c r="AQ567">
        <v>138</v>
      </c>
      <c r="AR567">
        <v>-128</v>
      </c>
      <c r="AZ567">
        <v>1200</v>
      </c>
      <c r="BA567">
        <v>1</v>
      </c>
      <c r="BB567" t="str">
        <f t="shared" si="27"/>
        <v xml:space="preserve">N8080G  </v>
      </c>
      <c r="BC567">
        <v>1</v>
      </c>
      <c r="BE567">
        <v>0</v>
      </c>
      <c r="BF567">
        <v>0</v>
      </c>
      <c r="BG567">
        <v>0</v>
      </c>
      <c r="BH567">
        <v>1825</v>
      </c>
      <c r="BI567">
        <v>1</v>
      </c>
      <c r="BJ567">
        <v>1</v>
      </c>
      <c r="BK567">
        <v>1</v>
      </c>
      <c r="BL567">
        <v>0</v>
      </c>
      <c r="BO567">
        <v>0</v>
      </c>
      <c r="BP567">
        <v>0</v>
      </c>
      <c r="BW567" t="str">
        <f>"20:14:23.451"</f>
        <v>20:14:23.451</v>
      </c>
      <c r="BZ567">
        <v>0</v>
      </c>
      <c r="CA567">
        <v>2016</v>
      </c>
      <c r="CB567">
        <v>224</v>
      </c>
      <c r="CD567">
        <v>1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2</v>
      </c>
      <c r="CL567">
        <v>0</v>
      </c>
      <c r="CM567">
        <v>2</v>
      </c>
      <c r="CN567">
        <v>0</v>
      </c>
      <c r="CO567">
        <v>5</v>
      </c>
      <c r="CP567" t="s">
        <v>119</v>
      </c>
      <c r="CQ567">
        <v>559</v>
      </c>
      <c r="CR567">
        <v>0</v>
      </c>
      <c r="CW567">
        <v>10414245</v>
      </c>
      <c r="CY567">
        <v>1</v>
      </c>
      <c r="CZ567">
        <v>0</v>
      </c>
      <c r="DA567">
        <v>1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</row>
    <row r="568" spans="1:113" x14ac:dyDescent="0.3">
      <c r="A568" t="str">
        <f>"02/08/2021 20:14:21.082"</f>
        <v>02/08/2021 20:14:21.082</v>
      </c>
      <c r="C568" t="str">
        <f t="shared" si="26"/>
        <v>FFDFD7C0</v>
      </c>
      <c r="D568" t="s">
        <v>141</v>
      </c>
      <c r="E568">
        <v>17</v>
      </c>
      <c r="H568">
        <v>256</v>
      </c>
      <c r="I568" t="s">
        <v>142</v>
      </c>
      <c r="J568" t="s">
        <v>143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>"20:14:23.445"</f>
        <v>20:14:23.445</v>
      </c>
      <c r="T568" t="str">
        <f>"20:14:22.945"</f>
        <v>20:14:22.945</v>
      </c>
      <c r="U568" t="str">
        <f t="shared" si="25"/>
        <v>AB01F4</v>
      </c>
      <c r="V568">
        <v>0</v>
      </c>
      <c r="W568">
        <v>0</v>
      </c>
      <c r="X568">
        <v>1</v>
      </c>
      <c r="Z568">
        <v>0</v>
      </c>
      <c r="AA568">
        <v>9</v>
      </c>
      <c r="AB568">
        <v>3</v>
      </c>
      <c r="AC568">
        <v>0</v>
      </c>
      <c r="AD568">
        <v>10</v>
      </c>
      <c r="AE568">
        <v>0</v>
      </c>
      <c r="AF568">
        <v>3</v>
      </c>
      <c r="AG568">
        <v>2</v>
      </c>
      <c r="AH568">
        <v>0</v>
      </c>
      <c r="AI568" t="s">
        <v>516</v>
      </c>
      <c r="AJ568">
        <v>39.593460999999998</v>
      </c>
      <c r="AK568" t="s">
        <v>517</v>
      </c>
      <c r="AL568">
        <v>-92.498294999999999</v>
      </c>
      <c r="AM568">
        <v>100</v>
      </c>
      <c r="AN568">
        <v>1900</v>
      </c>
      <c r="AO568" t="s">
        <v>118</v>
      </c>
      <c r="AP568">
        <v>-17</v>
      </c>
      <c r="AQ568">
        <v>138</v>
      </c>
      <c r="AR568">
        <v>-128</v>
      </c>
      <c r="AZ568">
        <v>1200</v>
      </c>
      <c r="BA568">
        <v>1</v>
      </c>
      <c r="BB568" t="str">
        <f t="shared" si="27"/>
        <v xml:space="preserve">N8080G  </v>
      </c>
      <c r="BC568">
        <v>1</v>
      </c>
      <c r="BE568">
        <v>0</v>
      </c>
      <c r="BF568">
        <v>0</v>
      </c>
      <c r="BG568">
        <v>0</v>
      </c>
      <c r="BH568">
        <v>1825</v>
      </c>
      <c r="BI568">
        <v>1</v>
      </c>
      <c r="BJ568">
        <v>1</v>
      </c>
      <c r="BK568">
        <v>1</v>
      </c>
      <c r="BL568">
        <v>0</v>
      </c>
      <c r="BO568">
        <v>0</v>
      </c>
      <c r="BP568">
        <v>0</v>
      </c>
      <c r="BW568" t="str">
        <f>"20:14:23.451"</f>
        <v>20:14:23.451</v>
      </c>
      <c r="BZ568">
        <v>0</v>
      </c>
      <c r="CA568">
        <v>2016</v>
      </c>
      <c r="CB568">
        <v>224</v>
      </c>
      <c r="CD568">
        <v>1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2</v>
      </c>
      <c r="CL568">
        <v>0</v>
      </c>
      <c r="CM568">
        <v>2</v>
      </c>
      <c r="CN568">
        <v>0</v>
      </c>
      <c r="CO568">
        <v>5</v>
      </c>
      <c r="CP568" t="s">
        <v>119</v>
      </c>
      <c r="CQ568">
        <v>559</v>
      </c>
      <c r="CR568">
        <v>0</v>
      </c>
      <c r="CW568">
        <v>10414245</v>
      </c>
      <c r="CY568">
        <v>1</v>
      </c>
      <c r="CZ568">
        <v>0</v>
      </c>
      <c r="DA568">
        <v>1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</row>
    <row r="569" spans="1:113" x14ac:dyDescent="0.3">
      <c r="A569" t="str">
        <f>"02/08/2021 20:14:21.914"</f>
        <v>02/08/2021 20:14:21.914</v>
      </c>
      <c r="C569" t="str">
        <f t="shared" si="26"/>
        <v>FFDFD7C0</v>
      </c>
      <c r="D569" t="s">
        <v>141</v>
      </c>
      <c r="E569">
        <v>17</v>
      </c>
      <c r="H569">
        <v>256</v>
      </c>
      <c r="I569" t="s">
        <v>142</v>
      </c>
      <c r="J569" t="s">
        <v>143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>"20:14:24.266"</f>
        <v>20:14:24.266</v>
      </c>
      <c r="U569" t="str">
        <f t="shared" si="25"/>
        <v>AB01F4</v>
      </c>
      <c r="V569">
        <v>0</v>
      </c>
      <c r="W569">
        <v>0</v>
      </c>
      <c r="X569">
        <v>1</v>
      </c>
      <c r="Z569">
        <v>0</v>
      </c>
      <c r="AA569">
        <v>9</v>
      </c>
      <c r="AB569">
        <v>3</v>
      </c>
      <c r="AC569">
        <v>0</v>
      </c>
      <c r="AD569">
        <v>10</v>
      </c>
      <c r="AE569">
        <v>0</v>
      </c>
      <c r="AF569">
        <v>3</v>
      </c>
      <c r="AG569">
        <v>2</v>
      </c>
      <c r="AH569">
        <v>0</v>
      </c>
      <c r="AI569" t="s">
        <v>518</v>
      </c>
      <c r="AJ569">
        <v>39.593975999999998</v>
      </c>
      <c r="AK569" t="s">
        <v>519</v>
      </c>
      <c r="AL569">
        <v>-92.498360000000005</v>
      </c>
      <c r="AM569">
        <v>100</v>
      </c>
      <c r="AN569">
        <v>1900</v>
      </c>
      <c r="AO569" t="s">
        <v>118</v>
      </c>
      <c r="AP569">
        <v>-16</v>
      </c>
      <c r="AQ569">
        <v>138</v>
      </c>
      <c r="AR569">
        <v>-128</v>
      </c>
      <c r="AZ569">
        <v>1200</v>
      </c>
      <c r="BA569">
        <v>1</v>
      </c>
      <c r="BB569" t="str">
        <f t="shared" si="27"/>
        <v xml:space="preserve">N8080G  </v>
      </c>
      <c r="BC569">
        <v>1</v>
      </c>
      <c r="BE569">
        <v>0</v>
      </c>
      <c r="BF569">
        <v>0</v>
      </c>
      <c r="BG569">
        <v>0</v>
      </c>
      <c r="BH569">
        <v>1800</v>
      </c>
      <c r="BI569">
        <v>1</v>
      </c>
      <c r="BJ569">
        <v>1</v>
      </c>
      <c r="BK569">
        <v>1</v>
      </c>
      <c r="BL569">
        <v>0</v>
      </c>
      <c r="BO569">
        <v>0</v>
      </c>
      <c r="BP569">
        <v>0</v>
      </c>
      <c r="BW569" t="str">
        <f>"20:14:24.272"</f>
        <v>20:14:24.272</v>
      </c>
      <c r="BZ569">
        <v>0</v>
      </c>
      <c r="CA569">
        <v>2016</v>
      </c>
      <c r="CB569">
        <v>224</v>
      </c>
      <c r="CD569">
        <v>1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2</v>
      </c>
      <c r="CL569">
        <v>0</v>
      </c>
      <c r="CM569">
        <v>2</v>
      </c>
      <c r="CN569">
        <v>0</v>
      </c>
      <c r="CO569">
        <v>5</v>
      </c>
      <c r="CP569" t="s">
        <v>119</v>
      </c>
      <c r="CQ569">
        <v>559</v>
      </c>
      <c r="CR569">
        <v>0</v>
      </c>
      <c r="CW569">
        <v>10414390</v>
      </c>
      <c r="CY569">
        <v>1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</row>
    <row r="570" spans="1:113" x14ac:dyDescent="0.3">
      <c r="A570" t="str">
        <f>"02/08/2021 20:14:21.914"</f>
        <v>02/08/2021 20:14:21.914</v>
      </c>
      <c r="C570" t="str">
        <f t="shared" si="26"/>
        <v>FFDFD7C0</v>
      </c>
      <c r="D570" t="s">
        <v>124</v>
      </c>
      <c r="E570">
        <v>13</v>
      </c>
      <c r="F570">
        <v>1013</v>
      </c>
      <c r="G570" t="s">
        <v>114</v>
      </c>
      <c r="J570" t="s">
        <v>125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>"20:14:24.266"</f>
        <v>20:14:24.266</v>
      </c>
      <c r="U570" t="str">
        <f t="shared" si="25"/>
        <v>AB01F4</v>
      </c>
      <c r="V570">
        <v>0</v>
      </c>
      <c r="W570">
        <v>0</v>
      </c>
      <c r="X570">
        <v>1</v>
      </c>
      <c r="Z570">
        <v>0</v>
      </c>
      <c r="AA570">
        <v>9</v>
      </c>
      <c r="AB570">
        <v>3</v>
      </c>
      <c r="AC570">
        <v>0</v>
      </c>
      <c r="AD570">
        <v>10</v>
      </c>
      <c r="AE570">
        <v>0</v>
      </c>
      <c r="AF570">
        <v>3</v>
      </c>
      <c r="AG570">
        <v>2</v>
      </c>
      <c r="AH570">
        <v>0</v>
      </c>
      <c r="AI570" t="s">
        <v>518</v>
      </c>
      <c r="AJ570">
        <v>39.593975999999998</v>
      </c>
      <c r="AK570" t="s">
        <v>519</v>
      </c>
      <c r="AL570">
        <v>-92.498360000000005</v>
      </c>
      <c r="AM570">
        <v>100</v>
      </c>
      <c r="AN570">
        <v>1900</v>
      </c>
      <c r="AO570" t="s">
        <v>118</v>
      </c>
      <c r="AP570">
        <v>-16</v>
      </c>
      <c r="AQ570">
        <v>138</v>
      </c>
      <c r="AR570">
        <v>-128</v>
      </c>
      <c r="AZ570">
        <v>1200</v>
      </c>
      <c r="BA570">
        <v>1</v>
      </c>
      <c r="BB570" t="str">
        <f t="shared" si="27"/>
        <v xml:space="preserve">N8080G  </v>
      </c>
      <c r="BC570">
        <v>1</v>
      </c>
      <c r="BE570">
        <v>0</v>
      </c>
      <c r="BF570">
        <v>0</v>
      </c>
      <c r="BG570">
        <v>0</v>
      </c>
      <c r="BH570">
        <v>1800</v>
      </c>
      <c r="BI570">
        <v>1</v>
      </c>
      <c r="BJ570">
        <v>1</v>
      </c>
      <c r="BK570">
        <v>1</v>
      </c>
      <c r="BL570">
        <v>0</v>
      </c>
      <c r="BO570">
        <v>0</v>
      </c>
      <c r="BP570">
        <v>0</v>
      </c>
      <c r="BW570" t="str">
        <f>"20:14:24.272"</f>
        <v>20:14:24.272</v>
      </c>
      <c r="BZ570">
        <v>0</v>
      </c>
      <c r="CA570">
        <v>2016</v>
      </c>
      <c r="CB570">
        <v>224</v>
      </c>
      <c r="CD570">
        <v>1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2</v>
      </c>
      <c r="CL570">
        <v>0</v>
      </c>
      <c r="CM570">
        <v>2</v>
      </c>
      <c r="CN570">
        <v>0</v>
      </c>
      <c r="CO570">
        <v>5</v>
      </c>
      <c r="CP570" t="s">
        <v>119</v>
      </c>
      <c r="CQ570">
        <v>559</v>
      </c>
      <c r="CR570">
        <v>0</v>
      </c>
      <c r="CW570">
        <v>10414390</v>
      </c>
      <c r="CY570">
        <v>1</v>
      </c>
      <c r="CZ570">
        <v>0</v>
      </c>
      <c r="DA570">
        <v>1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</row>
    <row r="571" spans="1:113" x14ac:dyDescent="0.3">
      <c r="A571" t="str">
        <f>"02/08/2021 20:14:21.914"</f>
        <v>02/08/2021 20:14:21.914</v>
      </c>
      <c r="C571" t="str">
        <f t="shared" si="26"/>
        <v>FFDFD7C0</v>
      </c>
      <c r="D571" t="s">
        <v>113</v>
      </c>
      <c r="E571">
        <v>6</v>
      </c>
      <c r="H571">
        <v>165</v>
      </c>
      <c r="I571" t="s">
        <v>114</v>
      </c>
      <c r="J571" t="s">
        <v>115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>"20:14:24.266"</f>
        <v>20:14:24.266</v>
      </c>
      <c r="U571" t="str">
        <f t="shared" si="25"/>
        <v>AB01F4</v>
      </c>
      <c r="V571">
        <v>0</v>
      </c>
      <c r="W571">
        <v>0</v>
      </c>
      <c r="X571">
        <v>1</v>
      </c>
      <c r="Z571">
        <v>0</v>
      </c>
      <c r="AA571">
        <v>9</v>
      </c>
      <c r="AB571">
        <v>3</v>
      </c>
      <c r="AC571">
        <v>0</v>
      </c>
      <c r="AD571">
        <v>10</v>
      </c>
      <c r="AE571">
        <v>0</v>
      </c>
      <c r="AF571">
        <v>3</v>
      </c>
      <c r="AG571">
        <v>2</v>
      </c>
      <c r="AH571">
        <v>0</v>
      </c>
      <c r="AI571" t="s">
        <v>518</v>
      </c>
      <c r="AJ571">
        <v>39.593975999999998</v>
      </c>
      <c r="AK571" t="s">
        <v>519</v>
      </c>
      <c r="AL571">
        <v>-92.498360000000005</v>
      </c>
      <c r="AM571">
        <v>100</v>
      </c>
      <c r="AN571">
        <v>1900</v>
      </c>
      <c r="AO571" t="s">
        <v>118</v>
      </c>
      <c r="AP571">
        <v>-16</v>
      </c>
      <c r="AQ571">
        <v>138</v>
      </c>
      <c r="AR571">
        <v>-128</v>
      </c>
      <c r="AZ571">
        <v>1200</v>
      </c>
      <c r="BA571">
        <v>1</v>
      </c>
      <c r="BB571" t="str">
        <f t="shared" si="27"/>
        <v xml:space="preserve">N8080G  </v>
      </c>
      <c r="BC571">
        <v>1</v>
      </c>
      <c r="BE571">
        <v>0</v>
      </c>
      <c r="BF571">
        <v>0</v>
      </c>
      <c r="BG571">
        <v>0</v>
      </c>
      <c r="BH571">
        <v>1800</v>
      </c>
      <c r="BI571">
        <v>1</v>
      </c>
      <c r="BJ571">
        <v>1</v>
      </c>
      <c r="BK571">
        <v>1</v>
      </c>
      <c r="BL571">
        <v>0</v>
      </c>
      <c r="BO571">
        <v>0</v>
      </c>
      <c r="BP571">
        <v>0</v>
      </c>
      <c r="BW571" t="str">
        <f>"20:14:24.272"</f>
        <v>20:14:24.272</v>
      </c>
      <c r="BZ571">
        <v>0</v>
      </c>
      <c r="CA571">
        <v>2016</v>
      </c>
      <c r="CB571">
        <v>224</v>
      </c>
      <c r="CD571">
        <v>1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2</v>
      </c>
      <c r="CL571">
        <v>0</v>
      </c>
      <c r="CM571">
        <v>2</v>
      </c>
      <c r="CN571">
        <v>0</v>
      </c>
      <c r="CO571">
        <v>5</v>
      </c>
      <c r="CP571" t="s">
        <v>119</v>
      </c>
      <c r="CQ571">
        <v>559</v>
      </c>
      <c r="CR571">
        <v>0</v>
      </c>
      <c r="CW571">
        <v>10414390</v>
      </c>
      <c r="CY571">
        <v>1</v>
      </c>
      <c r="CZ571">
        <v>0</v>
      </c>
      <c r="DA571">
        <v>1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</row>
    <row r="572" spans="1:113" x14ac:dyDescent="0.3">
      <c r="A572" t="str">
        <f>"02/08/2021 20:14:22.840"</f>
        <v>02/08/2021 20:14:22.840</v>
      </c>
      <c r="C572" t="str">
        <f t="shared" si="26"/>
        <v>FFDFD7C0</v>
      </c>
      <c r="D572" t="s">
        <v>124</v>
      </c>
      <c r="E572">
        <v>13</v>
      </c>
      <c r="F572">
        <v>1013</v>
      </c>
      <c r="G572" t="s">
        <v>114</v>
      </c>
      <c r="J572" t="s">
        <v>125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>"20:14:25.188"</f>
        <v>20:14:25.188</v>
      </c>
      <c r="T572" t="str">
        <f>"20:14:24.788"</f>
        <v>20:14:24.788</v>
      </c>
      <c r="U572" t="str">
        <f t="shared" si="25"/>
        <v>AB01F4</v>
      </c>
      <c r="V572">
        <v>0</v>
      </c>
      <c r="W572">
        <v>0</v>
      </c>
      <c r="X572">
        <v>1</v>
      </c>
      <c r="Z572">
        <v>0</v>
      </c>
      <c r="AA572">
        <v>9</v>
      </c>
      <c r="AB572">
        <v>3</v>
      </c>
      <c r="AC572">
        <v>0</v>
      </c>
      <c r="AD572">
        <v>10</v>
      </c>
      <c r="AE572">
        <v>0</v>
      </c>
      <c r="AF572">
        <v>3</v>
      </c>
      <c r="AG572">
        <v>2</v>
      </c>
      <c r="AH572">
        <v>0</v>
      </c>
      <c r="AI572" t="s">
        <v>520</v>
      </c>
      <c r="AJ572">
        <v>39.594597999999998</v>
      </c>
      <c r="AK572" t="s">
        <v>521</v>
      </c>
      <c r="AL572">
        <v>-92.498424</v>
      </c>
      <c r="AM572">
        <v>100</v>
      </c>
      <c r="AN572">
        <v>1900</v>
      </c>
      <c r="AO572" t="s">
        <v>118</v>
      </c>
      <c r="AP572">
        <v>-16</v>
      </c>
      <c r="AQ572">
        <v>138</v>
      </c>
      <c r="AR572">
        <v>-128</v>
      </c>
      <c r="AZ572">
        <v>1200</v>
      </c>
      <c r="BA572">
        <v>1</v>
      </c>
      <c r="BB572" t="str">
        <f t="shared" si="27"/>
        <v xml:space="preserve">N8080G  </v>
      </c>
      <c r="BC572">
        <v>1</v>
      </c>
      <c r="BE572">
        <v>0</v>
      </c>
      <c r="BF572">
        <v>0</v>
      </c>
      <c r="BG572">
        <v>0</v>
      </c>
      <c r="BH572">
        <v>1800</v>
      </c>
      <c r="BI572">
        <v>1</v>
      </c>
      <c r="BJ572">
        <v>1</v>
      </c>
      <c r="BK572">
        <v>1</v>
      </c>
      <c r="BL572">
        <v>0</v>
      </c>
      <c r="BO572">
        <v>0</v>
      </c>
      <c r="BP572">
        <v>0</v>
      </c>
      <c r="BW572" t="str">
        <f>"20:14:25.195"</f>
        <v>20:14:25.195</v>
      </c>
      <c r="BZ572">
        <v>0</v>
      </c>
      <c r="CA572">
        <v>2016</v>
      </c>
      <c r="CB572">
        <v>224</v>
      </c>
      <c r="CD572">
        <v>1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2</v>
      </c>
      <c r="CL572">
        <v>0</v>
      </c>
      <c r="CM572">
        <v>2</v>
      </c>
      <c r="CN572">
        <v>0</v>
      </c>
      <c r="CO572">
        <v>5</v>
      </c>
      <c r="CP572" t="s">
        <v>119</v>
      </c>
      <c r="CQ572">
        <v>559</v>
      </c>
      <c r="CR572">
        <v>0</v>
      </c>
      <c r="CW572">
        <v>10414518</v>
      </c>
      <c r="CY572">
        <v>1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</row>
    <row r="573" spans="1:113" x14ac:dyDescent="0.3">
      <c r="A573" t="str">
        <f>"02/08/2021 20:14:22.840"</f>
        <v>02/08/2021 20:14:22.840</v>
      </c>
      <c r="C573" t="str">
        <f t="shared" si="26"/>
        <v>FFDFD7C0</v>
      </c>
      <c r="D573" t="s">
        <v>113</v>
      </c>
      <c r="E573">
        <v>6</v>
      </c>
      <c r="H573">
        <v>165</v>
      </c>
      <c r="I573" t="s">
        <v>114</v>
      </c>
      <c r="J573" t="s">
        <v>115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>"20:14:25.188"</f>
        <v>20:14:25.188</v>
      </c>
      <c r="T573" t="str">
        <f>"20:14:24.788"</f>
        <v>20:14:24.788</v>
      </c>
      <c r="U573" t="str">
        <f t="shared" si="25"/>
        <v>AB01F4</v>
      </c>
      <c r="V573">
        <v>0</v>
      </c>
      <c r="W573">
        <v>0</v>
      </c>
      <c r="X573">
        <v>1</v>
      </c>
      <c r="Z573">
        <v>0</v>
      </c>
      <c r="AA573">
        <v>9</v>
      </c>
      <c r="AB573">
        <v>3</v>
      </c>
      <c r="AC573">
        <v>0</v>
      </c>
      <c r="AD573">
        <v>10</v>
      </c>
      <c r="AE573">
        <v>0</v>
      </c>
      <c r="AF573">
        <v>3</v>
      </c>
      <c r="AG573">
        <v>2</v>
      </c>
      <c r="AH573">
        <v>0</v>
      </c>
      <c r="AI573" t="s">
        <v>520</v>
      </c>
      <c r="AJ573">
        <v>39.594597999999998</v>
      </c>
      <c r="AK573" t="s">
        <v>521</v>
      </c>
      <c r="AL573">
        <v>-92.498424</v>
      </c>
      <c r="AM573">
        <v>100</v>
      </c>
      <c r="AN573">
        <v>1900</v>
      </c>
      <c r="AO573" t="s">
        <v>118</v>
      </c>
      <c r="AP573">
        <v>-16</v>
      </c>
      <c r="AQ573">
        <v>138</v>
      </c>
      <c r="AR573">
        <v>-128</v>
      </c>
      <c r="AZ573">
        <v>1200</v>
      </c>
      <c r="BA573">
        <v>1</v>
      </c>
      <c r="BB573" t="str">
        <f t="shared" si="27"/>
        <v xml:space="preserve">N8080G  </v>
      </c>
      <c r="BC573">
        <v>1</v>
      </c>
      <c r="BE573">
        <v>0</v>
      </c>
      <c r="BF573">
        <v>0</v>
      </c>
      <c r="BG573">
        <v>0</v>
      </c>
      <c r="BH573">
        <v>1800</v>
      </c>
      <c r="BI573">
        <v>1</v>
      </c>
      <c r="BJ573">
        <v>1</v>
      </c>
      <c r="BK573">
        <v>1</v>
      </c>
      <c r="BL573">
        <v>0</v>
      </c>
      <c r="BO573">
        <v>0</v>
      </c>
      <c r="BP573">
        <v>0</v>
      </c>
      <c r="BW573" t="str">
        <f>"20:14:25.195"</f>
        <v>20:14:25.195</v>
      </c>
      <c r="BZ573">
        <v>0</v>
      </c>
      <c r="CA573">
        <v>2016</v>
      </c>
      <c r="CB573">
        <v>224</v>
      </c>
      <c r="CD573">
        <v>1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2</v>
      </c>
      <c r="CL573">
        <v>0</v>
      </c>
      <c r="CM573">
        <v>2</v>
      </c>
      <c r="CN573">
        <v>0</v>
      </c>
      <c r="CO573">
        <v>5</v>
      </c>
      <c r="CP573" t="s">
        <v>119</v>
      </c>
      <c r="CQ573">
        <v>559</v>
      </c>
      <c r="CR573">
        <v>0</v>
      </c>
      <c r="CW573">
        <v>10414518</v>
      </c>
      <c r="CY573">
        <v>1</v>
      </c>
      <c r="CZ573">
        <v>0</v>
      </c>
      <c r="DA573">
        <v>1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</row>
    <row r="574" spans="1:113" x14ac:dyDescent="0.3">
      <c r="A574" t="str">
        <f>"02/08/2021 20:14:22.840"</f>
        <v>02/08/2021 20:14:22.840</v>
      </c>
      <c r="C574" t="str">
        <f t="shared" si="26"/>
        <v>FFDFD7C0</v>
      </c>
      <c r="D574" t="s">
        <v>141</v>
      </c>
      <c r="E574">
        <v>17</v>
      </c>
      <c r="H574">
        <v>256</v>
      </c>
      <c r="I574" t="s">
        <v>142</v>
      </c>
      <c r="J574" t="s">
        <v>143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>"20:14:25.188"</f>
        <v>20:14:25.188</v>
      </c>
      <c r="T574" t="str">
        <f>"20:14:24.788"</f>
        <v>20:14:24.788</v>
      </c>
      <c r="U574" t="str">
        <f t="shared" si="25"/>
        <v>AB01F4</v>
      </c>
      <c r="V574">
        <v>0</v>
      </c>
      <c r="W574">
        <v>0</v>
      </c>
      <c r="X574">
        <v>1</v>
      </c>
      <c r="Z574">
        <v>0</v>
      </c>
      <c r="AA574">
        <v>9</v>
      </c>
      <c r="AB574">
        <v>3</v>
      </c>
      <c r="AC574">
        <v>0</v>
      </c>
      <c r="AD574">
        <v>10</v>
      </c>
      <c r="AE574">
        <v>0</v>
      </c>
      <c r="AF574">
        <v>3</v>
      </c>
      <c r="AG574">
        <v>2</v>
      </c>
      <c r="AH574">
        <v>0</v>
      </c>
      <c r="AI574" t="s">
        <v>520</v>
      </c>
      <c r="AJ574">
        <v>39.594597999999998</v>
      </c>
      <c r="AK574" t="s">
        <v>521</v>
      </c>
      <c r="AL574">
        <v>-92.498424</v>
      </c>
      <c r="AM574">
        <v>100</v>
      </c>
      <c r="AN574">
        <v>1900</v>
      </c>
      <c r="AO574" t="s">
        <v>118</v>
      </c>
      <c r="AP574">
        <v>-16</v>
      </c>
      <c r="AQ574">
        <v>138</v>
      </c>
      <c r="AR574">
        <v>-128</v>
      </c>
      <c r="AZ574">
        <v>1200</v>
      </c>
      <c r="BA574">
        <v>1</v>
      </c>
      <c r="BB574" t="str">
        <f t="shared" si="27"/>
        <v xml:space="preserve">N8080G  </v>
      </c>
      <c r="BC574">
        <v>1</v>
      </c>
      <c r="BE574">
        <v>0</v>
      </c>
      <c r="BF574">
        <v>0</v>
      </c>
      <c r="BG574">
        <v>0</v>
      </c>
      <c r="BH574">
        <v>1800</v>
      </c>
      <c r="BI574">
        <v>1</v>
      </c>
      <c r="BJ574">
        <v>1</v>
      </c>
      <c r="BK574">
        <v>1</v>
      </c>
      <c r="BL574">
        <v>0</v>
      </c>
      <c r="BO574">
        <v>0</v>
      </c>
      <c r="BP574">
        <v>0</v>
      </c>
      <c r="BW574" t="str">
        <f>"20:14:25.195"</f>
        <v>20:14:25.195</v>
      </c>
      <c r="BZ574">
        <v>0</v>
      </c>
      <c r="CA574">
        <v>2016</v>
      </c>
      <c r="CB574">
        <v>224</v>
      </c>
      <c r="CD574">
        <v>1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2</v>
      </c>
      <c r="CL574">
        <v>0</v>
      </c>
      <c r="CM574">
        <v>2</v>
      </c>
      <c r="CN574">
        <v>0</v>
      </c>
      <c r="CO574">
        <v>5</v>
      </c>
      <c r="CP574" t="s">
        <v>119</v>
      </c>
      <c r="CQ574">
        <v>559</v>
      </c>
      <c r="CR574">
        <v>0</v>
      </c>
      <c r="CW574">
        <v>10414518</v>
      </c>
      <c r="CY574">
        <v>1</v>
      </c>
      <c r="CZ574">
        <v>0</v>
      </c>
      <c r="DA574">
        <v>1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</row>
    <row r="575" spans="1:113" x14ac:dyDescent="0.3">
      <c r="A575" t="str">
        <f>"02/08/2021 20:14:23.870"</f>
        <v>02/08/2021 20:14:23.870</v>
      </c>
      <c r="C575" t="str">
        <f t="shared" si="26"/>
        <v>FFDFD7C0</v>
      </c>
      <c r="D575" t="s">
        <v>113</v>
      </c>
      <c r="E575">
        <v>6</v>
      </c>
      <c r="H575">
        <v>165</v>
      </c>
      <c r="I575" t="s">
        <v>114</v>
      </c>
      <c r="J575" t="s">
        <v>115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>"20:14:26.219"</f>
        <v>20:14:26.219</v>
      </c>
      <c r="T575" t="str">
        <f>"20:14:25.719"</f>
        <v>20:14:25.719</v>
      </c>
      <c r="U575" t="str">
        <f t="shared" si="25"/>
        <v>AB01F4</v>
      </c>
      <c r="V575">
        <v>0</v>
      </c>
      <c r="W575">
        <v>0</v>
      </c>
      <c r="X575">
        <v>1</v>
      </c>
      <c r="Z575">
        <v>0</v>
      </c>
      <c r="AA575">
        <v>9</v>
      </c>
      <c r="AB575">
        <v>3</v>
      </c>
      <c r="AC575">
        <v>0</v>
      </c>
      <c r="AD575">
        <v>10</v>
      </c>
      <c r="AE575">
        <v>0</v>
      </c>
      <c r="AF575">
        <v>3</v>
      </c>
      <c r="AG575">
        <v>2</v>
      </c>
      <c r="AH575">
        <v>0</v>
      </c>
      <c r="AI575" t="s">
        <v>522</v>
      </c>
      <c r="AJ575">
        <v>39.595241999999999</v>
      </c>
      <c r="AK575" t="s">
        <v>523</v>
      </c>
      <c r="AL575">
        <v>-92.498531</v>
      </c>
      <c r="AM575">
        <v>100</v>
      </c>
      <c r="AN575">
        <v>1900</v>
      </c>
      <c r="AO575" t="s">
        <v>118</v>
      </c>
      <c r="AP575">
        <v>-15</v>
      </c>
      <c r="AQ575">
        <v>138</v>
      </c>
      <c r="AR575">
        <v>-192</v>
      </c>
      <c r="AZ575">
        <v>1200</v>
      </c>
      <c r="BA575">
        <v>1</v>
      </c>
      <c r="BB575" t="str">
        <f t="shared" si="27"/>
        <v xml:space="preserve">N8080G  </v>
      </c>
      <c r="BC575">
        <v>1</v>
      </c>
      <c r="BE575">
        <v>0</v>
      </c>
      <c r="BF575">
        <v>0</v>
      </c>
      <c r="BG575">
        <v>0</v>
      </c>
      <c r="BH575">
        <v>1800</v>
      </c>
      <c r="BI575">
        <v>1</v>
      </c>
      <c r="BJ575">
        <v>1</v>
      </c>
      <c r="BK575">
        <v>1</v>
      </c>
      <c r="BL575">
        <v>0</v>
      </c>
      <c r="BO575">
        <v>0</v>
      </c>
      <c r="BP575">
        <v>0</v>
      </c>
      <c r="BW575" t="str">
        <f>"20:14:26.224"</f>
        <v>20:14:26.224</v>
      </c>
      <c r="BZ575">
        <v>0</v>
      </c>
      <c r="CA575">
        <v>2016</v>
      </c>
      <c r="CB575">
        <v>224</v>
      </c>
      <c r="CD575">
        <v>1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2</v>
      </c>
      <c r="CL575">
        <v>0</v>
      </c>
      <c r="CM575">
        <v>2</v>
      </c>
      <c r="CN575">
        <v>0</v>
      </c>
      <c r="CO575">
        <v>5</v>
      </c>
      <c r="CP575" t="s">
        <v>119</v>
      </c>
      <c r="CQ575">
        <v>559</v>
      </c>
      <c r="CR575">
        <v>0</v>
      </c>
      <c r="CW575">
        <v>10414701</v>
      </c>
      <c r="CY575">
        <v>1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</row>
    <row r="576" spans="1:113" x14ac:dyDescent="0.3">
      <c r="A576" t="str">
        <f>"02/08/2021 20:14:23.870"</f>
        <v>02/08/2021 20:14:23.870</v>
      </c>
      <c r="C576" t="str">
        <f t="shared" si="26"/>
        <v>FFDFD7C0</v>
      </c>
      <c r="D576" t="s">
        <v>141</v>
      </c>
      <c r="E576">
        <v>17</v>
      </c>
      <c r="H576">
        <v>256</v>
      </c>
      <c r="I576" t="s">
        <v>142</v>
      </c>
      <c r="J576" t="s">
        <v>143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>"20:14:26.219"</f>
        <v>20:14:26.219</v>
      </c>
      <c r="T576" t="str">
        <f>"20:14:25.719"</f>
        <v>20:14:25.719</v>
      </c>
      <c r="U576" t="str">
        <f t="shared" si="25"/>
        <v>AB01F4</v>
      </c>
      <c r="V576">
        <v>0</v>
      </c>
      <c r="W576">
        <v>0</v>
      </c>
      <c r="X576">
        <v>1</v>
      </c>
      <c r="Z576">
        <v>0</v>
      </c>
      <c r="AA576">
        <v>9</v>
      </c>
      <c r="AB576">
        <v>3</v>
      </c>
      <c r="AC576">
        <v>0</v>
      </c>
      <c r="AD576">
        <v>10</v>
      </c>
      <c r="AE576">
        <v>0</v>
      </c>
      <c r="AF576">
        <v>3</v>
      </c>
      <c r="AG576">
        <v>2</v>
      </c>
      <c r="AH576">
        <v>0</v>
      </c>
      <c r="AI576" t="s">
        <v>522</v>
      </c>
      <c r="AJ576">
        <v>39.595241999999999</v>
      </c>
      <c r="AK576" t="s">
        <v>523</v>
      </c>
      <c r="AL576">
        <v>-92.498531</v>
      </c>
      <c r="AM576">
        <v>100</v>
      </c>
      <c r="AN576">
        <v>1900</v>
      </c>
      <c r="AO576" t="s">
        <v>118</v>
      </c>
      <c r="AP576">
        <v>-15</v>
      </c>
      <c r="AQ576">
        <v>138</v>
      </c>
      <c r="AR576">
        <v>-192</v>
      </c>
      <c r="AZ576">
        <v>1200</v>
      </c>
      <c r="BA576">
        <v>1</v>
      </c>
      <c r="BB576" t="str">
        <f t="shared" si="27"/>
        <v xml:space="preserve">N8080G  </v>
      </c>
      <c r="BC576">
        <v>1</v>
      </c>
      <c r="BE576">
        <v>0</v>
      </c>
      <c r="BF576">
        <v>0</v>
      </c>
      <c r="BG576">
        <v>0</v>
      </c>
      <c r="BH576">
        <v>1800</v>
      </c>
      <c r="BI576">
        <v>1</v>
      </c>
      <c r="BJ576">
        <v>1</v>
      </c>
      <c r="BK576">
        <v>1</v>
      </c>
      <c r="BL576">
        <v>0</v>
      </c>
      <c r="BO576">
        <v>0</v>
      </c>
      <c r="BP576">
        <v>0</v>
      </c>
      <c r="BW576" t="str">
        <f>"20:14:26.224"</f>
        <v>20:14:26.224</v>
      </c>
      <c r="BZ576">
        <v>0</v>
      </c>
      <c r="CA576">
        <v>2016</v>
      </c>
      <c r="CB576">
        <v>224</v>
      </c>
      <c r="CD576">
        <v>1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2</v>
      </c>
      <c r="CL576">
        <v>0</v>
      </c>
      <c r="CM576">
        <v>2</v>
      </c>
      <c r="CN576">
        <v>0</v>
      </c>
      <c r="CO576">
        <v>5</v>
      </c>
      <c r="CP576" t="s">
        <v>119</v>
      </c>
      <c r="CQ576">
        <v>559</v>
      </c>
      <c r="CR576">
        <v>0</v>
      </c>
      <c r="CW576">
        <v>10414701</v>
      </c>
      <c r="CY576">
        <v>1</v>
      </c>
      <c r="CZ576">
        <v>0</v>
      </c>
      <c r="DA576">
        <v>1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</row>
    <row r="577" spans="1:113" x14ac:dyDescent="0.3">
      <c r="A577" t="str">
        <f>"02/08/2021 20:14:23.870"</f>
        <v>02/08/2021 20:14:23.870</v>
      </c>
      <c r="C577" t="str">
        <f t="shared" si="26"/>
        <v>FFDFD7C0</v>
      </c>
      <c r="D577" t="s">
        <v>124</v>
      </c>
      <c r="E577">
        <v>13</v>
      </c>
      <c r="F577">
        <v>1013</v>
      </c>
      <c r="G577" t="s">
        <v>114</v>
      </c>
      <c r="J577" t="s">
        <v>125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>"20:14:26.219"</f>
        <v>20:14:26.219</v>
      </c>
      <c r="T577" t="str">
        <f>"20:14:25.719"</f>
        <v>20:14:25.719</v>
      </c>
      <c r="U577" t="str">
        <f t="shared" si="25"/>
        <v>AB01F4</v>
      </c>
      <c r="V577">
        <v>0</v>
      </c>
      <c r="W577">
        <v>0</v>
      </c>
      <c r="X577">
        <v>1</v>
      </c>
      <c r="Z577">
        <v>0</v>
      </c>
      <c r="AA577">
        <v>9</v>
      </c>
      <c r="AB577">
        <v>3</v>
      </c>
      <c r="AC577">
        <v>0</v>
      </c>
      <c r="AD577">
        <v>10</v>
      </c>
      <c r="AE577">
        <v>0</v>
      </c>
      <c r="AF577">
        <v>3</v>
      </c>
      <c r="AG577">
        <v>2</v>
      </c>
      <c r="AH577">
        <v>0</v>
      </c>
      <c r="AI577" t="s">
        <v>522</v>
      </c>
      <c r="AJ577">
        <v>39.595241999999999</v>
      </c>
      <c r="AK577" t="s">
        <v>523</v>
      </c>
      <c r="AL577">
        <v>-92.498531</v>
      </c>
      <c r="AM577">
        <v>100</v>
      </c>
      <c r="AN577">
        <v>1900</v>
      </c>
      <c r="AO577" t="s">
        <v>118</v>
      </c>
      <c r="AP577">
        <v>-15</v>
      </c>
      <c r="AQ577">
        <v>138</v>
      </c>
      <c r="AR577">
        <v>-192</v>
      </c>
      <c r="AZ577">
        <v>1200</v>
      </c>
      <c r="BA577">
        <v>1</v>
      </c>
      <c r="BB577" t="str">
        <f t="shared" si="27"/>
        <v xml:space="preserve">N8080G  </v>
      </c>
      <c r="BC577">
        <v>1</v>
      </c>
      <c r="BE577">
        <v>0</v>
      </c>
      <c r="BF577">
        <v>0</v>
      </c>
      <c r="BG577">
        <v>0</v>
      </c>
      <c r="BH577">
        <v>1800</v>
      </c>
      <c r="BI577">
        <v>1</v>
      </c>
      <c r="BJ577">
        <v>1</v>
      </c>
      <c r="BK577">
        <v>1</v>
      </c>
      <c r="BL577">
        <v>0</v>
      </c>
      <c r="BO577">
        <v>0</v>
      </c>
      <c r="BP577">
        <v>0</v>
      </c>
      <c r="BW577" t="str">
        <f>"20:14:26.224"</f>
        <v>20:14:26.224</v>
      </c>
      <c r="BZ577">
        <v>0</v>
      </c>
      <c r="CA577">
        <v>2016</v>
      </c>
      <c r="CB577">
        <v>224</v>
      </c>
      <c r="CD577">
        <v>1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2</v>
      </c>
      <c r="CL577">
        <v>0</v>
      </c>
      <c r="CM577">
        <v>2</v>
      </c>
      <c r="CN577">
        <v>0</v>
      </c>
      <c r="CO577">
        <v>5</v>
      </c>
      <c r="CP577" t="s">
        <v>119</v>
      </c>
      <c r="CQ577">
        <v>559</v>
      </c>
      <c r="CR577">
        <v>0</v>
      </c>
      <c r="CW577">
        <v>10414701</v>
      </c>
      <c r="CY577">
        <v>1</v>
      </c>
      <c r="CZ577">
        <v>0</v>
      </c>
      <c r="DA577">
        <v>1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</row>
    <row r="578" spans="1:113" x14ac:dyDescent="0.3">
      <c r="A578" t="str">
        <f>"02/08/2021 20:14:27.060"</f>
        <v>02/08/2021 20:14:27.060</v>
      </c>
      <c r="C578" t="str">
        <f t="shared" si="26"/>
        <v>FFDFD7C0</v>
      </c>
      <c r="D578" t="s">
        <v>124</v>
      </c>
      <c r="E578">
        <v>13</v>
      </c>
      <c r="F578">
        <v>1013</v>
      </c>
      <c r="G578" t="s">
        <v>114</v>
      </c>
      <c r="J578" t="s">
        <v>125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>"20:14:29.383"</f>
        <v>20:14:29.383</v>
      </c>
      <c r="T578" t="str">
        <f>"20:14:28.883"</f>
        <v>20:14:28.883</v>
      </c>
      <c r="U578" t="str">
        <f t="shared" ref="U578:U641" si="28">"AB01F4"</f>
        <v>AB01F4</v>
      </c>
      <c r="V578">
        <v>0</v>
      </c>
      <c r="W578">
        <v>0</v>
      </c>
      <c r="X578">
        <v>1</v>
      </c>
      <c r="Z578">
        <v>0</v>
      </c>
      <c r="AA578">
        <v>9</v>
      </c>
      <c r="AB578">
        <v>3</v>
      </c>
      <c r="AC578">
        <v>0</v>
      </c>
      <c r="AD578">
        <v>10</v>
      </c>
      <c r="AE578">
        <v>0</v>
      </c>
      <c r="AF578">
        <v>3</v>
      </c>
      <c r="AG578">
        <v>2</v>
      </c>
      <c r="AH578">
        <v>0</v>
      </c>
      <c r="AI578" t="s">
        <v>524</v>
      </c>
      <c r="AJ578">
        <v>39.597237</v>
      </c>
      <c r="AK578" t="s">
        <v>525</v>
      </c>
      <c r="AL578">
        <v>-92.498789000000002</v>
      </c>
      <c r="AM578">
        <v>100</v>
      </c>
      <c r="AN578">
        <v>1900</v>
      </c>
      <c r="AO578" t="s">
        <v>118</v>
      </c>
      <c r="AP578">
        <v>-13</v>
      </c>
      <c r="AQ578">
        <v>138</v>
      </c>
      <c r="AR578">
        <v>-192</v>
      </c>
      <c r="AZ578">
        <v>1200</v>
      </c>
      <c r="BA578">
        <v>1</v>
      </c>
      <c r="BB578" t="str">
        <f t="shared" si="27"/>
        <v xml:space="preserve">N8080G  </v>
      </c>
      <c r="BC578">
        <v>1</v>
      </c>
      <c r="BE578">
        <v>0</v>
      </c>
      <c r="BF578">
        <v>0</v>
      </c>
      <c r="BG578">
        <v>0</v>
      </c>
      <c r="BH578">
        <v>1800</v>
      </c>
      <c r="BI578">
        <v>1</v>
      </c>
      <c r="BJ578">
        <v>1</v>
      </c>
      <c r="BK578">
        <v>1</v>
      </c>
      <c r="BL578">
        <v>0</v>
      </c>
      <c r="BO578">
        <v>0</v>
      </c>
      <c r="BP578">
        <v>0</v>
      </c>
      <c r="BW578" t="str">
        <f>"20:14:29.391"</f>
        <v>20:14:29.391</v>
      </c>
      <c r="BZ578">
        <v>0</v>
      </c>
      <c r="CA578">
        <v>2016</v>
      </c>
      <c r="CB578">
        <v>224</v>
      </c>
      <c r="CD578">
        <v>1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2</v>
      </c>
      <c r="CL578">
        <v>0</v>
      </c>
      <c r="CM578">
        <v>2</v>
      </c>
      <c r="CN578">
        <v>0</v>
      </c>
      <c r="CO578">
        <v>6</v>
      </c>
      <c r="CP578" t="s">
        <v>119</v>
      </c>
      <c r="CQ578">
        <v>180</v>
      </c>
      <c r="CR578">
        <v>2</v>
      </c>
      <c r="CW578">
        <v>7890497</v>
      </c>
      <c r="CY578">
        <v>1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</row>
    <row r="579" spans="1:113" x14ac:dyDescent="0.3">
      <c r="A579" t="str">
        <f>"02/08/2021 20:14:27.060"</f>
        <v>02/08/2021 20:14:27.060</v>
      </c>
      <c r="C579" t="str">
        <f t="shared" si="26"/>
        <v>FFDFD7C0</v>
      </c>
      <c r="D579" t="s">
        <v>141</v>
      </c>
      <c r="E579">
        <v>17</v>
      </c>
      <c r="H579">
        <v>256</v>
      </c>
      <c r="I579" t="s">
        <v>142</v>
      </c>
      <c r="J579" t="s">
        <v>143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>"20:14:29.391"</f>
        <v>20:14:29.391</v>
      </c>
      <c r="T579" t="str">
        <f>"20:14:28.891"</f>
        <v>20:14:28.891</v>
      </c>
      <c r="U579" t="str">
        <f t="shared" si="28"/>
        <v>AB01F4</v>
      </c>
      <c r="V579">
        <v>0</v>
      </c>
      <c r="W579">
        <v>0</v>
      </c>
      <c r="X579">
        <v>1</v>
      </c>
      <c r="Z579">
        <v>0</v>
      </c>
      <c r="AA579">
        <v>9</v>
      </c>
      <c r="AB579">
        <v>3</v>
      </c>
      <c r="AC579">
        <v>0</v>
      </c>
      <c r="AD579">
        <v>10</v>
      </c>
      <c r="AE579">
        <v>0</v>
      </c>
      <c r="AF579">
        <v>3</v>
      </c>
      <c r="AG579">
        <v>2</v>
      </c>
      <c r="AH579">
        <v>0</v>
      </c>
      <c r="AI579" t="s">
        <v>524</v>
      </c>
      <c r="AJ579">
        <v>39.597237</v>
      </c>
      <c r="AK579" t="s">
        <v>525</v>
      </c>
      <c r="AL579">
        <v>-92.498789000000002</v>
      </c>
      <c r="AM579">
        <v>100</v>
      </c>
      <c r="AN579">
        <v>1900</v>
      </c>
      <c r="AO579" t="s">
        <v>118</v>
      </c>
      <c r="AP579">
        <v>-13</v>
      </c>
      <c r="AQ579">
        <v>138</v>
      </c>
      <c r="AR579">
        <v>-192</v>
      </c>
      <c r="AZ579">
        <v>1200</v>
      </c>
      <c r="BA579">
        <v>1</v>
      </c>
      <c r="BB579" t="str">
        <f t="shared" si="27"/>
        <v xml:space="preserve">N8080G  </v>
      </c>
      <c r="BC579">
        <v>1</v>
      </c>
      <c r="BE579">
        <v>0</v>
      </c>
      <c r="BF579">
        <v>0</v>
      </c>
      <c r="BG579">
        <v>0</v>
      </c>
      <c r="BH579">
        <v>1800</v>
      </c>
      <c r="BI579">
        <v>1</v>
      </c>
      <c r="BJ579">
        <v>1</v>
      </c>
      <c r="BK579">
        <v>1</v>
      </c>
      <c r="BL579">
        <v>0</v>
      </c>
      <c r="BO579">
        <v>0</v>
      </c>
      <c r="BP579">
        <v>0</v>
      </c>
      <c r="BW579" t="str">
        <f>"20:14:29.391"</f>
        <v>20:14:29.391</v>
      </c>
      <c r="BZ579">
        <v>0</v>
      </c>
      <c r="CA579">
        <v>2016</v>
      </c>
      <c r="CB579">
        <v>224</v>
      </c>
      <c r="CD579">
        <v>1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2</v>
      </c>
      <c r="CL579">
        <v>0</v>
      </c>
      <c r="CM579">
        <v>2</v>
      </c>
      <c r="CN579">
        <v>0</v>
      </c>
      <c r="CO579">
        <v>5</v>
      </c>
      <c r="CP579" t="s">
        <v>119</v>
      </c>
      <c r="CQ579">
        <v>559</v>
      </c>
      <c r="CR579">
        <v>0</v>
      </c>
      <c r="CW579">
        <v>10415237</v>
      </c>
      <c r="CY579">
        <v>1</v>
      </c>
      <c r="CZ579">
        <v>0</v>
      </c>
      <c r="DA579">
        <v>1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</row>
    <row r="580" spans="1:113" x14ac:dyDescent="0.3">
      <c r="A580" t="str">
        <f>"02/08/2021 20:14:27.060"</f>
        <v>02/08/2021 20:14:27.060</v>
      </c>
      <c r="C580" t="str">
        <f t="shared" si="26"/>
        <v>FFDFD7C0</v>
      </c>
      <c r="D580" t="s">
        <v>113</v>
      </c>
      <c r="E580">
        <v>6</v>
      </c>
      <c r="H580">
        <v>165</v>
      </c>
      <c r="I580" t="s">
        <v>114</v>
      </c>
      <c r="J580" t="s">
        <v>115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>"20:14:29.383"</f>
        <v>20:14:29.383</v>
      </c>
      <c r="T580" t="str">
        <f>"20:14:28.883"</f>
        <v>20:14:28.883</v>
      </c>
      <c r="U580" t="str">
        <f t="shared" si="28"/>
        <v>AB01F4</v>
      </c>
      <c r="V580">
        <v>0</v>
      </c>
      <c r="W580">
        <v>0</v>
      </c>
      <c r="X580">
        <v>1</v>
      </c>
      <c r="Z580">
        <v>0</v>
      </c>
      <c r="AA580">
        <v>9</v>
      </c>
      <c r="AB580">
        <v>3</v>
      </c>
      <c r="AC580">
        <v>0</v>
      </c>
      <c r="AD580">
        <v>10</v>
      </c>
      <c r="AE580">
        <v>0</v>
      </c>
      <c r="AF580">
        <v>3</v>
      </c>
      <c r="AG580">
        <v>2</v>
      </c>
      <c r="AH580">
        <v>0</v>
      </c>
      <c r="AI580" t="s">
        <v>524</v>
      </c>
      <c r="AJ580">
        <v>39.597237</v>
      </c>
      <c r="AK580" t="s">
        <v>525</v>
      </c>
      <c r="AL580">
        <v>-92.498789000000002</v>
      </c>
      <c r="AM580">
        <v>100</v>
      </c>
      <c r="AN580">
        <v>1900</v>
      </c>
      <c r="AO580" t="s">
        <v>118</v>
      </c>
      <c r="AP580">
        <v>-13</v>
      </c>
      <c r="AQ580">
        <v>138</v>
      </c>
      <c r="AR580">
        <v>-192</v>
      </c>
      <c r="AZ580">
        <v>1200</v>
      </c>
      <c r="BA580">
        <v>1</v>
      </c>
      <c r="BB580" t="str">
        <f t="shared" si="27"/>
        <v xml:space="preserve">N8080G  </v>
      </c>
      <c r="BC580">
        <v>1</v>
      </c>
      <c r="BE580">
        <v>0</v>
      </c>
      <c r="BF580">
        <v>0</v>
      </c>
      <c r="BG580">
        <v>0</v>
      </c>
      <c r="BH580">
        <v>1800</v>
      </c>
      <c r="BI580">
        <v>1</v>
      </c>
      <c r="BJ580">
        <v>1</v>
      </c>
      <c r="BK580">
        <v>1</v>
      </c>
      <c r="BL580">
        <v>0</v>
      </c>
      <c r="BO580">
        <v>0</v>
      </c>
      <c r="BP580">
        <v>0</v>
      </c>
      <c r="BW580" t="str">
        <f>"20:14:29.391"</f>
        <v>20:14:29.391</v>
      </c>
      <c r="BZ580">
        <v>0</v>
      </c>
      <c r="CA580">
        <v>2016</v>
      </c>
      <c r="CB580">
        <v>224</v>
      </c>
      <c r="CD580">
        <v>1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2</v>
      </c>
      <c r="CL580">
        <v>0</v>
      </c>
      <c r="CM580">
        <v>2</v>
      </c>
      <c r="CN580">
        <v>0</v>
      </c>
      <c r="CO580">
        <v>6</v>
      </c>
      <c r="CP580" t="s">
        <v>119</v>
      </c>
      <c r="CQ580">
        <v>180</v>
      </c>
      <c r="CR580">
        <v>2</v>
      </c>
      <c r="CW580">
        <v>7890497</v>
      </c>
      <c r="CY580">
        <v>1</v>
      </c>
      <c r="CZ580">
        <v>0</v>
      </c>
      <c r="DA580">
        <v>1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</row>
    <row r="581" spans="1:113" x14ac:dyDescent="0.3">
      <c r="A581" t="str">
        <f>"02/08/2021 20:14:27.959"</f>
        <v>02/08/2021 20:14:27.959</v>
      </c>
      <c r="C581" t="str">
        <f t="shared" si="26"/>
        <v>FFDFD7C0</v>
      </c>
      <c r="D581" t="s">
        <v>113</v>
      </c>
      <c r="E581">
        <v>6</v>
      </c>
      <c r="H581">
        <v>165</v>
      </c>
      <c r="I581" t="s">
        <v>114</v>
      </c>
      <c r="J581" t="s">
        <v>115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>"20:14:30.289"</f>
        <v>20:14:30.289</v>
      </c>
      <c r="T581" t="str">
        <f>"20:14:29.489"</f>
        <v>20:14:29.489</v>
      </c>
      <c r="U581" t="str">
        <f t="shared" si="28"/>
        <v>AB01F4</v>
      </c>
      <c r="V581">
        <v>0</v>
      </c>
      <c r="W581">
        <v>0</v>
      </c>
      <c r="X581">
        <v>1</v>
      </c>
      <c r="Z581">
        <v>0</v>
      </c>
      <c r="AA581">
        <v>9</v>
      </c>
      <c r="AB581">
        <v>3</v>
      </c>
      <c r="AC581">
        <v>0</v>
      </c>
      <c r="AD581">
        <v>10</v>
      </c>
      <c r="AE581">
        <v>0</v>
      </c>
      <c r="AF581">
        <v>3</v>
      </c>
      <c r="AG581">
        <v>2</v>
      </c>
      <c r="AH581">
        <v>0</v>
      </c>
      <c r="AI581" t="s">
        <v>526</v>
      </c>
      <c r="AJ581">
        <v>39.597794999999998</v>
      </c>
      <c r="AK581" t="s">
        <v>527</v>
      </c>
      <c r="AL581">
        <v>-92.498831999999993</v>
      </c>
      <c r="AM581">
        <v>100</v>
      </c>
      <c r="AN581">
        <v>1900</v>
      </c>
      <c r="AO581" t="s">
        <v>118</v>
      </c>
      <c r="AP581">
        <v>-13</v>
      </c>
      <c r="AQ581">
        <v>138</v>
      </c>
      <c r="AR581">
        <v>-192</v>
      </c>
      <c r="AZ581">
        <v>1200</v>
      </c>
      <c r="BA581">
        <v>1</v>
      </c>
      <c r="BB581" t="str">
        <f t="shared" si="27"/>
        <v xml:space="preserve">N8080G  </v>
      </c>
      <c r="BC581">
        <v>1</v>
      </c>
      <c r="BE581">
        <v>0</v>
      </c>
      <c r="BF581">
        <v>0</v>
      </c>
      <c r="BG581">
        <v>0</v>
      </c>
      <c r="BH581">
        <v>1800</v>
      </c>
      <c r="BI581">
        <v>1</v>
      </c>
      <c r="BJ581">
        <v>1</v>
      </c>
      <c r="BK581">
        <v>1</v>
      </c>
      <c r="BL581">
        <v>0</v>
      </c>
      <c r="BO581">
        <v>0</v>
      </c>
      <c r="BP581">
        <v>0</v>
      </c>
      <c r="BW581" t="str">
        <f>"20:14:30.292"</f>
        <v>20:14:30.292</v>
      </c>
      <c r="BZ581">
        <v>0</v>
      </c>
      <c r="CA581">
        <v>2016</v>
      </c>
      <c r="CB581">
        <v>224</v>
      </c>
      <c r="CD581">
        <v>1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2</v>
      </c>
      <c r="CL581">
        <v>0</v>
      </c>
      <c r="CM581">
        <v>2</v>
      </c>
      <c r="CN581">
        <v>0</v>
      </c>
      <c r="CO581">
        <v>5</v>
      </c>
      <c r="CP581" t="s">
        <v>119</v>
      </c>
      <c r="CQ581">
        <v>559</v>
      </c>
      <c r="CR581">
        <v>0</v>
      </c>
      <c r="CW581">
        <v>10415375</v>
      </c>
      <c r="CY581">
        <v>1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</row>
    <row r="582" spans="1:113" x14ac:dyDescent="0.3">
      <c r="A582" t="str">
        <f>"02/08/2021 20:14:27.959"</f>
        <v>02/08/2021 20:14:27.959</v>
      </c>
      <c r="C582" t="str">
        <f t="shared" si="26"/>
        <v>FFDFD7C0</v>
      </c>
      <c r="D582" t="s">
        <v>124</v>
      </c>
      <c r="E582">
        <v>13</v>
      </c>
      <c r="F582">
        <v>1013</v>
      </c>
      <c r="G582" t="s">
        <v>114</v>
      </c>
      <c r="J582" t="s">
        <v>125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>"20:14:30.289"</f>
        <v>20:14:30.289</v>
      </c>
      <c r="T582" t="str">
        <f>"20:14:29.489"</f>
        <v>20:14:29.489</v>
      </c>
      <c r="U582" t="str">
        <f t="shared" si="28"/>
        <v>AB01F4</v>
      </c>
      <c r="V582">
        <v>0</v>
      </c>
      <c r="W582">
        <v>0</v>
      </c>
      <c r="X582">
        <v>1</v>
      </c>
      <c r="Z582">
        <v>0</v>
      </c>
      <c r="AA582">
        <v>9</v>
      </c>
      <c r="AB582">
        <v>3</v>
      </c>
      <c r="AC582">
        <v>0</v>
      </c>
      <c r="AD582">
        <v>10</v>
      </c>
      <c r="AE582">
        <v>0</v>
      </c>
      <c r="AF582">
        <v>3</v>
      </c>
      <c r="AG582">
        <v>2</v>
      </c>
      <c r="AH582">
        <v>0</v>
      </c>
      <c r="AI582" t="s">
        <v>526</v>
      </c>
      <c r="AJ582">
        <v>39.597794999999998</v>
      </c>
      <c r="AK582" t="s">
        <v>527</v>
      </c>
      <c r="AL582">
        <v>-92.498831999999993</v>
      </c>
      <c r="AM582">
        <v>100</v>
      </c>
      <c r="AN582">
        <v>1900</v>
      </c>
      <c r="AO582" t="s">
        <v>118</v>
      </c>
      <c r="AP582">
        <v>-13</v>
      </c>
      <c r="AQ582">
        <v>138</v>
      </c>
      <c r="AR582">
        <v>-192</v>
      </c>
      <c r="AZ582">
        <v>1200</v>
      </c>
      <c r="BA582">
        <v>1</v>
      </c>
      <c r="BB582" t="str">
        <f t="shared" si="27"/>
        <v xml:space="preserve">N8080G  </v>
      </c>
      <c r="BC582">
        <v>1</v>
      </c>
      <c r="BE582">
        <v>0</v>
      </c>
      <c r="BF582">
        <v>0</v>
      </c>
      <c r="BG582">
        <v>0</v>
      </c>
      <c r="BH582">
        <v>1800</v>
      </c>
      <c r="BI582">
        <v>1</v>
      </c>
      <c r="BJ582">
        <v>1</v>
      </c>
      <c r="BK582">
        <v>1</v>
      </c>
      <c r="BL582">
        <v>0</v>
      </c>
      <c r="BO582">
        <v>0</v>
      </c>
      <c r="BP582">
        <v>0</v>
      </c>
      <c r="BW582" t="str">
        <f>"20:14:30.292"</f>
        <v>20:14:30.292</v>
      </c>
      <c r="BZ582">
        <v>0</v>
      </c>
      <c r="CA582">
        <v>2016</v>
      </c>
      <c r="CB582">
        <v>224</v>
      </c>
      <c r="CD582">
        <v>1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2</v>
      </c>
      <c r="CL582">
        <v>0</v>
      </c>
      <c r="CM582">
        <v>2</v>
      </c>
      <c r="CN582">
        <v>0</v>
      </c>
      <c r="CO582">
        <v>5</v>
      </c>
      <c r="CP582" t="s">
        <v>119</v>
      </c>
      <c r="CQ582">
        <v>559</v>
      </c>
      <c r="CR582">
        <v>0</v>
      </c>
      <c r="CW582">
        <v>10415375</v>
      </c>
      <c r="CY582">
        <v>1</v>
      </c>
      <c r="CZ582">
        <v>0</v>
      </c>
      <c r="DA582">
        <v>1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</row>
    <row r="583" spans="1:113" x14ac:dyDescent="0.3">
      <c r="A583" t="str">
        <f>"02/08/2021 20:14:27.959"</f>
        <v>02/08/2021 20:14:27.959</v>
      </c>
      <c r="C583" t="str">
        <f t="shared" si="26"/>
        <v>FFDFD7C0</v>
      </c>
      <c r="D583" t="s">
        <v>141</v>
      </c>
      <c r="E583">
        <v>17</v>
      </c>
      <c r="H583">
        <v>256</v>
      </c>
      <c r="I583" t="s">
        <v>142</v>
      </c>
      <c r="J583" t="s">
        <v>143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>"20:14:30.289"</f>
        <v>20:14:30.289</v>
      </c>
      <c r="T583" t="str">
        <f>"20:14:29.489"</f>
        <v>20:14:29.489</v>
      </c>
      <c r="U583" t="str">
        <f t="shared" si="28"/>
        <v>AB01F4</v>
      </c>
      <c r="V583">
        <v>0</v>
      </c>
      <c r="W583">
        <v>0</v>
      </c>
      <c r="X583">
        <v>1</v>
      </c>
      <c r="Z583">
        <v>0</v>
      </c>
      <c r="AA583">
        <v>9</v>
      </c>
      <c r="AB583">
        <v>3</v>
      </c>
      <c r="AC583">
        <v>0</v>
      </c>
      <c r="AD583">
        <v>10</v>
      </c>
      <c r="AE583">
        <v>0</v>
      </c>
      <c r="AF583">
        <v>3</v>
      </c>
      <c r="AG583">
        <v>2</v>
      </c>
      <c r="AH583">
        <v>0</v>
      </c>
      <c r="AI583" t="s">
        <v>526</v>
      </c>
      <c r="AJ583">
        <v>39.597794999999998</v>
      </c>
      <c r="AK583" t="s">
        <v>527</v>
      </c>
      <c r="AL583">
        <v>-92.498831999999993</v>
      </c>
      <c r="AM583">
        <v>100</v>
      </c>
      <c r="AN583">
        <v>1900</v>
      </c>
      <c r="AO583" t="s">
        <v>118</v>
      </c>
      <c r="AP583">
        <v>-13</v>
      </c>
      <c r="AQ583">
        <v>138</v>
      </c>
      <c r="AR583">
        <v>-192</v>
      </c>
      <c r="AZ583">
        <v>1200</v>
      </c>
      <c r="BA583">
        <v>1</v>
      </c>
      <c r="BB583" t="str">
        <f t="shared" si="27"/>
        <v xml:space="preserve">N8080G  </v>
      </c>
      <c r="BC583">
        <v>1</v>
      </c>
      <c r="BE583">
        <v>0</v>
      </c>
      <c r="BF583">
        <v>0</v>
      </c>
      <c r="BG583">
        <v>0</v>
      </c>
      <c r="BH583">
        <v>1800</v>
      </c>
      <c r="BI583">
        <v>1</v>
      </c>
      <c r="BJ583">
        <v>1</v>
      </c>
      <c r="BK583">
        <v>1</v>
      </c>
      <c r="BL583">
        <v>0</v>
      </c>
      <c r="BO583">
        <v>0</v>
      </c>
      <c r="BP583">
        <v>0</v>
      </c>
      <c r="BW583" t="str">
        <f>"20:14:30.292"</f>
        <v>20:14:30.292</v>
      </c>
      <c r="BZ583">
        <v>0</v>
      </c>
      <c r="CA583">
        <v>2016</v>
      </c>
      <c r="CB583">
        <v>224</v>
      </c>
      <c r="CD583">
        <v>1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2</v>
      </c>
      <c r="CL583">
        <v>0</v>
      </c>
      <c r="CM583">
        <v>2</v>
      </c>
      <c r="CN583">
        <v>0</v>
      </c>
      <c r="CO583">
        <v>5</v>
      </c>
      <c r="CP583" t="s">
        <v>119</v>
      </c>
      <c r="CQ583">
        <v>559</v>
      </c>
      <c r="CR583">
        <v>0</v>
      </c>
      <c r="CW583">
        <v>10415375</v>
      </c>
      <c r="CY583">
        <v>1</v>
      </c>
      <c r="CZ583">
        <v>0</v>
      </c>
      <c r="DA583">
        <v>1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</row>
    <row r="584" spans="1:113" x14ac:dyDescent="0.3">
      <c r="A584" t="str">
        <f>"02/08/2021 20:14:28.970"</f>
        <v>02/08/2021 20:14:28.970</v>
      </c>
      <c r="C584" t="str">
        <f t="shared" si="26"/>
        <v>FFDFD7C0</v>
      </c>
      <c r="D584" t="s">
        <v>124</v>
      </c>
      <c r="E584">
        <v>13</v>
      </c>
      <c r="F584">
        <v>1013</v>
      </c>
      <c r="G584" t="s">
        <v>114</v>
      </c>
      <c r="J584" t="s">
        <v>125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>"20:14:31.289"</f>
        <v>20:14:31.289</v>
      </c>
      <c r="T584" t="str">
        <f>"20:14:30.889"</f>
        <v>20:14:30.889</v>
      </c>
      <c r="U584" t="str">
        <f t="shared" si="28"/>
        <v>AB01F4</v>
      </c>
      <c r="V584">
        <v>0</v>
      </c>
      <c r="W584">
        <v>0</v>
      </c>
      <c r="X584">
        <v>1</v>
      </c>
      <c r="Z584">
        <v>0</v>
      </c>
      <c r="AA584">
        <v>9</v>
      </c>
      <c r="AB584">
        <v>3</v>
      </c>
      <c r="AC584">
        <v>0</v>
      </c>
      <c r="AD584">
        <v>10</v>
      </c>
      <c r="AE584">
        <v>0</v>
      </c>
      <c r="AF584">
        <v>3</v>
      </c>
      <c r="AG584">
        <v>2</v>
      </c>
      <c r="AH584">
        <v>0</v>
      </c>
      <c r="AI584" t="s">
        <v>528</v>
      </c>
      <c r="AJ584">
        <v>39.598460000000003</v>
      </c>
      <c r="AK584" t="s">
        <v>529</v>
      </c>
      <c r="AL584">
        <v>-92.498896000000002</v>
      </c>
      <c r="AM584">
        <v>100</v>
      </c>
      <c r="AN584">
        <v>1800</v>
      </c>
      <c r="AO584" t="s">
        <v>118</v>
      </c>
      <c r="AP584">
        <v>-13</v>
      </c>
      <c r="AQ584">
        <v>138</v>
      </c>
      <c r="AR584">
        <v>-192</v>
      </c>
      <c r="AZ584">
        <v>1200</v>
      </c>
      <c r="BA584">
        <v>1</v>
      </c>
      <c r="BB584" t="str">
        <f t="shared" si="27"/>
        <v xml:space="preserve">N8080G  </v>
      </c>
      <c r="BC584">
        <v>1</v>
      </c>
      <c r="BE584">
        <v>0</v>
      </c>
      <c r="BF584">
        <v>0</v>
      </c>
      <c r="BG584">
        <v>0</v>
      </c>
      <c r="BH584">
        <v>1800</v>
      </c>
      <c r="BI584">
        <v>1</v>
      </c>
      <c r="BJ584">
        <v>1</v>
      </c>
      <c r="BK584">
        <v>1</v>
      </c>
      <c r="BL584">
        <v>0</v>
      </c>
      <c r="BO584">
        <v>0</v>
      </c>
      <c r="BP584">
        <v>0</v>
      </c>
      <c r="BW584" t="str">
        <f>"20:14:31.291"</f>
        <v>20:14:31.291</v>
      </c>
      <c r="BZ584">
        <v>0</v>
      </c>
      <c r="CA584">
        <v>2016</v>
      </c>
      <c r="CB584">
        <v>224</v>
      </c>
      <c r="CD584">
        <v>1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2</v>
      </c>
      <c r="CL584">
        <v>0</v>
      </c>
      <c r="CM584">
        <v>2</v>
      </c>
      <c r="CN584">
        <v>0</v>
      </c>
      <c r="CO584">
        <v>5</v>
      </c>
      <c r="CP584" t="s">
        <v>119</v>
      </c>
      <c r="CQ584">
        <v>559</v>
      </c>
      <c r="CR584">
        <v>0</v>
      </c>
      <c r="CW584">
        <v>10415531</v>
      </c>
      <c r="CY584">
        <v>1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</row>
    <row r="585" spans="1:113" x14ac:dyDescent="0.3">
      <c r="A585" t="str">
        <f>"02/08/2021 20:14:28.970"</f>
        <v>02/08/2021 20:14:28.970</v>
      </c>
      <c r="C585" t="str">
        <f t="shared" ref="C585:C648" si="29">"FFDFD7C0"</f>
        <v>FFDFD7C0</v>
      </c>
      <c r="D585" t="s">
        <v>113</v>
      </c>
      <c r="E585">
        <v>6</v>
      </c>
      <c r="H585">
        <v>165</v>
      </c>
      <c r="I585" t="s">
        <v>114</v>
      </c>
      <c r="J585" t="s">
        <v>115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>"20:14:31.289"</f>
        <v>20:14:31.289</v>
      </c>
      <c r="T585" t="str">
        <f>"20:14:30.889"</f>
        <v>20:14:30.889</v>
      </c>
      <c r="U585" t="str">
        <f t="shared" si="28"/>
        <v>AB01F4</v>
      </c>
      <c r="V585">
        <v>0</v>
      </c>
      <c r="W585">
        <v>0</v>
      </c>
      <c r="X585">
        <v>1</v>
      </c>
      <c r="Z585">
        <v>0</v>
      </c>
      <c r="AA585">
        <v>9</v>
      </c>
      <c r="AB585">
        <v>3</v>
      </c>
      <c r="AC585">
        <v>0</v>
      </c>
      <c r="AD585">
        <v>10</v>
      </c>
      <c r="AE585">
        <v>0</v>
      </c>
      <c r="AF585">
        <v>3</v>
      </c>
      <c r="AG585">
        <v>2</v>
      </c>
      <c r="AH585">
        <v>0</v>
      </c>
      <c r="AI585" t="s">
        <v>528</v>
      </c>
      <c r="AJ585">
        <v>39.598460000000003</v>
      </c>
      <c r="AK585" t="s">
        <v>529</v>
      </c>
      <c r="AL585">
        <v>-92.498896000000002</v>
      </c>
      <c r="AM585">
        <v>100</v>
      </c>
      <c r="AN585">
        <v>1800</v>
      </c>
      <c r="AO585" t="s">
        <v>118</v>
      </c>
      <c r="AP585">
        <v>-13</v>
      </c>
      <c r="AQ585">
        <v>138</v>
      </c>
      <c r="AR585">
        <v>-192</v>
      </c>
      <c r="AZ585">
        <v>1200</v>
      </c>
      <c r="BA585">
        <v>1</v>
      </c>
      <c r="BB585" t="str">
        <f t="shared" si="27"/>
        <v xml:space="preserve">N8080G  </v>
      </c>
      <c r="BC585">
        <v>1</v>
      </c>
      <c r="BE585">
        <v>0</v>
      </c>
      <c r="BF585">
        <v>0</v>
      </c>
      <c r="BG585">
        <v>0</v>
      </c>
      <c r="BH585">
        <v>1800</v>
      </c>
      <c r="BI585">
        <v>1</v>
      </c>
      <c r="BJ585">
        <v>1</v>
      </c>
      <c r="BK585">
        <v>1</v>
      </c>
      <c r="BL585">
        <v>0</v>
      </c>
      <c r="BO585">
        <v>0</v>
      </c>
      <c r="BP585">
        <v>0</v>
      </c>
      <c r="BW585" t="str">
        <f>"20:14:31.291"</f>
        <v>20:14:31.291</v>
      </c>
      <c r="BZ585">
        <v>0</v>
      </c>
      <c r="CA585">
        <v>2016</v>
      </c>
      <c r="CB585">
        <v>224</v>
      </c>
      <c r="CD585">
        <v>1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2</v>
      </c>
      <c r="CL585">
        <v>0</v>
      </c>
      <c r="CM585">
        <v>2</v>
      </c>
      <c r="CN585">
        <v>0</v>
      </c>
      <c r="CO585">
        <v>5</v>
      </c>
      <c r="CP585" t="s">
        <v>119</v>
      </c>
      <c r="CQ585">
        <v>559</v>
      </c>
      <c r="CR585">
        <v>0</v>
      </c>
      <c r="CW585">
        <v>10415531</v>
      </c>
      <c r="CY585">
        <v>1</v>
      </c>
      <c r="CZ585">
        <v>0</v>
      </c>
      <c r="DA585">
        <v>1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</row>
    <row r="586" spans="1:113" x14ac:dyDescent="0.3">
      <c r="A586" t="str">
        <f>"02/08/2021 20:14:28.970"</f>
        <v>02/08/2021 20:14:28.970</v>
      </c>
      <c r="C586" t="str">
        <f t="shared" si="29"/>
        <v>FFDFD7C0</v>
      </c>
      <c r="D586" t="s">
        <v>141</v>
      </c>
      <c r="E586">
        <v>17</v>
      </c>
      <c r="H586">
        <v>256</v>
      </c>
      <c r="I586" t="s">
        <v>142</v>
      </c>
      <c r="J586" t="s">
        <v>143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>"20:14:31.289"</f>
        <v>20:14:31.289</v>
      </c>
      <c r="T586" t="str">
        <f>"20:14:30.889"</f>
        <v>20:14:30.889</v>
      </c>
      <c r="U586" t="str">
        <f t="shared" si="28"/>
        <v>AB01F4</v>
      </c>
      <c r="V586">
        <v>0</v>
      </c>
      <c r="W586">
        <v>0</v>
      </c>
      <c r="X586">
        <v>1</v>
      </c>
      <c r="Z586">
        <v>0</v>
      </c>
      <c r="AA586">
        <v>9</v>
      </c>
      <c r="AB586">
        <v>3</v>
      </c>
      <c r="AC586">
        <v>0</v>
      </c>
      <c r="AD586">
        <v>10</v>
      </c>
      <c r="AE586">
        <v>0</v>
      </c>
      <c r="AF586">
        <v>3</v>
      </c>
      <c r="AG586">
        <v>2</v>
      </c>
      <c r="AH586">
        <v>0</v>
      </c>
      <c r="AI586" t="s">
        <v>528</v>
      </c>
      <c r="AJ586">
        <v>39.598460000000003</v>
      </c>
      <c r="AK586" t="s">
        <v>529</v>
      </c>
      <c r="AL586">
        <v>-92.498896000000002</v>
      </c>
      <c r="AM586">
        <v>100</v>
      </c>
      <c r="AN586">
        <v>1800</v>
      </c>
      <c r="AO586" t="s">
        <v>118</v>
      </c>
      <c r="AP586">
        <v>-13</v>
      </c>
      <c r="AQ586">
        <v>138</v>
      </c>
      <c r="AR586">
        <v>-192</v>
      </c>
      <c r="AZ586">
        <v>1200</v>
      </c>
      <c r="BA586">
        <v>1</v>
      </c>
      <c r="BB586" t="str">
        <f t="shared" si="27"/>
        <v xml:space="preserve">N8080G  </v>
      </c>
      <c r="BC586">
        <v>1</v>
      </c>
      <c r="BE586">
        <v>0</v>
      </c>
      <c r="BF586">
        <v>0</v>
      </c>
      <c r="BG586">
        <v>0</v>
      </c>
      <c r="BH586">
        <v>1800</v>
      </c>
      <c r="BI586">
        <v>1</v>
      </c>
      <c r="BJ586">
        <v>1</v>
      </c>
      <c r="BK586">
        <v>1</v>
      </c>
      <c r="BL586">
        <v>0</v>
      </c>
      <c r="BO586">
        <v>0</v>
      </c>
      <c r="BP586">
        <v>0</v>
      </c>
      <c r="BW586" t="str">
        <f>"20:14:31.291"</f>
        <v>20:14:31.291</v>
      </c>
      <c r="BZ586">
        <v>0</v>
      </c>
      <c r="CA586">
        <v>2016</v>
      </c>
      <c r="CB586">
        <v>224</v>
      </c>
      <c r="CD586">
        <v>1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2</v>
      </c>
      <c r="CL586">
        <v>0</v>
      </c>
      <c r="CM586">
        <v>2</v>
      </c>
      <c r="CN586">
        <v>0</v>
      </c>
      <c r="CO586">
        <v>5</v>
      </c>
      <c r="CP586" t="s">
        <v>119</v>
      </c>
      <c r="CQ586">
        <v>559</v>
      </c>
      <c r="CR586">
        <v>0</v>
      </c>
      <c r="CW586">
        <v>10415531</v>
      </c>
      <c r="CY586">
        <v>1</v>
      </c>
      <c r="CZ586">
        <v>0</v>
      </c>
      <c r="DA586">
        <v>1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</row>
    <row r="587" spans="1:113" x14ac:dyDescent="0.3">
      <c r="A587" t="str">
        <f>"02/08/2021 20:14:29.982"</f>
        <v>02/08/2021 20:14:29.982</v>
      </c>
      <c r="C587" t="str">
        <f t="shared" si="29"/>
        <v>FFDFD7C0</v>
      </c>
      <c r="D587" t="s">
        <v>113</v>
      </c>
      <c r="E587">
        <v>6</v>
      </c>
      <c r="H587">
        <v>165</v>
      </c>
      <c r="I587" t="s">
        <v>114</v>
      </c>
      <c r="J587" t="s">
        <v>115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>"20:14:32.305"</f>
        <v>20:14:32.305</v>
      </c>
      <c r="T587" t="str">
        <f>"20:14:31.805"</f>
        <v>20:14:31.805</v>
      </c>
      <c r="U587" t="str">
        <f t="shared" si="28"/>
        <v>AB01F4</v>
      </c>
      <c r="V587">
        <v>0</v>
      </c>
      <c r="W587">
        <v>0</v>
      </c>
      <c r="X587">
        <v>1</v>
      </c>
      <c r="Z587">
        <v>0</v>
      </c>
      <c r="AA587">
        <v>9</v>
      </c>
      <c r="AB587">
        <v>3</v>
      </c>
      <c r="AC587">
        <v>0</v>
      </c>
      <c r="AD587">
        <v>10</v>
      </c>
      <c r="AE587">
        <v>0</v>
      </c>
      <c r="AF587">
        <v>3</v>
      </c>
      <c r="AG587">
        <v>2</v>
      </c>
      <c r="AH587">
        <v>0</v>
      </c>
      <c r="AI587" t="s">
        <v>530</v>
      </c>
      <c r="AJ587">
        <v>39.599167999999999</v>
      </c>
      <c r="AK587" t="s">
        <v>531</v>
      </c>
      <c r="AL587">
        <v>-92.499025000000003</v>
      </c>
      <c r="AM587">
        <v>100</v>
      </c>
      <c r="AN587">
        <v>1800</v>
      </c>
      <c r="AO587" t="s">
        <v>118</v>
      </c>
      <c r="AP587">
        <v>-13</v>
      </c>
      <c r="AQ587">
        <v>138</v>
      </c>
      <c r="AR587">
        <v>-192</v>
      </c>
      <c r="AZ587">
        <v>1200</v>
      </c>
      <c r="BA587">
        <v>1</v>
      </c>
      <c r="BB587" t="str">
        <f t="shared" si="27"/>
        <v xml:space="preserve">N8080G  </v>
      </c>
      <c r="BC587">
        <v>1</v>
      </c>
      <c r="BE587">
        <v>0</v>
      </c>
      <c r="BF587">
        <v>0</v>
      </c>
      <c r="BG587">
        <v>0</v>
      </c>
      <c r="BH587">
        <v>1800</v>
      </c>
      <c r="BI587">
        <v>1</v>
      </c>
      <c r="BJ587">
        <v>1</v>
      </c>
      <c r="BK587">
        <v>1</v>
      </c>
      <c r="BL587">
        <v>0</v>
      </c>
      <c r="BO587">
        <v>0</v>
      </c>
      <c r="BP587">
        <v>0</v>
      </c>
      <c r="BW587" t="str">
        <f>"20:14:32.309"</f>
        <v>20:14:32.309</v>
      </c>
      <c r="BZ587">
        <v>0</v>
      </c>
      <c r="CA587">
        <v>2016</v>
      </c>
      <c r="CB587">
        <v>224</v>
      </c>
      <c r="CD587">
        <v>1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2</v>
      </c>
      <c r="CL587">
        <v>0</v>
      </c>
      <c r="CM587">
        <v>2</v>
      </c>
      <c r="CN587">
        <v>0</v>
      </c>
      <c r="CO587">
        <v>6</v>
      </c>
      <c r="CP587" t="s">
        <v>119</v>
      </c>
      <c r="CQ587">
        <v>180</v>
      </c>
      <c r="CR587">
        <v>1</v>
      </c>
      <c r="CW587">
        <v>10434020</v>
      </c>
      <c r="CY587">
        <v>1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</row>
    <row r="588" spans="1:113" x14ac:dyDescent="0.3">
      <c r="A588" t="str">
        <f>"02/08/2021 20:14:29.982"</f>
        <v>02/08/2021 20:14:29.982</v>
      </c>
      <c r="C588" t="str">
        <f t="shared" si="29"/>
        <v>FFDFD7C0</v>
      </c>
      <c r="D588" t="s">
        <v>141</v>
      </c>
      <c r="E588">
        <v>17</v>
      </c>
      <c r="H588">
        <v>256</v>
      </c>
      <c r="I588" t="s">
        <v>142</v>
      </c>
      <c r="J588" t="s">
        <v>143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>"20:14:32.305"</f>
        <v>20:14:32.305</v>
      </c>
      <c r="T588" t="str">
        <f>"20:14:31.805"</f>
        <v>20:14:31.805</v>
      </c>
      <c r="U588" t="str">
        <f t="shared" si="28"/>
        <v>AB01F4</v>
      </c>
      <c r="V588">
        <v>0</v>
      </c>
      <c r="W588">
        <v>0</v>
      </c>
      <c r="X588">
        <v>1</v>
      </c>
      <c r="Z588">
        <v>0</v>
      </c>
      <c r="AA588">
        <v>9</v>
      </c>
      <c r="AB588">
        <v>3</v>
      </c>
      <c r="AC588">
        <v>0</v>
      </c>
      <c r="AD588">
        <v>10</v>
      </c>
      <c r="AE588">
        <v>0</v>
      </c>
      <c r="AF588">
        <v>3</v>
      </c>
      <c r="AG588">
        <v>2</v>
      </c>
      <c r="AH588">
        <v>0</v>
      </c>
      <c r="AI588" t="s">
        <v>530</v>
      </c>
      <c r="AJ588">
        <v>39.599167999999999</v>
      </c>
      <c r="AK588" t="s">
        <v>531</v>
      </c>
      <c r="AL588">
        <v>-92.499025000000003</v>
      </c>
      <c r="AM588">
        <v>100</v>
      </c>
      <c r="AN588">
        <v>1800</v>
      </c>
      <c r="AO588" t="s">
        <v>118</v>
      </c>
      <c r="AP588">
        <v>-13</v>
      </c>
      <c r="AQ588">
        <v>138</v>
      </c>
      <c r="AR588">
        <v>-192</v>
      </c>
      <c r="AZ588">
        <v>1200</v>
      </c>
      <c r="BA588">
        <v>1</v>
      </c>
      <c r="BB588" t="str">
        <f t="shared" si="27"/>
        <v xml:space="preserve">N8080G  </v>
      </c>
      <c r="BC588">
        <v>1</v>
      </c>
      <c r="BE588">
        <v>0</v>
      </c>
      <c r="BF588">
        <v>0</v>
      </c>
      <c r="BG588">
        <v>0</v>
      </c>
      <c r="BH588">
        <v>1800</v>
      </c>
      <c r="BI588">
        <v>1</v>
      </c>
      <c r="BJ588">
        <v>1</v>
      </c>
      <c r="BK588">
        <v>1</v>
      </c>
      <c r="BL588">
        <v>0</v>
      </c>
      <c r="BO588">
        <v>0</v>
      </c>
      <c r="BP588">
        <v>0</v>
      </c>
      <c r="BW588" t="str">
        <f>"20:14:32.309"</f>
        <v>20:14:32.309</v>
      </c>
      <c r="BZ588">
        <v>0</v>
      </c>
      <c r="CA588">
        <v>2016</v>
      </c>
      <c r="CB588">
        <v>224</v>
      </c>
      <c r="CD588">
        <v>1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2</v>
      </c>
      <c r="CL588">
        <v>0</v>
      </c>
      <c r="CM588">
        <v>2</v>
      </c>
      <c r="CN588">
        <v>0</v>
      </c>
      <c r="CO588">
        <v>5</v>
      </c>
      <c r="CP588" t="s">
        <v>119</v>
      </c>
      <c r="CQ588">
        <v>559</v>
      </c>
      <c r="CR588">
        <v>0</v>
      </c>
      <c r="CW588">
        <v>10415692</v>
      </c>
      <c r="CY588">
        <v>1</v>
      </c>
      <c r="CZ588">
        <v>0</v>
      </c>
      <c r="DA588">
        <v>1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</row>
    <row r="589" spans="1:113" x14ac:dyDescent="0.3">
      <c r="A589" t="str">
        <f>"02/08/2021 20:14:29.982"</f>
        <v>02/08/2021 20:14:29.982</v>
      </c>
      <c r="C589" t="str">
        <f t="shared" si="29"/>
        <v>FFDFD7C0</v>
      </c>
      <c r="D589" t="s">
        <v>124</v>
      </c>
      <c r="E589">
        <v>13</v>
      </c>
      <c r="F589">
        <v>1013</v>
      </c>
      <c r="G589" t="s">
        <v>114</v>
      </c>
      <c r="J589" t="s">
        <v>125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>"20:14:32.305"</f>
        <v>20:14:32.305</v>
      </c>
      <c r="T589" t="str">
        <f>"20:14:31.805"</f>
        <v>20:14:31.805</v>
      </c>
      <c r="U589" t="str">
        <f t="shared" si="28"/>
        <v>AB01F4</v>
      </c>
      <c r="V589">
        <v>0</v>
      </c>
      <c r="W589">
        <v>0</v>
      </c>
      <c r="X589">
        <v>1</v>
      </c>
      <c r="Z589">
        <v>0</v>
      </c>
      <c r="AA589">
        <v>9</v>
      </c>
      <c r="AB589">
        <v>3</v>
      </c>
      <c r="AC589">
        <v>0</v>
      </c>
      <c r="AD589">
        <v>10</v>
      </c>
      <c r="AE589">
        <v>0</v>
      </c>
      <c r="AF589">
        <v>3</v>
      </c>
      <c r="AG589">
        <v>2</v>
      </c>
      <c r="AH589">
        <v>0</v>
      </c>
      <c r="AI589" t="s">
        <v>530</v>
      </c>
      <c r="AJ589">
        <v>39.599167999999999</v>
      </c>
      <c r="AK589" t="s">
        <v>531</v>
      </c>
      <c r="AL589">
        <v>-92.499025000000003</v>
      </c>
      <c r="AM589">
        <v>100</v>
      </c>
      <c r="AN589">
        <v>1800</v>
      </c>
      <c r="AO589" t="s">
        <v>118</v>
      </c>
      <c r="AP589">
        <v>-13</v>
      </c>
      <c r="AQ589">
        <v>138</v>
      </c>
      <c r="AR589">
        <v>-192</v>
      </c>
      <c r="AZ589">
        <v>1200</v>
      </c>
      <c r="BA589">
        <v>1</v>
      </c>
      <c r="BB589" t="str">
        <f t="shared" si="27"/>
        <v xml:space="preserve">N8080G  </v>
      </c>
      <c r="BC589">
        <v>1</v>
      </c>
      <c r="BE589">
        <v>0</v>
      </c>
      <c r="BF589">
        <v>0</v>
      </c>
      <c r="BG589">
        <v>0</v>
      </c>
      <c r="BH589">
        <v>1800</v>
      </c>
      <c r="BI589">
        <v>1</v>
      </c>
      <c r="BJ589">
        <v>1</v>
      </c>
      <c r="BK589">
        <v>1</v>
      </c>
      <c r="BL589">
        <v>0</v>
      </c>
      <c r="BO589">
        <v>0</v>
      </c>
      <c r="BP589">
        <v>0</v>
      </c>
      <c r="BW589" t="str">
        <f>"20:14:32.309"</f>
        <v>20:14:32.309</v>
      </c>
      <c r="BZ589">
        <v>0</v>
      </c>
      <c r="CA589">
        <v>2016</v>
      </c>
      <c r="CB589">
        <v>224</v>
      </c>
      <c r="CD589">
        <v>1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2</v>
      </c>
      <c r="CL589">
        <v>0</v>
      </c>
      <c r="CM589">
        <v>2</v>
      </c>
      <c r="CN589">
        <v>0</v>
      </c>
      <c r="CO589">
        <v>6</v>
      </c>
      <c r="CP589" t="s">
        <v>119</v>
      </c>
      <c r="CQ589">
        <v>180</v>
      </c>
      <c r="CR589">
        <v>1</v>
      </c>
      <c r="CW589">
        <v>10434020</v>
      </c>
      <c r="CY589">
        <v>1</v>
      </c>
      <c r="CZ589">
        <v>0</v>
      </c>
      <c r="DA589">
        <v>1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</row>
    <row r="590" spans="1:113" x14ac:dyDescent="0.3">
      <c r="A590" t="str">
        <f>"02/08/2021 20:14:31.044"</f>
        <v>02/08/2021 20:14:31.044</v>
      </c>
      <c r="C590" t="str">
        <f t="shared" si="29"/>
        <v>FFDFD7C0</v>
      </c>
      <c r="D590" t="s">
        <v>113</v>
      </c>
      <c r="E590">
        <v>6</v>
      </c>
      <c r="H590">
        <v>165</v>
      </c>
      <c r="I590" t="s">
        <v>114</v>
      </c>
      <c r="J590" t="s">
        <v>115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>"20:14:33.391"</f>
        <v>20:14:33.391</v>
      </c>
      <c r="U590" t="str">
        <f t="shared" si="28"/>
        <v>AB01F4</v>
      </c>
      <c r="V590">
        <v>0</v>
      </c>
      <c r="W590">
        <v>0</v>
      </c>
      <c r="X590">
        <v>1</v>
      </c>
      <c r="Z590">
        <v>0</v>
      </c>
      <c r="AA590">
        <v>9</v>
      </c>
      <c r="AB590">
        <v>3</v>
      </c>
      <c r="AC590">
        <v>0</v>
      </c>
      <c r="AD590">
        <v>10</v>
      </c>
      <c r="AE590">
        <v>0</v>
      </c>
      <c r="AF590">
        <v>3</v>
      </c>
      <c r="AG590">
        <v>2</v>
      </c>
      <c r="AH590">
        <v>0</v>
      </c>
      <c r="AI590" t="s">
        <v>532</v>
      </c>
      <c r="AJ590">
        <v>39.599812</v>
      </c>
      <c r="AK590" t="s">
        <v>533</v>
      </c>
      <c r="AL590">
        <v>-92.499088999999998</v>
      </c>
      <c r="AM590">
        <v>100</v>
      </c>
      <c r="AN590">
        <v>1800</v>
      </c>
      <c r="AO590" t="s">
        <v>118</v>
      </c>
      <c r="AP590">
        <v>-12</v>
      </c>
      <c r="AQ590">
        <v>138</v>
      </c>
      <c r="AR590">
        <v>-192</v>
      </c>
      <c r="AZ590">
        <v>1200</v>
      </c>
      <c r="BA590">
        <v>1</v>
      </c>
      <c r="BB590" t="str">
        <f t="shared" si="27"/>
        <v xml:space="preserve">N8080G  </v>
      </c>
      <c r="BC590">
        <v>1</v>
      </c>
      <c r="BE590">
        <v>0</v>
      </c>
      <c r="BF590">
        <v>0</v>
      </c>
      <c r="BG590">
        <v>0</v>
      </c>
      <c r="BH590">
        <v>1775</v>
      </c>
      <c r="BI590">
        <v>1</v>
      </c>
      <c r="BJ590">
        <v>1</v>
      </c>
      <c r="BK590">
        <v>1</v>
      </c>
      <c r="BL590">
        <v>0</v>
      </c>
      <c r="BO590">
        <v>0</v>
      </c>
      <c r="BP590">
        <v>0</v>
      </c>
      <c r="BW590" t="str">
        <f>"20:14:33.392"</f>
        <v>20:14:33.392</v>
      </c>
      <c r="BZ590">
        <v>0</v>
      </c>
      <c r="CA590">
        <v>2016</v>
      </c>
      <c r="CB590">
        <v>224</v>
      </c>
      <c r="CD590">
        <v>1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2</v>
      </c>
      <c r="CL590">
        <v>0</v>
      </c>
      <c r="CM590">
        <v>2</v>
      </c>
      <c r="CN590">
        <v>0</v>
      </c>
      <c r="CO590">
        <v>5</v>
      </c>
      <c r="CP590" t="s">
        <v>119</v>
      </c>
      <c r="CQ590">
        <v>559</v>
      </c>
      <c r="CR590">
        <v>0</v>
      </c>
      <c r="CW590">
        <v>10415855</v>
      </c>
      <c r="CY590">
        <v>1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</row>
    <row r="591" spans="1:113" x14ac:dyDescent="0.3">
      <c r="A591" t="str">
        <f>"02/08/2021 20:14:31.044"</f>
        <v>02/08/2021 20:14:31.044</v>
      </c>
      <c r="C591" t="str">
        <f t="shared" si="29"/>
        <v>FFDFD7C0</v>
      </c>
      <c r="D591" t="s">
        <v>141</v>
      </c>
      <c r="E591">
        <v>17</v>
      </c>
      <c r="H591">
        <v>256</v>
      </c>
      <c r="I591" t="s">
        <v>142</v>
      </c>
      <c r="J591" t="s">
        <v>143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>"20:14:33.391"</f>
        <v>20:14:33.391</v>
      </c>
      <c r="U591" t="str">
        <f t="shared" si="28"/>
        <v>AB01F4</v>
      </c>
      <c r="V591">
        <v>0</v>
      </c>
      <c r="W591">
        <v>0</v>
      </c>
      <c r="X591">
        <v>1</v>
      </c>
      <c r="Z591">
        <v>0</v>
      </c>
      <c r="AA591">
        <v>9</v>
      </c>
      <c r="AB591">
        <v>3</v>
      </c>
      <c r="AC591">
        <v>0</v>
      </c>
      <c r="AD591">
        <v>10</v>
      </c>
      <c r="AE591">
        <v>0</v>
      </c>
      <c r="AF591">
        <v>3</v>
      </c>
      <c r="AG591">
        <v>2</v>
      </c>
      <c r="AH591">
        <v>0</v>
      </c>
      <c r="AI591" t="s">
        <v>532</v>
      </c>
      <c r="AJ591">
        <v>39.599812</v>
      </c>
      <c r="AK591" t="s">
        <v>533</v>
      </c>
      <c r="AL591">
        <v>-92.499088999999998</v>
      </c>
      <c r="AM591">
        <v>100</v>
      </c>
      <c r="AN591">
        <v>1800</v>
      </c>
      <c r="AO591" t="s">
        <v>118</v>
      </c>
      <c r="AP591">
        <v>-12</v>
      </c>
      <c r="AQ591">
        <v>138</v>
      </c>
      <c r="AR591">
        <v>-192</v>
      </c>
      <c r="AZ591">
        <v>1200</v>
      </c>
      <c r="BA591">
        <v>1</v>
      </c>
      <c r="BB591" t="str">
        <f t="shared" ref="BB591:BB654" si="30">"N8080G  "</f>
        <v xml:space="preserve">N8080G  </v>
      </c>
      <c r="BC591">
        <v>1</v>
      </c>
      <c r="BE591">
        <v>0</v>
      </c>
      <c r="BF591">
        <v>0</v>
      </c>
      <c r="BG591">
        <v>0</v>
      </c>
      <c r="BH591">
        <v>1775</v>
      </c>
      <c r="BI591">
        <v>1</v>
      </c>
      <c r="BJ591">
        <v>1</v>
      </c>
      <c r="BK591">
        <v>1</v>
      </c>
      <c r="BL591">
        <v>0</v>
      </c>
      <c r="BO591">
        <v>0</v>
      </c>
      <c r="BP591">
        <v>0</v>
      </c>
      <c r="BW591" t="str">
        <f>"20:14:33.392"</f>
        <v>20:14:33.392</v>
      </c>
      <c r="BZ591">
        <v>0</v>
      </c>
      <c r="CA591">
        <v>2016</v>
      </c>
      <c r="CB591">
        <v>224</v>
      </c>
      <c r="CD591">
        <v>1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2</v>
      </c>
      <c r="CL591">
        <v>0</v>
      </c>
      <c r="CM591">
        <v>2</v>
      </c>
      <c r="CN591">
        <v>0</v>
      </c>
      <c r="CO591">
        <v>5</v>
      </c>
      <c r="CP591" t="s">
        <v>119</v>
      </c>
      <c r="CQ591">
        <v>559</v>
      </c>
      <c r="CR591">
        <v>0</v>
      </c>
      <c r="CW591">
        <v>10415855</v>
      </c>
      <c r="CY591">
        <v>1</v>
      </c>
      <c r="CZ591">
        <v>0</v>
      </c>
      <c r="DA591">
        <v>1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</row>
    <row r="592" spans="1:113" x14ac:dyDescent="0.3">
      <c r="A592" t="str">
        <f>"02/08/2021 20:14:31.044"</f>
        <v>02/08/2021 20:14:31.044</v>
      </c>
      <c r="C592" t="str">
        <f t="shared" si="29"/>
        <v>FFDFD7C0</v>
      </c>
      <c r="D592" t="s">
        <v>124</v>
      </c>
      <c r="E592">
        <v>13</v>
      </c>
      <c r="F592">
        <v>1013</v>
      </c>
      <c r="G592" t="s">
        <v>114</v>
      </c>
      <c r="J592" t="s">
        <v>125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>"20:14:33.391"</f>
        <v>20:14:33.391</v>
      </c>
      <c r="U592" t="str">
        <f t="shared" si="28"/>
        <v>AB01F4</v>
      </c>
      <c r="V592">
        <v>0</v>
      </c>
      <c r="W592">
        <v>0</v>
      </c>
      <c r="X592">
        <v>1</v>
      </c>
      <c r="Z592">
        <v>0</v>
      </c>
      <c r="AA592">
        <v>9</v>
      </c>
      <c r="AB592">
        <v>3</v>
      </c>
      <c r="AC592">
        <v>0</v>
      </c>
      <c r="AD592">
        <v>10</v>
      </c>
      <c r="AE592">
        <v>0</v>
      </c>
      <c r="AF592">
        <v>3</v>
      </c>
      <c r="AG592">
        <v>2</v>
      </c>
      <c r="AH592">
        <v>0</v>
      </c>
      <c r="AI592" t="s">
        <v>532</v>
      </c>
      <c r="AJ592">
        <v>39.599812</v>
      </c>
      <c r="AK592" t="s">
        <v>533</v>
      </c>
      <c r="AL592">
        <v>-92.499088999999998</v>
      </c>
      <c r="AM592">
        <v>100</v>
      </c>
      <c r="AN592">
        <v>1800</v>
      </c>
      <c r="AO592" t="s">
        <v>118</v>
      </c>
      <c r="AP592">
        <v>-12</v>
      </c>
      <c r="AQ592">
        <v>138</v>
      </c>
      <c r="AR592">
        <v>-192</v>
      </c>
      <c r="AZ592">
        <v>1200</v>
      </c>
      <c r="BA592">
        <v>1</v>
      </c>
      <c r="BB592" t="str">
        <f t="shared" si="30"/>
        <v xml:space="preserve">N8080G  </v>
      </c>
      <c r="BC592">
        <v>1</v>
      </c>
      <c r="BE592">
        <v>0</v>
      </c>
      <c r="BF592">
        <v>0</v>
      </c>
      <c r="BG592">
        <v>0</v>
      </c>
      <c r="BH592">
        <v>1775</v>
      </c>
      <c r="BI592">
        <v>1</v>
      </c>
      <c r="BJ592">
        <v>1</v>
      </c>
      <c r="BK592">
        <v>1</v>
      </c>
      <c r="BL592">
        <v>0</v>
      </c>
      <c r="BO592">
        <v>0</v>
      </c>
      <c r="BP592">
        <v>0</v>
      </c>
      <c r="BW592" t="str">
        <f>"20:14:33.392"</f>
        <v>20:14:33.392</v>
      </c>
      <c r="BZ592">
        <v>0</v>
      </c>
      <c r="CA592">
        <v>2016</v>
      </c>
      <c r="CB592">
        <v>224</v>
      </c>
      <c r="CD592">
        <v>1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2</v>
      </c>
      <c r="CL592">
        <v>0</v>
      </c>
      <c r="CM592">
        <v>2</v>
      </c>
      <c r="CN592">
        <v>0</v>
      </c>
      <c r="CO592">
        <v>5</v>
      </c>
      <c r="CP592" t="s">
        <v>119</v>
      </c>
      <c r="CQ592">
        <v>559</v>
      </c>
      <c r="CR592">
        <v>0</v>
      </c>
      <c r="CW592">
        <v>10415855</v>
      </c>
      <c r="CY592">
        <v>1</v>
      </c>
      <c r="CZ592">
        <v>0</v>
      </c>
      <c r="DA592">
        <v>1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</row>
    <row r="593" spans="1:113" x14ac:dyDescent="0.3">
      <c r="A593" t="str">
        <f>"02/08/2021 20:14:31.856"</f>
        <v>02/08/2021 20:14:31.856</v>
      </c>
      <c r="C593" t="str">
        <f t="shared" si="29"/>
        <v>FFDFD7C0</v>
      </c>
      <c r="D593" t="s">
        <v>113</v>
      </c>
      <c r="E593">
        <v>6</v>
      </c>
      <c r="H593">
        <v>165</v>
      </c>
      <c r="I593" t="s">
        <v>114</v>
      </c>
      <c r="J593" t="s">
        <v>115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>"20:14:34.227"</f>
        <v>20:14:34.227</v>
      </c>
      <c r="T593" t="str">
        <f>"20:14:33.827"</f>
        <v>20:14:33.827</v>
      </c>
      <c r="U593" t="str">
        <f t="shared" si="28"/>
        <v>AB01F4</v>
      </c>
      <c r="V593">
        <v>0</v>
      </c>
      <c r="W593">
        <v>0</v>
      </c>
      <c r="X593">
        <v>1</v>
      </c>
      <c r="Z593">
        <v>0</v>
      </c>
      <c r="AA593">
        <v>9</v>
      </c>
      <c r="AB593">
        <v>3</v>
      </c>
      <c r="AC593">
        <v>0</v>
      </c>
      <c r="AD593">
        <v>10</v>
      </c>
      <c r="AE593">
        <v>0</v>
      </c>
      <c r="AF593">
        <v>3</v>
      </c>
      <c r="AG593">
        <v>2</v>
      </c>
      <c r="AH593">
        <v>0</v>
      </c>
      <c r="AI593" t="s">
        <v>534</v>
      </c>
      <c r="AJ593">
        <v>39.600369999999998</v>
      </c>
      <c r="AK593" t="s">
        <v>535</v>
      </c>
      <c r="AL593">
        <v>-92.499154000000004</v>
      </c>
      <c r="AM593">
        <v>100</v>
      </c>
      <c r="AN593">
        <v>1800</v>
      </c>
      <c r="AO593" t="s">
        <v>118</v>
      </c>
      <c r="AP593">
        <v>-12</v>
      </c>
      <c r="AQ593">
        <v>138</v>
      </c>
      <c r="AR593">
        <v>-192</v>
      </c>
      <c r="AZ593">
        <v>1200</v>
      </c>
      <c r="BA593">
        <v>1</v>
      </c>
      <c r="BB593" t="str">
        <f t="shared" si="30"/>
        <v xml:space="preserve">N8080G  </v>
      </c>
      <c r="BC593">
        <v>1</v>
      </c>
      <c r="BE593">
        <v>0</v>
      </c>
      <c r="BF593">
        <v>0</v>
      </c>
      <c r="BG593">
        <v>0</v>
      </c>
      <c r="BH593">
        <v>1775</v>
      </c>
      <c r="BI593">
        <v>1</v>
      </c>
      <c r="BJ593">
        <v>1</v>
      </c>
      <c r="BK593">
        <v>1</v>
      </c>
      <c r="BL593">
        <v>0</v>
      </c>
      <c r="BO593">
        <v>0</v>
      </c>
      <c r="BP593">
        <v>0</v>
      </c>
      <c r="BW593" t="str">
        <f>"20:14:34.227"</f>
        <v>20:14:34.227</v>
      </c>
      <c r="BZ593">
        <v>0</v>
      </c>
      <c r="CA593">
        <v>2016</v>
      </c>
      <c r="CB593">
        <v>224</v>
      </c>
      <c r="CD593">
        <v>1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2</v>
      </c>
      <c r="CL593">
        <v>0</v>
      </c>
      <c r="CM593">
        <v>2</v>
      </c>
      <c r="CN593">
        <v>0</v>
      </c>
      <c r="CO593">
        <v>5</v>
      </c>
      <c r="CP593" t="s">
        <v>119</v>
      </c>
      <c r="CQ593">
        <v>559</v>
      </c>
      <c r="CR593">
        <v>0</v>
      </c>
      <c r="CW593">
        <v>10415978</v>
      </c>
      <c r="CY593">
        <v>1</v>
      </c>
      <c r="CZ593">
        <v>0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</row>
    <row r="594" spans="1:113" x14ac:dyDescent="0.3">
      <c r="A594" t="str">
        <f>"02/08/2021 20:14:31.856"</f>
        <v>02/08/2021 20:14:31.856</v>
      </c>
      <c r="C594" t="str">
        <f t="shared" si="29"/>
        <v>FFDFD7C0</v>
      </c>
      <c r="D594" t="s">
        <v>141</v>
      </c>
      <c r="E594">
        <v>17</v>
      </c>
      <c r="H594">
        <v>256</v>
      </c>
      <c r="I594" t="s">
        <v>142</v>
      </c>
      <c r="J594" t="s">
        <v>143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>"20:14:34.227"</f>
        <v>20:14:34.227</v>
      </c>
      <c r="T594" t="str">
        <f>"20:14:33.827"</f>
        <v>20:14:33.827</v>
      </c>
      <c r="U594" t="str">
        <f t="shared" si="28"/>
        <v>AB01F4</v>
      </c>
      <c r="V594">
        <v>0</v>
      </c>
      <c r="W594">
        <v>0</v>
      </c>
      <c r="X594">
        <v>1</v>
      </c>
      <c r="Z594">
        <v>0</v>
      </c>
      <c r="AA594">
        <v>9</v>
      </c>
      <c r="AB594">
        <v>3</v>
      </c>
      <c r="AC594">
        <v>0</v>
      </c>
      <c r="AD594">
        <v>10</v>
      </c>
      <c r="AE594">
        <v>0</v>
      </c>
      <c r="AF594">
        <v>3</v>
      </c>
      <c r="AG594">
        <v>2</v>
      </c>
      <c r="AH594">
        <v>0</v>
      </c>
      <c r="AI594" t="s">
        <v>534</v>
      </c>
      <c r="AJ594">
        <v>39.600369999999998</v>
      </c>
      <c r="AK594" t="s">
        <v>535</v>
      </c>
      <c r="AL594">
        <v>-92.499154000000004</v>
      </c>
      <c r="AM594">
        <v>100</v>
      </c>
      <c r="AN594">
        <v>1800</v>
      </c>
      <c r="AO594" t="s">
        <v>118</v>
      </c>
      <c r="AP594">
        <v>-12</v>
      </c>
      <c r="AQ594">
        <v>138</v>
      </c>
      <c r="AR594">
        <v>-192</v>
      </c>
      <c r="AZ594">
        <v>1200</v>
      </c>
      <c r="BA594">
        <v>1</v>
      </c>
      <c r="BB594" t="str">
        <f t="shared" si="30"/>
        <v xml:space="preserve">N8080G  </v>
      </c>
      <c r="BC594">
        <v>1</v>
      </c>
      <c r="BE594">
        <v>0</v>
      </c>
      <c r="BF594">
        <v>0</v>
      </c>
      <c r="BG594">
        <v>0</v>
      </c>
      <c r="BH594">
        <v>1775</v>
      </c>
      <c r="BI594">
        <v>1</v>
      </c>
      <c r="BJ594">
        <v>1</v>
      </c>
      <c r="BK594">
        <v>1</v>
      </c>
      <c r="BL594">
        <v>0</v>
      </c>
      <c r="BO594">
        <v>0</v>
      </c>
      <c r="BP594">
        <v>0</v>
      </c>
      <c r="BW594" t="str">
        <f>"20:14:34.227"</f>
        <v>20:14:34.227</v>
      </c>
      <c r="BZ594">
        <v>0</v>
      </c>
      <c r="CA594">
        <v>2016</v>
      </c>
      <c r="CB594">
        <v>224</v>
      </c>
      <c r="CD594">
        <v>1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2</v>
      </c>
      <c r="CL594">
        <v>0</v>
      </c>
      <c r="CM594">
        <v>2</v>
      </c>
      <c r="CN594">
        <v>0</v>
      </c>
      <c r="CO594">
        <v>5</v>
      </c>
      <c r="CP594" t="s">
        <v>119</v>
      </c>
      <c r="CQ594">
        <v>559</v>
      </c>
      <c r="CR594">
        <v>0</v>
      </c>
      <c r="CW594">
        <v>10415978</v>
      </c>
      <c r="CY594">
        <v>1</v>
      </c>
      <c r="CZ594">
        <v>0</v>
      </c>
      <c r="DA594">
        <v>1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</row>
    <row r="595" spans="1:113" x14ac:dyDescent="0.3">
      <c r="A595" t="str">
        <f>"02/08/2021 20:14:31.856"</f>
        <v>02/08/2021 20:14:31.856</v>
      </c>
      <c r="C595" t="str">
        <f t="shared" si="29"/>
        <v>FFDFD7C0</v>
      </c>
      <c r="D595" t="s">
        <v>124</v>
      </c>
      <c r="E595">
        <v>13</v>
      </c>
      <c r="F595">
        <v>1013</v>
      </c>
      <c r="G595" t="s">
        <v>114</v>
      </c>
      <c r="J595" t="s">
        <v>125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>"20:14:34.227"</f>
        <v>20:14:34.227</v>
      </c>
      <c r="T595" t="str">
        <f>"20:14:33.827"</f>
        <v>20:14:33.827</v>
      </c>
      <c r="U595" t="str">
        <f t="shared" si="28"/>
        <v>AB01F4</v>
      </c>
      <c r="V595">
        <v>0</v>
      </c>
      <c r="W595">
        <v>0</v>
      </c>
      <c r="X595">
        <v>1</v>
      </c>
      <c r="Z595">
        <v>0</v>
      </c>
      <c r="AA595">
        <v>9</v>
      </c>
      <c r="AB595">
        <v>3</v>
      </c>
      <c r="AC595">
        <v>0</v>
      </c>
      <c r="AD595">
        <v>10</v>
      </c>
      <c r="AE595">
        <v>0</v>
      </c>
      <c r="AF595">
        <v>3</v>
      </c>
      <c r="AG595">
        <v>2</v>
      </c>
      <c r="AH595">
        <v>0</v>
      </c>
      <c r="AI595" t="s">
        <v>534</v>
      </c>
      <c r="AJ595">
        <v>39.600369999999998</v>
      </c>
      <c r="AK595" t="s">
        <v>535</v>
      </c>
      <c r="AL595">
        <v>-92.499154000000004</v>
      </c>
      <c r="AM595">
        <v>100</v>
      </c>
      <c r="AN595">
        <v>1800</v>
      </c>
      <c r="AO595" t="s">
        <v>118</v>
      </c>
      <c r="AP595">
        <v>-12</v>
      </c>
      <c r="AQ595">
        <v>138</v>
      </c>
      <c r="AR595">
        <v>-192</v>
      </c>
      <c r="AZ595">
        <v>1200</v>
      </c>
      <c r="BA595">
        <v>1</v>
      </c>
      <c r="BB595" t="str">
        <f t="shared" si="30"/>
        <v xml:space="preserve">N8080G  </v>
      </c>
      <c r="BC595">
        <v>1</v>
      </c>
      <c r="BE595">
        <v>0</v>
      </c>
      <c r="BF595">
        <v>0</v>
      </c>
      <c r="BG595">
        <v>0</v>
      </c>
      <c r="BH595">
        <v>1775</v>
      </c>
      <c r="BI595">
        <v>1</v>
      </c>
      <c r="BJ595">
        <v>1</v>
      </c>
      <c r="BK595">
        <v>1</v>
      </c>
      <c r="BL595">
        <v>0</v>
      </c>
      <c r="BO595">
        <v>0</v>
      </c>
      <c r="BP595">
        <v>0</v>
      </c>
      <c r="BW595" t="str">
        <f>"20:14:34.227"</f>
        <v>20:14:34.227</v>
      </c>
      <c r="BZ595">
        <v>0</v>
      </c>
      <c r="CA595">
        <v>2016</v>
      </c>
      <c r="CB595">
        <v>224</v>
      </c>
      <c r="CD595">
        <v>1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2</v>
      </c>
      <c r="CL595">
        <v>0</v>
      </c>
      <c r="CM595">
        <v>2</v>
      </c>
      <c r="CN595">
        <v>0</v>
      </c>
      <c r="CO595">
        <v>5</v>
      </c>
      <c r="CP595" t="s">
        <v>119</v>
      </c>
      <c r="CQ595">
        <v>559</v>
      </c>
      <c r="CR595">
        <v>0</v>
      </c>
      <c r="CW595">
        <v>10415978</v>
      </c>
      <c r="CY595">
        <v>1</v>
      </c>
      <c r="CZ595">
        <v>0</v>
      </c>
      <c r="DA595">
        <v>1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</row>
    <row r="596" spans="1:113" x14ac:dyDescent="0.3">
      <c r="A596" t="str">
        <f>"02/08/2021 20:14:33.321"</f>
        <v>02/08/2021 20:14:33.321</v>
      </c>
      <c r="C596" t="str">
        <f t="shared" si="29"/>
        <v>FFDFD7C0</v>
      </c>
      <c r="D596" t="s">
        <v>113</v>
      </c>
      <c r="E596">
        <v>6</v>
      </c>
      <c r="H596">
        <v>165</v>
      </c>
      <c r="I596" t="s">
        <v>114</v>
      </c>
      <c r="J596" t="s">
        <v>115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>"20:14:35.641"</f>
        <v>20:14:35.641</v>
      </c>
      <c r="T596" t="str">
        <f>"20:14:35.141"</f>
        <v>20:14:35.141</v>
      </c>
      <c r="U596" t="str">
        <f t="shared" si="28"/>
        <v>AB01F4</v>
      </c>
      <c r="V596">
        <v>0</v>
      </c>
      <c r="W596">
        <v>0</v>
      </c>
      <c r="X596">
        <v>1</v>
      </c>
      <c r="Z596">
        <v>0</v>
      </c>
      <c r="AA596">
        <v>9</v>
      </c>
      <c r="AB596">
        <v>3</v>
      </c>
      <c r="AC596">
        <v>0</v>
      </c>
      <c r="AD596">
        <v>10</v>
      </c>
      <c r="AE596">
        <v>0</v>
      </c>
      <c r="AF596">
        <v>3</v>
      </c>
      <c r="AG596">
        <v>2</v>
      </c>
      <c r="AH596">
        <v>0</v>
      </c>
      <c r="AI596" t="s">
        <v>536</v>
      </c>
      <c r="AJ596">
        <v>39.601292999999998</v>
      </c>
      <c r="AK596" t="s">
        <v>537</v>
      </c>
      <c r="AL596">
        <v>-92.499261000000004</v>
      </c>
      <c r="AM596">
        <v>100</v>
      </c>
      <c r="AN596">
        <v>1800</v>
      </c>
      <c r="AO596" t="s">
        <v>118</v>
      </c>
      <c r="AP596">
        <v>-12</v>
      </c>
      <c r="AQ596">
        <v>138</v>
      </c>
      <c r="AR596">
        <v>-192</v>
      </c>
      <c r="AZ596">
        <v>1200</v>
      </c>
      <c r="BA596">
        <v>1</v>
      </c>
      <c r="BB596" t="str">
        <f t="shared" si="30"/>
        <v xml:space="preserve">N8080G  </v>
      </c>
      <c r="BC596">
        <v>1</v>
      </c>
      <c r="BE596">
        <v>0</v>
      </c>
      <c r="BF596">
        <v>0</v>
      </c>
      <c r="BG596">
        <v>0</v>
      </c>
      <c r="BH596">
        <v>1775</v>
      </c>
      <c r="BI596">
        <v>1</v>
      </c>
      <c r="BJ596">
        <v>1</v>
      </c>
      <c r="BK596">
        <v>1</v>
      </c>
      <c r="BL596">
        <v>0</v>
      </c>
      <c r="BO596">
        <v>0</v>
      </c>
      <c r="BP596">
        <v>0</v>
      </c>
      <c r="BW596" t="str">
        <f>"20:14:35.644"</f>
        <v>20:14:35.644</v>
      </c>
      <c r="BZ596">
        <v>0</v>
      </c>
      <c r="CA596">
        <v>2016</v>
      </c>
      <c r="CB596">
        <v>224</v>
      </c>
      <c r="CD596">
        <v>1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2</v>
      </c>
      <c r="CL596">
        <v>0</v>
      </c>
      <c r="CM596">
        <v>2</v>
      </c>
      <c r="CN596">
        <v>0</v>
      </c>
      <c r="CO596">
        <v>6</v>
      </c>
      <c r="CP596" t="s">
        <v>119</v>
      </c>
      <c r="CQ596">
        <v>180</v>
      </c>
      <c r="CR596">
        <v>1</v>
      </c>
      <c r="CW596">
        <v>10437064</v>
      </c>
      <c r="CY596">
        <v>1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</row>
    <row r="597" spans="1:113" x14ac:dyDescent="0.3">
      <c r="A597" t="str">
        <f>"02/08/2021 20:14:33.321"</f>
        <v>02/08/2021 20:14:33.321</v>
      </c>
      <c r="C597" t="str">
        <f t="shared" si="29"/>
        <v>FFDFD7C0</v>
      </c>
      <c r="D597" t="s">
        <v>141</v>
      </c>
      <c r="E597">
        <v>17</v>
      </c>
      <c r="H597">
        <v>256</v>
      </c>
      <c r="I597" t="s">
        <v>142</v>
      </c>
      <c r="J597" t="s">
        <v>143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>"20:14:35.641"</f>
        <v>20:14:35.641</v>
      </c>
      <c r="T597" t="str">
        <f>"20:14:35.141"</f>
        <v>20:14:35.141</v>
      </c>
      <c r="U597" t="str">
        <f t="shared" si="28"/>
        <v>AB01F4</v>
      </c>
      <c r="V597">
        <v>0</v>
      </c>
      <c r="W597">
        <v>0</v>
      </c>
      <c r="X597">
        <v>1</v>
      </c>
      <c r="Z597">
        <v>0</v>
      </c>
      <c r="AA597">
        <v>9</v>
      </c>
      <c r="AB597">
        <v>3</v>
      </c>
      <c r="AC597">
        <v>0</v>
      </c>
      <c r="AD597">
        <v>10</v>
      </c>
      <c r="AE597">
        <v>0</v>
      </c>
      <c r="AF597">
        <v>3</v>
      </c>
      <c r="AG597">
        <v>2</v>
      </c>
      <c r="AH597">
        <v>0</v>
      </c>
      <c r="AI597" t="s">
        <v>536</v>
      </c>
      <c r="AJ597">
        <v>39.601292999999998</v>
      </c>
      <c r="AK597" t="s">
        <v>537</v>
      </c>
      <c r="AL597">
        <v>-92.499261000000004</v>
      </c>
      <c r="AM597">
        <v>100</v>
      </c>
      <c r="AN597">
        <v>1800</v>
      </c>
      <c r="AO597" t="s">
        <v>118</v>
      </c>
      <c r="AP597">
        <v>-12</v>
      </c>
      <c r="AQ597">
        <v>138</v>
      </c>
      <c r="AR597">
        <v>-192</v>
      </c>
      <c r="AZ597">
        <v>1200</v>
      </c>
      <c r="BA597">
        <v>1</v>
      </c>
      <c r="BB597" t="str">
        <f t="shared" si="30"/>
        <v xml:space="preserve">N8080G  </v>
      </c>
      <c r="BC597">
        <v>1</v>
      </c>
      <c r="BE597">
        <v>0</v>
      </c>
      <c r="BF597">
        <v>0</v>
      </c>
      <c r="BG597">
        <v>0</v>
      </c>
      <c r="BH597">
        <v>1775</v>
      </c>
      <c r="BI597">
        <v>1</v>
      </c>
      <c r="BJ597">
        <v>1</v>
      </c>
      <c r="BK597">
        <v>1</v>
      </c>
      <c r="BL597">
        <v>0</v>
      </c>
      <c r="BO597">
        <v>0</v>
      </c>
      <c r="BP597">
        <v>0</v>
      </c>
      <c r="BW597" t="str">
        <f>"20:14:35.645"</f>
        <v>20:14:35.645</v>
      </c>
      <c r="BZ597">
        <v>0</v>
      </c>
      <c r="CA597">
        <v>2016</v>
      </c>
      <c r="CB597">
        <v>224</v>
      </c>
      <c r="CD597">
        <v>1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2</v>
      </c>
      <c r="CL597">
        <v>0</v>
      </c>
      <c r="CM597">
        <v>2</v>
      </c>
      <c r="CN597">
        <v>0</v>
      </c>
      <c r="CO597">
        <v>5</v>
      </c>
      <c r="CP597" t="s">
        <v>119</v>
      </c>
      <c r="CQ597">
        <v>559</v>
      </c>
      <c r="CR597">
        <v>0</v>
      </c>
      <c r="CW597">
        <v>10416207</v>
      </c>
      <c r="CY597">
        <v>1</v>
      </c>
      <c r="CZ597">
        <v>0</v>
      </c>
      <c r="DA597">
        <v>1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</row>
    <row r="598" spans="1:113" x14ac:dyDescent="0.3">
      <c r="A598" t="str">
        <f>"02/08/2021 20:14:33.321"</f>
        <v>02/08/2021 20:14:33.321</v>
      </c>
      <c r="C598" t="str">
        <f t="shared" si="29"/>
        <v>FFDFD7C0</v>
      </c>
      <c r="D598" t="s">
        <v>124</v>
      </c>
      <c r="E598">
        <v>13</v>
      </c>
      <c r="F598">
        <v>1013</v>
      </c>
      <c r="G598" t="s">
        <v>114</v>
      </c>
      <c r="J598" t="s">
        <v>125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>"20:14:35.641"</f>
        <v>20:14:35.641</v>
      </c>
      <c r="T598" t="str">
        <f>"20:14:35.141"</f>
        <v>20:14:35.141</v>
      </c>
      <c r="U598" t="str">
        <f t="shared" si="28"/>
        <v>AB01F4</v>
      </c>
      <c r="V598">
        <v>0</v>
      </c>
      <c r="W598">
        <v>0</v>
      </c>
      <c r="X598">
        <v>1</v>
      </c>
      <c r="Z598">
        <v>0</v>
      </c>
      <c r="AA598">
        <v>9</v>
      </c>
      <c r="AB598">
        <v>3</v>
      </c>
      <c r="AC598">
        <v>0</v>
      </c>
      <c r="AD598">
        <v>10</v>
      </c>
      <c r="AE598">
        <v>0</v>
      </c>
      <c r="AF598">
        <v>3</v>
      </c>
      <c r="AG598">
        <v>2</v>
      </c>
      <c r="AH598">
        <v>0</v>
      </c>
      <c r="AI598" t="s">
        <v>536</v>
      </c>
      <c r="AJ598">
        <v>39.601292999999998</v>
      </c>
      <c r="AK598" t="s">
        <v>537</v>
      </c>
      <c r="AL598">
        <v>-92.499261000000004</v>
      </c>
      <c r="AM598">
        <v>100</v>
      </c>
      <c r="AN598">
        <v>1800</v>
      </c>
      <c r="AO598" t="s">
        <v>118</v>
      </c>
      <c r="AP598">
        <v>-12</v>
      </c>
      <c r="AQ598">
        <v>138</v>
      </c>
      <c r="AR598">
        <v>-192</v>
      </c>
      <c r="AZ598">
        <v>1200</v>
      </c>
      <c r="BA598">
        <v>1</v>
      </c>
      <c r="BB598" t="str">
        <f t="shared" si="30"/>
        <v xml:space="preserve">N8080G  </v>
      </c>
      <c r="BC598">
        <v>1</v>
      </c>
      <c r="BE598">
        <v>0</v>
      </c>
      <c r="BF598">
        <v>0</v>
      </c>
      <c r="BG598">
        <v>0</v>
      </c>
      <c r="BH598">
        <v>1775</v>
      </c>
      <c r="BI598">
        <v>1</v>
      </c>
      <c r="BJ598">
        <v>1</v>
      </c>
      <c r="BK598">
        <v>1</v>
      </c>
      <c r="BL598">
        <v>0</v>
      </c>
      <c r="BO598">
        <v>0</v>
      </c>
      <c r="BP598">
        <v>0</v>
      </c>
      <c r="BW598" t="str">
        <f>"20:14:35.644"</f>
        <v>20:14:35.644</v>
      </c>
      <c r="BZ598">
        <v>0</v>
      </c>
      <c r="CA598">
        <v>2016</v>
      </c>
      <c r="CB598">
        <v>224</v>
      </c>
      <c r="CD598">
        <v>1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2</v>
      </c>
      <c r="CL598">
        <v>0</v>
      </c>
      <c r="CM598">
        <v>2</v>
      </c>
      <c r="CN598">
        <v>0</v>
      </c>
      <c r="CO598">
        <v>6</v>
      </c>
      <c r="CP598" t="s">
        <v>119</v>
      </c>
      <c r="CQ598">
        <v>180</v>
      </c>
      <c r="CR598">
        <v>1</v>
      </c>
      <c r="CW598">
        <v>10437064</v>
      </c>
      <c r="CY598">
        <v>1</v>
      </c>
      <c r="CZ598">
        <v>0</v>
      </c>
      <c r="DA598">
        <v>1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</row>
    <row r="599" spans="1:113" x14ac:dyDescent="0.3">
      <c r="A599" t="str">
        <f>"02/08/2021 20:14:34.383"</f>
        <v>02/08/2021 20:14:34.383</v>
      </c>
      <c r="C599" t="str">
        <f t="shared" si="29"/>
        <v>FFDFD7C0</v>
      </c>
      <c r="D599" t="s">
        <v>113</v>
      </c>
      <c r="E599">
        <v>6</v>
      </c>
      <c r="H599">
        <v>165</v>
      </c>
      <c r="I599" t="s">
        <v>114</v>
      </c>
      <c r="J599" t="s">
        <v>115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>"20:14:36.703"</f>
        <v>20:14:36.703</v>
      </c>
      <c r="T599" t="str">
        <f>"20:14:36.203"</f>
        <v>20:14:36.203</v>
      </c>
      <c r="U599" t="str">
        <f t="shared" si="28"/>
        <v>AB01F4</v>
      </c>
      <c r="V599">
        <v>0</v>
      </c>
      <c r="W599">
        <v>0</v>
      </c>
      <c r="X599">
        <v>1</v>
      </c>
      <c r="Z599">
        <v>0</v>
      </c>
      <c r="AA599">
        <v>9</v>
      </c>
      <c r="AB599">
        <v>3</v>
      </c>
      <c r="AC599">
        <v>0</v>
      </c>
      <c r="AD599">
        <v>10</v>
      </c>
      <c r="AE599">
        <v>0</v>
      </c>
      <c r="AF599">
        <v>3</v>
      </c>
      <c r="AG599">
        <v>2</v>
      </c>
      <c r="AH599">
        <v>0</v>
      </c>
      <c r="AI599" t="s">
        <v>538</v>
      </c>
      <c r="AJ599">
        <v>39.601892999999997</v>
      </c>
      <c r="AK599" t="s">
        <v>539</v>
      </c>
      <c r="AL599">
        <v>-92.499324999999999</v>
      </c>
      <c r="AM599">
        <v>100</v>
      </c>
      <c r="AN599">
        <v>1800</v>
      </c>
      <c r="AO599" t="s">
        <v>118</v>
      </c>
      <c r="AP599">
        <v>-11</v>
      </c>
      <c r="AQ599">
        <v>138</v>
      </c>
      <c r="AR599">
        <v>-192</v>
      </c>
      <c r="AZ599">
        <v>1200</v>
      </c>
      <c r="BA599">
        <v>1</v>
      </c>
      <c r="BB599" t="str">
        <f t="shared" si="30"/>
        <v xml:space="preserve">N8080G  </v>
      </c>
      <c r="BC599">
        <v>1</v>
      </c>
      <c r="BE599">
        <v>0</v>
      </c>
      <c r="BF599">
        <v>0</v>
      </c>
      <c r="BG599">
        <v>0</v>
      </c>
      <c r="BH599">
        <v>1775</v>
      </c>
      <c r="BI599">
        <v>1</v>
      </c>
      <c r="BJ599">
        <v>1</v>
      </c>
      <c r="BK599">
        <v>1</v>
      </c>
      <c r="BL599">
        <v>0</v>
      </c>
      <c r="BO599">
        <v>0</v>
      </c>
      <c r="BP599">
        <v>0</v>
      </c>
      <c r="BW599" t="str">
        <f>"20:14:36.706"</f>
        <v>20:14:36.706</v>
      </c>
      <c r="BZ599">
        <v>0</v>
      </c>
      <c r="CA599">
        <v>2016</v>
      </c>
      <c r="CB599">
        <v>224</v>
      </c>
      <c r="CD599">
        <v>1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2</v>
      </c>
      <c r="CL599">
        <v>0</v>
      </c>
      <c r="CM599">
        <v>2</v>
      </c>
      <c r="CN599">
        <v>0</v>
      </c>
      <c r="CO599">
        <v>6</v>
      </c>
      <c r="CP599" t="s">
        <v>119</v>
      </c>
      <c r="CQ599">
        <v>180</v>
      </c>
      <c r="CR599">
        <v>1</v>
      </c>
      <c r="CW599">
        <v>10438032</v>
      </c>
      <c r="CY599">
        <v>1</v>
      </c>
      <c r="CZ599">
        <v>0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</row>
    <row r="600" spans="1:113" x14ac:dyDescent="0.3">
      <c r="A600" t="str">
        <f>"02/08/2021 20:14:34.383"</f>
        <v>02/08/2021 20:14:34.383</v>
      </c>
      <c r="C600" t="str">
        <f t="shared" si="29"/>
        <v>FFDFD7C0</v>
      </c>
      <c r="D600" t="s">
        <v>141</v>
      </c>
      <c r="E600">
        <v>17</v>
      </c>
      <c r="H600">
        <v>256</v>
      </c>
      <c r="I600" t="s">
        <v>142</v>
      </c>
      <c r="J600" t="s">
        <v>143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>"20:14:36.703"</f>
        <v>20:14:36.703</v>
      </c>
      <c r="T600" t="str">
        <f>"20:14:36.203"</f>
        <v>20:14:36.203</v>
      </c>
      <c r="U600" t="str">
        <f t="shared" si="28"/>
        <v>AB01F4</v>
      </c>
      <c r="V600">
        <v>0</v>
      </c>
      <c r="W600">
        <v>0</v>
      </c>
      <c r="X600">
        <v>1</v>
      </c>
      <c r="Z600">
        <v>0</v>
      </c>
      <c r="AA600">
        <v>9</v>
      </c>
      <c r="AB600">
        <v>3</v>
      </c>
      <c r="AC600">
        <v>0</v>
      </c>
      <c r="AD600">
        <v>10</v>
      </c>
      <c r="AE600">
        <v>0</v>
      </c>
      <c r="AF600">
        <v>3</v>
      </c>
      <c r="AG600">
        <v>2</v>
      </c>
      <c r="AH600">
        <v>0</v>
      </c>
      <c r="AI600" t="s">
        <v>538</v>
      </c>
      <c r="AJ600">
        <v>39.601892999999997</v>
      </c>
      <c r="AK600" t="s">
        <v>539</v>
      </c>
      <c r="AL600">
        <v>-92.499324999999999</v>
      </c>
      <c r="AM600">
        <v>100</v>
      </c>
      <c r="AN600">
        <v>1800</v>
      </c>
      <c r="AO600" t="s">
        <v>118</v>
      </c>
      <c r="AP600">
        <v>-11</v>
      </c>
      <c r="AQ600">
        <v>138</v>
      </c>
      <c r="AR600">
        <v>-192</v>
      </c>
      <c r="AZ600">
        <v>1200</v>
      </c>
      <c r="BA600">
        <v>1</v>
      </c>
      <c r="BB600" t="str">
        <f t="shared" si="30"/>
        <v xml:space="preserve">N8080G  </v>
      </c>
      <c r="BC600">
        <v>1</v>
      </c>
      <c r="BE600">
        <v>0</v>
      </c>
      <c r="BF600">
        <v>0</v>
      </c>
      <c r="BG600">
        <v>0</v>
      </c>
      <c r="BH600">
        <v>1775</v>
      </c>
      <c r="BI600">
        <v>1</v>
      </c>
      <c r="BJ600">
        <v>1</v>
      </c>
      <c r="BK600">
        <v>1</v>
      </c>
      <c r="BL600">
        <v>0</v>
      </c>
      <c r="BO600">
        <v>0</v>
      </c>
      <c r="BP600">
        <v>0</v>
      </c>
      <c r="BW600" t="str">
        <f>"20:14:36.706"</f>
        <v>20:14:36.706</v>
      </c>
      <c r="BZ600">
        <v>0</v>
      </c>
      <c r="CA600">
        <v>2016</v>
      </c>
      <c r="CB600">
        <v>224</v>
      </c>
      <c r="CD600">
        <v>1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2</v>
      </c>
      <c r="CL600">
        <v>0</v>
      </c>
      <c r="CM600">
        <v>2</v>
      </c>
      <c r="CN600">
        <v>0</v>
      </c>
      <c r="CO600">
        <v>5</v>
      </c>
      <c r="CP600" t="s">
        <v>119</v>
      </c>
      <c r="CQ600">
        <v>559</v>
      </c>
      <c r="CR600">
        <v>0</v>
      </c>
      <c r="CW600">
        <v>10416386</v>
      </c>
      <c r="CY600">
        <v>1</v>
      </c>
      <c r="CZ600">
        <v>0</v>
      </c>
      <c r="DA600">
        <v>1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</row>
    <row r="601" spans="1:113" x14ac:dyDescent="0.3">
      <c r="A601" t="str">
        <f>"02/08/2021 20:14:34.383"</f>
        <v>02/08/2021 20:14:34.383</v>
      </c>
      <c r="C601" t="str">
        <f t="shared" si="29"/>
        <v>FFDFD7C0</v>
      </c>
      <c r="D601" t="s">
        <v>124</v>
      </c>
      <c r="E601">
        <v>13</v>
      </c>
      <c r="F601">
        <v>1013</v>
      </c>
      <c r="G601" t="s">
        <v>114</v>
      </c>
      <c r="J601" t="s">
        <v>125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>"20:14:36.703"</f>
        <v>20:14:36.703</v>
      </c>
      <c r="T601" t="str">
        <f>"20:14:36.203"</f>
        <v>20:14:36.203</v>
      </c>
      <c r="U601" t="str">
        <f t="shared" si="28"/>
        <v>AB01F4</v>
      </c>
      <c r="V601">
        <v>0</v>
      </c>
      <c r="W601">
        <v>0</v>
      </c>
      <c r="X601">
        <v>1</v>
      </c>
      <c r="Z601">
        <v>0</v>
      </c>
      <c r="AA601">
        <v>9</v>
      </c>
      <c r="AB601">
        <v>3</v>
      </c>
      <c r="AC601">
        <v>0</v>
      </c>
      <c r="AD601">
        <v>10</v>
      </c>
      <c r="AE601">
        <v>0</v>
      </c>
      <c r="AF601">
        <v>3</v>
      </c>
      <c r="AG601">
        <v>2</v>
      </c>
      <c r="AH601">
        <v>0</v>
      </c>
      <c r="AI601" t="s">
        <v>538</v>
      </c>
      <c r="AJ601">
        <v>39.601892999999997</v>
      </c>
      <c r="AK601" t="s">
        <v>539</v>
      </c>
      <c r="AL601">
        <v>-92.499324999999999</v>
      </c>
      <c r="AM601">
        <v>100</v>
      </c>
      <c r="AN601">
        <v>1800</v>
      </c>
      <c r="AO601" t="s">
        <v>118</v>
      </c>
      <c r="AP601">
        <v>-11</v>
      </c>
      <c r="AQ601">
        <v>138</v>
      </c>
      <c r="AR601">
        <v>-192</v>
      </c>
      <c r="AZ601">
        <v>1200</v>
      </c>
      <c r="BA601">
        <v>1</v>
      </c>
      <c r="BB601" t="str">
        <f t="shared" si="30"/>
        <v xml:space="preserve">N8080G  </v>
      </c>
      <c r="BC601">
        <v>1</v>
      </c>
      <c r="BE601">
        <v>0</v>
      </c>
      <c r="BF601">
        <v>0</v>
      </c>
      <c r="BG601">
        <v>0</v>
      </c>
      <c r="BH601">
        <v>1775</v>
      </c>
      <c r="BI601">
        <v>1</v>
      </c>
      <c r="BJ601">
        <v>1</v>
      </c>
      <c r="BK601">
        <v>1</v>
      </c>
      <c r="BL601">
        <v>0</v>
      </c>
      <c r="BO601">
        <v>0</v>
      </c>
      <c r="BP601">
        <v>0</v>
      </c>
      <c r="BW601" t="str">
        <f>"20:14:36.706"</f>
        <v>20:14:36.706</v>
      </c>
      <c r="BZ601">
        <v>0</v>
      </c>
      <c r="CA601">
        <v>2016</v>
      </c>
      <c r="CB601">
        <v>224</v>
      </c>
      <c r="CD601">
        <v>1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2</v>
      </c>
      <c r="CL601">
        <v>0</v>
      </c>
      <c r="CM601">
        <v>2</v>
      </c>
      <c r="CN601">
        <v>0</v>
      </c>
      <c r="CO601">
        <v>6</v>
      </c>
      <c r="CP601" t="s">
        <v>119</v>
      </c>
      <c r="CQ601">
        <v>180</v>
      </c>
      <c r="CR601">
        <v>1</v>
      </c>
      <c r="CW601">
        <v>10438032</v>
      </c>
      <c r="CY601">
        <v>1</v>
      </c>
      <c r="CZ601">
        <v>0</v>
      </c>
      <c r="DA601">
        <v>1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</row>
    <row r="602" spans="1:113" x14ac:dyDescent="0.3">
      <c r="A602" t="str">
        <f>"02/08/2021 20:14:37.312"</f>
        <v>02/08/2021 20:14:37.312</v>
      </c>
      <c r="C602" t="str">
        <f t="shared" si="29"/>
        <v>FFDFD7C0</v>
      </c>
      <c r="D602" t="s">
        <v>113</v>
      </c>
      <c r="E602">
        <v>6</v>
      </c>
      <c r="H602">
        <v>165</v>
      </c>
      <c r="I602" t="s">
        <v>114</v>
      </c>
      <c r="J602" t="s">
        <v>115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>"20:14:39.633"</f>
        <v>20:14:39.633</v>
      </c>
      <c r="T602" t="str">
        <f>"20:14:39.233"</f>
        <v>20:14:39.233</v>
      </c>
      <c r="U602" t="str">
        <f t="shared" si="28"/>
        <v>AB01F4</v>
      </c>
      <c r="V602">
        <v>0</v>
      </c>
      <c r="W602">
        <v>0</v>
      </c>
      <c r="X602">
        <v>1</v>
      </c>
      <c r="Z602">
        <v>0</v>
      </c>
      <c r="AA602">
        <v>9</v>
      </c>
      <c r="AB602">
        <v>3</v>
      </c>
      <c r="AC602">
        <v>0</v>
      </c>
      <c r="AD602">
        <v>10</v>
      </c>
      <c r="AE602">
        <v>0</v>
      </c>
      <c r="AF602">
        <v>3</v>
      </c>
      <c r="AG602">
        <v>2</v>
      </c>
      <c r="AH602">
        <v>0</v>
      </c>
      <c r="AI602" t="s">
        <v>540</v>
      </c>
      <c r="AJ602">
        <v>39.603845999999997</v>
      </c>
      <c r="AK602" t="s">
        <v>541</v>
      </c>
      <c r="AL602">
        <v>-92.499517999999995</v>
      </c>
      <c r="AM602">
        <v>100</v>
      </c>
      <c r="AN602">
        <v>1800</v>
      </c>
      <c r="AO602" t="s">
        <v>118</v>
      </c>
      <c r="AP602">
        <v>-11</v>
      </c>
      <c r="AQ602">
        <v>138</v>
      </c>
      <c r="AR602">
        <v>-256</v>
      </c>
      <c r="AZ602">
        <v>1200</v>
      </c>
      <c r="BA602">
        <v>1</v>
      </c>
      <c r="BB602" t="str">
        <f t="shared" si="30"/>
        <v xml:space="preserve">N8080G  </v>
      </c>
      <c r="BC602">
        <v>1</v>
      </c>
      <c r="BE602">
        <v>0</v>
      </c>
      <c r="BF602">
        <v>0</v>
      </c>
      <c r="BG602">
        <v>0</v>
      </c>
      <c r="BH602">
        <v>1775</v>
      </c>
      <c r="BI602">
        <v>1</v>
      </c>
      <c r="BJ602">
        <v>1</v>
      </c>
      <c r="BK602">
        <v>1</v>
      </c>
      <c r="BL602">
        <v>0</v>
      </c>
      <c r="BO602">
        <v>0</v>
      </c>
      <c r="BP602">
        <v>0</v>
      </c>
      <c r="BW602" t="str">
        <f>"20:14:39.637"</f>
        <v>20:14:39.637</v>
      </c>
      <c r="BZ602">
        <v>0</v>
      </c>
      <c r="CA602">
        <v>2016</v>
      </c>
      <c r="CB602">
        <v>224</v>
      </c>
      <c r="CD602">
        <v>1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2</v>
      </c>
      <c r="CL602">
        <v>0</v>
      </c>
      <c r="CM602">
        <v>2</v>
      </c>
      <c r="CN602">
        <v>0</v>
      </c>
      <c r="CO602">
        <v>5</v>
      </c>
      <c r="CP602" t="s">
        <v>119</v>
      </c>
      <c r="CQ602">
        <v>559</v>
      </c>
      <c r="CR602">
        <v>0</v>
      </c>
      <c r="CW602">
        <v>10416853</v>
      </c>
      <c r="CY602">
        <v>1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</row>
    <row r="603" spans="1:113" x14ac:dyDescent="0.3">
      <c r="A603" t="str">
        <f>"02/08/2021 20:14:37.312"</f>
        <v>02/08/2021 20:14:37.312</v>
      </c>
      <c r="C603" t="str">
        <f t="shared" si="29"/>
        <v>FFDFD7C0</v>
      </c>
      <c r="D603" t="s">
        <v>124</v>
      </c>
      <c r="E603">
        <v>13</v>
      </c>
      <c r="F603">
        <v>1013</v>
      </c>
      <c r="G603" t="s">
        <v>114</v>
      </c>
      <c r="J603" t="s">
        <v>125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>"20:14:39.633"</f>
        <v>20:14:39.633</v>
      </c>
      <c r="T603" t="str">
        <f>"20:14:39.233"</f>
        <v>20:14:39.233</v>
      </c>
      <c r="U603" t="str">
        <f t="shared" si="28"/>
        <v>AB01F4</v>
      </c>
      <c r="V603">
        <v>0</v>
      </c>
      <c r="W603">
        <v>0</v>
      </c>
      <c r="X603">
        <v>1</v>
      </c>
      <c r="Z603">
        <v>0</v>
      </c>
      <c r="AA603">
        <v>9</v>
      </c>
      <c r="AB603">
        <v>3</v>
      </c>
      <c r="AC603">
        <v>0</v>
      </c>
      <c r="AD603">
        <v>10</v>
      </c>
      <c r="AE603">
        <v>0</v>
      </c>
      <c r="AF603">
        <v>3</v>
      </c>
      <c r="AG603">
        <v>2</v>
      </c>
      <c r="AH603">
        <v>0</v>
      </c>
      <c r="AI603" t="s">
        <v>540</v>
      </c>
      <c r="AJ603">
        <v>39.603845999999997</v>
      </c>
      <c r="AK603" t="s">
        <v>541</v>
      </c>
      <c r="AL603">
        <v>-92.499517999999995</v>
      </c>
      <c r="AM603">
        <v>100</v>
      </c>
      <c r="AN603">
        <v>1800</v>
      </c>
      <c r="AO603" t="s">
        <v>118</v>
      </c>
      <c r="AP603">
        <v>-11</v>
      </c>
      <c r="AQ603">
        <v>138</v>
      </c>
      <c r="AR603">
        <v>-256</v>
      </c>
      <c r="AZ603">
        <v>1200</v>
      </c>
      <c r="BA603">
        <v>1</v>
      </c>
      <c r="BB603" t="str">
        <f t="shared" si="30"/>
        <v xml:space="preserve">N8080G  </v>
      </c>
      <c r="BC603">
        <v>1</v>
      </c>
      <c r="BE603">
        <v>0</v>
      </c>
      <c r="BF603">
        <v>0</v>
      </c>
      <c r="BG603">
        <v>0</v>
      </c>
      <c r="BH603">
        <v>1775</v>
      </c>
      <c r="BI603">
        <v>1</v>
      </c>
      <c r="BJ603">
        <v>1</v>
      </c>
      <c r="BK603">
        <v>1</v>
      </c>
      <c r="BL603">
        <v>0</v>
      </c>
      <c r="BO603">
        <v>0</v>
      </c>
      <c r="BP603">
        <v>0</v>
      </c>
      <c r="BW603" t="str">
        <f>"20:14:39.637"</f>
        <v>20:14:39.637</v>
      </c>
      <c r="BZ603">
        <v>0</v>
      </c>
      <c r="CA603">
        <v>2016</v>
      </c>
      <c r="CB603">
        <v>224</v>
      </c>
      <c r="CD603">
        <v>1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2</v>
      </c>
      <c r="CL603">
        <v>0</v>
      </c>
      <c r="CM603">
        <v>2</v>
      </c>
      <c r="CN603">
        <v>0</v>
      </c>
      <c r="CO603">
        <v>5</v>
      </c>
      <c r="CP603" t="s">
        <v>119</v>
      </c>
      <c r="CQ603">
        <v>559</v>
      </c>
      <c r="CR603">
        <v>0</v>
      </c>
      <c r="CW603">
        <v>10416853</v>
      </c>
      <c r="CY603">
        <v>1</v>
      </c>
      <c r="CZ603">
        <v>0</v>
      </c>
      <c r="DA603">
        <v>1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</row>
    <row r="604" spans="1:113" x14ac:dyDescent="0.3">
      <c r="A604" t="str">
        <f>"02/08/2021 20:14:37.312"</f>
        <v>02/08/2021 20:14:37.312</v>
      </c>
      <c r="C604" t="str">
        <f t="shared" si="29"/>
        <v>FFDFD7C0</v>
      </c>
      <c r="D604" t="s">
        <v>141</v>
      </c>
      <c r="E604">
        <v>17</v>
      </c>
      <c r="H604">
        <v>256</v>
      </c>
      <c r="I604" t="s">
        <v>142</v>
      </c>
      <c r="J604" t="s">
        <v>143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>"20:14:39.633"</f>
        <v>20:14:39.633</v>
      </c>
      <c r="T604" t="str">
        <f>"20:14:39.233"</f>
        <v>20:14:39.233</v>
      </c>
      <c r="U604" t="str">
        <f t="shared" si="28"/>
        <v>AB01F4</v>
      </c>
      <c r="V604">
        <v>0</v>
      </c>
      <c r="W604">
        <v>0</v>
      </c>
      <c r="X604">
        <v>1</v>
      </c>
      <c r="Z604">
        <v>0</v>
      </c>
      <c r="AA604">
        <v>9</v>
      </c>
      <c r="AB604">
        <v>3</v>
      </c>
      <c r="AC604">
        <v>0</v>
      </c>
      <c r="AD604">
        <v>10</v>
      </c>
      <c r="AE604">
        <v>0</v>
      </c>
      <c r="AF604">
        <v>3</v>
      </c>
      <c r="AG604">
        <v>2</v>
      </c>
      <c r="AH604">
        <v>0</v>
      </c>
      <c r="AI604" t="s">
        <v>540</v>
      </c>
      <c r="AJ604">
        <v>39.603845999999997</v>
      </c>
      <c r="AK604" t="s">
        <v>541</v>
      </c>
      <c r="AL604">
        <v>-92.499517999999995</v>
      </c>
      <c r="AM604">
        <v>100</v>
      </c>
      <c r="AN604">
        <v>1800</v>
      </c>
      <c r="AO604" t="s">
        <v>118</v>
      </c>
      <c r="AP604">
        <v>-11</v>
      </c>
      <c r="AQ604">
        <v>138</v>
      </c>
      <c r="AR604">
        <v>-256</v>
      </c>
      <c r="AZ604">
        <v>1200</v>
      </c>
      <c r="BA604">
        <v>1</v>
      </c>
      <c r="BB604" t="str">
        <f t="shared" si="30"/>
        <v xml:space="preserve">N8080G  </v>
      </c>
      <c r="BC604">
        <v>1</v>
      </c>
      <c r="BE604">
        <v>0</v>
      </c>
      <c r="BF604">
        <v>0</v>
      </c>
      <c r="BG604">
        <v>0</v>
      </c>
      <c r="BH604">
        <v>1775</v>
      </c>
      <c r="BI604">
        <v>1</v>
      </c>
      <c r="BJ604">
        <v>1</v>
      </c>
      <c r="BK604">
        <v>1</v>
      </c>
      <c r="BL604">
        <v>0</v>
      </c>
      <c r="BO604">
        <v>0</v>
      </c>
      <c r="BP604">
        <v>0</v>
      </c>
      <c r="BW604" t="str">
        <f>"20:14:39.637"</f>
        <v>20:14:39.637</v>
      </c>
      <c r="BZ604">
        <v>0</v>
      </c>
      <c r="CA604">
        <v>2016</v>
      </c>
      <c r="CB604">
        <v>224</v>
      </c>
      <c r="CD604">
        <v>1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2</v>
      </c>
      <c r="CL604">
        <v>0</v>
      </c>
      <c r="CM604">
        <v>2</v>
      </c>
      <c r="CN604">
        <v>0</v>
      </c>
      <c r="CO604">
        <v>5</v>
      </c>
      <c r="CP604" t="s">
        <v>119</v>
      </c>
      <c r="CQ604">
        <v>559</v>
      </c>
      <c r="CR604">
        <v>0</v>
      </c>
      <c r="CW604">
        <v>10416853</v>
      </c>
      <c r="CY604">
        <v>1</v>
      </c>
      <c r="CZ604">
        <v>0</v>
      </c>
      <c r="DA604">
        <v>1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</row>
    <row r="605" spans="1:113" x14ac:dyDescent="0.3">
      <c r="A605" t="str">
        <f>"02/08/2021 20:14:38.219"</f>
        <v>02/08/2021 20:14:38.219</v>
      </c>
      <c r="C605" t="str">
        <f t="shared" si="29"/>
        <v>FFDFD7C0</v>
      </c>
      <c r="D605" t="s">
        <v>124</v>
      </c>
      <c r="E605">
        <v>13</v>
      </c>
      <c r="F605">
        <v>1013</v>
      </c>
      <c r="G605" t="s">
        <v>114</v>
      </c>
      <c r="J605" t="s">
        <v>125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>"20:14:40.531"</f>
        <v>20:14:40.531</v>
      </c>
      <c r="U605" t="str">
        <f t="shared" si="28"/>
        <v>AB01F4</v>
      </c>
      <c r="V605">
        <v>0</v>
      </c>
      <c r="W605">
        <v>0</v>
      </c>
      <c r="X605">
        <v>1</v>
      </c>
      <c r="Z605">
        <v>0</v>
      </c>
      <c r="AA605">
        <v>9</v>
      </c>
      <c r="AB605">
        <v>3</v>
      </c>
      <c r="AC605">
        <v>0</v>
      </c>
      <c r="AD605">
        <v>10</v>
      </c>
      <c r="AE605">
        <v>0</v>
      </c>
      <c r="AF605">
        <v>3</v>
      </c>
      <c r="AG605">
        <v>2</v>
      </c>
      <c r="AH605">
        <v>0</v>
      </c>
      <c r="AI605" t="s">
        <v>542</v>
      </c>
      <c r="AJ605">
        <v>39.604382999999999</v>
      </c>
      <c r="AK605" t="s">
        <v>543</v>
      </c>
      <c r="AL605">
        <v>-92.499561</v>
      </c>
      <c r="AM605">
        <v>100</v>
      </c>
      <c r="AN605">
        <v>1800</v>
      </c>
      <c r="AO605" t="s">
        <v>118</v>
      </c>
      <c r="AP605">
        <v>-10</v>
      </c>
      <c r="AQ605">
        <v>138</v>
      </c>
      <c r="AR605">
        <v>-192</v>
      </c>
      <c r="AZ605">
        <v>1200</v>
      </c>
      <c r="BA605">
        <v>1</v>
      </c>
      <c r="BB605" t="str">
        <f t="shared" si="30"/>
        <v xml:space="preserve">N8080G  </v>
      </c>
      <c r="BC605">
        <v>1</v>
      </c>
      <c r="BE605">
        <v>0</v>
      </c>
      <c r="BF605">
        <v>0</v>
      </c>
      <c r="BG605">
        <v>0</v>
      </c>
      <c r="BH605">
        <v>1750</v>
      </c>
      <c r="BI605">
        <v>1</v>
      </c>
      <c r="BJ605">
        <v>1</v>
      </c>
      <c r="BK605">
        <v>1</v>
      </c>
      <c r="BL605">
        <v>0</v>
      </c>
      <c r="BO605">
        <v>0</v>
      </c>
      <c r="BP605">
        <v>0</v>
      </c>
      <c r="BW605" t="str">
        <f>"20:14:40.532"</f>
        <v>20:14:40.532</v>
      </c>
      <c r="BZ605">
        <v>0</v>
      </c>
      <c r="CA605">
        <v>2016</v>
      </c>
      <c r="CB605">
        <v>224</v>
      </c>
      <c r="CD605">
        <v>1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2</v>
      </c>
      <c r="CL605">
        <v>0</v>
      </c>
      <c r="CM605">
        <v>2</v>
      </c>
      <c r="CN605">
        <v>0</v>
      </c>
      <c r="CO605">
        <v>5</v>
      </c>
      <c r="CP605" t="s">
        <v>119</v>
      </c>
      <c r="CQ605">
        <v>559</v>
      </c>
      <c r="CR605">
        <v>0</v>
      </c>
      <c r="CW605">
        <v>10416998</v>
      </c>
      <c r="CY605">
        <v>1</v>
      </c>
      <c r="CZ605">
        <v>0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</row>
    <row r="606" spans="1:113" x14ac:dyDescent="0.3">
      <c r="A606" t="str">
        <f>"02/08/2021 20:14:38.219"</f>
        <v>02/08/2021 20:14:38.219</v>
      </c>
      <c r="C606" t="str">
        <f t="shared" si="29"/>
        <v>FFDFD7C0</v>
      </c>
      <c r="D606" t="s">
        <v>113</v>
      </c>
      <c r="E606">
        <v>6</v>
      </c>
      <c r="H606">
        <v>165</v>
      </c>
      <c r="I606" t="s">
        <v>114</v>
      </c>
      <c r="J606" t="s">
        <v>115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>"20:14:40.531"</f>
        <v>20:14:40.531</v>
      </c>
      <c r="U606" t="str">
        <f t="shared" si="28"/>
        <v>AB01F4</v>
      </c>
      <c r="V606">
        <v>0</v>
      </c>
      <c r="W606">
        <v>0</v>
      </c>
      <c r="X606">
        <v>1</v>
      </c>
      <c r="Z606">
        <v>0</v>
      </c>
      <c r="AA606">
        <v>9</v>
      </c>
      <c r="AB606">
        <v>3</v>
      </c>
      <c r="AC606">
        <v>0</v>
      </c>
      <c r="AD606">
        <v>10</v>
      </c>
      <c r="AE606">
        <v>0</v>
      </c>
      <c r="AF606">
        <v>3</v>
      </c>
      <c r="AG606">
        <v>2</v>
      </c>
      <c r="AH606">
        <v>0</v>
      </c>
      <c r="AI606" t="s">
        <v>542</v>
      </c>
      <c r="AJ606">
        <v>39.604382999999999</v>
      </c>
      <c r="AK606" t="s">
        <v>543</v>
      </c>
      <c r="AL606">
        <v>-92.499561</v>
      </c>
      <c r="AM606">
        <v>100</v>
      </c>
      <c r="AN606">
        <v>1800</v>
      </c>
      <c r="AO606" t="s">
        <v>118</v>
      </c>
      <c r="AP606">
        <v>-10</v>
      </c>
      <c r="AQ606">
        <v>138</v>
      </c>
      <c r="AR606">
        <v>-192</v>
      </c>
      <c r="AZ606">
        <v>1200</v>
      </c>
      <c r="BA606">
        <v>1</v>
      </c>
      <c r="BB606" t="str">
        <f t="shared" si="30"/>
        <v xml:space="preserve">N8080G  </v>
      </c>
      <c r="BC606">
        <v>1</v>
      </c>
      <c r="BE606">
        <v>0</v>
      </c>
      <c r="BF606">
        <v>0</v>
      </c>
      <c r="BG606">
        <v>0</v>
      </c>
      <c r="BH606">
        <v>1750</v>
      </c>
      <c r="BI606">
        <v>1</v>
      </c>
      <c r="BJ606">
        <v>1</v>
      </c>
      <c r="BK606">
        <v>1</v>
      </c>
      <c r="BL606">
        <v>0</v>
      </c>
      <c r="BO606">
        <v>0</v>
      </c>
      <c r="BP606">
        <v>0</v>
      </c>
      <c r="BW606" t="str">
        <f>"20:14:40.532"</f>
        <v>20:14:40.532</v>
      </c>
      <c r="BZ606">
        <v>0</v>
      </c>
      <c r="CA606">
        <v>2016</v>
      </c>
      <c r="CB606">
        <v>224</v>
      </c>
      <c r="CD606">
        <v>1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2</v>
      </c>
      <c r="CL606">
        <v>0</v>
      </c>
      <c r="CM606">
        <v>2</v>
      </c>
      <c r="CN606">
        <v>0</v>
      </c>
      <c r="CO606">
        <v>5</v>
      </c>
      <c r="CP606" t="s">
        <v>119</v>
      </c>
      <c r="CQ606">
        <v>559</v>
      </c>
      <c r="CR606">
        <v>0</v>
      </c>
      <c r="CW606">
        <v>10416998</v>
      </c>
      <c r="CY606">
        <v>1</v>
      </c>
      <c r="CZ606">
        <v>0</v>
      </c>
      <c r="DA606">
        <v>1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</row>
    <row r="607" spans="1:113" x14ac:dyDescent="0.3">
      <c r="A607" t="str">
        <f>"02/08/2021 20:14:38.219"</f>
        <v>02/08/2021 20:14:38.219</v>
      </c>
      <c r="C607" t="str">
        <f t="shared" si="29"/>
        <v>FFDFD7C0</v>
      </c>
      <c r="D607" t="s">
        <v>141</v>
      </c>
      <c r="E607">
        <v>17</v>
      </c>
      <c r="H607">
        <v>256</v>
      </c>
      <c r="I607" t="s">
        <v>142</v>
      </c>
      <c r="J607" t="s">
        <v>143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>"20:14:40.531"</f>
        <v>20:14:40.531</v>
      </c>
      <c r="U607" t="str">
        <f t="shared" si="28"/>
        <v>AB01F4</v>
      </c>
      <c r="V607">
        <v>0</v>
      </c>
      <c r="W607">
        <v>0</v>
      </c>
      <c r="X607">
        <v>1</v>
      </c>
      <c r="Z607">
        <v>0</v>
      </c>
      <c r="AA607">
        <v>9</v>
      </c>
      <c r="AB607">
        <v>3</v>
      </c>
      <c r="AC607">
        <v>0</v>
      </c>
      <c r="AD607">
        <v>10</v>
      </c>
      <c r="AE607">
        <v>0</v>
      </c>
      <c r="AF607">
        <v>3</v>
      </c>
      <c r="AG607">
        <v>2</v>
      </c>
      <c r="AH607">
        <v>0</v>
      </c>
      <c r="AI607" t="s">
        <v>542</v>
      </c>
      <c r="AJ607">
        <v>39.604382999999999</v>
      </c>
      <c r="AK607" t="s">
        <v>543</v>
      </c>
      <c r="AL607">
        <v>-92.499561</v>
      </c>
      <c r="AM607">
        <v>100</v>
      </c>
      <c r="AN607">
        <v>1800</v>
      </c>
      <c r="AO607" t="s">
        <v>118</v>
      </c>
      <c r="AP607">
        <v>-10</v>
      </c>
      <c r="AQ607">
        <v>138</v>
      </c>
      <c r="AR607">
        <v>-192</v>
      </c>
      <c r="AZ607">
        <v>1200</v>
      </c>
      <c r="BA607">
        <v>1</v>
      </c>
      <c r="BB607" t="str">
        <f t="shared" si="30"/>
        <v xml:space="preserve">N8080G  </v>
      </c>
      <c r="BC607">
        <v>1</v>
      </c>
      <c r="BE607">
        <v>0</v>
      </c>
      <c r="BF607">
        <v>0</v>
      </c>
      <c r="BG607">
        <v>0</v>
      </c>
      <c r="BH607">
        <v>1750</v>
      </c>
      <c r="BI607">
        <v>1</v>
      </c>
      <c r="BJ607">
        <v>1</v>
      </c>
      <c r="BK607">
        <v>1</v>
      </c>
      <c r="BL607">
        <v>0</v>
      </c>
      <c r="BO607">
        <v>0</v>
      </c>
      <c r="BP607">
        <v>0</v>
      </c>
      <c r="BW607" t="str">
        <f>"20:14:40.532"</f>
        <v>20:14:40.532</v>
      </c>
      <c r="BZ607">
        <v>0</v>
      </c>
      <c r="CA607">
        <v>2016</v>
      </c>
      <c r="CB607">
        <v>224</v>
      </c>
      <c r="CD607">
        <v>1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2</v>
      </c>
      <c r="CL607">
        <v>0</v>
      </c>
      <c r="CM607">
        <v>2</v>
      </c>
      <c r="CN607">
        <v>0</v>
      </c>
      <c r="CO607">
        <v>5</v>
      </c>
      <c r="CP607" t="s">
        <v>119</v>
      </c>
      <c r="CQ607">
        <v>559</v>
      </c>
      <c r="CR607">
        <v>0</v>
      </c>
      <c r="CW607">
        <v>10416998</v>
      </c>
      <c r="CY607">
        <v>1</v>
      </c>
      <c r="CZ607">
        <v>0</v>
      </c>
      <c r="DA607">
        <v>1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</row>
    <row r="608" spans="1:113" x14ac:dyDescent="0.3">
      <c r="A608" t="str">
        <f>"02/08/2021 20:14:39.276"</f>
        <v>02/08/2021 20:14:39.276</v>
      </c>
      <c r="C608" t="str">
        <f t="shared" si="29"/>
        <v>FFDFD7C0</v>
      </c>
      <c r="D608" t="s">
        <v>124</v>
      </c>
      <c r="E608">
        <v>13</v>
      </c>
      <c r="F608">
        <v>1013</v>
      </c>
      <c r="G608" t="s">
        <v>114</v>
      </c>
      <c r="J608" t="s">
        <v>125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>"20:14:41.586"</f>
        <v>20:14:41.586</v>
      </c>
      <c r="T608" t="str">
        <f>"20:14:41.086"</f>
        <v>20:14:41.086</v>
      </c>
      <c r="U608" t="str">
        <f t="shared" si="28"/>
        <v>AB01F4</v>
      </c>
      <c r="V608">
        <v>0</v>
      </c>
      <c r="W608">
        <v>0</v>
      </c>
      <c r="X608">
        <v>1</v>
      </c>
      <c r="Z608">
        <v>0</v>
      </c>
      <c r="AA608">
        <v>9</v>
      </c>
      <c r="AB608">
        <v>3</v>
      </c>
      <c r="AC608">
        <v>0</v>
      </c>
      <c r="AD608">
        <v>10</v>
      </c>
      <c r="AE608">
        <v>0</v>
      </c>
      <c r="AF608">
        <v>3</v>
      </c>
      <c r="AG608">
        <v>2</v>
      </c>
      <c r="AH608">
        <v>0</v>
      </c>
      <c r="AI608" t="s">
        <v>544</v>
      </c>
      <c r="AJ608">
        <v>39.605026000000002</v>
      </c>
      <c r="AK608" t="s">
        <v>545</v>
      </c>
      <c r="AL608">
        <v>-92.499626000000006</v>
      </c>
      <c r="AM608">
        <v>100</v>
      </c>
      <c r="AN608">
        <v>1800</v>
      </c>
      <c r="AO608" t="s">
        <v>118</v>
      </c>
      <c r="AP608">
        <v>-11</v>
      </c>
      <c r="AQ608">
        <v>138</v>
      </c>
      <c r="AR608">
        <v>-192</v>
      </c>
      <c r="AZ608">
        <v>1200</v>
      </c>
      <c r="BA608">
        <v>1</v>
      </c>
      <c r="BB608" t="str">
        <f t="shared" si="30"/>
        <v xml:space="preserve">N8080G  </v>
      </c>
      <c r="BC608">
        <v>1</v>
      </c>
      <c r="BE608">
        <v>0</v>
      </c>
      <c r="BF608">
        <v>0</v>
      </c>
      <c r="BG608">
        <v>0</v>
      </c>
      <c r="BH608">
        <v>1750</v>
      </c>
      <c r="BI608">
        <v>1</v>
      </c>
      <c r="BJ608">
        <v>1</v>
      </c>
      <c r="BK608">
        <v>1</v>
      </c>
      <c r="BL608">
        <v>0</v>
      </c>
      <c r="BO608">
        <v>0</v>
      </c>
      <c r="BP608">
        <v>0</v>
      </c>
      <c r="BW608" t="str">
        <f>"20:14:41.587"</f>
        <v>20:14:41.587</v>
      </c>
      <c r="BZ608">
        <v>0</v>
      </c>
      <c r="CA608">
        <v>2016</v>
      </c>
      <c r="CB608">
        <v>224</v>
      </c>
      <c r="CD608">
        <v>1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2</v>
      </c>
      <c r="CL608">
        <v>0</v>
      </c>
      <c r="CM608">
        <v>2</v>
      </c>
      <c r="CN608">
        <v>0</v>
      </c>
      <c r="CO608">
        <v>5</v>
      </c>
      <c r="CP608" t="s">
        <v>119</v>
      </c>
      <c r="CQ608">
        <v>559</v>
      </c>
      <c r="CR608">
        <v>0</v>
      </c>
      <c r="CW608">
        <v>10417146</v>
      </c>
      <c r="CY608">
        <v>1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</row>
    <row r="609" spans="1:113" x14ac:dyDescent="0.3">
      <c r="A609" t="str">
        <f>"02/08/2021 20:14:39.276"</f>
        <v>02/08/2021 20:14:39.276</v>
      </c>
      <c r="C609" t="str">
        <f t="shared" si="29"/>
        <v>FFDFD7C0</v>
      </c>
      <c r="D609" t="s">
        <v>113</v>
      </c>
      <c r="E609">
        <v>6</v>
      </c>
      <c r="H609">
        <v>165</v>
      </c>
      <c r="I609" t="s">
        <v>114</v>
      </c>
      <c r="J609" t="s">
        <v>115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>"20:14:41.586"</f>
        <v>20:14:41.586</v>
      </c>
      <c r="T609" t="str">
        <f>"20:14:41.086"</f>
        <v>20:14:41.086</v>
      </c>
      <c r="U609" t="str">
        <f t="shared" si="28"/>
        <v>AB01F4</v>
      </c>
      <c r="V609">
        <v>0</v>
      </c>
      <c r="W609">
        <v>0</v>
      </c>
      <c r="X609">
        <v>1</v>
      </c>
      <c r="Z609">
        <v>0</v>
      </c>
      <c r="AA609">
        <v>9</v>
      </c>
      <c r="AB609">
        <v>3</v>
      </c>
      <c r="AC609">
        <v>0</v>
      </c>
      <c r="AD609">
        <v>10</v>
      </c>
      <c r="AE609">
        <v>0</v>
      </c>
      <c r="AF609">
        <v>3</v>
      </c>
      <c r="AG609">
        <v>2</v>
      </c>
      <c r="AH609">
        <v>0</v>
      </c>
      <c r="AI609" t="s">
        <v>544</v>
      </c>
      <c r="AJ609">
        <v>39.605026000000002</v>
      </c>
      <c r="AK609" t="s">
        <v>545</v>
      </c>
      <c r="AL609">
        <v>-92.499626000000006</v>
      </c>
      <c r="AM609">
        <v>100</v>
      </c>
      <c r="AN609">
        <v>1800</v>
      </c>
      <c r="AO609" t="s">
        <v>118</v>
      </c>
      <c r="AP609">
        <v>-11</v>
      </c>
      <c r="AQ609">
        <v>138</v>
      </c>
      <c r="AR609">
        <v>-192</v>
      </c>
      <c r="AZ609">
        <v>1200</v>
      </c>
      <c r="BA609">
        <v>1</v>
      </c>
      <c r="BB609" t="str">
        <f t="shared" si="30"/>
        <v xml:space="preserve">N8080G  </v>
      </c>
      <c r="BC609">
        <v>1</v>
      </c>
      <c r="BE609">
        <v>0</v>
      </c>
      <c r="BF609">
        <v>0</v>
      </c>
      <c r="BG609">
        <v>0</v>
      </c>
      <c r="BH609">
        <v>1750</v>
      </c>
      <c r="BI609">
        <v>1</v>
      </c>
      <c r="BJ609">
        <v>1</v>
      </c>
      <c r="BK609">
        <v>1</v>
      </c>
      <c r="BL609">
        <v>0</v>
      </c>
      <c r="BO609">
        <v>0</v>
      </c>
      <c r="BP609">
        <v>0</v>
      </c>
      <c r="BW609" t="str">
        <f>"20:14:41.587"</f>
        <v>20:14:41.587</v>
      </c>
      <c r="BZ609">
        <v>0</v>
      </c>
      <c r="CA609">
        <v>2016</v>
      </c>
      <c r="CB609">
        <v>224</v>
      </c>
      <c r="CD609">
        <v>1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2</v>
      </c>
      <c r="CL609">
        <v>0</v>
      </c>
      <c r="CM609">
        <v>2</v>
      </c>
      <c r="CN609">
        <v>0</v>
      </c>
      <c r="CO609">
        <v>5</v>
      </c>
      <c r="CP609" t="s">
        <v>119</v>
      </c>
      <c r="CQ609">
        <v>559</v>
      </c>
      <c r="CR609">
        <v>0</v>
      </c>
      <c r="CW609">
        <v>10417146</v>
      </c>
      <c r="CY609">
        <v>1</v>
      </c>
      <c r="CZ609">
        <v>0</v>
      </c>
      <c r="DA609">
        <v>1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</row>
    <row r="610" spans="1:113" x14ac:dyDescent="0.3">
      <c r="A610" t="str">
        <f>"02/08/2021 20:14:39.276"</f>
        <v>02/08/2021 20:14:39.276</v>
      </c>
      <c r="C610" t="str">
        <f t="shared" si="29"/>
        <v>FFDFD7C0</v>
      </c>
      <c r="D610" t="s">
        <v>141</v>
      </c>
      <c r="E610">
        <v>17</v>
      </c>
      <c r="H610">
        <v>256</v>
      </c>
      <c r="I610" t="s">
        <v>142</v>
      </c>
      <c r="J610" t="s">
        <v>143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>"20:14:41.586"</f>
        <v>20:14:41.586</v>
      </c>
      <c r="T610" t="str">
        <f>"20:14:41.086"</f>
        <v>20:14:41.086</v>
      </c>
      <c r="U610" t="str">
        <f t="shared" si="28"/>
        <v>AB01F4</v>
      </c>
      <c r="V610">
        <v>0</v>
      </c>
      <c r="W610">
        <v>0</v>
      </c>
      <c r="X610">
        <v>1</v>
      </c>
      <c r="Z610">
        <v>0</v>
      </c>
      <c r="AA610">
        <v>9</v>
      </c>
      <c r="AB610">
        <v>3</v>
      </c>
      <c r="AC610">
        <v>0</v>
      </c>
      <c r="AD610">
        <v>10</v>
      </c>
      <c r="AE610">
        <v>0</v>
      </c>
      <c r="AF610">
        <v>3</v>
      </c>
      <c r="AG610">
        <v>2</v>
      </c>
      <c r="AH610">
        <v>0</v>
      </c>
      <c r="AI610" t="s">
        <v>544</v>
      </c>
      <c r="AJ610">
        <v>39.605026000000002</v>
      </c>
      <c r="AK610" t="s">
        <v>545</v>
      </c>
      <c r="AL610">
        <v>-92.499626000000006</v>
      </c>
      <c r="AM610">
        <v>100</v>
      </c>
      <c r="AN610">
        <v>1800</v>
      </c>
      <c r="AO610" t="s">
        <v>118</v>
      </c>
      <c r="AP610">
        <v>-11</v>
      </c>
      <c r="AQ610">
        <v>138</v>
      </c>
      <c r="AR610">
        <v>-192</v>
      </c>
      <c r="AZ610">
        <v>1200</v>
      </c>
      <c r="BA610">
        <v>1</v>
      </c>
      <c r="BB610" t="str">
        <f t="shared" si="30"/>
        <v xml:space="preserve">N8080G  </v>
      </c>
      <c r="BC610">
        <v>1</v>
      </c>
      <c r="BE610">
        <v>0</v>
      </c>
      <c r="BF610">
        <v>0</v>
      </c>
      <c r="BG610">
        <v>0</v>
      </c>
      <c r="BH610">
        <v>1750</v>
      </c>
      <c r="BI610">
        <v>1</v>
      </c>
      <c r="BJ610">
        <v>1</v>
      </c>
      <c r="BK610">
        <v>1</v>
      </c>
      <c r="BL610">
        <v>0</v>
      </c>
      <c r="BO610">
        <v>0</v>
      </c>
      <c r="BP610">
        <v>0</v>
      </c>
      <c r="BW610" t="str">
        <f>"20:14:41.587"</f>
        <v>20:14:41.587</v>
      </c>
      <c r="BZ610">
        <v>0</v>
      </c>
      <c r="CA610">
        <v>2016</v>
      </c>
      <c r="CB610">
        <v>224</v>
      </c>
      <c r="CD610">
        <v>1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2</v>
      </c>
      <c r="CL610">
        <v>0</v>
      </c>
      <c r="CM610">
        <v>2</v>
      </c>
      <c r="CN610">
        <v>0</v>
      </c>
      <c r="CO610">
        <v>5</v>
      </c>
      <c r="CP610" t="s">
        <v>119</v>
      </c>
      <c r="CQ610">
        <v>559</v>
      </c>
      <c r="CR610">
        <v>0</v>
      </c>
      <c r="CW610">
        <v>10417146</v>
      </c>
      <c r="CY610">
        <v>1</v>
      </c>
      <c r="CZ610">
        <v>0</v>
      </c>
      <c r="DA610">
        <v>1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</row>
    <row r="611" spans="1:113" x14ac:dyDescent="0.3">
      <c r="A611" t="str">
        <f>"02/08/2021 20:14:40.249"</f>
        <v>02/08/2021 20:14:40.249</v>
      </c>
      <c r="C611" t="str">
        <f t="shared" si="29"/>
        <v>FFDFD7C0</v>
      </c>
      <c r="D611" t="s">
        <v>141</v>
      </c>
      <c r="E611">
        <v>17</v>
      </c>
      <c r="H611">
        <v>256</v>
      </c>
      <c r="I611" t="s">
        <v>142</v>
      </c>
      <c r="J611" t="s">
        <v>143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>"20:14:42.586"</f>
        <v>20:14:42.586</v>
      </c>
      <c r="T611" t="str">
        <f>"20:14:42.086"</f>
        <v>20:14:42.086</v>
      </c>
      <c r="U611" t="str">
        <f t="shared" si="28"/>
        <v>AB01F4</v>
      </c>
      <c r="V611">
        <v>0</v>
      </c>
      <c r="W611">
        <v>0</v>
      </c>
      <c r="X611">
        <v>1</v>
      </c>
      <c r="Z611">
        <v>0</v>
      </c>
      <c r="AA611">
        <v>9</v>
      </c>
      <c r="AB611">
        <v>3</v>
      </c>
      <c r="AC611">
        <v>0</v>
      </c>
      <c r="AD611">
        <v>10</v>
      </c>
      <c r="AE611">
        <v>0</v>
      </c>
      <c r="AF611">
        <v>3</v>
      </c>
      <c r="AG611">
        <v>2</v>
      </c>
      <c r="AH611">
        <v>0</v>
      </c>
      <c r="AI611" t="s">
        <v>546</v>
      </c>
      <c r="AJ611">
        <v>39.605670000000003</v>
      </c>
      <c r="AK611" t="s">
        <v>547</v>
      </c>
      <c r="AL611">
        <v>-92.499690000000001</v>
      </c>
      <c r="AM611">
        <v>100</v>
      </c>
      <c r="AN611">
        <v>1800</v>
      </c>
      <c r="AO611" t="s">
        <v>118</v>
      </c>
      <c r="AP611">
        <v>-10</v>
      </c>
      <c r="AQ611">
        <v>138</v>
      </c>
      <c r="AR611">
        <v>-256</v>
      </c>
      <c r="AZ611">
        <v>1200</v>
      </c>
      <c r="BA611">
        <v>1</v>
      </c>
      <c r="BB611" t="str">
        <f t="shared" si="30"/>
        <v xml:space="preserve">N8080G  </v>
      </c>
      <c r="BC611">
        <v>1</v>
      </c>
      <c r="BE611">
        <v>0</v>
      </c>
      <c r="BF611">
        <v>0</v>
      </c>
      <c r="BG611">
        <v>0</v>
      </c>
      <c r="BH611">
        <v>1750</v>
      </c>
      <c r="BI611">
        <v>1</v>
      </c>
      <c r="BJ611">
        <v>1</v>
      </c>
      <c r="BK611">
        <v>1</v>
      </c>
      <c r="BL611">
        <v>0</v>
      </c>
      <c r="BO611">
        <v>0</v>
      </c>
      <c r="BP611">
        <v>0</v>
      </c>
      <c r="BW611" t="str">
        <f>"20:14:42.592"</f>
        <v>20:14:42.592</v>
      </c>
      <c r="BZ611">
        <v>0</v>
      </c>
      <c r="CA611">
        <v>2016</v>
      </c>
      <c r="CB611">
        <v>224</v>
      </c>
      <c r="CD611">
        <v>1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2</v>
      </c>
      <c r="CL611">
        <v>0</v>
      </c>
      <c r="CM611">
        <v>2</v>
      </c>
      <c r="CN611">
        <v>0</v>
      </c>
      <c r="CO611">
        <v>5</v>
      </c>
      <c r="CP611" t="s">
        <v>119</v>
      </c>
      <c r="CQ611">
        <v>559</v>
      </c>
      <c r="CR611">
        <v>0</v>
      </c>
      <c r="CW611">
        <v>10417308</v>
      </c>
      <c r="CY611">
        <v>1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</row>
    <row r="612" spans="1:113" x14ac:dyDescent="0.3">
      <c r="A612" t="str">
        <f>"02/08/2021 20:14:40.249"</f>
        <v>02/08/2021 20:14:40.249</v>
      </c>
      <c r="C612" t="str">
        <f t="shared" si="29"/>
        <v>FFDFD7C0</v>
      </c>
      <c r="D612" t="s">
        <v>124</v>
      </c>
      <c r="E612">
        <v>13</v>
      </c>
      <c r="F612">
        <v>1013</v>
      </c>
      <c r="G612" t="s">
        <v>114</v>
      </c>
      <c r="J612" t="s">
        <v>125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>"20:14:42.586"</f>
        <v>20:14:42.586</v>
      </c>
      <c r="T612" t="str">
        <f>"20:14:42.086"</f>
        <v>20:14:42.086</v>
      </c>
      <c r="U612" t="str">
        <f t="shared" si="28"/>
        <v>AB01F4</v>
      </c>
      <c r="V612">
        <v>0</v>
      </c>
      <c r="W612">
        <v>0</v>
      </c>
      <c r="X612">
        <v>1</v>
      </c>
      <c r="Z612">
        <v>0</v>
      </c>
      <c r="AA612">
        <v>9</v>
      </c>
      <c r="AB612">
        <v>3</v>
      </c>
      <c r="AC612">
        <v>0</v>
      </c>
      <c r="AD612">
        <v>10</v>
      </c>
      <c r="AE612">
        <v>0</v>
      </c>
      <c r="AF612">
        <v>3</v>
      </c>
      <c r="AG612">
        <v>2</v>
      </c>
      <c r="AH612">
        <v>0</v>
      </c>
      <c r="AI612" t="s">
        <v>546</v>
      </c>
      <c r="AJ612">
        <v>39.605670000000003</v>
      </c>
      <c r="AK612" t="s">
        <v>547</v>
      </c>
      <c r="AL612">
        <v>-92.499690000000001</v>
      </c>
      <c r="AM612">
        <v>100</v>
      </c>
      <c r="AN612">
        <v>1800</v>
      </c>
      <c r="AO612" t="s">
        <v>118</v>
      </c>
      <c r="AP612">
        <v>-10</v>
      </c>
      <c r="AQ612">
        <v>138</v>
      </c>
      <c r="AR612">
        <v>-256</v>
      </c>
      <c r="AZ612">
        <v>1200</v>
      </c>
      <c r="BA612">
        <v>1</v>
      </c>
      <c r="BB612" t="str">
        <f t="shared" si="30"/>
        <v xml:space="preserve">N8080G  </v>
      </c>
      <c r="BC612">
        <v>1</v>
      </c>
      <c r="BE612">
        <v>0</v>
      </c>
      <c r="BF612">
        <v>0</v>
      </c>
      <c r="BG612">
        <v>0</v>
      </c>
      <c r="BH612">
        <v>1750</v>
      </c>
      <c r="BI612">
        <v>1</v>
      </c>
      <c r="BJ612">
        <v>1</v>
      </c>
      <c r="BK612">
        <v>1</v>
      </c>
      <c r="BL612">
        <v>0</v>
      </c>
      <c r="BO612">
        <v>0</v>
      </c>
      <c r="BP612">
        <v>0</v>
      </c>
      <c r="BW612" t="str">
        <f>"20:14:42.592"</f>
        <v>20:14:42.592</v>
      </c>
      <c r="BZ612">
        <v>0</v>
      </c>
      <c r="CA612">
        <v>2016</v>
      </c>
      <c r="CB612">
        <v>224</v>
      </c>
      <c r="CD612">
        <v>1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2</v>
      </c>
      <c r="CL612">
        <v>0</v>
      </c>
      <c r="CM612">
        <v>2</v>
      </c>
      <c r="CN612">
        <v>0</v>
      </c>
      <c r="CO612">
        <v>5</v>
      </c>
      <c r="CP612" t="s">
        <v>119</v>
      </c>
      <c r="CQ612">
        <v>559</v>
      </c>
      <c r="CR612">
        <v>0</v>
      </c>
      <c r="CW612">
        <v>10417308</v>
      </c>
      <c r="CY612">
        <v>1</v>
      </c>
      <c r="CZ612">
        <v>0</v>
      </c>
      <c r="DA612">
        <v>1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</row>
    <row r="613" spans="1:113" x14ac:dyDescent="0.3">
      <c r="A613" t="str">
        <f>"02/08/2021 20:14:40.249"</f>
        <v>02/08/2021 20:14:40.249</v>
      </c>
      <c r="C613" t="str">
        <f t="shared" si="29"/>
        <v>FFDFD7C0</v>
      </c>
      <c r="D613" t="s">
        <v>113</v>
      </c>
      <c r="E613">
        <v>6</v>
      </c>
      <c r="H613">
        <v>165</v>
      </c>
      <c r="I613" t="s">
        <v>114</v>
      </c>
      <c r="J613" t="s">
        <v>115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>"20:14:42.586"</f>
        <v>20:14:42.586</v>
      </c>
      <c r="T613" t="str">
        <f>"20:14:42.086"</f>
        <v>20:14:42.086</v>
      </c>
      <c r="U613" t="str">
        <f t="shared" si="28"/>
        <v>AB01F4</v>
      </c>
      <c r="V613">
        <v>0</v>
      </c>
      <c r="W613">
        <v>0</v>
      </c>
      <c r="X613">
        <v>1</v>
      </c>
      <c r="Z613">
        <v>0</v>
      </c>
      <c r="AA613">
        <v>9</v>
      </c>
      <c r="AB613">
        <v>3</v>
      </c>
      <c r="AC613">
        <v>0</v>
      </c>
      <c r="AD613">
        <v>10</v>
      </c>
      <c r="AE613">
        <v>0</v>
      </c>
      <c r="AF613">
        <v>3</v>
      </c>
      <c r="AG613">
        <v>2</v>
      </c>
      <c r="AH613">
        <v>0</v>
      </c>
      <c r="AI613" t="s">
        <v>546</v>
      </c>
      <c r="AJ613">
        <v>39.605670000000003</v>
      </c>
      <c r="AK613" t="s">
        <v>547</v>
      </c>
      <c r="AL613">
        <v>-92.499690000000001</v>
      </c>
      <c r="AM613">
        <v>100</v>
      </c>
      <c r="AN613">
        <v>1800</v>
      </c>
      <c r="AO613" t="s">
        <v>118</v>
      </c>
      <c r="AP613">
        <v>-10</v>
      </c>
      <c r="AQ613">
        <v>138</v>
      </c>
      <c r="AR613">
        <v>-256</v>
      </c>
      <c r="AZ613">
        <v>1200</v>
      </c>
      <c r="BA613">
        <v>1</v>
      </c>
      <c r="BB613" t="str">
        <f t="shared" si="30"/>
        <v xml:space="preserve">N8080G  </v>
      </c>
      <c r="BC613">
        <v>1</v>
      </c>
      <c r="BE613">
        <v>0</v>
      </c>
      <c r="BF613">
        <v>0</v>
      </c>
      <c r="BG613">
        <v>0</v>
      </c>
      <c r="BH613">
        <v>1750</v>
      </c>
      <c r="BI613">
        <v>1</v>
      </c>
      <c r="BJ613">
        <v>1</v>
      </c>
      <c r="BK613">
        <v>1</v>
      </c>
      <c r="BL613">
        <v>0</v>
      </c>
      <c r="BO613">
        <v>0</v>
      </c>
      <c r="BP613">
        <v>0</v>
      </c>
      <c r="BW613" t="str">
        <f>"20:14:42.592"</f>
        <v>20:14:42.592</v>
      </c>
      <c r="BZ613">
        <v>0</v>
      </c>
      <c r="CA613">
        <v>2016</v>
      </c>
      <c r="CB613">
        <v>224</v>
      </c>
      <c r="CD613">
        <v>1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2</v>
      </c>
      <c r="CL613">
        <v>0</v>
      </c>
      <c r="CM613">
        <v>2</v>
      </c>
      <c r="CN613">
        <v>0</v>
      </c>
      <c r="CO613">
        <v>5</v>
      </c>
      <c r="CP613" t="s">
        <v>119</v>
      </c>
      <c r="CQ613">
        <v>559</v>
      </c>
      <c r="CR613">
        <v>0</v>
      </c>
      <c r="CW613">
        <v>10417308</v>
      </c>
      <c r="CY613">
        <v>1</v>
      </c>
      <c r="CZ613">
        <v>0</v>
      </c>
      <c r="DA613">
        <v>1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</row>
    <row r="614" spans="1:113" x14ac:dyDescent="0.3">
      <c r="A614" t="str">
        <f>"02/08/2021 20:14:41.339"</f>
        <v>02/08/2021 20:14:41.339</v>
      </c>
      <c r="C614" t="str">
        <f t="shared" si="29"/>
        <v>FFDFD7C0</v>
      </c>
      <c r="D614" t="s">
        <v>124</v>
      </c>
      <c r="E614">
        <v>13</v>
      </c>
      <c r="F614">
        <v>1013</v>
      </c>
      <c r="G614" t="s">
        <v>114</v>
      </c>
      <c r="J614" t="s">
        <v>125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>"20:14:43.664"</f>
        <v>20:14:43.664</v>
      </c>
      <c r="T614" t="str">
        <f>"20:14:43.164"</f>
        <v>20:14:43.164</v>
      </c>
      <c r="U614" t="str">
        <f t="shared" si="28"/>
        <v>AB01F4</v>
      </c>
      <c r="V614">
        <v>0</v>
      </c>
      <c r="W614">
        <v>0</v>
      </c>
      <c r="X614">
        <v>1</v>
      </c>
      <c r="Z614">
        <v>0</v>
      </c>
      <c r="AA614">
        <v>9</v>
      </c>
      <c r="AB614">
        <v>3</v>
      </c>
      <c r="AC614">
        <v>0</v>
      </c>
      <c r="AD614">
        <v>10</v>
      </c>
      <c r="AE614">
        <v>0</v>
      </c>
      <c r="AF614">
        <v>3</v>
      </c>
      <c r="AG614">
        <v>2</v>
      </c>
      <c r="AH614">
        <v>0</v>
      </c>
      <c r="AI614" t="s">
        <v>548</v>
      </c>
      <c r="AJ614">
        <v>39.606420999999997</v>
      </c>
      <c r="AK614" t="s">
        <v>549</v>
      </c>
      <c r="AL614">
        <v>-92.499753999999996</v>
      </c>
      <c r="AM614">
        <v>100</v>
      </c>
      <c r="AN614">
        <v>1800</v>
      </c>
      <c r="AO614" t="s">
        <v>118</v>
      </c>
      <c r="AP614">
        <v>-10</v>
      </c>
      <c r="AQ614">
        <v>138</v>
      </c>
      <c r="AR614">
        <v>-256</v>
      </c>
      <c r="AZ614">
        <v>1200</v>
      </c>
      <c r="BA614">
        <v>1</v>
      </c>
      <c r="BB614" t="str">
        <f t="shared" si="30"/>
        <v xml:space="preserve">N8080G  </v>
      </c>
      <c r="BC614">
        <v>1</v>
      </c>
      <c r="BE614">
        <v>0</v>
      </c>
      <c r="BF614">
        <v>0</v>
      </c>
      <c r="BG614">
        <v>0</v>
      </c>
      <c r="BH614">
        <v>1750</v>
      </c>
      <c r="BI614">
        <v>1</v>
      </c>
      <c r="BJ614">
        <v>1</v>
      </c>
      <c r="BK614">
        <v>1</v>
      </c>
      <c r="BL614">
        <v>0</v>
      </c>
      <c r="BO614">
        <v>0</v>
      </c>
      <c r="BP614">
        <v>0</v>
      </c>
      <c r="BW614" t="str">
        <f>"20:14:43.671"</f>
        <v>20:14:43.671</v>
      </c>
      <c r="BZ614">
        <v>0</v>
      </c>
      <c r="CA614">
        <v>2016</v>
      </c>
      <c r="CB614">
        <v>224</v>
      </c>
      <c r="CD614">
        <v>1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2</v>
      </c>
      <c r="CL614">
        <v>0</v>
      </c>
      <c r="CM614">
        <v>2</v>
      </c>
      <c r="CN614">
        <v>0</v>
      </c>
      <c r="CO614">
        <v>5</v>
      </c>
      <c r="CP614" t="s">
        <v>119</v>
      </c>
      <c r="CQ614">
        <v>559</v>
      </c>
      <c r="CR614">
        <v>0</v>
      </c>
      <c r="CW614">
        <v>10417480</v>
      </c>
      <c r="CY614">
        <v>1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</row>
    <row r="615" spans="1:113" x14ac:dyDescent="0.3">
      <c r="A615" t="str">
        <f>"02/08/2021 20:14:41.339"</f>
        <v>02/08/2021 20:14:41.339</v>
      </c>
      <c r="C615" t="str">
        <f t="shared" si="29"/>
        <v>FFDFD7C0</v>
      </c>
      <c r="D615" t="s">
        <v>113</v>
      </c>
      <c r="E615">
        <v>6</v>
      </c>
      <c r="H615">
        <v>165</v>
      </c>
      <c r="I615" t="s">
        <v>114</v>
      </c>
      <c r="J615" t="s">
        <v>115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>"20:14:43.664"</f>
        <v>20:14:43.664</v>
      </c>
      <c r="T615" t="str">
        <f>"20:14:43.164"</f>
        <v>20:14:43.164</v>
      </c>
      <c r="U615" t="str">
        <f t="shared" si="28"/>
        <v>AB01F4</v>
      </c>
      <c r="V615">
        <v>0</v>
      </c>
      <c r="W615">
        <v>0</v>
      </c>
      <c r="X615">
        <v>1</v>
      </c>
      <c r="Z615">
        <v>0</v>
      </c>
      <c r="AA615">
        <v>9</v>
      </c>
      <c r="AB615">
        <v>3</v>
      </c>
      <c r="AC615">
        <v>0</v>
      </c>
      <c r="AD615">
        <v>10</v>
      </c>
      <c r="AE615">
        <v>0</v>
      </c>
      <c r="AF615">
        <v>3</v>
      </c>
      <c r="AG615">
        <v>2</v>
      </c>
      <c r="AH615">
        <v>0</v>
      </c>
      <c r="AI615" t="s">
        <v>548</v>
      </c>
      <c r="AJ615">
        <v>39.606420999999997</v>
      </c>
      <c r="AK615" t="s">
        <v>549</v>
      </c>
      <c r="AL615">
        <v>-92.499753999999996</v>
      </c>
      <c r="AM615">
        <v>100</v>
      </c>
      <c r="AN615">
        <v>1800</v>
      </c>
      <c r="AO615" t="s">
        <v>118</v>
      </c>
      <c r="AP615">
        <v>-10</v>
      </c>
      <c r="AQ615">
        <v>138</v>
      </c>
      <c r="AR615">
        <v>-256</v>
      </c>
      <c r="AZ615">
        <v>1200</v>
      </c>
      <c r="BA615">
        <v>1</v>
      </c>
      <c r="BB615" t="str">
        <f t="shared" si="30"/>
        <v xml:space="preserve">N8080G  </v>
      </c>
      <c r="BC615">
        <v>1</v>
      </c>
      <c r="BE615">
        <v>0</v>
      </c>
      <c r="BF615">
        <v>0</v>
      </c>
      <c r="BG615">
        <v>0</v>
      </c>
      <c r="BH615">
        <v>1750</v>
      </c>
      <c r="BI615">
        <v>1</v>
      </c>
      <c r="BJ615">
        <v>1</v>
      </c>
      <c r="BK615">
        <v>1</v>
      </c>
      <c r="BL615">
        <v>0</v>
      </c>
      <c r="BO615">
        <v>0</v>
      </c>
      <c r="BP615">
        <v>0</v>
      </c>
      <c r="BW615" t="str">
        <f>"20:14:43.671"</f>
        <v>20:14:43.671</v>
      </c>
      <c r="BZ615">
        <v>0</v>
      </c>
      <c r="CA615">
        <v>2016</v>
      </c>
      <c r="CB615">
        <v>224</v>
      </c>
      <c r="CD615">
        <v>1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2</v>
      </c>
      <c r="CL615">
        <v>0</v>
      </c>
      <c r="CM615">
        <v>2</v>
      </c>
      <c r="CN615">
        <v>0</v>
      </c>
      <c r="CO615">
        <v>5</v>
      </c>
      <c r="CP615" t="s">
        <v>119</v>
      </c>
      <c r="CQ615">
        <v>559</v>
      </c>
      <c r="CR615">
        <v>0</v>
      </c>
      <c r="CW615">
        <v>10417480</v>
      </c>
      <c r="CY615">
        <v>1</v>
      </c>
      <c r="CZ615">
        <v>0</v>
      </c>
      <c r="DA615">
        <v>1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</row>
    <row r="616" spans="1:113" x14ac:dyDescent="0.3">
      <c r="A616" t="str">
        <f>"02/08/2021 20:14:41.339"</f>
        <v>02/08/2021 20:14:41.339</v>
      </c>
      <c r="C616" t="str">
        <f t="shared" si="29"/>
        <v>FFDFD7C0</v>
      </c>
      <c r="D616" t="s">
        <v>141</v>
      </c>
      <c r="E616">
        <v>17</v>
      </c>
      <c r="H616">
        <v>256</v>
      </c>
      <c r="I616" t="s">
        <v>142</v>
      </c>
      <c r="J616" t="s">
        <v>143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>"20:14:43.664"</f>
        <v>20:14:43.664</v>
      </c>
      <c r="T616" t="str">
        <f>"20:14:43.164"</f>
        <v>20:14:43.164</v>
      </c>
      <c r="U616" t="str">
        <f t="shared" si="28"/>
        <v>AB01F4</v>
      </c>
      <c r="V616">
        <v>0</v>
      </c>
      <c r="W616">
        <v>0</v>
      </c>
      <c r="X616">
        <v>1</v>
      </c>
      <c r="Z616">
        <v>0</v>
      </c>
      <c r="AA616">
        <v>9</v>
      </c>
      <c r="AB616">
        <v>3</v>
      </c>
      <c r="AC616">
        <v>0</v>
      </c>
      <c r="AD616">
        <v>10</v>
      </c>
      <c r="AE616">
        <v>0</v>
      </c>
      <c r="AF616">
        <v>3</v>
      </c>
      <c r="AG616">
        <v>2</v>
      </c>
      <c r="AH616">
        <v>0</v>
      </c>
      <c r="AI616" t="s">
        <v>548</v>
      </c>
      <c r="AJ616">
        <v>39.606420999999997</v>
      </c>
      <c r="AK616" t="s">
        <v>549</v>
      </c>
      <c r="AL616">
        <v>-92.499753999999996</v>
      </c>
      <c r="AM616">
        <v>100</v>
      </c>
      <c r="AN616">
        <v>1800</v>
      </c>
      <c r="AO616" t="s">
        <v>118</v>
      </c>
      <c r="AP616">
        <v>-10</v>
      </c>
      <c r="AQ616">
        <v>138</v>
      </c>
      <c r="AR616">
        <v>-256</v>
      </c>
      <c r="AZ616">
        <v>1200</v>
      </c>
      <c r="BA616">
        <v>1</v>
      </c>
      <c r="BB616" t="str">
        <f t="shared" si="30"/>
        <v xml:space="preserve">N8080G  </v>
      </c>
      <c r="BC616">
        <v>1</v>
      </c>
      <c r="BE616">
        <v>0</v>
      </c>
      <c r="BF616">
        <v>0</v>
      </c>
      <c r="BG616">
        <v>0</v>
      </c>
      <c r="BH616">
        <v>1750</v>
      </c>
      <c r="BI616">
        <v>1</v>
      </c>
      <c r="BJ616">
        <v>1</v>
      </c>
      <c r="BK616">
        <v>1</v>
      </c>
      <c r="BL616">
        <v>0</v>
      </c>
      <c r="BO616">
        <v>0</v>
      </c>
      <c r="BP616">
        <v>0</v>
      </c>
      <c r="BW616" t="str">
        <f>"20:14:43.671"</f>
        <v>20:14:43.671</v>
      </c>
      <c r="BZ616">
        <v>0</v>
      </c>
      <c r="CA616">
        <v>2016</v>
      </c>
      <c r="CB616">
        <v>224</v>
      </c>
      <c r="CD616">
        <v>1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2</v>
      </c>
      <c r="CL616">
        <v>0</v>
      </c>
      <c r="CM616">
        <v>2</v>
      </c>
      <c r="CN616">
        <v>0</v>
      </c>
      <c r="CO616">
        <v>5</v>
      </c>
      <c r="CP616" t="s">
        <v>119</v>
      </c>
      <c r="CQ616">
        <v>559</v>
      </c>
      <c r="CR616">
        <v>0</v>
      </c>
      <c r="CW616">
        <v>10417480</v>
      </c>
      <c r="CY616">
        <v>1</v>
      </c>
      <c r="CZ616">
        <v>0</v>
      </c>
      <c r="DA616">
        <v>1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</row>
    <row r="617" spans="1:113" x14ac:dyDescent="0.3">
      <c r="A617" t="str">
        <f>"02/08/2021 20:14:42.346"</f>
        <v>02/08/2021 20:14:42.346</v>
      </c>
      <c r="C617" t="str">
        <f t="shared" si="29"/>
        <v>FFDFD7C0</v>
      </c>
      <c r="D617" t="s">
        <v>124</v>
      </c>
      <c r="E617">
        <v>13</v>
      </c>
      <c r="F617">
        <v>1013</v>
      </c>
      <c r="G617" t="s">
        <v>114</v>
      </c>
      <c r="J617" t="s">
        <v>125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>"20:14:44.672"</f>
        <v>20:14:44.672</v>
      </c>
      <c r="T617" t="str">
        <f>"20:14:44.172"</f>
        <v>20:14:44.172</v>
      </c>
      <c r="U617" t="str">
        <f t="shared" si="28"/>
        <v>AB01F4</v>
      </c>
      <c r="V617">
        <v>0</v>
      </c>
      <c r="W617">
        <v>0</v>
      </c>
      <c r="X617">
        <v>1</v>
      </c>
      <c r="Z617">
        <v>0</v>
      </c>
      <c r="AA617">
        <v>9</v>
      </c>
      <c r="AB617">
        <v>3</v>
      </c>
      <c r="AC617">
        <v>0</v>
      </c>
      <c r="AD617">
        <v>10</v>
      </c>
      <c r="AE617">
        <v>0</v>
      </c>
      <c r="AF617">
        <v>3</v>
      </c>
      <c r="AG617">
        <v>2</v>
      </c>
      <c r="AH617">
        <v>0</v>
      </c>
      <c r="AI617" t="s">
        <v>550</v>
      </c>
      <c r="AJ617">
        <v>39.607022000000001</v>
      </c>
      <c r="AK617" t="s">
        <v>551</v>
      </c>
      <c r="AL617">
        <v>-92.499819000000002</v>
      </c>
      <c r="AM617">
        <v>100</v>
      </c>
      <c r="AN617">
        <v>1800</v>
      </c>
      <c r="AO617" t="s">
        <v>118</v>
      </c>
      <c r="AP617">
        <v>-10</v>
      </c>
      <c r="AQ617">
        <v>138</v>
      </c>
      <c r="AR617">
        <v>-320</v>
      </c>
      <c r="AZ617">
        <v>1200</v>
      </c>
      <c r="BA617">
        <v>1</v>
      </c>
      <c r="BB617" t="str">
        <f t="shared" si="30"/>
        <v xml:space="preserve">N8080G  </v>
      </c>
      <c r="BC617">
        <v>1</v>
      </c>
      <c r="BE617">
        <v>0</v>
      </c>
      <c r="BF617">
        <v>0</v>
      </c>
      <c r="BG617">
        <v>0</v>
      </c>
      <c r="BH617">
        <v>1750</v>
      </c>
      <c r="BI617">
        <v>1</v>
      </c>
      <c r="BJ617">
        <v>1</v>
      </c>
      <c r="BK617">
        <v>1</v>
      </c>
      <c r="BL617">
        <v>0</v>
      </c>
      <c r="BO617">
        <v>0</v>
      </c>
      <c r="BP617">
        <v>0</v>
      </c>
      <c r="BW617" t="str">
        <f>"20:14:44.679"</f>
        <v>20:14:44.679</v>
      </c>
      <c r="BZ617">
        <v>0</v>
      </c>
      <c r="CA617">
        <v>2016</v>
      </c>
      <c r="CB617">
        <v>224</v>
      </c>
      <c r="CD617">
        <v>1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2</v>
      </c>
      <c r="CL617">
        <v>0</v>
      </c>
      <c r="CM617">
        <v>2</v>
      </c>
      <c r="CN617">
        <v>0</v>
      </c>
      <c r="CO617">
        <v>5</v>
      </c>
      <c r="CP617" t="s">
        <v>119</v>
      </c>
      <c r="CQ617">
        <v>559</v>
      </c>
      <c r="CR617">
        <v>0</v>
      </c>
      <c r="CW617">
        <v>10417651</v>
      </c>
      <c r="CY617">
        <v>1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</row>
    <row r="618" spans="1:113" x14ac:dyDescent="0.3">
      <c r="A618" t="str">
        <f>"02/08/2021 20:14:42.346"</f>
        <v>02/08/2021 20:14:42.346</v>
      </c>
      <c r="C618" t="str">
        <f t="shared" si="29"/>
        <v>FFDFD7C0</v>
      </c>
      <c r="D618" t="s">
        <v>113</v>
      </c>
      <c r="E618">
        <v>6</v>
      </c>
      <c r="H618">
        <v>165</v>
      </c>
      <c r="I618" t="s">
        <v>114</v>
      </c>
      <c r="J618" t="s">
        <v>115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>"20:14:44.672"</f>
        <v>20:14:44.672</v>
      </c>
      <c r="T618" t="str">
        <f>"20:14:44.172"</f>
        <v>20:14:44.172</v>
      </c>
      <c r="U618" t="str">
        <f t="shared" si="28"/>
        <v>AB01F4</v>
      </c>
      <c r="V618">
        <v>0</v>
      </c>
      <c r="W618">
        <v>0</v>
      </c>
      <c r="X618">
        <v>1</v>
      </c>
      <c r="Z618">
        <v>0</v>
      </c>
      <c r="AA618">
        <v>9</v>
      </c>
      <c r="AB618">
        <v>3</v>
      </c>
      <c r="AC618">
        <v>0</v>
      </c>
      <c r="AD618">
        <v>10</v>
      </c>
      <c r="AE618">
        <v>0</v>
      </c>
      <c r="AF618">
        <v>3</v>
      </c>
      <c r="AG618">
        <v>2</v>
      </c>
      <c r="AH618">
        <v>0</v>
      </c>
      <c r="AI618" t="s">
        <v>550</v>
      </c>
      <c r="AJ618">
        <v>39.607022000000001</v>
      </c>
      <c r="AK618" t="s">
        <v>551</v>
      </c>
      <c r="AL618">
        <v>-92.499819000000002</v>
      </c>
      <c r="AM618">
        <v>100</v>
      </c>
      <c r="AN618">
        <v>1800</v>
      </c>
      <c r="AO618" t="s">
        <v>118</v>
      </c>
      <c r="AP618">
        <v>-10</v>
      </c>
      <c r="AQ618">
        <v>138</v>
      </c>
      <c r="AR618">
        <v>-320</v>
      </c>
      <c r="AZ618">
        <v>1200</v>
      </c>
      <c r="BA618">
        <v>1</v>
      </c>
      <c r="BB618" t="str">
        <f t="shared" si="30"/>
        <v xml:space="preserve">N8080G  </v>
      </c>
      <c r="BC618">
        <v>1</v>
      </c>
      <c r="BE618">
        <v>0</v>
      </c>
      <c r="BF618">
        <v>0</v>
      </c>
      <c r="BG618">
        <v>0</v>
      </c>
      <c r="BH618">
        <v>1750</v>
      </c>
      <c r="BI618">
        <v>1</v>
      </c>
      <c r="BJ618">
        <v>1</v>
      </c>
      <c r="BK618">
        <v>1</v>
      </c>
      <c r="BL618">
        <v>0</v>
      </c>
      <c r="BO618">
        <v>0</v>
      </c>
      <c r="BP618">
        <v>0</v>
      </c>
      <c r="BW618" t="str">
        <f>"20:14:44.679"</f>
        <v>20:14:44.679</v>
      </c>
      <c r="BZ618">
        <v>0</v>
      </c>
      <c r="CA618">
        <v>2016</v>
      </c>
      <c r="CB618">
        <v>224</v>
      </c>
      <c r="CD618">
        <v>1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2</v>
      </c>
      <c r="CL618">
        <v>0</v>
      </c>
      <c r="CM618">
        <v>2</v>
      </c>
      <c r="CN618">
        <v>0</v>
      </c>
      <c r="CO618">
        <v>5</v>
      </c>
      <c r="CP618" t="s">
        <v>119</v>
      </c>
      <c r="CQ618">
        <v>559</v>
      </c>
      <c r="CR618">
        <v>0</v>
      </c>
      <c r="CW618">
        <v>10417651</v>
      </c>
      <c r="CY618">
        <v>1</v>
      </c>
      <c r="CZ618">
        <v>0</v>
      </c>
      <c r="DA618">
        <v>1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</row>
    <row r="619" spans="1:113" x14ac:dyDescent="0.3">
      <c r="A619" t="str">
        <f>"02/08/2021 20:14:42.346"</f>
        <v>02/08/2021 20:14:42.346</v>
      </c>
      <c r="C619" t="str">
        <f t="shared" si="29"/>
        <v>FFDFD7C0</v>
      </c>
      <c r="D619" t="s">
        <v>141</v>
      </c>
      <c r="E619">
        <v>17</v>
      </c>
      <c r="H619">
        <v>256</v>
      </c>
      <c r="I619" t="s">
        <v>142</v>
      </c>
      <c r="J619" t="s">
        <v>143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>"20:14:44.672"</f>
        <v>20:14:44.672</v>
      </c>
      <c r="T619" t="str">
        <f>"20:14:44.172"</f>
        <v>20:14:44.172</v>
      </c>
      <c r="U619" t="str">
        <f t="shared" si="28"/>
        <v>AB01F4</v>
      </c>
      <c r="V619">
        <v>0</v>
      </c>
      <c r="W619">
        <v>0</v>
      </c>
      <c r="X619">
        <v>1</v>
      </c>
      <c r="Z619">
        <v>0</v>
      </c>
      <c r="AA619">
        <v>9</v>
      </c>
      <c r="AB619">
        <v>3</v>
      </c>
      <c r="AC619">
        <v>0</v>
      </c>
      <c r="AD619">
        <v>10</v>
      </c>
      <c r="AE619">
        <v>0</v>
      </c>
      <c r="AF619">
        <v>3</v>
      </c>
      <c r="AG619">
        <v>2</v>
      </c>
      <c r="AH619">
        <v>0</v>
      </c>
      <c r="AI619" t="s">
        <v>550</v>
      </c>
      <c r="AJ619">
        <v>39.607022000000001</v>
      </c>
      <c r="AK619" t="s">
        <v>551</v>
      </c>
      <c r="AL619">
        <v>-92.499819000000002</v>
      </c>
      <c r="AM619">
        <v>100</v>
      </c>
      <c r="AN619">
        <v>1800</v>
      </c>
      <c r="AO619" t="s">
        <v>118</v>
      </c>
      <c r="AP619">
        <v>-10</v>
      </c>
      <c r="AQ619">
        <v>138</v>
      </c>
      <c r="AR619">
        <v>-320</v>
      </c>
      <c r="AZ619">
        <v>1200</v>
      </c>
      <c r="BA619">
        <v>1</v>
      </c>
      <c r="BB619" t="str">
        <f t="shared" si="30"/>
        <v xml:space="preserve">N8080G  </v>
      </c>
      <c r="BC619">
        <v>1</v>
      </c>
      <c r="BE619">
        <v>0</v>
      </c>
      <c r="BF619">
        <v>0</v>
      </c>
      <c r="BG619">
        <v>0</v>
      </c>
      <c r="BH619">
        <v>1750</v>
      </c>
      <c r="BI619">
        <v>1</v>
      </c>
      <c r="BJ619">
        <v>1</v>
      </c>
      <c r="BK619">
        <v>1</v>
      </c>
      <c r="BL619">
        <v>0</v>
      </c>
      <c r="BO619">
        <v>0</v>
      </c>
      <c r="BP619">
        <v>0</v>
      </c>
      <c r="BW619" t="str">
        <f>"20:14:44.679"</f>
        <v>20:14:44.679</v>
      </c>
      <c r="BZ619">
        <v>0</v>
      </c>
      <c r="CA619">
        <v>2016</v>
      </c>
      <c r="CB619">
        <v>224</v>
      </c>
      <c r="CD619">
        <v>1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2</v>
      </c>
      <c r="CL619">
        <v>0</v>
      </c>
      <c r="CM619">
        <v>2</v>
      </c>
      <c r="CN619">
        <v>0</v>
      </c>
      <c r="CO619">
        <v>5</v>
      </c>
      <c r="CP619" t="s">
        <v>119</v>
      </c>
      <c r="CQ619">
        <v>559</v>
      </c>
      <c r="CR619">
        <v>0</v>
      </c>
      <c r="CW619">
        <v>10417651</v>
      </c>
      <c r="CY619">
        <v>1</v>
      </c>
      <c r="CZ619">
        <v>0</v>
      </c>
      <c r="DA619">
        <v>1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</row>
    <row r="620" spans="1:113" x14ac:dyDescent="0.3">
      <c r="A620" t="str">
        <f>"02/08/2021 20:14:43.477"</f>
        <v>02/08/2021 20:14:43.477</v>
      </c>
      <c r="C620" t="str">
        <f t="shared" si="29"/>
        <v>FFDFD7C0</v>
      </c>
      <c r="D620" t="s">
        <v>113</v>
      </c>
      <c r="E620">
        <v>6</v>
      </c>
      <c r="H620">
        <v>165</v>
      </c>
      <c r="I620" t="s">
        <v>114</v>
      </c>
      <c r="J620" t="s">
        <v>115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>"20:14:45.789"</f>
        <v>20:14:45.789</v>
      </c>
      <c r="T620" t="str">
        <f>"20:14:45.289"</f>
        <v>20:14:45.289</v>
      </c>
      <c r="U620" t="str">
        <f t="shared" si="28"/>
        <v>AB01F4</v>
      </c>
      <c r="V620">
        <v>0</v>
      </c>
      <c r="W620">
        <v>0</v>
      </c>
      <c r="X620">
        <v>1</v>
      </c>
      <c r="Z620">
        <v>0</v>
      </c>
      <c r="AA620">
        <v>9</v>
      </c>
      <c r="AB620">
        <v>3</v>
      </c>
      <c r="AC620">
        <v>0</v>
      </c>
      <c r="AD620">
        <v>10</v>
      </c>
      <c r="AE620">
        <v>0</v>
      </c>
      <c r="AF620">
        <v>3</v>
      </c>
      <c r="AG620">
        <v>2</v>
      </c>
      <c r="AH620">
        <v>0</v>
      </c>
      <c r="AI620" t="s">
        <v>552</v>
      </c>
      <c r="AJ620">
        <v>39.607729999999997</v>
      </c>
      <c r="AK620" t="s">
        <v>553</v>
      </c>
      <c r="AL620">
        <v>-92.499861999999993</v>
      </c>
      <c r="AM620">
        <v>100</v>
      </c>
      <c r="AN620">
        <v>1800</v>
      </c>
      <c r="AO620" t="s">
        <v>118</v>
      </c>
      <c r="AP620">
        <v>-9</v>
      </c>
      <c r="AQ620">
        <v>139</v>
      </c>
      <c r="AR620">
        <v>-384</v>
      </c>
      <c r="AZ620">
        <v>1200</v>
      </c>
      <c r="BA620">
        <v>1</v>
      </c>
      <c r="BB620" t="str">
        <f t="shared" si="30"/>
        <v xml:space="preserve">N8080G  </v>
      </c>
      <c r="BC620">
        <v>1</v>
      </c>
      <c r="BE620">
        <v>0</v>
      </c>
      <c r="BF620">
        <v>0</v>
      </c>
      <c r="BG620">
        <v>0</v>
      </c>
      <c r="BH620">
        <v>1750</v>
      </c>
      <c r="BI620">
        <v>1</v>
      </c>
      <c r="BJ620">
        <v>1</v>
      </c>
      <c r="BK620">
        <v>1</v>
      </c>
      <c r="BL620">
        <v>0</v>
      </c>
      <c r="BO620">
        <v>0</v>
      </c>
      <c r="BP620">
        <v>0</v>
      </c>
      <c r="BW620" t="str">
        <f>"20:14:45.790"</f>
        <v>20:14:45.790</v>
      </c>
      <c r="BZ620">
        <v>0</v>
      </c>
      <c r="CA620">
        <v>2016</v>
      </c>
      <c r="CB620">
        <v>224</v>
      </c>
      <c r="CD620">
        <v>1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2</v>
      </c>
      <c r="CL620">
        <v>0</v>
      </c>
      <c r="CM620">
        <v>2</v>
      </c>
      <c r="CN620">
        <v>0</v>
      </c>
      <c r="CO620">
        <v>5</v>
      </c>
      <c r="CP620" t="s">
        <v>119</v>
      </c>
      <c r="CQ620">
        <v>559</v>
      </c>
      <c r="CR620">
        <v>0</v>
      </c>
      <c r="CW620">
        <v>10417829</v>
      </c>
      <c r="CY620">
        <v>1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</row>
    <row r="621" spans="1:113" x14ac:dyDescent="0.3">
      <c r="A621" t="str">
        <f>"02/08/2021 20:14:43.477"</f>
        <v>02/08/2021 20:14:43.477</v>
      </c>
      <c r="C621" t="str">
        <f t="shared" si="29"/>
        <v>FFDFD7C0</v>
      </c>
      <c r="D621" t="s">
        <v>141</v>
      </c>
      <c r="E621">
        <v>17</v>
      </c>
      <c r="H621">
        <v>256</v>
      </c>
      <c r="I621" t="s">
        <v>142</v>
      </c>
      <c r="J621" t="s">
        <v>143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>"20:14:45.789"</f>
        <v>20:14:45.789</v>
      </c>
      <c r="T621" t="str">
        <f>"20:14:45.289"</f>
        <v>20:14:45.289</v>
      </c>
      <c r="U621" t="str">
        <f t="shared" si="28"/>
        <v>AB01F4</v>
      </c>
      <c r="V621">
        <v>0</v>
      </c>
      <c r="W621">
        <v>0</v>
      </c>
      <c r="X621">
        <v>1</v>
      </c>
      <c r="Z621">
        <v>0</v>
      </c>
      <c r="AA621">
        <v>9</v>
      </c>
      <c r="AB621">
        <v>3</v>
      </c>
      <c r="AC621">
        <v>0</v>
      </c>
      <c r="AD621">
        <v>10</v>
      </c>
      <c r="AE621">
        <v>0</v>
      </c>
      <c r="AF621">
        <v>3</v>
      </c>
      <c r="AG621">
        <v>2</v>
      </c>
      <c r="AH621">
        <v>0</v>
      </c>
      <c r="AI621" t="s">
        <v>552</v>
      </c>
      <c r="AJ621">
        <v>39.607729999999997</v>
      </c>
      <c r="AK621" t="s">
        <v>553</v>
      </c>
      <c r="AL621">
        <v>-92.499861999999993</v>
      </c>
      <c r="AM621">
        <v>100</v>
      </c>
      <c r="AN621">
        <v>1800</v>
      </c>
      <c r="AO621" t="s">
        <v>118</v>
      </c>
      <c r="AP621">
        <v>-9</v>
      </c>
      <c r="AQ621">
        <v>139</v>
      </c>
      <c r="AR621">
        <v>-384</v>
      </c>
      <c r="AZ621">
        <v>1200</v>
      </c>
      <c r="BA621">
        <v>1</v>
      </c>
      <c r="BB621" t="str">
        <f t="shared" si="30"/>
        <v xml:space="preserve">N8080G  </v>
      </c>
      <c r="BC621">
        <v>1</v>
      </c>
      <c r="BE621">
        <v>0</v>
      </c>
      <c r="BF621">
        <v>0</v>
      </c>
      <c r="BG621">
        <v>0</v>
      </c>
      <c r="BH621">
        <v>1750</v>
      </c>
      <c r="BI621">
        <v>1</v>
      </c>
      <c r="BJ621">
        <v>1</v>
      </c>
      <c r="BK621">
        <v>1</v>
      </c>
      <c r="BL621">
        <v>0</v>
      </c>
      <c r="BO621">
        <v>0</v>
      </c>
      <c r="BP621">
        <v>0</v>
      </c>
      <c r="BW621" t="str">
        <f>"20:14:45.790"</f>
        <v>20:14:45.790</v>
      </c>
      <c r="BZ621">
        <v>0</v>
      </c>
      <c r="CA621">
        <v>2016</v>
      </c>
      <c r="CB621">
        <v>224</v>
      </c>
      <c r="CD621">
        <v>1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2</v>
      </c>
      <c r="CL621">
        <v>0</v>
      </c>
      <c r="CM621">
        <v>2</v>
      </c>
      <c r="CN621">
        <v>0</v>
      </c>
      <c r="CO621">
        <v>5</v>
      </c>
      <c r="CP621" t="s">
        <v>119</v>
      </c>
      <c r="CQ621">
        <v>559</v>
      </c>
      <c r="CR621">
        <v>0</v>
      </c>
      <c r="CW621">
        <v>10417829</v>
      </c>
      <c r="CY621">
        <v>1</v>
      </c>
      <c r="CZ621">
        <v>0</v>
      </c>
      <c r="DA621">
        <v>1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</row>
    <row r="622" spans="1:113" x14ac:dyDescent="0.3">
      <c r="A622" t="str">
        <f>"02/08/2021 20:14:43.477"</f>
        <v>02/08/2021 20:14:43.477</v>
      </c>
      <c r="C622" t="str">
        <f t="shared" si="29"/>
        <v>FFDFD7C0</v>
      </c>
      <c r="D622" t="s">
        <v>124</v>
      </c>
      <c r="E622">
        <v>13</v>
      </c>
      <c r="F622">
        <v>1013</v>
      </c>
      <c r="G622" t="s">
        <v>114</v>
      </c>
      <c r="J622" t="s">
        <v>125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>"20:14:45.789"</f>
        <v>20:14:45.789</v>
      </c>
      <c r="T622" t="str">
        <f>"20:14:45.289"</f>
        <v>20:14:45.289</v>
      </c>
      <c r="U622" t="str">
        <f t="shared" si="28"/>
        <v>AB01F4</v>
      </c>
      <c r="V622">
        <v>0</v>
      </c>
      <c r="W622">
        <v>0</v>
      </c>
      <c r="X622">
        <v>1</v>
      </c>
      <c r="Z622">
        <v>0</v>
      </c>
      <c r="AA622">
        <v>9</v>
      </c>
      <c r="AB622">
        <v>3</v>
      </c>
      <c r="AC622">
        <v>0</v>
      </c>
      <c r="AD622">
        <v>10</v>
      </c>
      <c r="AE622">
        <v>0</v>
      </c>
      <c r="AF622">
        <v>3</v>
      </c>
      <c r="AG622">
        <v>2</v>
      </c>
      <c r="AH622">
        <v>0</v>
      </c>
      <c r="AI622" t="s">
        <v>552</v>
      </c>
      <c r="AJ622">
        <v>39.607729999999997</v>
      </c>
      <c r="AK622" t="s">
        <v>553</v>
      </c>
      <c r="AL622">
        <v>-92.499861999999993</v>
      </c>
      <c r="AM622">
        <v>100</v>
      </c>
      <c r="AN622">
        <v>1800</v>
      </c>
      <c r="AO622" t="s">
        <v>118</v>
      </c>
      <c r="AP622">
        <v>-9</v>
      </c>
      <c r="AQ622">
        <v>139</v>
      </c>
      <c r="AR622">
        <v>-384</v>
      </c>
      <c r="AZ622">
        <v>1200</v>
      </c>
      <c r="BA622">
        <v>1</v>
      </c>
      <c r="BB622" t="str">
        <f t="shared" si="30"/>
        <v xml:space="preserve">N8080G  </v>
      </c>
      <c r="BC622">
        <v>1</v>
      </c>
      <c r="BE622">
        <v>0</v>
      </c>
      <c r="BF622">
        <v>0</v>
      </c>
      <c r="BG622">
        <v>0</v>
      </c>
      <c r="BH622">
        <v>1750</v>
      </c>
      <c r="BI622">
        <v>1</v>
      </c>
      <c r="BJ622">
        <v>1</v>
      </c>
      <c r="BK622">
        <v>1</v>
      </c>
      <c r="BL622">
        <v>0</v>
      </c>
      <c r="BO622">
        <v>0</v>
      </c>
      <c r="BP622">
        <v>0</v>
      </c>
      <c r="BW622" t="str">
        <f>"20:14:45.790"</f>
        <v>20:14:45.790</v>
      </c>
      <c r="BZ622">
        <v>0</v>
      </c>
      <c r="CA622">
        <v>2016</v>
      </c>
      <c r="CB622">
        <v>224</v>
      </c>
      <c r="CD622">
        <v>1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2</v>
      </c>
      <c r="CL622">
        <v>0</v>
      </c>
      <c r="CM622">
        <v>2</v>
      </c>
      <c r="CN622">
        <v>0</v>
      </c>
      <c r="CO622">
        <v>5</v>
      </c>
      <c r="CP622" t="s">
        <v>119</v>
      </c>
      <c r="CQ622">
        <v>559</v>
      </c>
      <c r="CR622">
        <v>0</v>
      </c>
      <c r="CW622">
        <v>10417829</v>
      </c>
      <c r="CY622">
        <v>1</v>
      </c>
      <c r="CZ622">
        <v>0</v>
      </c>
      <c r="DA622">
        <v>1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</row>
    <row r="623" spans="1:113" x14ac:dyDescent="0.3">
      <c r="A623" t="str">
        <f>"02/08/2021 20:14:44.439"</f>
        <v>02/08/2021 20:14:44.439</v>
      </c>
      <c r="C623" t="str">
        <f t="shared" si="29"/>
        <v>FFDFD7C0</v>
      </c>
      <c r="D623" t="s">
        <v>113</v>
      </c>
      <c r="E623">
        <v>6</v>
      </c>
      <c r="H623">
        <v>165</v>
      </c>
      <c r="I623" t="s">
        <v>114</v>
      </c>
      <c r="J623" t="s">
        <v>115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>"20:14:46.742"</f>
        <v>20:14:46.742</v>
      </c>
      <c r="U623" t="str">
        <f t="shared" si="28"/>
        <v>AB01F4</v>
      </c>
      <c r="V623">
        <v>0</v>
      </c>
      <c r="W623">
        <v>0</v>
      </c>
      <c r="X623">
        <v>1</v>
      </c>
      <c r="Z623">
        <v>0</v>
      </c>
      <c r="AA623">
        <v>9</v>
      </c>
      <c r="AB623">
        <v>3</v>
      </c>
      <c r="AC623">
        <v>0</v>
      </c>
      <c r="AD623">
        <v>10</v>
      </c>
      <c r="AE623">
        <v>0</v>
      </c>
      <c r="AF623">
        <v>3</v>
      </c>
      <c r="AG623">
        <v>2</v>
      </c>
      <c r="AH623">
        <v>0</v>
      </c>
      <c r="AI623" t="s">
        <v>554</v>
      </c>
      <c r="AJ623">
        <v>39.608417000000003</v>
      </c>
      <c r="AK623" t="s">
        <v>555</v>
      </c>
      <c r="AL623">
        <v>-92.499926000000002</v>
      </c>
      <c r="AM623">
        <v>100</v>
      </c>
      <c r="AN623">
        <v>1800</v>
      </c>
      <c r="AO623" t="s">
        <v>118</v>
      </c>
      <c r="AP623">
        <v>-9</v>
      </c>
      <c r="AQ623">
        <v>139</v>
      </c>
      <c r="AR623">
        <v>-256</v>
      </c>
      <c r="AZ623">
        <v>1200</v>
      </c>
      <c r="BA623">
        <v>1</v>
      </c>
      <c r="BB623" t="str">
        <f t="shared" si="30"/>
        <v xml:space="preserve">N8080G  </v>
      </c>
      <c r="BC623">
        <v>1</v>
      </c>
      <c r="BE623">
        <v>0</v>
      </c>
      <c r="BF623">
        <v>0</v>
      </c>
      <c r="BG623">
        <v>0</v>
      </c>
      <c r="BH623">
        <v>1725</v>
      </c>
      <c r="BI623">
        <v>1</v>
      </c>
      <c r="BJ623">
        <v>1</v>
      </c>
      <c r="BK623">
        <v>1</v>
      </c>
      <c r="BL623">
        <v>0</v>
      </c>
      <c r="BO623">
        <v>0</v>
      </c>
      <c r="BP623">
        <v>0</v>
      </c>
      <c r="BW623" t="str">
        <f>"20:14:46.748"</f>
        <v>20:14:46.748</v>
      </c>
      <c r="BZ623">
        <v>0</v>
      </c>
      <c r="CA623">
        <v>2016</v>
      </c>
      <c r="CB623">
        <v>224</v>
      </c>
      <c r="CD623">
        <v>1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2</v>
      </c>
      <c r="CL623">
        <v>0</v>
      </c>
      <c r="CM623">
        <v>2</v>
      </c>
      <c r="CN623">
        <v>0</v>
      </c>
      <c r="CO623">
        <v>5</v>
      </c>
      <c r="CP623" t="s">
        <v>119</v>
      </c>
      <c r="CQ623">
        <v>559</v>
      </c>
      <c r="CR623">
        <v>0</v>
      </c>
      <c r="CW623">
        <v>10417982</v>
      </c>
      <c r="CY623">
        <v>1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</row>
    <row r="624" spans="1:113" x14ac:dyDescent="0.3">
      <c r="A624" t="str">
        <f>"02/08/2021 20:14:44.439"</f>
        <v>02/08/2021 20:14:44.439</v>
      </c>
      <c r="C624" t="str">
        <f t="shared" si="29"/>
        <v>FFDFD7C0</v>
      </c>
      <c r="D624" t="s">
        <v>141</v>
      </c>
      <c r="E624">
        <v>17</v>
      </c>
      <c r="H624">
        <v>256</v>
      </c>
      <c r="I624" t="s">
        <v>142</v>
      </c>
      <c r="J624" t="s">
        <v>143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>"20:14:46.742"</f>
        <v>20:14:46.742</v>
      </c>
      <c r="U624" t="str">
        <f t="shared" si="28"/>
        <v>AB01F4</v>
      </c>
      <c r="V624">
        <v>0</v>
      </c>
      <c r="W624">
        <v>0</v>
      </c>
      <c r="X624">
        <v>1</v>
      </c>
      <c r="Z624">
        <v>0</v>
      </c>
      <c r="AA624">
        <v>9</v>
      </c>
      <c r="AB624">
        <v>3</v>
      </c>
      <c r="AC624">
        <v>0</v>
      </c>
      <c r="AD624">
        <v>10</v>
      </c>
      <c r="AE624">
        <v>0</v>
      </c>
      <c r="AF624">
        <v>3</v>
      </c>
      <c r="AG624">
        <v>2</v>
      </c>
      <c r="AH624">
        <v>0</v>
      </c>
      <c r="AI624" t="s">
        <v>554</v>
      </c>
      <c r="AJ624">
        <v>39.608417000000003</v>
      </c>
      <c r="AK624" t="s">
        <v>555</v>
      </c>
      <c r="AL624">
        <v>-92.499926000000002</v>
      </c>
      <c r="AM624">
        <v>100</v>
      </c>
      <c r="AN624">
        <v>1800</v>
      </c>
      <c r="AO624" t="s">
        <v>118</v>
      </c>
      <c r="AP624">
        <v>-9</v>
      </c>
      <c r="AQ624">
        <v>139</v>
      </c>
      <c r="AR624">
        <v>-256</v>
      </c>
      <c r="AZ624">
        <v>1200</v>
      </c>
      <c r="BA624">
        <v>1</v>
      </c>
      <c r="BB624" t="str">
        <f t="shared" si="30"/>
        <v xml:space="preserve">N8080G  </v>
      </c>
      <c r="BC624">
        <v>1</v>
      </c>
      <c r="BE624">
        <v>0</v>
      </c>
      <c r="BF624">
        <v>0</v>
      </c>
      <c r="BG624">
        <v>0</v>
      </c>
      <c r="BH624">
        <v>1725</v>
      </c>
      <c r="BI624">
        <v>1</v>
      </c>
      <c r="BJ624">
        <v>1</v>
      </c>
      <c r="BK624">
        <v>1</v>
      </c>
      <c r="BL624">
        <v>0</v>
      </c>
      <c r="BO624">
        <v>0</v>
      </c>
      <c r="BP624">
        <v>0</v>
      </c>
      <c r="BW624" t="str">
        <f>"20:14:46.748"</f>
        <v>20:14:46.748</v>
      </c>
      <c r="BZ624">
        <v>0</v>
      </c>
      <c r="CA624">
        <v>2016</v>
      </c>
      <c r="CB624">
        <v>224</v>
      </c>
      <c r="CD624">
        <v>1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2</v>
      </c>
      <c r="CL624">
        <v>0</v>
      </c>
      <c r="CM624">
        <v>2</v>
      </c>
      <c r="CN624">
        <v>0</v>
      </c>
      <c r="CO624">
        <v>5</v>
      </c>
      <c r="CP624" t="s">
        <v>119</v>
      </c>
      <c r="CQ624">
        <v>559</v>
      </c>
      <c r="CR624">
        <v>0</v>
      </c>
      <c r="CW624">
        <v>10417982</v>
      </c>
      <c r="CY624">
        <v>1</v>
      </c>
      <c r="CZ624">
        <v>0</v>
      </c>
      <c r="DA624">
        <v>1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</row>
    <row r="625" spans="1:113" x14ac:dyDescent="0.3">
      <c r="A625" t="str">
        <f>"02/08/2021 20:14:44.439"</f>
        <v>02/08/2021 20:14:44.439</v>
      </c>
      <c r="C625" t="str">
        <f t="shared" si="29"/>
        <v>FFDFD7C0</v>
      </c>
      <c r="D625" t="s">
        <v>124</v>
      </c>
      <c r="E625">
        <v>13</v>
      </c>
      <c r="F625">
        <v>1013</v>
      </c>
      <c r="G625" t="s">
        <v>114</v>
      </c>
      <c r="J625" t="s">
        <v>125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>"20:14:46.742"</f>
        <v>20:14:46.742</v>
      </c>
      <c r="U625" t="str">
        <f t="shared" si="28"/>
        <v>AB01F4</v>
      </c>
      <c r="V625">
        <v>0</v>
      </c>
      <c r="W625">
        <v>0</v>
      </c>
      <c r="X625">
        <v>1</v>
      </c>
      <c r="Z625">
        <v>0</v>
      </c>
      <c r="AA625">
        <v>9</v>
      </c>
      <c r="AB625">
        <v>3</v>
      </c>
      <c r="AC625">
        <v>0</v>
      </c>
      <c r="AD625">
        <v>10</v>
      </c>
      <c r="AE625">
        <v>0</v>
      </c>
      <c r="AF625">
        <v>3</v>
      </c>
      <c r="AG625">
        <v>2</v>
      </c>
      <c r="AH625">
        <v>0</v>
      </c>
      <c r="AI625" t="s">
        <v>554</v>
      </c>
      <c r="AJ625">
        <v>39.608417000000003</v>
      </c>
      <c r="AK625" t="s">
        <v>555</v>
      </c>
      <c r="AL625">
        <v>-92.499926000000002</v>
      </c>
      <c r="AM625">
        <v>100</v>
      </c>
      <c r="AN625">
        <v>1800</v>
      </c>
      <c r="AO625" t="s">
        <v>118</v>
      </c>
      <c r="AP625">
        <v>-9</v>
      </c>
      <c r="AQ625">
        <v>139</v>
      </c>
      <c r="AR625">
        <v>-256</v>
      </c>
      <c r="AZ625">
        <v>1200</v>
      </c>
      <c r="BA625">
        <v>1</v>
      </c>
      <c r="BB625" t="str">
        <f t="shared" si="30"/>
        <v xml:space="preserve">N8080G  </v>
      </c>
      <c r="BC625">
        <v>1</v>
      </c>
      <c r="BE625">
        <v>0</v>
      </c>
      <c r="BF625">
        <v>0</v>
      </c>
      <c r="BG625">
        <v>0</v>
      </c>
      <c r="BH625">
        <v>1725</v>
      </c>
      <c r="BI625">
        <v>1</v>
      </c>
      <c r="BJ625">
        <v>1</v>
      </c>
      <c r="BK625">
        <v>1</v>
      </c>
      <c r="BL625">
        <v>0</v>
      </c>
      <c r="BO625">
        <v>0</v>
      </c>
      <c r="BP625">
        <v>0</v>
      </c>
      <c r="BW625" t="str">
        <f>"20:14:46.748"</f>
        <v>20:14:46.748</v>
      </c>
      <c r="BZ625">
        <v>0</v>
      </c>
      <c r="CA625">
        <v>2016</v>
      </c>
      <c r="CB625">
        <v>224</v>
      </c>
      <c r="CD625">
        <v>1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2</v>
      </c>
      <c r="CL625">
        <v>0</v>
      </c>
      <c r="CM625">
        <v>2</v>
      </c>
      <c r="CN625">
        <v>0</v>
      </c>
      <c r="CO625">
        <v>5</v>
      </c>
      <c r="CP625" t="s">
        <v>119</v>
      </c>
      <c r="CQ625">
        <v>559</v>
      </c>
      <c r="CR625">
        <v>0</v>
      </c>
      <c r="CW625">
        <v>10417982</v>
      </c>
      <c r="CY625">
        <v>1</v>
      </c>
      <c r="CZ625">
        <v>0</v>
      </c>
      <c r="DA625">
        <v>1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</row>
    <row r="626" spans="1:113" x14ac:dyDescent="0.3">
      <c r="A626" t="str">
        <f>"02/08/2021 20:14:47.369"</f>
        <v>02/08/2021 20:14:47.369</v>
      </c>
      <c r="C626" t="str">
        <f t="shared" si="29"/>
        <v>FFDFD7C0</v>
      </c>
      <c r="D626" t="s">
        <v>113</v>
      </c>
      <c r="E626">
        <v>6</v>
      </c>
      <c r="H626">
        <v>165</v>
      </c>
      <c r="I626" t="s">
        <v>114</v>
      </c>
      <c r="J626" t="s">
        <v>115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>"20:14:49.688"</f>
        <v>20:14:49.688</v>
      </c>
      <c r="T626" t="str">
        <f>"20:14:49.288"</f>
        <v>20:14:49.288</v>
      </c>
      <c r="U626" t="str">
        <f t="shared" si="28"/>
        <v>AB01F4</v>
      </c>
      <c r="V626">
        <v>0</v>
      </c>
      <c r="W626">
        <v>0</v>
      </c>
      <c r="X626">
        <v>1</v>
      </c>
      <c r="Z626">
        <v>0</v>
      </c>
      <c r="AA626">
        <v>9</v>
      </c>
      <c r="AB626">
        <v>3</v>
      </c>
      <c r="AC626">
        <v>0</v>
      </c>
      <c r="AD626">
        <v>10</v>
      </c>
      <c r="AE626">
        <v>0</v>
      </c>
      <c r="AF626">
        <v>3</v>
      </c>
      <c r="AG626">
        <v>2</v>
      </c>
      <c r="AH626">
        <v>0</v>
      </c>
      <c r="AI626" t="s">
        <v>556</v>
      </c>
      <c r="AJ626">
        <v>39.610283000000003</v>
      </c>
      <c r="AK626" t="s">
        <v>557</v>
      </c>
      <c r="AL626">
        <v>-92.500055000000003</v>
      </c>
      <c r="AM626">
        <v>100</v>
      </c>
      <c r="AN626">
        <v>1800</v>
      </c>
      <c r="AO626" t="s">
        <v>118</v>
      </c>
      <c r="AP626">
        <v>-9</v>
      </c>
      <c r="AQ626">
        <v>139</v>
      </c>
      <c r="AR626">
        <v>-192</v>
      </c>
      <c r="AZ626">
        <v>1200</v>
      </c>
      <c r="BA626">
        <v>1</v>
      </c>
      <c r="BB626" t="str">
        <f t="shared" si="30"/>
        <v xml:space="preserve">N8080G  </v>
      </c>
      <c r="BC626">
        <v>1</v>
      </c>
      <c r="BE626">
        <v>0</v>
      </c>
      <c r="BF626">
        <v>0</v>
      </c>
      <c r="BG626">
        <v>0</v>
      </c>
      <c r="BH626">
        <v>1725</v>
      </c>
      <c r="BI626">
        <v>1</v>
      </c>
      <c r="BJ626">
        <v>1</v>
      </c>
      <c r="BK626">
        <v>1</v>
      </c>
      <c r="BL626">
        <v>0</v>
      </c>
      <c r="BO626">
        <v>0</v>
      </c>
      <c r="BP626">
        <v>0</v>
      </c>
      <c r="BW626" t="str">
        <f>"20:14:49.692"</f>
        <v>20:14:49.692</v>
      </c>
      <c r="BZ626">
        <v>0</v>
      </c>
      <c r="CA626">
        <v>2016</v>
      </c>
      <c r="CB626">
        <v>224</v>
      </c>
      <c r="CD626">
        <v>1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2</v>
      </c>
      <c r="CL626">
        <v>0</v>
      </c>
      <c r="CM626">
        <v>2</v>
      </c>
      <c r="CN626">
        <v>0</v>
      </c>
      <c r="CO626">
        <v>6</v>
      </c>
      <c r="CP626" t="s">
        <v>119</v>
      </c>
      <c r="CQ626">
        <v>180</v>
      </c>
      <c r="CR626">
        <v>1</v>
      </c>
      <c r="CW626">
        <v>10450044</v>
      </c>
      <c r="CY626">
        <v>1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</row>
    <row r="627" spans="1:113" x14ac:dyDescent="0.3">
      <c r="A627" t="str">
        <f>"02/08/2021 20:14:47.369"</f>
        <v>02/08/2021 20:14:47.369</v>
      </c>
      <c r="C627" t="str">
        <f t="shared" si="29"/>
        <v>FFDFD7C0</v>
      </c>
      <c r="D627" t="s">
        <v>124</v>
      </c>
      <c r="E627">
        <v>13</v>
      </c>
      <c r="F627">
        <v>1013</v>
      </c>
      <c r="G627" t="s">
        <v>114</v>
      </c>
      <c r="J627" t="s">
        <v>125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>"20:14:49.688"</f>
        <v>20:14:49.688</v>
      </c>
      <c r="T627" t="str">
        <f>"20:14:49.288"</f>
        <v>20:14:49.288</v>
      </c>
      <c r="U627" t="str">
        <f t="shared" si="28"/>
        <v>AB01F4</v>
      </c>
      <c r="V627">
        <v>0</v>
      </c>
      <c r="W627">
        <v>0</v>
      </c>
      <c r="X627">
        <v>1</v>
      </c>
      <c r="Z627">
        <v>0</v>
      </c>
      <c r="AA627">
        <v>9</v>
      </c>
      <c r="AB627">
        <v>3</v>
      </c>
      <c r="AC627">
        <v>0</v>
      </c>
      <c r="AD627">
        <v>10</v>
      </c>
      <c r="AE627">
        <v>0</v>
      </c>
      <c r="AF627">
        <v>3</v>
      </c>
      <c r="AG627">
        <v>2</v>
      </c>
      <c r="AH627">
        <v>0</v>
      </c>
      <c r="AI627" t="s">
        <v>556</v>
      </c>
      <c r="AJ627">
        <v>39.610283000000003</v>
      </c>
      <c r="AK627" t="s">
        <v>557</v>
      </c>
      <c r="AL627">
        <v>-92.500055000000003</v>
      </c>
      <c r="AM627">
        <v>100</v>
      </c>
      <c r="AN627">
        <v>1800</v>
      </c>
      <c r="AO627" t="s">
        <v>118</v>
      </c>
      <c r="AP627">
        <v>-9</v>
      </c>
      <c r="AQ627">
        <v>139</v>
      </c>
      <c r="AR627">
        <v>-192</v>
      </c>
      <c r="AZ627">
        <v>1200</v>
      </c>
      <c r="BA627">
        <v>1</v>
      </c>
      <c r="BB627" t="str">
        <f t="shared" si="30"/>
        <v xml:space="preserve">N8080G  </v>
      </c>
      <c r="BC627">
        <v>1</v>
      </c>
      <c r="BE627">
        <v>0</v>
      </c>
      <c r="BF627">
        <v>0</v>
      </c>
      <c r="BG627">
        <v>0</v>
      </c>
      <c r="BH627">
        <v>1725</v>
      </c>
      <c r="BI627">
        <v>1</v>
      </c>
      <c r="BJ627">
        <v>1</v>
      </c>
      <c r="BK627">
        <v>1</v>
      </c>
      <c r="BL627">
        <v>0</v>
      </c>
      <c r="BO627">
        <v>0</v>
      </c>
      <c r="BP627">
        <v>0</v>
      </c>
      <c r="BW627" t="str">
        <f>"20:14:49.692"</f>
        <v>20:14:49.692</v>
      </c>
      <c r="BZ627">
        <v>0</v>
      </c>
      <c r="CA627">
        <v>2016</v>
      </c>
      <c r="CB627">
        <v>224</v>
      </c>
      <c r="CD627">
        <v>1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2</v>
      </c>
      <c r="CL627">
        <v>0</v>
      </c>
      <c r="CM627">
        <v>2</v>
      </c>
      <c r="CN627">
        <v>0</v>
      </c>
      <c r="CO627">
        <v>6</v>
      </c>
      <c r="CP627" t="s">
        <v>119</v>
      </c>
      <c r="CQ627">
        <v>180</v>
      </c>
      <c r="CR627">
        <v>1</v>
      </c>
      <c r="CW627">
        <v>10450044</v>
      </c>
      <c r="CY627">
        <v>1</v>
      </c>
      <c r="CZ627">
        <v>0</v>
      </c>
      <c r="DA627">
        <v>1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</row>
    <row r="628" spans="1:113" x14ac:dyDescent="0.3">
      <c r="A628" t="str">
        <f>"02/08/2021 20:14:47.369"</f>
        <v>02/08/2021 20:14:47.369</v>
      </c>
      <c r="C628" t="str">
        <f t="shared" si="29"/>
        <v>FFDFD7C0</v>
      </c>
      <c r="D628" t="s">
        <v>141</v>
      </c>
      <c r="E628">
        <v>17</v>
      </c>
      <c r="H628">
        <v>256</v>
      </c>
      <c r="I628" t="s">
        <v>142</v>
      </c>
      <c r="J628" t="s">
        <v>143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>"20:14:49.688"</f>
        <v>20:14:49.688</v>
      </c>
      <c r="T628" t="str">
        <f>"20:14:49.288"</f>
        <v>20:14:49.288</v>
      </c>
      <c r="U628" t="str">
        <f t="shared" si="28"/>
        <v>AB01F4</v>
      </c>
      <c r="V628">
        <v>0</v>
      </c>
      <c r="W628">
        <v>0</v>
      </c>
      <c r="X628">
        <v>1</v>
      </c>
      <c r="Z628">
        <v>0</v>
      </c>
      <c r="AA628">
        <v>9</v>
      </c>
      <c r="AB628">
        <v>3</v>
      </c>
      <c r="AC628">
        <v>0</v>
      </c>
      <c r="AD628">
        <v>10</v>
      </c>
      <c r="AE628">
        <v>0</v>
      </c>
      <c r="AF628">
        <v>3</v>
      </c>
      <c r="AG628">
        <v>2</v>
      </c>
      <c r="AH628">
        <v>0</v>
      </c>
      <c r="AI628" t="s">
        <v>556</v>
      </c>
      <c r="AJ628">
        <v>39.610283000000003</v>
      </c>
      <c r="AK628" t="s">
        <v>557</v>
      </c>
      <c r="AL628">
        <v>-92.500055000000003</v>
      </c>
      <c r="AM628">
        <v>100</v>
      </c>
      <c r="AN628">
        <v>1800</v>
      </c>
      <c r="AO628" t="s">
        <v>118</v>
      </c>
      <c r="AP628">
        <v>-9</v>
      </c>
      <c r="AQ628">
        <v>139</v>
      </c>
      <c r="AR628">
        <v>-192</v>
      </c>
      <c r="AZ628">
        <v>1200</v>
      </c>
      <c r="BA628">
        <v>1</v>
      </c>
      <c r="BB628" t="str">
        <f t="shared" si="30"/>
        <v xml:space="preserve">N8080G  </v>
      </c>
      <c r="BC628">
        <v>1</v>
      </c>
      <c r="BE628">
        <v>0</v>
      </c>
      <c r="BF628">
        <v>0</v>
      </c>
      <c r="BG628">
        <v>0</v>
      </c>
      <c r="BH628">
        <v>1725</v>
      </c>
      <c r="BI628">
        <v>1</v>
      </c>
      <c r="BJ628">
        <v>1</v>
      </c>
      <c r="BK628">
        <v>1</v>
      </c>
      <c r="BL628">
        <v>0</v>
      </c>
      <c r="BO628">
        <v>0</v>
      </c>
      <c r="BP628">
        <v>0</v>
      </c>
      <c r="BW628" t="str">
        <f>"20:14:49.692"</f>
        <v>20:14:49.692</v>
      </c>
      <c r="BZ628">
        <v>0</v>
      </c>
      <c r="CA628">
        <v>2016</v>
      </c>
      <c r="CB628">
        <v>224</v>
      </c>
      <c r="CD628">
        <v>1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2</v>
      </c>
      <c r="CL628">
        <v>0</v>
      </c>
      <c r="CM628">
        <v>2</v>
      </c>
      <c r="CN628">
        <v>0</v>
      </c>
      <c r="CO628">
        <v>5</v>
      </c>
      <c r="CP628" t="s">
        <v>119</v>
      </c>
      <c r="CQ628">
        <v>559</v>
      </c>
      <c r="CR628">
        <v>0</v>
      </c>
      <c r="CW628">
        <v>10418434</v>
      </c>
      <c r="CY628">
        <v>1</v>
      </c>
      <c r="CZ628">
        <v>0</v>
      </c>
      <c r="DA628">
        <v>1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</row>
    <row r="629" spans="1:113" x14ac:dyDescent="0.3">
      <c r="A629" t="str">
        <f>"02/08/2021 20:14:48.378"</f>
        <v>02/08/2021 20:14:48.378</v>
      </c>
      <c r="C629" t="str">
        <f t="shared" si="29"/>
        <v>FFDFD7C0</v>
      </c>
      <c r="D629" t="s">
        <v>124</v>
      </c>
      <c r="E629">
        <v>13</v>
      </c>
      <c r="F629">
        <v>1013</v>
      </c>
      <c r="G629" t="s">
        <v>114</v>
      </c>
      <c r="J629" t="s">
        <v>125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>"20:14:50.688"</f>
        <v>20:14:50.688</v>
      </c>
      <c r="T629" t="str">
        <f>"20:14:50.188"</f>
        <v>20:14:50.188</v>
      </c>
      <c r="U629" t="str">
        <f t="shared" si="28"/>
        <v>AB01F4</v>
      </c>
      <c r="V629">
        <v>0</v>
      </c>
      <c r="W629">
        <v>0</v>
      </c>
      <c r="X629">
        <v>1</v>
      </c>
      <c r="Z629">
        <v>0</v>
      </c>
      <c r="AA629">
        <v>9</v>
      </c>
      <c r="AB629">
        <v>3</v>
      </c>
      <c r="AC629">
        <v>0</v>
      </c>
      <c r="AD629">
        <v>10</v>
      </c>
      <c r="AE629">
        <v>0</v>
      </c>
      <c r="AF629">
        <v>3</v>
      </c>
      <c r="AG629">
        <v>2</v>
      </c>
      <c r="AH629">
        <v>0</v>
      </c>
      <c r="AI629" t="s">
        <v>558</v>
      </c>
      <c r="AJ629">
        <v>39.610883999999999</v>
      </c>
      <c r="AK629" t="s">
        <v>559</v>
      </c>
      <c r="AL629">
        <v>-92.500118999999998</v>
      </c>
      <c r="AM629">
        <v>100</v>
      </c>
      <c r="AN629">
        <v>1800</v>
      </c>
      <c r="AO629" t="s">
        <v>118</v>
      </c>
      <c r="AP629">
        <v>-9</v>
      </c>
      <c r="AQ629">
        <v>139</v>
      </c>
      <c r="AR629">
        <v>-192</v>
      </c>
      <c r="AZ629">
        <v>1200</v>
      </c>
      <c r="BA629">
        <v>1</v>
      </c>
      <c r="BB629" t="str">
        <f t="shared" si="30"/>
        <v xml:space="preserve">N8080G  </v>
      </c>
      <c r="BC629">
        <v>1</v>
      </c>
      <c r="BE629">
        <v>0</v>
      </c>
      <c r="BF629">
        <v>0</v>
      </c>
      <c r="BG629">
        <v>0</v>
      </c>
      <c r="BH629">
        <v>1725</v>
      </c>
      <c r="BI629">
        <v>1</v>
      </c>
      <c r="BJ629">
        <v>1</v>
      </c>
      <c r="BK629">
        <v>1</v>
      </c>
      <c r="BL629">
        <v>0</v>
      </c>
      <c r="BO629">
        <v>0</v>
      </c>
      <c r="BP629">
        <v>0</v>
      </c>
      <c r="BW629" t="str">
        <f>"20:14:50.693"</f>
        <v>20:14:50.693</v>
      </c>
      <c r="BZ629">
        <v>0</v>
      </c>
      <c r="CA629">
        <v>2016</v>
      </c>
      <c r="CB629">
        <v>224</v>
      </c>
      <c r="CD629">
        <v>1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2</v>
      </c>
      <c r="CL629">
        <v>0</v>
      </c>
      <c r="CM629">
        <v>2</v>
      </c>
      <c r="CN629">
        <v>0</v>
      </c>
      <c r="CO629">
        <v>6</v>
      </c>
      <c r="CP629" t="s">
        <v>119</v>
      </c>
      <c r="CQ629">
        <v>180</v>
      </c>
      <c r="CR629">
        <v>2</v>
      </c>
      <c r="CW629">
        <v>7908156</v>
      </c>
      <c r="CY629">
        <v>1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</row>
    <row r="630" spans="1:113" x14ac:dyDescent="0.3">
      <c r="A630" t="str">
        <f>"02/08/2021 20:14:48.378"</f>
        <v>02/08/2021 20:14:48.378</v>
      </c>
      <c r="C630" t="str">
        <f t="shared" si="29"/>
        <v>FFDFD7C0</v>
      </c>
      <c r="D630" t="s">
        <v>141</v>
      </c>
      <c r="E630">
        <v>17</v>
      </c>
      <c r="H630">
        <v>256</v>
      </c>
      <c r="I630" t="s">
        <v>142</v>
      </c>
      <c r="J630" t="s">
        <v>143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>"20:14:50.688"</f>
        <v>20:14:50.688</v>
      </c>
      <c r="T630" t="str">
        <f>"20:14:50.188"</f>
        <v>20:14:50.188</v>
      </c>
      <c r="U630" t="str">
        <f t="shared" si="28"/>
        <v>AB01F4</v>
      </c>
      <c r="V630">
        <v>0</v>
      </c>
      <c r="W630">
        <v>0</v>
      </c>
      <c r="X630">
        <v>1</v>
      </c>
      <c r="Z630">
        <v>0</v>
      </c>
      <c r="AA630">
        <v>9</v>
      </c>
      <c r="AB630">
        <v>3</v>
      </c>
      <c r="AC630">
        <v>0</v>
      </c>
      <c r="AD630">
        <v>10</v>
      </c>
      <c r="AE630">
        <v>0</v>
      </c>
      <c r="AF630">
        <v>3</v>
      </c>
      <c r="AG630">
        <v>2</v>
      </c>
      <c r="AH630">
        <v>0</v>
      </c>
      <c r="AI630" t="s">
        <v>558</v>
      </c>
      <c r="AJ630">
        <v>39.610883999999999</v>
      </c>
      <c r="AK630" t="s">
        <v>559</v>
      </c>
      <c r="AL630">
        <v>-92.500118999999998</v>
      </c>
      <c r="AM630">
        <v>100</v>
      </c>
      <c r="AN630">
        <v>1800</v>
      </c>
      <c r="AO630" t="s">
        <v>118</v>
      </c>
      <c r="AP630">
        <v>-9</v>
      </c>
      <c r="AQ630">
        <v>139</v>
      </c>
      <c r="AR630">
        <v>-192</v>
      </c>
      <c r="AZ630">
        <v>1200</v>
      </c>
      <c r="BA630">
        <v>1</v>
      </c>
      <c r="BB630" t="str">
        <f t="shared" si="30"/>
        <v xml:space="preserve">N8080G  </v>
      </c>
      <c r="BC630">
        <v>1</v>
      </c>
      <c r="BE630">
        <v>0</v>
      </c>
      <c r="BF630">
        <v>0</v>
      </c>
      <c r="BG630">
        <v>0</v>
      </c>
      <c r="BH630">
        <v>1725</v>
      </c>
      <c r="BI630">
        <v>1</v>
      </c>
      <c r="BJ630">
        <v>1</v>
      </c>
      <c r="BK630">
        <v>1</v>
      </c>
      <c r="BL630">
        <v>0</v>
      </c>
      <c r="BO630">
        <v>0</v>
      </c>
      <c r="BP630">
        <v>0</v>
      </c>
      <c r="BW630" t="str">
        <f>"20:14:50.694"</f>
        <v>20:14:50.694</v>
      </c>
      <c r="BZ630">
        <v>0</v>
      </c>
      <c r="CA630">
        <v>2016</v>
      </c>
      <c r="CB630">
        <v>224</v>
      </c>
      <c r="CD630">
        <v>1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2</v>
      </c>
      <c r="CL630">
        <v>0</v>
      </c>
      <c r="CM630">
        <v>2</v>
      </c>
      <c r="CN630">
        <v>0</v>
      </c>
      <c r="CO630">
        <v>5</v>
      </c>
      <c r="CP630" t="s">
        <v>119</v>
      </c>
      <c r="CQ630">
        <v>559</v>
      </c>
      <c r="CR630">
        <v>0</v>
      </c>
      <c r="CW630">
        <v>10418599</v>
      </c>
      <c r="CY630">
        <v>1</v>
      </c>
      <c r="CZ630">
        <v>0</v>
      </c>
      <c r="DA630">
        <v>1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</row>
    <row r="631" spans="1:113" x14ac:dyDescent="0.3">
      <c r="A631" t="str">
        <f>"02/08/2021 20:14:48.378"</f>
        <v>02/08/2021 20:14:48.378</v>
      </c>
      <c r="C631" t="str">
        <f t="shared" si="29"/>
        <v>FFDFD7C0</v>
      </c>
      <c r="D631" t="s">
        <v>113</v>
      </c>
      <c r="E631">
        <v>6</v>
      </c>
      <c r="H631">
        <v>165</v>
      </c>
      <c r="I631" t="s">
        <v>114</v>
      </c>
      <c r="J631" t="s">
        <v>115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>"20:14:50.688"</f>
        <v>20:14:50.688</v>
      </c>
      <c r="T631" t="str">
        <f>"20:14:50.188"</f>
        <v>20:14:50.188</v>
      </c>
      <c r="U631" t="str">
        <f t="shared" si="28"/>
        <v>AB01F4</v>
      </c>
      <c r="V631">
        <v>0</v>
      </c>
      <c r="W631">
        <v>0</v>
      </c>
      <c r="X631">
        <v>1</v>
      </c>
      <c r="Z631">
        <v>0</v>
      </c>
      <c r="AA631">
        <v>9</v>
      </c>
      <c r="AB631">
        <v>3</v>
      </c>
      <c r="AC631">
        <v>0</v>
      </c>
      <c r="AD631">
        <v>10</v>
      </c>
      <c r="AE631">
        <v>0</v>
      </c>
      <c r="AF631">
        <v>3</v>
      </c>
      <c r="AG631">
        <v>2</v>
      </c>
      <c r="AH631">
        <v>0</v>
      </c>
      <c r="AI631" t="s">
        <v>558</v>
      </c>
      <c r="AJ631">
        <v>39.610883999999999</v>
      </c>
      <c r="AK631" t="s">
        <v>559</v>
      </c>
      <c r="AL631">
        <v>-92.500118999999998</v>
      </c>
      <c r="AM631">
        <v>100</v>
      </c>
      <c r="AN631">
        <v>1800</v>
      </c>
      <c r="AO631" t="s">
        <v>118</v>
      </c>
      <c r="AP631">
        <v>-9</v>
      </c>
      <c r="AQ631">
        <v>139</v>
      </c>
      <c r="AR631">
        <v>-192</v>
      </c>
      <c r="AZ631">
        <v>1200</v>
      </c>
      <c r="BA631">
        <v>1</v>
      </c>
      <c r="BB631" t="str">
        <f t="shared" si="30"/>
        <v xml:space="preserve">N8080G  </v>
      </c>
      <c r="BC631">
        <v>1</v>
      </c>
      <c r="BE631">
        <v>0</v>
      </c>
      <c r="BF631">
        <v>0</v>
      </c>
      <c r="BG631">
        <v>0</v>
      </c>
      <c r="BH631">
        <v>1725</v>
      </c>
      <c r="BI631">
        <v>1</v>
      </c>
      <c r="BJ631">
        <v>1</v>
      </c>
      <c r="BK631">
        <v>1</v>
      </c>
      <c r="BL631">
        <v>0</v>
      </c>
      <c r="BO631">
        <v>0</v>
      </c>
      <c r="BP631">
        <v>0</v>
      </c>
      <c r="BW631" t="str">
        <f>"20:14:50.693"</f>
        <v>20:14:50.693</v>
      </c>
      <c r="BZ631">
        <v>0</v>
      </c>
      <c r="CA631">
        <v>2016</v>
      </c>
      <c r="CB631">
        <v>224</v>
      </c>
      <c r="CD631">
        <v>1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2</v>
      </c>
      <c r="CL631">
        <v>0</v>
      </c>
      <c r="CM631">
        <v>2</v>
      </c>
      <c r="CN631">
        <v>0</v>
      </c>
      <c r="CO631">
        <v>6</v>
      </c>
      <c r="CP631" t="s">
        <v>119</v>
      </c>
      <c r="CQ631">
        <v>180</v>
      </c>
      <c r="CR631">
        <v>2</v>
      </c>
      <c r="CW631">
        <v>7908156</v>
      </c>
      <c r="CY631">
        <v>1</v>
      </c>
      <c r="CZ631">
        <v>0</v>
      </c>
      <c r="DA631">
        <v>1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</row>
    <row r="632" spans="1:113" x14ac:dyDescent="0.3">
      <c r="A632" t="str">
        <f>"02/08/2021 20:14:49.534"</f>
        <v>02/08/2021 20:14:49.534</v>
      </c>
      <c r="C632" t="str">
        <f t="shared" si="29"/>
        <v>FFDFD7C0</v>
      </c>
      <c r="D632" t="s">
        <v>124</v>
      </c>
      <c r="E632">
        <v>13</v>
      </c>
      <c r="F632">
        <v>1013</v>
      </c>
      <c r="G632" t="s">
        <v>114</v>
      </c>
      <c r="J632" t="s">
        <v>125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>"20:14:51.852"</f>
        <v>20:14:51.852</v>
      </c>
      <c r="T632" t="str">
        <f>"20:14:51.352"</f>
        <v>20:14:51.352</v>
      </c>
      <c r="U632" t="str">
        <f t="shared" si="28"/>
        <v>AB01F4</v>
      </c>
      <c r="V632">
        <v>0</v>
      </c>
      <c r="W632">
        <v>0</v>
      </c>
      <c r="X632">
        <v>1</v>
      </c>
      <c r="Z632">
        <v>0</v>
      </c>
      <c r="AA632">
        <v>9</v>
      </c>
      <c r="AB632">
        <v>3</v>
      </c>
      <c r="AC632">
        <v>0</v>
      </c>
      <c r="AD632">
        <v>10</v>
      </c>
      <c r="AE632">
        <v>0</v>
      </c>
      <c r="AF632">
        <v>3</v>
      </c>
      <c r="AG632">
        <v>2</v>
      </c>
      <c r="AH632">
        <v>0</v>
      </c>
      <c r="AI632" t="s">
        <v>560</v>
      </c>
      <c r="AJ632">
        <v>39.611677999999998</v>
      </c>
      <c r="AK632" t="s">
        <v>561</v>
      </c>
      <c r="AL632">
        <v>-92.500184000000004</v>
      </c>
      <c r="AM632">
        <v>100</v>
      </c>
      <c r="AN632">
        <v>1800</v>
      </c>
      <c r="AO632" t="s">
        <v>118</v>
      </c>
      <c r="AP632">
        <v>-9</v>
      </c>
      <c r="AQ632">
        <v>139</v>
      </c>
      <c r="AR632">
        <v>-128</v>
      </c>
      <c r="AZ632">
        <v>1200</v>
      </c>
      <c r="BA632">
        <v>1</v>
      </c>
      <c r="BB632" t="str">
        <f t="shared" si="30"/>
        <v xml:space="preserve">N8080G  </v>
      </c>
      <c r="BC632">
        <v>1</v>
      </c>
      <c r="BE632">
        <v>0</v>
      </c>
      <c r="BF632">
        <v>0</v>
      </c>
      <c r="BG632">
        <v>0</v>
      </c>
      <c r="BH632">
        <v>1725</v>
      </c>
      <c r="BI632">
        <v>1</v>
      </c>
      <c r="BJ632">
        <v>1</v>
      </c>
      <c r="BK632">
        <v>1</v>
      </c>
      <c r="BL632">
        <v>0</v>
      </c>
      <c r="BO632">
        <v>0</v>
      </c>
      <c r="BP632">
        <v>0</v>
      </c>
      <c r="BW632" t="str">
        <f>"20:14:51.852"</f>
        <v>20:14:51.852</v>
      </c>
      <c r="BZ632">
        <v>0</v>
      </c>
      <c r="CA632">
        <v>2016</v>
      </c>
      <c r="CB632">
        <v>224</v>
      </c>
      <c r="CD632">
        <v>1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2</v>
      </c>
      <c r="CL632">
        <v>0</v>
      </c>
      <c r="CM632">
        <v>2</v>
      </c>
      <c r="CN632">
        <v>0</v>
      </c>
      <c r="CO632">
        <v>6</v>
      </c>
      <c r="CP632" t="s">
        <v>119</v>
      </c>
      <c r="CQ632">
        <v>180</v>
      </c>
      <c r="CR632">
        <v>1</v>
      </c>
      <c r="CW632">
        <v>10452146</v>
      </c>
      <c r="CY632">
        <v>1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</row>
    <row r="633" spans="1:113" x14ac:dyDescent="0.3">
      <c r="A633" t="str">
        <f>"02/08/2021 20:14:49.534"</f>
        <v>02/08/2021 20:14:49.534</v>
      </c>
      <c r="C633" t="str">
        <f t="shared" si="29"/>
        <v>FFDFD7C0</v>
      </c>
      <c r="D633" t="s">
        <v>141</v>
      </c>
      <c r="E633">
        <v>17</v>
      </c>
      <c r="H633">
        <v>256</v>
      </c>
      <c r="I633" t="s">
        <v>142</v>
      </c>
      <c r="J633" t="s">
        <v>143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>"20:14:51.852"</f>
        <v>20:14:51.852</v>
      </c>
      <c r="T633" t="str">
        <f>"20:14:51.352"</f>
        <v>20:14:51.352</v>
      </c>
      <c r="U633" t="str">
        <f t="shared" si="28"/>
        <v>AB01F4</v>
      </c>
      <c r="V633">
        <v>0</v>
      </c>
      <c r="W633">
        <v>0</v>
      </c>
      <c r="X633">
        <v>1</v>
      </c>
      <c r="Z633">
        <v>0</v>
      </c>
      <c r="AA633">
        <v>9</v>
      </c>
      <c r="AB633">
        <v>3</v>
      </c>
      <c r="AC633">
        <v>0</v>
      </c>
      <c r="AD633">
        <v>10</v>
      </c>
      <c r="AE633">
        <v>0</v>
      </c>
      <c r="AF633">
        <v>3</v>
      </c>
      <c r="AG633">
        <v>2</v>
      </c>
      <c r="AH633">
        <v>0</v>
      </c>
      <c r="AI633" t="s">
        <v>560</v>
      </c>
      <c r="AJ633">
        <v>39.611677999999998</v>
      </c>
      <c r="AK633" t="s">
        <v>561</v>
      </c>
      <c r="AL633">
        <v>-92.500184000000004</v>
      </c>
      <c r="AM633">
        <v>100</v>
      </c>
      <c r="AN633">
        <v>1800</v>
      </c>
      <c r="AO633" t="s">
        <v>118</v>
      </c>
      <c r="AP633">
        <v>-9</v>
      </c>
      <c r="AQ633">
        <v>139</v>
      </c>
      <c r="AR633">
        <v>-128</v>
      </c>
      <c r="AZ633">
        <v>1200</v>
      </c>
      <c r="BA633">
        <v>1</v>
      </c>
      <c r="BB633" t="str">
        <f t="shared" si="30"/>
        <v xml:space="preserve">N8080G  </v>
      </c>
      <c r="BC633">
        <v>1</v>
      </c>
      <c r="BE633">
        <v>0</v>
      </c>
      <c r="BF633">
        <v>0</v>
      </c>
      <c r="BG633">
        <v>0</v>
      </c>
      <c r="BH633">
        <v>1725</v>
      </c>
      <c r="BI633">
        <v>1</v>
      </c>
      <c r="BJ633">
        <v>1</v>
      </c>
      <c r="BK633">
        <v>1</v>
      </c>
      <c r="BL633">
        <v>0</v>
      </c>
      <c r="BO633">
        <v>0</v>
      </c>
      <c r="BP633">
        <v>0</v>
      </c>
      <c r="BW633" t="str">
        <f>"20:14:51.852"</f>
        <v>20:14:51.852</v>
      </c>
      <c r="BZ633">
        <v>0</v>
      </c>
      <c r="CA633">
        <v>2016</v>
      </c>
      <c r="CB633">
        <v>224</v>
      </c>
      <c r="CD633">
        <v>1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2</v>
      </c>
      <c r="CL633">
        <v>0</v>
      </c>
      <c r="CM633">
        <v>2</v>
      </c>
      <c r="CN633">
        <v>0</v>
      </c>
      <c r="CO633">
        <v>5</v>
      </c>
      <c r="CP633" t="s">
        <v>119</v>
      </c>
      <c r="CQ633">
        <v>559</v>
      </c>
      <c r="CR633">
        <v>0</v>
      </c>
      <c r="CW633">
        <v>10418793</v>
      </c>
      <c r="CY633">
        <v>1</v>
      </c>
      <c r="CZ633">
        <v>0</v>
      </c>
      <c r="DA633">
        <v>1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</row>
    <row r="634" spans="1:113" x14ac:dyDescent="0.3">
      <c r="A634" t="str">
        <f>"02/08/2021 20:14:49.534"</f>
        <v>02/08/2021 20:14:49.534</v>
      </c>
      <c r="C634" t="str">
        <f t="shared" si="29"/>
        <v>FFDFD7C0</v>
      </c>
      <c r="D634" t="s">
        <v>113</v>
      </c>
      <c r="E634">
        <v>6</v>
      </c>
      <c r="H634">
        <v>165</v>
      </c>
      <c r="I634" t="s">
        <v>114</v>
      </c>
      <c r="J634" t="s">
        <v>115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>"20:14:51.852"</f>
        <v>20:14:51.852</v>
      </c>
      <c r="T634" t="str">
        <f>"20:14:51.352"</f>
        <v>20:14:51.352</v>
      </c>
      <c r="U634" t="str">
        <f t="shared" si="28"/>
        <v>AB01F4</v>
      </c>
      <c r="V634">
        <v>0</v>
      </c>
      <c r="W634">
        <v>0</v>
      </c>
      <c r="X634">
        <v>1</v>
      </c>
      <c r="Z634">
        <v>0</v>
      </c>
      <c r="AA634">
        <v>9</v>
      </c>
      <c r="AB634">
        <v>3</v>
      </c>
      <c r="AC634">
        <v>0</v>
      </c>
      <c r="AD634">
        <v>10</v>
      </c>
      <c r="AE634">
        <v>0</v>
      </c>
      <c r="AF634">
        <v>3</v>
      </c>
      <c r="AG634">
        <v>2</v>
      </c>
      <c r="AH634">
        <v>0</v>
      </c>
      <c r="AI634" t="s">
        <v>560</v>
      </c>
      <c r="AJ634">
        <v>39.611677999999998</v>
      </c>
      <c r="AK634" t="s">
        <v>561</v>
      </c>
      <c r="AL634">
        <v>-92.500184000000004</v>
      </c>
      <c r="AM634">
        <v>100</v>
      </c>
      <c r="AN634">
        <v>1800</v>
      </c>
      <c r="AO634" t="s">
        <v>118</v>
      </c>
      <c r="AP634">
        <v>-9</v>
      </c>
      <c r="AQ634">
        <v>139</v>
      </c>
      <c r="AR634">
        <v>-128</v>
      </c>
      <c r="AZ634">
        <v>1200</v>
      </c>
      <c r="BA634">
        <v>1</v>
      </c>
      <c r="BB634" t="str">
        <f t="shared" si="30"/>
        <v xml:space="preserve">N8080G  </v>
      </c>
      <c r="BC634">
        <v>1</v>
      </c>
      <c r="BE634">
        <v>0</v>
      </c>
      <c r="BF634">
        <v>0</v>
      </c>
      <c r="BG634">
        <v>0</v>
      </c>
      <c r="BH634">
        <v>1725</v>
      </c>
      <c r="BI634">
        <v>1</v>
      </c>
      <c r="BJ634">
        <v>1</v>
      </c>
      <c r="BK634">
        <v>1</v>
      </c>
      <c r="BL634">
        <v>0</v>
      </c>
      <c r="BO634">
        <v>0</v>
      </c>
      <c r="BP634">
        <v>0</v>
      </c>
      <c r="BW634" t="str">
        <f>"20:14:51.852"</f>
        <v>20:14:51.852</v>
      </c>
      <c r="BZ634">
        <v>0</v>
      </c>
      <c r="CA634">
        <v>2016</v>
      </c>
      <c r="CB634">
        <v>224</v>
      </c>
      <c r="CD634">
        <v>1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2</v>
      </c>
      <c r="CL634">
        <v>0</v>
      </c>
      <c r="CM634">
        <v>2</v>
      </c>
      <c r="CN634">
        <v>0</v>
      </c>
      <c r="CO634">
        <v>6</v>
      </c>
      <c r="CP634" t="s">
        <v>119</v>
      </c>
      <c r="CQ634">
        <v>180</v>
      </c>
      <c r="CR634">
        <v>1</v>
      </c>
      <c r="CW634">
        <v>10452146</v>
      </c>
      <c r="CY634">
        <v>1</v>
      </c>
      <c r="CZ634">
        <v>0</v>
      </c>
      <c r="DA634">
        <v>1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</row>
    <row r="635" spans="1:113" x14ac:dyDescent="0.3">
      <c r="A635" t="str">
        <f>"02/08/2021 20:14:50.488"</f>
        <v>02/08/2021 20:14:50.488</v>
      </c>
      <c r="C635" t="str">
        <f t="shared" si="29"/>
        <v>FFDFD7C0</v>
      </c>
      <c r="D635" t="s">
        <v>124</v>
      </c>
      <c r="E635">
        <v>13</v>
      </c>
      <c r="F635">
        <v>1013</v>
      </c>
      <c r="G635" t="s">
        <v>114</v>
      </c>
      <c r="J635" t="s">
        <v>125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>"20:14:52.813"</f>
        <v>20:14:52.813</v>
      </c>
      <c r="T635" t="str">
        <f>"20:14:52.313"</f>
        <v>20:14:52.313</v>
      </c>
      <c r="U635" t="str">
        <f t="shared" si="28"/>
        <v>AB01F4</v>
      </c>
      <c r="V635">
        <v>0</v>
      </c>
      <c r="W635">
        <v>0</v>
      </c>
      <c r="X635">
        <v>1</v>
      </c>
      <c r="Z635">
        <v>0</v>
      </c>
      <c r="AA635">
        <v>9</v>
      </c>
      <c r="AB635">
        <v>3</v>
      </c>
      <c r="AC635">
        <v>0</v>
      </c>
      <c r="AD635">
        <v>10</v>
      </c>
      <c r="AE635">
        <v>0</v>
      </c>
      <c r="AF635">
        <v>3</v>
      </c>
      <c r="AG635">
        <v>2</v>
      </c>
      <c r="AH635">
        <v>0</v>
      </c>
      <c r="AI635" t="s">
        <v>562</v>
      </c>
      <c r="AJ635">
        <v>39.612321999999999</v>
      </c>
      <c r="AK635" t="s">
        <v>563</v>
      </c>
      <c r="AL635">
        <v>-92.500247999999999</v>
      </c>
      <c r="AM635">
        <v>100</v>
      </c>
      <c r="AN635">
        <v>1800</v>
      </c>
      <c r="AO635" t="s">
        <v>118</v>
      </c>
      <c r="AP635">
        <v>-9</v>
      </c>
      <c r="AQ635">
        <v>138</v>
      </c>
      <c r="AR635">
        <v>-128</v>
      </c>
      <c r="AZ635">
        <v>1200</v>
      </c>
      <c r="BA635">
        <v>1</v>
      </c>
      <c r="BB635" t="str">
        <f t="shared" si="30"/>
        <v xml:space="preserve">N8080G  </v>
      </c>
      <c r="BC635">
        <v>1</v>
      </c>
      <c r="BE635">
        <v>0</v>
      </c>
      <c r="BF635">
        <v>0</v>
      </c>
      <c r="BG635">
        <v>0</v>
      </c>
      <c r="BH635">
        <v>1725</v>
      </c>
      <c r="BI635">
        <v>1</v>
      </c>
      <c r="BJ635">
        <v>1</v>
      </c>
      <c r="BK635">
        <v>1</v>
      </c>
      <c r="BL635">
        <v>0</v>
      </c>
      <c r="BO635">
        <v>0</v>
      </c>
      <c r="BP635">
        <v>0</v>
      </c>
      <c r="BW635" t="str">
        <f>"20:14:52.820"</f>
        <v>20:14:52.820</v>
      </c>
      <c r="BZ635">
        <v>0</v>
      </c>
      <c r="CA635">
        <v>2016</v>
      </c>
      <c r="CB635">
        <v>224</v>
      </c>
      <c r="CD635">
        <v>1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2</v>
      </c>
      <c r="CL635">
        <v>0</v>
      </c>
      <c r="CM635">
        <v>2</v>
      </c>
      <c r="CN635">
        <v>0</v>
      </c>
      <c r="CO635">
        <v>6</v>
      </c>
      <c r="CP635" t="s">
        <v>119</v>
      </c>
      <c r="CQ635">
        <v>180</v>
      </c>
      <c r="CR635">
        <v>1</v>
      </c>
      <c r="CW635">
        <v>10453023</v>
      </c>
      <c r="CY635">
        <v>1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</row>
    <row r="636" spans="1:113" x14ac:dyDescent="0.3">
      <c r="A636" t="str">
        <f>"02/08/2021 20:14:50.488"</f>
        <v>02/08/2021 20:14:50.488</v>
      </c>
      <c r="C636" t="str">
        <f t="shared" si="29"/>
        <v>FFDFD7C0</v>
      </c>
      <c r="D636" t="s">
        <v>141</v>
      </c>
      <c r="E636">
        <v>17</v>
      </c>
      <c r="H636">
        <v>256</v>
      </c>
      <c r="I636" t="s">
        <v>142</v>
      </c>
      <c r="J636" t="s">
        <v>143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>"20:14:52.813"</f>
        <v>20:14:52.813</v>
      </c>
      <c r="T636" t="str">
        <f>"20:14:52.313"</f>
        <v>20:14:52.313</v>
      </c>
      <c r="U636" t="str">
        <f t="shared" si="28"/>
        <v>AB01F4</v>
      </c>
      <c r="V636">
        <v>0</v>
      </c>
      <c r="W636">
        <v>0</v>
      </c>
      <c r="X636">
        <v>1</v>
      </c>
      <c r="Z636">
        <v>0</v>
      </c>
      <c r="AA636">
        <v>9</v>
      </c>
      <c r="AB636">
        <v>3</v>
      </c>
      <c r="AC636">
        <v>0</v>
      </c>
      <c r="AD636">
        <v>10</v>
      </c>
      <c r="AE636">
        <v>0</v>
      </c>
      <c r="AF636">
        <v>3</v>
      </c>
      <c r="AG636">
        <v>2</v>
      </c>
      <c r="AH636">
        <v>0</v>
      </c>
      <c r="AI636" t="s">
        <v>562</v>
      </c>
      <c r="AJ636">
        <v>39.612321999999999</v>
      </c>
      <c r="AK636" t="s">
        <v>563</v>
      </c>
      <c r="AL636">
        <v>-92.500247999999999</v>
      </c>
      <c r="AM636">
        <v>100</v>
      </c>
      <c r="AN636">
        <v>1800</v>
      </c>
      <c r="AO636" t="s">
        <v>118</v>
      </c>
      <c r="AP636">
        <v>-9</v>
      </c>
      <c r="AQ636">
        <v>138</v>
      </c>
      <c r="AR636">
        <v>-128</v>
      </c>
      <c r="AZ636">
        <v>1200</v>
      </c>
      <c r="BA636">
        <v>1</v>
      </c>
      <c r="BB636" t="str">
        <f t="shared" si="30"/>
        <v xml:space="preserve">N8080G  </v>
      </c>
      <c r="BC636">
        <v>1</v>
      </c>
      <c r="BE636">
        <v>0</v>
      </c>
      <c r="BF636">
        <v>0</v>
      </c>
      <c r="BG636">
        <v>0</v>
      </c>
      <c r="BH636">
        <v>1725</v>
      </c>
      <c r="BI636">
        <v>1</v>
      </c>
      <c r="BJ636">
        <v>1</v>
      </c>
      <c r="BK636">
        <v>1</v>
      </c>
      <c r="BL636">
        <v>0</v>
      </c>
      <c r="BO636">
        <v>0</v>
      </c>
      <c r="BP636">
        <v>0</v>
      </c>
      <c r="BW636" t="str">
        <f>"20:14:52.820"</f>
        <v>20:14:52.820</v>
      </c>
      <c r="BZ636">
        <v>0</v>
      </c>
      <c r="CA636">
        <v>2016</v>
      </c>
      <c r="CB636">
        <v>224</v>
      </c>
      <c r="CD636">
        <v>1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2</v>
      </c>
      <c r="CL636">
        <v>0</v>
      </c>
      <c r="CM636">
        <v>2</v>
      </c>
      <c r="CN636">
        <v>0</v>
      </c>
      <c r="CO636">
        <v>5</v>
      </c>
      <c r="CP636" t="s">
        <v>119</v>
      </c>
      <c r="CQ636">
        <v>559</v>
      </c>
      <c r="CR636">
        <v>0</v>
      </c>
      <c r="CW636">
        <v>10418951</v>
      </c>
      <c r="CY636">
        <v>1</v>
      </c>
      <c r="CZ636">
        <v>0</v>
      </c>
      <c r="DA636">
        <v>1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</row>
    <row r="637" spans="1:113" x14ac:dyDescent="0.3">
      <c r="A637" t="str">
        <f>"02/08/2021 20:14:50.488"</f>
        <v>02/08/2021 20:14:50.488</v>
      </c>
      <c r="C637" t="str">
        <f t="shared" si="29"/>
        <v>FFDFD7C0</v>
      </c>
      <c r="D637" t="s">
        <v>113</v>
      </c>
      <c r="E637">
        <v>6</v>
      </c>
      <c r="H637">
        <v>165</v>
      </c>
      <c r="I637" t="s">
        <v>114</v>
      </c>
      <c r="J637" t="s">
        <v>115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>"20:14:52.813"</f>
        <v>20:14:52.813</v>
      </c>
      <c r="T637" t="str">
        <f>"20:14:52.313"</f>
        <v>20:14:52.313</v>
      </c>
      <c r="U637" t="str">
        <f t="shared" si="28"/>
        <v>AB01F4</v>
      </c>
      <c r="V637">
        <v>0</v>
      </c>
      <c r="W637">
        <v>0</v>
      </c>
      <c r="X637">
        <v>1</v>
      </c>
      <c r="Z637">
        <v>0</v>
      </c>
      <c r="AA637">
        <v>9</v>
      </c>
      <c r="AB637">
        <v>3</v>
      </c>
      <c r="AC637">
        <v>0</v>
      </c>
      <c r="AD637">
        <v>10</v>
      </c>
      <c r="AE637">
        <v>0</v>
      </c>
      <c r="AF637">
        <v>3</v>
      </c>
      <c r="AG637">
        <v>2</v>
      </c>
      <c r="AH637">
        <v>0</v>
      </c>
      <c r="AI637" t="s">
        <v>562</v>
      </c>
      <c r="AJ637">
        <v>39.612321999999999</v>
      </c>
      <c r="AK637" t="s">
        <v>563</v>
      </c>
      <c r="AL637">
        <v>-92.500247999999999</v>
      </c>
      <c r="AM637">
        <v>100</v>
      </c>
      <c r="AN637">
        <v>1800</v>
      </c>
      <c r="AO637" t="s">
        <v>118</v>
      </c>
      <c r="AP637">
        <v>-9</v>
      </c>
      <c r="AQ637">
        <v>138</v>
      </c>
      <c r="AR637">
        <v>-128</v>
      </c>
      <c r="AZ637">
        <v>1200</v>
      </c>
      <c r="BA637">
        <v>1</v>
      </c>
      <c r="BB637" t="str">
        <f t="shared" si="30"/>
        <v xml:space="preserve">N8080G  </v>
      </c>
      <c r="BC637">
        <v>1</v>
      </c>
      <c r="BE637">
        <v>0</v>
      </c>
      <c r="BF637">
        <v>0</v>
      </c>
      <c r="BG637">
        <v>0</v>
      </c>
      <c r="BH637">
        <v>1725</v>
      </c>
      <c r="BI637">
        <v>1</v>
      </c>
      <c r="BJ637">
        <v>1</v>
      </c>
      <c r="BK637">
        <v>1</v>
      </c>
      <c r="BL637">
        <v>0</v>
      </c>
      <c r="BO637">
        <v>0</v>
      </c>
      <c r="BP637">
        <v>0</v>
      </c>
      <c r="BW637" t="str">
        <f>"20:14:52.820"</f>
        <v>20:14:52.820</v>
      </c>
      <c r="BZ637">
        <v>0</v>
      </c>
      <c r="CA637">
        <v>2016</v>
      </c>
      <c r="CB637">
        <v>224</v>
      </c>
      <c r="CD637">
        <v>1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2</v>
      </c>
      <c r="CL637">
        <v>0</v>
      </c>
      <c r="CM637">
        <v>2</v>
      </c>
      <c r="CN637">
        <v>0</v>
      </c>
      <c r="CO637">
        <v>6</v>
      </c>
      <c r="CP637" t="s">
        <v>119</v>
      </c>
      <c r="CQ637">
        <v>180</v>
      </c>
      <c r="CR637">
        <v>1</v>
      </c>
      <c r="CW637">
        <v>10453023</v>
      </c>
      <c r="CY637">
        <v>1</v>
      </c>
      <c r="CZ637">
        <v>0</v>
      </c>
      <c r="DA637">
        <v>1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</row>
    <row r="638" spans="1:113" x14ac:dyDescent="0.3">
      <c r="A638" t="str">
        <f>"02/08/2021 20:14:51.414"</f>
        <v>02/08/2021 20:14:51.414</v>
      </c>
      <c r="C638" t="str">
        <f t="shared" si="29"/>
        <v>FFDFD7C0</v>
      </c>
      <c r="D638" t="s">
        <v>113</v>
      </c>
      <c r="E638">
        <v>6</v>
      </c>
      <c r="H638">
        <v>165</v>
      </c>
      <c r="I638" t="s">
        <v>114</v>
      </c>
      <c r="J638" t="s">
        <v>115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>"20:14:53.766"</f>
        <v>20:14:53.766</v>
      </c>
      <c r="T638" t="str">
        <f>"20:14:53.366"</f>
        <v>20:14:53.366</v>
      </c>
      <c r="U638" t="str">
        <f t="shared" si="28"/>
        <v>AB01F4</v>
      </c>
      <c r="V638">
        <v>0</v>
      </c>
      <c r="W638">
        <v>0</v>
      </c>
      <c r="X638">
        <v>1</v>
      </c>
      <c r="Z638">
        <v>0</v>
      </c>
      <c r="AA638">
        <v>9</v>
      </c>
      <c r="AB638">
        <v>3</v>
      </c>
      <c r="AC638">
        <v>0</v>
      </c>
      <c r="AD638">
        <v>10</v>
      </c>
      <c r="AE638">
        <v>0</v>
      </c>
      <c r="AF638">
        <v>3</v>
      </c>
      <c r="AG638">
        <v>2</v>
      </c>
      <c r="AH638">
        <v>0</v>
      </c>
      <c r="AI638" t="s">
        <v>564</v>
      </c>
      <c r="AJ638">
        <v>39.612901000000001</v>
      </c>
      <c r="AK638" t="s">
        <v>565</v>
      </c>
      <c r="AL638">
        <v>-92.500291000000004</v>
      </c>
      <c r="AM638">
        <v>100</v>
      </c>
      <c r="AN638">
        <v>1800</v>
      </c>
      <c r="AO638" t="s">
        <v>118</v>
      </c>
      <c r="AP638">
        <v>-9</v>
      </c>
      <c r="AQ638">
        <v>138</v>
      </c>
      <c r="AR638">
        <v>-192</v>
      </c>
      <c r="AZ638">
        <v>1200</v>
      </c>
      <c r="BA638">
        <v>1</v>
      </c>
      <c r="BB638" t="str">
        <f t="shared" si="30"/>
        <v xml:space="preserve">N8080G  </v>
      </c>
      <c r="BC638">
        <v>1</v>
      </c>
      <c r="BE638">
        <v>0</v>
      </c>
      <c r="BF638">
        <v>0</v>
      </c>
      <c r="BG638">
        <v>0</v>
      </c>
      <c r="BH638">
        <v>1725</v>
      </c>
      <c r="BI638">
        <v>1</v>
      </c>
      <c r="BJ638">
        <v>1</v>
      </c>
      <c r="BK638">
        <v>1</v>
      </c>
      <c r="BL638">
        <v>0</v>
      </c>
      <c r="BO638">
        <v>0</v>
      </c>
      <c r="BP638">
        <v>0</v>
      </c>
      <c r="BW638" t="str">
        <f>"20:14:53.767"</f>
        <v>20:14:53.767</v>
      </c>
      <c r="BZ638">
        <v>0</v>
      </c>
      <c r="CA638">
        <v>2016</v>
      </c>
      <c r="CB638">
        <v>224</v>
      </c>
      <c r="CD638">
        <v>1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2</v>
      </c>
      <c r="CL638">
        <v>0</v>
      </c>
      <c r="CM638">
        <v>2</v>
      </c>
      <c r="CN638">
        <v>0</v>
      </c>
      <c r="CO638">
        <v>5</v>
      </c>
      <c r="CP638" t="s">
        <v>119</v>
      </c>
      <c r="CQ638">
        <v>559</v>
      </c>
      <c r="CR638">
        <v>0</v>
      </c>
      <c r="CW638">
        <v>10419104</v>
      </c>
      <c r="CY638">
        <v>1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</row>
    <row r="639" spans="1:113" x14ac:dyDescent="0.3">
      <c r="A639" t="str">
        <f>"02/08/2021 20:14:51.414"</f>
        <v>02/08/2021 20:14:51.414</v>
      </c>
      <c r="C639" t="str">
        <f t="shared" si="29"/>
        <v>FFDFD7C0</v>
      </c>
      <c r="D639" t="s">
        <v>124</v>
      </c>
      <c r="E639">
        <v>13</v>
      </c>
      <c r="F639">
        <v>1013</v>
      </c>
      <c r="G639" t="s">
        <v>114</v>
      </c>
      <c r="J639" t="s">
        <v>125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>"20:14:53.766"</f>
        <v>20:14:53.766</v>
      </c>
      <c r="T639" t="str">
        <f>"20:14:53.366"</f>
        <v>20:14:53.366</v>
      </c>
      <c r="U639" t="str">
        <f t="shared" si="28"/>
        <v>AB01F4</v>
      </c>
      <c r="V639">
        <v>0</v>
      </c>
      <c r="W639">
        <v>0</v>
      </c>
      <c r="X639">
        <v>1</v>
      </c>
      <c r="Z639">
        <v>0</v>
      </c>
      <c r="AA639">
        <v>9</v>
      </c>
      <c r="AB639">
        <v>3</v>
      </c>
      <c r="AC639">
        <v>0</v>
      </c>
      <c r="AD639">
        <v>10</v>
      </c>
      <c r="AE639">
        <v>0</v>
      </c>
      <c r="AF639">
        <v>3</v>
      </c>
      <c r="AG639">
        <v>2</v>
      </c>
      <c r="AH639">
        <v>0</v>
      </c>
      <c r="AI639" t="s">
        <v>564</v>
      </c>
      <c r="AJ639">
        <v>39.612901000000001</v>
      </c>
      <c r="AK639" t="s">
        <v>565</v>
      </c>
      <c r="AL639">
        <v>-92.500291000000004</v>
      </c>
      <c r="AM639">
        <v>100</v>
      </c>
      <c r="AN639">
        <v>1800</v>
      </c>
      <c r="AO639" t="s">
        <v>118</v>
      </c>
      <c r="AP639">
        <v>-9</v>
      </c>
      <c r="AQ639">
        <v>138</v>
      </c>
      <c r="AR639">
        <v>-192</v>
      </c>
      <c r="AZ639">
        <v>1200</v>
      </c>
      <c r="BA639">
        <v>1</v>
      </c>
      <c r="BB639" t="str">
        <f t="shared" si="30"/>
        <v xml:space="preserve">N8080G  </v>
      </c>
      <c r="BC639">
        <v>1</v>
      </c>
      <c r="BE639">
        <v>0</v>
      </c>
      <c r="BF639">
        <v>0</v>
      </c>
      <c r="BG639">
        <v>0</v>
      </c>
      <c r="BH639">
        <v>1725</v>
      </c>
      <c r="BI639">
        <v>1</v>
      </c>
      <c r="BJ639">
        <v>1</v>
      </c>
      <c r="BK639">
        <v>1</v>
      </c>
      <c r="BL639">
        <v>0</v>
      </c>
      <c r="BO639">
        <v>0</v>
      </c>
      <c r="BP639">
        <v>0</v>
      </c>
      <c r="BW639" t="str">
        <f>"20:14:53.767"</f>
        <v>20:14:53.767</v>
      </c>
      <c r="BZ639">
        <v>0</v>
      </c>
      <c r="CA639">
        <v>2016</v>
      </c>
      <c r="CB639">
        <v>224</v>
      </c>
      <c r="CD639">
        <v>1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2</v>
      </c>
      <c r="CL639">
        <v>0</v>
      </c>
      <c r="CM639">
        <v>2</v>
      </c>
      <c r="CN639">
        <v>0</v>
      </c>
      <c r="CO639">
        <v>5</v>
      </c>
      <c r="CP639" t="s">
        <v>119</v>
      </c>
      <c r="CQ639">
        <v>559</v>
      </c>
      <c r="CR639">
        <v>0</v>
      </c>
      <c r="CW639">
        <v>10419104</v>
      </c>
      <c r="CY639">
        <v>1</v>
      </c>
      <c r="CZ639">
        <v>0</v>
      </c>
      <c r="DA639">
        <v>1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</row>
    <row r="640" spans="1:113" x14ac:dyDescent="0.3">
      <c r="A640" t="str">
        <f>"02/08/2021 20:14:51.414"</f>
        <v>02/08/2021 20:14:51.414</v>
      </c>
      <c r="C640" t="str">
        <f t="shared" si="29"/>
        <v>FFDFD7C0</v>
      </c>
      <c r="D640" t="s">
        <v>141</v>
      </c>
      <c r="E640">
        <v>17</v>
      </c>
      <c r="H640">
        <v>256</v>
      </c>
      <c r="I640" t="s">
        <v>142</v>
      </c>
      <c r="J640" t="s">
        <v>143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>"20:14:53.766"</f>
        <v>20:14:53.766</v>
      </c>
      <c r="T640" t="str">
        <f>"20:14:53.366"</f>
        <v>20:14:53.366</v>
      </c>
      <c r="U640" t="str">
        <f t="shared" si="28"/>
        <v>AB01F4</v>
      </c>
      <c r="V640">
        <v>0</v>
      </c>
      <c r="W640">
        <v>0</v>
      </c>
      <c r="X640">
        <v>1</v>
      </c>
      <c r="Z640">
        <v>0</v>
      </c>
      <c r="AA640">
        <v>9</v>
      </c>
      <c r="AB640">
        <v>3</v>
      </c>
      <c r="AC640">
        <v>0</v>
      </c>
      <c r="AD640">
        <v>10</v>
      </c>
      <c r="AE640">
        <v>0</v>
      </c>
      <c r="AF640">
        <v>3</v>
      </c>
      <c r="AG640">
        <v>2</v>
      </c>
      <c r="AH640">
        <v>0</v>
      </c>
      <c r="AI640" t="s">
        <v>564</v>
      </c>
      <c r="AJ640">
        <v>39.612901000000001</v>
      </c>
      <c r="AK640" t="s">
        <v>565</v>
      </c>
      <c r="AL640">
        <v>-92.500291000000004</v>
      </c>
      <c r="AM640">
        <v>100</v>
      </c>
      <c r="AN640">
        <v>1800</v>
      </c>
      <c r="AO640" t="s">
        <v>118</v>
      </c>
      <c r="AP640">
        <v>-9</v>
      </c>
      <c r="AQ640">
        <v>138</v>
      </c>
      <c r="AR640">
        <v>-192</v>
      </c>
      <c r="AZ640">
        <v>1200</v>
      </c>
      <c r="BA640">
        <v>1</v>
      </c>
      <c r="BB640" t="str">
        <f t="shared" si="30"/>
        <v xml:space="preserve">N8080G  </v>
      </c>
      <c r="BC640">
        <v>1</v>
      </c>
      <c r="BE640">
        <v>0</v>
      </c>
      <c r="BF640">
        <v>0</v>
      </c>
      <c r="BG640">
        <v>0</v>
      </c>
      <c r="BH640">
        <v>1725</v>
      </c>
      <c r="BI640">
        <v>1</v>
      </c>
      <c r="BJ640">
        <v>1</v>
      </c>
      <c r="BK640">
        <v>1</v>
      </c>
      <c r="BL640">
        <v>0</v>
      </c>
      <c r="BO640">
        <v>0</v>
      </c>
      <c r="BP640">
        <v>0</v>
      </c>
      <c r="BW640" t="str">
        <f>"20:14:53.767"</f>
        <v>20:14:53.767</v>
      </c>
      <c r="BZ640">
        <v>0</v>
      </c>
      <c r="CA640">
        <v>2016</v>
      </c>
      <c r="CB640">
        <v>224</v>
      </c>
      <c r="CD640">
        <v>1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2</v>
      </c>
      <c r="CL640">
        <v>0</v>
      </c>
      <c r="CM640">
        <v>2</v>
      </c>
      <c r="CN640">
        <v>0</v>
      </c>
      <c r="CO640">
        <v>5</v>
      </c>
      <c r="CP640" t="s">
        <v>119</v>
      </c>
      <c r="CQ640">
        <v>559</v>
      </c>
      <c r="CR640">
        <v>0</v>
      </c>
      <c r="CW640">
        <v>10419104</v>
      </c>
      <c r="CY640">
        <v>1</v>
      </c>
      <c r="CZ640">
        <v>0</v>
      </c>
      <c r="DA640">
        <v>1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</row>
    <row r="641" spans="1:113" x14ac:dyDescent="0.3">
      <c r="A641" t="str">
        <f>"02/08/2021 20:14:52.499"</f>
        <v>02/08/2021 20:14:52.499</v>
      </c>
      <c r="C641" t="str">
        <f t="shared" si="29"/>
        <v>FFDFD7C0</v>
      </c>
      <c r="D641" t="s">
        <v>124</v>
      </c>
      <c r="E641">
        <v>13</v>
      </c>
      <c r="F641">
        <v>1013</v>
      </c>
      <c r="G641" t="s">
        <v>114</v>
      </c>
      <c r="J641" t="s">
        <v>125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>"20:14:54.797"</f>
        <v>20:14:54.797</v>
      </c>
      <c r="T641" t="str">
        <f>"20:14:54.397"</f>
        <v>20:14:54.397</v>
      </c>
      <c r="U641" t="str">
        <f t="shared" si="28"/>
        <v>AB01F4</v>
      </c>
      <c r="V641">
        <v>0</v>
      </c>
      <c r="W641">
        <v>0</v>
      </c>
      <c r="X641">
        <v>1</v>
      </c>
      <c r="Z641">
        <v>0</v>
      </c>
      <c r="AA641">
        <v>9</v>
      </c>
      <c r="AB641">
        <v>3</v>
      </c>
      <c r="AC641">
        <v>0</v>
      </c>
      <c r="AD641">
        <v>10</v>
      </c>
      <c r="AE641">
        <v>0</v>
      </c>
      <c r="AF641">
        <v>3</v>
      </c>
      <c r="AG641">
        <v>2</v>
      </c>
      <c r="AH641">
        <v>0</v>
      </c>
      <c r="AI641" t="s">
        <v>566</v>
      </c>
      <c r="AJ641">
        <v>39.613545000000002</v>
      </c>
      <c r="AK641" t="s">
        <v>567</v>
      </c>
      <c r="AL641">
        <v>-92.500354999999999</v>
      </c>
      <c r="AM641">
        <v>100</v>
      </c>
      <c r="AN641">
        <v>1800</v>
      </c>
      <c r="AO641" t="s">
        <v>118</v>
      </c>
      <c r="AP641">
        <v>-9</v>
      </c>
      <c r="AQ641">
        <v>138</v>
      </c>
      <c r="AR641">
        <v>-128</v>
      </c>
      <c r="AZ641">
        <v>1200</v>
      </c>
      <c r="BA641">
        <v>1</v>
      </c>
      <c r="BB641" t="str">
        <f t="shared" si="30"/>
        <v xml:space="preserve">N8080G  </v>
      </c>
      <c r="BC641">
        <v>1</v>
      </c>
      <c r="BE641">
        <v>0</v>
      </c>
      <c r="BF641">
        <v>0</v>
      </c>
      <c r="BG641">
        <v>0</v>
      </c>
      <c r="BH641">
        <v>1725</v>
      </c>
      <c r="BI641">
        <v>1</v>
      </c>
      <c r="BJ641">
        <v>1</v>
      </c>
      <c r="BK641">
        <v>1</v>
      </c>
      <c r="BL641">
        <v>0</v>
      </c>
      <c r="BO641">
        <v>0</v>
      </c>
      <c r="BP641">
        <v>0</v>
      </c>
      <c r="BW641" t="str">
        <f>"20:14:54.804"</f>
        <v>20:14:54.804</v>
      </c>
      <c r="BZ641">
        <v>0</v>
      </c>
      <c r="CA641">
        <v>2016</v>
      </c>
      <c r="CB641">
        <v>224</v>
      </c>
      <c r="CD641">
        <v>1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2</v>
      </c>
      <c r="CL641">
        <v>0</v>
      </c>
      <c r="CM641">
        <v>2</v>
      </c>
      <c r="CN641">
        <v>0</v>
      </c>
      <c r="CO641">
        <v>5</v>
      </c>
      <c r="CP641" t="s">
        <v>119</v>
      </c>
      <c r="CQ641">
        <v>559</v>
      </c>
      <c r="CR641">
        <v>0</v>
      </c>
      <c r="CW641">
        <v>10419261</v>
      </c>
      <c r="CY641">
        <v>1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</row>
    <row r="642" spans="1:113" x14ac:dyDescent="0.3">
      <c r="A642" t="str">
        <f>"02/08/2021 20:14:52.499"</f>
        <v>02/08/2021 20:14:52.499</v>
      </c>
      <c r="C642" t="str">
        <f t="shared" si="29"/>
        <v>FFDFD7C0</v>
      </c>
      <c r="D642" t="s">
        <v>141</v>
      </c>
      <c r="E642">
        <v>17</v>
      </c>
      <c r="H642">
        <v>256</v>
      </c>
      <c r="I642" t="s">
        <v>142</v>
      </c>
      <c r="J642" t="s">
        <v>143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>"20:14:54.797"</f>
        <v>20:14:54.797</v>
      </c>
      <c r="T642" t="str">
        <f>"20:14:54.397"</f>
        <v>20:14:54.397</v>
      </c>
      <c r="U642" t="str">
        <f t="shared" ref="U642:U705" si="31">"AB01F4"</f>
        <v>AB01F4</v>
      </c>
      <c r="V642">
        <v>0</v>
      </c>
      <c r="W642">
        <v>0</v>
      </c>
      <c r="X642">
        <v>1</v>
      </c>
      <c r="Z642">
        <v>0</v>
      </c>
      <c r="AA642">
        <v>9</v>
      </c>
      <c r="AB642">
        <v>3</v>
      </c>
      <c r="AC642">
        <v>0</v>
      </c>
      <c r="AD642">
        <v>10</v>
      </c>
      <c r="AE642">
        <v>0</v>
      </c>
      <c r="AF642">
        <v>3</v>
      </c>
      <c r="AG642">
        <v>2</v>
      </c>
      <c r="AH642">
        <v>0</v>
      </c>
      <c r="AI642" t="s">
        <v>566</v>
      </c>
      <c r="AJ642">
        <v>39.613545000000002</v>
      </c>
      <c r="AK642" t="s">
        <v>567</v>
      </c>
      <c r="AL642">
        <v>-92.500354999999999</v>
      </c>
      <c r="AM642">
        <v>100</v>
      </c>
      <c r="AN642">
        <v>1800</v>
      </c>
      <c r="AO642" t="s">
        <v>118</v>
      </c>
      <c r="AP642">
        <v>-9</v>
      </c>
      <c r="AQ642">
        <v>138</v>
      </c>
      <c r="AR642">
        <v>-128</v>
      </c>
      <c r="AZ642">
        <v>1200</v>
      </c>
      <c r="BA642">
        <v>1</v>
      </c>
      <c r="BB642" t="str">
        <f t="shared" si="30"/>
        <v xml:space="preserve">N8080G  </v>
      </c>
      <c r="BC642">
        <v>1</v>
      </c>
      <c r="BE642">
        <v>0</v>
      </c>
      <c r="BF642">
        <v>0</v>
      </c>
      <c r="BG642">
        <v>0</v>
      </c>
      <c r="BH642">
        <v>1725</v>
      </c>
      <c r="BI642">
        <v>1</v>
      </c>
      <c r="BJ642">
        <v>1</v>
      </c>
      <c r="BK642">
        <v>1</v>
      </c>
      <c r="BL642">
        <v>0</v>
      </c>
      <c r="BO642">
        <v>0</v>
      </c>
      <c r="BP642">
        <v>0</v>
      </c>
      <c r="BW642" t="str">
        <f>"20:14:54.804"</f>
        <v>20:14:54.804</v>
      </c>
      <c r="BZ642">
        <v>0</v>
      </c>
      <c r="CA642">
        <v>2016</v>
      </c>
      <c r="CB642">
        <v>224</v>
      </c>
      <c r="CD642">
        <v>1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2</v>
      </c>
      <c r="CL642">
        <v>0</v>
      </c>
      <c r="CM642">
        <v>2</v>
      </c>
      <c r="CN642">
        <v>0</v>
      </c>
      <c r="CO642">
        <v>5</v>
      </c>
      <c r="CP642" t="s">
        <v>119</v>
      </c>
      <c r="CQ642">
        <v>559</v>
      </c>
      <c r="CR642">
        <v>0</v>
      </c>
      <c r="CW642">
        <v>10419261</v>
      </c>
      <c r="CY642">
        <v>1</v>
      </c>
      <c r="CZ642">
        <v>0</v>
      </c>
      <c r="DA642">
        <v>1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</row>
    <row r="643" spans="1:113" x14ac:dyDescent="0.3">
      <c r="A643" t="str">
        <f>"02/08/2021 20:14:52.499"</f>
        <v>02/08/2021 20:14:52.499</v>
      </c>
      <c r="C643" t="str">
        <f t="shared" si="29"/>
        <v>FFDFD7C0</v>
      </c>
      <c r="D643" t="s">
        <v>113</v>
      </c>
      <c r="E643">
        <v>6</v>
      </c>
      <c r="H643">
        <v>165</v>
      </c>
      <c r="I643" t="s">
        <v>114</v>
      </c>
      <c r="J643" t="s">
        <v>115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>"20:14:54.797"</f>
        <v>20:14:54.797</v>
      </c>
      <c r="T643" t="str">
        <f>"20:14:54.397"</f>
        <v>20:14:54.397</v>
      </c>
      <c r="U643" t="str">
        <f t="shared" si="31"/>
        <v>AB01F4</v>
      </c>
      <c r="V643">
        <v>0</v>
      </c>
      <c r="W643">
        <v>0</v>
      </c>
      <c r="X643">
        <v>1</v>
      </c>
      <c r="Z643">
        <v>0</v>
      </c>
      <c r="AA643">
        <v>9</v>
      </c>
      <c r="AB643">
        <v>3</v>
      </c>
      <c r="AC643">
        <v>0</v>
      </c>
      <c r="AD643">
        <v>10</v>
      </c>
      <c r="AE643">
        <v>0</v>
      </c>
      <c r="AF643">
        <v>3</v>
      </c>
      <c r="AG643">
        <v>2</v>
      </c>
      <c r="AH643">
        <v>0</v>
      </c>
      <c r="AI643" t="s">
        <v>566</v>
      </c>
      <c r="AJ643">
        <v>39.613545000000002</v>
      </c>
      <c r="AK643" t="s">
        <v>567</v>
      </c>
      <c r="AL643">
        <v>-92.500354999999999</v>
      </c>
      <c r="AM643">
        <v>100</v>
      </c>
      <c r="AN643">
        <v>1800</v>
      </c>
      <c r="AO643" t="s">
        <v>118</v>
      </c>
      <c r="AP643">
        <v>-9</v>
      </c>
      <c r="AQ643">
        <v>138</v>
      </c>
      <c r="AR643">
        <v>-128</v>
      </c>
      <c r="AZ643">
        <v>1200</v>
      </c>
      <c r="BA643">
        <v>1</v>
      </c>
      <c r="BB643" t="str">
        <f t="shared" si="30"/>
        <v xml:space="preserve">N8080G  </v>
      </c>
      <c r="BC643">
        <v>1</v>
      </c>
      <c r="BE643">
        <v>0</v>
      </c>
      <c r="BF643">
        <v>0</v>
      </c>
      <c r="BG643">
        <v>0</v>
      </c>
      <c r="BH643">
        <v>1725</v>
      </c>
      <c r="BI643">
        <v>1</v>
      </c>
      <c r="BJ643">
        <v>1</v>
      </c>
      <c r="BK643">
        <v>1</v>
      </c>
      <c r="BL643">
        <v>0</v>
      </c>
      <c r="BO643">
        <v>0</v>
      </c>
      <c r="BP643">
        <v>0</v>
      </c>
      <c r="BW643" t="str">
        <f>"20:14:54.804"</f>
        <v>20:14:54.804</v>
      </c>
      <c r="BZ643">
        <v>0</v>
      </c>
      <c r="CA643">
        <v>2016</v>
      </c>
      <c r="CB643">
        <v>224</v>
      </c>
      <c r="CD643">
        <v>1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2</v>
      </c>
      <c r="CL643">
        <v>0</v>
      </c>
      <c r="CM643">
        <v>2</v>
      </c>
      <c r="CN643">
        <v>0</v>
      </c>
      <c r="CO643">
        <v>5</v>
      </c>
      <c r="CP643" t="s">
        <v>119</v>
      </c>
      <c r="CQ643">
        <v>559</v>
      </c>
      <c r="CR643">
        <v>0</v>
      </c>
      <c r="CW643">
        <v>10419261</v>
      </c>
      <c r="CY643">
        <v>1</v>
      </c>
      <c r="CZ643">
        <v>0</v>
      </c>
      <c r="DA643">
        <v>1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</row>
    <row r="644" spans="1:113" x14ac:dyDescent="0.3">
      <c r="A644" t="str">
        <f>"02/08/2021 20:14:55.344"</f>
        <v>02/08/2021 20:14:55.344</v>
      </c>
      <c r="C644" t="str">
        <f t="shared" si="29"/>
        <v>FFDFD7C0</v>
      </c>
      <c r="D644" t="s">
        <v>141</v>
      </c>
      <c r="E644">
        <v>17</v>
      </c>
      <c r="H644">
        <v>256</v>
      </c>
      <c r="I644" t="s">
        <v>142</v>
      </c>
      <c r="J644" t="s">
        <v>143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>"20:14:57.680"</f>
        <v>20:14:57.680</v>
      </c>
      <c r="T644" t="str">
        <f>"20:14:57.280"</f>
        <v>20:14:57.280</v>
      </c>
      <c r="U644" t="str">
        <f t="shared" si="31"/>
        <v>AB01F4</v>
      </c>
      <c r="V644">
        <v>0</v>
      </c>
      <c r="W644">
        <v>0</v>
      </c>
      <c r="X644">
        <v>1</v>
      </c>
      <c r="Z644">
        <v>0</v>
      </c>
      <c r="AA644">
        <v>9</v>
      </c>
      <c r="AB644">
        <v>3</v>
      </c>
      <c r="AC644">
        <v>0</v>
      </c>
      <c r="AD644">
        <v>10</v>
      </c>
      <c r="AE644">
        <v>0</v>
      </c>
      <c r="AF644">
        <v>3</v>
      </c>
      <c r="AG644">
        <v>2</v>
      </c>
      <c r="AH644">
        <v>0</v>
      </c>
      <c r="AI644" t="s">
        <v>568</v>
      </c>
      <c r="AJ644">
        <v>39.615389999999998</v>
      </c>
      <c r="AK644" t="s">
        <v>569</v>
      </c>
      <c r="AL644">
        <v>-92.500484</v>
      </c>
      <c r="AM644">
        <v>100</v>
      </c>
      <c r="AN644">
        <v>1800</v>
      </c>
      <c r="AO644" t="s">
        <v>118</v>
      </c>
      <c r="AP644">
        <v>-9</v>
      </c>
      <c r="AQ644">
        <v>138</v>
      </c>
      <c r="AR644">
        <v>-192</v>
      </c>
      <c r="AZ644">
        <v>1200</v>
      </c>
      <c r="BA644">
        <v>1</v>
      </c>
      <c r="BB644" t="str">
        <f t="shared" si="30"/>
        <v xml:space="preserve">N8080G  </v>
      </c>
      <c r="BC644">
        <v>1</v>
      </c>
      <c r="BE644">
        <v>0</v>
      </c>
      <c r="BF644">
        <v>0</v>
      </c>
      <c r="BG644">
        <v>0</v>
      </c>
      <c r="BH644">
        <v>1700</v>
      </c>
      <c r="BI644">
        <v>1</v>
      </c>
      <c r="BJ644">
        <v>1</v>
      </c>
      <c r="BK644">
        <v>1</v>
      </c>
      <c r="BL644">
        <v>0</v>
      </c>
      <c r="BO644">
        <v>0</v>
      </c>
      <c r="BP644">
        <v>0</v>
      </c>
      <c r="BW644" t="str">
        <f>"20:14:57.683"</f>
        <v>20:14:57.683</v>
      </c>
      <c r="BZ644">
        <v>0</v>
      </c>
      <c r="CA644">
        <v>2016</v>
      </c>
      <c r="CB644">
        <v>224</v>
      </c>
      <c r="CD644">
        <v>1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2</v>
      </c>
      <c r="CL644">
        <v>0</v>
      </c>
      <c r="CM644">
        <v>2</v>
      </c>
      <c r="CN644">
        <v>0</v>
      </c>
      <c r="CO644">
        <v>4</v>
      </c>
      <c r="CP644" t="s">
        <v>119</v>
      </c>
      <c r="CQ644">
        <v>559</v>
      </c>
      <c r="CR644">
        <v>0</v>
      </c>
      <c r="CW644">
        <v>10419741</v>
      </c>
      <c r="CY644">
        <v>1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</row>
    <row r="645" spans="1:113" x14ac:dyDescent="0.3">
      <c r="A645" t="str">
        <f>"02/08/2021 20:14:55.344"</f>
        <v>02/08/2021 20:14:55.344</v>
      </c>
      <c r="C645" t="str">
        <f t="shared" si="29"/>
        <v>FFDFD7C0</v>
      </c>
      <c r="D645" t="s">
        <v>113</v>
      </c>
      <c r="E645">
        <v>6</v>
      </c>
      <c r="H645">
        <v>165</v>
      </c>
      <c r="I645" t="s">
        <v>114</v>
      </c>
      <c r="J645" t="s">
        <v>115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>"20:14:57.680"</f>
        <v>20:14:57.680</v>
      </c>
      <c r="T645" t="str">
        <f>"20:14:57.280"</f>
        <v>20:14:57.280</v>
      </c>
      <c r="U645" t="str">
        <f t="shared" si="31"/>
        <v>AB01F4</v>
      </c>
      <c r="V645">
        <v>0</v>
      </c>
      <c r="W645">
        <v>0</v>
      </c>
      <c r="X645">
        <v>1</v>
      </c>
      <c r="Z645">
        <v>0</v>
      </c>
      <c r="AA645">
        <v>9</v>
      </c>
      <c r="AB645">
        <v>3</v>
      </c>
      <c r="AC645">
        <v>0</v>
      </c>
      <c r="AD645">
        <v>10</v>
      </c>
      <c r="AE645">
        <v>0</v>
      </c>
      <c r="AF645">
        <v>3</v>
      </c>
      <c r="AG645">
        <v>2</v>
      </c>
      <c r="AH645">
        <v>0</v>
      </c>
      <c r="AI645" t="s">
        <v>568</v>
      </c>
      <c r="AJ645">
        <v>39.615389999999998</v>
      </c>
      <c r="AK645" t="s">
        <v>569</v>
      </c>
      <c r="AL645">
        <v>-92.500484</v>
      </c>
      <c r="AM645">
        <v>100</v>
      </c>
      <c r="AN645">
        <v>1800</v>
      </c>
      <c r="AO645" t="s">
        <v>118</v>
      </c>
      <c r="AP645">
        <v>-9</v>
      </c>
      <c r="AQ645">
        <v>138</v>
      </c>
      <c r="AR645">
        <v>-192</v>
      </c>
      <c r="AZ645">
        <v>1200</v>
      </c>
      <c r="BA645">
        <v>1</v>
      </c>
      <c r="BB645" t="str">
        <f t="shared" si="30"/>
        <v xml:space="preserve">N8080G  </v>
      </c>
      <c r="BC645">
        <v>1</v>
      </c>
      <c r="BE645">
        <v>0</v>
      </c>
      <c r="BF645">
        <v>0</v>
      </c>
      <c r="BG645">
        <v>0</v>
      </c>
      <c r="BH645">
        <v>1700</v>
      </c>
      <c r="BI645">
        <v>1</v>
      </c>
      <c r="BJ645">
        <v>1</v>
      </c>
      <c r="BK645">
        <v>1</v>
      </c>
      <c r="BL645">
        <v>0</v>
      </c>
      <c r="BO645">
        <v>0</v>
      </c>
      <c r="BP645">
        <v>0</v>
      </c>
      <c r="BW645" t="str">
        <f>"20:14:57.683"</f>
        <v>20:14:57.683</v>
      </c>
      <c r="BZ645">
        <v>0</v>
      </c>
      <c r="CA645">
        <v>2016</v>
      </c>
      <c r="CB645">
        <v>224</v>
      </c>
      <c r="CD645">
        <v>1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2</v>
      </c>
      <c r="CL645">
        <v>0</v>
      </c>
      <c r="CM645">
        <v>2</v>
      </c>
      <c r="CN645">
        <v>0</v>
      </c>
      <c r="CO645">
        <v>4</v>
      </c>
      <c r="CP645" t="s">
        <v>119</v>
      </c>
      <c r="CQ645">
        <v>559</v>
      </c>
      <c r="CR645">
        <v>0</v>
      </c>
      <c r="CW645">
        <v>10419741</v>
      </c>
      <c r="CY645">
        <v>1</v>
      </c>
      <c r="CZ645">
        <v>0</v>
      </c>
      <c r="DA645">
        <v>1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</row>
    <row r="646" spans="1:113" x14ac:dyDescent="0.3">
      <c r="A646" t="str">
        <f>"02/08/2021 20:14:55.344"</f>
        <v>02/08/2021 20:14:55.344</v>
      </c>
      <c r="C646" t="str">
        <f t="shared" si="29"/>
        <v>FFDFD7C0</v>
      </c>
      <c r="D646" t="s">
        <v>124</v>
      </c>
      <c r="E646">
        <v>13</v>
      </c>
      <c r="F646">
        <v>1013</v>
      </c>
      <c r="G646" t="s">
        <v>114</v>
      </c>
      <c r="J646" t="s">
        <v>125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>"20:14:57.680"</f>
        <v>20:14:57.680</v>
      </c>
      <c r="T646" t="str">
        <f>"20:14:57.280"</f>
        <v>20:14:57.280</v>
      </c>
      <c r="U646" t="str">
        <f t="shared" si="31"/>
        <v>AB01F4</v>
      </c>
      <c r="V646">
        <v>0</v>
      </c>
      <c r="W646">
        <v>0</v>
      </c>
      <c r="X646">
        <v>1</v>
      </c>
      <c r="Z646">
        <v>0</v>
      </c>
      <c r="AA646">
        <v>9</v>
      </c>
      <c r="AB646">
        <v>3</v>
      </c>
      <c r="AC646">
        <v>0</v>
      </c>
      <c r="AD646">
        <v>10</v>
      </c>
      <c r="AE646">
        <v>0</v>
      </c>
      <c r="AF646">
        <v>3</v>
      </c>
      <c r="AG646">
        <v>2</v>
      </c>
      <c r="AH646">
        <v>0</v>
      </c>
      <c r="AI646" t="s">
        <v>568</v>
      </c>
      <c r="AJ646">
        <v>39.615389999999998</v>
      </c>
      <c r="AK646" t="s">
        <v>569</v>
      </c>
      <c r="AL646">
        <v>-92.500484</v>
      </c>
      <c r="AM646">
        <v>100</v>
      </c>
      <c r="AN646">
        <v>1800</v>
      </c>
      <c r="AO646" t="s">
        <v>118</v>
      </c>
      <c r="AP646">
        <v>-9</v>
      </c>
      <c r="AQ646">
        <v>138</v>
      </c>
      <c r="AR646">
        <v>-192</v>
      </c>
      <c r="AZ646">
        <v>1200</v>
      </c>
      <c r="BA646">
        <v>1</v>
      </c>
      <c r="BB646" t="str">
        <f t="shared" si="30"/>
        <v xml:space="preserve">N8080G  </v>
      </c>
      <c r="BC646">
        <v>1</v>
      </c>
      <c r="BE646">
        <v>0</v>
      </c>
      <c r="BF646">
        <v>0</v>
      </c>
      <c r="BG646">
        <v>0</v>
      </c>
      <c r="BH646">
        <v>1700</v>
      </c>
      <c r="BI646">
        <v>1</v>
      </c>
      <c r="BJ646">
        <v>1</v>
      </c>
      <c r="BK646">
        <v>1</v>
      </c>
      <c r="BL646">
        <v>0</v>
      </c>
      <c r="BO646">
        <v>0</v>
      </c>
      <c r="BP646">
        <v>0</v>
      </c>
      <c r="BW646" t="str">
        <f>"20:14:57.683"</f>
        <v>20:14:57.683</v>
      </c>
      <c r="BZ646">
        <v>0</v>
      </c>
      <c r="CA646">
        <v>2016</v>
      </c>
      <c r="CB646">
        <v>224</v>
      </c>
      <c r="CD646">
        <v>1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2</v>
      </c>
      <c r="CL646">
        <v>0</v>
      </c>
      <c r="CM646">
        <v>2</v>
      </c>
      <c r="CN646">
        <v>0</v>
      </c>
      <c r="CO646">
        <v>4</v>
      </c>
      <c r="CP646" t="s">
        <v>119</v>
      </c>
      <c r="CQ646">
        <v>559</v>
      </c>
      <c r="CR646">
        <v>0</v>
      </c>
      <c r="CW646">
        <v>10419741</v>
      </c>
      <c r="CY646">
        <v>1</v>
      </c>
      <c r="CZ646">
        <v>0</v>
      </c>
      <c r="DA646">
        <v>1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</row>
    <row r="647" spans="1:113" x14ac:dyDescent="0.3">
      <c r="A647" t="str">
        <f>"02/08/2021 20:14:56.517"</f>
        <v>02/08/2021 20:14:56.517</v>
      </c>
      <c r="C647" t="str">
        <f t="shared" si="29"/>
        <v>FFDFD7C0</v>
      </c>
      <c r="D647" t="s">
        <v>124</v>
      </c>
      <c r="E647">
        <v>13</v>
      </c>
      <c r="F647">
        <v>1013</v>
      </c>
      <c r="G647" t="s">
        <v>114</v>
      </c>
      <c r="J647" t="s">
        <v>125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>"20:14:58.828"</f>
        <v>20:14:58.828</v>
      </c>
      <c r="T647" t="str">
        <f>"20:14:58.328"</f>
        <v>20:14:58.328</v>
      </c>
      <c r="U647" t="str">
        <f t="shared" si="31"/>
        <v>AB01F4</v>
      </c>
      <c r="V647">
        <v>0</v>
      </c>
      <c r="W647">
        <v>0</v>
      </c>
      <c r="X647">
        <v>1</v>
      </c>
      <c r="Z647">
        <v>0</v>
      </c>
      <c r="AA647">
        <v>9</v>
      </c>
      <c r="AB647">
        <v>3</v>
      </c>
      <c r="AC647">
        <v>0</v>
      </c>
      <c r="AD647">
        <v>10</v>
      </c>
      <c r="AE647">
        <v>0</v>
      </c>
      <c r="AF647">
        <v>3</v>
      </c>
      <c r="AG647">
        <v>2</v>
      </c>
      <c r="AH647">
        <v>0</v>
      </c>
      <c r="AI647" t="s">
        <v>570</v>
      </c>
      <c r="AJ647">
        <v>39.616140999999999</v>
      </c>
      <c r="AK647" t="s">
        <v>571</v>
      </c>
      <c r="AL647">
        <v>-92.500547999999995</v>
      </c>
      <c r="AM647">
        <v>100</v>
      </c>
      <c r="AN647">
        <v>1700</v>
      </c>
      <c r="AO647" t="s">
        <v>118</v>
      </c>
      <c r="AP647">
        <v>-9</v>
      </c>
      <c r="AQ647">
        <v>138</v>
      </c>
      <c r="AR647">
        <v>-192</v>
      </c>
      <c r="AZ647">
        <v>1200</v>
      </c>
      <c r="BA647">
        <v>1</v>
      </c>
      <c r="BB647" t="str">
        <f t="shared" si="30"/>
        <v xml:space="preserve">N8080G  </v>
      </c>
      <c r="BC647">
        <v>1</v>
      </c>
      <c r="BE647">
        <v>0</v>
      </c>
      <c r="BF647">
        <v>0</v>
      </c>
      <c r="BG647">
        <v>0</v>
      </c>
      <c r="BH647">
        <v>1700</v>
      </c>
      <c r="BI647">
        <v>1</v>
      </c>
      <c r="BJ647">
        <v>1</v>
      </c>
      <c r="BK647">
        <v>1</v>
      </c>
      <c r="BL647">
        <v>0</v>
      </c>
      <c r="BO647">
        <v>0</v>
      </c>
      <c r="BP647">
        <v>0</v>
      </c>
      <c r="BW647" t="str">
        <f>"20:14:58.831"</f>
        <v>20:14:58.831</v>
      </c>
      <c r="BZ647">
        <v>0</v>
      </c>
      <c r="CA647">
        <v>2016</v>
      </c>
      <c r="CB647">
        <v>224</v>
      </c>
      <c r="CD647">
        <v>1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2</v>
      </c>
      <c r="CL647">
        <v>0</v>
      </c>
      <c r="CM647">
        <v>2</v>
      </c>
      <c r="CN647">
        <v>0</v>
      </c>
      <c r="CO647">
        <v>6</v>
      </c>
      <c r="CP647" t="s">
        <v>119</v>
      </c>
      <c r="CQ647">
        <v>180</v>
      </c>
      <c r="CR647">
        <v>2</v>
      </c>
      <c r="CW647">
        <v>7914994</v>
      </c>
      <c r="CY647">
        <v>1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</row>
    <row r="648" spans="1:113" x14ac:dyDescent="0.3">
      <c r="A648" t="str">
        <f>"02/08/2021 20:14:56.517"</f>
        <v>02/08/2021 20:14:56.517</v>
      </c>
      <c r="C648" t="str">
        <f t="shared" si="29"/>
        <v>FFDFD7C0</v>
      </c>
      <c r="D648" t="s">
        <v>141</v>
      </c>
      <c r="E648">
        <v>17</v>
      </c>
      <c r="H648">
        <v>256</v>
      </c>
      <c r="I648" t="s">
        <v>142</v>
      </c>
      <c r="J648" t="s">
        <v>143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>"20:14:58.828"</f>
        <v>20:14:58.828</v>
      </c>
      <c r="T648" t="str">
        <f>"20:14:58.328"</f>
        <v>20:14:58.328</v>
      </c>
      <c r="U648" t="str">
        <f t="shared" si="31"/>
        <v>AB01F4</v>
      </c>
      <c r="V648">
        <v>0</v>
      </c>
      <c r="W648">
        <v>0</v>
      </c>
      <c r="X648">
        <v>1</v>
      </c>
      <c r="Z648">
        <v>0</v>
      </c>
      <c r="AA648">
        <v>9</v>
      </c>
      <c r="AB648">
        <v>3</v>
      </c>
      <c r="AC648">
        <v>0</v>
      </c>
      <c r="AD648">
        <v>10</v>
      </c>
      <c r="AE648">
        <v>0</v>
      </c>
      <c r="AF648">
        <v>3</v>
      </c>
      <c r="AG648">
        <v>2</v>
      </c>
      <c r="AH648">
        <v>0</v>
      </c>
      <c r="AI648" t="s">
        <v>570</v>
      </c>
      <c r="AJ648">
        <v>39.616140999999999</v>
      </c>
      <c r="AK648" t="s">
        <v>571</v>
      </c>
      <c r="AL648">
        <v>-92.500547999999995</v>
      </c>
      <c r="AM648">
        <v>100</v>
      </c>
      <c r="AN648">
        <v>1700</v>
      </c>
      <c r="AO648" t="s">
        <v>118</v>
      </c>
      <c r="AP648">
        <v>-9</v>
      </c>
      <c r="AQ648">
        <v>138</v>
      </c>
      <c r="AR648">
        <v>-192</v>
      </c>
      <c r="AZ648">
        <v>1200</v>
      </c>
      <c r="BA648">
        <v>1</v>
      </c>
      <c r="BB648" t="str">
        <f t="shared" si="30"/>
        <v xml:space="preserve">N8080G  </v>
      </c>
      <c r="BC648">
        <v>1</v>
      </c>
      <c r="BE648">
        <v>0</v>
      </c>
      <c r="BF648">
        <v>0</v>
      </c>
      <c r="BG648">
        <v>0</v>
      </c>
      <c r="BH648">
        <v>1600</v>
      </c>
      <c r="BI648">
        <v>1</v>
      </c>
      <c r="BJ648">
        <v>1</v>
      </c>
      <c r="BK648">
        <v>1</v>
      </c>
      <c r="BL648">
        <v>0</v>
      </c>
      <c r="BO648">
        <v>0</v>
      </c>
      <c r="BP648">
        <v>0</v>
      </c>
      <c r="BW648" t="str">
        <f>"20:14:58.832"</f>
        <v>20:14:58.832</v>
      </c>
      <c r="BZ648">
        <v>0</v>
      </c>
      <c r="CA648">
        <v>2016</v>
      </c>
      <c r="CB648">
        <v>224</v>
      </c>
      <c r="CD648">
        <v>1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2</v>
      </c>
      <c r="CL648">
        <v>0</v>
      </c>
      <c r="CM648">
        <v>2</v>
      </c>
      <c r="CN648">
        <v>0</v>
      </c>
      <c r="CO648">
        <v>5</v>
      </c>
      <c r="CP648" t="s">
        <v>119</v>
      </c>
      <c r="CQ648">
        <v>559</v>
      </c>
      <c r="CR648">
        <v>0</v>
      </c>
      <c r="CW648">
        <v>10419934</v>
      </c>
      <c r="CY648">
        <v>1</v>
      </c>
      <c r="CZ648">
        <v>0</v>
      </c>
      <c r="DA648">
        <v>1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</row>
    <row r="649" spans="1:113" x14ac:dyDescent="0.3">
      <c r="A649" t="str">
        <f>"02/08/2021 20:14:56.517"</f>
        <v>02/08/2021 20:14:56.517</v>
      </c>
      <c r="C649" t="str">
        <f t="shared" ref="C649:C712" si="32">"FFDFD7C0"</f>
        <v>FFDFD7C0</v>
      </c>
      <c r="D649" t="s">
        <v>113</v>
      </c>
      <c r="E649">
        <v>6</v>
      </c>
      <c r="H649">
        <v>165</v>
      </c>
      <c r="I649" t="s">
        <v>114</v>
      </c>
      <c r="J649" t="s">
        <v>115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>"20:14:58.828"</f>
        <v>20:14:58.828</v>
      </c>
      <c r="T649" t="str">
        <f>"20:14:58.328"</f>
        <v>20:14:58.328</v>
      </c>
      <c r="U649" t="str">
        <f t="shared" si="31"/>
        <v>AB01F4</v>
      </c>
      <c r="V649">
        <v>0</v>
      </c>
      <c r="W649">
        <v>0</v>
      </c>
      <c r="X649">
        <v>1</v>
      </c>
      <c r="Z649">
        <v>0</v>
      </c>
      <c r="AA649">
        <v>9</v>
      </c>
      <c r="AB649">
        <v>3</v>
      </c>
      <c r="AC649">
        <v>0</v>
      </c>
      <c r="AD649">
        <v>10</v>
      </c>
      <c r="AE649">
        <v>0</v>
      </c>
      <c r="AF649">
        <v>3</v>
      </c>
      <c r="AG649">
        <v>2</v>
      </c>
      <c r="AH649">
        <v>0</v>
      </c>
      <c r="AI649" t="s">
        <v>570</v>
      </c>
      <c r="AJ649">
        <v>39.616140999999999</v>
      </c>
      <c r="AK649" t="s">
        <v>571</v>
      </c>
      <c r="AL649">
        <v>-92.500547999999995</v>
      </c>
      <c r="AM649">
        <v>100</v>
      </c>
      <c r="AN649">
        <v>1700</v>
      </c>
      <c r="AO649" t="s">
        <v>118</v>
      </c>
      <c r="AP649">
        <v>-9</v>
      </c>
      <c r="AQ649">
        <v>138</v>
      </c>
      <c r="AR649">
        <v>-192</v>
      </c>
      <c r="AZ649">
        <v>1200</v>
      </c>
      <c r="BA649">
        <v>1</v>
      </c>
      <c r="BB649" t="str">
        <f t="shared" si="30"/>
        <v xml:space="preserve">N8080G  </v>
      </c>
      <c r="BC649">
        <v>1</v>
      </c>
      <c r="BE649">
        <v>0</v>
      </c>
      <c r="BF649">
        <v>0</v>
      </c>
      <c r="BG649">
        <v>0</v>
      </c>
      <c r="BH649">
        <v>1700</v>
      </c>
      <c r="BI649">
        <v>1</v>
      </c>
      <c r="BJ649">
        <v>1</v>
      </c>
      <c r="BK649">
        <v>1</v>
      </c>
      <c r="BL649">
        <v>0</v>
      </c>
      <c r="BO649">
        <v>0</v>
      </c>
      <c r="BP649">
        <v>0</v>
      </c>
      <c r="BW649" t="str">
        <f>"20:14:58.831"</f>
        <v>20:14:58.831</v>
      </c>
      <c r="BZ649">
        <v>0</v>
      </c>
      <c r="CA649">
        <v>2016</v>
      </c>
      <c r="CB649">
        <v>224</v>
      </c>
      <c r="CD649">
        <v>1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2</v>
      </c>
      <c r="CL649">
        <v>0</v>
      </c>
      <c r="CM649">
        <v>2</v>
      </c>
      <c r="CN649">
        <v>0</v>
      </c>
      <c r="CO649">
        <v>6</v>
      </c>
      <c r="CP649" t="s">
        <v>119</v>
      </c>
      <c r="CQ649">
        <v>180</v>
      </c>
      <c r="CR649">
        <v>2</v>
      </c>
      <c r="CW649">
        <v>7914994</v>
      </c>
      <c r="CY649">
        <v>1</v>
      </c>
      <c r="CZ649">
        <v>0</v>
      </c>
      <c r="DA649">
        <v>1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</row>
    <row r="650" spans="1:113" x14ac:dyDescent="0.3">
      <c r="A650" t="str">
        <f>"02/08/2021 20:14:57.481"</f>
        <v>02/08/2021 20:14:57.481</v>
      </c>
      <c r="C650" t="str">
        <f t="shared" si="32"/>
        <v>FFDFD7C0</v>
      </c>
      <c r="D650" t="s">
        <v>113</v>
      </c>
      <c r="E650">
        <v>6</v>
      </c>
      <c r="H650">
        <v>165</v>
      </c>
      <c r="I650" t="s">
        <v>114</v>
      </c>
      <c r="J650" t="s">
        <v>115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>"20:14:59.844"</f>
        <v>20:14:59.844</v>
      </c>
      <c r="T650" t="str">
        <f>"20:14:58.844"</f>
        <v>20:14:58.844</v>
      </c>
      <c r="U650" t="str">
        <f t="shared" si="31"/>
        <v>AB01F4</v>
      </c>
      <c r="V650">
        <v>0</v>
      </c>
      <c r="W650">
        <v>0</v>
      </c>
      <c r="X650">
        <v>1</v>
      </c>
      <c r="Z650">
        <v>0</v>
      </c>
      <c r="AA650">
        <v>9</v>
      </c>
      <c r="AB650">
        <v>3</v>
      </c>
      <c r="AC650">
        <v>0</v>
      </c>
      <c r="AD650">
        <v>10</v>
      </c>
      <c r="AE650">
        <v>0</v>
      </c>
      <c r="AF650">
        <v>3</v>
      </c>
      <c r="AG650">
        <v>2</v>
      </c>
      <c r="AH650">
        <v>0</v>
      </c>
      <c r="AI650" t="s">
        <v>572</v>
      </c>
      <c r="AJ650">
        <v>39.616785</v>
      </c>
      <c r="AK650" t="s">
        <v>573</v>
      </c>
      <c r="AL650">
        <v>-92.500613000000001</v>
      </c>
      <c r="AM650">
        <v>100</v>
      </c>
      <c r="AN650">
        <v>1700</v>
      </c>
      <c r="AO650" t="s">
        <v>118</v>
      </c>
      <c r="AP650">
        <v>-9</v>
      </c>
      <c r="AQ650">
        <v>138</v>
      </c>
      <c r="AR650">
        <v>-192</v>
      </c>
      <c r="AZ650">
        <v>1200</v>
      </c>
      <c r="BA650">
        <v>1</v>
      </c>
      <c r="BB650" t="str">
        <f t="shared" si="30"/>
        <v xml:space="preserve">N8080G  </v>
      </c>
      <c r="BC650">
        <v>1</v>
      </c>
      <c r="BE650">
        <v>0</v>
      </c>
      <c r="BF650">
        <v>0</v>
      </c>
      <c r="BG650">
        <v>0</v>
      </c>
      <c r="BH650">
        <v>1700</v>
      </c>
      <c r="BI650">
        <v>1</v>
      </c>
      <c r="BJ650">
        <v>1</v>
      </c>
      <c r="BK650">
        <v>1</v>
      </c>
      <c r="BL650">
        <v>0</v>
      </c>
      <c r="BO650">
        <v>0</v>
      </c>
      <c r="BP650">
        <v>0</v>
      </c>
      <c r="BW650" t="str">
        <f>"20:14:59.849"</f>
        <v>20:14:59.849</v>
      </c>
      <c r="BZ650">
        <v>0</v>
      </c>
      <c r="CA650">
        <v>2016</v>
      </c>
      <c r="CB650">
        <v>224</v>
      </c>
      <c r="CD650">
        <v>1</v>
      </c>
      <c r="CE650">
        <v>0</v>
      </c>
      <c r="CF650">
        <v>0</v>
      </c>
      <c r="CG650">
        <v>1</v>
      </c>
      <c r="CH650">
        <v>0</v>
      </c>
      <c r="CI650">
        <v>0</v>
      </c>
      <c r="CJ650">
        <v>0</v>
      </c>
      <c r="CK650">
        <v>2</v>
      </c>
      <c r="CL650">
        <v>0</v>
      </c>
      <c r="CM650">
        <v>2</v>
      </c>
      <c r="CN650">
        <v>0</v>
      </c>
      <c r="CO650">
        <v>6</v>
      </c>
      <c r="CP650" t="s">
        <v>119</v>
      </c>
      <c r="CQ650">
        <v>180</v>
      </c>
      <c r="CR650">
        <v>2</v>
      </c>
      <c r="CW650">
        <v>7915858</v>
      </c>
      <c r="CY650">
        <v>1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</row>
    <row r="651" spans="1:113" x14ac:dyDescent="0.3">
      <c r="A651" t="str">
        <f>"02/08/2021 20:14:57.481"</f>
        <v>02/08/2021 20:14:57.481</v>
      </c>
      <c r="C651" t="str">
        <f t="shared" si="32"/>
        <v>FFDFD7C0</v>
      </c>
      <c r="D651" t="s">
        <v>141</v>
      </c>
      <c r="E651">
        <v>17</v>
      </c>
      <c r="H651">
        <v>256</v>
      </c>
      <c r="I651" t="s">
        <v>142</v>
      </c>
      <c r="J651" t="s">
        <v>143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>"20:14:59.844"</f>
        <v>20:14:59.844</v>
      </c>
      <c r="T651" t="str">
        <f>"20:14:58.844"</f>
        <v>20:14:58.844</v>
      </c>
      <c r="U651" t="str">
        <f t="shared" si="31"/>
        <v>AB01F4</v>
      </c>
      <c r="V651">
        <v>0</v>
      </c>
      <c r="W651">
        <v>0</v>
      </c>
      <c r="X651">
        <v>1</v>
      </c>
      <c r="Z651">
        <v>0</v>
      </c>
      <c r="AA651">
        <v>9</v>
      </c>
      <c r="AB651">
        <v>3</v>
      </c>
      <c r="AC651">
        <v>0</v>
      </c>
      <c r="AD651">
        <v>10</v>
      </c>
      <c r="AE651">
        <v>0</v>
      </c>
      <c r="AF651">
        <v>3</v>
      </c>
      <c r="AG651">
        <v>2</v>
      </c>
      <c r="AH651">
        <v>0</v>
      </c>
      <c r="AI651" t="s">
        <v>572</v>
      </c>
      <c r="AJ651">
        <v>39.616785</v>
      </c>
      <c r="AK651" t="s">
        <v>573</v>
      </c>
      <c r="AL651">
        <v>-92.500613000000001</v>
      </c>
      <c r="AM651">
        <v>100</v>
      </c>
      <c r="AN651">
        <v>1700</v>
      </c>
      <c r="AO651" t="s">
        <v>118</v>
      </c>
      <c r="AP651">
        <v>-9</v>
      </c>
      <c r="AQ651">
        <v>138</v>
      </c>
      <c r="AR651">
        <v>-192</v>
      </c>
      <c r="AZ651">
        <v>1200</v>
      </c>
      <c r="BA651">
        <v>1</v>
      </c>
      <c r="BB651" t="str">
        <f t="shared" si="30"/>
        <v xml:space="preserve">N8080G  </v>
      </c>
      <c r="BC651">
        <v>1</v>
      </c>
      <c r="BE651">
        <v>0</v>
      </c>
      <c r="BF651">
        <v>0</v>
      </c>
      <c r="BG651">
        <v>0</v>
      </c>
      <c r="BH651">
        <v>1700</v>
      </c>
      <c r="BI651">
        <v>1</v>
      </c>
      <c r="BJ651">
        <v>1</v>
      </c>
      <c r="BK651">
        <v>1</v>
      </c>
      <c r="BL651">
        <v>0</v>
      </c>
      <c r="BO651">
        <v>0</v>
      </c>
      <c r="BP651">
        <v>0</v>
      </c>
      <c r="BW651" t="str">
        <f>"20:14:59.849"</f>
        <v>20:14:59.849</v>
      </c>
      <c r="BZ651">
        <v>0</v>
      </c>
      <c r="CA651">
        <v>2016</v>
      </c>
      <c r="CB651">
        <v>224</v>
      </c>
      <c r="CD651">
        <v>1</v>
      </c>
      <c r="CE651">
        <v>0</v>
      </c>
      <c r="CF651">
        <v>0</v>
      </c>
      <c r="CG651">
        <v>1</v>
      </c>
      <c r="CH651">
        <v>0</v>
      </c>
      <c r="CI651">
        <v>0</v>
      </c>
      <c r="CJ651">
        <v>0</v>
      </c>
      <c r="CK651">
        <v>2</v>
      </c>
      <c r="CL651">
        <v>0</v>
      </c>
      <c r="CM651">
        <v>2</v>
      </c>
      <c r="CN651">
        <v>0</v>
      </c>
      <c r="CO651">
        <v>5</v>
      </c>
      <c r="CP651" t="s">
        <v>119</v>
      </c>
      <c r="CQ651">
        <v>559</v>
      </c>
      <c r="CR651">
        <v>0</v>
      </c>
      <c r="CW651">
        <v>10420076</v>
      </c>
      <c r="CY651">
        <v>1</v>
      </c>
      <c r="CZ651">
        <v>0</v>
      </c>
      <c r="DA651">
        <v>1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</row>
    <row r="652" spans="1:113" x14ac:dyDescent="0.3">
      <c r="A652" t="str">
        <f>"02/08/2021 20:14:57.481"</f>
        <v>02/08/2021 20:14:57.481</v>
      </c>
      <c r="C652" t="str">
        <f t="shared" si="32"/>
        <v>FFDFD7C0</v>
      </c>
      <c r="D652" t="s">
        <v>124</v>
      </c>
      <c r="E652">
        <v>13</v>
      </c>
      <c r="F652">
        <v>1013</v>
      </c>
      <c r="G652" t="s">
        <v>114</v>
      </c>
      <c r="J652" t="s">
        <v>125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>"20:14:59.844"</f>
        <v>20:14:59.844</v>
      </c>
      <c r="T652" t="str">
        <f>"20:14:58.844"</f>
        <v>20:14:58.844</v>
      </c>
      <c r="U652" t="str">
        <f t="shared" si="31"/>
        <v>AB01F4</v>
      </c>
      <c r="V652">
        <v>0</v>
      </c>
      <c r="W652">
        <v>0</v>
      </c>
      <c r="X652">
        <v>1</v>
      </c>
      <c r="Z652">
        <v>0</v>
      </c>
      <c r="AA652">
        <v>9</v>
      </c>
      <c r="AB652">
        <v>3</v>
      </c>
      <c r="AC652">
        <v>0</v>
      </c>
      <c r="AD652">
        <v>10</v>
      </c>
      <c r="AE652">
        <v>0</v>
      </c>
      <c r="AF652">
        <v>3</v>
      </c>
      <c r="AG652">
        <v>2</v>
      </c>
      <c r="AH652">
        <v>0</v>
      </c>
      <c r="AI652" t="s">
        <v>572</v>
      </c>
      <c r="AJ652">
        <v>39.616785</v>
      </c>
      <c r="AK652" t="s">
        <v>573</v>
      </c>
      <c r="AL652">
        <v>-92.500613000000001</v>
      </c>
      <c r="AM652">
        <v>100</v>
      </c>
      <c r="AN652">
        <v>1700</v>
      </c>
      <c r="AO652" t="s">
        <v>118</v>
      </c>
      <c r="AP652">
        <v>-9</v>
      </c>
      <c r="AQ652">
        <v>138</v>
      </c>
      <c r="AR652">
        <v>-192</v>
      </c>
      <c r="AZ652">
        <v>1200</v>
      </c>
      <c r="BA652">
        <v>1</v>
      </c>
      <c r="BB652" t="str">
        <f t="shared" si="30"/>
        <v xml:space="preserve">N8080G  </v>
      </c>
      <c r="BC652">
        <v>1</v>
      </c>
      <c r="BE652">
        <v>0</v>
      </c>
      <c r="BF652">
        <v>0</v>
      </c>
      <c r="BG652">
        <v>0</v>
      </c>
      <c r="BH652">
        <v>1700</v>
      </c>
      <c r="BI652">
        <v>1</v>
      </c>
      <c r="BJ652">
        <v>1</v>
      </c>
      <c r="BK652">
        <v>1</v>
      </c>
      <c r="BL652">
        <v>0</v>
      </c>
      <c r="BO652">
        <v>0</v>
      </c>
      <c r="BP652">
        <v>0</v>
      </c>
      <c r="BW652" t="str">
        <f>"20:14:59.849"</f>
        <v>20:14:59.849</v>
      </c>
      <c r="BZ652">
        <v>0</v>
      </c>
      <c r="CA652">
        <v>2016</v>
      </c>
      <c r="CB652">
        <v>224</v>
      </c>
      <c r="CD652">
        <v>1</v>
      </c>
      <c r="CE652">
        <v>0</v>
      </c>
      <c r="CF652">
        <v>0</v>
      </c>
      <c r="CG652">
        <v>1</v>
      </c>
      <c r="CH652">
        <v>0</v>
      </c>
      <c r="CI652">
        <v>0</v>
      </c>
      <c r="CJ652">
        <v>0</v>
      </c>
      <c r="CK652">
        <v>2</v>
      </c>
      <c r="CL652">
        <v>0</v>
      </c>
      <c r="CM652">
        <v>2</v>
      </c>
      <c r="CN652">
        <v>0</v>
      </c>
      <c r="CO652">
        <v>6</v>
      </c>
      <c r="CP652" t="s">
        <v>119</v>
      </c>
      <c r="CQ652">
        <v>180</v>
      </c>
      <c r="CR652">
        <v>2</v>
      </c>
      <c r="CW652">
        <v>7915858</v>
      </c>
      <c r="CY652">
        <v>1</v>
      </c>
      <c r="CZ652">
        <v>0</v>
      </c>
      <c r="DA652">
        <v>1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</row>
    <row r="653" spans="1:113" x14ac:dyDescent="0.3">
      <c r="A653" t="str">
        <f>"02/08/2021 20:14:58.378"</f>
        <v>02/08/2021 20:14:58.378</v>
      </c>
      <c r="C653" t="str">
        <f t="shared" si="32"/>
        <v>FFDFD7C0</v>
      </c>
      <c r="D653" t="s">
        <v>124</v>
      </c>
      <c r="E653">
        <v>13</v>
      </c>
      <c r="F653">
        <v>1013</v>
      </c>
      <c r="G653" t="s">
        <v>114</v>
      </c>
      <c r="J653" t="s">
        <v>125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>"20:15:00.711"</f>
        <v>20:15:00.711</v>
      </c>
      <c r="T653" t="str">
        <f>"20:15:00.311"</f>
        <v>20:15:00.311</v>
      </c>
      <c r="U653" t="str">
        <f t="shared" si="31"/>
        <v>AB01F4</v>
      </c>
      <c r="V653">
        <v>0</v>
      </c>
      <c r="W653">
        <v>0</v>
      </c>
      <c r="X653">
        <v>1</v>
      </c>
      <c r="Z653">
        <v>0</v>
      </c>
      <c r="AA653">
        <v>9</v>
      </c>
      <c r="AB653">
        <v>3</v>
      </c>
      <c r="AC653">
        <v>0</v>
      </c>
      <c r="AD653">
        <v>10</v>
      </c>
      <c r="AE653">
        <v>0</v>
      </c>
      <c r="AF653">
        <v>3</v>
      </c>
      <c r="AG653">
        <v>2</v>
      </c>
      <c r="AH653">
        <v>0</v>
      </c>
      <c r="AI653" t="s">
        <v>574</v>
      </c>
      <c r="AJ653">
        <v>39.617386000000003</v>
      </c>
      <c r="AK653" t="s">
        <v>575</v>
      </c>
      <c r="AL653">
        <v>-92.500698999999997</v>
      </c>
      <c r="AM653">
        <v>100</v>
      </c>
      <c r="AN653">
        <v>1700</v>
      </c>
      <c r="AO653" t="s">
        <v>118</v>
      </c>
      <c r="AP653">
        <v>-9</v>
      </c>
      <c r="AQ653">
        <v>138</v>
      </c>
      <c r="AR653">
        <v>-192</v>
      </c>
      <c r="AZ653">
        <v>1200</v>
      </c>
      <c r="BA653">
        <v>1</v>
      </c>
      <c r="BB653" t="str">
        <f t="shared" si="30"/>
        <v xml:space="preserve">N8080G  </v>
      </c>
      <c r="BC653">
        <v>1</v>
      </c>
      <c r="BE653">
        <v>0</v>
      </c>
      <c r="BF653">
        <v>0</v>
      </c>
      <c r="BG653">
        <v>0</v>
      </c>
      <c r="BH653">
        <v>1700</v>
      </c>
      <c r="BI653">
        <v>1</v>
      </c>
      <c r="BJ653">
        <v>1</v>
      </c>
      <c r="BK653">
        <v>1</v>
      </c>
      <c r="BL653">
        <v>0</v>
      </c>
      <c r="BO653">
        <v>0</v>
      </c>
      <c r="BP653">
        <v>0</v>
      </c>
      <c r="BW653" t="str">
        <f>"20:15:00.714"</f>
        <v>20:15:00.714</v>
      </c>
      <c r="BZ653">
        <v>0</v>
      </c>
      <c r="CA653">
        <v>2016</v>
      </c>
      <c r="CB653">
        <v>224</v>
      </c>
      <c r="CD653">
        <v>1</v>
      </c>
      <c r="CE653">
        <v>0</v>
      </c>
      <c r="CF653">
        <v>0</v>
      </c>
      <c r="CG653">
        <v>1</v>
      </c>
      <c r="CH653">
        <v>0</v>
      </c>
      <c r="CI653">
        <v>0</v>
      </c>
      <c r="CJ653">
        <v>0</v>
      </c>
      <c r="CK653">
        <v>2</v>
      </c>
      <c r="CL653">
        <v>0</v>
      </c>
      <c r="CM653">
        <v>2</v>
      </c>
      <c r="CN653">
        <v>0</v>
      </c>
      <c r="CO653">
        <v>4</v>
      </c>
      <c r="CP653" t="s">
        <v>119</v>
      </c>
      <c r="CQ653">
        <v>559</v>
      </c>
      <c r="CR653">
        <v>0</v>
      </c>
      <c r="CW653">
        <v>10420209</v>
      </c>
      <c r="CY653">
        <v>1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</row>
    <row r="654" spans="1:113" x14ac:dyDescent="0.3">
      <c r="A654" t="str">
        <f>"02/08/2021 20:14:58.378"</f>
        <v>02/08/2021 20:14:58.378</v>
      </c>
      <c r="C654" t="str">
        <f t="shared" si="32"/>
        <v>FFDFD7C0</v>
      </c>
      <c r="D654" t="s">
        <v>113</v>
      </c>
      <c r="E654">
        <v>6</v>
      </c>
      <c r="H654">
        <v>165</v>
      </c>
      <c r="I654" t="s">
        <v>114</v>
      </c>
      <c r="J654" t="s">
        <v>115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>"20:15:00.711"</f>
        <v>20:15:00.711</v>
      </c>
      <c r="T654" t="str">
        <f>"20:15:00.311"</f>
        <v>20:15:00.311</v>
      </c>
      <c r="U654" t="str">
        <f t="shared" si="31"/>
        <v>AB01F4</v>
      </c>
      <c r="V654">
        <v>0</v>
      </c>
      <c r="W654">
        <v>0</v>
      </c>
      <c r="X654">
        <v>1</v>
      </c>
      <c r="Z654">
        <v>0</v>
      </c>
      <c r="AA654">
        <v>9</v>
      </c>
      <c r="AB654">
        <v>3</v>
      </c>
      <c r="AC654">
        <v>0</v>
      </c>
      <c r="AD654">
        <v>10</v>
      </c>
      <c r="AE654">
        <v>0</v>
      </c>
      <c r="AF654">
        <v>3</v>
      </c>
      <c r="AG654">
        <v>2</v>
      </c>
      <c r="AH654">
        <v>0</v>
      </c>
      <c r="AI654" t="s">
        <v>574</v>
      </c>
      <c r="AJ654">
        <v>39.617386000000003</v>
      </c>
      <c r="AK654" t="s">
        <v>575</v>
      </c>
      <c r="AL654">
        <v>-92.500698999999997</v>
      </c>
      <c r="AM654">
        <v>100</v>
      </c>
      <c r="AN654">
        <v>1700</v>
      </c>
      <c r="AO654" t="s">
        <v>118</v>
      </c>
      <c r="AP654">
        <v>-9</v>
      </c>
      <c r="AQ654">
        <v>138</v>
      </c>
      <c r="AR654">
        <v>-192</v>
      </c>
      <c r="AZ654">
        <v>1200</v>
      </c>
      <c r="BA654">
        <v>1</v>
      </c>
      <c r="BB654" t="str">
        <f t="shared" si="30"/>
        <v xml:space="preserve">N8080G  </v>
      </c>
      <c r="BC654">
        <v>1</v>
      </c>
      <c r="BE654">
        <v>0</v>
      </c>
      <c r="BF654">
        <v>0</v>
      </c>
      <c r="BG654">
        <v>0</v>
      </c>
      <c r="BH654">
        <v>1700</v>
      </c>
      <c r="BI654">
        <v>1</v>
      </c>
      <c r="BJ654">
        <v>1</v>
      </c>
      <c r="BK654">
        <v>1</v>
      </c>
      <c r="BL654">
        <v>0</v>
      </c>
      <c r="BO654">
        <v>0</v>
      </c>
      <c r="BP654">
        <v>0</v>
      </c>
      <c r="BW654" t="str">
        <f>"20:15:00.714"</f>
        <v>20:15:00.714</v>
      </c>
      <c r="BZ654">
        <v>0</v>
      </c>
      <c r="CA654">
        <v>2016</v>
      </c>
      <c r="CB654">
        <v>224</v>
      </c>
      <c r="CD654">
        <v>1</v>
      </c>
      <c r="CE654">
        <v>0</v>
      </c>
      <c r="CF654">
        <v>0</v>
      </c>
      <c r="CG654">
        <v>1</v>
      </c>
      <c r="CH654">
        <v>0</v>
      </c>
      <c r="CI654">
        <v>0</v>
      </c>
      <c r="CJ654">
        <v>0</v>
      </c>
      <c r="CK654">
        <v>2</v>
      </c>
      <c r="CL654">
        <v>0</v>
      </c>
      <c r="CM654">
        <v>2</v>
      </c>
      <c r="CN654">
        <v>0</v>
      </c>
      <c r="CO654">
        <v>4</v>
      </c>
      <c r="CP654" t="s">
        <v>119</v>
      </c>
      <c r="CQ654">
        <v>559</v>
      </c>
      <c r="CR654">
        <v>0</v>
      </c>
      <c r="CW654">
        <v>10420209</v>
      </c>
      <c r="CY654">
        <v>1</v>
      </c>
      <c r="CZ654">
        <v>0</v>
      </c>
      <c r="DA654">
        <v>1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</row>
    <row r="655" spans="1:113" x14ac:dyDescent="0.3">
      <c r="A655" t="str">
        <f>"02/08/2021 20:14:58.378"</f>
        <v>02/08/2021 20:14:58.378</v>
      </c>
      <c r="C655" t="str">
        <f t="shared" si="32"/>
        <v>FFDFD7C0</v>
      </c>
      <c r="D655" t="s">
        <v>141</v>
      </c>
      <c r="E655">
        <v>17</v>
      </c>
      <c r="H655">
        <v>256</v>
      </c>
      <c r="I655" t="s">
        <v>142</v>
      </c>
      <c r="J655" t="s">
        <v>143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>"20:15:00.711"</f>
        <v>20:15:00.711</v>
      </c>
      <c r="T655" t="str">
        <f>"20:15:00.311"</f>
        <v>20:15:00.311</v>
      </c>
      <c r="U655" t="str">
        <f t="shared" si="31"/>
        <v>AB01F4</v>
      </c>
      <c r="V655">
        <v>0</v>
      </c>
      <c r="W655">
        <v>0</v>
      </c>
      <c r="X655">
        <v>1</v>
      </c>
      <c r="Z655">
        <v>0</v>
      </c>
      <c r="AA655">
        <v>9</v>
      </c>
      <c r="AB655">
        <v>3</v>
      </c>
      <c r="AC655">
        <v>0</v>
      </c>
      <c r="AD655">
        <v>10</v>
      </c>
      <c r="AE655">
        <v>0</v>
      </c>
      <c r="AF655">
        <v>3</v>
      </c>
      <c r="AG655">
        <v>2</v>
      </c>
      <c r="AH655">
        <v>0</v>
      </c>
      <c r="AI655" t="s">
        <v>574</v>
      </c>
      <c r="AJ655">
        <v>39.617386000000003</v>
      </c>
      <c r="AK655" t="s">
        <v>575</v>
      </c>
      <c r="AL655">
        <v>-92.500698999999997</v>
      </c>
      <c r="AM655">
        <v>100</v>
      </c>
      <c r="AN655">
        <v>1700</v>
      </c>
      <c r="AO655" t="s">
        <v>118</v>
      </c>
      <c r="AP655">
        <v>-9</v>
      </c>
      <c r="AQ655">
        <v>138</v>
      </c>
      <c r="AR655">
        <v>-192</v>
      </c>
      <c r="AZ655">
        <v>1200</v>
      </c>
      <c r="BA655">
        <v>1</v>
      </c>
      <c r="BB655" t="str">
        <f t="shared" ref="BB655:BB718" si="33">"N8080G  "</f>
        <v xml:space="preserve">N8080G  </v>
      </c>
      <c r="BC655">
        <v>1</v>
      </c>
      <c r="BE655">
        <v>0</v>
      </c>
      <c r="BF655">
        <v>0</v>
      </c>
      <c r="BG655">
        <v>0</v>
      </c>
      <c r="BH655">
        <v>1700</v>
      </c>
      <c r="BI655">
        <v>1</v>
      </c>
      <c r="BJ655">
        <v>1</v>
      </c>
      <c r="BK655">
        <v>1</v>
      </c>
      <c r="BL655">
        <v>0</v>
      </c>
      <c r="BO655">
        <v>0</v>
      </c>
      <c r="BP655">
        <v>0</v>
      </c>
      <c r="BW655" t="str">
        <f>"20:15:00.714"</f>
        <v>20:15:00.714</v>
      </c>
      <c r="BZ655">
        <v>0</v>
      </c>
      <c r="CA655">
        <v>2016</v>
      </c>
      <c r="CB655">
        <v>224</v>
      </c>
      <c r="CD655">
        <v>1</v>
      </c>
      <c r="CE655">
        <v>0</v>
      </c>
      <c r="CF655">
        <v>0</v>
      </c>
      <c r="CG655">
        <v>1</v>
      </c>
      <c r="CH655">
        <v>0</v>
      </c>
      <c r="CI655">
        <v>0</v>
      </c>
      <c r="CJ655">
        <v>0</v>
      </c>
      <c r="CK655">
        <v>2</v>
      </c>
      <c r="CL655">
        <v>0</v>
      </c>
      <c r="CM655">
        <v>2</v>
      </c>
      <c r="CN655">
        <v>0</v>
      </c>
      <c r="CO655">
        <v>4</v>
      </c>
      <c r="CP655" t="s">
        <v>119</v>
      </c>
      <c r="CQ655">
        <v>559</v>
      </c>
      <c r="CR655">
        <v>0</v>
      </c>
      <c r="CW655">
        <v>10420209</v>
      </c>
      <c r="CY655">
        <v>1</v>
      </c>
      <c r="CZ655">
        <v>0</v>
      </c>
      <c r="DA655">
        <v>1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</row>
    <row r="656" spans="1:113" x14ac:dyDescent="0.3">
      <c r="A656" t="str">
        <f>"02/08/2021 20:14:59.335"</f>
        <v>02/08/2021 20:14:59.335</v>
      </c>
      <c r="C656" t="str">
        <f t="shared" si="32"/>
        <v>FFDFD7C0</v>
      </c>
      <c r="D656" t="s">
        <v>124</v>
      </c>
      <c r="E656">
        <v>13</v>
      </c>
      <c r="F656">
        <v>1013</v>
      </c>
      <c r="G656" t="s">
        <v>114</v>
      </c>
      <c r="J656" t="s">
        <v>125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>"20:15:01.680"</f>
        <v>20:15:01.680</v>
      </c>
      <c r="T656" t="str">
        <f>"20:15:01.280"</f>
        <v>20:15:01.280</v>
      </c>
      <c r="U656" t="str">
        <f t="shared" si="31"/>
        <v>AB01F4</v>
      </c>
      <c r="V656">
        <v>0</v>
      </c>
      <c r="W656">
        <v>0</v>
      </c>
      <c r="X656">
        <v>1</v>
      </c>
      <c r="Z656">
        <v>0</v>
      </c>
      <c r="AA656">
        <v>9</v>
      </c>
      <c r="AB656">
        <v>3</v>
      </c>
      <c r="AC656">
        <v>0</v>
      </c>
      <c r="AD656">
        <v>10</v>
      </c>
      <c r="AE656">
        <v>0</v>
      </c>
      <c r="AF656">
        <v>3</v>
      </c>
      <c r="AG656">
        <v>2</v>
      </c>
      <c r="AH656">
        <v>0</v>
      </c>
      <c r="AI656" t="s">
        <v>576</v>
      </c>
      <c r="AJ656">
        <v>39.617964999999998</v>
      </c>
      <c r="AK656" t="s">
        <v>577</v>
      </c>
      <c r="AL656">
        <v>-92.500741000000005</v>
      </c>
      <c r="AM656">
        <v>100</v>
      </c>
      <c r="AN656">
        <v>1700</v>
      </c>
      <c r="AO656" t="s">
        <v>118</v>
      </c>
      <c r="AP656">
        <v>-9</v>
      </c>
      <c r="AQ656">
        <v>138</v>
      </c>
      <c r="AR656">
        <v>-256</v>
      </c>
      <c r="AZ656">
        <v>1200</v>
      </c>
      <c r="BA656">
        <v>1</v>
      </c>
      <c r="BB656" t="str">
        <f t="shared" si="33"/>
        <v xml:space="preserve">N8080G  </v>
      </c>
      <c r="BC656">
        <v>1</v>
      </c>
      <c r="BE656">
        <v>0</v>
      </c>
      <c r="BF656">
        <v>0</v>
      </c>
      <c r="BG656">
        <v>0</v>
      </c>
      <c r="BH656">
        <v>1700</v>
      </c>
      <c r="BI656">
        <v>1</v>
      </c>
      <c r="BJ656">
        <v>1</v>
      </c>
      <c r="BK656">
        <v>1</v>
      </c>
      <c r="BL656">
        <v>0</v>
      </c>
      <c r="BO656">
        <v>0</v>
      </c>
      <c r="BP656">
        <v>0</v>
      </c>
      <c r="BW656" t="str">
        <f>"20:15:01.687"</f>
        <v>20:15:01.687</v>
      </c>
      <c r="BZ656">
        <v>0</v>
      </c>
      <c r="CA656">
        <v>2016</v>
      </c>
      <c r="CB656">
        <v>224</v>
      </c>
      <c r="CD656">
        <v>1</v>
      </c>
      <c r="CE656">
        <v>0</v>
      </c>
      <c r="CF656">
        <v>0</v>
      </c>
      <c r="CG656">
        <v>1</v>
      </c>
      <c r="CH656">
        <v>0</v>
      </c>
      <c r="CI656">
        <v>0</v>
      </c>
      <c r="CJ656">
        <v>0</v>
      </c>
      <c r="CK656">
        <v>2</v>
      </c>
      <c r="CL656">
        <v>0</v>
      </c>
      <c r="CM656">
        <v>2</v>
      </c>
      <c r="CN656">
        <v>0</v>
      </c>
      <c r="CO656">
        <v>4</v>
      </c>
      <c r="CP656" t="s">
        <v>119</v>
      </c>
      <c r="CQ656">
        <v>559</v>
      </c>
      <c r="CR656">
        <v>0</v>
      </c>
      <c r="CW656">
        <v>10420370</v>
      </c>
      <c r="CY656">
        <v>1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</row>
    <row r="657" spans="1:113" x14ac:dyDescent="0.3">
      <c r="A657" t="str">
        <f>"02/08/2021 20:14:59.335"</f>
        <v>02/08/2021 20:14:59.335</v>
      </c>
      <c r="C657" t="str">
        <f t="shared" si="32"/>
        <v>FFDFD7C0</v>
      </c>
      <c r="D657" t="s">
        <v>141</v>
      </c>
      <c r="E657">
        <v>17</v>
      </c>
      <c r="H657">
        <v>256</v>
      </c>
      <c r="I657" t="s">
        <v>142</v>
      </c>
      <c r="J657" t="s">
        <v>143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>"20:15:01.680"</f>
        <v>20:15:01.680</v>
      </c>
      <c r="T657" t="str">
        <f>"20:15:01.280"</f>
        <v>20:15:01.280</v>
      </c>
      <c r="U657" t="str">
        <f t="shared" si="31"/>
        <v>AB01F4</v>
      </c>
      <c r="V657">
        <v>0</v>
      </c>
      <c r="W657">
        <v>0</v>
      </c>
      <c r="X657">
        <v>1</v>
      </c>
      <c r="Z657">
        <v>0</v>
      </c>
      <c r="AA657">
        <v>9</v>
      </c>
      <c r="AB657">
        <v>3</v>
      </c>
      <c r="AC657">
        <v>0</v>
      </c>
      <c r="AD657">
        <v>10</v>
      </c>
      <c r="AE657">
        <v>0</v>
      </c>
      <c r="AF657">
        <v>3</v>
      </c>
      <c r="AG657">
        <v>2</v>
      </c>
      <c r="AH657">
        <v>0</v>
      </c>
      <c r="AI657" t="s">
        <v>576</v>
      </c>
      <c r="AJ657">
        <v>39.617964999999998</v>
      </c>
      <c r="AK657" t="s">
        <v>577</v>
      </c>
      <c r="AL657">
        <v>-92.500741000000005</v>
      </c>
      <c r="AM657">
        <v>100</v>
      </c>
      <c r="AN657">
        <v>1700</v>
      </c>
      <c r="AO657" t="s">
        <v>118</v>
      </c>
      <c r="AP657">
        <v>-9</v>
      </c>
      <c r="AQ657">
        <v>138</v>
      </c>
      <c r="AR657">
        <v>-256</v>
      </c>
      <c r="AZ657">
        <v>1200</v>
      </c>
      <c r="BA657">
        <v>1</v>
      </c>
      <c r="BB657" t="str">
        <f t="shared" si="33"/>
        <v xml:space="preserve">N8080G  </v>
      </c>
      <c r="BC657">
        <v>1</v>
      </c>
      <c r="BE657">
        <v>0</v>
      </c>
      <c r="BF657">
        <v>0</v>
      </c>
      <c r="BG657">
        <v>0</v>
      </c>
      <c r="BH657">
        <v>1700</v>
      </c>
      <c r="BI657">
        <v>1</v>
      </c>
      <c r="BJ657">
        <v>1</v>
      </c>
      <c r="BK657">
        <v>1</v>
      </c>
      <c r="BL657">
        <v>0</v>
      </c>
      <c r="BO657">
        <v>0</v>
      </c>
      <c r="BP657">
        <v>0</v>
      </c>
      <c r="BW657" t="str">
        <f>"20:15:01.687"</f>
        <v>20:15:01.687</v>
      </c>
      <c r="BZ657">
        <v>0</v>
      </c>
      <c r="CA657">
        <v>2016</v>
      </c>
      <c r="CB657">
        <v>224</v>
      </c>
      <c r="CD657">
        <v>1</v>
      </c>
      <c r="CE657">
        <v>0</v>
      </c>
      <c r="CF657">
        <v>0</v>
      </c>
      <c r="CG657">
        <v>1</v>
      </c>
      <c r="CH657">
        <v>0</v>
      </c>
      <c r="CI657">
        <v>0</v>
      </c>
      <c r="CJ657">
        <v>0</v>
      </c>
      <c r="CK657">
        <v>2</v>
      </c>
      <c r="CL657">
        <v>0</v>
      </c>
      <c r="CM657">
        <v>2</v>
      </c>
      <c r="CN657">
        <v>0</v>
      </c>
      <c r="CO657">
        <v>4</v>
      </c>
      <c r="CP657" t="s">
        <v>119</v>
      </c>
      <c r="CQ657">
        <v>559</v>
      </c>
      <c r="CR657">
        <v>0</v>
      </c>
      <c r="CW657">
        <v>10420370</v>
      </c>
      <c r="CY657">
        <v>1</v>
      </c>
      <c r="CZ657">
        <v>0</v>
      </c>
      <c r="DA657">
        <v>1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</row>
    <row r="658" spans="1:113" x14ac:dyDescent="0.3">
      <c r="A658" t="str">
        <f>"02/08/2021 20:14:59.335"</f>
        <v>02/08/2021 20:14:59.335</v>
      </c>
      <c r="C658" t="str">
        <f t="shared" si="32"/>
        <v>FFDFD7C0</v>
      </c>
      <c r="D658" t="s">
        <v>113</v>
      </c>
      <c r="E658">
        <v>6</v>
      </c>
      <c r="H658">
        <v>165</v>
      </c>
      <c r="I658" t="s">
        <v>114</v>
      </c>
      <c r="J658" t="s">
        <v>115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>"20:15:01.680"</f>
        <v>20:15:01.680</v>
      </c>
      <c r="T658" t="str">
        <f>"20:15:01.280"</f>
        <v>20:15:01.280</v>
      </c>
      <c r="U658" t="str">
        <f t="shared" si="31"/>
        <v>AB01F4</v>
      </c>
      <c r="V658">
        <v>0</v>
      </c>
      <c r="W658">
        <v>0</v>
      </c>
      <c r="X658">
        <v>1</v>
      </c>
      <c r="Z658">
        <v>0</v>
      </c>
      <c r="AA658">
        <v>9</v>
      </c>
      <c r="AB658">
        <v>3</v>
      </c>
      <c r="AC658">
        <v>0</v>
      </c>
      <c r="AD658">
        <v>10</v>
      </c>
      <c r="AE658">
        <v>0</v>
      </c>
      <c r="AF658">
        <v>3</v>
      </c>
      <c r="AG658">
        <v>2</v>
      </c>
      <c r="AH658">
        <v>0</v>
      </c>
      <c r="AI658" t="s">
        <v>576</v>
      </c>
      <c r="AJ658">
        <v>39.617964999999998</v>
      </c>
      <c r="AK658" t="s">
        <v>577</v>
      </c>
      <c r="AL658">
        <v>-92.500741000000005</v>
      </c>
      <c r="AM658">
        <v>100</v>
      </c>
      <c r="AN658">
        <v>1700</v>
      </c>
      <c r="AO658" t="s">
        <v>118</v>
      </c>
      <c r="AP658">
        <v>-9</v>
      </c>
      <c r="AQ658">
        <v>138</v>
      </c>
      <c r="AR658">
        <v>-256</v>
      </c>
      <c r="AZ658">
        <v>1200</v>
      </c>
      <c r="BA658">
        <v>1</v>
      </c>
      <c r="BB658" t="str">
        <f t="shared" si="33"/>
        <v xml:space="preserve">N8080G  </v>
      </c>
      <c r="BC658">
        <v>1</v>
      </c>
      <c r="BE658">
        <v>0</v>
      </c>
      <c r="BF658">
        <v>0</v>
      </c>
      <c r="BG658">
        <v>0</v>
      </c>
      <c r="BH658">
        <v>1700</v>
      </c>
      <c r="BI658">
        <v>1</v>
      </c>
      <c r="BJ658">
        <v>1</v>
      </c>
      <c r="BK658">
        <v>1</v>
      </c>
      <c r="BL658">
        <v>0</v>
      </c>
      <c r="BO658">
        <v>0</v>
      </c>
      <c r="BP658">
        <v>0</v>
      </c>
      <c r="BW658" t="str">
        <f>"20:15:01.687"</f>
        <v>20:15:01.687</v>
      </c>
      <c r="BZ658">
        <v>0</v>
      </c>
      <c r="CA658">
        <v>2016</v>
      </c>
      <c r="CB658">
        <v>224</v>
      </c>
      <c r="CD658">
        <v>1</v>
      </c>
      <c r="CE658">
        <v>0</v>
      </c>
      <c r="CF658">
        <v>0</v>
      </c>
      <c r="CG658">
        <v>1</v>
      </c>
      <c r="CH658">
        <v>0</v>
      </c>
      <c r="CI658">
        <v>0</v>
      </c>
      <c r="CJ658">
        <v>0</v>
      </c>
      <c r="CK658">
        <v>2</v>
      </c>
      <c r="CL658">
        <v>0</v>
      </c>
      <c r="CM658">
        <v>2</v>
      </c>
      <c r="CN658">
        <v>0</v>
      </c>
      <c r="CO658">
        <v>4</v>
      </c>
      <c r="CP658" t="s">
        <v>119</v>
      </c>
      <c r="CQ658">
        <v>559</v>
      </c>
      <c r="CR658">
        <v>0</v>
      </c>
      <c r="CW658">
        <v>10420370</v>
      </c>
      <c r="CY658">
        <v>1</v>
      </c>
      <c r="CZ658">
        <v>0</v>
      </c>
      <c r="DA658">
        <v>1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</row>
    <row r="659" spans="1:113" x14ac:dyDescent="0.3">
      <c r="A659" t="str">
        <f>"02/08/2021 20:15:00.517"</f>
        <v>02/08/2021 20:15:00.517</v>
      </c>
      <c r="C659" t="str">
        <f t="shared" si="32"/>
        <v>FFDFD7C0</v>
      </c>
      <c r="D659" t="s">
        <v>113</v>
      </c>
      <c r="E659">
        <v>6</v>
      </c>
      <c r="H659">
        <v>165</v>
      </c>
      <c r="I659" t="s">
        <v>114</v>
      </c>
      <c r="J659" t="s">
        <v>115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>"20:15:02.820"</f>
        <v>20:15:02.820</v>
      </c>
      <c r="T659" t="str">
        <f>"20:15:02.320"</f>
        <v>20:15:02.320</v>
      </c>
      <c r="U659" t="str">
        <f t="shared" si="31"/>
        <v>AB01F4</v>
      </c>
      <c r="V659">
        <v>0</v>
      </c>
      <c r="W659">
        <v>0</v>
      </c>
      <c r="X659">
        <v>1</v>
      </c>
      <c r="Z659">
        <v>0</v>
      </c>
      <c r="AA659">
        <v>9</v>
      </c>
      <c r="AB659">
        <v>3</v>
      </c>
      <c r="AC659">
        <v>0</v>
      </c>
      <c r="AD659">
        <v>10</v>
      </c>
      <c r="AE659">
        <v>0</v>
      </c>
      <c r="AF659">
        <v>3</v>
      </c>
      <c r="AG659">
        <v>2</v>
      </c>
      <c r="AH659">
        <v>0</v>
      </c>
      <c r="AI659" t="s">
        <v>578</v>
      </c>
      <c r="AJ659">
        <v>39.618695000000002</v>
      </c>
      <c r="AK659" t="s">
        <v>579</v>
      </c>
      <c r="AL659">
        <v>-92.500783999999996</v>
      </c>
      <c r="AM659">
        <v>100</v>
      </c>
      <c r="AN659">
        <v>1700</v>
      </c>
      <c r="AO659" t="s">
        <v>118</v>
      </c>
      <c r="AP659">
        <v>-10</v>
      </c>
      <c r="AQ659">
        <v>138</v>
      </c>
      <c r="AR659">
        <v>-256</v>
      </c>
      <c r="AZ659">
        <v>1200</v>
      </c>
      <c r="BA659">
        <v>1</v>
      </c>
      <c r="BB659" t="str">
        <f t="shared" si="33"/>
        <v xml:space="preserve">N8080G  </v>
      </c>
      <c r="BC659">
        <v>1</v>
      </c>
      <c r="BE659">
        <v>0</v>
      </c>
      <c r="BF659">
        <v>0</v>
      </c>
      <c r="BG659">
        <v>0</v>
      </c>
      <c r="BH659">
        <v>1700</v>
      </c>
      <c r="BI659">
        <v>1</v>
      </c>
      <c r="BJ659">
        <v>1</v>
      </c>
      <c r="BK659">
        <v>1</v>
      </c>
      <c r="BL659">
        <v>0</v>
      </c>
      <c r="BO659">
        <v>0</v>
      </c>
      <c r="BP659">
        <v>0</v>
      </c>
      <c r="BW659" t="str">
        <f>"20:15:02.826"</f>
        <v>20:15:02.826</v>
      </c>
      <c r="BZ659">
        <v>0</v>
      </c>
      <c r="CA659">
        <v>2016</v>
      </c>
      <c r="CB659">
        <v>224</v>
      </c>
      <c r="CD659">
        <v>1</v>
      </c>
      <c r="CE659">
        <v>0</v>
      </c>
      <c r="CF659">
        <v>0</v>
      </c>
      <c r="CG659">
        <v>1</v>
      </c>
      <c r="CH659">
        <v>0</v>
      </c>
      <c r="CI659">
        <v>0</v>
      </c>
      <c r="CJ659">
        <v>0</v>
      </c>
      <c r="CK659">
        <v>2</v>
      </c>
      <c r="CL659">
        <v>0</v>
      </c>
      <c r="CM659">
        <v>2</v>
      </c>
      <c r="CN659">
        <v>0</v>
      </c>
      <c r="CO659">
        <v>6</v>
      </c>
      <c r="CP659" t="s">
        <v>119</v>
      </c>
      <c r="CQ659">
        <v>180</v>
      </c>
      <c r="CR659">
        <v>2</v>
      </c>
      <c r="CW659">
        <v>7918451</v>
      </c>
      <c r="CY659">
        <v>1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</row>
    <row r="660" spans="1:113" x14ac:dyDescent="0.3">
      <c r="A660" t="str">
        <f>"02/08/2021 20:15:00.517"</f>
        <v>02/08/2021 20:15:00.517</v>
      </c>
      <c r="C660" t="str">
        <f t="shared" si="32"/>
        <v>FFDFD7C0</v>
      </c>
      <c r="D660" t="s">
        <v>124</v>
      </c>
      <c r="E660">
        <v>13</v>
      </c>
      <c r="F660">
        <v>1013</v>
      </c>
      <c r="G660" t="s">
        <v>114</v>
      </c>
      <c r="J660" t="s">
        <v>125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>"20:15:02.820"</f>
        <v>20:15:02.820</v>
      </c>
      <c r="T660" t="str">
        <f>"20:15:02.320"</f>
        <v>20:15:02.320</v>
      </c>
      <c r="U660" t="str">
        <f t="shared" si="31"/>
        <v>AB01F4</v>
      </c>
      <c r="V660">
        <v>0</v>
      </c>
      <c r="W660">
        <v>0</v>
      </c>
      <c r="X660">
        <v>1</v>
      </c>
      <c r="Z660">
        <v>0</v>
      </c>
      <c r="AA660">
        <v>9</v>
      </c>
      <c r="AB660">
        <v>3</v>
      </c>
      <c r="AC660">
        <v>0</v>
      </c>
      <c r="AD660">
        <v>10</v>
      </c>
      <c r="AE660">
        <v>0</v>
      </c>
      <c r="AF660">
        <v>3</v>
      </c>
      <c r="AG660">
        <v>2</v>
      </c>
      <c r="AH660">
        <v>0</v>
      </c>
      <c r="AI660" t="s">
        <v>578</v>
      </c>
      <c r="AJ660">
        <v>39.618695000000002</v>
      </c>
      <c r="AK660" t="s">
        <v>579</v>
      </c>
      <c r="AL660">
        <v>-92.500783999999996</v>
      </c>
      <c r="AM660">
        <v>100</v>
      </c>
      <c r="AN660">
        <v>1700</v>
      </c>
      <c r="AO660" t="s">
        <v>118</v>
      </c>
      <c r="AP660">
        <v>-10</v>
      </c>
      <c r="AQ660">
        <v>138</v>
      </c>
      <c r="AR660">
        <v>-256</v>
      </c>
      <c r="AZ660">
        <v>1200</v>
      </c>
      <c r="BA660">
        <v>1</v>
      </c>
      <c r="BB660" t="str">
        <f t="shared" si="33"/>
        <v xml:space="preserve">N8080G  </v>
      </c>
      <c r="BC660">
        <v>1</v>
      </c>
      <c r="BE660">
        <v>0</v>
      </c>
      <c r="BF660">
        <v>0</v>
      </c>
      <c r="BG660">
        <v>0</v>
      </c>
      <c r="BH660">
        <v>1700</v>
      </c>
      <c r="BI660">
        <v>1</v>
      </c>
      <c r="BJ660">
        <v>1</v>
      </c>
      <c r="BK660">
        <v>1</v>
      </c>
      <c r="BL660">
        <v>0</v>
      </c>
      <c r="BO660">
        <v>0</v>
      </c>
      <c r="BP660">
        <v>0</v>
      </c>
      <c r="BW660" t="str">
        <f>"20:15:02.826"</f>
        <v>20:15:02.826</v>
      </c>
      <c r="BZ660">
        <v>0</v>
      </c>
      <c r="CA660">
        <v>2016</v>
      </c>
      <c r="CB660">
        <v>224</v>
      </c>
      <c r="CD660">
        <v>1</v>
      </c>
      <c r="CE660">
        <v>0</v>
      </c>
      <c r="CF660">
        <v>0</v>
      </c>
      <c r="CG660">
        <v>1</v>
      </c>
      <c r="CH660">
        <v>0</v>
      </c>
      <c r="CI660">
        <v>0</v>
      </c>
      <c r="CJ660">
        <v>0</v>
      </c>
      <c r="CK660">
        <v>2</v>
      </c>
      <c r="CL660">
        <v>0</v>
      </c>
      <c r="CM660">
        <v>2</v>
      </c>
      <c r="CN660">
        <v>0</v>
      </c>
      <c r="CO660">
        <v>6</v>
      </c>
      <c r="CP660" t="s">
        <v>119</v>
      </c>
      <c r="CQ660">
        <v>180</v>
      </c>
      <c r="CR660">
        <v>2</v>
      </c>
      <c r="CW660">
        <v>7918451</v>
      </c>
      <c r="CY660">
        <v>1</v>
      </c>
      <c r="CZ660">
        <v>0</v>
      </c>
      <c r="DA660">
        <v>1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</row>
    <row r="661" spans="1:113" x14ac:dyDescent="0.3">
      <c r="A661" t="str">
        <f>"02/08/2021 20:15:00.517"</f>
        <v>02/08/2021 20:15:00.517</v>
      </c>
      <c r="C661" t="str">
        <f t="shared" si="32"/>
        <v>FFDFD7C0</v>
      </c>
      <c r="D661" t="s">
        <v>141</v>
      </c>
      <c r="E661">
        <v>17</v>
      </c>
      <c r="H661">
        <v>256</v>
      </c>
      <c r="I661" t="s">
        <v>142</v>
      </c>
      <c r="J661" t="s">
        <v>143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>"20:15:02.820"</f>
        <v>20:15:02.820</v>
      </c>
      <c r="T661" t="str">
        <f>"20:15:02.320"</f>
        <v>20:15:02.320</v>
      </c>
      <c r="U661" t="str">
        <f t="shared" si="31"/>
        <v>AB01F4</v>
      </c>
      <c r="V661">
        <v>0</v>
      </c>
      <c r="W661">
        <v>0</v>
      </c>
      <c r="X661">
        <v>1</v>
      </c>
      <c r="Z661">
        <v>0</v>
      </c>
      <c r="AA661">
        <v>9</v>
      </c>
      <c r="AB661">
        <v>3</v>
      </c>
      <c r="AC661">
        <v>0</v>
      </c>
      <c r="AD661">
        <v>10</v>
      </c>
      <c r="AE661">
        <v>0</v>
      </c>
      <c r="AF661">
        <v>3</v>
      </c>
      <c r="AG661">
        <v>2</v>
      </c>
      <c r="AH661">
        <v>0</v>
      </c>
      <c r="AI661" t="s">
        <v>578</v>
      </c>
      <c r="AJ661">
        <v>39.618695000000002</v>
      </c>
      <c r="AK661" t="s">
        <v>579</v>
      </c>
      <c r="AL661">
        <v>-92.500783999999996</v>
      </c>
      <c r="AM661">
        <v>100</v>
      </c>
      <c r="AN661">
        <v>1700</v>
      </c>
      <c r="AO661" t="s">
        <v>118</v>
      </c>
      <c r="AP661">
        <v>-10</v>
      </c>
      <c r="AQ661">
        <v>138</v>
      </c>
      <c r="AR661">
        <v>-256</v>
      </c>
      <c r="AZ661">
        <v>1200</v>
      </c>
      <c r="BA661">
        <v>1</v>
      </c>
      <c r="BB661" t="str">
        <f t="shared" si="33"/>
        <v xml:space="preserve">N8080G  </v>
      </c>
      <c r="BC661">
        <v>1</v>
      </c>
      <c r="BE661">
        <v>0</v>
      </c>
      <c r="BF661">
        <v>0</v>
      </c>
      <c r="BG661">
        <v>0</v>
      </c>
      <c r="BH661">
        <v>1700</v>
      </c>
      <c r="BI661">
        <v>1</v>
      </c>
      <c r="BJ661">
        <v>1</v>
      </c>
      <c r="BK661">
        <v>1</v>
      </c>
      <c r="BL661">
        <v>0</v>
      </c>
      <c r="BO661">
        <v>0</v>
      </c>
      <c r="BP661">
        <v>0</v>
      </c>
      <c r="BW661" t="str">
        <f>"20:15:02.826"</f>
        <v>20:15:02.826</v>
      </c>
      <c r="BZ661">
        <v>0</v>
      </c>
      <c r="CA661">
        <v>2016</v>
      </c>
      <c r="CB661">
        <v>224</v>
      </c>
      <c r="CD661">
        <v>1</v>
      </c>
      <c r="CE661">
        <v>0</v>
      </c>
      <c r="CF661">
        <v>0</v>
      </c>
      <c r="CG661">
        <v>1</v>
      </c>
      <c r="CH661">
        <v>0</v>
      </c>
      <c r="CI661">
        <v>0</v>
      </c>
      <c r="CJ661">
        <v>0</v>
      </c>
      <c r="CK661">
        <v>2</v>
      </c>
      <c r="CL661">
        <v>0</v>
      </c>
      <c r="CM661">
        <v>2</v>
      </c>
      <c r="CN661">
        <v>0</v>
      </c>
      <c r="CO661">
        <v>5</v>
      </c>
      <c r="CP661" t="s">
        <v>119</v>
      </c>
      <c r="CQ661">
        <v>559</v>
      </c>
      <c r="CR661">
        <v>0</v>
      </c>
      <c r="CW661">
        <v>10420549</v>
      </c>
      <c r="CY661">
        <v>1</v>
      </c>
      <c r="CZ661">
        <v>0</v>
      </c>
      <c r="DA661">
        <v>1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</row>
    <row r="662" spans="1:113" x14ac:dyDescent="0.3">
      <c r="A662" t="str">
        <f>"02/08/2021 20:15:04.206"</f>
        <v>02/08/2021 20:15:04.206</v>
      </c>
      <c r="C662" t="str">
        <f t="shared" si="32"/>
        <v>FFDFD7C0</v>
      </c>
      <c r="D662" t="s">
        <v>113</v>
      </c>
      <c r="E662">
        <v>6</v>
      </c>
      <c r="H662">
        <v>165</v>
      </c>
      <c r="I662" t="s">
        <v>114</v>
      </c>
      <c r="J662" t="s">
        <v>115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>"20:15:06.547"</f>
        <v>20:15:06.547</v>
      </c>
      <c r="T662" t="str">
        <f>"20:15:06.047"</f>
        <v>20:15:06.047</v>
      </c>
      <c r="U662" t="str">
        <f t="shared" si="31"/>
        <v>AB01F4</v>
      </c>
      <c r="V662">
        <v>0</v>
      </c>
      <c r="W662">
        <v>0</v>
      </c>
      <c r="X662">
        <v>1</v>
      </c>
      <c r="Z662">
        <v>0</v>
      </c>
      <c r="AA662">
        <v>9</v>
      </c>
      <c r="AB662">
        <v>3</v>
      </c>
      <c r="AC662">
        <v>0</v>
      </c>
      <c r="AD662">
        <v>10</v>
      </c>
      <c r="AE662">
        <v>0</v>
      </c>
      <c r="AF662">
        <v>3</v>
      </c>
      <c r="AG662">
        <v>2</v>
      </c>
      <c r="AH662">
        <v>0</v>
      </c>
      <c r="AI662" t="s">
        <v>580</v>
      </c>
      <c r="AJ662">
        <v>39.621098000000003</v>
      </c>
      <c r="AK662" t="s">
        <v>581</v>
      </c>
      <c r="AL662">
        <v>-92.501063000000002</v>
      </c>
      <c r="AM662">
        <v>100</v>
      </c>
      <c r="AN662">
        <v>1700</v>
      </c>
      <c r="AO662" t="s">
        <v>118</v>
      </c>
      <c r="AP662">
        <v>-12</v>
      </c>
      <c r="AQ662">
        <v>138</v>
      </c>
      <c r="AR662">
        <v>-192</v>
      </c>
      <c r="AZ662">
        <v>1200</v>
      </c>
      <c r="BA662">
        <v>1</v>
      </c>
      <c r="BB662" t="str">
        <f t="shared" si="33"/>
        <v xml:space="preserve">N8080G  </v>
      </c>
      <c r="BC662">
        <v>1</v>
      </c>
      <c r="BE662">
        <v>0</v>
      </c>
      <c r="BF662">
        <v>0</v>
      </c>
      <c r="BG662">
        <v>0</v>
      </c>
      <c r="BH662">
        <v>1675</v>
      </c>
      <c r="BI662">
        <v>1</v>
      </c>
      <c r="BJ662">
        <v>1</v>
      </c>
      <c r="BK662">
        <v>1</v>
      </c>
      <c r="BL662">
        <v>0</v>
      </c>
      <c r="BO662">
        <v>0</v>
      </c>
      <c r="BP662">
        <v>0</v>
      </c>
      <c r="BW662" t="str">
        <f>"20:15:06.548"</f>
        <v>20:15:06.548</v>
      </c>
      <c r="BZ662">
        <v>0</v>
      </c>
      <c r="CA662">
        <v>2016</v>
      </c>
      <c r="CB662">
        <v>224</v>
      </c>
      <c r="CD662">
        <v>1</v>
      </c>
      <c r="CE662">
        <v>0</v>
      </c>
      <c r="CF662">
        <v>0</v>
      </c>
      <c r="CG662">
        <v>1</v>
      </c>
      <c r="CH662">
        <v>0</v>
      </c>
      <c r="CI662">
        <v>0</v>
      </c>
      <c r="CJ662">
        <v>0</v>
      </c>
      <c r="CK662">
        <v>2</v>
      </c>
      <c r="CL662">
        <v>0</v>
      </c>
      <c r="CM662">
        <v>2</v>
      </c>
      <c r="CN662">
        <v>0</v>
      </c>
      <c r="CO662">
        <v>6</v>
      </c>
      <c r="CP662" t="s">
        <v>119</v>
      </c>
      <c r="CQ662">
        <v>180</v>
      </c>
      <c r="CR662">
        <v>1</v>
      </c>
      <c r="CW662">
        <v>10465410</v>
      </c>
      <c r="CY662">
        <v>1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</row>
    <row r="663" spans="1:113" x14ac:dyDescent="0.3">
      <c r="A663" t="str">
        <f>"02/08/2021 20:15:04.206"</f>
        <v>02/08/2021 20:15:04.206</v>
      </c>
      <c r="C663" t="str">
        <f t="shared" si="32"/>
        <v>FFDFD7C0</v>
      </c>
      <c r="D663" t="s">
        <v>124</v>
      </c>
      <c r="E663">
        <v>13</v>
      </c>
      <c r="F663">
        <v>1013</v>
      </c>
      <c r="G663" t="s">
        <v>114</v>
      </c>
      <c r="J663" t="s">
        <v>125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>"20:15:06.547"</f>
        <v>20:15:06.547</v>
      </c>
      <c r="T663" t="str">
        <f>"20:15:06.047"</f>
        <v>20:15:06.047</v>
      </c>
      <c r="U663" t="str">
        <f t="shared" si="31"/>
        <v>AB01F4</v>
      </c>
      <c r="V663">
        <v>0</v>
      </c>
      <c r="W663">
        <v>0</v>
      </c>
      <c r="X663">
        <v>1</v>
      </c>
      <c r="Z663">
        <v>0</v>
      </c>
      <c r="AA663">
        <v>9</v>
      </c>
      <c r="AB663">
        <v>3</v>
      </c>
      <c r="AC663">
        <v>0</v>
      </c>
      <c r="AD663">
        <v>10</v>
      </c>
      <c r="AE663">
        <v>0</v>
      </c>
      <c r="AF663">
        <v>3</v>
      </c>
      <c r="AG663">
        <v>2</v>
      </c>
      <c r="AH663">
        <v>0</v>
      </c>
      <c r="AI663" t="s">
        <v>580</v>
      </c>
      <c r="AJ663">
        <v>39.621098000000003</v>
      </c>
      <c r="AK663" t="s">
        <v>581</v>
      </c>
      <c r="AL663">
        <v>-92.501063000000002</v>
      </c>
      <c r="AM663">
        <v>100</v>
      </c>
      <c r="AN663">
        <v>1700</v>
      </c>
      <c r="AO663" t="s">
        <v>118</v>
      </c>
      <c r="AP663">
        <v>-12</v>
      </c>
      <c r="AQ663">
        <v>138</v>
      </c>
      <c r="AR663">
        <v>-192</v>
      </c>
      <c r="AZ663">
        <v>1200</v>
      </c>
      <c r="BA663">
        <v>1</v>
      </c>
      <c r="BB663" t="str">
        <f t="shared" si="33"/>
        <v xml:space="preserve">N8080G  </v>
      </c>
      <c r="BC663">
        <v>1</v>
      </c>
      <c r="BE663">
        <v>0</v>
      </c>
      <c r="BF663">
        <v>0</v>
      </c>
      <c r="BG663">
        <v>0</v>
      </c>
      <c r="BH663">
        <v>1675</v>
      </c>
      <c r="BI663">
        <v>1</v>
      </c>
      <c r="BJ663">
        <v>1</v>
      </c>
      <c r="BK663">
        <v>1</v>
      </c>
      <c r="BL663">
        <v>0</v>
      </c>
      <c r="BO663">
        <v>0</v>
      </c>
      <c r="BP663">
        <v>0</v>
      </c>
      <c r="BW663" t="str">
        <f>"20:15:06.548"</f>
        <v>20:15:06.548</v>
      </c>
      <c r="BZ663">
        <v>0</v>
      </c>
      <c r="CA663">
        <v>2016</v>
      </c>
      <c r="CB663">
        <v>224</v>
      </c>
      <c r="CD663">
        <v>1</v>
      </c>
      <c r="CE663">
        <v>0</v>
      </c>
      <c r="CF663">
        <v>0</v>
      </c>
      <c r="CG663">
        <v>1</v>
      </c>
      <c r="CH663">
        <v>0</v>
      </c>
      <c r="CI663">
        <v>0</v>
      </c>
      <c r="CJ663">
        <v>0</v>
      </c>
      <c r="CK663">
        <v>2</v>
      </c>
      <c r="CL663">
        <v>0</v>
      </c>
      <c r="CM663">
        <v>2</v>
      </c>
      <c r="CN663">
        <v>0</v>
      </c>
      <c r="CO663">
        <v>6</v>
      </c>
      <c r="CP663" t="s">
        <v>119</v>
      </c>
      <c r="CQ663">
        <v>180</v>
      </c>
      <c r="CR663">
        <v>1</v>
      </c>
      <c r="CW663">
        <v>10465410</v>
      </c>
      <c r="CY663">
        <v>1</v>
      </c>
      <c r="CZ663">
        <v>0</v>
      </c>
      <c r="DA663">
        <v>1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</row>
    <row r="664" spans="1:113" x14ac:dyDescent="0.3">
      <c r="A664" t="str">
        <f>"02/08/2021 20:15:04.206"</f>
        <v>02/08/2021 20:15:04.206</v>
      </c>
      <c r="C664" t="str">
        <f t="shared" si="32"/>
        <v>FFDFD7C0</v>
      </c>
      <c r="D664" t="s">
        <v>141</v>
      </c>
      <c r="E664">
        <v>17</v>
      </c>
      <c r="H664">
        <v>256</v>
      </c>
      <c r="I664" t="s">
        <v>142</v>
      </c>
      <c r="J664" t="s">
        <v>143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>"20:15:06.547"</f>
        <v>20:15:06.547</v>
      </c>
      <c r="T664" t="str">
        <f>"20:15:06.047"</f>
        <v>20:15:06.047</v>
      </c>
      <c r="U664" t="str">
        <f t="shared" si="31"/>
        <v>AB01F4</v>
      </c>
      <c r="V664">
        <v>0</v>
      </c>
      <c r="W664">
        <v>0</v>
      </c>
      <c r="X664">
        <v>1</v>
      </c>
      <c r="Z664">
        <v>0</v>
      </c>
      <c r="AA664">
        <v>9</v>
      </c>
      <c r="AB664">
        <v>3</v>
      </c>
      <c r="AC664">
        <v>0</v>
      </c>
      <c r="AD664">
        <v>10</v>
      </c>
      <c r="AE664">
        <v>0</v>
      </c>
      <c r="AF664">
        <v>3</v>
      </c>
      <c r="AG664">
        <v>2</v>
      </c>
      <c r="AH664">
        <v>0</v>
      </c>
      <c r="AI664" t="s">
        <v>580</v>
      </c>
      <c r="AJ664">
        <v>39.621098000000003</v>
      </c>
      <c r="AK664" t="s">
        <v>581</v>
      </c>
      <c r="AL664">
        <v>-92.501063000000002</v>
      </c>
      <c r="AM664">
        <v>100</v>
      </c>
      <c r="AN664">
        <v>1700</v>
      </c>
      <c r="AO664" t="s">
        <v>118</v>
      </c>
      <c r="AP664">
        <v>-12</v>
      </c>
      <c r="AQ664">
        <v>138</v>
      </c>
      <c r="AR664">
        <v>-192</v>
      </c>
      <c r="AZ664">
        <v>1200</v>
      </c>
      <c r="BA664">
        <v>1</v>
      </c>
      <c r="BB664" t="str">
        <f t="shared" si="33"/>
        <v xml:space="preserve">N8080G  </v>
      </c>
      <c r="BC664">
        <v>1</v>
      </c>
      <c r="BE664">
        <v>0</v>
      </c>
      <c r="BF664">
        <v>0</v>
      </c>
      <c r="BG664">
        <v>0</v>
      </c>
      <c r="BH664">
        <v>1675</v>
      </c>
      <c r="BI664">
        <v>1</v>
      </c>
      <c r="BJ664">
        <v>1</v>
      </c>
      <c r="BK664">
        <v>1</v>
      </c>
      <c r="BL664">
        <v>0</v>
      </c>
      <c r="BO664">
        <v>0</v>
      </c>
      <c r="BP664">
        <v>0</v>
      </c>
      <c r="BW664" t="str">
        <f>"20:15:06.549"</f>
        <v>20:15:06.549</v>
      </c>
      <c r="BZ664">
        <v>0</v>
      </c>
      <c r="CA664">
        <v>2016</v>
      </c>
      <c r="CB664">
        <v>224</v>
      </c>
      <c r="CD664">
        <v>1</v>
      </c>
      <c r="CE664">
        <v>0</v>
      </c>
      <c r="CF664">
        <v>0</v>
      </c>
      <c r="CG664">
        <v>1</v>
      </c>
      <c r="CH664">
        <v>0</v>
      </c>
      <c r="CI664">
        <v>0</v>
      </c>
      <c r="CJ664">
        <v>0</v>
      </c>
      <c r="CK664">
        <v>2</v>
      </c>
      <c r="CL664">
        <v>0</v>
      </c>
      <c r="CM664">
        <v>2</v>
      </c>
      <c r="CN664">
        <v>0</v>
      </c>
      <c r="CO664">
        <v>4</v>
      </c>
      <c r="CP664" t="s">
        <v>119</v>
      </c>
      <c r="CQ664">
        <v>559</v>
      </c>
      <c r="CR664">
        <v>0</v>
      </c>
      <c r="CW664">
        <v>10421142</v>
      </c>
      <c r="CY664">
        <v>1</v>
      </c>
      <c r="CZ664">
        <v>0</v>
      </c>
      <c r="DA664">
        <v>1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</row>
    <row r="665" spans="1:113" x14ac:dyDescent="0.3">
      <c r="A665" t="str">
        <f>"02/08/2021 20:15:05.266"</f>
        <v>02/08/2021 20:15:05.266</v>
      </c>
      <c r="C665" t="str">
        <f t="shared" si="32"/>
        <v>FFDFD7C0</v>
      </c>
      <c r="D665" t="s">
        <v>113</v>
      </c>
      <c r="E665">
        <v>6</v>
      </c>
      <c r="H665">
        <v>165</v>
      </c>
      <c r="I665" t="s">
        <v>114</v>
      </c>
      <c r="J665" t="s">
        <v>115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>"20:15:07.617"</f>
        <v>20:15:07.617</v>
      </c>
      <c r="T665" t="str">
        <f>"20:15:06.617"</f>
        <v>20:15:06.617</v>
      </c>
      <c r="U665" t="str">
        <f t="shared" si="31"/>
        <v>AB01F4</v>
      </c>
      <c r="V665">
        <v>0</v>
      </c>
      <c r="W665">
        <v>0</v>
      </c>
      <c r="X665">
        <v>1</v>
      </c>
      <c r="Z665">
        <v>0</v>
      </c>
      <c r="AA665">
        <v>9</v>
      </c>
      <c r="AB665">
        <v>3</v>
      </c>
      <c r="AC665">
        <v>0</v>
      </c>
      <c r="AD665">
        <v>10</v>
      </c>
      <c r="AE665">
        <v>0</v>
      </c>
      <c r="AF665">
        <v>3</v>
      </c>
      <c r="AG665">
        <v>2</v>
      </c>
      <c r="AH665">
        <v>0</v>
      </c>
      <c r="AI665" t="s">
        <v>582</v>
      </c>
      <c r="AJ665">
        <v>39.621763000000001</v>
      </c>
      <c r="AK665" t="s">
        <v>583</v>
      </c>
      <c r="AL665">
        <v>-92.501148999999998</v>
      </c>
      <c r="AM665">
        <v>100</v>
      </c>
      <c r="AN665">
        <v>1700</v>
      </c>
      <c r="AO665" t="s">
        <v>118</v>
      </c>
      <c r="AP665">
        <v>-12</v>
      </c>
      <c r="AQ665">
        <v>138</v>
      </c>
      <c r="AR665">
        <v>-192</v>
      </c>
      <c r="AZ665">
        <v>1200</v>
      </c>
      <c r="BA665">
        <v>1</v>
      </c>
      <c r="BB665" t="str">
        <f t="shared" si="33"/>
        <v xml:space="preserve">N8080G  </v>
      </c>
      <c r="BC665">
        <v>1</v>
      </c>
      <c r="BE665">
        <v>0</v>
      </c>
      <c r="BF665">
        <v>0</v>
      </c>
      <c r="BG665">
        <v>0</v>
      </c>
      <c r="BH665">
        <v>1675</v>
      </c>
      <c r="BI665">
        <v>1</v>
      </c>
      <c r="BJ665">
        <v>1</v>
      </c>
      <c r="BK665">
        <v>1</v>
      </c>
      <c r="BL665">
        <v>0</v>
      </c>
      <c r="BO665">
        <v>0</v>
      </c>
      <c r="BP665">
        <v>0</v>
      </c>
      <c r="BW665" t="str">
        <f>"20:15:07.623"</f>
        <v>20:15:07.623</v>
      </c>
      <c r="BZ665">
        <v>0</v>
      </c>
      <c r="CA665">
        <v>2016</v>
      </c>
      <c r="CB665">
        <v>224</v>
      </c>
      <c r="CD665">
        <v>1</v>
      </c>
      <c r="CE665">
        <v>0</v>
      </c>
      <c r="CF665">
        <v>0</v>
      </c>
      <c r="CG665">
        <v>1</v>
      </c>
      <c r="CH665">
        <v>0</v>
      </c>
      <c r="CI665">
        <v>0</v>
      </c>
      <c r="CJ665">
        <v>0</v>
      </c>
      <c r="CK665">
        <v>2</v>
      </c>
      <c r="CL665">
        <v>0</v>
      </c>
      <c r="CM665">
        <v>2</v>
      </c>
      <c r="CN665">
        <v>0</v>
      </c>
      <c r="CO665">
        <v>4</v>
      </c>
      <c r="CP665" t="s">
        <v>119</v>
      </c>
      <c r="CQ665">
        <v>559</v>
      </c>
      <c r="CR665">
        <v>0</v>
      </c>
      <c r="CW665">
        <v>10421316</v>
      </c>
      <c r="CY665">
        <v>1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</row>
    <row r="666" spans="1:113" x14ac:dyDescent="0.3">
      <c r="A666" t="str">
        <f>"02/08/2021 20:15:05.266"</f>
        <v>02/08/2021 20:15:05.266</v>
      </c>
      <c r="C666" t="str">
        <f t="shared" si="32"/>
        <v>FFDFD7C0</v>
      </c>
      <c r="D666" t="s">
        <v>124</v>
      </c>
      <c r="E666">
        <v>13</v>
      </c>
      <c r="F666">
        <v>1013</v>
      </c>
      <c r="G666" t="s">
        <v>114</v>
      </c>
      <c r="J666" t="s">
        <v>125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>"20:15:07.617"</f>
        <v>20:15:07.617</v>
      </c>
      <c r="T666" t="str">
        <f>"20:15:06.617"</f>
        <v>20:15:06.617</v>
      </c>
      <c r="U666" t="str">
        <f t="shared" si="31"/>
        <v>AB01F4</v>
      </c>
      <c r="V666">
        <v>0</v>
      </c>
      <c r="W666">
        <v>0</v>
      </c>
      <c r="X666">
        <v>1</v>
      </c>
      <c r="Z666">
        <v>0</v>
      </c>
      <c r="AA666">
        <v>9</v>
      </c>
      <c r="AB666">
        <v>3</v>
      </c>
      <c r="AC666">
        <v>0</v>
      </c>
      <c r="AD666">
        <v>10</v>
      </c>
      <c r="AE666">
        <v>0</v>
      </c>
      <c r="AF666">
        <v>3</v>
      </c>
      <c r="AG666">
        <v>2</v>
      </c>
      <c r="AH666">
        <v>0</v>
      </c>
      <c r="AI666" t="s">
        <v>582</v>
      </c>
      <c r="AJ666">
        <v>39.621763000000001</v>
      </c>
      <c r="AK666" t="s">
        <v>583</v>
      </c>
      <c r="AL666">
        <v>-92.501148999999998</v>
      </c>
      <c r="AM666">
        <v>100</v>
      </c>
      <c r="AN666">
        <v>1700</v>
      </c>
      <c r="AO666" t="s">
        <v>118</v>
      </c>
      <c r="AP666">
        <v>-12</v>
      </c>
      <c r="AQ666">
        <v>138</v>
      </c>
      <c r="AR666">
        <v>-192</v>
      </c>
      <c r="AZ666">
        <v>1200</v>
      </c>
      <c r="BA666">
        <v>1</v>
      </c>
      <c r="BB666" t="str">
        <f t="shared" si="33"/>
        <v xml:space="preserve">N8080G  </v>
      </c>
      <c r="BC666">
        <v>1</v>
      </c>
      <c r="BE666">
        <v>0</v>
      </c>
      <c r="BF666">
        <v>0</v>
      </c>
      <c r="BG666">
        <v>0</v>
      </c>
      <c r="BH666">
        <v>1675</v>
      </c>
      <c r="BI666">
        <v>1</v>
      </c>
      <c r="BJ666">
        <v>1</v>
      </c>
      <c r="BK666">
        <v>1</v>
      </c>
      <c r="BL666">
        <v>0</v>
      </c>
      <c r="BO666">
        <v>0</v>
      </c>
      <c r="BP666">
        <v>0</v>
      </c>
      <c r="BW666" t="str">
        <f>"20:15:07.623"</f>
        <v>20:15:07.623</v>
      </c>
      <c r="BZ666">
        <v>0</v>
      </c>
      <c r="CA666">
        <v>2016</v>
      </c>
      <c r="CB666">
        <v>224</v>
      </c>
      <c r="CD666">
        <v>1</v>
      </c>
      <c r="CE666">
        <v>0</v>
      </c>
      <c r="CF666">
        <v>0</v>
      </c>
      <c r="CG666">
        <v>1</v>
      </c>
      <c r="CH666">
        <v>0</v>
      </c>
      <c r="CI666">
        <v>0</v>
      </c>
      <c r="CJ666">
        <v>0</v>
      </c>
      <c r="CK666">
        <v>2</v>
      </c>
      <c r="CL666">
        <v>0</v>
      </c>
      <c r="CM666">
        <v>2</v>
      </c>
      <c r="CN666">
        <v>0</v>
      </c>
      <c r="CO666">
        <v>4</v>
      </c>
      <c r="CP666" t="s">
        <v>119</v>
      </c>
      <c r="CQ666">
        <v>559</v>
      </c>
      <c r="CR666">
        <v>0</v>
      </c>
      <c r="CW666">
        <v>10421316</v>
      </c>
      <c r="CY666">
        <v>1</v>
      </c>
      <c r="CZ666">
        <v>0</v>
      </c>
      <c r="DA666">
        <v>1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</row>
    <row r="667" spans="1:113" x14ac:dyDescent="0.3">
      <c r="A667" t="str">
        <f>"02/08/2021 20:15:05.266"</f>
        <v>02/08/2021 20:15:05.266</v>
      </c>
      <c r="C667" t="str">
        <f t="shared" si="32"/>
        <v>FFDFD7C0</v>
      </c>
      <c r="D667" t="s">
        <v>141</v>
      </c>
      <c r="E667">
        <v>17</v>
      </c>
      <c r="H667">
        <v>256</v>
      </c>
      <c r="I667" t="s">
        <v>142</v>
      </c>
      <c r="J667" t="s">
        <v>143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>"20:15:07.617"</f>
        <v>20:15:07.617</v>
      </c>
      <c r="T667" t="str">
        <f>"20:15:06.617"</f>
        <v>20:15:06.617</v>
      </c>
      <c r="U667" t="str">
        <f t="shared" si="31"/>
        <v>AB01F4</v>
      </c>
      <c r="V667">
        <v>0</v>
      </c>
      <c r="W667">
        <v>0</v>
      </c>
      <c r="X667">
        <v>1</v>
      </c>
      <c r="Z667">
        <v>0</v>
      </c>
      <c r="AA667">
        <v>9</v>
      </c>
      <c r="AB667">
        <v>3</v>
      </c>
      <c r="AC667">
        <v>0</v>
      </c>
      <c r="AD667">
        <v>10</v>
      </c>
      <c r="AE667">
        <v>0</v>
      </c>
      <c r="AF667">
        <v>3</v>
      </c>
      <c r="AG667">
        <v>2</v>
      </c>
      <c r="AH667">
        <v>0</v>
      </c>
      <c r="AI667" t="s">
        <v>582</v>
      </c>
      <c r="AJ667">
        <v>39.621763000000001</v>
      </c>
      <c r="AK667" t="s">
        <v>583</v>
      </c>
      <c r="AL667">
        <v>-92.501148999999998</v>
      </c>
      <c r="AM667">
        <v>100</v>
      </c>
      <c r="AN667">
        <v>1700</v>
      </c>
      <c r="AO667" t="s">
        <v>118</v>
      </c>
      <c r="AP667">
        <v>-12</v>
      </c>
      <c r="AQ667">
        <v>138</v>
      </c>
      <c r="AR667">
        <v>-192</v>
      </c>
      <c r="AZ667">
        <v>1200</v>
      </c>
      <c r="BA667">
        <v>1</v>
      </c>
      <c r="BB667" t="str">
        <f t="shared" si="33"/>
        <v xml:space="preserve">N8080G  </v>
      </c>
      <c r="BC667">
        <v>1</v>
      </c>
      <c r="BE667">
        <v>0</v>
      </c>
      <c r="BF667">
        <v>0</v>
      </c>
      <c r="BG667">
        <v>0</v>
      </c>
      <c r="BH667">
        <v>1675</v>
      </c>
      <c r="BI667">
        <v>1</v>
      </c>
      <c r="BJ667">
        <v>1</v>
      </c>
      <c r="BK667">
        <v>1</v>
      </c>
      <c r="BL667">
        <v>0</v>
      </c>
      <c r="BO667">
        <v>0</v>
      </c>
      <c r="BP667">
        <v>0</v>
      </c>
      <c r="BW667" t="str">
        <f>"20:15:07.623"</f>
        <v>20:15:07.623</v>
      </c>
      <c r="BZ667">
        <v>0</v>
      </c>
      <c r="CA667">
        <v>2016</v>
      </c>
      <c r="CB667">
        <v>224</v>
      </c>
      <c r="CD667">
        <v>1</v>
      </c>
      <c r="CE667">
        <v>0</v>
      </c>
      <c r="CF667">
        <v>0</v>
      </c>
      <c r="CG667">
        <v>1</v>
      </c>
      <c r="CH667">
        <v>0</v>
      </c>
      <c r="CI667">
        <v>0</v>
      </c>
      <c r="CJ667">
        <v>0</v>
      </c>
      <c r="CK667">
        <v>2</v>
      </c>
      <c r="CL667">
        <v>0</v>
      </c>
      <c r="CM667">
        <v>2</v>
      </c>
      <c r="CN667">
        <v>0</v>
      </c>
      <c r="CO667">
        <v>4</v>
      </c>
      <c r="CP667" t="s">
        <v>119</v>
      </c>
      <c r="CQ667">
        <v>559</v>
      </c>
      <c r="CR667">
        <v>0</v>
      </c>
      <c r="CW667">
        <v>10421316</v>
      </c>
      <c r="CY667">
        <v>1</v>
      </c>
      <c r="CZ667">
        <v>0</v>
      </c>
      <c r="DA667">
        <v>1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</row>
    <row r="668" spans="1:113" x14ac:dyDescent="0.3">
      <c r="A668" t="str">
        <f>"02/08/2021 20:15:06.430"</f>
        <v>02/08/2021 20:15:06.430</v>
      </c>
      <c r="C668" t="str">
        <f t="shared" si="32"/>
        <v>FFDFD7C0</v>
      </c>
      <c r="D668" t="s">
        <v>124</v>
      </c>
      <c r="E668">
        <v>13</v>
      </c>
      <c r="F668">
        <v>1013</v>
      </c>
      <c r="G668" t="s">
        <v>114</v>
      </c>
      <c r="J668" t="s">
        <v>125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>"20:15:08.742"</f>
        <v>20:15:08.742</v>
      </c>
      <c r="T668" t="str">
        <f>"20:15:08.242"</f>
        <v>20:15:08.242</v>
      </c>
      <c r="U668" t="str">
        <f t="shared" si="31"/>
        <v>AB01F4</v>
      </c>
      <c r="V668">
        <v>0</v>
      </c>
      <c r="W668">
        <v>0</v>
      </c>
      <c r="X668">
        <v>1</v>
      </c>
      <c r="Z668">
        <v>0</v>
      </c>
      <c r="AA668">
        <v>9</v>
      </c>
      <c r="AB668">
        <v>3</v>
      </c>
      <c r="AC668">
        <v>0</v>
      </c>
      <c r="AD668">
        <v>10</v>
      </c>
      <c r="AE668">
        <v>0</v>
      </c>
      <c r="AF668">
        <v>3</v>
      </c>
      <c r="AG668">
        <v>2</v>
      </c>
      <c r="AH668">
        <v>0</v>
      </c>
      <c r="AI668" t="s">
        <v>584</v>
      </c>
      <c r="AJ668">
        <v>39.622470999999997</v>
      </c>
      <c r="AK668" t="s">
        <v>585</v>
      </c>
      <c r="AL668">
        <v>-92.501234999999994</v>
      </c>
      <c r="AM668">
        <v>100</v>
      </c>
      <c r="AN668">
        <v>1700</v>
      </c>
      <c r="AO668" t="s">
        <v>118</v>
      </c>
      <c r="AP668">
        <v>-13</v>
      </c>
      <c r="AQ668">
        <v>138</v>
      </c>
      <c r="AR668">
        <v>-192</v>
      </c>
      <c r="AZ668">
        <v>1200</v>
      </c>
      <c r="BA668">
        <v>1</v>
      </c>
      <c r="BB668" t="str">
        <f t="shared" si="33"/>
        <v xml:space="preserve">N8080G  </v>
      </c>
      <c r="BC668">
        <v>1</v>
      </c>
      <c r="BE668">
        <v>0</v>
      </c>
      <c r="BF668">
        <v>0</v>
      </c>
      <c r="BG668">
        <v>0</v>
      </c>
      <c r="BH668">
        <v>1675</v>
      </c>
      <c r="BI668">
        <v>1</v>
      </c>
      <c r="BJ668">
        <v>1</v>
      </c>
      <c r="BK668">
        <v>1</v>
      </c>
      <c r="BL668">
        <v>0</v>
      </c>
      <c r="BO668">
        <v>0</v>
      </c>
      <c r="BP668">
        <v>0</v>
      </c>
      <c r="BW668" t="str">
        <f>"20:15:08.749"</f>
        <v>20:15:08.749</v>
      </c>
      <c r="BZ668">
        <v>0</v>
      </c>
      <c r="CA668">
        <v>2016</v>
      </c>
      <c r="CB668">
        <v>224</v>
      </c>
      <c r="CD668">
        <v>1</v>
      </c>
      <c r="CE668">
        <v>0</v>
      </c>
      <c r="CF668">
        <v>0</v>
      </c>
      <c r="CG668">
        <v>1</v>
      </c>
      <c r="CH668">
        <v>0</v>
      </c>
      <c r="CI668">
        <v>0</v>
      </c>
      <c r="CJ668">
        <v>0</v>
      </c>
      <c r="CK668">
        <v>2</v>
      </c>
      <c r="CL668">
        <v>0</v>
      </c>
      <c r="CM668">
        <v>2</v>
      </c>
      <c r="CN668">
        <v>0</v>
      </c>
      <c r="CO668">
        <v>3</v>
      </c>
      <c r="CP668" t="s">
        <v>119</v>
      </c>
      <c r="CQ668">
        <v>559</v>
      </c>
      <c r="CR668">
        <v>0</v>
      </c>
      <c r="CW668">
        <v>10421498</v>
      </c>
      <c r="CY668">
        <v>1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</row>
    <row r="669" spans="1:113" x14ac:dyDescent="0.3">
      <c r="A669" t="str">
        <f>"02/08/2021 20:15:06.430"</f>
        <v>02/08/2021 20:15:06.430</v>
      </c>
      <c r="C669" t="str">
        <f t="shared" si="32"/>
        <v>FFDFD7C0</v>
      </c>
      <c r="D669" t="s">
        <v>141</v>
      </c>
      <c r="E669">
        <v>17</v>
      </c>
      <c r="H669">
        <v>256</v>
      </c>
      <c r="I669" t="s">
        <v>142</v>
      </c>
      <c r="J669" t="s">
        <v>143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>"20:15:08.742"</f>
        <v>20:15:08.742</v>
      </c>
      <c r="T669" t="str">
        <f>"20:15:08.242"</f>
        <v>20:15:08.242</v>
      </c>
      <c r="U669" t="str">
        <f t="shared" si="31"/>
        <v>AB01F4</v>
      </c>
      <c r="V669">
        <v>0</v>
      </c>
      <c r="W669">
        <v>0</v>
      </c>
      <c r="X669">
        <v>1</v>
      </c>
      <c r="Z669">
        <v>0</v>
      </c>
      <c r="AA669">
        <v>9</v>
      </c>
      <c r="AB669">
        <v>3</v>
      </c>
      <c r="AC669">
        <v>0</v>
      </c>
      <c r="AD669">
        <v>10</v>
      </c>
      <c r="AE669">
        <v>0</v>
      </c>
      <c r="AF669">
        <v>3</v>
      </c>
      <c r="AG669">
        <v>2</v>
      </c>
      <c r="AH669">
        <v>0</v>
      </c>
      <c r="AI669" t="s">
        <v>584</v>
      </c>
      <c r="AJ669">
        <v>39.622470999999997</v>
      </c>
      <c r="AK669" t="s">
        <v>585</v>
      </c>
      <c r="AL669">
        <v>-92.501234999999994</v>
      </c>
      <c r="AM669">
        <v>100</v>
      </c>
      <c r="AN669">
        <v>1700</v>
      </c>
      <c r="AO669" t="s">
        <v>118</v>
      </c>
      <c r="AP669">
        <v>-13</v>
      </c>
      <c r="AQ669">
        <v>138</v>
      </c>
      <c r="AR669">
        <v>-192</v>
      </c>
      <c r="AZ669">
        <v>1200</v>
      </c>
      <c r="BA669">
        <v>1</v>
      </c>
      <c r="BB669" t="str">
        <f t="shared" si="33"/>
        <v xml:space="preserve">N8080G  </v>
      </c>
      <c r="BC669">
        <v>1</v>
      </c>
      <c r="BE669">
        <v>0</v>
      </c>
      <c r="BF669">
        <v>0</v>
      </c>
      <c r="BG669">
        <v>0</v>
      </c>
      <c r="BH669">
        <v>1675</v>
      </c>
      <c r="BI669">
        <v>1</v>
      </c>
      <c r="BJ669">
        <v>1</v>
      </c>
      <c r="BK669">
        <v>1</v>
      </c>
      <c r="BL669">
        <v>0</v>
      </c>
      <c r="BO669">
        <v>0</v>
      </c>
      <c r="BP669">
        <v>0</v>
      </c>
      <c r="BW669" t="str">
        <f>"20:15:08.749"</f>
        <v>20:15:08.749</v>
      </c>
      <c r="BZ669">
        <v>0</v>
      </c>
      <c r="CA669">
        <v>2016</v>
      </c>
      <c r="CB669">
        <v>224</v>
      </c>
      <c r="CD669">
        <v>1</v>
      </c>
      <c r="CE669">
        <v>0</v>
      </c>
      <c r="CF669">
        <v>0</v>
      </c>
      <c r="CG669">
        <v>1</v>
      </c>
      <c r="CH669">
        <v>0</v>
      </c>
      <c r="CI669">
        <v>0</v>
      </c>
      <c r="CJ669">
        <v>0</v>
      </c>
      <c r="CK669">
        <v>2</v>
      </c>
      <c r="CL669">
        <v>0</v>
      </c>
      <c r="CM669">
        <v>2</v>
      </c>
      <c r="CN669">
        <v>0</v>
      </c>
      <c r="CO669">
        <v>3</v>
      </c>
      <c r="CP669" t="s">
        <v>119</v>
      </c>
      <c r="CQ669">
        <v>559</v>
      </c>
      <c r="CR669">
        <v>0</v>
      </c>
      <c r="CW669">
        <v>10421498</v>
      </c>
      <c r="CY669">
        <v>1</v>
      </c>
      <c r="CZ669">
        <v>0</v>
      </c>
      <c r="DA669">
        <v>1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</row>
    <row r="670" spans="1:113" x14ac:dyDescent="0.3">
      <c r="A670" t="str">
        <f>"02/08/2021 20:15:06.430"</f>
        <v>02/08/2021 20:15:06.430</v>
      </c>
      <c r="C670" t="str">
        <f t="shared" si="32"/>
        <v>FFDFD7C0</v>
      </c>
      <c r="D670" t="s">
        <v>113</v>
      </c>
      <c r="E670">
        <v>6</v>
      </c>
      <c r="H670">
        <v>165</v>
      </c>
      <c r="I670" t="s">
        <v>114</v>
      </c>
      <c r="J670" t="s">
        <v>115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>"20:15:08.742"</f>
        <v>20:15:08.742</v>
      </c>
      <c r="T670" t="str">
        <f>"20:15:08.242"</f>
        <v>20:15:08.242</v>
      </c>
      <c r="U670" t="str">
        <f t="shared" si="31"/>
        <v>AB01F4</v>
      </c>
      <c r="V670">
        <v>0</v>
      </c>
      <c r="W670">
        <v>0</v>
      </c>
      <c r="X670">
        <v>1</v>
      </c>
      <c r="Z670">
        <v>0</v>
      </c>
      <c r="AA670">
        <v>9</v>
      </c>
      <c r="AB670">
        <v>3</v>
      </c>
      <c r="AC670">
        <v>0</v>
      </c>
      <c r="AD670">
        <v>10</v>
      </c>
      <c r="AE670">
        <v>0</v>
      </c>
      <c r="AF670">
        <v>3</v>
      </c>
      <c r="AG670">
        <v>2</v>
      </c>
      <c r="AH670">
        <v>0</v>
      </c>
      <c r="AI670" t="s">
        <v>584</v>
      </c>
      <c r="AJ670">
        <v>39.622470999999997</v>
      </c>
      <c r="AK670" t="s">
        <v>585</v>
      </c>
      <c r="AL670">
        <v>-92.501234999999994</v>
      </c>
      <c r="AM670">
        <v>100</v>
      </c>
      <c r="AN670">
        <v>1700</v>
      </c>
      <c r="AO670" t="s">
        <v>118</v>
      </c>
      <c r="AP670">
        <v>-13</v>
      </c>
      <c r="AQ670">
        <v>138</v>
      </c>
      <c r="AR670">
        <v>-192</v>
      </c>
      <c r="AZ670">
        <v>1200</v>
      </c>
      <c r="BA670">
        <v>1</v>
      </c>
      <c r="BB670" t="str">
        <f t="shared" si="33"/>
        <v xml:space="preserve">N8080G  </v>
      </c>
      <c r="BC670">
        <v>1</v>
      </c>
      <c r="BE670">
        <v>0</v>
      </c>
      <c r="BF670">
        <v>0</v>
      </c>
      <c r="BG670">
        <v>0</v>
      </c>
      <c r="BH670">
        <v>1675</v>
      </c>
      <c r="BI670">
        <v>1</v>
      </c>
      <c r="BJ670">
        <v>1</v>
      </c>
      <c r="BK670">
        <v>1</v>
      </c>
      <c r="BL670">
        <v>0</v>
      </c>
      <c r="BO670">
        <v>0</v>
      </c>
      <c r="BP670">
        <v>0</v>
      </c>
      <c r="BW670" t="str">
        <f>"20:15:08.749"</f>
        <v>20:15:08.749</v>
      </c>
      <c r="BZ670">
        <v>0</v>
      </c>
      <c r="CA670">
        <v>2016</v>
      </c>
      <c r="CB670">
        <v>224</v>
      </c>
      <c r="CD670">
        <v>1</v>
      </c>
      <c r="CE670">
        <v>0</v>
      </c>
      <c r="CF670">
        <v>0</v>
      </c>
      <c r="CG670">
        <v>1</v>
      </c>
      <c r="CH670">
        <v>0</v>
      </c>
      <c r="CI670">
        <v>0</v>
      </c>
      <c r="CJ670">
        <v>0</v>
      </c>
      <c r="CK670">
        <v>2</v>
      </c>
      <c r="CL670">
        <v>0</v>
      </c>
      <c r="CM670">
        <v>2</v>
      </c>
      <c r="CN670">
        <v>0</v>
      </c>
      <c r="CO670">
        <v>3</v>
      </c>
      <c r="CP670" t="s">
        <v>119</v>
      </c>
      <c r="CQ670">
        <v>559</v>
      </c>
      <c r="CR670">
        <v>0</v>
      </c>
      <c r="CW670">
        <v>10421498</v>
      </c>
      <c r="CY670">
        <v>1</v>
      </c>
      <c r="CZ670">
        <v>0</v>
      </c>
      <c r="DA670">
        <v>1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</row>
    <row r="671" spans="1:113" x14ac:dyDescent="0.3">
      <c r="A671" t="str">
        <f>"02/08/2021 20:15:07.433"</f>
        <v>02/08/2021 20:15:07.433</v>
      </c>
      <c r="C671" t="str">
        <f t="shared" si="32"/>
        <v>FFDFD7C0</v>
      </c>
      <c r="D671" t="s">
        <v>124</v>
      </c>
      <c r="E671">
        <v>13</v>
      </c>
      <c r="F671">
        <v>1013</v>
      </c>
      <c r="G671" t="s">
        <v>114</v>
      </c>
      <c r="J671" t="s">
        <v>125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>"20:15:09.711"</f>
        <v>20:15:09.711</v>
      </c>
      <c r="T671" t="str">
        <f>"20:15:09.311"</f>
        <v>20:15:09.311</v>
      </c>
      <c r="U671" t="str">
        <f t="shared" si="31"/>
        <v>AB01F4</v>
      </c>
      <c r="V671">
        <v>0</v>
      </c>
      <c r="W671">
        <v>0</v>
      </c>
      <c r="X671">
        <v>1</v>
      </c>
      <c r="Z671">
        <v>0</v>
      </c>
      <c r="AA671">
        <v>9</v>
      </c>
      <c r="AB671">
        <v>3</v>
      </c>
      <c r="AC671">
        <v>0</v>
      </c>
      <c r="AD671">
        <v>10</v>
      </c>
      <c r="AE671">
        <v>0</v>
      </c>
      <c r="AF671">
        <v>3</v>
      </c>
      <c r="AG671">
        <v>2</v>
      </c>
      <c r="AH671">
        <v>0</v>
      </c>
      <c r="AI671" t="s">
        <v>586</v>
      </c>
      <c r="AJ671">
        <v>39.623114999999999</v>
      </c>
      <c r="AK671" t="s">
        <v>587</v>
      </c>
      <c r="AL671">
        <v>-92.501299000000003</v>
      </c>
      <c r="AM671">
        <v>100</v>
      </c>
      <c r="AN671">
        <v>1700</v>
      </c>
      <c r="AO671" t="s">
        <v>118</v>
      </c>
      <c r="AP671">
        <v>-13</v>
      </c>
      <c r="AQ671">
        <v>137</v>
      </c>
      <c r="AR671">
        <v>-128</v>
      </c>
      <c r="AZ671">
        <v>1200</v>
      </c>
      <c r="BA671">
        <v>1</v>
      </c>
      <c r="BB671" t="str">
        <f t="shared" si="33"/>
        <v xml:space="preserve">N8080G  </v>
      </c>
      <c r="BC671">
        <v>1</v>
      </c>
      <c r="BE671">
        <v>0</v>
      </c>
      <c r="BF671">
        <v>0</v>
      </c>
      <c r="BG671">
        <v>0</v>
      </c>
      <c r="BH671">
        <v>1675</v>
      </c>
      <c r="BI671">
        <v>1</v>
      </c>
      <c r="BJ671">
        <v>1</v>
      </c>
      <c r="BK671">
        <v>1</v>
      </c>
      <c r="BL671">
        <v>0</v>
      </c>
      <c r="BO671">
        <v>0</v>
      </c>
      <c r="BP671">
        <v>0</v>
      </c>
      <c r="BW671" t="str">
        <f>"20:15:09.717"</f>
        <v>20:15:09.717</v>
      </c>
      <c r="BZ671">
        <v>0</v>
      </c>
      <c r="CA671">
        <v>2016</v>
      </c>
      <c r="CB671">
        <v>224</v>
      </c>
      <c r="CD671">
        <v>1</v>
      </c>
      <c r="CE671">
        <v>0</v>
      </c>
      <c r="CF671">
        <v>0</v>
      </c>
      <c r="CG671">
        <v>1</v>
      </c>
      <c r="CH671">
        <v>0</v>
      </c>
      <c r="CI671">
        <v>0</v>
      </c>
      <c r="CJ671">
        <v>0</v>
      </c>
      <c r="CK671">
        <v>2</v>
      </c>
      <c r="CL671">
        <v>0</v>
      </c>
      <c r="CM671">
        <v>2</v>
      </c>
      <c r="CN671">
        <v>0</v>
      </c>
      <c r="CO671">
        <v>6</v>
      </c>
      <c r="CP671" t="s">
        <v>119</v>
      </c>
      <c r="CQ671">
        <v>180</v>
      </c>
      <c r="CR671">
        <v>1</v>
      </c>
      <c r="CW671">
        <v>10468267</v>
      </c>
      <c r="CY671">
        <v>1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</row>
    <row r="672" spans="1:113" x14ac:dyDescent="0.3">
      <c r="A672" t="str">
        <f>"02/08/2021 20:15:07.433"</f>
        <v>02/08/2021 20:15:07.433</v>
      </c>
      <c r="C672" t="str">
        <f t="shared" si="32"/>
        <v>FFDFD7C0</v>
      </c>
      <c r="D672" t="s">
        <v>113</v>
      </c>
      <c r="E672">
        <v>6</v>
      </c>
      <c r="H672">
        <v>165</v>
      </c>
      <c r="I672" t="s">
        <v>114</v>
      </c>
      <c r="J672" t="s">
        <v>115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>"20:15:09.711"</f>
        <v>20:15:09.711</v>
      </c>
      <c r="T672" t="str">
        <f>"20:15:09.311"</f>
        <v>20:15:09.311</v>
      </c>
      <c r="U672" t="str">
        <f t="shared" si="31"/>
        <v>AB01F4</v>
      </c>
      <c r="V672">
        <v>0</v>
      </c>
      <c r="W672">
        <v>0</v>
      </c>
      <c r="X672">
        <v>1</v>
      </c>
      <c r="Z672">
        <v>0</v>
      </c>
      <c r="AA672">
        <v>9</v>
      </c>
      <c r="AB672">
        <v>3</v>
      </c>
      <c r="AC672">
        <v>0</v>
      </c>
      <c r="AD672">
        <v>10</v>
      </c>
      <c r="AE672">
        <v>0</v>
      </c>
      <c r="AF672">
        <v>3</v>
      </c>
      <c r="AG672">
        <v>2</v>
      </c>
      <c r="AH672">
        <v>0</v>
      </c>
      <c r="AI672" t="s">
        <v>586</v>
      </c>
      <c r="AJ672">
        <v>39.623114999999999</v>
      </c>
      <c r="AK672" t="s">
        <v>587</v>
      </c>
      <c r="AL672">
        <v>-92.501299000000003</v>
      </c>
      <c r="AM672">
        <v>100</v>
      </c>
      <c r="AN672">
        <v>1700</v>
      </c>
      <c r="AO672" t="s">
        <v>118</v>
      </c>
      <c r="AP672">
        <v>-13</v>
      </c>
      <c r="AQ672">
        <v>137</v>
      </c>
      <c r="AR672">
        <v>-128</v>
      </c>
      <c r="AZ672">
        <v>1200</v>
      </c>
      <c r="BA672">
        <v>1</v>
      </c>
      <c r="BB672" t="str">
        <f t="shared" si="33"/>
        <v xml:space="preserve">N8080G  </v>
      </c>
      <c r="BC672">
        <v>1</v>
      </c>
      <c r="BE672">
        <v>0</v>
      </c>
      <c r="BF672">
        <v>0</v>
      </c>
      <c r="BG672">
        <v>0</v>
      </c>
      <c r="BH672">
        <v>1675</v>
      </c>
      <c r="BI672">
        <v>1</v>
      </c>
      <c r="BJ672">
        <v>1</v>
      </c>
      <c r="BK672">
        <v>1</v>
      </c>
      <c r="BL672">
        <v>0</v>
      </c>
      <c r="BO672">
        <v>0</v>
      </c>
      <c r="BP672">
        <v>0</v>
      </c>
      <c r="BW672" t="str">
        <f>"20:15:09.717"</f>
        <v>20:15:09.717</v>
      </c>
      <c r="BZ672">
        <v>0</v>
      </c>
      <c r="CA672">
        <v>2016</v>
      </c>
      <c r="CB672">
        <v>224</v>
      </c>
      <c r="CD672">
        <v>1</v>
      </c>
      <c r="CE672">
        <v>0</v>
      </c>
      <c r="CF672">
        <v>0</v>
      </c>
      <c r="CG672">
        <v>1</v>
      </c>
      <c r="CH672">
        <v>0</v>
      </c>
      <c r="CI672">
        <v>0</v>
      </c>
      <c r="CJ672">
        <v>0</v>
      </c>
      <c r="CK672">
        <v>2</v>
      </c>
      <c r="CL672">
        <v>0</v>
      </c>
      <c r="CM672">
        <v>2</v>
      </c>
      <c r="CN672">
        <v>0</v>
      </c>
      <c r="CO672">
        <v>6</v>
      </c>
      <c r="CP672" t="s">
        <v>119</v>
      </c>
      <c r="CQ672">
        <v>180</v>
      </c>
      <c r="CR672">
        <v>1</v>
      </c>
      <c r="CW672">
        <v>10468267</v>
      </c>
      <c r="CY672">
        <v>1</v>
      </c>
      <c r="CZ672">
        <v>0</v>
      </c>
      <c r="DA672">
        <v>1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</row>
    <row r="673" spans="1:113" x14ac:dyDescent="0.3">
      <c r="A673" t="str">
        <f>"02/08/2021 20:15:08.901"</f>
        <v>02/08/2021 20:15:08.901</v>
      </c>
      <c r="C673" t="str">
        <f t="shared" si="32"/>
        <v>FFDFD7C0</v>
      </c>
      <c r="D673" t="s">
        <v>113</v>
      </c>
      <c r="E673">
        <v>6</v>
      </c>
      <c r="H673">
        <v>165</v>
      </c>
      <c r="I673" t="s">
        <v>114</v>
      </c>
      <c r="J673" t="s">
        <v>115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>"20:15:11.234"</f>
        <v>20:15:11.234</v>
      </c>
      <c r="T673" t="str">
        <f>"20:15:10.734"</f>
        <v>20:15:10.734</v>
      </c>
      <c r="U673" t="str">
        <f t="shared" si="31"/>
        <v>AB01F4</v>
      </c>
      <c r="V673">
        <v>0</v>
      </c>
      <c r="W673">
        <v>0</v>
      </c>
      <c r="X673">
        <v>1</v>
      </c>
      <c r="Z673">
        <v>0</v>
      </c>
      <c r="AA673">
        <v>9</v>
      </c>
      <c r="AB673">
        <v>3</v>
      </c>
      <c r="AC673">
        <v>0</v>
      </c>
      <c r="AD673">
        <v>10</v>
      </c>
      <c r="AE673">
        <v>0</v>
      </c>
      <c r="AF673">
        <v>3</v>
      </c>
      <c r="AG673">
        <v>2</v>
      </c>
      <c r="AH673">
        <v>0</v>
      </c>
      <c r="AI673" t="s">
        <v>588</v>
      </c>
      <c r="AJ673">
        <v>39.624059000000003</v>
      </c>
      <c r="AK673" t="s">
        <v>589</v>
      </c>
      <c r="AL673">
        <v>-92.501407</v>
      </c>
      <c r="AM673">
        <v>100</v>
      </c>
      <c r="AN673">
        <v>1700</v>
      </c>
      <c r="AO673" t="s">
        <v>118</v>
      </c>
      <c r="AP673">
        <v>-13</v>
      </c>
      <c r="AQ673">
        <v>137</v>
      </c>
      <c r="AR673">
        <v>-128</v>
      </c>
      <c r="AZ673">
        <v>1200</v>
      </c>
      <c r="BA673">
        <v>1</v>
      </c>
      <c r="BB673" t="str">
        <f t="shared" si="33"/>
        <v xml:space="preserve">N8080G  </v>
      </c>
      <c r="BC673">
        <v>1</v>
      </c>
      <c r="BE673">
        <v>0</v>
      </c>
      <c r="BF673">
        <v>0</v>
      </c>
      <c r="BG673">
        <v>0</v>
      </c>
      <c r="BH673">
        <v>1675</v>
      </c>
      <c r="BI673">
        <v>1</v>
      </c>
      <c r="BJ673">
        <v>1</v>
      </c>
      <c r="BK673">
        <v>1</v>
      </c>
      <c r="BL673">
        <v>0</v>
      </c>
      <c r="BO673">
        <v>0</v>
      </c>
      <c r="BP673">
        <v>0</v>
      </c>
      <c r="BW673" t="str">
        <f>"20:15:11.239"</f>
        <v>20:15:11.239</v>
      </c>
      <c r="BZ673">
        <v>0</v>
      </c>
      <c r="CA673">
        <v>2016</v>
      </c>
      <c r="CB673">
        <v>224</v>
      </c>
      <c r="CD673">
        <v>1</v>
      </c>
      <c r="CE673">
        <v>0</v>
      </c>
      <c r="CF673">
        <v>0</v>
      </c>
      <c r="CG673">
        <v>1</v>
      </c>
      <c r="CH673">
        <v>0</v>
      </c>
      <c r="CI673">
        <v>0</v>
      </c>
      <c r="CJ673">
        <v>0</v>
      </c>
      <c r="CK673">
        <v>2</v>
      </c>
      <c r="CL673">
        <v>0</v>
      </c>
      <c r="CM673">
        <v>2</v>
      </c>
      <c r="CN673">
        <v>0</v>
      </c>
      <c r="CO673">
        <v>6</v>
      </c>
      <c r="CP673" t="s">
        <v>119</v>
      </c>
      <c r="CQ673">
        <v>180</v>
      </c>
      <c r="CR673">
        <v>2</v>
      </c>
      <c r="CW673">
        <v>7925464</v>
      </c>
      <c r="CY673">
        <v>1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</row>
    <row r="674" spans="1:113" x14ac:dyDescent="0.3">
      <c r="A674" t="str">
        <f>"02/08/2021 20:15:08.901"</f>
        <v>02/08/2021 20:15:08.901</v>
      </c>
      <c r="C674" t="str">
        <f t="shared" si="32"/>
        <v>FFDFD7C0</v>
      </c>
      <c r="D674" t="s">
        <v>124</v>
      </c>
      <c r="E674">
        <v>11</v>
      </c>
      <c r="F674">
        <v>1011</v>
      </c>
      <c r="G674" t="s">
        <v>590</v>
      </c>
      <c r="J674" t="s">
        <v>125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>"20:15:11.234"</f>
        <v>20:15:11.234</v>
      </c>
      <c r="T674" t="str">
        <f>"20:15:10.734"</f>
        <v>20:15:10.734</v>
      </c>
      <c r="U674" t="str">
        <f t="shared" si="31"/>
        <v>AB01F4</v>
      </c>
      <c r="V674">
        <v>0</v>
      </c>
      <c r="W674">
        <v>0</v>
      </c>
      <c r="X674">
        <v>1</v>
      </c>
      <c r="Z674">
        <v>0</v>
      </c>
      <c r="AA674">
        <v>9</v>
      </c>
      <c r="AB674">
        <v>3</v>
      </c>
      <c r="AC674">
        <v>0</v>
      </c>
      <c r="AD674">
        <v>10</v>
      </c>
      <c r="AE674">
        <v>0</v>
      </c>
      <c r="AF674">
        <v>3</v>
      </c>
      <c r="AG674">
        <v>2</v>
      </c>
      <c r="AH674">
        <v>0</v>
      </c>
      <c r="AI674" t="s">
        <v>588</v>
      </c>
      <c r="AJ674">
        <v>39.624059000000003</v>
      </c>
      <c r="AK674" t="s">
        <v>589</v>
      </c>
      <c r="AL674">
        <v>-92.501407</v>
      </c>
      <c r="AM674">
        <v>100</v>
      </c>
      <c r="AN674">
        <v>1700</v>
      </c>
      <c r="AO674" t="s">
        <v>118</v>
      </c>
      <c r="AP674">
        <v>-13</v>
      </c>
      <c r="AQ674">
        <v>137</v>
      </c>
      <c r="AR674">
        <v>-128</v>
      </c>
      <c r="AZ674">
        <v>1200</v>
      </c>
      <c r="BA674">
        <v>1</v>
      </c>
      <c r="BB674" t="str">
        <f t="shared" si="33"/>
        <v xml:space="preserve">N8080G  </v>
      </c>
      <c r="BC674">
        <v>1</v>
      </c>
      <c r="BE674">
        <v>0</v>
      </c>
      <c r="BF674">
        <v>0</v>
      </c>
      <c r="BG674">
        <v>0</v>
      </c>
      <c r="BH674">
        <v>1675</v>
      </c>
      <c r="BI674">
        <v>1</v>
      </c>
      <c r="BJ674">
        <v>1</v>
      </c>
      <c r="BK674">
        <v>1</v>
      </c>
      <c r="BL674">
        <v>0</v>
      </c>
      <c r="BO674">
        <v>0</v>
      </c>
      <c r="BP674">
        <v>0</v>
      </c>
      <c r="BW674" t="str">
        <f>"20:15:11.239"</f>
        <v>20:15:11.239</v>
      </c>
      <c r="BZ674">
        <v>0</v>
      </c>
      <c r="CA674">
        <v>2016</v>
      </c>
      <c r="CB674">
        <v>224</v>
      </c>
      <c r="CD674">
        <v>1</v>
      </c>
      <c r="CE674">
        <v>0</v>
      </c>
      <c r="CF674">
        <v>0</v>
      </c>
      <c r="CG674">
        <v>1</v>
      </c>
      <c r="CH674">
        <v>0</v>
      </c>
      <c r="CI674">
        <v>0</v>
      </c>
      <c r="CJ674">
        <v>0</v>
      </c>
      <c r="CK674">
        <v>2</v>
      </c>
      <c r="CL674">
        <v>0</v>
      </c>
      <c r="CM674">
        <v>2</v>
      </c>
      <c r="CN674">
        <v>0</v>
      </c>
      <c r="CO674">
        <v>6</v>
      </c>
      <c r="CP674" t="s">
        <v>119</v>
      </c>
      <c r="CQ674">
        <v>180</v>
      </c>
      <c r="CR674">
        <v>2</v>
      </c>
      <c r="CW674">
        <v>7925464</v>
      </c>
      <c r="CY674">
        <v>1</v>
      </c>
      <c r="CZ674">
        <v>0</v>
      </c>
      <c r="DA674">
        <v>1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</row>
    <row r="675" spans="1:113" x14ac:dyDescent="0.3">
      <c r="A675" t="str">
        <f>"02/08/2021 20:15:08.901"</f>
        <v>02/08/2021 20:15:08.901</v>
      </c>
      <c r="C675" t="str">
        <f t="shared" si="32"/>
        <v>FFDFD7C0</v>
      </c>
      <c r="D675" t="s">
        <v>141</v>
      </c>
      <c r="E675">
        <v>17</v>
      </c>
      <c r="H675">
        <v>256</v>
      </c>
      <c r="I675" t="s">
        <v>142</v>
      </c>
      <c r="J675" t="s">
        <v>143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>"20:15:11.234"</f>
        <v>20:15:11.234</v>
      </c>
      <c r="T675" t="str">
        <f>"20:15:10.734"</f>
        <v>20:15:10.734</v>
      </c>
      <c r="U675" t="str">
        <f t="shared" si="31"/>
        <v>AB01F4</v>
      </c>
      <c r="V675">
        <v>0</v>
      </c>
      <c r="W675">
        <v>0</v>
      </c>
      <c r="X675">
        <v>1</v>
      </c>
      <c r="Z675">
        <v>0</v>
      </c>
      <c r="AA675">
        <v>9</v>
      </c>
      <c r="AB675">
        <v>3</v>
      </c>
      <c r="AC675">
        <v>0</v>
      </c>
      <c r="AD675">
        <v>10</v>
      </c>
      <c r="AE675">
        <v>0</v>
      </c>
      <c r="AF675">
        <v>3</v>
      </c>
      <c r="AG675">
        <v>2</v>
      </c>
      <c r="AH675">
        <v>0</v>
      </c>
      <c r="AI675" t="s">
        <v>588</v>
      </c>
      <c r="AJ675">
        <v>39.624059000000003</v>
      </c>
      <c r="AK675" t="s">
        <v>589</v>
      </c>
      <c r="AL675">
        <v>-92.501407</v>
      </c>
      <c r="AM675">
        <v>100</v>
      </c>
      <c r="AN675">
        <v>1700</v>
      </c>
      <c r="AO675" t="s">
        <v>118</v>
      </c>
      <c r="AP675">
        <v>-13</v>
      </c>
      <c r="AQ675">
        <v>137</v>
      </c>
      <c r="AR675">
        <v>-128</v>
      </c>
      <c r="AZ675">
        <v>1200</v>
      </c>
      <c r="BA675">
        <v>1</v>
      </c>
      <c r="BB675" t="str">
        <f t="shared" si="33"/>
        <v xml:space="preserve">N8080G  </v>
      </c>
      <c r="BC675">
        <v>1</v>
      </c>
      <c r="BE675">
        <v>0</v>
      </c>
      <c r="BF675">
        <v>0</v>
      </c>
      <c r="BG675">
        <v>0</v>
      </c>
      <c r="BH675">
        <v>1675</v>
      </c>
      <c r="BI675">
        <v>1</v>
      </c>
      <c r="BJ675">
        <v>1</v>
      </c>
      <c r="BK675">
        <v>1</v>
      </c>
      <c r="BL675">
        <v>0</v>
      </c>
      <c r="BO675">
        <v>0</v>
      </c>
      <c r="BP675">
        <v>0</v>
      </c>
      <c r="BW675" t="str">
        <f>"20:15:11.239"</f>
        <v>20:15:11.239</v>
      </c>
      <c r="BZ675">
        <v>0</v>
      </c>
      <c r="CA675">
        <v>2016</v>
      </c>
      <c r="CB675">
        <v>224</v>
      </c>
      <c r="CD675">
        <v>1</v>
      </c>
      <c r="CE675">
        <v>0</v>
      </c>
      <c r="CF675">
        <v>0</v>
      </c>
      <c r="CG675">
        <v>1</v>
      </c>
      <c r="CH675">
        <v>0</v>
      </c>
      <c r="CI675">
        <v>0</v>
      </c>
      <c r="CJ675">
        <v>0</v>
      </c>
      <c r="CK675">
        <v>2</v>
      </c>
      <c r="CL675">
        <v>0</v>
      </c>
      <c r="CM675">
        <v>2</v>
      </c>
      <c r="CN675">
        <v>0</v>
      </c>
      <c r="CO675">
        <v>4</v>
      </c>
      <c r="CP675" t="s">
        <v>119</v>
      </c>
      <c r="CQ675">
        <v>559</v>
      </c>
      <c r="CR675">
        <v>0</v>
      </c>
      <c r="CW675">
        <v>10421914</v>
      </c>
      <c r="CY675">
        <v>1</v>
      </c>
      <c r="CZ675">
        <v>0</v>
      </c>
      <c r="DA675">
        <v>1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</row>
    <row r="676" spans="1:113" x14ac:dyDescent="0.3">
      <c r="A676" t="str">
        <f>"02/08/2021 20:15:08.901"</f>
        <v>02/08/2021 20:15:08.901</v>
      </c>
      <c r="C676" t="str">
        <f t="shared" si="32"/>
        <v>FFDFD7C0</v>
      </c>
      <c r="D676" t="s">
        <v>124</v>
      </c>
      <c r="E676">
        <v>13</v>
      </c>
      <c r="F676">
        <v>1013</v>
      </c>
      <c r="G676" t="s">
        <v>114</v>
      </c>
      <c r="J676" t="s">
        <v>125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>"20:15:11.234"</f>
        <v>20:15:11.234</v>
      </c>
      <c r="T676" t="str">
        <f>"20:15:10.734"</f>
        <v>20:15:10.734</v>
      </c>
      <c r="U676" t="str">
        <f t="shared" si="31"/>
        <v>AB01F4</v>
      </c>
      <c r="V676">
        <v>0</v>
      </c>
      <c r="W676">
        <v>0</v>
      </c>
      <c r="X676">
        <v>1</v>
      </c>
      <c r="Z676">
        <v>0</v>
      </c>
      <c r="AA676">
        <v>9</v>
      </c>
      <c r="AB676">
        <v>3</v>
      </c>
      <c r="AC676">
        <v>0</v>
      </c>
      <c r="AD676">
        <v>10</v>
      </c>
      <c r="AE676">
        <v>0</v>
      </c>
      <c r="AF676">
        <v>3</v>
      </c>
      <c r="AG676">
        <v>2</v>
      </c>
      <c r="AH676">
        <v>0</v>
      </c>
      <c r="AI676" t="s">
        <v>588</v>
      </c>
      <c r="AJ676">
        <v>39.624059000000003</v>
      </c>
      <c r="AK676" t="s">
        <v>589</v>
      </c>
      <c r="AL676">
        <v>-92.501407</v>
      </c>
      <c r="AM676">
        <v>100</v>
      </c>
      <c r="AN676">
        <v>1700</v>
      </c>
      <c r="AO676" t="s">
        <v>118</v>
      </c>
      <c r="AP676">
        <v>-13</v>
      </c>
      <c r="AQ676">
        <v>137</v>
      </c>
      <c r="AR676">
        <v>-128</v>
      </c>
      <c r="AZ676">
        <v>1200</v>
      </c>
      <c r="BA676">
        <v>1</v>
      </c>
      <c r="BB676" t="str">
        <f t="shared" si="33"/>
        <v xml:space="preserve">N8080G  </v>
      </c>
      <c r="BC676">
        <v>1</v>
      </c>
      <c r="BE676">
        <v>0</v>
      </c>
      <c r="BF676">
        <v>0</v>
      </c>
      <c r="BG676">
        <v>0</v>
      </c>
      <c r="BH676">
        <v>1675</v>
      </c>
      <c r="BI676">
        <v>1</v>
      </c>
      <c r="BJ676">
        <v>1</v>
      </c>
      <c r="BK676">
        <v>1</v>
      </c>
      <c r="BL676">
        <v>0</v>
      </c>
      <c r="BO676">
        <v>0</v>
      </c>
      <c r="BP676">
        <v>0</v>
      </c>
      <c r="BW676" t="str">
        <f>"20:15:11.239"</f>
        <v>20:15:11.239</v>
      </c>
      <c r="BZ676">
        <v>0</v>
      </c>
      <c r="CA676">
        <v>2016</v>
      </c>
      <c r="CB676">
        <v>224</v>
      </c>
      <c r="CD676">
        <v>1</v>
      </c>
      <c r="CE676">
        <v>0</v>
      </c>
      <c r="CF676">
        <v>0</v>
      </c>
      <c r="CG676">
        <v>1</v>
      </c>
      <c r="CH676">
        <v>0</v>
      </c>
      <c r="CI676">
        <v>0</v>
      </c>
      <c r="CJ676">
        <v>0</v>
      </c>
      <c r="CK676">
        <v>2</v>
      </c>
      <c r="CL676">
        <v>0</v>
      </c>
      <c r="CM676">
        <v>2</v>
      </c>
      <c r="CN676">
        <v>0</v>
      </c>
      <c r="CO676">
        <v>6</v>
      </c>
      <c r="CP676" t="s">
        <v>119</v>
      </c>
      <c r="CQ676">
        <v>180</v>
      </c>
      <c r="CR676">
        <v>2</v>
      </c>
      <c r="CW676">
        <v>7925464</v>
      </c>
      <c r="CY676">
        <v>1</v>
      </c>
      <c r="CZ676">
        <v>0</v>
      </c>
      <c r="DA676">
        <v>1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</row>
    <row r="677" spans="1:113" x14ac:dyDescent="0.3">
      <c r="A677" t="str">
        <f>"02/08/2021 20:15:12.952"</f>
        <v>02/08/2021 20:15:12.952</v>
      </c>
      <c r="C677" t="str">
        <f t="shared" si="32"/>
        <v>FFDFD7C0</v>
      </c>
      <c r="D677" t="s">
        <v>113</v>
      </c>
      <c r="E677">
        <v>6</v>
      </c>
      <c r="H677">
        <v>165</v>
      </c>
      <c r="I677" t="s">
        <v>114</v>
      </c>
      <c r="J677" t="s">
        <v>115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>"20:15:15.297"</f>
        <v>20:15:15.297</v>
      </c>
      <c r="T677" t="str">
        <f>"20:15:14.797"</f>
        <v>20:15:14.797</v>
      </c>
      <c r="U677" t="str">
        <f t="shared" si="31"/>
        <v>AB01F4</v>
      </c>
      <c r="V677">
        <v>0</v>
      </c>
      <c r="W677">
        <v>0</v>
      </c>
      <c r="X677">
        <v>1</v>
      </c>
      <c r="Z677">
        <v>0</v>
      </c>
      <c r="AA677">
        <v>9</v>
      </c>
      <c r="AB677">
        <v>3</v>
      </c>
      <c r="AC677">
        <v>0</v>
      </c>
      <c r="AD677">
        <v>10</v>
      </c>
      <c r="AE677">
        <v>0</v>
      </c>
      <c r="AF677">
        <v>3</v>
      </c>
      <c r="AG677">
        <v>2</v>
      </c>
      <c r="AH677">
        <v>0</v>
      </c>
      <c r="AI677" t="s">
        <v>591</v>
      </c>
      <c r="AJ677">
        <v>39.626570000000001</v>
      </c>
      <c r="AK677" t="s">
        <v>592</v>
      </c>
      <c r="AL677">
        <v>-92.501706999999996</v>
      </c>
      <c r="AM677">
        <v>100</v>
      </c>
      <c r="AN677">
        <v>1700</v>
      </c>
      <c r="AO677" t="s">
        <v>118</v>
      </c>
      <c r="AP677">
        <v>-14</v>
      </c>
      <c r="AQ677">
        <v>136</v>
      </c>
      <c r="AR677">
        <v>-64</v>
      </c>
      <c r="AZ677">
        <v>1200</v>
      </c>
      <c r="BA677">
        <v>1</v>
      </c>
      <c r="BB677" t="str">
        <f t="shared" si="33"/>
        <v xml:space="preserve">N8080G  </v>
      </c>
      <c r="BC677">
        <v>1</v>
      </c>
      <c r="BE677">
        <v>0</v>
      </c>
      <c r="BF677">
        <v>0</v>
      </c>
      <c r="BG677">
        <v>0</v>
      </c>
      <c r="BH677">
        <v>1675</v>
      </c>
      <c r="BI677">
        <v>1</v>
      </c>
      <c r="BJ677">
        <v>1</v>
      </c>
      <c r="BK677">
        <v>1</v>
      </c>
      <c r="BL677">
        <v>0</v>
      </c>
      <c r="BO677">
        <v>0</v>
      </c>
      <c r="BP677">
        <v>0</v>
      </c>
      <c r="BW677" t="str">
        <f>"20:15:15.298"</f>
        <v>20:15:15.298</v>
      </c>
      <c r="BZ677">
        <v>0</v>
      </c>
      <c r="CA677">
        <v>2016</v>
      </c>
      <c r="CB677">
        <v>224</v>
      </c>
      <c r="CD677">
        <v>1</v>
      </c>
      <c r="CE677">
        <v>0</v>
      </c>
      <c r="CF677">
        <v>0</v>
      </c>
      <c r="CG677">
        <v>1</v>
      </c>
      <c r="CH677">
        <v>0</v>
      </c>
      <c r="CI677">
        <v>0</v>
      </c>
      <c r="CJ677">
        <v>0</v>
      </c>
      <c r="CK677">
        <v>2</v>
      </c>
      <c r="CL677">
        <v>0</v>
      </c>
      <c r="CM677">
        <v>2</v>
      </c>
      <c r="CN677">
        <v>0</v>
      </c>
      <c r="CO677">
        <v>3</v>
      </c>
      <c r="CP677" t="s">
        <v>119</v>
      </c>
      <c r="CQ677">
        <v>559</v>
      </c>
      <c r="CR677">
        <v>0</v>
      </c>
      <c r="CW677">
        <v>10422557</v>
      </c>
      <c r="CY677">
        <v>1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</row>
    <row r="678" spans="1:113" x14ac:dyDescent="0.3">
      <c r="A678" t="str">
        <f>"02/08/2021 20:15:12.952"</f>
        <v>02/08/2021 20:15:12.952</v>
      </c>
      <c r="C678" t="str">
        <f t="shared" si="32"/>
        <v>FFDFD7C0</v>
      </c>
      <c r="D678" t="s">
        <v>124</v>
      </c>
      <c r="E678">
        <v>13</v>
      </c>
      <c r="F678">
        <v>1013</v>
      </c>
      <c r="G678" t="s">
        <v>114</v>
      </c>
      <c r="J678" t="s">
        <v>125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>"20:15:15.297"</f>
        <v>20:15:15.297</v>
      </c>
      <c r="T678" t="str">
        <f>"20:15:14.797"</f>
        <v>20:15:14.797</v>
      </c>
      <c r="U678" t="str">
        <f t="shared" si="31"/>
        <v>AB01F4</v>
      </c>
      <c r="V678">
        <v>0</v>
      </c>
      <c r="W678">
        <v>0</v>
      </c>
      <c r="X678">
        <v>1</v>
      </c>
      <c r="Z678">
        <v>0</v>
      </c>
      <c r="AA678">
        <v>9</v>
      </c>
      <c r="AB678">
        <v>3</v>
      </c>
      <c r="AC678">
        <v>0</v>
      </c>
      <c r="AD678">
        <v>10</v>
      </c>
      <c r="AE678">
        <v>0</v>
      </c>
      <c r="AF678">
        <v>3</v>
      </c>
      <c r="AG678">
        <v>2</v>
      </c>
      <c r="AH678">
        <v>0</v>
      </c>
      <c r="AI678" t="s">
        <v>591</v>
      </c>
      <c r="AJ678">
        <v>39.626570000000001</v>
      </c>
      <c r="AK678" t="s">
        <v>592</v>
      </c>
      <c r="AL678">
        <v>-92.501706999999996</v>
      </c>
      <c r="AM678">
        <v>100</v>
      </c>
      <c r="AN678">
        <v>1700</v>
      </c>
      <c r="AO678" t="s">
        <v>118</v>
      </c>
      <c r="AP678">
        <v>-14</v>
      </c>
      <c r="AQ678">
        <v>136</v>
      </c>
      <c r="AR678">
        <v>-64</v>
      </c>
      <c r="AZ678">
        <v>1200</v>
      </c>
      <c r="BA678">
        <v>1</v>
      </c>
      <c r="BB678" t="str">
        <f t="shared" si="33"/>
        <v xml:space="preserve">N8080G  </v>
      </c>
      <c r="BC678">
        <v>1</v>
      </c>
      <c r="BE678">
        <v>0</v>
      </c>
      <c r="BF678">
        <v>0</v>
      </c>
      <c r="BG678">
        <v>0</v>
      </c>
      <c r="BH678">
        <v>1675</v>
      </c>
      <c r="BI678">
        <v>1</v>
      </c>
      <c r="BJ678">
        <v>1</v>
      </c>
      <c r="BK678">
        <v>1</v>
      </c>
      <c r="BL678">
        <v>0</v>
      </c>
      <c r="BO678">
        <v>0</v>
      </c>
      <c r="BP678">
        <v>0</v>
      </c>
      <c r="BW678" t="str">
        <f>"20:15:15.298"</f>
        <v>20:15:15.298</v>
      </c>
      <c r="BZ678">
        <v>0</v>
      </c>
      <c r="CA678">
        <v>2016</v>
      </c>
      <c r="CB678">
        <v>224</v>
      </c>
      <c r="CD678">
        <v>1</v>
      </c>
      <c r="CE678">
        <v>0</v>
      </c>
      <c r="CF678">
        <v>0</v>
      </c>
      <c r="CG678">
        <v>1</v>
      </c>
      <c r="CH678">
        <v>0</v>
      </c>
      <c r="CI678">
        <v>0</v>
      </c>
      <c r="CJ678">
        <v>0</v>
      </c>
      <c r="CK678">
        <v>2</v>
      </c>
      <c r="CL678">
        <v>0</v>
      </c>
      <c r="CM678">
        <v>2</v>
      </c>
      <c r="CN678">
        <v>0</v>
      </c>
      <c r="CO678">
        <v>3</v>
      </c>
      <c r="CP678" t="s">
        <v>119</v>
      </c>
      <c r="CQ678">
        <v>559</v>
      </c>
      <c r="CR678">
        <v>0</v>
      </c>
      <c r="CW678">
        <v>10422557</v>
      </c>
      <c r="CY678">
        <v>1</v>
      </c>
      <c r="CZ678">
        <v>0</v>
      </c>
      <c r="DA678">
        <v>1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</row>
    <row r="679" spans="1:113" x14ac:dyDescent="0.3">
      <c r="A679" t="str">
        <f>"02/08/2021 20:15:12.952"</f>
        <v>02/08/2021 20:15:12.952</v>
      </c>
      <c r="C679" t="str">
        <f t="shared" si="32"/>
        <v>FFDFD7C0</v>
      </c>
      <c r="D679" t="s">
        <v>141</v>
      </c>
      <c r="E679">
        <v>17</v>
      </c>
      <c r="H679">
        <v>256</v>
      </c>
      <c r="I679" t="s">
        <v>142</v>
      </c>
      <c r="J679" t="s">
        <v>143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>"20:15:15.297"</f>
        <v>20:15:15.297</v>
      </c>
      <c r="T679" t="str">
        <f>"20:15:14.797"</f>
        <v>20:15:14.797</v>
      </c>
      <c r="U679" t="str">
        <f t="shared" si="31"/>
        <v>AB01F4</v>
      </c>
      <c r="V679">
        <v>0</v>
      </c>
      <c r="W679">
        <v>0</v>
      </c>
      <c r="X679">
        <v>1</v>
      </c>
      <c r="Z679">
        <v>0</v>
      </c>
      <c r="AA679">
        <v>9</v>
      </c>
      <c r="AB679">
        <v>3</v>
      </c>
      <c r="AC679">
        <v>0</v>
      </c>
      <c r="AD679">
        <v>10</v>
      </c>
      <c r="AE679">
        <v>0</v>
      </c>
      <c r="AF679">
        <v>3</v>
      </c>
      <c r="AG679">
        <v>2</v>
      </c>
      <c r="AH679">
        <v>0</v>
      </c>
      <c r="AI679" t="s">
        <v>591</v>
      </c>
      <c r="AJ679">
        <v>39.626570000000001</v>
      </c>
      <c r="AK679" t="s">
        <v>592</v>
      </c>
      <c r="AL679">
        <v>-92.501706999999996</v>
      </c>
      <c r="AM679">
        <v>100</v>
      </c>
      <c r="AN679">
        <v>1700</v>
      </c>
      <c r="AO679" t="s">
        <v>118</v>
      </c>
      <c r="AP679">
        <v>-14</v>
      </c>
      <c r="AQ679">
        <v>136</v>
      </c>
      <c r="AR679">
        <v>-64</v>
      </c>
      <c r="AZ679">
        <v>1200</v>
      </c>
      <c r="BA679">
        <v>1</v>
      </c>
      <c r="BB679" t="str">
        <f t="shared" si="33"/>
        <v xml:space="preserve">N8080G  </v>
      </c>
      <c r="BC679">
        <v>1</v>
      </c>
      <c r="BE679">
        <v>0</v>
      </c>
      <c r="BF679">
        <v>0</v>
      </c>
      <c r="BG679">
        <v>0</v>
      </c>
      <c r="BH679">
        <v>1675</v>
      </c>
      <c r="BI679">
        <v>1</v>
      </c>
      <c r="BJ679">
        <v>1</v>
      </c>
      <c r="BK679">
        <v>1</v>
      </c>
      <c r="BL679">
        <v>0</v>
      </c>
      <c r="BO679">
        <v>0</v>
      </c>
      <c r="BP679">
        <v>0</v>
      </c>
      <c r="BW679" t="str">
        <f>"20:15:15.298"</f>
        <v>20:15:15.298</v>
      </c>
      <c r="BZ679">
        <v>0</v>
      </c>
      <c r="CA679">
        <v>2016</v>
      </c>
      <c r="CB679">
        <v>224</v>
      </c>
      <c r="CD679">
        <v>1</v>
      </c>
      <c r="CE679">
        <v>0</v>
      </c>
      <c r="CF679">
        <v>0</v>
      </c>
      <c r="CG679">
        <v>1</v>
      </c>
      <c r="CH679">
        <v>0</v>
      </c>
      <c r="CI679">
        <v>0</v>
      </c>
      <c r="CJ679">
        <v>0</v>
      </c>
      <c r="CK679">
        <v>2</v>
      </c>
      <c r="CL679">
        <v>0</v>
      </c>
      <c r="CM679">
        <v>2</v>
      </c>
      <c r="CN679">
        <v>0</v>
      </c>
      <c r="CO679">
        <v>3</v>
      </c>
      <c r="CP679" t="s">
        <v>119</v>
      </c>
      <c r="CQ679">
        <v>559</v>
      </c>
      <c r="CR679">
        <v>0</v>
      </c>
      <c r="CW679">
        <v>10422557</v>
      </c>
      <c r="CY679">
        <v>1</v>
      </c>
      <c r="CZ679">
        <v>0</v>
      </c>
      <c r="DA679">
        <v>1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</row>
    <row r="680" spans="1:113" x14ac:dyDescent="0.3">
      <c r="A680" t="str">
        <f>"02/08/2021 20:15:13.961"</f>
        <v>02/08/2021 20:15:13.961</v>
      </c>
      <c r="C680" t="str">
        <f t="shared" si="32"/>
        <v>FFDFD7C0</v>
      </c>
      <c r="D680" t="s">
        <v>113</v>
      </c>
      <c r="E680">
        <v>6</v>
      </c>
      <c r="H680">
        <v>165</v>
      </c>
      <c r="I680" t="s">
        <v>114</v>
      </c>
      <c r="J680" t="s">
        <v>115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>"20:15:16.297"</f>
        <v>20:15:16.297</v>
      </c>
      <c r="T680" t="str">
        <f>"20:15:15.397"</f>
        <v>20:15:15.397</v>
      </c>
      <c r="U680" t="str">
        <f t="shared" si="31"/>
        <v>AB01F4</v>
      </c>
      <c r="V680">
        <v>0</v>
      </c>
      <c r="W680">
        <v>0</v>
      </c>
      <c r="X680">
        <v>1</v>
      </c>
      <c r="Z680">
        <v>0</v>
      </c>
      <c r="AA680">
        <v>9</v>
      </c>
      <c r="AB680">
        <v>3</v>
      </c>
      <c r="AC680">
        <v>0</v>
      </c>
      <c r="AD680">
        <v>10</v>
      </c>
      <c r="AE680">
        <v>0</v>
      </c>
      <c r="AF680">
        <v>3</v>
      </c>
      <c r="AG680">
        <v>2</v>
      </c>
      <c r="AH680">
        <v>0</v>
      </c>
      <c r="AI680" t="s">
        <v>593</v>
      </c>
      <c r="AJ680">
        <v>39.627212999999998</v>
      </c>
      <c r="AK680" t="s">
        <v>594</v>
      </c>
      <c r="AL680">
        <v>-92.501835999999997</v>
      </c>
      <c r="AM680">
        <v>100</v>
      </c>
      <c r="AN680">
        <v>1700</v>
      </c>
      <c r="AO680" t="s">
        <v>118</v>
      </c>
      <c r="AP680">
        <v>-14</v>
      </c>
      <c r="AQ680">
        <v>136</v>
      </c>
      <c r="AR680">
        <v>-64</v>
      </c>
      <c r="AZ680">
        <v>1200</v>
      </c>
      <c r="BA680">
        <v>1</v>
      </c>
      <c r="BB680" t="str">
        <f t="shared" si="33"/>
        <v xml:space="preserve">N8080G  </v>
      </c>
      <c r="BC680">
        <v>1</v>
      </c>
      <c r="BE680">
        <v>0</v>
      </c>
      <c r="BF680">
        <v>0</v>
      </c>
      <c r="BG680">
        <v>0</v>
      </c>
      <c r="BH680">
        <v>1675</v>
      </c>
      <c r="BI680">
        <v>1</v>
      </c>
      <c r="BJ680">
        <v>1</v>
      </c>
      <c r="BK680">
        <v>1</v>
      </c>
      <c r="BL680">
        <v>0</v>
      </c>
      <c r="BO680">
        <v>0</v>
      </c>
      <c r="BP680">
        <v>0</v>
      </c>
      <c r="BW680" t="str">
        <f>"20:15:16.299"</f>
        <v>20:15:16.299</v>
      </c>
      <c r="BZ680">
        <v>0</v>
      </c>
      <c r="CA680">
        <v>2016</v>
      </c>
      <c r="CB680">
        <v>224</v>
      </c>
      <c r="CD680">
        <v>1</v>
      </c>
      <c r="CE680">
        <v>0</v>
      </c>
      <c r="CF680">
        <v>0</v>
      </c>
      <c r="CG680">
        <v>1</v>
      </c>
      <c r="CH680">
        <v>0</v>
      </c>
      <c r="CI680">
        <v>0</v>
      </c>
      <c r="CJ680">
        <v>0</v>
      </c>
      <c r="CK680">
        <v>2</v>
      </c>
      <c r="CL680">
        <v>0</v>
      </c>
      <c r="CM680">
        <v>2</v>
      </c>
      <c r="CN680">
        <v>0</v>
      </c>
      <c r="CO680">
        <v>3</v>
      </c>
      <c r="CP680" t="s">
        <v>119</v>
      </c>
      <c r="CQ680">
        <v>559</v>
      </c>
      <c r="CR680">
        <v>0</v>
      </c>
      <c r="CW680">
        <v>10422721</v>
      </c>
      <c r="CY680">
        <v>1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</row>
    <row r="681" spans="1:113" x14ac:dyDescent="0.3">
      <c r="A681" t="str">
        <f>"02/08/2021 20:15:13.961"</f>
        <v>02/08/2021 20:15:13.961</v>
      </c>
      <c r="C681" t="str">
        <f t="shared" si="32"/>
        <v>FFDFD7C0</v>
      </c>
      <c r="D681" t="s">
        <v>124</v>
      </c>
      <c r="E681">
        <v>13</v>
      </c>
      <c r="F681">
        <v>1013</v>
      </c>
      <c r="G681" t="s">
        <v>114</v>
      </c>
      <c r="J681" t="s">
        <v>125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>"20:15:16.297"</f>
        <v>20:15:16.297</v>
      </c>
      <c r="T681" t="str">
        <f>"20:15:15.397"</f>
        <v>20:15:15.397</v>
      </c>
      <c r="U681" t="str">
        <f t="shared" si="31"/>
        <v>AB01F4</v>
      </c>
      <c r="V681">
        <v>0</v>
      </c>
      <c r="W681">
        <v>0</v>
      </c>
      <c r="X681">
        <v>1</v>
      </c>
      <c r="Z681">
        <v>0</v>
      </c>
      <c r="AA681">
        <v>9</v>
      </c>
      <c r="AB681">
        <v>3</v>
      </c>
      <c r="AC681">
        <v>0</v>
      </c>
      <c r="AD681">
        <v>10</v>
      </c>
      <c r="AE681">
        <v>0</v>
      </c>
      <c r="AF681">
        <v>3</v>
      </c>
      <c r="AG681">
        <v>2</v>
      </c>
      <c r="AH681">
        <v>0</v>
      </c>
      <c r="AI681" t="s">
        <v>593</v>
      </c>
      <c r="AJ681">
        <v>39.627212999999998</v>
      </c>
      <c r="AK681" t="s">
        <v>594</v>
      </c>
      <c r="AL681">
        <v>-92.501835999999997</v>
      </c>
      <c r="AM681">
        <v>100</v>
      </c>
      <c r="AN681">
        <v>1700</v>
      </c>
      <c r="AO681" t="s">
        <v>118</v>
      </c>
      <c r="AP681">
        <v>-14</v>
      </c>
      <c r="AQ681">
        <v>136</v>
      </c>
      <c r="AR681">
        <v>-64</v>
      </c>
      <c r="AZ681">
        <v>1200</v>
      </c>
      <c r="BA681">
        <v>1</v>
      </c>
      <c r="BB681" t="str">
        <f t="shared" si="33"/>
        <v xml:space="preserve">N8080G  </v>
      </c>
      <c r="BC681">
        <v>1</v>
      </c>
      <c r="BE681">
        <v>0</v>
      </c>
      <c r="BF681">
        <v>0</v>
      </c>
      <c r="BG681">
        <v>0</v>
      </c>
      <c r="BH681">
        <v>1675</v>
      </c>
      <c r="BI681">
        <v>1</v>
      </c>
      <c r="BJ681">
        <v>1</v>
      </c>
      <c r="BK681">
        <v>1</v>
      </c>
      <c r="BL681">
        <v>0</v>
      </c>
      <c r="BO681">
        <v>0</v>
      </c>
      <c r="BP681">
        <v>0</v>
      </c>
      <c r="BW681" t="str">
        <f>"20:15:16.299"</f>
        <v>20:15:16.299</v>
      </c>
      <c r="BZ681">
        <v>0</v>
      </c>
      <c r="CA681">
        <v>2016</v>
      </c>
      <c r="CB681">
        <v>224</v>
      </c>
      <c r="CD681">
        <v>1</v>
      </c>
      <c r="CE681">
        <v>0</v>
      </c>
      <c r="CF681">
        <v>0</v>
      </c>
      <c r="CG681">
        <v>1</v>
      </c>
      <c r="CH681">
        <v>0</v>
      </c>
      <c r="CI681">
        <v>0</v>
      </c>
      <c r="CJ681">
        <v>0</v>
      </c>
      <c r="CK681">
        <v>2</v>
      </c>
      <c r="CL681">
        <v>0</v>
      </c>
      <c r="CM681">
        <v>2</v>
      </c>
      <c r="CN681">
        <v>0</v>
      </c>
      <c r="CO681">
        <v>3</v>
      </c>
      <c r="CP681" t="s">
        <v>119</v>
      </c>
      <c r="CQ681">
        <v>559</v>
      </c>
      <c r="CR681">
        <v>0</v>
      </c>
      <c r="CW681">
        <v>10422721</v>
      </c>
      <c r="CY681">
        <v>1</v>
      </c>
      <c r="CZ681">
        <v>0</v>
      </c>
      <c r="DA681">
        <v>1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</row>
    <row r="682" spans="1:113" x14ac:dyDescent="0.3">
      <c r="A682" t="str">
        <f>"02/08/2021 20:15:13.961"</f>
        <v>02/08/2021 20:15:13.961</v>
      </c>
      <c r="C682" t="str">
        <f t="shared" si="32"/>
        <v>FFDFD7C0</v>
      </c>
      <c r="D682" t="s">
        <v>141</v>
      </c>
      <c r="E682">
        <v>17</v>
      </c>
      <c r="H682">
        <v>256</v>
      </c>
      <c r="I682" t="s">
        <v>142</v>
      </c>
      <c r="J682" t="s">
        <v>143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>"20:15:16.297"</f>
        <v>20:15:16.297</v>
      </c>
      <c r="T682" t="str">
        <f>"20:15:15.397"</f>
        <v>20:15:15.397</v>
      </c>
      <c r="U682" t="str">
        <f t="shared" si="31"/>
        <v>AB01F4</v>
      </c>
      <c r="V682">
        <v>0</v>
      </c>
      <c r="W682">
        <v>0</v>
      </c>
      <c r="X682">
        <v>1</v>
      </c>
      <c r="Z682">
        <v>0</v>
      </c>
      <c r="AA682">
        <v>9</v>
      </c>
      <c r="AB682">
        <v>3</v>
      </c>
      <c r="AC682">
        <v>0</v>
      </c>
      <c r="AD682">
        <v>10</v>
      </c>
      <c r="AE682">
        <v>0</v>
      </c>
      <c r="AF682">
        <v>3</v>
      </c>
      <c r="AG682">
        <v>2</v>
      </c>
      <c r="AH682">
        <v>0</v>
      </c>
      <c r="AI682" t="s">
        <v>593</v>
      </c>
      <c r="AJ682">
        <v>39.627212999999998</v>
      </c>
      <c r="AK682" t="s">
        <v>594</v>
      </c>
      <c r="AL682">
        <v>-92.501835999999997</v>
      </c>
      <c r="AM682">
        <v>100</v>
      </c>
      <c r="AN682">
        <v>1700</v>
      </c>
      <c r="AO682" t="s">
        <v>118</v>
      </c>
      <c r="AP682">
        <v>-14</v>
      </c>
      <c r="AQ682">
        <v>136</v>
      </c>
      <c r="AR682">
        <v>-64</v>
      </c>
      <c r="AZ682">
        <v>1200</v>
      </c>
      <c r="BA682">
        <v>1</v>
      </c>
      <c r="BB682" t="str">
        <f t="shared" si="33"/>
        <v xml:space="preserve">N8080G  </v>
      </c>
      <c r="BC682">
        <v>1</v>
      </c>
      <c r="BE682">
        <v>0</v>
      </c>
      <c r="BF682">
        <v>0</v>
      </c>
      <c r="BG682">
        <v>0</v>
      </c>
      <c r="BH682">
        <v>1675</v>
      </c>
      <c r="BI682">
        <v>1</v>
      </c>
      <c r="BJ682">
        <v>1</v>
      </c>
      <c r="BK682">
        <v>1</v>
      </c>
      <c r="BL682">
        <v>0</v>
      </c>
      <c r="BO682">
        <v>0</v>
      </c>
      <c r="BP682">
        <v>0</v>
      </c>
      <c r="BW682" t="str">
        <f>"20:15:16.299"</f>
        <v>20:15:16.299</v>
      </c>
      <c r="BZ682">
        <v>0</v>
      </c>
      <c r="CA682">
        <v>2016</v>
      </c>
      <c r="CB682">
        <v>224</v>
      </c>
      <c r="CD682">
        <v>1</v>
      </c>
      <c r="CE682">
        <v>0</v>
      </c>
      <c r="CF682">
        <v>0</v>
      </c>
      <c r="CG682">
        <v>1</v>
      </c>
      <c r="CH682">
        <v>0</v>
      </c>
      <c r="CI682">
        <v>0</v>
      </c>
      <c r="CJ682">
        <v>0</v>
      </c>
      <c r="CK682">
        <v>2</v>
      </c>
      <c r="CL682">
        <v>0</v>
      </c>
      <c r="CM682">
        <v>2</v>
      </c>
      <c r="CN682">
        <v>0</v>
      </c>
      <c r="CO682">
        <v>3</v>
      </c>
      <c r="CP682" t="s">
        <v>119</v>
      </c>
      <c r="CQ682">
        <v>559</v>
      </c>
      <c r="CR682">
        <v>0</v>
      </c>
      <c r="CW682">
        <v>10422721</v>
      </c>
      <c r="CY682">
        <v>1</v>
      </c>
      <c r="CZ682">
        <v>0</v>
      </c>
      <c r="DA682">
        <v>1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</row>
    <row r="683" spans="1:113" x14ac:dyDescent="0.3">
      <c r="A683" t="str">
        <f>"02/08/2021 20:15:15.011"</f>
        <v>02/08/2021 20:15:15.011</v>
      </c>
      <c r="C683" t="str">
        <f t="shared" si="32"/>
        <v>FFDFD7C0</v>
      </c>
      <c r="D683" t="s">
        <v>124</v>
      </c>
      <c r="E683">
        <v>11</v>
      </c>
      <c r="F683">
        <v>1011</v>
      </c>
      <c r="G683" t="s">
        <v>590</v>
      </c>
      <c r="J683" t="s">
        <v>125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>"20:15:17.297"</f>
        <v>20:15:17.297</v>
      </c>
      <c r="T683" t="str">
        <f>"20:15:16.897"</f>
        <v>20:15:16.897</v>
      </c>
      <c r="U683" t="str">
        <f t="shared" si="31"/>
        <v>AB01F4</v>
      </c>
      <c r="V683">
        <v>0</v>
      </c>
      <c r="W683">
        <v>0</v>
      </c>
      <c r="X683">
        <v>1</v>
      </c>
      <c r="Z683">
        <v>0</v>
      </c>
      <c r="AA683">
        <v>9</v>
      </c>
      <c r="AB683">
        <v>3</v>
      </c>
      <c r="AC683">
        <v>0</v>
      </c>
      <c r="AD683">
        <v>10</v>
      </c>
      <c r="AE683">
        <v>0</v>
      </c>
      <c r="AF683">
        <v>3</v>
      </c>
      <c r="AG683">
        <v>2</v>
      </c>
      <c r="AH683">
        <v>0</v>
      </c>
      <c r="AI683" t="s">
        <v>595</v>
      </c>
      <c r="AJ683">
        <v>39.627879</v>
      </c>
      <c r="AK683" t="s">
        <v>596</v>
      </c>
      <c r="AL683">
        <v>-92.501900000000006</v>
      </c>
      <c r="AM683">
        <v>100</v>
      </c>
      <c r="AN683">
        <v>1700</v>
      </c>
      <c r="AO683" t="s">
        <v>118</v>
      </c>
      <c r="AP683">
        <v>-15</v>
      </c>
      <c r="AQ683">
        <v>136</v>
      </c>
      <c r="AR683">
        <v>-64</v>
      </c>
      <c r="AZ683">
        <v>1200</v>
      </c>
      <c r="BA683">
        <v>1</v>
      </c>
      <c r="BB683" t="str">
        <f t="shared" si="33"/>
        <v xml:space="preserve">N8080G  </v>
      </c>
      <c r="BC683">
        <v>1</v>
      </c>
      <c r="BE683">
        <v>0</v>
      </c>
      <c r="BF683">
        <v>0</v>
      </c>
      <c r="BG683">
        <v>0</v>
      </c>
      <c r="BH683">
        <v>1675</v>
      </c>
      <c r="BI683">
        <v>1</v>
      </c>
      <c r="BJ683">
        <v>1</v>
      </c>
      <c r="BK683">
        <v>1</v>
      </c>
      <c r="BL683">
        <v>0</v>
      </c>
      <c r="BO683">
        <v>0</v>
      </c>
      <c r="BP683">
        <v>0</v>
      </c>
      <c r="BW683" t="str">
        <f>"20:15:17.301"</f>
        <v>20:15:17.301</v>
      </c>
      <c r="BZ683">
        <v>0</v>
      </c>
      <c r="CA683">
        <v>2016</v>
      </c>
      <c r="CB683">
        <v>224</v>
      </c>
      <c r="CD683">
        <v>1</v>
      </c>
      <c r="CE683">
        <v>0</v>
      </c>
      <c r="CF683">
        <v>0</v>
      </c>
      <c r="CG683">
        <v>1</v>
      </c>
      <c r="CH683">
        <v>0</v>
      </c>
      <c r="CI683">
        <v>0</v>
      </c>
      <c r="CJ683">
        <v>0</v>
      </c>
      <c r="CK683">
        <v>2</v>
      </c>
      <c r="CL683">
        <v>0</v>
      </c>
      <c r="CM683">
        <v>2</v>
      </c>
      <c r="CN683">
        <v>0</v>
      </c>
      <c r="CO683">
        <v>6</v>
      </c>
      <c r="CP683" t="s">
        <v>119</v>
      </c>
      <c r="CQ683">
        <v>180</v>
      </c>
      <c r="CR683">
        <v>1</v>
      </c>
      <c r="CW683">
        <v>10474984</v>
      </c>
      <c r="CY683">
        <v>1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</row>
    <row r="684" spans="1:113" x14ac:dyDescent="0.3">
      <c r="A684" t="str">
        <f>"02/08/2021 20:15:15.011"</f>
        <v>02/08/2021 20:15:15.011</v>
      </c>
      <c r="C684" t="str">
        <f t="shared" si="32"/>
        <v>FFDFD7C0</v>
      </c>
      <c r="D684" t="s">
        <v>113</v>
      </c>
      <c r="E684">
        <v>6</v>
      </c>
      <c r="H684">
        <v>165</v>
      </c>
      <c r="I684" t="s">
        <v>114</v>
      </c>
      <c r="J684" t="s">
        <v>115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>"20:15:17.297"</f>
        <v>20:15:17.297</v>
      </c>
      <c r="T684" t="str">
        <f>"20:15:16.897"</f>
        <v>20:15:16.897</v>
      </c>
      <c r="U684" t="str">
        <f t="shared" si="31"/>
        <v>AB01F4</v>
      </c>
      <c r="V684">
        <v>0</v>
      </c>
      <c r="W684">
        <v>0</v>
      </c>
      <c r="X684">
        <v>1</v>
      </c>
      <c r="Z684">
        <v>0</v>
      </c>
      <c r="AA684">
        <v>9</v>
      </c>
      <c r="AB684">
        <v>3</v>
      </c>
      <c r="AC684">
        <v>0</v>
      </c>
      <c r="AD684">
        <v>10</v>
      </c>
      <c r="AE684">
        <v>0</v>
      </c>
      <c r="AF684">
        <v>3</v>
      </c>
      <c r="AG684">
        <v>2</v>
      </c>
      <c r="AH684">
        <v>0</v>
      </c>
      <c r="AI684" t="s">
        <v>595</v>
      </c>
      <c r="AJ684">
        <v>39.627879</v>
      </c>
      <c r="AK684" t="s">
        <v>596</v>
      </c>
      <c r="AL684">
        <v>-92.501900000000006</v>
      </c>
      <c r="AM684">
        <v>100</v>
      </c>
      <c r="AN684">
        <v>1700</v>
      </c>
      <c r="AO684" t="s">
        <v>118</v>
      </c>
      <c r="AP684">
        <v>-15</v>
      </c>
      <c r="AQ684">
        <v>136</v>
      </c>
      <c r="AR684">
        <v>-64</v>
      </c>
      <c r="AZ684">
        <v>1200</v>
      </c>
      <c r="BA684">
        <v>1</v>
      </c>
      <c r="BB684" t="str">
        <f t="shared" si="33"/>
        <v xml:space="preserve">N8080G  </v>
      </c>
      <c r="BC684">
        <v>1</v>
      </c>
      <c r="BE684">
        <v>0</v>
      </c>
      <c r="BF684">
        <v>0</v>
      </c>
      <c r="BG684">
        <v>0</v>
      </c>
      <c r="BH684">
        <v>1675</v>
      </c>
      <c r="BI684">
        <v>1</v>
      </c>
      <c r="BJ684">
        <v>1</v>
      </c>
      <c r="BK684">
        <v>1</v>
      </c>
      <c r="BL684">
        <v>0</v>
      </c>
      <c r="BO684">
        <v>0</v>
      </c>
      <c r="BP684">
        <v>0</v>
      </c>
      <c r="BW684" t="str">
        <f>"20:15:17.301"</f>
        <v>20:15:17.301</v>
      </c>
      <c r="BZ684">
        <v>0</v>
      </c>
      <c r="CA684">
        <v>2016</v>
      </c>
      <c r="CB684">
        <v>224</v>
      </c>
      <c r="CD684">
        <v>1</v>
      </c>
      <c r="CE684">
        <v>0</v>
      </c>
      <c r="CF684">
        <v>0</v>
      </c>
      <c r="CG684">
        <v>1</v>
      </c>
      <c r="CH684">
        <v>0</v>
      </c>
      <c r="CI684">
        <v>0</v>
      </c>
      <c r="CJ684">
        <v>0</v>
      </c>
      <c r="CK684">
        <v>2</v>
      </c>
      <c r="CL684">
        <v>0</v>
      </c>
      <c r="CM684">
        <v>2</v>
      </c>
      <c r="CN684">
        <v>0</v>
      </c>
      <c r="CO684">
        <v>6</v>
      </c>
      <c r="CP684" t="s">
        <v>119</v>
      </c>
      <c r="CQ684">
        <v>180</v>
      </c>
      <c r="CR684">
        <v>1</v>
      </c>
      <c r="CW684">
        <v>10474984</v>
      </c>
      <c r="CY684">
        <v>1</v>
      </c>
      <c r="CZ684">
        <v>0</v>
      </c>
      <c r="DA684">
        <v>1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</row>
    <row r="685" spans="1:113" x14ac:dyDescent="0.3">
      <c r="A685" t="str">
        <f>"02/08/2021 20:15:15.011"</f>
        <v>02/08/2021 20:15:15.011</v>
      </c>
      <c r="C685" t="str">
        <f t="shared" si="32"/>
        <v>FFDFD7C0</v>
      </c>
      <c r="D685" t="s">
        <v>124</v>
      </c>
      <c r="E685">
        <v>13</v>
      </c>
      <c r="F685">
        <v>1013</v>
      </c>
      <c r="G685" t="s">
        <v>114</v>
      </c>
      <c r="J685" t="s">
        <v>125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>"20:15:17.297"</f>
        <v>20:15:17.297</v>
      </c>
      <c r="T685" t="str">
        <f>"20:15:16.897"</f>
        <v>20:15:16.897</v>
      </c>
      <c r="U685" t="str">
        <f t="shared" si="31"/>
        <v>AB01F4</v>
      </c>
      <c r="V685">
        <v>0</v>
      </c>
      <c r="W685">
        <v>0</v>
      </c>
      <c r="X685">
        <v>1</v>
      </c>
      <c r="Z685">
        <v>0</v>
      </c>
      <c r="AA685">
        <v>9</v>
      </c>
      <c r="AB685">
        <v>3</v>
      </c>
      <c r="AC685">
        <v>0</v>
      </c>
      <c r="AD685">
        <v>10</v>
      </c>
      <c r="AE685">
        <v>0</v>
      </c>
      <c r="AF685">
        <v>3</v>
      </c>
      <c r="AG685">
        <v>2</v>
      </c>
      <c r="AH685">
        <v>0</v>
      </c>
      <c r="AI685" t="s">
        <v>595</v>
      </c>
      <c r="AJ685">
        <v>39.627879</v>
      </c>
      <c r="AK685" t="s">
        <v>596</v>
      </c>
      <c r="AL685">
        <v>-92.501900000000006</v>
      </c>
      <c r="AM685">
        <v>100</v>
      </c>
      <c r="AN685">
        <v>1700</v>
      </c>
      <c r="AO685" t="s">
        <v>118</v>
      </c>
      <c r="AP685">
        <v>-15</v>
      </c>
      <c r="AQ685">
        <v>136</v>
      </c>
      <c r="AR685">
        <v>-64</v>
      </c>
      <c r="AZ685">
        <v>1200</v>
      </c>
      <c r="BA685">
        <v>1</v>
      </c>
      <c r="BB685" t="str">
        <f t="shared" si="33"/>
        <v xml:space="preserve">N8080G  </v>
      </c>
      <c r="BC685">
        <v>1</v>
      </c>
      <c r="BE685">
        <v>0</v>
      </c>
      <c r="BF685">
        <v>0</v>
      </c>
      <c r="BG685">
        <v>0</v>
      </c>
      <c r="BH685">
        <v>1675</v>
      </c>
      <c r="BI685">
        <v>1</v>
      </c>
      <c r="BJ685">
        <v>1</v>
      </c>
      <c r="BK685">
        <v>1</v>
      </c>
      <c r="BL685">
        <v>0</v>
      </c>
      <c r="BO685">
        <v>0</v>
      </c>
      <c r="BP685">
        <v>0</v>
      </c>
      <c r="BW685" t="str">
        <f>"20:15:17.301"</f>
        <v>20:15:17.301</v>
      </c>
      <c r="BZ685">
        <v>0</v>
      </c>
      <c r="CA685">
        <v>2016</v>
      </c>
      <c r="CB685">
        <v>224</v>
      </c>
      <c r="CD685">
        <v>1</v>
      </c>
      <c r="CE685">
        <v>0</v>
      </c>
      <c r="CF685">
        <v>0</v>
      </c>
      <c r="CG685">
        <v>1</v>
      </c>
      <c r="CH685">
        <v>0</v>
      </c>
      <c r="CI685">
        <v>0</v>
      </c>
      <c r="CJ685">
        <v>0</v>
      </c>
      <c r="CK685">
        <v>2</v>
      </c>
      <c r="CL685">
        <v>0</v>
      </c>
      <c r="CM685">
        <v>2</v>
      </c>
      <c r="CN685">
        <v>0</v>
      </c>
      <c r="CO685">
        <v>6</v>
      </c>
      <c r="CP685" t="s">
        <v>119</v>
      </c>
      <c r="CQ685">
        <v>180</v>
      </c>
      <c r="CR685">
        <v>1</v>
      </c>
      <c r="CW685">
        <v>10474984</v>
      </c>
      <c r="CY685">
        <v>1</v>
      </c>
      <c r="CZ685">
        <v>0</v>
      </c>
      <c r="DA685">
        <v>1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</row>
    <row r="686" spans="1:113" x14ac:dyDescent="0.3">
      <c r="A686" t="str">
        <f>"02/08/2021 20:15:16.083"</f>
        <v>02/08/2021 20:15:16.083</v>
      </c>
      <c r="C686" t="str">
        <f t="shared" si="32"/>
        <v>FFDFD7C0</v>
      </c>
      <c r="D686" t="s">
        <v>113</v>
      </c>
      <c r="E686">
        <v>6</v>
      </c>
      <c r="H686">
        <v>165</v>
      </c>
      <c r="I686" t="s">
        <v>114</v>
      </c>
      <c r="J686" t="s">
        <v>115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>"20:15:18.414"</f>
        <v>20:15:18.414</v>
      </c>
      <c r="T686" t="str">
        <f>"20:15:17.914"</f>
        <v>20:15:17.914</v>
      </c>
      <c r="U686" t="str">
        <f t="shared" si="31"/>
        <v>AB01F4</v>
      </c>
      <c r="V686">
        <v>0</v>
      </c>
      <c r="W686">
        <v>0</v>
      </c>
      <c r="X686">
        <v>1</v>
      </c>
      <c r="Z686">
        <v>0</v>
      </c>
      <c r="AA686">
        <v>9</v>
      </c>
      <c r="AB686">
        <v>3</v>
      </c>
      <c r="AC686">
        <v>0</v>
      </c>
      <c r="AD686">
        <v>10</v>
      </c>
      <c r="AE686">
        <v>0</v>
      </c>
      <c r="AF686">
        <v>3</v>
      </c>
      <c r="AG686">
        <v>2</v>
      </c>
      <c r="AH686">
        <v>0</v>
      </c>
      <c r="AI686" t="s">
        <v>597</v>
      </c>
      <c r="AJ686">
        <v>39.628608</v>
      </c>
      <c r="AK686" t="s">
        <v>598</v>
      </c>
      <c r="AL686">
        <v>-92.502007000000006</v>
      </c>
      <c r="AM686">
        <v>100</v>
      </c>
      <c r="AN686">
        <v>1700</v>
      </c>
      <c r="AO686" t="s">
        <v>118</v>
      </c>
      <c r="AP686">
        <v>-15</v>
      </c>
      <c r="AQ686">
        <v>136</v>
      </c>
      <c r="AR686">
        <v>-128</v>
      </c>
      <c r="AZ686">
        <v>1200</v>
      </c>
      <c r="BA686">
        <v>1</v>
      </c>
      <c r="BB686" t="str">
        <f t="shared" si="33"/>
        <v xml:space="preserve">N8080G  </v>
      </c>
      <c r="BC686">
        <v>1</v>
      </c>
      <c r="BE686">
        <v>0</v>
      </c>
      <c r="BF686">
        <v>0</v>
      </c>
      <c r="BG686">
        <v>0</v>
      </c>
      <c r="BH686">
        <v>1650</v>
      </c>
      <c r="BI686">
        <v>1</v>
      </c>
      <c r="BJ686">
        <v>1</v>
      </c>
      <c r="BK686">
        <v>1</v>
      </c>
      <c r="BL686">
        <v>0</v>
      </c>
      <c r="BO686">
        <v>0</v>
      </c>
      <c r="BP686">
        <v>0</v>
      </c>
      <c r="BW686" t="str">
        <f>"20:15:18.419"</f>
        <v>20:15:18.419</v>
      </c>
      <c r="BZ686">
        <v>0</v>
      </c>
      <c r="CA686">
        <v>2016</v>
      </c>
      <c r="CB686">
        <v>224</v>
      </c>
      <c r="CD686">
        <v>1</v>
      </c>
      <c r="CE686">
        <v>0</v>
      </c>
      <c r="CF686">
        <v>0</v>
      </c>
      <c r="CG686">
        <v>1</v>
      </c>
      <c r="CH686">
        <v>0</v>
      </c>
      <c r="CI686">
        <v>0</v>
      </c>
      <c r="CJ686">
        <v>0</v>
      </c>
      <c r="CK686">
        <v>2</v>
      </c>
      <c r="CL686">
        <v>0</v>
      </c>
      <c r="CM686">
        <v>2</v>
      </c>
      <c r="CN686">
        <v>0</v>
      </c>
      <c r="CO686">
        <v>6</v>
      </c>
      <c r="CP686" t="s">
        <v>119</v>
      </c>
      <c r="CQ686">
        <v>180</v>
      </c>
      <c r="CR686">
        <v>2</v>
      </c>
      <c r="CW686">
        <v>7931425</v>
      </c>
      <c r="CY686">
        <v>1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</row>
    <row r="687" spans="1:113" x14ac:dyDescent="0.3">
      <c r="A687" t="str">
        <f>"02/08/2021 20:15:16.083"</f>
        <v>02/08/2021 20:15:16.083</v>
      </c>
      <c r="C687" t="str">
        <f t="shared" si="32"/>
        <v>FFDFD7C0</v>
      </c>
      <c r="D687" t="s">
        <v>124</v>
      </c>
      <c r="E687">
        <v>13</v>
      </c>
      <c r="F687">
        <v>1013</v>
      </c>
      <c r="G687" t="s">
        <v>114</v>
      </c>
      <c r="J687" t="s">
        <v>125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>"20:15:18.414"</f>
        <v>20:15:18.414</v>
      </c>
      <c r="T687" t="str">
        <f>"20:15:17.914"</f>
        <v>20:15:17.914</v>
      </c>
      <c r="U687" t="str">
        <f t="shared" si="31"/>
        <v>AB01F4</v>
      </c>
      <c r="V687">
        <v>0</v>
      </c>
      <c r="W687">
        <v>0</v>
      </c>
      <c r="X687">
        <v>1</v>
      </c>
      <c r="Z687">
        <v>0</v>
      </c>
      <c r="AA687">
        <v>9</v>
      </c>
      <c r="AB687">
        <v>3</v>
      </c>
      <c r="AC687">
        <v>0</v>
      </c>
      <c r="AD687">
        <v>10</v>
      </c>
      <c r="AE687">
        <v>0</v>
      </c>
      <c r="AF687">
        <v>3</v>
      </c>
      <c r="AG687">
        <v>2</v>
      </c>
      <c r="AH687">
        <v>0</v>
      </c>
      <c r="AI687" t="s">
        <v>597</v>
      </c>
      <c r="AJ687">
        <v>39.628608</v>
      </c>
      <c r="AK687" t="s">
        <v>598</v>
      </c>
      <c r="AL687">
        <v>-92.502007000000006</v>
      </c>
      <c r="AM687">
        <v>100</v>
      </c>
      <c r="AN687">
        <v>1700</v>
      </c>
      <c r="AO687" t="s">
        <v>118</v>
      </c>
      <c r="AP687">
        <v>-15</v>
      </c>
      <c r="AQ687">
        <v>136</v>
      </c>
      <c r="AR687">
        <v>-128</v>
      </c>
      <c r="AZ687">
        <v>1200</v>
      </c>
      <c r="BA687">
        <v>1</v>
      </c>
      <c r="BB687" t="str">
        <f t="shared" si="33"/>
        <v xml:space="preserve">N8080G  </v>
      </c>
      <c r="BC687">
        <v>1</v>
      </c>
      <c r="BE687">
        <v>0</v>
      </c>
      <c r="BF687">
        <v>0</v>
      </c>
      <c r="BG687">
        <v>0</v>
      </c>
      <c r="BH687">
        <v>1650</v>
      </c>
      <c r="BI687">
        <v>1</v>
      </c>
      <c r="BJ687">
        <v>1</v>
      </c>
      <c r="BK687">
        <v>1</v>
      </c>
      <c r="BL687">
        <v>0</v>
      </c>
      <c r="BO687">
        <v>0</v>
      </c>
      <c r="BP687">
        <v>0</v>
      </c>
      <c r="BW687" t="str">
        <f>"20:15:18.419"</f>
        <v>20:15:18.419</v>
      </c>
      <c r="BZ687">
        <v>0</v>
      </c>
      <c r="CA687">
        <v>2016</v>
      </c>
      <c r="CB687">
        <v>224</v>
      </c>
      <c r="CD687">
        <v>1</v>
      </c>
      <c r="CE687">
        <v>0</v>
      </c>
      <c r="CF687">
        <v>0</v>
      </c>
      <c r="CG687">
        <v>1</v>
      </c>
      <c r="CH687">
        <v>0</v>
      </c>
      <c r="CI687">
        <v>0</v>
      </c>
      <c r="CJ687">
        <v>0</v>
      </c>
      <c r="CK687">
        <v>2</v>
      </c>
      <c r="CL687">
        <v>0</v>
      </c>
      <c r="CM687">
        <v>2</v>
      </c>
      <c r="CN687">
        <v>0</v>
      </c>
      <c r="CO687">
        <v>6</v>
      </c>
      <c r="CP687" t="s">
        <v>119</v>
      </c>
      <c r="CQ687">
        <v>180</v>
      </c>
      <c r="CR687">
        <v>2</v>
      </c>
      <c r="CW687">
        <v>7931425</v>
      </c>
      <c r="CY687">
        <v>1</v>
      </c>
      <c r="CZ687">
        <v>0</v>
      </c>
      <c r="DA687">
        <v>1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</row>
    <row r="688" spans="1:113" x14ac:dyDescent="0.3">
      <c r="A688" t="str">
        <f>"02/08/2021 20:15:16.083"</f>
        <v>02/08/2021 20:15:16.083</v>
      </c>
      <c r="C688" t="str">
        <f t="shared" si="32"/>
        <v>FFDFD7C0</v>
      </c>
      <c r="D688" t="s">
        <v>124</v>
      </c>
      <c r="E688">
        <v>11</v>
      </c>
      <c r="F688">
        <v>1011</v>
      </c>
      <c r="G688" t="s">
        <v>590</v>
      </c>
      <c r="J688" t="s">
        <v>125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>"20:15:18.414"</f>
        <v>20:15:18.414</v>
      </c>
      <c r="T688" t="str">
        <f>"20:15:17.914"</f>
        <v>20:15:17.914</v>
      </c>
      <c r="U688" t="str">
        <f t="shared" si="31"/>
        <v>AB01F4</v>
      </c>
      <c r="V688">
        <v>0</v>
      </c>
      <c r="W688">
        <v>0</v>
      </c>
      <c r="X688">
        <v>1</v>
      </c>
      <c r="Z688">
        <v>0</v>
      </c>
      <c r="AA688">
        <v>9</v>
      </c>
      <c r="AB688">
        <v>3</v>
      </c>
      <c r="AC688">
        <v>0</v>
      </c>
      <c r="AD688">
        <v>10</v>
      </c>
      <c r="AE688">
        <v>0</v>
      </c>
      <c r="AF688">
        <v>3</v>
      </c>
      <c r="AG688">
        <v>2</v>
      </c>
      <c r="AH688">
        <v>0</v>
      </c>
      <c r="AI688" t="s">
        <v>597</v>
      </c>
      <c r="AJ688">
        <v>39.628608</v>
      </c>
      <c r="AK688" t="s">
        <v>598</v>
      </c>
      <c r="AL688">
        <v>-92.502007000000006</v>
      </c>
      <c r="AM688">
        <v>100</v>
      </c>
      <c r="AN688">
        <v>1700</v>
      </c>
      <c r="AO688" t="s">
        <v>118</v>
      </c>
      <c r="AP688">
        <v>-15</v>
      </c>
      <c r="AQ688">
        <v>136</v>
      </c>
      <c r="AR688">
        <v>-128</v>
      </c>
      <c r="AZ688">
        <v>1200</v>
      </c>
      <c r="BA688">
        <v>1</v>
      </c>
      <c r="BB688" t="str">
        <f t="shared" si="33"/>
        <v xml:space="preserve">N8080G  </v>
      </c>
      <c r="BC688">
        <v>1</v>
      </c>
      <c r="BE688">
        <v>0</v>
      </c>
      <c r="BF688">
        <v>0</v>
      </c>
      <c r="BG688">
        <v>0</v>
      </c>
      <c r="BH688">
        <v>1650</v>
      </c>
      <c r="BI688">
        <v>1</v>
      </c>
      <c r="BJ688">
        <v>1</v>
      </c>
      <c r="BK688">
        <v>1</v>
      </c>
      <c r="BL688">
        <v>0</v>
      </c>
      <c r="BO688">
        <v>0</v>
      </c>
      <c r="BP688">
        <v>0</v>
      </c>
      <c r="BW688" t="str">
        <f>"20:15:18.419"</f>
        <v>20:15:18.419</v>
      </c>
      <c r="BZ688">
        <v>0</v>
      </c>
      <c r="CA688">
        <v>2016</v>
      </c>
      <c r="CB688">
        <v>224</v>
      </c>
      <c r="CD688">
        <v>1</v>
      </c>
      <c r="CE688">
        <v>0</v>
      </c>
      <c r="CF688">
        <v>0</v>
      </c>
      <c r="CG688">
        <v>1</v>
      </c>
      <c r="CH688">
        <v>0</v>
      </c>
      <c r="CI688">
        <v>0</v>
      </c>
      <c r="CJ688">
        <v>0</v>
      </c>
      <c r="CK688">
        <v>2</v>
      </c>
      <c r="CL688">
        <v>0</v>
      </c>
      <c r="CM688">
        <v>2</v>
      </c>
      <c r="CN688">
        <v>0</v>
      </c>
      <c r="CO688">
        <v>6</v>
      </c>
      <c r="CP688" t="s">
        <v>119</v>
      </c>
      <c r="CQ688">
        <v>180</v>
      </c>
      <c r="CR688">
        <v>2</v>
      </c>
      <c r="CW688">
        <v>7931425</v>
      </c>
      <c r="CY688">
        <v>1</v>
      </c>
      <c r="CZ688">
        <v>0</v>
      </c>
      <c r="DA688">
        <v>1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</row>
    <row r="689" spans="1:113" x14ac:dyDescent="0.3">
      <c r="A689" t="str">
        <f>"02/08/2021 20:15:17.139"</f>
        <v>02/08/2021 20:15:17.139</v>
      </c>
      <c r="C689" t="str">
        <f t="shared" si="32"/>
        <v>FFDFD7C0</v>
      </c>
      <c r="D689" t="s">
        <v>124</v>
      </c>
      <c r="E689">
        <v>13</v>
      </c>
      <c r="F689">
        <v>1013</v>
      </c>
      <c r="G689" t="s">
        <v>114</v>
      </c>
      <c r="J689" t="s">
        <v>125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>"20:15:19.438"</f>
        <v>20:15:19.438</v>
      </c>
      <c r="T689" t="str">
        <f>"20:15:18.438"</f>
        <v>20:15:18.438</v>
      </c>
      <c r="U689" t="str">
        <f t="shared" si="31"/>
        <v>AB01F4</v>
      </c>
      <c r="V689">
        <v>0</v>
      </c>
      <c r="W689">
        <v>0</v>
      </c>
      <c r="X689">
        <v>1</v>
      </c>
      <c r="Z689">
        <v>0</v>
      </c>
      <c r="AA689">
        <v>9</v>
      </c>
      <c r="AB689">
        <v>3</v>
      </c>
      <c r="AC689">
        <v>0</v>
      </c>
      <c r="AD689">
        <v>10</v>
      </c>
      <c r="AE689">
        <v>0</v>
      </c>
      <c r="AF689">
        <v>3</v>
      </c>
      <c r="AG689">
        <v>2</v>
      </c>
      <c r="AH689">
        <v>0</v>
      </c>
      <c r="AI689" t="s">
        <v>599</v>
      </c>
      <c r="AJ689">
        <v>39.629272999999998</v>
      </c>
      <c r="AK689" t="s">
        <v>600</v>
      </c>
      <c r="AL689">
        <v>-92.502135999999993</v>
      </c>
      <c r="AM689">
        <v>100</v>
      </c>
      <c r="AN689">
        <v>1700</v>
      </c>
      <c r="AO689" t="s">
        <v>118</v>
      </c>
      <c r="AP689">
        <v>-16</v>
      </c>
      <c r="AQ689">
        <v>136</v>
      </c>
      <c r="AR689">
        <v>-128</v>
      </c>
      <c r="AZ689">
        <v>1200</v>
      </c>
      <c r="BA689">
        <v>1</v>
      </c>
      <c r="BB689" t="str">
        <f t="shared" si="33"/>
        <v xml:space="preserve">N8080G  </v>
      </c>
      <c r="BC689">
        <v>1</v>
      </c>
      <c r="BE689">
        <v>0</v>
      </c>
      <c r="BF689">
        <v>0</v>
      </c>
      <c r="BG689">
        <v>0</v>
      </c>
      <c r="BH689">
        <v>1650</v>
      </c>
      <c r="BI689">
        <v>1</v>
      </c>
      <c r="BJ689">
        <v>1</v>
      </c>
      <c r="BK689">
        <v>1</v>
      </c>
      <c r="BL689">
        <v>0</v>
      </c>
      <c r="BO689">
        <v>0</v>
      </c>
      <c r="BP689">
        <v>0</v>
      </c>
      <c r="BW689" t="str">
        <f>"20:15:19.441"</f>
        <v>20:15:19.441</v>
      </c>
      <c r="BZ689">
        <v>0</v>
      </c>
      <c r="CA689">
        <v>2016</v>
      </c>
      <c r="CB689">
        <v>224</v>
      </c>
      <c r="CD689">
        <v>1</v>
      </c>
      <c r="CE689">
        <v>0</v>
      </c>
      <c r="CF689">
        <v>0</v>
      </c>
      <c r="CG689">
        <v>1</v>
      </c>
      <c r="CH689">
        <v>0</v>
      </c>
      <c r="CI689">
        <v>0</v>
      </c>
      <c r="CJ689">
        <v>0</v>
      </c>
      <c r="CK689">
        <v>2</v>
      </c>
      <c r="CL689">
        <v>0</v>
      </c>
      <c r="CM689">
        <v>2</v>
      </c>
      <c r="CN689">
        <v>0</v>
      </c>
      <c r="CO689">
        <v>3</v>
      </c>
      <c r="CP689" t="s">
        <v>119</v>
      </c>
      <c r="CQ689">
        <v>559</v>
      </c>
      <c r="CR689">
        <v>0</v>
      </c>
      <c r="CW689">
        <v>10423206</v>
      </c>
      <c r="CY689">
        <v>1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</row>
    <row r="690" spans="1:113" x14ac:dyDescent="0.3">
      <c r="A690" t="str">
        <f>"02/08/2021 20:15:17.139"</f>
        <v>02/08/2021 20:15:17.139</v>
      </c>
      <c r="C690" t="str">
        <f t="shared" si="32"/>
        <v>FFDFD7C0</v>
      </c>
      <c r="D690" t="s">
        <v>113</v>
      </c>
      <c r="E690">
        <v>6</v>
      </c>
      <c r="H690">
        <v>165</v>
      </c>
      <c r="I690" t="s">
        <v>114</v>
      </c>
      <c r="J690" t="s">
        <v>115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>"20:15:19.438"</f>
        <v>20:15:19.438</v>
      </c>
      <c r="T690" t="str">
        <f>"20:15:18.438"</f>
        <v>20:15:18.438</v>
      </c>
      <c r="U690" t="str">
        <f t="shared" si="31"/>
        <v>AB01F4</v>
      </c>
      <c r="V690">
        <v>0</v>
      </c>
      <c r="W690">
        <v>0</v>
      </c>
      <c r="X690">
        <v>1</v>
      </c>
      <c r="Z690">
        <v>0</v>
      </c>
      <c r="AA690">
        <v>9</v>
      </c>
      <c r="AB690">
        <v>3</v>
      </c>
      <c r="AC690">
        <v>0</v>
      </c>
      <c r="AD690">
        <v>10</v>
      </c>
      <c r="AE690">
        <v>0</v>
      </c>
      <c r="AF690">
        <v>3</v>
      </c>
      <c r="AG690">
        <v>2</v>
      </c>
      <c r="AH690">
        <v>0</v>
      </c>
      <c r="AI690" t="s">
        <v>599</v>
      </c>
      <c r="AJ690">
        <v>39.629272999999998</v>
      </c>
      <c r="AK690" t="s">
        <v>600</v>
      </c>
      <c r="AL690">
        <v>-92.502135999999993</v>
      </c>
      <c r="AM690">
        <v>100</v>
      </c>
      <c r="AN690">
        <v>1700</v>
      </c>
      <c r="AO690" t="s">
        <v>118</v>
      </c>
      <c r="AP690">
        <v>-16</v>
      </c>
      <c r="AQ690">
        <v>136</v>
      </c>
      <c r="AR690">
        <v>-128</v>
      </c>
      <c r="AZ690">
        <v>1200</v>
      </c>
      <c r="BA690">
        <v>1</v>
      </c>
      <c r="BB690" t="str">
        <f t="shared" si="33"/>
        <v xml:space="preserve">N8080G  </v>
      </c>
      <c r="BC690">
        <v>1</v>
      </c>
      <c r="BE690">
        <v>0</v>
      </c>
      <c r="BF690">
        <v>0</v>
      </c>
      <c r="BG690">
        <v>0</v>
      </c>
      <c r="BH690">
        <v>1650</v>
      </c>
      <c r="BI690">
        <v>1</v>
      </c>
      <c r="BJ690">
        <v>1</v>
      </c>
      <c r="BK690">
        <v>1</v>
      </c>
      <c r="BL690">
        <v>0</v>
      </c>
      <c r="BO690">
        <v>0</v>
      </c>
      <c r="BP690">
        <v>0</v>
      </c>
      <c r="BW690" t="str">
        <f>"20:15:19.441"</f>
        <v>20:15:19.441</v>
      </c>
      <c r="BZ690">
        <v>0</v>
      </c>
      <c r="CA690">
        <v>2016</v>
      </c>
      <c r="CB690">
        <v>224</v>
      </c>
      <c r="CD690">
        <v>1</v>
      </c>
      <c r="CE690">
        <v>0</v>
      </c>
      <c r="CF690">
        <v>0</v>
      </c>
      <c r="CG690">
        <v>1</v>
      </c>
      <c r="CH690">
        <v>0</v>
      </c>
      <c r="CI690">
        <v>0</v>
      </c>
      <c r="CJ690">
        <v>0</v>
      </c>
      <c r="CK690">
        <v>2</v>
      </c>
      <c r="CL690">
        <v>0</v>
      </c>
      <c r="CM690">
        <v>2</v>
      </c>
      <c r="CN690">
        <v>0</v>
      </c>
      <c r="CO690">
        <v>3</v>
      </c>
      <c r="CP690" t="s">
        <v>119</v>
      </c>
      <c r="CQ690">
        <v>559</v>
      </c>
      <c r="CR690">
        <v>0</v>
      </c>
      <c r="CW690">
        <v>10423206</v>
      </c>
      <c r="CY690">
        <v>1</v>
      </c>
      <c r="CZ690">
        <v>0</v>
      </c>
      <c r="DA690">
        <v>1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</row>
    <row r="691" spans="1:113" x14ac:dyDescent="0.3">
      <c r="A691" t="str">
        <f>"02/08/2021 20:15:17.139"</f>
        <v>02/08/2021 20:15:17.139</v>
      </c>
      <c r="C691" t="str">
        <f t="shared" si="32"/>
        <v>FFDFD7C0</v>
      </c>
      <c r="D691" t="s">
        <v>141</v>
      </c>
      <c r="E691">
        <v>17</v>
      </c>
      <c r="H691">
        <v>256</v>
      </c>
      <c r="I691" t="s">
        <v>142</v>
      </c>
      <c r="J691" t="s">
        <v>143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>"20:15:19.438"</f>
        <v>20:15:19.438</v>
      </c>
      <c r="T691" t="str">
        <f>"20:15:18.438"</f>
        <v>20:15:18.438</v>
      </c>
      <c r="U691" t="str">
        <f t="shared" si="31"/>
        <v>AB01F4</v>
      </c>
      <c r="V691">
        <v>0</v>
      </c>
      <c r="W691">
        <v>0</v>
      </c>
      <c r="X691">
        <v>1</v>
      </c>
      <c r="Z691">
        <v>0</v>
      </c>
      <c r="AA691">
        <v>9</v>
      </c>
      <c r="AB691">
        <v>3</v>
      </c>
      <c r="AC691">
        <v>0</v>
      </c>
      <c r="AD691">
        <v>10</v>
      </c>
      <c r="AE691">
        <v>0</v>
      </c>
      <c r="AF691">
        <v>3</v>
      </c>
      <c r="AG691">
        <v>2</v>
      </c>
      <c r="AH691">
        <v>0</v>
      </c>
      <c r="AI691" t="s">
        <v>599</v>
      </c>
      <c r="AJ691">
        <v>39.629272999999998</v>
      </c>
      <c r="AK691" t="s">
        <v>600</v>
      </c>
      <c r="AL691">
        <v>-92.502135999999993</v>
      </c>
      <c r="AM691">
        <v>100</v>
      </c>
      <c r="AN691">
        <v>1700</v>
      </c>
      <c r="AO691" t="s">
        <v>118</v>
      </c>
      <c r="AP691">
        <v>-16</v>
      </c>
      <c r="AQ691">
        <v>136</v>
      </c>
      <c r="AR691">
        <v>-128</v>
      </c>
      <c r="AZ691">
        <v>1200</v>
      </c>
      <c r="BA691">
        <v>1</v>
      </c>
      <c r="BB691" t="str">
        <f t="shared" si="33"/>
        <v xml:space="preserve">N8080G  </v>
      </c>
      <c r="BC691">
        <v>1</v>
      </c>
      <c r="BE691">
        <v>0</v>
      </c>
      <c r="BF691">
        <v>0</v>
      </c>
      <c r="BG691">
        <v>0</v>
      </c>
      <c r="BH691">
        <v>1650</v>
      </c>
      <c r="BI691">
        <v>1</v>
      </c>
      <c r="BJ691">
        <v>1</v>
      </c>
      <c r="BK691">
        <v>1</v>
      </c>
      <c r="BL691">
        <v>0</v>
      </c>
      <c r="BO691">
        <v>0</v>
      </c>
      <c r="BP691">
        <v>0</v>
      </c>
      <c r="BW691" t="str">
        <f>"20:15:19.441"</f>
        <v>20:15:19.441</v>
      </c>
      <c r="BZ691">
        <v>0</v>
      </c>
      <c r="CA691">
        <v>2016</v>
      </c>
      <c r="CB691">
        <v>224</v>
      </c>
      <c r="CD691">
        <v>1</v>
      </c>
      <c r="CE691">
        <v>0</v>
      </c>
      <c r="CF691">
        <v>0</v>
      </c>
      <c r="CG691">
        <v>1</v>
      </c>
      <c r="CH691">
        <v>0</v>
      </c>
      <c r="CI691">
        <v>0</v>
      </c>
      <c r="CJ691">
        <v>0</v>
      </c>
      <c r="CK691">
        <v>2</v>
      </c>
      <c r="CL691">
        <v>0</v>
      </c>
      <c r="CM691">
        <v>2</v>
      </c>
      <c r="CN691">
        <v>0</v>
      </c>
      <c r="CO691">
        <v>3</v>
      </c>
      <c r="CP691" t="s">
        <v>119</v>
      </c>
      <c r="CQ691">
        <v>559</v>
      </c>
      <c r="CR691">
        <v>0</v>
      </c>
      <c r="CW691">
        <v>10423206</v>
      </c>
      <c r="CY691">
        <v>1</v>
      </c>
      <c r="CZ691">
        <v>0</v>
      </c>
      <c r="DA691">
        <v>1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</row>
    <row r="692" spans="1:113" x14ac:dyDescent="0.3">
      <c r="A692" t="str">
        <f>"02/08/2021 20:15:20.480"</f>
        <v>02/08/2021 20:15:20.480</v>
      </c>
      <c r="C692" t="str">
        <f t="shared" si="32"/>
        <v>FFDFD7C0</v>
      </c>
      <c r="D692" t="s">
        <v>113</v>
      </c>
      <c r="E692">
        <v>6</v>
      </c>
      <c r="H692">
        <v>165</v>
      </c>
      <c r="I692" t="s">
        <v>114</v>
      </c>
      <c r="J692" t="s">
        <v>115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>"20:15:22.805"</f>
        <v>20:15:22.805</v>
      </c>
      <c r="T692" t="str">
        <f>"20:15:22.305"</f>
        <v>20:15:22.305</v>
      </c>
      <c r="U692" t="str">
        <f t="shared" si="31"/>
        <v>AB01F4</v>
      </c>
      <c r="V692">
        <v>0</v>
      </c>
      <c r="W692">
        <v>0</v>
      </c>
      <c r="X692">
        <v>1</v>
      </c>
      <c r="Z692">
        <v>0</v>
      </c>
      <c r="AA692">
        <v>9</v>
      </c>
      <c r="AB692">
        <v>3</v>
      </c>
      <c r="AC692">
        <v>0</v>
      </c>
      <c r="AD692">
        <v>10</v>
      </c>
      <c r="AE692">
        <v>0</v>
      </c>
      <c r="AF692">
        <v>3</v>
      </c>
      <c r="AG692">
        <v>2</v>
      </c>
      <c r="AH692">
        <v>0</v>
      </c>
      <c r="AI692" t="s">
        <v>601</v>
      </c>
      <c r="AJ692">
        <v>39.631312000000001</v>
      </c>
      <c r="AK692" t="s">
        <v>602</v>
      </c>
      <c r="AL692">
        <v>-92.502437</v>
      </c>
      <c r="AM692">
        <v>100</v>
      </c>
      <c r="AN692">
        <v>1700</v>
      </c>
      <c r="AO692" t="s">
        <v>118</v>
      </c>
      <c r="AP692">
        <v>-18</v>
      </c>
      <c r="AQ692">
        <v>135</v>
      </c>
      <c r="AR692">
        <v>0</v>
      </c>
      <c r="AZ692">
        <v>1200</v>
      </c>
      <c r="BA692">
        <v>1</v>
      </c>
      <c r="BB692" t="str">
        <f t="shared" si="33"/>
        <v xml:space="preserve">N8080G  </v>
      </c>
      <c r="BC692">
        <v>1</v>
      </c>
      <c r="BE692">
        <v>0</v>
      </c>
      <c r="BF692">
        <v>0</v>
      </c>
      <c r="BG692">
        <v>0</v>
      </c>
      <c r="BH692">
        <v>1650</v>
      </c>
      <c r="BI692">
        <v>1</v>
      </c>
      <c r="BJ692">
        <v>1</v>
      </c>
      <c r="BK692">
        <v>1</v>
      </c>
      <c r="BL692">
        <v>0</v>
      </c>
      <c r="BO692">
        <v>0</v>
      </c>
      <c r="BP692">
        <v>0</v>
      </c>
      <c r="BW692" t="str">
        <f>"20:15:22.805"</f>
        <v>20:15:22.805</v>
      </c>
      <c r="BZ692">
        <v>0</v>
      </c>
      <c r="CA692">
        <v>2016</v>
      </c>
      <c r="CB692">
        <v>224</v>
      </c>
      <c r="CD692">
        <v>1</v>
      </c>
      <c r="CE692">
        <v>0</v>
      </c>
      <c r="CF692">
        <v>0</v>
      </c>
      <c r="CG692">
        <v>1</v>
      </c>
      <c r="CH692">
        <v>0</v>
      </c>
      <c r="CI692">
        <v>0</v>
      </c>
      <c r="CJ692">
        <v>0</v>
      </c>
      <c r="CK692">
        <v>2</v>
      </c>
      <c r="CL692">
        <v>0</v>
      </c>
      <c r="CM692">
        <v>2</v>
      </c>
      <c r="CN692">
        <v>0</v>
      </c>
      <c r="CO692">
        <v>6</v>
      </c>
      <c r="CP692" t="s">
        <v>119</v>
      </c>
      <c r="CQ692">
        <v>180</v>
      </c>
      <c r="CR692">
        <v>2</v>
      </c>
      <c r="CW692">
        <v>7935152</v>
      </c>
      <c r="CY692">
        <v>1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</row>
    <row r="693" spans="1:113" x14ac:dyDescent="0.3">
      <c r="A693" t="str">
        <f>"02/08/2021 20:15:20.480"</f>
        <v>02/08/2021 20:15:20.480</v>
      </c>
      <c r="C693" t="str">
        <f t="shared" si="32"/>
        <v>FFDFD7C0</v>
      </c>
      <c r="D693" t="s">
        <v>124</v>
      </c>
      <c r="E693">
        <v>11</v>
      </c>
      <c r="F693">
        <v>1011</v>
      </c>
      <c r="G693" t="s">
        <v>590</v>
      </c>
      <c r="J693" t="s">
        <v>125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>"20:15:22.805"</f>
        <v>20:15:22.805</v>
      </c>
      <c r="T693" t="str">
        <f>"20:15:22.305"</f>
        <v>20:15:22.305</v>
      </c>
      <c r="U693" t="str">
        <f t="shared" si="31"/>
        <v>AB01F4</v>
      </c>
      <c r="V693">
        <v>0</v>
      </c>
      <c r="W693">
        <v>0</v>
      </c>
      <c r="X693">
        <v>1</v>
      </c>
      <c r="Z693">
        <v>0</v>
      </c>
      <c r="AA693">
        <v>9</v>
      </c>
      <c r="AB693">
        <v>3</v>
      </c>
      <c r="AC693">
        <v>0</v>
      </c>
      <c r="AD693">
        <v>10</v>
      </c>
      <c r="AE693">
        <v>0</v>
      </c>
      <c r="AF693">
        <v>3</v>
      </c>
      <c r="AG693">
        <v>2</v>
      </c>
      <c r="AH693">
        <v>0</v>
      </c>
      <c r="AI693" t="s">
        <v>601</v>
      </c>
      <c r="AJ693">
        <v>39.631312000000001</v>
      </c>
      <c r="AK693" t="s">
        <v>602</v>
      </c>
      <c r="AL693">
        <v>-92.502437</v>
      </c>
      <c r="AM693">
        <v>100</v>
      </c>
      <c r="AN693">
        <v>1700</v>
      </c>
      <c r="AO693" t="s">
        <v>118</v>
      </c>
      <c r="AP693">
        <v>-18</v>
      </c>
      <c r="AQ693">
        <v>135</v>
      </c>
      <c r="AR693">
        <v>0</v>
      </c>
      <c r="AZ693">
        <v>1200</v>
      </c>
      <c r="BA693">
        <v>1</v>
      </c>
      <c r="BB693" t="str">
        <f t="shared" si="33"/>
        <v xml:space="preserve">N8080G  </v>
      </c>
      <c r="BC693">
        <v>1</v>
      </c>
      <c r="BE693">
        <v>0</v>
      </c>
      <c r="BF693">
        <v>0</v>
      </c>
      <c r="BG693">
        <v>0</v>
      </c>
      <c r="BH693">
        <v>1650</v>
      </c>
      <c r="BI693">
        <v>1</v>
      </c>
      <c r="BJ693">
        <v>1</v>
      </c>
      <c r="BK693">
        <v>1</v>
      </c>
      <c r="BL693">
        <v>0</v>
      </c>
      <c r="BO693">
        <v>0</v>
      </c>
      <c r="BP693">
        <v>0</v>
      </c>
      <c r="BW693" t="str">
        <f>"20:15:22.805"</f>
        <v>20:15:22.805</v>
      </c>
      <c r="BZ693">
        <v>0</v>
      </c>
      <c r="CA693">
        <v>2016</v>
      </c>
      <c r="CB693">
        <v>224</v>
      </c>
      <c r="CD693">
        <v>1</v>
      </c>
      <c r="CE693">
        <v>0</v>
      </c>
      <c r="CF693">
        <v>0</v>
      </c>
      <c r="CG693">
        <v>1</v>
      </c>
      <c r="CH693">
        <v>0</v>
      </c>
      <c r="CI693">
        <v>0</v>
      </c>
      <c r="CJ693">
        <v>0</v>
      </c>
      <c r="CK693">
        <v>2</v>
      </c>
      <c r="CL693">
        <v>0</v>
      </c>
      <c r="CM693">
        <v>2</v>
      </c>
      <c r="CN693">
        <v>0</v>
      </c>
      <c r="CO693">
        <v>6</v>
      </c>
      <c r="CP693" t="s">
        <v>119</v>
      </c>
      <c r="CQ693">
        <v>180</v>
      </c>
      <c r="CR693">
        <v>2</v>
      </c>
      <c r="CW693">
        <v>7935152</v>
      </c>
      <c r="CY693">
        <v>1</v>
      </c>
      <c r="CZ693">
        <v>0</v>
      </c>
      <c r="DA693">
        <v>1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</row>
    <row r="694" spans="1:113" x14ac:dyDescent="0.3">
      <c r="A694" t="str">
        <f>"02/08/2021 20:15:20.480"</f>
        <v>02/08/2021 20:15:20.480</v>
      </c>
      <c r="C694" t="str">
        <f t="shared" si="32"/>
        <v>FFDFD7C0</v>
      </c>
      <c r="D694" t="s">
        <v>124</v>
      </c>
      <c r="E694">
        <v>13</v>
      </c>
      <c r="F694">
        <v>1013</v>
      </c>
      <c r="G694" t="s">
        <v>114</v>
      </c>
      <c r="J694" t="s">
        <v>125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>"20:15:22.805"</f>
        <v>20:15:22.805</v>
      </c>
      <c r="T694" t="str">
        <f>"20:15:22.305"</f>
        <v>20:15:22.305</v>
      </c>
      <c r="U694" t="str">
        <f t="shared" si="31"/>
        <v>AB01F4</v>
      </c>
      <c r="V694">
        <v>0</v>
      </c>
      <c r="W694">
        <v>0</v>
      </c>
      <c r="X694">
        <v>1</v>
      </c>
      <c r="Z694">
        <v>0</v>
      </c>
      <c r="AA694">
        <v>9</v>
      </c>
      <c r="AB694">
        <v>3</v>
      </c>
      <c r="AC694">
        <v>0</v>
      </c>
      <c r="AD694">
        <v>10</v>
      </c>
      <c r="AE694">
        <v>0</v>
      </c>
      <c r="AF694">
        <v>3</v>
      </c>
      <c r="AG694">
        <v>2</v>
      </c>
      <c r="AH694">
        <v>0</v>
      </c>
      <c r="AI694" t="s">
        <v>601</v>
      </c>
      <c r="AJ694">
        <v>39.631312000000001</v>
      </c>
      <c r="AK694" t="s">
        <v>602</v>
      </c>
      <c r="AL694">
        <v>-92.502437</v>
      </c>
      <c r="AM694">
        <v>100</v>
      </c>
      <c r="AN694">
        <v>1700</v>
      </c>
      <c r="AO694" t="s">
        <v>118</v>
      </c>
      <c r="AP694">
        <v>-18</v>
      </c>
      <c r="AQ694">
        <v>135</v>
      </c>
      <c r="AR694">
        <v>0</v>
      </c>
      <c r="AZ694">
        <v>1200</v>
      </c>
      <c r="BA694">
        <v>1</v>
      </c>
      <c r="BB694" t="str">
        <f t="shared" si="33"/>
        <v xml:space="preserve">N8080G  </v>
      </c>
      <c r="BC694">
        <v>1</v>
      </c>
      <c r="BE694">
        <v>0</v>
      </c>
      <c r="BF694">
        <v>0</v>
      </c>
      <c r="BG694">
        <v>0</v>
      </c>
      <c r="BH694">
        <v>1650</v>
      </c>
      <c r="BI694">
        <v>1</v>
      </c>
      <c r="BJ694">
        <v>1</v>
      </c>
      <c r="BK694">
        <v>1</v>
      </c>
      <c r="BL694">
        <v>0</v>
      </c>
      <c r="BO694">
        <v>0</v>
      </c>
      <c r="BP694">
        <v>0</v>
      </c>
      <c r="BW694" t="str">
        <f>"20:15:22.805"</f>
        <v>20:15:22.805</v>
      </c>
      <c r="BZ694">
        <v>0</v>
      </c>
      <c r="CA694">
        <v>2016</v>
      </c>
      <c r="CB694">
        <v>224</v>
      </c>
      <c r="CD694">
        <v>1</v>
      </c>
      <c r="CE694">
        <v>0</v>
      </c>
      <c r="CF694">
        <v>0</v>
      </c>
      <c r="CG694">
        <v>1</v>
      </c>
      <c r="CH694">
        <v>0</v>
      </c>
      <c r="CI694">
        <v>0</v>
      </c>
      <c r="CJ694">
        <v>0</v>
      </c>
      <c r="CK694">
        <v>2</v>
      </c>
      <c r="CL694">
        <v>0</v>
      </c>
      <c r="CM694">
        <v>2</v>
      </c>
      <c r="CN694">
        <v>0</v>
      </c>
      <c r="CO694">
        <v>6</v>
      </c>
      <c r="CP694" t="s">
        <v>119</v>
      </c>
      <c r="CQ694">
        <v>180</v>
      </c>
      <c r="CR694">
        <v>2</v>
      </c>
      <c r="CW694">
        <v>7935152</v>
      </c>
      <c r="CY694">
        <v>1</v>
      </c>
      <c r="CZ694">
        <v>0</v>
      </c>
      <c r="DA694">
        <v>1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</row>
    <row r="695" spans="1:113" x14ac:dyDescent="0.3">
      <c r="A695" t="str">
        <f>"02/08/2021 20:15:20.480"</f>
        <v>02/08/2021 20:15:20.480</v>
      </c>
      <c r="C695" t="str">
        <f t="shared" si="32"/>
        <v>FFDFD7C0</v>
      </c>
      <c r="D695" t="s">
        <v>141</v>
      </c>
      <c r="E695">
        <v>17</v>
      </c>
      <c r="H695">
        <v>256</v>
      </c>
      <c r="I695" t="s">
        <v>142</v>
      </c>
      <c r="J695" t="s">
        <v>143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>"20:15:22.805"</f>
        <v>20:15:22.805</v>
      </c>
      <c r="T695" t="str">
        <f>"20:15:21.805"</f>
        <v>20:15:21.805</v>
      </c>
      <c r="U695" t="str">
        <f t="shared" si="31"/>
        <v>AB01F4</v>
      </c>
      <c r="V695">
        <v>0</v>
      </c>
      <c r="W695">
        <v>0</v>
      </c>
      <c r="X695">
        <v>1</v>
      </c>
      <c r="Z695">
        <v>0</v>
      </c>
      <c r="AA695">
        <v>9</v>
      </c>
      <c r="AB695">
        <v>3</v>
      </c>
      <c r="AC695">
        <v>0</v>
      </c>
      <c r="AD695">
        <v>10</v>
      </c>
      <c r="AE695">
        <v>0</v>
      </c>
      <c r="AF695">
        <v>3</v>
      </c>
      <c r="AG695">
        <v>2</v>
      </c>
      <c r="AH695">
        <v>0</v>
      </c>
      <c r="AI695" t="s">
        <v>601</v>
      </c>
      <c r="AJ695">
        <v>39.631312000000001</v>
      </c>
      <c r="AK695" t="s">
        <v>602</v>
      </c>
      <c r="AL695">
        <v>-92.502437</v>
      </c>
      <c r="AM695">
        <v>100</v>
      </c>
      <c r="AN695">
        <v>1700</v>
      </c>
      <c r="AO695" t="s">
        <v>118</v>
      </c>
      <c r="AP695">
        <v>-18</v>
      </c>
      <c r="AQ695">
        <v>135</v>
      </c>
      <c r="AR695">
        <v>-64</v>
      </c>
      <c r="AZ695">
        <v>1200</v>
      </c>
      <c r="BA695">
        <v>1</v>
      </c>
      <c r="BB695" t="str">
        <f t="shared" si="33"/>
        <v xml:space="preserve">N8080G  </v>
      </c>
      <c r="BC695">
        <v>1</v>
      </c>
      <c r="BE695">
        <v>0</v>
      </c>
      <c r="BF695">
        <v>0</v>
      </c>
      <c r="BG695">
        <v>0</v>
      </c>
      <c r="BH695">
        <v>1650</v>
      </c>
      <c r="BI695">
        <v>1</v>
      </c>
      <c r="BJ695">
        <v>1</v>
      </c>
      <c r="BK695">
        <v>1</v>
      </c>
      <c r="BL695">
        <v>0</v>
      </c>
      <c r="BO695">
        <v>0</v>
      </c>
      <c r="BP695">
        <v>0</v>
      </c>
      <c r="BW695" t="str">
        <f>"20:15:22.805"</f>
        <v>20:15:22.805</v>
      </c>
      <c r="BZ695">
        <v>0</v>
      </c>
      <c r="CA695">
        <v>2016</v>
      </c>
      <c r="CB695">
        <v>224</v>
      </c>
      <c r="CD695">
        <v>1</v>
      </c>
      <c r="CE695">
        <v>0</v>
      </c>
      <c r="CF695">
        <v>0</v>
      </c>
      <c r="CG695">
        <v>1</v>
      </c>
      <c r="CH695">
        <v>0</v>
      </c>
      <c r="CI695">
        <v>0</v>
      </c>
      <c r="CJ695">
        <v>0</v>
      </c>
      <c r="CK695">
        <v>2</v>
      </c>
      <c r="CL695">
        <v>0</v>
      </c>
      <c r="CM695">
        <v>2</v>
      </c>
      <c r="CN695">
        <v>0</v>
      </c>
      <c r="CO695">
        <v>3</v>
      </c>
      <c r="CP695" t="s">
        <v>119</v>
      </c>
      <c r="CQ695">
        <v>559</v>
      </c>
      <c r="CR695">
        <v>0</v>
      </c>
      <c r="CW695">
        <v>10423749</v>
      </c>
      <c r="CY695">
        <v>1</v>
      </c>
      <c r="CZ695">
        <v>0</v>
      </c>
      <c r="DA695">
        <v>1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</row>
    <row r="696" spans="1:113" x14ac:dyDescent="0.3">
      <c r="A696" t="str">
        <f>"02/08/2021 20:15:21.512"</f>
        <v>02/08/2021 20:15:21.512</v>
      </c>
      <c r="C696" t="str">
        <f t="shared" si="32"/>
        <v>FFDFD7C0</v>
      </c>
      <c r="D696" t="s">
        <v>124</v>
      </c>
      <c r="E696">
        <v>13</v>
      </c>
      <c r="F696">
        <v>1013</v>
      </c>
      <c r="G696" t="s">
        <v>114</v>
      </c>
      <c r="J696" t="s">
        <v>125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>"20:15:23.813"</f>
        <v>20:15:23.813</v>
      </c>
      <c r="T696" t="str">
        <f>"20:15:21.813"</f>
        <v>20:15:21.813</v>
      </c>
      <c r="U696" t="str">
        <f t="shared" si="31"/>
        <v>AB01F4</v>
      </c>
      <c r="V696">
        <v>0</v>
      </c>
      <c r="W696">
        <v>0</v>
      </c>
      <c r="X696">
        <v>1</v>
      </c>
      <c r="Z696">
        <v>0</v>
      </c>
      <c r="AA696">
        <v>9</v>
      </c>
      <c r="AB696">
        <v>3</v>
      </c>
      <c r="AC696">
        <v>0</v>
      </c>
      <c r="AD696">
        <v>10</v>
      </c>
      <c r="AE696">
        <v>0</v>
      </c>
      <c r="AF696">
        <v>3</v>
      </c>
      <c r="AG696">
        <v>2</v>
      </c>
      <c r="AH696">
        <v>0</v>
      </c>
      <c r="AI696" t="s">
        <v>603</v>
      </c>
      <c r="AJ696">
        <v>39.632019999999997</v>
      </c>
      <c r="AK696" t="s">
        <v>604</v>
      </c>
      <c r="AL696">
        <v>-92.502565000000004</v>
      </c>
      <c r="AM696">
        <v>100</v>
      </c>
      <c r="AN696">
        <v>1700</v>
      </c>
      <c r="AO696" t="s">
        <v>118</v>
      </c>
      <c r="AP696">
        <v>-18</v>
      </c>
      <c r="AQ696">
        <v>135</v>
      </c>
      <c r="AR696">
        <v>-64</v>
      </c>
      <c r="AZ696">
        <v>1200</v>
      </c>
      <c r="BA696">
        <v>1</v>
      </c>
      <c r="BB696" t="str">
        <f t="shared" si="33"/>
        <v xml:space="preserve">N8080G  </v>
      </c>
      <c r="BC696">
        <v>1</v>
      </c>
      <c r="BE696">
        <v>0</v>
      </c>
      <c r="BF696">
        <v>0</v>
      </c>
      <c r="BG696">
        <v>0</v>
      </c>
      <c r="BH696">
        <v>1650</v>
      </c>
      <c r="BI696">
        <v>1</v>
      </c>
      <c r="BJ696">
        <v>1</v>
      </c>
      <c r="BK696">
        <v>1</v>
      </c>
      <c r="BL696">
        <v>0</v>
      </c>
      <c r="BO696">
        <v>0</v>
      </c>
      <c r="BP696">
        <v>0</v>
      </c>
      <c r="BW696" t="str">
        <f>"20:15:23.816"</f>
        <v>20:15:23.816</v>
      </c>
      <c r="BZ696">
        <v>0</v>
      </c>
      <c r="CA696">
        <v>2016</v>
      </c>
      <c r="CB696">
        <v>224</v>
      </c>
      <c r="CD696">
        <v>1</v>
      </c>
      <c r="CE696">
        <v>0</v>
      </c>
      <c r="CF696">
        <v>0</v>
      </c>
      <c r="CG696">
        <v>1</v>
      </c>
      <c r="CH696">
        <v>0</v>
      </c>
      <c r="CI696">
        <v>0</v>
      </c>
      <c r="CJ696">
        <v>0</v>
      </c>
      <c r="CK696">
        <v>2</v>
      </c>
      <c r="CL696">
        <v>0</v>
      </c>
      <c r="CM696">
        <v>2</v>
      </c>
      <c r="CN696">
        <v>0</v>
      </c>
      <c r="CO696">
        <v>3</v>
      </c>
      <c r="CP696" t="s">
        <v>119</v>
      </c>
      <c r="CQ696">
        <v>559</v>
      </c>
      <c r="CR696">
        <v>0</v>
      </c>
      <c r="CW696">
        <v>10423899</v>
      </c>
      <c r="CY696">
        <v>1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</row>
    <row r="697" spans="1:113" x14ac:dyDescent="0.3">
      <c r="A697" t="str">
        <f>"02/08/2021 20:15:21.512"</f>
        <v>02/08/2021 20:15:21.512</v>
      </c>
      <c r="C697" t="str">
        <f t="shared" si="32"/>
        <v>FFDFD7C0</v>
      </c>
      <c r="D697" t="s">
        <v>141</v>
      </c>
      <c r="E697">
        <v>17</v>
      </c>
      <c r="H697">
        <v>256</v>
      </c>
      <c r="I697" t="s">
        <v>142</v>
      </c>
      <c r="J697" t="s">
        <v>143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>"20:15:23.813"</f>
        <v>20:15:23.813</v>
      </c>
      <c r="T697" t="str">
        <f>"20:15:21.813"</f>
        <v>20:15:21.813</v>
      </c>
      <c r="U697" t="str">
        <f t="shared" si="31"/>
        <v>AB01F4</v>
      </c>
      <c r="V697">
        <v>0</v>
      </c>
      <c r="W697">
        <v>0</v>
      </c>
      <c r="X697">
        <v>1</v>
      </c>
      <c r="Z697">
        <v>0</v>
      </c>
      <c r="AA697">
        <v>9</v>
      </c>
      <c r="AB697">
        <v>3</v>
      </c>
      <c r="AC697">
        <v>0</v>
      </c>
      <c r="AD697">
        <v>10</v>
      </c>
      <c r="AE697">
        <v>0</v>
      </c>
      <c r="AF697">
        <v>3</v>
      </c>
      <c r="AG697">
        <v>2</v>
      </c>
      <c r="AH697">
        <v>0</v>
      </c>
      <c r="AI697" t="s">
        <v>603</v>
      </c>
      <c r="AJ697">
        <v>39.632019999999997</v>
      </c>
      <c r="AK697" t="s">
        <v>604</v>
      </c>
      <c r="AL697">
        <v>-92.502565000000004</v>
      </c>
      <c r="AM697">
        <v>100</v>
      </c>
      <c r="AN697">
        <v>1700</v>
      </c>
      <c r="AO697" t="s">
        <v>118</v>
      </c>
      <c r="AP697">
        <v>-18</v>
      </c>
      <c r="AQ697">
        <v>135</v>
      </c>
      <c r="AR697">
        <v>-64</v>
      </c>
      <c r="AZ697">
        <v>1200</v>
      </c>
      <c r="BA697">
        <v>1</v>
      </c>
      <c r="BB697" t="str">
        <f t="shared" si="33"/>
        <v xml:space="preserve">N8080G  </v>
      </c>
      <c r="BC697">
        <v>1</v>
      </c>
      <c r="BE697">
        <v>0</v>
      </c>
      <c r="BF697">
        <v>0</v>
      </c>
      <c r="BG697">
        <v>0</v>
      </c>
      <c r="BH697">
        <v>1650</v>
      </c>
      <c r="BI697">
        <v>1</v>
      </c>
      <c r="BJ697">
        <v>1</v>
      </c>
      <c r="BK697">
        <v>1</v>
      </c>
      <c r="BL697">
        <v>0</v>
      </c>
      <c r="BO697">
        <v>0</v>
      </c>
      <c r="BP697">
        <v>0</v>
      </c>
      <c r="BW697" t="str">
        <f>"20:15:23.816"</f>
        <v>20:15:23.816</v>
      </c>
      <c r="BZ697">
        <v>0</v>
      </c>
      <c r="CA697">
        <v>2016</v>
      </c>
      <c r="CB697">
        <v>224</v>
      </c>
      <c r="CD697">
        <v>1</v>
      </c>
      <c r="CE697">
        <v>0</v>
      </c>
      <c r="CF697">
        <v>0</v>
      </c>
      <c r="CG697">
        <v>1</v>
      </c>
      <c r="CH697">
        <v>0</v>
      </c>
      <c r="CI697">
        <v>0</v>
      </c>
      <c r="CJ697">
        <v>0</v>
      </c>
      <c r="CK697">
        <v>2</v>
      </c>
      <c r="CL697">
        <v>0</v>
      </c>
      <c r="CM697">
        <v>2</v>
      </c>
      <c r="CN697">
        <v>0</v>
      </c>
      <c r="CO697">
        <v>3</v>
      </c>
      <c r="CP697" t="s">
        <v>119</v>
      </c>
      <c r="CQ697">
        <v>559</v>
      </c>
      <c r="CR697">
        <v>0</v>
      </c>
      <c r="CW697">
        <v>10423899</v>
      </c>
      <c r="CY697">
        <v>1</v>
      </c>
      <c r="CZ697">
        <v>0</v>
      </c>
      <c r="DA697">
        <v>1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</row>
    <row r="698" spans="1:113" x14ac:dyDescent="0.3">
      <c r="A698" t="str">
        <f>"02/08/2021 20:15:21.512"</f>
        <v>02/08/2021 20:15:21.512</v>
      </c>
      <c r="C698" t="str">
        <f t="shared" si="32"/>
        <v>FFDFD7C0</v>
      </c>
      <c r="D698" t="s">
        <v>113</v>
      </c>
      <c r="E698">
        <v>6</v>
      </c>
      <c r="H698">
        <v>165</v>
      </c>
      <c r="I698" t="s">
        <v>114</v>
      </c>
      <c r="J698" t="s">
        <v>115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>"20:15:23.813"</f>
        <v>20:15:23.813</v>
      </c>
      <c r="T698" t="str">
        <f>"20:15:21.813"</f>
        <v>20:15:21.813</v>
      </c>
      <c r="U698" t="str">
        <f t="shared" si="31"/>
        <v>AB01F4</v>
      </c>
      <c r="V698">
        <v>0</v>
      </c>
      <c r="W698">
        <v>0</v>
      </c>
      <c r="X698">
        <v>1</v>
      </c>
      <c r="Z698">
        <v>0</v>
      </c>
      <c r="AA698">
        <v>9</v>
      </c>
      <c r="AB698">
        <v>3</v>
      </c>
      <c r="AC698">
        <v>0</v>
      </c>
      <c r="AD698">
        <v>10</v>
      </c>
      <c r="AE698">
        <v>0</v>
      </c>
      <c r="AF698">
        <v>3</v>
      </c>
      <c r="AG698">
        <v>2</v>
      </c>
      <c r="AH698">
        <v>0</v>
      </c>
      <c r="AI698" t="s">
        <v>603</v>
      </c>
      <c r="AJ698">
        <v>39.632019999999997</v>
      </c>
      <c r="AK698" t="s">
        <v>604</v>
      </c>
      <c r="AL698">
        <v>-92.502565000000004</v>
      </c>
      <c r="AM698">
        <v>100</v>
      </c>
      <c r="AN698">
        <v>1700</v>
      </c>
      <c r="AO698" t="s">
        <v>118</v>
      </c>
      <c r="AP698">
        <v>-18</v>
      </c>
      <c r="AQ698">
        <v>135</v>
      </c>
      <c r="AR698">
        <v>-64</v>
      </c>
      <c r="AZ698">
        <v>1200</v>
      </c>
      <c r="BA698">
        <v>1</v>
      </c>
      <c r="BB698" t="str">
        <f t="shared" si="33"/>
        <v xml:space="preserve">N8080G  </v>
      </c>
      <c r="BC698">
        <v>1</v>
      </c>
      <c r="BE698">
        <v>0</v>
      </c>
      <c r="BF698">
        <v>0</v>
      </c>
      <c r="BG698">
        <v>0</v>
      </c>
      <c r="BH698">
        <v>1650</v>
      </c>
      <c r="BI698">
        <v>1</v>
      </c>
      <c r="BJ698">
        <v>1</v>
      </c>
      <c r="BK698">
        <v>1</v>
      </c>
      <c r="BL698">
        <v>0</v>
      </c>
      <c r="BO698">
        <v>0</v>
      </c>
      <c r="BP698">
        <v>0</v>
      </c>
      <c r="BW698" t="str">
        <f>"20:15:23.816"</f>
        <v>20:15:23.816</v>
      </c>
      <c r="BZ698">
        <v>0</v>
      </c>
      <c r="CA698">
        <v>2016</v>
      </c>
      <c r="CB698">
        <v>224</v>
      </c>
      <c r="CD698">
        <v>1</v>
      </c>
      <c r="CE698">
        <v>0</v>
      </c>
      <c r="CF698">
        <v>0</v>
      </c>
      <c r="CG698">
        <v>1</v>
      </c>
      <c r="CH698">
        <v>0</v>
      </c>
      <c r="CI698">
        <v>0</v>
      </c>
      <c r="CJ698">
        <v>0</v>
      </c>
      <c r="CK698">
        <v>2</v>
      </c>
      <c r="CL698">
        <v>0</v>
      </c>
      <c r="CM698">
        <v>2</v>
      </c>
      <c r="CN698">
        <v>0</v>
      </c>
      <c r="CO698">
        <v>3</v>
      </c>
      <c r="CP698" t="s">
        <v>119</v>
      </c>
      <c r="CQ698">
        <v>559</v>
      </c>
      <c r="CR698">
        <v>0</v>
      </c>
      <c r="CW698">
        <v>10423899</v>
      </c>
      <c r="CY698">
        <v>1</v>
      </c>
      <c r="CZ698">
        <v>0</v>
      </c>
      <c r="DA698">
        <v>1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</row>
    <row r="699" spans="1:113" x14ac:dyDescent="0.3">
      <c r="A699" t="str">
        <f>"02/08/2021 20:15:22.960"</f>
        <v>02/08/2021 20:15:22.960</v>
      </c>
      <c r="C699" t="str">
        <f t="shared" si="32"/>
        <v>FFDFD7C0</v>
      </c>
      <c r="D699" t="s">
        <v>113</v>
      </c>
      <c r="E699">
        <v>6</v>
      </c>
      <c r="H699">
        <v>165</v>
      </c>
      <c r="I699" t="s">
        <v>114</v>
      </c>
      <c r="J699" t="s">
        <v>115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>"20:15:25.281"</f>
        <v>20:15:25.281</v>
      </c>
      <c r="T699" t="str">
        <f>"20:15:21.781"</f>
        <v>20:15:21.781</v>
      </c>
      <c r="U699" t="str">
        <f t="shared" si="31"/>
        <v>AB01F4</v>
      </c>
      <c r="V699">
        <v>0</v>
      </c>
      <c r="W699">
        <v>0</v>
      </c>
      <c r="X699">
        <v>1</v>
      </c>
      <c r="Z699">
        <v>0</v>
      </c>
      <c r="AA699">
        <v>9</v>
      </c>
      <c r="AB699">
        <v>3</v>
      </c>
      <c r="AC699">
        <v>0</v>
      </c>
      <c r="AD699">
        <v>10</v>
      </c>
      <c r="AE699">
        <v>0</v>
      </c>
      <c r="AF699">
        <v>3</v>
      </c>
      <c r="AG699">
        <v>2</v>
      </c>
      <c r="AH699">
        <v>0</v>
      </c>
      <c r="AI699" t="s">
        <v>605</v>
      </c>
      <c r="AJ699">
        <v>39.632857000000001</v>
      </c>
      <c r="AK699" t="s">
        <v>606</v>
      </c>
      <c r="AL699">
        <v>-92.502736999999996</v>
      </c>
      <c r="AM699">
        <v>100</v>
      </c>
      <c r="AN699">
        <v>1700</v>
      </c>
      <c r="AO699" t="s">
        <v>118</v>
      </c>
      <c r="AP699">
        <v>-18</v>
      </c>
      <c r="AQ699">
        <v>135</v>
      </c>
      <c r="AR699">
        <v>-64</v>
      </c>
      <c r="AZ699">
        <v>1200</v>
      </c>
      <c r="BA699">
        <v>1</v>
      </c>
      <c r="BB699" t="str">
        <f t="shared" si="33"/>
        <v xml:space="preserve">N8080G  </v>
      </c>
      <c r="BC699">
        <v>1</v>
      </c>
      <c r="BE699">
        <v>0</v>
      </c>
      <c r="BF699">
        <v>0</v>
      </c>
      <c r="BG699">
        <v>0</v>
      </c>
      <c r="BH699">
        <v>1650</v>
      </c>
      <c r="BI699">
        <v>1</v>
      </c>
      <c r="BJ699">
        <v>1</v>
      </c>
      <c r="BK699">
        <v>1</v>
      </c>
      <c r="BL699">
        <v>0</v>
      </c>
      <c r="BO699">
        <v>0</v>
      </c>
      <c r="BP699">
        <v>0</v>
      </c>
      <c r="BW699" t="str">
        <f>"20:15:25.284"</f>
        <v>20:15:25.284</v>
      </c>
      <c r="BZ699">
        <v>0</v>
      </c>
      <c r="CA699">
        <v>2016</v>
      </c>
      <c r="CB699">
        <v>224</v>
      </c>
      <c r="CD699">
        <v>1</v>
      </c>
      <c r="CE699">
        <v>0</v>
      </c>
      <c r="CF699">
        <v>0</v>
      </c>
      <c r="CG699">
        <v>1</v>
      </c>
      <c r="CH699">
        <v>0</v>
      </c>
      <c r="CI699">
        <v>0</v>
      </c>
      <c r="CJ699">
        <v>0</v>
      </c>
      <c r="CK699">
        <v>2</v>
      </c>
      <c r="CL699">
        <v>0</v>
      </c>
      <c r="CM699">
        <v>2</v>
      </c>
      <c r="CN699">
        <v>0</v>
      </c>
      <c r="CO699">
        <v>3</v>
      </c>
      <c r="CP699" t="s">
        <v>119</v>
      </c>
      <c r="CQ699">
        <v>559</v>
      </c>
      <c r="CR699">
        <v>0</v>
      </c>
      <c r="CW699">
        <v>10424120</v>
      </c>
      <c r="CY699">
        <v>1</v>
      </c>
      <c r="CZ699">
        <v>0</v>
      </c>
      <c r="DA699">
        <v>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</row>
    <row r="700" spans="1:113" x14ac:dyDescent="0.3">
      <c r="A700" t="str">
        <f>"02/08/2021 20:15:22.960"</f>
        <v>02/08/2021 20:15:22.960</v>
      </c>
      <c r="C700" t="str">
        <f t="shared" si="32"/>
        <v>FFDFD7C0</v>
      </c>
      <c r="D700" t="s">
        <v>124</v>
      </c>
      <c r="E700">
        <v>13</v>
      </c>
      <c r="F700">
        <v>1013</v>
      </c>
      <c r="G700" t="s">
        <v>114</v>
      </c>
      <c r="J700" t="s">
        <v>125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>"20:15:25.281"</f>
        <v>20:15:25.281</v>
      </c>
      <c r="T700" t="str">
        <f>"20:15:21.781"</f>
        <v>20:15:21.781</v>
      </c>
      <c r="U700" t="str">
        <f t="shared" si="31"/>
        <v>AB01F4</v>
      </c>
      <c r="V700">
        <v>0</v>
      </c>
      <c r="W700">
        <v>0</v>
      </c>
      <c r="X700">
        <v>1</v>
      </c>
      <c r="Z700">
        <v>0</v>
      </c>
      <c r="AA700">
        <v>9</v>
      </c>
      <c r="AB700">
        <v>3</v>
      </c>
      <c r="AC700">
        <v>0</v>
      </c>
      <c r="AD700">
        <v>10</v>
      </c>
      <c r="AE700">
        <v>0</v>
      </c>
      <c r="AF700">
        <v>3</v>
      </c>
      <c r="AG700">
        <v>2</v>
      </c>
      <c r="AH700">
        <v>0</v>
      </c>
      <c r="AI700" t="s">
        <v>605</v>
      </c>
      <c r="AJ700">
        <v>39.632857000000001</v>
      </c>
      <c r="AK700" t="s">
        <v>606</v>
      </c>
      <c r="AL700">
        <v>-92.502736999999996</v>
      </c>
      <c r="AM700">
        <v>100</v>
      </c>
      <c r="AN700">
        <v>1700</v>
      </c>
      <c r="AO700" t="s">
        <v>118</v>
      </c>
      <c r="AP700">
        <v>-18</v>
      </c>
      <c r="AQ700">
        <v>135</v>
      </c>
      <c r="AR700">
        <v>-64</v>
      </c>
      <c r="AZ700">
        <v>1200</v>
      </c>
      <c r="BA700">
        <v>1</v>
      </c>
      <c r="BB700" t="str">
        <f t="shared" si="33"/>
        <v xml:space="preserve">N8080G  </v>
      </c>
      <c r="BC700">
        <v>1</v>
      </c>
      <c r="BE700">
        <v>0</v>
      </c>
      <c r="BF700">
        <v>0</v>
      </c>
      <c r="BG700">
        <v>0</v>
      </c>
      <c r="BH700">
        <v>1650</v>
      </c>
      <c r="BI700">
        <v>1</v>
      </c>
      <c r="BJ700">
        <v>1</v>
      </c>
      <c r="BK700">
        <v>1</v>
      </c>
      <c r="BL700">
        <v>0</v>
      </c>
      <c r="BO700">
        <v>0</v>
      </c>
      <c r="BP700">
        <v>0</v>
      </c>
      <c r="BW700" t="str">
        <f>"20:15:25.284"</f>
        <v>20:15:25.284</v>
      </c>
      <c r="BZ700">
        <v>0</v>
      </c>
      <c r="CA700">
        <v>2016</v>
      </c>
      <c r="CB700">
        <v>224</v>
      </c>
      <c r="CD700">
        <v>1</v>
      </c>
      <c r="CE700">
        <v>0</v>
      </c>
      <c r="CF700">
        <v>0</v>
      </c>
      <c r="CG700">
        <v>1</v>
      </c>
      <c r="CH700">
        <v>0</v>
      </c>
      <c r="CI700">
        <v>0</v>
      </c>
      <c r="CJ700">
        <v>0</v>
      </c>
      <c r="CK700">
        <v>2</v>
      </c>
      <c r="CL700">
        <v>0</v>
      </c>
      <c r="CM700">
        <v>2</v>
      </c>
      <c r="CN700">
        <v>0</v>
      </c>
      <c r="CO700">
        <v>3</v>
      </c>
      <c r="CP700" t="s">
        <v>119</v>
      </c>
      <c r="CQ700">
        <v>559</v>
      </c>
      <c r="CR700">
        <v>0</v>
      </c>
      <c r="CW700">
        <v>10424120</v>
      </c>
      <c r="CY700">
        <v>1</v>
      </c>
      <c r="CZ700">
        <v>0</v>
      </c>
      <c r="DA700">
        <v>1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</row>
    <row r="701" spans="1:113" x14ac:dyDescent="0.3">
      <c r="A701" t="str">
        <f>"02/08/2021 20:15:22.960"</f>
        <v>02/08/2021 20:15:22.960</v>
      </c>
      <c r="C701" t="str">
        <f t="shared" si="32"/>
        <v>FFDFD7C0</v>
      </c>
      <c r="D701" t="s">
        <v>141</v>
      </c>
      <c r="E701">
        <v>17</v>
      </c>
      <c r="H701">
        <v>256</v>
      </c>
      <c r="I701" t="s">
        <v>142</v>
      </c>
      <c r="J701" t="s">
        <v>143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>"20:15:25.281"</f>
        <v>20:15:25.281</v>
      </c>
      <c r="T701" t="str">
        <f>"20:15:21.781"</f>
        <v>20:15:21.781</v>
      </c>
      <c r="U701" t="str">
        <f t="shared" si="31"/>
        <v>AB01F4</v>
      </c>
      <c r="V701">
        <v>0</v>
      </c>
      <c r="W701">
        <v>0</v>
      </c>
      <c r="X701">
        <v>1</v>
      </c>
      <c r="Z701">
        <v>0</v>
      </c>
      <c r="AA701">
        <v>9</v>
      </c>
      <c r="AB701">
        <v>3</v>
      </c>
      <c r="AC701">
        <v>0</v>
      </c>
      <c r="AD701">
        <v>10</v>
      </c>
      <c r="AE701">
        <v>0</v>
      </c>
      <c r="AF701">
        <v>3</v>
      </c>
      <c r="AG701">
        <v>2</v>
      </c>
      <c r="AH701">
        <v>0</v>
      </c>
      <c r="AI701" t="s">
        <v>605</v>
      </c>
      <c r="AJ701">
        <v>39.632857000000001</v>
      </c>
      <c r="AK701" t="s">
        <v>606</v>
      </c>
      <c r="AL701">
        <v>-92.502736999999996</v>
      </c>
      <c r="AM701">
        <v>100</v>
      </c>
      <c r="AN701">
        <v>1700</v>
      </c>
      <c r="AO701" t="s">
        <v>118</v>
      </c>
      <c r="AP701">
        <v>-18</v>
      </c>
      <c r="AQ701">
        <v>135</v>
      </c>
      <c r="AR701">
        <v>-64</v>
      </c>
      <c r="AZ701">
        <v>1200</v>
      </c>
      <c r="BA701">
        <v>1</v>
      </c>
      <c r="BB701" t="str">
        <f t="shared" si="33"/>
        <v xml:space="preserve">N8080G  </v>
      </c>
      <c r="BC701">
        <v>1</v>
      </c>
      <c r="BE701">
        <v>0</v>
      </c>
      <c r="BF701">
        <v>0</v>
      </c>
      <c r="BG701">
        <v>0</v>
      </c>
      <c r="BH701">
        <v>1650</v>
      </c>
      <c r="BI701">
        <v>1</v>
      </c>
      <c r="BJ701">
        <v>1</v>
      </c>
      <c r="BK701">
        <v>1</v>
      </c>
      <c r="BL701">
        <v>0</v>
      </c>
      <c r="BO701">
        <v>0</v>
      </c>
      <c r="BP701">
        <v>0</v>
      </c>
      <c r="BW701" t="str">
        <f>"20:15:25.284"</f>
        <v>20:15:25.284</v>
      </c>
      <c r="BZ701">
        <v>0</v>
      </c>
      <c r="CA701">
        <v>2016</v>
      </c>
      <c r="CB701">
        <v>224</v>
      </c>
      <c r="CD701">
        <v>1</v>
      </c>
      <c r="CE701">
        <v>0</v>
      </c>
      <c r="CF701">
        <v>0</v>
      </c>
      <c r="CG701">
        <v>1</v>
      </c>
      <c r="CH701">
        <v>0</v>
      </c>
      <c r="CI701">
        <v>0</v>
      </c>
      <c r="CJ701">
        <v>0</v>
      </c>
      <c r="CK701">
        <v>2</v>
      </c>
      <c r="CL701">
        <v>0</v>
      </c>
      <c r="CM701">
        <v>2</v>
      </c>
      <c r="CN701">
        <v>0</v>
      </c>
      <c r="CO701">
        <v>3</v>
      </c>
      <c r="CP701" t="s">
        <v>119</v>
      </c>
      <c r="CQ701">
        <v>559</v>
      </c>
      <c r="CR701">
        <v>0</v>
      </c>
      <c r="CW701">
        <v>10424120</v>
      </c>
      <c r="CY701">
        <v>1</v>
      </c>
      <c r="CZ701">
        <v>0</v>
      </c>
      <c r="DA701">
        <v>1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</row>
    <row r="702" spans="1:113" x14ac:dyDescent="0.3">
      <c r="A702" t="str">
        <f>"02/08/2021 20:15:25.081"</f>
        <v>02/08/2021 20:15:25.081</v>
      </c>
      <c r="C702" t="str">
        <f t="shared" si="32"/>
        <v>FFDFD7C0</v>
      </c>
      <c r="D702" t="s">
        <v>113</v>
      </c>
      <c r="E702">
        <v>6</v>
      </c>
      <c r="H702">
        <v>165</v>
      </c>
      <c r="I702" t="s">
        <v>114</v>
      </c>
      <c r="J702" t="s">
        <v>115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>"20:15:27.367"</f>
        <v>20:15:27.367</v>
      </c>
      <c r="T702" t="str">
        <f>"20:15:26.867"</f>
        <v>20:15:26.867</v>
      </c>
      <c r="U702" t="str">
        <f t="shared" si="31"/>
        <v>AB01F4</v>
      </c>
      <c r="V702">
        <v>0</v>
      </c>
      <c r="W702">
        <v>0</v>
      </c>
      <c r="X702">
        <v>1</v>
      </c>
      <c r="Z702">
        <v>0</v>
      </c>
      <c r="AA702">
        <v>9</v>
      </c>
      <c r="AB702">
        <v>3</v>
      </c>
      <c r="AC702">
        <v>0</v>
      </c>
      <c r="AD702">
        <v>10</v>
      </c>
      <c r="AE702">
        <v>0</v>
      </c>
      <c r="AF702">
        <v>3</v>
      </c>
      <c r="AG702">
        <v>2</v>
      </c>
      <c r="AH702">
        <v>0</v>
      </c>
      <c r="AI702" t="s">
        <v>607</v>
      </c>
      <c r="AJ702">
        <v>39.634143999999999</v>
      </c>
      <c r="AK702" t="s">
        <v>608</v>
      </c>
      <c r="AL702">
        <v>-92.503037000000006</v>
      </c>
      <c r="AM702">
        <v>100</v>
      </c>
      <c r="AN702">
        <v>1700</v>
      </c>
      <c r="AO702" t="s">
        <v>118</v>
      </c>
      <c r="AP702">
        <v>-21</v>
      </c>
      <c r="AQ702">
        <v>133</v>
      </c>
      <c r="AR702">
        <v>-64</v>
      </c>
      <c r="AZ702">
        <v>1200</v>
      </c>
      <c r="BA702">
        <v>1</v>
      </c>
      <c r="BB702" t="str">
        <f t="shared" si="33"/>
        <v xml:space="preserve">N8080G  </v>
      </c>
      <c r="BC702">
        <v>1</v>
      </c>
      <c r="BE702">
        <v>0</v>
      </c>
      <c r="BF702">
        <v>0</v>
      </c>
      <c r="BG702">
        <v>0</v>
      </c>
      <c r="BH702">
        <v>1650</v>
      </c>
      <c r="BI702">
        <v>1</v>
      </c>
      <c r="BJ702">
        <v>1</v>
      </c>
      <c r="BK702">
        <v>1</v>
      </c>
      <c r="BL702">
        <v>0</v>
      </c>
      <c r="BO702">
        <v>0</v>
      </c>
      <c r="BP702">
        <v>0</v>
      </c>
      <c r="BW702" t="str">
        <f>"20:15:27.370"</f>
        <v>20:15:27.370</v>
      </c>
      <c r="BZ702">
        <v>0</v>
      </c>
      <c r="CA702">
        <v>2016</v>
      </c>
      <c r="CB702">
        <v>224</v>
      </c>
      <c r="CD702">
        <v>1</v>
      </c>
      <c r="CE702">
        <v>0</v>
      </c>
      <c r="CF702">
        <v>0</v>
      </c>
      <c r="CG702">
        <v>1</v>
      </c>
      <c r="CH702">
        <v>0</v>
      </c>
      <c r="CI702">
        <v>0</v>
      </c>
      <c r="CJ702">
        <v>0</v>
      </c>
      <c r="CK702">
        <v>2</v>
      </c>
      <c r="CL702">
        <v>0</v>
      </c>
      <c r="CM702">
        <v>2</v>
      </c>
      <c r="CN702">
        <v>0</v>
      </c>
      <c r="CO702">
        <v>6</v>
      </c>
      <c r="CP702" t="s">
        <v>119</v>
      </c>
      <c r="CQ702">
        <v>180</v>
      </c>
      <c r="CR702">
        <v>2</v>
      </c>
      <c r="CW702">
        <v>7938933</v>
      </c>
      <c r="CY702">
        <v>1</v>
      </c>
      <c r="CZ702">
        <v>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</row>
    <row r="703" spans="1:113" x14ac:dyDescent="0.3">
      <c r="A703" t="str">
        <f>"02/08/2021 20:15:25.081"</f>
        <v>02/08/2021 20:15:25.081</v>
      </c>
      <c r="C703" t="str">
        <f t="shared" si="32"/>
        <v>FFDFD7C0</v>
      </c>
      <c r="D703" t="s">
        <v>124</v>
      </c>
      <c r="E703">
        <v>13</v>
      </c>
      <c r="F703">
        <v>1013</v>
      </c>
      <c r="G703" t="s">
        <v>114</v>
      </c>
      <c r="J703" t="s">
        <v>125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>"20:15:27.367"</f>
        <v>20:15:27.367</v>
      </c>
      <c r="T703" t="str">
        <f>"20:15:26.867"</f>
        <v>20:15:26.867</v>
      </c>
      <c r="U703" t="str">
        <f t="shared" si="31"/>
        <v>AB01F4</v>
      </c>
      <c r="V703">
        <v>0</v>
      </c>
      <c r="W703">
        <v>0</v>
      </c>
      <c r="X703">
        <v>1</v>
      </c>
      <c r="Z703">
        <v>0</v>
      </c>
      <c r="AA703">
        <v>9</v>
      </c>
      <c r="AB703">
        <v>3</v>
      </c>
      <c r="AC703">
        <v>0</v>
      </c>
      <c r="AD703">
        <v>10</v>
      </c>
      <c r="AE703">
        <v>0</v>
      </c>
      <c r="AF703">
        <v>3</v>
      </c>
      <c r="AG703">
        <v>2</v>
      </c>
      <c r="AH703">
        <v>0</v>
      </c>
      <c r="AI703" t="s">
        <v>607</v>
      </c>
      <c r="AJ703">
        <v>39.634143999999999</v>
      </c>
      <c r="AK703" t="s">
        <v>608</v>
      </c>
      <c r="AL703">
        <v>-92.503037000000006</v>
      </c>
      <c r="AM703">
        <v>100</v>
      </c>
      <c r="AN703">
        <v>1700</v>
      </c>
      <c r="AO703" t="s">
        <v>118</v>
      </c>
      <c r="AP703">
        <v>-21</v>
      </c>
      <c r="AQ703">
        <v>133</v>
      </c>
      <c r="AR703">
        <v>-64</v>
      </c>
      <c r="AZ703">
        <v>1200</v>
      </c>
      <c r="BA703">
        <v>1</v>
      </c>
      <c r="BB703" t="str">
        <f t="shared" si="33"/>
        <v xml:space="preserve">N8080G  </v>
      </c>
      <c r="BC703">
        <v>1</v>
      </c>
      <c r="BE703">
        <v>0</v>
      </c>
      <c r="BF703">
        <v>0</v>
      </c>
      <c r="BG703">
        <v>0</v>
      </c>
      <c r="BH703">
        <v>1650</v>
      </c>
      <c r="BI703">
        <v>1</v>
      </c>
      <c r="BJ703">
        <v>1</v>
      </c>
      <c r="BK703">
        <v>1</v>
      </c>
      <c r="BL703">
        <v>0</v>
      </c>
      <c r="BO703">
        <v>0</v>
      </c>
      <c r="BP703">
        <v>0</v>
      </c>
      <c r="BW703" t="str">
        <f>"20:15:27.370"</f>
        <v>20:15:27.370</v>
      </c>
      <c r="BZ703">
        <v>0</v>
      </c>
      <c r="CA703">
        <v>2016</v>
      </c>
      <c r="CB703">
        <v>224</v>
      </c>
      <c r="CD703">
        <v>1</v>
      </c>
      <c r="CE703">
        <v>0</v>
      </c>
      <c r="CF703">
        <v>0</v>
      </c>
      <c r="CG703">
        <v>1</v>
      </c>
      <c r="CH703">
        <v>0</v>
      </c>
      <c r="CI703">
        <v>0</v>
      </c>
      <c r="CJ703">
        <v>0</v>
      </c>
      <c r="CK703">
        <v>2</v>
      </c>
      <c r="CL703">
        <v>0</v>
      </c>
      <c r="CM703">
        <v>2</v>
      </c>
      <c r="CN703">
        <v>0</v>
      </c>
      <c r="CO703">
        <v>6</v>
      </c>
      <c r="CP703" t="s">
        <v>119</v>
      </c>
      <c r="CQ703">
        <v>180</v>
      </c>
      <c r="CR703">
        <v>2</v>
      </c>
      <c r="CW703">
        <v>7938933</v>
      </c>
      <c r="CY703">
        <v>1</v>
      </c>
      <c r="CZ703">
        <v>0</v>
      </c>
      <c r="DA703">
        <v>1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</row>
    <row r="704" spans="1:113" x14ac:dyDescent="0.3">
      <c r="A704" t="str">
        <f>"02/08/2021 20:15:25.081"</f>
        <v>02/08/2021 20:15:25.081</v>
      </c>
      <c r="C704" t="str">
        <f t="shared" si="32"/>
        <v>FFDFD7C0</v>
      </c>
      <c r="D704" t="s">
        <v>124</v>
      </c>
      <c r="E704">
        <v>11</v>
      </c>
      <c r="F704">
        <v>1011</v>
      </c>
      <c r="G704" t="s">
        <v>590</v>
      </c>
      <c r="J704" t="s">
        <v>125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>"20:15:27.367"</f>
        <v>20:15:27.367</v>
      </c>
      <c r="T704" t="str">
        <f>"20:15:26.867"</f>
        <v>20:15:26.867</v>
      </c>
      <c r="U704" t="str">
        <f t="shared" si="31"/>
        <v>AB01F4</v>
      </c>
      <c r="V704">
        <v>0</v>
      </c>
      <c r="W704">
        <v>0</v>
      </c>
      <c r="X704">
        <v>1</v>
      </c>
      <c r="Z704">
        <v>0</v>
      </c>
      <c r="AA704">
        <v>9</v>
      </c>
      <c r="AB704">
        <v>3</v>
      </c>
      <c r="AC704">
        <v>0</v>
      </c>
      <c r="AD704">
        <v>10</v>
      </c>
      <c r="AE704">
        <v>0</v>
      </c>
      <c r="AF704">
        <v>3</v>
      </c>
      <c r="AG704">
        <v>2</v>
      </c>
      <c r="AH704">
        <v>0</v>
      </c>
      <c r="AI704" t="s">
        <v>607</v>
      </c>
      <c r="AJ704">
        <v>39.634143999999999</v>
      </c>
      <c r="AK704" t="s">
        <v>608</v>
      </c>
      <c r="AL704">
        <v>-92.503037000000006</v>
      </c>
      <c r="AM704">
        <v>100</v>
      </c>
      <c r="AN704">
        <v>1700</v>
      </c>
      <c r="AO704" t="s">
        <v>118</v>
      </c>
      <c r="AP704">
        <v>-21</v>
      </c>
      <c r="AQ704">
        <v>133</v>
      </c>
      <c r="AR704">
        <v>-64</v>
      </c>
      <c r="AZ704">
        <v>1200</v>
      </c>
      <c r="BA704">
        <v>1</v>
      </c>
      <c r="BB704" t="str">
        <f t="shared" si="33"/>
        <v xml:space="preserve">N8080G  </v>
      </c>
      <c r="BC704">
        <v>1</v>
      </c>
      <c r="BE704">
        <v>0</v>
      </c>
      <c r="BF704">
        <v>0</v>
      </c>
      <c r="BG704">
        <v>0</v>
      </c>
      <c r="BH704">
        <v>1650</v>
      </c>
      <c r="BI704">
        <v>1</v>
      </c>
      <c r="BJ704">
        <v>1</v>
      </c>
      <c r="BK704">
        <v>1</v>
      </c>
      <c r="BL704">
        <v>0</v>
      </c>
      <c r="BO704">
        <v>0</v>
      </c>
      <c r="BP704">
        <v>0</v>
      </c>
      <c r="BW704" t="str">
        <f>"20:15:27.370"</f>
        <v>20:15:27.370</v>
      </c>
      <c r="BZ704">
        <v>0</v>
      </c>
      <c r="CA704">
        <v>2016</v>
      </c>
      <c r="CB704">
        <v>224</v>
      </c>
      <c r="CD704">
        <v>1</v>
      </c>
      <c r="CE704">
        <v>0</v>
      </c>
      <c r="CF704">
        <v>0</v>
      </c>
      <c r="CG704">
        <v>1</v>
      </c>
      <c r="CH704">
        <v>0</v>
      </c>
      <c r="CI704">
        <v>0</v>
      </c>
      <c r="CJ704">
        <v>0</v>
      </c>
      <c r="CK704">
        <v>2</v>
      </c>
      <c r="CL704">
        <v>0</v>
      </c>
      <c r="CM704">
        <v>2</v>
      </c>
      <c r="CN704">
        <v>0</v>
      </c>
      <c r="CO704">
        <v>6</v>
      </c>
      <c r="CP704" t="s">
        <v>119</v>
      </c>
      <c r="CQ704">
        <v>180</v>
      </c>
      <c r="CR704">
        <v>2</v>
      </c>
      <c r="CW704">
        <v>7938933</v>
      </c>
      <c r="CY704">
        <v>1</v>
      </c>
      <c r="CZ704">
        <v>0</v>
      </c>
      <c r="DA704">
        <v>1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</row>
    <row r="705" spans="1:113" x14ac:dyDescent="0.3">
      <c r="A705" t="str">
        <f>"02/08/2021 20:15:26.437"</f>
        <v>02/08/2021 20:15:26.437</v>
      </c>
      <c r="C705" t="str">
        <f t="shared" si="32"/>
        <v>FFDFD7C0</v>
      </c>
      <c r="D705" t="s">
        <v>124</v>
      </c>
      <c r="E705">
        <v>13</v>
      </c>
      <c r="F705">
        <v>1013</v>
      </c>
      <c r="G705" t="s">
        <v>114</v>
      </c>
      <c r="J705" t="s">
        <v>125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>"20:15:28.719"</f>
        <v>20:15:28.719</v>
      </c>
      <c r="T705" t="str">
        <f>"20:15:28.319"</f>
        <v>20:15:28.319</v>
      </c>
      <c r="U705" t="str">
        <f t="shared" si="31"/>
        <v>AB01F4</v>
      </c>
      <c r="V705">
        <v>0</v>
      </c>
      <c r="W705">
        <v>0</v>
      </c>
      <c r="X705">
        <v>1</v>
      </c>
      <c r="Z705">
        <v>0</v>
      </c>
      <c r="AA705">
        <v>9</v>
      </c>
      <c r="AB705">
        <v>3</v>
      </c>
      <c r="AC705">
        <v>0</v>
      </c>
      <c r="AD705">
        <v>10</v>
      </c>
      <c r="AE705">
        <v>0</v>
      </c>
      <c r="AF705">
        <v>3</v>
      </c>
      <c r="AG705">
        <v>2</v>
      </c>
      <c r="AH705">
        <v>0</v>
      </c>
      <c r="AI705" t="s">
        <v>609</v>
      </c>
      <c r="AJ705">
        <v>39.635002999999998</v>
      </c>
      <c r="AK705" t="s">
        <v>610</v>
      </c>
      <c r="AL705">
        <v>-92.503208999999998</v>
      </c>
      <c r="AM705">
        <v>100</v>
      </c>
      <c r="AN705">
        <v>1700</v>
      </c>
      <c r="AO705" t="s">
        <v>118</v>
      </c>
      <c r="AP705">
        <v>-23</v>
      </c>
      <c r="AQ705">
        <v>133</v>
      </c>
      <c r="AR705">
        <v>-64</v>
      </c>
      <c r="AZ705">
        <v>1200</v>
      </c>
      <c r="BA705">
        <v>1</v>
      </c>
      <c r="BB705" t="str">
        <f t="shared" si="33"/>
        <v xml:space="preserve">N8080G  </v>
      </c>
      <c r="BC705">
        <v>1</v>
      </c>
      <c r="BE705">
        <v>0</v>
      </c>
      <c r="BF705">
        <v>0</v>
      </c>
      <c r="BG705">
        <v>0</v>
      </c>
      <c r="BH705">
        <v>1675</v>
      </c>
      <c r="BI705">
        <v>1</v>
      </c>
      <c r="BJ705">
        <v>1</v>
      </c>
      <c r="BK705">
        <v>1</v>
      </c>
      <c r="BL705">
        <v>0</v>
      </c>
      <c r="BO705">
        <v>0</v>
      </c>
      <c r="BP705">
        <v>0</v>
      </c>
      <c r="BW705" t="str">
        <f>"20:15:28.721"</f>
        <v>20:15:28.721</v>
      </c>
      <c r="BZ705">
        <v>0</v>
      </c>
      <c r="CA705">
        <v>2016</v>
      </c>
      <c r="CB705">
        <v>224</v>
      </c>
      <c r="CD705">
        <v>1</v>
      </c>
      <c r="CE705">
        <v>0</v>
      </c>
      <c r="CF705">
        <v>0</v>
      </c>
      <c r="CG705">
        <v>1</v>
      </c>
      <c r="CH705">
        <v>0</v>
      </c>
      <c r="CI705">
        <v>0</v>
      </c>
      <c r="CJ705">
        <v>0</v>
      </c>
      <c r="CK705">
        <v>2</v>
      </c>
      <c r="CL705">
        <v>0</v>
      </c>
      <c r="CM705">
        <v>2</v>
      </c>
      <c r="CN705">
        <v>0</v>
      </c>
      <c r="CO705">
        <v>7</v>
      </c>
      <c r="CP705" t="s">
        <v>119</v>
      </c>
      <c r="CQ705">
        <v>180</v>
      </c>
      <c r="CR705">
        <v>2</v>
      </c>
      <c r="CW705">
        <v>7940056</v>
      </c>
      <c r="CY705">
        <v>1</v>
      </c>
      <c r="CZ705">
        <v>0</v>
      </c>
      <c r="DA705">
        <v>0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</row>
    <row r="706" spans="1:113" x14ac:dyDescent="0.3">
      <c r="A706" t="str">
        <f>"02/08/2021 20:15:26.437"</f>
        <v>02/08/2021 20:15:26.437</v>
      </c>
      <c r="C706" t="str">
        <f t="shared" si="32"/>
        <v>FFDFD7C0</v>
      </c>
      <c r="D706" t="s">
        <v>124</v>
      </c>
      <c r="E706">
        <v>11</v>
      </c>
      <c r="F706">
        <v>1011</v>
      </c>
      <c r="G706" t="s">
        <v>590</v>
      </c>
      <c r="J706" t="s">
        <v>125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>"20:15:28.719"</f>
        <v>20:15:28.719</v>
      </c>
      <c r="T706" t="str">
        <f>"20:15:28.319"</f>
        <v>20:15:28.319</v>
      </c>
      <c r="U706" t="str">
        <f t="shared" ref="U706:U769" si="34">"AB01F4"</f>
        <v>AB01F4</v>
      </c>
      <c r="V706">
        <v>0</v>
      </c>
      <c r="W706">
        <v>0</v>
      </c>
      <c r="X706">
        <v>1</v>
      </c>
      <c r="Z706">
        <v>0</v>
      </c>
      <c r="AA706">
        <v>9</v>
      </c>
      <c r="AB706">
        <v>3</v>
      </c>
      <c r="AC706">
        <v>0</v>
      </c>
      <c r="AD706">
        <v>10</v>
      </c>
      <c r="AE706">
        <v>0</v>
      </c>
      <c r="AF706">
        <v>3</v>
      </c>
      <c r="AG706">
        <v>2</v>
      </c>
      <c r="AH706">
        <v>0</v>
      </c>
      <c r="AI706" t="s">
        <v>609</v>
      </c>
      <c r="AJ706">
        <v>39.635002999999998</v>
      </c>
      <c r="AK706" t="s">
        <v>610</v>
      </c>
      <c r="AL706">
        <v>-92.503208999999998</v>
      </c>
      <c r="AM706">
        <v>100</v>
      </c>
      <c r="AN706">
        <v>1700</v>
      </c>
      <c r="AO706" t="s">
        <v>118</v>
      </c>
      <c r="AP706">
        <v>-23</v>
      </c>
      <c r="AQ706">
        <v>133</v>
      </c>
      <c r="AR706">
        <v>-64</v>
      </c>
      <c r="AZ706">
        <v>1200</v>
      </c>
      <c r="BA706">
        <v>1</v>
      </c>
      <c r="BB706" t="str">
        <f t="shared" si="33"/>
        <v xml:space="preserve">N8080G  </v>
      </c>
      <c r="BC706">
        <v>1</v>
      </c>
      <c r="BE706">
        <v>0</v>
      </c>
      <c r="BF706">
        <v>0</v>
      </c>
      <c r="BG706">
        <v>0</v>
      </c>
      <c r="BH706">
        <v>1675</v>
      </c>
      <c r="BI706">
        <v>1</v>
      </c>
      <c r="BJ706">
        <v>1</v>
      </c>
      <c r="BK706">
        <v>1</v>
      </c>
      <c r="BL706">
        <v>0</v>
      </c>
      <c r="BO706">
        <v>0</v>
      </c>
      <c r="BP706">
        <v>0</v>
      </c>
      <c r="BW706" t="str">
        <f>"20:15:28.721"</f>
        <v>20:15:28.721</v>
      </c>
      <c r="BZ706">
        <v>0</v>
      </c>
      <c r="CA706">
        <v>2016</v>
      </c>
      <c r="CB706">
        <v>224</v>
      </c>
      <c r="CD706">
        <v>1</v>
      </c>
      <c r="CE706">
        <v>0</v>
      </c>
      <c r="CF706">
        <v>0</v>
      </c>
      <c r="CG706">
        <v>1</v>
      </c>
      <c r="CH706">
        <v>0</v>
      </c>
      <c r="CI706">
        <v>0</v>
      </c>
      <c r="CJ706">
        <v>0</v>
      </c>
      <c r="CK706">
        <v>2</v>
      </c>
      <c r="CL706">
        <v>0</v>
      </c>
      <c r="CM706">
        <v>2</v>
      </c>
      <c r="CN706">
        <v>0</v>
      </c>
      <c r="CO706">
        <v>7</v>
      </c>
      <c r="CP706" t="s">
        <v>119</v>
      </c>
      <c r="CQ706">
        <v>180</v>
      </c>
      <c r="CR706">
        <v>2</v>
      </c>
      <c r="CW706">
        <v>7940056</v>
      </c>
      <c r="CY706">
        <v>1</v>
      </c>
      <c r="CZ706">
        <v>0</v>
      </c>
      <c r="DA706">
        <v>1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</row>
    <row r="707" spans="1:113" x14ac:dyDescent="0.3">
      <c r="A707" t="str">
        <f>"02/08/2021 20:15:26.437"</f>
        <v>02/08/2021 20:15:26.437</v>
      </c>
      <c r="C707" t="str">
        <f t="shared" si="32"/>
        <v>FFDFD7C0</v>
      </c>
      <c r="D707" t="s">
        <v>113</v>
      </c>
      <c r="E707">
        <v>6</v>
      </c>
      <c r="H707">
        <v>165</v>
      </c>
      <c r="I707" t="s">
        <v>114</v>
      </c>
      <c r="J707" t="s">
        <v>115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>"20:15:28.719"</f>
        <v>20:15:28.719</v>
      </c>
      <c r="T707" t="str">
        <f>"20:15:28.319"</f>
        <v>20:15:28.319</v>
      </c>
      <c r="U707" t="str">
        <f t="shared" si="34"/>
        <v>AB01F4</v>
      </c>
      <c r="V707">
        <v>0</v>
      </c>
      <c r="W707">
        <v>0</v>
      </c>
      <c r="X707">
        <v>1</v>
      </c>
      <c r="Z707">
        <v>0</v>
      </c>
      <c r="AA707">
        <v>9</v>
      </c>
      <c r="AB707">
        <v>3</v>
      </c>
      <c r="AC707">
        <v>0</v>
      </c>
      <c r="AD707">
        <v>10</v>
      </c>
      <c r="AE707">
        <v>0</v>
      </c>
      <c r="AF707">
        <v>3</v>
      </c>
      <c r="AG707">
        <v>2</v>
      </c>
      <c r="AH707">
        <v>0</v>
      </c>
      <c r="AI707" t="s">
        <v>609</v>
      </c>
      <c r="AJ707">
        <v>39.635002999999998</v>
      </c>
      <c r="AK707" t="s">
        <v>610</v>
      </c>
      <c r="AL707">
        <v>-92.503208999999998</v>
      </c>
      <c r="AM707">
        <v>100</v>
      </c>
      <c r="AN707">
        <v>1700</v>
      </c>
      <c r="AO707" t="s">
        <v>118</v>
      </c>
      <c r="AP707">
        <v>-23</v>
      </c>
      <c r="AQ707">
        <v>133</v>
      </c>
      <c r="AR707">
        <v>-64</v>
      </c>
      <c r="AZ707">
        <v>1200</v>
      </c>
      <c r="BA707">
        <v>1</v>
      </c>
      <c r="BB707" t="str">
        <f t="shared" si="33"/>
        <v xml:space="preserve">N8080G  </v>
      </c>
      <c r="BC707">
        <v>1</v>
      </c>
      <c r="BE707">
        <v>0</v>
      </c>
      <c r="BF707">
        <v>0</v>
      </c>
      <c r="BG707">
        <v>0</v>
      </c>
      <c r="BH707">
        <v>1675</v>
      </c>
      <c r="BI707">
        <v>1</v>
      </c>
      <c r="BJ707">
        <v>1</v>
      </c>
      <c r="BK707">
        <v>1</v>
      </c>
      <c r="BL707">
        <v>0</v>
      </c>
      <c r="BO707">
        <v>0</v>
      </c>
      <c r="BP707">
        <v>0</v>
      </c>
      <c r="BW707" t="str">
        <f>"20:15:28.721"</f>
        <v>20:15:28.721</v>
      </c>
      <c r="BZ707">
        <v>0</v>
      </c>
      <c r="CA707">
        <v>2016</v>
      </c>
      <c r="CB707">
        <v>224</v>
      </c>
      <c r="CD707">
        <v>1</v>
      </c>
      <c r="CE707">
        <v>0</v>
      </c>
      <c r="CF707">
        <v>0</v>
      </c>
      <c r="CG707">
        <v>1</v>
      </c>
      <c r="CH707">
        <v>0</v>
      </c>
      <c r="CI707">
        <v>0</v>
      </c>
      <c r="CJ707">
        <v>0</v>
      </c>
      <c r="CK707">
        <v>2</v>
      </c>
      <c r="CL707">
        <v>0</v>
      </c>
      <c r="CM707">
        <v>2</v>
      </c>
      <c r="CN707">
        <v>0</v>
      </c>
      <c r="CO707">
        <v>7</v>
      </c>
      <c r="CP707" t="s">
        <v>119</v>
      </c>
      <c r="CQ707">
        <v>180</v>
      </c>
      <c r="CR707">
        <v>2</v>
      </c>
      <c r="CW707">
        <v>7940056</v>
      </c>
      <c r="CY707">
        <v>1</v>
      </c>
      <c r="CZ707">
        <v>0</v>
      </c>
      <c r="DA707">
        <v>1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</row>
    <row r="708" spans="1:113" x14ac:dyDescent="0.3">
      <c r="A708" t="str">
        <f>"02/08/2021 20:15:29.723"</f>
        <v>02/08/2021 20:15:29.723</v>
      </c>
      <c r="C708" t="str">
        <f t="shared" si="32"/>
        <v>FFDFD7C0</v>
      </c>
      <c r="D708" t="s">
        <v>124</v>
      </c>
      <c r="E708">
        <v>11</v>
      </c>
      <c r="F708">
        <v>1011</v>
      </c>
      <c r="G708" t="s">
        <v>590</v>
      </c>
      <c r="J708" t="s">
        <v>125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>"20:15:32.047"</f>
        <v>20:15:32.047</v>
      </c>
      <c r="T708" t="str">
        <f>"20:15:31.547"</f>
        <v>20:15:31.547</v>
      </c>
      <c r="U708" t="str">
        <f t="shared" si="34"/>
        <v>AB01F4</v>
      </c>
      <c r="V708">
        <v>0</v>
      </c>
      <c r="W708">
        <v>0</v>
      </c>
      <c r="X708">
        <v>1</v>
      </c>
      <c r="Z708">
        <v>0</v>
      </c>
      <c r="AA708">
        <v>9</v>
      </c>
      <c r="AB708">
        <v>3</v>
      </c>
      <c r="AC708">
        <v>0</v>
      </c>
      <c r="AD708">
        <v>10</v>
      </c>
      <c r="AE708">
        <v>0</v>
      </c>
      <c r="AF708">
        <v>3</v>
      </c>
      <c r="AG708">
        <v>2</v>
      </c>
      <c r="AH708">
        <v>0</v>
      </c>
      <c r="AI708" t="s">
        <v>611</v>
      </c>
      <c r="AJ708">
        <v>39.637041000000004</v>
      </c>
      <c r="AK708" t="s">
        <v>612</v>
      </c>
      <c r="AL708">
        <v>-92.503724000000005</v>
      </c>
      <c r="AM708">
        <v>100</v>
      </c>
      <c r="AN708">
        <v>1700</v>
      </c>
      <c r="AO708" t="s">
        <v>118</v>
      </c>
      <c r="AP708">
        <v>-26</v>
      </c>
      <c r="AQ708">
        <v>132</v>
      </c>
      <c r="AR708">
        <v>0</v>
      </c>
      <c r="AZ708">
        <v>1200</v>
      </c>
      <c r="BA708">
        <v>1</v>
      </c>
      <c r="BB708" t="str">
        <f t="shared" si="33"/>
        <v xml:space="preserve">N8080G  </v>
      </c>
      <c r="BC708">
        <v>1</v>
      </c>
      <c r="BE708">
        <v>0</v>
      </c>
      <c r="BF708">
        <v>0</v>
      </c>
      <c r="BG708">
        <v>0</v>
      </c>
      <c r="BH708">
        <v>1675</v>
      </c>
      <c r="BI708">
        <v>1</v>
      </c>
      <c r="BJ708">
        <v>1</v>
      </c>
      <c r="BK708">
        <v>1</v>
      </c>
      <c r="BL708">
        <v>0</v>
      </c>
      <c r="BO708">
        <v>0</v>
      </c>
      <c r="BP708">
        <v>0</v>
      </c>
      <c r="BW708" t="str">
        <f>"20:15:32.054"</f>
        <v>20:15:32.054</v>
      </c>
      <c r="BZ708">
        <v>0</v>
      </c>
      <c r="CA708">
        <v>2016</v>
      </c>
      <c r="CB708">
        <v>224</v>
      </c>
      <c r="CD708">
        <v>1</v>
      </c>
      <c r="CE708">
        <v>0</v>
      </c>
      <c r="CF708">
        <v>0</v>
      </c>
      <c r="CG708">
        <v>1</v>
      </c>
      <c r="CH708">
        <v>0</v>
      </c>
      <c r="CI708">
        <v>0</v>
      </c>
      <c r="CJ708">
        <v>0</v>
      </c>
      <c r="CK708">
        <v>2</v>
      </c>
      <c r="CL708">
        <v>0</v>
      </c>
      <c r="CM708">
        <v>2</v>
      </c>
      <c r="CN708">
        <v>0</v>
      </c>
      <c r="CO708">
        <v>6</v>
      </c>
      <c r="CP708" t="s">
        <v>119</v>
      </c>
      <c r="CQ708">
        <v>180</v>
      </c>
      <c r="CR708">
        <v>2</v>
      </c>
      <c r="CW708">
        <v>7942792</v>
      </c>
      <c r="CY708">
        <v>1</v>
      </c>
      <c r="CZ708">
        <v>0</v>
      </c>
      <c r="DA708">
        <v>0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</row>
    <row r="709" spans="1:113" x14ac:dyDescent="0.3">
      <c r="A709" t="str">
        <f>"02/08/2021 20:15:29.723"</f>
        <v>02/08/2021 20:15:29.723</v>
      </c>
      <c r="C709" t="str">
        <f t="shared" si="32"/>
        <v>FFDFD7C0</v>
      </c>
      <c r="D709" t="s">
        <v>113</v>
      </c>
      <c r="E709">
        <v>6</v>
      </c>
      <c r="H709">
        <v>165</v>
      </c>
      <c r="I709" t="s">
        <v>114</v>
      </c>
      <c r="J709" t="s">
        <v>115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>"20:15:32.047"</f>
        <v>20:15:32.047</v>
      </c>
      <c r="T709" t="str">
        <f>"20:15:31.547"</f>
        <v>20:15:31.547</v>
      </c>
      <c r="U709" t="str">
        <f t="shared" si="34"/>
        <v>AB01F4</v>
      </c>
      <c r="V709">
        <v>0</v>
      </c>
      <c r="W709">
        <v>0</v>
      </c>
      <c r="X709">
        <v>1</v>
      </c>
      <c r="Z709">
        <v>0</v>
      </c>
      <c r="AA709">
        <v>9</v>
      </c>
      <c r="AB709">
        <v>3</v>
      </c>
      <c r="AC709">
        <v>0</v>
      </c>
      <c r="AD709">
        <v>10</v>
      </c>
      <c r="AE709">
        <v>0</v>
      </c>
      <c r="AF709">
        <v>3</v>
      </c>
      <c r="AG709">
        <v>2</v>
      </c>
      <c r="AH709">
        <v>0</v>
      </c>
      <c r="AI709" t="s">
        <v>611</v>
      </c>
      <c r="AJ709">
        <v>39.637041000000004</v>
      </c>
      <c r="AK709" t="s">
        <v>612</v>
      </c>
      <c r="AL709">
        <v>-92.503724000000005</v>
      </c>
      <c r="AM709">
        <v>100</v>
      </c>
      <c r="AN709">
        <v>1700</v>
      </c>
      <c r="AO709" t="s">
        <v>118</v>
      </c>
      <c r="AP709">
        <v>-26</v>
      </c>
      <c r="AQ709">
        <v>132</v>
      </c>
      <c r="AR709">
        <v>0</v>
      </c>
      <c r="AZ709">
        <v>1200</v>
      </c>
      <c r="BA709">
        <v>1</v>
      </c>
      <c r="BB709" t="str">
        <f t="shared" si="33"/>
        <v xml:space="preserve">N8080G  </v>
      </c>
      <c r="BC709">
        <v>1</v>
      </c>
      <c r="BE709">
        <v>0</v>
      </c>
      <c r="BF709">
        <v>0</v>
      </c>
      <c r="BG709">
        <v>0</v>
      </c>
      <c r="BH709">
        <v>1675</v>
      </c>
      <c r="BI709">
        <v>1</v>
      </c>
      <c r="BJ709">
        <v>1</v>
      </c>
      <c r="BK709">
        <v>1</v>
      </c>
      <c r="BL709">
        <v>0</v>
      </c>
      <c r="BO709">
        <v>0</v>
      </c>
      <c r="BP709">
        <v>0</v>
      </c>
      <c r="BW709" t="str">
        <f>"20:15:32.054"</f>
        <v>20:15:32.054</v>
      </c>
      <c r="BZ709">
        <v>0</v>
      </c>
      <c r="CA709">
        <v>2016</v>
      </c>
      <c r="CB709">
        <v>224</v>
      </c>
      <c r="CD709">
        <v>1</v>
      </c>
      <c r="CE709">
        <v>0</v>
      </c>
      <c r="CF709">
        <v>0</v>
      </c>
      <c r="CG709">
        <v>1</v>
      </c>
      <c r="CH709">
        <v>0</v>
      </c>
      <c r="CI709">
        <v>0</v>
      </c>
      <c r="CJ709">
        <v>0</v>
      </c>
      <c r="CK709">
        <v>2</v>
      </c>
      <c r="CL709">
        <v>0</v>
      </c>
      <c r="CM709">
        <v>2</v>
      </c>
      <c r="CN709">
        <v>0</v>
      </c>
      <c r="CO709">
        <v>6</v>
      </c>
      <c r="CP709" t="s">
        <v>119</v>
      </c>
      <c r="CQ709">
        <v>180</v>
      </c>
      <c r="CR709">
        <v>2</v>
      </c>
      <c r="CW709">
        <v>7942792</v>
      </c>
      <c r="CY709">
        <v>1</v>
      </c>
      <c r="CZ709">
        <v>0</v>
      </c>
      <c r="DA709">
        <v>1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</row>
    <row r="710" spans="1:113" x14ac:dyDescent="0.3">
      <c r="A710" t="str">
        <f>"02/08/2021 20:15:29.723"</f>
        <v>02/08/2021 20:15:29.723</v>
      </c>
      <c r="C710" t="str">
        <f t="shared" si="32"/>
        <v>FFDFD7C0</v>
      </c>
      <c r="D710" t="s">
        <v>124</v>
      </c>
      <c r="E710">
        <v>13</v>
      </c>
      <c r="F710">
        <v>1013</v>
      </c>
      <c r="G710" t="s">
        <v>114</v>
      </c>
      <c r="J710" t="s">
        <v>125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>"20:15:32.047"</f>
        <v>20:15:32.047</v>
      </c>
      <c r="T710" t="str">
        <f>"20:15:31.547"</f>
        <v>20:15:31.547</v>
      </c>
      <c r="U710" t="str">
        <f t="shared" si="34"/>
        <v>AB01F4</v>
      </c>
      <c r="V710">
        <v>0</v>
      </c>
      <c r="W710">
        <v>0</v>
      </c>
      <c r="X710">
        <v>1</v>
      </c>
      <c r="Z710">
        <v>0</v>
      </c>
      <c r="AA710">
        <v>9</v>
      </c>
      <c r="AB710">
        <v>3</v>
      </c>
      <c r="AC710">
        <v>0</v>
      </c>
      <c r="AD710">
        <v>10</v>
      </c>
      <c r="AE710">
        <v>0</v>
      </c>
      <c r="AF710">
        <v>3</v>
      </c>
      <c r="AG710">
        <v>2</v>
      </c>
      <c r="AH710">
        <v>0</v>
      </c>
      <c r="AI710" t="s">
        <v>611</v>
      </c>
      <c r="AJ710">
        <v>39.637041000000004</v>
      </c>
      <c r="AK710" t="s">
        <v>612</v>
      </c>
      <c r="AL710">
        <v>-92.503724000000005</v>
      </c>
      <c r="AM710">
        <v>100</v>
      </c>
      <c r="AN710">
        <v>1700</v>
      </c>
      <c r="AO710" t="s">
        <v>118</v>
      </c>
      <c r="AP710">
        <v>-26</v>
      </c>
      <c r="AQ710">
        <v>132</v>
      </c>
      <c r="AR710">
        <v>0</v>
      </c>
      <c r="AZ710">
        <v>1200</v>
      </c>
      <c r="BA710">
        <v>1</v>
      </c>
      <c r="BB710" t="str">
        <f t="shared" si="33"/>
        <v xml:space="preserve">N8080G  </v>
      </c>
      <c r="BC710">
        <v>1</v>
      </c>
      <c r="BE710">
        <v>0</v>
      </c>
      <c r="BF710">
        <v>0</v>
      </c>
      <c r="BG710">
        <v>0</v>
      </c>
      <c r="BH710">
        <v>1675</v>
      </c>
      <c r="BI710">
        <v>1</v>
      </c>
      <c r="BJ710">
        <v>1</v>
      </c>
      <c r="BK710">
        <v>1</v>
      </c>
      <c r="BL710">
        <v>0</v>
      </c>
      <c r="BO710">
        <v>0</v>
      </c>
      <c r="BP710">
        <v>0</v>
      </c>
      <c r="BW710" t="str">
        <f>"20:15:32.054"</f>
        <v>20:15:32.054</v>
      </c>
      <c r="BZ710">
        <v>0</v>
      </c>
      <c r="CA710">
        <v>2016</v>
      </c>
      <c r="CB710">
        <v>224</v>
      </c>
      <c r="CD710">
        <v>1</v>
      </c>
      <c r="CE710">
        <v>0</v>
      </c>
      <c r="CF710">
        <v>0</v>
      </c>
      <c r="CG710">
        <v>1</v>
      </c>
      <c r="CH710">
        <v>0</v>
      </c>
      <c r="CI710">
        <v>0</v>
      </c>
      <c r="CJ710">
        <v>0</v>
      </c>
      <c r="CK710">
        <v>2</v>
      </c>
      <c r="CL710">
        <v>0</v>
      </c>
      <c r="CM710">
        <v>2</v>
      </c>
      <c r="CN710">
        <v>0</v>
      </c>
      <c r="CO710">
        <v>6</v>
      </c>
      <c r="CP710" t="s">
        <v>119</v>
      </c>
      <c r="CQ710">
        <v>180</v>
      </c>
      <c r="CR710">
        <v>2</v>
      </c>
      <c r="CW710">
        <v>7942792</v>
      </c>
      <c r="CY710">
        <v>1</v>
      </c>
      <c r="CZ710">
        <v>0</v>
      </c>
      <c r="DA710">
        <v>1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</row>
    <row r="711" spans="1:113" x14ac:dyDescent="0.3">
      <c r="A711" t="str">
        <f>"02/08/2021 20:15:31.184"</f>
        <v>02/08/2021 20:15:31.184</v>
      </c>
      <c r="C711" t="str">
        <f t="shared" si="32"/>
        <v>FFDFD7C0</v>
      </c>
      <c r="D711" t="s">
        <v>124</v>
      </c>
      <c r="E711">
        <v>11</v>
      </c>
      <c r="F711">
        <v>1011</v>
      </c>
      <c r="G711" t="s">
        <v>590</v>
      </c>
      <c r="J711" t="s">
        <v>125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>"20:15:33.500"</f>
        <v>20:15:33.500</v>
      </c>
      <c r="T711" t="str">
        <f>"20:15:33.000"</f>
        <v>20:15:33.000</v>
      </c>
      <c r="U711" t="str">
        <f t="shared" si="34"/>
        <v>AB01F4</v>
      </c>
      <c r="V711">
        <v>0</v>
      </c>
      <c r="W711">
        <v>0</v>
      </c>
      <c r="X711">
        <v>1</v>
      </c>
      <c r="Z711">
        <v>0</v>
      </c>
      <c r="AA711">
        <v>9</v>
      </c>
      <c r="AB711">
        <v>3</v>
      </c>
      <c r="AC711">
        <v>0</v>
      </c>
      <c r="AD711">
        <v>10</v>
      </c>
      <c r="AE711">
        <v>0</v>
      </c>
      <c r="AF711">
        <v>3</v>
      </c>
      <c r="AG711">
        <v>2</v>
      </c>
      <c r="AH711">
        <v>0</v>
      </c>
      <c r="AI711" t="s">
        <v>613</v>
      </c>
      <c r="AJ711">
        <v>39.637878000000001</v>
      </c>
      <c r="AK711" t="s">
        <v>614</v>
      </c>
      <c r="AL711">
        <v>-92.503895999999997</v>
      </c>
      <c r="AM711">
        <v>100</v>
      </c>
      <c r="AN711">
        <v>1700</v>
      </c>
      <c r="AO711" t="s">
        <v>118</v>
      </c>
      <c r="AP711">
        <v>-27</v>
      </c>
      <c r="AQ711">
        <v>132</v>
      </c>
      <c r="AR711">
        <v>64</v>
      </c>
      <c r="AZ711">
        <v>1200</v>
      </c>
      <c r="BA711">
        <v>1</v>
      </c>
      <c r="BB711" t="str">
        <f t="shared" si="33"/>
        <v xml:space="preserve">N8080G  </v>
      </c>
      <c r="BC711">
        <v>1</v>
      </c>
      <c r="BE711">
        <v>0</v>
      </c>
      <c r="BF711">
        <v>0</v>
      </c>
      <c r="BG711">
        <v>0</v>
      </c>
      <c r="BH711">
        <v>1675</v>
      </c>
      <c r="BI711">
        <v>1</v>
      </c>
      <c r="BJ711">
        <v>1</v>
      </c>
      <c r="BK711">
        <v>1</v>
      </c>
      <c r="BL711">
        <v>0</v>
      </c>
      <c r="BO711">
        <v>0</v>
      </c>
      <c r="BP711">
        <v>0</v>
      </c>
      <c r="BW711" t="str">
        <f>"20:15:33.506"</f>
        <v>20:15:33.506</v>
      </c>
      <c r="BZ711">
        <v>0</v>
      </c>
      <c r="CA711">
        <v>2016</v>
      </c>
      <c r="CB711">
        <v>224</v>
      </c>
      <c r="CD711">
        <v>1</v>
      </c>
      <c r="CE711">
        <v>0</v>
      </c>
      <c r="CF711">
        <v>0</v>
      </c>
      <c r="CG711">
        <v>1</v>
      </c>
      <c r="CH711">
        <v>0</v>
      </c>
      <c r="CI711">
        <v>0</v>
      </c>
      <c r="CJ711">
        <v>0</v>
      </c>
      <c r="CK711">
        <v>2</v>
      </c>
      <c r="CL711">
        <v>0</v>
      </c>
      <c r="CM711">
        <v>2</v>
      </c>
      <c r="CN711">
        <v>0</v>
      </c>
      <c r="CO711">
        <v>7</v>
      </c>
      <c r="CP711" t="s">
        <v>119</v>
      </c>
      <c r="CQ711">
        <v>180</v>
      </c>
      <c r="CR711">
        <v>2</v>
      </c>
      <c r="CW711">
        <v>7944032</v>
      </c>
      <c r="CY711">
        <v>1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</row>
    <row r="712" spans="1:113" x14ac:dyDescent="0.3">
      <c r="A712" t="str">
        <f>"02/08/2021 20:15:31.184"</f>
        <v>02/08/2021 20:15:31.184</v>
      </c>
      <c r="C712" t="str">
        <f t="shared" si="32"/>
        <v>FFDFD7C0</v>
      </c>
      <c r="D712" t="s">
        <v>141</v>
      </c>
      <c r="E712">
        <v>17</v>
      </c>
      <c r="H712">
        <v>256</v>
      </c>
      <c r="I712" t="s">
        <v>142</v>
      </c>
      <c r="J712" t="s">
        <v>143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>"20:15:33.500"</f>
        <v>20:15:33.500</v>
      </c>
      <c r="T712" t="str">
        <f>"20:15:33.000"</f>
        <v>20:15:33.000</v>
      </c>
      <c r="U712" t="str">
        <f t="shared" si="34"/>
        <v>AB01F4</v>
      </c>
      <c r="V712">
        <v>0</v>
      </c>
      <c r="W712">
        <v>0</v>
      </c>
      <c r="X712">
        <v>1</v>
      </c>
      <c r="Z712">
        <v>0</v>
      </c>
      <c r="AA712">
        <v>9</v>
      </c>
      <c r="AB712">
        <v>3</v>
      </c>
      <c r="AC712">
        <v>0</v>
      </c>
      <c r="AD712">
        <v>10</v>
      </c>
      <c r="AE712">
        <v>0</v>
      </c>
      <c r="AF712">
        <v>3</v>
      </c>
      <c r="AG712">
        <v>2</v>
      </c>
      <c r="AH712">
        <v>0</v>
      </c>
      <c r="AI712" t="s">
        <v>613</v>
      </c>
      <c r="AJ712">
        <v>39.637878000000001</v>
      </c>
      <c r="AK712" t="s">
        <v>614</v>
      </c>
      <c r="AL712">
        <v>-92.503895999999997</v>
      </c>
      <c r="AM712">
        <v>100</v>
      </c>
      <c r="AN712">
        <v>1700</v>
      </c>
      <c r="AO712" t="s">
        <v>118</v>
      </c>
      <c r="AP712">
        <v>-27</v>
      </c>
      <c r="AQ712">
        <v>132</v>
      </c>
      <c r="AR712">
        <v>64</v>
      </c>
      <c r="AZ712">
        <v>1200</v>
      </c>
      <c r="BA712">
        <v>1</v>
      </c>
      <c r="BB712" t="str">
        <f t="shared" si="33"/>
        <v xml:space="preserve">N8080G  </v>
      </c>
      <c r="BC712">
        <v>1</v>
      </c>
      <c r="BE712">
        <v>0</v>
      </c>
      <c r="BF712">
        <v>0</v>
      </c>
      <c r="BG712">
        <v>0</v>
      </c>
      <c r="BH712">
        <v>1675</v>
      </c>
      <c r="BI712">
        <v>1</v>
      </c>
      <c r="BJ712">
        <v>1</v>
      </c>
      <c r="BK712">
        <v>1</v>
      </c>
      <c r="BL712">
        <v>0</v>
      </c>
      <c r="BO712">
        <v>0</v>
      </c>
      <c r="BP712">
        <v>0</v>
      </c>
      <c r="BW712" t="str">
        <f>"20:15:33.506"</f>
        <v>20:15:33.506</v>
      </c>
      <c r="BZ712">
        <v>0</v>
      </c>
      <c r="CA712">
        <v>2016</v>
      </c>
      <c r="CB712">
        <v>224</v>
      </c>
      <c r="CD712">
        <v>1</v>
      </c>
      <c r="CE712">
        <v>0</v>
      </c>
      <c r="CF712">
        <v>0</v>
      </c>
      <c r="CG712">
        <v>1</v>
      </c>
      <c r="CH712">
        <v>0</v>
      </c>
      <c r="CI712">
        <v>0</v>
      </c>
      <c r="CJ712">
        <v>0</v>
      </c>
      <c r="CK712">
        <v>2</v>
      </c>
      <c r="CL712">
        <v>0</v>
      </c>
      <c r="CM712">
        <v>2</v>
      </c>
      <c r="CN712">
        <v>0</v>
      </c>
      <c r="CO712">
        <v>2</v>
      </c>
      <c r="CP712" t="s">
        <v>119</v>
      </c>
      <c r="CQ712">
        <v>559</v>
      </c>
      <c r="CR712">
        <v>0</v>
      </c>
      <c r="CW712">
        <v>10425387</v>
      </c>
      <c r="CY712">
        <v>1</v>
      </c>
      <c r="CZ712">
        <v>0</v>
      </c>
      <c r="DA712">
        <v>1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</row>
    <row r="713" spans="1:113" x14ac:dyDescent="0.3">
      <c r="A713" t="str">
        <f>"02/08/2021 20:15:31.184"</f>
        <v>02/08/2021 20:15:31.184</v>
      </c>
      <c r="C713" t="str">
        <f t="shared" ref="C713:C776" si="35">"FFDFD7C0"</f>
        <v>FFDFD7C0</v>
      </c>
      <c r="D713" t="s">
        <v>113</v>
      </c>
      <c r="E713">
        <v>6</v>
      </c>
      <c r="H713">
        <v>165</v>
      </c>
      <c r="I713" t="s">
        <v>114</v>
      </c>
      <c r="J713" t="s">
        <v>115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>"20:15:33.500"</f>
        <v>20:15:33.500</v>
      </c>
      <c r="T713" t="str">
        <f>"20:15:33.000"</f>
        <v>20:15:33.000</v>
      </c>
      <c r="U713" t="str">
        <f t="shared" si="34"/>
        <v>AB01F4</v>
      </c>
      <c r="V713">
        <v>0</v>
      </c>
      <c r="W713">
        <v>0</v>
      </c>
      <c r="X713">
        <v>1</v>
      </c>
      <c r="Z713">
        <v>0</v>
      </c>
      <c r="AA713">
        <v>9</v>
      </c>
      <c r="AB713">
        <v>3</v>
      </c>
      <c r="AC713">
        <v>0</v>
      </c>
      <c r="AD713">
        <v>10</v>
      </c>
      <c r="AE713">
        <v>0</v>
      </c>
      <c r="AF713">
        <v>3</v>
      </c>
      <c r="AG713">
        <v>2</v>
      </c>
      <c r="AH713">
        <v>0</v>
      </c>
      <c r="AI713" t="s">
        <v>613</v>
      </c>
      <c r="AJ713">
        <v>39.637878000000001</v>
      </c>
      <c r="AK713" t="s">
        <v>614</v>
      </c>
      <c r="AL713">
        <v>-92.503895999999997</v>
      </c>
      <c r="AM713">
        <v>100</v>
      </c>
      <c r="AN713">
        <v>1700</v>
      </c>
      <c r="AO713" t="s">
        <v>118</v>
      </c>
      <c r="AP713">
        <v>-27</v>
      </c>
      <c r="AQ713">
        <v>132</v>
      </c>
      <c r="AR713">
        <v>64</v>
      </c>
      <c r="AZ713">
        <v>1200</v>
      </c>
      <c r="BA713">
        <v>1</v>
      </c>
      <c r="BB713" t="str">
        <f t="shared" si="33"/>
        <v xml:space="preserve">N8080G  </v>
      </c>
      <c r="BC713">
        <v>1</v>
      </c>
      <c r="BE713">
        <v>0</v>
      </c>
      <c r="BF713">
        <v>0</v>
      </c>
      <c r="BG713">
        <v>0</v>
      </c>
      <c r="BH713">
        <v>1675</v>
      </c>
      <c r="BI713">
        <v>1</v>
      </c>
      <c r="BJ713">
        <v>1</v>
      </c>
      <c r="BK713">
        <v>1</v>
      </c>
      <c r="BL713">
        <v>0</v>
      </c>
      <c r="BO713">
        <v>0</v>
      </c>
      <c r="BP713">
        <v>0</v>
      </c>
      <c r="BW713" t="str">
        <f>"20:15:33.506"</f>
        <v>20:15:33.506</v>
      </c>
      <c r="BZ713">
        <v>0</v>
      </c>
      <c r="CA713">
        <v>2016</v>
      </c>
      <c r="CB713">
        <v>224</v>
      </c>
      <c r="CD713">
        <v>1</v>
      </c>
      <c r="CE713">
        <v>0</v>
      </c>
      <c r="CF713">
        <v>0</v>
      </c>
      <c r="CG713">
        <v>1</v>
      </c>
      <c r="CH713">
        <v>0</v>
      </c>
      <c r="CI713">
        <v>0</v>
      </c>
      <c r="CJ713">
        <v>0</v>
      </c>
      <c r="CK713">
        <v>2</v>
      </c>
      <c r="CL713">
        <v>0</v>
      </c>
      <c r="CM713">
        <v>2</v>
      </c>
      <c r="CN713">
        <v>0</v>
      </c>
      <c r="CO713">
        <v>7</v>
      </c>
      <c r="CP713" t="s">
        <v>119</v>
      </c>
      <c r="CQ713">
        <v>180</v>
      </c>
      <c r="CR713">
        <v>2</v>
      </c>
      <c r="CW713">
        <v>7944032</v>
      </c>
      <c r="CY713">
        <v>1</v>
      </c>
      <c r="CZ713">
        <v>0</v>
      </c>
      <c r="DA713">
        <v>1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</row>
    <row r="714" spans="1:113" x14ac:dyDescent="0.3">
      <c r="A714" t="str">
        <f>"02/08/2021 20:15:31.184"</f>
        <v>02/08/2021 20:15:31.184</v>
      </c>
      <c r="C714" t="str">
        <f t="shared" si="35"/>
        <v>FFDFD7C0</v>
      </c>
      <c r="D714" t="s">
        <v>124</v>
      </c>
      <c r="E714">
        <v>13</v>
      </c>
      <c r="F714">
        <v>1013</v>
      </c>
      <c r="G714" t="s">
        <v>114</v>
      </c>
      <c r="J714" t="s">
        <v>125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>"20:15:33.500"</f>
        <v>20:15:33.500</v>
      </c>
      <c r="T714" t="str">
        <f>"20:15:33.000"</f>
        <v>20:15:33.000</v>
      </c>
      <c r="U714" t="str">
        <f t="shared" si="34"/>
        <v>AB01F4</v>
      </c>
      <c r="V714">
        <v>0</v>
      </c>
      <c r="W714">
        <v>0</v>
      </c>
      <c r="X714">
        <v>1</v>
      </c>
      <c r="Z714">
        <v>0</v>
      </c>
      <c r="AA714">
        <v>9</v>
      </c>
      <c r="AB714">
        <v>3</v>
      </c>
      <c r="AC714">
        <v>0</v>
      </c>
      <c r="AD714">
        <v>10</v>
      </c>
      <c r="AE714">
        <v>0</v>
      </c>
      <c r="AF714">
        <v>3</v>
      </c>
      <c r="AG714">
        <v>2</v>
      </c>
      <c r="AH714">
        <v>0</v>
      </c>
      <c r="AI714" t="s">
        <v>613</v>
      </c>
      <c r="AJ714">
        <v>39.637878000000001</v>
      </c>
      <c r="AK714" t="s">
        <v>614</v>
      </c>
      <c r="AL714">
        <v>-92.503895999999997</v>
      </c>
      <c r="AM714">
        <v>100</v>
      </c>
      <c r="AN714">
        <v>1700</v>
      </c>
      <c r="AO714" t="s">
        <v>118</v>
      </c>
      <c r="AP714">
        <v>-27</v>
      </c>
      <c r="AQ714">
        <v>132</v>
      </c>
      <c r="AR714">
        <v>64</v>
      </c>
      <c r="AZ714">
        <v>1200</v>
      </c>
      <c r="BA714">
        <v>1</v>
      </c>
      <c r="BB714" t="str">
        <f t="shared" si="33"/>
        <v xml:space="preserve">N8080G  </v>
      </c>
      <c r="BC714">
        <v>1</v>
      </c>
      <c r="BE714">
        <v>0</v>
      </c>
      <c r="BF714">
        <v>0</v>
      </c>
      <c r="BG714">
        <v>0</v>
      </c>
      <c r="BH714">
        <v>1675</v>
      </c>
      <c r="BI714">
        <v>1</v>
      </c>
      <c r="BJ714">
        <v>1</v>
      </c>
      <c r="BK714">
        <v>1</v>
      </c>
      <c r="BL714">
        <v>0</v>
      </c>
      <c r="BO714">
        <v>0</v>
      </c>
      <c r="BP714">
        <v>0</v>
      </c>
      <c r="BW714" t="str">
        <f>"20:15:33.506"</f>
        <v>20:15:33.506</v>
      </c>
      <c r="BZ714">
        <v>0</v>
      </c>
      <c r="CA714">
        <v>2016</v>
      </c>
      <c r="CB714">
        <v>224</v>
      </c>
      <c r="CD714">
        <v>1</v>
      </c>
      <c r="CE714">
        <v>0</v>
      </c>
      <c r="CF714">
        <v>0</v>
      </c>
      <c r="CG714">
        <v>1</v>
      </c>
      <c r="CH714">
        <v>0</v>
      </c>
      <c r="CI714">
        <v>0</v>
      </c>
      <c r="CJ714">
        <v>0</v>
      </c>
      <c r="CK714">
        <v>2</v>
      </c>
      <c r="CL714">
        <v>0</v>
      </c>
      <c r="CM714">
        <v>2</v>
      </c>
      <c r="CN714">
        <v>0</v>
      </c>
      <c r="CO714">
        <v>7</v>
      </c>
      <c r="CP714" t="s">
        <v>119</v>
      </c>
      <c r="CQ714">
        <v>180</v>
      </c>
      <c r="CR714">
        <v>2</v>
      </c>
      <c r="CW714">
        <v>7944032</v>
      </c>
      <c r="CY714">
        <v>1</v>
      </c>
      <c r="CZ714">
        <v>0</v>
      </c>
      <c r="DA714">
        <v>1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</row>
    <row r="715" spans="1:113" x14ac:dyDescent="0.3">
      <c r="A715" t="str">
        <f>"02/08/2021 20:15:32.243"</f>
        <v>02/08/2021 20:15:32.243</v>
      </c>
      <c r="C715" t="str">
        <f t="shared" si="35"/>
        <v>FFDFD7C0</v>
      </c>
      <c r="D715" t="s">
        <v>124</v>
      </c>
      <c r="E715">
        <v>11</v>
      </c>
      <c r="F715">
        <v>1011</v>
      </c>
      <c r="G715" t="s">
        <v>590</v>
      </c>
      <c r="J715" t="s">
        <v>125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>"20:15:34.555"</f>
        <v>20:15:34.555</v>
      </c>
      <c r="T715" t="str">
        <f>"20:15:34.055"</f>
        <v>20:15:34.055</v>
      </c>
      <c r="U715" t="str">
        <f t="shared" si="34"/>
        <v>AB01F4</v>
      </c>
      <c r="V715">
        <v>0</v>
      </c>
      <c r="W715">
        <v>0</v>
      </c>
      <c r="X715">
        <v>1</v>
      </c>
      <c r="Z715">
        <v>0</v>
      </c>
      <c r="AA715">
        <v>9</v>
      </c>
      <c r="AB715">
        <v>3</v>
      </c>
      <c r="AC715">
        <v>0</v>
      </c>
      <c r="AD715">
        <v>10</v>
      </c>
      <c r="AE715">
        <v>0</v>
      </c>
      <c r="AF715">
        <v>3</v>
      </c>
      <c r="AG715">
        <v>2</v>
      </c>
      <c r="AH715">
        <v>0</v>
      </c>
      <c r="AI715" t="s">
        <v>615</v>
      </c>
      <c r="AJ715">
        <v>39.638585999999997</v>
      </c>
      <c r="AK715" t="s">
        <v>616</v>
      </c>
      <c r="AL715">
        <v>-92.504109999999997</v>
      </c>
      <c r="AM715">
        <v>100</v>
      </c>
      <c r="AN715">
        <v>1700</v>
      </c>
      <c r="AO715" t="s">
        <v>118</v>
      </c>
      <c r="AP715">
        <v>-27</v>
      </c>
      <c r="AQ715">
        <v>132</v>
      </c>
      <c r="AR715">
        <v>64</v>
      </c>
      <c r="AZ715">
        <v>1200</v>
      </c>
      <c r="BA715">
        <v>1</v>
      </c>
      <c r="BB715" t="str">
        <f t="shared" si="33"/>
        <v xml:space="preserve">N8080G  </v>
      </c>
      <c r="BC715">
        <v>1</v>
      </c>
      <c r="BE715">
        <v>0</v>
      </c>
      <c r="BF715">
        <v>0</v>
      </c>
      <c r="BG715">
        <v>0</v>
      </c>
      <c r="BH715">
        <v>1675</v>
      </c>
      <c r="BI715">
        <v>1</v>
      </c>
      <c r="BJ715">
        <v>1</v>
      </c>
      <c r="BK715">
        <v>1</v>
      </c>
      <c r="BL715">
        <v>0</v>
      </c>
      <c r="BO715">
        <v>0</v>
      </c>
      <c r="BP715">
        <v>0</v>
      </c>
      <c r="BW715" t="str">
        <f>"20:15:34.556"</f>
        <v>20:15:34.556</v>
      </c>
      <c r="BZ715">
        <v>0</v>
      </c>
      <c r="CA715">
        <v>2016</v>
      </c>
      <c r="CB715">
        <v>224</v>
      </c>
      <c r="CD715">
        <v>1</v>
      </c>
      <c r="CE715">
        <v>0</v>
      </c>
      <c r="CF715">
        <v>0</v>
      </c>
      <c r="CG715">
        <v>1</v>
      </c>
      <c r="CH715">
        <v>0</v>
      </c>
      <c r="CI715">
        <v>0</v>
      </c>
      <c r="CJ715">
        <v>0</v>
      </c>
      <c r="CK715">
        <v>2</v>
      </c>
      <c r="CL715">
        <v>0</v>
      </c>
      <c r="CM715">
        <v>2</v>
      </c>
      <c r="CN715">
        <v>0</v>
      </c>
      <c r="CO715">
        <v>6</v>
      </c>
      <c r="CP715" t="s">
        <v>119</v>
      </c>
      <c r="CQ715">
        <v>180</v>
      </c>
      <c r="CR715">
        <v>1</v>
      </c>
      <c r="CW715">
        <v>10490732</v>
      </c>
      <c r="CY715">
        <v>1</v>
      </c>
      <c r="CZ715">
        <v>0</v>
      </c>
      <c r="DA715">
        <v>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</row>
    <row r="716" spans="1:113" x14ac:dyDescent="0.3">
      <c r="A716" t="str">
        <f>"02/08/2021 20:15:32.243"</f>
        <v>02/08/2021 20:15:32.243</v>
      </c>
      <c r="C716" t="str">
        <f t="shared" si="35"/>
        <v>FFDFD7C0</v>
      </c>
      <c r="D716" t="s">
        <v>124</v>
      </c>
      <c r="E716">
        <v>13</v>
      </c>
      <c r="F716">
        <v>1013</v>
      </c>
      <c r="G716" t="s">
        <v>114</v>
      </c>
      <c r="J716" t="s">
        <v>125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>"20:15:34.555"</f>
        <v>20:15:34.555</v>
      </c>
      <c r="T716" t="str">
        <f>"20:15:34.055"</f>
        <v>20:15:34.055</v>
      </c>
      <c r="U716" t="str">
        <f t="shared" si="34"/>
        <v>AB01F4</v>
      </c>
      <c r="V716">
        <v>0</v>
      </c>
      <c r="W716">
        <v>0</v>
      </c>
      <c r="X716">
        <v>1</v>
      </c>
      <c r="Z716">
        <v>0</v>
      </c>
      <c r="AA716">
        <v>9</v>
      </c>
      <c r="AB716">
        <v>3</v>
      </c>
      <c r="AC716">
        <v>0</v>
      </c>
      <c r="AD716">
        <v>10</v>
      </c>
      <c r="AE716">
        <v>0</v>
      </c>
      <c r="AF716">
        <v>3</v>
      </c>
      <c r="AG716">
        <v>2</v>
      </c>
      <c r="AH716">
        <v>0</v>
      </c>
      <c r="AI716" t="s">
        <v>615</v>
      </c>
      <c r="AJ716">
        <v>39.638585999999997</v>
      </c>
      <c r="AK716" t="s">
        <v>616</v>
      </c>
      <c r="AL716">
        <v>-92.504109999999997</v>
      </c>
      <c r="AM716">
        <v>100</v>
      </c>
      <c r="AN716">
        <v>1700</v>
      </c>
      <c r="AO716" t="s">
        <v>118</v>
      </c>
      <c r="AP716">
        <v>-27</v>
      </c>
      <c r="AQ716">
        <v>132</v>
      </c>
      <c r="AR716">
        <v>64</v>
      </c>
      <c r="AZ716">
        <v>1200</v>
      </c>
      <c r="BA716">
        <v>1</v>
      </c>
      <c r="BB716" t="str">
        <f t="shared" si="33"/>
        <v xml:space="preserve">N8080G  </v>
      </c>
      <c r="BC716">
        <v>1</v>
      </c>
      <c r="BE716">
        <v>0</v>
      </c>
      <c r="BF716">
        <v>0</v>
      </c>
      <c r="BG716">
        <v>0</v>
      </c>
      <c r="BH716">
        <v>1675</v>
      </c>
      <c r="BI716">
        <v>1</v>
      </c>
      <c r="BJ716">
        <v>1</v>
      </c>
      <c r="BK716">
        <v>1</v>
      </c>
      <c r="BL716">
        <v>0</v>
      </c>
      <c r="BO716">
        <v>0</v>
      </c>
      <c r="BP716">
        <v>0</v>
      </c>
      <c r="BW716" t="str">
        <f>"20:15:34.556"</f>
        <v>20:15:34.556</v>
      </c>
      <c r="BZ716">
        <v>0</v>
      </c>
      <c r="CA716">
        <v>2016</v>
      </c>
      <c r="CB716">
        <v>224</v>
      </c>
      <c r="CD716">
        <v>1</v>
      </c>
      <c r="CE716">
        <v>0</v>
      </c>
      <c r="CF716">
        <v>0</v>
      </c>
      <c r="CG716">
        <v>1</v>
      </c>
      <c r="CH716">
        <v>0</v>
      </c>
      <c r="CI716">
        <v>0</v>
      </c>
      <c r="CJ716">
        <v>0</v>
      </c>
      <c r="CK716">
        <v>2</v>
      </c>
      <c r="CL716">
        <v>0</v>
      </c>
      <c r="CM716">
        <v>2</v>
      </c>
      <c r="CN716">
        <v>0</v>
      </c>
      <c r="CO716">
        <v>6</v>
      </c>
      <c r="CP716" t="s">
        <v>119</v>
      </c>
      <c r="CQ716">
        <v>180</v>
      </c>
      <c r="CR716">
        <v>1</v>
      </c>
      <c r="CW716">
        <v>10490732</v>
      </c>
      <c r="CY716">
        <v>1</v>
      </c>
      <c r="CZ716">
        <v>0</v>
      </c>
      <c r="DA716">
        <v>1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</row>
    <row r="717" spans="1:113" x14ac:dyDescent="0.3">
      <c r="A717" t="str">
        <f>"02/08/2021 20:15:32.243"</f>
        <v>02/08/2021 20:15:32.243</v>
      </c>
      <c r="C717" t="str">
        <f t="shared" si="35"/>
        <v>FFDFD7C0</v>
      </c>
      <c r="D717" t="s">
        <v>113</v>
      </c>
      <c r="E717">
        <v>6</v>
      </c>
      <c r="H717">
        <v>165</v>
      </c>
      <c r="I717" t="s">
        <v>114</v>
      </c>
      <c r="J717" t="s">
        <v>115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>"20:15:34.555"</f>
        <v>20:15:34.555</v>
      </c>
      <c r="T717" t="str">
        <f>"20:15:34.055"</f>
        <v>20:15:34.055</v>
      </c>
      <c r="U717" t="str">
        <f t="shared" si="34"/>
        <v>AB01F4</v>
      </c>
      <c r="V717">
        <v>0</v>
      </c>
      <c r="W717">
        <v>0</v>
      </c>
      <c r="X717">
        <v>1</v>
      </c>
      <c r="Z717">
        <v>0</v>
      </c>
      <c r="AA717">
        <v>9</v>
      </c>
      <c r="AB717">
        <v>3</v>
      </c>
      <c r="AC717">
        <v>0</v>
      </c>
      <c r="AD717">
        <v>10</v>
      </c>
      <c r="AE717">
        <v>0</v>
      </c>
      <c r="AF717">
        <v>3</v>
      </c>
      <c r="AG717">
        <v>2</v>
      </c>
      <c r="AH717">
        <v>0</v>
      </c>
      <c r="AI717" t="s">
        <v>615</v>
      </c>
      <c r="AJ717">
        <v>39.638585999999997</v>
      </c>
      <c r="AK717" t="s">
        <v>616</v>
      </c>
      <c r="AL717">
        <v>-92.504109999999997</v>
      </c>
      <c r="AM717">
        <v>100</v>
      </c>
      <c r="AN717">
        <v>1700</v>
      </c>
      <c r="AO717" t="s">
        <v>118</v>
      </c>
      <c r="AP717">
        <v>-27</v>
      </c>
      <c r="AQ717">
        <v>132</v>
      </c>
      <c r="AR717">
        <v>64</v>
      </c>
      <c r="AZ717">
        <v>1200</v>
      </c>
      <c r="BA717">
        <v>1</v>
      </c>
      <c r="BB717" t="str">
        <f t="shared" si="33"/>
        <v xml:space="preserve">N8080G  </v>
      </c>
      <c r="BC717">
        <v>1</v>
      </c>
      <c r="BE717">
        <v>0</v>
      </c>
      <c r="BF717">
        <v>0</v>
      </c>
      <c r="BG717">
        <v>0</v>
      </c>
      <c r="BH717">
        <v>1675</v>
      </c>
      <c r="BI717">
        <v>1</v>
      </c>
      <c r="BJ717">
        <v>1</v>
      </c>
      <c r="BK717">
        <v>1</v>
      </c>
      <c r="BL717">
        <v>0</v>
      </c>
      <c r="BO717">
        <v>0</v>
      </c>
      <c r="BP717">
        <v>0</v>
      </c>
      <c r="BW717" t="str">
        <f>"20:15:34.556"</f>
        <v>20:15:34.556</v>
      </c>
      <c r="BZ717">
        <v>0</v>
      </c>
      <c r="CA717">
        <v>2016</v>
      </c>
      <c r="CB717">
        <v>224</v>
      </c>
      <c r="CD717">
        <v>1</v>
      </c>
      <c r="CE717">
        <v>0</v>
      </c>
      <c r="CF717">
        <v>0</v>
      </c>
      <c r="CG717">
        <v>1</v>
      </c>
      <c r="CH717">
        <v>0</v>
      </c>
      <c r="CI717">
        <v>0</v>
      </c>
      <c r="CJ717">
        <v>0</v>
      </c>
      <c r="CK717">
        <v>2</v>
      </c>
      <c r="CL717">
        <v>0</v>
      </c>
      <c r="CM717">
        <v>2</v>
      </c>
      <c r="CN717">
        <v>0</v>
      </c>
      <c r="CO717">
        <v>6</v>
      </c>
      <c r="CP717" t="s">
        <v>119</v>
      </c>
      <c r="CQ717">
        <v>180</v>
      </c>
      <c r="CR717">
        <v>1</v>
      </c>
      <c r="CW717">
        <v>10490732</v>
      </c>
      <c r="CY717">
        <v>1</v>
      </c>
      <c r="CZ717">
        <v>0</v>
      </c>
      <c r="DA717">
        <v>1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</row>
    <row r="718" spans="1:113" x14ac:dyDescent="0.3">
      <c r="A718" t="str">
        <f>"02/08/2021 20:15:33.781"</f>
        <v>02/08/2021 20:15:33.781</v>
      </c>
      <c r="C718" t="str">
        <f t="shared" si="35"/>
        <v>FFDFD7C0</v>
      </c>
      <c r="D718" t="s">
        <v>113</v>
      </c>
      <c r="E718">
        <v>6</v>
      </c>
      <c r="H718">
        <v>165</v>
      </c>
      <c r="I718" t="s">
        <v>114</v>
      </c>
      <c r="J718" t="s">
        <v>115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>"20:15:36.117"</f>
        <v>20:15:36.117</v>
      </c>
      <c r="T718" t="str">
        <f>"20:15:35.617"</f>
        <v>20:15:35.617</v>
      </c>
      <c r="U718" t="str">
        <f t="shared" si="34"/>
        <v>AB01F4</v>
      </c>
      <c r="V718">
        <v>0</v>
      </c>
      <c r="W718">
        <v>0</v>
      </c>
      <c r="X718">
        <v>1</v>
      </c>
      <c r="Z718">
        <v>0</v>
      </c>
      <c r="AA718">
        <v>9</v>
      </c>
      <c r="AB718">
        <v>3</v>
      </c>
      <c r="AC718">
        <v>0</v>
      </c>
      <c r="AD718">
        <v>10</v>
      </c>
      <c r="AE718">
        <v>0</v>
      </c>
      <c r="AF718">
        <v>3</v>
      </c>
      <c r="AG718">
        <v>2</v>
      </c>
      <c r="AH718">
        <v>0</v>
      </c>
      <c r="AI718" t="s">
        <v>617</v>
      </c>
      <c r="AJ718">
        <v>39.639552000000002</v>
      </c>
      <c r="AK718" t="s">
        <v>618</v>
      </c>
      <c r="AL718">
        <v>-92.504345999999998</v>
      </c>
      <c r="AM718">
        <v>100</v>
      </c>
      <c r="AN718">
        <v>1700</v>
      </c>
      <c r="AO718" t="s">
        <v>118</v>
      </c>
      <c r="AP718">
        <v>-27</v>
      </c>
      <c r="AQ718">
        <v>132</v>
      </c>
      <c r="AR718">
        <v>64</v>
      </c>
      <c r="AZ718">
        <v>1200</v>
      </c>
      <c r="BA718">
        <v>1</v>
      </c>
      <c r="BB718" t="str">
        <f t="shared" si="33"/>
        <v xml:space="preserve">N8080G  </v>
      </c>
      <c r="BC718">
        <v>1</v>
      </c>
      <c r="BE718">
        <v>0</v>
      </c>
      <c r="BF718">
        <v>0</v>
      </c>
      <c r="BG718">
        <v>0</v>
      </c>
      <c r="BH718">
        <v>1675</v>
      </c>
      <c r="BI718">
        <v>1</v>
      </c>
      <c r="BJ718">
        <v>1</v>
      </c>
      <c r="BK718">
        <v>1</v>
      </c>
      <c r="BL718">
        <v>0</v>
      </c>
      <c r="BO718">
        <v>0</v>
      </c>
      <c r="BP718">
        <v>0</v>
      </c>
      <c r="BW718" t="str">
        <f>"20:15:36.120"</f>
        <v>20:15:36.120</v>
      </c>
      <c r="BZ718">
        <v>0</v>
      </c>
      <c r="CA718">
        <v>2016</v>
      </c>
      <c r="CB718">
        <v>224</v>
      </c>
      <c r="CD718">
        <v>1</v>
      </c>
      <c r="CE718">
        <v>0</v>
      </c>
      <c r="CF718">
        <v>0</v>
      </c>
      <c r="CG718">
        <v>1</v>
      </c>
      <c r="CH718">
        <v>0</v>
      </c>
      <c r="CI718">
        <v>0</v>
      </c>
      <c r="CJ718">
        <v>0</v>
      </c>
      <c r="CK718">
        <v>2</v>
      </c>
      <c r="CL718">
        <v>0</v>
      </c>
      <c r="CM718">
        <v>2</v>
      </c>
      <c r="CN718">
        <v>0</v>
      </c>
      <c r="CO718">
        <v>7</v>
      </c>
      <c r="CP718" t="s">
        <v>119</v>
      </c>
      <c r="CQ718">
        <v>180</v>
      </c>
      <c r="CR718">
        <v>2</v>
      </c>
      <c r="CW718">
        <v>7946159</v>
      </c>
      <c r="CY718">
        <v>1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</row>
    <row r="719" spans="1:113" x14ac:dyDescent="0.3">
      <c r="A719" t="str">
        <f>"02/08/2021 20:15:33.781"</f>
        <v>02/08/2021 20:15:33.781</v>
      </c>
      <c r="C719" t="str">
        <f t="shared" si="35"/>
        <v>FFDFD7C0</v>
      </c>
      <c r="D719" t="s">
        <v>124</v>
      </c>
      <c r="E719">
        <v>11</v>
      </c>
      <c r="F719">
        <v>1011</v>
      </c>
      <c r="G719" t="s">
        <v>590</v>
      </c>
      <c r="J719" t="s">
        <v>125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>"20:15:36.117"</f>
        <v>20:15:36.117</v>
      </c>
      <c r="T719" t="str">
        <f>"20:15:35.617"</f>
        <v>20:15:35.617</v>
      </c>
      <c r="U719" t="str">
        <f t="shared" si="34"/>
        <v>AB01F4</v>
      </c>
      <c r="V719">
        <v>0</v>
      </c>
      <c r="W719">
        <v>0</v>
      </c>
      <c r="X719">
        <v>1</v>
      </c>
      <c r="Z719">
        <v>0</v>
      </c>
      <c r="AA719">
        <v>9</v>
      </c>
      <c r="AB719">
        <v>3</v>
      </c>
      <c r="AC719">
        <v>0</v>
      </c>
      <c r="AD719">
        <v>10</v>
      </c>
      <c r="AE719">
        <v>0</v>
      </c>
      <c r="AF719">
        <v>3</v>
      </c>
      <c r="AG719">
        <v>2</v>
      </c>
      <c r="AH719">
        <v>0</v>
      </c>
      <c r="AI719" t="s">
        <v>617</v>
      </c>
      <c r="AJ719">
        <v>39.639552000000002</v>
      </c>
      <c r="AK719" t="s">
        <v>618</v>
      </c>
      <c r="AL719">
        <v>-92.504345999999998</v>
      </c>
      <c r="AM719">
        <v>100</v>
      </c>
      <c r="AN719">
        <v>1700</v>
      </c>
      <c r="AO719" t="s">
        <v>118</v>
      </c>
      <c r="AP719">
        <v>-27</v>
      </c>
      <c r="AQ719">
        <v>132</v>
      </c>
      <c r="AR719">
        <v>64</v>
      </c>
      <c r="AZ719">
        <v>1200</v>
      </c>
      <c r="BA719">
        <v>1</v>
      </c>
      <c r="BB719" t="str">
        <f t="shared" ref="BB719:BB782" si="36">"N8080G  "</f>
        <v xml:space="preserve">N8080G  </v>
      </c>
      <c r="BC719">
        <v>1</v>
      </c>
      <c r="BE719">
        <v>0</v>
      </c>
      <c r="BF719">
        <v>0</v>
      </c>
      <c r="BG719">
        <v>0</v>
      </c>
      <c r="BH719">
        <v>1675</v>
      </c>
      <c r="BI719">
        <v>1</v>
      </c>
      <c r="BJ719">
        <v>1</v>
      </c>
      <c r="BK719">
        <v>1</v>
      </c>
      <c r="BL719">
        <v>0</v>
      </c>
      <c r="BO719">
        <v>0</v>
      </c>
      <c r="BP719">
        <v>0</v>
      </c>
      <c r="BW719" t="str">
        <f>"20:15:36.120"</f>
        <v>20:15:36.120</v>
      </c>
      <c r="BZ719">
        <v>0</v>
      </c>
      <c r="CA719">
        <v>2016</v>
      </c>
      <c r="CB719">
        <v>224</v>
      </c>
      <c r="CD719">
        <v>1</v>
      </c>
      <c r="CE719">
        <v>0</v>
      </c>
      <c r="CF719">
        <v>0</v>
      </c>
      <c r="CG719">
        <v>1</v>
      </c>
      <c r="CH719">
        <v>0</v>
      </c>
      <c r="CI719">
        <v>0</v>
      </c>
      <c r="CJ719">
        <v>0</v>
      </c>
      <c r="CK719">
        <v>2</v>
      </c>
      <c r="CL719">
        <v>0</v>
      </c>
      <c r="CM719">
        <v>2</v>
      </c>
      <c r="CN719">
        <v>0</v>
      </c>
      <c r="CO719">
        <v>7</v>
      </c>
      <c r="CP719" t="s">
        <v>119</v>
      </c>
      <c r="CQ719">
        <v>180</v>
      </c>
      <c r="CR719">
        <v>2</v>
      </c>
      <c r="CW719">
        <v>7946159</v>
      </c>
      <c r="CY719">
        <v>1</v>
      </c>
      <c r="CZ719">
        <v>0</v>
      </c>
      <c r="DA719">
        <v>1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</row>
    <row r="720" spans="1:113" x14ac:dyDescent="0.3">
      <c r="A720" t="str">
        <f>"02/08/2021 20:15:33.781"</f>
        <v>02/08/2021 20:15:33.781</v>
      </c>
      <c r="C720" t="str">
        <f t="shared" si="35"/>
        <v>FFDFD7C0</v>
      </c>
      <c r="D720" t="s">
        <v>124</v>
      </c>
      <c r="E720">
        <v>13</v>
      </c>
      <c r="F720">
        <v>1013</v>
      </c>
      <c r="G720" t="s">
        <v>114</v>
      </c>
      <c r="J720" t="s">
        <v>125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>"20:15:36.117"</f>
        <v>20:15:36.117</v>
      </c>
      <c r="T720" t="str">
        <f>"20:15:35.617"</f>
        <v>20:15:35.617</v>
      </c>
      <c r="U720" t="str">
        <f t="shared" si="34"/>
        <v>AB01F4</v>
      </c>
      <c r="V720">
        <v>0</v>
      </c>
      <c r="W720">
        <v>0</v>
      </c>
      <c r="X720">
        <v>1</v>
      </c>
      <c r="Z720">
        <v>0</v>
      </c>
      <c r="AA720">
        <v>9</v>
      </c>
      <c r="AB720">
        <v>3</v>
      </c>
      <c r="AC720">
        <v>0</v>
      </c>
      <c r="AD720">
        <v>10</v>
      </c>
      <c r="AE720">
        <v>0</v>
      </c>
      <c r="AF720">
        <v>3</v>
      </c>
      <c r="AG720">
        <v>2</v>
      </c>
      <c r="AH720">
        <v>0</v>
      </c>
      <c r="AI720" t="s">
        <v>617</v>
      </c>
      <c r="AJ720">
        <v>39.639552000000002</v>
      </c>
      <c r="AK720" t="s">
        <v>618</v>
      </c>
      <c r="AL720">
        <v>-92.504345999999998</v>
      </c>
      <c r="AM720">
        <v>100</v>
      </c>
      <c r="AN720">
        <v>1700</v>
      </c>
      <c r="AO720" t="s">
        <v>118</v>
      </c>
      <c r="AP720">
        <v>-27</v>
      </c>
      <c r="AQ720">
        <v>132</v>
      </c>
      <c r="AR720">
        <v>64</v>
      </c>
      <c r="AZ720">
        <v>1200</v>
      </c>
      <c r="BA720">
        <v>1</v>
      </c>
      <c r="BB720" t="str">
        <f t="shared" si="36"/>
        <v xml:space="preserve">N8080G  </v>
      </c>
      <c r="BC720">
        <v>1</v>
      </c>
      <c r="BE720">
        <v>0</v>
      </c>
      <c r="BF720">
        <v>0</v>
      </c>
      <c r="BG720">
        <v>0</v>
      </c>
      <c r="BH720">
        <v>1675</v>
      </c>
      <c r="BI720">
        <v>1</v>
      </c>
      <c r="BJ720">
        <v>1</v>
      </c>
      <c r="BK720">
        <v>1</v>
      </c>
      <c r="BL720">
        <v>0</v>
      </c>
      <c r="BO720">
        <v>0</v>
      </c>
      <c r="BP720">
        <v>0</v>
      </c>
      <c r="BW720" t="str">
        <f>"20:15:36.120"</f>
        <v>20:15:36.120</v>
      </c>
      <c r="BZ720">
        <v>0</v>
      </c>
      <c r="CA720">
        <v>2016</v>
      </c>
      <c r="CB720">
        <v>224</v>
      </c>
      <c r="CD720">
        <v>1</v>
      </c>
      <c r="CE720">
        <v>0</v>
      </c>
      <c r="CF720">
        <v>0</v>
      </c>
      <c r="CG720">
        <v>1</v>
      </c>
      <c r="CH720">
        <v>0</v>
      </c>
      <c r="CI720">
        <v>0</v>
      </c>
      <c r="CJ720">
        <v>0</v>
      </c>
      <c r="CK720">
        <v>2</v>
      </c>
      <c r="CL720">
        <v>0</v>
      </c>
      <c r="CM720">
        <v>2</v>
      </c>
      <c r="CN720">
        <v>0</v>
      </c>
      <c r="CO720">
        <v>7</v>
      </c>
      <c r="CP720" t="s">
        <v>119</v>
      </c>
      <c r="CQ720">
        <v>180</v>
      </c>
      <c r="CR720">
        <v>2</v>
      </c>
      <c r="CW720">
        <v>7946159</v>
      </c>
      <c r="CY720">
        <v>1</v>
      </c>
      <c r="CZ720">
        <v>0</v>
      </c>
      <c r="DA720">
        <v>1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</row>
    <row r="721" spans="1:113" x14ac:dyDescent="0.3">
      <c r="A721" t="str">
        <f>"02/08/2021 20:15:34.864"</f>
        <v>02/08/2021 20:15:34.864</v>
      </c>
      <c r="C721" t="str">
        <f t="shared" si="35"/>
        <v>FFDFD7C0</v>
      </c>
      <c r="D721" t="s">
        <v>124</v>
      </c>
      <c r="E721">
        <v>11</v>
      </c>
      <c r="F721">
        <v>1011</v>
      </c>
      <c r="G721" t="s">
        <v>590</v>
      </c>
      <c r="J721" t="s">
        <v>125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>"20:15:37.172"</f>
        <v>20:15:37.172</v>
      </c>
      <c r="T721" t="str">
        <f>"20:15:36.672"</f>
        <v>20:15:36.672</v>
      </c>
      <c r="U721" t="str">
        <f t="shared" si="34"/>
        <v>AB01F4</v>
      </c>
      <c r="V721">
        <v>0</v>
      </c>
      <c r="W721">
        <v>0</v>
      </c>
      <c r="X721">
        <v>1</v>
      </c>
      <c r="Z721">
        <v>0</v>
      </c>
      <c r="AA721">
        <v>9</v>
      </c>
      <c r="AB721">
        <v>3</v>
      </c>
      <c r="AC721">
        <v>0</v>
      </c>
      <c r="AD721">
        <v>10</v>
      </c>
      <c r="AE721">
        <v>0</v>
      </c>
      <c r="AF721">
        <v>3</v>
      </c>
      <c r="AG721">
        <v>2</v>
      </c>
      <c r="AH721">
        <v>0</v>
      </c>
      <c r="AI721" t="s">
        <v>619</v>
      </c>
      <c r="AJ721">
        <v>39.640130999999997</v>
      </c>
      <c r="AK721" t="s">
        <v>620</v>
      </c>
      <c r="AL721">
        <v>-92.504518000000004</v>
      </c>
      <c r="AM721">
        <v>100</v>
      </c>
      <c r="AN721">
        <v>1700</v>
      </c>
      <c r="AO721" t="s">
        <v>118</v>
      </c>
      <c r="AP721">
        <v>-28</v>
      </c>
      <c r="AQ721">
        <v>131</v>
      </c>
      <c r="AR721">
        <v>0</v>
      </c>
      <c r="AZ721">
        <v>1200</v>
      </c>
      <c r="BA721">
        <v>1</v>
      </c>
      <c r="BB721" t="str">
        <f t="shared" si="36"/>
        <v xml:space="preserve">N8080G  </v>
      </c>
      <c r="BC721">
        <v>1</v>
      </c>
      <c r="BE721">
        <v>0</v>
      </c>
      <c r="BF721">
        <v>0</v>
      </c>
      <c r="BG721">
        <v>0</v>
      </c>
      <c r="BH721">
        <v>1675</v>
      </c>
      <c r="BI721">
        <v>1</v>
      </c>
      <c r="BJ721">
        <v>1</v>
      </c>
      <c r="BK721">
        <v>1</v>
      </c>
      <c r="BL721">
        <v>0</v>
      </c>
      <c r="BO721">
        <v>0</v>
      </c>
      <c r="BP721">
        <v>0</v>
      </c>
      <c r="BW721" t="str">
        <f>"20:15:37.179"</f>
        <v>20:15:37.179</v>
      </c>
      <c r="BZ721">
        <v>0</v>
      </c>
      <c r="CA721">
        <v>2016</v>
      </c>
      <c r="CB721">
        <v>224</v>
      </c>
      <c r="CD721">
        <v>1</v>
      </c>
      <c r="CE721">
        <v>0</v>
      </c>
      <c r="CF721">
        <v>0</v>
      </c>
      <c r="CG721">
        <v>1</v>
      </c>
      <c r="CH721">
        <v>0</v>
      </c>
      <c r="CI721">
        <v>0</v>
      </c>
      <c r="CJ721">
        <v>0</v>
      </c>
      <c r="CK721">
        <v>2</v>
      </c>
      <c r="CL721">
        <v>0</v>
      </c>
      <c r="CM721">
        <v>2</v>
      </c>
      <c r="CN721">
        <v>0</v>
      </c>
      <c r="CO721">
        <v>6</v>
      </c>
      <c r="CP721" t="s">
        <v>119</v>
      </c>
      <c r="CQ721">
        <v>180</v>
      </c>
      <c r="CR721">
        <v>2</v>
      </c>
      <c r="CW721">
        <v>7947007</v>
      </c>
      <c r="CY721">
        <v>1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</row>
    <row r="722" spans="1:113" x14ac:dyDescent="0.3">
      <c r="A722" t="str">
        <f>"02/08/2021 20:15:34.864"</f>
        <v>02/08/2021 20:15:34.864</v>
      </c>
      <c r="C722" t="str">
        <f t="shared" si="35"/>
        <v>FFDFD7C0</v>
      </c>
      <c r="D722" t="s">
        <v>124</v>
      </c>
      <c r="E722">
        <v>13</v>
      </c>
      <c r="F722">
        <v>1013</v>
      </c>
      <c r="G722" t="s">
        <v>114</v>
      </c>
      <c r="J722" t="s">
        <v>125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>"20:15:37.172"</f>
        <v>20:15:37.172</v>
      </c>
      <c r="T722" t="str">
        <f>"20:15:36.672"</f>
        <v>20:15:36.672</v>
      </c>
      <c r="U722" t="str">
        <f t="shared" si="34"/>
        <v>AB01F4</v>
      </c>
      <c r="V722">
        <v>0</v>
      </c>
      <c r="W722">
        <v>0</v>
      </c>
      <c r="X722">
        <v>1</v>
      </c>
      <c r="Z722">
        <v>0</v>
      </c>
      <c r="AA722">
        <v>9</v>
      </c>
      <c r="AB722">
        <v>3</v>
      </c>
      <c r="AC722">
        <v>0</v>
      </c>
      <c r="AD722">
        <v>10</v>
      </c>
      <c r="AE722">
        <v>0</v>
      </c>
      <c r="AF722">
        <v>3</v>
      </c>
      <c r="AG722">
        <v>2</v>
      </c>
      <c r="AH722">
        <v>0</v>
      </c>
      <c r="AI722" t="s">
        <v>619</v>
      </c>
      <c r="AJ722">
        <v>39.640130999999997</v>
      </c>
      <c r="AK722" t="s">
        <v>620</v>
      </c>
      <c r="AL722">
        <v>-92.504518000000004</v>
      </c>
      <c r="AM722">
        <v>100</v>
      </c>
      <c r="AN722">
        <v>1700</v>
      </c>
      <c r="AO722" t="s">
        <v>118</v>
      </c>
      <c r="AP722">
        <v>-28</v>
      </c>
      <c r="AQ722">
        <v>131</v>
      </c>
      <c r="AR722">
        <v>0</v>
      </c>
      <c r="AZ722">
        <v>1200</v>
      </c>
      <c r="BA722">
        <v>1</v>
      </c>
      <c r="BB722" t="str">
        <f t="shared" si="36"/>
        <v xml:space="preserve">N8080G  </v>
      </c>
      <c r="BC722">
        <v>1</v>
      </c>
      <c r="BE722">
        <v>0</v>
      </c>
      <c r="BF722">
        <v>0</v>
      </c>
      <c r="BG722">
        <v>0</v>
      </c>
      <c r="BH722">
        <v>1675</v>
      </c>
      <c r="BI722">
        <v>1</v>
      </c>
      <c r="BJ722">
        <v>1</v>
      </c>
      <c r="BK722">
        <v>1</v>
      </c>
      <c r="BL722">
        <v>0</v>
      </c>
      <c r="BO722">
        <v>0</v>
      </c>
      <c r="BP722">
        <v>0</v>
      </c>
      <c r="BW722" t="str">
        <f>"20:15:37.179"</f>
        <v>20:15:37.179</v>
      </c>
      <c r="BZ722">
        <v>0</v>
      </c>
      <c r="CA722">
        <v>2016</v>
      </c>
      <c r="CB722">
        <v>224</v>
      </c>
      <c r="CD722">
        <v>1</v>
      </c>
      <c r="CE722">
        <v>0</v>
      </c>
      <c r="CF722">
        <v>0</v>
      </c>
      <c r="CG722">
        <v>1</v>
      </c>
      <c r="CH722">
        <v>0</v>
      </c>
      <c r="CI722">
        <v>0</v>
      </c>
      <c r="CJ722">
        <v>0</v>
      </c>
      <c r="CK722">
        <v>2</v>
      </c>
      <c r="CL722">
        <v>0</v>
      </c>
      <c r="CM722">
        <v>2</v>
      </c>
      <c r="CN722">
        <v>0</v>
      </c>
      <c r="CO722">
        <v>6</v>
      </c>
      <c r="CP722" t="s">
        <v>119</v>
      </c>
      <c r="CQ722">
        <v>180</v>
      </c>
      <c r="CR722">
        <v>2</v>
      </c>
      <c r="CW722">
        <v>7947007</v>
      </c>
      <c r="CY722">
        <v>1</v>
      </c>
      <c r="CZ722">
        <v>0</v>
      </c>
      <c r="DA722">
        <v>1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</row>
    <row r="723" spans="1:113" x14ac:dyDescent="0.3">
      <c r="A723" t="str">
        <f>"02/08/2021 20:15:34.864"</f>
        <v>02/08/2021 20:15:34.864</v>
      </c>
      <c r="C723" t="str">
        <f t="shared" si="35"/>
        <v>FFDFD7C0</v>
      </c>
      <c r="D723" t="s">
        <v>113</v>
      </c>
      <c r="E723">
        <v>6</v>
      </c>
      <c r="H723">
        <v>165</v>
      </c>
      <c r="I723" t="s">
        <v>114</v>
      </c>
      <c r="J723" t="s">
        <v>115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>"20:15:37.172"</f>
        <v>20:15:37.172</v>
      </c>
      <c r="T723" t="str">
        <f>"20:15:36.672"</f>
        <v>20:15:36.672</v>
      </c>
      <c r="U723" t="str">
        <f t="shared" si="34"/>
        <v>AB01F4</v>
      </c>
      <c r="V723">
        <v>0</v>
      </c>
      <c r="W723">
        <v>0</v>
      </c>
      <c r="X723">
        <v>1</v>
      </c>
      <c r="Z723">
        <v>0</v>
      </c>
      <c r="AA723">
        <v>9</v>
      </c>
      <c r="AB723">
        <v>3</v>
      </c>
      <c r="AC723">
        <v>0</v>
      </c>
      <c r="AD723">
        <v>10</v>
      </c>
      <c r="AE723">
        <v>0</v>
      </c>
      <c r="AF723">
        <v>3</v>
      </c>
      <c r="AG723">
        <v>2</v>
      </c>
      <c r="AH723">
        <v>0</v>
      </c>
      <c r="AI723" t="s">
        <v>619</v>
      </c>
      <c r="AJ723">
        <v>39.640130999999997</v>
      </c>
      <c r="AK723" t="s">
        <v>620</v>
      </c>
      <c r="AL723">
        <v>-92.504518000000004</v>
      </c>
      <c r="AM723">
        <v>100</v>
      </c>
      <c r="AN723">
        <v>1700</v>
      </c>
      <c r="AO723" t="s">
        <v>118</v>
      </c>
      <c r="AP723">
        <v>-28</v>
      </c>
      <c r="AQ723">
        <v>131</v>
      </c>
      <c r="AR723">
        <v>0</v>
      </c>
      <c r="AZ723">
        <v>1200</v>
      </c>
      <c r="BA723">
        <v>1</v>
      </c>
      <c r="BB723" t="str">
        <f t="shared" si="36"/>
        <v xml:space="preserve">N8080G  </v>
      </c>
      <c r="BC723">
        <v>1</v>
      </c>
      <c r="BE723">
        <v>0</v>
      </c>
      <c r="BF723">
        <v>0</v>
      </c>
      <c r="BG723">
        <v>0</v>
      </c>
      <c r="BH723">
        <v>1675</v>
      </c>
      <c r="BI723">
        <v>1</v>
      </c>
      <c r="BJ723">
        <v>1</v>
      </c>
      <c r="BK723">
        <v>1</v>
      </c>
      <c r="BL723">
        <v>0</v>
      </c>
      <c r="BO723">
        <v>0</v>
      </c>
      <c r="BP723">
        <v>0</v>
      </c>
      <c r="BW723" t="str">
        <f>"20:15:37.179"</f>
        <v>20:15:37.179</v>
      </c>
      <c r="BZ723">
        <v>0</v>
      </c>
      <c r="CA723">
        <v>2016</v>
      </c>
      <c r="CB723">
        <v>224</v>
      </c>
      <c r="CD723">
        <v>1</v>
      </c>
      <c r="CE723">
        <v>0</v>
      </c>
      <c r="CF723">
        <v>0</v>
      </c>
      <c r="CG723">
        <v>1</v>
      </c>
      <c r="CH723">
        <v>0</v>
      </c>
      <c r="CI723">
        <v>0</v>
      </c>
      <c r="CJ723">
        <v>0</v>
      </c>
      <c r="CK723">
        <v>2</v>
      </c>
      <c r="CL723">
        <v>0</v>
      </c>
      <c r="CM723">
        <v>2</v>
      </c>
      <c r="CN723">
        <v>0</v>
      </c>
      <c r="CO723">
        <v>6</v>
      </c>
      <c r="CP723" t="s">
        <v>119</v>
      </c>
      <c r="CQ723">
        <v>180</v>
      </c>
      <c r="CR723">
        <v>2</v>
      </c>
      <c r="CW723">
        <v>7947007</v>
      </c>
      <c r="CY723">
        <v>1</v>
      </c>
      <c r="CZ723">
        <v>0</v>
      </c>
      <c r="DA723">
        <v>1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</row>
    <row r="724" spans="1:113" x14ac:dyDescent="0.3">
      <c r="A724" t="str">
        <f>"02/08/2021 20:15:36.435"</f>
        <v>02/08/2021 20:15:36.435</v>
      </c>
      <c r="C724" t="str">
        <f t="shared" si="35"/>
        <v>FFDFD7C0</v>
      </c>
      <c r="D724" t="s">
        <v>124</v>
      </c>
      <c r="E724">
        <v>13</v>
      </c>
      <c r="F724">
        <v>1013</v>
      </c>
      <c r="G724" t="s">
        <v>114</v>
      </c>
      <c r="J724" t="s">
        <v>125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>"20:15:38.766"</f>
        <v>20:15:38.766</v>
      </c>
      <c r="T724" t="str">
        <f>"20:15:38.266"</f>
        <v>20:15:38.266</v>
      </c>
      <c r="U724" t="str">
        <f t="shared" si="34"/>
        <v>AB01F4</v>
      </c>
      <c r="V724">
        <v>0</v>
      </c>
      <c r="W724">
        <v>0</v>
      </c>
      <c r="X724">
        <v>1</v>
      </c>
      <c r="Z724">
        <v>0</v>
      </c>
      <c r="AA724">
        <v>9</v>
      </c>
      <c r="AB724">
        <v>3</v>
      </c>
      <c r="AC724">
        <v>0</v>
      </c>
      <c r="AD724">
        <v>10</v>
      </c>
      <c r="AE724">
        <v>0</v>
      </c>
      <c r="AF724">
        <v>3</v>
      </c>
      <c r="AG724">
        <v>2</v>
      </c>
      <c r="AH724">
        <v>0</v>
      </c>
      <c r="AI724" t="s">
        <v>621</v>
      </c>
      <c r="AJ724">
        <v>39.64114</v>
      </c>
      <c r="AK724" t="s">
        <v>622</v>
      </c>
      <c r="AL724">
        <v>-92.504818</v>
      </c>
      <c r="AM724">
        <v>100</v>
      </c>
      <c r="AN724">
        <v>1700</v>
      </c>
      <c r="AO724" t="s">
        <v>118</v>
      </c>
      <c r="AP724">
        <v>-28</v>
      </c>
      <c r="AQ724">
        <v>131</v>
      </c>
      <c r="AR724">
        <v>0</v>
      </c>
      <c r="AZ724">
        <v>1200</v>
      </c>
      <c r="BA724">
        <v>1</v>
      </c>
      <c r="BB724" t="str">
        <f t="shared" si="36"/>
        <v xml:space="preserve">N8080G  </v>
      </c>
      <c r="BC724">
        <v>1</v>
      </c>
      <c r="BE724">
        <v>0</v>
      </c>
      <c r="BF724">
        <v>0</v>
      </c>
      <c r="BG724">
        <v>0</v>
      </c>
      <c r="BH724">
        <v>1675</v>
      </c>
      <c r="BI724">
        <v>1</v>
      </c>
      <c r="BJ724">
        <v>1</v>
      </c>
      <c r="BK724">
        <v>1</v>
      </c>
      <c r="BL724">
        <v>0</v>
      </c>
      <c r="BO724">
        <v>0</v>
      </c>
      <c r="BP724">
        <v>0</v>
      </c>
      <c r="BW724" t="str">
        <f>"20:15:38.768"</f>
        <v>20:15:38.768</v>
      </c>
      <c r="BZ724">
        <v>0</v>
      </c>
      <c r="CA724">
        <v>2016</v>
      </c>
      <c r="CB724">
        <v>224</v>
      </c>
      <c r="CD724">
        <v>1</v>
      </c>
      <c r="CE724">
        <v>0</v>
      </c>
      <c r="CF724">
        <v>0</v>
      </c>
      <c r="CG724">
        <v>1</v>
      </c>
      <c r="CH724">
        <v>0</v>
      </c>
      <c r="CI724">
        <v>0</v>
      </c>
      <c r="CJ724">
        <v>0</v>
      </c>
      <c r="CK724">
        <v>2</v>
      </c>
      <c r="CL724">
        <v>0</v>
      </c>
      <c r="CM724">
        <v>2</v>
      </c>
      <c r="CN724">
        <v>0</v>
      </c>
      <c r="CO724">
        <v>7</v>
      </c>
      <c r="CP724" t="s">
        <v>119</v>
      </c>
      <c r="CQ724">
        <v>180</v>
      </c>
      <c r="CR724">
        <v>2</v>
      </c>
      <c r="CW724">
        <v>7948436</v>
      </c>
      <c r="CY724">
        <v>1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</row>
    <row r="725" spans="1:113" x14ac:dyDescent="0.3">
      <c r="A725" t="str">
        <f>"02/08/2021 20:15:36.435"</f>
        <v>02/08/2021 20:15:36.435</v>
      </c>
      <c r="C725" t="str">
        <f t="shared" si="35"/>
        <v>FFDFD7C0</v>
      </c>
      <c r="D725" t="s">
        <v>113</v>
      </c>
      <c r="E725">
        <v>6</v>
      </c>
      <c r="H725">
        <v>165</v>
      </c>
      <c r="I725" t="s">
        <v>114</v>
      </c>
      <c r="J725" t="s">
        <v>115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>"20:15:38.766"</f>
        <v>20:15:38.766</v>
      </c>
      <c r="T725" t="str">
        <f>"20:15:38.266"</f>
        <v>20:15:38.266</v>
      </c>
      <c r="U725" t="str">
        <f t="shared" si="34"/>
        <v>AB01F4</v>
      </c>
      <c r="V725">
        <v>0</v>
      </c>
      <c r="W725">
        <v>0</v>
      </c>
      <c r="X725">
        <v>1</v>
      </c>
      <c r="Z725">
        <v>0</v>
      </c>
      <c r="AA725">
        <v>9</v>
      </c>
      <c r="AB725">
        <v>3</v>
      </c>
      <c r="AC725">
        <v>0</v>
      </c>
      <c r="AD725">
        <v>10</v>
      </c>
      <c r="AE725">
        <v>0</v>
      </c>
      <c r="AF725">
        <v>3</v>
      </c>
      <c r="AG725">
        <v>2</v>
      </c>
      <c r="AH725">
        <v>0</v>
      </c>
      <c r="AI725" t="s">
        <v>621</v>
      </c>
      <c r="AJ725">
        <v>39.64114</v>
      </c>
      <c r="AK725" t="s">
        <v>622</v>
      </c>
      <c r="AL725">
        <v>-92.504818</v>
      </c>
      <c r="AM725">
        <v>100</v>
      </c>
      <c r="AN725">
        <v>1700</v>
      </c>
      <c r="AO725" t="s">
        <v>118</v>
      </c>
      <c r="AP725">
        <v>-28</v>
      </c>
      <c r="AQ725">
        <v>131</v>
      </c>
      <c r="AR725">
        <v>0</v>
      </c>
      <c r="AZ725">
        <v>1200</v>
      </c>
      <c r="BA725">
        <v>1</v>
      </c>
      <c r="BB725" t="str">
        <f t="shared" si="36"/>
        <v xml:space="preserve">N8080G  </v>
      </c>
      <c r="BC725">
        <v>1</v>
      </c>
      <c r="BE725">
        <v>0</v>
      </c>
      <c r="BF725">
        <v>0</v>
      </c>
      <c r="BG725">
        <v>0</v>
      </c>
      <c r="BH725">
        <v>1675</v>
      </c>
      <c r="BI725">
        <v>1</v>
      </c>
      <c r="BJ725">
        <v>1</v>
      </c>
      <c r="BK725">
        <v>1</v>
      </c>
      <c r="BL725">
        <v>0</v>
      </c>
      <c r="BO725">
        <v>0</v>
      </c>
      <c r="BP725">
        <v>0</v>
      </c>
      <c r="BW725" t="str">
        <f>"20:15:38.768"</f>
        <v>20:15:38.768</v>
      </c>
      <c r="BZ725">
        <v>0</v>
      </c>
      <c r="CA725">
        <v>2016</v>
      </c>
      <c r="CB725">
        <v>224</v>
      </c>
      <c r="CD725">
        <v>1</v>
      </c>
      <c r="CE725">
        <v>0</v>
      </c>
      <c r="CF725">
        <v>0</v>
      </c>
      <c r="CG725">
        <v>1</v>
      </c>
      <c r="CH725">
        <v>0</v>
      </c>
      <c r="CI725">
        <v>0</v>
      </c>
      <c r="CJ725">
        <v>0</v>
      </c>
      <c r="CK725">
        <v>2</v>
      </c>
      <c r="CL725">
        <v>0</v>
      </c>
      <c r="CM725">
        <v>2</v>
      </c>
      <c r="CN725">
        <v>0</v>
      </c>
      <c r="CO725">
        <v>7</v>
      </c>
      <c r="CP725" t="s">
        <v>119</v>
      </c>
      <c r="CQ725">
        <v>180</v>
      </c>
      <c r="CR725">
        <v>2</v>
      </c>
      <c r="CW725">
        <v>7948436</v>
      </c>
      <c r="CY725">
        <v>1</v>
      </c>
      <c r="CZ725">
        <v>0</v>
      </c>
      <c r="DA725">
        <v>1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</row>
    <row r="726" spans="1:113" x14ac:dyDescent="0.3">
      <c r="A726" t="str">
        <f>"02/08/2021 20:15:36.435"</f>
        <v>02/08/2021 20:15:36.435</v>
      </c>
      <c r="C726" t="str">
        <f t="shared" si="35"/>
        <v>FFDFD7C0</v>
      </c>
      <c r="D726" t="s">
        <v>124</v>
      </c>
      <c r="E726">
        <v>11</v>
      </c>
      <c r="F726">
        <v>1011</v>
      </c>
      <c r="G726" t="s">
        <v>590</v>
      </c>
      <c r="J726" t="s">
        <v>125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>"20:15:38.766"</f>
        <v>20:15:38.766</v>
      </c>
      <c r="T726" t="str">
        <f>"20:15:38.266"</f>
        <v>20:15:38.266</v>
      </c>
      <c r="U726" t="str">
        <f t="shared" si="34"/>
        <v>AB01F4</v>
      </c>
      <c r="V726">
        <v>0</v>
      </c>
      <c r="W726">
        <v>0</v>
      </c>
      <c r="X726">
        <v>1</v>
      </c>
      <c r="Z726">
        <v>0</v>
      </c>
      <c r="AA726">
        <v>9</v>
      </c>
      <c r="AB726">
        <v>3</v>
      </c>
      <c r="AC726">
        <v>0</v>
      </c>
      <c r="AD726">
        <v>10</v>
      </c>
      <c r="AE726">
        <v>0</v>
      </c>
      <c r="AF726">
        <v>3</v>
      </c>
      <c r="AG726">
        <v>2</v>
      </c>
      <c r="AH726">
        <v>0</v>
      </c>
      <c r="AI726" t="s">
        <v>621</v>
      </c>
      <c r="AJ726">
        <v>39.64114</v>
      </c>
      <c r="AK726" t="s">
        <v>622</v>
      </c>
      <c r="AL726">
        <v>-92.504818</v>
      </c>
      <c r="AM726">
        <v>100</v>
      </c>
      <c r="AN726">
        <v>1700</v>
      </c>
      <c r="AO726" t="s">
        <v>118</v>
      </c>
      <c r="AP726">
        <v>-28</v>
      </c>
      <c r="AQ726">
        <v>131</v>
      </c>
      <c r="AR726">
        <v>0</v>
      </c>
      <c r="AZ726">
        <v>1200</v>
      </c>
      <c r="BA726">
        <v>1</v>
      </c>
      <c r="BB726" t="str">
        <f t="shared" si="36"/>
        <v xml:space="preserve">N8080G  </v>
      </c>
      <c r="BC726">
        <v>1</v>
      </c>
      <c r="BE726">
        <v>0</v>
      </c>
      <c r="BF726">
        <v>0</v>
      </c>
      <c r="BG726">
        <v>0</v>
      </c>
      <c r="BH726">
        <v>1675</v>
      </c>
      <c r="BI726">
        <v>1</v>
      </c>
      <c r="BJ726">
        <v>1</v>
      </c>
      <c r="BK726">
        <v>1</v>
      </c>
      <c r="BL726">
        <v>0</v>
      </c>
      <c r="BO726">
        <v>0</v>
      </c>
      <c r="BP726">
        <v>0</v>
      </c>
      <c r="BW726" t="str">
        <f>"20:15:38.768"</f>
        <v>20:15:38.768</v>
      </c>
      <c r="BZ726">
        <v>0</v>
      </c>
      <c r="CA726">
        <v>2016</v>
      </c>
      <c r="CB726">
        <v>224</v>
      </c>
      <c r="CD726">
        <v>1</v>
      </c>
      <c r="CE726">
        <v>0</v>
      </c>
      <c r="CF726">
        <v>0</v>
      </c>
      <c r="CG726">
        <v>1</v>
      </c>
      <c r="CH726">
        <v>0</v>
      </c>
      <c r="CI726">
        <v>0</v>
      </c>
      <c r="CJ726">
        <v>0</v>
      </c>
      <c r="CK726">
        <v>2</v>
      </c>
      <c r="CL726">
        <v>0</v>
      </c>
      <c r="CM726">
        <v>2</v>
      </c>
      <c r="CN726">
        <v>0</v>
      </c>
      <c r="CO726">
        <v>7</v>
      </c>
      <c r="CP726" t="s">
        <v>119</v>
      </c>
      <c r="CQ726">
        <v>180</v>
      </c>
      <c r="CR726">
        <v>2</v>
      </c>
      <c r="CW726">
        <v>7948436</v>
      </c>
      <c r="CY726">
        <v>1</v>
      </c>
      <c r="CZ726">
        <v>0</v>
      </c>
      <c r="DA726">
        <v>1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</row>
    <row r="727" spans="1:113" x14ac:dyDescent="0.3">
      <c r="A727" t="str">
        <f>"02/08/2021 20:15:37.872"</f>
        <v>02/08/2021 20:15:37.872</v>
      </c>
      <c r="C727" t="str">
        <f t="shared" si="35"/>
        <v>FFDFD7C0</v>
      </c>
      <c r="D727" t="s">
        <v>113</v>
      </c>
      <c r="E727">
        <v>6</v>
      </c>
      <c r="H727">
        <v>165</v>
      </c>
      <c r="I727" t="s">
        <v>114</v>
      </c>
      <c r="J727" t="s">
        <v>115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>"20:15:40.195"</f>
        <v>20:15:40.195</v>
      </c>
      <c r="T727" t="str">
        <f>"20:15:39.795"</f>
        <v>20:15:39.795</v>
      </c>
      <c r="U727" t="str">
        <f t="shared" si="34"/>
        <v>AB01F4</v>
      </c>
      <c r="V727">
        <v>0</v>
      </c>
      <c r="W727">
        <v>0</v>
      </c>
      <c r="X727">
        <v>1</v>
      </c>
      <c r="Z727">
        <v>0</v>
      </c>
      <c r="AA727">
        <v>9</v>
      </c>
      <c r="AB727">
        <v>3</v>
      </c>
      <c r="AC727">
        <v>0</v>
      </c>
      <c r="AD727">
        <v>10</v>
      </c>
      <c r="AE727">
        <v>0</v>
      </c>
      <c r="AF727">
        <v>3</v>
      </c>
      <c r="AG727">
        <v>2</v>
      </c>
      <c r="AH727">
        <v>0</v>
      </c>
      <c r="AI727" t="s">
        <v>623</v>
      </c>
      <c r="AJ727">
        <v>39.641976</v>
      </c>
      <c r="AK727" t="s">
        <v>624</v>
      </c>
      <c r="AL727">
        <v>-92.505054000000001</v>
      </c>
      <c r="AM727">
        <v>100</v>
      </c>
      <c r="AN727">
        <v>1700</v>
      </c>
      <c r="AO727" t="s">
        <v>118</v>
      </c>
      <c r="AP727">
        <v>-28</v>
      </c>
      <c r="AQ727">
        <v>131</v>
      </c>
      <c r="AR727">
        <v>-64</v>
      </c>
      <c r="AZ727">
        <v>1200</v>
      </c>
      <c r="BA727">
        <v>1</v>
      </c>
      <c r="BB727" t="str">
        <f t="shared" si="36"/>
        <v xml:space="preserve">N8080G  </v>
      </c>
      <c r="BC727">
        <v>1</v>
      </c>
      <c r="BE727">
        <v>0</v>
      </c>
      <c r="BF727">
        <v>0</v>
      </c>
      <c r="BG727">
        <v>0</v>
      </c>
      <c r="BH727">
        <v>1675</v>
      </c>
      <c r="BI727">
        <v>1</v>
      </c>
      <c r="BJ727">
        <v>1</v>
      </c>
      <c r="BK727">
        <v>1</v>
      </c>
      <c r="BL727">
        <v>0</v>
      </c>
      <c r="BO727">
        <v>0</v>
      </c>
      <c r="BP727">
        <v>0</v>
      </c>
      <c r="BW727" t="str">
        <f>"20:15:40.199"</f>
        <v>20:15:40.199</v>
      </c>
      <c r="BZ727">
        <v>0</v>
      </c>
      <c r="CA727">
        <v>2016</v>
      </c>
      <c r="CB727">
        <v>224</v>
      </c>
      <c r="CD727">
        <v>1</v>
      </c>
      <c r="CE727">
        <v>0</v>
      </c>
      <c r="CF727">
        <v>0</v>
      </c>
      <c r="CG727">
        <v>1</v>
      </c>
      <c r="CH727">
        <v>0</v>
      </c>
      <c r="CI727">
        <v>0</v>
      </c>
      <c r="CJ727">
        <v>0</v>
      </c>
      <c r="CK727">
        <v>2</v>
      </c>
      <c r="CL727">
        <v>0</v>
      </c>
      <c r="CM727">
        <v>2</v>
      </c>
      <c r="CN727">
        <v>0</v>
      </c>
      <c r="CO727">
        <v>7</v>
      </c>
      <c r="CP727" t="s">
        <v>119</v>
      </c>
      <c r="CQ727">
        <v>180</v>
      </c>
      <c r="CR727">
        <v>2</v>
      </c>
      <c r="CW727">
        <v>7949587</v>
      </c>
      <c r="CY727">
        <v>1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</row>
    <row r="728" spans="1:113" x14ac:dyDescent="0.3">
      <c r="A728" t="str">
        <f>"02/08/2021 20:15:37.872"</f>
        <v>02/08/2021 20:15:37.872</v>
      </c>
      <c r="C728" t="str">
        <f t="shared" si="35"/>
        <v>FFDFD7C0</v>
      </c>
      <c r="D728" t="s">
        <v>124</v>
      </c>
      <c r="E728">
        <v>11</v>
      </c>
      <c r="F728">
        <v>1011</v>
      </c>
      <c r="G728" t="s">
        <v>590</v>
      </c>
      <c r="J728" t="s">
        <v>125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>"20:15:40.195"</f>
        <v>20:15:40.195</v>
      </c>
      <c r="T728" t="str">
        <f>"20:15:39.795"</f>
        <v>20:15:39.795</v>
      </c>
      <c r="U728" t="str">
        <f t="shared" si="34"/>
        <v>AB01F4</v>
      </c>
      <c r="V728">
        <v>0</v>
      </c>
      <c r="W728">
        <v>0</v>
      </c>
      <c r="X728">
        <v>1</v>
      </c>
      <c r="Z728">
        <v>0</v>
      </c>
      <c r="AA728">
        <v>9</v>
      </c>
      <c r="AB728">
        <v>3</v>
      </c>
      <c r="AC728">
        <v>0</v>
      </c>
      <c r="AD728">
        <v>10</v>
      </c>
      <c r="AE728">
        <v>0</v>
      </c>
      <c r="AF728">
        <v>3</v>
      </c>
      <c r="AG728">
        <v>2</v>
      </c>
      <c r="AH728">
        <v>0</v>
      </c>
      <c r="AI728" t="s">
        <v>623</v>
      </c>
      <c r="AJ728">
        <v>39.641976</v>
      </c>
      <c r="AK728" t="s">
        <v>624</v>
      </c>
      <c r="AL728">
        <v>-92.505054000000001</v>
      </c>
      <c r="AM728">
        <v>100</v>
      </c>
      <c r="AN728">
        <v>1700</v>
      </c>
      <c r="AO728" t="s">
        <v>118</v>
      </c>
      <c r="AP728">
        <v>-28</v>
      </c>
      <c r="AQ728">
        <v>131</v>
      </c>
      <c r="AR728">
        <v>-64</v>
      </c>
      <c r="AZ728">
        <v>1200</v>
      </c>
      <c r="BA728">
        <v>1</v>
      </c>
      <c r="BB728" t="str">
        <f t="shared" si="36"/>
        <v xml:space="preserve">N8080G  </v>
      </c>
      <c r="BC728">
        <v>1</v>
      </c>
      <c r="BE728">
        <v>0</v>
      </c>
      <c r="BF728">
        <v>0</v>
      </c>
      <c r="BG728">
        <v>0</v>
      </c>
      <c r="BH728">
        <v>1675</v>
      </c>
      <c r="BI728">
        <v>1</v>
      </c>
      <c r="BJ728">
        <v>1</v>
      </c>
      <c r="BK728">
        <v>1</v>
      </c>
      <c r="BL728">
        <v>0</v>
      </c>
      <c r="BO728">
        <v>0</v>
      </c>
      <c r="BP728">
        <v>0</v>
      </c>
      <c r="BW728" t="str">
        <f>"20:15:40.199"</f>
        <v>20:15:40.199</v>
      </c>
      <c r="BZ728">
        <v>0</v>
      </c>
      <c r="CA728">
        <v>2016</v>
      </c>
      <c r="CB728">
        <v>224</v>
      </c>
      <c r="CD728">
        <v>1</v>
      </c>
      <c r="CE728">
        <v>0</v>
      </c>
      <c r="CF728">
        <v>0</v>
      </c>
      <c r="CG728">
        <v>1</v>
      </c>
      <c r="CH728">
        <v>0</v>
      </c>
      <c r="CI728">
        <v>0</v>
      </c>
      <c r="CJ728">
        <v>0</v>
      </c>
      <c r="CK728">
        <v>2</v>
      </c>
      <c r="CL728">
        <v>0</v>
      </c>
      <c r="CM728">
        <v>2</v>
      </c>
      <c r="CN728">
        <v>0</v>
      </c>
      <c r="CO728">
        <v>7</v>
      </c>
      <c r="CP728" t="s">
        <v>119</v>
      </c>
      <c r="CQ728">
        <v>180</v>
      </c>
      <c r="CR728">
        <v>2</v>
      </c>
      <c r="CW728">
        <v>7949587</v>
      </c>
      <c r="CY728">
        <v>1</v>
      </c>
      <c r="CZ728">
        <v>0</v>
      </c>
      <c r="DA728">
        <v>1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</row>
    <row r="729" spans="1:113" x14ac:dyDescent="0.3">
      <c r="A729" t="str">
        <f>"02/08/2021 20:15:37.872"</f>
        <v>02/08/2021 20:15:37.872</v>
      </c>
      <c r="C729" t="str">
        <f t="shared" si="35"/>
        <v>FFDFD7C0</v>
      </c>
      <c r="D729" t="s">
        <v>141</v>
      </c>
      <c r="E729">
        <v>17</v>
      </c>
      <c r="H729">
        <v>256</v>
      </c>
      <c r="I729" t="s">
        <v>142</v>
      </c>
      <c r="J729" t="s">
        <v>143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>"20:15:40.195"</f>
        <v>20:15:40.195</v>
      </c>
      <c r="T729" t="str">
        <f>"20:15:39.795"</f>
        <v>20:15:39.795</v>
      </c>
      <c r="U729" t="str">
        <f t="shared" si="34"/>
        <v>AB01F4</v>
      </c>
      <c r="V729">
        <v>0</v>
      </c>
      <c r="W729">
        <v>0</v>
      </c>
      <c r="X729">
        <v>1</v>
      </c>
      <c r="Z729">
        <v>0</v>
      </c>
      <c r="AA729">
        <v>9</v>
      </c>
      <c r="AB729">
        <v>3</v>
      </c>
      <c r="AC729">
        <v>0</v>
      </c>
      <c r="AD729">
        <v>10</v>
      </c>
      <c r="AE729">
        <v>0</v>
      </c>
      <c r="AF729">
        <v>3</v>
      </c>
      <c r="AG729">
        <v>2</v>
      </c>
      <c r="AH729">
        <v>0</v>
      </c>
      <c r="AI729" t="s">
        <v>623</v>
      </c>
      <c r="AJ729">
        <v>39.641976</v>
      </c>
      <c r="AK729" t="s">
        <v>624</v>
      </c>
      <c r="AL729">
        <v>-92.505054000000001</v>
      </c>
      <c r="AM729">
        <v>100</v>
      </c>
      <c r="AN729">
        <v>1700</v>
      </c>
      <c r="AO729" t="s">
        <v>118</v>
      </c>
      <c r="AP729">
        <v>-28</v>
      </c>
      <c r="AQ729">
        <v>131</v>
      </c>
      <c r="AR729">
        <v>-64</v>
      </c>
      <c r="AZ729">
        <v>1200</v>
      </c>
      <c r="BA729">
        <v>1</v>
      </c>
      <c r="BB729" t="str">
        <f t="shared" si="36"/>
        <v xml:space="preserve">N8080G  </v>
      </c>
      <c r="BC729">
        <v>1</v>
      </c>
      <c r="BE729">
        <v>0</v>
      </c>
      <c r="BF729">
        <v>0</v>
      </c>
      <c r="BG729">
        <v>0</v>
      </c>
      <c r="BH729">
        <v>1675</v>
      </c>
      <c r="BI729">
        <v>1</v>
      </c>
      <c r="BJ729">
        <v>1</v>
      </c>
      <c r="BK729">
        <v>1</v>
      </c>
      <c r="BL729">
        <v>0</v>
      </c>
      <c r="BO729">
        <v>0</v>
      </c>
      <c r="BP729">
        <v>0</v>
      </c>
      <c r="BW729" t="str">
        <f>"20:15:40.199"</f>
        <v>20:15:40.199</v>
      </c>
      <c r="BZ729">
        <v>0</v>
      </c>
      <c r="CA729">
        <v>2016</v>
      </c>
      <c r="CB729">
        <v>224</v>
      </c>
      <c r="CD729">
        <v>1</v>
      </c>
      <c r="CE729">
        <v>0</v>
      </c>
      <c r="CF729">
        <v>0</v>
      </c>
      <c r="CG729">
        <v>1</v>
      </c>
      <c r="CH729">
        <v>0</v>
      </c>
      <c r="CI729">
        <v>0</v>
      </c>
      <c r="CJ729">
        <v>0</v>
      </c>
      <c r="CK729">
        <v>2</v>
      </c>
      <c r="CL729">
        <v>0</v>
      </c>
      <c r="CM729">
        <v>2</v>
      </c>
      <c r="CN729">
        <v>0</v>
      </c>
      <c r="CO729">
        <v>2</v>
      </c>
      <c r="CP729" t="s">
        <v>119</v>
      </c>
      <c r="CQ729">
        <v>559</v>
      </c>
      <c r="CR729">
        <v>0</v>
      </c>
      <c r="CW729">
        <v>10426446</v>
      </c>
      <c r="CY729">
        <v>1</v>
      </c>
      <c r="CZ729">
        <v>0</v>
      </c>
      <c r="DA729">
        <v>1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</row>
    <row r="730" spans="1:113" x14ac:dyDescent="0.3">
      <c r="A730" t="str">
        <f>"02/08/2021 20:15:37.872"</f>
        <v>02/08/2021 20:15:37.872</v>
      </c>
      <c r="C730" t="str">
        <f t="shared" si="35"/>
        <v>FFDFD7C0</v>
      </c>
      <c r="D730" t="s">
        <v>124</v>
      </c>
      <c r="E730">
        <v>13</v>
      </c>
      <c r="F730">
        <v>1013</v>
      </c>
      <c r="G730" t="s">
        <v>114</v>
      </c>
      <c r="J730" t="s">
        <v>125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>"20:15:40.195"</f>
        <v>20:15:40.195</v>
      </c>
      <c r="T730" t="str">
        <f>"20:15:39.795"</f>
        <v>20:15:39.795</v>
      </c>
      <c r="U730" t="str">
        <f t="shared" si="34"/>
        <v>AB01F4</v>
      </c>
      <c r="V730">
        <v>0</v>
      </c>
      <c r="W730">
        <v>0</v>
      </c>
      <c r="X730">
        <v>1</v>
      </c>
      <c r="Z730">
        <v>0</v>
      </c>
      <c r="AA730">
        <v>9</v>
      </c>
      <c r="AB730">
        <v>3</v>
      </c>
      <c r="AC730">
        <v>0</v>
      </c>
      <c r="AD730">
        <v>10</v>
      </c>
      <c r="AE730">
        <v>0</v>
      </c>
      <c r="AF730">
        <v>3</v>
      </c>
      <c r="AG730">
        <v>2</v>
      </c>
      <c r="AH730">
        <v>0</v>
      </c>
      <c r="AI730" t="s">
        <v>623</v>
      </c>
      <c r="AJ730">
        <v>39.641976</v>
      </c>
      <c r="AK730" t="s">
        <v>624</v>
      </c>
      <c r="AL730">
        <v>-92.505054000000001</v>
      </c>
      <c r="AM730">
        <v>100</v>
      </c>
      <c r="AN730">
        <v>1700</v>
      </c>
      <c r="AO730" t="s">
        <v>118</v>
      </c>
      <c r="AP730">
        <v>-28</v>
      </c>
      <c r="AQ730">
        <v>131</v>
      </c>
      <c r="AR730">
        <v>-64</v>
      </c>
      <c r="AZ730">
        <v>1200</v>
      </c>
      <c r="BA730">
        <v>1</v>
      </c>
      <c r="BB730" t="str">
        <f t="shared" si="36"/>
        <v xml:space="preserve">N8080G  </v>
      </c>
      <c r="BC730">
        <v>1</v>
      </c>
      <c r="BE730">
        <v>0</v>
      </c>
      <c r="BF730">
        <v>0</v>
      </c>
      <c r="BG730">
        <v>0</v>
      </c>
      <c r="BH730">
        <v>1675</v>
      </c>
      <c r="BI730">
        <v>1</v>
      </c>
      <c r="BJ730">
        <v>1</v>
      </c>
      <c r="BK730">
        <v>1</v>
      </c>
      <c r="BL730">
        <v>0</v>
      </c>
      <c r="BO730">
        <v>0</v>
      </c>
      <c r="BP730">
        <v>0</v>
      </c>
      <c r="BW730" t="str">
        <f>"20:15:40.199"</f>
        <v>20:15:40.199</v>
      </c>
      <c r="BZ730">
        <v>0</v>
      </c>
      <c r="CA730">
        <v>2016</v>
      </c>
      <c r="CB730">
        <v>224</v>
      </c>
      <c r="CD730">
        <v>1</v>
      </c>
      <c r="CE730">
        <v>0</v>
      </c>
      <c r="CF730">
        <v>0</v>
      </c>
      <c r="CG730">
        <v>1</v>
      </c>
      <c r="CH730">
        <v>0</v>
      </c>
      <c r="CI730">
        <v>0</v>
      </c>
      <c r="CJ730">
        <v>0</v>
      </c>
      <c r="CK730">
        <v>2</v>
      </c>
      <c r="CL730">
        <v>0</v>
      </c>
      <c r="CM730">
        <v>2</v>
      </c>
      <c r="CN730">
        <v>0</v>
      </c>
      <c r="CO730">
        <v>7</v>
      </c>
      <c r="CP730" t="s">
        <v>119</v>
      </c>
      <c r="CQ730">
        <v>180</v>
      </c>
      <c r="CR730">
        <v>2</v>
      </c>
      <c r="CW730">
        <v>7949587</v>
      </c>
      <c r="CY730">
        <v>1</v>
      </c>
      <c r="CZ730">
        <v>0</v>
      </c>
      <c r="DA730">
        <v>1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</row>
    <row r="731" spans="1:113" x14ac:dyDescent="0.3">
      <c r="A731" t="str">
        <f>"02/08/2021 20:15:39.286"</f>
        <v>02/08/2021 20:15:39.286</v>
      </c>
      <c r="C731" t="str">
        <f t="shared" si="35"/>
        <v>FFDFD7C0</v>
      </c>
      <c r="D731" t="s">
        <v>113</v>
      </c>
      <c r="E731">
        <v>6</v>
      </c>
      <c r="H731">
        <v>165</v>
      </c>
      <c r="I731" t="s">
        <v>114</v>
      </c>
      <c r="J731" t="s">
        <v>115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>"20:15:41.563"</f>
        <v>20:15:41.563</v>
      </c>
      <c r="T731" t="str">
        <f>"20:15:41.163"</f>
        <v>20:15:41.163</v>
      </c>
      <c r="U731" t="str">
        <f t="shared" si="34"/>
        <v>AB01F4</v>
      </c>
      <c r="V731">
        <v>0</v>
      </c>
      <c r="W731">
        <v>0</v>
      </c>
      <c r="X731">
        <v>1</v>
      </c>
      <c r="Z731">
        <v>0</v>
      </c>
      <c r="AA731">
        <v>9</v>
      </c>
      <c r="AB731">
        <v>3</v>
      </c>
      <c r="AC731">
        <v>0</v>
      </c>
      <c r="AD731">
        <v>10</v>
      </c>
      <c r="AE731">
        <v>0</v>
      </c>
      <c r="AF731">
        <v>3</v>
      </c>
      <c r="AG731">
        <v>2</v>
      </c>
      <c r="AH731">
        <v>0</v>
      </c>
      <c r="AI731" t="s">
        <v>625</v>
      </c>
      <c r="AJ731">
        <v>39.642834999999998</v>
      </c>
      <c r="AK731" t="s">
        <v>626</v>
      </c>
      <c r="AL731">
        <v>-92.505291</v>
      </c>
      <c r="AM731">
        <v>100</v>
      </c>
      <c r="AN731">
        <v>1700</v>
      </c>
      <c r="AO731" t="s">
        <v>118</v>
      </c>
      <c r="AP731">
        <v>-28</v>
      </c>
      <c r="AQ731">
        <v>131</v>
      </c>
      <c r="AR731">
        <v>0</v>
      </c>
      <c r="AZ731">
        <v>1200</v>
      </c>
      <c r="BA731">
        <v>1</v>
      </c>
      <c r="BB731" t="str">
        <f t="shared" si="36"/>
        <v xml:space="preserve">N8080G  </v>
      </c>
      <c r="BC731">
        <v>1</v>
      </c>
      <c r="BE731">
        <v>0</v>
      </c>
      <c r="BF731">
        <v>0</v>
      </c>
      <c r="BG731">
        <v>0</v>
      </c>
      <c r="BH731">
        <v>1675</v>
      </c>
      <c r="BI731">
        <v>1</v>
      </c>
      <c r="BJ731">
        <v>1</v>
      </c>
      <c r="BK731">
        <v>1</v>
      </c>
      <c r="BL731">
        <v>0</v>
      </c>
      <c r="BO731">
        <v>0</v>
      </c>
      <c r="BP731">
        <v>0</v>
      </c>
      <c r="BW731" t="str">
        <f>"20:15:41.568"</f>
        <v>20:15:41.568</v>
      </c>
      <c r="BZ731">
        <v>0</v>
      </c>
      <c r="CA731">
        <v>2016</v>
      </c>
      <c r="CB731">
        <v>224</v>
      </c>
      <c r="CD731">
        <v>1</v>
      </c>
      <c r="CE731">
        <v>0</v>
      </c>
      <c r="CF731">
        <v>0</v>
      </c>
      <c r="CG731">
        <v>1</v>
      </c>
      <c r="CH731">
        <v>0</v>
      </c>
      <c r="CI731">
        <v>0</v>
      </c>
      <c r="CJ731">
        <v>0</v>
      </c>
      <c r="CK731">
        <v>2</v>
      </c>
      <c r="CL731">
        <v>0</v>
      </c>
      <c r="CM731">
        <v>2</v>
      </c>
      <c r="CN731">
        <v>0</v>
      </c>
      <c r="CO731">
        <v>6</v>
      </c>
      <c r="CP731" t="s">
        <v>119</v>
      </c>
      <c r="CQ731">
        <v>180</v>
      </c>
      <c r="CR731">
        <v>2</v>
      </c>
      <c r="CW731">
        <v>7950709</v>
      </c>
      <c r="CY731">
        <v>1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</row>
    <row r="732" spans="1:113" x14ac:dyDescent="0.3">
      <c r="A732" t="str">
        <f>"02/08/2021 20:15:39.286"</f>
        <v>02/08/2021 20:15:39.286</v>
      </c>
      <c r="C732" t="str">
        <f t="shared" si="35"/>
        <v>FFDFD7C0</v>
      </c>
      <c r="D732" t="s">
        <v>124</v>
      </c>
      <c r="E732">
        <v>11</v>
      </c>
      <c r="F732">
        <v>1011</v>
      </c>
      <c r="G732" t="s">
        <v>590</v>
      </c>
      <c r="J732" t="s">
        <v>125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>"20:15:41.563"</f>
        <v>20:15:41.563</v>
      </c>
      <c r="T732" t="str">
        <f>"20:15:41.163"</f>
        <v>20:15:41.163</v>
      </c>
      <c r="U732" t="str">
        <f t="shared" si="34"/>
        <v>AB01F4</v>
      </c>
      <c r="V732">
        <v>0</v>
      </c>
      <c r="W732">
        <v>0</v>
      </c>
      <c r="X732">
        <v>1</v>
      </c>
      <c r="Z732">
        <v>0</v>
      </c>
      <c r="AA732">
        <v>9</v>
      </c>
      <c r="AB732">
        <v>3</v>
      </c>
      <c r="AC732">
        <v>0</v>
      </c>
      <c r="AD732">
        <v>10</v>
      </c>
      <c r="AE732">
        <v>0</v>
      </c>
      <c r="AF732">
        <v>3</v>
      </c>
      <c r="AG732">
        <v>2</v>
      </c>
      <c r="AH732">
        <v>0</v>
      </c>
      <c r="AI732" t="s">
        <v>625</v>
      </c>
      <c r="AJ732">
        <v>39.642834999999998</v>
      </c>
      <c r="AK732" t="s">
        <v>626</v>
      </c>
      <c r="AL732">
        <v>-92.505291</v>
      </c>
      <c r="AM732">
        <v>100</v>
      </c>
      <c r="AN732">
        <v>1700</v>
      </c>
      <c r="AO732" t="s">
        <v>118</v>
      </c>
      <c r="AP732">
        <v>-28</v>
      </c>
      <c r="AQ732">
        <v>131</v>
      </c>
      <c r="AR732">
        <v>0</v>
      </c>
      <c r="AZ732">
        <v>1200</v>
      </c>
      <c r="BA732">
        <v>1</v>
      </c>
      <c r="BB732" t="str">
        <f t="shared" si="36"/>
        <v xml:space="preserve">N8080G  </v>
      </c>
      <c r="BC732">
        <v>1</v>
      </c>
      <c r="BE732">
        <v>0</v>
      </c>
      <c r="BF732">
        <v>0</v>
      </c>
      <c r="BG732">
        <v>0</v>
      </c>
      <c r="BH732">
        <v>1675</v>
      </c>
      <c r="BI732">
        <v>1</v>
      </c>
      <c r="BJ732">
        <v>1</v>
      </c>
      <c r="BK732">
        <v>1</v>
      </c>
      <c r="BL732">
        <v>0</v>
      </c>
      <c r="BO732">
        <v>0</v>
      </c>
      <c r="BP732">
        <v>0</v>
      </c>
      <c r="BW732" t="str">
        <f>"20:15:41.568"</f>
        <v>20:15:41.568</v>
      </c>
      <c r="BZ732">
        <v>0</v>
      </c>
      <c r="CA732">
        <v>2016</v>
      </c>
      <c r="CB732">
        <v>224</v>
      </c>
      <c r="CD732">
        <v>1</v>
      </c>
      <c r="CE732">
        <v>0</v>
      </c>
      <c r="CF732">
        <v>0</v>
      </c>
      <c r="CG732">
        <v>1</v>
      </c>
      <c r="CH732">
        <v>0</v>
      </c>
      <c r="CI732">
        <v>0</v>
      </c>
      <c r="CJ732">
        <v>0</v>
      </c>
      <c r="CK732">
        <v>2</v>
      </c>
      <c r="CL732">
        <v>0</v>
      </c>
      <c r="CM732">
        <v>2</v>
      </c>
      <c r="CN732">
        <v>0</v>
      </c>
      <c r="CO732">
        <v>6</v>
      </c>
      <c r="CP732" t="s">
        <v>119</v>
      </c>
      <c r="CQ732">
        <v>180</v>
      </c>
      <c r="CR732">
        <v>2</v>
      </c>
      <c r="CW732">
        <v>7950709</v>
      </c>
      <c r="CY732">
        <v>1</v>
      </c>
      <c r="CZ732">
        <v>0</v>
      </c>
      <c r="DA732">
        <v>1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</row>
    <row r="733" spans="1:113" x14ac:dyDescent="0.3">
      <c r="A733" t="str">
        <f>"02/08/2021 20:15:39.286"</f>
        <v>02/08/2021 20:15:39.286</v>
      </c>
      <c r="C733" t="str">
        <f t="shared" si="35"/>
        <v>FFDFD7C0</v>
      </c>
      <c r="D733" t="s">
        <v>124</v>
      </c>
      <c r="E733">
        <v>13</v>
      </c>
      <c r="F733">
        <v>1013</v>
      </c>
      <c r="G733" t="s">
        <v>114</v>
      </c>
      <c r="J733" t="s">
        <v>125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>"20:15:41.563"</f>
        <v>20:15:41.563</v>
      </c>
      <c r="T733" t="str">
        <f>"20:15:41.163"</f>
        <v>20:15:41.163</v>
      </c>
      <c r="U733" t="str">
        <f t="shared" si="34"/>
        <v>AB01F4</v>
      </c>
      <c r="V733">
        <v>0</v>
      </c>
      <c r="W733">
        <v>0</v>
      </c>
      <c r="X733">
        <v>1</v>
      </c>
      <c r="Z733">
        <v>0</v>
      </c>
      <c r="AA733">
        <v>9</v>
      </c>
      <c r="AB733">
        <v>3</v>
      </c>
      <c r="AC733">
        <v>0</v>
      </c>
      <c r="AD733">
        <v>10</v>
      </c>
      <c r="AE733">
        <v>0</v>
      </c>
      <c r="AF733">
        <v>3</v>
      </c>
      <c r="AG733">
        <v>2</v>
      </c>
      <c r="AH733">
        <v>0</v>
      </c>
      <c r="AI733" t="s">
        <v>625</v>
      </c>
      <c r="AJ733">
        <v>39.642834999999998</v>
      </c>
      <c r="AK733" t="s">
        <v>626</v>
      </c>
      <c r="AL733">
        <v>-92.505291</v>
      </c>
      <c r="AM733">
        <v>100</v>
      </c>
      <c r="AN733">
        <v>1700</v>
      </c>
      <c r="AO733" t="s">
        <v>118</v>
      </c>
      <c r="AP733">
        <v>-28</v>
      </c>
      <c r="AQ733">
        <v>131</v>
      </c>
      <c r="AR733">
        <v>0</v>
      </c>
      <c r="AZ733">
        <v>1200</v>
      </c>
      <c r="BA733">
        <v>1</v>
      </c>
      <c r="BB733" t="str">
        <f t="shared" si="36"/>
        <v xml:space="preserve">N8080G  </v>
      </c>
      <c r="BC733">
        <v>1</v>
      </c>
      <c r="BE733">
        <v>0</v>
      </c>
      <c r="BF733">
        <v>0</v>
      </c>
      <c r="BG733">
        <v>0</v>
      </c>
      <c r="BH733">
        <v>1675</v>
      </c>
      <c r="BI733">
        <v>1</v>
      </c>
      <c r="BJ733">
        <v>1</v>
      </c>
      <c r="BK733">
        <v>1</v>
      </c>
      <c r="BL733">
        <v>0</v>
      </c>
      <c r="BO733">
        <v>0</v>
      </c>
      <c r="BP733">
        <v>0</v>
      </c>
      <c r="BW733" t="str">
        <f>"20:15:41.568"</f>
        <v>20:15:41.568</v>
      </c>
      <c r="BZ733">
        <v>0</v>
      </c>
      <c r="CA733">
        <v>2016</v>
      </c>
      <c r="CB733">
        <v>224</v>
      </c>
      <c r="CD733">
        <v>1</v>
      </c>
      <c r="CE733">
        <v>0</v>
      </c>
      <c r="CF733">
        <v>0</v>
      </c>
      <c r="CG733">
        <v>1</v>
      </c>
      <c r="CH733">
        <v>0</v>
      </c>
      <c r="CI733">
        <v>0</v>
      </c>
      <c r="CJ733">
        <v>0</v>
      </c>
      <c r="CK733">
        <v>2</v>
      </c>
      <c r="CL733">
        <v>0</v>
      </c>
      <c r="CM733">
        <v>2</v>
      </c>
      <c r="CN733">
        <v>0</v>
      </c>
      <c r="CO733">
        <v>6</v>
      </c>
      <c r="CP733" t="s">
        <v>119</v>
      </c>
      <c r="CQ733">
        <v>180</v>
      </c>
      <c r="CR733">
        <v>2</v>
      </c>
      <c r="CW733">
        <v>7950709</v>
      </c>
      <c r="CY733">
        <v>1</v>
      </c>
      <c r="CZ733">
        <v>0</v>
      </c>
      <c r="DA733">
        <v>1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</row>
    <row r="734" spans="1:113" x14ac:dyDescent="0.3">
      <c r="A734" t="str">
        <f>"02/08/2021 20:15:40.803"</f>
        <v>02/08/2021 20:15:40.803</v>
      </c>
      <c r="C734" t="str">
        <f t="shared" si="35"/>
        <v>FFDFD7C0</v>
      </c>
      <c r="D734" t="s">
        <v>113</v>
      </c>
      <c r="E734">
        <v>6</v>
      </c>
      <c r="H734">
        <v>165</v>
      </c>
      <c r="I734" t="s">
        <v>114</v>
      </c>
      <c r="J734" t="s">
        <v>115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>"20:15:43.117"</f>
        <v>20:15:43.117</v>
      </c>
      <c r="T734" t="str">
        <f>"20:15:42.717"</f>
        <v>20:15:42.717</v>
      </c>
      <c r="U734" t="str">
        <f t="shared" si="34"/>
        <v>AB01F4</v>
      </c>
      <c r="V734">
        <v>0</v>
      </c>
      <c r="W734">
        <v>0</v>
      </c>
      <c r="X734">
        <v>1</v>
      </c>
      <c r="Z734">
        <v>0</v>
      </c>
      <c r="AA734">
        <v>9</v>
      </c>
      <c r="AB734">
        <v>3</v>
      </c>
      <c r="AC734">
        <v>0</v>
      </c>
      <c r="AD734">
        <v>10</v>
      </c>
      <c r="AE734">
        <v>0</v>
      </c>
      <c r="AF734">
        <v>3</v>
      </c>
      <c r="AG734">
        <v>2</v>
      </c>
      <c r="AH734">
        <v>0</v>
      </c>
      <c r="AI734" t="s">
        <v>627</v>
      </c>
      <c r="AJ734">
        <v>39.643799999999999</v>
      </c>
      <c r="AK734" t="s">
        <v>628</v>
      </c>
      <c r="AL734">
        <v>-92.505548000000005</v>
      </c>
      <c r="AM734">
        <v>100</v>
      </c>
      <c r="AN734">
        <v>1700</v>
      </c>
      <c r="AO734" t="s">
        <v>118</v>
      </c>
      <c r="AP734">
        <v>-29</v>
      </c>
      <c r="AQ734">
        <v>131</v>
      </c>
      <c r="AR734">
        <v>0</v>
      </c>
      <c r="AZ734">
        <v>1200</v>
      </c>
      <c r="BA734">
        <v>1</v>
      </c>
      <c r="BB734" t="str">
        <f t="shared" si="36"/>
        <v xml:space="preserve">N8080G  </v>
      </c>
      <c r="BC734">
        <v>1</v>
      </c>
      <c r="BE734">
        <v>0</v>
      </c>
      <c r="BF734">
        <v>0</v>
      </c>
      <c r="BG734">
        <v>0</v>
      </c>
      <c r="BH734">
        <v>1675</v>
      </c>
      <c r="BI734">
        <v>1</v>
      </c>
      <c r="BJ734">
        <v>1</v>
      </c>
      <c r="BK734">
        <v>1</v>
      </c>
      <c r="BL734">
        <v>0</v>
      </c>
      <c r="BO734">
        <v>0</v>
      </c>
      <c r="BP734">
        <v>0</v>
      </c>
      <c r="BW734" t="str">
        <f>"20:15:43.118"</f>
        <v>20:15:43.118</v>
      </c>
      <c r="BZ734">
        <v>0</v>
      </c>
      <c r="CA734">
        <v>2016</v>
      </c>
      <c r="CB734">
        <v>224</v>
      </c>
      <c r="CD734">
        <v>1</v>
      </c>
      <c r="CE734">
        <v>0</v>
      </c>
      <c r="CF734">
        <v>0</v>
      </c>
      <c r="CG734">
        <v>1</v>
      </c>
      <c r="CH734">
        <v>0</v>
      </c>
      <c r="CI734">
        <v>0</v>
      </c>
      <c r="CJ734">
        <v>0</v>
      </c>
      <c r="CK734">
        <v>2</v>
      </c>
      <c r="CL734">
        <v>0</v>
      </c>
      <c r="CM734">
        <v>2</v>
      </c>
      <c r="CN734">
        <v>0</v>
      </c>
      <c r="CO734">
        <v>7</v>
      </c>
      <c r="CP734" t="s">
        <v>119</v>
      </c>
      <c r="CQ734">
        <v>180</v>
      </c>
      <c r="CR734">
        <v>2</v>
      </c>
      <c r="CW734">
        <v>7952033</v>
      </c>
      <c r="CY734">
        <v>1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</row>
    <row r="735" spans="1:113" x14ac:dyDescent="0.3">
      <c r="A735" t="str">
        <f>"02/08/2021 20:15:40.803"</f>
        <v>02/08/2021 20:15:40.803</v>
      </c>
      <c r="C735" t="str">
        <f t="shared" si="35"/>
        <v>FFDFD7C0</v>
      </c>
      <c r="D735" t="s">
        <v>124</v>
      </c>
      <c r="E735">
        <v>11</v>
      </c>
      <c r="F735">
        <v>1011</v>
      </c>
      <c r="G735" t="s">
        <v>590</v>
      </c>
      <c r="J735" t="s">
        <v>125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>"20:15:43.117"</f>
        <v>20:15:43.117</v>
      </c>
      <c r="T735" t="str">
        <f>"20:15:42.717"</f>
        <v>20:15:42.717</v>
      </c>
      <c r="U735" t="str">
        <f t="shared" si="34"/>
        <v>AB01F4</v>
      </c>
      <c r="V735">
        <v>0</v>
      </c>
      <c r="W735">
        <v>0</v>
      </c>
      <c r="X735">
        <v>1</v>
      </c>
      <c r="Z735">
        <v>0</v>
      </c>
      <c r="AA735">
        <v>9</v>
      </c>
      <c r="AB735">
        <v>3</v>
      </c>
      <c r="AC735">
        <v>0</v>
      </c>
      <c r="AD735">
        <v>10</v>
      </c>
      <c r="AE735">
        <v>0</v>
      </c>
      <c r="AF735">
        <v>3</v>
      </c>
      <c r="AG735">
        <v>2</v>
      </c>
      <c r="AH735">
        <v>0</v>
      </c>
      <c r="AI735" t="s">
        <v>627</v>
      </c>
      <c r="AJ735">
        <v>39.643799999999999</v>
      </c>
      <c r="AK735" t="s">
        <v>628</v>
      </c>
      <c r="AL735">
        <v>-92.505548000000005</v>
      </c>
      <c r="AM735">
        <v>100</v>
      </c>
      <c r="AN735">
        <v>1700</v>
      </c>
      <c r="AO735" t="s">
        <v>118</v>
      </c>
      <c r="AP735">
        <v>-29</v>
      </c>
      <c r="AQ735">
        <v>131</v>
      </c>
      <c r="AR735">
        <v>0</v>
      </c>
      <c r="AZ735">
        <v>1200</v>
      </c>
      <c r="BA735">
        <v>1</v>
      </c>
      <c r="BB735" t="str">
        <f t="shared" si="36"/>
        <v xml:space="preserve">N8080G  </v>
      </c>
      <c r="BC735">
        <v>1</v>
      </c>
      <c r="BE735">
        <v>0</v>
      </c>
      <c r="BF735">
        <v>0</v>
      </c>
      <c r="BG735">
        <v>0</v>
      </c>
      <c r="BH735">
        <v>1675</v>
      </c>
      <c r="BI735">
        <v>1</v>
      </c>
      <c r="BJ735">
        <v>1</v>
      </c>
      <c r="BK735">
        <v>1</v>
      </c>
      <c r="BL735">
        <v>0</v>
      </c>
      <c r="BO735">
        <v>0</v>
      </c>
      <c r="BP735">
        <v>0</v>
      </c>
      <c r="BW735" t="str">
        <f>"20:15:43.118"</f>
        <v>20:15:43.118</v>
      </c>
      <c r="BZ735">
        <v>0</v>
      </c>
      <c r="CA735">
        <v>2016</v>
      </c>
      <c r="CB735">
        <v>224</v>
      </c>
      <c r="CD735">
        <v>1</v>
      </c>
      <c r="CE735">
        <v>0</v>
      </c>
      <c r="CF735">
        <v>0</v>
      </c>
      <c r="CG735">
        <v>1</v>
      </c>
      <c r="CH735">
        <v>0</v>
      </c>
      <c r="CI735">
        <v>0</v>
      </c>
      <c r="CJ735">
        <v>0</v>
      </c>
      <c r="CK735">
        <v>2</v>
      </c>
      <c r="CL735">
        <v>0</v>
      </c>
      <c r="CM735">
        <v>2</v>
      </c>
      <c r="CN735">
        <v>0</v>
      </c>
      <c r="CO735">
        <v>7</v>
      </c>
      <c r="CP735" t="s">
        <v>119</v>
      </c>
      <c r="CQ735">
        <v>180</v>
      </c>
      <c r="CR735">
        <v>2</v>
      </c>
      <c r="CW735">
        <v>7952033</v>
      </c>
      <c r="CY735">
        <v>1</v>
      </c>
      <c r="CZ735">
        <v>0</v>
      </c>
      <c r="DA735">
        <v>1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</row>
    <row r="736" spans="1:113" x14ac:dyDescent="0.3">
      <c r="A736" t="str">
        <f>"02/08/2021 20:15:40.803"</f>
        <v>02/08/2021 20:15:40.803</v>
      </c>
      <c r="C736" t="str">
        <f t="shared" si="35"/>
        <v>FFDFD7C0</v>
      </c>
      <c r="D736" t="s">
        <v>124</v>
      </c>
      <c r="E736">
        <v>13</v>
      </c>
      <c r="F736">
        <v>1013</v>
      </c>
      <c r="G736" t="s">
        <v>114</v>
      </c>
      <c r="J736" t="s">
        <v>125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>"20:15:43.117"</f>
        <v>20:15:43.117</v>
      </c>
      <c r="T736" t="str">
        <f>"20:15:42.717"</f>
        <v>20:15:42.717</v>
      </c>
      <c r="U736" t="str">
        <f t="shared" si="34"/>
        <v>AB01F4</v>
      </c>
      <c r="V736">
        <v>0</v>
      </c>
      <c r="W736">
        <v>0</v>
      </c>
      <c r="X736">
        <v>1</v>
      </c>
      <c r="Z736">
        <v>0</v>
      </c>
      <c r="AA736">
        <v>9</v>
      </c>
      <c r="AB736">
        <v>3</v>
      </c>
      <c r="AC736">
        <v>0</v>
      </c>
      <c r="AD736">
        <v>10</v>
      </c>
      <c r="AE736">
        <v>0</v>
      </c>
      <c r="AF736">
        <v>3</v>
      </c>
      <c r="AG736">
        <v>2</v>
      </c>
      <c r="AH736">
        <v>0</v>
      </c>
      <c r="AI736" t="s">
        <v>627</v>
      </c>
      <c r="AJ736">
        <v>39.643799999999999</v>
      </c>
      <c r="AK736" t="s">
        <v>628</v>
      </c>
      <c r="AL736">
        <v>-92.505548000000005</v>
      </c>
      <c r="AM736">
        <v>100</v>
      </c>
      <c r="AN736">
        <v>1700</v>
      </c>
      <c r="AO736" t="s">
        <v>118</v>
      </c>
      <c r="AP736">
        <v>-29</v>
      </c>
      <c r="AQ736">
        <v>131</v>
      </c>
      <c r="AR736">
        <v>0</v>
      </c>
      <c r="AZ736">
        <v>1200</v>
      </c>
      <c r="BA736">
        <v>1</v>
      </c>
      <c r="BB736" t="str">
        <f t="shared" si="36"/>
        <v xml:space="preserve">N8080G  </v>
      </c>
      <c r="BC736">
        <v>1</v>
      </c>
      <c r="BE736">
        <v>0</v>
      </c>
      <c r="BF736">
        <v>0</v>
      </c>
      <c r="BG736">
        <v>0</v>
      </c>
      <c r="BH736">
        <v>1675</v>
      </c>
      <c r="BI736">
        <v>1</v>
      </c>
      <c r="BJ736">
        <v>1</v>
      </c>
      <c r="BK736">
        <v>1</v>
      </c>
      <c r="BL736">
        <v>0</v>
      </c>
      <c r="BO736">
        <v>0</v>
      </c>
      <c r="BP736">
        <v>0</v>
      </c>
      <c r="BW736" t="str">
        <f>"20:15:43.118"</f>
        <v>20:15:43.118</v>
      </c>
      <c r="BZ736">
        <v>0</v>
      </c>
      <c r="CA736">
        <v>2016</v>
      </c>
      <c r="CB736">
        <v>224</v>
      </c>
      <c r="CD736">
        <v>1</v>
      </c>
      <c r="CE736">
        <v>0</v>
      </c>
      <c r="CF736">
        <v>0</v>
      </c>
      <c r="CG736">
        <v>1</v>
      </c>
      <c r="CH736">
        <v>0</v>
      </c>
      <c r="CI736">
        <v>0</v>
      </c>
      <c r="CJ736">
        <v>0</v>
      </c>
      <c r="CK736">
        <v>2</v>
      </c>
      <c r="CL736">
        <v>0</v>
      </c>
      <c r="CM736">
        <v>2</v>
      </c>
      <c r="CN736">
        <v>0</v>
      </c>
      <c r="CO736">
        <v>7</v>
      </c>
      <c r="CP736" t="s">
        <v>119</v>
      </c>
      <c r="CQ736">
        <v>180</v>
      </c>
      <c r="CR736">
        <v>2</v>
      </c>
      <c r="CW736">
        <v>7952033</v>
      </c>
      <c r="CY736">
        <v>1</v>
      </c>
      <c r="CZ736">
        <v>0</v>
      </c>
      <c r="DA736">
        <v>1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</row>
    <row r="737" spans="1:113" x14ac:dyDescent="0.3">
      <c r="A737" t="str">
        <f>"02/08/2021 20:15:41.713"</f>
        <v>02/08/2021 20:15:41.713</v>
      </c>
      <c r="C737" t="str">
        <f t="shared" si="35"/>
        <v>FFDFD7C0</v>
      </c>
      <c r="D737" t="s">
        <v>113</v>
      </c>
      <c r="E737">
        <v>6</v>
      </c>
      <c r="H737">
        <v>165</v>
      </c>
      <c r="I737" t="s">
        <v>114</v>
      </c>
      <c r="J737" t="s">
        <v>115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>"20:15:44.023"</f>
        <v>20:15:44.023</v>
      </c>
      <c r="T737" t="str">
        <f>"20:15:41.623"</f>
        <v>20:15:41.623</v>
      </c>
      <c r="U737" t="str">
        <f t="shared" si="34"/>
        <v>AB01F4</v>
      </c>
      <c r="V737">
        <v>0</v>
      </c>
      <c r="W737">
        <v>0</v>
      </c>
      <c r="X737">
        <v>1</v>
      </c>
      <c r="Z737">
        <v>0</v>
      </c>
      <c r="AA737">
        <v>9</v>
      </c>
      <c r="AB737">
        <v>3</v>
      </c>
      <c r="AC737">
        <v>0</v>
      </c>
      <c r="AD737">
        <v>10</v>
      </c>
      <c r="AE737">
        <v>0</v>
      </c>
      <c r="AF737">
        <v>3</v>
      </c>
      <c r="AG737">
        <v>2</v>
      </c>
      <c r="AH737">
        <v>0</v>
      </c>
      <c r="AI737" t="s">
        <v>629</v>
      </c>
      <c r="AJ737">
        <v>39.644357999999997</v>
      </c>
      <c r="AK737" t="s">
        <v>630</v>
      </c>
      <c r="AL737">
        <v>-92.505741</v>
      </c>
      <c r="AM737">
        <v>100</v>
      </c>
      <c r="AN737">
        <v>1700</v>
      </c>
      <c r="AO737" t="s">
        <v>118</v>
      </c>
      <c r="AP737">
        <v>-29</v>
      </c>
      <c r="AQ737">
        <v>131</v>
      </c>
      <c r="AR737">
        <v>0</v>
      </c>
      <c r="AZ737">
        <v>1200</v>
      </c>
      <c r="BA737">
        <v>1</v>
      </c>
      <c r="BB737" t="str">
        <f t="shared" si="36"/>
        <v xml:space="preserve">N8080G  </v>
      </c>
      <c r="BC737">
        <v>1</v>
      </c>
      <c r="BE737">
        <v>0</v>
      </c>
      <c r="BF737">
        <v>0</v>
      </c>
      <c r="BG737">
        <v>0</v>
      </c>
      <c r="BH737">
        <v>1675</v>
      </c>
      <c r="BI737">
        <v>1</v>
      </c>
      <c r="BJ737">
        <v>1</v>
      </c>
      <c r="BK737">
        <v>1</v>
      </c>
      <c r="BL737">
        <v>0</v>
      </c>
      <c r="BO737">
        <v>0</v>
      </c>
      <c r="BP737">
        <v>0</v>
      </c>
      <c r="BW737" t="str">
        <f>"20:15:44.031"</f>
        <v>20:15:44.031</v>
      </c>
      <c r="BZ737">
        <v>0</v>
      </c>
      <c r="CA737">
        <v>2016</v>
      </c>
      <c r="CB737">
        <v>224</v>
      </c>
      <c r="CD737">
        <v>1</v>
      </c>
      <c r="CE737">
        <v>0</v>
      </c>
      <c r="CF737">
        <v>0</v>
      </c>
      <c r="CG737">
        <v>1</v>
      </c>
      <c r="CH737">
        <v>0</v>
      </c>
      <c r="CI737">
        <v>0</v>
      </c>
      <c r="CJ737">
        <v>0</v>
      </c>
      <c r="CK737">
        <v>2</v>
      </c>
      <c r="CL737">
        <v>0</v>
      </c>
      <c r="CM737">
        <v>2</v>
      </c>
      <c r="CN737">
        <v>0</v>
      </c>
      <c r="CO737">
        <v>2</v>
      </c>
      <c r="CP737" t="s">
        <v>119</v>
      </c>
      <c r="CQ737">
        <v>559</v>
      </c>
      <c r="CR737">
        <v>0</v>
      </c>
      <c r="CW737">
        <v>10427043</v>
      </c>
      <c r="CY737">
        <v>1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</row>
    <row r="738" spans="1:113" x14ac:dyDescent="0.3">
      <c r="A738" t="str">
        <f>"02/08/2021 20:15:41.713"</f>
        <v>02/08/2021 20:15:41.713</v>
      </c>
      <c r="C738" t="str">
        <f t="shared" si="35"/>
        <v>FFDFD7C0</v>
      </c>
      <c r="D738" t="s">
        <v>124</v>
      </c>
      <c r="E738">
        <v>13</v>
      </c>
      <c r="F738">
        <v>1013</v>
      </c>
      <c r="G738" t="s">
        <v>114</v>
      </c>
      <c r="J738" t="s">
        <v>125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>"20:15:44.023"</f>
        <v>20:15:44.023</v>
      </c>
      <c r="T738" t="str">
        <f>"20:15:41.623"</f>
        <v>20:15:41.623</v>
      </c>
      <c r="U738" t="str">
        <f t="shared" si="34"/>
        <v>AB01F4</v>
      </c>
      <c r="V738">
        <v>0</v>
      </c>
      <c r="W738">
        <v>0</v>
      </c>
      <c r="X738">
        <v>1</v>
      </c>
      <c r="Z738">
        <v>0</v>
      </c>
      <c r="AA738">
        <v>9</v>
      </c>
      <c r="AB738">
        <v>3</v>
      </c>
      <c r="AC738">
        <v>0</v>
      </c>
      <c r="AD738">
        <v>10</v>
      </c>
      <c r="AE738">
        <v>0</v>
      </c>
      <c r="AF738">
        <v>3</v>
      </c>
      <c r="AG738">
        <v>2</v>
      </c>
      <c r="AH738">
        <v>0</v>
      </c>
      <c r="AI738" t="s">
        <v>629</v>
      </c>
      <c r="AJ738">
        <v>39.644357999999997</v>
      </c>
      <c r="AK738" t="s">
        <v>630</v>
      </c>
      <c r="AL738">
        <v>-92.505741</v>
      </c>
      <c r="AM738">
        <v>100</v>
      </c>
      <c r="AN738">
        <v>1700</v>
      </c>
      <c r="AO738" t="s">
        <v>118</v>
      </c>
      <c r="AP738">
        <v>-29</v>
      </c>
      <c r="AQ738">
        <v>131</v>
      </c>
      <c r="AR738">
        <v>0</v>
      </c>
      <c r="AZ738">
        <v>1200</v>
      </c>
      <c r="BA738">
        <v>1</v>
      </c>
      <c r="BB738" t="str">
        <f t="shared" si="36"/>
        <v xml:space="preserve">N8080G  </v>
      </c>
      <c r="BC738">
        <v>1</v>
      </c>
      <c r="BE738">
        <v>0</v>
      </c>
      <c r="BF738">
        <v>0</v>
      </c>
      <c r="BG738">
        <v>0</v>
      </c>
      <c r="BH738">
        <v>1675</v>
      </c>
      <c r="BI738">
        <v>1</v>
      </c>
      <c r="BJ738">
        <v>1</v>
      </c>
      <c r="BK738">
        <v>1</v>
      </c>
      <c r="BL738">
        <v>0</v>
      </c>
      <c r="BO738">
        <v>0</v>
      </c>
      <c r="BP738">
        <v>0</v>
      </c>
      <c r="BW738" t="str">
        <f>"20:15:44.031"</f>
        <v>20:15:44.031</v>
      </c>
      <c r="BZ738">
        <v>0</v>
      </c>
      <c r="CA738">
        <v>2016</v>
      </c>
      <c r="CB738">
        <v>224</v>
      </c>
      <c r="CD738">
        <v>1</v>
      </c>
      <c r="CE738">
        <v>0</v>
      </c>
      <c r="CF738">
        <v>0</v>
      </c>
      <c r="CG738">
        <v>1</v>
      </c>
      <c r="CH738">
        <v>0</v>
      </c>
      <c r="CI738">
        <v>0</v>
      </c>
      <c r="CJ738">
        <v>0</v>
      </c>
      <c r="CK738">
        <v>2</v>
      </c>
      <c r="CL738">
        <v>0</v>
      </c>
      <c r="CM738">
        <v>2</v>
      </c>
      <c r="CN738">
        <v>0</v>
      </c>
      <c r="CO738">
        <v>2</v>
      </c>
      <c r="CP738" t="s">
        <v>119</v>
      </c>
      <c r="CQ738">
        <v>559</v>
      </c>
      <c r="CR738">
        <v>0</v>
      </c>
      <c r="CW738">
        <v>10427043</v>
      </c>
      <c r="CY738">
        <v>1</v>
      </c>
      <c r="CZ738">
        <v>0</v>
      </c>
      <c r="DA738">
        <v>1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</row>
    <row r="739" spans="1:113" x14ac:dyDescent="0.3">
      <c r="A739" t="str">
        <f>"02/08/2021 20:15:41.713"</f>
        <v>02/08/2021 20:15:41.713</v>
      </c>
      <c r="C739" t="str">
        <f t="shared" si="35"/>
        <v>FFDFD7C0</v>
      </c>
      <c r="D739" t="s">
        <v>141</v>
      </c>
      <c r="E739">
        <v>17</v>
      </c>
      <c r="H739">
        <v>256</v>
      </c>
      <c r="I739" t="s">
        <v>142</v>
      </c>
      <c r="J739" t="s">
        <v>143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>"20:15:44.023"</f>
        <v>20:15:44.023</v>
      </c>
      <c r="T739" t="str">
        <f>"20:15:41.623"</f>
        <v>20:15:41.623</v>
      </c>
      <c r="U739" t="str">
        <f t="shared" si="34"/>
        <v>AB01F4</v>
      </c>
      <c r="V739">
        <v>0</v>
      </c>
      <c r="W739">
        <v>0</v>
      </c>
      <c r="X739">
        <v>1</v>
      </c>
      <c r="Z739">
        <v>0</v>
      </c>
      <c r="AA739">
        <v>9</v>
      </c>
      <c r="AB739">
        <v>3</v>
      </c>
      <c r="AC739">
        <v>0</v>
      </c>
      <c r="AD739">
        <v>10</v>
      </c>
      <c r="AE739">
        <v>0</v>
      </c>
      <c r="AF739">
        <v>3</v>
      </c>
      <c r="AG739">
        <v>2</v>
      </c>
      <c r="AH739">
        <v>0</v>
      </c>
      <c r="AI739" t="s">
        <v>629</v>
      </c>
      <c r="AJ739">
        <v>39.644357999999997</v>
      </c>
      <c r="AK739" t="s">
        <v>630</v>
      </c>
      <c r="AL739">
        <v>-92.505741</v>
      </c>
      <c r="AM739">
        <v>100</v>
      </c>
      <c r="AN739">
        <v>1700</v>
      </c>
      <c r="AO739" t="s">
        <v>118</v>
      </c>
      <c r="AP739">
        <v>-29</v>
      </c>
      <c r="AQ739">
        <v>131</v>
      </c>
      <c r="AR739">
        <v>0</v>
      </c>
      <c r="AZ739">
        <v>1200</v>
      </c>
      <c r="BA739">
        <v>1</v>
      </c>
      <c r="BB739" t="str">
        <f t="shared" si="36"/>
        <v xml:space="preserve">N8080G  </v>
      </c>
      <c r="BC739">
        <v>1</v>
      </c>
      <c r="BE739">
        <v>0</v>
      </c>
      <c r="BF739">
        <v>0</v>
      </c>
      <c r="BG739">
        <v>0</v>
      </c>
      <c r="BH739">
        <v>1675</v>
      </c>
      <c r="BI739">
        <v>1</v>
      </c>
      <c r="BJ739">
        <v>1</v>
      </c>
      <c r="BK739">
        <v>1</v>
      </c>
      <c r="BL739">
        <v>0</v>
      </c>
      <c r="BO739">
        <v>0</v>
      </c>
      <c r="BP739">
        <v>0</v>
      </c>
      <c r="BW739" t="str">
        <f>"20:15:44.031"</f>
        <v>20:15:44.031</v>
      </c>
      <c r="BZ739">
        <v>0</v>
      </c>
      <c r="CA739">
        <v>2016</v>
      </c>
      <c r="CB739">
        <v>224</v>
      </c>
      <c r="CD739">
        <v>1</v>
      </c>
      <c r="CE739">
        <v>0</v>
      </c>
      <c r="CF739">
        <v>0</v>
      </c>
      <c r="CG739">
        <v>1</v>
      </c>
      <c r="CH739">
        <v>0</v>
      </c>
      <c r="CI739">
        <v>0</v>
      </c>
      <c r="CJ739">
        <v>0</v>
      </c>
      <c r="CK739">
        <v>2</v>
      </c>
      <c r="CL739">
        <v>0</v>
      </c>
      <c r="CM739">
        <v>2</v>
      </c>
      <c r="CN739">
        <v>0</v>
      </c>
      <c r="CO739">
        <v>2</v>
      </c>
      <c r="CP739" t="s">
        <v>119</v>
      </c>
      <c r="CQ739">
        <v>559</v>
      </c>
      <c r="CR739">
        <v>0</v>
      </c>
      <c r="CW739">
        <v>10427043</v>
      </c>
      <c r="CY739">
        <v>1</v>
      </c>
      <c r="CZ739">
        <v>0</v>
      </c>
      <c r="DA739">
        <v>1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</row>
    <row r="740" spans="1:113" x14ac:dyDescent="0.3">
      <c r="A740" t="str">
        <f>"02/08/2021 20:15:43.025"</f>
        <v>02/08/2021 20:15:43.025</v>
      </c>
      <c r="C740" t="str">
        <f t="shared" si="35"/>
        <v>FFDFD7C0</v>
      </c>
      <c r="D740" t="s">
        <v>124</v>
      </c>
      <c r="E740">
        <v>13</v>
      </c>
      <c r="F740">
        <v>1013</v>
      </c>
      <c r="G740" t="s">
        <v>114</v>
      </c>
      <c r="J740" t="s">
        <v>125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>"20:15:45.367"</f>
        <v>20:15:45.367</v>
      </c>
      <c r="T740" t="str">
        <f>"20:15:41.667"</f>
        <v>20:15:41.667</v>
      </c>
      <c r="U740" t="str">
        <f t="shared" si="34"/>
        <v>AB01F4</v>
      </c>
      <c r="V740">
        <v>0</v>
      </c>
      <c r="W740">
        <v>0</v>
      </c>
      <c r="X740">
        <v>1</v>
      </c>
      <c r="Z740">
        <v>0</v>
      </c>
      <c r="AA740">
        <v>9</v>
      </c>
      <c r="AB740">
        <v>3</v>
      </c>
      <c r="AC740">
        <v>0</v>
      </c>
      <c r="AD740">
        <v>10</v>
      </c>
      <c r="AE740">
        <v>0</v>
      </c>
      <c r="AF740">
        <v>3</v>
      </c>
      <c r="AG740">
        <v>2</v>
      </c>
      <c r="AH740">
        <v>0</v>
      </c>
      <c r="AI740" t="s">
        <v>631</v>
      </c>
      <c r="AJ740">
        <v>39.645130999999999</v>
      </c>
      <c r="AK740" t="s">
        <v>632</v>
      </c>
      <c r="AL740">
        <v>-92.505955999999998</v>
      </c>
      <c r="AM740">
        <v>100</v>
      </c>
      <c r="AN740">
        <v>1700</v>
      </c>
      <c r="AO740" t="s">
        <v>118</v>
      </c>
      <c r="AP740">
        <v>-29</v>
      </c>
      <c r="AQ740">
        <v>131</v>
      </c>
      <c r="AR740">
        <v>0</v>
      </c>
      <c r="AZ740">
        <v>1200</v>
      </c>
      <c r="BA740">
        <v>1</v>
      </c>
      <c r="BB740" t="str">
        <f t="shared" si="36"/>
        <v xml:space="preserve">N8080G  </v>
      </c>
      <c r="BC740">
        <v>1</v>
      </c>
      <c r="BE740">
        <v>0</v>
      </c>
      <c r="BF740">
        <v>0</v>
      </c>
      <c r="BG740">
        <v>0</v>
      </c>
      <c r="BH740">
        <v>1675</v>
      </c>
      <c r="BI740">
        <v>1</v>
      </c>
      <c r="BJ740">
        <v>1</v>
      </c>
      <c r="BK740">
        <v>1</v>
      </c>
      <c r="BL740">
        <v>0</v>
      </c>
      <c r="BO740">
        <v>0</v>
      </c>
      <c r="BP740">
        <v>0</v>
      </c>
      <c r="BW740" t="str">
        <f>"20:15:45.371"</f>
        <v>20:15:45.371</v>
      </c>
      <c r="BZ740">
        <v>0</v>
      </c>
      <c r="CA740">
        <v>2016</v>
      </c>
      <c r="CB740">
        <v>224</v>
      </c>
      <c r="CD740">
        <v>1</v>
      </c>
      <c r="CE740">
        <v>0</v>
      </c>
      <c r="CF740">
        <v>0</v>
      </c>
      <c r="CG740">
        <v>1</v>
      </c>
      <c r="CH740">
        <v>0</v>
      </c>
      <c r="CI740">
        <v>0</v>
      </c>
      <c r="CJ740">
        <v>0</v>
      </c>
      <c r="CK740">
        <v>2</v>
      </c>
      <c r="CL740">
        <v>0</v>
      </c>
      <c r="CM740">
        <v>2</v>
      </c>
      <c r="CN740">
        <v>0</v>
      </c>
      <c r="CO740">
        <v>2</v>
      </c>
      <c r="CP740" t="s">
        <v>119</v>
      </c>
      <c r="CQ740">
        <v>559</v>
      </c>
      <c r="CR740">
        <v>0</v>
      </c>
      <c r="CW740">
        <v>10427259</v>
      </c>
      <c r="CY740">
        <v>1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</row>
    <row r="741" spans="1:113" x14ac:dyDescent="0.3">
      <c r="A741" t="str">
        <f>"02/08/2021 20:15:43.025"</f>
        <v>02/08/2021 20:15:43.025</v>
      </c>
      <c r="C741" t="str">
        <f t="shared" si="35"/>
        <v>FFDFD7C0</v>
      </c>
      <c r="D741" t="s">
        <v>141</v>
      </c>
      <c r="E741">
        <v>17</v>
      </c>
      <c r="H741">
        <v>256</v>
      </c>
      <c r="I741" t="s">
        <v>142</v>
      </c>
      <c r="J741" t="s">
        <v>143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>"20:15:45.367"</f>
        <v>20:15:45.367</v>
      </c>
      <c r="T741" t="str">
        <f>"20:15:41.667"</f>
        <v>20:15:41.667</v>
      </c>
      <c r="U741" t="str">
        <f t="shared" si="34"/>
        <v>AB01F4</v>
      </c>
      <c r="V741">
        <v>0</v>
      </c>
      <c r="W741">
        <v>0</v>
      </c>
      <c r="X741">
        <v>1</v>
      </c>
      <c r="Z741">
        <v>0</v>
      </c>
      <c r="AA741">
        <v>9</v>
      </c>
      <c r="AB741">
        <v>3</v>
      </c>
      <c r="AC741">
        <v>0</v>
      </c>
      <c r="AD741">
        <v>10</v>
      </c>
      <c r="AE741">
        <v>0</v>
      </c>
      <c r="AF741">
        <v>3</v>
      </c>
      <c r="AG741">
        <v>2</v>
      </c>
      <c r="AH741">
        <v>0</v>
      </c>
      <c r="AI741" t="s">
        <v>631</v>
      </c>
      <c r="AJ741">
        <v>39.645130999999999</v>
      </c>
      <c r="AK741" t="s">
        <v>632</v>
      </c>
      <c r="AL741">
        <v>-92.505955999999998</v>
      </c>
      <c r="AM741">
        <v>100</v>
      </c>
      <c r="AN741">
        <v>1700</v>
      </c>
      <c r="AO741" t="s">
        <v>118</v>
      </c>
      <c r="AP741">
        <v>-29</v>
      </c>
      <c r="AQ741">
        <v>131</v>
      </c>
      <c r="AR741">
        <v>0</v>
      </c>
      <c r="AZ741">
        <v>1200</v>
      </c>
      <c r="BA741">
        <v>1</v>
      </c>
      <c r="BB741" t="str">
        <f t="shared" si="36"/>
        <v xml:space="preserve">N8080G  </v>
      </c>
      <c r="BC741">
        <v>1</v>
      </c>
      <c r="BE741">
        <v>0</v>
      </c>
      <c r="BF741">
        <v>0</v>
      </c>
      <c r="BG741">
        <v>0</v>
      </c>
      <c r="BH741">
        <v>1675</v>
      </c>
      <c r="BI741">
        <v>1</v>
      </c>
      <c r="BJ741">
        <v>1</v>
      </c>
      <c r="BK741">
        <v>1</v>
      </c>
      <c r="BL741">
        <v>0</v>
      </c>
      <c r="BO741">
        <v>0</v>
      </c>
      <c r="BP741">
        <v>0</v>
      </c>
      <c r="BW741" t="str">
        <f>"20:15:45.371"</f>
        <v>20:15:45.371</v>
      </c>
      <c r="BZ741">
        <v>0</v>
      </c>
      <c r="CA741">
        <v>2016</v>
      </c>
      <c r="CB741">
        <v>224</v>
      </c>
      <c r="CD741">
        <v>1</v>
      </c>
      <c r="CE741">
        <v>0</v>
      </c>
      <c r="CF741">
        <v>0</v>
      </c>
      <c r="CG741">
        <v>1</v>
      </c>
      <c r="CH741">
        <v>0</v>
      </c>
      <c r="CI741">
        <v>0</v>
      </c>
      <c r="CJ741">
        <v>0</v>
      </c>
      <c r="CK741">
        <v>2</v>
      </c>
      <c r="CL741">
        <v>0</v>
      </c>
      <c r="CM741">
        <v>2</v>
      </c>
      <c r="CN741">
        <v>0</v>
      </c>
      <c r="CO741">
        <v>2</v>
      </c>
      <c r="CP741" t="s">
        <v>119</v>
      </c>
      <c r="CQ741">
        <v>559</v>
      </c>
      <c r="CR741">
        <v>0</v>
      </c>
      <c r="CW741">
        <v>10427259</v>
      </c>
      <c r="CY741">
        <v>1</v>
      </c>
      <c r="CZ741">
        <v>0</v>
      </c>
      <c r="DA741">
        <v>1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</row>
    <row r="742" spans="1:113" x14ac:dyDescent="0.3">
      <c r="A742" t="str">
        <f>"02/08/2021 20:15:43.025"</f>
        <v>02/08/2021 20:15:43.025</v>
      </c>
      <c r="C742" t="str">
        <f t="shared" si="35"/>
        <v>FFDFD7C0</v>
      </c>
      <c r="D742" t="s">
        <v>113</v>
      </c>
      <c r="E742">
        <v>6</v>
      </c>
      <c r="H742">
        <v>165</v>
      </c>
      <c r="I742" t="s">
        <v>114</v>
      </c>
      <c r="J742" t="s">
        <v>115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>"20:15:45.367"</f>
        <v>20:15:45.367</v>
      </c>
      <c r="T742" t="str">
        <f>"20:15:41.667"</f>
        <v>20:15:41.667</v>
      </c>
      <c r="U742" t="str">
        <f t="shared" si="34"/>
        <v>AB01F4</v>
      </c>
      <c r="V742">
        <v>0</v>
      </c>
      <c r="W742">
        <v>0</v>
      </c>
      <c r="X742">
        <v>1</v>
      </c>
      <c r="Z742">
        <v>0</v>
      </c>
      <c r="AA742">
        <v>9</v>
      </c>
      <c r="AB742">
        <v>3</v>
      </c>
      <c r="AC742">
        <v>0</v>
      </c>
      <c r="AD742">
        <v>10</v>
      </c>
      <c r="AE742">
        <v>0</v>
      </c>
      <c r="AF742">
        <v>3</v>
      </c>
      <c r="AG742">
        <v>2</v>
      </c>
      <c r="AH742">
        <v>0</v>
      </c>
      <c r="AI742" t="s">
        <v>631</v>
      </c>
      <c r="AJ742">
        <v>39.645130999999999</v>
      </c>
      <c r="AK742" t="s">
        <v>632</v>
      </c>
      <c r="AL742">
        <v>-92.505955999999998</v>
      </c>
      <c r="AM742">
        <v>100</v>
      </c>
      <c r="AN742">
        <v>1700</v>
      </c>
      <c r="AO742" t="s">
        <v>118</v>
      </c>
      <c r="AP742">
        <v>-29</v>
      </c>
      <c r="AQ742">
        <v>131</v>
      </c>
      <c r="AR742">
        <v>0</v>
      </c>
      <c r="AZ742">
        <v>1200</v>
      </c>
      <c r="BA742">
        <v>1</v>
      </c>
      <c r="BB742" t="str">
        <f t="shared" si="36"/>
        <v xml:space="preserve">N8080G  </v>
      </c>
      <c r="BC742">
        <v>1</v>
      </c>
      <c r="BE742">
        <v>0</v>
      </c>
      <c r="BF742">
        <v>0</v>
      </c>
      <c r="BG742">
        <v>0</v>
      </c>
      <c r="BH742">
        <v>1675</v>
      </c>
      <c r="BI742">
        <v>1</v>
      </c>
      <c r="BJ742">
        <v>1</v>
      </c>
      <c r="BK742">
        <v>1</v>
      </c>
      <c r="BL742">
        <v>0</v>
      </c>
      <c r="BO742">
        <v>0</v>
      </c>
      <c r="BP742">
        <v>0</v>
      </c>
      <c r="BW742" t="str">
        <f>"20:15:45.371"</f>
        <v>20:15:45.371</v>
      </c>
      <c r="BZ742">
        <v>0</v>
      </c>
      <c r="CA742">
        <v>2016</v>
      </c>
      <c r="CB742">
        <v>224</v>
      </c>
      <c r="CD742">
        <v>1</v>
      </c>
      <c r="CE742">
        <v>0</v>
      </c>
      <c r="CF742">
        <v>0</v>
      </c>
      <c r="CG742">
        <v>1</v>
      </c>
      <c r="CH742">
        <v>0</v>
      </c>
      <c r="CI742">
        <v>0</v>
      </c>
      <c r="CJ742">
        <v>0</v>
      </c>
      <c r="CK742">
        <v>2</v>
      </c>
      <c r="CL742">
        <v>0</v>
      </c>
      <c r="CM742">
        <v>2</v>
      </c>
      <c r="CN742">
        <v>0</v>
      </c>
      <c r="CO742">
        <v>2</v>
      </c>
      <c r="CP742" t="s">
        <v>119</v>
      </c>
      <c r="CQ742">
        <v>559</v>
      </c>
      <c r="CR742">
        <v>0</v>
      </c>
      <c r="CW742">
        <v>10427259</v>
      </c>
      <c r="CY742">
        <v>1</v>
      </c>
      <c r="CZ742">
        <v>0</v>
      </c>
      <c r="DA742">
        <v>1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</row>
    <row r="743" spans="1:113" x14ac:dyDescent="0.3">
      <c r="A743" t="str">
        <f>"02/08/2021 20:15:46.127"</f>
        <v>02/08/2021 20:15:46.127</v>
      </c>
      <c r="C743" t="str">
        <f t="shared" si="35"/>
        <v>FFDFD7C0</v>
      </c>
      <c r="D743" t="s">
        <v>141</v>
      </c>
      <c r="E743">
        <v>17</v>
      </c>
      <c r="H743">
        <v>256</v>
      </c>
      <c r="I743" t="s">
        <v>142</v>
      </c>
      <c r="J743" t="s">
        <v>143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>"20:15:48.477"</f>
        <v>20:15:48.477</v>
      </c>
      <c r="T743" t="str">
        <f>"20:15:48.077"</f>
        <v>20:15:48.077</v>
      </c>
      <c r="U743" t="str">
        <f t="shared" si="34"/>
        <v>AB01F4</v>
      </c>
      <c r="V743">
        <v>0</v>
      </c>
      <c r="W743">
        <v>0</v>
      </c>
      <c r="X743">
        <v>1</v>
      </c>
      <c r="Z743">
        <v>0</v>
      </c>
      <c r="AA743">
        <v>9</v>
      </c>
      <c r="AB743">
        <v>3</v>
      </c>
      <c r="AC743">
        <v>0</v>
      </c>
      <c r="AD743">
        <v>10</v>
      </c>
      <c r="AE743">
        <v>0</v>
      </c>
      <c r="AF743">
        <v>3</v>
      </c>
      <c r="AG743">
        <v>2</v>
      </c>
      <c r="AH743">
        <v>0</v>
      </c>
      <c r="AI743" t="s">
        <v>633</v>
      </c>
      <c r="AJ743">
        <v>39.646996999999999</v>
      </c>
      <c r="AK743" t="s">
        <v>634</v>
      </c>
      <c r="AL743">
        <v>-92.506535</v>
      </c>
      <c r="AM743">
        <v>100</v>
      </c>
      <c r="AN743">
        <v>1700</v>
      </c>
      <c r="AO743" t="s">
        <v>118</v>
      </c>
      <c r="AP743">
        <v>-33</v>
      </c>
      <c r="AQ743">
        <v>130</v>
      </c>
      <c r="AR743">
        <v>0</v>
      </c>
      <c r="AZ743">
        <v>1200</v>
      </c>
      <c r="BA743">
        <v>1</v>
      </c>
      <c r="BB743" t="str">
        <f t="shared" si="36"/>
        <v xml:space="preserve">N8080G  </v>
      </c>
      <c r="BC743">
        <v>1</v>
      </c>
      <c r="BE743">
        <v>0</v>
      </c>
      <c r="BF743">
        <v>0</v>
      </c>
      <c r="BG743">
        <v>0</v>
      </c>
      <c r="BH743">
        <v>1675</v>
      </c>
      <c r="BI743">
        <v>1</v>
      </c>
      <c r="BJ743">
        <v>1</v>
      </c>
      <c r="BK743">
        <v>1</v>
      </c>
      <c r="BL743">
        <v>0</v>
      </c>
      <c r="BO743">
        <v>0</v>
      </c>
      <c r="BP743">
        <v>0</v>
      </c>
      <c r="BW743" t="str">
        <f>"20:15:48.479"</f>
        <v>20:15:48.479</v>
      </c>
      <c r="BZ743">
        <v>0</v>
      </c>
      <c r="CA743">
        <v>2016</v>
      </c>
      <c r="CB743">
        <v>224</v>
      </c>
      <c r="CD743">
        <v>1</v>
      </c>
      <c r="CE743">
        <v>0</v>
      </c>
      <c r="CF743">
        <v>0</v>
      </c>
      <c r="CG743">
        <v>1</v>
      </c>
      <c r="CH743">
        <v>0</v>
      </c>
      <c r="CI743">
        <v>0</v>
      </c>
      <c r="CJ743">
        <v>0</v>
      </c>
      <c r="CK743">
        <v>2</v>
      </c>
      <c r="CL743">
        <v>0</v>
      </c>
      <c r="CM743">
        <v>2</v>
      </c>
      <c r="CN743">
        <v>0</v>
      </c>
      <c r="CO743">
        <v>2</v>
      </c>
      <c r="CP743" t="s">
        <v>119</v>
      </c>
      <c r="CQ743">
        <v>559</v>
      </c>
      <c r="CR743">
        <v>0</v>
      </c>
      <c r="CW743">
        <v>10427762</v>
      </c>
      <c r="CY743">
        <v>1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</row>
    <row r="744" spans="1:113" x14ac:dyDescent="0.3">
      <c r="A744" t="str">
        <f>"02/08/2021 20:15:46.127"</f>
        <v>02/08/2021 20:15:46.127</v>
      </c>
      <c r="C744" t="str">
        <f t="shared" si="35"/>
        <v>FFDFD7C0</v>
      </c>
      <c r="D744" t="s">
        <v>124</v>
      </c>
      <c r="E744">
        <v>13</v>
      </c>
      <c r="F744">
        <v>1013</v>
      </c>
      <c r="G744" t="s">
        <v>114</v>
      </c>
      <c r="J744" t="s">
        <v>125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>"20:15:48.477"</f>
        <v>20:15:48.477</v>
      </c>
      <c r="T744" t="str">
        <f>"20:15:48.077"</f>
        <v>20:15:48.077</v>
      </c>
      <c r="U744" t="str">
        <f t="shared" si="34"/>
        <v>AB01F4</v>
      </c>
      <c r="V744">
        <v>0</v>
      </c>
      <c r="W744">
        <v>0</v>
      </c>
      <c r="X744">
        <v>1</v>
      </c>
      <c r="Z744">
        <v>0</v>
      </c>
      <c r="AA744">
        <v>9</v>
      </c>
      <c r="AB744">
        <v>3</v>
      </c>
      <c r="AC744">
        <v>0</v>
      </c>
      <c r="AD744">
        <v>10</v>
      </c>
      <c r="AE744">
        <v>0</v>
      </c>
      <c r="AF744">
        <v>3</v>
      </c>
      <c r="AG744">
        <v>2</v>
      </c>
      <c r="AH744">
        <v>0</v>
      </c>
      <c r="AI744" t="s">
        <v>633</v>
      </c>
      <c r="AJ744">
        <v>39.646996999999999</v>
      </c>
      <c r="AK744" t="s">
        <v>634</v>
      </c>
      <c r="AL744">
        <v>-92.506535</v>
      </c>
      <c r="AM744">
        <v>100</v>
      </c>
      <c r="AN744">
        <v>1700</v>
      </c>
      <c r="AO744" t="s">
        <v>118</v>
      </c>
      <c r="AP744">
        <v>-33</v>
      </c>
      <c r="AQ744">
        <v>130</v>
      </c>
      <c r="AR744">
        <v>0</v>
      </c>
      <c r="AZ744">
        <v>1200</v>
      </c>
      <c r="BA744">
        <v>1</v>
      </c>
      <c r="BB744" t="str">
        <f t="shared" si="36"/>
        <v xml:space="preserve">N8080G  </v>
      </c>
      <c r="BC744">
        <v>1</v>
      </c>
      <c r="BE744">
        <v>0</v>
      </c>
      <c r="BF744">
        <v>0</v>
      </c>
      <c r="BG744">
        <v>0</v>
      </c>
      <c r="BH744">
        <v>1675</v>
      </c>
      <c r="BI744">
        <v>1</v>
      </c>
      <c r="BJ744">
        <v>1</v>
      </c>
      <c r="BK744">
        <v>1</v>
      </c>
      <c r="BL744">
        <v>0</v>
      </c>
      <c r="BO744">
        <v>0</v>
      </c>
      <c r="BP744">
        <v>0</v>
      </c>
      <c r="BW744" t="str">
        <f>"20:15:48.479"</f>
        <v>20:15:48.479</v>
      </c>
      <c r="BZ744">
        <v>0</v>
      </c>
      <c r="CA744">
        <v>2016</v>
      </c>
      <c r="CB744">
        <v>224</v>
      </c>
      <c r="CD744">
        <v>1</v>
      </c>
      <c r="CE744">
        <v>0</v>
      </c>
      <c r="CF744">
        <v>0</v>
      </c>
      <c r="CG744">
        <v>1</v>
      </c>
      <c r="CH744">
        <v>0</v>
      </c>
      <c r="CI744">
        <v>0</v>
      </c>
      <c r="CJ744">
        <v>0</v>
      </c>
      <c r="CK744">
        <v>2</v>
      </c>
      <c r="CL744">
        <v>0</v>
      </c>
      <c r="CM744">
        <v>2</v>
      </c>
      <c r="CN744">
        <v>0</v>
      </c>
      <c r="CO744">
        <v>2</v>
      </c>
      <c r="CP744" t="s">
        <v>119</v>
      </c>
      <c r="CQ744">
        <v>559</v>
      </c>
      <c r="CR744">
        <v>0</v>
      </c>
      <c r="CW744">
        <v>10427762</v>
      </c>
      <c r="CY744">
        <v>1</v>
      </c>
      <c r="CZ744">
        <v>0</v>
      </c>
      <c r="DA744">
        <v>1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</row>
    <row r="745" spans="1:113" x14ac:dyDescent="0.3">
      <c r="A745" t="str">
        <f>"02/08/2021 20:15:46.127"</f>
        <v>02/08/2021 20:15:46.127</v>
      </c>
      <c r="C745" t="str">
        <f t="shared" si="35"/>
        <v>FFDFD7C0</v>
      </c>
      <c r="D745" t="s">
        <v>113</v>
      </c>
      <c r="E745">
        <v>6</v>
      </c>
      <c r="H745">
        <v>165</v>
      </c>
      <c r="I745" t="s">
        <v>114</v>
      </c>
      <c r="J745" t="s">
        <v>115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>"20:15:48.477"</f>
        <v>20:15:48.477</v>
      </c>
      <c r="T745" t="str">
        <f>"20:15:48.077"</f>
        <v>20:15:48.077</v>
      </c>
      <c r="U745" t="str">
        <f t="shared" si="34"/>
        <v>AB01F4</v>
      </c>
      <c r="V745">
        <v>0</v>
      </c>
      <c r="W745">
        <v>0</v>
      </c>
      <c r="X745">
        <v>1</v>
      </c>
      <c r="Z745">
        <v>0</v>
      </c>
      <c r="AA745">
        <v>9</v>
      </c>
      <c r="AB745">
        <v>3</v>
      </c>
      <c r="AC745">
        <v>0</v>
      </c>
      <c r="AD745">
        <v>10</v>
      </c>
      <c r="AE745">
        <v>0</v>
      </c>
      <c r="AF745">
        <v>3</v>
      </c>
      <c r="AG745">
        <v>2</v>
      </c>
      <c r="AH745">
        <v>0</v>
      </c>
      <c r="AI745" t="s">
        <v>633</v>
      </c>
      <c r="AJ745">
        <v>39.646996999999999</v>
      </c>
      <c r="AK745" t="s">
        <v>634</v>
      </c>
      <c r="AL745">
        <v>-92.506535</v>
      </c>
      <c r="AM745">
        <v>100</v>
      </c>
      <c r="AN745">
        <v>1700</v>
      </c>
      <c r="AO745" t="s">
        <v>118</v>
      </c>
      <c r="AP745">
        <v>-33</v>
      </c>
      <c r="AQ745">
        <v>130</v>
      </c>
      <c r="AR745">
        <v>0</v>
      </c>
      <c r="AZ745">
        <v>1200</v>
      </c>
      <c r="BA745">
        <v>1</v>
      </c>
      <c r="BB745" t="str">
        <f t="shared" si="36"/>
        <v xml:space="preserve">N8080G  </v>
      </c>
      <c r="BC745">
        <v>1</v>
      </c>
      <c r="BE745">
        <v>0</v>
      </c>
      <c r="BF745">
        <v>0</v>
      </c>
      <c r="BG745">
        <v>0</v>
      </c>
      <c r="BH745">
        <v>1675</v>
      </c>
      <c r="BI745">
        <v>1</v>
      </c>
      <c r="BJ745">
        <v>1</v>
      </c>
      <c r="BK745">
        <v>1</v>
      </c>
      <c r="BL745">
        <v>0</v>
      </c>
      <c r="BO745">
        <v>0</v>
      </c>
      <c r="BP745">
        <v>0</v>
      </c>
      <c r="BW745" t="str">
        <f>"20:15:48.479"</f>
        <v>20:15:48.479</v>
      </c>
      <c r="BZ745">
        <v>0</v>
      </c>
      <c r="CA745">
        <v>2016</v>
      </c>
      <c r="CB745">
        <v>224</v>
      </c>
      <c r="CD745">
        <v>1</v>
      </c>
      <c r="CE745">
        <v>0</v>
      </c>
      <c r="CF745">
        <v>0</v>
      </c>
      <c r="CG745">
        <v>1</v>
      </c>
      <c r="CH745">
        <v>0</v>
      </c>
      <c r="CI745">
        <v>0</v>
      </c>
      <c r="CJ745">
        <v>0</v>
      </c>
      <c r="CK745">
        <v>2</v>
      </c>
      <c r="CL745">
        <v>0</v>
      </c>
      <c r="CM745">
        <v>2</v>
      </c>
      <c r="CN745">
        <v>0</v>
      </c>
      <c r="CO745">
        <v>2</v>
      </c>
      <c r="CP745" t="s">
        <v>119</v>
      </c>
      <c r="CQ745">
        <v>559</v>
      </c>
      <c r="CR745">
        <v>0</v>
      </c>
      <c r="CW745">
        <v>10427762</v>
      </c>
      <c r="CY745">
        <v>1</v>
      </c>
      <c r="CZ745">
        <v>0</v>
      </c>
      <c r="DA745">
        <v>1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</row>
    <row r="746" spans="1:113" x14ac:dyDescent="0.3">
      <c r="A746" t="str">
        <f>"02/08/2021 20:15:47.171"</f>
        <v>02/08/2021 20:15:47.171</v>
      </c>
      <c r="C746" t="str">
        <f t="shared" si="35"/>
        <v>FFDFD7C0</v>
      </c>
      <c r="D746" t="s">
        <v>113</v>
      </c>
      <c r="E746">
        <v>6</v>
      </c>
      <c r="H746">
        <v>165</v>
      </c>
      <c r="I746" t="s">
        <v>114</v>
      </c>
      <c r="J746" t="s">
        <v>115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>"20:15:49.516"</f>
        <v>20:15:49.516</v>
      </c>
      <c r="T746" t="str">
        <f>"20:15:49.116"</f>
        <v>20:15:49.116</v>
      </c>
      <c r="U746" t="str">
        <f t="shared" si="34"/>
        <v>AB01F4</v>
      </c>
      <c r="V746">
        <v>0</v>
      </c>
      <c r="W746">
        <v>0</v>
      </c>
      <c r="X746">
        <v>1</v>
      </c>
      <c r="Z746">
        <v>0</v>
      </c>
      <c r="AA746">
        <v>9</v>
      </c>
      <c r="AB746">
        <v>3</v>
      </c>
      <c r="AC746">
        <v>0</v>
      </c>
      <c r="AD746">
        <v>10</v>
      </c>
      <c r="AE746">
        <v>0</v>
      </c>
      <c r="AF746">
        <v>3</v>
      </c>
      <c r="AG746">
        <v>2</v>
      </c>
      <c r="AH746">
        <v>0</v>
      </c>
      <c r="AI746" t="s">
        <v>635</v>
      </c>
      <c r="AJ746">
        <v>39.647641</v>
      </c>
      <c r="AK746" t="s">
        <v>636</v>
      </c>
      <c r="AL746">
        <v>-92.506793000000002</v>
      </c>
      <c r="AM746">
        <v>100</v>
      </c>
      <c r="AN746">
        <v>1700</v>
      </c>
      <c r="AO746" t="s">
        <v>118</v>
      </c>
      <c r="AP746">
        <v>-33</v>
      </c>
      <c r="AQ746">
        <v>130</v>
      </c>
      <c r="AR746">
        <v>0</v>
      </c>
      <c r="AZ746">
        <v>1200</v>
      </c>
      <c r="BA746">
        <v>1</v>
      </c>
      <c r="BB746" t="str">
        <f t="shared" si="36"/>
        <v xml:space="preserve">N8080G  </v>
      </c>
      <c r="BC746">
        <v>1</v>
      </c>
      <c r="BE746">
        <v>0</v>
      </c>
      <c r="BF746">
        <v>0</v>
      </c>
      <c r="BG746">
        <v>0</v>
      </c>
      <c r="BH746">
        <v>1675</v>
      </c>
      <c r="BI746">
        <v>1</v>
      </c>
      <c r="BJ746">
        <v>1</v>
      </c>
      <c r="BK746">
        <v>1</v>
      </c>
      <c r="BL746">
        <v>0</v>
      </c>
      <c r="BO746">
        <v>0</v>
      </c>
      <c r="BP746">
        <v>0</v>
      </c>
      <c r="BW746" t="str">
        <f>"20:15:49.518"</f>
        <v>20:15:49.518</v>
      </c>
      <c r="BZ746">
        <v>0</v>
      </c>
      <c r="CA746">
        <v>2016</v>
      </c>
      <c r="CB746">
        <v>224</v>
      </c>
      <c r="CD746">
        <v>1</v>
      </c>
      <c r="CE746">
        <v>0</v>
      </c>
      <c r="CF746">
        <v>0</v>
      </c>
      <c r="CG746">
        <v>1</v>
      </c>
      <c r="CH746">
        <v>0</v>
      </c>
      <c r="CI746">
        <v>0</v>
      </c>
      <c r="CJ746">
        <v>0</v>
      </c>
      <c r="CK746">
        <v>2</v>
      </c>
      <c r="CL746">
        <v>0</v>
      </c>
      <c r="CM746">
        <v>2</v>
      </c>
      <c r="CN746">
        <v>0</v>
      </c>
      <c r="CO746">
        <v>2</v>
      </c>
      <c r="CP746" t="s">
        <v>119</v>
      </c>
      <c r="CQ746">
        <v>559</v>
      </c>
      <c r="CR746">
        <v>0</v>
      </c>
      <c r="CW746">
        <v>10427928</v>
      </c>
      <c r="CY746">
        <v>1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</row>
    <row r="747" spans="1:113" x14ac:dyDescent="0.3">
      <c r="A747" t="str">
        <f>"02/08/2021 20:15:47.171"</f>
        <v>02/08/2021 20:15:47.171</v>
      </c>
      <c r="C747" t="str">
        <f t="shared" si="35"/>
        <v>FFDFD7C0</v>
      </c>
      <c r="D747" t="s">
        <v>141</v>
      </c>
      <c r="E747">
        <v>17</v>
      </c>
      <c r="H747">
        <v>256</v>
      </c>
      <c r="I747" t="s">
        <v>142</v>
      </c>
      <c r="J747" t="s">
        <v>143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>"20:15:49.516"</f>
        <v>20:15:49.516</v>
      </c>
      <c r="T747" t="str">
        <f>"20:15:49.116"</f>
        <v>20:15:49.116</v>
      </c>
      <c r="U747" t="str">
        <f t="shared" si="34"/>
        <v>AB01F4</v>
      </c>
      <c r="V747">
        <v>0</v>
      </c>
      <c r="W747">
        <v>0</v>
      </c>
      <c r="X747">
        <v>1</v>
      </c>
      <c r="Z747">
        <v>0</v>
      </c>
      <c r="AA747">
        <v>9</v>
      </c>
      <c r="AB747">
        <v>3</v>
      </c>
      <c r="AC747">
        <v>0</v>
      </c>
      <c r="AD747">
        <v>10</v>
      </c>
      <c r="AE747">
        <v>0</v>
      </c>
      <c r="AF747">
        <v>3</v>
      </c>
      <c r="AG747">
        <v>2</v>
      </c>
      <c r="AH747">
        <v>0</v>
      </c>
      <c r="AI747" t="s">
        <v>635</v>
      </c>
      <c r="AJ747">
        <v>39.647641</v>
      </c>
      <c r="AK747" t="s">
        <v>636</v>
      </c>
      <c r="AL747">
        <v>-92.506793000000002</v>
      </c>
      <c r="AM747">
        <v>100</v>
      </c>
      <c r="AN747">
        <v>1700</v>
      </c>
      <c r="AO747" t="s">
        <v>118</v>
      </c>
      <c r="AP747">
        <v>-33</v>
      </c>
      <c r="AQ747">
        <v>130</v>
      </c>
      <c r="AR747">
        <v>0</v>
      </c>
      <c r="AZ747">
        <v>1200</v>
      </c>
      <c r="BA747">
        <v>1</v>
      </c>
      <c r="BB747" t="str">
        <f t="shared" si="36"/>
        <v xml:space="preserve">N8080G  </v>
      </c>
      <c r="BC747">
        <v>1</v>
      </c>
      <c r="BE747">
        <v>0</v>
      </c>
      <c r="BF747">
        <v>0</v>
      </c>
      <c r="BG747">
        <v>0</v>
      </c>
      <c r="BH747">
        <v>1675</v>
      </c>
      <c r="BI747">
        <v>1</v>
      </c>
      <c r="BJ747">
        <v>1</v>
      </c>
      <c r="BK747">
        <v>1</v>
      </c>
      <c r="BL747">
        <v>0</v>
      </c>
      <c r="BO747">
        <v>0</v>
      </c>
      <c r="BP747">
        <v>0</v>
      </c>
      <c r="BW747" t="str">
        <f>"20:15:49.518"</f>
        <v>20:15:49.518</v>
      </c>
      <c r="BZ747">
        <v>0</v>
      </c>
      <c r="CA747">
        <v>2016</v>
      </c>
      <c r="CB747">
        <v>224</v>
      </c>
      <c r="CD747">
        <v>1</v>
      </c>
      <c r="CE747">
        <v>0</v>
      </c>
      <c r="CF747">
        <v>0</v>
      </c>
      <c r="CG747">
        <v>1</v>
      </c>
      <c r="CH747">
        <v>0</v>
      </c>
      <c r="CI747">
        <v>0</v>
      </c>
      <c r="CJ747">
        <v>0</v>
      </c>
      <c r="CK747">
        <v>2</v>
      </c>
      <c r="CL747">
        <v>0</v>
      </c>
      <c r="CM747">
        <v>2</v>
      </c>
      <c r="CN747">
        <v>0</v>
      </c>
      <c r="CO747">
        <v>2</v>
      </c>
      <c r="CP747" t="s">
        <v>119</v>
      </c>
      <c r="CQ747">
        <v>559</v>
      </c>
      <c r="CR747">
        <v>0</v>
      </c>
      <c r="CW747">
        <v>10427928</v>
      </c>
      <c r="CY747">
        <v>1</v>
      </c>
      <c r="CZ747">
        <v>0</v>
      </c>
      <c r="DA747">
        <v>1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</row>
    <row r="748" spans="1:113" x14ac:dyDescent="0.3">
      <c r="A748" t="str">
        <f>"02/08/2021 20:15:47.171"</f>
        <v>02/08/2021 20:15:47.171</v>
      </c>
      <c r="C748" t="str">
        <f t="shared" si="35"/>
        <v>FFDFD7C0</v>
      </c>
      <c r="D748" t="s">
        <v>124</v>
      </c>
      <c r="E748">
        <v>13</v>
      </c>
      <c r="F748">
        <v>1013</v>
      </c>
      <c r="G748" t="s">
        <v>114</v>
      </c>
      <c r="J748" t="s">
        <v>125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>"20:15:49.516"</f>
        <v>20:15:49.516</v>
      </c>
      <c r="T748" t="str">
        <f>"20:15:49.116"</f>
        <v>20:15:49.116</v>
      </c>
      <c r="U748" t="str">
        <f t="shared" si="34"/>
        <v>AB01F4</v>
      </c>
      <c r="V748">
        <v>0</v>
      </c>
      <c r="W748">
        <v>0</v>
      </c>
      <c r="X748">
        <v>1</v>
      </c>
      <c r="Z748">
        <v>0</v>
      </c>
      <c r="AA748">
        <v>9</v>
      </c>
      <c r="AB748">
        <v>3</v>
      </c>
      <c r="AC748">
        <v>0</v>
      </c>
      <c r="AD748">
        <v>10</v>
      </c>
      <c r="AE748">
        <v>0</v>
      </c>
      <c r="AF748">
        <v>3</v>
      </c>
      <c r="AG748">
        <v>2</v>
      </c>
      <c r="AH748">
        <v>0</v>
      </c>
      <c r="AI748" t="s">
        <v>635</v>
      </c>
      <c r="AJ748">
        <v>39.647641</v>
      </c>
      <c r="AK748" t="s">
        <v>636</v>
      </c>
      <c r="AL748">
        <v>-92.506793000000002</v>
      </c>
      <c r="AM748">
        <v>100</v>
      </c>
      <c r="AN748">
        <v>1700</v>
      </c>
      <c r="AO748" t="s">
        <v>118</v>
      </c>
      <c r="AP748">
        <v>-33</v>
      </c>
      <c r="AQ748">
        <v>130</v>
      </c>
      <c r="AR748">
        <v>0</v>
      </c>
      <c r="AZ748">
        <v>1200</v>
      </c>
      <c r="BA748">
        <v>1</v>
      </c>
      <c r="BB748" t="str">
        <f t="shared" si="36"/>
        <v xml:space="preserve">N8080G  </v>
      </c>
      <c r="BC748">
        <v>1</v>
      </c>
      <c r="BE748">
        <v>0</v>
      </c>
      <c r="BF748">
        <v>0</v>
      </c>
      <c r="BG748">
        <v>0</v>
      </c>
      <c r="BH748">
        <v>1675</v>
      </c>
      <c r="BI748">
        <v>1</v>
      </c>
      <c r="BJ748">
        <v>1</v>
      </c>
      <c r="BK748">
        <v>1</v>
      </c>
      <c r="BL748">
        <v>0</v>
      </c>
      <c r="BO748">
        <v>0</v>
      </c>
      <c r="BP748">
        <v>0</v>
      </c>
      <c r="BW748" t="str">
        <f>"20:15:49.518"</f>
        <v>20:15:49.518</v>
      </c>
      <c r="BZ748">
        <v>0</v>
      </c>
      <c r="CA748">
        <v>2016</v>
      </c>
      <c r="CB748">
        <v>224</v>
      </c>
      <c r="CD748">
        <v>1</v>
      </c>
      <c r="CE748">
        <v>0</v>
      </c>
      <c r="CF748">
        <v>0</v>
      </c>
      <c r="CG748">
        <v>1</v>
      </c>
      <c r="CH748">
        <v>0</v>
      </c>
      <c r="CI748">
        <v>0</v>
      </c>
      <c r="CJ748">
        <v>0</v>
      </c>
      <c r="CK748">
        <v>2</v>
      </c>
      <c r="CL748">
        <v>0</v>
      </c>
      <c r="CM748">
        <v>2</v>
      </c>
      <c r="CN748">
        <v>0</v>
      </c>
      <c r="CO748">
        <v>2</v>
      </c>
      <c r="CP748" t="s">
        <v>119</v>
      </c>
      <c r="CQ748">
        <v>559</v>
      </c>
      <c r="CR748">
        <v>0</v>
      </c>
      <c r="CW748">
        <v>10427928</v>
      </c>
      <c r="CY748">
        <v>1</v>
      </c>
      <c r="CZ748">
        <v>0</v>
      </c>
      <c r="DA748">
        <v>1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</row>
    <row r="749" spans="1:113" x14ac:dyDescent="0.3">
      <c r="A749" t="str">
        <f>"02/08/2021 20:15:48.167"</f>
        <v>02/08/2021 20:15:48.167</v>
      </c>
      <c r="C749" t="str">
        <f t="shared" si="35"/>
        <v>FFDFD7C0</v>
      </c>
      <c r="D749" t="s">
        <v>124</v>
      </c>
      <c r="E749">
        <v>11</v>
      </c>
      <c r="F749">
        <v>1011</v>
      </c>
      <c r="G749" t="s">
        <v>590</v>
      </c>
      <c r="J749" t="s">
        <v>125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>"20:15:50.508"</f>
        <v>20:15:50.508</v>
      </c>
      <c r="T749" t="str">
        <f>"20:15:50.008"</f>
        <v>20:15:50.008</v>
      </c>
      <c r="U749" t="str">
        <f t="shared" si="34"/>
        <v>AB01F4</v>
      </c>
      <c r="V749">
        <v>0</v>
      </c>
      <c r="W749">
        <v>0</v>
      </c>
      <c r="X749">
        <v>1</v>
      </c>
      <c r="Z749">
        <v>0</v>
      </c>
      <c r="AA749">
        <v>9</v>
      </c>
      <c r="AB749">
        <v>3</v>
      </c>
      <c r="AC749">
        <v>0</v>
      </c>
      <c r="AD749">
        <v>10</v>
      </c>
      <c r="AE749">
        <v>0</v>
      </c>
      <c r="AF749">
        <v>3</v>
      </c>
      <c r="AG749">
        <v>2</v>
      </c>
      <c r="AH749">
        <v>0</v>
      </c>
      <c r="AI749" t="s">
        <v>637</v>
      </c>
      <c r="AJ749">
        <v>39.648242000000003</v>
      </c>
      <c r="AK749" t="s">
        <v>638</v>
      </c>
      <c r="AL749">
        <v>-92.506963999999996</v>
      </c>
      <c r="AM749">
        <v>100</v>
      </c>
      <c r="AN749">
        <v>1700</v>
      </c>
      <c r="AO749" t="s">
        <v>118</v>
      </c>
      <c r="AP749">
        <v>-33</v>
      </c>
      <c r="AQ749">
        <v>129</v>
      </c>
      <c r="AR749">
        <v>64</v>
      </c>
      <c r="AZ749">
        <v>1200</v>
      </c>
      <c r="BA749">
        <v>1</v>
      </c>
      <c r="BB749" t="str">
        <f t="shared" si="36"/>
        <v xml:space="preserve">N8080G  </v>
      </c>
      <c r="BC749">
        <v>1</v>
      </c>
      <c r="BE749">
        <v>0</v>
      </c>
      <c r="BF749">
        <v>0</v>
      </c>
      <c r="BG749">
        <v>0</v>
      </c>
      <c r="BH749">
        <v>1675</v>
      </c>
      <c r="BI749">
        <v>1</v>
      </c>
      <c r="BJ749">
        <v>1</v>
      </c>
      <c r="BK749">
        <v>1</v>
      </c>
      <c r="BL749">
        <v>0</v>
      </c>
      <c r="BO749">
        <v>0</v>
      </c>
      <c r="BP749">
        <v>0</v>
      </c>
      <c r="BW749" t="str">
        <f>"20:15:50.512"</f>
        <v>20:15:50.512</v>
      </c>
      <c r="BZ749">
        <v>0</v>
      </c>
      <c r="CA749">
        <v>2016</v>
      </c>
      <c r="CB749">
        <v>224</v>
      </c>
      <c r="CD749">
        <v>1</v>
      </c>
      <c r="CE749">
        <v>0</v>
      </c>
      <c r="CF749">
        <v>0</v>
      </c>
      <c r="CG749">
        <v>1</v>
      </c>
      <c r="CH749">
        <v>0</v>
      </c>
      <c r="CI749">
        <v>0</v>
      </c>
      <c r="CJ749">
        <v>0</v>
      </c>
      <c r="CK749">
        <v>2</v>
      </c>
      <c r="CL749">
        <v>0</v>
      </c>
      <c r="CM749">
        <v>2</v>
      </c>
      <c r="CN749">
        <v>0</v>
      </c>
      <c r="CO749">
        <v>7</v>
      </c>
      <c r="CP749" t="s">
        <v>119</v>
      </c>
      <c r="CQ749">
        <v>180</v>
      </c>
      <c r="CR749">
        <v>2</v>
      </c>
      <c r="CW749">
        <v>7958157</v>
      </c>
      <c r="CY749">
        <v>1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</row>
    <row r="750" spans="1:113" x14ac:dyDescent="0.3">
      <c r="A750" t="str">
        <f>"02/08/2021 20:15:48.167"</f>
        <v>02/08/2021 20:15:48.167</v>
      </c>
      <c r="C750" t="str">
        <f t="shared" si="35"/>
        <v>FFDFD7C0</v>
      </c>
      <c r="D750" t="s">
        <v>113</v>
      </c>
      <c r="E750">
        <v>6</v>
      </c>
      <c r="H750">
        <v>165</v>
      </c>
      <c r="I750" t="s">
        <v>114</v>
      </c>
      <c r="J750" t="s">
        <v>115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>"20:15:50.508"</f>
        <v>20:15:50.508</v>
      </c>
      <c r="T750" t="str">
        <f>"20:15:50.008"</f>
        <v>20:15:50.008</v>
      </c>
      <c r="U750" t="str">
        <f t="shared" si="34"/>
        <v>AB01F4</v>
      </c>
      <c r="V750">
        <v>0</v>
      </c>
      <c r="W750">
        <v>0</v>
      </c>
      <c r="X750">
        <v>1</v>
      </c>
      <c r="Z750">
        <v>0</v>
      </c>
      <c r="AA750">
        <v>9</v>
      </c>
      <c r="AB750">
        <v>3</v>
      </c>
      <c r="AC750">
        <v>0</v>
      </c>
      <c r="AD750">
        <v>10</v>
      </c>
      <c r="AE750">
        <v>0</v>
      </c>
      <c r="AF750">
        <v>3</v>
      </c>
      <c r="AG750">
        <v>2</v>
      </c>
      <c r="AH750">
        <v>0</v>
      </c>
      <c r="AI750" t="s">
        <v>637</v>
      </c>
      <c r="AJ750">
        <v>39.648242000000003</v>
      </c>
      <c r="AK750" t="s">
        <v>638</v>
      </c>
      <c r="AL750">
        <v>-92.506963999999996</v>
      </c>
      <c r="AM750">
        <v>100</v>
      </c>
      <c r="AN750">
        <v>1700</v>
      </c>
      <c r="AO750" t="s">
        <v>118</v>
      </c>
      <c r="AP750">
        <v>-33</v>
      </c>
      <c r="AQ750">
        <v>129</v>
      </c>
      <c r="AR750">
        <v>64</v>
      </c>
      <c r="AZ750">
        <v>1200</v>
      </c>
      <c r="BA750">
        <v>1</v>
      </c>
      <c r="BB750" t="str">
        <f t="shared" si="36"/>
        <v xml:space="preserve">N8080G  </v>
      </c>
      <c r="BC750">
        <v>1</v>
      </c>
      <c r="BE750">
        <v>0</v>
      </c>
      <c r="BF750">
        <v>0</v>
      </c>
      <c r="BG750">
        <v>0</v>
      </c>
      <c r="BH750">
        <v>1675</v>
      </c>
      <c r="BI750">
        <v>1</v>
      </c>
      <c r="BJ750">
        <v>1</v>
      </c>
      <c r="BK750">
        <v>1</v>
      </c>
      <c r="BL750">
        <v>0</v>
      </c>
      <c r="BO750">
        <v>0</v>
      </c>
      <c r="BP750">
        <v>0</v>
      </c>
      <c r="BW750" t="str">
        <f>"20:15:50.512"</f>
        <v>20:15:50.512</v>
      </c>
      <c r="BZ750">
        <v>0</v>
      </c>
      <c r="CA750">
        <v>2016</v>
      </c>
      <c r="CB750">
        <v>224</v>
      </c>
      <c r="CD750">
        <v>1</v>
      </c>
      <c r="CE750">
        <v>0</v>
      </c>
      <c r="CF750">
        <v>0</v>
      </c>
      <c r="CG750">
        <v>1</v>
      </c>
      <c r="CH750">
        <v>0</v>
      </c>
      <c r="CI750">
        <v>0</v>
      </c>
      <c r="CJ750">
        <v>0</v>
      </c>
      <c r="CK750">
        <v>2</v>
      </c>
      <c r="CL750">
        <v>0</v>
      </c>
      <c r="CM750">
        <v>2</v>
      </c>
      <c r="CN750">
        <v>0</v>
      </c>
      <c r="CO750">
        <v>7</v>
      </c>
      <c r="CP750" t="s">
        <v>119</v>
      </c>
      <c r="CQ750">
        <v>180</v>
      </c>
      <c r="CR750">
        <v>2</v>
      </c>
      <c r="CW750">
        <v>7958157</v>
      </c>
      <c r="CY750">
        <v>1</v>
      </c>
      <c r="CZ750">
        <v>0</v>
      </c>
      <c r="DA750">
        <v>1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</row>
    <row r="751" spans="1:113" x14ac:dyDescent="0.3">
      <c r="A751" t="str">
        <f>"02/08/2021 20:15:48.167"</f>
        <v>02/08/2021 20:15:48.167</v>
      </c>
      <c r="C751" t="str">
        <f t="shared" si="35"/>
        <v>FFDFD7C0</v>
      </c>
      <c r="D751" t="s">
        <v>124</v>
      </c>
      <c r="E751">
        <v>13</v>
      </c>
      <c r="F751">
        <v>1013</v>
      </c>
      <c r="G751" t="s">
        <v>114</v>
      </c>
      <c r="J751" t="s">
        <v>125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>"20:15:50.508"</f>
        <v>20:15:50.508</v>
      </c>
      <c r="T751" t="str">
        <f>"20:15:50.008"</f>
        <v>20:15:50.008</v>
      </c>
      <c r="U751" t="str">
        <f t="shared" si="34"/>
        <v>AB01F4</v>
      </c>
      <c r="V751">
        <v>0</v>
      </c>
      <c r="W751">
        <v>0</v>
      </c>
      <c r="X751">
        <v>1</v>
      </c>
      <c r="Z751">
        <v>0</v>
      </c>
      <c r="AA751">
        <v>9</v>
      </c>
      <c r="AB751">
        <v>3</v>
      </c>
      <c r="AC751">
        <v>0</v>
      </c>
      <c r="AD751">
        <v>10</v>
      </c>
      <c r="AE751">
        <v>0</v>
      </c>
      <c r="AF751">
        <v>3</v>
      </c>
      <c r="AG751">
        <v>2</v>
      </c>
      <c r="AH751">
        <v>0</v>
      </c>
      <c r="AI751" t="s">
        <v>637</v>
      </c>
      <c r="AJ751">
        <v>39.648242000000003</v>
      </c>
      <c r="AK751" t="s">
        <v>638</v>
      </c>
      <c r="AL751">
        <v>-92.506963999999996</v>
      </c>
      <c r="AM751">
        <v>100</v>
      </c>
      <c r="AN751">
        <v>1700</v>
      </c>
      <c r="AO751" t="s">
        <v>118</v>
      </c>
      <c r="AP751">
        <v>-33</v>
      </c>
      <c r="AQ751">
        <v>129</v>
      </c>
      <c r="AR751">
        <v>64</v>
      </c>
      <c r="AZ751">
        <v>1200</v>
      </c>
      <c r="BA751">
        <v>1</v>
      </c>
      <c r="BB751" t="str">
        <f t="shared" si="36"/>
        <v xml:space="preserve">N8080G  </v>
      </c>
      <c r="BC751">
        <v>1</v>
      </c>
      <c r="BE751">
        <v>0</v>
      </c>
      <c r="BF751">
        <v>0</v>
      </c>
      <c r="BG751">
        <v>0</v>
      </c>
      <c r="BH751">
        <v>1675</v>
      </c>
      <c r="BI751">
        <v>1</v>
      </c>
      <c r="BJ751">
        <v>1</v>
      </c>
      <c r="BK751">
        <v>1</v>
      </c>
      <c r="BL751">
        <v>0</v>
      </c>
      <c r="BO751">
        <v>0</v>
      </c>
      <c r="BP751">
        <v>0</v>
      </c>
      <c r="BW751" t="str">
        <f>"20:15:50.512"</f>
        <v>20:15:50.512</v>
      </c>
      <c r="BZ751">
        <v>0</v>
      </c>
      <c r="CA751">
        <v>2016</v>
      </c>
      <c r="CB751">
        <v>224</v>
      </c>
      <c r="CD751">
        <v>1</v>
      </c>
      <c r="CE751">
        <v>0</v>
      </c>
      <c r="CF751">
        <v>0</v>
      </c>
      <c r="CG751">
        <v>1</v>
      </c>
      <c r="CH751">
        <v>0</v>
      </c>
      <c r="CI751">
        <v>0</v>
      </c>
      <c r="CJ751">
        <v>0</v>
      </c>
      <c r="CK751">
        <v>2</v>
      </c>
      <c r="CL751">
        <v>0</v>
      </c>
      <c r="CM751">
        <v>2</v>
      </c>
      <c r="CN751">
        <v>0</v>
      </c>
      <c r="CO751">
        <v>7</v>
      </c>
      <c r="CP751" t="s">
        <v>119</v>
      </c>
      <c r="CQ751">
        <v>180</v>
      </c>
      <c r="CR751">
        <v>2</v>
      </c>
      <c r="CW751">
        <v>7958157</v>
      </c>
      <c r="CY751">
        <v>1</v>
      </c>
      <c r="CZ751">
        <v>0</v>
      </c>
      <c r="DA751">
        <v>1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</row>
    <row r="752" spans="1:113" x14ac:dyDescent="0.3">
      <c r="A752" t="str">
        <f>"02/08/2021 20:15:49.701"</f>
        <v>02/08/2021 20:15:49.701</v>
      </c>
      <c r="C752" t="str">
        <f t="shared" si="35"/>
        <v>FFDFD7C0</v>
      </c>
      <c r="D752" t="s">
        <v>113</v>
      </c>
      <c r="E752">
        <v>6</v>
      </c>
      <c r="H752">
        <v>165</v>
      </c>
      <c r="I752" t="s">
        <v>114</v>
      </c>
      <c r="J752" t="s">
        <v>115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>"20:15:51.992"</f>
        <v>20:15:51.992</v>
      </c>
      <c r="T752" t="str">
        <f>"20:15:50.992"</f>
        <v>20:15:50.992</v>
      </c>
      <c r="U752" t="str">
        <f t="shared" si="34"/>
        <v>AB01F4</v>
      </c>
      <c r="V752">
        <v>0</v>
      </c>
      <c r="W752">
        <v>0</v>
      </c>
      <c r="X752">
        <v>1</v>
      </c>
      <c r="Z752">
        <v>0</v>
      </c>
      <c r="AA752">
        <v>9</v>
      </c>
      <c r="AB752">
        <v>3</v>
      </c>
      <c r="AC752">
        <v>0</v>
      </c>
      <c r="AD752">
        <v>10</v>
      </c>
      <c r="AE752">
        <v>0</v>
      </c>
      <c r="AF752">
        <v>3</v>
      </c>
      <c r="AG752">
        <v>2</v>
      </c>
      <c r="AH752">
        <v>0</v>
      </c>
      <c r="AI752" t="s">
        <v>639</v>
      </c>
      <c r="AJ752">
        <v>39.649099999999997</v>
      </c>
      <c r="AK752" t="s">
        <v>640</v>
      </c>
      <c r="AL752">
        <v>-92.507265000000004</v>
      </c>
      <c r="AM752">
        <v>100</v>
      </c>
      <c r="AN752">
        <v>1700</v>
      </c>
      <c r="AO752" t="s">
        <v>118</v>
      </c>
      <c r="AP752">
        <v>-33</v>
      </c>
      <c r="AQ752">
        <v>129</v>
      </c>
      <c r="AR752">
        <v>64</v>
      </c>
      <c r="AZ752">
        <v>1200</v>
      </c>
      <c r="BA752">
        <v>1</v>
      </c>
      <c r="BB752" t="str">
        <f t="shared" si="36"/>
        <v xml:space="preserve">N8080G  </v>
      </c>
      <c r="BC752">
        <v>1</v>
      </c>
      <c r="BE752">
        <v>0</v>
      </c>
      <c r="BF752">
        <v>0</v>
      </c>
      <c r="BG752">
        <v>0</v>
      </c>
      <c r="BH752">
        <v>1675</v>
      </c>
      <c r="BI752">
        <v>1</v>
      </c>
      <c r="BJ752">
        <v>1</v>
      </c>
      <c r="BK752">
        <v>1</v>
      </c>
      <c r="BL752">
        <v>0</v>
      </c>
      <c r="BO752">
        <v>0</v>
      </c>
      <c r="BP752">
        <v>0</v>
      </c>
      <c r="BW752" t="str">
        <f>"20:15:51.994"</f>
        <v>20:15:51.994</v>
      </c>
      <c r="BZ752">
        <v>0</v>
      </c>
      <c r="CA752">
        <v>2016</v>
      </c>
      <c r="CB752">
        <v>224</v>
      </c>
      <c r="CD752">
        <v>1</v>
      </c>
      <c r="CE752">
        <v>0</v>
      </c>
      <c r="CF752">
        <v>0</v>
      </c>
      <c r="CG752">
        <v>1</v>
      </c>
      <c r="CH752">
        <v>0</v>
      </c>
      <c r="CI752">
        <v>0</v>
      </c>
      <c r="CJ752">
        <v>0</v>
      </c>
      <c r="CK752">
        <v>2</v>
      </c>
      <c r="CL752">
        <v>0</v>
      </c>
      <c r="CM752">
        <v>2</v>
      </c>
      <c r="CN752">
        <v>0</v>
      </c>
      <c r="CO752">
        <v>2</v>
      </c>
      <c r="CP752" t="s">
        <v>119</v>
      </c>
      <c r="CQ752">
        <v>559</v>
      </c>
      <c r="CR752">
        <v>0</v>
      </c>
      <c r="CW752">
        <v>10428326</v>
      </c>
      <c r="CY752">
        <v>1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</row>
    <row r="753" spans="1:113" x14ac:dyDescent="0.3">
      <c r="A753" t="str">
        <f>"02/08/2021 20:15:49.701"</f>
        <v>02/08/2021 20:15:49.701</v>
      </c>
      <c r="C753" t="str">
        <f t="shared" si="35"/>
        <v>FFDFD7C0</v>
      </c>
      <c r="D753" t="s">
        <v>141</v>
      </c>
      <c r="E753">
        <v>17</v>
      </c>
      <c r="H753">
        <v>256</v>
      </c>
      <c r="I753" t="s">
        <v>142</v>
      </c>
      <c r="J753" t="s">
        <v>143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>"20:15:51.992"</f>
        <v>20:15:51.992</v>
      </c>
      <c r="T753" t="str">
        <f>"20:15:50.992"</f>
        <v>20:15:50.992</v>
      </c>
      <c r="U753" t="str">
        <f t="shared" si="34"/>
        <v>AB01F4</v>
      </c>
      <c r="V753">
        <v>0</v>
      </c>
      <c r="W753">
        <v>0</v>
      </c>
      <c r="X753">
        <v>1</v>
      </c>
      <c r="Z753">
        <v>0</v>
      </c>
      <c r="AA753">
        <v>9</v>
      </c>
      <c r="AB753">
        <v>3</v>
      </c>
      <c r="AC753">
        <v>0</v>
      </c>
      <c r="AD753">
        <v>10</v>
      </c>
      <c r="AE753">
        <v>0</v>
      </c>
      <c r="AF753">
        <v>3</v>
      </c>
      <c r="AG753">
        <v>2</v>
      </c>
      <c r="AH753">
        <v>0</v>
      </c>
      <c r="AI753" t="s">
        <v>639</v>
      </c>
      <c r="AJ753">
        <v>39.649099999999997</v>
      </c>
      <c r="AK753" t="s">
        <v>640</v>
      </c>
      <c r="AL753">
        <v>-92.507265000000004</v>
      </c>
      <c r="AM753">
        <v>100</v>
      </c>
      <c r="AN753">
        <v>1700</v>
      </c>
      <c r="AO753" t="s">
        <v>118</v>
      </c>
      <c r="AP753">
        <v>-33</v>
      </c>
      <c r="AQ753">
        <v>129</v>
      </c>
      <c r="AR753">
        <v>64</v>
      </c>
      <c r="AZ753">
        <v>1200</v>
      </c>
      <c r="BA753">
        <v>1</v>
      </c>
      <c r="BB753" t="str">
        <f t="shared" si="36"/>
        <v xml:space="preserve">N8080G  </v>
      </c>
      <c r="BC753">
        <v>1</v>
      </c>
      <c r="BE753">
        <v>0</v>
      </c>
      <c r="BF753">
        <v>0</v>
      </c>
      <c r="BG753">
        <v>0</v>
      </c>
      <c r="BH753">
        <v>1675</v>
      </c>
      <c r="BI753">
        <v>1</v>
      </c>
      <c r="BJ753">
        <v>1</v>
      </c>
      <c r="BK753">
        <v>1</v>
      </c>
      <c r="BL753">
        <v>0</v>
      </c>
      <c r="BO753">
        <v>0</v>
      </c>
      <c r="BP753">
        <v>0</v>
      </c>
      <c r="BW753" t="str">
        <f>"20:15:51.994"</f>
        <v>20:15:51.994</v>
      </c>
      <c r="BZ753">
        <v>0</v>
      </c>
      <c r="CA753">
        <v>2016</v>
      </c>
      <c r="CB753">
        <v>224</v>
      </c>
      <c r="CD753">
        <v>1</v>
      </c>
      <c r="CE753">
        <v>0</v>
      </c>
      <c r="CF753">
        <v>0</v>
      </c>
      <c r="CG753">
        <v>1</v>
      </c>
      <c r="CH753">
        <v>0</v>
      </c>
      <c r="CI753">
        <v>0</v>
      </c>
      <c r="CJ753">
        <v>0</v>
      </c>
      <c r="CK753">
        <v>2</v>
      </c>
      <c r="CL753">
        <v>0</v>
      </c>
      <c r="CM753">
        <v>2</v>
      </c>
      <c r="CN753">
        <v>0</v>
      </c>
      <c r="CO753">
        <v>2</v>
      </c>
      <c r="CP753" t="s">
        <v>119</v>
      </c>
      <c r="CQ753">
        <v>559</v>
      </c>
      <c r="CR753">
        <v>0</v>
      </c>
      <c r="CW753">
        <v>10428326</v>
      </c>
      <c r="CY753">
        <v>1</v>
      </c>
      <c r="CZ753">
        <v>0</v>
      </c>
      <c r="DA753">
        <v>1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</row>
    <row r="754" spans="1:113" x14ac:dyDescent="0.3">
      <c r="A754" t="str">
        <f>"02/08/2021 20:15:49.701"</f>
        <v>02/08/2021 20:15:49.701</v>
      </c>
      <c r="C754" t="str">
        <f t="shared" si="35"/>
        <v>FFDFD7C0</v>
      </c>
      <c r="D754" t="s">
        <v>124</v>
      </c>
      <c r="E754">
        <v>13</v>
      </c>
      <c r="F754">
        <v>1013</v>
      </c>
      <c r="G754" t="s">
        <v>114</v>
      </c>
      <c r="J754" t="s">
        <v>125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>"20:15:51.992"</f>
        <v>20:15:51.992</v>
      </c>
      <c r="T754" t="str">
        <f>"20:15:50.992"</f>
        <v>20:15:50.992</v>
      </c>
      <c r="U754" t="str">
        <f t="shared" si="34"/>
        <v>AB01F4</v>
      </c>
      <c r="V754">
        <v>0</v>
      </c>
      <c r="W754">
        <v>0</v>
      </c>
      <c r="X754">
        <v>1</v>
      </c>
      <c r="Z754">
        <v>0</v>
      </c>
      <c r="AA754">
        <v>9</v>
      </c>
      <c r="AB754">
        <v>3</v>
      </c>
      <c r="AC754">
        <v>0</v>
      </c>
      <c r="AD754">
        <v>10</v>
      </c>
      <c r="AE754">
        <v>0</v>
      </c>
      <c r="AF754">
        <v>3</v>
      </c>
      <c r="AG754">
        <v>2</v>
      </c>
      <c r="AH754">
        <v>0</v>
      </c>
      <c r="AI754" t="s">
        <v>639</v>
      </c>
      <c r="AJ754">
        <v>39.649099999999997</v>
      </c>
      <c r="AK754" t="s">
        <v>640</v>
      </c>
      <c r="AL754">
        <v>-92.507265000000004</v>
      </c>
      <c r="AM754">
        <v>100</v>
      </c>
      <c r="AN754">
        <v>1700</v>
      </c>
      <c r="AO754" t="s">
        <v>118</v>
      </c>
      <c r="AP754">
        <v>-33</v>
      </c>
      <c r="AQ754">
        <v>129</v>
      </c>
      <c r="AR754">
        <v>64</v>
      </c>
      <c r="AZ754">
        <v>1200</v>
      </c>
      <c r="BA754">
        <v>1</v>
      </c>
      <c r="BB754" t="str">
        <f t="shared" si="36"/>
        <v xml:space="preserve">N8080G  </v>
      </c>
      <c r="BC754">
        <v>1</v>
      </c>
      <c r="BE754">
        <v>0</v>
      </c>
      <c r="BF754">
        <v>0</v>
      </c>
      <c r="BG754">
        <v>0</v>
      </c>
      <c r="BH754">
        <v>1675</v>
      </c>
      <c r="BI754">
        <v>1</v>
      </c>
      <c r="BJ754">
        <v>1</v>
      </c>
      <c r="BK754">
        <v>1</v>
      </c>
      <c r="BL754">
        <v>0</v>
      </c>
      <c r="BO754">
        <v>0</v>
      </c>
      <c r="BP754">
        <v>0</v>
      </c>
      <c r="BW754" t="str">
        <f>"20:15:51.994"</f>
        <v>20:15:51.994</v>
      </c>
      <c r="BZ754">
        <v>0</v>
      </c>
      <c r="CA754">
        <v>2016</v>
      </c>
      <c r="CB754">
        <v>224</v>
      </c>
      <c r="CD754">
        <v>1</v>
      </c>
      <c r="CE754">
        <v>0</v>
      </c>
      <c r="CF754">
        <v>0</v>
      </c>
      <c r="CG754">
        <v>1</v>
      </c>
      <c r="CH754">
        <v>0</v>
      </c>
      <c r="CI754">
        <v>0</v>
      </c>
      <c r="CJ754">
        <v>0</v>
      </c>
      <c r="CK754">
        <v>2</v>
      </c>
      <c r="CL754">
        <v>0</v>
      </c>
      <c r="CM754">
        <v>2</v>
      </c>
      <c r="CN754">
        <v>0</v>
      </c>
      <c r="CO754">
        <v>2</v>
      </c>
      <c r="CP754" t="s">
        <v>119</v>
      </c>
      <c r="CQ754">
        <v>559</v>
      </c>
      <c r="CR754">
        <v>0</v>
      </c>
      <c r="CW754">
        <v>10428326</v>
      </c>
      <c r="CY754">
        <v>1</v>
      </c>
      <c r="CZ754">
        <v>0</v>
      </c>
      <c r="DA754">
        <v>1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</row>
    <row r="755" spans="1:113" x14ac:dyDescent="0.3">
      <c r="A755" t="str">
        <f>"02/08/2021 20:15:50.723"</f>
        <v>02/08/2021 20:15:50.723</v>
      </c>
      <c r="C755" t="str">
        <f t="shared" si="35"/>
        <v>FFDFD7C0</v>
      </c>
      <c r="D755" t="s">
        <v>124</v>
      </c>
      <c r="E755">
        <v>13</v>
      </c>
      <c r="F755">
        <v>1013</v>
      </c>
      <c r="G755" t="s">
        <v>114</v>
      </c>
      <c r="J755" t="s">
        <v>125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>"20:15:53.086"</f>
        <v>20:15:53.086</v>
      </c>
      <c r="T755" t="str">
        <f>"20:15:50.986"</f>
        <v>20:15:50.986</v>
      </c>
      <c r="U755" t="str">
        <f t="shared" si="34"/>
        <v>AB01F4</v>
      </c>
      <c r="V755">
        <v>0</v>
      </c>
      <c r="W755">
        <v>0</v>
      </c>
      <c r="X755">
        <v>1</v>
      </c>
      <c r="Z755">
        <v>0</v>
      </c>
      <c r="AA755">
        <v>9</v>
      </c>
      <c r="AB755">
        <v>3</v>
      </c>
      <c r="AC755">
        <v>0</v>
      </c>
      <c r="AD755">
        <v>10</v>
      </c>
      <c r="AE755">
        <v>0</v>
      </c>
      <c r="AF755">
        <v>3</v>
      </c>
      <c r="AG755">
        <v>2</v>
      </c>
      <c r="AH755">
        <v>0</v>
      </c>
      <c r="AI755" t="s">
        <v>641</v>
      </c>
      <c r="AJ755">
        <v>39.649743999999998</v>
      </c>
      <c r="AK755" t="s">
        <v>642</v>
      </c>
      <c r="AL755">
        <v>-92.507435999999998</v>
      </c>
      <c r="AM755">
        <v>100</v>
      </c>
      <c r="AN755">
        <v>1700</v>
      </c>
      <c r="AO755" t="s">
        <v>118</v>
      </c>
      <c r="AP755">
        <v>-33</v>
      </c>
      <c r="AQ755">
        <v>129</v>
      </c>
      <c r="AR755">
        <v>64</v>
      </c>
      <c r="AZ755">
        <v>1200</v>
      </c>
      <c r="BA755">
        <v>1</v>
      </c>
      <c r="BB755" t="str">
        <f t="shared" si="36"/>
        <v xml:space="preserve">N8080G  </v>
      </c>
      <c r="BC755">
        <v>1</v>
      </c>
      <c r="BE755">
        <v>0</v>
      </c>
      <c r="BF755">
        <v>0</v>
      </c>
      <c r="BG755">
        <v>0</v>
      </c>
      <c r="BH755">
        <v>1675</v>
      </c>
      <c r="BI755">
        <v>1</v>
      </c>
      <c r="BJ755">
        <v>1</v>
      </c>
      <c r="BK755">
        <v>1</v>
      </c>
      <c r="BL755">
        <v>0</v>
      </c>
      <c r="BO755">
        <v>0</v>
      </c>
      <c r="BP755">
        <v>0</v>
      </c>
      <c r="BW755" t="str">
        <f>"20:15:53.091"</f>
        <v>20:15:53.091</v>
      </c>
      <c r="BZ755">
        <v>0</v>
      </c>
      <c r="CA755">
        <v>2016</v>
      </c>
      <c r="CB755">
        <v>224</v>
      </c>
      <c r="CD755">
        <v>1</v>
      </c>
      <c r="CE755">
        <v>0</v>
      </c>
      <c r="CF755">
        <v>0</v>
      </c>
      <c r="CG755">
        <v>1</v>
      </c>
      <c r="CH755">
        <v>0</v>
      </c>
      <c r="CI755">
        <v>0</v>
      </c>
      <c r="CJ755">
        <v>0</v>
      </c>
      <c r="CK755">
        <v>2</v>
      </c>
      <c r="CL755">
        <v>0</v>
      </c>
      <c r="CM755">
        <v>2</v>
      </c>
      <c r="CN755">
        <v>0</v>
      </c>
      <c r="CO755">
        <v>1</v>
      </c>
      <c r="CP755" t="s">
        <v>119</v>
      </c>
      <c r="CQ755">
        <v>559</v>
      </c>
      <c r="CR755">
        <v>0</v>
      </c>
      <c r="CW755">
        <v>10428509</v>
      </c>
      <c r="CY755">
        <v>1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</row>
    <row r="756" spans="1:113" x14ac:dyDescent="0.3">
      <c r="A756" t="str">
        <f>"02/08/2021 20:15:50.723"</f>
        <v>02/08/2021 20:15:50.723</v>
      </c>
      <c r="C756" t="str">
        <f t="shared" si="35"/>
        <v>FFDFD7C0</v>
      </c>
      <c r="D756" t="s">
        <v>141</v>
      </c>
      <c r="E756">
        <v>17</v>
      </c>
      <c r="H756">
        <v>256</v>
      </c>
      <c r="I756" t="s">
        <v>142</v>
      </c>
      <c r="J756" t="s">
        <v>143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>"20:15:53.086"</f>
        <v>20:15:53.086</v>
      </c>
      <c r="T756" t="str">
        <f>"20:15:50.986"</f>
        <v>20:15:50.986</v>
      </c>
      <c r="U756" t="str">
        <f t="shared" si="34"/>
        <v>AB01F4</v>
      </c>
      <c r="V756">
        <v>0</v>
      </c>
      <c r="W756">
        <v>0</v>
      </c>
      <c r="X756">
        <v>1</v>
      </c>
      <c r="Z756">
        <v>0</v>
      </c>
      <c r="AA756">
        <v>9</v>
      </c>
      <c r="AB756">
        <v>3</v>
      </c>
      <c r="AC756">
        <v>0</v>
      </c>
      <c r="AD756">
        <v>10</v>
      </c>
      <c r="AE756">
        <v>0</v>
      </c>
      <c r="AF756">
        <v>3</v>
      </c>
      <c r="AG756">
        <v>2</v>
      </c>
      <c r="AH756">
        <v>0</v>
      </c>
      <c r="AI756" t="s">
        <v>641</v>
      </c>
      <c r="AJ756">
        <v>39.649743999999998</v>
      </c>
      <c r="AK756" t="s">
        <v>642</v>
      </c>
      <c r="AL756">
        <v>-92.507435999999998</v>
      </c>
      <c r="AM756">
        <v>100</v>
      </c>
      <c r="AN756">
        <v>1700</v>
      </c>
      <c r="AO756" t="s">
        <v>118</v>
      </c>
      <c r="AP756">
        <v>-33</v>
      </c>
      <c r="AQ756">
        <v>129</v>
      </c>
      <c r="AR756">
        <v>64</v>
      </c>
      <c r="AZ756">
        <v>1200</v>
      </c>
      <c r="BA756">
        <v>1</v>
      </c>
      <c r="BB756" t="str">
        <f t="shared" si="36"/>
        <v xml:space="preserve">N8080G  </v>
      </c>
      <c r="BC756">
        <v>1</v>
      </c>
      <c r="BE756">
        <v>0</v>
      </c>
      <c r="BF756">
        <v>0</v>
      </c>
      <c r="BG756">
        <v>0</v>
      </c>
      <c r="BH756">
        <v>1675</v>
      </c>
      <c r="BI756">
        <v>1</v>
      </c>
      <c r="BJ756">
        <v>1</v>
      </c>
      <c r="BK756">
        <v>1</v>
      </c>
      <c r="BL756">
        <v>0</v>
      </c>
      <c r="BO756">
        <v>0</v>
      </c>
      <c r="BP756">
        <v>0</v>
      </c>
      <c r="BW756" t="str">
        <f>"20:15:53.091"</f>
        <v>20:15:53.091</v>
      </c>
      <c r="BZ756">
        <v>0</v>
      </c>
      <c r="CA756">
        <v>2016</v>
      </c>
      <c r="CB756">
        <v>224</v>
      </c>
      <c r="CD756">
        <v>1</v>
      </c>
      <c r="CE756">
        <v>0</v>
      </c>
      <c r="CF756">
        <v>0</v>
      </c>
      <c r="CG756">
        <v>1</v>
      </c>
      <c r="CH756">
        <v>0</v>
      </c>
      <c r="CI756">
        <v>0</v>
      </c>
      <c r="CJ756">
        <v>0</v>
      </c>
      <c r="CK756">
        <v>2</v>
      </c>
      <c r="CL756">
        <v>0</v>
      </c>
      <c r="CM756">
        <v>2</v>
      </c>
      <c r="CN756">
        <v>0</v>
      </c>
      <c r="CO756">
        <v>1</v>
      </c>
      <c r="CP756" t="s">
        <v>119</v>
      </c>
      <c r="CQ756">
        <v>559</v>
      </c>
      <c r="CR756">
        <v>0</v>
      </c>
      <c r="CW756">
        <v>10428509</v>
      </c>
      <c r="CY756">
        <v>1</v>
      </c>
      <c r="CZ756">
        <v>0</v>
      </c>
      <c r="DA756">
        <v>1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</row>
    <row r="757" spans="1:113" x14ac:dyDescent="0.3">
      <c r="A757" t="str">
        <f>"02/08/2021 20:15:50.723"</f>
        <v>02/08/2021 20:15:50.723</v>
      </c>
      <c r="C757" t="str">
        <f t="shared" si="35"/>
        <v>FFDFD7C0</v>
      </c>
      <c r="D757" t="s">
        <v>113</v>
      </c>
      <c r="E757">
        <v>6</v>
      </c>
      <c r="H757">
        <v>165</v>
      </c>
      <c r="I757" t="s">
        <v>114</v>
      </c>
      <c r="J757" t="s">
        <v>115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>"20:15:53.086"</f>
        <v>20:15:53.086</v>
      </c>
      <c r="T757" t="str">
        <f>"20:15:50.986"</f>
        <v>20:15:50.986</v>
      </c>
      <c r="U757" t="str">
        <f t="shared" si="34"/>
        <v>AB01F4</v>
      </c>
      <c r="V757">
        <v>0</v>
      </c>
      <c r="W757">
        <v>0</v>
      </c>
      <c r="X757">
        <v>1</v>
      </c>
      <c r="Z757">
        <v>0</v>
      </c>
      <c r="AA757">
        <v>9</v>
      </c>
      <c r="AB757">
        <v>3</v>
      </c>
      <c r="AC757">
        <v>0</v>
      </c>
      <c r="AD757">
        <v>10</v>
      </c>
      <c r="AE757">
        <v>0</v>
      </c>
      <c r="AF757">
        <v>3</v>
      </c>
      <c r="AG757">
        <v>2</v>
      </c>
      <c r="AH757">
        <v>0</v>
      </c>
      <c r="AI757" t="s">
        <v>641</v>
      </c>
      <c r="AJ757">
        <v>39.649743999999998</v>
      </c>
      <c r="AK757" t="s">
        <v>642</v>
      </c>
      <c r="AL757">
        <v>-92.507435999999998</v>
      </c>
      <c r="AM757">
        <v>100</v>
      </c>
      <c r="AN757">
        <v>1700</v>
      </c>
      <c r="AO757" t="s">
        <v>118</v>
      </c>
      <c r="AP757">
        <v>-33</v>
      </c>
      <c r="AQ757">
        <v>129</v>
      </c>
      <c r="AR757">
        <v>64</v>
      </c>
      <c r="AZ757">
        <v>1200</v>
      </c>
      <c r="BA757">
        <v>1</v>
      </c>
      <c r="BB757" t="str">
        <f t="shared" si="36"/>
        <v xml:space="preserve">N8080G  </v>
      </c>
      <c r="BC757">
        <v>1</v>
      </c>
      <c r="BE757">
        <v>0</v>
      </c>
      <c r="BF757">
        <v>0</v>
      </c>
      <c r="BG757">
        <v>0</v>
      </c>
      <c r="BH757">
        <v>1675</v>
      </c>
      <c r="BI757">
        <v>1</v>
      </c>
      <c r="BJ757">
        <v>1</v>
      </c>
      <c r="BK757">
        <v>1</v>
      </c>
      <c r="BL757">
        <v>0</v>
      </c>
      <c r="BO757">
        <v>0</v>
      </c>
      <c r="BP757">
        <v>0</v>
      </c>
      <c r="BW757" t="str">
        <f>"20:15:53.091"</f>
        <v>20:15:53.091</v>
      </c>
      <c r="BZ757">
        <v>0</v>
      </c>
      <c r="CA757">
        <v>2016</v>
      </c>
      <c r="CB757">
        <v>224</v>
      </c>
      <c r="CD757">
        <v>1</v>
      </c>
      <c r="CE757">
        <v>0</v>
      </c>
      <c r="CF757">
        <v>0</v>
      </c>
      <c r="CG757">
        <v>1</v>
      </c>
      <c r="CH757">
        <v>0</v>
      </c>
      <c r="CI757">
        <v>0</v>
      </c>
      <c r="CJ757">
        <v>0</v>
      </c>
      <c r="CK757">
        <v>2</v>
      </c>
      <c r="CL757">
        <v>0</v>
      </c>
      <c r="CM757">
        <v>2</v>
      </c>
      <c r="CN757">
        <v>0</v>
      </c>
      <c r="CO757">
        <v>1</v>
      </c>
      <c r="CP757" t="s">
        <v>119</v>
      </c>
      <c r="CQ757">
        <v>559</v>
      </c>
      <c r="CR757">
        <v>0</v>
      </c>
      <c r="CW757">
        <v>10428509</v>
      </c>
      <c r="CY757">
        <v>1</v>
      </c>
      <c r="CZ757">
        <v>0</v>
      </c>
      <c r="DA757">
        <v>1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</row>
    <row r="758" spans="1:113" x14ac:dyDescent="0.3">
      <c r="A758" t="str">
        <f>"02/08/2021 20:15:54.754"</f>
        <v>02/08/2021 20:15:54.754</v>
      </c>
      <c r="C758" t="str">
        <f t="shared" si="35"/>
        <v>FFDFD7C0</v>
      </c>
      <c r="D758" t="s">
        <v>113</v>
      </c>
      <c r="E758">
        <v>6</v>
      </c>
      <c r="H758">
        <v>165</v>
      </c>
      <c r="I758" t="s">
        <v>114</v>
      </c>
      <c r="J758" t="s">
        <v>115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>"20:15:57.078"</f>
        <v>20:15:57.078</v>
      </c>
      <c r="T758" t="str">
        <f>"20:15:56.578"</f>
        <v>20:15:56.578</v>
      </c>
      <c r="U758" t="str">
        <f t="shared" si="34"/>
        <v>AB01F4</v>
      </c>
      <c r="V758">
        <v>0</v>
      </c>
      <c r="W758">
        <v>0</v>
      </c>
      <c r="X758">
        <v>1</v>
      </c>
      <c r="Z758">
        <v>0</v>
      </c>
      <c r="AA758">
        <v>9</v>
      </c>
      <c r="AB758">
        <v>3</v>
      </c>
      <c r="AC758">
        <v>0</v>
      </c>
      <c r="AD758">
        <v>10</v>
      </c>
      <c r="AE758">
        <v>0</v>
      </c>
      <c r="AF758">
        <v>3</v>
      </c>
      <c r="AG758">
        <v>2</v>
      </c>
      <c r="AH758">
        <v>0</v>
      </c>
      <c r="AI758" t="s">
        <v>643</v>
      </c>
      <c r="AJ758">
        <v>39.652126000000003</v>
      </c>
      <c r="AK758" t="s">
        <v>644</v>
      </c>
      <c r="AL758">
        <v>-92.508295000000004</v>
      </c>
      <c r="AM758">
        <v>100</v>
      </c>
      <c r="AN758">
        <v>1700</v>
      </c>
      <c r="AO758" t="s">
        <v>118</v>
      </c>
      <c r="AP758">
        <v>-34</v>
      </c>
      <c r="AQ758">
        <v>129</v>
      </c>
      <c r="AR758">
        <v>-64</v>
      </c>
      <c r="AZ758">
        <v>1200</v>
      </c>
      <c r="BA758">
        <v>1</v>
      </c>
      <c r="BB758" t="str">
        <f t="shared" si="36"/>
        <v xml:space="preserve">N8080G  </v>
      </c>
      <c r="BC758">
        <v>1</v>
      </c>
      <c r="BE758">
        <v>0</v>
      </c>
      <c r="BF758">
        <v>0</v>
      </c>
      <c r="BG758">
        <v>0</v>
      </c>
      <c r="BH758">
        <v>1675</v>
      </c>
      <c r="BI758">
        <v>1</v>
      </c>
      <c r="BJ758">
        <v>1</v>
      </c>
      <c r="BK758">
        <v>1</v>
      </c>
      <c r="BL758">
        <v>0</v>
      </c>
      <c r="BO758">
        <v>0</v>
      </c>
      <c r="BP758">
        <v>0</v>
      </c>
      <c r="BW758" t="str">
        <f>"20:15:57.082"</f>
        <v>20:15:57.082</v>
      </c>
      <c r="BZ758">
        <v>0</v>
      </c>
      <c r="CA758">
        <v>2016</v>
      </c>
      <c r="CB758">
        <v>224</v>
      </c>
      <c r="CD758">
        <v>1</v>
      </c>
      <c r="CE758">
        <v>0</v>
      </c>
      <c r="CF758">
        <v>0</v>
      </c>
      <c r="CG758">
        <v>1</v>
      </c>
      <c r="CH758">
        <v>0</v>
      </c>
      <c r="CI758">
        <v>0</v>
      </c>
      <c r="CJ758">
        <v>0</v>
      </c>
      <c r="CK758">
        <v>2</v>
      </c>
      <c r="CL758">
        <v>0</v>
      </c>
      <c r="CM758">
        <v>2</v>
      </c>
      <c r="CN758">
        <v>0</v>
      </c>
      <c r="CO758">
        <v>7</v>
      </c>
      <c r="CP758" t="s">
        <v>119</v>
      </c>
      <c r="CQ758">
        <v>180</v>
      </c>
      <c r="CR758">
        <v>2</v>
      </c>
      <c r="CW758">
        <v>7963697</v>
      </c>
      <c r="CY758">
        <v>1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</row>
    <row r="759" spans="1:113" x14ac:dyDescent="0.3">
      <c r="A759" t="str">
        <f>"02/08/2021 20:15:54.754"</f>
        <v>02/08/2021 20:15:54.754</v>
      </c>
      <c r="C759" t="str">
        <f t="shared" si="35"/>
        <v>FFDFD7C0</v>
      </c>
      <c r="D759" t="s">
        <v>124</v>
      </c>
      <c r="E759">
        <v>11</v>
      </c>
      <c r="F759">
        <v>1011</v>
      </c>
      <c r="G759" t="s">
        <v>590</v>
      </c>
      <c r="J759" t="s">
        <v>125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>"20:15:57.078"</f>
        <v>20:15:57.078</v>
      </c>
      <c r="T759" t="str">
        <f>"20:15:56.578"</f>
        <v>20:15:56.578</v>
      </c>
      <c r="U759" t="str">
        <f t="shared" si="34"/>
        <v>AB01F4</v>
      </c>
      <c r="V759">
        <v>0</v>
      </c>
      <c r="W759">
        <v>0</v>
      </c>
      <c r="X759">
        <v>1</v>
      </c>
      <c r="Z759">
        <v>0</v>
      </c>
      <c r="AA759">
        <v>9</v>
      </c>
      <c r="AB759">
        <v>3</v>
      </c>
      <c r="AC759">
        <v>0</v>
      </c>
      <c r="AD759">
        <v>10</v>
      </c>
      <c r="AE759">
        <v>0</v>
      </c>
      <c r="AF759">
        <v>3</v>
      </c>
      <c r="AG759">
        <v>2</v>
      </c>
      <c r="AH759">
        <v>0</v>
      </c>
      <c r="AI759" t="s">
        <v>643</v>
      </c>
      <c r="AJ759">
        <v>39.652126000000003</v>
      </c>
      <c r="AK759" t="s">
        <v>644</v>
      </c>
      <c r="AL759">
        <v>-92.508295000000004</v>
      </c>
      <c r="AM759">
        <v>100</v>
      </c>
      <c r="AN759">
        <v>1700</v>
      </c>
      <c r="AO759" t="s">
        <v>118</v>
      </c>
      <c r="AP759">
        <v>-34</v>
      </c>
      <c r="AQ759">
        <v>129</v>
      </c>
      <c r="AR759">
        <v>-64</v>
      </c>
      <c r="AZ759">
        <v>1200</v>
      </c>
      <c r="BA759">
        <v>1</v>
      </c>
      <c r="BB759" t="str">
        <f t="shared" si="36"/>
        <v xml:space="preserve">N8080G  </v>
      </c>
      <c r="BC759">
        <v>1</v>
      </c>
      <c r="BE759">
        <v>0</v>
      </c>
      <c r="BF759">
        <v>0</v>
      </c>
      <c r="BG759">
        <v>0</v>
      </c>
      <c r="BH759">
        <v>1675</v>
      </c>
      <c r="BI759">
        <v>1</v>
      </c>
      <c r="BJ759">
        <v>1</v>
      </c>
      <c r="BK759">
        <v>1</v>
      </c>
      <c r="BL759">
        <v>0</v>
      </c>
      <c r="BO759">
        <v>0</v>
      </c>
      <c r="BP759">
        <v>0</v>
      </c>
      <c r="BW759" t="str">
        <f>"20:15:57.082"</f>
        <v>20:15:57.082</v>
      </c>
      <c r="BZ759">
        <v>0</v>
      </c>
      <c r="CA759">
        <v>2016</v>
      </c>
      <c r="CB759">
        <v>224</v>
      </c>
      <c r="CD759">
        <v>1</v>
      </c>
      <c r="CE759">
        <v>0</v>
      </c>
      <c r="CF759">
        <v>0</v>
      </c>
      <c r="CG759">
        <v>1</v>
      </c>
      <c r="CH759">
        <v>0</v>
      </c>
      <c r="CI759">
        <v>0</v>
      </c>
      <c r="CJ759">
        <v>0</v>
      </c>
      <c r="CK759">
        <v>2</v>
      </c>
      <c r="CL759">
        <v>0</v>
      </c>
      <c r="CM759">
        <v>2</v>
      </c>
      <c r="CN759">
        <v>0</v>
      </c>
      <c r="CO759">
        <v>7</v>
      </c>
      <c r="CP759" t="s">
        <v>119</v>
      </c>
      <c r="CQ759">
        <v>180</v>
      </c>
      <c r="CR759">
        <v>2</v>
      </c>
      <c r="CW759">
        <v>7963697</v>
      </c>
      <c r="CY759">
        <v>1</v>
      </c>
      <c r="CZ759">
        <v>0</v>
      </c>
      <c r="DA759">
        <v>1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</row>
    <row r="760" spans="1:113" x14ac:dyDescent="0.3">
      <c r="A760" t="str">
        <f>"02/08/2021 20:15:54.754"</f>
        <v>02/08/2021 20:15:54.754</v>
      </c>
      <c r="C760" t="str">
        <f t="shared" si="35"/>
        <v>FFDFD7C0</v>
      </c>
      <c r="D760" t="s">
        <v>124</v>
      </c>
      <c r="E760">
        <v>13</v>
      </c>
      <c r="F760">
        <v>1013</v>
      </c>
      <c r="G760" t="s">
        <v>114</v>
      </c>
      <c r="J760" t="s">
        <v>125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>"20:15:57.078"</f>
        <v>20:15:57.078</v>
      </c>
      <c r="T760" t="str">
        <f>"20:15:56.578"</f>
        <v>20:15:56.578</v>
      </c>
      <c r="U760" t="str">
        <f t="shared" si="34"/>
        <v>AB01F4</v>
      </c>
      <c r="V760">
        <v>0</v>
      </c>
      <c r="W760">
        <v>0</v>
      </c>
      <c r="X760">
        <v>1</v>
      </c>
      <c r="Z760">
        <v>0</v>
      </c>
      <c r="AA760">
        <v>9</v>
      </c>
      <c r="AB760">
        <v>3</v>
      </c>
      <c r="AC760">
        <v>0</v>
      </c>
      <c r="AD760">
        <v>10</v>
      </c>
      <c r="AE760">
        <v>0</v>
      </c>
      <c r="AF760">
        <v>3</v>
      </c>
      <c r="AG760">
        <v>2</v>
      </c>
      <c r="AH760">
        <v>0</v>
      </c>
      <c r="AI760" t="s">
        <v>643</v>
      </c>
      <c r="AJ760">
        <v>39.652126000000003</v>
      </c>
      <c r="AK760" t="s">
        <v>644</v>
      </c>
      <c r="AL760">
        <v>-92.508295000000004</v>
      </c>
      <c r="AM760">
        <v>100</v>
      </c>
      <c r="AN760">
        <v>1700</v>
      </c>
      <c r="AO760" t="s">
        <v>118</v>
      </c>
      <c r="AP760">
        <v>-34</v>
      </c>
      <c r="AQ760">
        <v>129</v>
      </c>
      <c r="AR760">
        <v>-64</v>
      </c>
      <c r="AZ760">
        <v>1200</v>
      </c>
      <c r="BA760">
        <v>1</v>
      </c>
      <c r="BB760" t="str">
        <f t="shared" si="36"/>
        <v xml:space="preserve">N8080G  </v>
      </c>
      <c r="BC760">
        <v>1</v>
      </c>
      <c r="BE760">
        <v>0</v>
      </c>
      <c r="BF760">
        <v>0</v>
      </c>
      <c r="BG760">
        <v>0</v>
      </c>
      <c r="BH760">
        <v>1675</v>
      </c>
      <c r="BI760">
        <v>1</v>
      </c>
      <c r="BJ760">
        <v>1</v>
      </c>
      <c r="BK760">
        <v>1</v>
      </c>
      <c r="BL760">
        <v>0</v>
      </c>
      <c r="BO760">
        <v>0</v>
      </c>
      <c r="BP760">
        <v>0</v>
      </c>
      <c r="BW760" t="str">
        <f>"20:15:57.082"</f>
        <v>20:15:57.082</v>
      </c>
      <c r="BZ760">
        <v>0</v>
      </c>
      <c r="CA760">
        <v>2016</v>
      </c>
      <c r="CB760">
        <v>224</v>
      </c>
      <c r="CD760">
        <v>1</v>
      </c>
      <c r="CE760">
        <v>0</v>
      </c>
      <c r="CF760">
        <v>0</v>
      </c>
      <c r="CG760">
        <v>1</v>
      </c>
      <c r="CH760">
        <v>0</v>
      </c>
      <c r="CI760">
        <v>0</v>
      </c>
      <c r="CJ760">
        <v>0</v>
      </c>
      <c r="CK760">
        <v>2</v>
      </c>
      <c r="CL760">
        <v>0</v>
      </c>
      <c r="CM760">
        <v>2</v>
      </c>
      <c r="CN760">
        <v>0</v>
      </c>
      <c r="CO760">
        <v>7</v>
      </c>
      <c r="CP760" t="s">
        <v>119</v>
      </c>
      <c r="CQ760">
        <v>180</v>
      </c>
      <c r="CR760">
        <v>2</v>
      </c>
      <c r="CW760">
        <v>7963697</v>
      </c>
      <c r="CY760">
        <v>1</v>
      </c>
      <c r="CZ760">
        <v>0</v>
      </c>
      <c r="DA760">
        <v>1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</row>
    <row r="761" spans="1:113" x14ac:dyDescent="0.3">
      <c r="A761" t="str">
        <f>"02/08/2021 20:15:56.207"</f>
        <v>02/08/2021 20:15:56.207</v>
      </c>
      <c r="C761" t="str">
        <f t="shared" si="35"/>
        <v>FFDFD7C0</v>
      </c>
      <c r="D761" t="s">
        <v>124</v>
      </c>
      <c r="E761">
        <v>13</v>
      </c>
      <c r="F761">
        <v>1013</v>
      </c>
      <c r="G761" t="s">
        <v>114</v>
      </c>
      <c r="J761" t="s">
        <v>125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>"20:15:58.508"</f>
        <v>20:15:58.508</v>
      </c>
      <c r="T761" t="str">
        <f>"20:15:58.108"</f>
        <v>20:15:58.108</v>
      </c>
      <c r="U761" t="str">
        <f t="shared" si="34"/>
        <v>AB01F4</v>
      </c>
      <c r="V761">
        <v>0</v>
      </c>
      <c r="W761">
        <v>0</v>
      </c>
      <c r="X761">
        <v>2</v>
      </c>
      <c r="Z761">
        <v>0</v>
      </c>
      <c r="AA761">
        <v>9</v>
      </c>
      <c r="AB761">
        <v>3</v>
      </c>
      <c r="AC761">
        <v>0</v>
      </c>
      <c r="AD761">
        <v>10</v>
      </c>
      <c r="AE761">
        <v>0</v>
      </c>
      <c r="AF761">
        <v>3</v>
      </c>
      <c r="AG761">
        <v>2</v>
      </c>
      <c r="AH761">
        <v>0</v>
      </c>
      <c r="AI761" t="s">
        <v>645</v>
      </c>
      <c r="AJ761">
        <v>39.653049000000003</v>
      </c>
      <c r="AK761" t="s">
        <v>646</v>
      </c>
      <c r="AL761">
        <v>-92.508595</v>
      </c>
      <c r="AM761">
        <v>100</v>
      </c>
      <c r="AN761">
        <v>1700</v>
      </c>
      <c r="AO761" t="s">
        <v>118</v>
      </c>
      <c r="AP761">
        <v>-34</v>
      </c>
      <c r="AQ761">
        <v>129</v>
      </c>
      <c r="AR761">
        <v>-128</v>
      </c>
      <c r="AZ761">
        <v>1200</v>
      </c>
      <c r="BA761">
        <v>1</v>
      </c>
      <c r="BB761" t="str">
        <f t="shared" si="36"/>
        <v xml:space="preserve">N8080G  </v>
      </c>
      <c r="BC761">
        <v>1</v>
      </c>
      <c r="BE761">
        <v>0</v>
      </c>
      <c r="BF761">
        <v>0</v>
      </c>
      <c r="BG761">
        <v>0</v>
      </c>
      <c r="BH761">
        <v>1675</v>
      </c>
      <c r="BI761">
        <v>1</v>
      </c>
      <c r="BJ761">
        <v>1</v>
      </c>
      <c r="BK761">
        <v>1</v>
      </c>
      <c r="BL761">
        <v>0</v>
      </c>
      <c r="BO761">
        <v>0</v>
      </c>
      <c r="BP761">
        <v>0</v>
      </c>
      <c r="BW761" t="str">
        <f>"20:15:58.510"</f>
        <v>20:15:58.510</v>
      </c>
      <c r="BZ761">
        <v>0</v>
      </c>
      <c r="CA761">
        <v>2016</v>
      </c>
      <c r="CB761">
        <v>224</v>
      </c>
      <c r="CD761">
        <v>1</v>
      </c>
      <c r="CE761">
        <v>0</v>
      </c>
      <c r="CF761">
        <v>0</v>
      </c>
      <c r="CG761">
        <v>1</v>
      </c>
      <c r="CH761">
        <v>0</v>
      </c>
      <c r="CI761">
        <v>0</v>
      </c>
      <c r="CJ761">
        <v>0</v>
      </c>
      <c r="CK761">
        <v>2</v>
      </c>
      <c r="CL761">
        <v>0</v>
      </c>
      <c r="CM761">
        <v>2</v>
      </c>
      <c r="CN761">
        <v>0</v>
      </c>
      <c r="CO761">
        <v>7</v>
      </c>
      <c r="CP761" t="s">
        <v>119</v>
      </c>
      <c r="CQ761">
        <v>180</v>
      </c>
      <c r="CR761">
        <v>2</v>
      </c>
      <c r="CW761">
        <v>7964835</v>
      </c>
      <c r="CY761">
        <v>1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</row>
    <row r="762" spans="1:113" x14ac:dyDescent="0.3">
      <c r="A762" t="str">
        <f>"02/08/2021 20:15:56.207"</f>
        <v>02/08/2021 20:15:56.207</v>
      </c>
      <c r="C762" t="str">
        <f t="shared" si="35"/>
        <v>FFDFD7C0</v>
      </c>
      <c r="D762" t="s">
        <v>113</v>
      </c>
      <c r="E762">
        <v>6</v>
      </c>
      <c r="H762">
        <v>165</v>
      </c>
      <c r="I762" t="s">
        <v>114</v>
      </c>
      <c r="J762" t="s">
        <v>115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>"20:15:58.508"</f>
        <v>20:15:58.508</v>
      </c>
      <c r="T762" t="str">
        <f>"20:15:58.108"</f>
        <v>20:15:58.108</v>
      </c>
      <c r="U762" t="str">
        <f t="shared" si="34"/>
        <v>AB01F4</v>
      </c>
      <c r="V762">
        <v>0</v>
      </c>
      <c r="W762">
        <v>0</v>
      </c>
      <c r="X762">
        <v>2</v>
      </c>
      <c r="Z762">
        <v>0</v>
      </c>
      <c r="AA762">
        <v>9</v>
      </c>
      <c r="AB762">
        <v>3</v>
      </c>
      <c r="AC762">
        <v>0</v>
      </c>
      <c r="AD762">
        <v>10</v>
      </c>
      <c r="AE762">
        <v>0</v>
      </c>
      <c r="AF762">
        <v>3</v>
      </c>
      <c r="AG762">
        <v>2</v>
      </c>
      <c r="AH762">
        <v>0</v>
      </c>
      <c r="AI762" t="s">
        <v>645</v>
      </c>
      <c r="AJ762">
        <v>39.653049000000003</v>
      </c>
      <c r="AK762" t="s">
        <v>646</v>
      </c>
      <c r="AL762">
        <v>-92.508595</v>
      </c>
      <c r="AM762">
        <v>100</v>
      </c>
      <c r="AN762">
        <v>1700</v>
      </c>
      <c r="AO762" t="s">
        <v>118</v>
      </c>
      <c r="AP762">
        <v>-34</v>
      </c>
      <c r="AQ762">
        <v>129</v>
      </c>
      <c r="AR762">
        <v>-128</v>
      </c>
      <c r="AZ762">
        <v>1200</v>
      </c>
      <c r="BA762">
        <v>1</v>
      </c>
      <c r="BB762" t="str">
        <f t="shared" si="36"/>
        <v xml:space="preserve">N8080G  </v>
      </c>
      <c r="BC762">
        <v>1</v>
      </c>
      <c r="BE762">
        <v>0</v>
      </c>
      <c r="BF762">
        <v>0</v>
      </c>
      <c r="BG762">
        <v>0</v>
      </c>
      <c r="BH762">
        <v>1675</v>
      </c>
      <c r="BI762">
        <v>1</v>
      </c>
      <c r="BJ762">
        <v>1</v>
      </c>
      <c r="BK762">
        <v>1</v>
      </c>
      <c r="BL762">
        <v>0</v>
      </c>
      <c r="BO762">
        <v>0</v>
      </c>
      <c r="BP762">
        <v>0</v>
      </c>
      <c r="BW762" t="str">
        <f>"20:15:58.510"</f>
        <v>20:15:58.510</v>
      </c>
      <c r="BZ762">
        <v>0</v>
      </c>
      <c r="CA762">
        <v>2016</v>
      </c>
      <c r="CB762">
        <v>224</v>
      </c>
      <c r="CD762">
        <v>1</v>
      </c>
      <c r="CE762">
        <v>0</v>
      </c>
      <c r="CF762">
        <v>0</v>
      </c>
      <c r="CG762">
        <v>1</v>
      </c>
      <c r="CH762">
        <v>0</v>
      </c>
      <c r="CI762">
        <v>0</v>
      </c>
      <c r="CJ762">
        <v>0</v>
      </c>
      <c r="CK762">
        <v>2</v>
      </c>
      <c r="CL762">
        <v>0</v>
      </c>
      <c r="CM762">
        <v>2</v>
      </c>
      <c r="CN762">
        <v>0</v>
      </c>
      <c r="CO762">
        <v>7</v>
      </c>
      <c r="CP762" t="s">
        <v>119</v>
      </c>
      <c r="CQ762">
        <v>180</v>
      </c>
      <c r="CR762">
        <v>2</v>
      </c>
      <c r="CW762">
        <v>7964835</v>
      </c>
      <c r="CY762">
        <v>1</v>
      </c>
      <c r="CZ762">
        <v>0</v>
      </c>
      <c r="DA762">
        <v>1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</row>
    <row r="763" spans="1:113" x14ac:dyDescent="0.3">
      <c r="A763" t="str">
        <f>"02/08/2021 20:15:56.207"</f>
        <v>02/08/2021 20:15:56.207</v>
      </c>
      <c r="C763" t="str">
        <f t="shared" si="35"/>
        <v>FFDFD7C0</v>
      </c>
      <c r="D763" t="s">
        <v>124</v>
      </c>
      <c r="E763">
        <v>11</v>
      </c>
      <c r="F763">
        <v>1011</v>
      </c>
      <c r="G763" t="s">
        <v>590</v>
      </c>
      <c r="J763" t="s">
        <v>125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>"20:15:58.508"</f>
        <v>20:15:58.508</v>
      </c>
      <c r="T763" t="str">
        <f>"20:15:58.108"</f>
        <v>20:15:58.108</v>
      </c>
      <c r="U763" t="str">
        <f t="shared" si="34"/>
        <v>AB01F4</v>
      </c>
      <c r="V763">
        <v>0</v>
      </c>
      <c r="W763">
        <v>0</v>
      </c>
      <c r="X763">
        <v>2</v>
      </c>
      <c r="Z763">
        <v>0</v>
      </c>
      <c r="AA763">
        <v>9</v>
      </c>
      <c r="AB763">
        <v>3</v>
      </c>
      <c r="AC763">
        <v>0</v>
      </c>
      <c r="AD763">
        <v>10</v>
      </c>
      <c r="AE763">
        <v>0</v>
      </c>
      <c r="AF763">
        <v>3</v>
      </c>
      <c r="AG763">
        <v>2</v>
      </c>
      <c r="AH763">
        <v>0</v>
      </c>
      <c r="AI763" t="s">
        <v>645</v>
      </c>
      <c r="AJ763">
        <v>39.653049000000003</v>
      </c>
      <c r="AK763" t="s">
        <v>646</v>
      </c>
      <c r="AL763">
        <v>-92.508595</v>
      </c>
      <c r="AM763">
        <v>100</v>
      </c>
      <c r="AN763">
        <v>1700</v>
      </c>
      <c r="AO763" t="s">
        <v>118</v>
      </c>
      <c r="AP763">
        <v>-34</v>
      </c>
      <c r="AQ763">
        <v>129</v>
      </c>
      <c r="AR763">
        <v>-128</v>
      </c>
      <c r="AZ763">
        <v>1200</v>
      </c>
      <c r="BA763">
        <v>1</v>
      </c>
      <c r="BB763" t="str">
        <f t="shared" si="36"/>
        <v xml:space="preserve">N8080G  </v>
      </c>
      <c r="BC763">
        <v>1</v>
      </c>
      <c r="BE763">
        <v>0</v>
      </c>
      <c r="BF763">
        <v>0</v>
      </c>
      <c r="BG763">
        <v>0</v>
      </c>
      <c r="BH763">
        <v>1675</v>
      </c>
      <c r="BI763">
        <v>1</v>
      </c>
      <c r="BJ763">
        <v>1</v>
      </c>
      <c r="BK763">
        <v>1</v>
      </c>
      <c r="BL763">
        <v>0</v>
      </c>
      <c r="BO763">
        <v>0</v>
      </c>
      <c r="BP763">
        <v>0</v>
      </c>
      <c r="BW763" t="str">
        <f>"20:15:58.510"</f>
        <v>20:15:58.510</v>
      </c>
      <c r="BZ763">
        <v>0</v>
      </c>
      <c r="CA763">
        <v>2016</v>
      </c>
      <c r="CB763">
        <v>224</v>
      </c>
      <c r="CD763">
        <v>1</v>
      </c>
      <c r="CE763">
        <v>0</v>
      </c>
      <c r="CF763">
        <v>0</v>
      </c>
      <c r="CG763">
        <v>1</v>
      </c>
      <c r="CH763">
        <v>0</v>
      </c>
      <c r="CI763">
        <v>0</v>
      </c>
      <c r="CJ763">
        <v>0</v>
      </c>
      <c r="CK763">
        <v>2</v>
      </c>
      <c r="CL763">
        <v>0</v>
      </c>
      <c r="CM763">
        <v>2</v>
      </c>
      <c r="CN763">
        <v>0</v>
      </c>
      <c r="CO763">
        <v>7</v>
      </c>
      <c r="CP763" t="s">
        <v>119</v>
      </c>
      <c r="CQ763">
        <v>180</v>
      </c>
      <c r="CR763">
        <v>2</v>
      </c>
      <c r="CW763">
        <v>7964835</v>
      </c>
      <c r="CY763">
        <v>1</v>
      </c>
      <c r="CZ763">
        <v>0</v>
      </c>
      <c r="DA763">
        <v>1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</row>
    <row r="764" spans="1:113" x14ac:dyDescent="0.3">
      <c r="A764" t="str">
        <f>"02/08/2021 20:15:57.518"</f>
        <v>02/08/2021 20:15:57.518</v>
      </c>
      <c r="C764" t="str">
        <f t="shared" si="35"/>
        <v>FFDFD7C0</v>
      </c>
      <c r="D764" t="s">
        <v>124</v>
      </c>
      <c r="E764">
        <v>13</v>
      </c>
      <c r="F764">
        <v>1013</v>
      </c>
      <c r="G764" t="s">
        <v>114</v>
      </c>
      <c r="J764" t="s">
        <v>125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>"20:15:59.867"</f>
        <v>20:15:59.867</v>
      </c>
      <c r="T764" t="str">
        <f>"20:15:59.467"</f>
        <v>20:15:59.467</v>
      </c>
      <c r="U764" t="str">
        <f t="shared" si="34"/>
        <v>AB01F4</v>
      </c>
      <c r="V764">
        <v>0</v>
      </c>
      <c r="W764">
        <v>0</v>
      </c>
      <c r="X764">
        <v>2</v>
      </c>
      <c r="Z764">
        <v>0</v>
      </c>
      <c r="AA764">
        <v>9</v>
      </c>
      <c r="AB764">
        <v>3</v>
      </c>
      <c r="AC764">
        <v>0</v>
      </c>
      <c r="AD764">
        <v>10</v>
      </c>
      <c r="AE764">
        <v>0</v>
      </c>
      <c r="AF764">
        <v>3</v>
      </c>
      <c r="AG764">
        <v>2</v>
      </c>
      <c r="AH764">
        <v>0</v>
      </c>
      <c r="AI764" t="s">
        <v>647</v>
      </c>
      <c r="AJ764">
        <v>39.653799999999997</v>
      </c>
      <c r="AK764" t="s">
        <v>648</v>
      </c>
      <c r="AL764">
        <v>-92.508852000000005</v>
      </c>
      <c r="AM764">
        <v>100</v>
      </c>
      <c r="AN764">
        <v>1700</v>
      </c>
      <c r="AO764" t="s">
        <v>118</v>
      </c>
      <c r="AP764">
        <v>-34</v>
      </c>
      <c r="AQ764">
        <v>128</v>
      </c>
      <c r="AR764">
        <v>-64</v>
      </c>
      <c r="AZ764">
        <v>1200</v>
      </c>
      <c r="BA764">
        <v>1</v>
      </c>
      <c r="BB764" t="str">
        <f t="shared" si="36"/>
        <v xml:space="preserve">N8080G  </v>
      </c>
      <c r="BC764">
        <v>1</v>
      </c>
      <c r="BE764">
        <v>0</v>
      </c>
      <c r="BF764">
        <v>0</v>
      </c>
      <c r="BG764">
        <v>0</v>
      </c>
      <c r="BH764">
        <v>1675</v>
      </c>
      <c r="BI764">
        <v>1</v>
      </c>
      <c r="BJ764">
        <v>1</v>
      </c>
      <c r="BK764">
        <v>1</v>
      </c>
      <c r="BL764">
        <v>0</v>
      </c>
      <c r="BO764">
        <v>0</v>
      </c>
      <c r="BP764">
        <v>0</v>
      </c>
      <c r="BW764" t="str">
        <f>"20:15:59.868"</f>
        <v>20:15:59.868</v>
      </c>
      <c r="BZ764">
        <v>0</v>
      </c>
      <c r="CA764">
        <v>2016</v>
      </c>
      <c r="CB764">
        <v>224</v>
      </c>
      <c r="CD764">
        <v>1</v>
      </c>
      <c r="CE764">
        <v>0</v>
      </c>
      <c r="CF764">
        <v>0</v>
      </c>
      <c r="CG764">
        <v>1</v>
      </c>
      <c r="CH764">
        <v>0</v>
      </c>
      <c r="CI764">
        <v>0</v>
      </c>
      <c r="CJ764">
        <v>0</v>
      </c>
      <c r="CK764">
        <v>2</v>
      </c>
      <c r="CL764">
        <v>0</v>
      </c>
      <c r="CM764">
        <v>2</v>
      </c>
      <c r="CN764">
        <v>0</v>
      </c>
      <c r="CO764">
        <v>7</v>
      </c>
      <c r="CP764" t="s">
        <v>119</v>
      </c>
      <c r="CQ764">
        <v>180</v>
      </c>
      <c r="CR764">
        <v>2</v>
      </c>
      <c r="CW764">
        <v>7966007</v>
      </c>
      <c r="CY764">
        <v>1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</row>
    <row r="765" spans="1:113" x14ac:dyDescent="0.3">
      <c r="A765" t="str">
        <f>"02/08/2021 20:15:57.518"</f>
        <v>02/08/2021 20:15:57.518</v>
      </c>
      <c r="C765" t="str">
        <f t="shared" si="35"/>
        <v>FFDFD7C0</v>
      </c>
      <c r="D765" t="s">
        <v>113</v>
      </c>
      <c r="E765">
        <v>6</v>
      </c>
      <c r="H765">
        <v>165</v>
      </c>
      <c r="I765" t="s">
        <v>114</v>
      </c>
      <c r="J765" t="s">
        <v>115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>"20:15:59.867"</f>
        <v>20:15:59.867</v>
      </c>
      <c r="T765" t="str">
        <f>"20:15:59.467"</f>
        <v>20:15:59.467</v>
      </c>
      <c r="U765" t="str">
        <f t="shared" si="34"/>
        <v>AB01F4</v>
      </c>
      <c r="V765">
        <v>0</v>
      </c>
      <c r="W765">
        <v>0</v>
      </c>
      <c r="X765">
        <v>2</v>
      </c>
      <c r="Z765">
        <v>0</v>
      </c>
      <c r="AA765">
        <v>9</v>
      </c>
      <c r="AB765">
        <v>3</v>
      </c>
      <c r="AC765">
        <v>0</v>
      </c>
      <c r="AD765">
        <v>10</v>
      </c>
      <c r="AE765">
        <v>0</v>
      </c>
      <c r="AF765">
        <v>3</v>
      </c>
      <c r="AG765">
        <v>2</v>
      </c>
      <c r="AH765">
        <v>0</v>
      </c>
      <c r="AI765" t="s">
        <v>647</v>
      </c>
      <c r="AJ765">
        <v>39.653799999999997</v>
      </c>
      <c r="AK765" t="s">
        <v>648</v>
      </c>
      <c r="AL765">
        <v>-92.508852000000005</v>
      </c>
      <c r="AM765">
        <v>100</v>
      </c>
      <c r="AN765">
        <v>1700</v>
      </c>
      <c r="AO765" t="s">
        <v>118</v>
      </c>
      <c r="AP765">
        <v>-34</v>
      </c>
      <c r="AQ765">
        <v>128</v>
      </c>
      <c r="AR765">
        <v>-64</v>
      </c>
      <c r="AZ765">
        <v>1200</v>
      </c>
      <c r="BA765">
        <v>1</v>
      </c>
      <c r="BB765" t="str">
        <f t="shared" si="36"/>
        <v xml:space="preserve">N8080G  </v>
      </c>
      <c r="BC765">
        <v>1</v>
      </c>
      <c r="BE765">
        <v>0</v>
      </c>
      <c r="BF765">
        <v>0</v>
      </c>
      <c r="BG765">
        <v>0</v>
      </c>
      <c r="BH765">
        <v>1675</v>
      </c>
      <c r="BI765">
        <v>1</v>
      </c>
      <c r="BJ765">
        <v>1</v>
      </c>
      <c r="BK765">
        <v>1</v>
      </c>
      <c r="BL765">
        <v>0</v>
      </c>
      <c r="BO765">
        <v>0</v>
      </c>
      <c r="BP765">
        <v>0</v>
      </c>
      <c r="BW765" t="str">
        <f>"20:15:59.868"</f>
        <v>20:15:59.868</v>
      </c>
      <c r="BZ765">
        <v>0</v>
      </c>
      <c r="CA765">
        <v>2016</v>
      </c>
      <c r="CB765">
        <v>224</v>
      </c>
      <c r="CD765">
        <v>1</v>
      </c>
      <c r="CE765">
        <v>0</v>
      </c>
      <c r="CF765">
        <v>0</v>
      </c>
      <c r="CG765">
        <v>1</v>
      </c>
      <c r="CH765">
        <v>0</v>
      </c>
      <c r="CI765">
        <v>0</v>
      </c>
      <c r="CJ765">
        <v>0</v>
      </c>
      <c r="CK765">
        <v>2</v>
      </c>
      <c r="CL765">
        <v>0</v>
      </c>
      <c r="CM765">
        <v>2</v>
      </c>
      <c r="CN765">
        <v>0</v>
      </c>
      <c r="CO765">
        <v>7</v>
      </c>
      <c r="CP765" t="s">
        <v>119</v>
      </c>
      <c r="CQ765">
        <v>180</v>
      </c>
      <c r="CR765">
        <v>2</v>
      </c>
      <c r="CW765">
        <v>7966007</v>
      </c>
      <c r="CY765">
        <v>1</v>
      </c>
      <c r="CZ765">
        <v>0</v>
      </c>
      <c r="DA765">
        <v>1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</row>
    <row r="766" spans="1:113" x14ac:dyDescent="0.3">
      <c r="A766" t="str">
        <f>"02/08/2021 20:15:57.518"</f>
        <v>02/08/2021 20:15:57.518</v>
      </c>
      <c r="C766" t="str">
        <f t="shared" si="35"/>
        <v>FFDFD7C0</v>
      </c>
      <c r="D766" t="s">
        <v>124</v>
      </c>
      <c r="E766">
        <v>11</v>
      </c>
      <c r="F766">
        <v>1011</v>
      </c>
      <c r="G766" t="s">
        <v>590</v>
      </c>
      <c r="J766" t="s">
        <v>125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>"20:15:59.867"</f>
        <v>20:15:59.867</v>
      </c>
      <c r="T766" t="str">
        <f>"20:15:59.467"</f>
        <v>20:15:59.467</v>
      </c>
      <c r="U766" t="str">
        <f t="shared" si="34"/>
        <v>AB01F4</v>
      </c>
      <c r="V766">
        <v>0</v>
      </c>
      <c r="W766">
        <v>0</v>
      </c>
      <c r="X766">
        <v>2</v>
      </c>
      <c r="Z766">
        <v>0</v>
      </c>
      <c r="AA766">
        <v>9</v>
      </c>
      <c r="AB766">
        <v>3</v>
      </c>
      <c r="AC766">
        <v>0</v>
      </c>
      <c r="AD766">
        <v>10</v>
      </c>
      <c r="AE766">
        <v>0</v>
      </c>
      <c r="AF766">
        <v>3</v>
      </c>
      <c r="AG766">
        <v>2</v>
      </c>
      <c r="AH766">
        <v>0</v>
      </c>
      <c r="AI766" t="s">
        <v>647</v>
      </c>
      <c r="AJ766">
        <v>39.653799999999997</v>
      </c>
      <c r="AK766" t="s">
        <v>648</v>
      </c>
      <c r="AL766">
        <v>-92.508852000000005</v>
      </c>
      <c r="AM766">
        <v>100</v>
      </c>
      <c r="AN766">
        <v>1700</v>
      </c>
      <c r="AO766" t="s">
        <v>118</v>
      </c>
      <c r="AP766">
        <v>-34</v>
      </c>
      <c r="AQ766">
        <v>128</v>
      </c>
      <c r="AR766">
        <v>-64</v>
      </c>
      <c r="AZ766">
        <v>1200</v>
      </c>
      <c r="BA766">
        <v>1</v>
      </c>
      <c r="BB766" t="str">
        <f t="shared" si="36"/>
        <v xml:space="preserve">N8080G  </v>
      </c>
      <c r="BC766">
        <v>1</v>
      </c>
      <c r="BE766">
        <v>0</v>
      </c>
      <c r="BF766">
        <v>0</v>
      </c>
      <c r="BG766">
        <v>0</v>
      </c>
      <c r="BH766">
        <v>1675</v>
      </c>
      <c r="BI766">
        <v>1</v>
      </c>
      <c r="BJ766">
        <v>1</v>
      </c>
      <c r="BK766">
        <v>1</v>
      </c>
      <c r="BL766">
        <v>0</v>
      </c>
      <c r="BO766">
        <v>0</v>
      </c>
      <c r="BP766">
        <v>0</v>
      </c>
      <c r="BW766" t="str">
        <f>"20:15:59.868"</f>
        <v>20:15:59.868</v>
      </c>
      <c r="BZ766">
        <v>0</v>
      </c>
      <c r="CA766">
        <v>2016</v>
      </c>
      <c r="CB766">
        <v>224</v>
      </c>
      <c r="CD766">
        <v>1</v>
      </c>
      <c r="CE766">
        <v>0</v>
      </c>
      <c r="CF766">
        <v>0</v>
      </c>
      <c r="CG766">
        <v>1</v>
      </c>
      <c r="CH766">
        <v>0</v>
      </c>
      <c r="CI766">
        <v>0</v>
      </c>
      <c r="CJ766">
        <v>0</v>
      </c>
      <c r="CK766">
        <v>2</v>
      </c>
      <c r="CL766">
        <v>0</v>
      </c>
      <c r="CM766">
        <v>2</v>
      </c>
      <c r="CN766">
        <v>0</v>
      </c>
      <c r="CO766">
        <v>7</v>
      </c>
      <c r="CP766" t="s">
        <v>119</v>
      </c>
      <c r="CQ766">
        <v>180</v>
      </c>
      <c r="CR766">
        <v>2</v>
      </c>
      <c r="CW766">
        <v>7966007</v>
      </c>
      <c r="CY766">
        <v>1</v>
      </c>
      <c r="CZ766">
        <v>0</v>
      </c>
      <c r="DA766">
        <v>1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</row>
    <row r="767" spans="1:113" x14ac:dyDescent="0.3">
      <c r="A767" t="str">
        <f>"02/08/2021 20:15:58.846"</f>
        <v>02/08/2021 20:15:58.846</v>
      </c>
      <c r="C767" t="str">
        <f t="shared" si="35"/>
        <v>FFDFD7C0</v>
      </c>
      <c r="D767" t="s">
        <v>124</v>
      </c>
      <c r="E767">
        <v>11</v>
      </c>
      <c r="F767">
        <v>1011</v>
      </c>
      <c r="G767" t="s">
        <v>590</v>
      </c>
      <c r="J767" t="s">
        <v>125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>"20:16:01.195"</f>
        <v>20:16:01.195</v>
      </c>
      <c r="T767" t="str">
        <f>"20:16:00.795"</f>
        <v>20:16:00.795</v>
      </c>
      <c r="U767" t="str">
        <f t="shared" si="34"/>
        <v>AB01F4</v>
      </c>
      <c r="V767">
        <v>0</v>
      </c>
      <c r="W767">
        <v>0</v>
      </c>
      <c r="X767">
        <v>2</v>
      </c>
      <c r="Z767">
        <v>0</v>
      </c>
      <c r="AA767">
        <v>9</v>
      </c>
      <c r="AB767">
        <v>3</v>
      </c>
      <c r="AC767">
        <v>0</v>
      </c>
      <c r="AD767">
        <v>10</v>
      </c>
      <c r="AE767">
        <v>0</v>
      </c>
      <c r="AF767">
        <v>3</v>
      </c>
      <c r="AG767">
        <v>2</v>
      </c>
      <c r="AH767">
        <v>0</v>
      </c>
      <c r="AI767" t="s">
        <v>649</v>
      </c>
      <c r="AJ767">
        <v>39.654550999999998</v>
      </c>
      <c r="AK767" t="s">
        <v>650</v>
      </c>
      <c r="AL767">
        <v>-92.509130999999996</v>
      </c>
      <c r="AM767">
        <v>100</v>
      </c>
      <c r="AN767">
        <v>1700</v>
      </c>
      <c r="AO767" t="s">
        <v>118</v>
      </c>
      <c r="AP767">
        <v>-34</v>
      </c>
      <c r="AQ767">
        <v>128</v>
      </c>
      <c r="AR767">
        <v>-64</v>
      </c>
      <c r="AZ767">
        <v>1200</v>
      </c>
      <c r="BA767">
        <v>1</v>
      </c>
      <c r="BB767" t="str">
        <f t="shared" si="36"/>
        <v xml:space="preserve">N8080G  </v>
      </c>
      <c r="BC767">
        <v>1</v>
      </c>
      <c r="BE767">
        <v>0</v>
      </c>
      <c r="BF767">
        <v>0</v>
      </c>
      <c r="BG767">
        <v>0</v>
      </c>
      <c r="BH767">
        <v>1675</v>
      </c>
      <c r="BI767">
        <v>1</v>
      </c>
      <c r="BJ767">
        <v>1</v>
      </c>
      <c r="BK767">
        <v>1</v>
      </c>
      <c r="BL767">
        <v>0</v>
      </c>
      <c r="BO767">
        <v>0</v>
      </c>
      <c r="BP767">
        <v>0</v>
      </c>
      <c r="BW767" t="str">
        <f>"20:16:01.198"</f>
        <v>20:16:01.198</v>
      </c>
      <c r="BZ767">
        <v>0</v>
      </c>
      <c r="CA767">
        <v>2016</v>
      </c>
      <c r="CB767">
        <v>224</v>
      </c>
      <c r="CD767">
        <v>1</v>
      </c>
      <c r="CE767">
        <v>0</v>
      </c>
      <c r="CF767">
        <v>0</v>
      </c>
      <c r="CG767">
        <v>1</v>
      </c>
      <c r="CH767">
        <v>0</v>
      </c>
      <c r="CI767">
        <v>0</v>
      </c>
      <c r="CJ767">
        <v>0</v>
      </c>
      <c r="CK767">
        <v>2</v>
      </c>
      <c r="CL767">
        <v>0</v>
      </c>
      <c r="CM767">
        <v>2</v>
      </c>
      <c r="CN767">
        <v>0</v>
      </c>
      <c r="CO767">
        <v>7</v>
      </c>
      <c r="CP767" t="s">
        <v>119</v>
      </c>
      <c r="CQ767">
        <v>180</v>
      </c>
      <c r="CR767">
        <v>2</v>
      </c>
      <c r="CW767">
        <v>7967189</v>
      </c>
      <c r="CY767">
        <v>1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</row>
    <row r="768" spans="1:113" x14ac:dyDescent="0.3">
      <c r="A768" t="str">
        <f>"02/08/2021 20:15:58.846"</f>
        <v>02/08/2021 20:15:58.846</v>
      </c>
      <c r="C768" t="str">
        <f t="shared" si="35"/>
        <v>FFDFD7C0</v>
      </c>
      <c r="D768" t="s">
        <v>113</v>
      </c>
      <c r="E768">
        <v>6</v>
      </c>
      <c r="H768">
        <v>165</v>
      </c>
      <c r="I768" t="s">
        <v>114</v>
      </c>
      <c r="J768" t="s">
        <v>115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>"20:16:01.195"</f>
        <v>20:16:01.195</v>
      </c>
      <c r="T768" t="str">
        <f>"20:16:00.795"</f>
        <v>20:16:00.795</v>
      </c>
      <c r="U768" t="str">
        <f t="shared" si="34"/>
        <v>AB01F4</v>
      </c>
      <c r="V768">
        <v>0</v>
      </c>
      <c r="W768">
        <v>0</v>
      </c>
      <c r="X768">
        <v>2</v>
      </c>
      <c r="Z768">
        <v>0</v>
      </c>
      <c r="AA768">
        <v>9</v>
      </c>
      <c r="AB768">
        <v>3</v>
      </c>
      <c r="AC768">
        <v>0</v>
      </c>
      <c r="AD768">
        <v>10</v>
      </c>
      <c r="AE768">
        <v>0</v>
      </c>
      <c r="AF768">
        <v>3</v>
      </c>
      <c r="AG768">
        <v>2</v>
      </c>
      <c r="AH768">
        <v>0</v>
      </c>
      <c r="AI768" t="s">
        <v>649</v>
      </c>
      <c r="AJ768">
        <v>39.654550999999998</v>
      </c>
      <c r="AK768" t="s">
        <v>650</v>
      </c>
      <c r="AL768">
        <v>-92.509130999999996</v>
      </c>
      <c r="AM768">
        <v>100</v>
      </c>
      <c r="AN768">
        <v>1700</v>
      </c>
      <c r="AO768" t="s">
        <v>118</v>
      </c>
      <c r="AP768">
        <v>-34</v>
      </c>
      <c r="AQ768">
        <v>128</v>
      </c>
      <c r="AR768">
        <v>-64</v>
      </c>
      <c r="AZ768">
        <v>1200</v>
      </c>
      <c r="BA768">
        <v>1</v>
      </c>
      <c r="BB768" t="str">
        <f t="shared" si="36"/>
        <v xml:space="preserve">N8080G  </v>
      </c>
      <c r="BC768">
        <v>1</v>
      </c>
      <c r="BE768">
        <v>0</v>
      </c>
      <c r="BF768">
        <v>0</v>
      </c>
      <c r="BG768">
        <v>0</v>
      </c>
      <c r="BH768">
        <v>1675</v>
      </c>
      <c r="BI768">
        <v>1</v>
      </c>
      <c r="BJ768">
        <v>1</v>
      </c>
      <c r="BK768">
        <v>1</v>
      </c>
      <c r="BL768">
        <v>0</v>
      </c>
      <c r="BO768">
        <v>0</v>
      </c>
      <c r="BP768">
        <v>0</v>
      </c>
      <c r="BW768" t="str">
        <f>"20:16:01.198"</f>
        <v>20:16:01.198</v>
      </c>
      <c r="BZ768">
        <v>0</v>
      </c>
      <c r="CA768">
        <v>2016</v>
      </c>
      <c r="CB768">
        <v>224</v>
      </c>
      <c r="CD768">
        <v>1</v>
      </c>
      <c r="CE768">
        <v>0</v>
      </c>
      <c r="CF768">
        <v>0</v>
      </c>
      <c r="CG768">
        <v>1</v>
      </c>
      <c r="CH768">
        <v>0</v>
      </c>
      <c r="CI768">
        <v>0</v>
      </c>
      <c r="CJ768">
        <v>0</v>
      </c>
      <c r="CK768">
        <v>2</v>
      </c>
      <c r="CL768">
        <v>0</v>
      </c>
      <c r="CM768">
        <v>2</v>
      </c>
      <c r="CN768">
        <v>0</v>
      </c>
      <c r="CO768">
        <v>7</v>
      </c>
      <c r="CP768" t="s">
        <v>119</v>
      </c>
      <c r="CQ768">
        <v>180</v>
      </c>
      <c r="CR768">
        <v>2</v>
      </c>
      <c r="CW768">
        <v>7967189</v>
      </c>
      <c r="CY768">
        <v>1</v>
      </c>
      <c r="CZ768">
        <v>0</v>
      </c>
      <c r="DA768">
        <v>1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</row>
    <row r="769" spans="1:113" x14ac:dyDescent="0.3">
      <c r="A769" t="str">
        <f>"02/08/2021 20:15:58.846"</f>
        <v>02/08/2021 20:15:58.846</v>
      </c>
      <c r="C769" t="str">
        <f t="shared" si="35"/>
        <v>FFDFD7C0</v>
      </c>
      <c r="D769" t="s">
        <v>124</v>
      </c>
      <c r="E769">
        <v>13</v>
      </c>
      <c r="F769">
        <v>1013</v>
      </c>
      <c r="G769" t="s">
        <v>114</v>
      </c>
      <c r="J769" t="s">
        <v>125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>"20:16:01.195"</f>
        <v>20:16:01.195</v>
      </c>
      <c r="T769" t="str">
        <f>"20:16:00.795"</f>
        <v>20:16:00.795</v>
      </c>
      <c r="U769" t="str">
        <f t="shared" si="34"/>
        <v>AB01F4</v>
      </c>
      <c r="V769">
        <v>0</v>
      </c>
      <c r="W769">
        <v>0</v>
      </c>
      <c r="X769">
        <v>2</v>
      </c>
      <c r="Z769">
        <v>0</v>
      </c>
      <c r="AA769">
        <v>9</v>
      </c>
      <c r="AB769">
        <v>3</v>
      </c>
      <c r="AC769">
        <v>0</v>
      </c>
      <c r="AD769">
        <v>10</v>
      </c>
      <c r="AE769">
        <v>0</v>
      </c>
      <c r="AF769">
        <v>3</v>
      </c>
      <c r="AG769">
        <v>2</v>
      </c>
      <c r="AH769">
        <v>0</v>
      </c>
      <c r="AI769" t="s">
        <v>649</v>
      </c>
      <c r="AJ769">
        <v>39.654550999999998</v>
      </c>
      <c r="AK769" t="s">
        <v>650</v>
      </c>
      <c r="AL769">
        <v>-92.509130999999996</v>
      </c>
      <c r="AM769">
        <v>100</v>
      </c>
      <c r="AN769">
        <v>1700</v>
      </c>
      <c r="AO769" t="s">
        <v>118</v>
      </c>
      <c r="AP769">
        <v>-34</v>
      </c>
      <c r="AQ769">
        <v>128</v>
      </c>
      <c r="AR769">
        <v>-64</v>
      </c>
      <c r="AZ769">
        <v>1200</v>
      </c>
      <c r="BA769">
        <v>1</v>
      </c>
      <c r="BB769" t="str">
        <f t="shared" si="36"/>
        <v xml:space="preserve">N8080G  </v>
      </c>
      <c r="BC769">
        <v>1</v>
      </c>
      <c r="BE769">
        <v>0</v>
      </c>
      <c r="BF769">
        <v>0</v>
      </c>
      <c r="BG769">
        <v>0</v>
      </c>
      <c r="BH769">
        <v>1675</v>
      </c>
      <c r="BI769">
        <v>1</v>
      </c>
      <c r="BJ769">
        <v>1</v>
      </c>
      <c r="BK769">
        <v>1</v>
      </c>
      <c r="BL769">
        <v>0</v>
      </c>
      <c r="BO769">
        <v>0</v>
      </c>
      <c r="BP769">
        <v>0</v>
      </c>
      <c r="BW769" t="str">
        <f>"20:16:01.198"</f>
        <v>20:16:01.198</v>
      </c>
      <c r="BZ769">
        <v>0</v>
      </c>
      <c r="CA769">
        <v>2016</v>
      </c>
      <c r="CB769">
        <v>224</v>
      </c>
      <c r="CD769">
        <v>1</v>
      </c>
      <c r="CE769">
        <v>0</v>
      </c>
      <c r="CF769">
        <v>0</v>
      </c>
      <c r="CG769">
        <v>1</v>
      </c>
      <c r="CH769">
        <v>0</v>
      </c>
      <c r="CI769">
        <v>0</v>
      </c>
      <c r="CJ769">
        <v>0</v>
      </c>
      <c r="CK769">
        <v>2</v>
      </c>
      <c r="CL769">
        <v>0</v>
      </c>
      <c r="CM769">
        <v>2</v>
      </c>
      <c r="CN769">
        <v>0</v>
      </c>
      <c r="CO769">
        <v>7</v>
      </c>
      <c r="CP769" t="s">
        <v>119</v>
      </c>
      <c r="CQ769">
        <v>180</v>
      </c>
      <c r="CR769">
        <v>2</v>
      </c>
      <c r="CW769">
        <v>7967189</v>
      </c>
      <c r="CY769">
        <v>1</v>
      </c>
      <c r="CZ769">
        <v>0</v>
      </c>
      <c r="DA769">
        <v>1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</row>
    <row r="770" spans="1:113" x14ac:dyDescent="0.3">
      <c r="A770" t="str">
        <f>"02/08/2021 20:16:01.265"</f>
        <v>02/08/2021 20:16:01.265</v>
      </c>
      <c r="C770" t="str">
        <f t="shared" si="35"/>
        <v>FFDFD7C0</v>
      </c>
      <c r="D770" t="s">
        <v>124</v>
      </c>
      <c r="E770">
        <v>11</v>
      </c>
      <c r="F770">
        <v>1011</v>
      </c>
      <c r="G770" t="s">
        <v>590</v>
      </c>
      <c r="J770" t="s">
        <v>125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>"20:16:03.578"</f>
        <v>20:16:03.578</v>
      </c>
      <c r="T770" t="str">
        <f>"20:16:03.178"</f>
        <v>20:16:03.178</v>
      </c>
      <c r="U770" t="str">
        <f t="shared" ref="U770:U833" si="37">"AB01F4"</f>
        <v>AB01F4</v>
      </c>
      <c r="V770">
        <v>0</v>
      </c>
      <c r="W770">
        <v>0</v>
      </c>
      <c r="X770">
        <v>2</v>
      </c>
      <c r="Z770">
        <v>0</v>
      </c>
      <c r="AA770">
        <v>9</v>
      </c>
      <c r="AB770">
        <v>3</v>
      </c>
      <c r="AC770">
        <v>0</v>
      </c>
      <c r="AD770">
        <v>10</v>
      </c>
      <c r="AE770">
        <v>0</v>
      </c>
      <c r="AF770">
        <v>3</v>
      </c>
      <c r="AG770">
        <v>2</v>
      </c>
      <c r="AH770">
        <v>0</v>
      </c>
      <c r="AI770" t="s">
        <v>651</v>
      </c>
      <c r="AJ770">
        <v>39.655966999999997</v>
      </c>
      <c r="AK770" t="s">
        <v>652</v>
      </c>
      <c r="AL770">
        <v>-92.509603999999996</v>
      </c>
      <c r="AM770">
        <v>100</v>
      </c>
      <c r="AN770">
        <v>1700</v>
      </c>
      <c r="AO770" t="s">
        <v>118</v>
      </c>
      <c r="AP770">
        <v>-34</v>
      </c>
      <c r="AQ770">
        <v>127</v>
      </c>
      <c r="AR770">
        <v>-64</v>
      </c>
      <c r="AZ770">
        <v>1200</v>
      </c>
      <c r="BA770">
        <v>1</v>
      </c>
      <c r="BB770" t="str">
        <f t="shared" si="36"/>
        <v xml:space="preserve">N8080G  </v>
      </c>
      <c r="BC770">
        <v>1</v>
      </c>
      <c r="BE770">
        <v>0</v>
      </c>
      <c r="BF770">
        <v>0</v>
      </c>
      <c r="BG770">
        <v>0</v>
      </c>
      <c r="BH770">
        <v>1675</v>
      </c>
      <c r="BI770">
        <v>1</v>
      </c>
      <c r="BJ770">
        <v>1</v>
      </c>
      <c r="BK770">
        <v>1</v>
      </c>
      <c r="BL770">
        <v>0</v>
      </c>
      <c r="BO770">
        <v>0</v>
      </c>
      <c r="BP770">
        <v>0</v>
      </c>
      <c r="BW770" t="str">
        <f>"20:16:03.582"</f>
        <v>20:16:03.582</v>
      </c>
      <c r="BZ770">
        <v>0</v>
      </c>
      <c r="CA770">
        <v>2016</v>
      </c>
      <c r="CB770">
        <v>224</v>
      </c>
      <c r="CD770">
        <v>1</v>
      </c>
      <c r="CE770">
        <v>0</v>
      </c>
      <c r="CF770">
        <v>0</v>
      </c>
      <c r="CG770">
        <v>1</v>
      </c>
      <c r="CH770">
        <v>0</v>
      </c>
      <c r="CI770">
        <v>0</v>
      </c>
      <c r="CJ770">
        <v>0</v>
      </c>
      <c r="CK770">
        <v>2</v>
      </c>
      <c r="CL770">
        <v>0</v>
      </c>
      <c r="CM770">
        <v>2</v>
      </c>
      <c r="CN770">
        <v>0</v>
      </c>
      <c r="CO770">
        <v>7</v>
      </c>
      <c r="CP770" t="s">
        <v>119</v>
      </c>
      <c r="CQ770">
        <v>180</v>
      </c>
      <c r="CR770">
        <v>2</v>
      </c>
      <c r="CW770">
        <v>7969205</v>
      </c>
      <c r="CY770">
        <v>1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</row>
    <row r="771" spans="1:113" x14ac:dyDescent="0.3">
      <c r="A771" t="str">
        <f>"02/08/2021 20:16:01.265"</f>
        <v>02/08/2021 20:16:01.265</v>
      </c>
      <c r="C771" t="str">
        <f t="shared" si="35"/>
        <v>FFDFD7C0</v>
      </c>
      <c r="D771" t="s">
        <v>113</v>
      </c>
      <c r="E771">
        <v>6</v>
      </c>
      <c r="H771">
        <v>165</v>
      </c>
      <c r="I771" t="s">
        <v>114</v>
      </c>
      <c r="J771" t="s">
        <v>115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>"20:16:03.578"</f>
        <v>20:16:03.578</v>
      </c>
      <c r="T771" t="str">
        <f>"20:16:03.178"</f>
        <v>20:16:03.178</v>
      </c>
      <c r="U771" t="str">
        <f t="shared" si="37"/>
        <v>AB01F4</v>
      </c>
      <c r="V771">
        <v>0</v>
      </c>
      <c r="W771">
        <v>0</v>
      </c>
      <c r="X771">
        <v>2</v>
      </c>
      <c r="Z771">
        <v>0</v>
      </c>
      <c r="AA771">
        <v>9</v>
      </c>
      <c r="AB771">
        <v>3</v>
      </c>
      <c r="AC771">
        <v>0</v>
      </c>
      <c r="AD771">
        <v>10</v>
      </c>
      <c r="AE771">
        <v>0</v>
      </c>
      <c r="AF771">
        <v>3</v>
      </c>
      <c r="AG771">
        <v>2</v>
      </c>
      <c r="AH771">
        <v>0</v>
      </c>
      <c r="AI771" t="s">
        <v>651</v>
      </c>
      <c r="AJ771">
        <v>39.655966999999997</v>
      </c>
      <c r="AK771" t="s">
        <v>652</v>
      </c>
      <c r="AL771">
        <v>-92.509603999999996</v>
      </c>
      <c r="AM771">
        <v>100</v>
      </c>
      <c r="AN771">
        <v>1700</v>
      </c>
      <c r="AO771" t="s">
        <v>118</v>
      </c>
      <c r="AP771">
        <v>-34</v>
      </c>
      <c r="AQ771">
        <v>127</v>
      </c>
      <c r="AR771">
        <v>-64</v>
      </c>
      <c r="AZ771">
        <v>1200</v>
      </c>
      <c r="BA771">
        <v>1</v>
      </c>
      <c r="BB771" t="str">
        <f t="shared" si="36"/>
        <v xml:space="preserve">N8080G  </v>
      </c>
      <c r="BC771">
        <v>1</v>
      </c>
      <c r="BE771">
        <v>0</v>
      </c>
      <c r="BF771">
        <v>0</v>
      </c>
      <c r="BG771">
        <v>0</v>
      </c>
      <c r="BH771">
        <v>1675</v>
      </c>
      <c r="BI771">
        <v>1</v>
      </c>
      <c r="BJ771">
        <v>1</v>
      </c>
      <c r="BK771">
        <v>1</v>
      </c>
      <c r="BL771">
        <v>0</v>
      </c>
      <c r="BO771">
        <v>0</v>
      </c>
      <c r="BP771">
        <v>0</v>
      </c>
      <c r="BW771" t="str">
        <f>"20:16:03.582"</f>
        <v>20:16:03.582</v>
      </c>
      <c r="BZ771">
        <v>0</v>
      </c>
      <c r="CA771">
        <v>2016</v>
      </c>
      <c r="CB771">
        <v>224</v>
      </c>
      <c r="CD771">
        <v>1</v>
      </c>
      <c r="CE771">
        <v>0</v>
      </c>
      <c r="CF771">
        <v>0</v>
      </c>
      <c r="CG771">
        <v>1</v>
      </c>
      <c r="CH771">
        <v>0</v>
      </c>
      <c r="CI771">
        <v>0</v>
      </c>
      <c r="CJ771">
        <v>0</v>
      </c>
      <c r="CK771">
        <v>2</v>
      </c>
      <c r="CL771">
        <v>0</v>
      </c>
      <c r="CM771">
        <v>2</v>
      </c>
      <c r="CN771">
        <v>0</v>
      </c>
      <c r="CO771">
        <v>7</v>
      </c>
      <c r="CP771" t="s">
        <v>119</v>
      </c>
      <c r="CQ771">
        <v>180</v>
      </c>
      <c r="CR771">
        <v>2</v>
      </c>
      <c r="CW771">
        <v>7969205</v>
      </c>
      <c r="CY771">
        <v>1</v>
      </c>
      <c r="CZ771">
        <v>0</v>
      </c>
      <c r="DA771">
        <v>1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</row>
    <row r="772" spans="1:113" x14ac:dyDescent="0.3">
      <c r="A772" t="str">
        <f>"02/08/2021 20:16:01.265"</f>
        <v>02/08/2021 20:16:01.265</v>
      </c>
      <c r="C772" t="str">
        <f t="shared" si="35"/>
        <v>FFDFD7C0</v>
      </c>
      <c r="D772" t="s">
        <v>124</v>
      </c>
      <c r="E772">
        <v>13</v>
      </c>
      <c r="F772">
        <v>1013</v>
      </c>
      <c r="G772" t="s">
        <v>114</v>
      </c>
      <c r="J772" t="s">
        <v>125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>"20:16:03.578"</f>
        <v>20:16:03.578</v>
      </c>
      <c r="T772" t="str">
        <f>"20:16:03.178"</f>
        <v>20:16:03.178</v>
      </c>
      <c r="U772" t="str">
        <f t="shared" si="37"/>
        <v>AB01F4</v>
      </c>
      <c r="V772">
        <v>0</v>
      </c>
      <c r="W772">
        <v>0</v>
      </c>
      <c r="X772">
        <v>2</v>
      </c>
      <c r="Z772">
        <v>0</v>
      </c>
      <c r="AA772">
        <v>9</v>
      </c>
      <c r="AB772">
        <v>3</v>
      </c>
      <c r="AC772">
        <v>0</v>
      </c>
      <c r="AD772">
        <v>10</v>
      </c>
      <c r="AE772">
        <v>0</v>
      </c>
      <c r="AF772">
        <v>3</v>
      </c>
      <c r="AG772">
        <v>2</v>
      </c>
      <c r="AH772">
        <v>0</v>
      </c>
      <c r="AI772" t="s">
        <v>651</v>
      </c>
      <c r="AJ772">
        <v>39.655966999999997</v>
      </c>
      <c r="AK772" t="s">
        <v>652</v>
      </c>
      <c r="AL772">
        <v>-92.509603999999996</v>
      </c>
      <c r="AM772">
        <v>100</v>
      </c>
      <c r="AN772">
        <v>1700</v>
      </c>
      <c r="AO772" t="s">
        <v>118</v>
      </c>
      <c r="AP772">
        <v>-34</v>
      </c>
      <c r="AQ772">
        <v>127</v>
      </c>
      <c r="AR772">
        <v>-64</v>
      </c>
      <c r="AZ772">
        <v>1200</v>
      </c>
      <c r="BA772">
        <v>1</v>
      </c>
      <c r="BB772" t="str">
        <f t="shared" si="36"/>
        <v xml:space="preserve">N8080G  </v>
      </c>
      <c r="BC772">
        <v>1</v>
      </c>
      <c r="BE772">
        <v>0</v>
      </c>
      <c r="BF772">
        <v>0</v>
      </c>
      <c r="BG772">
        <v>0</v>
      </c>
      <c r="BH772">
        <v>1675</v>
      </c>
      <c r="BI772">
        <v>1</v>
      </c>
      <c r="BJ772">
        <v>1</v>
      </c>
      <c r="BK772">
        <v>1</v>
      </c>
      <c r="BL772">
        <v>0</v>
      </c>
      <c r="BO772">
        <v>0</v>
      </c>
      <c r="BP772">
        <v>0</v>
      </c>
      <c r="BW772" t="str">
        <f>"20:16:03.582"</f>
        <v>20:16:03.582</v>
      </c>
      <c r="BZ772">
        <v>0</v>
      </c>
      <c r="CA772">
        <v>2016</v>
      </c>
      <c r="CB772">
        <v>224</v>
      </c>
      <c r="CD772">
        <v>1</v>
      </c>
      <c r="CE772">
        <v>0</v>
      </c>
      <c r="CF772">
        <v>0</v>
      </c>
      <c r="CG772">
        <v>1</v>
      </c>
      <c r="CH772">
        <v>0</v>
      </c>
      <c r="CI772">
        <v>0</v>
      </c>
      <c r="CJ772">
        <v>0</v>
      </c>
      <c r="CK772">
        <v>2</v>
      </c>
      <c r="CL772">
        <v>0</v>
      </c>
      <c r="CM772">
        <v>2</v>
      </c>
      <c r="CN772">
        <v>0</v>
      </c>
      <c r="CO772">
        <v>7</v>
      </c>
      <c r="CP772" t="s">
        <v>119</v>
      </c>
      <c r="CQ772">
        <v>180</v>
      </c>
      <c r="CR772">
        <v>2</v>
      </c>
      <c r="CW772">
        <v>7969205</v>
      </c>
      <c r="CY772">
        <v>1</v>
      </c>
      <c r="CZ772">
        <v>0</v>
      </c>
      <c r="DA772">
        <v>1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</row>
    <row r="773" spans="1:113" x14ac:dyDescent="0.3">
      <c r="A773" t="str">
        <f>"02/08/2021 20:16:02.575"</f>
        <v>02/08/2021 20:16:02.575</v>
      </c>
      <c r="C773" t="str">
        <f t="shared" si="35"/>
        <v>FFDFD7C0</v>
      </c>
      <c r="D773" t="s">
        <v>124</v>
      </c>
      <c r="E773">
        <v>11</v>
      </c>
      <c r="F773">
        <v>1011</v>
      </c>
      <c r="G773" t="s">
        <v>590</v>
      </c>
      <c r="J773" t="s">
        <v>125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>"20:16:04.898"</f>
        <v>20:16:04.898</v>
      </c>
      <c r="T773" t="str">
        <f>"20:16:04.498"</f>
        <v>20:16:04.498</v>
      </c>
      <c r="U773" t="str">
        <f t="shared" si="37"/>
        <v>AB01F4</v>
      </c>
      <c r="V773">
        <v>0</v>
      </c>
      <c r="W773">
        <v>0</v>
      </c>
      <c r="X773">
        <v>2</v>
      </c>
      <c r="Z773">
        <v>0</v>
      </c>
      <c r="AA773">
        <v>9</v>
      </c>
      <c r="AB773">
        <v>3</v>
      </c>
      <c r="AC773">
        <v>0</v>
      </c>
      <c r="AD773">
        <v>10</v>
      </c>
      <c r="AE773">
        <v>0</v>
      </c>
      <c r="AF773">
        <v>3</v>
      </c>
      <c r="AG773">
        <v>2</v>
      </c>
      <c r="AH773">
        <v>0</v>
      </c>
      <c r="AI773" t="s">
        <v>653</v>
      </c>
      <c r="AJ773">
        <v>39.656782</v>
      </c>
      <c r="AK773" t="s">
        <v>654</v>
      </c>
      <c r="AL773">
        <v>-92.509882000000005</v>
      </c>
      <c r="AM773">
        <v>100</v>
      </c>
      <c r="AN773">
        <v>1700</v>
      </c>
      <c r="AO773" t="s">
        <v>118</v>
      </c>
      <c r="AP773">
        <v>-34</v>
      </c>
      <c r="AQ773">
        <v>127</v>
      </c>
      <c r="AR773">
        <v>-64</v>
      </c>
      <c r="AZ773">
        <v>1200</v>
      </c>
      <c r="BA773">
        <v>1</v>
      </c>
      <c r="BB773" t="str">
        <f t="shared" si="36"/>
        <v xml:space="preserve">N8080G  </v>
      </c>
      <c r="BC773">
        <v>1</v>
      </c>
      <c r="BE773">
        <v>0</v>
      </c>
      <c r="BF773">
        <v>0</v>
      </c>
      <c r="BG773">
        <v>0</v>
      </c>
      <c r="BH773">
        <v>1675</v>
      </c>
      <c r="BI773">
        <v>1</v>
      </c>
      <c r="BJ773">
        <v>1</v>
      </c>
      <c r="BK773">
        <v>1</v>
      </c>
      <c r="BL773">
        <v>0</v>
      </c>
      <c r="BO773">
        <v>0</v>
      </c>
      <c r="BP773">
        <v>0</v>
      </c>
      <c r="BW773" t="str">
        <f>"20:16:04.904"</f>
        <v>20:16:04.904</v>
      </c>
      <c r="BZ773">
        <v>0</v>
      </c>
      <c r="CA773">
        <v>2016</v>
      </c>
      <c r="CB773">
        <v>224</v>
      </c>
      <c r="CD773">
        <v>1</v>
      </c>
      <c r="CE773">
        <v>0</v>
      </c>
      <c r="CF773">
        <v>0</v>
      </c>
      <c r="CG773">
        <v>1</v>
      </c>
      <c r="CH773">
        <v>0</v>
      </c>
      <c r="CI773">
        <v>0</v>
      </c>
      <c r="CJ773">
        <v>0</v>
      </c>
      <c r="CK773">
        <v>2</v>
      </c>
      <c r="CL773">
        <v>0</v>
      </c>
      <c r="CM773">
        <v>2</v>
      </c>
      <c r="CN773">
        <v>0</v>
      </c>
      <c r="CO773">
        <v>7</v>
      </c>
      <c r="CP773" t="s">
        <v>119</v>
      </c>
      <c r="CQ773">
        <v>180</v>
      </c>
      <c r="CR773">
        <v>2</v>
      </c>
      <c r="CW773">
        <v>7970297</v>
      </c>
      <c r="CY773">
        <v>1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</row>
    <row r="774" spans="1:113" x14ac:dyDescent="0.3">
      <c r="A774" t="str">
        <f>"02/08/2021 20:16:02.575"</f>
        <v>02/08/2021 20:16:02.575</v>
      </c>
      <c r="C774" t="str">
        <f t="shared" si="35"/>
        <v>FFDFD7C0</v>
      </c>
      <c r="D774" t="s">
        <v>113</v>
      </c>
      <c r="E774">
        <v>6</v>
      </c>
      <c r="H774">
        <v>165</v>
      </c>
      <c r="I774" t="s">
        <v>114</v>
      </c>
      <c r="J774" t="s">
        <v>115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>"20:16:04.898"</f>
        <v>20:16:04.898</v>
      </c>
      <c r="T774" t="str">
        <f>"20:16:04.498"</f>
        <v>20:16:04.498</v>
      </c>
      <c r="U774" t="str">
        <f t="shared" si="37"/>
        <v>AB01F4</v>
      </c>
      <c r="V774">
        <v>0</v>
      </c>
      <c r="W774">
        <v>0</v>
      </c>
      <c r="X774">
        <v>2</v>
      </c>
      <c r="Z774">
        <v>0</v>
      </c>
      <c r="AA774">
        <v>9</v>
      </c>
      <c r="AB774">
        <v>3</v>
      </c>
      <c r="AC774">
        <v>0</v>
      </c>
      <c r="AD774">
        <v>10</v>
      </c>
      <c r="AE774">
        <v>0</v>
      </c>
      <c r="AF774">
        <v>3</v>
      </c>
      <c r="AG774">
        <v>2</v>
      </c>
      <c r="AH774">
        <v>0</v>
      </c>
      <c r="AI774" t="s">
        <v>653</v>
      </c>
      <c r="AJ774">
        <v>39.656782</v>
      </c>
      <c r="AK774" t="s">
        <v>654</v>
      </c>
      <c r="AL774">
        <v>-92.509882000000005</v>
      </c>
      <c r="AM774">
        <v>100</v>
      </c>
      <c r="AN774">
        <v>1700</v>
      </c>
      <c r="AO774" t="s">
        <v>118</v>
      </c>
      <c r="AP774">
        <v>-34</v>
      </c>
      <c r="AQ774">
        <v>127</v>
      </c>
      <c r="AR774">
        <v>-64</v>
      </c>
      <c r="AZ774">
        <v>1200</v>
      </c>
      <c r="BA774">
        <v>1</v>
      </c>
      <c r="BB774" t="str">
        <f t="shared" si="36"/>
        <v xml:space="preserve">N8080G  </v>
      </c>
      <c r="BC774">
        <v>1</v>
      </c>
      <c r="BE774">
        <v>0</v>
      </c>
      <c r="BF774">
        <v>0</v>
      </c>
      <c r="BG774">
        <v>0</v>
      </c>
      <c r="BH774">
        <v>1675</v>
      </c>
      <c r="BI774">
        <v>1</v>
      </c>
      <c r="BJ774">
        <v>1</v>
      </c>
      <c r="BK774">
        <v>1</v>
      </c>
      <c r="BL774">
        <v>0</v>
      </c>
      <c r="BO774">
        <v>0</v>
      </c>
      <c r="BP774">
        <v>0</v>
      </c>
      <c r="BW774" t="str">
        <f>"20:16:04.904"</f>
        <v>20:16:04.904</v>
      </c>
      <c r="BZ774">
        <v>0</v>
      </c>
      <c r="CA774">
        <v>2016</v>
      </c>
      <c r="CB774">
        <v>224</v>
      </c>
      <c r="CD774">
        <v>1</v>
      </c>
      <c r="CE774">
        <v>0</v>
      </c>
      <c r="CF774">
        <v>0</v>
      </c>
      <c r="CG774">
        <v>1</v>
      </c>
      <c r="CH774">
        <v>0</v>
      </c>
      <c r="CI774">
        <v>0</v>
      </c>
      <c r="CJ774">
        <v>0</v>
      </c>
      <c r="CK774">
        <v>2</v>
      </c>
      <c r="CL774">
        <v>0</v>
      </c>
      <c r="CM774">
        <v>2</v>
      </c>
      <c r="CN774">
        <v>0</v>
      </c>
      <c r="CO774">
        <v>7</v>
      </c>
      <c r="CP774" t="s">
        <v>119</v>
      </c>
      <c r="CQ774">
        <v>180</v>
      </c>
      <c r="CR774">
        <v>2</v>
      </c>
      <c r="CW774">
        <v>7970297</v>
      </c>
      <c r="CY774">
        <v>1</v>
      </c>
      <c r="CZ774">
        <v>0</v>
      </c>
      <c r="DA774">
        <v>1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</row>
    <row r="775" spans="1:113" x14ac:dyDescent="0.3">
      <c r="A775" t="str">
        <f>"02/08/2021 20:16:02.575"</f>
        <v>02/08/2021 20:16:02.575</v>
      </c>
      <c r="C775" t="str">
        <f t="shared" si="35"/>
        <v>FFDFD7C0</v>
      </c>
      <c r="D775" t="s">
        <v>124</v>
      </c>
      <c r="E775">
        <v>13</v>
      </c>
      <c r="F775">
        <v>1013</v>
      </c>
      <c r="G775" t="s">
        <v>114</v>
      </c>
      <c r="J775" t="s">
        <v>125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>"20:16:04.898"</f>
        <v>20:16:04.898</v>
      </c>
      <c r="T775" t="str">
        <f>"20:16:04.498"</f>
        <v>20:16:04.498</v>
      </c>
      <c r="U775" t="str">
        <f t="shared" si="37"/>
        <v>AB01F4</v>
      </c>
      <c r="V775">
        <v>0</v>
      </c>
      <c r="W775">
        <v>0</v>
      </c>
      <c r="X775">
        <v>2</v>
      </c>
      <c r="Z775">
        <v>0</v>
      </c>
      <c r="AA775">
        <v>9</v>
      </c>
      <c r="AB775">
        <v>3</v>
      </c>
      <c r="AC775">
        <v>0</v>
      </c>
      <c r="AD775">
        <v>10</v>
      </c>
      <c r="AE775">
        <v>0</v>
      </c>
      <c r="AF775">
        <v>3</v>
      </c>
      <c r="AG775">
        <v>2</v>
      </c>
      <c r="AH775">
        <v>0</v>
      </c>
      <c r="AI775" t="s">
        <v>653</v>
      </c>
      <c r="AJ775">
        <v>39.656782</v>
      </c>
      <c r="AK775" t="s">
        <v>654</v>
      </c>
      <c r="AL775">
        <v>-92.509882000000005</v>
      </c>
      <c r="AM775">
        <v>100</v>
      </c>
      <c r="AN775">
        <v>1700</v>
      </c>
      <c r="AO775" t="s">
        <v>118</v>
      </c>
      <c r="AP775">
        <v>-34</v>
      </c>
      <c r="AQ775">
        <v>127</v>
      </c>
      <c r="AR775">
        <v>-64</v>
      </c>
      <c r="AZ775">
        <v>1200</v>
      </c>
      <c r="BA775">
        <v>1</v>
      </c>
      <c r="BB775" t="str">
        <f t="shared" si="36"/>
        <v xml:space="preserve">N8080G  </v>
      </c>
      <c r="BC775">
        <v>1</v>
      </c>
      <c r="BE775">
        <v>0</v>
      </c>
      <c r="BF775">
        <v>0</v>
      </c>
      <c r="BG775">
        <v>0</v>
      </c>
      <c r="BH775">
        <v>1675</v>
      </c>
      <c r="BI775">
        <v>1</v>
      </c>
      <c r="BJ775">
        <v>1</v>
      </c>
      <c r="BK775">
        <v>1</v>
      </c>
      <c r="BL775">
        <v>0</v>
      </c>
      <c r="BO775">
        <v>0</v>
      </c>
      <c r="BP775">
        <v>0</v>
      </c>
      <c r="BW775" t="str">
        <f>"20:16:04.904"</f>
        <v>20:16:04.904</v>
      </c>
      <c r="BZ775">
        <v>0</v>
      </c>
      <c r="CA775">
        <v>2016</v>
      </c>
      <c r="CB775">
        <v>224</v>
      </c>
      <c r="CD775">
        <v>1</v>
      </c>
      <c r="CE775">
        <v>0</v>
      </c>
      <c r="CF775">
        <v>0</v>
      </c>
      <c r="CG775">
        <v>1</v>
      </c>
      <c r="CH775">
        <v>0</v>
      </c>
      <c r="CI775">
        <v>0</v>
      </c>
      <c r="CJ775">
        <v>0</v>
      </c>
      <c r="CK775">
        <v>2</v>
      </c>
      <c r="CL775">
        <v>0</v>
      </c>
      <c r="CM775">
        <v>2</v>
      </c>
      <c r="CN775">
        <v>0</v>
      </c>
      <c r="CO775">
        <v>7</v>
      </c>
      <c r="CP775" t="s">
        <v>119</v>
      </c>
      <c r="CQ775">
        <v>180</v>
      </c>
      <c r="CR775">
        <v>2</v>
      </c>
      <c r="CW775">
        <v>7970297</v>
      </c>
      <c r="CY775">
        <v>1</v>
      </c>
      <c r="CZ775">
        <v>0</v>
      </c>
      <c r="DA775">
        <v>1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</row>
    <row r="776" spans="1:113" x14ac:dyDescent="0.3">
      <c r="A776" t="str">
        <f>"02/08/2021 20:16:03.654"</f>
        <v>02/08/2021 20:16:03.654</v>
      </c>
      <c r="C776" t="str">
        <f t="shared" si="35"/>
        <v>FFDFD7C0</v>
      </c>
      <c r="D776" t="s">
        <v>124</v>
      </c>
      <c r="E776">
        <v>13</v>
      </c>
      <c r="F776">
        <v>1013</v>
      </c>
      <c r="G776" t="s">
        <v>114</v>
      </c>
      <c r="J776" t="s">
        <v>125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>"20:16:05.977"</f>
        <v>20:16:05.977</v>
      </c>
      <c r="T776" t="str">
        <f>"20:16:05.477"</f>
        <v>20:16:05.477</v>
      </c>
      <c r="U776" t="str">
        <f t="shared" si="37"/>
        <v>AB01F4</v>
      </c>
      <c r="V776">
        <v>0</v>
      </c>
      <c r="W776">
        <v>0</v>
      </c>
      <c r="X776">
        <v>2</v>
      </c>
      <c r="Z776">
        <v>0</v>
      </c>
      <c r="AA776">
        <v>9</v>
      </c>
      <c r="AB776">
        <v>3</v>
      </c>
      <c r="AC776">
        <v>0</v>
      </c>
      <c r="AD776">
        <v>10</v>
      </c>
      <c r="AE776">
        <v>0</v>
      </c>
      <c r="AF776">
        <v>3</v>
      </c>
      <c r="AG776">
        <v>2</v>
      </c>
      <c r="AH776">
        <v>0</v>
      </c>
      <c r="AI776" t="s">
        <v>655</v>
      </c>
      <c r="AJ776">
        <v>39.657404</v>
      </c>
      <c r="AK776" t="s">
        <v>656</v>
      </c>
      <c r="AL776">
        <v>-92.510075999999998</v>
      </c>
      <c r="AM776">
        <v>100</v>
      </c>
      <c r="AN776">
        <v>1700</v>
      </c>
      <c r="AO776" t="s">
        <v>118</v>
      </c>
      <c r="AP776">
        <v>-34</v>
      </c>
      <c r="AQ776">
        <v>126</v>
      </c>
      <c r="AR776">
        <v>0</v>
      </c>
      <c r="AZ776">
        <v>1200</v>
      </c>
      <c r="BA776">
        <v>1</v>
      </c>
      <c r="BB776" t="str">
        <f t="shared" si="36"/>
        <v xml:space="preserve">N8080G  </v>
      </c>
      <c r="BC776">
        <v>1</v>
      </c>
      <c r="BE776">
        <v>0</v>
      </c>
      <c r="BF776">
        <v>0</v>
      </c>
      <c r="BG776">
        <v>0</v>
      </c>
      <c r="BH776">
        <v>1675</v>
      </c>
      <c r="BI776">
        <v>1</v>
      </c>
      <c r="BJ776">
        <v>1</v>
      </c>
      <c r="BK776">
        <v>1</v>
      </c>
      <c r="BL776">
        <v>0</v>
      </c>
      <c r="BO776">
        <v>0</v>
      </c>
      <c r="BP776">
        <v>0</v>
      </c>
      <c r="BW776" t="str">
        <f>"20:16:05.981"</f>
        <v>20:16:05.981</v>
      </c>
      <c r="BZ776">
        <v>0</v>
      </c>
      <c r="CA776">
        <v>2016</v>
      </c>
      <c r="CB776">
        <v>224</v>
      </c>
      <c r="CD776">
        <v>1</v>
      </c>
      <c r="CE776">
        <v>0</v>
      </c>
      <c r="CF776">
        <v>0</v>
      </c>
      <c r="CG776">
        <v>1</v>
      </c>
      <c r="CH776">
        <v>0</v>
      </c>
      <c r="CI776">
        <v>0</v>
      </c>
      <c r="CJ776">
        <v>0</v>
      </c>
      <c r="CK776">
        <v>2</v>
      </c>
      <c r="CL776">
        <v>0</v>
      </c>
      <c r="CM776">
        <v>2</v>
      </c>
      <c r="CN776">
        <v>0</v>
      </c>
      <c r="CO776">
        <v>7</v>
      </c>
      <c r="CP776" t="s">
        <v>119</v>
      </c>
      <c r="CQ776">
        <v>180</v>
      </c>
      <c r="CR776">
        <v>2</v>
      </c>
      <c r="CW776">
        <v>7971211</v>
      </c>
      <c r="CY776">
        <v>1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</row>
    <row r="777" spans="1:113" x14ac:dyDescent="0.3">
      <c r="A777" t="str">
        <f>"02/08/2021 20:16:03.654"</f>
        <v>02/08/2021 20:16:03.654</v>
      </c>
      <c r="C777" t="str">
        <f t="shared" ref="C777:C840" si="38">"FFDFD7C0"</f>
        <v>FFDFD7C0</v>
      </c>
      <c r="D777" t="s">
        <v>124</v>
      </c>
      <c r="E777">
        <v>11</v>
      </c>
      <c r="F777">
        <v>1011</v>
      </c>
      <c r="G777" t="s">
        <v>590</v>
      </c>
      <c r="J777" t="s">
        <v>125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>"20:16:05.977"</f>
        <v>20:16:05.977</v>
      </c>
      <c r="T777" t="str">
        <f>"20:16:05.477"</f>
        <v>20:16:05.477</v>
      </c>
      <c r="U777" t="str">
        <f t="shared" si="37"/>
        <v>AB01F4</v>
      </c>
      <c r="V777">
        <v>0</v>
      </c>
      <c r="W777">
        <v>0</v>
      </c>
      <c r="X777">
        <v>2</v>
      </c>
      <c r="Z777">
        <v>0</v>
      </c>
      <c r="AA777">
        <v>9</v>
      </c>
      <c r="AB777">
        <v>3</v>
      </c>
      <c r="AC777">
        <v>0</v>
      </c>
      <c r="AD777">
        <v>10</v>
      </c>
      <c r="AE777">
        <v>0</v>
      </c>
      <c r="AF777">
        <v>3</v>
      </c>
      <c r="AG777">
        <v>2</v>
      </c>
      <c r="AH777">
        <v>0</v>
      </c>
      <c r="AI777" t="s">
        <v>655</v>
      </c>
      <c r="AJ777">
        <v>39.657404</v>
      </c>
      <c r="AK777" t="s">
        <v>656</v>
      </c>
      <c r="AL777">
        <v>-92.510075999999998</v>
      </c>
      <c r="AM777">
        <v>100</v>
      </c>
      <c r="AN777">
        <v>1700</v>
      </c>
      <c r="AO777" t="s">
        <v>118</v>
      </c>
      <c r="AP777">
        <v>-34</v>
      </c>
      <c r="AQ777">
        <v>126</v>
      </c>
      <c r="AR777">
        <v>0</v>
      </c>
      <c r="AZ777">
        <v>1200</v>
      </c>
      <c r="BA777">
        <v>1</v>
      </c>
      <c r="BB777" t="str">
        <f t="shared" si="36"/>
        <v xml:space="preserve">N8080G  </v>
      </c>
      <c r="BC777">
        <v>1</v>
      </c>
      <c r="BE777">
        <v>0</v>
      </c>
      <c r="BF777">
        <v>0</v>
      </c>
      <c r="BG777">
        <v>0</v>
      </c>
      <c r="BH777">
        <v>1675</v>
      </c>
      <c r="BI777">
        <v>1</v>
      </c>
      <c r="BJ777">
        <v>1</v>
      </c>
      <c r="BK777">
        <v>1</v>
      </c>
      <c r="BL777">
        <v>0</v>
      </c>
      <c r="BO777">
        <v>0</v>
      </c>
      <c r="BP777">
        <v>0</v>
      </c>
      <c r="BW777" t="str">
        <f>"20:16:05.981"</f>
        <v>20:16:05.981</v>
      </c>
      <c r="BZ777">
        <v>0</v>
      </c>
      <c r="CA777">
        <v>2016</v>
      </c>
      <c r="CB777">
        <v>224</v>
      </c>
      <c r="CD777">
        <v>1</v>
      </c>
      <c r="CE777">
        <v>0</v>
      </c>
      <c r="CF777">
        <v>0</v>
      </c>
      <c r="CG777">
        <v>1</v>
      </c>
      <c r="CH777">
        <v>0</v>
      </c>
      <c r="CI777">
        <v>0</v>
      </c>
      <c r="CJ777">
        <v>0</v>
      </c>
      <c r="CK777">
        <v>2</v>
      </c>
      <c r="CL777">
        <v>0</v>
      </c>
      <c r="CM777">
        <v>2</v>
      </c>
      <c r="CN777">
        <v>0</v>
      </c>
      <c r="CO777">
        <v>7</v>
      </c>
      <c r="CP777" t="s">
        <v>119</v>
      </c>
      <c r="CQ777">
        <v>180</v>
      </c>
      <c r="CR777">
        <v>2</v>
      </c>
      <c r="CW777">
        <v>7971211</v>
      </c>
      <c r="CY777">
        <v>1</v>
      </c>
      <c r="CZ777">
        <v>0</v>
      </c>
      <c r="DA777">
        <v>1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</row>
    <row r="778" spans="1:113" x14ac:dyDescent="0.3">
      <c r="A778" t="str">
        <f>"02/08/2021 20:16:03.654"</f>
        <v>02/08/2021 20:16:03.654</v>
      </c>
      <c r="C778" t="str">
        <f t="shared" si="38"/>
        <v>FFDFD7C0</v>
      </c>
      <c r="D778" t="s">
        <v>113</v>
      </c>
      <c r="E778">
        <v>6</v>
      </c>
      <c r="H778">
        <v>165</v>
      </c>
      <c r="I778" t="s">
        <v>114</v>
      </c>
      <c r="J778" t="s">
        <v>115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>"20:16:05.977"</f>
        <v>20:16:05.977</v>
      </c>
      <c r="T778" t="str">
        <f>"20:16:05.477"</f>
        <v>20:16:05.477</v>
      </c>
      <c r="U778" t="str">
        <f t="shared" si="37"/>
        <v>AB01F4</v>
      </c>
      <c r="V778">
        <v>0</v>
      </c>
      <c r="W778">
        <v>0</v>
      </c>
      <c r="X778">
        <v>2</v>
      </c>
      <c r="Z778">
        <v>0</v>
      </c>
      <c r="AA778">
        <v>9</v>
      </c>
      <c r="AB778">
        <v>3</v>
      </c>
      <c r="AC778">
        <v>0</v>
      </c>
      <c r="AD778">
        <v>10</v>
      </c>
      <c r="AE778">
        <v>0</v>
      </c>
      <c r="AF778">
        <v>3</v>
      </c>
      <c r="AG778">
        <v>2</v>
      </c>
      <c r="AH778">
        <v>0</v>
      </c>
      <c r="AI778" t="s">
        <v>655</v>
      </c>
      <c r="AJ778">
        <v>39.657404</v>
      </c>
      <c r="AK778" t="s">
        <v>656</v>
      </c>
      <c r="AL778">
        <v>-92.510075999999998</v>
      </c>
      <c r="AM778">
        <v>100</v>
      </c>
      <c r="AN778">
        <v>1700</v>
      </c>
      <c r="AO778" t="s">
        <v>118</v>
      </c>
      <c r="AP778">
        <v>-34</v>
      </c>
      <c r="AQ778">
        <v>126</v>
      </c>
      <c r="AR778">
        <v>0</v>
      </c>
      <c r="AZ778">
        <v>1200</v>
      </c>
      <c r="BA778">
        <v>1</v>
      </c>
      <c r="BB778" t="str">
        <f t="shared" si="36"/>
        <v xml:space="preserve">N8080G  </v>
      </c>
      <c r="BC778">
        <v>1</v>
      </c>
      <c r="BE778">
        <v>0</v>
      </c>
      <c r="BF778">
        <v>0</v>
      </c>
      <c r="BG778">
        <v>0</v>
      </c>
      <c r="BH778">
        <v>1675</v>
      </c>
      <c r="BI778">
        <v>1</v>
      </c>
      <c r="BJ778">
        <v>1</v>
      </c>
      <c r="BK778">
        <v>1</v>
      </c>
      <c r="BL778">
        <v>0</v>
      </c>
      <c r="BO778">
        <v>0</v>
      </c>
      <c r="BP778">
        <v>0</v>
      </c>
      <c r="BW778" t="str">
        <f>"20:16:05.981"</f>
        <v>20:16:05.981</v>
      </c>
      <c r="BZ778">
        <v>0</v>
      </c>
      <c r="CA778">
        <v>2016</v>
      </c>
      <c r="CB778">
        <v>224</v>
      </c>
      <c r="CD778">
        <v>1</v>
      </c>
      <c r="CE778">
        <v>0</v>
      </c>
      <c r="CF778">
        <v>0</v>
      </c>
      <c r="CG778">
        <v>1</v>
      </c>
      <c r="CH778">
        <v>0</v>
      </c>
      <c r="CI778">
        <v>0</v>
      </c>
      <c r="CJ778">
        <v>0</v>
      </c>
      <c r="CK778">
        <v>2</v>
      </c>
      <c r="CL778">
        <v>0</v>
      </c>
      <c r="CM778">
        <v>2</v>
      </c>
      <c r="CN778">
        <v>0</v>
      </c>
      <c r="CO778">
        <v>7</v>
      </c>
      <c r="CP778" t="s">
        <v>119</v>
      </c>
      <c r="CQ778">
        <v>180</v>
      </c>
      <c r="CR778">
        <v>2</v>
      </c>
      <c r="CW778">
        <v>7971211</v>
      </c>
      <c r="CY778">
        <v>1</v>
      </c>
      <c r="CZ778">
        <v>0</v>
      </c>
      <c r="DA778">
        <v>1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</row>
    <row r="779" spans="1:113" x14ac:dyDescent="0.3">
      <c r="A779" t="str">
        <f>"02/08/2021 20:16:04.712"</f>
        <v>02/08/2021 20:16:04.712</v>
      </c>
      <c r="C779" t="str">
        <f t="shared" si="38"/>
        <v>FFDFD7C0</v>
      </c>
      <c r="D779" t="s">
        <v>113</v>
      </c>
      <c r="E779">
        <v>6</v>
      </c>
      <c r="H779">
        <v>165</v>
      </c>
      <c r="I779" t="s">
        <v>114</v>
      </c>
      <c r="J779" t="s">
        <v>115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>"20:16:07.023"</f>
        <v>20:16:07.023</v>
      </c>
      <c r="T779" t="str">
        <f>"20:16:06.623"</f>
        <v>20:16:06.623</v>
      </c>
      <c r="U779" t="str">
        <f t="shared" si="37"/>
        <v>AB01F4</v>
      </c>
      <c r="V779">
        <v>0</v>
      </c>
      <c r="W779">
        <v>0</v>
      </c>
      <c r="X779">
        <v>2</v>
      </c>
      <c r="Z779">
        <v>0</v>
      </c>
      <c r="AA779">
        <v>9</v>
      </c>
      <c r="AB779">
        <v>3</v>
      </c>
      <c r="AC779">
        <v>0</v>
      </c>
      <c r="AD779">
        <v>10</v>
      </c>
      <c r="AE779">
        <v>0</v>
      </c>
      <c r="AF779">
        <v>3</v>
      </c>
      <c r="AG779">
        <v>2</v>
      </c>
      <c r="AH779">
        <v>0</v>
      </c>
      <c r="AI779" t="s">
        <v>657</v>
      </c>
      <c r="AJ779">
        <v>39.658048000000001</v>
      </c>
      <c r="AK779" t="s">
        <v>658</v>
      </c>
      <c r="AL779">
        <v>-92.510311999999999</v>
      </c>
      <c r="AM779">
        <v>100</v>
      </c>
      <c r="AN779">
        <v>1700</v>
      </c>
      <c r="AO779" t="s">
        <v>118</v>
      </c>
      <c r="AP779">
        <v>-34</v>
      </c>
      <c r="AQ779">
        <v>126</v>
      </c>
      <c r="AR779">
        <v>64</v>
      </c>
      <c r="AZ779">
        <v>1200</v>
      </c>
      <c r="BA779">
        <v>1</v>
      </c>
      <c r="BB779" t="str">
        <f t="shared" si="36"/>
        <v xml:space="preserve">N8080G  </v>
      </c>
      <c r="BC779">
        <v>1</v>
      </c>
      <c r="BE779">
        <v>0</v>
      </c>
      <c r="BF779">
        <v>0</v>
      </c>
      <c r="BG779">
        <v>0</v>
      </c>
      <c r="BH779">
        <v>1675</v>
      </c>
      <c r="BI779">
        <v>1</v>
      </c>
      <c r="BJ779">
        <v>1</v>
      </c>
      <c r="BK779">
        <v>1</v>
      </c>
      <c r="BL779">
        <v>0</v>
      </c>
      <c r="BO779">
        <v>0</v>
      </c>
      <c r="BP779">
        <v>0</v>
      </c>
      <c r="BW779" t="str">
        <f>"20:16:07.028"</f>
        <v>20:16:07.028</v>
      </c>
      <c r="BZ779">
        <v>0</v>
      </c>
      <c r="CA779">
        <v>2016</v>
      </c>
      <c r="CB779">
        <v>224</v>
      </c>
      <c r="CD779">
        <v>1</v>
      </c>
      <c r="CE779">
        <v>0</v>
      </c>
      <c r="CF779">
        <v>0</v>
      </c>
      <c r="CG779">
        <v>1</v>
      </c>
      <c r="CH779">
        <v>0</v>
      </c>
      <c r="CI779">
        <v>0</v>
      </c>
      <c r="CJ779">
        <v>0</v>
      </c>
      <c r="CK779">
        <v>2</v>
      </c>
      <c r="CL779">
        <v>0</v>
      </c>
      <c r="CM779">
        <v>2</v>
      </c>
      <c r="CN779">
        <v>0</v>
      </c>
      <c r="CO779">
        <v>7</v>
      </c>
      <c r="CP779" t="s">
        <v>119</v>
      </c>
      <c r="CQ779">
        <v>180</v>
      </c>
      <c r="CR779">
        <v>2</v>
      </c>
      <c r="CW779">
        <v>7972054</v>
      </c>
      <c r="CY779">
        <v>1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</row>
    <row r="780" spans="1:113" x14ac:dyDescent="0.3">
      <c r="A780" t="str">
        <f>"02/08/2021 20:16:04.712"</f>
        <v>02/08/2021 20:16:04.712</v>
      </c>
      <c r="C780" t="str">
        <f t="shared" si="38"/>
        <v>FFDFD7C0</v>
      </c>
      <c r="D780" t="s">
        <v>124</v>
      </c>
      <c r="E780">
        <v>13</v>
      </c>
      <c r="F780">
        <v>1013</v>
      </c>
      <c r="G780" t="s">
        <v>114</v>
      </c>
      <c r="J780" t="s">
        <v>125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>"20:16:07.023"</f>
        <v>20:16:07.023</v>
      </c>
      <c r="T780" t="str">
        <f>"20:16:06.623"</f>
        <v>20:16:06.623</v>
      </c>
      <c r="U780" t="str">
        <f t="shared" si="37"/>
        <v>AB01F4</v>
      </c>
      <c r="V780">
        <v>0</v>
      </c>
      <c r="W780">
        <v>0</v>
      </c>
      <c r="X780">
        <v>2</v>
      </c>
      <c r="Z780">
        <v>0</v>
      </c>
      <c r="AA780">
        <v>9</v>
      </c>
      <c r="AB780">
        <v>3</v>
      </c>
      <c r="AC780">
        <v>0</v>
      </c>
      <c r="AD780">
        <v>10</v>
      </c>
      <c r="AE780">
        <v>0</v>
      </c>
      <c r="AF780">
        <v>3</v>
      </c>
      <c r="AG780">
        <v>2</v>
      </c>
      <c r="AH780">
        <v>0</v>
      </c>
      <c r="AI780" t="s">
        <v>657</v>
      </c>
      <c r="AJ780">
        <v>39.658048000000001</v>
      </c>
      <c r="AK780" t="s">
        <v>658</v>
      </c>
      <c r="AL780">
        <v>-92.510311999999999</v>
      </c>
      <c r="AM780">
        <v>100</v>
      </c>
      <c r="AN780">
        <v>1700</v>
      </c>
      <c r="AO780" t="s">
        <v>118</v>
      </c>
      <c r="AP780">
        <v>-34</v>
      </c>
      <c r="AQ780">
        <v>126</v>
      </c>
      <c r="AR780">
        <v>64</v>
      </c>
      <c r="AZ780">
        <v>1200</v>
      </c>
      <c r="BA780">
        <v>1</v>
      </c>
      <c r="BB780" t="str">
        <f t="shared" si="36"/>
        <v xml:space="preserve">N8080G  </v>
      </c>
      <c r="BC780">
        <v>1</v>
      </c>
      <c r="BE780">
        <v>0</v>
      </c>
      <c r="BF780">
        <v>0</v>
      </c>
      <c r="BG780">
        <v>0</v>
      </c>
      <c r="BH780">
        <v>1675</v>
      </c>
      <c r="BI780">
        <v>1</v>
      </c>
      <c r="BJ780">
        <v>1</v>
      </c>
      <c r="BK780">
        <v>1</v>
      </c>
      <c r="BL780">
        <v>0</v>
      </c>
      <c r="BO780">
        <v>0</v>
      </c>
      <c r="BP780">
        <v>0</v>
      </c>
      <c r="BW780" t="str">
        <f>"20:16:07.028"</f>
        <v>20:16:07.028</v>
      </c>
      <c r="BZ780">
        <v>0</v>
      </c>
      <c r="CA780">
        <v>2016</v>
      </c>
      <c r="CB780">
        <v>224</v>
      </c>
      <c r="CD780">
        <v>1</v>
      </c>
      <c r="CE780">
        <v>0</v>
      </c>
      <c r="CF780">
        <v>0</v>
      </c>
      <c r="CG780">
        <v>1</v>
      </c>
      <c r="CH780">
        <v>0</v>
      </c>
      <c r="CI780">
        <v>0</v>
      </c>
      <c r="CJ780">
        <v>0</v>
      </c>
      <c r="CK780">
        <v>2</v>
      </c>
      <c r="CL780">
        <v>0</v>
      </c>
      <c r="CM780">
        <v>2</v>
      </c>
      <c r="CN780">
        <v>0</v>
      </c>
      <c r="CO780">
        <v>7</v>
      </c>
      <c r="CP780" t="s">
        <v>119</v>
      </c>
      <c r="CQ780">
        <v>180</v>
      </c>
      <c r="CR780">
        <v>2</v>
      </c>
      <c r="CW780">
        <v>7972054</v>
      </c>
      <c r="CY780">
        <v>1</v>
      </c>
      <c r="CZ780">
        <v>0</v>
      </c>
      <c r="DA780">
        <v>1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</row>
    <row r="781" spans="1:113" x14ac:dyDescent="0.3">
      <c r="A781" t="str">
        <f>"02/08/2021 20:16:04.712"</f>
        <v>02/08/2021 20:16:04.712</v>
      </c>
      <c r="C781" t="str">
        <f t="shared" si="38"/>
        <v>FFDFD7C0</v>
      </c>
      <c r="D781" t="s">
        <v>124</v>
      </c>
      <c r="E781">
        <v>11</v>
      </c>
      <c r="F781">
        <v>1011</v>
      </c>
      <c r="G781" t="s">
        <v>590</v>
      </c>
      <c r="J781" t="s">
        <v>125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>"20:16:07.023"</f>
        <v>20:16:07.023</v>
      </c>
      <c r="T781" t="str">
        <f>"20:16:06.623"</f>
        <v>20:16:06.623</v>
      </c>
      <c r="U781" t="str">
        <f t="shared" si="37"/>
        <v>AB01F4</v>
      </c>
      <c r="V781">
        <v>0</v>
      </c>
      <c r="W781">
        <v>0</v>
      </c>
      <c r="X781">
        <v>2</v>
      </c>
      <c r="Z781">
        <v>0</v>
      </c>
      <c r="AA781">
        <v>9</v>
      </c>
      <c r="AB781">
        <v>3</v>
      </c>
      <c r="AC781">
        <v>0</v>
      </c>
      <c r="AD781">
        <v>10</v>
      </c>
      <c r="AE781">
        <v>0</v>
      </c>
      <c r="AF781">
        <v>3</v>
      </c>
      <c r="AG781">
        <v>2</v>
      </c>
      <c r="AH781">
        <v>0</v>
      </c>
      <c r="AI781" t="s">
        <v>657</v>
      </c>
      <c r="AJ781">
        <v>39.658048000000001</v>
      </c>
      <c r="AK781" t="s">
        <v>658</v>
      </c>
      <c r="AL781">
        <v>-92.510311999999999</v>
      </c>
      <c r="AM781">
        <v>100</v>
      </c>
      <c r="AN781">
        <v>1700</v>
      </c>
      <c r="AO781" t="s">
        <v>118</v>
      </c>
      <c r="AP781">
        <v>-34</v>
      </c>
      <c r="AQ781">
        <v>126</v>
      </c>
      <c r="AR781">
        <v>64</v>
      </c>
      <c r="AZ781">
        <v>1200</v>
      </c>
      <c r="BA781">
        <v>1</v>
      </c>
      <c r="BB781" t="str">
        <f t="shared" si="36"/>
        <v xml:space="preserve">N8080G  </v>
      </c>
      <c r="BC781">
        <v>1</v>
      </c>
      <c r="BE781">
        <v>0</v>
      </c>
      <c r="BF781">
        <v>0</v>
      </c>
      <c r="BG781">
        <v>0</v>
      </c>
      <c r="BH781">
        <v>1675</v>
      </c>
      <c r="BI781">
        <v>1</v>
      </c>
      <c r="BJ781">
        <v>1</v>
      </c>
      <c r="BK781">
        <v>1</v>
      </c>
      <c r="BL781">
        <v>0</v>
      </c>
      <c r="BO781">
        <v>0</v>
      </c>
      <c r="BP781">
        <v>0</v>
      </c>
      <c r="BW781" t="str">
        <f>"20:16:07.028"</f>
        <v>20:16:07.028</v>
      </c>
      <c r="BZ781">
        <v>0</v>
      </c>
      <c r="CA781">
        <v>2016</v>
      </c>
      <c r="CB781">
        <v>224</v>
      </c>
      <c r="CD781">
        <v>1</v>
      </c>
      <c r="CE781">
        <v>0</v>
      </c>
      <c r="CF781">
        <v>0</v>
      </c>
      <c r="CG781">
        <v>1</v>
      </c>
      <c r="CH781">
        <v>0</v>
      </c>
      <c r="CI781">
        <v>0</v>
      </c>
      <c r="CJ781">
        <v>0</v>
      </c>
      <c r="CK781">
        <v>2</v>
      </c>
      <c r="CL781">
        <v>0</v>
      </c>
      <c r="CM781">
        <v>2</v>
      </c>
      <c r="CN781">
        <v>0</v>
      </c>
      <c r="CO781">
        <v>7</v>
      </c>
      <c r="CP781" t="s">
        <v>119</v>
      </c>
      <c r="CQ781">
        <v>180</v>
      </c>
      <c r="CR781">
        <v>2</v>
      </c>
      <c r="CW781">
        <v>7972054</v>
      </c>
      <c r="CY781">
        <v>1</v>
      </c>
      <c r="CZ781">
        <v>0</v>
      </c>
      <c r="DA781">
        <v>1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</row>
    <row r="782" spans="1:113" x14ac:dyDescent="0.3">
      <c r="A782" t="str">
        <f>"02/08/2021 20:16:05.750"</f>
        <v>02/08/2021 20:16:05.750</v>
      </c>
      <c r="C782" t="str">
        <f t="shared" si="38"/>
        <v>FFDFD7C0</v>
      </c>
      <c r="D782" t="s">
        <v>124</v>
      </c>
      <c r="E782">
        <v>11</v>
      </c>
      <c r="F782">
        <v>1011</v>
      </c>
      <c r="G782" t="s">
        <v>590</v>
      </c>
      <c r="J782" t="s">
        <v>125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>"20:16:08.055"</f>
        <v>20:16:08.055</v>
      </c>
      <c r="T782" t="str">
        <f>"20:16:07.655"</f>
        <v>20:16:07.655</v>
      </c>
      <c r="U782" t="str">
        <f t="shared" si="37"/>
        <v>AB01F4</v>
      </c>
      <c r="V782">
        <v>0</v>
      </c>
      <c r="W782">
        <v>0</v>
      </c>
      <c r="X782">
        <v>2</v>
      </c>
      <c r="Z782">
        <v>0</v>
      </c>
      <c r="AA782">
        <v>9</v>
      </c>
      <c r="AB782">
        <v>3</v>
      </c>
      <c r="AC782">
        <v>0</v>
      </c>
      <c r="AD782">
        <v>10</v>
      </c>
      <c r="AE782">
        <v>0</v>
      </c>
      <c r="AF782">
        <v>3</v>
      </c>
      <c r="AG782">
        <v>2</v>
      </c>
      <c r="AH782">
        <v>0</v>
      </c>
      <c r="AI782" t="s">
        <v>659</v>
      </c>
      <c r="AJ782">
        <v>39.658648999999997</v>
      </c>
      <c r="AK782" t="s">
        <v>660</v>
      </c>
      <c r="AL782">
        <v>-92.510569000000004</v>
      </c>
      <c r="AM782">
        <v>100</v>
      </c>
      <c r="AN782">
        <v>1700</v>
      </c>
      <c r="AO782" t="s">
        <v>118</v>
      </c>
      <c r="AP782">
        <v>-35</v>
      </c>
      <c r="AQ782">
        <v>126</v>
      </c>
      <c r="AR782">
        <v>128</v>
      </c>
      <c r="AZ782">
        <v>1200</v>
      </c>
      <c r="BA782">
        <v>1</v>
      </c>
      <c r="BB782" t="str">
        <f t="shared" si="36"/>
        <v xml:space="preserve">N8080G  </v>
      </c>
      <c r="BC782">
        <v>1</v>
      </c>
      <c r="BE782">
        <v>0</v>
      </c>
      <c r="BF782">
        <v>0</v>
      </c>
      <c r="BG782">
        <v>0</v>
      </c>
      <c r="BH782">
        <v>1675</v>
      </c>
      <c r="BI782">
        <v>1</v>
      </c>
      <c r="BJ782">
        <v>1</v>
      </c>
      <c r="BK782">
        <v>1</v>
      </c>
      <c r="BL782">
        <v>0</v>
      </c>
      <c r="BO782">
        <v>0</v>
      </c>
      <c r="BP782">
        <v>0</v>
      </c>
      <c r="BW782" t="str">
        <f>"20:16:08.057"</f>
        <v>20:16:08.057</v>
      </c>
      <c r="BZ782">
        <v>0</v>
      </c>
      <c r="CA782">
        <v>2016</v>
      </c>
      <c r="CB782">
        <v>224</v>
      </c>
      <c r="CD782">
        <v>1</v>
      </c>
      <c r="CE782">
        <v>0</v>
      </c>
      <c r="CF782">
        <v>0</v>
      </c>
      <c r="CG782">
        <v>1</v>
      </c>
      <c r="CH782">
        <v>0</v>
      </c>
      <c r="CI782">
        <v>0</v>
      </c>
      <c r="CJ782">
        <v>0</v>
      </c>
      <c r="CK782">
        <v>2</v>
      </c>
      <c r="CL782">
        <v>0</v>
      </c>
      <c r="CM782">
        <v>2</v>
      </c>
      <c r="CN782">
        <v>0</v>
      </c>
      <c r="CO782">
        <v>7</v>
      </c>
      <c r="CP782" t="s">
        <v>119</v>
      </c>
      <c r="CQ782">
        <v>180</v>
      </c>
      <c r="CR782">
        <v>2</v>
      </c>
      <c r="CW782">
        <v>7972886</v>
      </c>
      <c r="CY782">
        <v>1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</row>
    <row r="783" spans="1:113" x14ac:dyDescent="0.3">
      <c r="A783" t="str">
        <f>"02/08/2021 20:16:05.750"</f>
        <v>02/08/2021 20:16:05.750</v>
      </c>
      <c r="C783" t="str">
        <f t="shared" si="38"/>
        <v>FFDFD7C0</v>
      </c>
      <c r="D783" t="s">
        <v>124</v>
      </c>
      <c r="E783">
        <v>13</v>
      </c>
      <c r="F783">
        <v>1013</v>
      </c>
      <c r="G783" t="s">
        <v>114</v>
      </c>
      <c r="J783" t="s">
        <v>125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>"20:16:08.055"</f>
        <v>20:16:08.055</v>
      </c>
      <c r="T783" t="str">
        <f>"20:16:07.655"</f>
        <v>20:16:07.655</v>
      </c>
      <c r="U783" t="str">
        <f t="shared" si="37"/>
        <v>AB01F4</v>
      </c>
      <c r="V783">
        <v>0</v>
      </c>
      <c r="W783">
        <v>0</v>
      </c>
      <c r="X783">
        <v>2</v>
      </c>
      <c r="Z783">
        <v>0</v>
      </c>
      <c r="AA783">
        <v>9</v>
      </c>
      <c r="AB783">
        <v>3</v>
      </c>
      <c r="AC783">
        <v>0</v>
      </c>
      <c r="AD783">
        <v>10</v>
      </c>
      <c r="AE783">
        <v>0</v>
      </c>
      <c r="AF783">
        <v>3</v>
      </c>
      <c r="AG783">
        <v>2</v>
      </c>
      <c r="AH783">
        <v>0</v>
      </c>
      <c r="AI783" t="s">
        <v>659</v>
      </c>
      <c r="AJ783">
        <v>39.658648999999997</v>
      </c>
      <c r="AK783" t="s">
        <v>660</v>
      </c>
      <c r="AL783">
        <v>-92.510569000000004</v>
      </c>
      <c r="AM783">
        <v>100</v>
      </c>
      <c r="AN783">
        <v>1700</v>
      </c>
      <c r="AO783" t="s">
        <v>118</v>
      </c>
      <c r="AP783">
        <v>-35</v>
      </c>
      <c r="AQ783">
        <v>126</v>
      </c>
      <c r="AR783">
        <v>128</v>
      </c>
      <c r="AZ783">
        <v>1200</v>
      </c>
      <c r="BA783">
        <v>1</v>
      </c>
      <c r="BB783" t="str">
        <f t="shared" ref="BB783:BB846" si="39">"N8080G  "</f>
        <v xml:space="preserve">N8080G  </v>
      </c>
      <c r="BC783">
        <v>1</v>
      </c>
      <c r="BE783">
        <v>0</v>
      </c>
      <c r="BF783">
        <v>0</v>
      </c>
      <c r="BG783">
        <v>0</v>
      </c>
      <c r="BH783">
        <v>1675</v>
      </c>
      <c r="BI783">
        <v>1</v>
      </c>
      <c r="BJ783">
        <v>1</v>
      </c>
      <c r="BK783">
        <v>1</v>
      </c>
      <c r="BL783">
        <v>0</v>
      </c>
      <c r="BO783">
        <v>0</v>
      </c>
      <c r="BP783">
        <v>0</v>
      </c>
      <c r="BW783" t="str">
        <f>"20:16:08.057"</f>
        <v>20:16:08.057</v>
      </c>
      <c r="BZ783">
        <v>0</v>
      </c>
      <c r="CA783">
        <v>2016</v>
      </c>
      <c r="CB783">
        <v>224</v>
      </c>
      <c r="CD783">
        <v>1</v>
      </c>
      <c r="CE783">
        <v>0</v>
      </c>
      <c r="CF783">
        <v>0</v>
      </c>
      <c r="CG783">
        <v>1</v>
      </c>
      <c r="CH783">
        <v>0</v>
      </c>
      <c r="CI783">
        <v>0</v>
      </c>
      <c r="CJ783">
        <v>0</v>
      </c>
      <c r="CK783">
        <v>2</v>
      </c>
      <c r="CL783">
        <v>0</v>
      </c>
      <c r="CM783">
        <v>2</v>
      </c>
      <c r="CN783">
        <v>0</v>
      </c>
      <c r="CO783">
        <v>7</v>
      </c>
      <c r="CP783" t="s">
        <v>119</v>
      </c>
      <c r="CQ783">
        <v>180</v>
      </c>
      <c r="CR783">
        <v>2</v>
      </c>
      <c r="CW783">
        <v>7972886</v>
      </c>
      <c r="CY783">
        <v>1</v>
      </c>
      <c r="CZ783">
        <v>0</v>
      </c>
      <c r="DA783">
        <v>1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</row>
    <row r="784" spans="1:113" x14ac:dyDescent="0.3">
      <c r="A784" t="str">
        <f>"02/08/2021 20:16:05.750"</f>
        <v>02/08/2021 20:16:05.750</v>
      </c>
      <c r="C784" t="str">
        <f t="shared" si="38"/>
        <v>FFDFD7C0</v>
      </c>
      <c r="D784" t="s">
        <v>113</v>
      </c>
      <c r="E784">
        <v>6</v>
      </c>
      <c r="H784">
        <v>165</v>
      </c>
      <c r="I784" t="s">
        <v>114</v>
      </c>
      <c r="J784" t="s">
        <v>115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>"20:16:08.055"</f>
        <v>20:16:08.055</v>
      </c>
      <c r="T784" t="str">
        <f>"20:16:07.655"</f>
        <v>20:16:07.655</v>
      </c>
      <c r="U784" t="str">
        <f t="shared" si="37"/>
        <v>AB01F4</v>
      </c>
      <c r="V784">
        <v>0</v>
      </c>
      <c r="W784">
        <v>0</v>
      </c>
      <c r="X784">
        <v>2</v>
      </c>
      <c r="Z784">
        <v>0</v>
      </c>
      <c r="AA784">
        <v>9</v>
      </c>
      <c r="AB784">
        <v>3</v>
      </c>
      <c r="AC784">
        <v>0</v>
      </c>
      <c r="AD784">
        <v>10</v>
      </c>
      <c r="AE784">
        <v>0</v>
      </c>
      <c r="AF784">
        <v>3</v>
      </c>
      <c r="AG784">
        <v>2</v>
      </c>
      <c r="AH784">
        <v>0</v>
      </c>
      <c r="AI784" t="s">
        <v>659</v>
      </c>
      <c r="AJ784">
        <v>39.658648999999997</v>
      </c>
      <c r="AK784" t="s">
        <v>660</v>
      </c>
      <c r="AL784">
        <v>-92.510569000000004</v>
      </c>
      <c r="AM784">
        <v>100</v>
      </c>
      <c r="AN784">
        <v>1700</v>
      </c>
      <c r="AO784" t="s">
        <v>118</v>
      </c>
      <c r="AP784">
        <v>-35</v>
      </c>
      <c r="AQ784">
        <v>126</v>
      </c>
      <c r="AR784">
        <v>128</v>
      </c>
      <c r="AZ784">
        <v>1200</v>
      </c>
      <c r="BA784">
        <v>1</v>
      </c>
      <c r="BB784" t="str">
        <f t="shared" si="39"/>
        <v xml:space="preserve">N8080G  </v>
      </c>
      <c r="BC784">
        <v>1</v>
      </c>
      <c r="BE784">
        <v>0</v>
      </c>
      <c r="BF784">
        <v>0</v>
      </c>
      <c r="BG784">
        <v>0</v>
      </c>
      <c r="BH784">
        <v>1675</v>
      </c>
      <c r="BI784">
        <v>1</v>
      </c>
      <c r="BJ784">
        <v>1</v>
      </c>
      <c r="BK784">
        <v>1</v>
      </c>
      <c r="BL784">
        <v>0</v>
      </c>
      <c r="BO784">
        <v>0</v>
      </c>
      <c r="BP784">
        <v>0</v>
      </c>
      <c r="BW784" t="str">
        <f>"20:16:08.057"</f>
        <v>20:16:08.057</v>
      </c>
      <c r="BZ784">
        <v>0</v>
      </c>
      <c r="CA784">
        <v>2016</v>
      </c>
      <c r="CB784">
        <v>224</v>
      </c>
      <c r="CD784">
        <v>1</v>
      </c>
      <c r="CE784">
        <v>0</v>
      </c>
      <c r="CF784">
        <v>0</v>
      </c>
      <c r="CG784">
        <v>1</v>
      </c>
      <c r="CH784">
        <v>0</v>
      </c>
      <c r="CI784">
        <v>0</v>
      </c>
      <c r="CJ784">
        <v>0</v>
      </c>
      <c r="CK784">
        <v>2</v>
      </c>
      <c r="CL784">
        <v>0</v>
      </c>
      <c r="CM784">
        <v>2</v>
      </c>
      <c r="CN784">
        <v>0</v>
      </c>
      <c r="CO784">
        <v>7</v>
      </c>
      <c r="CP784" t="s">
        <v>119</v>
      </c>
      <c r="CQ784">
        <v>180</v>
      </c>
      <c r="CR784">
        <v>2</v>
      </c>
      <c r="CW784">
        <v>7972886</v>
      </c>
      <c r="CY784">
        <v>1</v>
      </c>
      <c r="CZ784">
        <v>0</v>
      </c>
      <c r="DA784">
        <v>1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</row>
    <row r="785" spans="1:113" x14ac:dyDescent="0.3">
      <c r="A785" t="str">
        <f>"02/08/2021 20:16:07.125"</f>
        <v>02/08/2021 20:16:07.125</v>
      </c>
      <c r="C785" t="str">
        <f t="shared" si="38"/>
        <v>FFDFD7C0</v>
      </c>
      <c r="D785" t="s">
        <v>124</v>
      </c>
      <c r="E785">
        <v>13</v>
      </c>
      <c r="F785">
        <v>1013</v>
      </c>
      <c r="G785" t="s">
        <v>114</v>
      </c>
      <c r="J785" t="s">
        <v>125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>"20:16:09.453"</f>
        <v>20:16:09.453</v>
      </c>
      <c r="T785" t="str">
        <f>"20:16:09.053"</f>
        <v>20:16:09.053</v>
      </c>
      <c r="U785" t="str">
        <f t="shared" si="37"/>
        <v>AB01F4</v>
      </c>
      <c r="V785">
        <v>0</v>
      </c>
      <c r="W785">
        <v>0</v>
      </c>
      <c r="X785">
        <v>2</v>
      </c>
      <c r="Z785">
        <v>0</v>
      </c>
      <c r="AA785">
        <v>9</v>
      </c>
      <c r="AB785">
        <v>3</v>
      </c>
      <c r="AC785">
        <v>0</v>
      </c>
      <c r="AD785">
        <v>10</v>
      </c>
      <c r="AE785">
        <v>0</v>
      </c>
      <c r="AF785">
        <v>3</v>
      </c>
      <c r="AG785">
        <v>2</v>
      </c>
      <c r="AH785">
        <v>0</v>
      </c>
      <c r="AI785" t="s">
        <v>661</v>
      </c>
      <c r="AJ785">
        <v>39.659443000000003</v>
      </c>
      <c r="AK785" t="s">
        <v>662</v>
      </c>
      <c r="AL785">
        <v>-92.510805000000005</v>
      </c>
      <c r="AM785">
        <v>100</v>
      </c>
      <c r="AN785">
        <v>1700</v>
      </c>
      <c r="AO785" t="s">
        <v>118</v>
      </c>
      <c r="AP785">
        <v>-35</v>
      </c>
      <c r="AQ785">
        <v>125</v>
      </c>
      <c r="AR785">
        <v>192</v>
      </c>
      <c r="AZ785">
        <v>1200</v>
      </c>
      <c r="BA785">
        <v>1</v>
      </c>
      <c r="BB785" t="str">
        <f t="shared" si="39"/>
        <v xml:space="preserve">N8080G  </v>
      </c>
      <c r="BC785">
        <v>1</v>
      </c>
      <c r="BE785">
        <v>0</v>
      </c>
      <c r="BF785">
        <v>0</v>
      </c>
      <c r="BG785">
        <v>0</v>
      </c>
      <c r="BH785">
        <v>1675</v>
      </c>
      <c r="BI785">
        <v>1</v>
      </c>
      <c r="BJ785">
        <v>1</v>
      </c>
      <c r="BK785">
        <v>1</v>
      </c>
      <c r="BL785">
        <v>0</v>
      </c>
      <c r="BO785">
        <v>0</v>
      </c>
      <c r="BP785">
        <v>0</v>
      </c>
      <c r="BW785" t="str">
        <f>"20:16:09.456"</f>
        <v>20:16:09.456</v>
      </c>
      <c r="BZ785">
        <v>0</v>
      </c>
      <c r="CA785">
        <v>2016</v>
      </c>
      <c r="CB785">
        <v>224</v>
      </c>
      <c r="CD785">
        <v>1</v>
      </c>
      <c r="CE785">
        <v>0</v>
      </c>
      <c r="CF785">
        <v>0</v>
      </c>
      <c r="CG785">
        <v>1</v>
      </c>
      <c r="CH785">
        <v>0</v>
      </c>
      <c r="CI785">
        <v>0</v>
      </c>
      <c r="CJ785">
        <v>0</v>
      </c>
      <c r="CK785">
        <v>2</v>
      </c>
      <c r="CL785">
        <v>0</v>
      </c>
      <c r="CM785">
        <v>2</v>
      </c>
      <c r="CN785">
        <v>0</v>
      </c>
      <c r="CO785">
        <v>7</v>
      </c>
      <c r="CP785" t="s">
        <v>119</v>
      </c>
      <c r="CQ785">
        <v>180</v>
      </c>
      <c r="CR785">
        <v>2</v>
      </c>
      <c r="CW785">
        <v>7974017</v>
      </c>
      <c r="CY785">
        <v>1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</row>
    <row r="786" spans="1:113" x14ac:dyDescent="0.3">
      <c r="A786" t="str">
        <f>"02/08/2021 20:16:07.125"</f>
        <v>02/08/2021 20:16:07.125</v>
      </c>
      <c r="C786" t="str">
        <f t="shared" si="38"/>
        <v>FFDFD7C0</v>
      </c>
      <c r="D786" t="s">
        <v>113</v>
      </c>
      <c r="E786">
        <v>6</v>
      </c>
      <c r="H786">
        <v>165</v>
      </c>
      <c r="I786" t="s">
        <v>114</v>
      </c>
      <c r="J786" t="s">
        <v>115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>"20:16:09.453"</f>
        <v>20:16:09.453</v>
      </c>
      <c r="T786" t="str">
        <f>"20:16:09.053"</f>
        <v>20:16:09.053</v>
      </c>
      <c r="U786" t="str">
        <f t="shared" si="37"/>
        <v>AB01F4</v>
      </c>
      <c r="V786">
        <v>0</v>
      </c>
      <c r="W786">
        <v>0</v>
      </c>
      <c r="X786">
        <v>2</v>
      </c>
      <c r="Z786">
        <v>0</v>
      </c>
      <c r="AA786">
        <v>9</v>
      </c>
      <c r="AB786">
        <v>3</v>
      </c>
      <c r="AC786">
        <v>0</v>
      </c>
      <c r="AD786">
        <v>10</v>
      </c>
      <c r="AE786">
        <v>0</v>
      </c>
      <c r="AF786">
        <v>3</v>
      </c>
      <c r="AG786">
        <v>2</v>
      </c>
      <c r="AH786">
        <v>0</v>
      </c>
      <c r="AI786" t="s">
        <v>661</v>
      </c>
      <c r="AJ786">
        <v>39.659443000000003</v>
      </c>
      <c r="AK786" t="s">
        <v>662</v>
      </c>
      <c r="AL786">
        <v>-92.510805000000005</v>
      </c>
      <c r="AM786">
        <v>100</v>
      </c>
      <c r="AN786">
        <v>1700</v>
      </c>
      <c r="AO786" t="s">
        <v>118</v>
      </c>
      <c r="AP786">
        <v>-35</v>
      </c>
      <c r="AQ786">
        <v>125</v>
      </c>
      <c r="AR786">
        <v>192</v>
      </c>
      <c r="AZ786">
        <v>1200</v>
      </c>
      <c r="BA786">
        <v>1</v>
      </c>
      <c r="BB786" t="str">
        <f t="shared" si="39"/>
        <v xml:space="preserve">N8080G  </v>
      </c>
      <c r="BC786">
        <v>1</v>
      </c>
      <c r="BE786">
        <v>0</v>
      </c>
      <c r="BF786">
        <v>0</v>
      </c>
      <c r="BG786">
        <v>0</v>
      </c>
      <c r="BH786">
        <v>1675</v>
      </c>
      <c r="BI786">
        <v>1</v>
      </c>
      <c r="BJ786">
        <v>1</v>
      </c>
      <c r="BK786">
        <v>1</v>
      </c>
      <c r="BL786">
        <v>0</v>
      </c>
      <c r="BO786">
        <v>0</v>
      </c>
      <c r="BP786">
        <v>0</v>
      </c>
      <c r="BW786" t="str">
        <f>"20:16:09.456"</f>
        <v>20:16:09.456</v>
      </c>
      <c r="BZ786">
        <v>0</v>
      </c>
      <c r="CA786">
        <v>2016</v>
      </c>
      <c r="CB786">
        <v>224</v>
      </c>
      <c r="CD786">
        <v>1</v>
      </c>
      <c r="CE786">
        <v>0</v>
      </c>
      <c r="CF786">
        <v>0</v>
      </c>
      <c r="CG786">
        <v>1</v>
      </c>
      <c r="CH786">
        <v>0</v>
      </c>
      <c r="CI786">
        <v>0</v>
      </c>
      <c r="CJ786">
        <v>0</v>
      </c>
      <c r="CK786">
        <v>2</v>
      </c>
      <c r="CL786">
        <v>0</v>
      </c>
      <c r="CM786">
        <v>2</v>
      </c>
      <c r="CN786">
        <v>0</v>
      </c>
      <c r="CO786">
        <v>7</v>
      </c>
      <c r="CP786" t="s">
        <v>119</v>
      </c>
      <c r="CQ786">
        <v>180</v>
      </c>
      <c r="CR786">
        <v>2</v>
      </c>
      <c r="CW786">
        <v>7974017</v>
      </c>
      <c r="CY786">
        <v>1</v>
      </c>
      <c r="CZ786">
        <v>0</v>
      </c>
      <c r="DA786">
        <v>1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</row>
    <row r="787" spans="1:113" x14ac:dyDescent="0.3">
      <c r="A787" t="str">
        <f>"02/08/2021 20:16:07.125"</f>
        <v>02/08/2021 20:16:07.125</v>
      </c>
      <c r="C787" t="str">
        <f t="shared" si="38"/>
        <v>FFDFD7C0</v>
      </c>
      <c r="D787" t="s">
        <v>124</v>
      </c>
      <c r="E787">
        <v>11</v>
      </c>
      <c r="F787">
        <v>1011</v>
      </c>
      <c r="G787" t="s">
        <v>590</v>
      </c>
      <c r="J787" t="s">
        <v>125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>"20:16:09.453"</f>
        <v>20:16:09.453</v>
      </c>
      <c r="T787" t="str">
        <f>"20:16:09.053"</f>
        <v>20:16:09.053</v>
      </c>
      <c r="U787" t="str">
        <f t="shared" si="37"/>
        <v>AB01F4</v>
      </c>
      <c r="V787">
        <v>0</v>
      </c>
      <c r="W787">
        <v>0</v>
      </c>
      <c r="X787">
        <v>2</v>
      </c>
      <c r="Z787">
        <v>0</v>
      </c>
      <c r="AA787">
        <v>9</v>
      </c>
      <c r="AB787">
        <v>3</v>
      </c>
      <c r="AC787">
        <v>0</v>
      </c>
      <c r="AD787">
        <v>10</v>
      </c>
      <c r="AE787">
        <v>0</v>
      </c>
      <c r="AF787">
        <v>3</v>
      </c>
      <c r="AG787">
        <v>2</v>
      </c>
      <c r="AH787">
        <v>0</v>
      </c>
      <c r="AI787" t="s">
        <v>661</v>
      </c>
      <c r="AJ787">
        <v>39.659443000000003</v>
      </c>
      <c r="AK787" t="s">
        <v>662</v>
      </c>
      <c r="AL787">
        <v>-92.510805000000005</v>
      </c>
      <c r="AM787">
        <v>100</v>
      </c>
      <c r="AN787">
        <v>1700</v>
      </c>
      <c r="AO787" t="s">
        <v>118</v>
      </c>
      <c r="AP787">
        <v>-35</v>
      </c>
      <c r="AQ787">
        <v>125</v>
      </c>
      <c r="AR787">
        <v>192</v>
      </c>
      <c r="AZ787">
        <v>1200</v>
      </c>
      <c r="BA787">
        <v>1</v>
      </c>
      <c r="BB787" t="str">
        <f t="shared" si="39"/>
        <v xml:space="preserve">N8080G  </v>
      </c>
      <c r="BC787">
        <v>1</v>
      </c>
      <c r="BE787">
        <v>0</v>
      </c>
      <c r="BF787">
        <v>0</v>
      </c>
      <c r="BG787">
        <v>0</v>
      </c>
      <c r="BH787">
        <v>1675</v>
      </c>
      <c r="BI787">
        <v>1</v>
      </c>
      <c r="BJ787">
        <v>1</v>
      </c>
      <c r="BK787">
        <v>1</v>
      </c>
      <c r="BL787">
        <v>0</v>
      </c>
      <c r="BO787">
        <v>0</v>
      </c>
      <c r="BP787">
        <v>0</v>
      </c>
      <c r="BW787" t="str">
        <f>"20:16:09.456"</f>
        <v>20:16:09.456</v>
      </c>
      <c r="BZ787">
        <v>0</v>
      </c>
      <c r="CA787">
        <v>2016</v>
      </c>
      <c r="CB787">
        <v>224</v>
      </c>
      <c r="CD787">
        <v>1</v>
      </c>
      <c r="CE787">
        <v>0</v>
      </c>
      <c r="CF787">
        <v>0</v>
      </c>
      <c r="CG787">
        <v>1</v>
      </c>
      <c r="CH787">
        <v>0</v>
      </c>
      <c r="CI787">
        <v>0</v>
      </c>
      <c r="CJ787">
        <v>0</v>
      </c>
      <c r="CK787">
        <v>2</v>
      </c>
      <c r="CL787">
        <v>0</v>
      </c>
      <c r="CM787">
        <v>2</v>
      </c>
      <c r="CN787">
        <v>0</v>
      </c>
      <c r="CO787">
        <v>7</v>
      </c>
      <c r="CP787" t="s">
        <v>119</v>
      </c>
      <c r="CQ787">
        <v>180</v>
      </c>
      <c r="CR787">
        <v>2</v>
      </c>
      <c r="CW787">
        <v>7974017</v>
      </c>
      <c r="CY787">
        <v>1</v>
      </c>
      <c r="CZ787">
        <v>0</v>
      </c>
      <c r="DA787">
        <v>1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</row>
    <row r="788" spans="1:113" x14ac:dyDescent="0.3">
      <c r="A788" t="str">
        <f>"02/08/2021 20:16:08.032"</f>
        <v>02/08/2021 20:16:08.032</v>
      </c>
      <c r="C788" t="str">
        <f t="shared" si="38"/>
        <v>FFDFD7C0</v>
      </c>
      <c r="D788" t="s">
        <v>124</v>
      </c>
      <c r="E788">
        <v>13</v>
      </c>
      <c r="F788">
        <v>1013</v>
      </c>
      <c r="G788" t="s">
        <v>114</v>
      </c>
      <c r="J788" t="s">
        <v>125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>"20:16:10.344"</f>
        <v>20:16:10.344</v>
      </c>
      <c r="T788" t="str">
        <f>"20:16:09.944"</f>
        <v>20:16:09.944</v>
      </c>
      <c r="U788" t="str">
        <f t="shared" si="37"/>
        <v>AB01F4</v>
      </c>
      <c r="V788">
        <v>0</v>
      </c>
      <c r="W788">
        <v>0</v>
      </c>
      <c r="X788">
        <v>2</v>
      </c>
      <c r="Z788">
        <v>0</v>
      </c>
      <c r="AA788">
        <v>9</v>
      </c>
      <c r="AB788">
        <v>3</v>
      </c>
      <c r="AC788">
        <v>0</v>
      </c>
      <c r="AD788">
        <v>10</v>
      </c>
      <c r="AE788">
        <v>0</v>
      </c>
      <c r="AF788">
        <v>3</v>
      </c>
      <c r="AG788">
        <v>2</v>
      </c>
      <c r="AH788">
        <v>0</v>
      </c>
      <c r="AI788" t="s">
        <v>663</v>
      </c>
      <c r="AJ788">
        <v>39.659958000000003</v>
      </c>
      <c r="AK788" t="s">
        <v>664</v>
      </c>
      <c r="AL788">
        <v>-92.511041000000006</v>
      </c>
      <c r="AM788">
        <v>100</v>
      </c>
      <c r="AN788">
        <v>1700</v>
      </c>
      <c r="AO788" t="s">
        <v>118</v>
      </c>
      <c r="AP788">
        <v>-35</v>
      </c>
      <c r="AQ788">
        <v>125</v>
      </c>
      <c r="AR788">
        <v>128</v>
      </c>
      <c r="AZ788">
        <v>1200</v>
      </c>
      <c r="BA788">
        <v>1</v>
      </c>
      <c r="BB788" t="str">
        <f t="shared" si="39"/>
        <v xml:space="preserve">N8080G  </v>
      </c>
      <c r="BC788">
        <v>1</v>
      </c>
      <c r="BE788">
        <v>0</v>
      </c>
      <c r="BF788">
        <v>0</v>
      </c>
      <c r="BG788">
        <v>0</v>
      </c>
      <c r="BH788">
        <v>1675</v>
      </c>
      <c r="BI788">
        <v>1</v>
      </c>
      <c r="BJ788">
        <v>1</v>
      </c>
      <c r="BK788">
        <v>1</v>
      </c>
      <c r="BL788">
        <v>0</v>
      </c>
      <c r="BO788">
        <v>0</v>
      </c>
      <c r="BP788">
        <v>0</v>
      </c>
      <c r="BW788" t="str">
        <f>"20:16:10.351"</f>
        <v>20:16:10.351</v>
      </c>
      <c r="BZ788">
        <v>0</v>
      </c>
      <c r="CA788">
        <v>2016</v>
      </c>
      <c r="CB788">
        <v>224</v>
      </c>
      <c r="CD788">
        <v>1</v>
      </c>
      <c r="CE788">
        <v>0</v>
      </c>
      <c r="CF788">
        <v>0</v>
      </c>
      <c r="CG788">
        <v>1</v>
      </c>
      <c r="CH788">
        <v>0</v>
      </c>
      <c r="CI788">
        <v>0</v>
      </c>
      <c r="CJ788">
        <v>0</v>
      </c>
      <c r="CK788">
        <v>2</v>
      </c>
      <c r="CL788">
        <v>0</v>
      </c>
      <c r="CM788">
        <v>2</v>
      </c>
      <c r="CN788">
        <v>0</v>
      </c>
      <c r="CO788">
        <v>2</v>
      </c>
      <c r="CP788" t="s">
        <v>119</v>
      </c>
      <c r="CQ788">
        <v>559</v>
      </c>
      <c r="CR788">
        <v>0</v>
      </c>
      <c r="CW788">
        <v>10431220</v>
      </c>
      <c r="CY788">
        <v>1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</row>
    <row r="789" spans="1:113" x14ac:dyDescent="0.3">
      <c r="A789" t="str">
        <f>"02/08/2021 20:16:08.032"</f>
        <v>02/08/2021 20:16:08.032</v>
      </c>
      <c r="C789" t="str">
        <f t="shared" si="38"/>
        <v>FFDFD7C0</v>
      </c>
      <c r="D789" t="s">
        <v>113</v>
      </c>
      <c r="E789">
        <v>6</v>
      </c>
      <c r="H789">
        <v>165</v>
      </c>
      <c r="I789" t="s">
        <v>114</v>
      </c>
      <c r="J789" t="s">
        <v>115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>"20:16:10.344"</f>
        <v>20:16:10.344</v>
      </c>
      <c r="T789" t="str">
        <f>"20:16:09.944"</f>
        <v>20:16:09.944</v>
      </c>
      <c r="U789" t="str">
        <f t="shared" si="37"/>
        <v>AB01F4</v>
      </c>
      <c r="V789">
        <v>0</v>
      </c>
      <c r="W789">
        <v>0</v>
      </c>
      <c r="X789">
        <v>2</v>
      </c>
      <c r="Z789">
        <v>0</v>
      </c>
      <c r="AA789">
        <v>9</v>
      </c>
      <c r="AB789">
        <v>3</v>
      </c>
      <c r="AC789">
        <v>0</v>
      </c>
      <c r="AD789">
        <v>10</v>
      </c>
      <c r="AE789">
        <v>0</v>
      </c>
      <c r="AF789">
        <v>3</v>
      </c>
      <c r="AG789">
        <v>2</v>
      </c>
      <c r="AH789">
        <v>0</v>
      </c>
      <c r="AI789" t="s">
        <v>663</v>
      </c>
      <c r="AJ789">
        <v>39.659958000000003</v>
      </c>
      <c r="AK789" t="s">
        <v>664</v>
      </c>
      <c r="AL789">
        <v>-92.511041000000006</v>
      </c>
      <c r="AM789">
        <v>100</v>
      </c>
      <c r="AN789">
        <v>1700</v>
      </c>
      <c r="AO789" t="s">
        <v>118</v>
      </c>
      <c r="AP789">
        <v>-35</v>
      </c>
      <c r="AQ789">
        <v>125</v>
      </c>
      <c r="AR789">
        <v>128</v>
      </c>
      <c r="AZ789">
        <v>1200</v>
      </c>
      <c r="BA789">
        <v>1</v>
      </c>
      <c r="BB789" t="str">
        <f t="shared" si="39"/>
        <v xml:space="preserve">N8080G  </v>
      </c>
      <c r="BC789">
        <v>1</v>
      </c>
      <c r="BE789">
        <v>0</v>
      </c>
      <c r="BF789">
        <v>0</v>
      </c>
      <c r="BG789">
        <v>0</v>
      </c>
      <c r="BH789">
        <v>1675</v>
      </c>
      <c r="BI789">
        <v>1</v>
      </c>
      <c r="BJ789">
        <v>1</v>
      </c>
      <c r="BK789">
        <v>1</v>
      </c>
      <c r="BL789">
        <v>0</v>
      </c>
      <c r="BO789">
        <v>0</v>
      </c>
      <c r="BP789">
        <v>0</v>
      </c>
      <c r="BW789" t="str">
        <f>"20:16:10.351"</f>
        <v>20:16:10.351</v>
      </c>
      <c r="BZ789">
        <v>0</v>
      </c>
      <c r="CA789">
        <v>2016</v>
      </c>
      <c r="CB789">
        <v>224</v>
      </c>
      <c r="CD789">
        <v>1</v>
      </c>
      <c r="CE789">
        <v>0</v>
      </c>
      <c r="CF789">
        <v>0</v>
      </c>
      <c r="CG789">
        <v>1</v>
      </c>
      <c r="CH789">
        <v>0</v>
      </c>
      <c r="CI789">
        <v>0</v>
      </c>
      <c r="CJ789">
        <v>0</v>
      </c>
      <c r="CK789">
        <v>2</v>
      </c>
      <c r="CL789">
        <v>0</v>
      </c>
      <c r="CM789">
        <v>2</v>
      </c>
      <c r="CN789">
        <v>0</v>
      </c>
      <c r="CO789">
        <v>2</v>
      </c>
      <c r="CP789" t="s">
        <v>119</v>
      </c>
      <c r="CQ789">
        <v>559</v>
      </c>
      <c r="CR789">
        <v>0</v>
      </c>
      <c r="CW789">
        <v>10431220</v>
      </c>
      <c r="CY789">
        <v>1</v>
      </c>
      <c r="CZ789">
        <v>0</v>
      </c>
      <c r="DA789">
        <v>1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</row>
    <row r="790" spans="1:113" x14ac:dyDescent="0.3">
      <c r="A790" t="str">
        <f>"02/08/2021 20:16:10.070"</f>
        <v>02/08/2021 20:16:10.070</v>
      </c>
      <c r="C790" t="str">
        <f t="shared" si="38"/>
        <v>FFDFD7C0</v>
      </c>
      <c r="D790" t="s">
        <v>113</v>
      </c>
      <c r="E790">
        <v>6</v>
      </c>
      <c r="H790">
        <v>165</v>
      </c>
      <c r="I790" t="s">
        <v>114</v>
      </c>
      <c r="J790" t="s">
        <v>115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>"20:16:12.367"</f>
        <v>20:16:12.367</v>
      </c>
      <c r="T790" t="str">
        <f>"20:16:11.867"</f>
        <v>20:16:11.867</v>
      </c>
      <c r="U790" t="str">
        <f t="shared" si="37"/>
        <v>AB01F4</v>
      </c>
      <c r="V790">
        <v>0</v>
      </c>
      <c r="W790">
        <v>0</v>
      </c>
      <c r="X790">
        <v>2</v>
      </c>
      <c r="Z790">
        <v>0</v>
      </c>
      <c r="AA790">
        <v>9</v>
      </c>
      <c r="AB790">
        <v>3</v>
      </c>
      <c r="AC790">
        <v>0</v>
      </c>
      <c r="AD790">
        <v>10</v>
      </c>
      <c r="AE790">
        <v>0</v>
      </c>
      <c r="AF790">
        <v>3</v>
      </c>
      <c r="AG790">
        <v>2</v>
      </c>
      <c r="AH790">
        <v>0</v>
      </c>
      <c r="AI790" t="s">
        <v>665</v>
      </c>
      <c r="AJ790">
        <v>39.661095000000003</v>
      </c>
      <c r="AK790" t="s">
        <v>666</v>
      </c>
      <c r="AL790">
        <v>-92.511448999999999</v>
      </c>
      <c r="AM790">
        <v>100</v>
      </c>
      <c r="AN790">
        <v>1700</v>
      </c>
      <c r="AO790" t="s">
        <v>118</v>
      </c>
      <c r="AP790">
        <v>-35</v>
      </c>
      <c r="AQ790">
        <v>124</v>
      </c>
      <c r="AR790">
        <v>64</v>
      </c>
      <c r="AZ790">
        <v>1200</v>
      </c>
      <c r="BA790">
        <v>1</v>
      </c>
      <c r="BB790" t="str">
        <f t="shared" si="39"/>
        <v xml:space="preserve">N8080G  </v>
      </c>
      <c r="BC790">
        <v>1</v>
      </c>
      <c r="BE790">
        <v>0</v>
      </c>
      <c r="BF790">
        <v>0</v>
      </c>
      <c r="BG790">
        <v>0</v>
      </c>
      <c r="BH790">
        <v>1675</v>
      </c>
      <c r="BI790">
        <v>1</v>
      </c>
      <c r="BJ790">
        <v>1</v>
      </c>
      <c r="BK790">
        <v>1</v>
      </c>
      <c r="BL790">
        <v>0</v>
      </c>
      <c r="BO790">
        <v>0</v>
      </c>
      <c r="BP790">
        <v>0</v>
      </c>
      <c r="BW790" t="str">
        <f>"20:16:12.372"</f>
        <v>20:16:12.372</v>
      </c>
      <c r="BZ790">
        <v>0</v>
      </c>
      <c r="CA790">
        <v>2016</v>
      </c>
      <c r="CB790">
        <v>224</v>
      </c>
      <c r="CD790">
        <v>1</v>
      </c>
      <c r="CE790">
        <v>0</v>
      </c>
      <c r="CF790">
        <v>0</v>
      </c>
      <c r="CG790">
        <v>1</v>
      </c>
      <c r="CH790">
        <v>0</v>
      </c>
      <c r="CI790">
        <v>0</v>
      </c>
      <c r="CJ790">
        <v>0</v>
      </c>
      <c r="CK790">
        <v>2</v>
      </c>
      <c r="CL790">
        <v>0</v>
      </c>
      <c r="CM790">
        <v>2</v>
      </c>
      <c r="CN790">
        <v>0</v>
      </c>
      <c r="CO790">
        <v>1</v>
      </c>
      <c r="CP790" t="s">
        <v>119</v>
      </c>
      <c r="CQ790">
        <v>559</v>
      </c>
      <c r="CR790">
        <v>0</v>
      </c>
      <c r="CW790">
        <v>10431543</v>
      </c>
      <c r="CY790">
        <v>1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</row>
    <row r="791" spans="1:113" x14ac:dyDescent="0.3">
      <c r="A791" t="str">
        <f>"02/08/2021 20:16:10.070"</f>
        <v>02/08/2021 20:16:10.070</v>
      </c>
      <c r="C791" t="str">
        <f t="shared" si="38"/>
        <v>FFDFD7C0</v>
      </c>
      <c r="D791" t="s">
        <v>124</v>
      </c>
      <c r="E791">
        <v>13</v>
      </c>
      <c r="F791">
        <v>1013</v>
      </c>
      <c r="G791" t="s">
        <v>114</v>
      </c>
      <c r="J791" t="s">
        <v>125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>"20:16:12.367"</f>
        <v>20:16:12.367</v>
      </c>
      <c r="T791" t="str">
        <f>"20:16:11.867"</f>
        <v>20:16:11.867</v>
      </c>
      <c r="U791" t="str">
        <f t="shared" si="37"/>
        <v>AB01F4</v>
      </c>
      <c r="V791">
        <v>0</v>
      </c>
      <c r="W791">
        <v>0</v>
      </c>
      <c r="X791">
        <v>2</v>
      </c>
      <c r="Z791">
        <v>0</v>
      </c>
      <c r="AA791">
        <v>9</v>
      </c>
      <c r="AB791">
        <v>3</v>
      </c>
      <c r="AC791">
        <v>0</v>
      </c>
      <c r="AD791">
        <v>10</v>
      </c>
      <c r="AE791">
        <v>0</v>
      </c>
      <c r="AF791">
        <v>3</v>
      </c>
      <c r="AG791">
        <v>2</v>
      </c>
      <c r="AH791">
        <v>0</v>
      </c>
      <c r="AI791" t="s">
        <v>665</v>
      </c>
      <c r="AJ791">
        <v>39.661095000000003</v>
      </c>
      <c r="AK791" t="s">
        <v>666</v>
      </c>
      <c r="AL791">
        <v>-92.511448999999999</v>
      </c>
      <c r="AM791">
        <v>100</v>
      </c>
      <c r="AN791">
        <v>1700</v>
      </c>
      <c r="AO791" t="s">
        <v>118</v>
      </c>
      <c r="AP791">
        <v>-35</v>
      </c>
      <c r="AQ791">
        <v>124</v>
      </c>
      <c r="AR791">
        <v>64</v>
      </c>
      <c r="AZ791">
        <v>1200</v>
      </c>
      <c r="BA791">
        <v>1</v>
      </c>
      <c r="BB791" t="str">
        <f t="shared" si="39"/>
        <v xml:space="preserve">N8080G  </v>
      </c>
      <c r="BC791">
        <v>1</v>
      </c>
      <c r="BE791">
        <v>0</v>
      </c>
      <c r="BF791">
        <v>0</v>
      </c>
      <c r="BG791">
        <v>0</v>
      </c>
      <c r="BH791">
        <v>1675</v>
      </c>
      <c r="BI791">
        <v>1</v>
      </c>
      <c r="BJ791">
        <v>1</v>
      </c>
      <c r="BK791">
        <v>1</v>
      </c>
      <c r="BL791">
        <v>0</v>
      </c>
      <c r="BO791">
        <v>0</v>
      </c>
      <c r="BP791">
        <v>0</v>
      </c>
      <c r="BW791" t="str">
        <f>"20:16:12.372"</f>
        <v>20:16:12.372</v>
      </c>
      <c r="BZ791">
        <v>0</v>
      </c>
      <c r="CA791">
        <v>2016</v>
      </c>
      <c r="CB791">
        <v>224</v>
      </c>
      <c r="CD791">
        <v>1</v>
      </c>
      <c r="CE791">
        <v>0</v>
      </c>
      <c r="CF791">
        <v>0</v>
      </c>
      <c r="CG791">
        <v>1</v>
      </c>
      <c r="CH791">
        <v>0</v>
      </c>
      <c r="CI791">
        <v>0</v>
      </c>
      <c r="CJ791">
        <v>0</v>
      </c>
      <c r="CK791">
        <v>2</v>
      </c>
      <c r="CL791">
        <v>0</v>
      </c>
      <c r="CM791">
        <v>2</v>
      </c>
      <c r="CN791">
        <v>0</v>
      </c>
      <c r="CO791">
        <v>1</v>
      </c>
      <c r="CP791" t="s">
        <v>119</v>
      </c>
      <c r="CQ791">
        <v>559</v>
      </c>
      <c r="CR791">
        <v>0</v>
      </c>
      <c r="CW791">
        <v>10431543</v>
      </c>
      <c r="CY791">
        <v>1</v>
      </c>
      <c r="CZ791">
        <v>0</v>
      </c>
      <c r="DA791">
        <v>1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</row>
    <row r="792" spans="1:113" x14ac:dyDescent="0.3">
      <c r="A792" t="str">
        <f>"02/08/2021 20:16:11.030"</f>
        <v>02/08/2021 20:16:11.030</v>
      </c>
      <c r="C792" t="str">
        <f t="shared" si="38"/>
        <v>FFDFD7C0</v>
      </c>
      <c r="D792" t="s">
        <v>113</v>
      </c>
      <c r="E792">
        <v>6</v>
      </c>
      <c r="H792">
        <v>165</v>
      </c>
      <c r="I792" t="s">
        <v>114</v>
      </c>
      <c r="J792" t="s">
        <v>115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>"20:16:13.344"</f>
        <v>20:16:13.344</v>
      </c>
      <c r="T792" t="str">
        <f>"20:16:12.944"</f>
        <v>20:16:12.944</v>
      </c>
      <c r="U792" t="str">
        <f t="shared" si="37"/>
        <v>AB01F4</v>
      </c>
      <c r="V792">
        <v>0</v>
      </c>
      <c r="W792">
        <v>0</v>
      </c>
      <c r="X792">
        <v>2</v>
      </c>
      <c r="Z792">
        <v>0</v>
      </c>
      <c r="AA792">
        <v>9</v>
      </c>
      <c r="AB792">
        <v>3</v>
      </c>
      <c r="AC792">
        <v>0</v>
      </c>
      <c r="AD792">
        <v>10</v>
      </c>
      <c r="AE792">
        <v>0</v>
      </c>
      <c r="AF792">
        <v>3</v>
      </c>
      <c r="AG792">
        <v>2</v>
      </c>
      <c r="AH792">
        <v>0</v>
      </c>
      <c r="AI792" t="s">
        <v>667</v>
      </c>
      <c r="AJ792">
        <v>39.661695999999999</v>
      </c>
      <c r="AK792" t="s">
        <v>668</v>
      </c>
      <c r="AL792">
        <v>-92.511621000000005</v>
      </c>
      <c r="AM792">
        <v>100</v>
      </c>
      <c r="AN792">
        <v>1700</v>
      </c>
      <c r="AO792" t="s">
        <v>118</v>
      </c>
      <c r="AP792">
        <v>-35</v>
      </c>
      <c r="AQ792">
        <v>124</v>
      </c>
      <c r="AR792">
        <v>64</v>
      </c>
      <c r="AZ792">
        <v>1200</v>
      </c>
      <c r="BA792">
        <v>1</v>
      </c>
      <c r="BB792" t="str">
        <f t="shared" si="39"/>
        <v xml:space="preserve">N8080G  </v>
      </c>
      <c r="BC792">
        <v>1</v>
      </c>
      <c r="BE792">
        <v>0</v>
      </c>
      <c r="BF792">
        <v>0</v>
      </c>
      <c r="BG792">
        <v>0</v>
      </c>
      <c r="BH792">
        <v>1675</v>
      </c>
      <c r="BI792">
        <v>1</v>
      </c>
      <c r="BJ792">
        <v>1</v>
      </c>
      <c r="BK792">
        <v>1</v>
      </c>
      <c r="BL792">
        <v>0</v>
      </c>
      <c r="BO792">
        <v>0</v>
      </c>
      <c r="BP792">
        <v>0</v>
      </c>
      <c r="BW792" t="str">
        <f>"20:16:13.349"</f>
        <v>20:16:13.349</v>
      </c>
      <c r="BZ792">
        <v>0</v>
      </c>
      <c r="CA792">
        <v>2016</v>
      </c>
      <c r="CB792">
        <v>224</v>
      </c>
      <c r="CD792">
        <v>1</v>
      </c>
      <c r="CE792">
        <v>0</v>
      </c>
      <c r="CF792">
        <v>0</v>
      </c>
      <c r="CG792">
        <v>1</v>
      </c>
      <c r="CH792">
        <v>0</v>
      </c>
      <c r="CI792">
        <v>0</v>
      </c>
      <c r="CJ792">
        <v>0</v>
      </c>
      <c r="CK792">
        <v>2</v>
      </c>
      <c r="CL792">
        <v>0</v>
      </c>
      <c r="CM792">
        <v>2</v>
      </c>
      <c r="CN792">
        <v>0</v>
      </c>
      <c r="CO792">
        <v>1</v>
      </c>
      <c r="CP792" t="s">
        <v>119</v>
      </c>
      <c r="CQ792">
        <v>559</v>
      </c>
      <c r="CR792">
        <v>0</v>
      </c>
      <c r="CW792">
        <v>10431703</v>
      </c>
      <c r="CY792">
        <v>1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</row>
    <row r="793" spans="1:113" x14ac:dyDescent="0.3">
      <c r="A793" t="str">
        <f>"02/08/2021 20:16:11.030"</f>
        <v>02/08/2021 20:16:11.030</v>
      </c>
      <c r="C793" t="str">
        <f t="shared" si="38"/>
        <v>FFDFD7C0</v>
      </c>
      <c r="D793" t="s">
        <v>124</v>
      </c>
      <c r="E793">
        <v>13</v>
      </c>
      <c r="F793">
        <v>1013</v>
      </c>
      <c r="G793" t="s">
        <v>114</v>
      </c>
      <c r="J793" t="s">
        <v>125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>"20:16:13.344"</f>
        <v>20:16:13.344</v>
      </c>
      <c r="T793" t="str">
        <f>"20:16:12.944"</f>
        <v>20:16:12.944</v>
      </c>
      <c r="U793" t="str">
        <f t="shared" si="37"/>
        <v>AB01F4</v>
      </c>
      <c r="V793">
        <v>0</v>
      </c>
      <c r="W793">
        <v>0</v>
      </c>
      <c r="X793">
        <v>2</v>
      </c>
      <c r="Z793">
        <v>0</v>
      </c>
      <c r="AA793">
        <v>9</v>
      </c>
      <c r="AB793">
        <v>3</v>
      </c>
      <c r="AC793">
        <v>0</v>
      </c>
      <c r="AD793">
        <v>10</v>
      </c>
      <c r="AE793">
        <v>0</v>
      </c>
      <c r="AF793">
        <v>3</v>
      </c>
      <c r="AG793">
        <v>2</v>
      </c>
      <c r="AH793">
        <v>0</v>
      </c>
      <c r="AI793" t="s">
        <v>667</v>
      </c>
      <c r="AJ793">
        <v>39.661695999999999</v>
      </c>
      <c r="AK793" t="s">
        <v>668</v>
      </c>
      <c r="AL793">
        <v>-92.511621000000005</v>
      </c>
      <c r="AM793">
        <v>100</v>
      </c>
      <c r="AN793">
        <v>1700</v>
      </c>
      <c r="AO793" t="s">
        <v>118</v>
      </c>
      <c r="AP793">
        <v>-35</v>
      </c>
      <c r="AQ793">
        <v>124</v>
      </c>
      <c r="AR793">
        <v>64</v>
      </c>
      <c r="AZ793">
        <v>1200</v>
      </c>
      <c r="BA793">
        <v>1</v>
      </c>
      <c r="BB793" t="str">
        <f t="shared" si="39"/>
        <v xml:space="preserve">N8080G  </v>
      </c>
      <c r="BC793">
        <v>1</v>
      </c>
      <c r="BE793">
        <v>0</v>
      </c>
      <c r="BF793">
        <v>0</v>
      </c>
      <c r="BG793">
        <v>0</v>
      </c>
      <c r="BH793">
        <v>1675</v>
      </c>
      <c r="BI793">
        <v>1</v>
      </c>
      <c r="BJ793">
        <v>1</v>
      </c>
      <c r="BK793">
        <v>1</v>
      </c>
      <c r="BL793">
        <v>0</v>
      </c>
      <c r="BO793">
        <v>0</v>
      </c>
      <c r="BP793">
        <v>0</v>
      </c>
      <c r="BW793" t="str">
        <f>"20:16:13.349"</f>
        <v>20:16:13.349</v>
      </c>
      <c r="BZ793">
        <v>0</v>
      </c>
      <c r="CA793">
        <v>2016</v>
      </c>
      <c r="CB793">
        <v>224</v>
      </c>
      <c r="CD793">
        <v>1</v>
      </c>
      <c r="CE793">
        <v>0</v>
      </c>
      <c r="CF793">
        <v>0</v>
      </c>
      <c r="CG793">
        <v>1</v>
      </c>
      <c r="CH793">
        <v>0</v>
      </c>
      <c r="CI793">
        <v>0</v>
      </c>
      <c r="CJ793">
        <v>0</v>
      </c>
      <c r="CK793">
        <v>2</v>
      </c>
      <c r="CL793">
        <v>0</v>
      </c>
      <c r="CM793">
        <v>2</v>
      </c>
      <c r="CN793">
        <v>0</v>
      </c>
      <c r="CO793">
        <v>1</v>
      </c>
      <c r="CP793" t="s">
        <v>119</v>
      </c>
      <c r="CQ793">
        <v>559</v>
      </c>
      <c r="CR793">
        <v>0</v>
      </c>
      <c r="CW793">
        <v>10431703</v>
      </c>
      <c r="CY793">
        <v>1</v>
      </c>
      <c r="CZ793">
        <v>0</v>
      </c>
      <c r="DA793">
        <v>1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</row>
    <row r="794" spans="1:113" x14ac:dyDescent="0.3">
      <c r="A794" t="str">
        <f>"02/08/2021 20:16:12.141"</f>
        <v>02/08/2021 20:16:12.141</v>
      </c>
      <c r="C794" t="str">
        <f t="shared" si="38"/>
        <v>FFDFD7C0</v>
      </c>
      <c r="D794" t="s">
        <v>113</v>
      </c>
      <c r="E794">
        <v>6</v>
      </c>
      <c r="H794">
        <v>165</v>
      </c>
      <c r="I794" t="s">
        <v>114</v>
      </c>
      <c r="J794" t="s">
        <v>115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>"20:16:14.492"</f>
        <v>20:16:14.492</v>
      </c>
      <c r="T794" t="str">
        <f>"20:16:13.392"</f>
        <v>20:16:13.392</v>
      </c>
      <c r="U794" t="str">
        <f t="shared" si="37"/>
        <v>AB01F4</v>
      </c>
      <c r="V794">
        <v>0</v>
      </c>
      <c r="W794">
        <v>0</v>
      </c>
      <c r="X794">
        <v>2</v>
      </c>
      <c r="Z794">
        <v>0</v>
      </c>
      <c r="AA794">
        <v>9</v>
      </c>
      <c r="AB794">
        <v>3</v>
      </c>
      <c r="AC794">
        <v>0</v>
      </c>
      <c r="AD794">
        <v>10</v>
      </c>
      <c r="AE794">
        <v>0</v>
      </c>
      <c r="AF794">
        <v>3</v>
      </c>
      <c r="AG794">
        <v>2</v>
      </c>
      <c r="AH794">
        <v>0</v>
      </c>
      <c r="AI794" t="s">
        <v>669</v>
      </c>
      <c r="AJ794">
        <v>39.662317999999999</v>
      </c>
      <c r="AK794" t="s">
        <v>670</v>
      </c>
      <c r="AL794">
        <v>-92.511835000000005</v>
      </c>
      <c r="AM794">
        <v>100</v>
      </c>
      <c r="AN794">
        <v>1700</v>
      </c>
      <c r="AO794" t="s">
        <v>118</v>
      </c>
      <c r="AP794">
        <v>-34</v>
      </c>
      <c r="AQ794">
        <v>124</v>
      </c>
      <c r="AR794">
        <v>64</v>
      </c>
      <c r="AZ794">
        <v>1200</v>
      </c>
      <c r="BA794">
        <v>1</v>
      </c>
      <c r="BB794" t="str">
        <f t="shared" si="39"/>
        <v xml:space="preserve">N8080G  </v>
      </c>
      <c r="BC794">
        <v>1</v>
      </c>
      <c r="BE794">
        <v>0</v>
      </c>
      <c r="BF794">
        <v>0</v>
      </c>
      <c r="BG794">
        <v>0</v>
      </c>
      <c r="BH794">
        <v>1675</v>
      </c>
      <c r="BI794">
        <v>1</v>
      </c>
      <c r="BJ794">
        <v>1</v>
      </c>
      <c r="BK794">
        <v>1</v>
      </c>
      <c r="BL794">
        <v>0</v>
      </c>
      <c r="BO794">
        <v>0</v>
      </c>
      <c r="BP794">
        <v>0</v>
      </c>
      <c r="BW794" t="str">
        <f>"20:16:14.496"</f>
        <v>20:16:14.496</v>
      </c>
      <c r="BZ794">
        <v>0</v>
      </c>
      <c r="CA794">
        <v>2016</v>
      </c>
      <c r="CB794">
        <v>224</v>
      </c>
      <c r="CD794">
        <v>1</v>
      </c>
      <c r="CE794">
        <v>0</v>
      </c>
      <c r="CF794">
        <v>0</v>
      </c>
      <c r="CG794">
        <v>1</v>
      </c>
      <c r="CH794">
        <v>0</v>
      </c>
      <c r="CI794">
        <v>0</v>
      </c>
      <c r="CJ794">
        <v>0</v>
      </c>
      <c r="CK794">
        <v>2</v>
      </c>
      <c r="CL794">
        <v>0</v>
      </c>
      <c r="CM794">
        <v>2</v>
      </c>
      <c r="CN794">
        <v>0</v>
      </c>
      <c r="CO794">
        <v>2</v>
      </c>
      <c r="CP794" t="s">
        <v>119</v>
      </c>
      <c r="CQ794">
        <v>559</v>
      </c>
      <c r="CR794">
        <v>0</v>
      </c>
      <c r="CW794">
        <v>10431881</v>
      </c>
      <c r="CY794">
        <v>1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</row>
    <row r="795" spans="1:113" x14ac:dyDescent="0.3">
      <c r="A795" t="str">
        <f>"02/08/2021 20:16:12.141"</f>
        <v>02/08/2021 20:16:12.141</v>
      </c>
      <c r="C795" t="str">
        <f t="shared" si="38"/>
        <v>FFDFD7C0</v>
      </c>
      <c r="D795" t="s">
        <v>124</v>
      </c>
      <c r="E795">
        <v>13</v>
      </c>
      <c r="F795">
        <v>1013</v>
      </c>
      <c r="G795" t="s">
        <v>114</v>
      </c>
      <c r="J795" t="s">
        <v>125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>"20:16:14.492"</f>
        <v>20:16:14.492</v>
      </c>
      <c r="T795" t="str">
        <f>"20:16:13.392"</f>
        <v>20:16:13.392</v>
      </c>
      <c r="U795" t="str">
        <f t="shared" si="37"/>
        <v>AB01F4</v>
      </c>
      <c r="V795">
        <v>0</v>
      </c>
      <c r="W795">
        <v>0</v>
      </c>
      <c r="X795">
        <v>2</v>
      </c>
      <c r="Z795">
        <v>0</v>
      </c>
      <c r="AA795">
        <v>9</v>
      </c>
      <c r="AB795">
        <v>3</v>
      </c>
      <c r="AC795">
        <v>0</v>
      </c>
      <c r="AD795">
        <v>10</v>
      </c>
      <c r="AE795">
        <v>0</v>
      </c>
      <c r="AF795">
        <v>3</v>
      </c>
      <c r="AG795">
        <v>2</v>
      </c>
      <c r="AH795">
        <v>0</v>
      </c>
      <c r="AI795" t="s">
        <v>669</v>
      </c>
      <c r="AJ795">
        <v>39.662317999999999</v>
      </c>
      <c r="AK795" t="s">
        <v>670</v>
      </c>
      <c r="AL795">
        <v>-92.511835000000005</v>
      </c>
      <c r="AM795">
        <v>100</v>
      </c>
      <c r="AN795">
        <v>1700</v>
      </c>
      <c r="AO795" t="s">
        <v>118</v>
      </c>
      <c r="AP795">
        <v>-34</v>
      </c>
      <c r="AQ795">
        <v>124</v>
      </c>
      <c r="AR795">
        <v>64</v>
      </c>
      <c r="AZ795">
        <v>1200</v>
      </c>
      <c r="BA795">
        <v>1</v>
      </c>
      <c r="BB795" t="str">
        <f t="shared" si="39"/>
        <v xml:space="preserve">N8080G  </v>
      </c>
      <c r="BC795">
        <v>1</v>
      </c>
      <c r="BE795">
        <v>0</v>
      </c>
      <c r="BF795">
        <v>0</v>
      </c>
      <c r="BG795">
        <v>0</v>
      </c>
      <c r="BH795">
        <v>1675</v>
      </c>
      <c r="BI795">
        <v>1</v>
      </c>
      <c r="BJ795">
        <v>1</v>
      </c>
      <c r="BK795">
        <v>1</v>
      </c>
      <c r="BL795">
        <v>0</v>
      </c>
      <c r="BO795">
        <v>0</v>
      </c>
      <c r="BP795">
        <v>0</v>
      </c>
      <c r="BW795" t="str">
        <f>"20:16:14.496"</f>
        <v>20:16:14.496</v>
      </c>
      <c r="BZ795">
        <v>0</v>
      </c>
      <c r="CA795">
        <v>2016</v>
      </c>
      <c r="CB795">
        <v>224</v>
      </c>
      <c r="CD795">
        <v>1</v>
      </c>
      <c r="CE795">
        <v>0</v>
      </c>
      <c r="CF795">
        <v>0</v>
      </c>
      <c r="CG795">
        <v>1</v>
      </c>
      <c r="CH795">
        <v>0</v>
      </c>
      <c r="CI795">
        <v>0</v>
      </c>
      <c r="CJ795">
        <v>0</v>
      </c>
      <c r="CK795">
        <v>2</v>
      </c>
      <c r="CL795">
        <v>0</v>
      </c>
      <c r="CM795">
        <v>2</v>
      </c>
      <c r="CN795">
        <v>0</v>
      </c>
      <c r="CO795">
        <v>2</v>
      </c>
      <c r="CP795" t="s">
        <v>119</v>
      </c>
      <c r="CQ795">
        <v>559</v>
      </c>
      <c r="CR795">
        <v>0</v>
      </c>
      <c r="CW795">
        <v>10431881</v>
      </c>
      <c r="CY795">
        <v>1</v>
      </c>
      <c r="CZ795">
        <v>0</v>
      </c>
      <c r="DA795">
        <v>1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</row>
    <row r="796" spans="1:113" x14ac:dyDescent="0.3">
      <c r="A796" t="str">
        <f>"02/08/2021 20:16:13.661"</f>
        <v>02/08/2021 20:16:13.661</v>
      </c>
      <c r="C796" t="str">
        <f t="shared" si="38"/>
        <v>FFDFD7C0</v>
      </c>
      <c r="D796" t="s">
        <v>124</v>
      </c>
      <c r="E796">
        <v>13</v>
      </c>
      <c r="F796">
        <v>1013</v>
      </c>
      <c r="G796" t="s">
        <v>114</v>
      </c>
      <c r="J796" t="s">
        <v>125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>"20:16:15.961"</f>
        <v>20:16:15.961</v>
      </c>
      <c r="T796" t="str">
        <f>"20:16:15.461"</f>
        <v>20:16:15.461</v>
      </c>
      <c r="U796" t="str">
        <f t="shared" si="37"/>
        <v>AB01F4</v>
      </c>
      <c r="V796">
        <v>0</v>
      </c>
      <c r="W796">
        <v>0</v>
      </c>
      <c r="X796">
        <v>2</v>
      </c>
      <c r="Z796">
        <v>0</v>
      </c>
      <c r="AA796">
        <v>9</v>
      </c>
      <c r="AB796">
        <v>3</v>
      </c>
      <c r="AC796">
        <v>0</v>
      </c>
      <c r="AD796">
        <v>10</v>
      </c>
      <c r="AE796">
        <v>0</v>
      </c>
      <c r="AF796">
        <v>3</v>
      </c>
      <c r="AG796">
        <v>2</v>
      </c>
      <c r="AH796">
        <v>0</v>
      </c>
      <c r="AI796" t="s">
        <v>671</v>
      </c>
      <c r="AJ796">
        <v>39.663155000000003</v>
      </c>
      <c r="AK796" t="s">
        <v>672</v>
      </c>
      <c r="AL796">
        <v>-92.512157000000002</v>
      </c>
      <c r="AM796">
        <v>100</v>
      </c>
      <c r="AN796">
        <v>1700</v>
      </c>
      <c r="AO796" t="s">
        <v>118</v>
      </c>
      <c r="AP796">
        <v>-34</v>
      </c>
      <c r="AQ796">
        <v>124</v>
      </c>
      <c r="AR796">
        <v>-64</v>
      </c>
      <c r="AZ796">
        <v>1200</v>
      </c>
      <c r="BA796">
        <v>1</v>
      </c>
      <c r="BB796" t="str">
        <f t="shared" si="39"/>
        <v xml:space="preserve">N8080G  </v>
      </c>
      <c r="BC796">
        <v>1</v>
      </c>
      <c r="BE796">
        <v>0</v>
      </c>
      <c r="BF796">
        <v>0</v>
      </c>
      <c r="BG796">
        <v>0</v>
      </c>
      <c r="BH796">
        <v>1675</v>
      </c>
      <c r="BI796">
        <v>1</v>
      </c>
      <c r="BJ796">
        <v>1</v>
      </c>
      <c r="BK796">
        <v>1</v>
      </c>
      <c r="BL796">
        <v>0</v>
      </c>
      <c r="BO796">
        <v>0</v>
      </c>
      <c r="BP796">
        <v>0</v>
      </c>
      <c r="BW796" t="str">
        <f>"20:16:15.967"</f>
        <v>20:16:15.967</v>
      </c>
      <c r="BZ796">
        <v>0</v>
      </c>
      <c r="CA796">
        <v>2016</v>
      </c>
      <c r="CB796">
        <v>224</v>
      </c>
      <c r="CD796">
        <v>1</v>
      </c>
      <c r="CE796">
        <v>0</v>
      </c>
      <c r="CF796">
        <v>0</v>
      </c>
      <c r="CG796">
        <v>1</v>
      </c>
      <c r="CH796">
        <v>0</v>
      </c>
      <c r="CI796">
        <v>0</v>
      </c>
      <c r="CJ796">
        <v>0</v>
      </c>
      <c r="CK796">
        <v>2</v>
      </c>
      <c r="CL796">
        <v>0</v>
      </c>
      <c r="CM796">
        <v>2</v>
      </c>
      <c r="CN796">
        <v>0</v>
      </c>
      <c r="CO796">
        <v>7</v>
      </c>
      <c r="CP796" t="s">
        <v>119</v>
      </c>
      <c r="CQ796">
        <v>180</v>
      </c>
      <c r="CR796">
        <v>2</v>
      </c>
      <c r="CW796">
        <v>7979510</v>
      </c>
      <c r="CY796">
        <v>1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</row>
    <row r="797" spans="1:113" x14ac:dyDescent="0.3">
      <c r="A797" t="str">
        <f>"02/08/2021 20:16:13.661"</f>
        <v>02/08/2021 20:16:13.661</v>
      </c>
      <c r="C797" t="str">
        <f t="shared" si="38"/>
        <v>FFDFD7C0</v>
      </c>
      <c r="D797" t="s">
        <v>124</v>
      </c>
      <c r="E797">
        <v>11</v>
      </c>
      <c r="F797">
        <v>1011</v>
      </c>
      <c r="G797" t="s">
        <v>590</v>
      </c>
      <c r="J797" t="s">
        <v>125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>"20:16:15.961"</f>
        <v>20:16:15.961</v>
      </c>
      <c r="T797" t="str">
        <f>"20:16:15.461"</f>
        <v>20:16:15.461</v>
      </c>
      <c r="U797" t="str">
        <f t="shared" si="37"/>
        <v>AB01F4</v>
      </c>
      <c r="V797">
        <v>0</v>
      </c>
      <c r="W797">
        <v>0</v>
      </c>
      <c r="X797">
        <v>2</v>
      </c>
      <c r="Z797">
        <v>0</v>
      </c>
      <c r="AA797">
        <v>9</v>
      </c>
      <c r="AB797">
        <v>3</v>
      </c>
      <c r="AC797">
        <v>0</v>
      </c>
      <c r="AD797">
        <v>10</v>
      </c>
      <c r="AE797">
        <v>0</v>
      </c>
      <c r="AF797">
        <v>3</v>
      </c>
      <c r="AG797">
        <v>2</v>
      </c>
      <c r="AH797">
        <v>0</v>
      </c>
      <c r="AI797" t="s">
        <v>671</v>
      </c>
      <c r="AJ797">
        <v>39.663155000000003</v>
      </c>
      <c r="AK797" t="s">
        <v>672</v>
      </c>
      <c r="AL797">
        <v>-92.512157000000002</v>
      </c>
      <c r="AM797">
        <v>100</v>
      </c>
      <c r="AN797">
        <v>1700</v>
      </c>
      <c r="AO797" t="s">
        <v>118</v>
      </c>
      <c r="AP797">
        <v>-34</v>
      </c>
      <c r="AQ797">
        <v>124</v>
      </c>
      <c r="AR797">
        <v>-64</v>
      </c>
      <c r="AZ797">
        <v>1200</v>
      </c>
      <c r="BA797">
        <v>1</v>
      </c>
      <c r="BB797" t="str">
        <f t="shared" si="39"/>
        <v xml:space="preserve">N8080G  </v>
      </c>
      <c r="BC797">
        <v>1</v>
      </c>
      <c r="BE797">
        <v>0</v>
      </c>
      <c r="BF797">
        <v>0</v>
      </c>
      <c r="BG797">
        <v>0</v>
      </c>
      <c r="BH797">
        <v>1675</v>
      </c>
      <c r="BI797">
        <v>1</v>
      </c>
      <c r="BJ797">
        <v>1</v>
      </c>
      <c r="BK797">
        <v>1</v>
      </c>
      <c r="BL797">
        <v>0</v>
      </c>
      <c r="BO797">
        <v>0</v>
      </c>
      <c r="BP797">
        <v>0</v>
      </c>
      <c r="BW797" t="str">
        <f>"20:16:15.967"</f>
        <v>20:16:15.967</v>
      </c>
      <c r="BZ797">
        <v>0</v>
      </c>
      <c r="CA797">
        <v>2016</v>
      </c>
      <c r="CB797">
        <v>224</v>
      </c>
      <c r="CD797">
        <v>1</v>
      </c>
      <c r="CE797">
        <v>0</v>
      </c>
      <c r="CF797">
        <v>0</v>
      </c>
      <c r="CG797">
        <v>1</v>
      </c>
      <c r="CH797">
        <v>0</v>
      </c>
      <c r="CI797">
        <v>0</v>
      </c>
      <c r="CJ797">
        <v>0</v>
      </c>
      <c r="CK797">
        <v>2</v>
      </c>
      <c r="CL797">
        <v>0</v>
      </c>
      <c r="CM797">
        <v>2</v>
      </c>
      <c r="CN797">
        <v>0</v>
      </c>
      <c r="CO797">
        <v>7</v>
      </c>
      <c r="CP797" t="s">
        <v>119</v>
      </c>
      <c r="CQ797">
        <v>180</v>
      </c>
      <c r="CR797">
        <v>2</v>
      </c>
      <c r="CW797">
        <v>7979510</v>
      </c>
      <c r="CY797">
        <v>1</v>
      </c>
      <c r="CZ797">
        <v>0</v>
      </c>
      <c r="DA797">
        <v>1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</row>
    <row r="798" spans="1:113" x14ac:dyDescent="0.3">
      <c r="A798" t="str">
        <f>"02/08/2021 20:16:13.661"</f>
        <v>02/08/2021 20:16:13.661</v>
      </c>
      <c r="C798" t="str">
        <f t="shared" si="38"/>
        <v>FFDFD7C0</v>
      </c>
      <c r="D798" t="s">
        <v>113</v>
      </c>
      <c r="E798">
        <v>6</v>
      </c>
      <c r="H798">
        <v>165</v>
      </c>
      <c r="I798" t="s">
        <v>114</v>
      </c>
      <c r="J798" t="s">
        <v>115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>"20:16:15.961"</f>
        <v>20:16:15.961</v>
      </c>
      <c r="T798" t="str">
        <f>"20:16:15.461"</f>
        <v>20:16:15.461</v>
      </c>
      <c r="U798" t="str">
        <f t="shared" si="37"/>
        <v>AB01F4</v>
      </c>
      <c r="V798">
        <v>0</v>
      </c>
      <c r="W798">
        <v>0</v>
      </c>
      <c r="X798">
        <v>2</v>
      </c>
      <c r="Z798">
        <v>0</v>
      </c>
      <c r="AA798">
        <v>9</v>
      </c>
      <c r="AB798">
        <v>3</v>
      </c>
      <c r="AC798">
        <v>0</v>
      </c>
      <c r="AD798">
        <v>10</v>
      </c>
      <c r="AE798">
        <v>0</v>
      </c>
      <c r="AF798">
        <v>3</v>
      </c>
      <c r="AG798">
        <v>2</v>
      </c>
      <c r="AH798">
        <v>0</v>
      </c>
      <c r="AI798" t="s">
        <v>671</v>
      </c>
      <c r="AJ798">
        <v>39.663155000000003</v>
      </c>
      <c r="AK798" t="s">
        <v>672</v>
      </c>
      <c r="AL798">
        <v>-92.512157000000002</v>
      </c>
      <c r="AM798">
        <v>100</v>
      </c>
      <c r="AN798">
        <v>1700</v>
      </c>
      <c r="AO798" t="s">
        <v>118</v>
      </c>
      <c r="AP798">
        <v>-34</v>
      </c>
      <c r="AQ798">
        <v>124</v>
      </c>
      <c r="AR798">
        <v>-64</v>
      </c>
      <c r="AZ798">
        <v>1200</v>
      </c>
      <c r="BA798">
        <v>1</v>
      </c>
      <c r="BB798" t="str">
        <f t="shared" si="39"/>
        <v xml:space="preserve">N8080G  </v>
      </c>
      <c r="BC798">
        <v>1</v>
      </c>
      <c r="BE798">
        <v>0</v>
      </c>
      <c r="BF798">
        <v>0</v>
      </c>
      <c r="BG798">
        <v>0</v>
      </c>
      <c r="BH798">
        <v>1675</v>
      </c>
      <c r="BI798">
        <v>1</v>
      </c>
      <c r="BJ798">
        <v>1</v>
      </c>
      <c r="BK798">
        <v>1</v>
      </c>
      <c r="BL798">
        <v>0</v>
      </c>
      <c r="BO798">
        <v>0</v>
      </c>
      <c r="BP798">
        <v>0</v>
      </c>
      <c r="BW798" t="str">
        <f>"20:16:15.967"</f>
        <v>20:16:15.967</v>
      </c>
      <c r="BZ798">
        <v>0</v>
      </c>
      <c r="CA798">
        <v>2016</v>
      </c>
      <c r="CB798">
        <v>224</v>
      </c>
      <c r="CD798">
        <v>1</v>
      </c>
      <c r="CE798">
        <v>0</v>
      </c>
      <c r="CF798">
        <v>0</v>
      </c>
      <c r="CG798">
        <v>1</v>
      </c>
      <c r="CH798">
        <v>0</v>
      </c>
      <c r="CI798">
        <v>0</v>
      </c>
      <c r="CJ798">
        <v>0</v>
      </c>
      <c r="CK798">
        <v>2</v>
      </c>
      <c r="CL798">
        <v>0</v>
      </c>
      <c r="CM798">
        <v>2</v>
      </c>
      <c r="CN798">
        <v>0</v>
      </c>
      <c r="CO798">
        <v>7</v>
      </c>
      <c r="CP798" t="s">
        <v>119</v>
      </c>
      <c r="CQ798">
        <v>180</v>
      </c>
      <c r="CR798">
        <v>2</v>
      </c>
      <c r="CW798">
        <v>7979510</v>
      </c>
      <c r="CY798">
        <v>1</v>
      </c>
      <c r="CZ798">
        <v>0</v>
      </c>
      <c r="DA798">
        <v>1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</row>
    <row r="799" spans="1:113" x14ac:dyDescent="0.3">
      <c r="A799" t="str">
        <f>"02/08/2021 20:16:14.673"</f>
        <v>02/08/2021 20:16:14.673</v>
      </c>
      <c r="C799" t="str">
        <f t="shared" si="38"/>
        <v>FFDFD7C0</v>
      </c>
      <c r="D799" t="s">
        <v>124</v>
      </c>
      <c r="E799">
        <v>11</v>
      </c>
      <c r="F799">
        <v>1011</v>
      </c>
      <c r="G799" t="s">
        <v>590</v>
      </c>
      <c r="J799" t="s">
        <v>125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>"20:16:17.008"</f>
        <v>20:16:17.008</v>
      </c>
      <c r="T799" t="str">
        <f>"20:16:16.508"</f>
        <v>20:16:16.508</v>
      </c>
      <c r="U799" t="str">
        <f t="shared" si="37"/>
        <v>AB01F4</v>
      </c>
      <c r="V799">
        <v>0</v>
      </c>
      <c r="W799">
        <v>0</v>
      </c>
      <c r="X799">
        <v>2</v>
      </c>
      <c r="Z799">
        <v>0</v>
      </c>
      <c r="AA799">
        <v>9</v>
      </c>
      <c r="AB799">
        <v>3</v>
      </c>
      <c r="AC799">
        <v>0</v>
      </c>
      <c r="AD799">
        <v>10</v>
      </c>
      <c r="AE799">
        <v>0</v>
      </c>
      <c r="AF799">
        <v>3</v>
      </c>
      <c r="AG799">
        <v>2</v>
      </c>
      <c r="AH799">
        <v>0</v>
      </c>
      <c r="AI799" t="s">
        <v>673</v>
      </c>
      <c r="AJ799">
        <v>39.663820000000001</v>
      </c>
      <c r="AK799" t="s">
        <v>674</v>
      </c>
      <c r="AL799">
        <v>-92.512393000000003</v>
      </c>
      <c r="AM799">
        <v>100</v>
      </c>
      <c r="AN799">
        <v>1700</v>
      </c>
      <c r="AO799" t="s">
        <v>118</v>
      </c>
      <c r="AP799">
        <v>-34</v>
      </c>
      <c r="AQ799">
        <v>124</v>
      </c>
      <c r="AR799">
        <v>-128</v>
      </c>
      <c r="AZ799">
        <v>1200</v>
      </c>
      <c r="BA799">
        <v>1</v>
      </c>
      <c r="BB799" t="str">
        <f t="shared" si="39"/>
        <v xml:space="preserve">N8080G  </v>
      </c>
      <c r="BC799">
        <v>1</v>
      </c>
      <c r="BE799">
        <v>0</v>
      </c>
      <c r="BF799">
        <v>0</v>
      </c>
      <c r="BG799">
        <v>0</v>
      </c>
      <c r="BH799">
        <v>1675</v>
      </c>
      <c r="BI799">
        <v>1</v>
      </c>
      <c r="BJ799">
        <v>1</v>
      </c>
      <c r="BK799">
        <v>1</v>
      </c>
      <c r="BL799">
        <v>0</v>
      </c>
      <c r="BO799">
        <v>0</v>
      </c>
      <c r="BP799">
        <v>0</v>
      </c>
      <c r="BW799" t="str">
        <f>"20:16:17.016"</f>
        <v>20:16:17.016</v>
      </c>
      <c r="BZ799">
        <v>0</v>
      </c>
      <c r="CA799">
        <v>2016</v>
      </c>
      <c r="CB799">
        <v>224</v>
      </c>
      <c r="CD799">
        <v>1</v>
      </c>
      <c r="CE799">
        <v>0</v>
      </c>
      <c r="CF799">
        <v>0</v>
      </c>
      <c r="CG799">
        <v>1</v>
      </c>
      <c r="CH799">
        <v>0</v>
      </c>
      <c r="CI799">
        <v>0</v>
      </c>
      <c r="CJ799">
        <v>0</v>
      </c>
      <c r="CK799">
        <v>2</v>
      </c>
      <c r="CL799">
        <v>0</v>
      </c>
      <c r="CM799">
        <v>2</v>
      </c>
      <c r="CN799">
        <v>0</v>
      </c>
      <c r="CO799">
        <v>7</v>
      </c>
      <c r="CP799" t="s">
        <v>119</v>
      </c>
      <c r="CQ799">
        <v>180</v>
      </c>
      <c r="CR799">
        <v>2</v>
      </c>
      <c r="CW799">
        <v>7980338</v>
      </c>
      <c r="CY799">
        <v>1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</row>
    <row r="800" spans="1:113" x14ac:dyDescent="0.3">
      <c r="A800" t="str">
        <f>"02/08/2021 20:16:14.673"</f>
        <v>02/08/2021 20:16:14.673</v>
      </c>
      <c r="C800" t="str">
        <f t="shared" si="38"/>
        <v>FFDFD7C0</v>
      </c>
      <c r="D800" t="s">
        <v>124</v>
      </c>
      <c r="E800">
        <v>12</v>
      </c>
      <c r="F800">
        <v>1012</v>
      </c>
      <c r="G800" t="s">
        <v>675</v>
      </c>
      <c r="J800" t="s">
        <v>125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>"20:16:17.008"</f>
        <v>20:16:17.008</v>
      </c>
      <c r="T800" t="str">
        <f>"20:16:16.508"</f>
        <v>20:16:16.508</v>
      </c>
      <c r="U800" t="str">
        <f t="shared" si="37"/>
        <v>AB01F4</v>
      </c>
      <c r="V800">
        <v>0</v>
      </c>
      <c r="W800">
        <v>0</v>
      </c>
      <c r="X800">
        <v>2</v>
      </c>
      <c r="Z800">
        <v>0</v>
      </c>
      <c r="AA800">
        <v>9</v>
      </c>
      <c r="AB800">
        <v>3</v>
      </c>
      <c r="AC800">
        <v>0</v>
      </c>
      <c r="AD800">
        <v>10</v>
      </c>
      <c r="AE800">
        <v>0</v>
      </c>
      <c r="AF800">
        <v>3</v>
      </c>
      <c r="AG800">
        <v>2</v>
      </c>
      <c r="AH800">
        <v>0</v>
      </c>
      <c r="AI800" t="s">
        <v>673</v>
      </c>
      <c r="AJ800">
        <v>39.663820000000001</v>
      </c>
      <c r="AK800" t="s">
        <v>674</v>
      </c>
      <c r="AL800">
        <v>-92.512393000000003</v>
      </c>
      <c r="AM800">
        <v>100</v>
      </c>
      <c r="AN800">
        <v>1700</v>
      </c>
      <c r="AO800" t="s">
        <v>118</v>
      </c>
      <c r="AP800">
        <v>-34</v>
      </c>
      <c r="AQ800">
        <v>124</v>
      </c>
      <c r="AR800">
        <v>-128</v>
      </c>
      <c r="AZ800">
        <v>1200</v>
      </c>
      <c r="BA800">
        <v>1</v>
      </c>
      <c r="BB800" t="str">
        <f t="shared" si="39"/>
        <v xml:space="preserve">N8080G  </v>
      </c>
      <c r="BC800">
        <v>1</v>
      </c>
      <c r="BE800">
        <v>0</v>
      </c>
      <c r="BF800">
        <v>0</v>
      </c>
      <c r="BG800">
        <v>0</v>
      </c>
      <c r="BH800">
        <v>1675</v>
      </c>
      <c r="BI800">
        <v>1</v>
      </c>
      <c r="BJ800">
        <v>1</v>
      </c>
      <c r="BK800">
        <v>1</v>
      </c>
      <c r="BL800">
        <v>0</v>
      </c>
      <c r="BO800">
        <v>0</v>
      </c>
      <c r="BP800">
        <v>0</v>
      </c>
      <c r="BW800" t="str">
        <f>"20:16:17.016"</f>
        <v>20:16:17.016</v>
      </c>
      <c r="BZ800">
        <v>0</v>
      </c>
      <c r="CA800">
        <v>2016</v>
      </c>
      <c r="CB800">
        <v>224</v>
      </c>
      <c r="CD800">
        <v>1</v>
      </c>
      <c r="CE800">
        <v>0</v>
      </c>
      <c r="CF800">
        <v>0</v>
      </c>
      <c r="CG800">
        <v>1</v>
      </c>
      <c r="CH800">
        <v>0</v>
      </c>
      <c r="CI800">
        <v>0</v>
      </c>
      <c r="CJ800">
        <v>0</v>
      </c>
      <c r="CK800">
        <v>2</v>
      </c>
      <c r="CL800">
        <v>0</v>
      </c>
      <c r="CM800">
        <v>2</v>
      </c>
      <c r="CN800">
        <v>0</v>
      </c>
      <c r="CO800">
        <v>7</v>
      </c>
      <c r="CP800" t="s">
        <v>119</v>
      </c>
      <c r="CQ800">
        <v>180</v>
      </c>
      <c r="CR800">
        <v>2</v>
      </c>
      <c r="CW800">
        <v>7980338</v>
      </c>
      <c r="CY800">
        <v>1</v>
      </c>
      <c r="CZ800">
        <v>0</v>
      </c>
      <c r="DA800">
        <v>1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</row>
    <row r="801" spans="1:113" x14ac:dyDescent="0.3">
      <c r="A801" t="str">
        <f>"02/08/2021 20:16:14.673"</f>
        <v>02/08/2021 20:16:14.673</v>
      </c>
      <c r="C801" t="str">
        <f t="shared" si="38"/>
        <v>FFDFD7C0</v>
      </c>
      <c r="D801" t="s">
        <v>124</v>
      </c>
      <c r="E801">
        <v>13</v>
      </c>
      <c r="F801">
        <v>1013</v>
      </c>
      <c r="G801" t="s">
        <v>114</v>
      </c>
      <c r="J801" t="s">
        <v>125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>"20:16:17.008"</f>
        <v>20:16:17.008</v>
      </c>
      <c r="T801" t="str">
        <f>"20:16:16.508"</f>
        <v>20:16:16.508</v>
      </c>
      <c r="U801" t="str">
        <f t="shared" si="37"/>
        <v>AB01F4</v>
      </c>
      <c r="V801">
        <v>0</v>
      </c>
      <c r="W801">
        <v>0</v>
      </c>
      <c r="X801">
        <v>2</v>
      </c>
      <c r="Z801">
        <v>0</v>
      </c>
      <c r="AA801">
        <v>9</v>
      </c>
      <c r="AB801">
        <v>3</v>
      </c>
      <c r="AC801">
        <v>0</v>
      </c>
      <c r="AD801">
        <v>10</v>
      </c>
      <c r="AE801">
        <v>0</v>
      </c>
      <c r="AF801">
        <v>3</v>
      </c>
      <c r="AG801">
        <v>2</v>
      </c>
      <c r="AH801">
        <v>0</v>
      </c>
      <c r="AI801" t="s">
        <v>673</v>
      </c>
      <c r="AJ801">
        <v>39.663820000000001</v>
      </c>
      <c r="AK801" t="s">
        <v>674</v>
      </c>
      <c r="AL801">
        <v>-92.512393000000003</v>
      </c>
      <c r="AM801">
        <v>100</v>
      </c>
      <c r="AN801">
        <v>1700</v>
      </c>
      <c r="AO801" t="s">
        <v>118</v>
      </c>
      <c r="AP801">
        <v>-34</v>
      </c>
      <c r="AQ801">
        <v>124</v>
      </c>
      <c r="AR801">
        <v>-128</v>
      </c>
      <c r="AZ801">
        <v>1200</v>
      </c>
      <c r="BA801">
        <v>1</v>
      </c>
      <c r="BB801" t="str">
        <f t="shared" si="39"/>
        <v xml:space="preserve">N8080G  </v>
      </c>
      <c r="BC801">
        <v>1</v>
      </c>
      <c r="BE801">
        <v>0</v>
      </c>
      <c r="BF801">
        <v>0</v>
      </c>
      <c r="BG801">
        <v>0</v>
      </c>
      <c r="BH801">
        <v>1675</v>
      </c>
      <c r="BI801">
        <v>1</v>
      </c>
      <c r="BJ801">
        <v>1</v>
      </c>
      <c r="BK801">
        <v>1</v>
      </c>
      <c r="BL801">
        <v>0</v>
      </c>
      <c r="BO801">
        <v>0</v>
      </c>
      <c r="BP801">
        <v>0</v>
      </c>
      <c r="BW801" t="str">
        <f>"20:16:17.016"</f>
        <v>20:16:17.016</v>
      </c>
      <c r="BZ801">
        <v>0</v>
      </c>
      <c r="CA801">
        <v>2016</v>
      </c>
      <c r="CB801">
        <v>224</v>
      </c>
      <c r="CD801">
        <v>1</v>
      </c>
      <c r="CE801">
        <v>0</v>
      </c>
      <c r="CF801">
        <v>0</v>
      </c>
      <c r="CG801">
        <v>1</v>
      </c>
      <c r="CH801">
        <v>0</v>
      </c>
      <c r="CI801">
        <v>0</v>
      </c>
      <c r="CJ801">
        <v>0</v>
      </c>
      <c r="CK801">
        <v>2</v>
      </c>
      <c r="CL801">
        <v>0</v>
      </c>
      <c r="CM801">
        <v>2</v>
      </c>
      <c r="CN801">
        <v>0</v>
      </c>
      <c r="CO801">
        <v>7</v>
      </c>
      <c r="CP801" t="s">
        <v>119</v>
      </c>
      <c r="CQ801">
        <v>180</v>
      </c>
      <c r="CR801">
        <v>2</v>
      </c>
      <c r="CW801">
        <v>7980338</v>
      </c>
      <c r="CY801">
        <v>1</v>
      </c>
      <c r="CZ801">
        <v>0</v>
      </c>
      <c r="DA801">
        <v>1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</row>
    <row r="802" spans="1:113" x14ac:dyDescent="0.3">
      <c r="A802" t="str">
        <f>"02/08/2021 20:16:14.673"</f>
        <v>02/08/2021 20:16:14.673</v>
      </c>
      <c r="C802" t="str">
        <f t="shared" si="38"/>
        <v>FFDFD7C0</v>
      </c>
      <c r="D802" t="s">
        <v>113</v>
      </c>
      <c r="E802">
        <v>6</v>
      </c>
      <c r="H802">
        <v>165</v>
      </c>
      <c r="I802" t="s">
        <v>114</v>
      </c>
      <c r="J802" t="s">
        <v>115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>"20:16:17.008"</f>
        <v>20:16:17.008</v>
      </c>
      <c r="T802" t="str">
        <f>"20:16:16.508"</f>
        <v>20:16:16.508</v>
      </c>
      <c r="U802" t="str">
        <f t="shared" si="37"/>
        <v>AB01F4</v>
      </c>
      <c r="V802">
        <v>0</v>
      </c>
      <c r="W802">
        <v>0</v>
      </c>
      <c r="X802">
        <v>2</v>
      </c>
      <c r="Z802">
        <v>0</v>
      </c>
      <c r="AA802">
        <v>9</v>
      </c>
      <c r="AB802">
        <v>3</v>
      </c>
      <c r="AC802">
        <v>0</v>
      </c>
      <c r="AD802">
        <v>10</v>
      </c>
      <c r="AE802">
        <v>0</v>
      </c>
      <c r="AF802">
        <v>3</v>
      </c>
      <c r="AG802">
        <v>2</v>
      </c>
      <c r="AH802">
        <v>0</v>
      </c>
      <c r="AI802" t="s">
        <v>673</v>
      </c>
      <c r="AJ802">
        <v>39.663820000000001</v>
      </c>
      <c r="AK802" t="s">
        <v>674</v>
      </c>
      <c r="AL802">
        <v>-92.512393000000003</v>
      </c>
      <c r="AM802">
        <v>100</v>
      </c>
      <c r="AN802">
        <v>1700</v>
      </c>
      <c r="AO802" t="s">
        <v>118</v>
      </c>
      <c r="AP802">
        <v>-34</v>
      </c>
      <c r="AQ802">
        <v>124</v>
      </c>
      <c r="AR802">
        <v>-128</v>
      </c>
      <c r="AZ802">
        <v>1200</v>
      </c>
      <c r="BA802">
        <v>1</v>
      </c>
      <c r="BB802" t="str">
        <f t="shared" si="39"/>
        <v xml:space="preserve">N8080G  </v>
      </c>
      <c r="BC802">
        <v>1</v>
      </c>
      <c r="BE802">
        <v>0</v>
      </c>
      <c r="BF802">
        <v>0</v>
      </c>
      <c r="BG802">
        <v>0</v>
      </c>
      <c r="BH802">
        <v>1675</v>
      </c>
      <c r="BI802">
        <v>1</v>
      </c>
      <c r="BJ802">
        <v>1</v>
      </c>
      <c r="BK802">
        <v>1</v>
      </c>
      <c r="BL802">
        <v>0</v>
      </c>
      <c r="BO802">
        <v>0</v>
      </c>
      <c r="BP802">
        <v>0</v>
      </c>
      <c r="BW802" t="str">
        <f>"20:16:17.016"</f>
        <v>20:16:17.016</v>
      </c>
      <c r="BZ802">
        <v>0</v>
      </c>
      <c r="CA802">
        <v>2016</v>
      </c>
      <c r="CB802">
        <v>224</v>
      </c>
      <c r="CD802">
        <v>1</v>
      </c>
      <c r="CE802">
        <v>0</v>
      </c>
      <c r="CF802">
        <v>0</v>
      </c>
      <c r="CG802">
        <v>1</v>
      </c>
      <c r="CH802">
        <v>0</v>
      </c>
      <c r="CI802">
        <v>0</v>
      </c>
      <c r="CJ802">
        <v>0</v>
      </c>
      <c r="CK802">
        <v>2</v>
      </c>
      <c r="CL802">
        <v>0</v>
      </c>
      <c r="CM802">
        <v>2</v>
      </c>
      <c r="CN802">
        <v>0</v>
      </c>
      <c r="CO802">
        <v>7</v>
      </c>
      <c r="CP802" t="s">
        <v>119</v>
      </c>
      <c r="CQ802">
        <v>180</v>
      </c>
      <c r="CR802">
        <v>2</v>
      </c>
      <c r="CW802">
        <v>7980338</v>
      </c>
      <c r="CY802">
        <v>1</v>
      </c>
      <c r="CZ802">
        <v>0</v>
      </c>
      <c r="DA802">
        <v>1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</row>
    <row r="803" spans="1:113" x14ac:dyDescent="0.3">
      <c r="A803" t="str">
        <f>"02/08/2021 20:16:15.822"</f>
        <v>02/08/2021 20:16:15.822</v>
      </c>
      <c r="C803" t="str">
        <f t="shared" si="38"/>
        <v>FFDFD7C0</v>
      </c>
      <c r="D803" t="s">
        <v>124</v>
      </c>
      <c r="E803">
        <v>13</v>
      </c>
      <c r="F803">
        <v>1013</v>
      </c>
      <c r="G803" t="s">
        <v>114</v>
      </c>
      <c r="J803" t="s">
        <v>125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>"20:16:18.164"</f>
        <v>20:16:18.164</v>
      </c>
      <c r="T803" t="str">
        <f>"20:16:17.664"</f>
        <v>20:16:17.664</v>
      </c>
      <c r="U803" t="str">
        <f t="shared" si="37"/>
        <v>AB01F4</v>
      </c>
      <c r="V803">
        <v>0</v>
      </c>
      <c r="W803">
        <v>0</v>
      </c>
      <c r="X803">
        <v>2</v>
      </c>
      <c r="Z803">
        <v>0</v>
      </c>
      <c r="AA803">
        <v>9</v>
      </c>
      <c r="AB803">
        <v>3</v>
      </c>
      <c r="AC803">
        <v>0</v>
      </c>
      <c r="AD803">
        <v>10</v>
      </c>
      <c r="AE803">
        <v>0</v>
      </c>
      <c r="AF803">
        <v>3</v>
      </c>
      <c r="AG803">
        <v>2</v>
      </c>
      <c r="AH803">
        <v>0</v>
      </c>
      <c r="AI803" t="s">
        <v>676</v>
      </c>
      <c r="AJ803">
        <v>39.664442999999999</v>
      </c>
      <c r="AK803" t="s">
        <v>677</v>
      </c>
      <c r="AL803">
        <v>-92.512585999999999</v>
      </c>
      <c r="AM803">
        <v>100</v>
      </c>
      <c r="AN803">
        <v>1700</v>
      </c>
      <c r="AO803" t="s">
        <v>118</v>
      </c>
      <c r="AP803">
        <v>-33</v>
      </c>
      <c r="AQ803">
        <v>124</v>
      </c>
      <c r="AR803">
        <v>-64</v>
      </c>
      <c r="AZ803">
        <v>1200</v>
      </c>
      <c r="BA803">
        <v>1</v>
      </c>
      <c r="BB803" t="str">
        <f t="shared" si="39"/>
        <v xml:space="preserve">N8080G  </v>
      </c>
      <c r="BC803">
        <v>1</v>
      </c>
      <c r="BE803">
        <v>0</v>
      </c>
      <c r="BF803">
        <v>0</v>
      </c>
      <c r="BG803">
        <v>0</v>
      </c>
      <c r="BH803">
        <v>1675</v>
      </c>
      <c r="BI803">
        <v>1</v>
      </c>
      <c r="BJ803">
        <v>1</v>
      </c>
      <c r="BK803">
        <v>1</v>
      </c>
      <c r="BL803">
        <v>0</v>
      </c>
      <c r="BO803">
        <v>0</v>
      </c>
      <c r="BP803">
        <v>0</v>
      </c>
      <c r="BW803" t="str">
        <f>"20:16:18.171"</f>
        <v>20:16:18.171</v>
      </c>
      <c r="BZ803">
        <v>0</v>
      </c>
      <c r="CA803">
        <v>2016</v>
      </c>
      <c r="CB803">
        <v>224</v>
      </c>
      <c r="CD803">
        <v>1</v>
      </c>
      <c r="CE803">
        <v>0</v>
      </c>
      <c r="CF803">
        <v>0</v>
      </c>
      <c r="CG803">
        <v>1</v>
      </c>
      <c r="CH803">
        <v>0</v>
      </c>
      <c r="CI803">
        <v>0</v>
      </c>
      <c r="CJ803">
        <v>0</v>
      </c>
      <c r="CK803">
        <v>2</v>
      </c>
      <c r="CL803">
        <v>0</v>
      </c>
      <c r="CM803">
        <v>2</v>
      </c>
      <c r="CN803">
        <v>0</v>
      </c>
      <c r="CO803">
        <v>7</v>
      </c>
      <c r="CP803" t="s">
        <v>119</v>
      </c>
      <c r="CQ803">
        <v>180</v>
      </c>
      <c r="CR803">
        <v>2</v>
      </c>
      <c r="CW803">
        <v>7981320</v>
      </c>
      <c r="CY803">
        <v>1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</row>
    <row r="804" spans="1:113" x14ac:dyDescent="0.3">
      <c r="A804" t="str">
        <f>"02/08/2021 20:16:15.822"</f>
        <v>02/08/2021 20:16:15.822</v>
      </c>
      <c r="C804" t="str">
        <f t="shared" si="38"/>
        <v>FFDFD7C0</v>
      </c>
      <c r="D804" t="s">
        <v>113</v>
      </c>
      <c r="E804">
        <v>6</v>
      </c>
      <c r="H804">
        <v>165</v>
      </c>
      <c r="I804" t="s">
        <v>114</v>
      </c>
      <c r="J804" t="s">
        <v>115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>"20:16:18.164"</f>
        <v>20:16:18.164</v>
      </c>
      <c r="T804" t="str">
        <f>"20:16:17.664"</f>
        <v>20:16:17.664</v>
      </c>
      <c r="U804" t="str">
        <f t="shared" si="37"/>
        <v>AB01F4</v>
      </c>
      <c r="V804">
        <v>0</v>
      </c>
      <c r="W804">
        <v>0</v>
      </c>
      <c r="X804">
        <v>2</v>
      </c>
      <c r="Z804">
        <v>0</v>
      </c>
      <c r="AA804">
        <v>9</v>
      </c>
      <c r="AB804">
        <v>3</v>
      </c>
      <c r="AC804">
        <v>0</v>
      </c>
      <c r="AD804">
        <v>10</v>
      </c>
      <c r="AE804">
        <v>0</v>
      </c>
      <c r="AF804">
        <v>3</v>
      </c>
      <c r="AG804">
        <v>2</v>
      </c>
      <c r="AH804">
        <v>0</v>
      </c>
      <c r="AI804" t="s">
        <v>676</v>
      </c>
      <c r="AJ804">
        <v>39.664442999999999</v>
      </c>
      <c r="AK804" t="s">
        <v>677</v>
      </c>
      <c r="AL804">
        <v>-92.512585999999999</v>
      </c>
      <c r="AM804">
        <v>100</v>
      </c>
      <c r="AN804">
        <v>1700</v>
      </c>
      <c r="AO804" t="s">
        <v>118</v>
      </c>
      <c r="AP804">
        <v>-33</v>
      </c>
      <c r="AQ804">
        <v>124</v>
      </c>
      <c r="AR804">
        <v>-64</v>
      </c>
      <c r="AZ804">
        <v>1200</v>
      </c>
      <c r="BA804">
        <v>1</v>
      </c>
      <c r="BB804" t="str">
        <f t="shared" si="39"/>
        <v xml:space="preserve">N8080G  </v>
      </c>
      <c r="BC804">
        <v>1</v>
      </c>
      <c r="BE804">
        <v>0</v>
      </c>
      <c r="BF804">
        <v>0</v>
      </c>
      <c r="BG804">
        <v>0</v>
      </c>
      <c r="BH804">
        <v>1675</v>
      </c>
      <c r="BI804">
        <v>1</v>
      </c>
      <c r="BJ804">
        <v>1</v>
      </c>
      <c r="BK804">
        <v>1</v>
      </c>
      <c r="BL804">
        <v>0</v>
      </c>
      <c r="BO804">
        <v>0</v>
      </c>
      <c r="BP804">
        <v>0</v>
      </c>
      <c r="BW804" t="str">
        <f>"20:16:18.171"</f>
        <v>20:16:18.171</v>
      </c>
      <c r="BZ804">
        <v>0</v>
      </c>
      <c r="CA804">
        <v>2016</v>
      </c>
      <c r="CB804">
        <v>224</v>
      </c>
      <c r="CD804">
        <v>1</v>
      </c>
      <c r="CE804">
        <v>0</v>
      </c>
      <c r="CF804">
        <v>0</v>
      </c>
      <c r="CG804">
        <v>1</v>
      </c>
      <c r="CH804">
        <v>0</v>
      </c>
      <c r="CI804">
        <v>0</v>
      </c>
      <c r="CJ804">
        <v>0</v>
      </c>
      <c r="CK804">
        <v>2</v>
      </c>
      <c r="CL804">
        <v>0</v>
      </c>
      <c r="CM804">
        <v>2</v>
      </c>
      <c r="CN804">
        <v>0</v>
      </c>
      <c r="CO804">
        <v>7</v>
      </c>
      <c r="CP804" t="s">
        <v>119</v>
      </c>
      <c r="CQ804">
        <v>180</v>
      </c>
      <c r="CR804">
        <v>2</v>
      </c>
      <c r="CW804">
        <v>7981320</v>
      </c>
      <c r="CY804">
        <v>1</v>
      </c>
      <c r="CZ804">
        <v>0</v>
      </c>
      <c r="DA804">
        <v>1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</row>
    <row r="805" spans="1:113" x14ac:dyDescent="0.3">
      <c r="A805" t="str">
        <f>"02/08/2021 20:16:15.822"</f>
        <v>02/08/2021 20:16:15.822</v>
      </c>
      <c r="C805" t="str">
        <f t="shared" si="38"/>
        <v>FFDFD7C0</v>
      </c>
      <c r="D805" t="s">
        <v>124</v>
      </c>
      <c r="E805">
        <v>12</v>
      </c>
      <c r="F805">
        <v>1012</v>
      </c>
      <c r="G805" t="s">
        <v>675</v>
      </c>
      <c r="J805" t="s">
        <v>125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>"20:16:18.164"</f>
        <v>20:16:18.164</v>
      </c>
      <c r="T805" t="str">
        <f>"20:16:17.664"</f>
        <v>20:16:17.664</v>
      </c>
      <c r="U805" t="str">
        <f t="shared" si="37"/>
        <v>AB01F4</v>
      </c>
      <c r="V805">
        <v>0</v>
      </c>
      <c r="W805">
        <v>0</v>
      </c>
      <c r="X805">
        <v>2</v>
      </c>
      <c r="Z805">
        <v>0</v>
      </c>
      <c r="AA805">
        <v>9</v>
      </c>
      <c r="AB805">
        <v>3</v>
      </c>
      <c r="AC805">
        <v>0</v>
      </c>
      <c r="AD805">
        <v>10</v>
      </c>
      <c r="AE805">
        <v>0</v>
      </c>
      <c r="AF805">
        <v>3</v>
      </c>
      <c r="AG805">
        <v>2</v>
      </c>
      <c r="AH805">
        <v>0</v>
      </c>
      <c r="AI805" t="s">
        <v>676</v>
      </c>
      <c r="AJ805">
        <v>39.664442999999999</v>
      </c>
      <c r="AK805" t="s">
        <v>677</v>
      </c>
      <c r="AL805">
        <v>-92.512585999999999</v>
      </c>
      <c r="AM805">
        <v>100</v>
      </c>
      <c r="AN805">
        <v>1700</v>
      </c>
      <c r="AO805" t="s">
        <v>118</v>
      </c>
      <c r="AP805">
        <v>-33</v>
      </c>
      <c r="AQ805">
        <v>124</v>
      </c>
      <c r="AR805">
        <v>-64</v>
      </c>
      <c r="AZ805">
        <v>1200</v>
      </c>
      <c r="BA805">
        <v>1</v>
      </c>
      <c r="BB805" t="str">
        <f t="shared" si="39"/>
        <v xml:space="preserve">N8080G  </v>
      </c>
      <c r="BC805">
        <v>1</v>
      </c>
      <c r="BE805">
        <v>0</v>
      </c>
      <c r="BF805">
        <v>0</v>
      </c>
      <c r="BG805">
        <v>0</v>
      </c>
      <c r="BH805">
        <v>1675</v>
      </c>
      <c r="BI805">
        <v>1</v>
      </c>
      <c r="BJ805">
        <v>1</v>
      </c>
      <c r="BK805">
        <v>1</v>
      </c>
      <c r="BL805">
        <v>0</v>
      </c>
      <c r="BO805">
        <v>0</v>
      </c>
      <c r="BP805">
        <v>0</v>
      </c>
      <c r="BW805" t="str">
        <f>"20:16:18.171"</f>
        <v>20:16:18.171</v>
      </c>
      <c r="BZ805">
        <v>0</v>
      </c>
      <c r="CA805">
        <v>2016</v>
      </c>
      <c r="CB805">
        <v>224</v>
      </c>
      <c r="CD805">
        <v>1</v>
      </c>
      <c r="CE805">
        <v>0</v>
      </c>
      <c r="CF805">
        <v>0</v>
      </c>
      <c r="CG805">
        <v>1</v>
      </c>
      <c r="CH805">
        <v>0</v>
      </c>
      <c r="CI805">
        <v>0</v>
      </c>
      <c r="CJ805">
        <v>0</v>
      </c>
      <c r="CK805">
        <v>2</v>
      </c>
      <c r="CL805">
        <v>0</v>
      </c>
      <c r="CM805">
        <v>2</v>
      </c>
      <c r="CN805">
        <v>0</v>
      </c>
      <c r="CO805">
        <v>7</v>
      </c>
      <c r="CP805" t="s">
        <v>119</v>
      </c>
      <c r="CQ805">
        <v>180</v>
      </c>
      <c r="CR805">
        <v>2</v>
      </c>
      <c r="CW805">
        <v>7981320</v>
      </c>
      <c r="CY805">
        <v>1</v>
      </c>
      <c r="CZ805">
        <v>0</v>
      </c>
      <c r="DA805">
        <v>1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</row>
    <row r="806" spans="1:113" x14ac:dyDescent="0.3">
      <c r="A806" t="str">
        <f>"02/08/2021 20:16:15.822"</f>
        <v>02/08/2021 20:16:15.822</v>
      </c>
      <c r="C806" t="str">
        <f t="shared" si="38"/>
        <v>FFDFD7C0</v>
      </c>
      <c r="D806" t="s">
        <v>124</v>
      </c>
      <c r="E806">
        <v>11</v>
      </c>
      <c r="F806">
        <v>1011</v>
      </c>
      <c r="G806" t="s">
        <v>590</v>
      </c>
      <c r="J806" t="s">
        <v>125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>"20:16:18.164"</f>
        <v>20:16:18.164</v>
      </c>
      <c r="T806" t="str">
        <f>"20:16:17.664"</f>
        <v>20:16:17.664</v>
      </c>
      <c r="U806" t="str">
        <f t="shared" si="37"/>
        <v>AB01F4</v>
      </c>
      <c r="V806">
        <v>0</v>
      </c>
      <c r="W806">
        <v>0</v>
      </c>
      <c r="X806">
        <v>2</v>
      </c>
      <c r="Z806">
        <v>0</v>
      </c>
      <c r="AA806">
        <v>9</v>
      </c>
      <c r="AB806">
        <v>3</v>
      </c>
      <c r="AC806">
        <v>0</v>
      </c>
      <c r="AD806">
        <v>10</v>
      </c>
      <c r="AE806">
        <v>0</v>
      </c>
      <c r="AF806">
        <v>3</v>
      </c>
      <c r="AG806">
        <v>2</v>
      </c>
      <c r="AH806">
        <v>0</v>
      </c>
      <c r="AI806" t="s">
        <v>676</v>
      </c>
      <c r="AJ806">
        <v>39.664442999999999</v>
      </c>
      <c r="AK806" t="s">
        <v>677</v>
      </c>
      <c r="AL806">
        <v>-92.512585999999999</v>
      </c>
      <c r="AM806">
        <v>100</v>
      </c>
      <c r="AN806">
        <v>1700</v>
      </c>
      <c r="AO806" t="s">
        <v>118</v>
      </c>
      <c r="AP806">
        <v>-33</v>
      </c>
      <c r="AQ806">
        <v>124</v>
      </c>
      <c r="AR806">
        <v>-64</v>
      </c>
      <c r="AZ806">
        <v>1200</v>
      </c>
      <c r="BA806">
        <v>1</v>
      </c>
      <c r="BB806" t="str">
        <f t="shared" si="39"/>
        <v xml:space="preserve">N8080G  </v>
      </c>
      <c r="BC806">
        <v>1</v>
      </c>
      <c r="BE806">
        <v>0</v>
      </c>
      <c r="BF806">
        <v>0</v>
      </c>
      <c r="BG806">
        <v>0</v>
      </c>
      <c r="BH806">
        <v>1675</v>
      </c>
      <c r="BI806">
        <v>1</v>
      </c>
      <c r="BJ806">
        <v>1</v>
      </c>
      <c r="BK806">
        <v>1</v>
      </c>
      <c r="BL806">
        <v>0</v>
      </c>
      <c r="BO806">
        <v>0</v>
      </c>
      <c r="BP806">
        <v>0</v>
      </c>
      <c r="BW806" t="str">
        <f>"20:16:18.171"</f>
        <v>20:16:18.171</v>
      </c>
      <c r="BZ806">
        <v>0</v>
      </c>
      <c r="CA806">
        <v>2016</v>
      </c>
      <c r="CB806">
        <v>224</v>
      </c>
      <c r="CD806">
        <v>1</v>
      </c>
      <c r="CE806">
        <v>0</v>
      </c>
      <c r="CF806">
        <v>0</v>
      </c>
      <c r="CG806">
        <v>1</v>
      </c>
      <c r="CH806">
        <v>0</v>
      </c>
      <c r="CI806">
        <v>0</v>
      </c>
      <c r="CJ806">
        <v>0</v>
      </c>
      <c r="CK806">
        <v>2</v>
      </c>
      <c r="CL806">
        <v>0</v>
      </c>
      <c r="CM806">
        <v>2</v>
      </c>
      <c r="CN806">
        <v>0</v>
      </c>
      <c r="CO806">
        <v>7</v>
      </c>
      <c r="CP806" t="s">
        <v>119</v>
      </c>
      <c r="CQ806">
        <v>180</v>
      </c>
      <c r="CR806">
        <v>2</v>
      </c>
      <c r="CW806">
        <v>7981320</v>
      </c>
      <c r="CY806">
        <v>1</v>
      </c>
      <c r="CZ806">
        <v>0</v>
      </c>
      <c r="DA806">
        <v>1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</row>
    <row r="807" spans="1:113" x14ac:dyDescent="0.3">
      <c r="A807" t="str">
        <f>"02/08/2021 20:16:17.330"</f>
        <v>02/08/2021 20:16:17.330</v>
      </c>
      <c r="C807" t="str">
        <f t="shared" si="38"/>
        <v>FFDFD7C0</v>
      </c>
      <c r="D807" t="s">
        <v>124</v>
      </c>
      <c r="E807">
        <v>13</v>
      </c>
      <c r="F807">
        <v>1013</v>
      </c>
      <c r="G807" t="s">
        <v>114</v>
      </c>
      <c r="J807" t="s">
        <v>125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>"20:16:19.641"</f>
        <v>20:16:19.641</v>
      </c>
      <c r="T807" t="str">
        <f>"20:16:19.141"</f>
        <v>20:16:19.141</v>
      </c>
      <c r="U807" t="str">
        <f t="shared" si="37"/>
        <v>AB01F4</v>
      </c>
      <c r="V807">
        <v>0</v>
      </c>
      <c r="W807">
        <v>0</v>
      </c>
      <c r="X807">
        <v>2</v>
      </c>
      <c r="Z807">
        <v>0</v>
      </c>
      <c r="AA807">
        <v>9</v>
      </c>
      <c r="AB807">
        <v>3</v>
      </c>
      <c r="AC807">
        <v>0</v>
      </c>
      <c r="AD807">
        <v>10</v>
      </c>
      <c r="AE807">
        <v>0</v>
      </c>
      <c r="AF807">
        <v>3</v>
      </c>
      <c r="AG807">
        <v>2</v>
      </c>
      <c r="AH807">
        <v>0</v>
      </c>
      <c r="AI807" t="s">
        <v>678</v>
      </c>
      <c r="AJ807">
        <v>39.665300999999999</v>
      </c>
      <c r="AK807" t="s">
        <v>679</v>
      </c>
      <c r="AL807">
        <v>-92.512887000000006</v>
      </c>
      <c r="AM807">
        <v>100</v>
      </c>
      <c r="AN807">
        <v>1700</v>
      </c>
      <c r="AO807" t="s">
        <v>118</v>
      </c>
      <c r="AP807">
        <v>-33</v>
      </c>
      <c r="AQ807">
        <v>124</v>
      </c>
      <c r="AR807">
        <v>0</v>
      </c>
      <c r="AZ807">
        <v>1200</v>
      </c>
      <c r="BA807">
        <v>1</v>
      </c>
      <c r="BB807" t="str">
        <f t="shared" si="39"/>
        <v xml:space="preserve">N8080G  </v>
      </c>
      <c r="BC807">
        <v>1</v>
      </c>
      <c r="BE807">
        <v>0</v>
      </c>
      <c r="BF807">
        <v>0</v>
      </c>
      <c r="BG807">
        <v>0</v>
      </c>
      <c r="BH807">
        <v>1675</v>
      </c>
      <c r="BI807">
        <v>1</v>
      </c>
      <c r="BJ807">
        <v>1</v>
      </c>
      <c r="BK807">
        <v>1</v>
      </c>
      <c r="BL807">
        <v>0</v>
      </c>
      <c r="BO807">
        <v>0</v>
      </c>
      <c r="BP807">
        <v>0</v>
      </c>
      <c r="BW807" t="str">
        <f>"20:16:19.647"</f>
        <v>20:16:19.647</v>
      </c>
      <c r="BZ807">
        <v>0</v>
      </c>
      <c r="CA807">
        <v>2016</v>
      </c>
      <c r="CB807">
        <v>224</v>
      </c>
      <c r="CD807">
        <v>1</v>
      </c>
      <c r="CE807">
        <v>0</v>
      </c>
      <c r="CF807">
        <v>0</v>
      </c>
      <c r="CG807">
        <v>1</v>
      </c>
      <c r="CH807">
        <v>0</v>
      </c>
      <c r="CI807">
        <v>0</v>
      </c>
      <c r="CJ807">
        <v>0</v>
      </c>
      <c r="CK807">
        <v>2</v>
      </c>
      <c r="CL807">
        <v>0</v>
      </c>
      <c r="CM807">
        <v>2</v>
      </c>
      <c r="CN807">
        <v>0</v>
      </c>
      <c r="CO807">
        <v>7</v>
      </c>
      <c r="CP807" t="s">
        <v>119</v>
      </c>
      <c r="CQ807">
        <v>180</v>
      </c>
      <c r="CR807">
        <v>2</v>
      </c>
      <c r="CW807">
        <v>7982580</v>
      </c>
      <c r="CY807">
        <v>1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</row>
    <row r="808" spans="1:113" x14ac:dyDescent="0.3">
      <c r="A808" t="str">
        <f>"02/08/2021 20:16:17.330"</f>
        <v>02/08/2021 20:16:17.330</v>
      </c>
      <c r="C808" t="str">
        <f t="shared" si="38"/>
        <v>FFDFD7C0</v>
      </c>
      <c r="D808" t="s">
        <v>124</v>
      </c>
      <c r="E808">
        <v>12</v>
      </c>
      <c r="F808">
        <v>1012</v>
      </c>
      <c r="G808" t="s">
        <v>675</v>
      </c>
      <c r="J808" t="s">
        <v>125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>"20:16:19.641"</f>
        <v>20:16:19.641</v>
      </c>
      <c r="T808" t="str">
        <f>"20:16:19.141"</f>
        <v>20:16:19.141</v>
      </c>
      <c r="U808" t="str">
        <f t="shared" si="37"/>
        <v>AB01F4</v>
      </c>
      <c r="V808">
        <v>0</v>
      </c>
      <c r="W808">
        <v>0</v>
      </c>
      <c r="X808">
        <v>2</v>
      </c>
      <c r="Z808">
        <v>0</v>
      </c>
      <c r="AA808">
        <v>9</v>
      </c>
      <c r="AB808">
        <v>3</v>
      </c>
      <c r="AC808">
        <v>0</v>
      </c>
      <c r="AD808">
        <v>10</v>
      </c>
      <c r="AE808">
        <v>0</v>
      </c>
      <c r="AF808">
        <v>3</v>
      </c>
      <c r="AG808">
        <v>2</v>
      </c>
      <c r="AH808">
        <v>0</v>
      </c>
      <c r="AI808" t="s">
        <v>678</v>
      </c>
      <c r="AJ808">
        <v>39.665300999999999</v>
      </c>
      <c r="AK808" t="s">
        <v>679</v>
      </c>
      <c r="AL808">
        <v>-92.512887000000006</v>
      </c>
      <c r="AM808">
        <v>100</v>
      </c>
      <c r="AN808">
        <v>1700</v>
      </c>
      <c r="AO808" t="s">
        <v>118</v>
      </c>
      <c r="AP808">
        <v>-33</v>
      </c>
      <c r="AQ808">
        <v>124</v>
      </c>
      <c r="AR808">
        <v>0</v>
      </c>
      <c r="AZ808">
        <v>1200</v>
      </c>
      <c r="BA808">
        <v>1</v>
      </c>
      <c r="BB808" t="str">
        <f t="shared" si="39"/>
        <v xml:space="preserve">N8080G  </v>
      </c>
      <c r="BC808">
        <v>1</v>
      </c>
      <c r="BE808">
        <v>0</v>
      </c>
      <c r="BF808">
        <v>0</v>
      </c>
      <c r="BG808">
        <v>0</v>
      </c>
      <c r="BH808">
        <v>1675</v>
      </c>
      <c r="BI808">
        <v>1</v>
      </c>
      <c r="BJ808">
        <v>1</v>
      </c>
      <c r="BK808">
        <v>1</v>
      </c>
      <c r="BL808">
        <v>0</v>
      </c>
      <c r="BO808">
        <v>0</v>
      </c>
      <c r="BP808">
        <v>0</v>
      </c>
      <c r="BW808" t="str">
        <f>"20:16:19.647"</f>
        <v>20:16:19.647</v>
      </c>
      <c r="BZ808">
        <v>0</v>
      </c>
      <c r="CA808">
        <v>2016</v>
      </c>
      <c r="CB808">
        <v>224</v>
      </c>
      <c r="CD808">
        <v>1</v>
      </c>
      <c r="CE808">
        <v>0</v>
      </c>
      <c r="CF808">
        <v>0</v>
      </c>
      <c r="CG808">
        <v>1</v>
      </c>
      <c r="CH808">
        <v>0</v>
      </c>
      <c r="CI808">
        <v>0</v>
      </c>
      <c r="CJ808">
        <v>0</v>
      </c>
      <c r="CK808">
        <v>2</v>
      </c>
      <c r="CL808">
        <v>0</v>
      </c>
      <c r="CM808">
        <v>2</v>
      </c>
      <c r="CN808">
        <v>0</v>
      </c>
      <c r="CO808">
        <v>7</v>
      </c>
      <c r="CP808" t="s">
        <v>119</v>
      </c>
      <c r="CQ808">
        <v>180</v>
      </c>
      <c r="CR808">
        <v>2</v>
      </c>
      <c r="CW808">
        <v>7982580</v>
      </c>
      <c r="CY808">
        <v>1</v>
      </c>
      <c r="CZ808">
        <v>0</v>
      </c>
      <c r="DA808">
        <v>1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</row>
    <row r="809" spans="1:113" x14ac:dyDescent="0.3">
      <c r="A809" t="str">
        <f>"02/08/2021 20:16:17.330"</f>
        <v>02/08/2021 20:16:17.330</v>
      </c>
      <c r="C809" t="str">
        <f t="shared" si="38"/>
        <v>FFDFD7C0</v>
      </c>
      <c r="D809" t="s">
        <v>124</v>
      </c>
      <c r="E809">
        <v>11</v>
      </c>
      <c r="F809">
        <v>1011</v>
      </c>
      <c r="G809" t="s">
        <v>590</v>
      </c>
      <c r="J809" t="s">
        <v>125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>"20:16:19.641"</f>
        <v>20:16:19.641</v>
      </c>
      <c r="T809" t="str">
        <f>"20:16:19.141"</f>
        <v>20:16:19.141</v>
      </c>
      <c r="U809" t="str">
        <f t="shared" si="37"/>
        <v>AB01F4</v>
      </c>
      <c r="V809">
        <v>0</v>
      </c>
      <c r="W809">
        <v>0</v>
      </c>
      <c r="X809">
        <v>2</v>
      </c>
      <c r="Z809">
        <v>0</v>
      </c>
      <c r="AA809">
        <v>9</v>
      </c>
      <c r="AB809">
        <v>3</v>
      </c>
      <c r="AC809">
        <v>0</v>
      </c>
      <c r="AD809">
        <v>10</v>
      </c>
      <c r="AE809">
        <v>0</v>
      </c>
      <c r="AF809">
        <v>3</v>
      </c>
      <c r="AG809">
        <v>2</v>
      </c>
      <c r="AH809">
        <v>0</v>
      </c>
      <c r="AI809" t="s">
        <v>678</v>
      </c>
      <c r="AJ809">
        <v>39.665300999999999</v>
      </c>
      <c r="AK809" t="s">
        <v>679</v>
      </c>
      <c r="AL809">
        <v>-92.512887000000006</v>
      </c>
      <c r="AM809">
        <v>100</v>
      </c>
      <c r="AN809">
        <v>1700</v>
      </c>
      <c r="AO809" t="s">
        <v>118</v>
      </c>
      <c r="AP809">
        <v>-33</v>
      </c>
      <c r="AQ809">
        <v>124</v>
      </c>
      <c r="AR809">
        <v>0</v>
      </c>
      <c r="AZ809">
        <v>1200</v>
      </c>
      <c r="BA809">
        <v>1</v>
      </c>
      <c r="BB809" t="str">
        <f t="shared" si="39"/>
        <v xml:space="preserve">N8080G  </v>
      </c>
      <c r="BC809">
        <v>1</v>
      </c>
      <c r="BE809">
        <v>0</v>
      </c>
      <c r="BF809">
        <v>0</v>
      </c>
      <c r="BG809">
        <v>0</v>
      </c>
      <c r="BH809">
        <v>1675</v>
      </c>
      <c r="BI809">
        <v>1</v>
      </c>
      <c r="BJ809">
        <v>1</v>
      </c>
      <c r="BK809">
        <v>1</v>
      </c>
      <c r="BL809">
        <v>0</v>
      </c>
      <c r="BO809">
        <v>0</v>
      </c>
      <c r="BP809">
        <v>0</v>
      </c>
      <c r="BW809" t="str">
        <f>"20:16:19.647"</f>
        <v>20:16:19.647</v>
      </c>
      <c r="BZ809">
        <v>0</v>
      </c>
      <c r="CA809">
        <v>2016</v>
      </c>
      <c r="CB809">
        <v>224</v>
      </c>
      <c r="CD809">
        <v>1</v>
      </c>
      <c r="CE809">
        <v>0</v>
      </c>
      <c r="CF809">
        <v>0</v>
      </c>
      <c r="CG809">
        <v>1</v>
      </c>
      <c r="CH809">
        <v>0</v>
      </c>
      <c r="CI809">
        <v>0</v>
      </c>
      <c r="CJ809">
        <v>0</v>
      </c>
      <c r="CK809">
        <v>2</v>
      </c>
      <c r="CL809">
        <v>0</v>
      </c>
      <c r="CM809">
        <v>2</v>
      </c>
      <c r="CN809">
        <v>0</v>
      </c>
      <c r="CO809">
        <v>7</v>
      </c>
      <c r="CP809" t="s">
        <v>119</v>
      </c>
      <c r="CQ809">
        <v>180</v>
      </c>
      <c r="CR809">
        <v>2</v>
      </c>
      <c r="CW809">
        <v>7982580</v>
      </c>
      <c r="CY809">
        <v>1</v>
      </c>
      <c r="CZ809">
        <v>0</v>
      </c>
      <c r="DA809">
        <v>1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</row>
    <row r="810" spans="1:113" x14ac:dyDescent="0.3">
      <c r="A810" t="str">
        <f>"02/08/2021 20:16:17.330"</f>
        <v>02/08/2021 20:16:17.330</v>
      </c>
      <c r="C810" t="str">
        <f t="shared" si="38"/>
        <v>FFDFD7C0</v>
      </c>
      <c r="D810" t="s">
        <v>113</v>
      </c>
      <c r="E810">
        <v>6</v>
      </c>
      <c r="H810">
        <v>165</v>
      </c>
      <c r="I810" t="s">
        <v>114</v>
      </c>
      <c r="J810" t="s">
        <v>115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>"20:16:19.641"</f>
        <v>20:16:19.641</v>
      </c>
      <c r="T810" t="str">
        <f>"20:16:19.141"</f>
        <v>20:16:19.141</v>
      </c>
      <c r="U810" t="str">
        <f t="shared" si="37"/>
        <v>AB01F4</v>
      </c>
      <c r="V810">
        <v>0</v>
      </c>
      <c r="W810">
        <v>0</v>
      </c>
      <c r="X810">
        <v>2</v>
      </c>
      <c r="Z810">
        <v>0</v>
      </c>
      <c r="AA810">
        <v>9</v>
      </c>
      <c r="AB810">
        <v>3</v>
      </c>
      <c r="AC810">
        <v>0</v>
      </c>
      <c r="AD810">
        <v>10</v>
      </c>
      <c r="AE810">
        <v>0</v>
      </c>
      <c r="AF810">
        <v>3</v>
      </c>
      <c r="AG810">
        <v>2</v>
      </c>
      <c r="AH810">
        <v>0</v>
      </c>
      <c r="AI810" t="s">
        <v>678</v>
      </c>
      <c r="AJ810">
        <v>39.665300999999999</v>
      </c>
      <c r="AK810" t="s">
        <v>679</v>
      </c>
      <c r="AL810">
        <v>-92.512887000000006</v>
      </c>
      <c r="AM810">
        <v>100</v>
      </c>
      <c r="AN810">
        <v>1700</v>
      </c>
      <c r="AO810" t="s">
        <v>118</v>
      </c>
      <c r="AP810">
        <v>-33</v>
      </c>
      <c r="AQ810">
        <v>124</v>
      </c>
      <c r="AR810">
        <v>0</v>
      </c>
      <c r="AZ810">
        <v>1200</v>
      </c>
      <c r="BA810">
        <v>1</v>
      </c>
      <c r="BB810" t="str">
        <f t="shared" si="39"/>
        <v xml:space="preserve">N8080G  </v>
      </c>
      <c r="BC810">
        <v>1</v>
      </c>
      <c r="BE810">
        <v>0</v>
      </c>
      <c r="BF810">
        <v>0</v>
      </c>
      <c r="BG810">
        <v>0</v>
      </c>
      <c r="BH810">
        <v>1675</v>
      </c>
      <c r="BI810">
        <v>1</v>
      </c>
      <c r="BJ810">
        <v>1</v>
      </c>
      <c r="BK810">
        <v>1</v>
      </c>
      <c r="BL810">
        <v>0</v>
      </c>
      <c r="BO810">
        <v>0</v>
      </c>
      <c r="BP810">
        <v>0</v>
      </c>
      <c r="BW810" t="str">
        <f>"20:16:19.647"</f>
        <v>20:16:19.647</v>
      </c>
      <c r="BZ810">
        <v>0</v>
      </c>
      <c r="CA810">
        <v>2016</v>
      </c>
      <c r="CB810">
        <v>224</v>
      </c>
      <c r="CD810">
        <v>1</v>
      </c>
      <c r="CE810">
        <v>0</v>
      </c>
      <c r="CF810">
        <v>0</v>
      </c>
      <c r="CG810">
        <v>1</v>
      </c>
      <c r="CH810">
        <v>0</v>
      </c>
      <c r="CI810">
        <v>0</v>
      </c>
      <c r="CJ810">
        <v>0</v>
      </c>
      <c r="CK810">
        <v>2</v>
      </c>
      <c r="CL810">
        <v>0</v>
      </c>
      <c r="CM810">
        <v>2</v>
      </c>
      <c r="CN810">
        <v>0</v>
      </c>
      <c r="CO810">
        <v>7</v>
      </c>
      <c r="CP810" t="s">
        <v>119</v>
      </c>
      <c r="CQ810">
        <v>180</v>
      </c>
      <c r="CR810">
        <v>2</v>
      </c>
      <c r="CW810">
        <v>7982580</v>
      </c>
      <c r="CY810">
        <v>1</v>
      </c>
      <c r="CZ810">
        <v>0</v>
      </c>
      <c r="DA810">
        <v>1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</row>
    <row r="811" spans="1:113" x14ac:dyDescent="0.3">
      <c r="A811" t="str">
        <f>"02/08/2021 20:16:18.285"</f>
        <v>02/08/2021 20:16:18.285</v>
      </c>
      <c r="C811" t="str">
        <f t="shared" si="38"/>
        <v>FFDFD7C0</v>
      </c>
      <c r="D811" t="s">
        <v>124</v>
      </c>
      <c r="E811">
        <v>13</v>
      </c>
      <c r="F811">
        <v>1013</v>
      </c>
      <c r="G811" t="s">
        <v>114</v>
      </c>
      <c r="J811" t="s">
        <v>125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>"20:16:20.594"</f>
        <v>20:16:20.594</v>
      </c>
      <c r="T811" t="str">
        <f>"20:16:20.194"</f>
        <v>20:16:20.194</v>
      </c>
      <c r="U811" t="str">
        <f t="shared" si="37"/>
        <v>AB01F4</v>
      </c>
      <c r="V811">
        <v>0</v>
      </c>
      <c r="W811">
        <v>0</v>
      </c>
      <c r="X811">
        <v>2</v>
      </c>
      <c r="Z811">
        <v>0</v>
      </c>
      <c r="AA811">
        <v>9</v>
      </c>
      <c r="AB811">
        <v>3</v>
      </c>
      <c r="AC811">
        <v>0</v>
      </c>
      <c r="AD811">
        <v>10</v>
      </c>
      <c r="AE811">
        <v>0</v>
      </c>
      <c r="AF811">
        <v>3</v>
      </c>
      <c r="AG811">
        <v>2</v>
      </c>
      <c r="AH811">
        <v>0</v>
      </c>
      <c r="AI811" t="s">
        <v>680</v>
      </c>
      <c r="AJ811">
        <v>39.665816</v>
      </c>
      <c r="AK811" t="s">
        <v>681</v>
      </c>
      <c r="AL811">
        <v>-92.513058000000001</v>
      </c>
      <c r="AM811">
        <v>100</v>
      </c>
      <c r="AN811">
        <v>1700</v>
      </c>
      <c r="AO811" t="s">
        <v>118</v>
      </c>
      <c r="AP811">
        <v>-33</v>
      </c>
      <c r="AQ811">
        <v>124</v>
      </c>
      <c r="AR811">
        <v>-128</v>
      </c>
      <c r="AZ811">
        <v>1200</v>
      </c>
      <c r="BA811">
        <v>1</v>
      </c>
      <c r="BB811" t="str">
        <f t="shared" si="39"/>
        <v xml:space="preserve">N8080G  </v>
      </c>
      <c r="BC811">
        <v>1</v>
      </c>
      <c r="BE811">
        <v>0</v>
      </c>
      <c r="BF811">
        <v>0</v>
      </c>
      <c r="BG811">
        <v>0</v>
      </c>
      <c r="BH811">
        <v>1675</v>
      </c>
      <c r="BI811">
        <v>1</v>
      </c>
      <c r="BJ811">
        <v>1</v>
      </c>
      <c r="BK811">
        <v>1</v>
      </c>
      <c r="BL811">
        <v>0</v>
      </c>
      <c r="BO811">
        <v>0</v>
      </c>
      <c r="BP811">
        <v>0</v>
      </c>
      <c r="BW811" t="str">
        <f>"20:16:20.597"</f>
        <v>20:16:20.597</v>
      </c>
      <c r="BZ811">
        <v>0</v>
      </c>
      <c r="CA811">
        <v>2016</v>
      </c>
      <c r="CB811">
        <v>224</v>
      </c>
      <c r="CD811">
        <v>1</v>
      </c>
      <c r="CE811">
        <v>0</v>
      </c>
      <c r="CF811">
        <v>0</v>
      </c>
      <c r="CG811">
        <v>1</v>
      </c>
      <c r="CH811">
        <v>0</v>
      </c>
      <c r="CI811">
        <v>0</v>
      </c>
      <c r="CJ811">
        <v>0</v>
      </c>
      <c r="CK811">
        <v>2</v>
      </c>
      <c r="CL811">
        <v>0</v>
      </c>
      <c r="CM811">
        <v>2</v>
      </c>
      <c r="CN811">
        <v>0</v>
      </c>
      <c r="CO811">
        <v>7</v>
      </c>
      <c r="CP811" t="s">
        <v>119</v>
      </c>
      <c r="CQ811">
        <v>180</v>
      </c>
      <c r="CR811">
        <v>2</v>
      </c>
      <c r="CW811">
        <v>7983365</v>
      </c>
      <c r="CY811">
        <v>1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</row>
    <row r="812" spans="1:113" x14ac:dyDescent="0.3">
      <c r="A812" t="str">
        <f>"02/08/2021 20:16:18.285"</f>
        <v>02/08/2021 20:16:18.285</v>
      </c>
      <c r="C812" t="str">
        <f t="shared" si="38"/>
        <v>FFDFD7C0</v>
      </c>
      <c r="D812" t="s">
        <v>124</v>
      </c>
      <c r="E812">
        <v>12</v>
      </c>
      <c r="F812">
        <v>1012</v>
      </c>
      <c r="G812" t="s">
        <v>675</v>
      </c>
      <c r="J812" t="s">
        <v>125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>"20:16:20.594"</f>
        <v>20:16:20.594</v>
      </c>
      <c r="T812" t="str">
        <f>"20:16:20.194"</f>
        <v>20:16:20.194</v>
      </c>
      <c r="U812" t="str">
        <f t="shared" si="37"/>
        <v>AB01F4</v>
      </c>
      <c r="V812">
        <v>0</v>
      </c>
      <c r="W812">
        <v>0</v>
      </c>
      <c r="X812">
        <v>2</v>
      </c>
      <c r="Z812">
        <v>0</v>
      </c>
      <c r="AA812">
        <v>9</v>
      </c>
      <c r="AB812">
        <v>3</v>
      </c>
      <c r="AC812">
        <v>0</v>
      </c>
      <c r="AD812">
        <v>10</v>
      </c>
      <c r="AE812">
        <v>0</v>
      </c>
      <c r="AF812">
        <v>3</v>
      </c>
      <c r="AG812">
        <v>2</v>
      </c>
      <c r="AH812">
        <v>0</v>
      </c>
      <c r="AI812" t="s">
        <v>680</v>
      </c>
      <c r="AJ812">
        <v>39.665816</v>
      </c>
      <c r="AK812" t="s">
        <v>681</v>
      </c>
      <c r="AL812">
        <v>-92.513058000000001</v>
      </c>
      <c r="AM812">
        <v>100</v>
      </c>
      <c r="AN812">
        <v>1700</v>
      </c>
      <c r="AO812" t="s">
        <v>118</v>
      </c>
      <c r="AP812">
        <v>-33</v>
      </c>
      <c r="AQ812">
        <v>124</v>
      </c>
      <c r="AR812">
        <v>-128</v>
      </c>
      <c r="AZ812">
        <v>1200</v>
      </c>
      <c r="BA812">
        <v>1</v>
      </c>
      <c r="BB812" t="str">
        <f t="shared" si="39"/>
        <v xml:space="preserve">N8080G  </v>
      </c>
      <c r="BC812">
        <v>1</v>
      </c>
      <c r="BE812">
        <v>0</v>
      </c>
      <c r="BF812">
        <v>0</v>
      </c>
      <c r="BG812">
        <v>0</v>
      </c>
      <c r="BH812">
        <v>1675</v>
      </c>
      <c r="BI812">
        <v>1</v>
      </c>
      <c r="BJ812">
        <v>1</v>
      </c>
      <c r="BK812">
        <v>1</v>
      </c>
      <c r="BL812">
        <v>0</v>
      </c>
      <c r="BO812">
        <v>0</v>
      </c>
      <c r="BP812">
        <v>0</v>
      </c>
      <c r="BW812" t="str">
        <f>"20:16:20.597"</f>
        <v>20:16:20.597</v>
      </c>
      <c r="BZ812">
        <v>0</v>
      </c>
      <c r="CA812">
        <v>2016</v>
      </c>
      <c r="CB812">
        <v>224</v>
      </c>
      <c r="CD812">
        <v>1</v>
      </c>
      <c r="CE812">
        <v>0</v>
      </c>
      <c r="CF812">
        <v>0</v>
      </c>
      <c r="CG812">
        <v>1</v>
      </c>
      <c r="CH812">
        <v>0</v>
      </c>
      <c r="CI812">
        <v>0</v>
      </c>
      <c r="CJ812">
        <v>0</v>
      </c>
      <c r="CK812">
        <v>2</v>
      </c>
      <c r="CL812">
        <v>0</v>
      </c>
      <c r="CM812">
        <v>2</v>
      </c>
      <c r="CN812">
        <v>0</v>
      </c>
      <c r="CO812">
        <v>7</v>
      </c>
      <c r="CP812" t="s">
        <v>119</v>
      </c>
      <c r="CQ812">
        <v>180</v>
      </c>
      <c r="CR812">
        <v>2</v>
      </c>
      <c r="CW812">
        <v>7983365</v>
      </c>
      <c r="CY812">
        <v>1</v>
      </c>
      <c r="CZ812">
        <v>0</v>
      </c>
      <c r="DA812">
        <v>1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</row>
    <row r="813" spans="1:113" x14ac:dyDescent="0.3">
      <c r="A813" t="str">
        <f>"02/08/2021 20:16:18.285"</f>
        <v>02/08/2021 20:16:18.285</v>
      </c>
      <c r="C813" t="str">
        <f t="shared" si="38"/>
        <v>FFDFD7C0</v>
      </c>
      <c r="D813" t="s">
        <v>124</v>
      </c>
      <c r="E813">
        <v>11</v>
      </c>
      <c r="F813">
        <v>1011</v>
      </c>
      <c r="G813" t="s">
        <v>590</v>
      </c>
      <c r="J813" t="s">
        <v>125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>"20:16:20.594"</f>
        <v>20:16:20.594</v>
      </c>
      <c r="T813" t="str">
        <f>"20:16:20.194"</f>
        <v>20:16:20.194</v>
      </c>
      <c r="U813" t="str">
        <f t="shared" si="37"/>
        <v>AB01F4</v>
      </c>
      <c r="V813">
        <v>0</v>
      </c>
      <c r="W813">
        <v>0</v>
      </c>
      <c r="X813">
        <v>2</v>
      </c>
      <c r="Z813">
        <v>0</v>
      </c>
      <c r="AA813">
        <v>9</v>
      </c>
      <c r="AB813">
        <v>3</v>
      </c>
      <c r="AC813">
        <v>0</v>
      </c>
      <c r="AD813">
        <v>10</v>
      </c>
      <c r="AE813">
        <v>0</v>
      </c>
      <c r="AF813">
        <v>3</v>
      </c>
      <c r="AG813">
        <v>2</v>
      </c>
      <c r="AH813">
        <v>0</v>
      </c>
      <c r="AI813" t="s">
        <v>680</v>
      </c>
      <c r="AJ813">
        <v>39.665816</v>
      </c>
      <c r="AK813" t="s">
        <v>681</v>
      </c>
      <c r="AL813">
        <v>-92.513058000000001</v>
      </c>
      <c r="AM813">
        <v>100</v>
      </c>
      <c r="AN813">
        <v>1700</v>
      </c>
      <c r="AO813" t="s">
        <v>118</v>
      </c>
      <c r="AP813">
        <v>-33</v>
      </c>
      <c r="AQ813">
        <v>124</v>
      </c>
      <c r="AR813">
        <v>-128</v>
      </c>
      <c r="AZ813">
        <v>1200</v>
      </c>
      <c r="BA813">
        <v>1</v>
      </c>
      <c r="BB813" t="str">
        <f t="shared" si="39"/>
        <v xml:space="preserve">N8080G  </v>
      </c>
      <c r="BC813">
        <v>1</v>
      </c>
      <c r="BE813">
        <v>0</v>
      </c>
      <c r="BF813">
        <v>0</v>
      </c>
      <c r="BG813">
        <v>0</v>
      </c>
      <c r="BH813">
        <v>1675</v>
      </c>
      <c r="BI813">
        <v>1</v>
      </c>
      <c r="BJ813">
        <v>1</v>
      </c>
      <c r="BK813">
        <v>1</v>
      </c>
      <c r="BL813">
        <v>0</v>
      </c>
      <c r="BO813">
        <v>0</v>
      </c>
      <c r="BP813">
        <v>0</v>
      </c>
      <c r="BW813" t="str">
        <f>"20:16:20.597"</f>
        <v>20:16:20.597</v>
      </c>
      <c r="BZ813">
        <v>0</v>
      </c>
      <c r="CA813">
        <v>2016</v>
      </c>
      <c r="CB813">
        <v>224</v>
      </c>
      <c r="CD813">
        <v>1</v>
      </c>
      <c r="CE813">
        <v>0</v>
      </c>
      <c r="CF813">
        <v>0</v>
      </c>
      <c r="CG813">
        <v>1</v>
      </c>
      <c r="CH813">
        <v>0</v>
      </c>
      <c r="CI813">
        <v>0</v>
      </c>
      <c r="CJ813">
        <v>0</v>
      </c>
      <c r="CK813">
        <v>2</v>
      </c>
      <c r="CL813">
        <v>0</v>
      </c>
      <c r="CM813">
        <v>2</v>
      </c>
      <c r="CN813">
        <v>0</v>
      </c>
      <c r="CO813">
        <v>7</v>
      </c>
      <c r="CP813" t="s">
        <v>119</v>
      </c>
      <c r="CQ813">
        <v>180</v>
      </c>
      <c r="CR813">
        <v>2</v>
      </c>
      <c r="CW813">
        <v>7983365</v>
      </c>
      <c r="CY813">
        <v>1</v>
      </c>
      <c r="CZ813">
        <v>0</v>
      </c>
      <c r="DA813">
        <v>1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</row>
    <row r="814" spans="1:113" x14ac:dyDescent="0.3">
      <c r="A814" t="str">
        <f>"02/08/2021 20:16:18.285"</f>
        <v>02/08/2021 20:16:18.285</v>
      </c>
      <c r="C814" t="str">
        <f t="shared" si="38"/>
        <v>FFDFD7C0</v>
      </c>
      <c r="D814" t="s">
        <v>113</v>
      </c>
      <c r="E814">
        <v>6</v>
      </c>
      <c r="H814">
        <v>165</v>
      </c>
      <c r="I814" t="s">
        <v>114</v>
      </c>
      <c r="J814" t="s">
        <v>115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>"20:16:20.594"</f>
        <v>20:16:20.594</v>
      </c>
      <c r="T814" t="str">
        <f>"20:16:20.194"</f>
        <v>20:16:20.194</v>
      </c>
      <c r="U814" t="str">
        <f t="shared" si="37"/>
        <v>AB01F4</v>
      </c>
      <c r="V814">
        <v>0</v>
      </c>
      <c r="W814">
        <v>0</v>
      </c>
      <c r="X814">
        <v>2</v>
      </c>
      <c r="Z814">
        <v>0</v>
      </c>
      <c r="AA814">
        <v>9</v>
      </c>
      <c r="AB814">
        <v>3</v>
      </c>
      <c r="AC814">
        <v>0</v>
      </c>
      <c r="AD814">
        <v>10</v>
      </c>
      <c r="AE814">
        <v>0</v>
      </c>
      <c r="AF814">
        <v>3</v>
      </c>
      <c r="AG814">
        <v>2</v>
      </c>
      <c r="AH814">
        <v>0</v>
      </c>
      <c r="AI814" t="s">
        <v>680</v>
      </c>
      <c r="AJ814">
        <v>39.665816</v>
      </c>
      <c r="AK814" t="s">
        <v>681</v>
      </c>
      <c r="AL814">
        <v>-92.513058000000001</v>
      </c>
      <c r="AM814">
        <v>100</v>
      </c>
      <c r="AN814">
        <v>1700</v>
      </c>
      <c r="AO814" t="s">
        <v>118</v>
      </c>
      <c r="AP814">
        <v>-33</v>
      </c>
      <c r="AQ814">
        <v>124</v>
      </c>
      <c r="AR814">
        <v>-128</v>
      </c>
      <c r="AZ814">
        <v>1200</v>
      </c>
      <c r="BA814">
        <v>1</v>
      </c>
      <c r="BB814" t="str">
        <f t="shared" si="39"/>
        <v xml:space="preserve">N8080G  </v>
      </c>
      <c r="BC814">
        <v>1</v>
      </c>
      <c r="BE814">
        <v>0</v>
      </c>
      <c r="BF814">
        <v>0</v>
      </c>
      <c r="BG814">
        <v>0</v>
      </c>
      <c r="BH814">
        <v>1675</v>
      </c>
      <c r="BI814">
        <v>1</v>
      </c>
      <c r="BJ814">
        <v>1</v>
      </c>
      <c r="BK814">
        <v>1</v>
      </c>
      <c r="BL814">
        <v>0</v>
      </c>
      <c r="BO814">
        <v>0</v>
      </c>
      <c r="BP814">
        <v>0</v>
      </c>
      <c r="BW814" t="str">
        <f>"20:16:20.597"</f>
        <v>20:16:20.597</v>
      </c>
      <c r="BZ814">
        <v>0</v>
      </c>
      <c r="CA814">
        <v>2016</v>
      </c>
      <c r="CB814">
        <v>224</v>
      </c>
      <c r="CD814">
        <v>1</v>
      </c>
      <c r="CE814">
        <v>0</v>
      </c>
      <c r="CF814">
        <v>0</v>
      </c>
      <c r="CG814">
        <v>1</v>
      </c>
      <c r="CH814">
        <v>0</v>
      </c>
      <c r="CI814">
        <v>0</v>
      </c>
      <c r="CJ814">
        <v>0</v>
      </c>
      <c r="CK814">
        <v>2</v>
      </c>
      <c r="CL814">
        <v>0</v>
      </c>
      <c r="CM814">
        <v>2</v>
      </c>
      <c r="CN814">
        <v>0</v>
      </c>
      <c r="CO814">
        <v>7</v>
      </c>
      <c r="CP814" t="s">
        <v>119</v>
      </c>
      <c r="CQ814">
        <v>180</v>
      </c>
      <c r="CR814">
        <v>2</v>
      </c>
      <c r="CW814">
        <v>7983365</v>
      </c>
      <c r="CY814">
        <v>1</v>
      </c>
      <c r="CZ814">
        <v>0</v>
      </c>
      <c r="DA814">
        <v>1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</row>
    <row r="815" spans="1:113" x14ac:dyDescent="0.3">
      <c r="A815" t="str">
        <f>"02/08/2021 20:16:19.217"</f>
        <v>02/08/2021 20:16:19.217</v>
      </c>
      <c r="C815" t="str">
        <f t="shared" si="38"/>
        <v>FFDFD7C0</v>
      </c>
      <c r="D815" t="s">
        <v>113</v>
      </c>
      <c r="E815">
        <v>6</v>
      </c>
      <c r="H815">
        <v>165</v>
      </c>
      <c r="I815" t="s">
        <v>114</v>
      </c>
      <c r="J815" t="s">
        <v>115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>"20:16:21.531"</f>
        <v>20:16:21.531</v>
      </c>
      <c r="T815" t="str">
        <f>"20:16:20.231"</f>
        <v>20:16:20.231</v>
      </c>
      <c r="U815" t="str">
        <f t="shared" si="37"/>
        <v>AB01F4</v>
      </c>
      <c r="V815">
        <v>0</v>
      </c>
      <c r="W815">
        <v>0</v>
      </c>
      <c r="X815">
        <v>2</v>
      </c>
      <c r="Z815">
        <v>0</v>
      </c>
      <c r="AA815">
        <v>9</v>
      </c>
      <c r="AB815">
        <v>3</v>
      </c>
      <c r="AC815">
        <v>0</v>
      </c>
      <c r="AD815">
        <v>10</v>
      </c>
      <c r="AE815">
        <v>0</v>
      </c>
      <c r="AF815">
        <v>3</v>
      </c>
      <c r="AG815">
        <v>2</v>
      </c>
      <c r="AH815">
        <v>0</v>
      </c>
      <c r="AI815" t="s">
        <v>682</v>
      </c>
      <c r="AJ815">
        <v>39.666417000000003</v>
      </c>
      <c r="AK815" t="s">
        <v>683</v>
      </c>
      <c r="AL815">
        <v>-92.513294000000002</v>
      </c>
      <c r="AM815">
        <v>100</v>
      </c>
      <c r="AN815">
        <v>1700</v>
      </c>
      <c r="AO815" t="s">
        <v>118</v>
      </c>
      <c r="AP815">
        <v>-33</v>
      </c>
      <c r="AQ815">
        <v>124</v>
      </c>
      <c r="AR815">
        <v>-128</v>
      </c>
      <c r="AZ815">
        <v>1200</v>
      </c>
      <c r="BA815">
        <v>1</v>
      </c>
      <c r="BB815" t="str">
        <f t="shared" si="39"/>
        <v xml:space="preserve">N8080G  </v>
      </c>
      <c r="BC815">
        <v>1</v>
      </c>
      <c r="BE815">
        <v>0</v>
      </c>
      <c r="BF815">
        <v>0</v>
      </c>
      <c r="BG815">
        <v>0</v>
      </c>
      <c r="BH815">
        <v>1675</v>
      </c>
      <c r="BI815">
        <v>1</v>
      </c>
      <c r="BJ815">
        <v>1</v>
      </c>
      <c r="BK815">
        <v>1</v>
      </c>
      <c r="BL815">
        <v>0</v>
      </c>
      <c r="BO815">
        <v>0</v>
      </c>
      <c r="BP815">
        <v>0</v>
      </c>
      <c r="BW815" t="str">
        <f>"20:16:21.533"</f>
        <v>20:16:21.533</v>
      </c>
      <c r="BZ815">
        <v>0</v>
      </c>
      <c r="CA815">
        <v>2016</v>
      </c>
      <c r="CB815">
        <v>224</v>
      </c>
      <c r="CD815">
        <v>1</v>
      </c>
      <c r="CE815">
        <v>0</v>
      </c>
      <c r="CF815">
        <v>0</v>
      </c>
      <c r="CG815">
        <v>1</v>
      </c>
      <c r="CH815">
        <v>0</v>
      </c>
      <c r="CI815">
        <v>0</v>
      </c>
      <c r="CJ815">
        <v>0</v>
      </c>
      <c r="CK815">
        <v>2</v>
      </c>
      <c r="CL815">
        <v>0</v>
      </c>
      <c r="CM815">
        <v>2</v>
      </c>
      <c r="CN815">
        <v>0</v>
      </c>
      <c r="CO815">
        <v>2</v>
      </c>
      <c r="CP815" t="s">
        <v>119</v>
      </c>
      <c r="CQ815">
        <v>559</v>
      </c>
      <c r="CR815">
        <v>0</v>
      </c>
      <c r="CW815">
        <v>10432989</v>
      </c>
      <c r="CY815">
        <v>1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</row>
    <row r="816" spans="1:113" x14ac:dyDescent="0.3">
      <c r="A816" t="str">
        <f>"02/08/2021 20:16:19.217"</f>
        <v>02/08/2021 20:16:19.217</v>
      </c>
      <c r="C816" t="str">
        <f t="shared" si="38"/>
        <v>FFDFD7C0</v>
      </c>
      <c r="D816" t="s">
        <v>124</v>
      </c>
      <c r="E816">
        <v>13</v>
      </c>
      <c r="F816">
        <v>1013</v>
      </c>
      <c r="G816" t="s">
        <v>114</v>
      </c>
      <c r="J816" t="s">
        <v>125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>"20:16:21.531"</f>
        <v>20:16:21.531</v>
      </c>
      <c r="T816" t="str">
        <f>"20:16:20.231"</f>
        <v>20:16:20.231</v>
      </c>
      <c r="U816" t="str">
        <f t="shared" si="37"/>
        <v>AB01F4</v>
      </c>
      <c r="V816">
        <v>0</v>
      </c>
      <c r="W816">
        <v>0</v>
      </c>
      <c r="X816">
        <v>2</v>
      </c>
      <c r="Z816">
        <v>0</v>
      </c>
      <c r="AA816">
        <v>9</v>
      </c>
      <c r="AB816">
        <v>3</v>
      </c>
      <c r="AC816">
        <v>0</v>
      </c>
      <c r="AD816">
        <v>10</v>
      </c>
      <c r="AE816">
        <v>0</v>
      </c>
      <c r="AF816">
        <v>3</v>
      </c>
      <c r="AG816">
        <v>2</v>
      </c>
      <c r="AH816">
        <v>0</v>
      </c>
      <c r="AI816" t="s">
        <v>682</v>
      </c>
      <c r="AJ816">
        <v>39.666417000000003</v>
      </c>
      <c r="AK816" t="s">
        <v>683</v>
      </c>
      <c r="AL816">
        <v>-92.513294000000002</v>
      </c>
      <c r="AM816">
        <v>100</v>
      </c>
      <c r="AN816">
        <v>1700</v>
      </c>
      <c r="AO816" t="s">
        <v>118</v>
      </c>
      <c r="AP816">
        <v>-33</v>
      </c>
      <c r="AQ816">
        <v>124</v>
      </c>
      <c r="AR816">
        <v>-128</v>
      </c>
      <c r="AZ816">
        <v>1200</v>
      </c>
      <c r="BA816">
        <v>1</v>
      </c>
      <c r="BB816" t="str">
        <f t="shared" si="39"/>
        <v xml:space="preserve">N8080G  </v>
      </c>
      <c r="BC816">
        <v>1</v>
      </c>
      <c r="BE816">
        <v>0</v>
      </c>
      <c r="BF816">
        <v>0</v>
      </c>
      <c r="BG816">
        <v>0</v>
      </c>
      <c r="BH816">
        <v>1675</v>
      </c>
      <c r="BI816">
        <v>1</v>
      </c>
      <c r="BJ816">
        <v>1</v>
      </c>
      <c r="BK816">
        <v>1</v>
      </c>
      <c r="BL816">
        <v>0</v>
      </c>
      <c r="BO816">
        <v>0</v>
      </c>
      <c r="BP816">
        <v>0</v>
      </c>
      <c r="BW816" t="str">
        <f>"20:16:21.533"</f>
        <v>20:16:21.533</v>
      </c>
      <c r="BZ816">
        <v>0</v>
      </c>
      <c r="CA816">
        <v>2016</v>
      </c>
      <c r="CB816">
        <v>224</v>
      </c>
      <c r="CD816">
        <v>1</v>
      </c>
      <c r="CE816">
        <v>0</v>
      </c>
      <c r="CF816">
        <v>0</v>
      </c>
      <c r="CG816">
        <v>1</v>
      </c>
      <c r="CH816">
        <v>0</v>
      </c>
      <c r="CI816">
        <v>0</v>
      </c>
      <c r="CJ816">
        <v>0</v>
      </c>
      <c r="CK816">
        <v>2</v>
      </c>
      <c r="CL816">
        <v>0</v>
      </c>
      <c r="CM816">
        <v>2</v>
      </c>
      <c r="CN816">
        <v>0</v>
      </c>
      <c r="CO816">
        <v>2</v>
      </c>
      <c r="CP816" t="s">
        <v>119</v>
      </c>
      <c r="CQ816">
        <v>559</v>
      </c>
      <c r="CR816">
        <v>0</v>
      </c>
      <c r="CW816">
        <v>10432989</v>
      </c>
      <c r="CY816">
        <v>1</v>
      </c>
      <c r="CZ816">
        <v>0</v>
      </c>
      <c r="DA816">
        <v>1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</row>
    <row r="817" spans="1:113" x14ac:dyDescent="0.3">
      <c r="A817" t="str">
        <f>"02/08/2021 20:16:20.330"</f>
        <v>02/08/2021 20:16:20.330</v>
      </c>
      <c r="C817" t="str">
        <f t="shared" si="38"/>
        <v>FFDFD7C0</v>
      </c>
      <c r="D817" t="s">
        <v>113</v>
      </c>
      <c r="E817">
        <v>6</v>
      </c>
      <c r="H817">
        <v>165</v>
      </c>
      <c r="I817" t="s">
        <v>114</v>
      </c>
      <c r="J817" t="s">
        <v>115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>"20:16:22.656"</f>
        <v>20:16:22.656</v>
      </c>
      <c r="T817" t="str">
        <f>"20:16:22.156"</f>
        <v>20:16:22.156</v>
      </c>
      <c r="U817" t="str">
        <f t="shared" si="37"/>
        <v>AB01F4</v>
      </c>
      <c r="V817">
        <v>0</v>
      </c>
      <c r="W817">
        <v>0</v>
      </c>
      <c r="X817">
        <v>2</v>
      </c>
      <c r="Z817">
        <v>0</v>
      </c>
      <c r="AA817">
        <v>9</v>
      </c>
      <c r="AB817">
        <v>3</v>
      </c>
      <c r="AC817">
        <v>0</v>
      </c>
      <c r="AD817">
        <v>10</v>
      </c>
      <c r="AE817">
        <v>0</v>
      </c>
      <c r="AF817">
        <v>3</v>
      </c>
      <c r="AG817">
        <v>2</v>
      </c>
      <c r="AH817">
        <v>0</v>
      </c>
      <c r="AI817" t="s">
        <v>684</v>
      </c>
      <c r="AJ817">
        <v>39.667017000000001</v>
      </c>
      <c r="AK817" t="s">
        <v>685</v>
      </c>
      <c r="AL817">
        <v>-92.513486999999998</v>
      </c>
      <c r="AM817">
        <v>100</v>
      </c>
      <c r="AN817">
        <v>1700</v>
      </c>
      <c r="AO817" t="s">
        <v>118</v>
      </c>
      <c r="AP817">
        <v>-33</v>
      </c>
      <c r="AQ817">
        <v>124</v>
      </c>
      <c r="AR817">
        <v>64</v>
      </c>
      <c r="AZ817">
        <v>1200</v>
      </c>
      <c r="BA817">
        <v>1</v>
      </c>
      <c r="BB817" t="str">
        <f t="shared" si="39"/>
        <v xml:space="preserve">N8080G  </v>
      </c>
      <c r="BC817">
        <v>1</v>
      </c>
      <c r="BE817">
        <v>0</v>
      </c>
      <c r="BF817">
        <v>0</v>
      </c>
      <c r="BG817">
        <v>0</v>
      </c>
      <c r="BH817">
        <v>1675</v>
      </c>
      <c r="BI817">
        <v>1</v>
      </c>
      <c r="BJ817">
        <v>1</v>
      </c>
      <c r="BK817">
        <v>1</v>
      </c>
      <c r="BL817">
        <v>0</v>
      </c>
      <c r="BO817">
        <v>0</v>
      </c>
      <c r="BP817">
        <v>0</v>
      </c>
      <c r="BW817" t="str">
        <f>"20:16:22.657"</f>
        <v>20:16:22.657</v>
      </c>
      <c r="BZ817">
        <v>0</v>
      </c>
      <c r="CA817">
        <v>2016</v>
      </c>
      <c r="CB817">
        <v>224</v>
      </c>
      <c r="CD817">
        <v>1</v>
      </c>
      <c r="CE817">
        <v>0</v>
      </c>
      <c r="CF817">
        <v>0</v>
      </c>
      <c r="CG817">
        <v>1</v>
      </c>
      <c r="CH817">
        <v>0</v>
      </c>
      <c r="CI817">
        <v>0</v>
      </c>
      <c r="CJ817">
        <v>0</v>
      </c>
      <c r="CK817">
        <v>2</v>
      </c>
      <c r="CL817">
        <v>0</v>
      </c>
      <c r="CM817">
        <v>2</v>
      </c>
      <c r="CN817">
        <v>0</v>
      </c>
      <c r="CO817">
        <v>1</v>
      </c>
      <c r="CP817" t="s">
        <v>119</v>
      </c>
      <c r="CQ817">
        <v>559</v>
      </c>
      <c r="CR817">
        <v>0</v>
      </c>
      <c r="CW817">
        <v>10433173</v>
      </c>
      <c r="CY817">
        <v>1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</row>
    <row r="818" spans="1:113" x14ac:dyDescent="0.3">
      <c r="A818" t="str">
        <f>"02/08/2021 20:16:20.330"</f>
        <v>02/08/2021 20:16:20.330</v>
      </c>
      <c r="C818" t="str">
        <f t="shared" si="38"/>
        <v>FFDFD7C0</v>
      </c>
      <c r="D818" t="s">
        <v>124</v>
      </c>
      <c r="E818">
        <v>13</v>
      </c>
      <c r="F818">
        <v>1013</v>
      </c>
      <c r="G818" t="s">
        <v>114</v>
      </c>
      <c r="J818" t="s">
        <v>125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>"20:16:22.656"</f>
        <v>20:16:22.656</v>
      </c>
      <c r="T818" t="str">
        <f>"20:16:22.156"</f>
        <v>20:16:22.156</v>
      </c>
      <c r="U818" t="str">
        <f t="shared" si="37"/>
        <v>AB01F4</v>
      </c>
      <c r="V818">
        <v>0</v>
      </c>
      <c r="W818">
        <v>0</v>
      </c>
      <c r="X818">
        <v>2</v>
      </c>
      <c r="Z818">
        <v>0</v>
      </c>
      <c r="AA818">
        <v>9</v>
      </c>
      <c r="AB818">
        <v>3</v>
      </c>
      <c r="AC818">
        <v>0</v>
      </c>
      <c r="AD818">
        <v>10</v>
      </c>
      <c r="AE818">
        <v>0</v>
      </c>
      <c r="AF818">
        <v>3</v>
      </c>
      <c r="AG818">
        <v>2</v>
      </c>
      <c r="AH818">
        <v>0</v>
      </c>
      <c r="AI818" t="s">
        <v>684</v>
      </c>
      <c r="AJ818">
        <v>39.667017000000001</v>
      </c>
      <c r="AK818" t="s">
        <v>685</v>
      </c>
      <c r="AL818">
        <v>-92.513486999999998</v>
      </c>
      <c r="AM818">
        <v>100</v>
      </c>
      <c r="AN818">
        <v>1700</v>
      </c>
      <c r="AO818" t="s">
        <v>118</v>
      </c>
      <c r="AP818">
        <v>-33</v>
      </c>
      <c r="AQ818">
        <v>124</v>
      </c>
      <c r="AR818">
        <v>64</v>
      </c>
      <c r="AZ818">
        <v>1200</v>
      </c>
      <c r="BA818">
        <v>1</v>
      </c>
      <c r="BB818" t="str">
        <f t="shared" si="39"/>
        <v xml:space="preserve">N8080G  </v>
      </c>
      <c r="BC818">
        <v>1</v>
      </c>
      <c r="BE818">
        <v>0</v>
      </c>
      <c r="BF818">
        <v>0</v>
      </c>
      <c r="BG818">
        <v>0</v>
      </c>
      <c r="BH818">
        <v>1675</v>
      </c>
      <c r="BI818">
        <v>1</v>
      </c>
      <c r="BJ818">
        <v>1</v>
      </c>
      <c r="BK818">
        <v>1</v>
      </c>
      <c r="BL818">
        <v>0</v>
      </c>
      <c r="BO818">
        <v>0</v>
      </c>
      <c r="BP818">
        <v>0</v>
      </c>
      <c r="BW818" t="str">
        <f>"20:16:22.657"</f>
        <v>20:16:22.657</v>
      </c>
      <c r="BZ818">
        <v>0</v>
      </c>
      <c r="CA818">
        <v>2016</v>
      </c>
      <c r="CB818">
        <v>224</v>
      </c>
      <c r="CD818">
        <v>1</v>
      </c>
      <c r="CE818">
        <v>0</v>
      </c>
      <c r="CF818">
        <v>0</v>
      </c>
      <c r="CG818">
        <v>1</v>
      </c>
      <c r="CH818">
        <v>0</v>
      </c>
      <c r="CI818">
        <v>0</v>
      </c>
      <c r="CJ818">
        <v>0</v>
      </c>
      <c r="CK818">
        <v>2</v>
      </c>
      <c r="CL818">
        <v>0</v>
      </c>
      <c r="CM818">
        <v>2</v>
      </c>
      <c r="CN818">
        <v>0</v>
      </c>
      <c r="CO818">
        <v>1</v>
      </c>
      <c r="CP818" t="s">
        <v>119</v>
      </c>
      <c r="CQ818">
        <v>559</v>
      </c>
      <c r="CR818">
        <v>0</v>
      </c>
      <c r="CW818">
        <v>10433173</v>
      </c>
      <c r="CY818">
        <v>1</v>
      </c>
      <c r="CZ818">
        <v>0</v>
      </c>
      <c r="DA818">
        <v>1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</row>
    <row r="819" spans="1:113" x14ac:dyDescent="0.3">
      <c r="A819" t="str">
        <f>"02/08/2021 20:16:21.251"</f>
        <v>02/08/2021 20:16:21.251</v>
      </c>
      <c r="C819" t="str">
        <f t="shared" si="38"/>
        <v>FFDFD7C0</v>
      </c>
      <c r="D819" t="s">
        <v>124</v>
      </c>
      <c r="E819">
        <v>13</v>
      </c>
      <c r="F819">
        <v>1013</v>
      </c>
      <c r="G819" t="s">
        <v>114</v>
      </c>
      <c r="J819" t="s">
        <v>125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>"20:16:23.570"</f>
        <v>20:16:23.570</v>
      </c>
      <c r="T819" t="str">
        <f>"20:16:23.070"</f>
        <v>20:16:23.070</v>
      </c>
      <c r="U819" t="str">
        <f t="shared" si="37"/>
        <v>AB01F4</v>
      </c>
      <c r="V819">
        <v>0</v>
      </c>
      <c r="W819">
        <v>0</v>
      </c>
      <c r="X819">
        <v>2</v>
      </c>
      <c r="Z819">
        <v>0</v>
      </c>
      <c r="AA819">
        <v>9</v>
      </c>
      <c r="AB819">
        <v>3</v>
      </c>
      <c r="AC819">
        <v>0</v>
      </c>
      <c r="AD819">
        <v>10</v>
      </c>
      <c r="AE819">
        <v>0</v>
      </c>
      <c r="AF819">
        <v>3</v>
      </c>
      <c r="AG819">
        <v>2</v>
      </c>
      <c r="AH819">
        <v>0</v>
      </c>
      <c r="AI819" t="s">
        <v>686</v>
      </c>
      <c r="AJ819">
        <v>39.667554000000003</v>
      </c>
      <c r="AK819" t="s">
        <v>687</v>
      </c>
      <c r="AL819">
        <v>-92.513659000000004</v>
      </c>
      <c r="AM819">
        <v>100</v>
      </c>
      <c r="AN819">
        <v>1700</v>
      </c>
      <c r="AO819" t="s">
        <v>118</v>
      </c>
      <c r="AP819">
        <v>-33</v>
      </c>
      <c r="AQ819">
        <v>124</v>
      </c>
      <c r="AR819">
        <v>0</v>
      </c>
      <c r="AZ819">
        <v>1200</v>
      </c>
      <c r="BA819">
        <v>1</v>
      </c>
      <c r="BB819" t="str">
        <f t="shared" si="39"/>
        <v xml:space="preserve">N8080G  </v>
      </c>
      <c r="BC819">
        <v>1</v>
      </c>
      <c r="BE819">
        <v>0</v>
      </c>
      <c r="BF819">
        <v>0</v>
      </c>
      <c r="BG819">
        <v>0</v>
      </c>
      <c r="BH819">
        <v>1675</v>
      </c>
      <c r="BI819">
        <v>1</v>
      </c>
      <c r="BJ819">
        <v>1</v>
      </c>
      <c r="BK819">
        <v>1</v>
      </c>
      <c r="BL819">
        <v>0</v>
      </c>
      <c r="BO819">
        <v>0</v>
      </c>
      <c r="BP819">
        <v>0</v>
      </c>
      <c r="BW819" t="str">
        <f>"20:16:23.571"</f>
        <v>20:16:23.571</v>
      </c>
      <c r="BZ819">
        <v>0</v>
      </c>
      <c r="CA819">
        <v>2016</v>
      </c>
      <c r="CB819">
        <v>224</v>
      </c>
      <c r="CD819">
        <v>1</v>
      </c>
      <c r="CE819">
        <v>0</v>
      </c>
      <c r="CF819">
        <v>0</v>
      </c>
      <c r="CG819">
        <v>1</v>
      </c>
      <c r="CH819">
        <v>0</v>
      </c>
      <c r="CI819">
        <v>0</v>
      </c>
      <c r="CJ819">
        <v>0</v>
      </c>
      <c r="CK819">
        <v>2</v>
      </c>
      <c r="CL819">
        <v>0</v>
      </c>
      <c r="CM819">
        <v>2</v>
      </c>
      <c r="CN819">
        <v>0</v>
      </c>
      <c r="CO819">
        <v>7</v>
      </c>
      <c r="CP819" t="s">
        <v>119</v>
      </c>
      <c r="CQ819">
        <v>180</v>
      </c>
      <c r="CR819">
        <v>2</v>
      </c>
      <c r="CW819">
        <v>7985757</v>
      </c>
      <c r="CY819">
        <v>1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</row>
    <row r="820" spans="1:113" x14ac:dyDescent="0.3">
      <c r="A820" t="str">
        <f>"02/08/2021 20:16:21.251"</f>
        <v>02/08/2021 20:16:21.251</v>
      </c>
      <c r="C820" t="str">
        <f t="shared" si="38"/>
        <v>FFDFD7C0</v>
      </c>
      <c r="D820" t="s">
        <v>124</v>
      </c>
      <c r="E820">
        <v>12</v>
      </c>
      <c r="F820">
        <v>1012</v>
      </c>
      <c r="G820" t="s">
        <v>675</v>
      </c>
      <c r="J820" t="s">
        <v>125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>"20:16:23.570"</f>
        <v>20:16:23.570</v>
      </c>
      <c r="T820" t="str">
        <f>"20:16:23.070"</f>
        <v>20:16:23.070</v>
      </c>
      <c r="U820" t="str">
        <f t="shared" si="37"/>
        <v>AB01F4</v>
      </c>
      <c r="V820">
        <v>0</v>
      </c>
      <c r="W820">
        <v>0</v>
      </c>
      <c r="X820">
        <v>2</v>
      </c>
      <c r="Z820">
        <v>0</v>
      </c>
      <c r="AA820">
        <v>9</v>
      </c>
      <c r="AB820">
        <v>3</v>
      </c>
      <c r="AC820">
        <v>0</v>
      </c>
      <c r="AD820">
        <v>10</v>
      </c>
      <c r="AE820">
        <v>0</v>
      </c>
      <c r="AF820">
        <v>3</v>
      </c>
      <c r="AG820">
        <v>2</v>
      </c>
      <c r="AH820">
        <v>0</v>
      </c>
      <c r="AI820" t="s">
        <v>686</v>
      </c>
      <c r="AJ820">
        <v>39.667554000000003</v>
      </c>
      <c r="AK820" t="s">
        <v>687</v>
      </c>
      <c r="AL820">
        <v>-92.513659000000004</v>
      </c>
      <c r="AM820">
        <v>100</v>
      </c>
      <c r="AN820">
        <v>1700</v>
      </c>
      <c r="AO820" t="s">
        <v>118</v>
      </c>
      <c r="AP820">
        <v>-33</v>
      </c>
      <c r="AQ820">
        <v>124</v>
      </c>
      <c r="AR820">
        <v>0</v>
      </c>
      <c r="AZ820">
        <v>1200</v>
      </c>
      <c r="BA820">
        <v>1</v>
      </c>
      <c r="BB820" t="str">
        <f t="shared" si="39"/>
        <v xml:space="preserve">N8080G  </v>
      </c>
      <c r="BC820">
        <v>1</v>
      </c>
      <c r="BE820">
        <v>0</v>
      </c>
      <c r="BF820">
        <v>0</v>
      </c>
      <c r="BG820">
        <v>0</v>
      </c>
      <c r="BH820">
        <v>1675</v>
      </c>
      <c r="BI820">
        <v>1</v>
      </c>
      <c r="BJ820">
        <v>1</v>
      </c>
      <c r="BK820">
        <v>1</v>
      </c>
      <c r="BL820">
        <v>0</v>
      </c>
      <c r="BO820">
        <v>0</v>
      </c>
      <c r="BP820">
        <v>0</v>
      </c>
      <c r="BW820" t="str">
        <f>"20:16:23.571"</f>
        <v>20:16:23.571</v>
      </c>
      <c r="BZ820">
        <v>0</v>
      </c>
      <c r="CA820">
        <v>2016</v>
      </c>
      <c r="CB820">
        <v>224</v>
      </c>
      <c r="CD820">
        <v>1</v>
      </c>
      <c r="CE820">
        <v>0</v>
      </c>
      <c r="CF820">
        <v>0</v>
      </c>
      <c r="CG820">
        <v>1</v>
      </c>
      <c r="CH820">
        <v>0</v>
      </c>
      <c r="CI820">
        <v>0</v>
      </c>
      <c r="CJ820">
        <v>0</v>
      </c>
      <c r="CK820">
        <v>2</v>
      </c>
      <c r="CL820">
        <v>0</v>
      </c>
      <c r="CM820">
        <v>2</v>
      </c>
      <c r="CN820">
        <v>0</v>
      </c>
      <c r="CO820">
        <v>7</v>
      </c>
      <c r="CP820" t="s">
        <v>119</v>
      </c>
      <c r="CQ820">
        <v>180</v>
      </c>
      <c r="CR820">
        <v>2</v>
      </c>
      <c r="CW820">
        <v>7985757</v>
      </c>
      <c r="CY820">
        <v>1</v>
      </c>
      <c r="CZ820">
        <v>0</v>
      </c>
      <c r="DA820">
        <v>1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</row>
    <row r="821" spans="1:113" x14ac:dyDescent="0.3">
      <c r="A821" t="str">
        <f>"02/08/2021 20:16:21.251"</f>
        <v>02/08/2021 20:16:21.251</v>
      </c>
      <c r="C821" t="str">
        <f t="shared" si="38"/>
        <v>FFDFD7C0</v>
      </c>
      <c r="D821" t="s">
        <v>124</v>
      </c>
      <c r="E821">
        <v>11</v>
      </c>
      <c r="F821">
        <v>1011</v>
      </c>
      <c r="G821" t="s">
        <v>590</v>
      </c>
      <c r="J821" t="s">
        <v>125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>"20:16:23.570"</f>
        <v>20:16:23.570</v>
      </c>
      <c r="T821" t="str">
        <f>"20:16:23.070"</f>
        <v>20:16:23.070</v>
      </c>
      <c r="U821" t="str">
        <f t="shared" si="37"/>
        <v>AB01F4</v>
      </c>
      <c r="V821">
        <v>0</v>
      </c>
      <c r="W821">
        <v>0</v>
      </c>
      <c r="X821">
        <v>2</v>
      </c>
      <c r="Z821">
        <v>0</v>
      </c>
      <c r="AA821">
        <v>9</v>
      </c>
      <c r="AB821">
        <v>3</v>
      </c>
      <c r="AC821">
        <v>0</v>
      </c>
      <c r="AD821">
        <v>10</v>
      </c>
      <c r="AE821">
        <v>0</v>
      </c>
      <c r="AF821">
        <v>3</v>
      </c>
      <c r="AG821">
        <v>2</v>
      </c>
      <c r="AH821">
        <v>0</v>
      </c>
      <c r="AI821" t="s">
        <v>686</v>
      </c>
      <c r="AJ821">
        <v>39.667554000000003</v>
      </c>
      <c r="AK821" t="s">
        <v>687</v>
      </c>
      <c r="AL821">
        <v>-92.513659000000004</v>
      </c>
      <c r="AM821">
        <v>100</v>
      </c>
      <c r="AN821">
        <v>1700</v>
      </c>
      <c r="AO821" t="s">
        <v>118</v>
      </c>
      <c r="AP821">
        <v>-33</v>
      </c>
      <c r="AQ821">
        <v>124</v>
      </c>
      <c r="AR821">
        <v>0</v>
      </c>
      <c r="AZ821">
        <v>1200</v>
      </c>
      <c r="BA821">
        <v>1</v>
      </c>
      <c r="BB821" t="str">
        <f t="shared" si="39"/>
        <v xml:space="preserve">N8080G  </v>
      </c>
      <c r="BC821">
        <v>1</v>
      </c>
      <c r="BE821">
        <v>0</v>
      </c>
      <c r="BF821">
        <v>0</v>
      </c>
      <c r="BG821">
        <v>0</v>
      </c>
      <c r="BH821">
        <v>1675</v>
      </c>
      <c r="BI821">
        <v>1</v>
      </c>
      <c r="BJ821">
        <v>1</v>
      </c>
      <c r="BK821">
        <v>1</v>
      </c>
      <c r="BL821">
        <v>0</v>
      </c>
      <c r="BO821">
        <v>0</v>
      </c>
      <c r="BP821">
        <v>0</v>
      </c>
      <c r="BW821" t="str">
        <f>"20:16:23.571"</f>
        <v>20:16:23.571</v>
      </c>
      <c r="BZ821">
        <v>0</v>
      </c>
      <c r="CA821">
        <v>2016</v>
      </c>
      <c r="CB821">
        <v>224</v>
      </c>
      <c r="CD821">
        <v>1</v>
      </c>
      <c r="CE821">
        <v>0</v>
      </c>
      <c r="CF821">
        <v>0</v>
      </c>
      <c r="CG821">
        <v>1</v>
      </c>
      <c r="CH821">
        <v>0</v>
      </c>
      <c r="CI821">
        <v>0</v>
      </c>
      <c r="CJ821">
        <v>0</v>
      </c>
      <c r="CK821">
        <v>2</v>
      </c>
      <c r="CL821">
        <v>0</v>
      </c>
      <c r="CM821">
        <v>2</v>
      </c>
      <c r="CN821">
        <v>0</v>
      </c>
      <c r="CO821">
        <v>7</v>
      </c>
      <c r="CP821" t="s">
        <v>119</v>
      </c>
      <c r="CQ821">
        <v>180</v>
      </c>
      <c r="CR821">
        <v>2</v>
      </c>
      <c r="CW821">
        <v>7985757</v>
      </c>
      <c r="CY821">
        <v>1</v>
      </c>
      <c r="CZ821">
        <v>0</v>
      </c>
      <c r="DA821">
        <v>1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</row>
    <row r="822" spans="1:113" x14ac:dyDescent="0.3">
      <c r="A822" t="str">
        <f>"02/08/2021 20:16:21.251"</f>
        <v>02/08/2021 20:16:21.251</v>
      </c>
      <c r="C822" t="str">
        <f t="shared" si="38"/>
        <v>FFDFD7C0</v>
      </c>
      <c r="D822" t="s">
        <v>113</v>
      </c>
      <c r="E822">
        <v>6</v>
      </c>
      <c r="H822">
        <v>165</v>
      </c>
      <c r="I822" t="s">
        <v>114</v>
      </c>
      <c r="J822" t="s">
        <v>115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>"20:16:23.570"</f>
        <v>20:16:23.570</v>
      </c>
      <c r="T822" t="str">
        <f>"20:16:23.070"</f>
        <v>20:16:23.070</v>
      </c>
      <c r="U822" t="str">
        <f t="shared" si="37"/>
        <v>AB01F4</v>
      </c>
      <c r="V822">
        <v>0</v>
      </c>
      <c r="W822">
        <v>0</v>
      </c>
      <c r="X822">
        <v>2</v>
      </c>
      <c r="Z822">
        <v>0</v>
      </c>
      <c r="AA822">
        <v>9</v>
      </c>
      <c r="AB822">
        <v>3</v>
      </c>
      <c r="AC822">
        <v>0</v>
      </c>
      <c r="AD822">
        <v>10</v>
      </c>
      <c r="AE822">
        <v>0</v>
      </c>
      <c r="AF822">
        <v>3</v>
      </c>
      <c r="AG822">
        <v>2</v>
      </c>
      <c r="AH822">
        <v>0</v>
      </c>
      <c r="AI822" t="s">
        <v>686</v>
      </c>
      <c r="AJ822">
        <v>39.667554000000003</v>
      </c>
      <c r="AK822" t="s">
        <v>687</v>
      </c>
      <c r="AL822">
        <v>-92.513659000000004</v>
      </c>
      <c r="AM822">
        <v>100</v>
      </c>
      <c r="AN822">
        <v>1700</v>
      </c>
      <c r="AO822" t="s">
        <v>118</v>
      </c>
      <c r="AP822">
        <v>-33</v>
      </c>
      <c r="AQ822">
        <v>124</v>
      </c>
      <c r="AR822">
        <v>0</v>
      </c>
      <c r="AZ822">
        <v>1200</v>
      </c>
      <c r="BA822">
        <v>1</v>
      </c>
      <c r="BB822" t="str">
        <f t="shared" si="39"/>
        <v xml:space="preserve">N8080G  </v>
      </c>
      <c r="BC822">
        <v>1</v>
      </c>
      <c r="BE822">
        <v>0</v>
      </c>
      <c r="BF822">
        <v>0</v>
      </c>
      <c r="BG822">
        <v>0</v>
      </c>
      <c r="BH822">
        <v>1675</v>
      </c>
      <c r="BI822">
        <v>1</v>
      </c>
      <c r="BJ822">
        <v>1</v>
      </c>
      <c r="BK822">
        <v>1</v>
      </c>
      <c r="BL822">
        <v>0</v>
      </c>
      <c r="BO822">
        <v>0</v>
      </c>
      <c r="BP822">
        <v>0</v>
      </c>
      <c r="BW822" t="str">
        <f>"20:16:23.571"</f>
        <v>20:16:23.571</v>
      </c>
      <c r="BZ822">
        <v>0</v>
      </c>
      <c r="CA822">
        <v>2016</v>
      </c>
      <c r="CB822">
        <v>224</v>
      </c>
      <c r="CD822">
        <v>1</v>
      </c>
      <c r="CE822">
        <v>0</v>
      </c>
      <c r="CF822">
        <v>0</v>
      </c>
      <c r="CG822">
        <v>1</v>
      </c>
      <c r="CH822">
        <v>0</v>
      </c>
      <c r="CI822">
        <v>0</v>
      </c>
      <c r="CJ822">
        <v>0</v>
      </c>
      <c r="CK822">
        <v>2</v>
      </c>
      <c r="CL822">
        <v>0</v>
      </c>
      <c r="CM822">
        <v>2</v>
      </c>
      <c r="CN822">
        <v>0</v>
      </c>
      <c r="CO822">
        <v>7</v>
      </c>
      <c r="CP822" t="s">
        <v>119</v>
      </c>
      <c r="CQ822">
        <v>180</v>
      </c>
      <c r="CR822">
        <v>2</v>
      </c>
      <c r="CW822">
        <v>7985757</v>
      </c>
      <c r="CY822">
        <v>1</v>
      </c>
      <c r="CZ822">
        <v>0</v>
      </c>
      <c r="DA822">
        <v>1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</row>
    <row r="823" spans="1:113" x14ac:dyDescent="0.3">
      <c r="A823" t="str">
        <f>"02/08/2021 20:16:22.198"</f>
        <v>02/08/2021 20:16:22.198</v>
      </c>
      <c r="C823" t="str">
        <f t="shared" si="38"/>
        <v>FFDFD7C0</v>
      </c>
      <c r="D823" t="s">
        <v>113</v>
      </c>
      <c r="E823">
        <v>6</v>
      </c>
      <c r="H823">
        <v>165</v>
      </c>
      <c r="I823" t="s">
        <v>114</v>
      </c>
      <c r="J823" t="s">
        <v>115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>"20:16:24.523"</f>
        <v>20:16:24.523</v>
      </c>
      <c r="T823" t="str">
        <f>"20:16:24.023"</f>
        <v>20:16:24.023</v>
      </c>
      <c r="U823" t="str">
        <f t="shared" si="37"/>
        <v>AB01F4</v>
      </c>
      <c r="V823">
        <v>0</v>
      </c>
      <c r="W823">
        <v>0</v>
      </c>
      <c r="X823">
        <v>2</v>
      </c>
      <c r="Z823">
        <v>0</v>
      </c>
      <c r="AA823">
        <v>9</v>
      </c>
      <c r="AB823">
        <v>3</v>
      </c>
      <c r="AC823">
        <v>0</v>
      </c>
      <c r="AD823">
        <v>10</v>
      </c>
      <c r="AE823">
        <v>0</v>
      </c>
      <c r="AF823">
        <v>3</v>
      </c>
      <c r="AG823">
        <v>2</v>
      </c>
      <c r="AH823">
        <v>0</v>
      </c>
      <c r="AI823" t="s">
        <v>688</v>
      </c>
      <c r="AJ823">
        <v>39.668112000000001</v>
      </c>
      <c r="AK823" t="s">
        <v>689</v>
      </c>
      <c r="AL823">
        <v>-92.513895000000005</v>
      </c>
      <c r="AM823">
        <v>100</v>
      </c>
      <c r="AN823">
        <v>1700</v>
      </c>
      <c r="AO823" t="s">
        <v>118</v>
      </c>
      <c r="AP823">
        <v>-33</v>
      </c>
      <c r="AQ823">
        <v>123</v>
      </c>
      <c r="AR823">
        <v>0</v>
      </c>
      <c r="AZ823">
        <v>1200</v>
      </c>
      <c r="BA823">
        <v>1</v>
      </c>
      <c r="BB823" t="str">
        <f t="shared" si="39"/>
        <v xml:space="preserve">N8080G  </v>
      </c>
      <c r="BC823">
        <v>1</v>
      </c>
      <c r="BE823">
        <v>0</v>
      </c>
      <c r="BF823">
        <v>0</v>
      </c>
      <c r="BG823">
        <v>0</v>
      </c>
      <c r="BH823">
        <v>1675</v>
      </c>
      <c r="BI823">
        <v>1</v>
      </c>
      <c r="BJ823">
        <v>1</v>
      </c>
      <c r="BK823">
        <v>1</v>
      </c>
      <c r="BL823">
        <v>0</v>
      </c>
      <c r="BO823">
        <v>0</v>
      </c>
      <c r="BP823">
        <v>0</v>
      </c>
      <c r="BW823" t="str">
        <f>"20:16:24.528"</f>
        <v>20:16:24.528</v>
      </c>
      <c r="BZ823">
        <v>0</v>
      </c>
      <c r="CA823">
        <v>2016</v>
      </c>
      <c r="CB823">
        <v>224</v>
      </c>
      <c r="CD823">
        <v>1</v>
      </c>
      <c r="CE823">
        <v>0</v>
      </c>
      <c r="CF823">
        <v>0</v>
      </c>
      <c r="CG823">
        <v>1</v>
      </c>
      <c r="CH823">
        <v>0</v>
      </c>
      <c r="CI823">
        <v>0</v>
      </c>
      <c r="CJ823">
        <v>0</v>
      </c>
      <c r="CK823">
        <v>2</v>
      </c>
      <c r="CL823">
        <v>0</v>
      </c>
      <c r="CM823">
        <v>2</v>
      </c>
      <c r="CN823">
        <v>0</v>
      </c>
      <c r="CO823">
        <v>7</v>
      </c>
      <c r="CP823" t="s">
        <v>119</v>
      </c>
      <c r="CQ823">
        <v>180</v>
      </c>
      <c r="CR823">
        <v>2</v>
      </c>
      <c r="CW823">
        <v>7986568</v>
      </c>
      <c r="CY823">
        <v>1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</row>
    <row r="824" spans="1:113" x14ac:dyDescent="0.3">
      <c r="A824" t="str">
        <f>"02/08/2021 20:16:22.198"</f>
        <v>02/08/2021 20:16:22.198</v>
      </c>
      <c r="C824" t="str">
        <f t="shared" si="38"/>
        <v>FFDFD7C0</v>
      </c>
      <c r="D824" t="s">
        <v>124</v>
      </c>
      <c r="E824">
        <v>13</v>
      </c>
      <c r="F824">
        <v>1013</v>
      </c>
      <c r="G824" t="s">
        <v>114</v>
      </c>
      <c r="J824" t="s">
        <v>125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>"20:16:24.523"</f>
        <v>20:16:24.523</v>
      </c>
      <c r="T824" t="str">
        <f>"20:16:24.023"</f>
        <v>20:16:24.023</v>
      </c>
      <c r="U824" t="str">
        <f t="shared" si="37"/>
        <v>AB01F4</v>
      </c>
      <c r="V824">
        <v>0</v>
      </c>
      <c r="W824">
        <v>0</v>
      </c>
      <c r="X824">
        <v>2</v>
      </c>
      <c r="Z824">
        <v>0</v>
      </c>
      <c r="AA824">
        <v>9</v>
      </c>
      <c r="AB824">
        <v>3</v>
      </c>
      <c r="AC824">
        <v>0</v>
      </c>
      <c r="AD824">
        <v>10</v>
      </c>
      <c r="AE824">
        <v>0</v>
      </c>
      <c r="AF824">
        <v>3</v>
      </c>
      <c r="AG824">
        <v>2</v>
      </c>
      <c r="AH824">
        <v>0</v>
      </c>
      <c r="AI824" t="s">
        <v>688</v>
      </c>
      <c r="AJ824">
        <v>39.668112000000001</v>
      </c>
      <c r="AK824" t="s">
        <v>689</v>
      </c>
      <c r="AL824">
        <v>-92.513895000000005</v>
      </c>
      <c r="AM824">
        <v>100</v>
      </c>
      <c r="AN824">
        <v>1700</v>
      </c>
      <c r="AO824" t="s">
        <v>118</v>
      </c>
      <c r="AP824">
        <v>-33</v>
      </c>
      <c r="AQ824">
        <v>123</v>
      </c>
      <c r="AR824">
        <v>0</v>
      </c>
      <c r="AZ824">
        <v>1200</v>
      </c>
      <c r="BA824">
        <v>1</v>
      </c>
      <c r="BB824" t="str">
        <f t="shared" si="39"/>
        <v xml:space="preserve">N8080G  </v>
      </c>
      <c r="BC824">
        <v>1</v>
      </c>
      <c r="BE824">
        <v>0</v>
      </c>
      <c r="BF824">
        <v>0</v>
      </c>
      <c r="BG824">
        <v>0</v>
      </c>
      <c r="BH824">
        <v>1675</v>
      </c>
      <c r="BI824">
        <v>1</v>
      </c>
      <c r="BJ824">
        <v>1</v>
      </c>
      <c r="BK824">
        <v>1</v>
      </c>
      <c r="BL824">
        <v>0</v>
      </c>
      <c r="BO824">
        <v>0</v>
      </c>
      <c r="BP824">
        <v>0</v>
      </c>
      <c r="BW824" t="str">
        <f>"20:16:24.528"</f>
        <v>20:16:24.528</v>
      </c>
      <c r="BZ824">
        <v>0</v>
      </c>
      <c r="CA824">
        <v>2016</v>
      </c>
      <c r="CB824">
        <v>224</v>
      </c>
      <c r="CD824">
        <v>1</v>
      </c>
      <c r="CE824">
        <v>0</v>
      </c>
      <c r="CF824">
        <v>0</v>
      </c>
      <c r="CG824">
        <v>1</v>
      </c>
      <c r="CH824">
        <v>0</v>
      </c>
      <c r="CI824">
        <v>0</v>
      </c>
      <c r="CJ824">
        <v>0</v>
      </c>
      <c r="CK824">
        <v>2</v>
      </c>
      <c r="CL824">
        <v>0</v>
      </c>
      <c r="CM824">
        <v>2</v>
      </c>
      <c r="CN824">
        <v>0</v>
      </c>
      <c r="CO824">
        <v>7</v>
      </c>
      <c r="CP824" t="s">
        <v>119</v>
      </c>
      <c r="CQ824">
        <v>180</v>
      </c>
      <c r="CR824">
        <v>2</v>
      </c>
      <c r="CW824">
        <v>7986568</v>
      </c>
      <c r="CY824">
        <v>1</v>
      </c>
      <c r="CZ824">
        <v>0</v>
      </c>
      <c r="DA824">
        <v>1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</row>
    <row r="825" spans="1:113" x14ac:dyDescent="0.3">
      <c r="A825" t="str">
        <f>"02/08/2021 20:16:22.198"</f>
        <v>02/08/2021 20:16:22.198</v>
      </c>
      <c r="C825" t="str">
        <f t="shared" si="38"/>
        <v>FFDFD7C0</v>
      </c>
      <c r="D825" t="s">
        <v>124</v>
      </c>
      <c r="E825">
        <v>12</v>
      </c>
      <c r="F825">
        <v>1012</v>
      </c>
      <c r="G825" t="s">
        <v>675</v>
      </c>
      <c r="J825" t="s">
        <v>125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>"20:16:24.523"</f>
        <v>20:16:24.523</v>
      </c>
      <c r="T825" t="str">
        <f>"20:16:24.023"</f>
        <v>20:16:24.023</v>
      </c>
      <c r="U825" t="str">
        <f t="shared" si="37"/>
        <v>AB01F4</v>
      </c>
      <c r="V825">
        <v>0</v>
      </c>
      <c r="W825">
        <v>0</v>
      </c>
      <c r="X825">
        <v>2</v>
      </c>
      <c r="Z825">
        <v>0</v>
      </c>
      <c r="AA825">
        <v>9</v>
      </c>
      <c r="AB825">
        <v>3</v>
      </c>
      <c r="AC825">
        <v>0</v>
      </c>
      <c r="AD825">
        <v>10</v>
      </c>
      <c r="AE825">
        <v>0</v>
      </c>
      <c r="AF825">
        <v>3</v>
      </c>
      <c r="AG825">
        <v>2</v>
      </c>
      <c r="AH825">
        <v>0</v>
      </c>
      <c r="AI825" t="s">
        <v>688</v>
      </c>
      <c r="AJ825">
        <v>39.668112000000001</v>
      </c>
      <c r="AK825" t="s">
        <v>689</v>
      </c>
      <c r="AL825">
        <v>-92.513895000000005</v>
      </c>
      <c r="AM825">
        <v>100</v>
      </c>
      <c r="AN825">
        <v>1700</v>
      </c>
      <c r="AO825" t="s">
        <v>118</v>
      </c>
      <c r="AP825">
        <v>-33</v>
      </c>
      <c r="AQ825">
        <v>123</v>
      </c>
      <c r="AR825">
        <v>0</v>
      </c>
      <c r="AZ825">
        <v>1200</v>
      </c>
      <c r="BA825">
        <v>1</v>
      </c>
      <c r="BB825" t="str">
        <f t="shared" si="39"/>
        <v xml:space="preserve">N8080G  </v>
      </c>
      <c r="BC825">
        <v>1</v>
      </c>
      <c r="BE825">
        <v>0</v>
      </c>
      <c r="BF825">
        <v>0</v>
      </c>
      <c r="BG825">
        <v>0</v>
      </c>
      <c r="BH825">
        <v>1675</v>
      </c>
      <c r="BI825">
        <v>1</v>
      </c>
      <c r="BJ825">
        <v>1</v>
      </c>
      <c r="BK825">
        <v>1</v>
      </c>
      <c r="BL825">
        <v>0</v>
      </c>
      <c r="BO825">
        <v>0</v>
      </c>
      <c r="BP825">
        <v>0</v>
      </c>
      <c r="BW825" t="str">
        <f>"20:16:24.528"</f>
        <v>20:16:24.528</v>
      </c>
      <c r="BZ825">
        <v>0</v>
      </c>
      <c r="CA825">
        <v>2016</v>
      </c>
      <c r="CB825">
        <v>224</v>
      </c>
      <c r="CD825">
        <v>1</v>
      </c>
      <c r="CE825">
        <v>0</v>
      </c>
      <c r="CF825">
        <v>0</v>
      </c>
      <c r="CG825">
        <v>1</v>
      </c>
      <c r="CH825">
        <v>0</v>
      </c>
      <c r="CI825">
        <v>0</v>
      </c>
      <c r="CJ825">
        <v>0</v>
      </c>
      <c r="CK825">
        <v>2</v>
      </c>
      <c r="CL825">
        <v>0</v>
      </c>
      <c r="CM825">
        <v>2</v>
      </c>
      <c r="CN825">
        <v>0</v>
      </c>
      <c r="CO825">
        <v>7</v>
      </c>
      <c r="CP825" t="s">
        <v>119</v>
      </c>
      <c r="CQ825">
        <v>180</v>
      </c>
      <c r="CR825">
        <v>2</v>
      </c>
      <c r="CW825">
        <v>7986568</v>
      </c>
      <c r="CY825">
        <v>1</v>
      </c>
      <c r="CZ825">
        <v>0</v>
      </c>
      <c r="DA825">
        <v>1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</row>
    <row r="826" spans="1:113" x14ac:dyDescent="0.3">
      <c r="A826" t="str">
        <f>"02/08/2021 20:16:22.198"</f>
        <v>02/08/2021 20:16:22.198</v>
      </c>
      <c r="C826" t="str">
        <f t="shared" si="38"/>
        <v>FFDFD7C0</v>
      </c>
      <c r="D826" t="s">
        <v>124</v>
      </c>
      <c r="E826">
        <v>11</v>
      </c>
      <c r="F826">
        <v>1011</v>
      </c>
      <c r="G826" t="s">
        <v>590</v>
      </c>
      <c r="J826" t="s">
        <v>125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>"20:16:24.523"</f>
        <v>20:16:24.523</v>
      </c>
      <c r="T826" t="str">
        <f>"20:16:24.023"</f>
        <v>20:16:24.023</v>
      </c>
      <c r="U826" t="str">
        <f t="shared" si="37"/>
        <v>AB01F4</v>
      </c>
      <c r="V826">
        <v>0</v>
      </c>
      <c r="W826">
        <v>0</v>
      </c>
      <c r="X826">
        <v>2</v>
      </c>
      <c r="Z826">
        <v>0</v>
      </c>
      <c r="AA826">
        <v>9</v>
      </c>
      <c r="AB826">
        <v>3</v>
      </c>
      <c r="AC826">
        <v>0</v>
      </c>
      <c r="AD826">
        <v>10</v>
      </c>
      <c r="AE826">
        <v>0</v>
      </c>
      <c r="AF826">
        <v>3</v>
      </c>
      <c r="AG826">
        <v>2</v>
      </c>
      <c r="AH826">
        <v>0</v>
      </c>
      <c r="AI826" t="s">
        <v>688</v>
      </c>
      <c r="AJ826">
        <v>39.668112000000001</v>
      </c>
      <c r="AK826" t="s">
        <v>689</v>
      </c>
      <c r="AL826">
        <v>-92.513895000000005</v>
      </c>
      <c r="AM826">
        <v>100</v>
      </c>
      <c r="AN826">
        <v>1700</v>
      </c>
      <c r="AO826" t="s">
        <v>118</v>
      </c>
      <c r="AP826">
        <v>-33</v>
      </c>
      <c r="AQ826">
        <v>123</v>
      </c>
      <c r="AR826">
        <v>0</v>
      </c>
      <c r="AZ826">
        <v>1200</v>
      </c>
      <c r="BA826">
        <v>1</v>
      </c>
      <c r="BB826" t="str">
        <f t="shared" si="39"/>
        <v xml:space="preserve">N8080G  </v>
      </c>
      <c r="BC826">
        <v>1</v>
      </c>
      <c r="BE826">
        <v>0</v>
      </c>
      <c r="BF826">
        <v>0</v>
      </c>
      <c r="BG826">
        <v>0</v>
      </c>
      <c r="BH826">
        <v>1675</v>
      </c>
      <c r="BI826">
        <v>1</v>
      </c>
      <c r="BJ826">
        <v>1</v>
      </c>
      <c r="BK826">
        <v>1</v>
      </c>
      <c r="BL826">
        <v>0</v>
      </c>
      <c r="BO826">
        <v>0</v>
      </c>
      <c r="BP826">
        <v>0</v>
      </c>
      <c r="BW826" t="str">
        <f>"20:16:24.528"</f>
        <v>20:16:24.528</v>
      </c>
      <c r="BZ826">
        <v>0</v>
      </c>
      <c r="CA826">
        <v>2016</v>
      </c>
      <c r="CB826">
        <v>224</v>
      </c>
      <c r="CD826">
        <v>1</v>
      </c>
      <c r="CE826">
        <v>0</v>
      </c>
      <c r="CF826">
        <v>0</v>
      </c>
      <c r="CG826">
        <v>1</v>
      </c>
      <c r="CH826">
        <v>0</v>
      </c>
      <c r="CI826">
        <v>0</v>
      </c>
      <c r="CJ826">
        <v>0</v>
      </c>
      <c r="CK826">
        <v>2</v>
      </c>
      <c r="CL826">
        <v>0</v>
      </c>
      <c r="CM826">
        <v>2</v>
      </c>
      <c r="CN826">
        <v>0</v>
      </c>
      <c r="CO826">
        <v>7</v>
      </c>
      <c r="CP826" t="s">
        <v>119</v>
      </c>
      <c r="CQ826">
        <v>180</v>
      </c>
      <c r="CR826">
        <v>2</v>
      </c>
      <c r="CW826">
        <v>7986568</v>
      </c>
      <c r="CY826">
        <v>1</v>
      </c>
      <c r="CZ826">
        <v>0</v>
      </c>
      <c r="DA826">
        <v>1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</row>
    <row r="827" spans="1:113" x14ac:dyDescent="0.3">
      <c r="A827" t="str">
        <f>"02/08/2021 20:16:23.595"</f>
        <v>02/08/2021 20:16:23.595</v>
      </c>
      <c r="C827" t="str">
        <f t="shared" si="38"/>
        <v>FFDFD7C0</v>
      </c>
      <c r="D827" t="s">
        <v>124</v>
      </c>
      <c r="E827">
        <v>11</v>
      </c>
      <c r="F827">
        <v>1011</v>
      </c>
      <c r="G827" t="s">
        <v>590</v>
      </c>
      <c r="J827" t="s">
        <v>125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>"20:16:25.891"</f>
        <v>20:16:25.891</v>
      </c>
      <c r="T827" t="str">
        <f>"20:16:25.491"</f>
        <v>20:16:25.491</v>
      </c>
      <c r="U827" t="str">
        <f t="shared" si="37"/>
        <v>AB01F4</v>
      </c>
      <c r="V827">
        <v>0</v>
      </c>
      <c r="W827">
        <v>0</v>
      </c>
      <c r="X827">
        <v>2</v>
      </c>
      <c r="Z827">
        <v>0</v>
      </c>
      <c r="AA827">
        <v>9</v>
      </c>
      <c r="AB827">
        <v>3</v>
      </c>
      <c r="AC827">
        <v>0</v>
      </c>
      <c r="AD827">
        <v>10</v>
      </c>
      <c r="AE827">
        <v>0</v>
      </c>
      <c r="AF827">
        <v>3</v>
      </c>
      <c r="AG827">
        <v>2</v>
      </c>
      <c r="AH827">
        <v>0</v>
      </c>
      <c r="AI827" t="s">
        <v>690</v>
      </c>
      <c r="AJ827">
        <v>39.668841</v>
      </c>
      <c r="AK827" t="s">
        <v>691</v>
      </c>
      <c r="AL827">
        <v>-92.514152999999993</v>
      </c>
      <c r="AM827">
        <v>100</v>
      </c>
      <c r="AN827">
        <v>1700</v>
      </c>
      <c r="AO827" t="s">
        <v>118</v>
      </c>
      <c r="AP827">
        <v>-33</v>
      </c>
      <c r="AQ827">
        <v>123</v>
      </c>
      <c r="AR827">
        <v>0</v>
      </c>
      <c r="AZ827">
        <v>1200</v>
      </c>
      <c r="BA827">
        <v>1</v>
      </c>
      <c r="BB827" t="str">
        <f t="shared" si="39"/>
        <v xml:space="preserve">N8080G  </v>
      </c>
      <c r="BC827">
        <v>1</v>
      </c>
      <c r="BE827">
        <v>0</v>
      </c>
      <c r="BF827">
        <v>0</v>
      </c>
      <c r="BG827">
        <v>0</v>
      </c>
      <c r="BH827">
        <v>1675</v>
      </c>
      <c r="BI827">
        <v>1</v>
      </c>
      <c r="BJ827">
        <v>1</v>
      </c>
      <c r="BK827">
        <v>1</v>
      </c>
      <c r="BL827">
        <v>0</v>
      </c>
      <c r="BO827">
        <v>0</v>
      </c>
      <c r="BP827">
        <v>0</v>
      </c>
      <c r="BW827" t="str">
        <f>"20:16:25.891"</f>
        <v>20:16:25.891</v>
      </c>
      <c r="BZ827">
        <v>0</v>
      </c>
      <c r="CA827">
        <v>2016</v>
      </c>
      <c r="CB827">
        <v>224</v>
      </c>
      <c r="CD827">
        <v>1</v>
      </c>
      <c r="CE827">
        <v>0</v>
      </c>
      <c r="CF827">
        <v>0</v>
      </c>
      <c r="CG827">
        <v>1</v>
      </c>
      <c r="CH827">
        <v>0</v>
      </c>
      <c r="CI827">
        <v>0</v>
      </c>
      <c r="CJ827">
        <v>0</v>
      </c>
      <c r="CK827">
        <v>2</v>
      </c>
      <c r="CL827">
        <v>0</v>
      </c>
      <c r="CM827">
        <v>2</v>
      </c>
      <c r="CN827">
        <v>0</v>
      </c>
      <c r="CO827">
        <v>7</v>
      </c>
      <c r="CP827" t="s">
        <v>119</v>
      </c>
      <c r="CQ827">
        <v>180</v>
      </c>
      <c r="CR827">
        <v>2</v>
      </c>
      <c r="CW827">
        <v>7987650</v>
      </c>
      <c r="CY827">
        <v>1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</row>
    <row r="828" spans="1:113" x14ac:dyDescent="0.3">
      <c r="A828" t="str">
        <f>"02/08/2021 20:16:23.595"</f>
        <v>02/08/2021 20:16:23.595</v>
      </c>
      <c r="C828" t="str">
        <f t="shared" si="38"/>
        <v>FFDFD7C0</v>
      </c>
      <c r="D828" t="s">
        <v>113</v>
      </c>
      <c r="E828">
        <v>6</v>
      </c>
      <c r="H828">
        <v>165</v>
      </c>
      <c r="I828" t="s">
        <v>114</v>
      </c>
      <c r="J828" t="s">
        <v>115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>"20:16:25.891"</f>
        <v>20:16:25.891</v>
      </c>
      <c r="T828" t="str">
        <f>"20:16:25.491"</f>
        <v>20:16:25.491</v>
      </c>
      <c r="U828" t="str">
        <f t="shared" si="37"/>
        <v>AB01F4</v>
      </c>
      <c r="V828">
        <v>0</v>
      </c>
      <c r="W828">
        <v>0</v>
      </c>
      <c r="X828">
        <v>2</v>
      </c>
      <c r="Z828">
        <v>0</v>
      </c>
      <c r="AA828">
        <v>9</v>
      </c>
      <c r="AB828">
        <v>3</v>
      </c>
      <c r="AC828">
        <v>0</v>
      </c>
      <c r="AD828">
        <v>10</v>
      </c>
      <c r="AE828">
        <v>0</v>
      </c>
      <c r="AF828">
        <v>3</v>
      </c>
      <c r="AG828">
        <v>2</v>
      </c>
      <c r="AH828">
        <v>0</v>
      </c>
      <c r="AI828" t="s">
        <v>690</v>
      </c>
      <c r="AJ828">
        <v>39.668841</v>
      </c>
      <c r="AK828" t="s">
        <v>691</v>
      </c>
      <c r="AL828">
        <v>-92.514152999999993</v>
      </c>
      <c r="AM828">
        <v>100</v>
      </c>
      <c r="AN828">
        <v>1700</v>
      </c>
      <c r="AO828" t="s">
        <v>118</v>
      </c>
      <c r="AP828">
        <v>-33</v>
      </c>
      <c r="AQ828">
        <v>123</v>
      </c>
      <c r="AR828">
        <v>0</v>
      </c>
      <c r="AZ828">
        <v>1200</v>
      </c>
      <c r="BA828">
        <v>1</v>
      </c>
      <c r="BB828" t="str">
        <f t="shared" si="39"/>
        <v xml:space="preserve">N8080G  </v>
      </c>
      <c r="BC828">
        <v>1</v>
      </c>
      <c r="BE828">
        <v>0</v>
      </c>
      <c r="BF828">
        <v>0</v>
      </c>
      <c r="BG828">
        <v>0</v>
      </c>
      <c r="BH828">
        <v>1675</v>
      </c>
      <c r="BI828">
        <v>1</v>
      </c>
      <c r="BJ828">
        <v>1</v>
      </c>
      <c r="BK828">
        <v>1</v>
      </c>
      <c r="BL828">
        <v>0</v>
      </c>
      <c r="BO828">
        <v>0</v>
      </c>
      <c r="BP828">
        <v>0</v>
      </c>
      <c r="BW828" t="str">
        <f>"20:16:25.891"</f>
        <v>20:16:25.891</v>
      </c>
      <c r="BZ828">
        <v>0</v>
      </c>
      <c r="CA828">
        <v>2016</v>
      </c>
      <c r="CB828">
        <v>224</v>
      </c>
      <c r="CD828">
        <v>1</v>
      </c>
      <c r="CE828">
        <v>0</v>
      </c>
      <c r="CF828">
        <v>0</v>
      </c>
      <c r="CG828">
        <v>1</v>
      </c>
      <c r="CH828">
        <v>0</v>
      </c>
      <c r="CI828">
        <v>0</v>
      </c>
      <c r="CJ828">
        <v>0</v>
      </c>
      <c r="CK828">
        <v>2</v>
      </c>
      <c r="CL828">
        <v>0</v>
      </c>
      <c r="CM828">
        <v>2</v>
      </c>
      <c r="CN828">
        <v>0</v>
      </c>
      <c r="CO828">
        <v>7</v>
      </c>
      <c r="CP828" t="s">
        <v>119</v>
      </c>
      <c r="CQ828">
        <v>180</v>
      </c>
      <c r="CR828">
        <v>2</v>
      </c>
      <c r="CW828">
        <v>7987650</v>
      </c>
      <c r="CY828">
        <v>1</v>
      </c>
      <c r="CZ828">
        <v>0</v>
      </c>
      <c r="DA828">
        <v>1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</row>
    <row r="829" spans="1:113" x14ac:dyDescent="0.3">
      <c r="A829" t="str">
        <f>"02/08/2021 20:16:23.595"</f>
        <v>02/08/2021 20:16:23.595</v>
      </c>
      <c r="C829" t="str">
        <f t="shared" si="38"/>
        <v>FFDFD7C0</v>
      </c>
      <c r="D829" t="s">
        <v>124</v>
      </c>
      <c r="E829">
        <v>13</v>
      </c>
      <c r="F829">
        <v>1013</v>
      </c>
      <c r="G829" t="s">
        <v>114</v>
      </c>
      <c r="J829" t="s">
        <v>125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>"20:16:25.891"</f>
        <v>20:16:25.891</v>
      </c>
      <c r="T829" t="str">
        <f>"20:16:25.491"</f>
        <v>20:16:25.491</v>
      </c>
      <c r="U829" t="str">
        <f t="shared" si="37"/>
        <v>AB01F4</v>
      </c>
      <c r="V829">
        <v>0</v>
      </c>
      <c r="W829">
        <v>0</v>
      </c>
      <c r="X829">
        <v>2</v>
      </c>
      <c r="Z829">
        <v>0</v>
      </c>
      <c r="AA829">
        <v>9</v>
      </c>
      <c r="AB829">
        <v>3</v>
      </c>
      <c r="AC829">
        <v>0</v>
      </c>
      <c r="AD829">
        <v>10</v>
      </c>
      <c r="AE829">
        <v>0</v>
      </c>
      <c r="AF829">
        <v>3</v>
      </c>
      <c r="AG829">
        <v>2</v>
      </c>
      <c r="AH829">
        <v>0</v>
      </c>
      <c r="AI829" t="s">
        <v>690</v>
      </c>
      <c r="AJ829">
        <v>39.668841</v>
      </c>
      <c r="AK829" t="s">
        <v>691</v>
      </c>
      <c r="AL829">
        <v>-92.514152999999993</v>
      </c>
      <c r="AM829">
        <v>100</v>
      </c>
      <c r="AN829">
        <v>1700</v>
      </c>
      <c r="AO829" t="s">
        <v>118</v>
      </c>
      <c r="AP829">
        <v>-33</v>
      </c>
      <c r="AQ829">
        <v>123</v>
      </c>
      <c r="AR829">
        <v>0</v>
      </c>
      <c r="AZ829">
        <v>1200</v>
      </c>
      <c r="BA829">
        <v>1</v>
      </c>
      <c r="BB829" t="str">
        <f t="shared" si="39"/>
        <v xml:space="preserve">N8080G  </v>
      </c>
      <c r="BC829">
        <v>1</v>
      </c>
      <c r="BE829">
        <v>0</v>
      </c>
      <c r="BF829">
        <v>0</v>
      </c>
      <c r="BG829">
        <v>0</v>
      </c>
      <c r="BH829">
        <v>1675</v>
      </c>
      <c r="BI829">
        <v>1</v>
      </c>
      <c r="BJ829">
        <v>1</v>
      </c>
      <c r="BK829">
        <v>1</v>
      </c>
      <c r="BL829">
        <v>0</v>
      </c>
      <c r="BO829">
        <v>0</v>
      </c>
      <c r="BP829">
        <v>0</v>
      </c>
      <c r="BW829" t="str">
        <f>"20:16:25.891"</f>
        <v>20:16:25.891</v>
      </c>
      <c r="BZ829">
        <v>0</v>
      </c>
      <c r="CA829">
        <v>2016</v>
      </c>
      <c r="CB829">
        <v>224</v>
      </c>
      <c r="CD829">
        <v>1</v>
      </c>
      <c r="CE829">
        <v>0</v>
      </c>
      <c r="CF829">
        <v>0</v>
      </c>
      <c r="CG829">
        <v>1</v>
      </c>
      <c r="CH829">
        <v>0</v>
      </c>
      <c r="CI829">
        <v>0</v>
      </c>
      <c r="CJ829">
        <v>0</v>
      </c>
      <c r="CK829">
        <v>2</v>
      </c>
      <c r="CL829">
        <v>0</v>
      </c>
      <c r="CM829">
        <v>2</v>
      </c>
      <c r="CN829">
        <v>0</v>
      </c>
      <c r="CO829">
        <v>7</v>
      </c>
      <c r="CP829" t="s">
        <v>119</v>
      </c>
      <c r="CQ829">
        <v>180</v>
      </c>
      <c r="CR829">
        <v>2</v>
      </c>
      <c r="CW829">
        <v>7987650</v>
      </c>
      <c r="CY829">
        <v>1</v>
      </c>
      <c r="CZ829">
        <v>0</v>
      </c>
      <c r="DA829">
        <v>1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</row>
    <row r="830" spans="1:113" x14ac:dyDescent="0.3">
      <c r="A830" t="str">
        <f>"02/08/2021 20:16:23.595"</f>
        <v>02/08/2021 20:16:23.595</v>
      </c>
      <c r="C830" t="str">
        <f t="shared" si="38"/>
        <v>FFDFD7C0</v>
      </c>
      <c r="D830" t="s">
        <v>124</v>
      </c>
      <c r="E830">
        <v>12</v>
      </c>
      <c r="F830">
        <v>1012</v>
      </c>
      <c r="G830" t="s">
        <v>675</v>
      </c>
      <c r="J830" t="s">
        <v>125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>"20:16:25.891"</f>
        <v>20:16:25.891</v>
      </c>
      <c r="T830" t="str">
        <f>"20:16:25.491"</f>
        <v>20:16:25.491</v>
      </c>
      <c r="U830" t="str">
        <f t="shared" si="37"/>
        <v>AB01F4</v>
      </c>
      <c r="V830">
        <v>0</v>
      </c>
      <c r="W830">
        <v>0</v>
      </c>
      <c r="X830">
        <v>2</v>
      </c>
      <c r="Z830">
        <v>0</v>
      </c>
      <c r="AA830">
        <v>9</v>
      </c>
      <c r="AB830">
        <v>3</v>
      </c>
      <c r="AC830">
        <v>0</v>
      </c>
      <c r="AD830">
        <v>10</v>
      </c>
      <c r="AE830">
        <v>0</v>
      </c>
      <c r="AF830">
        <v>3</v>
      </c>
      <c r="AG830">
        <v>2</v>
      </c>
      <c r="AH830">
        <v>0</v>
      </c>
      <c r="AI830" t="s">
        <v>690</v>
      </c>
      <c r="AJ830">
        <v>39.668841</v>
      </c>
      <c r="AK830" t="s">
        <v>691</v>
      </c>
      <c r="AL830">
        <v>-92.514152999999993</v>
      </c>
      <c r="AM830">
        <v>100</v>
      </c>
      <c r="AN830">
        <v>1700</v>
      </c>
      <c r="AO830" t="s">
        <v>118</v>
      </c>
      <c r="AP830">
        <v>-33</v>
      </c>
      <c r="AQ830">
        <v>123</v>
      </c>
      <c r="AR830">
        <v>0</v>
      </c>
      <c r="AZ830">
        <v>1200</v>
      </c>
      <c r="BA830">
        <v>1</v>
      </c>
      <c r="BB830" t="str">
        <f t="shared" si="39"/>
        <v xml:space="preserve">N8080G  </v>
      </c>
      <c r="BC830">
        <v>1</v>
      </c>
      <c r="BE830">
        <v>0</v>
      </c>
      <c r="BF830">
        <v>0</v>
      </c>
      <c r="BG830">
        <v>0</v>
      </c>
      <c r="BH830">
        <v>1675</v>
      </c>
      <c r="BI830">
        <v>1</v>
      </c>
      <c r="BJ830">
        <v>1</v>
      </c>
      <c r="BK830">
        <v>1</v>
      </c>
      <c r="BL830">
        <v>0</v>
      </c>
      <c r="BO830">
        <v>0</v>
      </c>
      <c r="BP830">
        <v>0</v>
      </c>
      <c r="BW830" t="str">
        <f>"20:16:25.891"</f>
        <v>20:16:25.891</v>
      </c>
      <c r="BZ830">
        <v>0</v>
      </c>
      <c r="CA830">
        <v>2016</v>
      </c>
      <c r="CB830">
        <v>224</v>
      </c>
      <c r="CD830">
        <v>1</v>
      </c>
      <c r="CE830">
        <v>0</v>
      </c>
      <c r="CF830">
        <v>0</v>
      </c>
      <c r="CG830">
        <v>1</v>
      </c>
      <c r="CH830">
        <v>0</v>
      </c>
      <c r="CI830">
        <v>0</v>
      </c>
      <c r="CJ830">
        <v>0</v>
      </c>
      <c r="CK830">
        <v>2</v>
      </c>
      <c r="CL830">
        <v>0</v>
      </c>
      <c r="CM830">
        <v>2</v>
      </c>
      <c r="CN830">
        <v>0</v>
      </c>
      <c r="CO830">
        <v>7</v>
      </c>
      <c r="CP830" t="s">
        <v>119</v>
      </c>
      <c r="CQ830">
        <v>180</v>
      </c>
      <c r="CR830">
        <v>2</v>
      </c>
      <c r="CW830">
        <v>7987650</v>
      </c>
      <c r="CY830">
        <v>1</v>
      </c>
      <c r="CZ830">
        <v>0</v>
      </c>
      <c r="DA830">
        <v>1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</row>
    <row r="831" spans="1:113" x14ac:dyDescent="0.3">
      <c r="A831" t="str">
        <f>"02/08/2021 20:16:27.627"</f>
        <v>02/08/2021 20:16:27.627</v>
      </c>
      <c r="C831" t="str">
        <f t="shared" si="38"/>
        <v>FFDFD7C0</v>
      </c>
      <c r="D831" t="s">
        <v>124</v>
      </c>
      <c r="E831">
        <v>11</v>
      </c>
      <c r="F831">
        <v>1011</v>
      </c>
      <c r="G831" t="s">
        <v>590</v>
      </c>
      <c r="J831" t="s">
        <v>125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>"20:16:29.969"</f>
        <v>20:16:29.969</v>
      </c>
      <c r="T831" t="str">
        <f>"20:16:29.469"</f>
        <v>20:16:29.469</v>
      </c>
      <c r="U831" t="str">
        <f t="shared" si="37"/>
        <v>AB01F4</v>
      </c>
      <c r="V831">
        <v>0</v>
      </c>
      <c r="W831">
        <v>0</v>
      </c>
      <c r="X831">
        <v>2</v>
      </c>
      <c r="Z831">
        <v>0</v>
      </c>
      <c r="AA831">
        <v>9</v>
      </c>
      <c r="AB831">
        <v>3</v>
      </c>
      <c r="AC831">
        <v>0</v>
      </c>
      <c r="AD831">
        <v>10</v>
      </c>
      <c r="AE831">
        <v>0</v>
      </c>
      <c r="AF831">
        <v>3</v>
      </c>
      <c r="AG831">
        <v>2</v>
      </c>
      <c r="AH831">
        <v>0</v>
      </c>
      <c r="AI831" t="s">
        <v>692</v>
      </c>
      <c r="AJ831">
        <v>39.67118</v>
      </c>
      <c r="AK831" t="s">
        <v>693</v>
      </c>
      <c r="AL831">
        <v>-92.514967999999996</v>
      </c>
      <c r="AM831">
        <v>100</v>
      </c>
      <c r="AN831">
        <v>1700</v>
      </c>
      <c r="AO831" t="s">
        <v>118</v>
      </c>
      <c r="AP831">
        <v>-33</v>
      </c>
      <c r="AQ831">
        <v>123</v>
      </c>
      <c r="AR831">
        <v>64</v>
      </c>
      <c r="AZ831">
        <v>1200</v>
      </c>
      <c r="BA831">
        <v>1</v>
      </c>
      <c r="BB831" t="str">
        <f t="shared" si="39"/>
        <v xml:space="preserve">N8080G  </v>
      </c>
      <c r="BC831">
        <v>1</v>
      </c>
      <c r="BE831">
        <v>0</v>
      </c>
      <c r="BF831">
        <v>0</v>
      </c>
      <c r="BG831">
        <v>0</v>
      </c>
      <c r="BH831">
        <v>1675</v>
      </c>
      <c r="BI831">
        <v>1</v>
      </c>
      <c r="BJ831">
        <v>1</v>
      </c>
      <c r="BK831">
        <v>1</v>
      </c>
      <c r="BL831">
        <v>0</v>
      </c>
      <c r="BO831">
        <v>0</v>
      </c>
      <c r="BP831">
        <v>0</v>
      </c>
      <c r="BW831" t="str">
        <f>"20:16:29.971"</f>
        <v>20:16:29.971</v>
      </c>
      <c r="BZ831">
        <v>0</v>
      </c>
      <c r="CA831">
        <v>2016</v>
      </c>
      <c r="CB831">
        <v>224</v>
      </c>
      <c r="CD831">
        <v>1</v>
      </c>
      <c r="CE831">
        <v>0</v>
      </c>
      <c r="CF831">
        <v>0</v>
      </c>
      <c r="CG831">
        <v>1</v>
      </c>
      <c r="CH831">
        <v>0</v>
      </c>
      <c r="CI831">
        <v>0</v>
      </c>
      <c r="CJ831">
        <v>0</v>
      </c>
      <c r="CK831">
        <v>2</v>
      </c>
      <c r="CL831">
        <v>0</v>
      </c>
      <c r="CM831">
        <v>2</v>
      </c>
      <c r="CN831">
        <v>0</v>
      </c>
      <c r="CO831">
        <v>7</v>
      </c>
      <c r="CP831" t="s">
        <v>119</v>
      </c>
      <c r="CQ831">
        <v>180</v>
      </c>
      <c r="CR831">
        <v>2</v>
      </c>
      <c r="CW831">
        <v>7991019</v>
      </c>
      <c r="CY831">
        <v>1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</row>
    <row r="832" spans="1:113" x14ac:dyDescent="0.3">
      <c r="A832" t="str">
        <f>"02/08/2021 20:16:27.627"</f>
        <v>02/08/2021 20:16:27.627</v>
      </c>
      <c r="C832" t="str">
        <f t="shared" si="38"/>
        <v>FFDFD7C0</v>
      </c>
      <c r="D832" t="s">
        <v>124</v>
      </c>
      <c r="E832">
        <v>13</v>
      </c>
      <c r="F832">
        <v>1013</v>
      </c>
      <c r="G832" t="s">
        <v>114</v>
      </c>
      <c r="J832" t="s">
        <v>125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>"20:16:29.969"</f>
        <v>20:16:29.969</v>
      </c>
      <c r="T832" t="str">
        <f>"20:16:29.469"</f>
        <v>20:16:29.469</v>
      </c>
      <c r="U832" t="str">
        <f t="shared" si="37"/>
        <v>AB01F4</v>
      </c>
      <c r="V832">
        <v>0</v>
      </c>
      <c r="W832">
        <v>0</v>
      </c>
      <c r="X832">
        <v>2</v>
      </c>
      <c r="Z832">
        <v>0</v>
      </c>
      <c r="AA832">
        <v>9</v>
      </c>
      <c r="AB832">
        <v>3</v>
      </c>
      <c r="AC832">
        <v>0</v>
      </c>
      <c r="AD832">
        <v>10</v>
      </c>
      <c r="AE832">
        <v>0</v>
      </c>
      <c r="AF832">
        <v>3</v>
      </c>
      <c r="AG832">
        <v>2</v>
      </c>
      <c r="AH832">
        <v>0</v>
      </c>
      <c r="AI832" t="s">
        <v>692</v>
      </c>
      <c r="AJ832">
        <v>39.67118</v>
      </c>
      <c r="AK832" t="s">
        <v>693</v>
      </c>
      <c r="AL832">
        <v>-92.514967999999996</v>
      </c>
      <c r="AM832">
        <v>100</v>
      </c>
      <c r="AN832">
        <v>1700</v>
      </c>
      <c r="AO832" t="s">
        <v>118</v>
      </c>
      <c r="AP832">
        <v>-33</v>
      </c>
      <c r="AQ832">
        <v>123</v>
      </c>
      <c r="AR832">
        <v>64</v>
      </c>
      <c r="AZ832">
        <v>1200</v>
      </c>
      <c r="BA832">
        <v>1</v>
      </c>
      <c r="BB832" t="str">
        <f t="shared" si="39"/>
        <v xml:space="preserve">N8080G  </v>
      </c>
      <c r="BC832">
        <v>1</v>
      </c>
      <c r="BE832">
        <v>0</v>
      </c>
      <c r="BF832">
        <v>0</v>
      </c>
      <c r="BG832">
        <v>0</v>
      </c>
      <c r="BH832">
        <v>1675</v>
      </c>
      <c r="BI832">
        <v>1</v>
      </c>
      <c r="BJ832">
        <v>1</v>
      </c>
      <c r="BK832">
        <v>1</v>
      </c>
      <c r="BL832">
        <v>0</v>
      </c>
      <c r="BO832">
        <v>0</v>
      </c>
      <c r="BP832">
        <v>0</v>
      </c>
      <c r="BW832" t="str">
        <f>"20:16:29.971"</f>
        <v>20:16:29.971</v>
      </c>
      <c r="BZ832">
        <v>0</v>
      </c>
      <c r="CA832">
        <v>2016</v>
      </c>
      <c r="CB832">
        <v>224</v>
      </c>
      <c r="CD832">
        <v>1</v>
      </c>
      <c r="CE832">
        <v>0</v>
      </c>
      <c r="CF832">
        <v>0</v>
      </c>
      <c r="CG832">
        <v>1</v>
      </c>
      <c r="CH832">
        <v>0</v>
      </c>
      <c r="CI832">
        <v>0</v>
      </c>
      <c r="CJ832">
        <v>0</v>
      </c>
      <c r="CK832">
        <v>2</v>
      </c>
      <c r="CL832">
        <v>0</v>
      </c>
      <c r="CM832">
        <v>2</v>
      </c>
      <c r="CN832">
        <v>0</v>
      </c>
      <c r="CO832">
        <v>7</v>
      </c>
      <c r="CP832" t="s">
        <v>119</v>
      </c>
      <c r="CQ832">
        <v>180</v>
      </c>
      <c r="CR832">
        <v>2</v>
      </c>
      <c r="CW832">
        <v>7991019</v>
      </c>
      <c r="CY832">
        <v>1</v>
      </c>
      <c r="CZ832">
        <v>0</v>
      </c>
      <c r="DA832">
        <v>1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</row>
    <row r="833" spans="1:113" x14ac:dyDescent="0.3">
      <c r="A833" t="str">
        <f>"02/08/2021 20:16:27.627"</f>
        <v>02/08/2021 20:16:27.627</v>
      </c>
      <c r="C833" t="str">
        <f t="shared" si="38"/>
        <v>FFDFD7C0</v>
      </c>
      <c r="D833" t="s">
        <v>124</v>
      </c>
      <c r="E833">
        <v>12</v>
      </c>
      <c r="F833">
        <v>1012</v>
      </c>
      <c r="G833" t="s">
        <v>675</v>
      </c>
      <c r="J833" t="s">
        <v>125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>"20:16:29.969"</f>
        <v>20:16:29.969</v>
      </c>
      <c r="T833" t="str">
        <f>"20:16:29.469"</f>
        <v>20:16:29.469</v>
      </c>
      <c r="U833" t="str">
        <f t="shared" si="37"/>
        <v>AB01F4</v>
      </c>
      <c r="V833">
        <v>0</v>
      </c>
      <c r="W833">
        <v>0</v>
      </c>
      <c r="X833">
        <v>2</v>
      </c>
      <c r="Z833">
        <v>0</v>
      </c>
      <c r="AA833">
        <v>9</v>
      </c>
      <c r="AB833">
        <v>3</v>
      </c>
      <c r="AC833">
        <v>0</v>
      </c>
      <c r="AD833">
        <v>10</v>
      </c>
      <c r="AE833">
        <v>0</v>
      </c>
      <c r="AF833">
        <v>3</v>
      </c>
      <c r="AG833">
        <v>2</v>
      </c>
      <c r="AH833">
        <v>0</v>
      </c>
      <c r="AI833" t="s">
        <v>692</v>
      </c>
      <c r="AJ833">
        <v>39.67118</v>
      </c>
      <c r="AK833" t="s">
        <v>693</v>
      </c>
      <c r="AL833">
        <v>-92.514967999999996</v>
      </c>
      <c r="AM833">
        <v>100</v>
      </c>
      <c r="AN833">
        <v>1700</v>
      </c>
      <c r="AO833" t="s">
        <v>118</v>
      </c>
      <c r="AP833">
        <v>-33</v>
      </c>
      <c r="AQ833">
        <v>123</v>
      </c>
      <c r="AR833">
        <v>64</v>
      </c>
      <c r="AZ833">
        <v>1200</v>
      </c>
      <c r="BA833">
        <v>1</v>
      </c>
      <c r="BB833" t="str">
        <f t="shared" si="39"/>
        <v xml:space="preserve">N8080G  </v>
      </c>
      <c r="BC833">
        <v>1</v>
      </c>
      <c r="BE833">
        <v>0</v>
      </c>
      <c r="BF833">
        <v>0</v>
      </c>
      <c r="BG833">
        <v>0</v>
      </c>
      <c r="BH833">
        <v>1675</v>
      </c>
      <c r="BI833">
        <v>1</v>
      </c>
      <c r="BJ833">
        <v>1</v>
      </c>
      <c r="BK833">
        <v>1</v>
      </c>
      <c r="BL833">
        <v>0</v>
      </c>
      <c r="BO833">
        <v>0</v>
      </c>
      <c r="BP833">
        <v>0</v>
      </c>
      <c r="BW833" t="str">
        <f>"20:16:29.971"</f>
        <v>20:16:29.971</v>
      </c>
      <c r="BZ833">
        <v>0</v>
      </c>
      <c r="CA833">
        <v>2016</v>
      </c>
      <c r="CB833">
        <v>224</v>
      </c>
      <c r="CD833">
        <v>1</v>
      </c>
      <c r="CE833">
        <v>0</v>
      </c>
      <c r="CF833">
        <v>0</v>
      </c>
      <c r="CG833">
        <v>1</v>
      </c>
      <c r="CH833">
        <v>0</v>
      </c>
      <c r="CI833">
        <v>0</v>
      </c>
      <c r="CJ833">
        <v>0</v>
      </c>
      <c r="CK833">
        <v>2</v>
      </c>
      <c r="CL833">
        <v>0</v>
      </c>
      <c r="CM833">
        <v>2</v>
      </c>
      <c r="CN833">
        <v>0</v>
      </c>
      <c r="CO833">
        <v>7</v>
      </c>
      <c r="CP833" t="s">
        <v>119</v>
      </c>
      <c r="CQ833">
        <v>180</v>
      </c>
      <c r="CR833">
        <v>2</v>
      </c>
      <c r="CW833">
        <v>7991019</v>
      </c>
      <c r="CY833">
        <v>1</v>
      </c>
      <c r="CZ833">
        <v>0</v>
      </c>
      <c r="DA833">
        <v>1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</row>
    <row r="834" spans="1:113" x14ac:dyDescent="0.3">
      <c r="A834" t="str">
        <f>"02/08/2021 20:16:27.627"</f>
        <v>02/08/2021 20:16:27.627</v>
      </c>
      <c r="C834" t="str">
        <f t="shared" si="38"/>
        <v>FFDFD7C0</v>
      </c>
      <c r="D834" t="s">
        <v>113</v>
      </c>
      <c r="E834">
        <v>6</v>
      </c>
      <c r="H834">
        <v>165</v>
      </c>
      <c r="I834" t="s">
        <v>114</v>
      </c>
      <c r="J834" t="s">
        <v>115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>"20:16:29.969"</f>
        <v>20:16:29.969</v>
      </c>
      <c r="T834" t="str">
        <f>"20:16:29.469"</f>
        <v>20:16:29.469</v>
      </c>
      <c r="U834" t="str">
        <f t="shared" ref="U834:U897" si="40">"AB01F4"</f>
        <v>AB01F4</v>
      </c>
      <c r="V834">
        <v>0</v>
      </c>
      <c r="W834">
        <v>0</v>
      </c>
      <c r="X834">
        <v>2</v>
      </c>
      <c r="Z834">
        <v>0</v>
      </c>
      <c r="AA834">
        <v>9</v>
      </c>
      <c r="AB834">
        <v>3</v>
      </c>
      <c r="AC834">
        <v>0</v>
      </c>
      <c r="AD834">
        <v>10</v>
      </c>
      <c r="AE834">
        <v>0</v>
      </c>
      <c r="AF834">
        <v>3</v>
      </c>
      <c r="AG834">
        <v>2</v>
      </c>
      <c r="AH834">
        <v>0</v>
      </c>
      <c r="AI834" t="s">
        <v>692</v>
      </c>
      <c r="AJ834">
        <v>39.67118</v>
      </c>
      <c r="AK834" t="s">
        <v>693</v>
      </c>
      <c r="AL834">
        <v>-92.514967999999996</v>
      </c>
      <c r="AM834">
        <v>100</v>
      </c>
      <c r="AN834">
        <v>1700</v>
      </c>
      <c r="AO834" t="s">
        <v>118</v>
      </c>
      <c r="AP834">
        <v>-33</v>
      </c>
      <c r="AQ834">
        <v>123</v>
      </c>
      <c r="AR834">
        <v>64</v>
      </c>
      <c r="AZ834">
        <v>1200</v>
      </c>
      <c r="BA834">
        <v>1</v>
      </c>
      <c r="BB834" t="str">
        <f t="shared" si="39"/>
        <v xml:space="preserve">N8080G  </v>
      </c>
      <c r="BC834">
        <v>1</v>
      </c>
      <c r="BE834">
        <v>0</v>
      </c>
      <c r="BF834">
        <v>0</v>
      </c>
      <c r="BG834">
        <v>0</v>
      </c>
      <c r="BH834">
        <v>1675</v>
      </c>
      <c r="BI834">
        <v>1</v>
      </c>
      <c r="BJ834">
        <v>1</v>
      </c>
      <c r="BK834">
        <v>1</v>
      </c>
      <c r="BL834">
        <v>0</v>
      </c>
      <c r="BO834">
        <v>0</v>
      </c>
      <c r="BP834">
        <v>0</v>
      </c>
      <c r="BW834" t="str">
        <f>"20:16:29.971"</f>
        <v>20:16:29.971</v>
      </c>
      <c r="BZ834">
        <v>0</v>
      </c>
      <c r="CA834">
        <v>2016</v>
      </c>
      <c r="CB834">
        <v>224</v>
      </c>
      <c r="CD834">
        <v>1</v>
      </c>
      <c r="CE834">
        <v>0</v>
      </c>
      <c r="CF834">
        <v>0</v>
      </c>
      <c r="CG834">
        <v>1</v>
      </c>
      <c r="CH834">
        <v>0</v>
      </c>
      <c r="CI834">
        <v>0</v>
      </c>
      <c r="CJ834">
        <v>0</v>
      </c>
      <c r="CK834">
        <v>2</v>
      </c>
      <c r="CL834">
        <v>0</v>
      </c>
      <c r="CM834">
        <v>2</v>
      </c>
      <c r="CN834">
        <v>0</v>
      </c>
      <c r="CO834">
        <v>7</v>
      </c>
      <c r="CP834" t="s">
        <v>119</v>
      </c>
      <c r="CQ834">
        <v>180</v>
      </c>
      <c r="CR834">
        <v>2</v>
      </c>
      <c r="CW834">
        <v>7991019</v>
      </c>
      <c r="CY834">
        <v>1</v>
      </c>
      <c r="CZ834">
        <v>0</v>
      </c>
      <c r="DA834">
        <v>1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</row>
    <row r="835" spans="1:113" x14ac:dyDescent="0.3">
      <c r="A835" t="str">
        <f>"02/08/2021 20:16:28.651"</f>
        <v>02/08/2021 20:16:28.651</v>
      </c>
      <c r="C835" t="str">
        <f t="shared" si="38"/>
        <v>FFDFD7C0</v>
      </c>
      <c r="D835" t="s">
        <v>124</v>
      </c>
      <c r="E835">
        <v>12</v>
      </c>
      <c r="F835">
        <v>1012</v>
      </c>
      <c r="G835" t="s">
        <v>675</v>
      </c>
      <c r="J835" t="s">
        <v>125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>"20:16:30.984"</f>
        <v>20:16:30.984</v>
      </c>
      <c r="T835" t="str">
        <f>"20:16:30.484"</f>
        <v>20:16:30.484</v>
      </c>
      <c r="U835" t="str">
        <f t="shared" si="40"/>
        <v>AB01F4</v>
      </c>
      <c r="V835">
        <v>0</v>
      </c>
      <c r="W835">
        <v>0</v>
      </c>
      <c r="X835">
        <v>2</v>
      </c>
      <c r="Z835">
        <v>0</v>
      </c>
      <c r="AA835">
        <v>9</v>
      </c>
      <c r="AB835">
        <v>3</v>
      </c>
      <c r="AC835">
        <v>0</v>
      </c>
      <c r="AD835">
        <v>10</v>
      </c>
      <c r="AE835">
        <v>0</v>
      </c>
      <c r="AF835">
        <v>3</v>
      </c>
      <c r="AG835">
        <v>2</v>
      </c>
      <c r="AH835">
        <v>0</v>
      </c>
      <c r="AI835" t="s">
        <v>694</v>
      </c>
      <c r="AJ835">
        <v>39.671759999999999</v>
      </c>
      <c r="AK835" t="s">
        <v>695</v>
      </c>
      <c r="AL835">
        <v>-92.515161000000006</v>
      </c>
      <c r="AM835">
        <v>100</v>
      </c>
      <c r="AN835">
        <v>1700</v>
      </c>
      <c r="AO835" t="s">
        <v>118</v>
      </c>
      <c r="AP835">
        <v>-33</v>
      </c>
      <c r="AQ835">
        <v>123</v>
      </c>
      <c r="AR835">
        <v>64</v>
      </c>
      <c r="AZ835">
        <v>1200</v>
      </c>
      <c r="BA835">
        <v>1</v>
      </c>
      <c r="BB835" t="str">
        <f t="shared" si="39"/>
        <v xml:space="preserve">N8080G  </v>
      </c>
      <c r="BC835">
        <v>1</v>
      </c>
      <c r="BE835">
        <v>0</v>
      </c>
      <c r="BF835">
        <v>0</v>
      </c>
      <c r="BG835">
        <v>0</v>
      </c>
      <c r="BH835">
        <v>1675</v>
      </c>
      <c r="BI835">
        <v>1</v>
      </c>
      <c r="BJ835">
        <v>1</v>
      </c>
      <c r="BK835">
        <v>1</v>
      </c>
      <c r="BL835">
        <v>0</v>
      </c>
      <c r="BO835">
        <v>0</v>
      </c>
      <c r="BP835">
        <v>0</v>
      </c>
      <c r="BW835" t="str">
        <f>"20:16:30.990"</f>
        <v>20:16:30.990</v>
      </c>
      <c r="BZ835">
        <v>0</v>
      </c>
      <c r="CA835">
        <v>2016</v>
      </c>
      <c r="CB835">
        <v>224</v>
      </c>
      <c r="CD835">
        <v>1</v>
      </c>
      <c r="CE835">
        <v>0</v>
      </c>
      <c r="CF835">
        <v>0</v>
      </c>
      <c r="CG835">
        <v>1</v>
      </c>
      <c r="CH835">
        <v>0</v>
      </c>
      <c r="CI835">
        <v>0</v>
      </c>
      <c r="CJ835">
        <v>0</v>
      </c>
      <c r="CK835">
        <v>2</v>
      </c>
      <c r="CL835">
        <v>0</v>
      </c>
      <c r="CM835">
        <v>2</v>
      </c>
      <c r="CN835">
        <v>0</v>
      </c>
      <c r="CO835">
        <v>7</v>
      </c>
      <c r="CP835" t="s">
        <v>119</v>
      </c>
      <c r="CQ835">
        <v>180</v>
      </c>
      <c r="CR835">
        <v>2</v>
      </c>
      <c r="CW835">
        <v>7991814</v>
      </c>
      <c r="CY835">
        <v>1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</row>
    <row r="836" spans="1:113" x14ac:dyDescent="0.3">
      <c r="A836" t="str">
        <f>"02/08/2021 20:16:28.651"</f>
        <v>02/08/2021 20:16:28.651</v>
      </c>
      <c r="C836" t="str">
        <f t="shared" si="38"/>
        <v>FFDFD7C0</v>
      </c>
      <c r="D836" t="s">
        <v>113</v>
      </c>
      <c r="E836">
        <v>6</v>
      </c>
      <c r="H836">
        <v>165</v>
      </c>
      <c r="I836" t="s">
        <v>114</v>
      </c>
      <c r="J836" t="s">
        <v>115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>"20:16:30.984"</f>
        <v>20:16:30.984</v>
      </c>
      <c r="T836" t="str">
        <f>"20:16:30.484"</f>
        <v>20:16:30.484</v>
      </c>
      <c r="U836" t="str">
        <f t="shared" si="40"/>
        <v>AB01F4</v>
      </c>
      <c r="V836">
        <v>0</v>
      </c>
      <c r="W836">
        <v>0</v>
      </c>
      <c r="X836">
        <v>2</v>
      </c>
      <c r="Z836">
        <v>0</v>
      </c>
      <c r="AA836">
        <v>9</v>
      </c>
      <c r="AB836">
        <v>3</v>
      </c>
      <c r="AC836">
        <v>0</v>
      </c>
      <c r="AD836">
        <v>10</v>
      </c>
      <c r="AE836">
        <v>0</v>
      </c>
      <c r="AF836">
        <v>3</v>
      </c>
      <c r="AG836">
        <v>2</v>
      </c>
      <c r="AH836">
        <v>0</v>
      </c>
      <c r="AI836" t="s">
        <v>694</v>
      </c>
      <c r="AJ836">
        <v>39.671759999999999</v>
      </c>
      <c r="AK836" t="s">
        <v>695</v>
      </c>
      <c r="AL836">
        <v>-92.515161000000006</v>
      </c>
      <c r="AM836">
        <v>100</v>
      </c>
      <c r="AN836">
        <v>1700</v>
      </c>
      <c r="AO836" t="s">
        <v>118</v>
      </c>
      <c r="AP836">
        <v>-33</v>
      </c>
      <c r="AQ836">
        <v>123</v>
      </c>
      <c r="AR836">
        <v>64</v>
      </c>
      <c r="AZ836">
        <v>1200</v>
      </c>
      <c r="BA836">
        <v>1</v>
      </c>
      <c r="BB836" t="str">
        <f t="shared" si="39"/>
        <v xml:space="preserve">N8080G  </v>
      </c>
      <c r="BC836">
        <v>1</v>
      </c>
      <c r="BE836">
        <v>0</v>
      </c>
      <c r="BF836">
        <v>0</v>
      </c>
      <c r="BG836">
        <v>0</v>
      </c>
      <c r="BH836">
        <v>1675</v>
      </c>
      <c r="BI836">
        <v>1</v>
      </c>
      <c r="BJ836">
        <v>1</v>
      </c>
      <c r="BK836">
        <v>1</v>
      </c>
      <c r="BL836">
        <v>0</v>
      </c>
      <c r="BO836">
        <v>0</v>
      </c>
      <c r="BP836">
        <v>0</v>
      </c>
      <c r="BW836" t="str">
        <f>"20:16:30.990"</f>
        <v>20:16:30.990</v>
      </c>
      <c r="BZ836">
        <v>0</v>
      </c>
      <c r="CA836">
        <v>2016</v>
      </c>
      <c r="CB836">
        <v>224</v>
      </c>
      <c r="CD836">
        <v>1</v>
      </c>
      <c r="CE836">
        <v>0</v>
      </c>
      <c r="CF836">
        <v>0</v>
      </c>
      <c r="CG836">
        <v>1</v>
      </c>
      <c r="CH836">
        <v>0</v>
      </c>
      <c r="CI836">
        <v>0</v>
      </c>
      <c r="CJ836">
        <v>0</v>
      </c>
      <c r="CK836">
        <v>2</v>
      </c>
      <c r="CL836">
        <v>0</v>
      </c>
      <c r="CM836">
        <v>2</v>
      </c>
      <c r="CN836">
        <v>0</v>
      </c>
      <c r="CO836">
        <v>7</v>
      </c>
      <c r="CP836" t="s">
        <v>119</v>
      </c>
      <c r="CQ836">
        <v>180</v>
      </c>
      <c r="CR836">
        <v>2</v>
      </c>
      <c r="CW836">
        <v>7991814</v>
      </c>
      <c r="CY836">
        <v>1</v>
      </c>
      <c r="CZ836">
        <v>0</v>
      </c>
      <c r="DA836">
        <v>1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</row>
    <row r="837" spans="1:113" x14ac:dyDescent="0.3">
      <c r="A837" t="str">
        <f>"02/08/2021 20:16:28.651"</f>
        <v>02/08/2021 20:16:28.651</v>
      </c>
      <c r="C837" t="str">
        <f t="shared" si="38"/>
        <v>FFDFD7C0</v>
      </c>
      <c r="D837" t="s">
        <v>124</v>
      </c>
      <c r="E837">
        <v>11</v>
      </c>
      <c r="F837">
        <v>1011</v>
      </c>
      <c r="G837" t="s">
        <v>590</v>
      </c>
      <c r="J837" t="s">
        <v>125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>"20:16:30.984"</f>
        <v>20:16:30.984</v>
      </c>
      <c r="T837" t="str">
        <f>"20:16:30.484"</f>
        <v>20:16:30.484</v>
      </c>
      <c r="U837" t="str">
        <f t="shared" si="40"/>
        <v>AB01F4</v>
      </c>
      <c r="V837">
        <v>0</v>
      </c>
      <c r="W837">
        <v>0</v>
      </c>
      <c r="X837">
        <v>2</v>
      </c>
      <c r="Z837">
        <v>0</v>
      </c>
      <c r="AA837">
        <v>9</v>
      </c>
      <c r="AB837">
        <v>3</v>
      </c>
      <c r="AC837">
        <v>0</v>
      </c>
      <c r="AD837">
        <v>10</v>
      </c>
      <c r="AE837">
        <v>0</v>
      </c>
      <c r="AF837">
        <v>3</v>
      </c>
      <c r="AG837">
        <v>2</v>
      </c>
      <c r="AH837">
        <v>0</v>
      </c>
      <c r="AI837" t="s">
        <v>694</v>
      </c>
      <c r="AJ837">
        <v>39.671759999999999</v>
      </c>
      <c r="AK837" t="s">
        <v>695</v>
      </c>
      <c r="AL837">
        <v>-92.515161000000006</v>
      </c>
      <c r="AM837">
        <v>100</v>
      </c>
      <c r="AN837">
        <v>1700</v>
      </c>
      <c r="AO837" t="s">
        <v>118</v>
      </c>
      <c r="AP837">
        <v>-33</v>
      </c>
      <c r="AQ837">
        <v>123</v>
      </c>
      <c r="AR837">
        <v>64</v>
      </c>
      <c r="AZ837">
        <v>1200</v>
      </c>
      <c r="BA837">
        <v>1</v>
      </c>
      <c r="BB837" t="str">
        <f t="shared" si="39"/>
        <v xml:space="preserve">N8080G  </v>
      </c>
      <c r="BC837">
        <v>1</v>
      </c>
      <c r="BE837">
        <v>0</v>
      </c>
      <c r="BF837">
        <v>0</v>
      </c>
      <c r="BG837">
        <v>0</v>
      </c>
      <c r="BH837">
        <v>1675</v>
      </c>
      <c r="BI837">
        <v>1</v>
      </c>
      <c r="BJ837">
        <v>1</v>
      </c>
      <c r="BK837">
        <v>1</v>
      </c>
      <c r="BL837">
        <v>0</v>
      </c>
      <c r="BO837">
        <v>0</v>
      </c>
      <c r="BP837">
        <v>0</v>
      </c>
      <c r="BW837" t="str">
        <f>"20:16:30.990"</f>
        <v>20:16:30.990</v>
      </c>
      <c r="BZ837">
        <v>0</v>
      </c>
      <c r="CA837">
        <v>2016</v>
      </c>
      <c r="CB837">
        <v>224</v>
      </c>
      <c r="CD837">
        <v>1</v>
      </c>
      <c r="CE837">
        <v>0</v>
      </c>
      <c r="CF837">
        <v>0</v>
      </c>
      <c r="CG837">
        <v>1</v>
      </c>
      <c r="CH837">
        <v>0</v>
      </c>
      <c r="CI837">
        <v>0</v>
      </c>
      <c r="CJ837">
        <v>0</v>
      </c>
      <c r="CK837">
        <v>2</v>
      </c>
      <c r="CL837">
        <v>0</v>
      </c>
      <c r="CM837">
        <v>2</v>
      </c>
      <c r="CN837">
        <v>0</v>
      </c>
      <c r="CO837">
        <v>7</v>
      </c>
      <c r="CP837" t="s">
        <v>119</v>
      </c>
      <c r="CQ837">
        <v>180</v>
      </c>
      <c r="CR837">
        <v>2</v>
      </c>
      <c r="CW837">
        <v>7991814</v>
      </c>
      <c r="CY837">
        <v>1</v>
      </c>
      <c r="CZ837">
        <v>0</v>
      </c>
      <c r="DA837">
        <v>1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</row>
    <row r="838" spans="1:113" x14ac:dyDescent="0.3">
      <c r="A838" t="str">
        <f>"02/08/2021 20:16:28.651"</f>
        <v>02/08/2021 20:16:28.651</v>
      </c>
      <c r="C838" t="str">
        <f t="shared" si="38"/>
        <v>FFDFD7C0</v>
      </c>
      <c r="D838" t="s">
        <v>124</v>
      </c>
      <c r="E838">
        <v>13</v>
      </c>
      <c r="F838">
        <v>1013</v>
      </c>
      <c r="G838" t="s">
        <v>114</v>
      </c>
      <c r="J838" t="s">
        <v>125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>"20:16:30.984"</f>
        <v>20:16:30.984</v>
      </c>
      <c r="T838" t="str">
        <f>"20:16:30.484"</f>
        <v>20:16:30.484</v>
      </c>
      <c r="U838" t="str">
        <f t="shared" si="40"/>
        <v>AB01F4</v>
      </c>
      <c r="V838">
        <v>0</v>
      </c>
      <c r="W838">
        <v>0</v>
      </c>
      <c r="X838">
        <v>2</v>
      </c>
      <c r="Z838">
        <v>0</v>
      </c>
      <c r="AA838">
        <v>9</v>
      </c>
      <c r="AB838">
        <v>3</v>
      </c>
      <c r="AC838">
        <v>0</v>
      </c>
      <c r="AD838">
        <v>10</v>
      </c>
      <c r="AE838">
        <v>0</v>
      </c>
      <c r="AF838">
        <v>3</v>
      </c>
      <c r="AG838">
        <v>2</v>
      </c>
      <c r="AH838">
        <v>0</v>
      </c>
      <c r="AI838" t="s">
        <v>694</v>
      </c>
      <c r="AJ838">
        <v>39.671759999999999</v>
      </c>
      <c r="AK838" t="s">
        <v>695</v>
      </c>
      <c r="AL838">
        <v>-92.515161000000006</v>
      </c>
      <c r="AM838">
        <v>100</v>
      </c>
      <c r="AN838">
        <v>1700</v>
      </c>
      <c r="AO838" t="s">
        <v>118</v>
      </c>
      <c r="AP838">
        <v>-33</v>
      </c>
      <c r="AQ838">
        <v>123</v>
      </c>
      <c r="AR838">
        <v>64</v>
      </c>
      <c r="AZ838">
        <v>1200</v>
      </c>
      <c r="BA838">
        <v>1</v>
      </c>
      <c r="BB838" t="str">
        <f t="shared" si="39"/>
        <v xml:space="preserve">N8080G  </v>
      </c>
      <c r="BC838">
        <v>1</v>
      </c>
      <c r="BE838">
        <v>0</v>
      </c>
      <c r="BF838">
        <v>0</v>
      </c>
      <c r="BG838">
        <v>0</v>
      </c>
      <c r="BH838">
        <v>1675</v>
      </c>
      <c r="BI838">
        <v>1</v>
      </c>
      <c r="BJ838">
        <v>1</v>
      </c>
      <c r="BK838">
        <v>1</v>
      </c>
      <c r="BL838">
        <v>0</v>
      </c>
      <c r="BO838">
        <v>0</v>
      </c>
      <c r="BP838">
        <v>0</v>
      </c>
      <c r="BW838" t="str">
        <f>"20:16:30.990"</f>
        <v>20:16:30.990</v>
      </c>
      <c r="BZ838">
        <v>0</v>
      </c>
      <c r="CA838">
        <v>2016</v>
      </c>
      <c r="CB838">
        <v>224</v>
      </c>
      <c r="CD838">
        <v>1</v>
      </c>
      <c r="CE838">
        <v>0</v>
      </c>
      <c r="CF838">
        <v>0</v>
      </c>
      <c r="CG838">
        <v>1</v>
      </c>
      <c r="CH838">
        <v>0</v>
      </c>
      <c r="CI838">
        <v>0</v>
      </c>
      <c r="CJ838">
        <v>0</v>
      </c>
      <c r="CK838">
        <v>2</v>
      </c>
      <c r="CL838">
        <v>0</v>
      </c>
      <c r="CM838">
        <v>2</v>
      </c>
      <c r="CN838">
        <v>0</v>
      </c>
      <c r="CO838">
        <v>7</v>
      </c>
      <c r="CP838" t="s">
        <v>119</v>
      </c>
      <c r="CQ838">
        <v>180</v>
      </c>
      <c r="CR838">
        <v>2</v>
      </c>
      <c r="CW838">
        <v>7991814</v>
      </c>
      <c r="CY838">
        <v>1</v>
      </c>
      <c r="CZ838">
        <v>0</v>
      </c>
      <c r="DA838">
        <v>1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</row>
    <row r="839" spans="1:113" x14ac:dyDescent="0.3">
      <c r="A839" t="str">
        <f>"02/08/2021 20:16:29.679"</f>
        <v>02/08/2021 20:16:29.679</v>
      </c>
      <c r="C839" t="str">
        <f t="shared" si="38"/>
        <v>FFDFD7C0</v>
      </c>
      <c r="D839" t="s">
        <v>113</v>
      </c>
      <c r="E839">
        <v>6</v>
      </c>
      <c r="H839">
        <v>165</v>
      </c>
      <c r="I839" t="s">
        <v>114</v>
      </c>
      <c r="J839" t="s">
        <v>115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>"20:16:31.984"</f>
        <v>20:16:31.984</v>
      </c>
      <c r="T839" t="str">
        <f>"20:16:31.584"</f>
        <v>20:16:31.584</v>
      </c>
      <c r="U839" t="str">
        <f t="shared" si="40"/>
        <v>AB01F4</v>
      </c>
      <c r="V839">
        <v>0</v>
      </c>
      <c r="W839">
        <v>0</v>
      </c>
      <c r="X839">
        <v>2</v>
      </c>
      <c r="Z839">
        <v>0</v>
      </c>
      <c r="AA839">
        <v>9</v>
      </c>
      <c r="AB839">
        <v>3</v>
      </c>
      <c r="AC839">
        <v>0</v>
      </c>
      <c r="AD839">
        <v>10</v>
      </c>
      <c r="AE839">
        <v>0</v>
      </c>
      <c r="AF839">
        <v>3</v>
      </c>
      <c r="AG839">
        <v>2</v>
      </c>
      <c r="AH839">
        <v>0</v>
      </c>
      <c r="AI839" t="s">
        <v>696</v>
      </c>
      <c r="AJ839">
        <v>39.672317999999997</v>
      </c>
      <c r="AK839" t="s">
        <v>697</v>
      </c>
      <c r="AL839">
        <v>-92.515332999999998</v>
      </c>
      <c r="AM839">
        <v>100</v>
      </c>
      <c r="AN839">
        <v>1700</v>
      </c>
      <c r="AO839" t="s">
        <v>118</v>
      </c>
      <c r="AP839">
        <v>-33</v>
      </c>
      <c r="AQ839">
        <v>123</v>
      </c>
      <c r="AR839">
        <v>0</v>
      </c>
      <c r="AZ839">
        <v>1200</v>
      </c>
      <c r="BA839">
        <v>1</v>
      </c>
      <c r="BB839" t="str">
        <f t="shared" si="39"/>
        <v xml:space="preserve">N8080G  </v>
      </c>
      <c r="BC839">
        <v>1</v>
      </c>
      <c r="BE839">
        <v>0</v>
      </c>
      <c r="BF839">
        <v>0</v>
      </c>
      <c r="BG839">
        <v>0</v>
      </c>
      <c r="BH839">
        <v>1675</v>
      </c>
      <c r="BI839">
        <v>1</v>
      </c>
      <c r="BJ839">
        <v>1</v>
      </c>
      <c r="BK839">
        <v>1</v>
      </c>
      <c r="BL839">
        <v>0</v>
      </c>
      <c r="BO839">
        <v>0</v>
      </c>
      <c r="BP839">
        <v>0</v>
      </c>
      <c r="BW839" t="str">
        <f>"20:16:31.989"</f>
        <v>20:16:31.989</v>
      </c>
      <c r="BZ839">
        <v>0</v>
      </c>
      <c r="CA839">
        <v>2016</v>
      </c>
      <c r="CB839">
        <v>224</v>
      </c>
      <c r="CD839">
        <v>1</v>
      </c>
      <c r="CE839">
        <v>0</v>
      </c>
      <c r="CF839">
        <v>0</v>
      </c>
      <c r="CG839">
        <v>1</v>
      </c>
      <c r="CH839">
        <v>0</v>
      </c>
      <c r="CI839">
        <v>0</v>
      </c>
      <c r="CJ839">
        <v>0</v>
      </c>
      <c r="CK839">
        <v>2</v>
      </c>
      <c r="CL839">
        <v>0</v>
      </c>
      <c r="CM839">
        <v>2</v>
      </c>
      <c r="CN839">
        <v>0</v>
      </c>
      <c r="CO839">
        <v>7</v>
      </c>
      <c r="CP839" t="s">
        <v>119</v>
      </c>
      <c r="CQ839">
        <v>180</v>
      </c>
      <c r="CR839">
        <v>2</v>
      </c>
      <c r="CW839">
        <v>7992653</v>
      </c>
      <c r="CY839">
        <v>1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</row>
    <row r="840" spans="1:113" x14ac:dyDescent="0.3">
      <c r="A840" t="str">
        <f>"02/08/2021 20:16:29.679"</f>
        <v>02/08/2021 20:16:29.679</v>
      </c>
      <c r="C840" t="str">
        <f t="shared" si="38"/>
        <v>FFDFD7C0</v>
      </c>
      <c r="D840" t="s">
        <v>124</v>
      </c>
      <c r="E840">
        <v>11</v>
      </c>
      <c r="F840">
        <v>1011</v>
      </c>
      <c r="G840" t="s">
        <v>590</v>
      </c>
      <c r="J840" t="s">
        <v>125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>"20:16:31.984"</f>
        <v>20:16:31.984</v>
      </c>
      <c r="T840" t="str">
        <f>"20:16:31.584"</f>
        <v>20:16:31.584</v>
      </c>
      <c r="U840" t="str">
        <f t="shared" si="40"/>
        <v>AB01F4</v>
      </c>
      <c r="V840">
        <v>0</v>
      </c>
      <c r="W840">
        <v>0</v>
      </c>
      <c r="X840">
        <v>2</v>
      </c>
      <c r="Z840">
        <v>0</v>
      </c>
      <c r="AA840">
        <v>9</v>
      </c>
      <c r="AB840">
        <v>3</v>
      </c>
      <c r="AC840">
        <v>0</v>
      </c>
      <c r="AD840">
        <v>10</v>
      </c>
      <c r="AE840">
        <v>0</v>
      </c>
      <c r="AF840">
        <v>3</v>
      </c>
      <c r="AG840">
        <v>2</v>
      </c>
      <c r="AH840">
        <v>0</v>
      </c>
      <c r="AI840" t="s">
        <v>696</v>
      </c>
      <c r="AJ840">
        <v>39.672317999999997</v>
      </c>
      <c r="AK840" t="s">
        <v>697</v>
      </c>
      <c r="AL840">
        <v>-92.515332999999998</v>
      </c>
      <c r="AM840">
        <v>100</v>
      </c>
      <c r="AN840">
        <v>1700</v>
      </c>
      <c r="AO840" t="s">
        <v>118</v>
      </c>
      <c r="AP840">
        <v>-33</v>
      </c>
      <c r="AQ840">
        <v>123</v>
      </c>
      <c r="AR840">
        <v>0</v>
      </c>
      <c r="AZ840">
        <v>1200</v>
      </c>
      <c r="BA840">
        <v>1</v>
      </c>
      <c r="BB840" t="str">
        <f t="shared" si="39"/>
        <v xml:space="preserve">N8080G  </v>
      </c>
      <c r="BC840">
        <v>1</v>
      </c>
      <c r="BE840">
        <v>0</v>
      </c>
      <c r="BF840">
        <v>0</v>
      </c>
      <c r="BG840">
        <v>0</v>
      </c>
      <c r="BH840">
        <v>1675</v>
      </c>
      <c r="BI840">
        <v>1</v>
      </c>
      <c r="BJ840">
        <v>1</v>
      </c>
      <c r="BK840">
        <v>1</v>
      </c>
      <c r="BL840">
        <v>0</v>
      </c>
      <c r="BO840">
        <v>0</v>
      </c>
      <c r="BP840">
        <v>0</v>
      </c>
      <c r="BW840" t="str">
        <f>"20:16:31.989"</f>
        <v>20:16:31.989</v>
      </c>
      <c r="BZ840">
        <v>0</v>
      </c>
      <c r="CA840">
        <v>2016</v>
      </c>
      <c r="CB840">
        <v>224</v>
      </c>
      <c r="CD840">
        <v>1</v>
      </c>
      <c r="CE840">
        <v>0</v>
      </c>
      <c r="CF840">
        <v>0</v>
      </c>
      <c r="CG840">
        <v>1</v>
      </c>
      <c r="CH840">
        <v>0</v>
      </c>
      <c r="CI840">
        <v>0</v>
      </c>
      <c r="CJ840">
        <v>0</v>
      </c>
      <c r="CK840">
        <v>2</v>
      </c>
      <c r="CL840">
        <v>0</v>
      </c>
      <c r="CM840">
        <v>2</v>
      </c>
      <c r="CN840">
        <v>0</v>
      </c>
      <c r="CO840">
        <v>7</v>
      </c>
      <c r="CP840" t="s">
        <v>119</v>
      </c>
      <c r="CQ840">
        <v>180</v>
      </c>
      <c r="CR840">
        <v>2</v>
      </c>
      <c r="CW840">
        <v>7992653</v>
      </c>
      <c r="CY840">
        <v>1</v>
      </c>
      <c r="CZ840">
        <v>0</v>
      </c>
      <c r="DA840">
        <v>1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</row>
    <row r="841" spans="1:113" x14ac:dyDescent="0.3">
      <c r="A841" t="str">
        <f>"02/08/2021 20:16:29.679"</f>
        <v>02/08/2021 20:16:29.679</v>
      </c>
      <c r="C841" t="str">
        <f t="shared" ref="C841:C904" si="41">"FFDFD7C0"</f>
        <v>FFDFD7C0</v>
      </c>
      <c r="D841" t="s">
        <v>124</v>
      </c>
      <c r="E841">
        <v>13</v>
      </c>
      <c r="F841">
        <v>1013</v>
      </c>
      <c r="G841" t="s">
        <v>114</v>
      </c>
      <c r="J841" t="s">
        <v>125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>"20:16:31.984"</f>
        <v>20:16:31.984</v>
      </c>
      <c r="T841" t="str">
        <f>"20:16:31.584"</f>
        <v>20:16:31.584</v>
      </c>
      <c r="U841" t="str">
        <f t="shared" si="40"/>
        <v>AB01F4</v>
      </c>
      <c r="V841">
        <v>0</v>
      </c>
      <c r="W841">
        <v>0</v>
      </c>
      <c r="X841">
        <v>2</v>
      </c>
      <c r="Z841">
        <v>0</v>
      </c>
      <c r="AA841">
        <v>9</v>
      </c>
      <c r="AB841">
        <v>3</v>
      </c>
      <c r="AC841">
        <v>0</v>
      </c>
      <c r="AD841">
        <v>10</v>
      </c>
      <c r="AE841">
        <v>0</v>
      </c>
      <c r="AF841">
        <v>3</v>
      </c>
      <c r="AG841">
        <v>2</v>
      </c>
      <c r="AH841">
        <v>0</v>
      </c>
      <c r="AI841" t="s">
        <v>696</v>
      </c>
      <c r="AJ841">
        <v>39.672317999999997</v>
      </c>
      <c r="AK841" t="s">
        <v>697</v>
      </c>
      <c r="AL841">
        <v>-92.515332999999998</v>
      </c>
      <c r="AM841">
        <v>100</v>
      </c>
      <c r="AN841">
        <v>1700</v>
      </c>
      <c r="AO841" t="s">
        <v>118</v>
      </c>
      <c r="AP841">
        <v>-33</v>
      </c>
      <c r="AQ841">
        <v>123</v>
      </c>
      <c r="AR841">
        <v>0</v>
      </c>
      <c r="AZ841">
        <v>1200</v>
      </c>
      <c r="BA841">
        <v>1</v>
      </c>
      <c r="BB841" t="str">
        <f t="shared" si="39"/>
        <v xml:space="preserve">N8080G  </v>
      </c>
      <c r="BC841">
        <v>1</v>
      </c>
      <c r="BE841">
        <v>0</v>
      </c>
      <c r="BF841">
        <v>0</v>
      </c>
      <c r="BG841">
        <v>0</v>
      </c>
      <c r="BH841">
        <v>1675</v>
      </c>
      <c r="BI841">
        <v>1</v>
      </c>
      <c r="BJ841">
        <v>1</v>
      </c>
      <c r="BK841">
        <v>1</v>
      </c>
      <c r="BL841">
        <v>0</v>
      </c>
      <c r="BO841">
        <v>0</v>
      </c>
      <c r="BP841">
        <v>0</v>
      </c>
      <c r="BW841" t="str">
        <f>"20:16:31.989"</f>
        <v>20:16:31.989</v>
      </c>
      <c r="BZ841">
        <v>0</v>
      </c>
      <c r="CA841">
        <v>2016</v>
      </c>
      <c r="CB841">
        <v>224</v>
      </c>
      <c r="CD841">
        <v>1</v>
      </c>
      <c r="CE841">
        <v>0</v>
      </c>
      <c r="CF841">
        <v>0</v>
      </c>
      <c r="CG841">
        <v>1</v>
      </c>
      <c r="CH841">
        <v>0</v>
      </c>
      <c r="CI841">
        <v>0</v>
      </c>
      <c r="CJ841">
        <v>0</v>
      </c>
      <c r="CK841">
        <v>2</v>
      </c>
      <c r="CL841">
        <v>0</v>
      </c>
      <c r="CM841">
        <v>2</v>
      </c>
      <c r="CN841">
        <v>0</v>
      </c>
      <c r="CO841">
        <v>7</v>
      </c>
      <c r="CP841" t="s">
        <v>119</v>
      </c>
      <c r="CQ841">
        <v>180</v>
      </c>
      <c r="CR841">
        <v>2</v>
      </c>
      <c r="CW841">
        <v>7992653</v>
      </c>
      <c r="CY841">
        <v>1</v>
      </c>
      <c r="CZ841">
        <v>0</v>
      </c>
      <c r="DA841">
        <v>1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</row>
    <row r="842" spans="1:113" x14ac:dyDescent="0.3">
      <c r="A842" t="str">
        <f>"02/08/2021 20:16:29.679"</f>
        <v>02/08/2021 20:16:29.679</v>
      </c>
      <c r="C842" t="str">
        <f t="shared" si="41"/>
        <v>FFDFD7C0</v>
      </c>
      <c r="D842" t="s">
        <v>124</v>
      </c>
      <c r="E842">
        <v>12</v>
      </c>
      <c r="F842">
        <v>1012</v>
      </c>
      <c r="G842" t="s">
        <v>675</v>
      </c>
      <c r="J842" t="s">
        <v>125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>"20:16:31.984"</f>
        <v>20:16:31.984</v>
      </c>
      <c r="T842" t="str">
        <f>"20:16:31.584"</f>
        <v>20:16:31.584</v>
      </c>
      <c r="U842" t="str">
        <f t="shared" si="40"/>
        <v>AB01F4</v>
      </c>
      <c r="V842">
        <v>0</v>
      </c>
      <c r="W842">
        <v>0</v>
      </c>
      <c r="X842">
        <v>2</v>
      </c>
      <c r="Z842">
        <v>0</v>
      </c>
      <c r="AA842">
        <v>9</v>
      </c>
      <c r="AB842">
        <v>3</v>
      </c>
      <c r="AC842">
        <v>0</v>
      </c>
      <c r="AD842">
        <v>10</v>
      </c>
      <c r="AE842">
        <v>0</v>
      </c>
      <c r="AF842">
        <v>3</v>
      </c>
      <c r="AG842">
        <v>2</v>
      </c>
      <c r="AH842">
        <v>0</v>
      </c>
      <c r="AI842" t="s">
        <v>696</v>
      </c>
      <c r="AJ842">
        <v>39.672317999999997</v>
      </c>
      <c r="AK842" t="s">
        <v>697</v>
      </c>
      <c r="AL842">
        <v>-92.515332999999998</v>
      </c>
      <c r="AM842">
        <v>100</v>
      </c>
      <c r="AN842">
        <v>1700</v>
      </c>
      <c r="AO842" t="s">
        <v>118</v>
      </c>
      <c r="AP842">
        <v>-33</v>
      </c>
      <c r="AQ842">
        <v>123</v>
      </c>
      <c r="AR842">
        <v>0</v>
      </c>
      <c r="AZ842">
        <v>1200</v>
      </c>
      <c r="BA842">
        <v>1</v>
      </c>
      <c r="BB842" t="str">
        <f t="shared" si="39"/>
        <v xml:space="preserve">N8080G  </v>
      </c>
      <c r="BC842">
        <v>1</v>
      </c>
      <c r="BE842">
        <v>0</v>
      </c>
      <c r="BF842">
        <v>0</v>
      </c>
      <c r="BG842">
        <v>0</v>
      </c>
      <c r="BH842">
        <v>1675</v>
      </c>
      <c r="BI842">
        <v>1</v>
      </c>
      <c r="BJ842">
        <v>1</v>
      </c>
      <c r="BK842">
        <v>1</v>
      </c>
      <c r="BL842">
        <v>0</v>
      </c>
      <c r="BO842">
        <v>0</v>
      </c>
      <c r="BP842">
        <v>0</v>
      </c>
      <c r="BW842" t="str">
        <f>"20:16:31.989"</f>
        <v>20:16:31.989</v>
      </c>
      <c r="BZ842">
        <v>0</v>
      </c>
      <c r="CA842">
        <v>2016</v>
      </c>
      <c r="CB842">
        <v>224</v>
      </c>
      <c r="CD842">
        <v>1</v>
      </c>
      <c r="CE842">
        <v>0</v>
      </c>
      <c r="CF842">
        <v>0</v>
      </c>
      <c r="CG842">
        <v>1</v>
      </c>
      <c r="CH842">
        <v>0</v>
      </c>
      <c r="CI842">
        <v>0</v>
      </c>
      <c r="CJ842">
        <v>0</v>
      </c>
      <c r="CK842">
        <v>2</v>
      </c>
      <c r="CL842">
        <v>0</v>
      </c>
      <c r="CM842">
        <v>2</v>
      </c>
      <c r="CN842">
        <v>0</v>
      </c>
      <c r="CO842">
        <v>7</v>
      </c>
      <c r="CP842" t="s">
        <v>119</v>
      </c>
      <c r="CQ842">
        <v>180</v>
      </c>
      <c r="CR842">
        <v>2</v>
      </c>
      <c r="CW842">
        <v>7992653</v>
      </c>
      <c r="CY842">
        <v>1</v>
      </c>
      <c r="CZ842">
        <v>0</v>
      </c>
      <c r="DA842">
        <v>1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</row>
    <row r="843" spans="1:113" x14ac:dyDescent="0.3">
      <c r="A843" t="str">
        <f>"02/08/2021 20:16:30.638"</f>
        <v>02/08/2021 20:16:30.638</v>
      </c>
      <c r="C843" t="str">
        <f t="shared" si="41"/>
        <v>FFDFD7C0</v>
      </c>
      <c r="D843" t="s">
        <v>113</v>
      </c>
      <c r="E843">
        <v>6</v>
      </c>
      <c r="H843">
        <v>165</v>
      </c>
      <c r="I843" t="s">
        <v>114</v>
      </c>
      <c r="J843" t="s">
        <v>115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>"20:16:32.922"</f>
        <v>20:16:32.922</v>
      </c>
      <c r="T843" t="str">
        <f>"20:16:32.422"</f>
        <v>20:16:32.422</v>
      </c>
      <c r="U843" t="str">
        <f t="shared" si="40"/>
        <v>AB01F4</v>
      </c>
      <c r="V843">
        <v>0</v>
      </c>
      <c r="W843">
        <v>0</v>
      </c>
      <c r="X843">
        <v>2</v>
      </c>
      <c r="Z843">
        <v>0</v>
      </c>
      <c r="AA843">
        <v>9</v>
      </c>
      <c r="AB843">
        <v>3</v>
      </c>
      <c r="AC843">
        <v>0</v>
      </c>
      <c r="AD843">
        <v>10</v>
      </c>
      <c r="AE843">
        <v>0</v>
      </c>
      <c r="AF843">
        <v>3</v>
      </c>
      <c r="AG843">
        <v>2</v>
      </c>
      <c r="AH843">
        <v>0</v>
      </c>
      <c r="AI843" t="s">
        <v>698</v>
      </c>
      <c r="AJ843">
        <v>39.672918000000003</v>
      </c>
      <c r="AK843" t="s">
        <v>699</v>
      </c>
      <c r="AL843">
        <v>-92.515568999999999</v>
      </c>
      <c r="AM843">
        <v>100</v>
      </c>
      <c r="AN843">
        <v>1700</v>
      </c>
      <c r="AO843" t="s">
        <v>118</v>
      </c>
      <c r="AP843">
        <v>-33</v>
      </c>
      <c r="AQ843">
        <v>123</v>
      </c>
      <c r="AR843">
        <v>0</v>
      </c>
      <c r="AZ843">
        <v>1200</v>
      </c>
      <c r="BA843">
        <v>1</v>
      </c>
      <c r="BB843" t="str">
        <f t="shared" si="39"/>
        <v xml:space="preserve">N8080G  </v>
      </c>
      <c r="BC843">
        <v>1</v>
      </c>
      <c r="BE843">
        <v>0</v>
      </c>
      <c r="BF843">
        <v>0</v>
      </c>
      <c r="BG843">
        <v>0</v>
      </c>
      <c r="BH843">
        <v>1675</v>
      </c>
      <c r="BI843">
        <v>1</v>
      </c>
      <c r="BJ843">
        <v>1</v>
      </c>
      <c r="BK843">
        <v>1</v>
      </c>
      <c r="BL843">
        <v>0</v>
      </c>
      <c r="BO843">
        <v>0</v>
      </c>
      <c r="BP843">
        <v>0</v>
      </c>
      <c r="BW843" t="str">
        <f>"20:16:32.928"</f>
        <v>20:16:32.928</v>
      </c>
      <c r="BZ843">
        <v>0</v>
      </c>
      <c r="CA843">
        <v>2016</v>
      </c>
      <c r="CB843">
        <v>224</v>
      </c>
      <c r="CD843">
        <v>1</v>
      </c>
      <c r="CE843">
        <v>0</v>
      </c>
      <c r="CF843">
        <v>0</v>
      </c>
      <c r="CG843">
        <v>1</v>
      </c>
      <c r="CH843">
        <v>0</v>
      </c>
      <c r="CI843">
        <v>0</v>
      </c>
      <c r="CJ843">
        <v>0</v>
      </c>
      <c r="CK843">
        <v>2</v>
      </c>
      <c r="CL843">
        <v>0</v>
      </c>
      <c r="CM843">
        <v>2</v>
      </c>
      <c r="CN843">
        <v>0</v>
      </c>
      <c r="CO843">
        <v>7</v>
      </c>
      <c r="CP843" t="s">
        <v>119</v>
      </c>
      <c r="CQ843">
        <v>180</v>
      </c>
      <c r="CR843">
        <v>2</v>
      </c>
      <c r="CW843">
        <v>7993427</v>
      </c>
      <c r="CY843">
        <v>1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</row>
    <row r="844" spans="1:113" x14ac:dyDescent="0.3">
      <c r="A844" t="str">
        <f>"02/08/2021 20:16:30.638"</f>
        <v>02/08/2021 20:16:30.638</v>
      </c>
      <c r="C844" t="str">
        <f t="shared" si="41"/>
        <v>FFDFD7C0</v>
      </c>
      <c r="D844" t="s">
        <v>124</v>
      </c>
      <c r="E844">
        <v>13</v>
      </c>
      <c r="F844">
        <v>1013</v>
      </c>
      <c r="G844" t="s">
        <v>114</v>
      </c>
      <c r="J844" t="s">
        <v>125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>"20:16:32.922"</f>
        <v>20:16:32.922</v>
      </c>
      <c r="T844" t="str">
        <f>"20:16:32.422"</f>
        <v>20:16:32.422</v>
      </c>
      <c r="U844" t="str">
        <f t="shared" si="40"/>
        <v>AB01F4</v>
      </c>
      <c r="V844">
        <v>0</v>
      </c>
      <c r="W844">
        <v>0</v>
      </c>
      <c r="X844">
        <v>2</v>
      </c>
      <c r="Z844">
        <v>0</v>
      </c>
      <c r="AA844">
        <v>9</v>
      </c>
      <c r="AB844">
        <v>3</v>
      </c>
      <c r="AC844">
        <v>0</v>
      </c>
      <c r="AD844">
        <v>10</v>
      </c>
      <c r="AE844">
        <v>0</v>
      </c>
      <c r="AF844">
        <v>3</v>
      </c>
      <c r="AG844">
        <v>2</v>
      </c>
      <c r="AH844">
        <v>0</v>
      </c>
      <c r="AI844" t="s">
        <v>698</v>
      </c>
      <c r="AJ844">
        <v>39.672918000000003</v>
      </c>
      <c r="AK844" t="s">
        <v>699</v>
      </c>
      <c r="AL844">
        <v>-92.515568999999999</v>
      </c>
      <c r="AM844">
        <v>100</v>
      </c>
      <c r="AN844">
        <v>1700</v>
      </c>
      <c r="AO844" t="s">
        <v>118</v>
      </c>
      <c r="AP844">
        <v>-33</v>
      </c>
      <c r="AQ844">
        <v>123</v>
      </c>
      <c r="AR844">
        <v>0</v>
      </c>
      <c r="AZ844">
        <v>1200</v>
      </c>
      <c r="BA844">
        <v>1</v>
      </c>
      <c r="BB844" t="str">
        <f t="shared" si="39"/>
        <v xml:space="preserve">N8080G  </v>
      </c>
      <c r="BC844">
        <v>1</v>
      </c>
      <c r="BE844">
        <v>0</v>
      </c>
      <c r="BF844">
        <v>0</v>
      </c>
      <c r="BG844">
        <v>0</v>
      </c>
      <c r="BH844">
        <v>1675</v>
      </c>
      <c r="BI844">
        <v>1</v>
      </c>
      <c r="BJ844">
        <v>1</v>
      </c>
      <c r="BK844">
        <v>1</v>
      </c>
      <c r="BL844">
        <v>0</v>
      </c>
      <c r="BO844">
        <v>0</v>
      </c>
      <c r="BP844">
        <v>0</v>
      </c>
      <c r="BW844" t="str">
        <f>"20:16:32.928"</f>
        <v>20:16:32.928</v>
      </c>
      <c r="BZ844">
        <v>0</v>
      </c>
      <c r="CA844">
        <v>2016</v>
      </c>
      <c r="CB844">
        <v>224</v>
      </c>
      <c r="CD844">
        <v>1</v>
      </c>
      <c r="CE844">
        <v>0</v>
      </c>
      <c r="CF844">
        <v>0</v>
      </c>
      <c r="CG844">
        <v>1</v>
      </c>
      <c r="CH844">
        <v>0</v>
      </c>
      <c r="CI844">
        <v>0</v>
      </c>
      <c r="CJ844">
        <v>0</v>
      </c>
      <c r="CK844">
        <v>2</v>
      </c>
      <c r="CL844">
        <v>0</v>
      </c>
      <c r="CM844">
        <v>2</v>
      </c>
      <c r="CN844">
        <v>0</v>
      </c>
      <c r="CO844">
        <v>7</v>
      </c>
      <c r="CP844" t="s">
        <v>119</v>
      </c>
      <c r="CQ844">
        <v>180</v>
      </c>
      <c r="CR844">
        <v>2</v>
      </c>
      <c r="CW844">
        <v>7993427</v>
      </c>
      <c r="CY844">
        <v>1</v>
      </c>
      <c r="CZ844">
        <v>0</v>
      </c>
      <c r="DA844">
        <v>1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</row>
    <row r="845" spans="1:113" x14ac:dyDescent="0.3">
      <c r="A845" t="str">
        <f>"02/08/2021 20:16:30.638"</f>
        <v>02/08/2021 20:16:30.638</v>
      </c>
      <c r="C845" t="str">
        <f t="shared" si="41"/>
        <v>FFDFD7C0</v>
      </c>
      <c r="D845" t="s">
        <v>124</v>
      </c>
      <c r="E845">
        <v>11</v>
      </c>
      <c r="F845">
        <v>1011</v>
      </c>
      <c r="G845" t="s">
        <v>590</v>
      </c>
      <c r="J845" t="s">
        <v>125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>"20:16:32.922"</f>
        <v>20:16:32.922</v>
      </c>
      <c r="T845" t="str">
        <f>"20:16:32.422"</f>
        <v>20:16:32.422</v>
      </c>
      <c r="U845" t="str">
        <f t="shared" si="40"/>
        <v>AB01F4</v>
      </c>
      <c r="V845">
        <v>0</v>
      </c>
      <c r="W845">
        <v>0</v>
      </c>
      <c r="X845">
        <v>2</v>
      </c>
      <c r="Z845">
        <v>0</v>
      </c>
      <c r="AA845">
        <v>9</v>
      </c>
      <c r="AB845">
        <v>3</v>
      </c>
      <c r="AC845">
        <v>0</v>
      </c>
      <c r="AD845">
        <v>10</v>
      </c>
      <c r="AE845">
        <v>0</v>
      </c>
      <c r="AF845">
        <v>3</v>
      </c>
      <c r="AG845">
        <v>2</v>
      </c>
      <c r="AH845">
        <v>0</v>
      </c>
      <c r="AI845" t="s">
        <v>698</v>
      </c>
      <c r="AJ845">
        <v>39.672918000000003</v>
      </c>
      <c r="AK845" t="s">
        <v>699</v>
      </c>
      <c r="AL845">
        <v>-92.515568999999999</v>
      </c>
      <c r="AM845">
        <v>100</v>
      </c>
      <c r="AN845">
        <v>1700</v>
      </c>
      <c r="AO845" t="s">
        <v>118</v>
      </c>
      <c r="AP845">
        <v>-33</v>
      </c>
      <c r="AQ845">
        <v>123</v>
      </c>
      <c r="AR845">
        <v>0</v>
      </c>
      <c r="AZ845">
        <v>1200</v>
      </c>
      <c r="BA845">
        <v>1</v>
      </c>
      <c r="BB845" t="str">
        <f t="shared" si="39"/>
        <v xml:space="preserve">N8080G  </v>
      </c>
      <c r="BC845">
        <v>1</v>
      </c>
      <c r="BE845">
        <v>0</v>
      </c>
      <c r="BF845">
        <v>0</v>
      </c>
      <c r="BG845">
        <v>0</v>
      </c>
      <c r="BH845">
        <v>1675</v>
      </c>
      <c r="BI845">
        <v>1</v>
      </c>
      <c r="BJ845">
        <v>1</v>
      </c>
      <c r="BK845">
        <v>1</v>
      </c>
      <c r="BL845">
        <v>0</v>
      </c>
      <c r="BO845">
        <v>0</v>
      </c>
      <c r="BP845">
        <v>0</v>
      </c>
      <c r="BW845" t="str">
        <f>"20:16:32.928"</f>
        <v>20:16:32.928</v>
      </c>
      <c r="BZ845">
        <v>0</v>
      </c>
      <c r="CA845">
        <v>2016</v>
      </c>
      <c r="CB845">
        <v>224</v>
      </c>
      <c r="CD845">
        <v>1</v>
      </c>
      <c r="CE845">
        <v>0</v>
      </c>
      <c r="CF845">
        <v>0</v>
      </c>
      <c r="CG845">
        <v>1</v>
      </c>
      <c r="CH845">
        <v>0</v>
      </c>
      <c r="CI845">
        <v>0</v>
      </c>
      <c r="CJ845">
        <v>0</v>
      </c>
      <c r="CK845">
        <v>2</v>
      </c>
      <c r="CL845">
        <v>0</v>
      </c>
      <c r="CM845">
        <v>2</v>
      </c>
      <c r="CN845">
        <v>0</v>
      </c>
      <c r="CO845">
        <v>7</v>
      </c>
      <c r="CP845" t="s">
        <v>119</v>
      </c>
      <c r="CQ845">
        <v>180</v>
      </c>
      <c r="CR845">
        <v>2</v>
      </c>
      <c r="CW845">
        <v>7993427</v>
      </c>
      <c r="CY845">
        <v>1</v>
      </c>
      <c r="CZ845">
        <v>0</v>
      </c>
      <c r="DA845">
        <v>1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</row>
    <row r="846" spans="1:113" x14ac:dyDescent="0.3">
      <c r="A846" t="str">
        <f>"02/08/2021 20:16:30.638"</f>
        <v>02/08/2021 20:16:30.638</v>
      </c>
      <c r="C846" t="str">
        <f t="shared" si="41"/>
        <v>FFDFD7C0</v>
      </c>
      <c r="D846" t="s">
        <v>124</v>
      </c>
      <c r="E846">
        <v>12</v>
      </c>
      <c r="F846">
        <v>1012</v>
      </c>
      <c r="G846" t="s">
        <v>675</v>
      </c>
      <c r="J846" t="s">
        <v>125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>"20:16:32.922"</f>
        <v>20:16:32.922</v>
      </c>
      <c r="T846" t="str">
        <f>"20:16:32.422"</f>
        <v>20:16:32.422</v>
      </c>
      <c r="U846" t="str">
        <f t="shared" si="40"/>
        <v>AB01F4</v>
      </c>
      <c r="V846">
        <v>0</v>
      </c>
      <c r="W846">
        <v>0</v>
      </c>
      <c r="X846">
        <v>2</v>
      </c>
      <c r="Z846">
        <v>0</v>
      </c>
      <c r="AA846">
        <v>9</v>
      </c>
      <c r="AB846">
        <v>3</v>
      </c>
      <c r="AC846">
        <v>0</v>
      </c>
      <c r="AD846">
        <v>10</v>
      </c>
      <c r="AE846">
        <v>0</v>
      </c>
      <c r="AF846">
        <v>3</v>
      </c>
      <c r="AG846">
        <v>2</v>
      </c>
      <c r="AH846">
        <v>0</v>
      </c>
      <c r="AI846" t="s">
        <v>698</v>
      </c>
      <c r="AJ846">
        <v>39.672918000000003</v>
      </c>
      <c r="AK846" t="s">
        <v>699</v>
      </c>
      <c r="AL846">
        <v>-92.515568999999999</v>
      </c>
      <c r="AM846">
        <v>100</v>
      </c>
      <c r="AN846">
        <v>1700</v>
      </c>
      <c r="AO846" t="s">
        <v>118</v>
      </c>
      <c r="AP846">
        <v>-33</v>
      </c>
      <c r="AQ846">
        <v>123</v>
      </c>
      <c r="AR846">
        <v>0</v>
      </c>
      <c r="AZ846">
        <v>1200</v>
      </c>
      <c r="BA846">
        <v>1</v>
      </c>
      <c r="BB846" t="str">
        <f t="shared" si="39"/>
        <v xml:space="preserve">N8080G  </v>
      </c>
      <c r="BC846">
        <v>1</v>
      </c>
      <c r="BE846">
        <v>0</v>
      </c>
      <c r="BF846">
        <v>0</v>
      </c>
      <c r="BG846">
        <v>0</v>
      </c>
      <c r="BH846">
        <v>1675</v>
      </c>
      <c r="BI846">
        <v>1</v>
      </c>
      <c r="BJ846">
        <v>1</v>
      </c>
      <c r="BK846">
        <v>1</v>
      </c>
      <c r="BL846">
        <v>0</v>
      </c>
      <c r="BO846">
        <v>0</v>
      </c>
      <c r="BP846">
        <v>0</v>
      </c>
      <c r="BW846" t="str">
        <f>"20:16:32.928"</f>
        <v>20:16:32.928</v>
      </c>
      <c r="BZ846">
        <v>0</v>
      </c>
      <c r="CA846">
        <v>2016</v>
      </c>
      <c r="CB846">
        <v>224</v>
      </c>
      <c r="CD846">
        <v>1</v>
      </c>
      <c r="CE846">
        <v>0</v>
      </c>
      <c r="CF846">
        <v>0</v>
      </c>
      <c r="CG846">
        <v>1</v>
      </c>
      <c r="CH846">
        <v>0</v>
      </c>
      <c r="CI846">
        <v>0</v>
      </c>
      <c r="CJ846">
        <v>0</v>
      </c>
      <c r="CK846">
        <v>2</v>
      </c>
      <c r="CL846">
        <v>0</v>
      </c>
      <c r="CM846">
        <v>2</v>
      </c>
      <c r="CN846">
        <v>0</v>
      </c>
      <c r="CO846">
        <v>7</v>
      </c>
      <c r="CP846" t="s">
        <v>119</v>
      </c>
      <c r="CQ846">
        <v>180</v>
      </c>
      <c r="CR846">
        <v>2</v>
      </c>
      <c r="CW846">
        <v>7993427</v>
      </c>
      <c r="CY846">
        <v>1</v>
      </c>
      <c r="CZ846">
        <v>0</v>
      </c>
      <c r="DA846">
        <v>1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</row>
    <row r="847" spans="1:113" x14ac:dyDescent="0.3">
      <c r="A847" t="str">
        <f>"02/08/2021 20:16:31.648"</f>
        <v>02/08/2021 20:16:31.648</v>
      </c>
      <c r="C847" t="str">
        <f t="shared" si="41"/>
        <v>FFDFD7C0</v>
      </c>
      <c r="D847" t="s">
        <v>113</v>
      </c>
      <c r="E847">
        <v>6</v>
      </c>
      <c r="H847">
        <v>165</v>
      </c>
      <c r="I847" t="s">
        <v>114</v>
      </c>
      <c r="J847" t="s">
        <v>115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>"20:16:33.977"</f>
        <v>20:16:33.977</v>
      </c>
      <c r="T847" t="str">
        <f>"20:16:33.477"</f>
        <v>20:16:33.477</v>
      </c>
      <c r="U847" t="str">
        <f t="shared" si="40"/>
        <v>AB01F4</v>
      </c>
      <c r="V847">
        <v>0</v>
      </c>
      <c r="W847">
        <v>0</v>
      </c>
      <c r="X847">
        <v>2</v>
      </c>
      <c r="Z847">
        <v>0</v>
      </c>
      <c r="AA847">
        <v>9</v>
      </c>
      <c r="AB847">
        <v>3</v>
      </c>
      <c r="AC847">
        <v>0</v>
      </c>
      <c r="AD847">
        <v>10</v>
      </c>
      <c r="AE847">
        <v>0</v>
      </c>
      <c r="AF847">
        <v>3</v>
      </c>
      <c r="AG847">
        <v>2</v>
      </c>
      <c r="AH847">
        <v>0</v>
      </c>
      <c r="AI847" t="s">
        <v>700</v>
      </c>
      <c r="AJ847">
        <v>39.673454999999997</v>
      </c>
      <c r="AK847" t="s">
        <v>701</v>
      </c>
      <c r="AL847">
        <v>-92.515739999999994</v>
      </c>
      <c r="AM847">
        <v>100</v>
      </c>
      <c r="AN847">
        <v>1700</v>
      </c>
      <c r="AO847" t="s">
        <v>118</v>
      </c>
      <c r="AP847">
        <v>-33</v>
      </c>
      <c r="AQ847">
        <v>123</v>
      </c>
      <c r="AR847">
        <v>0</v>
      </c>
      <c r="AZ847">
        <v>1200</v>
      </c>
      <c r="BA847">
        <v>1</v>
      </c>
      <c r="BB847" t="str">
        <f t="shared" ref="BB847:BB910" si="42">"N8080G  "</f>
        <v xml:space="preserve">N8080G  </v>
      </c>
      <c r="BC847">
        <v>1</v>
      </c>
      <c r="BE847">
        <v>0</v>
      </c>
      <c r="BF847">
        <v>0</v>
      </c>
      <c r="BG847">
        <v>0</v>
      </c>
      <c r="BH847">
        <v>1675</v>
      </c>
      <c r="BI847">
        <v>1</v>
      </c>
      <c r="BJ847">
        <v>1</v>
      </c>
      <c r="BK847">
        <v>1</v>
      </c>
      <c r="BL847">
        <v>0</v>
      </c>
      <c r="BO847">
        <v>0</v>
      </c>
      <c r="BP847">
        <v>0</v>
      </c>
      <c r="BW847" t="str">
        <f>"20:16:33.982"</f>
        <v>20:16:33.982</v>
      </c>
      <c r="BZ847">
        <v>0</v>
      </c>
      <c r="CA847">
        <v>2016</v>
      </c>
      <c r="CB847">
        <v>224</v>
      </c>
      <c r="CD847">
        <v>1</v>
      </c>
      <c r="CE847">
        <v>0</v>
      </c>
      <c r="CF847">
        <v>0</v>
      </c>
      <c r="CG847">
        <v>1</v>
      </c>
      <c r="CH847">
        <v>0</v>
      </c>
      <c r="CI847">
        <v>0</v>
      </c>
      <c r="CJ847">
        <v>0</v>
      </c>
      <c r="CK847">
        <v>2</v>
      </c>
      <c r="CL847">
        <v>0</v>
      </c>
      <c r="CM847">
        <v>2</v>
      </c>
      <c r="CN847">
        <v>0</v>
      </c>
      <c r="CO847">
        <v>7</v>
      </c>
      <c r="CP847" t="s">
        <v>119</v>
      </c>
      <c r="CQ847">
        <v>180</v>
      </c>
      <c r="CR847">
        <v>2</v>
      </c>
      <c r="CW847">
        <v>7994340</v>
      </c>
      <c r="CY847">
        <v>1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</row>
    <row r="848" spans="1:113" x14ac:dyDescent="0.3">
      <c r="A848" t="str">
        <f>"02/08/2021 20:16:31.648"</f>
        <v>02/08/2021 20:16:31.648</v>
      </c>
      <c r="C848" t="str">
        <f t="shared" si="41"/>
        <v>FFDFD7C0</v>
      </c>
      <c r="D848" t="s">
        <v>124</v>
      </c>
      <c r="E848">
        <v>13</v>
      </c>
      <c r="F848">
        <v>1013</v>
      </c>
      <c r="G848" t="s">
        <v>114</v>
      </c>
      <c r="J848" t="s">
        <v>125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>"20:16:33.977"</f>
        <v>20:16:33.977</v>
      </c>
      <c r="T848" t="str">
        <f>"20:16:33.477"</f>
        <v>20:16:33.477</v>
      </c>
      <c r="U848" t="str">
        <f t="shared" si="40"/>
        <v>AB01F4</v>
      </c>
      <c r="V848">
        <v>0</v>
      </c>
      <c r="W848">
        <v>0</v>
      </c>
      <c r="X848">
        <v>2</v>
      </c>
      <c r="Z848">
        <v>0</v>
      </c>
      <c r="AA848">
        <v>9</v>
      </c>
      <c r="AB848">
        <v>3</v>
      </c>
      <c r="AC848">
        <v>0</v>
      </c>
      <c r="AD848">
        <v>10</v>
      </c>
      <c r="AE848">
        <v>0</v>
      </c>
      <c r="AF848">
        <v>3</v>
      </c>
      <c r="AG848">
        <v>2</v>
      </c>
      <c r="AH848">
        <v>0</v>
      </c>
      <c r="AI848" t="s">
        <v>700</v>
      </c>
      <c r="AJ848">
        <v>39.673454999999997</v>
      </c>
      <c r="AK848" t="s">
        <v>701</v>
      </c>
      <c r="AL848">
        <v>-92.515739999999994</v>
      </c>
      <c r="AM848">
        <v>100</v>
      </c>
      <c r="AN848">
        <v>1700</v>
      </c>
      <c r="AO848" t="s">
        <v>118</v>
      </c>
      <c r="AP848">
        <v>-33</v>
      </c>
      <c r="AQ848">
        <v>123</v>
      </c>
      <c r="AR848">
        <v>0</v>
      </c>
      <c r="AZ848">
        <v>1200</v>
      </c>
      <c r="BA848">
        <v>1</v>
      </c>
      <c r="BB848" t="str">
        <f t="shared" si="42"/>
        <v xml:space="preserve">N8080G  </v>
      </c>
      <c r="BC848">
        <v>1</v>
      </c>
      <c r="BE848">
        <v>0</v>
      </c>
      <c r="BF848">
        <v>0</v>
      </c>
      <c r="BG848">
        <v>0</v>
      </c>
      <c r="BH848">
        <v>1675</v>
      </c>
      <c r="BI848">
        <v>1</v>
      </c>
      <c r="BJ848">
        <v>1</v>
      </c>
      <c r="BK848">
        <v>1</v>
      </c>
      <c r="BL848">
        <v>0</v>
      </c>
      <c r="BO848">
        <v>0</v>
      </c>
      <c r="BP848">
        <v>0</v>
      </c>
      <c r="BW848" t="str">
        <f>"20:16:33.982"</f>
        <v>20:16:33.982</v>
      </c>
      <c r="BZ848">
        <v>0</v>
      </c>
      <c r="CA848">
        <v>2016</v>
      </c>
      <c r="CB848">
        <v>224</v>
      </c>
      <c r="CD848">
        <v>1</v>
      </c>
      <c r="CE848">
        <v>0</v>
      </c>
      <c r="CF848">
        <v>0</v>
      </c>
      <c r="CG848">
        <v>1</v>
      </c>
      <c r="CH848">
        <v>0</v>
      </c>
      <c r="CI848">
        <v>0</v>
      </c>
      <c r="CJ848">
        <v>0</v>
      </c>
      <c r="CK848">
        <v>2</v>
      </c>
      <c r="CL848">
        <v>0</v>
      </c>
      <c r="CM848">
        <v>2</v>
      </c>
      <c r="CN848">
        <v>0</v>
      </c>
      <c r="CO848">
        <v>7</v>
      </c>
      <c r="CP848" t="s">
        <v>119</v>
      </c>
      <c r="CQ848">
        <v>180</v>
      </c>
      <c r="CR848">
        <v>2</v>
      </c>
      <c r="CW848">
        <v>7994340</v>
      </c>
      <c r="CY848">
        <v>1</v>
      </c>
      <c r="CZ848">
        <v>0</v>
      </c>
      <c r="DA848">
        <v>1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</row>
    <row r="849" spans="1:113" x14ac:dyDescent="0.3">
      <c r="A849" t="str">
        <f>"02/08/2021 20:16:31.648"</f>
        <v>02/08/2021 20:16:31.648</v>
      </c>
      <c r="C849" t="str">
        <f t="shared" si="41"/>
        <v>FFDFD7C0</v>
      </c>
      <c r="D849" t="s">
        <v>124</v>
      </c>
      <c r="E849">
        <v>11</v>
      </c>
      <c r="F849">
        <v>1011</v>
      </c>
      <c r="G849" t="s">
        <v>590</v>
      </c>
      <c r="J849" t="s">
        <v>125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>"20:16:33.977"</f>
        <v>20:16:33.977</v>
      </c>
      <c r="T849" t="str">
        <f>"20:16:33.477"</f>
        <v>20:16:33.477</v>
      </c>
      <c r="U849" t="str">
        <f t="shared" si="40"/>
        <v>AB01F4</v>
      </c>
      <c r="V849">
        <v>0</v>
      </c>
      <c r="W849">
        <v>0</v>
      </c>
      <c r="X849">
        <v>2</v>
      </c>
      <c r="Z849">
        <v>0</v>
      </c>
      <c r="AA849">
        <v>9</v>
      </c>
      <c r="AB849">
        <v>3</v>
      </c>
      <c r="AC849">
        <v>0</v>
      </c>
      <c r="AD849">
        <v>10</v>
      </c>
      <c r="AE849">
        <v>0</v>
      </c>
      <c r="AF849">
        <v>3</v>
      </c>
      <c r="AG849">
        <v>2</v>
      </c>
      <c r="AH849">
        <v>0</v>
      </c>
      <c r="AI849" t="s">
        <v>700</v>
      </c>
      <c r="AJ849">
        <v>39.673454999999997</v>
      </c>
      <c r="AK849" t="s">
        <v>701</v>
      </c>
      <c r="AL849">
        <v>-92.515739999999994</v>
      </c>
      <c r="AM849">
        <v>100</v>
      </c>
      <c r="AN849">
        <v>1700</v>
      </c>
      <c r="AO849" t="s">
        <v>118</v>
      </c>
      <c r="AP849">
        <v>-33</v>
      </c>
      <c r="AQ849">
        <v>123</v>
      </c>
      <c r="AR849">
        <v>0</v>
      </c>
      <c r="AZ849">
        <v>1200</v>
      </c>
      <c r="BA849">
        <v>1</v>
      </c>
      <c r="BB849" t="str">
        <f t="shared" si="42"/>
        <v xml:space="preserve">N8080G  </v>
      </c>
      <c r="BC849">
        <v>1</v>
      </c>
      <c r="BE849">
        <v>0</v>
      </c>
      <c r="BF849">
        <v>0</v>
      </c>
      <c r="BG849">
        <v>0</v>
      </c>
      <c r="BH849">
        <v>1675</v>
      </c>
      <c r="BI849">
        <v>1</v>
      </c>
      <c r="BJ849">
        <v>1</v>
      </c>
      <c r="BK849">
        <v>1</v>
      </c>
      <c r="BL849">
        <v>0</v>
      </c>
      <c r="BO849">
        <v>0</v>
      </c>
      <c r="BP849">
        <v>0</v>
      </c>
      <c r="BW849" t="str">
        <f>"20:16:33.982"</f>
        <v>20:16:33.982</v>
      </c>
      <c r="BZ849">
        <v>0</v>
      </c>
      <c r="CA849">
        <v>2016</v>
      </c>
      <c r="CB849">
        <v>224</v>
      </c>
      <c r="CD849">
        <v>1</v>
      </c>
      <c r="CE849">
        <v>0</v>
      </c>
      <c r="CF849">
        <v>0</v>
      </c>
      <c r="CG849">
        <v>1</v>
      </c>
      <c r="CH849">
        <v>0</v>
      </c>
      <c r="CI849">
        <v>0</v>
      </c>
      <c r="CJ849">
        <v>0</v>
      </c>
      <c r="CK849">
        <v>2</v>
      </c>
      <c r="CL849">
        <v>0</v>
      </c>
      <c r="CM849">
        <v>2</v>
      </c>
      <c r="CN849">
        <v>0</v>
      </c>
      <c r="CO849">
        <v>7</v>
      </c>
      <c r="CP849" t="s">
        <v>119</v>
      </c>
      <c r="CQ849">
        <v>180</v>
      </c>
      <c r="CR849">
        <v>2</v>
      </c>
      <c r="CW849">
        <v>7994340</v>
      </c>
      <c r="CY849">
        <v>1</v>
      </c>
      <c r="CZ849">
        <v>0</v>
      </c>
      <c r="DA849">
        <v>1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</row>
    <row r="850" spans="1:113" x14ac:dyDescent="0.3">
      <c r="A850" t="str">
        <f>"02/08/2021 20:16:31.648"</f>
        <v>02/08/2021 20:16:31.648</v>
      </c>
      <c r="C850" t="str">
        <f t="shared" si="41"/>
        <v>FFDFD7C0</v>
      </c>
      <c r="D850" t="s">
        <v>124</v>
      </c>
      <c r="E850">
        <v>12</v>
      </c>
      <c r="F850">
        <v>1012</v>
      </c>
      <c r="G850" t="s">
        <v>675</v>
      </c>
      <c r="J850" t="s">
        <v>125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>"20:16:33.977"</f>
        <v>20:16:33.977</v>
      </c>
      <c r="T850" t="str">
        <f>"20:16:33.477"</f>
        <v>20:16:33.477</v>
      </c>
      <c r="U850" t="str">
        <f t="shared" si="40"/>
        <v>AB01F4</v>
      </c>
      <c r="V850">
        <v>0</v>
      </c>
      <c r="W850">
        <v>0</v>
      </c>
      <c r="X850">
        <v>2</v>
      </c>
      <c r="Z850">
        <v>0</v>
      </c>
      <c r="AA850">
        <v>9</v>
      </c>
      <c r="AB850">
        <v>3</v>
      </c>
      <c r="AC850">
        <v>0</v>
      </c>
      <c r="AD850">
        <v>10</v>
      </c>
      <c r="AE850">
        <v>0</v>
      </c>
      <c r="AF850">
        <v>3</v>
      </c>
      <c r="AG850">
        <v>2</v>
      </c>
      <c r="AH850">
        <v>0</v>
      </c>
      <c r="AI850" t="s">
        <v>700</v>
      </c>
      <c r="AJ850">
        <v>39.673454999999997</v>
      </c>
      <c r="AK850" t="s">
        <v>701</v>
      </c>
      <c r="AL850">
        <v>-92.515739999999994</v>
      </c>
      <c r="AM850">
        <v>100</v>
      </c>
      <c r="AN850">
        <v>1700</v>
      </c>
      <c r="AO850" t="s">
        <v>118</v>
      </c>
      <c r="AP850">
        <v>-33</v>
      </c>
      <c r="AQ850">
        <v>123</v>
      </c>
      <c r="AR850">
        <v>0</v>
      </c>
      <c r="AZ850">
        <v>1200</v>
      </c>
      <c r="BA850">
        <v>1</v>
      </c>
      <c r="BB850" t="str">
        <f t="shared" si="42"/>
        <v xml:space="preserve">N8080G  </v>
      </c>
      <c r="BC850">
        <v>1</v>
      </c>
      <c r="BE850">
        <v>0</v>
      </c>
      <c r="BF850">
        <v>0</v>
      </c>
      <c r="BG850">
        <v>0</v>
      </c>
      <c r="BH850">
        <v>1675</v>
      </c>
      <c r="BI850">
        <v>1</v>
      </c>
      <c r="BJ850">
        <v>1</v>
      </c>
      <c r="BK850">
        <v>1</v>
      </c>
      <c r="BL850">
        <v>0</v>
      </c>
      <c r="BO850">
        <v>0</v>
      </c>
      <c r="BP850">
        <v>0</v>
      </c>
      <c r="BW850" t="str">
        <f>"20:16:33.982"</f>
        <v>20:16:33.982</v>
      </c>
      <c r="BZ850">
        <v>0</v>
      </c>
      <c r="CA850">
        <v>2016</v>
      </c>
      <c r="CB850">
        <v>224</v>
      </c>
      <c r="CD850">
        <v>1</v>
      </c>
      <c r="CE850">
        <v>0</v>
      </c>
      <c r="CF850">
        <v>0</v>
      </c>
      <c r="CG850">
        <v>1</v>
      </c>
      <c r="CH850">
        <v>0</v>
      </c>
      <c r="CI850">
        <v>0</v>
      </c>
      <c r="CJ850">
        <v>0</v>
      </c>
      <c r="CK850">
        <v>2</v>
      </c>
      <c r="CL850">
        <v>0</v>
      </c>
      <c r="CM850">
        <v>2</v>
      </c>
      <c r="CN850">
        <v>0</v>
      </c>
      <c r="CO850">
        <v>7</v>
      </c>
      <c r="CP850" t="s">
        <v>119</v>
      </c>
      <c r="CQ850">
        <v>180</v>
      </c>
      <c r="CR850">
        <v>2</v>
      </c>
      <c r="CW850">
        <v>7994340</v>
      </c>
      <c r="CY850">
        <v>1</v>
      </c>
      <c r="CZ850">
        <v>0</v>
      </c>
      <c r="DA850">
        <v>1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</row>
    <row r="851" spans="1:113" x14ac:dyDescent="0.3">
      <c r="A851" t="str">
        <f>"02/08/2021 20:16:33.216"</f>
        <v>02/08/2021 20:16:33.216</v>
      </c>
      <c r="C851" t="str">
        <f t="shared" si="41"/>
        <v>FFDFD7C0</v>
      </c>
      <c r="D851" t="s">
        <v>113</v>
      </c>
      <c r="E851">
        <v>6</v>
      </c>
      <c r="H851">
        <v>165</v>
      </c>
      <c r="I851" t="s">
        <v>114</v>
      </c>
      <c r="J851" t="s">
        <v>115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>"20:16:35.516"</f>
        <v>20:16:35.516</v>
      </c>
      <c r="T851" t="str">
        <f>"20:16:35.016"</f>
        <v>20:16:35.016</v>
      </c>
      <c r="U851" t="str">
        <f t="shared" si="40"/>
        <v>AB01F4</v>
      </c>
      <c r="V851">
        <v>0</v>
      </c>
      <c r="W851">
        <v>0</v>
      </c>
      <c r="X851">
        <v>2</v>
      </c>
      <c r="Z851">
        <v>0</v>
      </c>
      <c r="AA851">
        <v>9</v>
      </c>
      <c r="AB851">
        <v>3</v>
      </c>
      <c r="AC851">
        <v>0</v>
      </c>
      <c r="AD851">
        <v>10</v>
      </c>
      <c r="AE851">
        <v>0</v>
      </c>
      <c r="AF851">
        <v>3</v>
      </c>
      <c r="AG851">
        <v>2</v>
      </c>
      <c r="AH851">
        <v>0</v>
      </c>
      <c r="AI851" t="s">
        <v>702</v>
      </c>
      <c r="AJ851">
        <v>39.674377</v>
      </c>
      <c r="AK851" t="s">
        <v>703</v>
      </c>
      <c r="AL851">
        <v>-92.516041000000001</v>
      </c>
      <c r="AM851">
        <v>100</v>
      </c>
      <c r="AN851">
        <v>1700</v>
      </c>
      <c r="AO851" t="s">
        <v>118</v>
      </c>
      <c r="AP851">
        <v>-33</v>
      </c>
      <c r="AQ851">
        <v>123</v>
      </c>
      <c r="AR851">
        <v>0</v>
      </c>
      <c r="AZ851">
        <v>1200</v>
      </c>
      <c r="BA851">
        <v>1</v>
      </c>
      <c r="BB851" t="str">
        <f t="shared" si="42"/>
        <v xml:space="preserve">N8080G  </v>
      </c>
      <c r="BC851">
        <v>1</v>
      </c>
      <c r="BE851">
        <v>0</v>
      </c>
      <c r="BF851">
        <v>0</v>
      </c>
      <c r="BG851">
        <v>0</v>
      </c>
      <c r="BH851">
        <v>1675</v>
      </c>
      <c r="BI851">
        <v>1</v>
      </c>
      <c r="BJ851">
        <v>1</v>
      </c>
      <c r="BK851">
        <v>1</v>
      </c>
      <c r="BL851">
        <v>0</v>
      </c>
      <c r="BO851">
        <v>0</v>
      </c>
      <c r="BP851">
        <v>0</v>
      </c>
      <c r="BW851" t="str">
        <f>"20:16:35.523"</f>
        <v>20:16:35.523</v>
      </c>
      <c r="BZ851">
        <v>0</v>
      </c>
      <c r="CA851">
        <v>2016</v>
      </c>
      <c r="CB851">
        <v>224</v>
      </c>
      <c r="CD851">
        <v>1</v>
      </c>
      <c r="CE851">
        <v>0</v>
      </c>
      <c r="CF851">
        <v>0</v>
      </c>
      <c r="CG851">
        <v>1</v>
      </c>
      <c r="CH851">
        <v>0</v>
      </c>
      <c r="CI851">
        <v>0</v>
      </c>
      <c r="CJ851">
        <v>0</v>
      </c>
      <c r="CK851">
        <v>2</v>
      </c>
      <c r="CL851">
        <v>0</v>
      </c>
      <c r="CM851">
        <v>2</v>
      </c>
      <c r="CN851">
        <v>0</v>
      </c>
      <c r="CO851">
        <v>7</v>
      </c>
      <c r="CP851" t="s">
        <v>119</v>
      </c>
      <c r="CQ851">
        <v>180</v>
      </c>
      <c r="CR851">
        <v>2</v>
      </c>
      <c r="CW851">
        <v>7995537</v>
      </c>
      <c r="CY851">
        <v>1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</row>
    <row r="852" spans="1:113" x14ac:dyDescent="0.3">
      <c r="A852" t="str">
        <f>"02/08/2021 20:16:33.216"</f>
        <v>02/08/2021 20:16:33.216</v>
      </c>
      <c r="C852" t="str">
        <f t="shared" si="41"/>
        <v>FFDFD7C0</v>
      </c>
      <c r="D852" t="s">
        <v>124</v>
      </c>
      <c r="E852">
        <v>13</v>
      </c>
      <c r="F852">
        <v>1013</v>
      </c>
      <c r="G852" t="s">
        <v>114</v>
      </c>
      <c r="J852" t="s">
        <v>125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>"20:16:35.516"</f>
        <v>20:16:35.516</v>
      </c>
      <c r="T852" t="str">
        <f>"20:16:35.016"</f>
        <v>20:16:35.016</v>
      </c>
      <c r="U852" t="str">
        <f t="shared" si="40"/>
        <v>AB01F4</v>
      </c>
      <c r="V852">
        <v>0</v>
      </c>
      <c r="W852">
        <v>0</v>
      </c>
      <c r="X852">
        <v>2</v>
      </c>
      <c r="Z852">
        <v>0</v>
      </c>
      <c r="AA852">
        <v>9</v>
      </c>
      <c r="AB852">
        <v>3</v>
      </c>
      <c r="AC852">
        <v>0</v>
      </c>
      <c r="AD852">
        <v>10</v>
      </c>
      <c r="AE852">
        <v>0</v>
      </c>
      <c r="AF852">
        <v>3</v>
      </c>
      <c r="AG852">
        <v>2</v>
      </c>
      <c r="AH852">
        <v>0</v>
      </c>
      <c r="AI852" t="s">
        <v>702</v>
      </c>
      <c r="AJ852">
        <v>39.674377</v>
      </c>
      <c r="AK852" t="s">
        <v>703</v>
      </c>
      <c r="AL852">
        <v>-92.516041000000001</v>
      </c>
      <c r="AM852">
        <v>100</v>
      </c>
      <c r="AN852">
        <v>1700</v>
      </c>
      <c r="AO852" t="s">
        <v>118</v>
      </c>
      <c r="AP852">
        <v>-33</v>
      </c>
      <c r="AQ852">
        <v>123</v>
      </c>
      <c r="AR852">
        <v>0</v>
      </c>
      <c r="AZ852">
        <v>1200</v>
      </c>
      <c r="BA852">
        <v>1</v>
      </c>
      <c r="BB852" t="str">
        <f t="shared" si="42"/>
        <v xml:space="preserve">N8080G  </v>
      </c>
      <c r="BC852">
        <v>1</v>
      </c>
      <c r="BE852">
        <v>0</v>
      </c>
      <c r="BF852">
        <v>0</v>
      </c>
      <c r="BG852">
        <v>0</v>
      </c>
      <c r="BH852">
        <v>1675</v>
      </c>
      <c r="BI852">
        <v>1</v>
      </c>
      <c r="BJ852">
        <v>1</v>
      </c>
      <c r="BK852">
        <v>1</v>
      </c>
      <c r="BL852">
        <v>0</v>
      </c>
      <c r="BO852">
        <v>0</v>
      </c>
      <c r="BP852">
        <v>0</v>
      </c>
      <c r="BW852" t="str">
        <f>"20:16:35.523"</f>
        <v>20:16:35.523</v>
      </c>
      <c r="BZ852">
        <v>0</v>
      </c>
      <c r="CA852">
        <v>2016</v>
      </c>
      <c r="CB852">
        <v>224</v>
      </c>
      <c r="CD852">
        <v>1</v>
      </c>
      <c r="CE852">
        <v>0</v>
      </c>
      <c r="CF852">
        <v>0</v>
      </c>
      <c r="CG852">
        <v>1</v>
      </c>
      <c r="CH852">
        <v>0</v>
      </c>
      <c r="CI852">
        <v>0</v>
      </c>
      <c r="CJ852">
        <v>0</v>
      </c>
      <c r="CK852">
        <v>2</v>
      </c>
      <c r="CL852">
        <v>0</v>
      </c>
      <c r="CM852">
        <v>2</v>
      </c>
      <c r="CN852">
        <v>0</v>
      </c>
      <c r="CO852">
        <v>7</v>
      </c>
      <c r="CP852" t="s">
        <v>119</v>
      </c>
      <c r="CQ852">
        <v>180</v>
      </c>
      <c r="CR852">
        <v>2</v>
      </c>
      <c r="CW852">
        <v>7995537</v>
      </c>
      <c r="CY852">
        <v>1</v>
      </c>
      <c r="CZ852">
        <v>0</v>
      </c>
      <c r="DA852">
        <v>1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</row>
    <row r="853" spans="1:113" x14ac:dyDescent="0.3">
      <c r="A853" t="str">
        <f>"02/08/2021 20:16:33.216"</f>
        <v>02/08/2021 20:16:33.216</v>
      </c>
      <c r="C853" t="str">
        <f t="shared" si="41"/>
        <v>FFDFD7C0</v>
      </c>
      <c r="D853" t="s">
        <v>124</v>
      </c>
      <c r="E853">
        <v>12</v>
      </c>
      <c r="F853">
        <v>1012</v>
      </c>
      <c r="G853" t="s">
        <v>675</v>
      </c>
      <c r="J853" t="s">
        <v>125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>"20:16:35.516"</f>
        <v>20:16:35.516</v>
      </c>
      <c r="T853" t="str">
        <f>"20:16:35.016"</f>
        <v>20:16:35.016</v>
      </c>
      <c r="U853" t="str">
        <f t="shared" si="40"/>
        <v>AB01F4</v>
      </c>
      <c r="V853">
        <v>0</v>
      </c>
      <c r="W853">
        <v>0</v>
      </c>
      <c r="X853">
        <v>2</v>
      </c>
      <c r="Z853">
        <v>0</v>
      </c>
      <c r="AA853">
        <v>9</v>
      </c>
      <c r="AB853">
        <v>3</v>
      </c>
      <c r="AC853">
        <v>0</v>
      </c>
      <c r="AD853">
        <v>10</v>
      </c>
      <c r="AE853">
        <v>0</v>
      </c>
      <c r="AF853">
        <v>3</v>
      </c>
      <c r="AG853">
        <v>2</v>
      </c>
      <c r="AH853">
        <v>0</v>
      </c>
      <c r="AI853" t="s">
        <v>702</v>
      </c>
      <c r="AJ853">
        <v>39.674377</v>
      </c>
      <c r="AK853" t="s">
        <v>703</v>
      </c>
      <c r="AL853">
        <v>-92.516041000000001</v>
      </c>
      <c r="AM853">
        <v>100</v>
      </c>
      <c r="AN853">
        <v>1700</v>
      </c>
      <c r="AO853" t="s">
        <v>118</v>
      </c>
      <c r="AP853">
        <v>-33</v>
      </c>
      <c r="AQ853">
        <v>123</v>
      </c>
      <c r="AR853">
        <v>0</v>
      </c>
      <c r="AZ853">
        <v>1200</v>
      </c>
      <c r="BA853">
        <v>1</v>
      </c>
      <c r="BB853" t="str">
        <f t="shared" si="42"/>
        <v xml:space="preserve">N8080G  </v>
      </c>
      <c r="BC853">
        <v>1</v>
      </c>
      <c r="BE853">
        <v>0</v>
      </c>
      <c r="BF853">
        <v>0</v>
      </c>
      <c r="BG853">
        <v>0</v>
      </c>
      <c r="BH853">
        <v>1675</v>
      </c>
      <c r="BI853">
        <v>1</v>
      </c>
      <c r="BJ853">
        <v>1</v>
      </c>
      <c r="BK853">
        <v>1</v>
      </c>
      <c r="BL853">
        <v>0</v>
      </c>
      <c r="BO853">
        <v>0</v>
      </c>
      <c r="BP853">
        <v>0</v>
      </c>
      <c r="BW853" t="str">
        <f>"20:16:35.523"</f>
        <v>20:16:35.523</v>
      </c>
      <c r="BZ853">
        <v>0</v>
      </c>
      <c r="CA853">
        <v>2016</v>
      </c>
      <c r="CB853">
        <v>224</v>
      </c>
      <c r="CD853">
        <v>1</v>
      </c>
      <c r="CE853">
        <v>0</v>
      </c>
      <c r="CF853">
        <v>0</v>
      </c>
      <c r="CG853">
        <v>1</v>
      </c>
      <c r="CH853">
        <v>0</v>
      </c>
      <c r="CI853">
        <v>0</v>
      </c>
      <c r="CJ853">
        <v>0</v>
      </c>
      <c r="CK853">
        <v>2</v>
      </c>
      <c r="CL853">
        <v>0</v>
      </c>
      <c r="CM853">
        <v>2</v>
      </c>
      <c r="CN853">
        <v>0</v>
      </c>
      <c r="CO853">
        <v>7</v>
      </c>
      <c r="CP853" t="s">
        <v>119</v>
      </c>
      <c r="CQ853">
        <v>180</v>
      </c>
      <c r="CR853">
        <v>2</v>
      </c>
      <c r="CW853">
        <v>7995537</v>
      </c>
      <c r="CY853">
        <v>1</v>
      </c>
      <c r="CZ853">
        <v>0</v>
      </c>
      <c r="DA853">
        <v>1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</row>
    <row r="854" spans="1:113" x14ac:dyDescent="0.3">
      <c r="A854" t="str">
        <f>"02/08/2021 20:16:33.216"</f>
        <v>02/08/2021 20:16:33.216</v>
      </c>
      <c r="C854" t="str">
        <f t="shared" si="41"/>
        <v>FFDFD7C0</v>
      </c>
      <c r="D854" t="s">
        <v>124</v>
      </c>
      <c r="E854">
        <v>11</v>
      </c>
      <c r="F854">
        <v>1011</v>
      </c>
      <c r="G854" t="s">
        <v>590</v>
      </c>
      <c r="J854" t="s">
        <v>125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>"20:16:35.516"</f>
        <v>20:16:35.516</v>
      </c>
      <c r="T854" t="str">
        <f>"20:16:35.016"</f>
        <v>20:16:35.016</v>
      </c>
      <c r="U854" t="str">
        <f t="shared" si="40"/>
        <v>AB01F4</v>
      </c>
      <c r="V854">
        <v>0</v>
      </c>
      <c r="W854">
        <v>0</v>
      </c>
      <c r="X854">
        <v>2</v>
      </c>
      <c r="Z854">
        <v>0</v>
      </c>
      <c r="AA854">
        <v>9</v>
      </c>
      <c r="AB854">
        <v>3</v>
      </c>
      <c r="AC854">
        <v>0</v>
      </c>
      <c r="AD854">
        <v>10</v>
      </c>
      <c r="AE854">
        <v>0</v>
      </c>
      <c r="AF854">
        <v>3</v>
      </c>
      <c r="AG854">
        <v>2</v>
      </c>
      <c r="AH854">
        <v>0</v>
      </c>
      <c r="AI854" t="s">
        <v>702</v>
      </c>
      <c r="AJ854">
        <v>39.674377</v>
      </c>
      <c r="AK854" t="s">
        <v>703</v>
      </c>
      <c r="AL854">
        <v>-92.516041000000001</v>
      </c>
      <c r="AM854">
        <v>100</v>
      </c>
      <c r="AN854">
        <v>1700</v>
      </c>
      <c r="AO854" t="s">
        <v>118</v>
      </c>
      <c r="AP854">
        <v>-33</v>
      </c>
      <c r="AQ854">
        <v>123</v>
      </c>
      <c r="AR854">
        <v>0</v>
      </c>
      <c r="AZ854">
        <v>1200</v>
      </c>
      <c r="BA854">
        <v>1</v>
      </c>
      <c r="BB854" t="str">
        <f t="shared" si="42"/>
        <v xml:space="preserve">N8080G  </v>
      </c>
      <c r="BC854">
        <v>1</v>
      </c>
      <c r="BE854">
        <v>0</v>
      </c>
      <c r="BF854">
        <v>0</v>
      </c>
      <c r="BG854">
        <v>0</v>
      </c>
      <c r="BH854">
        <v>1675</v>
      </c>
      <c r="BI854">
        <v>1</v>
      </c>
      <c r="BJ854">
        <v>1</v>
      </c>
      <c r="BK854">
        <v>1</v>
      </c>
      <c r="BL854">
        <v>0</v>
      </c>
      <c r="BO854">
        <v>0</v>
      </c>
      <c r="BP854">
        <v>0</v>
      </c>
      <c r="BW854" t="str">
        <f>"20:16:35.523"</f>
        <v>20:16:35.523</v>
      </c>
      <c r="BZ854">
        <v>0</v>
      </c>
      <c r="CA854">
        <v>2016</v>
      </c>
      <c r="CB854">
        <v>224</v>
      </c>
      <c r="CD854">
        <v>1</v>
      </c>
      <c r="CE854">
        <v>0</v>
      </c>
      <c r="CF854">
        <v>0</v>
      </c>
      <c r="CG854">
        <v>1</v>
      </c>
      <c r="CH854">
        <v>0</v>
      </c>
      <c r="CI854">
        <v>0</v>
      </c>
      <c r="CJ854">
        <v>0</v>
      </c>
      <c r="CK854">
        <v>2</v>
      </c>
      <c r="CL854">
        <v>0</v>
      </c>
      <c r="CM854">
        <v>2</v>
      </c>
      <c r="CN854">
        <v>0</v>
      </c>
      <c r="CO854">
        <v>7</v>
      </c>
      <c r="CP854" t="s">
        <v>119</v>
      </c>
      <c r="CQ854">
        <v>180</v>
      </c>
      <c r="CR854">
        <v>2</v>
      </c>
      <c r="CW854">
        <v>7995537</v>
      </c>
      <c r="CY854">
        <v>1</v>
      </c>
      <c r="CZ854">
        <v>0</v>
      </c>
      <c r="DA854">
        <v>1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</row>
    <row r="855" spans="1:113" x14ac:dyDescent="0.3">
      <c r="A855" t="str">
        <f>"02/08/2021 20:16:34.177"</f>
        <v>02/08/2021 20:16:34.177</v>
      </c>
      <c r="C855" t="str">
        <f t="shared" si="41"/>
        <v>FFDFD7C0</v>
      </c>
      <c r="D855" t="s">
        <v>124</v>
      </c>
      <c r="E855">
        <v>13</v>
      </c>
      <c r="F855">
        <v>1013</v>
      </c>
      <c r="G855" t="s">
        <v>114</v>
      </c>
      <c r="J855" t="s">
        <v>125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>"20:16:36.484"</f>
        <v>20:16:36.484</v>
      </c>
      <c r="T855" t="str">
        <f>"20:16:36.084"</f>
        <v>20:16:36.084</v>
      </c>
      <c r="U855" t="str">
        <f t="shared" si="40"/>
        <v>AB01F4</v>
      </c>
      <c r="V855">
        <v>0</v>
      </c>
      <c r="W855">
        <v>0</v>
      </c>
      <c r="X855">
        <v>2</v>
      </c>
      <c r="Z855">
        <v>0</v>
      </c>
      <c r="AA855">
        <v>9</v>
      </c>
      <c r="AB855">
        <v>3</v>
      </c>
      <c r="AC855">
        <v>0</v>
      </c>
      <c r="AD855">
        <v>10</v>
      </c>
      <c r="AE855">
        <v>0</v>
      </c>
      <c r="AF855">
        <v>3</v>
      </c>
      <c r="AG855">
        <v>2</v>
      </c>
      <c r="AH855">
        <v>0</v>
      </c>
      <c r="AI855" t="s">
        <v>704</v>
      </c>
      <c r="AJ855">
        <v>39.674892</v>
      </c>
      <c r="AK855" t="s">
        <v>705</v>
      </c>
      <c r="AL855">
        <v>-92.516233999999997</v>
      </c>
      <c r="AM855">
        <v>100</v>
      </c>
      <c r="AN855">
        <v>1700</v>
      </c>
      <c r="AO855" t="s">
        <v>118</v>
      </c>
      <c r="AP855">
        <v>-33</v>
      </c>
      <c r="AQ855">
        <v>122</v>
      </c>
      <c r="AR855">
        <v>-64</v>
      </c>
      <c r="AZ855">
        <v>1200</v>
      </c>
      <c r="BA855">
        <v>1</v>
      </c>
      <c r="BB855" t="str">
        <f t="shared" si="42"/>
        <v xml:space="preserve">N8080G  </v>
      </c>
      <c r="BC855">
        <v>1</v>
      </c>
      <c r="BE855">
        <v>0</v>
      </c>
      <c r="BF855">
        <v>0</v>
      </c>
      <c r="BG855">
        <v>0</v>
      </c>
      <c r="BH855">
        <v>1675</v>
      </c>
      <c r="BI855">
        <v>1</v>
      </c>
      <c r="BJ855">
        <v>1</v>
      </c>
      <c r="BK855">
        <v>1</v>
      </c>
      <c r="BL855">
        <v>0</v>
      </c>
      <c r="BO855">
        <v>0</v>
      </c>
      <c r="BP855">
        <v>0</v>
      </c>
      <c r="BW855" t="str">
        <f>"20:16:36.488"</f>
        <v>20:16:36.488</v>
      </c>
      <c r="BZ855">
        <v>0</v>
      </c>
      <c r="CA855">
        <v>2016</v>
      </c>
      <c r="CB855">
        <v>224</v>
      </c>
      <c r="CD855">
        <v>1</v>
      </c>
      <c r="CE855">
        <v>0</v>
      </c>
      <c r="CF855">
        <v>0</v>
      </c>
      <c r="CG855">
        <v>1</v>
      </c>
      <c r="CH855">
        <v>0</v>
      </c>
      <c r="CI855">
        <v>0</v>
      </c>
      <c r="CJ855">
        <v>0</v>
      </c>
      <c r="CK855">
        <v>2</v>
      </c>
      <c r="CL855">
        <v>0</v>
      </c>
      <c r="CM855">
        <v>2</v>
      </c>
      <c r="CN855">
        <v>0</v>
      </c>
      <c r="CO855">
        <v>7</v>
      </c>
      <c r="CP855" t="s">
        <v>119</v>
      </c>
      <c r="CQ855">
        <v>180</v>
      </c>
      <c r="CR855">
        <v>2</v>
      </c>
      <c r="CW855">
        <v>7996361</v>
      </c>
      <c r="CY855">
        <v>1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</row>
    <row r="856" spans="1:113" x14ac:dyDescent="0.3">
      <c r="A856" t="str">
        <f>"02/08/2021 20:16:34.177"</f>
        <v>02/08/2021 20:16:34.177</v>
      </c>
      <c r="C856" t="str">
        <f t="shared" si="41"/>
        <v>FFDFD7C0</v>
      </c>
      <c r="D856" t="s">
        <v>113</v>
      </c>
      <c r="E856">
        <v>6</v>
      </c>
      <c r="H856">
        <v>165</v>
      </c>
      <c r="I856" t="s">
        <v>114</v>
      </c>
      <c r="J856" t="s">
        <v>115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>"20:16:36.484"</f>
        <v>20:16:36.484</v>
      </c>
      <c r="T856" t="str">
        <f>"20:16:36.084"</f>
        <v>20:16:36.084</v>
      </c>
      <c r="U856" t="str">
        <f t="shared" si="40"/>
        <v>AB01F4</v>
      </c>
      <c r="V856">
        <v>0</v>
      </c>
      <c r="W856">
        <v>0</v>
      </c>
      <c r="X856">
        <v>2</v>
      </c>
      <c r="Z856">
        <v>0</v>
      </c>
      <c r="AA856">
        <v>9</v>
      </c>
      <c r="AB856">
        <v>3</v>
      </c>
      <c r="AC856">
        <v>0</v>
      </c>
      <c r="AD856">
        <v>10</v>
      </c>
      <c r="AE856">
        <v>0</v>
      </c>
      <c r="AF856">
        <v>3</v>
      </c>
      <c r="AG856">
        <v>2</v>
      </c>
      <c r="AH856">
        <v>0</v>
      </c>
      <c r="AI856" t="s">
        <v>704</v>
      </c>
      <c r="AJ856">
        <v>39.674892</v>
      </c>
      <c r="AK856" t="s">
        <v>705</v>
      </c>
      <c r="AL856">
        <v>-92.516233999999997</v>
      </c>
      <c r="AM856">
        <v>100</v>
      </c>
      <c r="AN856">
        <v>1700</v>
      </c>
      <c r="AO856" t="s">
        <v>118</v>
      </c>
      <c r="AP856">
        <v>-33</v>
      </c>
      <c r="AQ856">
        <v>122</v>
      </c>
      <c r="AR856">
        <v>-64</v>
      </c>
      <c r="AZ856">
        <v>1200</v>
      </c>
      <c r="BA856">
        <v>1</v>
      </c>
      <c r="BB856" t="str">
        <f t="shared" si="42"/>
        <v xml:space="preserve">N8080G  </v>
      </c>
      <c r="BC856">
        <v>1</v>
      </c>
      <c r="BE856">
        <v>0</v>
      </c>
      <c r="BF856">
        <v>0</v>
      </c>
      <c r="BG856">
        <v>0</v>
      </c>
      <c r="BH856">
        <v>1675</v>
      </c>
      <c r="BI856">
        <v>1</v>
      </c>
      <c r="BJ856">
        <v>1</v>
      </c>
      <c r="BK856">
        <v>1</v>
      </c>
      <c r="BL856">
        <v>0</v>
      </c>
      <c r="BO856">
        <v>0</v>
      </c>
      <c r="BP856">
        <v>0</v>
      </c>
      <c r="BW856" t="str">
        <f>"20:16:36.488"</f>
        <v>20:16:36.488</v>
      </c>
      <c r="BZ856">
        <v>0</v>
      </c>
      <c r="CA856">
        <v>2016</v>
      </c>
      <c r="CB856">
        <v>224</v>
      </c>
      <c r="CD856">
        <v>1</v>
      </c>
      <c r="CE856">
        <v>0</v>
      </c>
      <c r="CF856">
        <v>0</v>
      </c>
      <c r="CG856">
        <v>1</v>
      </c>
      <c r="CH856">
        <v>0</v>
      </c>
      <c r="CI856">
        <v>0</v>
      </c>
      <c r="CJ856">
        <v>0</v>
      </c>
      <c r="CK856">
        <v>2</v>
      </c>
      <c r="CL856">
        <v>0</v>
      </c>
      <c r="CM856">
        <v>2</v>
      </c>
      <c r="CN856">
        <v>0</v>
      </c>
      <c r="CO856">
        <v>7</v>
      </c>
      <c r="CP856" t="s">
        <v>119</v>
      </c>
      <c r="CQ856">
        <v>180</v>
      </c>
      <c r="CR856">
        <v>2</v>
      </c>
      <c r="CW856">
        <v>7996361</v>
      </c>
      <c r="CY856">
        <v>1</v>
      </c>
      <c r="CZ856">
        <v>0</v>
      </c>
      <c r="DA856">
        <v>1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</row>
    <row r="857" spans="1:113" x14ac:dyDescent="0.3">
      <c r="A857" t="str">
        <f>"02/08/2021 20:16:34.177"</f>
        <v>02/08/2021 20:16:34.177</v>
      </c>
      <c r="C857" t="str">
        <f t="shared" si="41"/>
        <v>FFDFD7C0</v>
      </c>
      <c r="D857" t="s">
        <v>124</v>
      </c>
      <c r="E857">
        <v>12</v>
      </c>
      <c r="F857">
        <v>1012</v>
      </c>
      <c r="G857" t="s">
        <v>675</v>
      </c>
      <c r="J857" t="s">
        <v>125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>"20:16:36.484"</f>
        <v>20:16:36.484</v>
      </c>
      <c r="T857" t="str">
        <f>"20:16:36.084"</f>
        <v>20:16:36.084</v>
      </c>
      <c r="U857" t="str">
        <f t="shared" si="40"/>
        <v>AB01F4</v>
      </c>
      <c r="V857">
        <v>0</v>
      </c>
      <c r="W857">
        <v>0</v>
      </c>
      <c r="X857">
        <v>2</v>
      </c>
      <c r="Z857">
        <v>0</v>
      </c>
      <c r="AA857">
        <v>9</v>
      </c>
      <c r="AB857">
        <v>3</v>
      </c>
      <c r="AC857">
        <v>0</v>
      </c>
      <c r="AD857">
        <v>10</v>
      </c>
      <c r="AE857">
        <v>0</v>
      </c>
      <c r="AF857">
        <v>3</v>
      </c>
      <c r="AG857">
        <v>2</v>
      </c>
      <c r="AH857">
        <v>0</v>
      </c>
      <c r="AI857" t="s">
        <v>704</v>
      </c>
      <c r="AJ857">
        <v>39.674892</v>
      </c>
      <c r="AK857" t="s">
        <v>705</v>
      </c>
      <c r="AL857">
        <v>-92.516233999999997</v>
      </c>
      <c r="AM857">
        <v>100</v>
      </c>
      <c r="AN857">
        <v>1700</v>
      </c>
      <c r="AO857" t="s">
        <v>118</v>
      </c>
      <c r="AP857">
        <v>-33</v>
      </c>
      <c r="AQ857">
        <v>122</v>
      </c>
      <c r="AR857">
        <v>-64</v>
      </c>
      <c r="AZ857">
        <v>1200</v>
      </c>
      <c r="BA857">
        <v>1</v>
      </c>
      <c r="BB857" t="str">
        <f t="shared" si="42"/>
        <v xml:space="preserve">N8080G  </v>
      </c>
      <c r="BC857">
        <v>1</v>
      </c>
      <c r="BE857">
        <v>0</v>
      </c>
      <c r="BF857">
        <v>0</v>
      </c>
      <c r="BG857">
        <v>0</v>
      </c>
      <c r="BH857">
        <v>1675</v>
      </c>
      <c r="BI857">
        <v>1</v>
      </c>
      <c r="BJ857">
        <v>1</v>
      </c>
      <c r="BK857">
        <v>1</v>
      </c>
      <c r="BL857">
        <v>0</v>
      </c>
      <c r="BO857">
        <v>0</v>
      </c>
      <c r="BP857">
        <v>0</v>
      </c>
      <c r="BW857" t="str">
        <f>"20:16:36.488"</f>
        <v>20:16:36.488</v>
      </c>
      <c r="BZ857">
        <v>0</v>
      </c>
      <c r="CA857">
        <v>2016</v>
      </c>
      <c r="CB857">
        <v>224</v>
      </c>
      <c r="CD857">
        <v>1</v>
      </c>
      <c r="CE857">
        <v>0</v>
      </c>
      <c r="CF857">
        <v>0</v>
      </c>
      <c r="CG857">
        <v>1</v>
      </c>
      <c r="CH857">
        <v>0</v>
      </c>
      <c r="CI857">
        <v>0</v>
      </c>
      <c r="CJ857">
        <v>0</v>
      </c>
      <c r="CK857">
        <v>2</v>
      </c>
      <c r="CL857">
        <v>0</v>
      </c>
      <c r="CM857">
        <v>2</v>
      </c>
      <c r="CN857">
        <v>0</v>
      </c>
      <c r="CO857">
        <v>7</v>
      </c>
      <c r="CP857" t="s">
        <v>119</v>
      </c>
      <c r="CQ857">
        <v>180</v>
      </c>
      <c r="CR857">
        <v>2</v>
      </c>
      <c r="CW857">
        <v>7996361</v>
      </c>
      <c r="CY857">
        <v>1</v>
      </c>
      <c r="CZ857">
        <v>0</v>
      </c>
      <c r="DA857">
        <v>1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</row>
    <row r="858" spans="1:113" x14ac:dyDescent="0.3">
      <c r="A858" t="str">
        <f>"02/08/2021 20:16:34.177"</f>
        <v>02/08/2021 20:16:34.177</v>
      </c>
      <c r="C858" t="str">
        <f t="shared" si="41"/>
        <v>FFDFD7C0</v>
      </c>
      <c r="D858" t="s">
        <v>124</v>
      </c>
      <c r="E858">
        <v>11</v>
      </c>
      <c r="F858">
        <v>1011</v>
      </c>
      <c r="G858" t="s">
        <v>590</v>
      </c>
      <c r="J858" t="s">
        <v>125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>"20:16:36.484"</f>
        <v>20:16:36.484</v>
      </c>
      <c r="T858" t="str">
        <f>"20:16:36.084"</f>
        <v>20:16:36.084</v>
      </c>
      <c r="U858" t="str">
        <f t="shared" si="40"/>
        <v>AB01F4</v>
      </c>
      <c r="V858">
        <v>0</v>
      </c>
      <c r="W858">
        <v>0</v>
      </c>
      <c r="X858">
        <v>2</v>
      </c>
      <c r="Z858">
        <v>0</v>
      </c>
      <c r="AA858">
        <v>9</v>
      </c>
      <c r="AB858">
        <v>3</v>
      </c>
      <c r="AC858">
        <v>0</v>
      </c>
      <c r="AD858">
        <v>10</v>
      </c>
      <c r="AE858">
        <v>0</v>
      </c>
      <c r="AF858">
        <v>3</v>
      </c>
      <c r="AG858">
        <v>2</v>
      </c>
      <c r="AH858">
        <v>0</v>
      </c>
      <c r="AI858" t="s">
        <v>704</v>
      </c>
      <c r="AJ858">
        <v>39.674892</v>
      </c>
      <c r="AK858" t="s">
        <v>705</v>
      </c>
      <c r="AL858">
        <v>-92.516233999999997</v>
      </c>
      <c r="AM858">
        <v>100</v>
      </c>
      <c r="AN858">
        <v>1700</v>
      </c>
      <c r="AO858" t="s">
        <v>118</v>
      </c>
      <c r="AP858">
        <v>-33</v>
      </c>
      <c r="AQ858">
        <v>122</v>
      </c>
      <c r="AR858">
        <v>-64</v>
      </c>
      <c r="AZ858">
        <v>1200</v>
      </c>
      <c r="BA858">
        <v>1</v>
      </c>
      <c r="BB858" t="str">
        <f t="shared" si="42"/>
        <v xml:space="preserve">N8080G  </v>
      </c>
      <c r="BC858">
        <v>1</v>
      </c>
      <c r="BE858">
        <v>0</v>
      </c>
      <c r="BF858">
        <v>0</v>
      </c>
      <c r="BG858">
        <v>0</v>
      </c>
      <c r="BH858">
        <v>1675</v>
      </c>
      <c r="BI858">
        <v>1</v>
      </c>
      <c r="BJ858">
        <v>1</v>
      </c>
      <c r="BK858">
        <v>1</v>
      </c>
      <c r="BL858">
        <v>0</v>
      </c>
      <c r="BO858">
        <v>0</v>
      </c>
      <c r="BP858">
        <v>0</v>
      </c>
      <c r="BW858" t="str">
        <f>"20:16:36.488"</f>
        <v>20:16:36.488</v>
      </c>
      <c r="BZ858">
        <v>0</v>
      </c>
      <c r="CA858">
        <v>2016</v>
      </c>
      <c r="CB858">
        <v>224</v>
      </c>
      <c r="CD858">
        <v>1</v>
      </c>
      <c r="CE858">
        <v>0</v>
      </c>
      <c r="CF858">
        <v>0</v>
      </c>
      <c r="CG858">
        <v>1</v>
      </c>
      <c r="CH858">
        <v>0</v>
      </c>
      <c r="CI858">
        <v>0</v>
      </c>
      <c r="CJ858">
        <v>0</v>
      </c>
      <c r="CK858">
        <v>2</v>
      </c>
      <c r="CL858">
        <v>0</v>
      </c>
      <c r="CM858">
        <v>2</v>
      </c>
      <c r="CN858">
        <v>0</v>
      </c>
      <c r="CO858">
        <v>7</v>
      </c>
      <c r="CP858" t="s">
        <v>119</v>
      </c>
      <c r="CQ858">
        <v>180</v>
      </c>
      <c r="CR858">
        <v>2</v>
      </c>
      <c r="CW858">
        <v>7996361</v>
      </c>
      <c r="CY858">
        <v>1</v>
      </c>
      <c r="CZ858">
        <v>0</v>
      </c>
      <c r="DA858">
        <v>1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</row>
    <row r="859" spans="1:113" x14ac:dyDescent="0.3">
      <c r="A859" t="str">
        <f>"02/08/2021 20:16:35.684"</f>
        <v>02/08/2021 20:16:35.684</v>
      </c>
      <c r="C859" t="str">
        <f t="shared" si="41"/>
        <v>FFDFD7C0</v>
      </c>
      <c r="D859" t="s">
        <v>124</v>
      </c>
      <c r="E859">
        <v>13</v>
      </c>
      <c r="F859">
        <v>1013</v>
      </c>
      <c r="G859" t="s">
        <v>114</v>
      </c>
      <c r="J859" t="s">
        <v>125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>"20:16:37.992"</f>
        <v>20:16:37.992</v>
      </c>
      <c r="T859" t="str">
        <f>"20:16:37.492"</f>
        <v>20:16:37.492</v>
      </c>
      <c r="U859" t="str">
        <f t="shared" si="40"/>
        <v>AB01F4</v>
      </c>
      <c r="V859">
        <v>0</v>
      </c>
      <c r="W859">
        <v>0</v>
      </c>
      <c r="X859">
        <v>2</v>
      </c>
      <c r="Z859">
        <v>0</v>
      </c>
      <c r="AA859">
        <v>9</v>
      </c>
      <c r="AB859">
        <v>3</v>
      </c>
      <c r="AC859">
        <v>0</v>
      </c>
      <c r="AD859">
        <v>10</v>
      </c>
      <c r="AE859">
        <v>0</v>
      </c>
      <c r="AF859">
        <v>3</v>
      </c>
      <c r="AG859">
        <v>2</v>
      </c>
      <c r="AH859">
        <v>0</v>
      </c>
      <c r="AI859" t="s">
        <v>706</v>
      </c>
      <c r="AJ859">
        <v>39.675708</v>
      </c>
      <c r="AK859" t="s">
        <v>707</v>
      </c>
      <c r="AL859">
        <v>-92.516533999999993</v>
      </c>
      <c r="AM859">
        <v>100</v>
      </c>
      <c r="AN859">
        <v>1700</v>
      </c>
      <c r="AO859" t="s">
        <v>118</v>
      </c>
      <c r="AP859">
        <v>-33</v>
      </c>
      <c r="AQ859">
        <v>122</v>
      </c>
      <c r="AR859">
        <v>0</v>
      </c>
      <c r="AZ859">
        <v>1200</v>
      </c>
      <c r="BA859">
        <v>1</v>
      </c>
      <c r="BB859" t="str">
        <f t="shared" si="42"/>
        <v xml:space="preserve">N8080G  </v>
      </c>
      <c r="BC859">
        <v>1</v>
      </c>
      <c r="BE859">
        <v>0</v>
      </c>
      <c r="BF859">
        <v>0</v>
      </c>
      <c r="BG859">
        <v>0</v>
      </c>
      <c r="BH859">
        <v>1675</v>
      </c>
      <c r="BI859">
        <v>1</v>
      </c>
      <c r="BJ859">
        <v>1</v>
      </c>
      <c r="BK859">
        <v>1</v>
      </c>
      <c r="BL859">
        <v>0</v>
      </c>
      <c r="BO859">
        <v>0</v>
      </c>
      <c r="BP859">
        <v>0</v>
      </c>
      <c r="BW859" t="str">
        <f>"20:16:37.997"</f>
        <v>20:16:37.997</v>
      </c>
      <c r="BZ859">
        <v>0</v>
      </c>
      <c r="CA859">
        <v>2016</v>
      </c>
      <c r="CB859">
        <v>224</v>
      </c>
      <c r="CD859">
        <v>1</v>
      </c>
      <c r="CE859">
        <v>0</v>
      </c>
      <c r="CF859">
        <v>0</v>
      </c>
      <c r="CG859">
        <v>1</v>
      </c>
      <c r="CH859">
        <v>0</v>
      </c>
      <c r="CI859">
        <v>0</v>
      </c>
      <c r="CJ859">
        <v>0</v>
      </c>
      <c r="CK859">
        <v>2</v>
      </c>
      <c r="CL859">
        <v>0</v>
      </c>
      <c r="CM859">
        <v>2</v>
      </c>
      <c r="CN859">
        <v>0</v>
      </c>
      <c r="CO859">
        <v>7</v>
      </c>
      <c r="CP859" t="s">
        <v>119</v>
      </c>
      <c r="CQ859">
        <v>180</v>
      </c>
      <c r="CR859">
        <v>2</v>
      </c>
      <c r="CW859">
        <v>7997708</v>
      </c>
      <c r="CY859">
        <v>1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</row>
    <row r="860" spans="1:113" x14ac:dyDescent="0.3">
      <c r="A860" t="str">
        <f>"02/08/2021 20:16:35.684"</f>
        <v>02/08/2021 20:16:35.684</v>
      </c>
      <c r="C860" t="str">
        <f t="shared" si="41"/>
        <v>FFDFD7C0</v>
      </c>
      <c r="D860" t="s">
        <v>124</v>
      </c>
      <c r="E860">
        <v>12</v>
      </c>
      <c r="F860">
        <v>1012</v>
      </c>
      <c r="G860" t="s">
        <v>675</v>
      </c>
      <c r="J860" t="s">
        <v>125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>"20:16:37.992"</f>
        <v>20:16:37.992</v>
      </c>
      <c r="T860" t="str">
        <f>"20:16:37.492"</f>
        <v>20:16:37.492</v>
      </c>
      <c r="U860" t="str">
        <f t="shared" si="40"/>
        <v>AB01F4</v>
      </c>
      <c r="V860">
        <v>0</v>
      </c>
      <c r="W860">
        <v>0</v>
      </c>
      <c r="X860">
        <v>2</v>
      </c>
      <c r="Z860">
        <v>0</v>
      </c>
      <c r="AA860">
        <v>9</v>
      </c>
      <c r="AB860">
        <v>3</v>
      </c>
      <c r="AC860">
        <v>0</v>
      </c>
      <c r="AD860">
        <v>10</v>
      </c>
      <c r="AE860">
        <v>0</v>
      </c>
      <c r="AF860">
        <v>3</v>
      </c>
      <c r="AG860">
        <v>2</v>
      </c>
      <c r="AH860">
        <v>0</v>
      </c>
      <c r="AI860" t="s">
        <v>706</v>
      </c>
      <c r="AJ860">
        <v>39.675708</v>
      </c>
      <c r="AK860" t="s">
        <v>707</v>
      </c>
      <c r="AL860">
        <v>-92.516533999999993</v>
      </c>
      <c r="AM860">
        <v>100</v>
      </c>
      <c r="AN860">
        <v>1700</v>
      </c>
      <c r="AO860" t="s">
        <v>118</v>
      </c>
      <c r="AP860">
        <v>-33</v>
      </c>
      <c r="AQ860">
        <v>122</v>
      </c>
      <c r="AR860">
        <v>0</v>
      </c>
      <c r="AZ860">
        <v>1200</v>
      </c>
      <c r="BA860">
        <v>1</v>
      </c>
      <c r="BB860" t="str">
        <f t="shared" si="42"/>
        <v xml:space="preserve">N8080G  </v>
      </c>
      <c r="BC860">
        <v>1</v>
      </c>
      <c r="BE860">
        <v>0</v>
      </c>
      <c r="BF860">
        <v>0</v>
      </c>
      <c r="BG860">
        <v>0</v>
      </c>
      <c r="BH860">
        <v>1675</v>
      </c>
      <c r="BI860">
        <v>1</v>
      </c>
      <c r="BJ860">
        <v>1</v>
      </c>
      <c r="BK860">
        <v>1</v>
      </c>
      <c r="BL860">
        <v>0</v>
      </c>
      <c r="BO860">
        <v>0</v>
      </c>
      <c r="BP860">
        <v>0</v>
      </c>
      <c r="BW860" t="str">
        <f>"20:16:37.997"</f>
        <v>20:16:37.997</v>
      </c>
      <c r="BZ860">
        <v>0</v>
      </c>
      <c r="CA860">
        <v>2016</v>
      </c>
      <c r="CB860">
        <v>224</v>
      </c>
      <c r="CD860">
        <v>1</v>
      </c>
      <c r="CE860">
        <v>0</v>
      </c>
      <c r="CF860">
        <v>0</v>
      </c>
      <c r="CG860">
        <v>1</v>
      </c>
      <c r="CH860">
        <v>0</v>
      </c>
      <c r="CI860">
        <v>0</v>
      </c>
      <c r="CJ860">
        <v>0</v>
      </c>
      <c r="CK860">
        <v>2</v>
      </c>
      <c r="CL860">
        <v>0</v>
      </c>
      <c r="CM860">
        <v>2</v>
      </c>
      <c r="CN860">
        <v>0</v>
      </c>
      <c r="CO860">
        <v>7</v>
      </c>
      <c r="CP860" t="s">
        <v>119</v>
      </c>
      <c r="CQ860">
        <v>180</v>
      </c>
      <c r="CR860">
        <v>2</v>
      </c>
      <c r="CW860">
        <v>7997708</v>
      </c>
      <c r="CY860">
        <v>1</v>
      </c>
      <c r="CZ860">
        <v>0</v>
      </c>
      <c r="DA860">
        <v>1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</row>
    <row r="861" spans="1:113" x14ac:dyDescent="0.3">
      <c r="A861" t="str">
        <f>"02/08/2021 20:16:35.684"</f>
        <v>02/08/2021 20:16:35.684</v>
      </c>
      <c r="C861" t="str">
        <f t="shared" si="41"/>
        <v>FFDFD7C0</v>
      </c>
      <c r="D861" t="s">
        <v>113</v>
      </c>
      <c r="E861">
        <v>6</v>
      </c>
      <c r="H861">
        <v>165</v>
      </c>
      <c r="I861" t="s">
        <v>114</v>
      </c>
      <c r="J861" t="s">
        <v>115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>"20:16:37.992"</f>
        <v>20:16:37.992</v>
      </c>
      <c r="T861" t="str">
        <f>"20:16:37.492"</f>
        <v>20:16:37.492</v>
      </c>
      <c r="U861" t="str">
        <f t="shared" si="40"/>
        <v>AB01F4</v>
      </c>
      <c r="V861">
        <v>0</v>
      </c>
      <c r="W861">
        <v>0</v>
      </c>
      <c r="X861">
        <v>2</v>
      </c>
      <c r="Z861">
        <v>0</v>
      </c>
      <c r="AA861">
        <v>9</v>
      </c>
      <c r="AB861">
        <v>3</v>
      </c>
      <c r="AC861">
        <v>0</v>
      </c>
      <c r="AD861">
        <v>10</v>
      </c>
      <c r="AE861">
        <v>0</v>
      </c>
      <c r="AF861">
        <v>3</v>
      </c>
      <c r="AG861">
        <v>2</v>
      </c>
      <c r="AH861">
        <v>0</v>
      </c>
      <c r="AI861" t="s">
        <v>706</v>
      </c>
      <c r="AJ861">
        <v>39.675708</v>
      </c>
      <c r="AK861" t="s">
        <v>707</v>
      </c>
      <c r="AL861">
        <v>-92.516533999999993</v>
      </c>
      <c r="AM861">
        <v>100</v>
      </c>
      <c r="AN861">
        <v>1700</v>
      </c>
      <c r="AO861" t="s">
        <v>118</v>
      </c>
      <c r="AP861">
        <v>-33</v>
      </c>
      <c r="AQ861">
        <v>122</v>
      </c>
      <c r="AR861">
        <v>0</v>
      </c>
      <c r="AZ861">
        <v>1200</v>
      </c>
      <c r="BA861">
        <v>1</v>
      </c>
      <c r="BB861" t="str">
        <f t="shared" si="42"/>
        <v xml:space="preserve">N8080G  </v>
      </c>
      <c r="BC861">
        <v>1</v>
      </c>
      <c r="BE861">
        <v>0</v>
      </c>
      <c r="BF861">
        <v>0</v>
      </c>
      <c r="BG861">
        <v>0</v>
      </c>
      <c r="BH861">
        <v>1675</v>
      </c>
      <c r="BI861">
        <v>1</v>
      </c>
      <c r="BJ861">
        <v>1</v>
      </c>
      <c r="BK861">
        <v>1</v>
      </c>
      <c r="BL861">
        <v>0</v>
      </c>
      <c r="BO861">
        <v>0</v>
      </c>
      <c r="BP861">
        <v>0</v>
      </c>
      <c r="BW861" t="str">
        <f>"20:16:37.997"</f>
        <v>20:16:37.997</v>
      </c>
      <c r="BZ861">
        <v>0</v>
      </c>
      <c r="CA861">
        <v>2016</v>
      </c>
      <c r="CB861">
        <v>224</v>
      </c>
      <c r="CD861">
        <v>1</v>
      </c>
      <c r="CE861">
        <v>0</v>
      </c>
      <c r="CF861">
        <v>0</v>
      </c>
      <c r="CG861">
        <v>1</v>
      </c>
      <c r="CH861">
        <v>0</v>
      </c>
      <c r="CI861">
        <v>0</v>
      </c>
      <c r="CJ861">
        <v>0</v>
      </c>
      <c r="CK861">
        <v>2</v>
      </c>
      <c r="CL861">
        <v>0</v>
      </c>
      <c r="CM861">
        <v>2</v>
      </c>
      <c r="CN861">
        <v>0</v>
      </c>
      <c r="CO861">
        <v>7</v>
      </c>
      <c r="CP861" t="s">
        <v>119</v>
      </c>
      <c r="CQ861">
        <v>180</v>
      </c>
      <c r="CR861">
        <v>2</v>
      </c>
      <c r="CW861">
        <v>7997708</v>
      </c>
      <c r="CY861">
        <v>1</v>
      </c>
      <c r="CZ861">
        <v>0</v>
      </c>
      <c r="DA861">
        <v>1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</row>
    <row r="862" spans="1:113" x14ac:dyDescent="0.3">
      <c r="A862" t="str">
        <f>"02/08/2021 20:16:35.684"</f>
        <v>02/08/2021 20:16:35.684</v>
      </c>
      <c r="C862" t="str">
        <f t="shared" si="41"/>
        <v>FFDFD7C0</v>
      </c>
      <c r="D862" t="s">
        <v>124</v>
      </c>
      <c r="E862">
        <v>11</v>
      </c>
      <c r="F862">
        <v>1011</v>
      </c>
      <c r="G862" t="s">
        <v>590</v>
      </c>
      <c r="J862" t="s">
        <v>125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>"20:16:37.992"</f>
        <v>20:16:37.992</v>
      </c>
      <c r="T862" t="str">
        <f>"20:16:37.492"</f>
        <v>20:16:37.492</v>
      </c>
      <c r="U862" t="str">
        <f t="shared" si="40"/>
        <v>AB01F4</v>
      </c>
      <c r="V862">
        <v>0</v>
      </c>
      <c r="W862">
        <v>0</v>
      </c>
      <c r="X862">
        <v>2</v>
      </c>
      <c r="Z862">
        <v>0</v>
      </c>
      <c r="AA862">
        <v>9</v>
      </c>
      <c r="AB862">
        <v>3</v>
      </c>
      <c r="AC862">
        <v>0</v>
      </c>
      <c r="AD862">
        <v>10</v>
      </c>
      <c r="AE862">
        <v>0</v>
      </c>
      <c r="AF862">
        <v>3</v>
      </c>
      <c r="AG862">
        <v>2</v>
      </c>
      <c r="AH862">
        <v>0</v>
      </c>
      <c r="AI862" t="s">
        <v>706</v>
      </c>
      <c r="AJ862">
        <v>39.675708</v>
      </c>
      <c r="AK862" t="s">
        <v>707</v>
      </c>
      <c r="AL862">
        <v>-92.516533999999993</v>
      </c>
      <c r="AM862">
        <v>100</v>
      </c>
      <c r="AN862">
        <v>1700</v>
      </c>
      <c r="AO862" t="s">
        <v>118</v>
      </c>
      <c r="AP862">
        <v>-33</v>
      </c>
      <c r="AQ862">
        <v>122</v>
      </c>
      <c r="AR862">
        <v>0</v>
      </c>
      <c r="AZ862">
        <v>1200</v>
      </c>
      <c r="BA862">
        <v>1</v>
      </c>
      <c r="BB862" t="str">
        <f t="shared" si="42"/>
        <v xml:space="preserve">N8080G  </v>
      </c>
      <c r="BC862">
        <v>1</v>
      </c>
      <c r="BE862">
        <v>0</v>
      </c>
      <c r="BF862">
        <v>0</v>
      </c>
      <c r="BG862">
        <v>0</v>
      </c>
      <c r="BH862">
        <v>1675</v>
      </c>
      <c r="BI862">
        <v>1</v>
      </c>
      <c r="BJ862">
        <v>1</v>
      </c>
      <c r="BK862">
        <v>1</v>
      </c>
      <c r="BL862">
        <v>0</v>
      </c>
      <c r="BO862">
        <v>0</v>
      </c>
      <c r="BP862">
        <v>0</v>
      </c>
      <c r="BW862" t="str">
        <f>"20:16:37.997"</f>
        <v>20:16:37.997</v>
      </c>
      <c r="BZ862">
        <v>0</v>
      </c>
      <c r="CA862">
        <v>2016</v>
      </c>
      <c r="CB862">
        <v>224</v>
      </c>
      <c r="CD862">
        <v>1</v>
      </c>
      <c r="CE862">
        <v>0</v>
      </c>
      <c r="CF862">
        <v>0</v>
      </c>
      <c r="CG862">
        <v>1</v>
      </c>
      <c r="CH862">
        <v>0</v>
      </c>
      <c r="CI862">
        <v>0</v>
      </c>
      <c r="CJ862">
        <v>0</v>
      </c>
      <c r="CK862">
        <v>2</v>
      </c>
      <c r="CL862">
        <v>0</v>
      </c>
      <c r="CM862">
        <v>2</v>
      </c>
      <c r="CN862">
        <v>0</v>
      </c>
      <c r="CO862">
        <v>7</v>
      </c>
      <c r="CP862" t="s">
        <v>119</v>
      </c>
      <c r="CQ862">
        <v>180</v>
      </c>
      <c r="CR862">
        <v>2</v>
      </c>
      <c r="CW862">
        <v>7997708</v>
      </c>
      <c r="CY862">
        <v>1</v>
      </c>
      <c r="CZ862">
        <v>0</v>
      </c>
      <c r="DA862">
        <v>1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</row>
    <row r="863" spans="1:113" x14ac:dyDescent="0.3">
      <c r="A863" t="str">
        <f>"02/08/2021 20:16:37.091"</f>
        <v>02/08/2021 20:16:37.091</v>
      </c>
      <c r="C863" t="str">
        <f t="shared" si="41"/>
        <v>FFDFD7C0</v>
      </c>
      <c r="D863" t="s">
        <v>124</v>
      </c>
      <c r="E863">
        <v>13</v>
      </c>
      <c r="F863">
        <v>1013</v>
      </c>
      <c r="G863" t="s">
        <v>114</v>
      </c>
      <c r="J863" t="s">
        <v>125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>"20:16:39.414"</f>
        <v>20:16:39.414</v>
      </c>
      <c r="T863" t="str">
        <f>"20:16:38.914"</f>
        <v>20:16:38.914</v>
      </c>
      <c r="U863" t="str">
        <f t="shared" si="40"/>
        <v>AB01F4</v>
      </c>
      <c r="V863">
        <v>0</v>
      </c>
      <c r="W863">
        <v>0</v>
      </c>
      <c r="X863">
        <v>2</v>
      </c>
      <c r="Z863">
        <v>0</v>
      </c>
      <c r="AA863">
        <v>9</v>
      </c>
      <c r="AB863">
        <v>3</v>
      </c>
      <c r="AC863">
        <v>0</v>
      </c>
      <c r="AD863">
        <v>10</v>
      </c>
      <c r="AE863">
        <v>0</v>
      </c>
      <c r="AF863">
        <v>3</v>
      </c>
      <c r="AG863">
        <v>2</v>
      </c>
      <c r="AH863">
        <v>0</v>
      </c>
      <c r="AI863" t="s">
        <v>708</v>
      </c>
      <c r="AJ863">
        <v>39.676566000000001</v>
      </c>
      <c r="AK863" t="s">
        <v>709</v>
      </c>
      <c r="AL863">
        <v>-92.516856000000004</v>
      </c>
      <c r="AM863">
        <v>100</v>
      </c>
      <c r="AN863">
        <v>1700</v>
      </c>
      <c r="AO863" t="s">
        <v>118</v>
      </c>
      <c r="AP863">
        <v>-33</v>
      </c>
      <c r="AQ863">
        <v>123</v>
      </c>
      <c r="AR863">
        <v>-64</v>
      </c>
      <c r="AZ863">
        <v>1200</v>
      </c>
      <c r="BA863">
        <v>1</v>
      </c>
      <c r="BB863" t="str">
        <f t="shared" si="42"/>
        <v xml:space="preserve">N8080G  </v>
      </c>
      <c r="BC863">
        <v>1</v>
      </c>
      <c r="BE863">
        <v>0</v>
      </c>
      <c r="BF863">
        <v>0</v>
      </c>
      <c r="BG863">
        <v>0</v>
      </c>
      <c r="BH863">
        <v>1675</v>
      </c>
      <c r="BI863">
        <v>1</v>
      </c>
      <c r="BJ863">
        <v>1</v>
      </c>
      <c r="BK863">
        <v>1</v>
      </c>
      <c r="BL863">
        <v>0</v>
      </c>
      <c r="BO863">
        <v>0</v>
      </c>
      <c r="BP863">
        <v>0</v>
      </c>
      <c r="BW863" t="str">
        <f>"20:16:39.415"</f>
        <v>20:16:39.415</v>
      </c>
      <c r="BZ863">
        <v>0</v>
      </c>
      <c r="CA863">
        <v>2016</v>
      </c>
      <c r="CB863">
        <v>224</v>
      </c>
      <c r="CD863">
        <v>1</v>
      </c>
      <c r="CE863">
        <v>0</v>
      </c>
      <c r="CF863">
        <v>0</v>
      </c>
      <c r="CG863">
        <v>1</v>
      </c>
      <c r="CH863">
        <v>0</v>
      </c>
      <c r="CI863">
        <v>0</v>
      </c>
      <c r="CJ863">
        <v>0</v>
      </c>
      <c r="CK863">
        <v>2</v>
      </c>
      <c r="CL863">
        <v>0</v>
      </c>
      <c r="CM863">
        <v>2</v>
      </c>
      <c r="CN863">
        <v>0</v>
      </c>
      <c r="CO863">
        <v>7</v>
      </c>
      <c r="CP863" t="s">
        <v>119</v>
      </c>
      <c r="CQ863">
        <v>180</v>
      </c>
      <c r="CR863">
        <v>2</v>
      </c>
      <c r="CW863">
        <v>7998889</v>
      </c>
      <c r="CY863">
        <v>1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</row>
    <row r="864" spans="1:113" x14ac:dyDescent="0.3">
      <c r="A864" t="str">
        <f>"02/08/2021 20:16:37.091"</f>
        <v>02/08/2021 20:16:37.091</v>
      </c>
      <c r="C864" t="str">
        <f t="shared" si="41"/>
        <v>FFDFD7C0</v>
      </c>
      <c r="D864" t="s">
        <v>124</v>
      </c>
      <c r="E864">
        <v>12</v>
      </c>
      <c r="F864">
        <v>1012</v>
      </c>
      <c r="G864" t="s">
        <v>675</v>
      </c>
      <c r="J864" t="s">
        <v>125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>"20:16:39.414"</f>
        <v>20:16:39.414</v>
      </c>
      <c r="T864" t="str">
        <f>"20:16:38.914"</f>
        <v>20:16:38.914</v>
      </c>
      <c r="U864" t="str">
        <f t="shared" si="40"/>
        <v>AB01F4</v>
      </c>
      <c r="V864">
        <v>0</v>
      </c>
      <c r="W864">
        <v>0</v>
      </c>
      <c r="X864">
        <v>2</v>
      </c>
      <c r="Z864">
        <v>0</v>
      </c>
      <c r="AA864">
        <v>9</v>
      </c>
      <c r="AB864">
        <v>3</v>
      </c>
      <c r="AC864">
        <v>0</v>
      </c>
      <c r="AD864">
        <v>10</v>
      </c>
      <c r="AE864">
        <v>0</v>
      </c>
      <c r="AF864">
        <v>3</v>
      </c>
      <c r="AG864">
        <v>2</v>
      </c>
      <c r="AH864">
        <v>0</v>
      </c>
      <c r="AI864" t="s">
        <v>708</v>
      </c>
      <c r="AJ864">
        <v>39.676566000000001</v>
      </c>
      <c r="AK864" t="s">
        <v>709</v>
      </c>
      <c r="AL864">
        <v>-92.516856000000004</v>
      </c>
      <c r="AM864">
        <v>100</v>
      </c>
      <c r="AN864">
        <v>1700</v>
      </c>
      <c r="AO864" t="s">
        <v>118</v>
      </c>
      <c r="AP864">
        <v>-33</v>
      </c>
      <c r="AQ864">
        <v>123</v>
      </c>
      <c r="AR864">
        <v>-64</v>
      </c>
      <c r="AZ864">
        <v>1200</v>
      </c>
      <c r="BA864">
        <v>1</v>
      </c>
      <c r="BB864" t="str">
        <f t="shared" si="42"/>
        <v xml:space="preserve">N8080G  </v>
      </c>
      <c r="BC864">
        <v>1</v>
      </c>
      <c r="BE864">
        <v>0</v>
      </c>
      <c r="BF864">
        <v>0</v>
      </c>
      <c r="BG864">
        <v>0</v>
      </c>
      <c r="BH864">
        <v>1675</v>
      </c>
      <c r="BI864">
        <v>1</v>
      </c>
      <c r="BJ864">
        <v>1</v>
      </c>
      <c r="BK864">
        <v>1</v>
      </c>
      <c r="BL864">
        <v>0</v>
      </c>
      <c r="BO864">
        <v>0</v>
      </c>
      <c r="BP864">
        <v>0</v>
      </c>
      <c r="BW864" t="str">
        <f>"20:16:39.415"</f>
        <v>20:16:39.415</v>
      </c>
      <c r="BZ864">
        <v>0</v>
      </c>
      <c r="CA864">
        <v>2016</v>
      </c>
      <c r="CB864">
        <v>224</v>
      </c>
      <c r="CD864">
        <v>1</v>
      </c>
      <c r="CE864">
        <v>0</v>
      </c>
      <c r="CF864">
        <v>0</v>
      </c>
      <c r="CG864">
        <v>1</v>
      </c>
      <c r="CH864">
        <v>0</v>
      </c>
      <c r="CI864">
        <v>0</v>
      </c>
      <c r="CJ864">
        <v>0</v>
      </c>
      <c r="CK864">
        <v>2</v>
      </c>
      <c r="CL864">
        <v>0</v>
      </c>
      <c r="CM864">
        <v>2</v>
      </c>
      <c r="CN864">
        <v>0</v>
      </c>
      <c r="CO864">
        <v>7</v>
      </c>
      <c r="CP864" t="s">
        <v>119</v>
      </c>
      <c r="CQ864">
        <v>180</v>
      </c>
      <c r="CR864">
        <v>2</v>
      </c>
      <c r="CW864">
        <v>7998889</v>
      </c>
      <c r="CY864">
        <v>1</v>
      </c>
      <c r="CZ864">
        <v>0</v>
      </c>
      <c r="DA864">
        <v>1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</row>
    <row r="865" spans="1:113" x14ac:dyDescent="0.3">
      <c r="A865" t="str">
        <f>"02/08/2021 20:16:37.091"</f>
        <v>02/08/2021 20:16:37.091</v>
      </c>
      <c r="C865" t="str">
        <f t="shared" si="41"/>
        <v>FFDFD7C0</v>
      </c>
      <c r="D865" t="s">
        <v>124</v>
      </c>
      <c r="E865">
        <v>11</v>
      </c>
      <c r="F865">
        <v>1011</v>
      </c>
      <c r="G865" t="s">
        <v>590</v>
      </c>
      <c r="J865" t="s">
        <v>125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>"20:16:39.414"</f>
        <v>20:16:39.414</v>
      </c>
      <c r="T865" t="str">
        <f>"20:16:38.914"</f>
        <v>20:16:38.914</v>
      </c>
      <c r="U865" t="str">
        <f t="shared" si="40"/>
        <v>AB01F4</v>
      </c>
      <c r="V865">
        <v>0</v>
      </c>
      <c r="W865">
        <v>0</v>
      </c>
      <c r="X865">
        <v>2</v>
      </c>
      <c r="Z865">
        <v>0</v>
      </c>
      <c r="AA865">
        <v>9</v>
      </c>
      <c r="AB865">
        <v>3</v>
      </c>
      <c r="AC865">
        <v>0</v>
      </c>
      <c r="AD865">
        <v>10</v>
      </c>
      <c r="AE865">
        <v>0</v>
      </c>
      <c r="AF865">
        <v>3</v>
      </c>
      <c r="AG865">
        <v>2</v>
      </c>
      <c r="AH865">
        <v>0</v>
      </c>
      <c r="AI865" t="s">
        <v>708</v>
      </c>
      <c r="AJ865">
        <v>39.676566000000001</v>
      </c>
      <c r="AK865" t="s">
        <v>709</v>
      </c>
      <c r="AL865">
        <v>-92.516856000000004</v>
      </c>
      <c r="AM865">
        <v>100</v>
      </c>
      <c r="AN865">
        <v>1700</v>
      </c>
      <c r="AO865" t="s">
        <v>118</v>
      </c>
      <c r="AP865">
        <v>-33</v>
      </c>
      <c r="AQ865">
        <v>123</v>
      </c>
      <c r="AR865">
        <v>-64</v>
      </c>
      <c r="AZ865">
        <v>1200</v>
      </c>
      <c r="BA865">
        <v>1</v>
      </c>
      <c r="BB865" t="str">
        <f t="shared" si="42"/>
        <v xml:space="preserve">N8080G  </v>
      </c>
      <c r="BC865">
        <v>1</v>
      </c>
      <c r="BE865">
        <v>0</v>
      </c>
      <c r="BF865">
        <v>0</v>
      </c>
      <c r="BG865">
        <v>0</v>
      </c>
      <c r="BH865">
        <v>1675</v>
      </c>
      <c r="BI865">
        <v>1</v>
      </c>
      <c r="BJ865">
        <v>1</v>
      </c>
      <c r="BK865">
        <v>1</v>
      </c>
      <c r="BL865">
        <v>0</v>
      </c>
      <c r="BO865">
        <v>0</v>
      </c>
      <c r="BP865">
        <v>0</v>
      </c>
      <c r="BW865" t="str">
        <f>"20:16:39.415"</f>
        <v>20:16:39.415</v>
      </c>
      <c r="BZ865">
        <v>0</v>
      </c>
      <c r="CA865">
        <v>2016</v>
      </c>
      <c r="CB865">
        <v>224</v>
      </c>
      <c r="CD865">
        <v>1</v>
      </c>
      <c r="CE865">
        <v>0</v>
      </c>
      <c r="CF865">
        <v>0</v>
      </c>
      <c r="CG865">
        <v>1</v>
      </c>
      <c r="CH865">
        <v>0</v>
      </c>
      <c r="CI865">
        <v>0</v>
      </c>
      <c r="CJ865">
        <v>0</v>
      </c>
      <c r="CK865">
        <v>2</v>
      </c>
      <c r="CL865">
        <v>0</v>
      </c>
      <c r="CM865">
        <v>2</v>
      </c>
      <c r="CN865">
        <v>0</v>
      </c>
      <c r="CO865">
        <v>7</v>
      </c>
      <c r="CP865" t="s">
        <v>119</v>
      </c>
      <c r="CQ865">
        <v>180</v>
      </c>
      <c r="CR865">
        <v>2</v>
      </c>
      <c r="CW865">
        <v>7998889</v>
      </c>
      <c r="CY865">
        <v>1</v>
      </c>
      <c r="CZ865">
        <v>0</v>
      </c>
      <c r="DA865">
        <v>1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</row>
    <row r="866" spans="1:113" x14ac:dyDescent="0.3">
      <c r="A866" t="str">
        <f>"02/08/2021 20:16:37.091"</f>
        <v>02/08/2021 20:16:37.091</v>
      </c>
      <c r="C866" t="str">
        <f t="shared" si="41"/>
        <v>FFDFD7C0</v>
      </c>
      <c r="D866" t="s">
        <v>113</v>
      </c>
      <c r="E866">
        <v>6</v>
      </c>
      <c r="H866">
        <v>165</v>
      </c>
      <c r="I866" t="s">
        <v>114</v>
      </c>
      <c r="J866" t="s">
        <v>115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>"20:16:39.414"</f>
        <v>20:16:39.414</v>
      </c>
      <c r="T866" t="str">
        <f>"20:16:38.914"</f>
        <v>20:16:38.914</v>
      </c>
      <c r="U866" t="str">
        <f t="shared" si="40"/>
        <v>AB01F4</v>
      </c>
      <c r="V866">
        <v>0</v>
      </c>
      <c r="W866">
        <v>0</v>
      </c>
      <c r="X866">
        <v>2</v>
      </c>
      <c r="Z866">
        <v>0</v>
      </c>
      <c r="AA866">
        <v>9</v>
      </c>
      <c r="AB866">
        <v>3</v>
      </c>
      <c r="AC866">
        <v>0</v>
      </c>
      <c r="AD866">
        <v>10</v>
      </c>
      <c r="AE866">
        <v>0</v>
      </c>
      <c r="AF866">
        <v>3</v>
      </c>
      <c r="AG866">
        <v>2</v>
      </c>
      <c r="AH866">
        <v>0</v>
      </c>
      <c r="AI866" t="s">
        <v>708</v>
      </c>
      <c r="AJ866">
        <v>39.676566000000001</v>
      </c>
      <c r="AK866" t="s">
        <v>709</v>
      </c>
      <c r="AL866">
        <v>-92.516856000000004</v>
      </c>
      <c r="AM866">
        <v>100</v>
      </c>
      <c r="AN866">
        <v>1700</v>
      </c>
      <c r="AO866" t="s">
        <v>118</v>
      </c>
      <c r="AP866">
        <v>-33</v>
      </c>
      <c r="AQ866">
        <v>123</v>
      </c>
      <c r="AR866">
        <v>-64</v>
      </c>
      <c r="AZ866">
        <v>1200</v>
      </c>
      <c r="BA866">
        <v>1</v>
      </c>
      <c r="BB866" t="str">
        <f t="shared" si="42"/>
        <v xml:space="preserve">N8080G  </v>
      </c>
      <c r="BC866">
        <v>1</v>
      </c>
      <c r="BE866">
        <v>0</v>
      </c>
      <c r="BF866">
        <v>0</v>
      </c>
      <c r="BG866">
        <v>0</v>
      </c>
      <c r="BH866">
        <v>1675</v>
      </c>
      <c r="BI866">
        <v>1</v>
      </c>
      <c r="BJ866">
        <v>1</v>
      </c>
      <c r="BK866">
        <v>1</v>
      </c>
      <c r="BL866">
        <v>0</v>
      </c>
      <c r="BO866">
        <v>0</v>
      </c>
      <c r="BP866">
        <v>0</v>
      </c>
      <c r="BW866" t="str">
        <f>"20:16:39.415"</f>
        <v>20:16:39.415</v>
      </c>
      <c r="BZ866">
        <v>0</v>
      </c>
      <c r="CA866">
        <v>2016</v>
      </c>
      <c r="CB866">
        <v>224</v>
      </c>
      <c r="CD866">
        <v>1</v>
      </c>
      <c r="CE866">
        <v>0</v>
      </c>
      <c r="CF866">
        <v>0</v>
      </c>
      <c r="CG866">
        <v>1</v>
      </c>
      <c r="CH866">
        <v>0</v>
      </c>
      <c r="CI866">
        <v>0</v>
      </c>
      <c r="CJ866">
        <v>0</v>
      </c>
      <c r="CK866">
        <v>2</v>
      </c>
      <c r="CL866">
        <v>0</v>
      </c>
      <c r="CM866">
        <v>2</v>
      </c>
      <c r="CN866">
        <v>0</v>
      </c>
      <c r="CO866">
        <v>7</v>
      </c>
      <c r="CP866" t="s">
        <v>119</v>
      </c>
      <c r="CQ866">
        <v>180</v>
      </c>
      <c r="CR866">
        <v>2</v>
      </c>
      <c r="CW866">
        <v>7998889</v>
      </c>
      <c r="CY866">
        <v>1</v>
      </c>
      <c r="CZ866">
        <v>0</v>
      </c>
      <c r="DA866">
        <v>1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</row>
    <row r="867" spans="1:113" x14ac:dyDescent="0.3">
      <c r="A867" t="str">
        <f>"02/08/2021 20:16:38.572"</f>
        <v>02/08/2021 20:16:38.572</v>
      </c>
      <c r="C867" t="str">
        <f t="shared" si="41"/>
        <v>FFDFD7C0</v>
      </c>
      <c r="D867" t="s">
        <v>124</v>
      </c>
      <c r="E867">
        <v>11</v>
      </c>
      <c r="F867">
        <v>1011</v>
      </c>
      <c r="G867" t="s">
        <v>590</v>
      </c>
      <c r="J867" t="s">
        <v>125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>"20:16:40.875"</f>
        <v>20:16:40.875</v>
      </c>
      <c r="T867" t="str">
        <f>"20:16:40.375"</f>
        <v>20:16:40.375</v>
      </c>
      <c r="U867" t="str">
        <f t="shared" si="40"/>
        <v>AB01F4</v>
      </c>
      <c r="V867">
        <v>0</v>
      </c>
      <c r="W867">
        <v>0</v>
      </c>
      <c r="X867">
        <v>2</v>
      </c>
      <c r="Z867">
        <v>0</v>
      </c>
      <c r="AA867">
        <v>9</v>
      </c>
      <c r="AB867">
        <v>3</v>
      </c>
      <c r="AC867">
        <v>0</v>
      </c>
      <c r="AD867">
        <v>10</v>
      </c>
      <c r="AE867">
        <v>0</v>
      </c>
      <c r="AF867">
        <v>3</v>
      </c>
      <c r="AG867">
        <v>2</v>
      </c>
      <c r="AH867">
        <v>0</v>
      </c>
      <c r="AI867" t="s">
        <v>710</v>
      </c>
      <c r="AJ867">
        <v>39.67736</v>
      </c>
      <c r="AK867" t="s">
        <v>711</v>
      </c>
      <c r="AL867">
        <v>-92.517092000000005</v>
      </c>
      <c r="AM867">
        <v>100</v>
      </c>
      <c r="AN867">
        <v>1700</v>
      </c>
      <c r="AO867" t="s">
        <v>118</v>
      </c>
      <c r="AP867">
        <v>-32</v>
      </c>
      <c r="AQ867">
        <v>123</v>
      </c>
      <c r="AR867">
        <v>-192</v>
      </c>
      <c r="AZ867">
        <v>1200</v>
      </c>
      <c r="BA867">
        <v>1</v>
      </c>
      <c r="BB867" t="str">
        <f t="shared" si="42"/>
        <v xml:space="preserve">N8080G  </v>
      </c>
      <c r="BC867">
        <v>1</v>
      </c>
      <c r="BE867">
        <v>0</v>
      </c>
      <c r="BF867">
        <v>0</v>
      </c>
      <c r="BG867">
        <v>0</v>
      </c>
      <c r="BH867">
        <v>1675</v>
      </c>
      <c r="BI867">
        <v>1</v>
      </c>
      <c r="BJ867">
        <v>1</v>
      </c>
      <c r="BK867">
        <v>1</v>
      </c>
      <c r="BL867">
        <v>0</v>
      </c>
      <c r="BO867">
        <v>0</v>
      </c>
      <c r="BP867">
        <v>0</v>
      </c>
      <c r="BW867" t="str">
        <f>"20:16:40.879"</f>
        <v>20:16:40.879</v>
      </c>
      <c r="BZ867">
        <v>0</v>
      </c>
      <c r="CA867">
        <v>2016</v>
      </c>
      <c r="CB867">
        <v>224</v>
      </c>
      <c r="CD867">
        <v>1</v>
      </c>
      <c r="CE867">
        <v>0</v>
      </c>
      <c r="CF867">
        <v>0</v>
      </c>
      <c r="CG867">
        <v>1</v>
      </c>
      <c r="CH867">
        <v>0</v>
      </c>
      <c r="CI867">
        <v>0</v>
      </c>
      <c r="CJ867">
        <v>0</v>
      </c>
      <c r="CK867">
        <v>2</v>
      </c>
      <c r="CL867">
        <v>0</v>
      </c>
      <c r="CM867">
        <v>2</v>
      </c>
      <c r="CN867">
        <v>0</v>
      </c>
      <c r="CO867">
        <v>7</v>
      </c>
      <c r="CP867" t="s">
        <v>119</v>
      </c>
      <c r="CQ867">
        <v>180</v>
      </c>
      <c r="CR867">
        <v>2</v>
      </c>
      <c r="CW867">
        <v>8000105</v>
      </c>
      <c r="CY867">
        <v>1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</row>
    <row r="868" spans="1:113" x14ac:dyDescent="0.3">
      <c r="A868" t="str">
        <f>"02/08/2021 20:16:38.572"</f>
        <v>02/08/2021 20:16:38.572</v>
      </c>
      <c r="C868" t="str">
        <f t="shared" si="41"/>
        <v>FFDFD7C0</v>
      </c>
      <c r="D868" t="s">
        <v>113</v>
      </c>
      <c r="E868">
        <v>6</v>
      </c>
      <c r="H868">
        <v>165</v>
      </c>
      <c r="I868" t="s">
        <v>114</v>
      </c>
      <c r="J868" t="s">
        <v>115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>"20:16:40.875"</f>
        <v>20:16:40.875</v>
      </c>
      <c r="T868" t="str">
        <f>"20:16:40.375"</f>
        <v>20:16:40.375</v>
      </c>
      <c r="U868" t="str">
        <f t="shared" si="40"/>
        <v>AB01F4</v>
      </c>
      <c r="V868">
        <v>0</v>
      </c>
      <c r="W868">
        <v>0</v>
      </c>
      <c r="X868">
        <v>2</v>
      </c>
      <c r="Z868">
        <v>0</v>
      </c>
      <c r="AA868">
        <v>9</v>
      </c>
      <c r="AB868">
        <v>3</v>
      </c>
      <c r="AC868">
        <v>0</v>
      </c>
      <c r="AD868">
        <v>10</v>
      </c>
      <c r="AE868">
        <v>0</v>
      </c>
      <c r="AF868">
        <v>3</v>
      </c>
      <c r="AG868">
        <v>2</v>
      </c>
      <c r="AH868">
        <v>0</v>
      </c>
      <c r="AI868" t="s">
        <v>710</v>
      </c>
      <c r="AJ868">
        <v>39.67736</v>
      </c>
      <c r="AK868" t="s">
        <v>711</v>
      </c>
      <c r="AL868">
        <v>-92.517092000000005</v>
      </c>
      <c r="AM868">
        <v>100</v>
      </c>
      <c r="AN868">
        <v>1700</v>
      </c>
      <c r="AO868" t="s">
        <v>118</v>
      </c>
      <c r="AP868">
        <v>-32</v>
      </c>
      <c r="AQ868">
        <v>123</v>
      </c>
      <c r="AR868">
        <v>-192</v>
      </c>
      <c r="AZ868">
        <v>1200</v>
      </c>
      <c r="BA868">
        <v>1</v>
      </c>
      <c r="BB868" t="str">
        <f t="shared" si="42"/>
        <v xml:space="preserve">N8080G  </v>
      </c>
      <c r="BC868">
        <v>1</v>
      </c>
      <c r="BE868">
        <v>0</v>
      </c>
      <c r="BF868">
        <v>0</v>
      </c>
      <c r="BG868">
        <v>0</v>
      </c>
      <c r="BH868">
        <v>1675</v>
      </c>
      <c r="BI868">
        <v>1</v>
      </c>
      <c r="BJ868">
        <v>1</v>
      </c>
      <c r="BK868">
        <v>1</v>
      </c>
      <c r="BL868">
        <v>0</v>
      </c>
      <c r="BO868">
        <v>0</v>
      </c>
      <c r="BP868">
        <v>0</v>
      </c>
      <c r="BW868" t="str">
        <f>"20:16:40.879"</f>
        <v>20:16:40.879</v>
      </c>
      <c r="BZ868">
        <v>0</v>
      </c>
      <c r="CA868">
        <v>2016</v>
      </c>
      <c r="CB868">
        <v>224</v>
      </c>
      <c r="CD868">
        <v>1</v>
      </c>
      <c r="CE868">
        <v>0</v>
      </c>
      <c r="CF868">
        <v>0</v>
      </c>
      <c r="CG868">
        <v>1</v>
      </c>
      <c r="CH868">
        <v>0</v>
      </c>
      <c r="CI868">
        <v>0</v>
      </c>
      <c r="CJ868">
        <v>0</v>
      </c>
      <c r="CK868">
        <v>2</v>
      </c>
      <c r="CL868">
        <v>0</v>
      </c>
      <c r="CM868">
        <v>2</v>
      </c>
      <c r="CN868">
        <v>0</v>
      </c>
      <c r="CO868">
        <v>7</v>
      </c>
      <c r="CP868" t="s">
        <v>119</v>
      </c>
      <c r="CQ868">
        <v>180</v>
      </c>
      <c r="CR868">
        <v>2</v>
      </c>
      <c r="CW868">
        <v>8000105</v>
      </c>
      <c r="CY868">
        <v>1</v>
      </c>
      <c r="CZ868">
        <v>0</v>
      </c>
      <c r="DA868">
        <v>1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</row>
    <row r="869" spans="1:113" x14ac:dyDescent="0.3">
      <c r="A869" t="str">
        <f>"02/08/2021 20:16:38.572"</f>
        <v>02/08/2021 20:16:38.572</v>
      </c>
      <c r="C869" t="str">
        <f t="shared" si="41"/>
        <v>FFDFD7C0</v>
      </c>
      <c r="D869" t="s">
        <v>124</v>
      </c>
      <c r="E869">
        <v>13</v>
      </c>
      <c r="F869">
        <v>1013</v>
      </c>
      <c r="G869" t="s">
        <v>114</v>
      </c>
      <c r="J869" t="s">
        <v>125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>"20:16:40.875"</f>
        <v>20:16:40.875</v>
      </c>
      <c r="T869" t="str">
        <f>"20:16:40.375"</f>
        <v>20:16:40.375</v>
      </c>
      <c r="U869" t="str">
        <f t="shared" si="40"/>
        <v>AB01F4</v>
      </c>
      <c r="V869">
        <v>0</v>
      </c>
      <c r="W869">
        <v>0</v>
      </c>
      <c r="X869">
        <v>2</v>
      </c>
      <c r="Z869">
        <v>0</v>
      </c>
      <c r="AA869">
        <v>9</v>
      </c>
      <c r="AB869">
        <v>3</v>
      </c>
      <c r="AC869">
        <v>0</v>
      </c>
      <c r="AD869">
        <v>10</v>
      </c>
      <c r="AE869">
        <v>0</v>
      </c>
      <c r="AF869">
        <v>3</v>
      </c>
      <c r="AG869">
        <v>2</v>
      </c>
      <c r="AH869">
        <v>0</v>
      </c>
      <c r="AI869" t="s">
        <v>710</v>
      </c>
      <c r="AJ869">
        <v>39.67736</v>
      </c>
      <c r="AK869" t="s">
        <v>711</v>
      </c>
      <c r="AL869">
        <v>-92.517092000000005</v>
      </c>
      <c r="AM869">
        <v>100</v>
      </c>
      <c r="AN869">
        <v>1700</v>
      </c>
      <c r="AO869" t="s">
        <v>118</v>
      </c>
      <c r="AP869">
        <v>-32</v>
      </c>
      <c r="AQ869">
        <v>123</v>
      </c>
      <c r="AR869">
        <v>-192</v>
      </c>
      <c r="AZ869">
        <v>1200</v>
      </c>
      <c r="BA869">
        <v>1</v>
      </c>
      <c r="BB869" t="str">
        <f t="shared" si="42"/>
        <v xml:space="preserve">N8080G  </v>
      </c>
      <c r="BC869">
        <v>1</v>
      </c>
      <c r="BE869">
        <v>0</v>
      </c>
      <c r="BF869">
        <v>0</v>
      </c>
      <c r="BG869">
        <v>0</v>
      </c>
      <c r="BH869">
        <v>1675</v>
      </c>
      <c r="BI869">
        <v>1</v>
      </c>
      <c r="BJ869">
        <v>1</v>
      </c>
      <c r="BK869">
        <v>1</v>
      </c>
      <c r="BL869">
        <v>0</v>
      </c>
      <c r="BO869">
        <v>0</v>
      </c>
      <c r="BP869">
        <v>0</v>
      </c>
      <c r="BW869" t="str">
        <f>"20:16:40.879"</f>
        <v>20:16:40.879</v>
      </c>
      <c r="BZ869">
        <v>0</v>
      </c>
      <c r="CA869">
        <v>2016</v>
      </c>
      <c r="CB869">
        <v>224</v>
      </c>
      <c r="CD869">
        <v>1</v>
      </c>
      <c r="CE869">
        <v>0</v>
      </c>
      <c r="CF869">
        <v>0</v>
      </c>
      <c r="CG869">
        <v>1</v>
      </c>
      <c r="CH869">
        <v>0</v>
      </c>
      <c r="CI869">
        <v>0</v>
      </c>
      <c r="CJ869">
        <v>0</v>
      </c>
      <c r="CK869">
        <v>2</v>
      </c>
      <c r="CL869">
        <v>0</v>
      </c>
      <c r="CM869">
        <v>2</v>
      </c>
      <c r="CN869">
        <v>0</v>
      </c>
      <c r="CO869">
        <v>7</v>
      </c>
      <c r="CP869" t="s">
        <v>119</v>
      </c>
      <c r="CQ869">
        <v>180</v>
      </c>
      <c r="CR869">
        <v>2</v>
      </c>
      <c r="CW869">
        <v>8000105</v>
      </c>
      <c r="CY869">
        <v>1</v>
      </c>
      <c r="CZ869">
        <v>0</v>
      </c>
      <c r="DA869">
        <v>1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</row>
    <row r="870" spans="1:113" x14ac:dyDescent="0.3">
      <c r="A870" t="str">
        <f>"02/08/2021 20:16:38.572"</f>
        <v>02/08/2021 20:16:38.572</v>
      </c>
      <c r="C870" t="str">
        <f t="shared" si="41"/>
        <v>FFDFD7C0</v>
      </c>
      <c r="D870" t="s">
        <v>124</v>
      </c>
      <c r="E870">
        <v>12</v>
      </c>
      <c r="F870">
        <v>1012</v>
      </c>
      <c r="G870" t="s">
        <v>675</v>
      </c>
      <c r="J870" t="s">
        <v>125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>"20:16:40.875"</f>
        <v>20:16:40.875</v>
      </c>
      <c r="T870" t="str">
        <f>"20:16:40.375"</f>
        <v>20:16:40.375</v>
      </c>
      <c r="U870" t="str">
        <f t="shared" si="40"/>
        <v>AB01F4</v>
      </c>
      <c r="V870">
        <v>0</v>
      </c>
      <c r="W870">
        <v>0</v>
      </c>
      <c r="X870">
        <v>2</v>
      </c>
      <c r="Z870">
        <v>0</v>
      </c>
      <c r="AA870">
        <v>9</v>
      </c>
      <c r="AB870">
        <v>3</v>
      </c>
      <c r="AC870">
        <v>0</v>
      </c>
      <c r="AD870">
        <v>10</v>
      </c>
      <c r="AE870">
        <v>0</v>
      </c>
      <c r="AF870">
        <v>3</v>
      </c>
      <c r="AG870">
        <v>2</v>
      </c>
      <c r="AH870">
        <v>0</v>
      </c>
      <c r="AI870" t="s">
        <v>710</v>
      </c>
      <c r="AJ870">
        <v>39.67736</v>
      </c>
      <c r="AK870" t="s">
        <v>711</v>
      </c>
      <c r="AL870">
        <v>-92.517092000000005</v>
      </c>
      <c r="AM870">
        <v>100</v>
      </c>
      <c r="AN870">
        <v>1700</v>
      </c>
      <c r="AO870" t="s">
        <v>118</v>
      </c>
      <c r="AP870">
        <v>-32</v>
      </c>
      <c r="AQ870">
        <v>123</v>
      </c>
      <c r="AR870">
        <v>-192</v>
      </c>
      <c r="AZ870">
        <v>1200</v>
      </c>
      <c r="BA870">
        <v>1</v>
      </c>
      <c r="BB870" t="str">
        <f t="shared" si="42"/>
        <v xml:space="preserve">N8080G  </v>
      </c>
      <c r="BC870">
        <v>1</v>
      </c>
      <c r="BE870">
        <v>0</v>
      </c>
      <c r="BF870">
        <v>0</v>
      </c>
      <c r="BG870">
        <v>0</v>
      </c>
      <c r="BH870">
        <v>1675</v>
      </c>
      <c r="BI870">
        <v>1</v>
      </c>
      <c r="BJ870">
        <v>1</v>
      </c>
      <c r="BK870">
        <v>1</v>
      </c>
      <c r="BL870">
        <v>0</v>
      </c>
      <c r="BO870">
        <v>0</v>
      </c>
      <c r="BP870">
        <v>0</v>
      </c>
      <c r="BW870" t="str">
        <f>"20:16:40.879"</f>
        <v>20:16:40.879</v>
      </c>
      <c r="BZ870">
        <v>0</v>
      </c>
      <c r="CA870">
        <v>2016</v>
      </c>
      <c r="CB870">
        <v>224</v>
      </c>
      <c r="CD870">
        <v>1</v>
      </c>
      <c r="CE870">
        <v>0</v>
      </c>
      <c r="CF870">
        <v>0</v>
      </c>
      <c r="CG870">
        <v>1</v>
      </c>
      <c r="CH870">
        <v>0</v>
      </c>
      <c r="CI870">
        <v>0</v>
      </c>
      <c r="CJ870">
        <v>0</v>
      </c>
      <c r="CK870">
        <v>2</v>
      </c>
      <c r="CL870">
        <v>0</v>
      </c>
      <c r="CM870">
        <v>2</v>
      </c>
      <c r="CN870">
        <v>0</v>
      </c>
      <c r="CO870">
        <v>7</v>
      </c>
      <c r="CP870" t="s">
        <v>119</v>
      </c>
      <c r="CQ870">
        <v>180</v>
      </c>
      <c r="CR870">
        <v>2</v>
      </c>
      <c r="CW870">
        <v>8000105</v>
      </c>
      <c r="CY870">
        <v>1</v>
      </c>
      <c r="CZ870">
        <v>0</v>
      </c>
      <c r="DA870">
        <v>1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</row>
    <row r="871" spans="1:113" x14ac:dyDescent="0.3">
      <c r="A871" t="str">
        <f>"02/08/2021 20:16:39.610"</f>
        <v>02/08/2021 20:16:39.610</v>
      </c>
      <c r="C871" t="str">
        <f t="shared" si="41"/>
        <v>FFDFD7C0</v>
      </c>
      <c r="D871" t="s">
        <v>124</v>
      </c>
      <c r="E871">
        <v>12</v>
      </c>
      <c r="F871">
        <v>1012</v>
      </c>
      <c r="G871" t="s">
        <v>675</v>
      </c>
      <c r="J871" t="s">
        <v>125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>"20:16:41.953"</f>
        <v>20:16:41.953</v>
      </c>
      <c r="T871" t="str">
        <f>"20:16:41.453"</f>
        <v>20:16:41.453</v>
      </c>
      <c r="U871" t="str">
        <f t="shared" si="40"/>
        <v>AB01F4</v>
      </c>
      <c r="V871">
        <v>0</v>
      </c>
      <c r="W871">
        <v>0</v>
      </c>
      <c r="X871">
        <v>2</v>
      </c>
      <c r="Z871">
        <v>0</v>
      </c>
      <c r="AA871">
        <v>9</v>
      </c>
      <c r="AB871">
        <v>3</v>
      </c>
      <c r="AC871">
        <v>0</v>
      </c>
      <c r="AD871">
        <v>10</v>
      </c>
      <c r="AE871">
        <v>0</v>
      </c>
      <c r="AF871">
        <v>3</v>
      </c>
      <c r="AG871">
        <v>2</v>
      </c>
      <c r="AH871">
        <v>0</v>
      </c>
      <c r="AI871" t="s">
        <v>712</v>
      </c>
      <c r="AJ871">
        <v>39.678004000000001</v>
      </c>
      <c r="AK871" t="s">
        <v>713</v>
      </c>
      <c r="AL871">
        <v>-92.517307000000002</v>
      </c>
      <c r="AM871">
        <v>100</v>
      </c>
      <c r="AN871">
        <v>1700</v>
      </c>
      <c r="AO871" t="s">
        <v>118</v>
      </c>
      <c r="AP871">
        <v>-32</v>
      </c>
      <c r="AQ871">
        <v>123</v>
      </c>
      <c r="AR871">
        <v>-128</v>
      </c>
      <c r="AZ871">
        <v>1200</v>
      </c>
      <c r="BA871">
        <v>1</v>
      </c>
      <c r="BB871" t="str">
        <f t="shared" si="42"/>
        <v xml:space="preserve">N8080G  </v>
      </c>
      <c r="BC871">
        <v>1</v>
      </c>
      <c r="BE871">
        <v>0</v>
      </c>
      <c r="BF871">
        <v>0</v>
      </c>
      <c r="BG871">
        <v>0</v>
      </c>
      <c r="BH871">
        <v>1675</v>
      </c>
      <c r="BI871">
        <v>1</v>
      </c>
      <c r="BJ871">
        <v>1</v>
      </c>
      <c r="BK871">
        <v>1</v>
      </c>
      <c r="BL871">
        <v>0</v>
      </c>
      <c r="BO871">
        <v>0</v>
      </c>
      <c r="BP871">
        <v>0</v>
      </c>
      <c r="BW871" t="str">
        <f>"20:16:41.956"</f>
        <v>20:16:41.956</v>
      </c>
      <c r="BZ871">
        <v>0</v>
      </c>
      <c r="CA871">
        <v>2016</v>
      </c>
      <c r="CB871">
        <v>224</v>
      </c>
      <c r="CD871">
        <v>1</v>
      </c>
      <c r="CE871">
        <v>0</v>
      </c>
      <c r="CF871">
        <v>0</v>
      </c>
      <c r="CG871">
        <v>1</v>
      </c>
      <c r="CH871">
        <v>0</v>
      </c>
      <c r="CI871">
        <v>0</v>
      </c>
      <c r="CJ871">
        <v>0</v>
      </c>
      <c r="CK871">
        <v>2</v>
      </c>
      <c r="CL871">
        <v>0</v>
      </c>
      <c r="CM871">
        <v>2</v>
      </c>
      <c r="CN871">
        <v>0</v>
      </c>
      <c r="CO871">
        <v>7</v>
      </c>
      <c r="CP871" t="s">
        <v>119</v>
      </c>
      <c r="CQ871">
        <v>180</v>
      </c>
      <c r="CR871">
        <v>2</v>
      </c>
      <c r="CW871">
        <v>8000997</v>
      </c>
      <c r="CY871">
        <v>1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</row>
    <row r="872" spans="1:113" x14ac:dyDescent="0.3">
      <c r="A872" t="str">
        <f>"02/08/2021 20:16:39.610"</f>
        <v>02/08/2021 20:16:39.610</v>
      </c>
      <c r="C872" t="str">
        <f t="shared" si="41"/>
        <v>FFDFD7C0</v>
      </c>
      <c r="D872" t="s">
        <v>124</v>
      </c>
      <c r="E872">
        <v>11</v>
      </c>
      <c r="F872">
        <v>1011</v>
      </c>
      <c r="G872" t="s">
        <v>590</v>
      </c>
      <c r="J872" t="s">
        <v>125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>"20:16:41.953"</f>
        <v>20:16:41.953</v>
      </c>
      <c r="T872" t="str">
        <f>"20:16:41.453"</f>
        <v>20:16:41.453</v>
      </c>
      <c r="U872" t="str">
        <f t="shared" si="40"/>
        <v>AB01F4</v>
      </c>
      <c r="V872">
        <v>0</v>
      </c>
      <c r="W872">
        <v>0</v>
      </c>
      <c r="X872">
        <v>2</v>
      </c>
      <c r="Z872">
        <v>0</v>
      </c>
      <c r="AA872">
        <v>9</v>
      </c>
      <c r="AB872">
        <v>3</v>
      </c>
      <c r="AC872">
        <v>0</v>
      </c>
      <c r="AD872">
        <v>10</v>
      </c>
      <c r="AE872">
        <v>0</v>
      </c>
      <c r="AF872">
        <v>3</v>
      </c>
      <c r="AG872">
        <v>2</v>
      </c>
      <c r="AH872">
        <v>0</v>
      </c>
      <c r="AI872" t="s">
        <v>712</v>
      </c>
      <c r="AJ872">
        <v>39.678004000000001</v>
      </c>
      <c r="AK872" t="s">
        <v>713</v>
      </c>
      <c r="AL872">
        <v>-92.517307000000002</v>
      </c>
      <c r="AM872">
        <v>100</v>
      </c>
      <c r="AN872">
        <v>1700</v>
      </c>
      <c r="AO872" t="s">
        <v>118</v>
      </c>
      <c r="AP872">
        <v>-32</v>
      </c>
      <c r="AQ872">
        <v>123</v>
      </c>
      <c r="AR872">
        <v>-128</v>
      </c>
      <c r="AZ872">
        <v>1200</v>
      </c>
      <c r="BA872">
        <v>1</v>
      </c>
      <c r="BB872" t="str">
        <f t="shared" si="42"/>
        <v xml:space="preserve">N8080G  </v>
      </c>
      <c r="BC872">
        <v>1</v>
      </c>
      <c r="BE872">
        <v>0</v>
      </c>
      <c r="BF872">
        <v>0</v>
      </c>
      <c r="BG872">
        <v>0</v>
      </c>
      <c r="BH872">
        <v>1675</v>
      </c>
      <c r="BI872">
        <v>1</v>
      </c>
      <c r="BJ872">
        <v>1</v>
      </c>
      <c r="BK872">
        <v>1</v>
      </c>
      <c r="BL872">
        <v>0</v>
      </c>
      <c r="BO872">
        <v>0</v>
      </c>
      <c r="BP872">
        <v>0</v>
      </c>
      <c r="BW872" t="str">
        <f>"20:16:41.956"</f>
        <v>20:16:41.956</v>
      </c>
      <c r="BZ872">
        <v>0</v>
      </c>
      <c r="CA872">
        <v>2016</v>
      </c>
      <c r="CB872">
        <v>224</v>
      </c>
      <c r="CD872">
        <v>1</v>
      </c>
      <c r="CE872">
        <v>0</v>
      </c>
      <c r="CF872">
        <v>0</v>
      </c>
      <c r="CG872">
        <v>1</v>
      </c>
      <c r="CH872">
        <v>0</v>
      </c>
      <c r="CI872">
        <v>0</v>
      </c>
      <c r="CJ872">
        <v>0</v>
      </c>
      <c r="CK872">
        <v>2</v>
      </c>
      <c r="CL872">
        <v>0</v>
      </c>
      <c r="CM872">
        <v>2</v>
      </c>
      <c r="CN872">
        <v>0</v>
      </c>
      <c r="CO872">
        <v>7</v>
      </c>
      <c r="CP872" t="s">
        <v>119</v>
      </c>
      <c r="CQ872">
        <v>180</v>
      </c>
      <c r="CR872">
        <v>2</v>
      </c>
      <c r="CW872">
        <v>8000997</v>
      </c>
      <c r="CY872">
        <v>1</v>
      </c>
      <c r="CZ872">
        <v>0</v>
      </c>
      <c r="DA872">
        <v>1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</row>
    <row r="873" spans="1:113" x14ac:dyDescent="0.3">
      <c r="A873" t="str">
        <f>"02/08/2021 20:16:39.610"</f>
        <v>02/08/2021 20:16:39.610</v>
      </c>
      <c r="C873" t="str">
        <f t="shared" si="41"/>
        <v>FFDFD7C0</v>
      </c>
      <c r="D873" t="s">
        <v>113</v>
      </c>
      <c r="E873">
        <v>6</v>
      </c>
      <c r="H873">
        <v>165</v>
      </c>
      <c r="I873" t="s">
        <v>114</v>
      </c>
      <c r="J873" t="s">
        <v>115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>"20:16:41.953"</f>
        <v>20:16:41.953</v>
      </c>
      <c r="T873" t="str">
        <f>"20:16:41.453"</f>
        <v>20:16:41.453</v>
      </c>
      <c r="U873" t="str">
        <f t="shared" si="40"/>
        <v>AB01F4</v>
      </c>
      <c r="V873">
        <v>0</v>
      </c>
      <c r="W873">
        <v>0</v>
      </c>
      <c r="X873">
        <v>2</v>
      </c>
      <c r="Z873">
        <v>0</v>
      </c>
      <c r="AA873">
        <v>9</v>
      </c>
      <c r="AB873">
        <v>3</v>
      </c>
      <c r="AC873">
        <v>0</v>
      </c>
      <c r="AD873">
        <v>10</v>
      </c>
      <c r="AE873">
        <v>0</v>
      </c>
      <c r="AF873">
        <v>3</v>
      </c>
      <c r="AG873">
        <v>2</v>
      </c>
      <c r="AH873">
        <v>0</v>
      </c>
      <c r="AI873" t="s">
        <v>712</v>
      </c>
      <c r="AJ873">
        <v>39.678004000000001</v>
      </c>
      <c r="AK873" t="s">
        <v>713</v>
      </c>
      <c r="AL873">
        <v>-92.517307000000002</v>
      </c>
      <c r="AM873">
        <v>100</v>
      </c>
      <c r="AN873">
        <v>1700</v>
      </c>
      <c r="AO873" t="s">
        <v>118</v>
      </c>
      <c r="AP873">
        <v>-32</v>
      </c>
      <c r="AQ873">
        <v>123</v>
      </c>
      <c r="AR873">
        <v>-128</v>
      </c>
      <c r="AZ873">
        <v>1200</v>
      </c>
      <c r="BA873">
        <v>1</v>
      </c>
      <c r="BB873" t="str">
        <f t="shared" si="42"/>
        <v xml:space="preserve">N8080G  </v>
      </c>
      <c r="BC873">
        <v>1</v>
      </c>
      <c r="BE873">
        <v>0</v>
      </c>
      <c r="BF873">
        <v>0</v>
      </c>
      <c r="BG873">
        <v>0</v>
      </c>
      <c r="BH873">
        <v>1675</v>
      </c>
      <c r="BI873">
        <v>1</v>
      </c>
      <c r="BJ873">
        <v>1</v>
      </c>
      <c r="BK873">
        <v>1</v>
      </c>
      <c r="BL873">
        <v>0</v>
      </c>
      <c r="BO873">
        <v>0</v>
      </c>
      <c r="BP873">
        <v>0</v>
      </c>
      <c r="BW873" t="str">
        <f>"20:16:41.956"</f>
        <v>20:16:41.956</v>
      </c>
      <c r="BZ873">
        <v>0</v>
      </c>
      <c r="CA873">
        <v>2016</v>
      </c>
      <c r="CB873">
        <v>224</v>
      </c>
      <c r="CD873">
        <v>1</v>
      </c>
      <c r="CE873">
        <v>0</v>
      </c>
      <c r="CF873">
        <v>0</v>
      </c>
      <c r="CG873">
        <v>1</v>
      </c>
      <c r="CH873">
        <v>0</v>
      </c>
      <c r="CI873">
        <v>0</v>
      </c>
      <c r="CJ873">
        <v>0</v>
      </c>
      <c r="CK873">
        <v>2</v>
      </c>
      <c r="CL873">
        <v>0</v>
      </c>
      <c r="CM873">
        <v>2</v>
      </c>
      <c r="CN873">
        <v>0</v>
      </c>
      <c r="CO873">
        <v>7</v>
      </c>
      <c r="CP873" t="s">
        <v>119</v>
      </c>
      <c r="CQ873">
        <v>180</v>
      </c>
      <c r="CR873">
        <v>2</v>
      </c>
      <c r="CW873">
        <v>8000997</v>
      </c>
      <c r="CY873">
        <v>1</v>
      </c>
      <c r="CZ873">
        <v>0</v>
      </c>
      <c r="DA873">
        <v>1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</row>
    <row r="874" spans="1:113" x14ac:dyDescent="0.3">
      <c r="A874" t="str">
        <f>"02/08/2021 20:16:39.610"</f>
        <v>02/08/2021 20:16:39.610</v>
      </c>
      <c r="C874" t="str">
        <f t="shared" si="41"/>
        <v>FFDFD7C0</v>
      </c>
      <c r="D874" t="s">
        <v>124</v>
      </c>
      <c r="E874">
        <v>13</v>
      </c>
      <c r="F874">
        <v>1013</v>
      </c>
      <c r="G874" t="s">
        <v>114</v>
      </c>
      <c r="J874" t="s">
        <v>125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>"20:16:41.953"</f>
        <v>20:16:41.953</v>
      </c>
      <c r="T874" t="str">
        <f>"20:16:41.453"</f>
        <v>20:16:41.453</v>
      </c>
      <c r="U874" t="str">
        <f t="shared" si="40"/>
        <v>AB01F4</v>
      </c>
      <c r="V874">
        <v>0</v>
      </c>
      <c r="W874">
        <v>0</v>
      </c>
      <c r="X874">
        <v>2</v>
      </c>
      <c r="Z874">
        <v>0</v>
      </c>
      <c r="AA874">
        <v>9</v>
      </c>
      <c r="AB874">
        <v>3</v>
      </c>
      <c r="AC874">
        <v>0</v>
      </c>
      <c r="AD874">
        <v>10</v>
      </c>
      <c r="AE874">
        <v>0</v>
      </c>
      <c r="AF874">
        <v>3</v>
      </c>
      <c r="AG874">
        <v>2</v>
      </c>
      <c r="AH874">
        <v>0</v>
      </c>
      <c r="AI874" t="s">
        <v>712</v>
      </c>
      <c r="AJ874">
        <v>39.678004000000001</v>
      </c>
      <c r="AK874" t="s">
        <v>713</v>
      </c>
      <c r="AL874">
        <v>-92.517307000000002</v>
      </c>
      <c r="AM874">
        <v>100</v>
      </c>
      <c r="AN874">
        <v>1700</v>
      </c>
      <c r="AO874" t="s">
        <v>118</v>
      </c>
      <c r="AP874">
        <v>-32</v>
      </c>
      <c r="AQ874">
        <v>123</v>
      </c>
      <c r="AR874">
        <v>-128</v>
      </c>
      <c r="AZ874">
        <v>1200</v>
      </c>
      <c r="BA874">
        <v>1</v>
      </c>
      <c r="BB874" t="str">
        <f t="shared" si="42"/>
        <v xml:space="preserve">N8080G  </v>
      </c>
      <c r="BC874">
        <v>1</v>
      </c>
      <c r="BE874">
        <v>0</v>
      </c>
      <c r="BF874">
        <v>0</v>
      </c>
      <c r="BG874">
        <v>0</v>
      </c>
      <c r="BH874">
        <v>1675</v>
      </c>
      <c r="BI874">
        <v>1</v>
      </c>
      <c r="BJ874">
        <v>1</v>
      </c>
      <c r="BK874">
        <v>1</v>
      </c>
      <c r="BL874">
        <v>0</v>
      </c>
      <c r="BO874">
        <v>0</v>
      </c>
      <c r="BP874">
        <v>0</v>
      </c>
      <c r="BW874" t="str">
        <f>"20:16:41.956"</f>
        <v>20:16:41.956</v>
      </c>
      <c r="BZ874">
        <v>0</v>
      </c>
      <c r="CA874">
        <v>2016</v>
      </c>
      <c r="CB874">
        <v>224</v>
      </c>
      <c r="CD874">
        <v>1</v>
      </c>
      <c r="CE874">
        <v>0</v>
      </c>
      <c r="CF874">
        <v>0</v>
      </c>
      <c r="CG874">
        <v>1</v>
      </c>
      <c r="CH874">
        <v>0</v>
      </c>
      <c r="CI874">
        <v>0</v>
      </c>
      <c r="CJ874">
        <v>0</v>
      </c>
      <c r="CK874">
        <v>2</v>
      </c>
      <c r="CL874">
        <v>0</v>
      </c>
      <c r="CM874">
        <v>2</v>
      </c>
      <c r="CN874">
        <v>0</v>
      </c>
      <c r="CO874">
        <v>7</v>
      </c>
      <c r="CP874" t="s">
        <v>119</v>
      </c>
      <c r="CQ874">
        <v>180</v>
      </c>
      <c r="CR874">
        <v>2</v>
      </c>
      <c r="CW874">
        <v>8000997</v>
      </c>
      <c r="CY874">
        <v>1</v>
      </c>
      <c r="CZ874">
        <v>0</v>
      </c>
      <c r="DA874">
        <v>1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</row>
    <row r="875" spans="1:113" x14ac:dyDescent="0.3">
      <c r="A875" t="str">
        <f>"02/08/2021 20:16:41.072"</f>
        <v>02/08/2021 20:16:41.072</v>
      </c>
      <c r="C875" t="str">
        <f t="shared" si="41"/>
        <v>FFDFD7C0</v>
      </c>
      <c r="D875" t="s">
        <v>124</v>
      </c>
      <c r="E875">
        <v>12</v>
      </c>
      <c r="F875">
        <v>1012</v>
      </c>
      <c r="G875" t="s">
        <v>675</v>
      </c>
      <c r="J875" t="s">
        <v>125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>"20:16:43.398"</f>
        <v>20:16:43.398</v>
      </c>
      <c r="T875" t="str">
        <f>"20:16:42.898"</f>
        <v>20:16:42.898</v>
      </c>
      <c r="U875" t="str">
        <f t="shared" si="40"/>
        <v>AB01F4</v>
      </c>
      <c r="V875">
        <v>0</v>
      </c>
      <c r="W875">
        <v>0</v>
      </c>
      <c r="X875">
        <v>2</v>
      </c>
      <c r="Z875">
        <v>0</v>
      </c>
      <c r="AA875">
        <v>9</v>
      </c>
      <c r="AB875">
        <v>3</v>
      </c>
      <c r="AC875">
        <v>0</v>
      </c>
      <c r="AD875">
        <v>10</v>
      </c>
      <c r="AE875">
        <v>0</v>
      </c>
      <c r="AF875">
        <v>3</v>
      </c>
      <c r="AG875">
        <v>2</v>
      </c>
      <c r="AH875">
        <v>0</v>
      </c>
      <c r="AI875" t="s">
        <v>714</v>
      </c>
      <c r="AJ875">
        <v>39.678818999999997</v>
      </c>
      <c r="AK875" t="s">
        <v>715</v>
      </c>
      <c r="AL875">
        <v>-92.517606999999998</v>
      </c>
      <c r="AM875">
        <v>100</v>
      </c>
      <c r="AN875">
        <v>1700</v>
      </c>
      <c r="AO875" t="s">
        <v>118</v>
      </c>
      <c r="AP875">
        <v>-32</v>
      </c>
      <c r="AQ875">
        <v>122</v>
      </c>
      <c r="AR875">
        <v>64</v>
      </c>
      <c r="AZ875">
        <v>1200</v>
      </c>
      <c r="BA875">
        <v>1</v>
      </c>
      <c r="BB875" t="str">
        <f t="shared" si="42"/>
        <v xml:space="preserve">N8080G  </v>
      </c>
      <c r="BC875">
        <v>1</v>
      </c>
      <c r="BE875">
        <v>0</v>
      </c>
      <c r="BF875">
        <v>0</v>
      </c>
      <c r="BG875">
        <v>0</v>
      </c>
      <c r="BH875">
        <v>1675</v>
      </c>
      <c r="BI875">
        <v>1</v>
      </c>
      <c r="BJ875">
        <v>1</v>
      </c>
      <c r="BK875">
        <v>1</v>
      </c>
      <c r="BL875">
        <v>0</v>
      </c>
      <c r="BO875">
        <v>0</v>
      </c>
      <c r="BP875">
        <v>0</v>
      </c>
      <c r="BW875" t="str">
        <f>"20:16:43.401"</f>
        <v>20:16:43.401</v>
      </c>
      <c r="BZ875">
        <v>0</v>
      </c>
      <c r="CA875">
        <v>2016</v>
      </c>
      <c r="CB875">
        <v>224</v>
      </c>
      <c r="CD875">
        <v>1</v>
      </c>
      <c r="CE875">
        <v>0</v>
      </c>
      <c r="CF875">
        <v>0</v>
      </c>
      <c r="CG875">
        <v>1</v>
      </c>
      <c r="CH875">
        <v>0</v>
      </c>
      <c r="CI875">
        <v>0</v>
      </c>
      <c r="CJ875">
        <v>0</v>
      </c>
      <c r="CK875">
        <v>2</v>
      </c>
      <c r="CL875">
        <v>0</v>
      </c>
      <c r="CM875">
        <v>2</v>
      </c>
      <c r="CN875">
        <v>0</v>
      </c>
      <c r="CO875">
        <v>7</v>
      </c>
      <c r="CP875" t="s">
        <v>119</v>
      </c>
      <c r="CQ875">
        <v>180</v>
      </c>
      <c r="CR875">
        <v>2</v>
      </c>
      <c r="CW875">
        <v>8002237</v>
      </c>
      <c r="CY875">
        <v>1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</row>
    <row r="876" spans="1:113" x14ac:dyDescent="0.3">
      <c r="A876" t="str">
        <f>"02/08/2021 20:16:41.072"</f>
        <v>02/08/2021 20:16:41.072</v>
      </c>
      <c r="C876" t="str">
        <f t="shared" si="41"/>
        <v>FFDFD7C0</v>
      </c>
      <c r="D876" t="s">
        <v>124</v>
      </c>
      <c r="E876">
        <v>11</v>
      </c>
      <c r="F876">
        <v>1011</v>
      </c>
      <c r="G876" t="s">
        <v>590</v>
      </c>
      <c r="J876" t="s">
        <v>125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>"20:16:43.398"</f>
        <v>20:16:43.398</v>
      </c>
      <c r="T876" t="str">
        <f>"20:16:42.898"</f>
        <v>20:16:42.898</v>
      </c>
      <c r="U876" t="str">
        <f t="shared" si="40"/>
        <v>AB01F4</v>
      </c>
      <c r="V876">
        <v>0</v>
      </c>
      <c r="W876">
        <v>0</v>
      </c>
      <c r="X876">
        <v>2</v>
      </c>
      <c r="Z876">
        <v>0</v>
      </c>
      <c r="AA876">
        <v>9</v>
      </c>
      <c r="AB876">
        <v>3</v>
      </c>
      <c r="AC876">
        <v>0</v>
      </c>
      <c r="AD876">
        <v>10</v>
      </c>
      <c r="AE876">
        <v>0</v>
      </c>
      <c r="AF876">
        <v>3</v>
      </c>
      <c r="AG876">
        <v>2</v>
      </c>
      <c r="AH876">
        <v>0</v>
      </c>
      <c r="AI876" t="s">
        <v>714</v>
      </c>
      <c r="AJ876">
        <v>39.678818999999997</v>
      </c>
      <c r="AK876" t="s">
        <v>715</v>
      </c>
      <c r="AL876">
        <v>-92.517606999999998</v>
      </c>
      <c r="AM876">
        <v>100</v>
      </c>
      <c r="AN876">
        <v>1700</v>
      </c>
      <c r="AO876" t="s">
        <v>118</v>
      </c>
      <c r="AP876">
        <v>-32</v>
      </c>
      <c r="AQ876">
        <v>122</v>
      </c>
      <c r="AR876">
        <v>64</v>
      </c>
      <c r="AZ876">
        <v>1200</v>
      </c>
      <c r="BA876">
        <v>1</v>
      </c>
      <c r="BB876" t="str">
        <f t="shared" si="42"/>
        <v xml:space="preserve">N8080G  </v>
      </c>
      <c r="BC876">
        <v>1</v>
      </c>
      <c r="BE876">
        <v>0</v>
      </c>
      <c r="BF876">
        <v>0</v>
      </c>
      <c r="BG876">
        <v>0</v>
      </c>
      <c r="BH876">
        <v>1675</v>
      </c>
      <c r="BI876">
        <v>1</v>
      </c>
      <c r="BJ876">
        <v>1</v>
      </c>
      <c r="BK876">
        <v>1</v>
      </c>
      <c r="BL876">
        <v>0</v>
      </c>
      <c r="BO876">
        <v>0</v>
      </c>
      <c r="BP876">
        <v>0</v>
      </c>
      <c r="BW876" t="str">
        <f>"20:16:43.401"</f>
        <v>20:16:43.401</v>
      </c>
      <c r="BZ876">
        <v>0</v>
      </c>
      <c r="CA876">
        <v>2016</v>
      </c>
      <c r="CB876">
        <v>224</v>
      </c>
      <c r="CD876">
        <v>1</v>
      </c>
      <c r="CE876">
        <v>0</v>
      </c>
      <c r="CF876">
        <v>0</v>
      </c>
      <c r="CG876">
        <v>1</v>
      </c>
      <c r="CH876">
        <v>0</v>
      </c>
      <c r="CI876">
        <v>0</v>
      </c>
      <c r="CJ876">
        <v>0</v>
      </c>
      <c r="CK876">
        <v>2</v>
      </c>
      <c r="CL876">
        <v>0</v>
      </c>
      <c r="CM876">
        <v>2</v>
      </c>
      <c r="CN876">
        <v>0</v>
      </c>
      <c r="CO876">
        <v>7</v>
      </c>
      <c r="CP876" t="s">
        <v>119</v>
      </c>
      <c r="CQ876">
        <v>180</v>
      </c>
      <c r="CR876">
        <v>2</v>
      </c>
      <c r="CW876">
        <v>8002237</v>
      </c>
      <c r="CY876">
        <v>1</v>
      </c>
      <c r="CZ876">
        <v>0</v>
      </c>
      <c r="DA876">
        <v>1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</row>
    <row r="877" spans="1:113" x14ac:dyDescent="0.3">
      <c r="A877" t="str">
        <f>"02/08/2021 20:16:41.072"</f>
        <v>02/08/2021 20:16:41.072</v>
      </c>
      <c r="C877" t="str">
        <f t="shared" si="41"/>
        <v>FFDFD7C0</v>
      </c>
      <c r="D877" t="s">
        <v>113</v>
      </c>
      <c r="E877">
        <v>6</v>
      </c>
      <c r="H877">
        <v>165</v>
      </c>
      <c r="I877" t="s">
        <v>114</v>
      </c>
      <c r="J877" t="s">
        <v>115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>"20:16:43.398"</f>
        <v>20:16:43.398</v>
      </c>
      <c r="T877" t="str">
        <f>"20:16:42.898"</f>
        <v>20:16:42.898</v>
      </c>
      <c r="U877" t="str">
        <f t="shared" si="40"/>
        <v>AB01F4</v>
      </c>
      <c r="V877">
        <v>0</v>
      </c>
      <c r="W877">
        <v>0</v>
      </c>
      <c r="X877">
        <v>2</v>
      </c>
      <c r="Z877">
        <v>0</v>
      </c>
      <c r="AA877">
        <v>9</v>
      </c>
      <c r="AB877">
        <v>3</v>
      </c>
      <c r="AC877">
        <v>0</v>
      </c>
      <c r="AD877">
        <v>10</v>
      </c>
      <c r="AE877">
        <v>0</v>
      </c>
      <c r="AF877">
        <v>3</v>
      </c>
      <c r="AG877">
        <v>2</v>
      </c>
      <c r="AH877">
        <v>0</v>
      </c>
      <c r="AI877" t="s">
        <v>714</v>
      </c>
      <c r="AJ877">
        <v>39.678818999999997</v>
      </c>
      <c r="AK877" t="s">
        <v>715</v>
      </c>
      <c r="AL877">
        <v>-92.517606999999998</v>
      </c>
      <c r="AM877">
        <v>100</v>
      </c>
      <c r="AN877">
        <v>1700</v>
      </c>
      <c r="AO877" t="s">
        <v>118</v>
      </c>
      <c r="AP877">
        <v>-32</v>
      </c>
      <c r="AQ877">
        <v>122</v>
      </c>
      <c r="AR877">
        <v>64</v>
      </c>
      <c r="AZ877">
        <v>1200</v>
      </c>
      <c r="BA877">
        <v>1</v>
      </c>
      <c r="BB877" t="str">
        <f t="shared" si="42"/>
        <v xml:space="preserve">N8080G  </v>
      </c>
      <c r="BC877">
        <v>1</v>
      </c>
      <c r="BE877">
        <v>0</v>
      </c>
      <c r="BF877">
        <v>0</v>
      </c>
      <c r="BG877">
        <v>0</v>
      </c>
      <c r="BH877">
        <v>1675</v>
      </c>
      <c r="BI877">
        <v>1</v>
      </c>
      <c r="BJ877">
        <v>1</v>
      </c>
      <c r="BK877">
        <v>1</v>
      </c>
      <c r="BL877">
        <v>0</v>
      </c>
      <c r="BO877">
        <v>0</v>
      </c>
      <c r="BP877">
        <v>0</v>
      </c>
      <c r="BW877" t="str">
        <f>"20:16:43.401"</f>
        <v>20:16:43.401</v>
      </c>
      <c r="BZ877">
        <v>0</v>
      </c>
      <c r="CA877">
        <v>2016</v>
      </c>
      <c r="CB877">
        <v>224</v>
      </c>
      <c r="CD877">
        <v>1</v>
      </c>
      <c r="CE877">
        <v>0</v>
      </c>
      <c r="CF877">
        <v>0</v>
      </c>
      <c r="CG877">
        <v>1</v>
      </c>
      <c r="CH877">
        <v>0</v>
      </c>
      <c r="CI877">
        <v>0</v>
      </c>
      <c r="CJ877">
        <v>0</v>
      </c>
      <c r="CK877">
        <v>2</v>
      </c>
      <c r="CL877">
        <v>0</v>
      </c>
      <c r="CM877">
        <v>2</v>
      </c>
      <c r="CN877">
        <v>0</v>
      </c>
      <c r="CO877">
        <v>7</v>
      </c>
      <c r="CP877" t="s">
        <v>119</v>
      </c>
      <c r="CQ877">
        <v>180</v>
      </c>
      <c r="CR877">
        <v>2</v>
      </c>
      <c r="CW877">
        <v>8002237</v>
      </c>
      <c r="CY877">
        <v>1</v>
      </c>
      <c r="CZ877">
        <v>0</v>
      </c>
      <c r="DA877">
        <v>1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</row>
    <row r="878" spans="1:113" x14ac:dyDescent="0.3">
      <c r="A878" t="str">
        <f>"02/08/2021 20:16:41.072"</f>
        <v>02/08/2021 20:16:41.072</v>
      </c>
      <c r="C878" t="str">
        <f t="shared" si="41"/>
        <v>FFDFD7C0</v>
      </c>
      <c r="D878" t="s">
        <v>124</v>
      </c>
      <c r="E878">
        <v>13</v>
      </c>
      <c r="F878">
        <v>1013</v>
      </c>
      <c r="G878" t="s">
        <v>114</v>
      </c>
      <c r="J878" t="s">
        <v>125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>"20:16:43.398"</f>
        <v>20:16:43.398</v>
      </c>
      <c r="T878" t="str">
        <f>"20:16:42.898"</f>
        <v>20:16:42.898</v>
      </c>
      <c r="U878" t="str">
        <f t="shared" si="40"/>
        <v>AB01F4</v>
      </c>
      <c r="V878">
        <v>0</v>
      </c>
      <c r="W878">
        <v>0</v>
      </c>
      <c r="X878">
        <v>2</v>
      </c>
      <c r="Z878">
        <v>0</v>
      </c>
      <c r="AA878">
        <v>9</v>
      </c>
      <c r="AB878">
        <v>3</v>
      </c>
      <c r="AC878">
        <v>0</v>
      </c>
      <c r="AD878">
        <v>10</v>
      </c>
      <c r="AE878">
        <v>0</v>
      </c>
      <c r="AF878">
        <v>3</v>
      </c>
      <c r="AG878">
        <v>2</v>
      </c>
      <c r="AH878">
        <v>0</v>
      </c>
      <c r="AI878" t="s">
        <v>714</v>
      </c>
      <c r="AJ878">
        <v>39.678818999999997</v>
      </c>
      <c r="AK878" t="s">
        <v>715</v>
      </c>
      <c r="AL878">
        <v>-92.517606999999998</v>
      </c>
      <c r="AM878">
        <v>100</v>
      </c>
      <c r="AN878">
        <v>1700</v>
      </c>
      <c r="AO878" t="s">
        <v>118</v>
      </c>
      <c r="AP878">
        <v>-32</v>
      </c>
      <c r="AQ878">
        <v>122</v>
      </c>
      <c r="AR878">
        <v>64</v>
      </c>
      <c r="AZ878">
        <v>1200</v>
      </c>
      <c r="BA878">
        <v>1</v>
      </c>
      <c r="BB878" t="str">
        <f t="shared" si="42"/>
        <v xml:space="preserve">N8080G  </v>
      </c>
      <c r="BC878">
        <v>1</v>
      </c>
      <c r="BE878">
        <v>0</v>
      </c>
      <c r="BF878">
        <v>0</v>
      </c>
      <c r="BG878">
        <v>0</v>
      </c>
      <c r="BH878">
        <v>1675</v>
      </c>
      <c r="BI878">
        <v>1</v>
      </c>
      <c r="BJ878">
        <v>1</v>
      </c>
      <c r="BK878">
        <v>1</v>
      </c>
      <c r="BL878">
        <v>0</v>
      </c>
      <c r="BO878">
        <v>0</v>
      </c>
      <c r="BP878">
        <v>0</v>
      </c>
      <c r="BW878" t="str">
        <f>"20:16:43.401"</f>
        <v>20:16:43.401</v>
      </c>
      <c r="BZ878">
        <v>0</v>
      </c>
      <c r="CA878">
        <v>2016</v>
      </c>
      <c r="CB878">
        <v>224</v>
      </c>
      <c r="CD878">
        <v>1</v>
      </c>
      <c r="CE878">
        <v>0</v>
      </c>
      <c r="CF878">
        <v>0</v>
      </c>
      <c r="CG878">
        <v>1</v>
      </c>
      <c r="CH878">
        <v>0</v>
      </c>
      <c r="CI878">
        <v>0</v>
      </c>
      <c r="CJ878">
        <v>0</v>
      </c>
      <c r="CK878">
        <v>2</v>
      </c>
      <c r="CL878">
        <v>0</v>
      </c>
      <c r="CM878">
        <v>2</v>
      </c>
      <c r="CN878">
        <v>0</v>
      </c>
      <c r="CO878">
        <v>7</v>
      </c>
      <c r="CP878" t="s">
        <v>119</v>
      </c>
      <c r="CQ878">
        <v>180</v>
      </c>
      <c r="CR878">
        <v>2</v>
      </c>
      <c r="CW878">
        <v>8002237</v>
      </c>
      <c r="CY878">
        <v>1</v>
      </c>
      <c r="CZ878">
        <v>0</v>
      </c>
      <c r="DA878">
        <v>1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</row>
    <row r="879" spans="1:113" x14ac:dyDescent="0.3">
      <c r="A879" t="str">
        <f>"02/08/2021 20:16:42.422"</f>
        <v>02/08/2021 20:16:42.422</v>
      </c>
      <c r="C879" t="str">
        <f t="shared" si="41"/>
        <v>FFDFD7C0</v>
      </c>
      <c r="D879" t="s">
        <v>113</v>
      </c>
      <c r="E879">
        <v>6</v>
      </c>
      <c r="H879">
        <v>165</v>
      </c>
      <c r="I879" t="s">
        <v>114</v>
      </c>
      <c r="J879" t="s">
        <v>115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>"20:16:44.719"</f>
        <v>20:16:44.719</v>
      </c>
      <c r="T879" t="str">
        <f>"20:16:44.319"</f>
        <v>20:16:44.319</v>
      </c>
      <c r="U879" t="str">
        <f t="shared" si="40"/>
        <v>AB01F4</v>
      </c>
      <c r="V879">
        <v>0</v>
      </c>
      <c r="W879">
        <v>0</v>
      </c>
      <c r="X879">
        <v>2</v>
      </c>
      <c r="Z879">
        <v>0</v>
      </c>
      <c r="AA879">
        <v>9</v>
      </c>
      <c r="AB879">
        <v>3</v>
      </c>
      <c r="AC879">
        <v>0</v>
      </c>
      <c r="AD879">
        <v>10</v>
      </c>
      <c r="AE879">
        <v>0</v>
      </c>
      <c r="AF879">
        <v>3</v>
      </c>
      <c r="AG879">
        <v>2</v>
      </c>
      <c r="AH879">
        <v>0</v>
      </c>
      <c r="AI879" t="s">
        <v>716</v>
      </c>
      <c r="AJ879">
        <v>39.679592</v>
      </c>
      <c r="AK879" t="s">
        <v>717</v>
      </c>
      <c r="AL879">
        <v>-92.517842999999999</v>
      </c>
      <c r="AM879">
        <v>100</v>
      </c>
      <c r="AN879">
        <v>1700</v>
      </c>
      <c r="AO879" t="s">
        <v>118</v>
      </c>
      <c r="AP879">
        <v>-32</v>
      </c>
      <c r="AQ879">
        <v>122</v>
      </c>
      <c r="AR879">
        <v>64</v>
      </c>
      <c r="AZ879">
        <v>1200</v>
      </c>
      <c r="BA879">
        <v>1</v>
      </c>
      <c r="BB879" t="str">
        <f t="shared" si="42"/>
        <v xml:space="preserve">N8080G  </v>
      </c>
      <c r="BC879">
        <v>1</v>
      </c>
      <c r="BE879">
        <v>0</v>
      </c>
      <c r="BF879">
        <v>0</v>
      </c>
      <c r="BG879">
        <v>0</v>
      </c>
      <c r="BH879">
        <v>1675</v>
      </c>
      <c r="BI879">
        <v>1</v>
      </c>
      <c r="BJ879">
        <v>1</v>
      </c>
      <c r="BK879">
        <v>1</v>
      </c>
      <c r="BL879">
        <v>0</v>
      </c>
      <c r="BO879">
        <v>0</v>
      </c>
      <c r="BP879">
        <v>0</v>
      </c>
      <c r="BW879" t="str">
        <f>"20:16:44.723"</f>
        <v>20:16:44.723</v>
      </c>
      <c r="BZ879">
        <v>0</v>
      </c>
      <c r="CA879">
        <v>2016</v>
      </c>
      <c r="CB879">
        <v>224</v>
      </c>
      <c r="CD879">
        <v>1</v>
      </c>
      <c r="CE879">
        <v>0</v>
      </c>
      <c r="CF879">
        <v>0</v>
      </c>
      <c r="CG879">
        <v>1</v>
      </c>
      <c r="CH879">
        <v>0</v>
      </c>
      <c r="CI879">
        <v>0</v>
      </c>
      <c r="CJ879">
        <v>0</v>
      </c>
      <c r="CK879">
        <v>2</v>
      </c>
      <c r="CL879">
        <v>0</v>
      </c>
      <c r="CM879">
        <v>2</v>
      </c>
      <c r="CN879">
        <v>0</v>
      </c>
      <c r="CO879">
        <v>7</v>
      </c>
      <c r="CP879" t="s">
        <v>119</v>
      </c>
      <c r="CQ879">
        <v>180</v>
      </c>
      <c r="CR879">
        <v>2</v>
      </c>
      <c r="CW879">
        <v>8003234</v>
      </c>
      <c r="CY879">
        <v>1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</row>
    <row r="880" spans="1:113" x14ac:dyDescent="0.3">
      <c r="A880" t="str">
        <f>"02/08/2021 20:16:42.422"</f>
        <v>02/08/2021 20:16:42.422</v>
      </c>
      <c r="C880" t="str">
        <f t="shared" si="41"/>
        <v>FFDFD7C0</v>
      </c>
      <c r="D880" t="s">
        <v>124</v>
      </c>
      <c r="E880">
        <v>13</v>
      </c>
      <c r="F880">
        <v>1013</v>
      </c>
      <c r="G880" t="s">
        <v>114</v>
      </c>
      <c r="J880" t="s">
        <v>125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>"20:16:44.719"</f>
        <v>20:16:44.719</v>
      </c>
      <c r="T880" t="str">
        <f>"20:16:44.319"</f>
        <v>20:16:44.319</v>
      </c>
      <c r="U880" t="str">
        <f t="shared" si="40"/>
        <v>AB01F4</v>
      </c>
      <c r="V880">
        <v>0</v>
      </c>
      <c r="W880">
        <v>0</v>
      </c>
      <c r="X880">
        <v>2</v>
      </c>
      <c r="Z880">
        <v>0</v>
      </c>
      <c r="AA880">
        <v>9</v>
      </c>
      <c r="AB880">
        <v>3</v>
      </c>
      <c r="AC880">
        <v>0</v>
      </c>
      <c r="AD880">
        <v>10</v>
      </c>
      <c r="AE880">
        <v>0</v>
      </c>
      <c r="AF880">
        <v>3</v>
      </c>
      <c r="AG880">
        <v>2</v>
      </c>
      <c r="AH880">
        <v>0</v>
      </c>
      <c r="AI880" t="s">
        <v>716</v>
      </c>
      <c r="AJ880">
        <v>39.679592</v>
      </c>
      <c r="AK880" t="s">
        <v>717</v>
      </c>
      <c r="AL880">
        <v>-92.517842999999999</v>
      </c>
      <c r="AM880">
        <v>100</v>
      </c>
      <c r="AN880">
        <v>1700</v>
      </c>
      <c r="AO880" t="s">
        <v>118</v>
      </c>
      <c r="AP880">
        <v>-32</v>
      </c>
      <c r="AQ880">
        <v>122</v>
      </c>
      <c r="AR880">
        <v>64</v>
      </c>
      <c r="AZ880">
        <v>1200</v>
      </c>
      <c r="BA880">
        <v>1</v>
      </c>
      <c r="BB880" t="str">
        <f t="shared" si="42"/>
        <v xml:space="preserve">N8080G  </v>
      </c>
      <c r="BC880">
        <v>1</v>
      </c>
      <c r="BE880">
        <v>0</v>
      </c>
      <c r="BF880">
        <v>0</v>
      </c>
      <c r="BG880">
        <v>0</v>
      </c>
      <c r="BH880">
        <v>1675</v>
      </c>
      <c r="BI880">
        <v>1</v>
      </c>
      <c r="BJ880">
        <v>1</v>
      </c>
      <c r="BK880">
        <v>1</v>
      </c>
      <c r="BL880">
        <v>0</v>
      </c>
      <c r="BO880">
        <v>0</v>
      </c>
      <c r="BP880">
        <v>0</v>
      </c>
      <c r="BW880" t="str">
        <f>"20:16:44.723"</f>
        <v>20:16:44.723</v>
      </c>
      <c r="BZ880">
        <v>0</v>
      </c>
      <c r="CA880">
        <v>2016</v>
      </c>
      <c r="CB880">
        <v>224</v>
      </c>
      <c r="CD880">
        <v>1</v>
      </c>
      <c r="CE880">
        <v>0</v>
      </c>
      <c r="CF880">
        <v>0</v>
      </c>
      <c r="CG880">
        <v>1</v>
      </c>
      <c r="CH880">
        <v>0</v>
      </c>
      <c r="CI880">
        <v>0</v>
      </c>
      <c r="CJ880">
        <v>0</v>
      </c>
      <c r="CK880">
        <v>2</v>
      </c>
      <c r="CL880">
        <v>0</v>
      </c>
      <c r="CM880">
        <v>2</v>
      </c>
      <c r="CN880">
        <v>0</v>
      </c>
      <c r="CO880">
        <v>7</v>
      </c>
      <c r="CP880" t="s">
        <v>119</v>
      </c>
      <c r="CQ880">
        <v>180</v>
      </c>
      <c r="CR880">
        <v>2</v>
      </c>
      <c r="CW880">
        <v>8003234</v>
      </c>
      <c r="CY880">
        <v>1</v>
      </c>
      <c r="CZ880">
        <v>0</v>
      </c>
      <c r="DA880">
        <v>1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</row>
    <row r="881" spans="1:113" x14ac:dyDescent="0.3">
      <c r="A881" t="str">
        <f>"02/08/2021 20:16:42.422"</f>
        <v>02/08/2021 20:16:42.422</v>
      </c>
      <c r="C881" t="str">
        <f t="shared" si="41"/>
        <v>FFDFD7C0</v>
      </c>
      <c r="D881" t="s">
        <v>124</v>
      </c>
      <c r="E881">
        <v>12</v>
      </c>
      <c r="F881">
        <v>1012</v>
      </c>
      <c r="G881" t="s">
        <v>675</v>
      </c>
      <c r="J881" t="s">
        <v>125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>"20:16:44.719"</f>
        <v>20:16:44.719</v>
      </c>
      <c r="T881" t="str">
        <f>"20:16:44.319"</f>
        <v>20:16:44.319</v>
      </c>
      <c r="U881" t="str">
        <f t="shared" si="40"/>
        <v>AB01F4</v>
      </c>
      <c r="V881">
        <v>0</v>
      </c>
      <c r="W881">
        <v>0</v>
      </c>
      <c r="X881">
        <v>2</v>
      </c>
      <c r="Z881">
        <v>0</v>
      </c>
      <c r="AA881">
        <v>9</v>
      </c>
      <c r="AB881">
        <v>3</v>
      </c>
      <c r="AC881">
        <v>0</v>
      </c>
      <c r="AD881">
        <v>10</v>
      </c>
      <c r="AE881">
        <v>0</v>
      </c>
      <c r="AF881">
        <v>3</v>
      </c>
      <c r="AG881">
        <v>2</v>
      </c>
      <c r="AH881">
        <v>0</v>
      </c>
      <c r="AI881" t="s">
        <v>716</v>
      </c>
      <c r="AJ881">
        <v>39.679592</v>
      </c>
      <c r="AK881" t="s">
        <v>717</v>
      </c>
      <c r="AL881">
        <v>-92.517842999999999</v>
      </c>
      <c r="AM881">
        <v>100</v>
      </c>
      <c r="AN881">
        <v>1700</v>
      </c>
      <c r="AO881" t="s">
        <v>118</v>
      </c>
      <c r="AP881">
        <v>-32</v>
      </c>
      <c r="AQ881">
        <v>122</v>
      </c>
      <c r="AR881">
        <v>64</v>
      </c>
      <c r="AZ881">
        <v>1200</v>
      </c>
      <c r="BA881">
        <v>1</v>
      </c>
      <c r="BB881" t="str">
        <f t="shared" si="42"/>
        <v xml:space="preserve">N8080G  </v>
      </c>
      <c r="BC881">
        <v>1</v>
      </c>
      <c r="BE881">
        <v>0</v>
      </c>
      <c r="BF881">
        <v>0</v>
      </c>
      <c r="BG881">
        <v>0</v>
      </c>
      <c r="BH881">
        <v>1675</v>
      </c>
      <c r="BI881">
        <v>1</v>
      </c>
      <c r="BJ881">
        <v>1</v>
      </c>
      <c r="BK881">
        <v>1</v>
      </c>
      <c r="BL881">
        <v>0</v>
      </c>
      <c r="BO881">
        <v>0</v>
      </c>
      <c r="BP881">
        <v>0</v>
      </c>
      <c r="BW881" t="str">
        <f>"20:16:44.723"</f>
        <v>20:16:44.723</v>
      </c>
      <c r="BZ881">
        <v>0</v>
      </c>
      <c r="CA881">
        <v>2016</v>
      </c>
      <c r="CB881">
        <v>224</v>
      </c>
      <c r="CD881">
        <v>1</v>
      </c>
      <c r="CE881">
        <v>0</v>
      </c>
      <c r="CF881">
        <v>0</v>
      </c>
      <c r="CG881">
        <v>1</v>
      </c>
      <c r="CH881">
        <v>0</v>
      </c>
      <c r="CI881">
        <v>0</v>
      </c>
      <c r="CJ881">
        <v>0</v>
      </c>
      <c r="CK881">
        <v>2</v>
      </c>
      <c r="CL881">
        <v>0</v>
      </c>
      <c r="CM881">
        <v>2</v>
      </c>
      <c r="CN881">
        <v>0</v>
      </c>
      <c r="CO881">
        <v>7</v>
      </c>
      <c r="CP881" t="s">
        <v>119</v>
      </c>
      <c r="CQ881">
        <v>180</v>
      </c>
      <c r="CR881">
        <v>2</v>
      </c>
      <c r="CW881">
        <v>8003234</v>
      </c>
      <c r="CY881">
        <v>1</v>
      </c>
      <c r="CZ881">
        <v>0</v>
      </c>
      <c r="DA881">
        <v>1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</row>
    <row r="882" spans="1:113" x14ac:dyDescent="0.3">
      <c r="A882" t="str">
        <f>"02/08/2021 20:16:42.422"</f>
        <v>02/08/2021 20:16:42.422</v>
      </c>
      <c r="C882" t="str">
        <f t="shared" si="41"/>
        <v>FFDFD7C0</v>
      </c>
      <c r="D882" t="s">
        <v>124</v>
      </c>
      <c r="E882">
        <v>11</v>
      </c>
      <c r="F882">
        <v>1011</v>
      </c>
      <c r="G882" t="s">
        <v>590</v>
      </c>
      <c r="J882" t="s">
        <v>125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>"20:16:44.719"</f>
        <v>20:16:44.719</v>
      </c>
      <c r="T882" t="str">
        <f>"20:16:44.319"</f>
        <v>20:16:44.319</v>
      </c>
      <c r="U882" t="str">
        <f t="shared" si="40"/>
        <v>AB01F4</v>
      </c>
      <c r="V882">
        <v>0</v>
      </c>
      <c r="W882">
        <v>0</v>
      </c>
      <c r="X882">
        <v>2</v>
      </c>
      <c r="Z882">
        <v>0</v>
      </c>
      <c r="AA882">
        <v>9</v>
      </c>
      <c r="AB882">
        <v>3</v>
      </c>
      <c r="AC882">
        <v>0</v>
      </c>
      <c r="AD882">
        <v>10</v>
      </c>
      <c r="AE882">
        <v>0</v>
      </c>
      <c r="AF882">
        <v>3</v>
      </c>
      <c r="AG882">
        <v>2</v>
      </c>
      <c r="AH882">
        <v>0</v>
      </c>
      <c r="AI882" t="s">
        <v>716</v>
      </c>
      <c r="AJ882">
        <v>39.679592</v>
      </c>
      <c r="AK882" t="s">
        <v>717</v>
      </c>
      <c r="AL882">
        <v>-92.517842999999999</v>
      </c>
      <c r="AM882">
        <v>100</v>
      </c>
      <c r="AN882">
        <v>1700</v>
      </c>
      <c r="AO882" t="s">
        <v>118</v>
      </c>
      <c r="AP882">
        <v>-32</v>
      </c>
      <c r="AQ882">
        <v>122</v>
      </c>
      <c r="AR882">
        <v>64</v>
      </c>
      <c r="AZ882">
        <v>1200</v>
      </c>
      <c r="BA882">
        <v>1</v>
      </c>
      <c r="BB882" t="str">
        <f t="shared" si="42"/>
        <v xml:space="preserve">N8080G  </v>
      </c>
      <c r="BC882">
        <v>1</v>
      </c>
      <c r="BE882">
        <v>0</v>
      </c>
      <c r="BF882">
        <v>0</v>
      </c>
      <c r="BG882">
        <v>0</v>
      </c>
      <c r="BH882">
        <v>1675</v>
      </c>
      <c r="BI882">
        <v>1</v>
      </c>
      <c r="BJ882">
        <v>1</v>
      </c>
      <c r="BK882">
        <v>1</v>
      </c>
      <c r="BL882">
        <v>0</v>
      </c>
      <c r="BO882">
        <v>0</v>
      </c>
      <c r="BP882">
        <v>0</v>
      </c>
      <c r="BW882" t="str">
        <f>"20:16:44.723"</f>
        <v>20:16:44.723</v>
      </c>
      <c r="BZ882">
        <v>0</v>
      </c>
      <c r="CA882">
        <v>2016</v>
      </c>
      <c r="CB882">
        <v>224</v>
      </c>
      <c r="CD882">
        <v>1</v>
      </c>
      <c r="CE882">
        <v>0</v>
      </c>
      <c r="CF882">
        <v>0</v>
      </c>
      <c r="CG882">
        <v>1</v>
      </c>
      <c r="CH882">
        <v>0</v>
      </c>
      <c r="CI882">
        <v>0</v>
      </c>
      <c r="CJ882">
        <v>0</v>
      </c>
      <c r="CK882">
        <v>2</v>
      </c>
      <c r="CL882">
        <v>0</v>
      </c>
      <c r="CM882">
        <v>2</v>
      </c>
      <c r="CN882">
        <v>0</v>
      </c>
      <c r="CO882">
        <v>7</v>
      </c>
      <c r="CP882" t="s">
        <v>119</v>
      </c>
      <c r="CQ882">
        <v>180</v>
      </c>
      <c r="CR882">
        <v>2</v>
      </c>
      <c r="CW882">
        <v>8003234</v>
      </c>
      <c r="CY882">
        <v>1</v>
      </c>
      <c r="CZ882">
        <v>0</v>
      </c>
      <c r="DA882">
        <v>1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</row>
    <row r="883" spans="1:113" x14ac:dyDescent="0.3">
      <c r="A883" t="str">
        <f>"02/08/2021 20:16:43.913"</f>
        <v>02/08/2021 20:16:43.913</v>
      </c>
      <c r="C883" t="str">
        <f t="shared" si="41"/>
        <v>FFDFD7C0</v>
      </c>
      <c r="D883" t="s">
        <v>124</v>
      </c>
      <c r="E883">
        <v>11</v>
      </c>
      <c r="F883">
        <v>1011</v>
      </c>
      <c r="G883" t="s">
        <v>590</v>
      </c>
      <c r="J883" t="s">
        <v>125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>"20:16:46.219"</f>
        <v>20:16:46.219</v>
      </c>
      <c r="T883" t="str">
        <f>"20:16:45.819"</f>
        <v>20:16:45.819</v>
      </c>
      <c r="U883" t="str">
        <f t="shared" si="40"/>
        <v>AB01F4</v>
      </c>
      <c r="V883">
        <v>0</v>
      </c>
      <c r="W883">
        <v>0</v>
      </c>
      <c r="X883">
        <v>2</v>
      </c>
      <c r="Z883">
        <v>0</v>
      </c>
      <c r="AA883">
        <v>9</v>
      </c>
      <c r="AB883">
        <v>3</v>
      </c>
      <c r="AC883">
        <v>0</v>
      </c>
      <c r="AD883">
        <v>10</v>
      </c>
      <c r="AE883">
        <v>0</v>
      </c>
      <c r="AF883">
        <v>3</v>
      </c>
      <c r="AG883">
        <v>2</v>
      </c>
      <c r="AH883">
        <v>0</v>
      </c>
      <c r="AI883" t="s">
        <v>718</v>
      </c>
      <c r="AJ883">
        <v>39.680428999999997</v>
      </c>
      <c r="AK883" t="s">
        <v>719</v>
      </c>
      <c r="AL883">
        <v>-92.518122000000005</v>
      </c>
      <c r="AM883">
        <v>100</v>
      </c>
      <c r="AN883">
        <v>1700</v>
      </c>
      <c r="AO883" t="s">
        <v>118</v>
      </c>
      <c r="AP883">
        <v>-32</v>
      </c>
      <c r="AQ883">
        <v>122</v>
      </c>
      <c r="AR883">
        <v>64</v>
      </c>
      <c r="AZ883">
        <v>1200</v>
      </c>
      <c r="BA883">
        <v>1</v>
      </c>
      <c r="BB883" t="str">
        <f t="shared" si="42"/>
        <v xml:space="preserve">N8080G  </v>
      </c>
      <c r="BC883">
        <v>1</v>
      </c>
      <c r="BE883">
        <v>0</v>
      </c>
      <c r="BF883">
        <v>0</v>
      </c>
      <c r="BG883">
        <v>0</v>
      </c>
      <c r="BH883">
        <v>1675</v>
      </c>
      <c r="BI883">
        <v>1</v>
      </c>
      <c r="BJ883">
        <v>1</v>
      </c>
      <c r="BK883">
        <v>1</v>
      </c>
      <c r="BL883">
        <v>0</v>
      </c>
      <c r="BO883">
        <v>0</v>
      </c>
      <c r="BP883">
        <v>0</v>
      </c>
      <c r="BW883" t="str">
        <f>"20:16:46.225"</f>
        <v>20:16:46.225</v>
      </c>
      <c r="BZ883">
        <v>0</v>
      </c>
      <c r="CA883">
        <v>2016</v>
      </c>
      <c r="CB883">
        <v>224</v>
      </c>
      <c r="CD883">
        <v>1</v>
      </c>
      <c r="CE883">
        <v>0</v>
      </c>
      <c r="CF883">
        <v>0</v>
      </c>
      <c r="CG883">
        <v>1</v>
      </c>
      <c r="CH883">
        <v>0</v>
      </c>
      <c r="CI883">
        <v>0</v>
      </c>
      <c r="CJ883">
        <v>0</v>
      </c>
      <c r="CK883">
        <v>2</v>
      </c>
      <c r="CL883">
        <v>0</v>
      </c>
      <c r="CM883">
        <v>2</v>
      </c>
      <c r="CN883">
        <v>0</v>
      </c>
      <c r="CO883">
        <v>7</v>
      </c>
      <c r="CP883" t="s">
        <v>119</v>
      </c>
      <c r="CQ883">
        <v>180</v>
      </c>
      <c r="CR883">
        <v>2</v>
      </c>
      <c r="CW883">
        <v>8004479</v>
      </c>
      <c r="CY883">
        <v>1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</row>
    <row r="884" spans="1:113" x14ac:dyDescent="0.3">
      <c r="A884" t="str">
        <f>"02/08/2021 20:16:43.913"</f>
        <v>02/08/2021 20:16:43.913</v>
      </c>
      <c r="C884" t="str">
        <f t="shared" si="41"/>
        <v>FFDFD7C0</v>
      </c>
      <c r="D884" t="s">
        <v>124</v>
      </c>
      <c r="E884">
        <v>13</v>
      </c>
      <c r="F884">
        <v>1013</v>
      </c>
      <c r="G884" t="s">
        <v>114</v>
      </c>
      <c r="J884" t="s">
        <v>125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>"20:16:46.219"</f>
        <v>20:16:46.219</v>
      </c>
      <c r="T884" t="str">
        <f>"20:16:45.819"</f>
        <v>20:16:45.819</v>
      </c>
      <c r="U884" t="str">
        <f t="shared" si="40"/>
        <v>AB01F4</v>
      </c>
      <c r="V884">
        <v>0</v>
      </c>
      <c r="W884">
        <v>0</v>
      </c>
      <c r="X884">
        <v>2</v>
      </c>
      <c r="Z884">
        <v>0</v>
      </c>
      <c r="AA884">
        <v>9</v>
      </c>
      <c r="AB884">
        <v>3</v>
      </c>
      <c r="AC884">
        <v>0</v>
      </c>
      <c r="AD884">
        <v>10</v>
      </c>
      <c r="AE884">
        <v>0</v>
      </c>
      <c r="AF884">
        <v>3</v>
      </c>
      <c r="AG884">
        <v>2</v>
      </c>
      <c r="AH884">
        <v>0</v>
      </c>
      <c r="AI884" t="s">
        <v>718</v>
      </c>
      <c r="AJ884">
        <v>39.680428999999997</v>
      </c>
      <c r="AK884" t="s">
        <v>719</v>
      </c>
      <c r="AL884">
        <v>-92.518122000000005</v>
      </c>
      <c r="AM884">
        <v>100</v>
      </c>
      <c r="AN884">
        <v>1700</v>
      </c>
      <c r="AO884" t="s">
        <v>118</v>
      </c>
      <c r="AP884">
        <v>-32</v>
      </c>
      <c r="AQ884">
        <v>122</v>
      </c>
      <c r="AR884">
        <v>64</v>
      </c>
      <c r="AZ884">
        <v>1200</v>
      </c>
      <c r="BA884">
        <v>1</v>
      </c>
      <c r="BB884" t="str">
        <f t="shared" si="42"/>
        <v xml:space="preserve">N8080G  </v>
      </c>
      <c r="BC884">
        <v>1</v>
      </c>
      <c r="BE884">
        <v>0</v>
      </c>
      <c r="BF884">
        <v>0</v>
      </c>
      <c r="BG884">
        <v>0</v>
      </c>
      <c r="BH884">
        <v>1675</v>
      </c>
      <c r="BI884">
        <v>1</v>
      </c>
      <c r="BJ884">
        <v>1</v>
      </c>
      <c r="BK884">
        <v>1</v>
      </c>
      <c r="BL884">
        <v>0</v>
      </c>
      <c r="BO884">
        <v>0</v>
      </c>
      <c r="BP884">
        <v>0</v>
      </c>
      <c r="BW884" t="str">
        <f>"20:16:46.225"</f>
        <v>20:16:46.225</v>
      </c>
      <c r="BZ884">
        <v>0</v>
      </c>
      <c r="CA884">
        <v>2016</v>
      </c>
      <c r="CB884">
        <v>224</v>
      </c>
      <c r="CD884">
        <v>1</v>
      </c>
      <c r="CE884">
        <v>0</v>
      </c>
      <c r="CF884">
        <v>0</v>
      </c>
      <c r="CG884">
        <v>1</v>
      </c>
      <c r="CH884">
        <v>0</v>
      </c>
      <c r="CI884">
        <v>0</v>
      </c>
      <c r="CJ884">
        <v>0</v>
      </c>
      <c r="CK884">
        <v>2</v>
      </c>
      <c r="CL884">
        <v>0</v>
      </c>
      <c r="CM884">
        <v>2</v>
      </c>
      <c r="CN884">
        <v>0</v>
      </c>
      <c r="CO884">
        <v>7</v>
      </c>
      <c r="CP884" t="s">
        <v>119</v>
      </c>
      <c r="CQ884">
        <v>180</v>
      </c>
      <c r="CR884">
        <v>2</v>
      </c>
      <c r="CW884">
        <v>8004479</v>
      </c>
      <c r="CY884">
        <v>1</v>
      </c>
      <c r="CZ884">
        <v>0</v>
      </c>
      <c r="DA884">
        <v>1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</row>
    <row r="885" spans="1:113" x14ac:dyDescent="0.3">
      <c r="A885" t="str">
        <f>"02/08/2021 20:16:43.913"</f>
        <v>02/08/2021 20:16:43.913</v>
      </c>
      <c r="C885" t="str">
        <f t="shared" si="41"/>
        <v>FFDFD7C0</v>
      </c>
      <c r="D885" t="s">
        <v>113</v>
      </c>
      <c r="E885">
        <v>6</v>
      </c>
      <c r="H885">
        <v>165</v>
      </c>
      <c r="I885" t="s">
        <v>114</v>
      </c>
      <c r="J885" t="s">
        <v>115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>"20:16:46.219"</f>
        <v>20:16:46.219</v>
      </c>
      <c r="T885" t="str">
        <f>"20:16:45.819"</f>
        <v>20:16:45.819</v>
      </c>
      <c r="U885" t="str">
        <f t="shared" si="40"/>
        <v>AB01F4</v>
      </c>
      <c r="V885">
        <v>0</v>
      </c>
      <c r="W885">
        <v>0</v>
      </c>
      <c r="X885">
        <v>2</v>
      </c>
      <c r="Z885">
        <v>0</v>
      </c>
      <c r="AA885">
        <v>9</v>
      </c>
      <c r="AB885">
        <v>3</v>
      </c>
      <c r="AC885">
        <v>0</v>
      </c>
      <c r="AD885">
        <v>10</v>
      </c>
      <c r="AE885">
        <v>0</v>
      </c>
      <c r="AF885">
        <v>3</v>
      </c>
      <c r="AG885">
        <v>2</v>
      </c>
      <c r="AH885">
        <v>0</v>
      </c>
      <c r="AI885" t="s">
        <v>718</v>
      </c>
      <c r="AJ885">
        <v>39.680428999999997</v>
      </c>
      <c r="AK885" t="s">
        <v>719</v>
      </c>
      <c r="AL885">
        <v>-92.518122000000005</v>
      </c>
      <c r="AM885">
        <v>100</v>
      </c>
      <c r="AN885">
        <v>1700</v>
      </c>
      <c r="AO885" t="s">
        <v>118</v>
      </c>
      <c r="AP885">
        <v>-32</v>
      </c>
      <c r="AQ885">
        <v>122</v>
      </c>
      <c r="AR885">
        <v>64</v>
      </c>
      <c r="AZ885">
        <v>1200</v>
      </c>
      <c r="BA885">
        <v>1</v>
      </c>
      <c r="BB885" t="str">
        <f t="shared" si="42"/>
        <v xml:space="preserve">N8080G  </v>
      </c>
      <c r="BC885">
        <v>1</v>
      </c>
      <c r="BE885">
        <v>0</v>
      </c>
      <c r="BF885">
        <v>0</v>
      </c>
      <c r="BG885">
        <v>0</v>
      </c>
      <c r="BH885">
        <v>1675</v>
      </c>
      <c r="BI885">
        <v>1</v>
      </c>
      <c r="BJ885">
        <v>1</v>
      </c>
      <c r="BK885">
        <v>1</v>
      </c>
      <c r="BL885">
        <v>0</v>
      </c>
      <c r="BO885">
        <v>0</v>
      </c>
      <c r="BP885">
        <v>0</v>
      </c>
      <c r="BW885" t="str">
        <f>"20:16:46.225"</f>
        <v>20:16:46.225</v>
      </c>
      <c r="BZ885">
        <v>0</v>
      </c>
      <c r="CA885">
        <v>2016</v>
      </c>
      <c r="CB885">
        <v>224</v>
      </c>
      <c r="CD885">
        <v>1</v>
      </c>
      <c r="CE885">
        <v>0</v>
      </c>
      <c r="CF885">
        <v>0</v>
      </c>
      <c r="CG885">
        <v>1</v>
      </c>
      <c r="CH885">
        <v>0</v>
      </c>
      <c r="CI885">
        <v>0</v>
      </c>
      <c r="CJ885">
        <v>0</v>
      </c>
      <c r="CK885">
        <v>2</v>
      </c>
      <c r="CL885">
        <v>0</v>
      </c>
      <c r="CM885">
        <v>2</v>
      </c>
      <c r="CN885">
        <v>0</v>
      </c>
      <c r="CO885">
        <v>7</v>
      </c>
      <c r="CP885" t="s">
        <v>119</v>
      </c>
      <c r="CQ885">
        <v>180</v>
      </c>
      <c r="CR885">
        <v>2</v>
      </c>
      <c r="CW885">
        <v>8004479</v>
      </c>
      <c r="CY885">
        <v>1</v>
      </c>
      <c r="CZ885">
        <v>0</v>
      </c>
      <c r="DA885">
        <v>1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</row>
    <row r="886" spans="1:113" x14ac:dyDescent="0.3">
      <c r="A886" t="str">
        <f>"02/08/2021 20:16:43.913"</f>
        <v>02/08/2021 20:16:43.913</v>
      </c>
      <c r="C886" t="str">
        <f t="shared" si="41"/>
        <v>FFDFD7C0</v>
      </c>
      <c r="D886" t="s">
        <v>124</v>
      </c>
      <c r="E886">
        <v>12</v>
      </c>
      <c r="F886">
        <v>1012</v>
      </c>
      <c r="G886" t="s">
        <v>675</v>
      </c>
      <c r="J886" t="s">
        <v>125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>"20:16:46.219"</f>
        <v>20:16:46.219</v>
      </c>
      <c r="T886" t="str">
        <f>"20:16:45.819"</f>
        <v>20:16:45.819</v>
      </c>
      <c r="U886" t="str">
        <f t="shared" si="40"/>
        <v>AB01F4</v>
      </c>
      <c r="V886">
        <v>0</v>
      </c>
      <c r="W886">
        <v>0</v>
      </c>
      <c r="X886">
        <v>2</v>
      </c>
      <c r="Z886">
        <v>0</v>
      </c>
      <c r="AA886">
        <v>9</v>
      </c>
      <c r="AB886">
        <v>3</v>
      </c>
      <c r="AC886">
        <v>0</v>
      </c>
      <c r="AD886">
        <v>10</v>
      </c>
      <c r="AE886">
        <v>0</v>
      </c>
      <c r="AF886">
        <v>3</v>
      </c>
      <c r="AG886">
        <v>2</v>
      </c>
      <c r="AH886">
        <v>0</v>
      </c>
      <c r="AI886" t="s">
        <v>718</v>
      </c>
      <c r="AJ886">
        <v>39.680428999999997</v>
      </c>
      <c r="AK886" t="s">
        <v>719</v>
      </c>
      <c r="AL886">
        <v>-92.518122000000005</v>
      </c>
      <c r="AM886">
        <v>100</v>
      </c>
      <c r="AN886">
        <v>1700</v>
      </c>
      <c r="AO886" t="s">
        <v>118</v>
      </c>
      <c r="AP886">
        <v>-32</v>
      </c>
      <c r="AQ886">
        <v>122</v>
      </c>
      <c r="AR886">
        <v>64</v>
      </c>
      <c r="AZ886">
        <v>1200</v>
      </c>
      <c r="BA886">
        <v>1</v>
      </c>
      <c r="BB886" t="str">
        <f t="shared" si="42"/>
        <v xml:space="preserve">N8080G  </v>
      </c>
      <c r="BC886">
        <v>1</v>
      </c>
      <c r="BE886">
        <v>0</v>
      </c>
      <c r="BF886">
        <v>0</v>
      </c>
      <c r="BG886">
        <v>0</v>
      </c>
      <c r="BH886">
        <v>1675</v>
      </c>
      <c r="BI886">
        <v>1</v>
      </c>
      <c r="BJ886">
        <v>1</v>
      </c>
      <c r="BK886">
        <v>1</v>
      </c>
      <c r="BL886">
        <v>0</v>
      </c>
      <c r="BO886">
        <v>0</v>
      </c>
      <c r="BP886">
        <v>0</v>
      </c>
      <c r="BW886" t="str">
        <f>"20:16:46.225"</f>
        <v>20:16:46.225</v>
      </c>
      <c r="BZ886">
        <v>0</v>
      </c>
      <c r="CA886">
        <v>2016</v>
      </c>
      <c r="CB886">
        <v>224</v>
      </c>
      <c r="CD886">
        <v>1</v>
      </c>
      <c r="CE886">
        <v>0</v>
      </c>
      <c r="CF886">
        <v>0</v>
      </c>
      <c r="CG886">
        <v>1</v>
      </c>
      <c r="CH886">
        <v>0</v>
      </c>
      <c r="CI886">
        <v>0</v>
      </c>
      <c r="CJ886">
        <v>0</v>
      </c>
      <c r="CK886">
        <v>2</v>
      </c>
      <c r="CL886">
        <v>0</v>
      </c>
      <c r="CM886">
        <v>2</v>
      </c>
      <c r="CN886">
        <v>0</v>
      </c>
      <c r="CO886">
        <v>7</v>
      </c>
      <c r="CP886" t="s">
        <v>119</v>
      </c>
      <c r="CQ886">
        <v>180</v>
      </c>
      <c r="CR886">
        <v>2</v>
      </c>
      <c r="CW886">
        <v>8004479</v>
      </c>
      <c r="CY886">
        <v>1</v>
      </c>
      <c r="CZ886">
        <v>0</v>
      </c>
      <c r="DA886">
        <v>1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</row>
    <row r="887" spans="1:113" x14ac:dyDescent="0.3">
      <c r="A887" t="str">
        <f>"02/08/2021 20:16:45.340"</f>
        <v>02/08/2021 20:16:45.340</v>
      </c>
      <c r="C887" t="str">
        <f t="shared" si="41"/>
        <v>FFDFD7C0</v>
      </c>
      <c r="D887" t="s">
        <v>124</v>
      </c>
      <c r="E887">
        <v>13</v>
      </c>
      <c r="F887">
        <v>1013</v>
      </c>
      <c r="G887" t="s">
        <v>114</v>
      </c>
      <c r="J887" t="s">
        <v>125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>"20:16:47.641"</f>
        <v>20:16:47.641</v>
      </c>
      <c r="T887" t="str">
        <f>"20:16:47.241"</f>
        <v>20:16:47.241</v>
      </c>
      <c r="U887" t="str">
        <f t="shared" si="40"/>
        <v>AB01F4</v>
      </c>
      <c r="V887">
        <v>0</v>
      </c>
      <c r="W887">
        <v>0</v>
      </c>
      <c r="X887">
        <v>2</v>
      </c>
      <c r="Z887">
        <v>0</v>
      </c>
      <c r="AA887">
        <v>9</v>
      </c>
      <c r="AB887">
        <v>3</v>
      </c>
      <c r="AC887">
        <v>0</v>
      </c>
      <c r="AD887">
        <v>10</v>
      </c>
      <c r="AE887">
        <v>0</v>
      </c>
      <c r="AF887">
        <v>3</v>
      </c>
      <c r="AG887">
        <v>2</v>
      </c>
      <c r="AH887">
        <v>0</v>
      </c>
      <c r="AI887" t="s">
        <v>720</v>
      </c>
      <c r="AJ887">
        <v>39.681221999999998</v>
      </c>
      <c r="AK887" t="s">
        <v>721</v>
      </c>
      <c r="AL887">
        <v>-92.518422999999999</v>
      </c>
      <c r="AM887">
        <v>100</v>
      </c>
      <c r="AN887">
        <v>1700</v>
      </c>
      <c r="AO887" t="s">
        <v>118</v>
      </c>
      <c r="AP887">
        <v>-33</v>
      </c>
      <c r="AQ887">
        <v>122</v>
      </c>
      <c r="AR887">
        <v>0</v>
      </c>
      <c r="AZ887">
        <v>1200</v>
      </c>
      <c r="BA887">
        <v>1</v>
      </c>
      <c r="BB887" t="str">
        <f t="shared" si="42"/>
        <v xml:space="preserve">N8080G  </v>
      </c>
      <c r="BC887">
        <v>1</v>
      </c>
      <c r="BE887">
        <v>0</v>
      </c>
      <c r="BF887">
        <v>0</v>
      </c>
      <c r="BG887">
        <v>0</v>
      </c>
      <c r="BH887">
        <v>1675</v>
      </c>
      <c r="BI887">
        <v>1</v>
      </c>
      <c r="BJ887">
        <v>1</v>
      </c>
      <c r="BK887">
        <v>1</v>
      </c>
      <c r="BL887">
        <v>0</v>
      </c>
      <c r="BO887">
        <v>0</v>
      </c>
      <c r="BP887">
        <v>0</v>
      </c>
      <c r="BW887" t="str">
        <f>"20:16:47.641"</f>
        <v>20:16:47.641</v>
      </c>
      <c r="BZ887">
        <v>0</v>
      </c>
      <c r="CA887">
        <v>2016</v>
      </c>
      <c r="CB887">
        <v>224</v>
      </c>
      <c r="CD887">
        <v>1</v>
      </c>
      <c r="CE887">
        <v>0</v>
      </c>
      <c r="CF887">
        <v>0</v>
      </c>
      <c r="CG887">
        <v>1</v>
      </c>
      <c r="CH887">
        <v>0</v>
      </c>
      <c r="CI887">
        <v>0</v>
      </c>
      <c r="CJ887">
        <v>0</v>
      </c>
      <c r="CK887">
        <v>2</v>
      </c>
      <c r="CL887">
        <v>0</v>
      </c>
      <c r="CM887">
        <v>2</v>
      </c>
      <c r="CN887">
        <v>0</v>
      </c>
      <c r="CO887">
        <v>7</v>
      </c>
      <c r="CP887" t="s">
        <v>119</v>
      </c>
      <c r="CQ887">
        <v>180</v>
      </c>
      <c r="CR887">
        <v>2</v>
      </c>
      <c r="CW887">
        <v>8005719</v>
      </c>
      <c r="CY887">
        <v>1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</row>
    <row r="888" spans="1:113" x14ac:dyDescent="0.3">
      <c r="A888" t="str">
        <f>"02/08/2021 20:16:45.340"</f>
        <v>02/08/2021 20:16:45.340</v>
      </c>
      <c r="C888" t="str">
        <f t="shared" si="41"/>
        <v>FFDFD7C0</v>
      </c>
      <c r="D888" t="s">
        <v>124</v>
      </c>
      <c r="E888">
        <v>12</v>
      </c>
      <c r="F888">
        <v>1012</v>
      </c>
      <c r="G888" t="s">
        <v>675</v>
      </c>
      <c r="J888" t="s">
        <v>125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>"20:16:47.641"</f>
        <v>20:16:47.641</v>
      </c>
      <c r="T888" t="str">
        <f>"20:16:47.241"</f>
        <v>20:16:47.241</v>
      </c>
      <c r="U888" t="str">
        <f t="shared" si="40"/>
        <v>AB01F4</v>
      </c>
      <c r="V888">
        <v>0</v>
      </c>
      <c r="W888">
        <v>0</v>
      </c>
      <c r="X888">
        <v>2</v>
      </c>
      <c r="Z888">
        <v>0</v>
      </c>
      <c r="AA888">
        <v>9</v>
      </c>
      <c r="AB888">
        <v>3</v>
      </c>
      <c r="AC888">
        <v>0</v>
      </c>
      <c r="AD888">
        <v>10</v>
      </c>
      <c r="AE888">
        <v>0</v>
      </c>
      <c r="AF888">
        <v>3</v>
      </c>
      <c r="AG888">
        <v>2</v>
      </c>
      <c r="AH888">
        <v>0</v>
      </c>
      <c r="AI888" t="s">
        <v>720</v>
      </c>
      <c r="AJ888">
        <v>39.681221999999998</v>
      </c>
      <c r="AK888" t="s">
        <v>721</v>
      </c>
      <c r="AL888">
        <v>-92.518422999999999</v>
      </c>
      <c r="AM888">
        <v>100</v>
      </c>
      <c r="AN888">
        <v>1700</v>
      </c>
      <c r="AO888" t="s">
        <v>118</v>
      </c>
      <c r="AP888">
        <v>-33</v>
      </c>
      <c r="AQ888">
        <v>122</v>
      </c>
      <c r="AR888">
        <v>0</v>
      </c>
      <c r="AZ888">
        <v>1200</v>
      </c>
      <c r="BA888">
        <v>1</v>
      </c>
      <c r="BB888" t="str">
        <f t="shared" si="42"/>
        <v xml:space="preserve">N8080G  </v>
      </c>
      <c r="BC888">
        <v>1</v>
      </c>
      <c r="BE888">
        <v>0</v>
      </c>
      <c r="BF888">
        <v>0</v>
      </c>
      <c r="BG888">
        <v>0</v>
      </c>
      <c r="BH888">
        <v>1675</v>
      </c>
      <c r="BI888">
        <v>1</v>
      </c>
      <c r="BJ888">
        <v>1</v>
      </c>
      <c r="BK888">
        <v>1</v>
      </c>
      <c r="BL888">
        <v>0</v>
      </c>
      <c r="BO888">
        <v>0</v>
      </c>
      <c r="BP888">
        <v>0</v>
      </c>
      <c r="BW888" t="str">
        <f>"20:16:47.641"</f>
        <v>20:16:47.641</v>
      </c>
      <c r="BZ888">
        <v>0</v>
      </c>
      <c r="CA888">
        <v>2016</v>
      </c>
      <c r="CB888">
        <v>224</v>
      </c>
      <c r="CD888">
        <v>1</v>
      </c>
      <c r="CE888">
        <v>0</v>
      </c>
      <c r="CF888">
        <v>0</v>
      </c>
      <c r="CG888">
        <v>1</v>
      </c>
      <c r="CH888">
        <v>0</v>
      </c>
      <c r="CI888">
        <v>0</v>
      </c>
      <c r="CJ888">
        <v>0</v>
      </c>
      <c r="CK888">
        <v>2</v>
      </c>
      <c r="CL888">
        <v>0</v>
      </c>
      <c r="CM888">
        <v>2</v>
      </c>
      <c r="CN888">
        <v>0</v>
      </c>
      <c r="CO888">
        <v>7</v>
      </c>
      <c r="CP888" t="s">
        <v>119</v>
      </c>
      <c r="CQ888">
        <v>180</v>
      </c>
      <c r="CR888">
        <v>2</v>
      </c>
      <c r="CW888">
        <v>8005719</v>
      </c>
      <c r="CY888">
        <v>1</v>
      </c>
      <c r="CZ888">
        <v>0</v>
      </c>
      <c r="DA888">
        <v>1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</row>
    <row r="889" spans="1:113" x14ac:dyDescent="0.3">
      <c r="A889" t="str">
        <f>"02/08/2021 20:16:45.340"</f>
        <v>02/08/2021 20:16:45.340</v>
      </c>
      <c r="C889" t="str">
        <f t="shared" si="41"/>
        <v>FFDFD7C0</v>
      </c>
      <c r="D889" t="s">
        <v>113</v>
      </c>
      <c r="E889">
        <v>6</v>
      </c>
      <c r="H889">
        <v>165</v>
      </c>
      <c r="I889" t="s">
        <v>114</v>
      </c>
      <c r="J889" t="s">
        <v>115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>"20:16:47.641"</f>
        <v>20:16:47.641</v>
      </c>
      <c r="T889" t="str">
        <f>"20:16:47.241"</f>
        <v>20:16:47.241</v>
      </c>
      <c r="U889" t="str">
        <f t="shared" si="40"/>
        <v>AB01F4</v>
      </c>
      <c r="V889">
        <v>0</v>
      </c>
      <c r="W889">
        <v>0</v>
      </c>
      <c r="X889">
        <v>2</v>
      </c>
      <c r="Z889">
        <v>0</v>
      </c>
      <c r="AA889">
        <v>9</v>
      </c>
      <c r="AB889">
        <v>3</v>
      </c>
      <c r="AC889">
        <v>0</v>
      </c>
      <c r="AD889">
        <v>10</v>
      </c>
      <c r="AE889">
        <v>0</v>
      </c>
      <c r="AF889">
        <v>3</v>
      </c>
      <c r="AG889">
        <v>2</v>
      </c>
      <c r="AH889">
        <v>0</v>
      </c>
      <c r="AI889" t="s">
        <v>720</v>
      </c>
      <c r="AJ889">
        <v>39.681221999999998</v>
      </c>
      <c r="AK889" t="s">
        <v>721</v>
      </c>
      <c r="AL889">
        <v>-92.518422999999999</v>
      </c>
      <c r="AM889">
        <v>100</v>
      </c>
      <c r="AN889">
        <v>1700</v>
      </c>
      <c r="AO889" t="s">
        <v>118</v>
      </c>
      <c r="AP889">
        <v>-33</v>
      </c>
      <c r="AQ889">
        <v>122</v>
      </c>
      <c r="AR889">
        <v>0</v>
      </c>
      <c r="AZ889">
        <v>1200</v>
      </c>
      <c r="BA889">
        <v>1</v>
      </c>
      <c r="BB889" t="str">
        <f t="shared" si="42"/>
        <v xml:space="preserve">N8080G  </v>
      </c>
      <c r="BC889">
        <v>1</v>
      </c>
      <c r="BE889">
        <v>0</v>
      </c>
      <c r="BF889">
        <v>0</v>
      </c>
      <c r="BG889">
        <v>0</v>
      </c>
      <c r="BH889">
        <v>1675</v>
      </c>
      <c r="BI889">
        <v>1</v>
      </c>
      <c r="BJ889">
        <v>1</v>
      </c>
      <c r="BK889">
        <v>1</v>
      </c>
      <c r="BL889">
        <v>0</v>
      </c>
      <c r="BO889">
        <v>0</v>
      </c>
      <c r="BP889">
        <v>0</v>
      </c>
      <c r="BW889" t="str">
        <f>"20:16:47.641"</f>
        <v>20:16:47.641</v>
      </c>
      <c r="BZ889">
        <v>0</v>
      </c>
      <c r="CA889">
        <v>2016</v>
      </c>
      <c r="CB889">
        <v>224</v>
      </c>
      <c r="CD889">
        <v>1</v>
      </c>
      <c r="CE889">
        <v>0</v>
      </c>
      <c r="CF889">
        <v>0</v>
      </c>
      <c r="CG889">
        <v>1</v>
      </c>
      <c r="CH889">
        <v>0</v>
      </c>
      <c r="CI889">
        <v>0</v>
      </c>
      <c r="CJ889">
        <v>0</v>
      </c>
      <c r="CK889">
        <v>2</v>
      </c>
      <c r="CL889">
        <v>0</v>
      </c>
      <c r="CM889">
        <v>2</v>
      </c>
      <c r="CN889">
        <v>0</v>
      </c>
      <c r="CO889">
        <v>7</v>
      </c>
      <c r="CP889" t="s">
        <v>119</v>
      </c>
      <c r="CQ889">
        <v>180</v>
      </c>
      <c r="CR889">
        <v>2</v>
      </c>
      <c r="CW889">
        <v>8005719</v>
      </c>
      <c r="CY889">
        <v>1</v>
      </c>
      <c r="CZ889">
        <v>0</v>
      </c>
      <c r="DA889">
        <v>1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</row>
    <row r="890" spans="1:113" x14ac:dyDescent="0.3">
      <c r="A890" t="str">
        <f>"02/08/2021 20:16:45.340"</f>
        <v>02/08/2021 20:16:45.340</v>
      </c>
      <c r="C890" t="str">
        <f t="shared" si="41"/>
        <v>FFDFD7C0</v>
      </c>
      <c r="D890" t="s">
        <v>124</v>
      </c>
      <c r="E890">
        <v>11</v>
      </c>
      <c r="F890">
        <v>1011</v>
      </c>
      <c r="G890" t="s">
        <v>590</v>
      </c>
      <c r="J890" t="s">
        <v>125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>"20:16:47.641"</f>
        <v>20:16:47.641</v>
      </c>
      <c r="T890" t="str">
        <f>"20:16:47.241"</f>
        <v>20:16:47.241</v>
      </c>
      <c r="U890" t="str">
        <f t="shared" si="40"/>
        <v>AB01F4</v>
      </c>
      <c r="V890">
        <v>0</v>
      </c>
      <c r="W890">
        <v>0</v>
      </c>
      <c r="X890">
        <v>2</v>
      </c>
      <c r="Z890">
        <v>0</v>
      </c>
      <c r="AA890">
        <v>9</v>
      </c>
      <c r="AB890">
        <v>3</v>
      </c>
      <c r="AC890">
        <v>0</v>
      </c>
      <c r="AD890">
        <v>10</v>
      </c>
      <c r="AE890">
        <v>0</v>
      </c>
      <c r="AF890">
        <v>3</v>
      </c>
      <c r="AG890">
        <v>2</v>
      </c>
      <c r="AH890">
        <v>0</v>
      </c>
      <c r="AI890" t="s">
        <v>720</v>
      </c>
      <c r="AJ890">
        <v>39.681221999999998</v>
      </c>
      <c r="AK890" t="s">
        <v>721</v>
      </c>
      <c r="AL890">
        <v>-92.518422999999999</v>
      </c>
      <c r="AM890">
        <v>100</v>
      </c>
      <c r="AN890">
        <v>1700</v>
      </c>
      <c r="AO890" t="s">
        <v>118</v>
      </c>
      <c r="AP890">
        <v>-33</v>
      </c>
      <c r="AQ890">
        <v>122</v>
      </c>
      <c r="AR890">
        <v>0</v>
      </c>
      <c r="AZ890">
        <v>1200</v>
      </c>
      <c r="BA890">
        <v>1</v>
      </c>
      <c r="BB890" t="str">
        <f t="shared" si="42"/>
        <v xml:space="preserve">N8080G  </v>
      </c>
      <c r="BC890">
        <v>1</v>
      </c>
      <c r="BE890">
        <v>0</v>
      </c>
      <c r="BF890">
        <v>0</v>
      </c>
      <c r="BG890">
        <v>0</v>
      </c>
      <c r="BH890">
        <v>1675</v>
      </c>
      <c r="BI890">
        <v>1</v>
      </c>
      <c r="BJ890">
        <v>1</v>
      </c>
      <c r="BK890">
        <v>1</v>
      </c>
      <c r="BL890">
        <v>0</v>
      </c>
      <c r="BO890">
        <v>0</v>
      </c>
      <c r="BP890">
        <v>0</v>
      </c>
      <c r="BW890" t="str">
        <f>"20:16:47.641"</f>
        <v>20:16:47.641</v>
      </c>
      <c r="BZ890">
        <v>0</v>
      </c>
      <c r="CA890">
        <v>2016</v>
      </c>
      <c r="CB890">
        <v>224</v>
      </c>
      <c r="CD890">
        <v>1</v>
      </c>
      <c r="CE890">
        <v>0</v>
      </c>
      <c r="CF890">
        <v>0</v>
      </c>
      <c r="CG890">
        <v>1</v>
      </c>
      <c r="CH890">
        <v>0</v>
      </c>
      <c r="CI890">
        <v>0</v>
      </c>
      <c r="CJ890">
        <v>0</v>
      </c>
      <c r="CK890">
        <v>2</v>
      </c>
      <c r="CL890">
        <v>0</v>
      </c>
      <c r="CM890">
        <v>2</v>
      </c>
      <c r="CN890">
        <v>0</v>
      </c>
      <c r="CO890">
        <v>7</v>
      </c>
      <c r="CP890" t="s">
        <v>119</v>
      </c>
      <c r="CQ890">
        <v>180</v>
      </c>
      <c r="CR890">
        <v>2</v>
      </c>
      <c r="CW890">
        <v>8005719</v>
      </c>
      <c r="CY890">
        <v>1</v>
      </c>
      <c r="CZ890">
        <v>0</v>
      </c>
      <c r="DA890">
        <v>1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</row>
    <row r="891" spans="1:113" x14ac:dyDescent="0.3">
      <c r="A891" t="str">
        <f>"02/08/2021 20:16:46.583"</f>
        <v>02/08/2021 20:16:46.583</v>
      </c>
      <c r="C891" t="str">
        <f t="shared" si="41"/>
        <v>FFDFD7C0</v>
      </c>
      <c r="D891" t="s">
        <v>124</v>
      </c>
      <c r="E891">
        <v>11</v>
      </c>
      <c r="F891">
        <v>1011</v>
      </c>
      <c r="G891" t="s">
        <v>590</v>
      </c>
      <c r="J891" t="s">
        <v>125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>"20:16:48.914"</f>
        <v>20:16:48.914</v>
      </c>
      <c r="T891" t="str">
        <f>"20:16:48.514"</f>
        <v>20:16:48.514</v>
      </c>
      <c r="U891" t="str">
        <f t="shared" si="40"/>
        <v>AB01F4</v>
      </c>
      <c r="V891">
        <v>0</v>
      </c>
      <c r="W891">
        <v>0</v>
      </c>
      <c r="X891">
        <v>2</v>
      </c>
      <c r="Z891">
        <v>0</v>
      </c>
      <c r="AA891">
        <v>9</v>
      </c>
      <c r="AB891">
        <v>3</v>
      </c>
      <c r="AC891">
        <v>0</v>
      </c>
      <c r="AD891">
        <v>10</v>
      </c>
      <c r="AE891">
        <v>0</v>
      </c>
      <c r="AF891">
        <v>3</v>
      </c>
      <c r="AG891">
        <v>2</v>
      </c>
      <c r="AH891">
        <v>0</v>
      </c>
      <c r="AI891" t="s">
        <v>722</v>
      </c>
      <c r="AJ891">
        <v>39.681972999999999</v>
      </c>
      <c r="AK891" t="s">
        <v>723</v>
      </c>
      <c r="AL891">
        <v>-92.518680000000003</v>
      </c>
      <c r="AM891">
        <v>100</v>
      </c>
      <c r="AN891">
        <v>1700</v>
      </c>
      <c r="AO891" t="s">
        <v>118</v>
      </c>
      <c r="AP891">
        <v>-33</v>
      </c>
      <c r="AQ891">
        <v>122</v>
      </c>
      <c r="AR891">
        <v>0</v>
      </c>
      <c r="AZ891">
        <v>1200</v>
      </c>
      <c r="BA891">
        <v>1</v>
      </c>
      <c r="BB891" t="str">
        <f t="shared" si="42"/>
        <v xml:space="preserve">N8080G  </v>
      </c>
      <c r="BC891">
        <v>1</v>
      </c>
      <c r="BE891">
        <v>0</v>
      </c>
      <c r="BF891">
        <v>0</v>
      </c>
      <c r="BG891">
        <v>0</v>
      </c>
      <c r="BH891">
        <v>1675</v>
      </c>
      <c r="BI891">
        <v>1</v>
      </c>
      <c r="BJ891">
        <v>1</v>
      </c>
      <c r="BK891">
        <v>1</v>
      </c>
      <c r="BL891">
        <v>0</v>
      </c>
      <c r="BO891">
        <v>0</v>
      </c>
      <c r="BP891">
        <v>0</v>
      </c>
      <c r="BW891" t="str">
        <f>"20:16:48.921"</f>
        <v>20:16:48.921</v>
      </c>
      <c r="BZ891">
        <v>0</v>
      </c>
      <c r="CA891">
        <v>2016</v>
      </c>
      <c r="CB891">
        <v>224</v>
      </c>
      <c r="CD891">
        <v>1</v>
      </c>
      <c r="CE891">
        <v>0</v>
      </c>
      <c r="CF891">
        <v>0</v>
      </c>
      <c r="CG891">
        <v>1</v>
      </c>
      <c r="CH891">
        <v>0</v>
      </c>
      <c r="CI891">
        <v>0</v>
      </c>
      <c r="CJ891">
        <v>0</v>
      </c>
      <c r="CK891">
        <v>2</v>
      </c>
      <c r="CL891">
        <v>0</v>
      </c>
      <c r="CM891">
        <v>2</v>
      </c>
      <c r="CN891">
        <v>0</v>
      </c>
      <c r="CO891">
        <v>7</v>
      </c>
      <c r="CP891" t="s">
        <v>119</v>
      </c>
      <c r="CQ891">
        <v>180</v>
      </c>
      <c r="CR891">
        <v>2</v>
      </c>
      <c r="CW891">
        <v>8006773</v>
      </c>
      <c r="CY891">
        <v>1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</row>
    <row r="892" spans="1:113" x14ac:dyDescent="0.3">
      <c r="A892" t="str">
        <f>"02/08/2021 20:16:46.583"</f>
        <v>02/08/2021 20:16:46.583</v>
      </c>
      <c r="C892" t="str">
        <f t="shared" si="41"/>
        <v>FFDFD7C0</v>
      </c>
      <c r="D892" t="s">
        <v>124</v>
      </c>
      <c r="E892">
        <v>13</v>
      </c>
      <c r="F892">
        <v>1013</v>
      </c>
      <c r="G892" t="s">
        <v>114</v>
      </c>
      <c r="J892" t="s">
        <v>125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>"20:16:48.914"</f>
        <v>20:16:48.914</v>
      </c>
      <c r="T892" t="str">
        <f>"20:16:48.514"</f>
        <v>20:16:48.514</v>
      </c>
      <c r="U892" t="str">
        <f t="shared" si="40"/>
        <v>AB01F4</v>
      </c>
      <c r="V892">
        <v>0</v>
      </c>
      <c r="W892">
        <v>0</v>
      </c>
      <c r="X892">
        <v>2</v>
      </c>
      <c r="Z892">
        <v>0</v>
      </c>
      <c r="AA892">
        <v>9</v>
      </c>
      <c r="AB892">
        <v>3</v>
      </c>
      <c r="AC892">
        <v>0</v>
      </c>
      <c r="AD892">
        <v>10</v>
      </c>
      <c r="AE892">
        <v>0</v>
      </c>
      <c r="AF892">
        <v>3</v>
      </c>
      <c r="AG892">
        <v>2</v>
      </c>
      <c r="AH892">
        <v>0</v>
      </c>
      <c r="AI892" t="s">
        <v>722</v>
      </c>
      <c r="AJ892">
        <v>39.681972999999999</v>
      </c>
      <c r="AK892" t="s">
        <v>723</v>
      </c>
      <c r="AL892">
        <v>-92.518680000000003</v>
      </c>
      <c r="AM892">
        <v>100</v>
      </c>
      <c r="AN892">
        <v>1700</v>
      </c>
      <c r="AO892" t="s">
        <v>118</v>
      </c>
      <c r="AP892">
        <v>-33</v>
      </c>
      <c r="AQ892">
        <v>122</v>
      </c>
      <c r="AR892">
        <v>0</v>
      </c>
      <c r="AZ892">
        <v>1200</v>
      </c>
      <c r="BA892">
        <v>1</v>
      </c>
      <c r="BB892" t="str">
        <f t="shared" si="42"/>
        <v xml:space="preserve">N8080G  </v>
      </c>
      <c r="BC892">
        <v>1</v>
      </c>
      <c r="BE892">
        <v>0</v>
      </c>
      <c r="BF892">
        <v>0</v>
      </c>
      <c r="BG892">
        <v>0</v>
      </c>
      <c r="BH892">
        <v>1675</v>
      </c>
      <c r="BI892">
        <v>1</v>
      </c>
      <c r="BJ892">
        <v>1</v>
      </c>
      <c r="BK892">
        <v>1</v>
      </c>
      <c r="BL892">
        <v>0</v>
      </c>
      <c r="BO892">
        <v>0</v>
      </c>
      <c r="BP892">
        <v>0</v>
      </c>
      <c r="BW892" t="str">
        <f>"20:16:48.921"</f>
        <v>20:16:48.921</v>
      </c>
      <c r="BZ892">
        <v>0</v>
      </c>
      <c r="CA892">
        <v>2016</v>
      </c>
      <c r="CB892">
        <v>224</v>
      </c>
      <c r="CD892">
        <v>1</v>
      </c>
      <c r="CE892">
        <v>0</v>
      </c>
      <c r="CF892">
        <v>0</v>
      </c>
      <c r="CG892">
        <v>1</v>
      </c>
      <c r="CH892">
        <v>0</v>
      </c>
      <c r="CI892">
        <v>0</v>
      </c>
      <c r="CJ892">
        <v>0</v>
      </c>
      <c r="CK892">
        <v>2</v>
      </c>
      <c r="CL892">
        <v>0</v>
      </c>
      <c r="CM892">
        <v>2</v>
      </c>
      <c r="CN892">
        <v>0</v>
      </c>
      <c r="CO892">
        <v>7</v>
      </c>
      <c r="CP892" t="s">
        <v>119</v>
      </c>
      <c r="CQ892">
        <v>180</v>
      </c>
      <c r="CR892">
        <v>2</v>
      </c>
      <c r="CW892">
        <v>8006773</v>
      </c>
      <c r="CY892">
        <v>1</v>
      </c>
      <c r="CZ892">
        <v>0</v>
      </c>
      <c r="DA892">
        <v>1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</row>
    <row r="893" spans="1:113" x14ac:dyDescent="0.3">
      <c r="A893" t="str">
        <f>"02/08/2021 20:16:46.583"</f>
        <v>02/08/2021 20:16:46.583</v>
      </c>
      <c r="C893" t="str">
        <f t="shared" si="41"/>
        <v>FFDFD7C0</v>
      </c>
      <c r="D893" t="s">
        <v>124</v>
      </c>
      <c r="E893">
        <v>12</v>
      </c>
      <c r="F893">
        <v>1012</v>
      </c>
      <c r="G893" t="s">
        <v>675</v>
      </c>
      <c r="J893" t="s">
        <v>125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>"20:16:48.914"</f>
        <v>20:16:48.914</v>
      </c>
      <c r="T893" t="str">
        <f>"20:16:48.514"</f>
        <v>20:16:48.514</v>
      </c>
      <c r="U893" t="str">
        <f t="shared" si="40"/>
        <v>AB01F4</v>
      </c>
      <c r="V893">
        <v>0</v>
      </c>
      <c r="W893">
        <v>0</v>
      </c>
      <c r="X893">
        <v>2</v>
      </c>
      <c r="Z893">
        <v>0</v>
      </c>
      <c r="AA893">
        <v>9</v>
      </c>
      <c r="AB893">
        <v>3</v>
      </c>
      <c r="AC893">
        <v>0</v>
      </c>
      <c r="AD893">
        <v>10</v>
      </c>
      <c r="AE893">
        <v>0</v>
      </c>
      <c r="AF893">
        <v>3</v>
      </c>
      <c r="AG893">
        <v>2</v>
      </c>
      <c r="AH893">
        <v>0</v>
      </c>
      <c r="AI893" t="s">
        <v>722</v>
      </c>
      <c r="AJ893">
        <v>39.681972999999999</v>
      </c>
      <c r="AK893" t="s">
        <v>723</v>
      </c>
      <c r="AL893">
        <v>-92.518680000000003</v>
      </c>
      <c r="AM893">
        <v>100</v>
      </c>
      <c r="AN893">
        <v>1700</v>
      </c>
      <c r="AO893" t="s">
        <v>118</v>
      </c>
      <c r="AP893">
        <v>-33</v>
      </c>
      <c r="AQ893">
        <v>122</v>
      </c>
      <c r="AR893">
        <v>0</v>
      </c>
      <c r="AZ893">
        <v>1200</v>
      </c>
      <c r="BA893">
        <v>1</v>
      </c>
      <c r="BB893" t="str">
        <f t="shared" si="42"/>
        <v xml:space="preserve">N8080G  </v>
      </c>
      <c r="BC893">
        <v>1</v>
      </c>
      <c r="BE893">
        <v>0</v>
      </c>
      <c r="BF893">
        <v>0</v>
      </c>
      <c r="BG893">
        <v>0</v>
      </c>
      <c r="BH893">
        <v>1675</v>
      </c>
      <c r="BI893">
        <v>1</v>
      </c>
      <c r="BJ893">
        <v>1</v>
      </c>
      <c r="BK893">
        <v>1</v>
      </c>
      <c r="BL893">
        <v>0</v>
      </c>
      <c r="BO893">
        <v>0</v>
      </c>
      <c r="BP893">
        <v>0</v>
      </c>
      <c r="BW893" t="str">
        <f>"20:16:48.921"</f>
        <v>20:16:48.921</v>
      </c>
      <c r="BZ893">
        <v>0</v>
      </c>
      <c r="CA893">
        <v>2016</v>
      </c>
      <c r="CB893">
        <v>224</v>
      </c>
      <c r="CD893">
        <v>1</v>
      </c>
      <c r="CE893">
        <v>0</v>
      </c>
      <c r="CF893">
        <v>0</v>
      </c>
      <c r="CG893">
        <v>1</v>
      </c>
      <c r="CH893">
        <v>0</v>
      </c>
      <c r="CI893">
        <v>0</v>
      </c>
      <c r="CJ893">
        <v>0</v>
      </c>
      <c r="CK893">
        <v>2</v>
      </c>
      <c r="CL893">
        <v>0</v>
      </c>
      <c r="CM893">
        <v>2</v>
      </c>
      <c r="CN893">
        <v>0</v>
      </c>
      <c r="CO893">
        <v>7</v>
      </c>
      <c r="CP893" t="s">
        <v>119</v>
      </c>
      <c r="CQ893">
        <v>180</v>
      </c>
      <c r="CR893">
        <v>2</v>
      </c>
      <c r="CW893">
        <v>8006773</v>
      </c>
      <c r="CY893">
        <v>1</v>
      </c>
      <c r="CZ893">
        <v>0</v>
      </c>
      <c r="DA893">
        <v>1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</row>
    <row r="894" spans="1:113" x14ac:dyDescent="0.3">
      <c r="A894" t="str">
        <f>"02/08/2021 20:16:46.583"</f>
        <v>02/08/2021 20:16:46.583</v>
      </c>
      <c r="C894" t="str">
        <f t="shared" si="41"/>
        <v>FFDFD7C0</v>
      </c>
      <c r="D894" t="s">
        <v>113</v>
      </c>
      <c r="E894">
        <v>6</v>
      </c>
      <c r="H894">
        <v>165</v>
      </c>
      <c r="I894" t="s">
        <v>114</v>
      </c>
      <c r="J894" t="s">
        <v>115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>"20:16:48.914"</f>
        <v>20:16:48.914</v>
      </c>
      <c r="T894" t="str">
        <f>"20:16:48.514"</f>
        <v>20:16:48.514</v>
      </c>
      <c r="U894" t="str">
        <f t="shared" si="40"/>
        <v>AB01F4</v>
      </c>
      <c r="V894">
        <v>0</v>
      </c>
      <c r="W894">
        <v>0</v>
      </c>
      <c r="X894">
        <v>2</v>
      </c>
      <c r="Z894">
        <v>0</v>
      </c>
      <c r="AA894">
        <v>9</v>
      </c>
      <c r="AB894">
        <v>3</v>
      </c>
      <c r="AC894">
        <v>0</v>
      </c>
      <c r="AD894">
        <v>10</v>
      </c>
      <c r="AE894">
        <v>0</v>
      </c>
      <c r="AF894">
        <v>3</v>
      </c>
      <c r="AG894">
        <v>2</v>
      </c>
      <c r="AH894">
        <v>0</v>
      </c>
      <c r="AI894" t="s">
        <v>722</v>
      </c>
      <c r="AJ894">
        <v>39.681972999999999</v>
      </c>
      <c r="AK894" t="s">
        <v>723</v>
      </c>
      <c r="AL894">
        <v>-92.518680000000003</v>
      </c>
      <c r="AM894">
        <v>100</v>
      </c>
      <c r="AN894">
        <v>1700</v>
      </c>
      <c r="AO894" t="s">
        <v>118</v>
      </c>
      <c r="AP894">
        <v>-33</v>
      </c>
      <c r="AQ894">
        <v>122</v>
      </c>
      <c r="AR894">
        <v>0</v>
      </c>
      <c r="AZ894">
        <v>1200</v>
      </c>
      <c r="BA894">
        <v>1</v>
      </c>
      <c r="BB894" t="str">
        <f t="shared" si="42"/>
        <v xml:space="preserve">N8080G  </v>
      </c>
      <c r="BC894">
        <v>1</v>
      </c>
      <c r="BE894">
        <v>0</v>
      </c>
      <c r="BF894">
        <v>0</v>
      </c>
      <c r="BG894">
        <v>0</v>
      </c>
      <c r="BH894">
        <v>1675</v>
      </c>
      <c r="BI894">
        <v>1</v>
      </c>
      <c r="BJ894">
        <v>1</v>
      </c>
      <c r="BK894">
        <v>1</v>
      </c>
      <c r="BL894">
        <v>0</v>
      </c>
      <c r="BO894">
        <v>0</v>
      </c>
      <c r="BP894">
        <v>0</v>
      </c>
      <c r="BW894" t="str">
        <f>"20:16:48.921"</f>
        <v>20:16:48.921</v>
      </c>
      <c r="BZ894">
        <v>0</v>
      </c>
      <c r="CA894">
        <v>2016</v>
      </c>
      <c r="CB894">
        <v>224</v>
      </c>
      <c r="CD894">
        <v>1</v>
      </c>
      <c r="CE894">
        <v>0</v>
      </c>
      <c r="CF894">
        <v>0</v>
      </c>
      <c r="CG894">
        <v>1</v>
      </c>
      <c r="CH894">
        <v>0</v>
      </c>
      <c r="CI894">
        <v>0</v>
      </c>
      <c r="CJ894">
        <v>0</v>
      </c>
      <c r="CK894">
        <v>2</v>
      </c>
      <c r="CL894">
        <v>0</v>
      </c>
      <c r="CM894">
        <v>2</v>
      </c>
      <c r="CN894">
        <v>0</v>
      </c>
      <c r="CO894">
        <v>7</v>
      </c>
      <c r="CP894" t="s">
        <v>119</v>
      </c>
      <c r="CQ894">
        <v>180</v>
      </c>
      <c r="CR894">
        <v>2</v>
      </c>
      <c r="CW894">
        <v>8006773</v>
      </c>
      <c r="CY894">
        <v>1</v>
      </c>
      <c r="CZ894">
        <v>0</v>
      </c>
      <c r="DA894">
        <v>1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</row>
    <row r="895" spans="1:113" x14ac:dyDescent="0.3">
      <c r="A895" t="str">
        <f>"02/08/2021 20:16:48.082"</f>
        <v>02/08/2021 20:16:48.082</v>
      </c>
      <c r="C895" t="str">
        <f t="shared" si="41"/>
        <v>FFDFD7C0</v>
      </c>
      <c r="D895" t="s">
        <v>113</v>
      </c>
      <c r="E895">
        <v>6</v>
      </c>
      <c r="H895">
        <v>165</v>
      </c>
      <c r="I895" t="s">
        <v>114</v>
      </c>
      <c r="J895" t="s">
        <v>115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>"20:16:50.391"</f>
        <v>20:16:50.391</v>
      </c>
      <c r="T895" t="str">
        <f>"20:16:49.891"</f>
        <v>20:16:49.891</v>
      </c>
      <c r="U895" t="str">
        <f t="shared" si="40"/>
        <v>AB01F4</v>
      </c>
      <c r="V895">
        <v>0</v>
      </c>
      <c r="W895">
        <v>0</v>
      </c>
      <c r="X895">
        <v>2</v>
      </c>
      <c r="Z895">
        <v>0</v>
      </c>
      <c r="AA895">
        <v>9</v>
      </c>
      <c r="AB895">
        <v>3</v>
      </c>
      <c r="AC895">
        <v>0</v>
      </c>
      <c r="AD895">
        <v>10</v>
      </c>
      <c r="AE895">
        <v>0</v>
      </c>
      <c r="AF895">
        <v>3</v>
      </c>
      <c r="AG895">
        <v>2</v>
      </c>
      <c r="AH895">
        <v>0</v>
      </c>
      <c r="AI895" t="s">
        <v>724</v>
      </c>
      <c r="AJ895">
        <v>39.682746000000002</v>
      </c>
      <c r="AK895" t="s">
        <v>725</v>
      </c>
      <c r="AL895">
        <v>-92.518980999999997</v>
      </c>
      <c r="AM895">
        <v>100</v>
      </c>
      <c r="AN895">
        <v>1700</v>
      </c>
      <c r="AO895" t="s">
        <v>118</v>
      </c>
      <c r="AP895">
        <v>-33</v>
      </c>
      <c r="AQ895">
        <v>122</v>
      </c>
      <c r="AR895">
        <v>0</v>
      </c>
      <c r="AZ895">
        <v>1200</v>
      </c>
      <c r="BA895">
        <v>1</v>
      </c>
      <c r="BB895" t="str">
        <f t="shared" si="42"/>
        <v xml:space="preserve">N8080G  </v>
      </c>
      <c r="BC895">
        <v>1</v>
      </c>
      <c r="BE895">
        <v>0</v>
      </c>
      <c r="BF895">
        <v>0</v>
      </c>
      <c r="BG895">
        <v>0</v>
      </c>
      <c r="BH895">
        <v>1675</v>
      </c>
      <c r="BI895">
        <v>1</v>
      </c>
      <c r="BJ895">
        <v>1</v>
      </c>
      <c r="BK895">
        <v>1</v>
      </c>
      <c r="BL895">
        <v>0</v>
      </c>
      <c r="BO895">
        <v>0</v>
      </c>
      <c r="BP895">
        <v>0</v>
      </c>
      <c r="BW895" t="str">
        <f>"20:16:50.394"</f>
        <v>20:16:50.394</v>
      </c>
      <c r="BZ895">
        <v>0</v>
      </c>
      <c r="CA895">
        <v>2016</v>
      </c>
      <c r="CB895">
        <v>224</v>
      </c>
      <c r="CD895">
        <v>1</v>
      </c>
      <c r="CE895">
        <v>0</v>
      </c>
      <c r="CF895">
        <v>0</v>
      </c>
      <c r="CG895">
        <v>1</v>
      </c>
      <c r="CH895">
        <v>0</v>
      </c>
      <c r="CI895">
        <v>0</v>
      </c>
      <c r="CJ895">
        <v>0</v>
      </c>
      <c r="CK895">
        <v>2</v>
      </c>
      <c r="CL895">
        <v>0</v>
      </c>
      <c r="CM895">
        <v>2</v>
      </c>
      <c r="CN895">
        <v>0</v>
      </c>
      <c r="CO895">
        <v>7</v>
      </c>
      <c r="CP895" t="s">
        <v>119</v>
      </c>
      <c r="CQ895">
        <v>180</v>
      </c>
      <c r="CR895">
        <v>2</v>
      </c>
      <c r="CW895">
        <v>8007995</v>
      </c>
      <c r="CY895">
        <v>1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</row>
    <row r="896" spans="1:113" x14ac:dyDescent="0.3">
      <c r="A896" t="str">
        <f>"02/08/2021 20:16:48.082"</f>
        <v>02/08/2021 20:16:48.082</v>
      </c>
      <c r="C896" t="str">
        <f t="shared" si="41"/>
        <v>FFDFD7C0</v>
      </c>
      <c r="D896" t="s">
        <v>124</v>
      </c>
      <c r="E896">
        <v>11</v>
      </c>
      <c r="F896">
        <v>1011</v>
      </c>
      <c r="G896" t="s">
        <v>590</v>
      </c>
      <c r="J896" t="s">
        <v>125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>"20:16:50.391"</f>
        <v>20:16:50.391</v>
      </c>
      <c r="T896" t="str">
        <f>"20:16:49.891"</f>
        <v>20:16:49.891</v>
      </c>
      <c r="U896" t="str">
        <f t="shared" si="40"/>
        <v>AB01F4</v>
      </c>
      <c r="V896">
        <v>0</v>
      </c>
      <c r="W896">
        <v>0</v>
      </c>
      <c r="X896">
        <v>2</v>
      </c>
      <c r="Z896">
        <v>0</v>
      </c>
      <c r="AA896">
        <v>9</v>
      </c>
      <c r="AB896">
        <v>3</v>
      </c>
      <c r="AC896">
        <v>0</v>
      </c>
      <c r="AD896">
        <v>10</v>
      </c>
      <c r="AE896">
        <v>0</v>
      </c>
      <c r="AF896">
        <v>3</v>
      </c>
      <c r="AG896">
        <v>2</v>
      </c>
      <c r="AH896">
        <v>0</v>
      </c>
      <c r="AI896" t="s">
        <v>724</v>
      </c>
      <c r="AJ896">
        <v>39.682746000000002</v>
      </c>
      <c r="AK896" t="s">
        <v>725</v>
      </c>
      <c r="AL896">
        <v>-92.518980999999997</v>
      </c>
      <c r="AM896">
        <v>100</v>
      </c>
      <c r="AN896">
        <v>1700</v>
      </c>
      <c r="AO896" t="s">
        <v>118</v>
      </c>
      <c r="AP896">
        <v>-33</v>
      </c>
      <c r="AQ896">
        <v>122</v>
      </c>
      <c r="AR896">
        <v>0</v>
      </c>
      <c r="AZ896">
        <v>1200</v>
      </c>
      <c r="BA896">
        <v>1</v>
      </c>
      <c r="BB896" t="str">
        <f t="shared" si="42"/>
        <v xml:space="preserve">N8080G  </v>
      </c>
      <c r="BC896">
        <v>1</v>
      </c>
      <c r="BE896">
        <v>0</v>
      </c>
      <c r="BF896">
        <v>0</v>
      </c>
      <c r="BG896">
        <v>0</v>
      </c>
      <c r="BH896">
        <v>1675</v>
      </c>
      <c r="BI896">
        <v>1</v>
      </c>
      <c r="BJ896">
        <v>1</v>
      </c>
      <c r="BK896">
        <v>1</v>
      </c>
      <c r="BL896">
        <v>0</v>
      </c>
      <c r="BO896">
        <v>0</v>
      </c>
      <c r="BP896">
        <v>0</v>
      </c>
      <c r="BW896" t="str">
        <f>"20:16:50.394"</f>
        <v>20:16:50.394</v>
      </c>
      <c r="BZ896">
        <v>0</v>
      </c>
      <c r="CA896">
        <v>2016</v>
      </c>
      <c r="CB896">
        <v>224</v>
      </c>
      <c r="CD896">
        <v>1</v>
      </c>
      <c r="CE896">
        <v>0</v>
      </c>
      <c r="CF896">
        <v>0</v>
      </c>
      <c r="CG896">
        <v>1</v>
      </c>
      <c r="CH896">
        <v>0</v>
      </c>
      <c r="CI896">
        <v>0</v>
      </c>
      <c r="CJ896">
        <v>0</v>
      </c>
      <c r="CK896">
        <v>2</v>
      </c>
      <c r="CL896">
        <v>0</v>
      </c>
      <c r="CM896">
        <v>2</v>
      </c>
      <c r="CN896">
        <v>0</v>
      </c>
      <c r="CO896">
        <v>7</v>
      </c>
      <c r="CP896" t="s">
        <v>119</v>
      </c>
      <c r="CQ896">
        <v>180</v>
      </c>
      <c r="CR896">
        <v>2</v>
      </c>
      <c r="CW896">
        <v>8007995</v>
      </c>
      <c r="CY896">
        <v>1</v>
      </c>
      <c r="CZ896">
        <v>0</v>
      </c>
      <c r="DA896">
        <v>1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</row>
    <row r="897" spans="1:113" x14ac:dyDescent="0.3">
      <c r="A897" t="str">
        <f>"02/08/2021 20:16:48.082"</f>
        <v>02/08/2021 20:16:48.082</v>
      </c>
      <c r="C897" t="str">
        <f t="shared" si="41"/>
        <v>FFDFD7C0</v>
      </c>
      <c r="D897" t="s">
        <v>124</v>
      </c>
      <c r="E897">
        <v>13</v>
      </c>
      <c r="F897">
        <v>1013</v>
      </c>
      <c r="G897" t="s">
        <v>114</v>
      </c>
      <c r="J897" t="s">
        <v>125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>"20:16:50.391"</f>
        <v>20:16:50.391</v>
      </c>
      <c r="T897" t="str">
        <f>"20:16:49.891"</f>
        <v>20:16:49.891</v>
      </c>
      <c r="U897" t="str">
        <f t="shared" si="40"/>
        <v>AB01F4</v>
      </c>
      <c r="V897">
        <v>0</v>
      </c>
      <c r="W897">
        <v>0</v>
      </c>
      <c r="X897">
        <v>2</v>
      </c>
      <c r="Z897">
        <v>0</v>
      </c>
      <c r="AA897">
        <v>9</v>
      </c>
      <c r="AB897">
        <v>3</v>
      </c>
      <c r="AC897">
        <v>0</v>
      </c>
      <c r="AD897">
        <v>10</v>
      </c>
      <c r="AE897">
        <v>0</v>
      </c>
      <c r="AF897">
        <v>3</v>
      </c>
      <c r="AG897">
        <v>2</v>
      </c>
      <c r="AH897">
        <v>0</v>
      </c>
      <c r="AI897" t="s">
        <v>724</v>
      </c>
      <c r="AJ897">
        <v>39.682746000000002</v>
      </c>
      <c r="AK897" t="s">
        <v>725</v>
      </c>
      <c r="AL897">
        <v>-92.518980999999997</v>
      </c>
      <c r="AM897">
        <v>100</v>
      </c>
      <c r="AN897">
        <v>1700</v>
      </c>
      <c r="AO897" t="s">
        <v>118</v>
      </c>
      <c r="AP897">
        <v>-33</v>
      </c>
      <c r="AQ897">
        <v>122</v>
      </c>
      <c r="AR897">
        <v>0</v>
      </c>
      <c r="AZ897">
        <v>1200</v>
      </c>
      <c r="BA897">
        <v>1</v>
      </c>
      <c r="BB897" t="str">
        <f t="shared" si="42"/>
        <v xml:space="preserve">N8080G  </v>
      </c>
      <c r="BC897">
        <v>1</v>
      </c>
      <c r="BE897">
        <v>0</v>
      </c>
      <c r="BF897">
        <v>0</v>
      </c>
      <c r="BG897">
        <v>0</v>
      </c>
      <c r="BH897">
        <v>1675</v>
      </c>
      <c r="BI897">
        <v>1</v>
      </c>
      <c r="BJ897">
        <v>1</v>
      </c>
      <c r="BK897">
        <v>1</v>
      </c>
      <c r="BL897">
        <v>0</v>
      </c>
      <c r="BO897">
        <v>0</v>
      </c>
      <c r="BP897">
        <v>0</v>
      </c>
      <c r="BW897" t="str">
        <f>"20:16:50.394"</f>
        <v>20:16:50.394</v>
      </c>
      <c r="BZ897">
        <v>0</v>
      </c>
      <c r="CA897">
        <v>2016</v>
      </c>
      <c r="CB897">
        <v>224</v>
      </c>
      <c r="CD897">
        <v>1</v>
      </c>
      <c r="CE897">
        <v>0</v>
      </c>
      <c r="CF897">
        <v>0</v>
      </c>
      <c r="CG897">
        <v>1</v>
      </c>
      <c r="CH897">
        <v>0</v>
      </c>
      <c r="CI897">
        <v>0</v>
      </c>
      <c r="CJ897">
        <v>0</v>
      </c>
      <c r="CK897">
        <v>2</v>
      </c>
      <c r="CL897">
        <v>0</v>
      </c>
      <c r="CM897">
        <v>2</v>
      </c>
      <c r="CN897">
        <v>0</v>
      </c>
      <c r="CO897">
        <v>7</v>
      </c>
      <c r="CP897" t="s">
        <v>119</v>
      </c>
      <c r="CQ897">
        <v>180</v>
      </c>
      <c r="CR897">
        <v>2</v>
      </c>
      <c r="CW897">
        <v>8007995</v>
      </c>
      <c r="CY897">
        <v>1</v>
      </c>
      <c r="CZ897">
        <v>0</v>
      </c>
      <c r="DA897">
        <v>1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</row>
    <row r="898" spans="1:113" x14ac:dyDescent="0.3">
      <c r="A898" t="str">
        <f>"02/08/2021 20:16:48.082"</f>
        <v>02/08/2021 20:16:48.082</v>
      </c>
      <c r="C898" t="str">
        <f t="shared" si="41"/>
        <v>FFDFD7C0</v>
      </c>
      <c r="D898" t="s">
        <v>124</v>
      </c>
      <c r="E898">
        <v>12</v>
      </c>
      <c r="F898">
        <v>1012</v>
      </c>
      <c r="G898" t="s">
        <v>675</v>
      </c>
      <c r="J898" t="s">
        <v>125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>"20:16:50.391"</f>
        <v>20:16:50.391</v>
      </c>
      <c r="T898" t="str">
        <f>"20:16:49.891"</f>
        <v>20:16:49.891</v>
      </c>
      <c r="U898" t="str">
        <f t="shared" ref="U898:U961" si="43">"AB01F4"</f>
        <v>AB01F4</v>
      </c>
      <c r="V898">
        <v>0</v>
      </c>
      <c r="W898">
        <v>0</v>
      </c>
      <c r="X898">
        <v>2</v>
      </c>
      <c r="Z898">
        <v>0</v>
      </c>
      <c r="AA898">
        <v>9</v>
      </c>
      <c r="AB898">
        <v>3</v>
      </c>
      <c r="AC898">
        <v>0</v>
      </c>
      <c r="AD898">
        <v>10</v>
      </c>
      <c r="AE898">
        <v>0</v>
      </c>
      <c r="AF898">
        <v>3</v>
      </c>
      <c r="AG898">
        <v>2</v>
      </c>
      <c r="AH898">
        <v>0</v>
      </c>
      <c r="AI898" t="s">
        <v>724</v>
      </c>
      <c r="AJ898">
        <v>39.682746000000002</v>
      </c>
      <c r="AK898" t="s">
        <v>725</v>
      </c>
      <c r="AL898">
        <v>-92.518980999999997</v>
      </c>
      <c r="AM898">
        <v>100</v>
      </c>
      <c r="AN898">
        <v>1700</v>
      </c>
      <c r="AO898" t="s">
        <v>118</v>
      </c>
      <c r="AP898">
        <v>-33</v>
      </c>
      <c r="AQ898">
        <v>122</v>
      </c>
      <c r="AR898">
        <v>0</v>
      </c>
      <c r="AZ898">
        <v>1200</v>
      </c>
      <c r="BA898">
        <v>1</v>
      </c>
      <c r="BB898" t="str">
        <f t="shared" si="42"/>
        <v xml:space="preserve">N8080G  </v>
      </c>
      <c r="BC898">
        <v>1</v>
      </c>
      <c r="BE898">
        <v>0</v>
      </c>
      <c r="BF898">
        <v>0</v>
      </c>
      <c r="BG898">
        <v>0</v>
      </c>
      <c r="BH898">
        <v>1675</v>
      </c>
      <c r="BI898">
        <v>1</v>
      </c>
      <c r="BJ898">
        <v>1</v>
      </c>
      <c r="BK898">
        <v>1</v>
      </c>
      <c r="BL898">
        <v>0</v>
      </c>
      <c r="BO898">
        <v>0</v>
      </c>
      <c r="BP898">
        <v>0</v>
      </c>
      <c r="BW898" t="str">
        <f>"20:16:50.394"</f>
        <v>20:16:50.394</v>
      </c>
      <c r="BZ898">
        <v>0</v>
      </c>
      <c r="CA898">
        <v>2016</v>
      </c>
      <c r="CB898">
        <v>224</v>
      </c>
      <c r="CD898">
        <v>1</v>
      </c>
      <c r="CE898">
        <v>0</v>
      </c>
      <c r="CF898">
        <v>0</v>
      </c>
      <c r="CG898">
        <v>1</v>
      </c>
      <c r="CH898">
        <v>0</v>
      </c>
      <c r="CI898">
        <v>0</v>
      </c>
      <c r="CJ898">
        <v>0</v>
      </c>
      <c r="CK898">
        <v>2</v>
      </c>
      <c r="CL898">
        <v>0</v>
      </c>
      <c r="CM898">
        <v>2</v>
      </c>
      <c r="CN898">
        <v>0</v>
      </c>
      <c r="CO898">
        <v>7</v>
      </c>
      <c r="CP898" t="s">
        <v>119</v>
      </c>
      <c r="CQ898">
        <v>180</v>
      </c>
      <c r="CR898">
        <v>2</v>
      </c>
      <c r="CW898">
        <v>8007995</v>
      </c>
      <c r="CY898">
        <v>1</v>
      </c>
      <c r="CZ898">
        <v>0</v>
      </c>
      <c r="DA898">
        <v>1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</row>
    <row r="899" spans="1:113" x14ac:dyDescent="0.3">
      <c r="A899" t="str">
        <f>"02/08/2021 20:16:49.545"</f>
        <v>02/08/2021 20:16:49.545</v>
      </c>
      <c r="C899" t="str">
        <f t="shared" si="41"/>
        <v>FFDFD7C0</v>
      </c>
      <c r="D899" t="s">
        <v>113</v>
      </c>
      <c r="E899">
        <v>6</v>
      </c>
      <c r="H899">
        <v>165</v>
      </c>
      <c r="I899" t="s">
        <v>114</v>
      </c>
      <c r="J899" t="s">
        <v>115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>"20:16:51.828"</f>
        <v>20:16:51.828</v>
      </c>
      <c r="T899" t="str">
        <f>"20:16:51.428"</f>
        <v>20:16:51.428</v>
      </c>
      <c r="U899" t="str">
        <f t="shared" si="43"/>
        <v>AB01F4</v>
      </c>
      <c r="V899">
        <v>0</v>
      </c>
      <c r="W899">
        <v>0</v>
      </c>
      <c r="X899">
        <v>2</v>
      </c>
      <c r="Z899">
        <v>0</v>
      </c>
      <c r="AA899">
        <v>9</v>
      </c>
      <c r="AB899">
        <v>3</v>
      </c>
      <c r="AC899">
        <v>0</v>
      </c>
      <c r="AD899">
        <v>10</v>
      </c>
      <c r="AE899">
        <v>0</v>
      </c>
      <c r="AF899">
        <v>3</v>
      </c>
      <c r="AG899">
        <v>2</v>
      </c>
      <c r="AH899">
        <v>0</v>
      </c>
      <c r="AI899" t="s">
        <v>726</v>
      </c>
      <c r="AJ899">
        <v>39.683604000000003</v>
      </c>
      <c r="AK899" t="s">
        <v>727</v>
      </c>
      <c r="AL899">
        <v>-92.519216999999998</v>
      </c>
      <c r="AM899">
        <v>100</v>
      </c>
      <c r="AN899">
        <v>1700</v>
      </c>
      <c r="AO899" t="s">
        <v>118</v>
      </c>
      <c r="AP899">
        <v>-32</v>
      </c>
      <c r="AQ899">
        <v>122</v>
      </c>
      <c r="AR899">
        <v>0</v>
      </c>
      <c r="AZ899">
        <v>1200</v>
      </c>
      <c r="BA899">
        <v>1</v>
      </c>
      <c r="BB899" t="str">
        <f t="shared" si="42"/>
        <v xml:space="preserve">N8080G  </v>
      </c>
      <c r="BC899">
        <v>1</v>
      </c>
      <c r="BE899">
        <v>0</v>
      </c>
      <c r="BF899">
        <v>0</v>
      </c>
      <c r="BG899">
        <v>0</v>
      </c>
      <c r="BH899">
        <v>1675</v>
      </c>
      <c r="BI899">
        <v>1</v>
      </c>
      <c r="BJ899">
        <v>1</v>
      </c>
      <c r="BK899">
        <v>1</v>
      </c>
      <c r="BL899">
        <v>0</v>
      </c>
      <c r="BO899">
        <v>0</v>
      </c>
      <c r="BP899">
        <v>0</v>
      </c>
      <c r="BW899" t="str">
        <f>"20:16:51.831"</f>
        <v>20:16:51.831</v>
      </c>
      <c r="BZ899">
        <v>0</v>
      </c>
      <c r="CA899">
        <v>2016</v>
      </c>
      <c r="CB899">
        <v>224</v>
      </c>
      <c r="CD899">
        <v>1</v>
      </c>
      <c r="CE899">
        <v>0</v>
      </c>
      <c r="CF899">
        <v>0</v>
      </c>
      <c r="CG899">
        <v>1</v>
      </c>
      <c r="CH899">
        <v>0</v>
      </c>
      <c r="CI899">
        <v>0</v>
      </c>
      <c r="CJ899">
        <v>0</v>
      </c>
      <c r="CK899">
        <v>2</v>
      </c>
      <c r="CL899">
        <v>0</v>
      </c>
      <c r="CM899">
        <v>2</v>
      </c>
      <c r="CN899">
        <v>0</v>
      </c>
      <c r="CO899">
        <v>7</v>
      </c>
      <c r="CP899" t="s">
        <v>119</v>
      </c>
      <c r="CQ899">
        <v>180</v>
      </c>
      <c r="CR899">
        <v>2</v>
      </c>
      <c r="CW899">
        <v>8009237</v>
      </c>
      <c r="CY899">
        <v>1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</row>
    <row r="900" spans="1:113" x14ac:dyDescent="0.3">
      <c r="A900" t="str">
        <f>"02/08/2021 20:16:49.545"</f>
        <v>02/08/2021 20:16:49.545</v>
      </c>
      <c r="C900" t="str">
        <f t="shared" si="41"/>
        <v>FFDFD7C0</v>
      </c>
      <c r="D900" t="s">
        <v>124</v>
      </c>
      <c r="E900">
        <v>11</v>
      </c>
      <c r="F900">
        <v>1011</v>
      </c>
      <c r="G900" t="s">
        <v>590</v>
      </c>
      <c r="J900" t="s">
        <v>125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>"20:16:51.828"</f>
        <v>20:16:51.828</v>
      </c>
      <c r="T900" t="str">
        <f>"20:16:51.428"</f>
        <v>20:16:51.428</v>
      </c>
      <c r="U900" t="str">
        <f t="shared" si="43"/>
        <v>AB01F4</v>
      </c>
      <c r="V900">
        <v>0</v>
      </c>
      <c r="W900">
        <v>0</v>
      </c>
      <c r="X900">
        <v>2</v>
      </c>
      <c r="Z900">
        <v>0</v>
      </c>
      <c r="AA900">
        <v>9</v>
      </c>
      <c r="AB900">
        <v>3</v>
      </c>
      <c r="AC900">
        <v>0</v>
      </c>
      <c r="AD900">
        <v>10</v>
      </c>
      <c r="AE900">
        <v>0</v>
      </c>
      <c r="AF900">
        <v>3</v>
      </c>
      <c r="AG900">
        <v>2</v>
      </c>
      <c r="AH900">
        <v>0</v>
      </c>
      <c r="AI900" t="s">
        <v>726</v>
      </c>
      <c r="AJ900">
        <v>39.683604000000003</v>
      </c>
      <c r="AK900" t="s">
        <v>727</v>
      </c>
      <c r="AL900">
        <v>-92.519216999999998</v>
      </c>
      <c r="AM900">
        <v>100</v>
      </c>
      <c r="AN900">
        <v>1700</v>
      </c>
      <c r="AO900" t="s">
        <v>118</v>
      </c>
      <c r="AP900">
        <v>-32</v>
      </c>
      <c r="AQ900">
        <v>122</v>
      </c>
      <c r="AR900">
        <v>0</v>
      </c>
      <c r="AZ900">
        <v>1200</v>
      </c>
      <c r="BA900">
        <v>1</v>
      </c>
      <c r="BB900" t="str">
        <f t="shared" si="42"/>
        <v xml:space="preserve">N8080G  </v>
      </c>
      <c r="BC900">
        <v>1</v>
      </c>
      <c r="BE900">
        <v>0</v>
      </c>
      <c r="BF900">
        <v>0</v>
      </c>
      <c r="BG900">
        <v>0</v>
      </c>
      <c r="BH900">
        <v>1675</v>
      </c>
      <c r="BI900">
        <v>1</v>
      </c>
      <c r="BJ900">
        <v>1</v>
      </c>
      <c r="BK900">
        <v>1</v>
      </c>
      <c r="BL900">
        <v>0</v>
      </c>
      <c r="BO900">
        <v>0</v>
      </c>
      <c r="BP900">
        <v>0</v>
      </c>
      <c r="BW900" t="str">
        <f>"20:16:51.831"</f>
        <v>20:16:51.831</v>
      </c>
      <c r="BZ900">
        <v>0</v>
      </c>
      <c r="CA900">
        <v>2016</v>
      </c>
      <c r="CB900">
        <v>224</v>
      </c>
      <c r="CD900">
        <v>1</v>
      </c>
      <c r="CE900">
        <v>0</v>
      </c>
      <c r="CF900">
        <v>0</v>
      </c>
      <c r="CG900">
        <v>1</v>
      </c>
      <c r="CH900">
        <v>0</v>
      </c>
      <c r="CI900">
        <v>0</v>
      </c>
      <c r="CJ900">
        <v>0</v>
      </c>
      <c r="CK900">
        <v>2</v>
      </c>
      <c r="CL900">
        <v>0</v>
      </c>
      <c r="CM900">
        <v>2</v>
      </c>
      <c r="CN900">
        <v>0</v>
      </c>
      <c r="CO900">
        <v>7</v>
      </c>
      <c r="CP900" t="s">
        <v>119</v>
      </c>
      <c r="CQ900">
        <v>180</v>
      </c>
      <c r="CR900">
        <v>2</v>
      </c>
      <c r="CW900">
        <v>8009237</v>
      </c>
      <c r="CY900">
        <v>1</v>
      </c>
      <c r="CZ900">
        <v>0</v>
      </c>
      <c r="DA900">
        <v>1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</row>
    <row r="901" spans="1:113" x14ac:dyDescent="0.3">
      <c r="A901" t="str">
        <f>"02/08/2021 20:16:49.545"</f>
        <v>02/08/2021 20:16:49.545</v>
      </c>
      <c r="C901" t="str">
        <f t="shared" si="41"/>
        <v>FFDFD7C0</v>
      </c>
      <c r="D901" t="s">
        <v>124</v>
      </c>
      <c r="E901">
        <v>13</v>
      </c>
      <c r="F901">
        <v>1013</v>
      </c>
      <c r="G901" t="s">
        <v>114</v>
      </c>
      <c r="J901" t="s">
        <v>125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>"20:16:51.828"</f>
        <v>20:16:51.828</v>
      </c>
      <c r="T901" t="str">
        <f>"20:16:51.428"</f>
        <v>20:16:51.428</v>
      </c>
      <c r="U901" t="str">
        <f t="shared" si="43"/>
        <v>AB01F4</v>
      </c>
      <c r="V901">
        <v>0</v>
      </c>
      <c r="W901">
        <v>0</v>
      </c>
      <c r="X901">
        <v>2</v>
      </c>
      <c r="Z901">
        <v>0</v>
      </c>
      <c r="AA901">
        <v>9</v>
      </c>
      <c r="AB901">
        <v>3</v>
      </c>
      <c r="AC901">
        <v>0</v>
      </c>
      <c r="AD901">
        <v>10</v>
      </c>
      <c r="AE901">
        <v>0</v>
      </c>
      <c r="AF901">
        <v>3</v>
      </c>
      <c r="AG901">
        <v>2</v>
      </c>
      <c r="AH901">
        <v>0</v>
      </c>
      <c r="AI901" t="s">
        <v>726</v>
      </c>
      <c r="AJ901">
        <v>39.683604000000003</v>
      </c>
      <c r="AK901" t="s">
        <v>727</v>
      </c>
      <c r="AL901">
        <v>-92.519216999999998</v>
      </c>
      <c r="AM901">
        <v>100</v>
      </c>
      <c r="AN901">
        <v>1700</v>
      </c>
      <c r="AO901" t="s">
        <v>118</v>
      </c>
      <c r="AP901">
        <v>-32</v>
      </c>
      <c r="AQ901">
        <v>122</v>
      </c>
      <c r="AR901">
        <v>0</v>
      </c>
      <c r="AZ901">
        <v>1200</v>
      </c>
      <c r="BA901">
        <v>1</v>
      </c>
      <c r="BB901" t="str">
        <f t="shared" si="42"/>
        <v xml:space="preserve">N8080G  </v>
      </c>
      <c r="BC901">
        <v>1</v>
      </c>
      <c r="BE901">
        <v>0</v>
      </c>
      <c r="BF901">
        <v>0</v>
      </c>
      <c r="BG901">
        <v>0</v>
      </c>
      <c r="BH901">
        <v>1675</v>
      </c>
      <c r="BI901">
        <v>1</v>
      </c>
      <c r="BJ901">
        <v>1</v>
      </c>
      <c r="BK901">
        <v>1</v>
      </c>
      <c r="BL901">
        <v>0</v>
      </c>
      <c r="BO901">
        <v>0</v>
      </c>
      <c r="BP901">
        <v>0</v>
      </c>
      <c r="BW901" t="str">
        <f>"20:16:51.831"</f>
        <v>20:16:51.831</v>
      </c>
      <c r="BZ901">
        <v>0</v>
      </c>
      <c r="CA901">
        <v>2016</v>
      </c>
      <c r="CB901">
        <v>224</v>
      </c>
      <c r="CD901">
        <v>1</v>
      </c>
      <c r="CE901">
        <v>0</v>
      </c>
      <c r="CF901">
        <v>0</v>
      </c>
      <c r="CG901">
        <v>1</v>
      </c>
      <c r="CH901">
        <v>0</v>
      </c>
      <c r="CI901">
        <v>0</v>
      </c>
      <c r="CJ901">
        <v>0</v>
      </c>
      <c r="CK901">
        <v>2</v>
      </c>
      <c r="CL901">
        <v>0</v>
      </c>
      <c r="CM901">
        <v>2</v>
      </c>
      <c r="CN901">
        <v>0</v>
      </c>
      <c r="CO901">
        <v>7</v>
      </c>
      <c r="CP901" t="s">
        <v>119</v>
      </c>
      <c r="CQ901">
        <v>180</v>
      </c>
      <c r="CR901">
        <v>2</v>
      </c>
      <c r="CW901">
        <v>8009237</v>
      </c>
      <c r="CY901">
        <v>1</v>
      </c>
      <c r="CZ901">
        <v>0</v>
      </c>
      <c r="DA901">
        <v>1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</row>
    <row r="902" spans="1:113" x14ac:dyDescent="0.3">
      <c r="A902" t="str">
        <f>"02/08/2021 20:16:49.545"</f>
        <v>02/08/2021 20:16:49.545</v>
      </c>
      <c r="C902" t="str">
        <f t="shared" si="41"/>
        <v>FFDFD7C0</v>
      </c>
      <c r="D902" t="s">
        <v>124</v>
      </c>
      <c r="E902">
        <v>12</v>
      </c>
      <c r="F902">
        <v>1012</v>
      </c>
      <c r="G902" t="s">
        <v>675</v>
      </c>
      <c r="J902" t="s">
        <v>125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>"20:16:51.828"</f>
        <v>20:16:51.828</v>
      </c>
      <c r="T902" t="str">
        <f>"20:16:51.428"</f>
        <v>20:16:51.428</v>
      </c>
      <c r="U902" t="str">
        <f t="shared" si="43"/>
        <v>AB01F4</v>
      </c>
      <c r="V902">
        <v>0</v>
      </c>
      <c r="W902">
        <v>0</v>
      </c>
      <c r="X902">
        <v>2</v>
      </c>
      <c r="Z902">
        <v>0</v>
      </c>
      <c r="AA902">
        <v>9</v>
      </c>
      <c r="AB902">
        <v>3</v>
      </c>
      <c r="AC902">
        <v>0</v>
      </c>
      <c r="AD902">
        <v>10</v>
      </c>
      <c r="AE902">
        <v>0</v>
      </c>
      <c r="AF902">
        <v>3</v>
      </c>
      <c r="AG902">
        <v>2</v>
      </c>
      <c r="AH902">
        <v>0</v>
      </c>
      <c r="AI902" t="s">
        <v>726</v>
      </c>
      <c r="AJ902">
        <v>39.683604000000003</v>
      </c>
      <c r="AK902" t="s">
        <v>727</v>
      </c>
      <c r="AL902">
        <v>-92.519216999999998</v>
      </c>
      <c r="AM902">
        <v>100</v>
      </c>
      <c r="AN902">
        <v>1700</v>
      </c>
      <c r="AO902" t="s">
        <v>118</v>
      </c>
      <c r="AP902">
        <v>-32</v>
      </c>
      <c r="AQ902">
        <v>122</v>
      </c>
      <c r="AR902">
        <v>0</v>
      </c>
      <c r="AZ902">
        <v>1200</v>
      </c>
      <c r="BA902">
        <v>1</v>
      </c>
      <c r="BB902" t="str">
        <f t="shared" si="42"/>
        <v xml:space="preserve">N8080G  </v>
      </c>
      <c r="BC902">
        <v>1</v>
      </c>
      <c r="BE902">
        <v>0</v>
      </c>
      <c r="BF902">
        <v>0</v>
      </c>
      <c r="BG902">
        <v>0</v>
      </c>
      <c r="BH902">
        <v>1675</v>
      </c>
      <c r="BI902">
        <v>1</v>
      </c>
      <c r="BJ902">
        <v>1</v>
      </c>
      <c r="BK902">
        <v>1</v>
      </c>
      <c r="BL902">
        <v>0</v>
      </c>
      <c r="BO902">
        <v>0</v>
      </c>
      <c r="BP902">
        <v>0</v>
      </c>
      <c r="BW902" t="str">
        <f>"20:16:51.831"</f>
        <v>20:16:51.831</v>
      </c>
      <c r="BZ902">
        <v>0</v>
      </c>
      <c r="CA902">
        <v>2016</v>
      </c>
      <c r="CB902">
        <v>224</v>
      </c>
      <c r="CD902">
        <v>1</v>
      </c>
      <c r="CE902">
        <v>0</v>
      </c>
      <c r="CF902">
        <v>0</v>
      </c>
      <c r="CG902">
        <v>1</v>
      </c>
      <c r="CH902">
        <v>0</v>
      </c>
      <c r="CI902">
        <v>0</v>
      </c>
      <c r="CJ902">
        <v>0</v>
      </c>
      <c r="CK902">
        <v>2</v>
      </c>
      <c r="CL902">
        <v>0</v>
      </c>
      <c r="CM902">
        <v>2</v>
      </c>
      <c r="CN902">
        <v>0</v>
      </c>
      <c r="CO902">
        <v>7</v>
      </c>
      <c r="CP902" t="s">
        <v>119</v>
      </c>
      <c r="CQ902">
        <v>180</v>
      </c>
      <c r="CR902">
        <v>2</v>
      </c>
      <c r="CW902">
        <v>8009237</v>
      </c>
      <c r="CY902">
        <v>1</v>
      </c>
      <c r="CZ902">
        <v>0</v>
      </c>
      <c r="DA902">
        <v>1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</row>
    <row r="903" spans="1:113" x14ac:dyDescent="0.3">
      <c r="A903" t="str">
        <f>"02/08/2021 20:16:50.909"</f>
        <v>02/08/2021 20:16:50.909</v>
      </c>
      <c r="C903" t="str">
        <f t="shared" si="41"/>
        <v>FFDFD7C0</v>
      </c>
      <c r="D903" t="s">
        <v>113</v>
      </c>
      <c r="E903">
        <v>6</v>
      </c>
      <c r="H903">
        <v>165</v>
      </c>
      <c r="I903" t="s">
        <v>114</v>
      </c>
      <c r="J903" t="s">
        <v>115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>"20:16:53.258"</f>
        <v>20:16:53.258</v>
      </c>
      <c r="T903" t="str">
        <f>"20:16:52.858"</f>
        <v>20:16:52.858</v>
      </c>
      <c r="U903" t="str">
        <f t="shared" si="43"/>
        <v>AB01F4</v>
      </c>
      <c r="V903">
        <v>0</v>
      </c>
      <c r="W903">
        <v>0</v>
      </c>
      <c r="X903">
        <v>2</v>
      </c>
      <c r="Z903">
        <v>0</v>
      </c>
      <c r="AA903">
        <v>9</v>
      </c>
      <c r="AB903">
        <v>3</v>
      </c>
      <c r="AC903">
        <v>0</v>
      </c>
      <c r="AD903">
        <v>10</v>
      </c>
      <c r="AE903">
        <v>0</v>
      </c>
      <c r="AF903">
        <v>3</v>
      </c>
      <c r="AG903">
        <v>2</v>
      </c>
      <c r="AH903">
        <v>0</v>
      </c>
      <c r="AI903" t="s">
        <v>728</v>
      </c>
      <c r="AJ903">
        <v>39.684376999999998</v>
      </c>
      <c r="AK903" t="s">
        <v>729</v>
      </c>
      <c r="AL903">
        <v>-92.519537999999997</v>
      </c>
      <c r="AM903">
        <v>100</v>
      </c>
      <c r="AN903">
        <v>1700</v>
      </c>
      <c r="AO903" t="s">
        <v>118</v>
      </c>
      <c r="AP903">
        <v>-32</v>
      </c>
      <c r="AQ903">
        <v>122</v>
      </c>
      <c r="AR903">
        <v>64</v>
      </c>
      <c r="AZ903">
        <v>1200</v>
      </c>
      <c r="BA903">
        <v>1</v>
      </c>
      <c r="BB903" t="str">
        <f t="shared" si="42"/>
        <v xml:space="preserve">N8080G  </v>
      </c>
      <c r="BC903">
        <v>1</v>
      </c>
      <c r="BE903">
        <v>0</v>
      </c>
      <c r="BF903">
        <v>0</v>
      </c>
      <c r="BG903">
        <v>0</v>
      </c>
      <c r="BH903">
        <v>1675</v>
      </c>
      <c r="BI903">
        <v>1</v>
      </c>
      <c r="BJ903">
        <v>1</v>
      </c>
      <c r="BK903">
        <v>1</v>
      </c>
      <c r="BL903">
        <v>0</v>
      </c>
      <c r="BO903">
        <v>0</v>
      </c>
      <c r="BP903">
        <v>0</v>
      </c>
      <c r="BW903" t="str">
        <f>"20:16:53.263"</f>
        <v>20:16:53.263</v>
      </c>
      <c r="BZ903">
        <v>0</v>
      </c>
      <c r="CA903">
        <v>2016</v>
      </c>
      <c r="CB903">
        <v>224</v>
      </c>
      <c r="CD903">
        <v>1</v>
      </c>
      <c r="CE903">
        <v>0</v>
      </c>
      <c r="CF903">
        <v>0</v>
      </c>
      <c r="CG903">
        <v>1</v>
      </c>
      <c r="CH903">
        <v>0</v>
      </c>
      <c r="CI903">
        <v>0</v>
      </c>
      <c r="CJ903">
        <v>0</v>
      </c>
      <c r="CK903">
        <v>2</v>
      </c>
      <c r="CL903">
        <v>0</v>
      </c>
      <c r="CM903">
        <v>2</v>
      </c>
      <c r="CN903">
        <v>0</v>
      </c>
      <c r="CO903">
        <v>6</v>
      </c>
      <c r="CP903" t="s">
        <v>119</v>
      </c>
      <c r="CQ903">
        <v>180</v>
      </c>
      <c r="CR903">
        <v>1</v>
      </c>
      <c r="CW903">
        <v>10563260</v>
      </c>
      <c r="CY903">
        <v>1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</row>
    <row r="904" spans="1:113" x14ac:dyDescent="0.3">
      <c r="A904" t="str">
        <f>"02/08/2021 20:16:50.909"</f>
        <v>02/08/2021 20:16:50.909</v>
      </c>
      <c r="C904" t="str">
        <f t="shared" si="41"/>
        <v>FFDFD7C0</v>
      </c>
      <c r="D904" t="s">
        <v>124</v>
      </c>
      <c r="E904">
        <v>13</v>
      </c>
      <c r="F904">
        <v>1013</v>
      </c>
      <c r="G904" t="s">
        <v>114</v>
      </c>
      <c r="J904" t="s">
        <v>125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>"20:16:53.258"</f>
        <v>20:16:53.258</v>
      </c>
      <c r="T904" t="str">
        <f>"20:16:52.858"</f>
        <v>20:16:52.858</v>
      </c>
      <c r="U904" t="str">
        <f t="shared" si="43"/>
        <v>AB01F4</v>
      </c>
      <c r="V904">
        <v>0</v>
      </c>
      <c r="W904">
        <v>0</v>
      </c>
      <c r="X904">
        <v>2</v>
      </c>
      <c r="Z904">
        <v>0</v>
      </c>
      <c r="AA904">
        <v>9</v>
      </c>
      <c r="AB904">
        <v>3</v>
      </c>
      <c r="AC904">
        <v>0</v>
      </c>
      <c r="AD904">
        <v>10</v>
      </c>
      <c r="AE904">
        <v>0</v>
      </c>
      <c r="AF904">
        <v>3</v>
      </c>
      <c r="AG904">
        <v>2</v>
      </c>
      <c r="AH904">
        <v>0</v>
      </c>
      <c r="AI904" t="s">
        <v>728</v>
      </c>
      <c r="AJ904">
        <v>39.684376999999998</v>
      </c>
      <c r="AK904" t="s">
        <v>729</v>
      </c>
      <c r="AL904">
        <v>-92.519537999999997</v>
      </c>
      <c r="AM904">
        <v>100</v>
      </c>
      <c r="AN904">
        <v>1700</v>
      </c>
      <c r="AO904" t="s">
        <v>118</v>
      </c>
      <c r="AP904">
        <v>-32</v>
      </c>
      <c r="AQ904">
        <v>122</v>
      </c>
      <c r="AR904">
        <v>64</v>
      </c>
      <c r="AZ904">
        <v>1200</v>
      </c>
      <c r="BA904">
        <v>1</v>
      </c>
      <c r="BB904" t="str">
        <f t="shared" si="42"/>
        <v xml:space="preserve">N8080G  </v>
      </c>
      <c r="BC904">
        <v>1</v>
      </c>
      <c r="BE904">
        <v>0</v>
      </c>
      <c r="BF904">
        <v>0</v>
      </c>
      <c r="BG904">
        <v>0</v>
      </c>
      <c r="BH904">
        <v>1675</v>
      </c>
      <c r="BI904">
        <v>1</v>
      </c>
      <c r="BJ904">
        <v>1</v>
      </c>
      <c r="BK904">
        <v>1</v>
      </c>
      <c r="BL904">
        <v>0</v>
      </c>
      <c r="BO904">
        <v>0</v>
      </c>
      <c r="BP904">
        <v>0</v>
      </c>
      <c r="BW904" t="str">
        <f>"20:16:53.263"</f>
        <v>20:16:53.263</v>
      </c>
      <c r="BZ904">
        <v>0</v>
      </c>
      <c r="CA904">
        <v>2016</v>
      </c>
      <c r="CB904">
        <v>224</v>
      </c>
      <c r="CD904">
        <v>1</v>
      </c>
      <c r="CE904">
        <v>0</v>
      </c>
      <c r="CF904">
        <v>0</v>
      </c>
      <c r="CG904">
        <v>1</v>
      </c>
      <c r="CH904">
        <v>0</v>
      </c>
      <c r="CI904">
        <v>0</v>
      </c>
      <c r="CJ904">
        <v>0</v>
      </c>
      <c r="CK904">
        <v>2</v>
      </c>
      <c r="CL904">
        <v>0</v>
      </c>
      <c r="CM904">
        <v>2</v>
      </c>
      <c r="CN904">
        <v>0</v>
      </c>
      <c r="CO904">
        <v>6</v>
      </c>
      <c r="CP904" t="s">
        <v>119</v>
      </c>
      <c r="CQ904">
        <v>180</v>
      </c>
      <c r="CR904">
        <v>1</v>
      </c>
      <c r="CW904">
        <v>10563260</v>
      </c>
      <c r="CY904">
        <v>1</v>
      </c>
      <c r="CZ904">
        <v>0</v>
      </c>
      <c r="DA904">
        <v>1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</row>
    <row r="905" spans="1:113" x14ac:dyDescent="0.3">
      <c r="A905" t="str">
        <f>"02/08/2021 20:16:50.909"</f>
        <v>02/08/2021 20:16:50.909</v>
      </c>
      <c r="C905" t="str">
        <f t="shared" ref="C905:C968" si="44">"FFDFD7C0"</f>
        <v>FFDFD7C0</v>
      </c>
      <c r="D905" t="s">
        <v>124</v>
      </c>
      <c r="E905">
        <v>11</v>
      </c>
      <c r="F905">
        <v>1011</v>
      </c>
      <c r="G905" t="s">
        <v>590</v>
      </c>
      <c r="J905" t="s">
        <v>125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>"20:16:53.258"</f>
        <v>20:16:53.258</v>
      </c>
      <c r="T905" t="str">
        <f>"20:16:52.858"</f>
        <v>20:16:52.858</v>
      </c>
      <c r="U905" t="str">
        <f t="shared" si="43"/>
        <v>AB01F4</v>
      </c>
      <c r="V905">
        <v>0</v>
      </c>
      <c r="W905">
        <v>0</v>
      </c>
      <c r="X905">
        <v>2</v>
      </c>
      <c r="Z905">
        <v>0</v>
      </c>
      <c r="AA905">
        <v>9</v>
      </c>
      <c r="AB905">
        <v>3</v>
      </c>
      <c r="AC905">
        <v>0</v>
      </c>
      <c r="AD905">
        <v>10</v>
      </c>
      <c r="AE905">
        <v>0</v>
      </c>
      <c r="AF905">
        <v>3</v>
      </c>
      <c r="AG905">
        <v>2</v>
      </c>
      <c r="AH905">
        <v>0</v>
      </c>
      <c r="AI905" t="s">
        <v>728</v>
      </c>
      <c r="AJ905">
        <v>39.684376999999998</v>
      </c>
      <c r="AK905" t="s">
        <v>729</v>
      </c>
      <c r="AL905">
        <v>-92.519537999999997</v>
      </c>
      <c r="AM905">
        <v>100</v>
      </c>
      <c r="AN905">
        <v>1700</v>
      </c>
      <c r="AO905" t="s">
        <v>118</v>
      </c>
      <c r="AP905">
        <v>-32</v>
      </c>
      <c r="AQ905">
        <v>122</v>
      </c>
      <c r="AR905">
        <v>64</v>
      </c>
      <c r="AZ905">
        <v>1200</v>
      </c>
      <c r="BA905">
        <v>1</v>
      </c>
      <c r="BB905" t="str">
        <f t="shared" si="42"/>
        <v xml:space="preserve">N8080G  </v>
      </c>
      <c r="BC905">
        <v>1</v>
      </c>
      <c r="BE905">
        <v>0</v>
      </c>
      <c r="BF905">
        <v>0</v>
      </c>
      <c r="BG905">
        <v>0</v>
      </c>
      <c r="BH905">
        <v>1675</v>
      </c>
      <c r="BI905">
        <v>1</v>
      </c>
      <c r="BJ905">
        <v>1</v>
      </c>
      <c r="BK905">
        <v>1</v>
      </c>
      <c r="BL905">
        <v>0</v>
      </c>
      <c r="BO905">
        <v>0</v>
      </c>
      <c r="BP905">
        <v>0</v>
      </c>
      <c r="BW905" t="str">
        <f>"20:16:53.263"</f>
        <v>20:16:53.263</v>
      </c>
      <c r="BZ905">
        <v>0</v>
      </c>
      <c r="CA905">
        <v>2016</v>
      </c>
      <c r="CB905">
        <v>224</v>
      </c>
      <c r="CD905">
        <v>1</v>
      </c>
      <c r="CE905">
        <v>0</v>
      </c>
      <c r="CF905">
        <v>0</v>
      </c>
      <c r="CG905">
        <v>1</v>
      </c>
      <c r="CH905">
        <v>0</v>
      </c>
      <c r="CI905">
        <v>0</v>
      </c>
      <c r="CJ905">
        <v>0</v>
      </c>
      <c r="CK905">
        <v>2</v>
      </c>
      <c r="CL905">
        <v>0</v>
      </c>
      <c r="CM905">
        <v>2</v>
      </c>
      <c r="CN905">
        <v>0</v>
      </c>
      <c r="CO905">
        <v>6</v>
      </c>
      <c r="CP905" t="s">
        <v>119</v>
      </c>
      <c r="CQ905">
        <v>180</v>
      </c>
      <c r="CR905">
        <v>1</v>
      </c>
      <c r="CW905">
        <v>10563260</v>
      </c>
      <c r="CY905">
        <v>1</v>
      </c>
      <c r="CZ905">
        <v>0</v>
      </c>
      <c r="DA905">
        <v>1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</row>
    <row r="906" spans="1:113" x14ac:dyDescent="0.3">
      <c r="A906" t="str">
        <f>"02/08/2021 20:16:50.909"</f>
        <v>02/08/2021 20:16:50.909</v>
      </c>
      <c r="C906" t="str">
        <f t="shared" si="44"/>
        <v>FFDFD7C0</v>
      </c>
      <c r="D906" t="s">
        <v>124</v>
      </c>
      <c r="E906">
        <v>12</v>
      </c>
      <c r="F906">
        <v>1012</v>
      </c>
      <c r="G906" t="s">
        <v>675</v>
      </c>
      <c r="J906" t="s">
        <v>125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>"20:16:53.258"</f>
        <v>20:16:53.258</v>
      </c>
      <c r="T906" t="str">
        <f>"20:16:52.858"</f>
        <v>20:16:52.858</v>
      </c>
      <c r="U906" t="str">
        <f t="shared" si="43"/>
        <v>AB01F4</v>
      </c>
      <c r="V906">
        <v>0</v>
      </c>
      <c r="W906">
        <v>0</v>
      </c>
      <c r="X906">
        <v>2</v>
      </c>
      <c r="Z906">
        <v>0</v>
      </c>
      <c r="AA906">
        <v>9</v>
      </c>
      <c r="AB906">
        <v>3</v>
      </c>
      <c r="AC906">
        <v>0</v>
      </c>
      <c r="AD906">
        <v>10</v>
      </c>
      <c r="AE906">
        <v>0</v>
      </c>
      <c r="AF906">
        <v>3</v>
      </c>
      <c r="AG906">
        <v>2</v>
      </c>
      <c r="AH906">
        <v>0</v>
      </c>
      <c r="AI906" t="s">
        <v>728</v>
      </c>
      <c r="AJ906">
        <v>39.684376999999998</v>
      </c>
      <c r="AK906" t="s">
        <v>729</v>
      </c>
      <c r="AL906">
        <v>-92.519537999999997</v>
      </c>
      <c r="AM906">
        <v>100</v>
      </c>
      <c r="AN906">
        <v>1700</v>
      </c>
      <c r="AO906" t="s">
        <v>118</v>
      </c>
      <c r="AP906">
        <v>-32</v>
      </c>
      <c r="AQ906">
        <v>122</v>
      </c>
      <c r="AR906">
        <v>64</v>
      </c>
      <c r="AZ906">
        <v>1200</v>
      </c>
      <c r="BA906">
        <v>1</v>
      </c>
      <c r="BB906" t="str">
        <f t="shared" si="42"/>
        <v xml:space="preserve">N8080G  </v>
      </c>
      <c r="BC906">
        <v>1</v>
      </c>
      <c r="BE906">
        <v>0</v>
      </c>
      <c r="BF906">
        <v>0</v>
      </c>
      <c r="BG906">
        <v>0</v>
      </c>
      <c r="BH906">
        <v>1675</v>
      </c>
      <c r="BI906">
        <v>1</v>
      </c>
      <c r="BJ906">
        <v>1</v>
      </c>
      <c r="BK906">
        <v>1</v>
      </c>
      <c r="BL906">
        <v>0</v>
      </c>
      <c r="BO906">
        <v>0</v>
      </c>
      <c r="BP906">
        <v>0</v>
      </c>
      <c r="BW906" t="str">
        <f>"20:16:53.263"</f>
        <v>20:16:53.263</v>
      </c>
      <c r="BZ906">
        <v>0</v>
      </c>
      <c r="CA906">
        <v>2016</v>
      </c>
      <c r="CB906">
        <v>224</v>
      </c>
      <c r="CD906">
        <v>1</v>
      </c>
      <c r="CE906">
        <v>0</v>
      </c>
      <c r="CF906">
        <v>0</v>
      </c>
      <c r="CG906">
        <v>1</v>
      </c>
      <c r="CH906">
        <v>0</v>
      </c>
      <c r="CI906">
        <v>0</v>
      </c>
      <c r="CJ906">
        <v>0</v>
      </c>
      <c r="CK906">
        <v>2</v>
      </c>
      <c r="CL906">
        <v>0</v>
      </c>
      <c r="CM906">
        <v>2</v>
      </c>
      <c r="CN906">
        <v>0</v>
      </c>
      <c r="CO906">
        <v>6</v>
      </c>
      <c r="CP906" t="s">
        <v>119</v>
      </c>
      <c r="CQ906">
        <v>180</v>
      </c>
      <c r="CR906">
        <v>1</v>
      </c>
      <c r="CW906">
        <v>10563260</v>
      </c>
      <c r="CY906">
        <v>1</v>
      </c>
      <c r="CZ906">
        <v>0</v>
      </c>
      <c r="DA906">
        <v>1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</row>
    <row r="907" spans="1:113" x14ac:dyDescent="0.3">
      <c r="A907" t="str">
        <f>"02/08/2021 20:16:52.474"</f>
        <v>02/08/2021 20:16:52.474</v>
      </c>
      <c r="C907" t="str">
        <f t="shared" si="44"/>
        <v>FFDFD7C0</v>
      </c>
      <c r="D907" t="s">
        <v>113</v>
      </c>
      <c r="E907">
        <v>6</v>
      </c>
      <c r="H907">
        <v>165</v>
      </c>
      <c r="I907" t="s">
        <v>114</v>
      </c>
      <c r="J907" t="s">
        <v>115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>"20:16:54.758"</f>
        <v>20:16:54.758</v>
      </c>
      <c r="T907" t="str">
        <f>"20:16:54.358"</f>
        <v>20:16:54.358</v>
      </c>
      <c r="U907" t="str">
        <f t="shared" si="43"/>
        <v>AB01F4</v>
      </c>
      <c r="V907">
        <v>0</v>
      </c>
      <c r="W907">
        <v>0</v>
      </c>
      <c r="X907">
        <v>2</v>
      </c>
      <c r="Z907">
        <v>0</v>
      </c>
      <c r="AA907">
        <v>9</v>
      </c>
      <c r="AB907">
        <v>3</v>
      </c>
      <c r="AC907">
        <v>0</v>
      </c>
      <c r="AD907">
        <v>10</v>
      </c>
      <c r="AE907">
        <v>0</v>
      </c>
      <c r="AF907">
        <v>3</v>
      </c>
      <c r="AG907">
        <v>2</v>
      </c>
      <c r="AH907">
        <v>0</v>
      </c>
      <c r="AI907" t="s">
        <v>730</v>
      </c>
      <c r="AJ907">
        <v>39.685234999999999</v>
      </c>
      <c r="AK907" t="s">
        <v>731</v>
      </c>
      <c r="AL907">
        <v>-92.519817000000003</v>
      </c>
      <c r="AM907">
        <v>100</v>
      </c>
      <c r="AN907">
        <v>1700</v>
      </c>
      <c r="AO907" t="s">
        <v>118</v>
      </c>
      <c r="AP907">
        <v>-33</v>
      </c>
      <c r="AQ907">
        <v>122</v>
      </c>
      <c r="AR907">
        <v>0</v>
      </c>
      <c r="AZ907">
        <v>1200</v>
      </c>
      <c r="BA907">
        <v>1</v>
      </c>
      <c r="BB907" t="str">
        <f t="shared" si="42"/>
        <v xml:space="preserve">N8080G  </v>
      </c>
      <c r="BC907">
        <v>1</v>
      </c>
      <c r="BE907">
        <v>0</v>
      </c>
      <c r="BF907">
        <v>0</v>
      </c>
      <c r="BG907">
        <v>0</v>
      </c>
      <c r="BH907">
        <v>1675</v>
      </c>
      <c r="BI907">
        <v>1</v>
      </c>
      <c r="BJ907">
        <v>1</v>
      </c>
      <c r="BK907">
        <v>1</v>
      </c>
      <c r="BL907">
        <v>0</v>
      </c>
      <c r="BO907">
        <v>0</v>
      </c>
      <c r="BP907">
        <v>0</v>
      </c>
      <c r="BW907" t="str">
        <f>"20:16:54.765"</f>
        <v>20:16:54.765</v>
      </c>
      <c r="BZ907">
        <v>0</v>
      </c>
      <c r="CA907">
        <v>2016</v>
      </c>
      <c r="CB907">
        <v>224</v>
      </c>
      <c r="CD907">
        <v>1</v>
      </c>
      <c r="CE907">
        <v>0</v>
      </c>
      <c r="CF907">
        <v>0</v>
      </c>
      <c r="CG907">
        <v>1</v>
      </c>
      <c r="CH907">
        <v>0</v>
      </c>
      <c r="CI907">
        <v>0</v>
      </c>
      <c r="CJ907">
        <v>0</v>
      </c>
      <c r="CK907">
        <v>2</v>
      </c>
      <c r="CL907">
        <v>0</v>
      </c>
      <c r="CM907">
        <v>2</v>
      </c>
      <c r="CN907">
        <v>0</v>
      </c>
      <c r="CO907">
        <v>7</v>
      </c>
      <c r="CP907" t="s">
        <v>119</v>
      </c>
      <c r="CQ907">
        <v>180</v>
      </c>
      <c r="CR907">
        <v>2</v>
      </c>
      <c r="CW907">
        <v>8011687</v>
      </c>
      <c r="CY907">
        <v>1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</row>
    <row r="908" spans="1:113" x14ac:dyDescent="0.3">
      <c r="A908" t="str">
        <f>"02/08/2021 20:16:52.474"</f>
        <v>02/08/2021 20:16:52.474</v>
      </c>
      <c r="C908" t="str">
        <f t="shared" si="44"/>
        <v>FFDFD7C0</v>
      </c>
      <c r="D908" t="s">
        <v>124</v>
      </c>
      <c r="E908">
        <v>13</v>
      </c>
      <c r="F908">
        <v>1013</v>
      </c>
      <c r="G908" t="s">
        <v>114</v>
      </c>
      <c r="J908" t="s">
        <v>125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>"20:16:54.758"</f>
        <v>20:16:54.758</v>
      </c>
      <c r="T908" t="str">
        <f>"20:16:54.358"</f>
        <v>20:16:54.358</v>
      </c>
      <c r="U908" t="str">
        <f t="shared" si="43"/>
        <v>AB01F4</v>
      </c>
      <c r="V908">
        <v>0</v>
      </c>
      <c r="W908">
        <v>0</v>
      </c>
      <c r="X908">
        <v>2</v>
      </c>
      <c r="Z908">
        <v>0</v>
      </c>
      <c r="AA908">
        <v>9</v>
      </c>
      <c r="AB908">
        <v>3</v>
      </c>
      <c r="AC908">
        <v>0</v>
      </c>
      <c r="AD908">
        <v>10</v>
      </c>
      <c r="AE908">
        <v>0</v>
      </c>
      <c r="AF908">
        <v>3</v>
      </c>
      <c r="AG908">
        <v>2</v>
      </c>
      <c r="AH908">
        <v>0</v>
      </c>
      <c r="AI908" t="s">
        <v>730</v>
      </c>
      <c r="AJ908">
        <v>39.685234999999999</v>
      </c>
      <c r="AK908" t="s">
        <v>731</v>
      </c>
      <c r="AL908">
        <v>-92.519817000000003</v>
      </c>
      <c r="AM908">
        <v>100</v>
      </c>
      <c r="AN908">
        <v>1700</v>
      </c>
      <c r="AO908" t="s">
        <v>118</v>
      </c>
      <c r="AP908">
        <v>-33</v>
      </c>
      <c r="AQ908">
        <v>122</v>
      </c>
      <c r="AR908">
        <v>0</v>
      </c>
      <c r="AZ908">
        <v>1200</v>
      </c>
      <c r="BA908">
        <v>1</v>
      </c>
      <c r="BB908" t="str">
        <f t="shared" si="42"/>
        <v xml:space="preserve">N8080G  </v>
      </c>
      <c r="BC908">
        <v>1</v>
      </c>
      <c r="BE908">
        <v>0</v>
      </c>
      <c r="BF908">
        <v>0</v>
      </c>
      <c r="BG908">
        <v>0</v>
      </c>
      <c r="BH908">
        <v>1675</v>
      </c>
      <c r="BI908">
        <v>1</v>
      </c>
      <c r="BJ908">
        <v>1</v>
      </c>
      <c r="BK908">
        <v>1</v>
      </c>
      <c r="BL908">
        <v>0</v>
      </c>
      <c r="BO908">
        <v>0</v>
      </c>
      <c r="BP908">
        <v>0</v>
      </c>
      <c r="BW908" t="str">
        <f>"20:16:54.765"</f>
        <v>20:16:54.765</v>
      </c>
      <c r="BZ908">
        <v>0</v>
      </c>
      <c r="CA908">
        <v>2016</v>
      </c>
      <c r="CB908">
        <v>224</v>
      </c>
      <c r="CD908">
        <v>1</v>
      </c>
      <c r="CE908">
        <v>0</v>
      </c>
      <c r="CF908">
        <v>0</v>
      </c>
      <c r="CG908">
        <v>1</v>
      </c>
      <c r="CH908">
        <v>0</v>
      </c>
      <c r="CI908">
        <v>0</v>
      </c>
      <c r="CJ908">
        <v>0</v>
      </c>
      <c r="CK908">
        <v>2</v>
      </c>
      <c r="CL908">
        <v>0</v>
      </c>
      <c r="CM908">
        <v>2</v>
      </c>
      <c r="CN908">
        <v>0</v>
      </c>
      <c r="CO908">
        <v>7</v>
      </c>
      <c r="CP908" t="s">
        <v>119</v>
      </c>
      <c r="CQ908">
        <v>180</v>
      </c>
      <c r="CR908">
        <v>2</v>
      </c>
      <c r="CW908">
        <v>8011687</v>
      </c>
      <c r="CY908">
        <v>1</v>
      </c>
      <c r="CZ908">
        <v>0</v>
      </c>
      <c r="DA908">
        <v>1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</row>
    <row r="909" spans="1:113" x14ac:dyDescent="0.3">
      <c r="A909" t="str">
        <f>"02/08/2021 20:16:52.474"</f>
        <v>02/08/2021 20:16:52.474</v>
      </c>
      <c r="C909" t="str">
        <f t="shared" si="44"/>
        <v>FFDFD7C0</v>
      </c>
      <c r="D909" t="s">
        <v>124</v>
      </c>
      <c r="E909">
        <v>11</v>
      </c>
      <c r="F909">
        <v>1011</v>
      </c>
      <c r="G909" t="s">
        <v>590</v>
      </c>
      <c r="J909" t="s">
        <v>125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>"20:16:54.758"</f>
        <v>20:16:54.758</v>
      </c>
      <c r="T909" t="str">
        <f>"20:16:54.358"</f>
        <v>20:16:54.358</v>
      </c>
      <c r="U909" t="str">
        <f t="shared" si="43"/>
        <v>AB01F4</v>
      </c>
      <c r="V909">
        <v>0</v>
      </c>
      <c r="W909">
        <v>0</v>
      </c>
      <c r="X909">
        <v>2</v>
      </c>
      <c r="Z909">
        <v>0</v>
      </c>
      <c r="AA909">
        <v>9</v>
      </c>
      <c r="AB909">
        <v>3</v>
      </c>
      <c r="AC909">
        <v>0</v>
      </c>
      <c r="AD909">
        <v>10</v>
      </c>
      <c r="AE909">
        <v>0</v>
      </c>
      <c r="AF909">
        <v>3</v>
      </c>
      <c r="AG909">
        <v>2</v>
      </c>
      <c r="AH909">
        <v>0</v>
      </c>
      <c r="AI909" t="s">
        <v>730</v>
      </c>
      <c r="AJ909">
        <v>39.685234999999999</v>
      </c>
      <c r="AK909" t="s">
        <v>731</v>
      </c>
      <c r="AL909">
        <v>-92.519817000000003</v>
      </c>
      <c r="AM909">
        <v>100</v>
      </c>
      <c r="AN909">
        <v>1700</v>
      </c>
      <c r="AO909" t="s">
        <v>118</v>
      </c>
      <c r="AP909">
        <v>-33</v>
      </c>
      <c r="AQ909">
        <v>122</v>
      </c>
      <c r="AR909">
        <v>0</v>
      </c>
      <c r="AZ909">
        <v>1200</v>
      </c>
      <c r="BA909">
        <v>1</v>
      </c>
      <c r="BB909" t="str">
        <f t="shared" si="42"/>
        <v xml:space="preserve">N8080G  </v>
      </c>
      <c r="BC909">
        <v>1</v>
      </c>
      <c r="BE909">
        <v>0</v>
      </c>
      <c r="BF909">
        <v>0</v>
      </c>
      <c r="BG909">
        <v>0</v>
      </c>
      <c r="BH909">
        <v>1675</v>
      </c>
      <c r="BI909">
        <v>1</v>
      </c>
      <c r="BJ909">
        <v>1</v>
      </c>
      <c r="BK909">
        <v>1</v>
      </c>
      <c r="BL909">
        <v>0</v>
      </c>
      <c r="BO909">
        <v>0</v>
      </c>
      <c r="BP909">
        <v>0</v>
      </c>
      <c r="BW909" t="str">
        <f>"20:16:54.765"</f>
        <v>20:16:54.765</v>
      </c>
      <c r="BZ909">
        <v>0</v>
      </c>
      <c r="CA909">
        <v>2016</v>
      </c>
      <c r="CB909">
        <v>224</v>
      </c>
      <c r="CD909">
        <v>1</v>
      </c>
      <c r="CE909">
        <v>0</v>
      </c>
      <c r="CF909">
        <v>0</v>
      </c>
      <c r="CG909">
        <v>1</v>
      </c>
      <c r="CH909">
        <v>0</v>
      </c>
      <c r="CI909">
        <v>0</v>
      </c>
      <c r="CJ909">
        <v>0</v>
      </c>
      <c r="CK909">
        <v>2</v>
      </c>
      <c r="CL909">
        <v>0</v>
      </c>
      <c r="CM909">
        <v>2</v>
      </c>
      <c r="CN909">
        <v>0</v>
      </c>
      <c r="CO909">
        <v>7</v>
      </c>
      <c r="CP909" t="s">
        <v>119</v>
      </c>
      <c r="CQ909">
        <v>180</v>
      </c>
      <c r="CR909">
        <v>2</v>
      </c>
      <c r="CW909">
        <v>8011687</v>
      </c>
      <c r="CY909">
        <v>1</v>
      </c>
      <c r="CZ909">
        <v>0</v>
      </c>
      <c r="DA909">
        <v>1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</row>
    <row r="910" spans="1:113" x14ac:dyDescent="0.3">
      <c r="A910" t="str">
        <f>"02/08/2021 20:16:52.474"</f>
        <v>02/08/2021 20:16:52.474</v>
      </c>
      <c r="C910" t="str">
        <f t="shared" si="44"/>
        <v>FFDFD7C0</v>
      </c>
      <c r="D910" t="s">
        <v>124</v>
      </c>
      <c r="E910">
        <v>12</v>
      </c>
      <c r="F910">
        <v>1012</v>
      </c>
      <c r="G910" t="s">
        <v>675</v>
      </c>
      <c r="J910" t="s">
        <v>125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>"20:16:54.758"</f>
        <v>20:16:54.758</v>
      </c>
      <c r="T910" t="str">
        <f>"20:16:54.358"</f>
        <v>20:16:54.358</v>
      </c>
      <c r="U910" t="str">
        <f t="shared" si="43"/>
        <v>AB01F4</v>
      </c>
      <c r="V910">
        <v>0</v>
      </c>
      <c r="W910">
        <v>0</v>
      </c>
      <c r="X910">
        <v>2</v>
      </c>
      <c r="Z910">
        <v>0</v>
      </c>
      <c r="AA910">
        <v>9</v>
      </c>
      <c r="AB910">
        <v>3</v>
      </c>
      <c r="AC910">
        <v>0</v>
      </c>
      <c r="AD910">
        <v>10</v>
      </c>
      <c r="AE910">
        <v>0</v>
      </c>
      <c r="AF910">
        <v>3</v>
      </c>
      <c r="AG910">
        <v>2</v>
      </c>
      <c r="AH910">
        <v>0</v>
      </c>
      <c r="AI910" t="s">
        <v>730</v>
      </c>
      <c r="AJ910">
        <v>39.685234999999999</v>
      </c>
      <c r="AK910" t="s">
        <v>731</v>
      </c>
      <c r="AL910">
        <v>-92.519817000000003</v>
      </c>
      <c r="AM910">
        <v>100</v>
      </c>
      <c r="AN910">
        <v>1700</v>
      </c>
      <c r="AO910" t="s">
        <v>118</v>
      </c>
      <c r="AP910">
        <v>-33</v>
      </c>
      <c r="AQ910">
        <v>122</v>
      </c>
      <c r="AR910">
        <v>0</v>
      </c>
      <c r="AZ910">
        <v>1200</v>
      </c>
      <c r="BA910">
        <v>1</v>
      </c>
      <c r="BB910" t="str">
        <f t="shared" si="42"/>
        <v xml:space="preserve">N8080G  </v>
      </c>
      <c r="BC910">
        <v>1</v>
      </c>
      <c r="BE910">
        <v>0</v>
      </c>
      <c r="BF910">
        <v>0</v>
      </c>
      <c r="BG910">
        <v>0</v>
      </c>
      <c r="BH910">
        <v>1675</v>
      </c>
      <c r="BI910">
        <v>1</v>
      </c>
      <c r="BJ910">
        <v>1</v>
      </c>
      <c r="BK910">
        <v>1</v>
      </c>
      <c r="BL910">
        <v>0</v>
      </c>
      <c r="BO910">
        <v>0</v>
      </c>
      <c r="BP910">
        <v>0</v>
      </c>
      <c r="BW910" t="str">
        <f>"20:16:54.765"</f>
        <v>20:16:54.765</v>
      </c>
      <c r="BZ910">
        <v>0</v>
      </c>
      <c r="CA910">
        <v>2016</v>
      </c>
      <c r="CB910">
        <v>224</v>
      </c>
      <c r="CD910">
        <v>1</v>
      </c>
      <c r="CE910">
        <v>0</v>
      </c>
      <c r="CF910">
        <v>0</v>
      </c>
      <c r="CG910">
        <v>1</v>
      </c>
      <c r="CH910">
        <v>0</v>
      </c>
      <c r="CI910">
        <v>0</v>
      </c>
      <c r="CJ910">
        <v>0</v>
      </c>
      <c r="CK910">
        <v>2</v>
      </c>
      <c r="CL910">
        <v>0</v>
      </c>
      <c r="CM910">
        <v>2</v>
      </c>
      <c r="CN910">
        <v>0</v>
      </c>
      <c r="CO910">
        <v>7</v>
      </c>
      <c r="CP910" t="s">
        <v>119</v>
      </c>
      <c r="CQ910">
        <v>180</v>
      </c>
      <c r="CR910">
        <v>2</v>
      </c>
      <c r="CW910">
        <v>8011687</v>
      </c>
      <c r="CY910">
        <v>1</v>
      </c>
      <c r="CZ910">
        <v>0</v>
      </c>
      <c r="DA910">
        <v>1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</row>
    <row r="911" spans="1:113" x14ac:dyDescent="0.3">
      <c r="A911" t="str">
        <f>"02/08/2021 20:16:53.732"</f>
        <v>02/08/2021 20:16:53.732</v>
      </c>
      <c r="C911" t="str">
        <f t="shared" si="44"/>
        <v>FFDFD7C0</v>
      </c>
      <c r="D911" t="s">
        <v>124</v>
      </c>
      <c r="E911">
        <v>13</v>
      </c>
      <c r="F911">
        <v>1013</v>
      </c>
      <c r="G911" t="s">
        <v>114</v>
      </c>
      <c r="J911" t="s">
        <v>125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>"20:16:56.023"</f>
        <v>20:16:56.023</v>
      </c>
      <c r="T911" t="str">
        <f>"20:16:55.623"</f>
        <v>20:16:55.623</v>
      </c>
      <c r="U911" t="str">
        <f t="shared" si="43"/>
        <v>AB01F4</v>
      </c>
      <c r="V911">
        <v>0</v>
      </c>
      <c r="W911">
        <v>0</v>
      </c>
      <c r="X911">
        <v>2</v>
      </c>
      <c r="Z911">
        <v>0</v>
      </c>
      <c r="AA911">
        <v>9</v>
      </c>
      <c r="AB911">
        <v>3</v>
      </c>
      <c r="AC911">
        <v>0</v>
      </c>
      <c r="AD911">
        <v>10</v>
      </c>
      <c r="AE911">
        <v>0</v>
      </c>
      <c r="AF911">
        <v>3</v>
      </c>
      <c r="AG911">
        <v>2</v>
      </c>
      <c r="AH911">
        <v>0</v>
      </c>
      <c r="AI911" t="s">
        <v>732</v>
      </c>
      <c r="AJ911">
        <v>39.685965000000003</v>
      </c>
      <c r="AK911" t="s">
        <v>733</v>
      </c>
      <c r="AL911">
        <v>-92.520075000000006</v>
      </c>
      <c r="AM911">
        <v>100</v>
      </c>
      <c r="AN911">
        <v>1700</v>
      </c>
      <c r="AO911" t="s">
        <v>118</v>
      </c>
      <c r="AP911">
        <v>-33</v>
      </c>
      <c r="AQ911">
        <v>121</v>
      </c>
      <c r="AR911">
        <v>0</v>
      </c>
      <c r="AZ911">
        <v>1200</v>
      </c>
      <c r="BA911">
        <v>1</v>
      </c>
      <c r="BB911" t="str">
        <f t="shared" ref="BB911:BB974" si="45">"N8080G  "</f>
        <v xml:space="preserve">N8080G  </v>
      </c>
      <c r="BC911">
        <v>1</v>
      </c>
      <c r="BE911">
        <v>0</v>
      </c>
      <c r="BF911">
        <v>0</v>
      </c>
      <c r="BG911">
        <v>0</v>
      </c>
      <c r="BH911">
        <v>1675</v>
      </c>
      <c r="BI911">
        <v>1</v>
      </c>
      <c r="BJ911">
        <v>1</v>
      </c>
      <c r="BK911">
        <v>1</v>
      </c>
      <c r="BL911">
        <v>0</v>
      </c>
      <c r="BO911">
        <v>0</v>
      </c>
      <c r="BP911">
        <v>0</v>
      </c>
      <c r="BW911" t="str">
        <f>"20:16:56.028"</f>
        <v>20:16:56.028</v>
      </c>
      <c r="BZ911">
        <v>0</v>
      </c>
      <c r="CA911">
        <v>2016</v>
      </c>
      <c r="CB911">
        <v>224</v>
      </c>
      <c r="CD911">
        <v>1</v>
      </c>
      <c r="CE911">
        <v>0</v>
      </c>
      <c r="CF911">
        <v>0</v>
      </c>
      <c r="CG911">
        <v>1</v>
      </c>
      <c r="CH911">
        <v>0</v>
      </c>
      <c r="CI911">
        <v>0</v>
      </c>
      <c r="CJ911">
        <v>0</v>
      </c>
      <c r="CK911">
        <v>2</v>
      </c>
      <c r="CL911">
        <v>0</v>
      </c>
      <c r="CM911">
        <v>2</v>
      </c>
      <c r="CN911">
        <v>0</v>
      </c>
      <c r="CO911">
        <v>7</v>
      </c>
      <c r="CP911" t="s">
        <v>119</v>
      </c>
      <c r="CQ911">
        <v>180</v>
      </c>
      <c r="CR911">
        <v>2</v>
      </c>
      <c r="CW911">
        <v>8012749</v>
      </c>
      <c r="CY911">
        <v>1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</row>
    <row r="912" spans="1:113" x14ac:dyDescent="0.3">
      <c r="A912" t="str">
        <f>"02/08/2021 20:16:53.732"</f>
        <v>02/08/2021 20:16:53.732</v>
      </c>
      <c r="C912" t="str">
        <f t="shared" si="44"/>
        <v>FFDFD7C0</v>
      </c>
      <c r="D912" t="s">
        <v>124</v>
      </c>
      <c r="E912">
        <v>12</v>
      </c>
      <c r="F912">
        <v>1012</v>
      </c>
      <c r="G912" t="s">
        <v>675</v>
      </c>
      <c r="J912" t="s">
        <v>125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>"20:16:56.023"</f>
        <v>20:16:56.023</v>
      </c>
      <c r="T912" t="str">
        <f>"20:16:55.623"</f>
        <v>20:16:55.623</v>
      </c>
      <c r="U912" t="str">
        <f t="shared" si="43"/>
        <v>AB01F4</v>
      </c>
      <c r="V912">
        <v>0</v>
      </c>
      <c r="W912">
        <v>0</v>
      </c>
      <c r="X912">
        <v>2</v>
      </c>
      <c r="Z912">
        <v>0</v>
      </c>
      <c r="AA912">
        <v>9</v>
      </c>
      <c r="AB912">
        <v>3</v>
      </c>
      <c r="AC912">
        <v>0</v>
      </c>
      <c r="AD912">
        <v>10</v>
      </c>
      <c r="AE912">
        <v>0</v>
      </c>
      <c r="AF912">
        <v>3</v>
      </c>
      <c r="AG912">
        <v>2</v>
      </c>
      <c r="AH912">
        <v>0</v>
      </c>
      <c r="AI912" t="s">
        <v>732</v>
      </c>
      <c r="AJ912">
        <v>39.685965000000003</v>
      </c>
      <c r="AK912" t="s">
        <v>733</v>
      </c>
      <c r="AL912">
        <v>-92.520075000000006</v>
      </c>
      <c r="AM912">
        <v>100</v>
      </c>
      <c r="AN912">
        <v>1700</v>
      </c>
      <c r="AO912" t="s">
        <v>118</v>
      </c>
      <c r="AP912">
        <v>-33</v>
      </c>
      <c r="AQ912">
        <v>121</v>
      </c>
      <c r="AR912">
        <v>0</v>
      </c>
      <c r="AZ912">
        <v>1200</v>
      </c>
      <c r="BA912">
        <v>1</v>
      </c>
      <c r="BB912" t="str">
        <f t="shared" si="45"/>
        <v xml:space="preserve">N8080G  </v>
      </c>
      <c r="BC912">
        <v>1</v>
      </c>
      <c r="BE912">
        <v>0</v>
      </c>
      <c r="BF912">
        <v>0</v>
      </c>
      <c r="BG912">
        <v>0</v>
      </c>
      <c r="BH912">
        <v>1675</v>
      </c>
      <c r="BI912">
        <v>1</v>
      </c>
      <c r="BJ912">
        <v>1</v>
      </c>
      <c r="BK912">
        <v>1</v>
      </c>
      <c r="BL912">
        <v>0</v>
      </c>
      <c r="BO912">
        <v>0</v>
      </c>
      <c r="BP912">
        <v>0</v>
      </c>
      <c r="BW912" t="str">
        <f>"20:16:56.028"</f>
        <v>20:16:56.028</v>
      </c>
      <c r="BZ912">
        <v>0</v>
      </c>
      <c r="CA912">
        <v>2016</v>
      </c>
      <c r="CB912">
        <v>224</v>
      </c>
      <c r="CD912">
        <v>1</v>
      </c>
      <c r="CE912">
        <v>0</v>
      </c>
      <c r="CF912">
        <v>0</v>
      </c>
      <c r="CG912">
        <v>1</v>
      </c>
      <c r="CH912">
        <v>0</v>
      </c>
      <c r="CI912">
        <v>0</v>
      </c>
      <c r="CJ912">
        <v>0</v>
      </c>
      <c r="CK912">
        <v>2</v>
      </c>
      <c r="CL912">
        <v>0</v>
      </c>
      <c r="CM912">
        <v>2</v>
      </c>
      <c r="CN912">
        <v>0</v>
      </c>
      <c r="CO912">
        <v>7</v>
      </c>
      <c r="CP912" t="s">
        <v>119</v>
      </c>
      <c r="CQ912">
        <v>180</v>
      </c>
      <c r="CR912">
        <v>2</v>
      </c>
      <c r="CW912">
        <v>8012749</v>
      </c>
      <c r="CY912">
        <v>1</v>
      </c>
      <c r="CZ912">
        <v>0</v>
      </c>
      <c r="DA912">
        <v>1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</row>
    <row r="913" spans="1:113" x14ac:dyDescent="0.3">
      <c r="A913" t="str">
        <f>"02/08/2021 20:16:53.732"</f>
        <v>02/08/2021 20:16:53.732</v>
      </c>
      <c r="C913" t="str">
        <f t="shared" si="44"/>
        <v>FFDFD7C0</v>
      </c>
      <c r="D913" t="s">
        <v>113</v>
      </c>
      <c r="E913">
        <v>6</v>
      </c>
      <c r="H913">
        <v>165</v>
      </c>
      <c r="I913" t="s">
        <v>114</v>
      </c>
      <c r="J913" t="s">
        <v>115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>"20:16:56.023"</f>
        <v>20:16:56.023</v>
      </c>
      <c r="T913" t="str">
        <f>"20:16:55.623"</f>
        <v>20:16:55.623</v>
      </c>
      <c r="U913" t="str">
        <f t="shared" si="43"/>
        <v>AB01F4</v>
      </c>
      <c r="V913">
        <v>0</v>
      </c>
      <c r="W913">
        <v>0</v>
      </c>
      <c r="X913">
        <v>2</v>
      </c>
      <c r="Z913">
        <v>0</v>
      </c>
      <c r="AA913">
        <v>9</v>
      </c>
      <c r="AB913">
        <v>3</v>
      </c>
      <c r="AC913">
        <v>0</v>
      </c>
      <c r="AD913">
        <v>10</v>
      </c>
      <c r="AE913">
        <v>0</v>
      </c>
      <c r="AF913">
        <v>3</v>
      </c>
      <c r="AG913">
        <v>2</v>
      </c>
      <c r="AH913">
        <v>0</v>
      </c>
      <c r="AI913" t="s">
        <v>732</v>
      </c>
      <c r="AJ913">
        <v>39.685965000000003</v>
      </c>
      <c r="AK913" t="s">
        <v>733</v>
      </c>
      <c r="AL913">
        <v>-92.520075000000006</v>
      </c>
      <c r="AM913">
        <v>100</v>
      </c>
      <c r="AN913">
        <v>1700</v>
      </c>
      <c r="AO913" t="s">
        <v>118</v>
      </c>
      <c r="AP913">
        <v>-33</v>
      </c>
      <c r="AQ913">
        <v>121</v>
      </c>
      <c r="AR913">
        <v>0</v>
      </c>
      <c r="AZ913">
        <v>1200</v>
      </c>
      <c r="BA913">
        <v>1</v>
      </c>
      <c r="BB913" t="str">
        <f t="shared" si="45"/>
        <v xml:space="preserve">N8080G  </v>
      </c>
      <c r="BC913">
        <v>1</v>
      </c>
      <c r="BE913">
        <v>0</v>
      </c>
      <c r="BF913">
        <v>0</v>
      </c>
      <c r="BG913">
        <v>0</v>
      </c>
      <c r="BH913">
        <v>1675</v>
      </c>
      <c r="BI913">
        <v>1</v>
      </c>
      <c r="BJ913">
        <v>1</v>
      </c>
      <c r="BK913">
        <v>1</v>
      </c>
      <c r="BL913">
        <v>0</v>
      </c>
      <c r="BO913">
        <v>0</v>
      </c>
      <c r="BP913">
        <v>0</v>
      </c>
      <c r="BW913" t="str">
        <f>"20:16:56.028"</f>
        <v>20:16:56.028</v>
      </c>
      <c r="BZ913">
        <v>0</v>
      </c>
      <c r="CA913">
        <v>2016</v>
      </c>
      <c r="CB913">
        <v>224</v>
      </c>
      <c r="CD913">
        <v>1</v>
      </c>
      <c r="CE913">
        <v>0</v>
      </c>
      <c r="CF913">
        <v>0</v>
      </c>
      <c r="CG913">
        <v>1</v>
      </c>
      <c r="CH913">
        <v>0</v>
      </c>
      <c r="CI913">
        <v>0</v>
      </c>
      <c r="CJ913">
        <v>0</v>
      </c>
      <c r="CK913">
        <v>2</v>
      </c>
      <c r="CL913">
        <v>0</v>
      </c>
      <c r="CM913">
        <v>2</v>
      </c>
      <c r="CN913">
        <v>0</v>
      </c>
      <c r="CO913">
        <v>7</v>
      </c>
      <c r="CP913" t="s">
        <v>119</v>
      </c>
      <c r="CQ913">
        <v>180</v>
      </c>
      <c r="CR913">
        <v>2</v>
      </c>
      <c r="CW913">
        <v>8012749</v>
      </c>
      <c r="CY913">
        <v>1</v>
      </c>
      <c r="CZ913">
        <v>0</v>
      </c>
      <c r="DA913">
        <v>1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</row>
    <row r="914" spans="1:113" x14ac:dyDescent="0.3">
      <c r="A914" t="str">
        <f>"02/08/2021 20:16:53.732"</f>
        <v>02/08/2021 20:16:53.732</v>
      </c>
      <c r="C914" t="str">
        <f t="shared" si="44"/>
        <v>FFDFD7C0</v>
      </c>
      <c r="D914" t="s">
        <v>124</v>
      </c>
      <c r="E914">
        <v>11</v>
      </c>
      <c r="F914">
        <v>1011</v>
      </c>
      <c r="G914" t="s">
        <v>590</v>
      </c>
      <c r="J914" t="s">
        <v>125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>"20:16:56.023"</f>
        <v>20:16:56.023</v>
      </c>
      <c r="T914" t="str">
        <f>"20:16:55.623"</f>
        <v>20:16:55.623</v>
      </c>
      <c r="U914" t="str">
        <f t="shared" si="43"/>
        <v>AB01F4</v>
      </c>
      <c r="V914">
        <v>0</v>
      </c>
      <c r="W914">
        <v>0</v>
      </c>
      <c r="X914">
        <v>2</v>
      </c>
      <c r="Z914">
        <v>0</v>
      </c>
      <c r="AA914">
        <v>9</v>
      </c>
      <c r="AB914">
        <v>3</v>
      </c>
      <c r="AC914">
        <v>0</v>
      </c>
      <c r="AD914">
        <v>10</v>
      </c>
      <c r="AE914">
        <v>0</v>
      </c>
      <c r="AF914">
        <v>3</v>
      </c>
      <c r="AG914">
        <v>2</v>
      </c>
      <c r="AH914">
        <v>0</v>
      </c>
      <c r="AI914" t="s">
        <v>732</v>
      </c>
      <c r="AJ914">
        <v>39.685965000000003</v>
      </c>
      <c r="AK914" t="s">
        <v>733</v>
      </c>
      <c r="AL914">
        <v>-92.520075000000006</v>
      </c>
      <c r="AM914">
        <v>100</v>
      </c>
      <c r="AN914">
        <v>1700</v>
      </c>
      <c r="AO914" t="s">
        <v>118</v>
      </c>
      <c r="AP914">
        <v>-33</v>
      </c>
      <c r="AQ914">
        <v>121</v>
      </c>
      <c r="AR914">
        <v>0</v>
      </c>
      <c r="AZ914">
        <v>1200</v>
      </c>
      <c r="BA914">
        <v>1</v>
      </c>
      <c r="BB914" t="str">
        <f t="shared" si="45"/>
        <v xml:space="preserve">N8080G  </v>
      </c>
      <c r="BC914">
        <v>1</v>
      </c>
      <c r="BE914">
        <v>0</v>
      </c>
      <c r="BF914">
        <v>0</v>
      </c>
      <c r="BG914">
        <v>0</v>
      </c>
      <c r="BH914">
        <v>1675</v>
      </c>
      <c r="BI914">
        <v>1</v>
      </c>
      <c r="BJ914">
        <v>1</v>
      </c>
      <c r="BK914">
        <v>1</v>
      </c>
      <c r="BL914">
        <v>0</v>
      </c>
      <c r="BO914">
        <v>0</v>
      </c>
      <c r="BP914">
        <v>0</v>
      </c>
      <c r="BW914" t="str">
        <f>"20:16:56.028"</f>
        <v>20:16:56.028</v>
      </c>
      <c r="BZ914">
        <v>0</v>
      </c>
      <c r="CA914">
        <v>2016</v>
      </c>
      <c r="CB914">
        <v>224</v>
      </c>
      <c r="CD914">
        <v>1</v>
      </c>
      <c r="CE914">
        <v>0</v>
      </c>
      <c r="CF914">
        <v>0</v>
      </c>
      <c r="CG914">
        <v>1</v>
      </c>
      <c r="CH914">
        <v>0</v>
      </c>
      <c r="CI914">
        <v>0</v>
      </c>
      <c r="CJ914">
        <v>0</v>
      </c>
      <c r="CK914">
        <v>2</v>
      </c>
      <c r="CL914">
        <v>0</v>
      </c>
      <c r="CM914">
        <v>2</v>
      </c>
      <c r="CN914">
        <v>0</v>
      </c>
      <c r="CO914">
        <v>7</v>
      </c>
      <c r="CP914" t="s">
        <v>119</v>
      </c>
      <c r="CQ914">
        <v>180</v>
      </c>
      <c r="CR914">
        <v>2</v>
      </c>
      <c r="CW914">
        <v>8012749</v>
      </c>
      <c r="CY914">
        <v>1</v>
      </c>
      <c r="CZ914">
        <v>0</v>
      </c>
      <c r="DA914">
        <v>1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</row>
    <row r="915" spans="1:113" x14ac:dyDescent="0.3">
      <c r="A915" t="str">
        <f>"02/08/2021 20:16:55.204"</f>
        <v>02/08/2021 20:16:55.204</v>
      </c>
      <c r="C915" t="str">
        <f t="shared" si="44"/>
        <v>FFDFD7C0</v>
      </c>
      <c r="D915" t="s">
        <v>124</v>
      </c>
      <c r="E915">
        <v>11</v>
      </c>
      <c r="F915">
        <v>1011</v>
      </c>
      <c r="G915" t="s">
        <v>590</v>
      </c>
      <c r="J915" t="s">
        <v>125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>"20:16:57.547"</f>
        <v>20:16:57.547</v>
      </c>
      <c r="T915" t="str">
        <f>"20:16:57.047"</f>
        <v>20:16:57.047</v>
      </c>
      <c r="U915" t="str">
        <f t="shared" si="43"/>
        <v>AB01F4</v>
      </c>
      <c r="V915">
        <v>0</v>
      </c>
      <c r="W915">
        <v>0</v>
      </c>
      <c r="X915">
        <v>2</v>
      </c>
      <c r="Z915">
        <v>0</v>
      </c>
      <c r="AA915">
        <v>9</v>
      </c>
      <c r="AB915">
        <v>3</v>
      </c>
      <c r="AC915">
        <v>0</v>
      </c>
      <c r="AD915">
        <v>10</v>
      </c>
      <c r="AE915">
        <v>0</v>
      </c>
      <c r="AF915">
        <v>3</v>
      </c>
      <c r="AG915">
        <v>2</v>
      </c>
      <c r="AH915">
        <v>0</v>
      </c>
      <c r="AI915" t="s">
        <v>734</v>
      </c>
      <c r="AJ915">
        <v>39.686822999999997</v>
      </c>
      <c r="AK915" t="s">
        <v>735</v>
      </c>
      <c r="AL915">
        <v>-92.520353999999998</v>
      </c>
      <c r="AM915">
        <v>100</v>
      </c>
      <c r="AN915">
        <v>1700</v>
      </c>
      <c r="AO915" t="s">
        <v>118</v>
      </c>
      <c r="AP915">
        <v>-33</v>
      </c>
      <c r="AQ915">
        <v>121</v>
      </c>
      <c r="AR915">
        <v>-128</v>
      </c>
      <c r="AZ915">
        <v>1200</v>
      </c>
      <c r="BA915">
        <v>1</v>
      </c>
      <c r="BB915" t="str">
        <f t="shared" si="45"/>
        <v xml:space="preserve">N8080G  </v>
      </c>
      <c r="BC915">
        <v>1</v>
      </c>
      <c r="BE915">
        <v>0</v>
      </c>
      <c r="BF915">
        <v>0</v>
      </c>
      <c r="BG915">
        <v>0</v>
      </c>
      <c r="BH915">
        <v>1675</v>
      </c>
      <c r="BI915">
        <v>1</v>
      </c>
      <c r="BJ915">
        <v>1</v>
      </c>
      <c r="BK915">
        <v>1</v>
      </c>
      <c r="BL915">
        <v>0</v>
      </c>
      <c r="BO915">
        <v>0</v>
      </c>
      <c r="BP915">
        <v>0</v>
      </c>
      <c r="BW915" t="str">
        <f>"20:16:57.550"</f>
        <v>20:16:57.550</v>
      </c>
      <c r="BZ915">
        <v>0</v>
      </c>
      <c r="CA915">
        <v>2016</v>
      </c>
      <c r="CB915">
        <v>224</v>
      </c>
      <c r="CD915">
        <v>1</v>
      </c>
      <c r="CE915">
        <v>0</v>
      </c>
      <c r="CF915">
        <v>0</v>
      </c>
      <c r="CG915">
        <v>1</v>
      </c>
      <c r="CH915">
        <v>0</v>
      </c>
      <c r="CI915">
        <v>0</v>
      </c>
      <c r="CJ915">
        <v>0</v>
      </c>
      <c r="CK915">
        <v>2</v>
      </c>
      <c r="CL915">
        <v>0</v>
      </c>
      <c r="CM915">
        <v>2</v>
      </c>
      <c r="CN915">
        <v>0</v>
      </c>
      <c r="CO915">
        <v>7</v>
      </c>
      <c r="CP915" t="s">
        <v>119</v>
      </c>
      <c r="CQ915">
        <v>180</v>
      </c>
      <c r="CR915">
        <v>2</v>
      </c>
      <c r="CW915">
        <v>8014004</v>
      </c>
      <c r="CY915">
        <v>1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</row>
    <row r="916" spans="1:113" x14ac:dyDescent="0.3">
      <c r="A916" t="str">
        <f>"02/08/2021 20:16:55.204"</f>
        <v>02/08/2021 20:16:55.204</v>
      </c>
      <c r="C916" t="str">
        <f t="shared" si="44"/>
        <v>FFDFD7C0</v>
      </c>
      <c r="D916" t="s">
        <v>113</v>
      </c>
      <c r="E916">
        <v>6</v>
      </c>
      <c r="H916">
        <v>165</v>
      </c>
      <c r="I916" t="s">
        <v>114</v>
      </c>
      <c r="J916" t="s">
        <v>115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>"20:16:57.547"</f>
        <v>20:16:57.547</v>
      </c>
      <c r="T916" t="str">
        <f>"20:16:57.047"</f>
        <v>20:16:57.047</v>
      </c>
      <c r="U916" t="str">
        <f t="shared" si="43"/>
        <v>AB01F4</v>
      </c>
      <c r="V916">
        <v>0</v>
      </c>
      <c r="W916">
        <v>0</v>
      </c>
      <c r="X916">
        <v>2</v>
      </c>
      <c r="Z916">
        <v>0</v>
      </c>
      <c r="AA916">
        <v>9</v>
      </c>
      <c r="AB916">
        <v>3</v>
      </c>
      <c r="AC916">
        <v>0</v>
      </c>
      <c r="AD916">
        <v>10</v>
      </c>
      <c r="AE916">
        <v>0</v>
      </c>
      <c r="AF916">
        <v>3</v>
      </c>
      <c r="AG916">
        <v>2</v>
      </c>
      <c r="AH916">
        <v>0</v>
      </c>
      <c r="AI916" t="s">
        <v>734</v>
      </c>
      <c r="AJ916">
        <v>39.686822999999997</v>
      </c>
      <c r="AK916" t="s">
        <v>735</v>
      </c>
      <c r="AL916">
        <v>-92.520353999999998</v>
      </c>
      <c r="AM916">
        <v>100</v>
      </c>
      <c r="AN916">
        <v>1700</v>
      </c>
      <c r="AO916" t="s">
        <v>118</v>
      </c>
      <c r="AP916">
        <v>-33</v>
      </c>
      <c r="AQ916">
        <v>121</v>
      </c>
      <c r="AR916">
        <v>-128</v>
      </c>
      <c r="AZ916">
        <v>1200</v>
      </c>
      <c r="BA916">
        <v>1</v>
      </c>
      <c r="BB916" t="str">
        <f t="shared" si="45"/>
        <v xml:space="preserve">N8080G  </v>
      </c>
      <c r="BC916">
        <v>1</v>
      </c>
      <c r="BE916">
        <v>0</v>
      </c>
      <c r="BF916">
        <v>0</v>
      </c>
      <c r="BG916">
        <v>0</v>
      </c>
      <c r="BH916">
        <v>1675</v>
      </c>
      <c r="BI916">
        <v>1</v>
      </c>
      <c r="BJ916">
        <v>1</v>
      </c>
      <c r="BK916">
        <v>1</v>
      </c>
      <c r="BL916">
        <v>0</v>
      </c>
      <c r="BO916">
        <v>0</v>
      </c>
      <c r="BP916">
        <v>0</v>
      </c>
      <c r="BW916" t="str">
        <f>"20:16:57.550"</f>
        <v>20:16:57.550</v>
      </c>
      <c r="BZ916">
        <v>0</v>
      </c>
      <c r="CA916">
        <v>2016</v>
      </c>
      <c r="CB916">
        <v>224</v>
      </c>
      <c r="CD916">
        <v>1</v>
      </c>
      <c r="CE916">
        <v>0</v>
      </c>
      <c r="CF916">
        <v>0</v>
      </c>
      <c r="CG916">
        <v>1</v>
      </c>
      <c r="CH916">
        <v>0</v>
      </c>
      <c r="CI916">
        <v>0</v>
      </c>
      <c r="CJ916">
        <v>0</v>
      </c>
      <c r="CK916">
        <v>2</v>
      </c>
      <c r="CL916">
        <v>0</v>
      </c>
      <c r="CM916">
        <v>2</v>
      </c>
      <c r="CN916">
        <v>0</v>
      </c>
      <c r="CO916">
        <v>7</v>
      </c>
      <c r="CP916" t="s">
        <v>119</v>
      </c>
      <c r="CQ916">
        <v>180</v>
      </c>
      <c r="CR916">
        <v>2</v>
      </c>
      <c r="CW916">
        <v>8014004</v>
      </c>
      <c r="CY916">
        <v>1</v>
      </c>
      <c r="CZ916">
        <v>0</v>
      </c>
      <c r="DA916">
        <v>1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</row>
    <row r="917" spans="1:113" x14ac:dyDescent="0.3">
      <c r="A917" t="str">
        <f>"02/08/2021 20:16:55.204"</f>
        <v>02/08/2021 20:16:55.204</v>
      </c>
      <c r="C917" t="str">
        <f t="shared" si="44"/>
        <v>FFDFD7C0</v>
      </c>
      <c r="D917" t="s">
        <v>124</v>
      </c>
      <c r="E917">
        <v>13</v>
      </c>
      <c r="F917">
        <v>1013</v>
      </c>
      <c r="G917" t="s">
        <v>114</v>
      </c>
      <c r="J917" t="s">
        <v>125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>"20:16:57.547"</f>
        <v>20:16:57.547</v>
      </c>
      <c r="T917" t="str">
        <f>"20:16:57.047"</f>
        <v>20:16:57.047</v>
      </c>
      <c r="U917" t="str">
        <f t="shared" si="43"/>
        <v>AB01F4</v>
      </c>
      <c r="V917">
        <v>0</v>
      </c>
      <c r="W917">
        <v>0</v>
      </c>
      <c r="X917">
        <v>2</v>
      </c>
      <c r="Z917">
        <v>0</v>
      </c>
      <c r="AA917">
        <v>9</v>
      </c>
      <c r="AB917">
        <v>3</v>
      </c>
      <c r="AC917">
        <v>0</v>
      </c>
      <c r="AD917">
        <v>10</v>
      </c>
      <c r="AE917">
        <v>0</v>
      </c>
      <c r="AF917">
        <v>3</v>
      </c>
      <c r="AG917">
        <v>2</v>
      </c>
      <c r="AH917">
        <v>0</v>
      </c>
      <c r="AI917" t="s">
        <v>734</v>
      </c>
      <c r="AJ917">
        <v>39.686822999999997</v>
      </c>
      <c r="AK917" t="s">
        <v>735</v>
      </c>
      <c r="AL917">
        <v>-92.520353999999998</v>
      </c>
      <c r="AM917">
        <v>100</v>
      </c>
      <c r="AN917">
        <v>1700</v>
      </c>
      <c r="AO917" t="s">
        <v>118</v>
      </c>
      <c r="AP917">
        <v>-33</v>
      </c>
      <c r="AQ917">
        <v>121</v>
      </c>
      <c r="AR917">
        <v>-128</v>
      </c>
      <c r="AZ917">
        <v>1200</v>
      </c>
      <c r="BA917">
        <v>1</v>
      </c>
      <c r="BB917" t="str">
        <f t="shared" si="45"/>
        <v xml:space="preserve">N8080G  </v>
      </c>
      <c r="BC917">
        <v>1</v>
      </c>
      <c r="BE917">
        <v>0</v>
      </c>
      <c r="BF917">
        <v>0</v>
      </c>
      <c r="BG917">
        <v>0</v>
      </c>
      <c r="BH917">
        <v>1675</v>
      </c>
      <c r="BI917">
        <v>1</v>
      </c>
      <c r="BJ917">
        <v>1</v>
      </c>
      <c r="BK917">
        <v>1</v>
      </c>
      <c r="BL917">
        <v>0</v>
      </c>
      <c r="BO917">
        <v>0</v>
      </c>
      <c r="BP917">
        <v>0</v>
      </c>
      <c r="BW917" t="str">
        <f>"20:16:57.550"</f>
        <v>20:16:57.550</v>
      </c>
      <c r="BZ917">
        <v>0</v>
      </c>
      <c r="CA917">
        <v>2016</v>
      </c>
      <c r="CB917">
        <v>224</v>
      </c>
      <c r="CD917">
        <v>1</v>
      </c>
      <c r="CE917">
        <v>0</v>
      </c>
      <c r="CF917">
        <v>0</v>
      </c>
      <c r="CG917">
        <v>1</v>
      </c>
      <c r="CH917">
        <v>0</v>
      </c>
      <c r="CI917">
        <v>0</v>
      </c>
      <c r="CJ917">
        <v>0</v>
      </c>
      <c r="CK917">
        <v>2</v>
      </c>
      <c r="CL917">
        <v>0</v>
      </c>
      <c r="CM917">
        <v>2</v>
      </c>
      <c r="CN917">
        <v>0</v>
      </c>
      <c r="CO917">
        <v>7</v>
      </c>
      <c r="CP917" t="s">
        <v>119</v>
      </c>
      <c r="CQ917">
        <v>180</v>
      </c>
      <c r="CR917">
        <v>2</v>
      </c>
      <c r="CW917">
        <v>8014004</v>
      </c>
      <c r="CY917">
        <v>1</v>
      </c>
      <c r="CZ917">
        <v>0</v>
      </c>
      <c r="DA917">
        <v>1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</row>
    <row r="918" spans="1:113" x14ac:dyDescent="0.3">
      <c r="A918" t="str">
        <f>"02/08/2021 20:16:55.204"</f>
        <v>02/08/2021 20:16:55.204</v>
      </c>
      <c r="C918" t="str">
        <f t="shared" si="44"/>
        <v>FFDFD7C0</v>
      </c>
      <c r="D918" t="s">
        <v>124</v>
      </c>
      <c r="E918">
        <v>12</v>
      </c>
      <c r="F918">
        <v>1012</v>
      </c>
      <c r="G918" t="s">
        <v>675</v>
      </c>
      <c r="J918" t="s">
        <v>125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>"20:16:57.547"</f>
        <v>20:16:57.547</v>
      </c>
      <c r="T918" t="str">
        <f>"20:16:57.047"</f>
        <v>20:16:57.047</v>
      </c>
      <c r="U918" t="str">
        <f t="shared" si="43"/>
        <v>AB01F4</v>
      </c>
      <c r="V918">
        <v>0</v>
      </c>
      <c r="W918">
        <v>0</v>
      </c>
      <c r="X918">
        <v>2</v>
      </c>
      <c r="Z918">
        <v>0</v>
      </c>
      <c r="AA918">
        <v>9</v>
      </c>
      <c r="AB918">
        <v>3</v>
      </c>
      <c r="AC918">
        <v>0</v>
      </c>
      <c r="AD918">
        <v>10</v>
      </c>
      <c r="AE918">
        <v>0</v>
      </c>
      <c r="AF918">
        <v>3</v>
      </c>
      <c r="AG918">
        <v>2</v>
      </c>
      <c r="AH918">
        <v>0</v>
      </c>
      <c r="AI918" t="s">
        <v>734</v>
      </c>
      <c r="AJ918">
        <v>39.686822999999997</v>
      </c>
      <c r="AK918" t="s">
        <v>735</v>
      </c>
      <c r="AL918">
        <v>-92.520353999999998</v>
      </c>
      <c r="AM918">
        <v>100</v>
      </c>
      <c r="AN918">
        <v>1700</v>
      </c>
      <c r="AO918" t="s">
        <v>118</v>
      </c>
      <c r="AP918">
        <v>-33</v>
      </c>
      <c r="AQ918">
        <v>121</v>
      </c>
      <c r="AR918">
        <v>-128</v>
      </c>
      <c r="AZ918">
        <v>1200</v>
      </c>
      <c r="BA918">
        <v>1</v>
      </c>
      <c r="BB918" t="str">
        <f t="shared" si="45"/>
        <v xml:space="preserve">N8080G  </v>
      </c>
      <c r="BC918">
        <v>1</v>
      </c>
      <c r="BE918">
        <v>0</v>
      </c>
      <c r="BF918">
        <v>0</v>
      </c>
      <c r="BG918">
        <v>0</v>
      </c>
      <c r="BH918">
        <v>1675</v>
      </c>
      <c r="BI918">
        <v>1</v>
      </c>
      <c r="BJ918">
        <v>1</v>
      </c>
      <c r="BK918">
        <v>1</v>
      </c>
      <c r="BL918">
        <v>0</v>
      </c>
      <c r="BO918">
        <v>0</v>
      </c>
      <c r="BP918">
        <v>0</v>
      </c>
      <c r="BW918" t="str">
        <f>"20:16:57.550"</f>
        <v>20:16:57.550</v>
      </c>
      <c r="BZ918">
        <v>0</v>
      </c>
      <c r="CA918">
        <v>2016</v>
      </c>
      <c r="CB918">
        <v>224</v>
      </c>
      <c r="CD918">
        <v>1</v>
      </c>
      <c r="CE918">
        <v>0</v>
      </c>
      <c r="CF918">
        <v>0</v>
      </c>
      <c r="CG918">
        <v>1</v>
      </c>
      <c r="CH918">
        <v>0</v>
      </c>
      <c r="CI918">
        <v>0</v>
      </c>
      <c r="CJ918">
        <v>0</v>
      </c>
      <c r="CK918">
        <v>2</v>
      </c>
      <c r="CL918">
        <v>0</v>
      </c>
      <c r="CM918">
        <v>2</v>
      </c>
      <c r="CN918">
        <v>0</v>
      </c>
      <c r="CO918">
        <v>7</v>
      </c>
      <c r="CP918" t="s">
        <v>119</v>
      </c>
      <c r="CQ918">
        <v>180</v>
      </c>
      <c r="CR918">
        <v>2</v>
      </c>
      <c r="CW918">
        <v>8014004</v>
      </c>
      <c r="CY918">
        <v>1</v>
      </c>
      <c r="CZ918">
        <v>0</v>
      </c>
      <c r="DA918">
        <v>1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</row>
    <row r="919" spans="1:113" x14ac:dyDescent="0.3">
      <c r="A919" t="str">
        <f>"02/08/2021 20:16:56.817"</f>
        <v>02/08/2021 20:16:56.817</v>
      </c>
      <c r="C919" t="str">
        <f t="shared" si="44"/>
        <v>FFDFD7C0</v>
      </c>
      <c r="D919" t="s">
        <v>124</v>
      </c>
      <c r="E919">
        <v>11</v>
      </c>
      <c r="F919">
        <v>1011</v>
      </c>
      <c r="G919" t="s">
        <v>590</v>
      </c>
      <c r="J919" t="s">
        <v>125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>"20:16:59.164"</f>
        <v>20:16:59.164</v>
      </c>
      <c r="T919" t="str">
        <f>"20:16:58.664"</f>
        <v>20:16:58.664</v>
      </c>
      <c r="U919" t="str">
        <f t="shared" si="43"/>
        <v>AB01F4</v>
      </c>
      <c r="V919">
        <v>0</v>
      </c>
      <c r="W919">
        <v>0</v>
      </c>
      <c r="X919">
        <v>2</v>
      </c>
      <c r="Z919">
        <v>0</v>
      </c>
      <c r="AA919">
        <v>9</v>
      </c>
      <c r="AB919">
        <v>3</v>
      </c>
      <c r="AC919">
        <v>0</v>
      </c>
      <c r="AD919">
        <v>10</v>
      </c>
      <c r="AE919">
        <v>0</v>
      </c>
      <c r="AF919">
        <v>3</v>
      </c>
      <c r="AG919">
        <v>2</v>
      </c>
      <c r="AH919">
        <v>0</v>
      </c>
      <c r="AI919" t="s">
        <v>736</v>
      </c>
      <c r="AJ919">
        <v>39.687702999999999</v>
      </c>
      <c r="AK919" t="s">
        <v>737</v>
      </c>
      <c r="AL919">
        <v>-92.520696999999998</v>
      </c>
      <c r="AM919">
        <v>100</v>
      </c>
      <c r="AN919">
        <v>1700</v>
      </c>
      <c r="AO919" t="s">
        <v>118</v>
      </c>
      <c r="AP919">
        <v>-33</v>
      </c>
      <c r="AQ919">
        <v>122</v>
      </c>
      <c r="AR919">
        <v>0</v>
      </c>
      <c r="AZ919">
        <v>1200</v>
      </c>
      <c r="BA919">
        <v>1</v>
      </c>
      <c r="BB919" t="str">
        <f t="shared" si="45"/>
        <v xml:space="preserve">N8080G  </v>
      </c>
      <c r="BC919">
        <v>1</v>
      </c>
      <c r="BE919">
        <v>0</v>
      </c>
      <c r="BF919">
        <v>0</v>
      </c>
      <c r="BG919">
        <v>0</v>
      </c>
      <c r="BH919">
        <v>1675</v>
      </c>
      <c r="BI919">
        <v>1</v>
      </c>
      <c r="BJ919">
        <v>1</v>
      </c>
      <c r="BK919">
        <v>1</v>
      </c>
      <c r="BL919">
        <v>0</v>
      </c>
      <c r="BO919">
        <v>0</v>
      </c>
      <c r="BP919">
        <v>0</v>
      </c>
      <c r="BW919" t="str">
        <f>"20:16:59.169"</f>
        <v>20:16:59.169</v>
      </c>
      <c r="BZ919">
        <v>0</v>
      </c>
      <c r="CA919">
        <v>2016</v>
      </c>
      <c r="CB919">
        <v>224</v>
      </c>
      <c r="CD919">
        <v>1</v>
      </c>
      <c r="CE919">
        <v>0</v>
      </c>
      <c r="CF919">
        <v>0</v>
      </c>
      <c r="CG919">
        <v>1</v>
      </c>
      <c r="CH919">
        <v>0</v>
      </c>
      <c r="CI919">
        <v>0</v>
      </c>
      <c r="CJ919">
        <v>0</v>
      </c>
      <c r="CK919">
        <v>2</v>
      </c>
      <c r="CL919">
        <v>0</v>
      </c>
      <c r="CM919">
        <v>2</v>
      </c>
      <c r="CN919">
        <v>0</v>
      </c>
      <c r="CO919">
        <v>7</v>
      </c>
      <c r="CP919" t="s">
        <v>119</v>
      </c>
      <c r="CQ919">
        <v>180</v>
      </c>
      <c r="CR919">
        <v>2</v>
      </c>
      <c r="CW919">
        <v>8015245</v>
      </c>
      <c r="CY919">
        <v>1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</row>
    <row r="920" spans="1:113" x14ac:dyDescent="0.3">
      <c r="A920" t="str">
        <f>"02/08/2021 20:16:56.817"</f>
        <v>02/08/2021 20:16:56.817</v>
      </c>
      <c r="C920" t="str">
        <f t="shared" si="44"/>
        <v>FFDFD7C0</v>
      </c>
      <c r="D920" t="s">
        <v>113</v>
      </c>
      <c r="E920">
        <v>6</v>
      </c>
      <c r="H920">
        <v>165</v>
      </c>
      <c r="I920" t="s">
        <v>114</v>
      </c>
      <c r="J920" t="s">
        <v>115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>"20:16:59.164"</f>
        <v>20:16:59.164</v>
      </c>
      <c r="T920" t="str">
        <f>"20:16:58.664"</f>
        <v>20:16:58.664</v>
      </c>
      <c r="U920" t="str">
        <f t="shared" si="43"/>
        <v>AB01F4</v>
      </c>
      <c r="V920">
        <v>0</v>
      </c>
      <c r="W920">
        <v>0</v>
      </c>
      <c r="X920">
        <v>2</v>
      </c>
      <c r="Z920">
        <v>0</v>
      </c>
      <c r="AA920">
        <v>9</v>
      </c>
      <c r="AB920">
        <v>3</v>
      </c>
      <c r="AC920">
        <v>0</v>
      </c>
      <c r="AD920">
        <v>10</v>
      </c>
      <c r="AE920">
        <v>0</v>
      </c>
      <c r="AF920">
        <v>3</v>
      </c>
      <c r="AG920">
        <v>2</v>
      </c>
      <c r="AH920">
        <v>0</v>
      </c>
      <c r="AI920" t="s">
        <v>736</v>
      </c>
      <c r="AJ920">
        <v>39.687702999999999</v>
      </c>
      <c r="AK920" t="s">
        <v>737</v>
      </c>
      <c r="AL920">
        <v>-92.520696999999998</v>
      </c>
      <c r="AM920">
        <v>100</v>
      </c>
      <c r="AN920">
        <v>1700</v>
      </c>
      <c r="AO920" t="s">
        <v>118</v>
      </c>
      <c r="AP920">
        <v>-33</v>
      </c>
      <c r="AQ920">
        <v>122</v>
      </c>
      <c r="AR920">
        <v>0</v>
      </c>
      <c r="AZ920">
        <v>1200</v>
      </c>
      <c r="BA920">
        <v>1</v>
      </c>
      <c r="BB920" t="str">
        <f t="shared" si="45"/>
        <v xml:space="preserve">N8080G  </v>
      </c>
      <c r="BC920">
        <v>1</v>
      </c>
      <c r="BE920">
        <v>0</v>
      </c>
      <c r="BF920">
        <v>0</v>
      </c>
      <c r="BG920">
        <v>0</v>
      </c>
      <c r="BH920">
        <v>1675</v>
      </c>
      <c r="BI920">
        <v>1</v>
      </c>
      <c r="BJ920">
        <v>1</v>
      </c>
      <c r="BK920">
        <v>1</v>
      </c>
      <c r="BL920">
        <v>0</v>
      </c>
      <c r="BO920">
        <v>0</v>
      </c>
      <c r="BP920">
        <v>0</v>
      </c>
      <c r="BW920" t="str">
        <f>"20:16:59.169"</f>
        <v>20:16:59.169</v>
      </c>
      <c r="BZ920">
        <v>0</v>
      </c>
      <c r="CA920">
        <v>2016</v>
      </c>
      <c r="CB920">
        <v>224</v>
      </c>
      <c r="CD920">
        <v>1</v>
      </c>
      <c r="CE920">
        <v>0</v>
      </c>
      <c r="CF920">
        <v>0</v>
      </c>
      <c r="CG920">
        <v>1</v>
      </c>
      <c r="CH920">
        <v>0</v>
      </c>
      <c r="CI920">
        <v>0</v>
      </c>
      <c r="CJ920">
        <v>0</v>
      </c>
      <c r="CK920">
        <v>2</v>
      </c>
      <c r="CL920">
        <v>0</v>
      </c>
      <c r="CM920">
        <v>2</v>
      </c>
      <c r="CN920">
        <v>0</v>
      </c>
      <c r="CO920">
        <v>7</v>
      </c>
      <c r="CP920" t="s">
        <v>119</v>
      </c>
      <c r="CQ920">
        <v>180</v>
      </c>
      <c r="CR920">
        <v>2</v>
      </c>
      <c r="CW920">
        <v>8015245</v>
      </c>
      <c r="CY920">
        <v>1</v>
      </c>
      <c r="CZ920">
        <v>0</v>
      </c>
      <c r="DA920">
        <v>1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</row>
    <row r="921" spans="1:113" x14ac:dyDescent="0.3">
      <c r="A921" t="str">
        <f>"02/08/2021 20:16:56.817"</f>
        <v>02/08/2021 20:16:56.817</v>
      </c>
      <c r="C921" t="str">
        <f t="shared" si="44"/>
        <v>FFDFD7C0</v>
      </c>
      <c r="D921" t="s">
        <v>124</v>
      </c>
      <c r="E921">
        <v>13</v>
      </c>
      <c r="F921">
        <v>1013</v>
      </c>
      <c r="G921" t="s">
        <v>114</v>
      </c>
      <c r="J921" t="s">
        <v>125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>"20:16:59.164"</f>
        <v>20:16:59.164</v>
      </c>
      <c r="T921" t="str">
        <f>"20:16:58.664"</f>
        <v>20:16:58.664</v>
      </c>
      <c r="U921" t="str">
        <f t="shared" si="43"/>
        <v>AB01F4</v>
      </c>
      <c r="V921">
        <v>0</v>
      </c>
      <c r="W921">
        <v>0</v>
      </c>
      <c r="X921">
        <v>2</v>
      </c>
      <c r="Z921">
        <v>0</v>
      </c>
      <c r="AA921">
        <v>9</v>
      </c>
      <c r="AB921">
        <v>3</v>
      </c>
      <c r="AC921">
        <v>0</v>
      </c>
      <c r="AD921">
        <v>10</v>
      </c>
      <c r="AE921">
        <v>0</v>
      </c>
      <c r="AF921">
        <v>3</v>
      </c>
      <c r="AG921">
        <v>2</v>
      </c>
      <c r="AH921">
        <v>0</v>
      </c>
      <c r="AI921" t="s">
        <v>736</v>
      </c>
      <c r="AJ921">
        <v>39.687702999999999</v>
      </c>
      <c r="AK921" t="s">
        <v>737</v>
      </c>
      <c r="AL921">
        <v>-92.520696999999998</v>
      </c>
      <c r="AM921">
        <v>100</v>
      </c>
      <c r="AN921">
        <v>1700</v>
      </c>
      <c r="AO921" t="s">
        <v>118</v>
      </c>
      <c r="AP921">
        <v>-33</v>
      </c>
      <c r="AQ921">
        <v>122</v>
      </c>
      <c r="AR921">
        <v>0</v>
      </c>
      <c r="AZ921">
        <v>1200</v>
      </c>
      <c r="BA921">
        <v>1</v>
      </c>
      <c r="BB921" t="str">
        <f t="shared" si="45"/>
        <v xml:space="preserve">N8080G  </v>
      </c>
      <c r="BC921">
        <v>1</v>
      </c>
      <c r="BE921">
        <v>0</v>
      </c>
      <c r="BF921">
        <v>0</v>
      </c>
      <c r="BG921">
        <v>0</v>
      </c>
      <c r="BH921">
        <v>1675</v>
      </c>
      <c r="BI921">
        <v>1</v>
      </c>
      <c r="BJ921">
        <v>1</v>
      </c>
      <c r="BK921">
        <v>1</v>
      </c>
      <c r="BL921">
        <v>0</v>
      </c>
      <c r="BO921">
        <v>0</v>
      </c>
      <c r="BP921">
        <v>0</v>
      </c>
      <c r="BW921" t="str">
        <f>"20:16:59.169"</f>
        <v>20:16:59.169</v>
      </c>
      <c r="BZ921">
        <v>0</v>
      </c>
      <c r="CA921">
        <v>2016</v>
      </c>
      <c r="CB921">
        <v>224</v>
      </c>
      <c r="CD921">
        <v>1</v>
      </c>
      <c r="CE921">
        <v>0</v>
      </c>
      <c r="CF921">
        <v>0</v>
      </c>
      <c r="CG921">
        <v>1</v>
      </c>
      <c r="CH921">
        <v>0</v>
      </c>
      <c r="CI921">
        <v>0</v>
      </c>
      <c r="CJ921">
        <v>0</v>
      </c>
      <c r="CK921">
        <v>2</v>
      </c>
      <c r="CL921">
        <v>0</v>
      </c>
      <c r="CM921">
        <v>2</v>
      </c>
      <c r="CN921">
        <v>0</v>
      </c>
      <c r="CO921">
        <v>7</v>
      </c>
      <c r="CP921" t="s">
        <v>119</v>
      </c>
      <c r="CQ921">
        <v>180</v>
      </c>
      <c r="CR921">
        <v>2</v>
      </c>
      <c r="CW921">
        <v>8015245</v>
      </c>
      <c r="CY921">
        <v>1</v>
      </c>
      <c r="CZ921">
        <v>0</v>
      </c>
      <c r="DA921">
        <v>1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</row>
    <row r="922" spans="1:113" x14ac:dyDescent="0.3">
      <c r="A922" t="str">
        <f>"02/08/2021 20:16:56.817"</f>
        <v>02/08/2021 20:16:56.817</v>
      </c>
      <c r="C922" t="str">
        <f t="shared" si="44"/>
        <v>FFDFD7C0</v>
      </c>
      <c r="D922" t="s">
        <v>124</v>
      </c>
      <c r="E922">
        <v>12</v>
      </c>
      <c r="F922">
        <v>1012</v>
      </c>
      <c r="G922" t="s">
        <v>675</v>
      </c>
      <c r="J922" t="s">
        <v>125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>"20:16:59.164"</f>
        <v>20:16:59.164</v>
      </c>
      <c r="T922" t="str">
        <f>"20:16:58.664"</f>
        <v>20:16:58.664</v>
      </c>
      <c r="U922" t="str">
        <f t="shared" si="43"/>
        <v>AB01F4</v>
      </c>
      <c r="V922">
        <v>0</v>
      </c>
      <c r="W922">
        <v>0</v>
      </c>
      <c r="X922">
        <v>2</v>
      </c>
      <c r="Z922">
        <v>0</v>
      </c>
      <c r="AA922">
        <v>9</v>
      </c>
      <c r="AB922">
        <v>3</v>
      </c>
      <c r="AC922">
        <v>0</v>
      </c>
      <c r="AD922">
        <v>10</v>
      </c>
      <c r="AE922">
        <v>0</v>
      </c>
      <c r="AF922">
        <v>3</v>
      </c>
      <c r="AG922">
        <v>2</v>
      </c>
      <c r="AH922">
        <v>0</v>
      </c>
      <c r="AI922" t="s">
        <v>736</v>
      </c>
      <c r="AJ922">
        <v>39.687702999999999</v>
      </c>
      <c r="AK922" t="s">
        <v>737</v>
      </c>
      <c r="AL922">
        <v>-92.520696999999998</v>
      </c>
      <c r="AM922">
        <v>100</v>
      </c>
      <c r="AN922">
        <v>1700</v>
      </c>
      <c r="AO922" t="s">
        <v>118</v>
      </c>
      <c r="AP922">
        <v>-33</v>
      </c>
      <c r="AQ922">
        <v>122</v>
      </c>
      <c r="AR922">
        <v>0</v>
      </c>
      <c r="AZ922">
        <v>1200</v>
      </c>
      <c r="BA922">
        <v>1</v>
      </c>
      <c r="BB922" t="str">
        <f t="shared" si="45"/>
        <v xml:space="preserve">N8080G  </v>
      </c>
      <c r="BC922">
        <v>1</v>
      </c>
      <c r="BE922">
        <v>0</v>
      </c>
      <c r="BF922">
        <v>0</v>
      </c>
      <c r="BG922">
        <v>0</v>
      </c>
      <c r="BH922">
        <v>1675</v>
      </c>
      <c r="BI922">
        <v>1</v>
      </c>
      <c r="BJ922">
        <v>1</v>
      </c>
      <c r="BK922">
        <v>1</v>
      </c>
      <c r="BL922">
        <v>0</v>
      </c>
      <c r="BO922">
        <v>0</v>
      </c>
      <c r="BP922">
        <v>0</v>
      </c>
      <c r="BW922" t="str">
        <f>"20:16:59.169"</f>
        <v>20:16:59.169</v>
      </c>
      <c r="BZ922">
        <v>0</v>
      </c>
      <c r="CA922">
        <v>2016</v>
      </c>
      <c r="CB922">
        <v>224</v>
      </c>
      <c r="CD922">
        <v>1</v>
      </c>
      <c r="CE922">
        <v>0</v>
      </c>
      <c r="CF922">
        <v>0</v>
      </c>
      <c r="CG922">
        <v>1</v>
      </c>
      <c r="CH922">
        <v>0</v>
      </c>
      <c r="CI922">
        <v>0</v>
      </c>
      <c r="CJ922">
        <v>0</v>
      </c>
      <c r="CK922">
        <v>2</v>
      </c>
      <c r="CL922">
        <v>0</v>
      </c>
      <c r="CM922">
        <v>2</v>
      </c>
      <c r="CN922">
        <v>0</v>
      </c>
      <c r="CO922">
        <v>7</v>
      </c>
      <c r="CP922" t="s">
        <v>119</v>
      </c>
      <c r="CQ922">
        <v>180</v>
      </c>
      <c r="CR922">
        <v>2</v>
      </c>
      <c r="CW922">
        <v>8015245</v>
      </c>
      <c r="CY922">
        <v>1</v>
      </c>
      <c r="CZ922">
        <v>0</v>
      </c>
      <c r="DA922">
        <v>1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</row>
    <row r="923" spans="1:113" x14ac:dyDescent="0.3">
      <c r="A923" t="str">
        <f>"02/08/2021 20:16:57.875"</f>
        <v>02/08/2021 20:16:57.875</v>
      </c>
      <c r="C923" t="str">
        <f t="shared" si="44"/>
        <v>FFDFD7C0</v>
      </c>
      <c r="D923" t="s">
        <v>124</v>
      </c>
      <c r="E923">
        <v>11</v>
      </c>
      <c r="F923">
        <v>1011</v>
      </c>
      <c r="G923" t="s">
        <v>590</v>
      </c>
      <c r="J923" t="s">
        <v>125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>"20:17:00.188"</f>
        <v>20:17:00.188</v>
      </c>
      <c r="T923" t="str">
        <f>"20:16:59.188"</f>
        <v>20:16:59.188</v>
      </c>
      <c r="U923" t="str">
        <f t="shared" si="43"/>
        <v>AB01F4</v>
      </c>
      <c r="V923">
        <v>0</v>
      </c>
      <c r="W923">
        <v>0</v>
      </c>
      <c r="X923">
        <v>2</v>
      </c>
      <c r="Z923">
        <v>0</v>
      </c>
      <c r="AA923">
        <v>9</v>
      </c>
      <c r="AB923">
        <v>3</v>
      </c>
      <c r="AC923">
        <v>0</v>
      </c>
      <c r="AD923">
        <v>10</v>
      </c>
      <c r="AE923">
        <v>0</v>
      </c>
      <c r="AF923">
        <v>3</v>
      </c>
      <c r="AG923">
        <v>2</v>
      </c>
      <c r="AH923">
        <v>0</v>
      </c>
      <c r="AI923" t="s">
        <v>738</v>
      </c>
      <c r="AJ923">
        <v>39.688302999999998</v>
      </c>
      <c r="AK923" t="s">
        <v>739</v>
      </c>
      <c r="AL923">
        <v>-92.520889999999994</v>
      </c>
      <c r="AM923">
        <v>100</v>
      </c>
      <c r="AN923">
        <v>1700</v>
      </c>
      <c r="AO923" t="s">
        <v>118</v>
      </c>
      <c r="AP923">
        <v>-32</v>
      </c>
      <c r="AQ923">
        <v>122</v>
      </c>
      <c r="AR923">
        <v>-64</v>
      </c>
      <c r="AZ923">
        <v>1200</v>
      </c>
      <c r="BA923">
        <v>1</v>
      </c>
      <c r="BB923" t="str">
        <f t="shared" si="45"/>
        <v xml:space="preserve">N8080G  </v>
      </c>
      <c r="BC923">
        <v>1</v>
      </c>
      <c r="BE923">
        <v>0</v>
      </c>
      <c r="BF923">
        <v>0</v>
      </c>
      <c r="BG923">
        <v>0</v>
      </c>
      <c r="BH923">
        <v>1675</v>
      </c>
      <c r="BI923">
        <v>1</v>
      </c>
      <c r="BJ923">
        <v>1</v>
      </c>
      <c r="BK923">
        <v>1</v>
      </c>
      <c r="BL923">
        <v>0</v>
      </c>
      <c r="BO923">
        <v>0</v>
      </c>
      <c r="BP923">
        <v>0</v>
      </c>
      <c r="BW923" t="str">
        <f>"20:17:00.188"</f>
        <v>20:17:00.188</v>
      </c>
      <c r="BZ923">
        <v>0</v>
      </c>
      <c r="CA923">
        <v>2016</v>
      </c>
      <c r="CB923">
        <v>224</v>
      </c>
      <c r="CD923">
        <v>1</v>
      </c>
      <c r="CE923">
        <v>0</v>
      </c>
      <c r="CF923">
        <v>0</v>
      </c>
      <c r="CG923">
        <v>1</v>
      </c>
      <c r="CH923">
        <v>0</v>
      </c>
      <c r="CI923">
        <v>0</v>
      </c>
      <c r="CJ923">
        <v>0</v>
      </c>
      <c r="CK923">
        <v>2</v>
      </c>
      <c r="CL923">
        <v>0</v>
      </c>
      <c r="CM923">
        <v>2</v>
      </c>
      <c r="CN923">
        <v>0</v>
      </c>
      <c r="CO923">
        <v>7</v>
      </c>
      <c r="CP923" t="s">
        <v>119</v>
      </c>
      <c r="CQ923">
        <v>180</v>
      </c>
      <c r="CR923">
        <v>2</v>
      </c>
      <c r="CW923">
        <v>8016061</v>
      </c>
      <c r="CY923">
        <v>1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</row>
    <row r="924" spans="1:113" x14ac:dyDescent="0.3">
      <c r="A924" t="str">
        <f>"02/08/2021 20:16:57.875"</f>
        <v>02/08/2021 20:16:57.875</v>
      </c>
      <c r="C924" t="str">
        <f t="shared" si="44"/>
        <v>FFDFD7C0</v>
      </c>
      <c r="D924" t="s">
        <v>113</v>
      </c>
      <c r="E924">
        <v>6</v>
      </c>
      <c r="H924">
        <v>165</v>
      </c>
      <c r="I924" t="s">
        <v>114</v>
      </c>
      <c r="J924" t="s">
        <v>115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>"20:17:00.188"</f>
        <v>20:17:00.188</v>
      </c>
      <c r="T924" t="str">
        <f>"20:16:59.188"</f>
        <v>20:16:59.188</v>
      </c>
      <c r="U924" t="str">
        <f t="shared" si="43"/>
        <v>AB01F4</v>
      </c>
      <c r="V924">
        <v>0</v>
      </c>
      <c r="W924">
        <v>0</v>
      </c>
      <c r="X924">
        <v>2</v>
      </c>
      <c r="Z924">
        <v>0</v>
      </c>
      <c r="AA924">
        <v>9</v>
      </c>
      <c r="AB924">
        <v>3</v>
      </c>
      <c r="AC924">
        <v>0</v>
      </c>
      <c r="AD924">
        <v>10</v>
      </c>
      <c r="AE924">
        <v>0</v>
      </c>
      <c r="AF924">
        <v>3</v>
      </c>
      <c r="AG924">
        <v>2</v>
      </c>
      <c r="AH924">
        <v>0</v>
      </c>
      <c r="AI924" t="s">
        <v>738</v>
      </c>
      <c r="AJ924">
        <v>39.688302999999998</v>
      </c>
      <c r="AK924" t="s">
        <v>739</v>
      </c>
      <c r="AL924">
        <v>-92.520889999999994</v>
      </c>
      <c r="AM924">
        <v>100</v>
      </c>
      <c r="AN924">
        <v>1700</v>
      </c>
      <c r="AO924" t="s">
        <v>118</v>
      </c>
      <c r="AP924">
        <v>-32</v>
      </c>
      <c r="AQ924">
        <v>122</v>
      </c>
      <c r="AR924">
        <v>-64</v>
      </c>
      <c r="AZ924">
        <v>1200</v>
      </c>
      <c r="BA924">
        <v>1</v>
      </c>
      <c r="BB924" t="str">
        <f t="shared" si="45"/>
        <v xml:space="preserve">N8080G  </v>
      </c>
      <c r="BC924">
        <v>1</v>
      </c>
      <c r="BE924">
        <v>0</v>
      </c>
      <c r="BF924">
        <v>0</v>
      </c>
      <c r="BG924">
        <v>0</v>
      </c>
      <c r="BH924">
        <v>1675</v>
      </c>
      <c r="BI924">
        <v>1</v>
      </c>
      <c r="BJ924">
        <v>1</v>
      </c>
      <c r="BK924">
        <v>1</v>
      </c>
      <c r="BL924">
        <v>0</v>
      </c>
      <c r="BO924">
        <v>0</v>
      </c>
      <c r="BP924">
        <v>0</v>
      </c>
      <c r="BW924" t="str">
        <f>"20:17:00.188"</f>
        <v>20:17:00.188</v>
      </c>
      <c r="BZ924">
        <v>0</v>
      </c>
      <c r="CA924">
        <v>2016</v>
      </c>
      <c r="CB924">
        <v>224</v>
      </c>
      <c r="CD924">
        <v>1</v>
      </c>
      <c r="CE924">
        <v>0</v>
      </c>
      <c r="CF924">
        <v>0</v>
      </c>
      <c r="CG924">
        <v>1</v>
      </c>
      <c r="CH924">
        <v>0</v>
      </c>
      <c r="CI924">
        <v>0</v>
      </c>
      <c r="CJ924">
        <v>0</v>
      </c>
      <c r="CK924">
        <v>2</v>
      </c>
      <c r="CL924">
        <v>0</v>
      </c>
      <c r="CM924">
        <v>2</v>
      </c>
      <c r="CN924">
        <v>0</v>
      </c>
      <c r="CO924">
        <v>7</v>
      </c>
      <c r="CP924" t="s">
        <v>119</v>
      </c>
      <c r="CQ924">
        <v>180</v>
      </c>
      <c r="CR924">
        <v>2</v>
      </c>
      <c r="CW924">
        <v>8016061</v>
      </c>
      <c r="CY924">
        <v>1</v>
      </c>
      <c r="CZ924">
        <v>0</v>
      </c>
      <c r="DA924">
        <v>1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</row>
    <row r="925" spans="1:113" x14ac:dyDescent="0.3">
      <c r="A925" t="str">
        <f>"02/08/2021 20:16:57.875"</f>
        <v>02/08/2021 20:16:57.875</v>
      </c>
      <c r="C925" t="str">
        <f t="shared" si="44"/>
        <v>FFDFD7C0</v>
      </c>
      <c r="D925" t="s">
        <v>124</v>
      </c>
      <c r="E925">
        <v>13</v>
      </c>
      <c r="F925">
        <v>1013</v>
      </c>
      <c r="G925" t="s">
        <v>114</v>
      </c>
      <c r="J925" t="s">
        <v>125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>"20:17:00.188"</f>
        <v>20:17:00.188</v>
      </c>
      <c r="T925" t="str">
        <f>"20:16:59.188"</f>
        <v>20:16:59.188</v>
      </c>
      <c r="U925" t="str">
        <f t="shared" si="43"/>
        <v>AB01F4</v>
      </c>
      <c r="V925">
        <v>0</v>
      </c>
      <c r="W925">
        <v>0</v>
      </c>
      <c r="X925">
        <v>2</v>
      </c>
      <c r="Z925">
        <v>0</v>
      </c>
      <c r="AA925">
        <v>9</v>
      </c>
      <c r="AB925">
        <v>3</v>
      </c>
      <c r="AC925">
        <v>0</v>
      </c>
      <c r="AD925">
        <v>10</v>
      </c>
      <c r="AE925">
        <v>0</v>
      </c>
      <c r="AF925">
        <v>3</v>
      </c>
      <c r="AG925">
        <v>2</v>
      </c>
      <c r="AH925">
        <v>0</v>
      </c>
      <c r="AI925" t="s">
        <v>738</v>
      </c>
      <c r="AJ925">
        <v>39.688302999999998</v>
      </c>
      <c r="AK925" t="s">
        <v>739</v>
      </c>
      <c r="AL925">
        <v>-92.520889999999994</v>
      </c>
      <c r="AM925">
        <v>100</v>
      </c>
      <c r="AN925">
        <v>1700</v>
      </c>
      <c r="AO925" t="s">
        <v>118</v>
      </c>
      <c r="AP925">
        <v>-32</v>
      </c>
      <c r="AQ925">
        <v>122</v>
      </c>
      <c r="AR925">
        <v>-64</v>
      </c>
      <c r="AZ925">
        <v>1200</v>
      </c>
      <c r="BA925">
        <v>1</v>
      </c>
      <c r="BB925" t="str">
        <f t="shared" si="45"/>
        <v xml:space="preserve">N8080G  </v>
      </c>
      <c r="BC925">
        <v>1</v>
      </c>
      <c r="BE925">
        <v>0</v>
      </c>
      <c r="BF925">
        <v>0</v>
      </c>
      <c r="BG925">
        <v>0</v>
      </c>
      <c r="BH925">
        <v>1675</v>
      </c>
      <c r="BI925">
        <v>1</v>
      </c>
      <c r="BJ925">
        <v>1</v>
      </c>
      <c r="BK925">
        <v>1</v>
      </c>
      <c r="BL925">
        <v>0</v>
      </c>
      <c r="BO925">
        <v>0</v>
      </c>
      <c r="BP925">
        <v>0</v>
      </c>
      <c r="BW925" t="str">
        <f>"20:17:00.188"</f>
        <v>20:17:00.188</v>
      </c>
      <c r="BZ925">
        <v>0</v>
      </c>
      <c r="CA925">
        <v>2016</v>
      </c>
      <c r="CB925">
        <v>224</v>
      </c>
      <c r="CD925">
        <v>1</v>
      </c>
      <c r="CE925">
        <v>0</v>
      </c>
      <c r="CF925">
        <v>0</v>
      </c>
      <c r="CG925">
        <v>1</v>
      </c>
      <c r="CH925">
        <v>0</v>
      </c>
      <c r="CI925">
        <v>0</v>
      </c>
      <c r="CJ925">
        <v>0</v>
      </c>
      <c r="CK925">
        <v>2</v>
      </c>
      <c r="CL925">
        <v>0</v>
      </c>
      <c r="CM925">
        <v>2</v>
      </c>
      <c r="CN925">
        <v>0</v>
      </c>
      <c r="CO925">
        <v>7</v>
      </c>
      <c r="CP925" t="s">
        <v>119</v>
      </c>
      <c r="CQ925">
        <v>180</v>
      </c>
      <c r="CR925">
        <v>2</v>
      </c>
      <c r="CW925">
        <v>8016061</v>
      </c>
      <c r="CY925">
        <v>1</v>
      </c>
      <c r="CZ925">
        <v>0</v>
      </c>
      <c r="DA925">
        <v>1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</row>
    <row r="926" spans="1:113" x14ac:dyDescent="0.3">
      <c r="A926" t="str">
        <f>"02/08/2021 20:16:57.875"</f>
        <v>02/08/2021 20:16:57.875</v>
      </c>
      <c r="C926" t="str">
        <f t="shared" si="44"/>
        <v>FFDFD7C0</v>
      </c>
      <c r="D926" t="s">
        <v>124</v>
      </c>
      <c r="E926">
        <v>12</v>
      </c>
      <c r="F926">
        <v>1012</v>
      </c>
      <c r="G926" t="s">
        <v>675</v>
      </c>
      <c r="J926" t="s">
        <v>125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>"20:17:00.188"</f>
        <v>20:17:00.188</v>
      </c>
      <c r="T926" t="str">
        <f>"20:16:59.188"</f>
        <v>20:16:59.188</v>
      </c>
      <c r="U926" t="str">
        <f t="shared" si="43"/>
        <v>AB01F4</v>
      </c>
      <c r="V926">
        <v>0</v>
      </c>
      <c r="W926">
        <v>0</v>
      </c>
      <c r="X926">
        <v>2</v>
      </c>
      <c r="Z926">
        <v>0</v>
      </c>
      <c r="AA926">
        <v>9</v>
      </c>
      <c r="AB926">
        <v>3</v>
      </c>
      <c r="AC926">
        <v>0</v>
      </c>
      <c r="AD926">
        <v>10</v>
      </c>
      <c r="AE926">
        <v>0</v>
      </c>
      <c r="AF926">
        <v>3</v>
      </c>
      <c r="AG926">
        <v>2</v>
      </c>
      <c r="AH926">
        <v>0</v>
      </c>
      <c r="AI926" t="s">
        <v>738</v>
      </c>
      <c r="AJ926">
        <v>39.688302999999998</v>
      </c>
      <c r="AK926" t="s">
        <v>739</v>
      </c>
      <c r="AL926">
        <v>-92.520889999999994</v>
      </c>
      <c r="AM926">
        <v>100</v>
      </c>
      <c r="AN926">
        <v>1700</v>
      </c>
      <c r="AO926" t="s">
        <v>118</v>
      </c>
      <c r="AP926">
        <v>-32</v>
      </c>
      <c r="AQ926">
        <v>122</v>
      </c>
      <c r="AR926">
        <v>-64</v>
      </c>
      <c r="AZ926">
        <v>1200</v>
      </c>
      <c r="BA926">
        <v>1</v>
      </c>
      <c r="BB926" t="str">
        <f t="shared" si="45"/>
        <v xml:space="preserve">N8080G  </v>
      </c>
      <c r="BC926">
        <v>1</v>
      </c>
      <c r="BE926">
        <v>0</v>
      </c>
      <c r="BF926">
        <v>0</v>
      </c>
      <c r="BG926">
        <v>0</v>
      </c>
      <c r="BH926">
        <v>1675</v>
      </c>
      <c r="BI926">
        <v>1</v>
      </c>
      <c r="BJ926">
        <v>1</v>
      </c>
      <c r="BK926">
        <v>1</v>
      </c>
      <c r="BL926">
        <v>0</v>
      </c>
      <c r="BO926">
        <v>0</v>
      </c>
      <c r="BP926">
        <v>0</v>
      </c>
      <c r="BW926" t="str">
        <f>"20:17:00.188"</f>
        <v>20:17:00.188</v>
      </c>
      <c r="BZ926">
        <v>0</v>
      </c>
      <c r="CA926">
        <v>2016</v>
      </c>
      <c r="CB926">
        <v>224</v>
      </c>
      <c r="CD926">
        <v>1</v>
      </c>
      <c r="CE926">
        <v>0</v>
      </c>
      <c r="CF926">
        <v>0</v>
      </c>
      <c r="CG926">
        <v>1</v>
      </c>
      <c r="CH926">
        <v>0</v>
      </c>
      <c r="CI926">
        <v>0</v>
      </c>
      <c r="CJ926">
        <v>0</v>
      </c>
      <c r="CK926">
        <v>2</v>
      </c>
      <c r="CL926">
        <v>0</v>
      </c>
      <c r="CM926">
        <v>2</v>
      </c>
      <c r="CN926">
        <v>0</v>
      </c>
      <c r="CO926">
        <v>7</v>
      </c>
      <c r="CP926" t="s">
        <v>119</v>
      </c>
      <c r="CQ926">
        <v>180</v>
      </c>
      <c r="CR926">
        <v>2</v>
      </c>
      <c r="CW926">
        <v>8016061</v>
      </c>
      <c r="CY926">
        <v>1</v>
      </c>
      <c r="CZ926">
        <v>0</v>
      </c>
      <c r="DA926">
        <v>1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</row>
    <row r="927" spans="1:113" x14ac:dyDescent="0.3">
      <c r="A927" t="str">
        <f>"02/08/2021 20:16:58.902"</f>
        <v>02/08/2021 20:16:58.902</v>
      </c>
      <c r="C927" t="str">
        <f t="shared" si="44"/>
        <v>FFDFD7C0</v>
      </c>
      <c r="D927" t="s">
        <v>113</v>
      </c>
      <c r="E927">
        <v>6</v>
      </c>
      <c r="H927">
        <v>165</v>
      </c>
      <c r="I927" t="s">
        <v>114</v>
      </c>
      <c r="J927" t="s">
        <v>115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>"20:17:01.234"</f>
        <v>20:17:01.234</v>
      </c>
      <c r="T927" t="str">
        <f>"20:17:00.834"</f>
        <v>20:17:00.834</v>
      </c>
      <c r="U927" t="str">
        <f t="shared" si="43"/>
        <v>AB01F4</v>
      </c>
      <c r="V927">
        <v>0</v>
      </c>
      <c r="W927">
        <v>0</v>
      </c>
      <c r="X927">
        <v>2</v>
      </c>
      <c r="Z927">
        <v>0</v>
      </c>
      <c r="AA927">
        <v>9</v>
      </c>
      <c r="AB927">
        <v>3</v>
      </c>
      <c r="AC927">
        <v>0</v>
      </c>
      <c r="AD927">
        <v>10</v>
      </c>
      <c r="AE927">
        <v>0</v>
      </c>
      <c r="AF927">
        <v>3</v>
      </c>
      <c r="AG927">
        <v>2</v>
      </c>
      <c r="AH927">
        <v>0</v>
      </c>
      <c r="AI927" t="s">
        <v>740</v>
      </c>
      <c r="AJ927">
        <v>39.688904000000001</v>
      </c>
      <c r="AK927" t="s">
        <v>741</v>
      </c>
      <c r="AL927">
        <v>-92.521062000000001</v>
      </c>
      <c r="AM927">
        <v>100</v>
      </c>
      <c r="AN927">
        <v>1700</v>
      </c>
      <c r="AO927" t="s">
        <v>118</v>
      </c>
      <c r="AP927">
        <v>-32</v>
      </c>
      <c r="AQ927">
        <v>122</v>
      </c>
      <c r="AR927">
        <v>-256</v>
      </c>
      <c r="AZ927">
        <v>1200</v>
      </c>
      <c r="BA927">
        <v>1</v>
      </c>
      <c r="BB927" t="str">
        <f t="shared" si="45"/>
        <v xml:space="preserve">N8080G  </v>
      </c>
      <c r="BC927">
        <v>1</v>
      </c>
      <c r="BE927">
        <v>0</v>
      </c>
      <c r="BF927">
        <v>0</v>
      </c>
      <c r="BG927">
        <v>0</v>
      </c>
      <c r="BH927">
        <v>1675</v>
      </c>
      <c r="BI927">
        <v>1</v>
      </c>
      <c r="BJ927">
        <v>1</v>
      </c>
      <c r="BK927">
        <v>1</v>
      </c>
      <c r="BL927">
        <v>0</v>
      </c>
      <c r="BO927">
        <v>0</v>
      </c>
      <c r="BP927">
        <v>0</v>
      </c>
      <c r="BW927" t="str">
        <f>"20:17:01.242"</f>
        <v>20:17:01.242</v>
      </c>
      <c r="BZ927">
        <v>0</v>
      </c>
      <c r="CA927">
        <v>2016</v>
      </c>
      <c r="CB927">
        <v>224</v>
      </c>
      <c r="CD927">
        <v>1</v>
      </c>
      <c r="CE927">
        <v>0</v>
      </c>
      <c r="CF927">
        <v>0</v>
      </c>
      <c r="CG927">
        <v>1</v>
      </c>
      <c r="CH927">
        <v>0</v>
      </c>
      <c r="CI927">
        <v>0</v>
      </c>
      <c r="CJ927">
        <v>0</v>
      </c>
      <c r="CK927">
        <v>2</v>
      </c>
      <c r="CL927">
        <v>0</v>
      </c>
      <c r="CM927">
        <v>2</v>
      </c>
      <c r="CN927">
        <v>0</v>
      </c>
      <c r="CO927">
        <v>7</v>
      </c>
      <c r="CP927" t="s">
        <v>119</v>
      </c>
      <c r="CQ927">
        <v>180</v>
      </c>
      <c r="CR927">
        <v>2</v>
      </c>
      <c r="CW927">
        <v>8017011</v>
      </c>
      <c r="CY927">
        <v>1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</row>
    <row r="928" spans="1:113" x14ac:dyDescent="0.3">
      <c r="A928" t="str">
        <f>"02/08/2021 20:16:58.902"</f>
        <v>02/08/2021 20:16:58.902</v>
      </c>
      <c r="C928" t="str">
        <f t="shared" si="44"/>
        <v>FFDFD7C0</v>
      </c>
      <c r="D928" t="s">
        <v>124</v>
      </c>
      <c r="E928">
        <v>13</v>
      </c>
      <c r="F928">
        <v>1013</v>
      </c>
      <c r="G928" t="s">
        <v>114</v>
      </c>
      <c r="J928" t="s">
        <v>125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>"20:17:01.234"</f>
        <v>20:17:01.234</v>
      </c>
      <c r="T928" t="str">
        <f>"20:17:00.834"</f>
        <v>20:17:00.834</v>
      </c>
      <c r="U928" t="str">
        <f t="shared" si="43"/>
        <v>AB01F4</v>
      </c>
      <c r="V928">
        <v>0</v>
      </c>
      <c r="W928">
        <v>0</v>
      </c>
      <c r="X928">
        <v>2</v>
      </c>
      <c r="Z928">
        <v>0</v>
      </c>
      <c r="AA928">
        <v>9</v>
      </c>
      <c r="AB928">
        <v>3</v>
      </c>
      <c r="AC928">
        <v>0</v>
      </c>
      <c r="AD928">
        <v>10</v>
      </c>
      <c r="AE928">
        <v>0</v>
      </c>
      <c r="AF928">
        <v>3</v>
      </c>
      <c r="AG928">
        <v>2</v>
      </c>
      <c r="AH928">
        <v>0</v>
      </c>
      <c r="AI928" t="s">
        <v>740</v>
      </c>
      <c r="AJ928">
        <v>39.688904000000001</v>
      </c>
      <c r="AK928" t="s">
        <v>741</v>
      </c>
      <c r="AL928">
        <v>-92.521062000000001</v>
      </c>
      <c r="AM928">
        <v>100</v>
      </c>
      <c r="AN928">
        <v>1700</v>
      </c>
      <c r="AO928" t="s">
        <v>118</v>
      </c>
      <c r="AP928">
        <v>-32</v>
      </c>
      <c r="AQ928">
        <v>122</v>
      </c>
      <c r="AR928">
        <v>-256</v>
      </c>
      <c r="AZ928">
        <v>1200</v>
      </c>
      <c r="BA928">
        <v>1</v>
      </c>
      <c r="BB928" t="str">
        <f t="shared" si="45"/>
        <v xml:space="preserve">N8080G  </v>
      </c>
      <c r="BC928">
        <v>1</v>
      </c>
      <c r="BE928">
        <v>0</v>
      </c>
      <c r="BF928">
        <v>0</v>
      </c>
      <c r="BG928">
        <v>0</v>
      </c>
      <c r="BH928">
        <v>1675</v>
      </c>
      <c r="BI928">
        <v>1</v>
      </c>
      <c r="BJ928">
        <v>1</v>
      </c>
      <c r="BK928">
        <v>1</v>
      </c>
      <c r="BL928">
        <v>0</v>
      </c>
      <c r="BO928">
        <v>0</v>
      </c>
      <c r="BP928">
        <v>0</v>
      </c>
      <c r="BW928" t="str">
        <f>"20:17:01.242"</f>
        <v>20:17:01.242</v>
      </c>
      <c r="BZ928">
        <v>0</v>
      </c>
      <c r="CA928">
        <v>2016</v>
      </c>
      <c r="CB928">
        <v>224</v>
      </c>
      <c r="CD928">
        <v>1</v>
      </c>
      <c r="CE928">
        <v>0</v>
      </c>
      <c r="CF928">
        <v>0</v>
      </c>
      <c r="CG928">
        <v>1</v>
      </c>
      <c r="CH928">
        <v>0</v>
      </c>
      <c r="CI928">
        <v>0</v>
      </c>
      <c r="CJ928">
        <v>0</v>
      </c>
      <c r="CK928">
        <v>2</v>
      </c>
      <c r="CL928">
        <v>0</v>
      </c>
      <c r="CM928">
        <v>2</v>
      </c>
      <c r="CN928">
        <v>0</v>
      </c>
      <c r="CO928">
        <v>7</v>
      </c>
      <c r="CP928" t="s">
        <v>119</v>
      </c>
      <c r="CQ928">
        <v>180</v>
      </c>
      <c r="CR928">
        <v>2</v>
      </c>
      <c r="CW928">
        <v>8017011</v>
      </c>
      <c r="CY928">
        <v>1</v>
      </c>
      <c r="CZ928">
        <v>0</v>
      </c>
      <c r="DA928">
        <v>1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</row>
    <row r="929" spans="1:113" x14ac:dyDescent="0.3">
      <c r="A929" t="str">
        <f>"02/08/2021 20:16:58.902"</f>
        <v>02/08/2021 20:16:58.902</v>
      </c>
      <c r="C929" t="str">
        <f t="shared" si="44"/>
        <v>FFDFD7C0</v>
      </c>
      <c r="D929" t="s">
        <v>124</v>
      </c>
      <c r="E929">
        <v>12</v>
      </c>
      <c r="F929">
        <v>1012</v>
      </c>
      <c r="G929" t="s">
        <v>675</v>
      </c>
      <c r="J929" t="s">
        <v>125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>"20:17:01.234"</f>
        <v>20:17:01.234</v>
      </c>
      <c r="T929" t="str">
        <f>"20:17:00.834"</f>
        <v>20:17:00.834</v>
      </c>
      <c r="U929" t="str">
        <f t="shared" si="43"/>
        <v>AB01F4</v>
      </c>
      <c r="V929">
        <v>0</v>
      </c>
      <c r="W929">
        <v>0</v>
      </c>
      <c r="X929">
        <v>2</v>
      </c>
      <c r="Z929">
        <v>0</v>
      </c>
      <c r="AA929">
        <v>9</v>
      </c>
      <c r="AB929">
        <v>3</v>
      </c>
      <c r="AC929">
        <v>0</v>
      </c>
      <c r="AD929">
        <v>10</v>
      </c>
      <c r="AE929">
        <v>0</v>
      </c>
      <c r="AF929">
        <v>3</v>
      </c>
      <c r="AG929">
        <v>2</v>
      </c>
      <c r="AH929">
        <v>0</v>
      </c>
      <c r="AI929" t="s">
        <v>740</v>
      </c>
      <c r="AJ929">
        <v>39.688904000000001</v>
      </c>
      <c r="AK929" t="s">
        <v>741</v>
      </c>
      <c r="AL929">
        <v>-92.521062000000001</v>
      </c>
      <c r="AM929">
        <v>100</v>
      </c>
      <c r="AN929">
        <v>1700</v>
      </c>
      <c r="AO929" t="s">
        <v>118</v>
      </c>
      <c r="AP929">
        <v>-32</v>
      </c>
      <c r="AQ929">
        <v>122</v>
      </c>
      <c r="AR929">
        <v>-256</v>
      </c>
      <c r="AZ929">
        <v>1200</v>
      </c>
      <c r="BA929">
        <v>1</v>
      </c>
      <c r="BB929" t="str">
        <f t="shared" si="45"/>
        <v xml:space="preserve">N8080G  </v>
      </c>
      <c r="BC929">
        <v>1</v>
      </c>
      <c r="BE929">
        <v>0</v>
      </c>
      <c r="BF929">
        <v>0</v>
      </c>
      <c r="BG929">
        <v>0</v>
      </c>
      <c r="BH929">
        <v>1675</v>
      </c>
      <c r="BI929">
        <v>1</v>
      </c>
      <c r="BJ929">
        <v>1</v>
      </c>
      <c r="BK929">
        <v>1</v>
      </c>
      <c r="BL929">
        <v>0</v>
      </c>
      <c r="BO929">
        <v>0</v>
      </c>
      <c r="BP929">
        <v>0</v>
      </c>
      <c r="BW929" t="str">
        <f>"20:17:01.242"</f>
        <v>20:17:01.242</v>
      </c>
      <c r="BZ929">
        <v>0</v>
      </c>
      <c r="CA929">
        <v>2016</v>
      </c>
      <c r="CB929">
        <v>224</v>
      </c>
      <c r="CD929">
        <v>1</v>
      </c>
      <c r="CE929">
        <v>0</v>
      </c>
      <c r="CF929">
        <v>0</v>
      </c>
      <c r="CG929">
        <v>1</v>
      </c>
      <c r="CH929">
        <v>0</v>
      </c>
      <c r="CI929">
        <v>0</v>
      </c>
      <c r="CJ929">
        <v>0</v>
      </c>
      <c r="CK929">
        <v>2</v>
      </c>
      <c r="CL929">
        <v>0</v>
      </c>
      <c r="CM929">
        <v>2</v>
      </c>
      <c r="CN929">
        <v>0</v>
      </c>
      <c r="CO929">
        <v>7</v>
      </c>
      <c r="CP929" t="s">
        <v>119</v>
      </c>
      <c r="CQ929">
        <v>180</v>
      </c>
      <c r="CR929">
        <v>2</v>
      </c>
      <c r="CW929">
        <v>8017011</v>
      </c>
      <c r="CY929">
        <v>1</v>
      </c>
      <c r="CZ929">
        <v>0</v>
      </c>
      <c r="DA929">
        <v>1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</row>
    <row r="930" spans="1:113" x14ac:dyDescent="0.3">
      <c r="A930" t="str">
        <f>"02/08/2021 20:16:58.902"</f>
        <v>02/08/2021 20:16:58.902</v>
      </c>
      <c r="C930" t="str">
        <f t="shared" si="44"/>
        <v>FFDFD7C0</v>
      </c>
      <c r="D930" t="s">
        <v>124</v>
      </c>
      <c r="E930">
        <v>11</v>
      </c>
      <c r="F930">
        <v>1011</v>
      </c>
      <c r="G930" t="s">
        <v>590</v>
      </c>
      <c r="J930" t="s">
        <v>125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>"20:17:01.234"</f>
        <v>20:17:01.234</v>
      </c>
      <c r="T930" t="str">
        <f>"20:17:00.834"</f>
        <v>20:17:00.834</v>
      </c>
      <c r="U930" t="str">
        <f t="shared" si="43"/>
        <v>AB01F4</v>
      </c>
      <c r="V930">
        <v>0</v>
      </c>
      <c r="W930">
        <v>0</v>
      </c>
      <c r="X930">
        <v>2</v>
      </c>
      <c r="Z930">
        <v>0</v>
      </c>
      <c r="AA930">
        <v>9</v>
      </c>
      <c r="AB930">
        <v>3</v>
      </c>
      <c r="AC930">
        <v>0</v>
      </c>
      <c r="AD930">
        <v>10</v>
      </c>
      <c r="AE930">
        <v>0</v>
      </c>
      <c r="AF930">
        <v>3</v>
      </c>
      <c r="AG930">
        <v>2</v>
      </c>
      <c r="AH930">
        <v>0</v>
      </c>
      <c r="AI930" t="s">
        <v>740</v>
      </c>
      <c r="AJ930">
        <v>39.688904000000001</v>
      </c>
      <c r="AK930" t="s">
        <v>741</v>
      </c>
      <c r="AL930">
        <v>-92.521062000000001</v>
      </c>
      <c r="AM930">
        <v>100</v>
      </c>
      <c r="AN930">
        <v>1700</v>
      </c>
      <c r="AO930" t="s">
        <v>118</v>
      </c>
      <c r="AP930">
        <v>-32</v>
      </c>
      <c r="AQ930">
        <v>122</v>
      </c>
      <c r="AR930">
        <v>-256</v>
      </c>
      <c r="AZ930">
        <v>1200</v>
      </c>
      <c r="BA930">
        <v>1</v>
      </c>
      <c r="BB930" t="str">
        <f t="shared" si="45"/>
        <v xml:space="preserve">N8080G  </v>
      </c>
      <c r="BC930">
        <v>1</v>
      </c>
      <c r="BE930">
        <v>0</v>
      </c>
      <c r="BF930">
        <v>0</v>
      </c>
      <c r="BG930">
        <v>0</v>
      </c>
      <c r="BH930">
        <v>1675</v>
      </c>
      <c r="BI930">
        <v>1</v>
      </c>
      <c r="BJ930">
        <v>1</v>
      </c>
      <c r="BK930">
        <v>1</v>
      </c>
      <c r="BL930">
        <v>0</v>
      </c>
      <c r="BO930">
        <v>0</v>
      </c>
      <c r="BP930">
        <v>0</v>
      </c>
      <c r="BW930" t="str">
        <f>"20:17:01.242"</f>
        <v>20:17:01.242</v>
      </c>
      <c r="BZ930">
        <v>0</v>
      </c>
      <c r="CA930">
        <v>2016</v>
      </c>
      <c r="CB930">
        <v>224</v>
      </c>
      <c r="CD930">
        <v>1</v>
      </c>
      <c r="CE930">
        <v>0</v>
      </c>
      <c r="CF930">
        <v>0</v>
      </c>
      <c r="CG930">
        <v>1</v>
      </c>
      <c r="CH930">
        <v>0</v>
      </c>
      <c r="CI930">
        <v>0</v>
      </c>
      <c r="CJ930">
        <v>0</v>
      </c>
      <c r="CK930">
        <v>2</v>
      </c>
      <c r="CL930">
        <v>0</v>
      </c>
      <c r="CM930">
        <v>2</v>
      </c>
      <c r="CN930">
        <v>0</v>
      </c>
      <c r="CO930">
        <v>7</v>
      </c>
      <c r="CP930" t="s">
        <v>119</v>
      </c>
      <c r="CQ930">
        <v>180</v>
      </c>
      <c r="CR930">
        <v>2</v>
      </c>
      <c r="CW930">
        <v>8017011</v>
      </c>
      <c r="CY930">
        <v>1</v>
      </c>
      <c r="CZ930">
        <v>0</v>
      </c>
      <c r="DA930">
        <v>1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</row>
    <row r="931" spans="1:113" x14ac:dyDescent="0.3">
      <c r="A931" t="str">
        <f>"02/08/2021 20:17:00.368"</f>
        <v>02/08/2021 20:17:00.368</v>
      </c>
      <c r="C931" t="str">
        <f t="shared" si="44"/>
        <v>FFDFD7C0</v>
      </c>
      <c r="D931" t="s">
        <v>113</v>
      </c>
      <c r="E931">
        <v>6</v>
      </c>
      <c r="H931">
        <v>165</v>
      </c>
      <c r="I931" t="s">
        <v>114</v>
      </c>
      <c r="J931" t="s">
        <v>115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>"20:17:02.664"</f>
        <v>20:17:02.664</v>
      </c>
      <c r="T931" t="str">
        <f>"20:17:02.164"</f>
        <v>20:17:02.164</v>
      </c>
      <c r="U931" t="str">
        <f t="shared" si="43"/>
        <v>AB01F4</v>
      </c>
      <c r="V931">
        <v>0</v>
      </c>
      <c r="W931">
        <v>0</v>
      </c>
      <c r="X931">
        <v>2</v>
      </c>
      <c r="Z931">
        <v>0</v>
      </c>
      <c r="AA931">
        <v>9</v>
      </c>
      <c r="AB931">
        <v>3</v>
      </c>
      <c r="AC931">
        <v>0</v>
      </c>
      <c r="AD931">
        <v>10</v>
      </c>
      <c r="AE931">
        <v>0</v>
      </c>
      <c r="AF931">
        <v>3</v>
      </c>
      <c r="AG931">
        <v>2</v>
      </c>
      <c r="AH931">
        <v>0</v>
      </c>
      <c r="AI931" t="s">
        <v>742</v>
      </c>
      <c r="AJ931">
        <v>39.689698</v>
      </c>
      <c r="AK931" t="s">
        <v>743</v>
      </c>
      <c r="AL931">
        <v>-92.521361999999996</v>
      </c>
      <c r="AM931">
        <v>100</v>
      </c>
      <c r="AN931">
        <v>1700</v>
      </c>
      <c r="AO931" t="s">
        <v>118</v>
      </c>
      <c r="AP931">
        <v>-32</v>
      </c>
      <c r="AQ931">
        <v>122</v>
      </c>
      <c r="AR931">
        <v>0</v>
      </c>
      <c r="AZ931">
        <v>1200</v>
      </c>
      <c r="BA931">
        <v>1</v>
      </c>
      <c r="BB931" t="str">
        <f t="shared" si="45"/>
        <v xml:space="preserve">N8080G  </v>
      </c>
      <c r="BC931">
        <v>1</v>
      </c>
      <c r="BE931">
        <v>0</v>
      </c>
      <c r="BF931">
        <v>0</v>
      </c>
      <c r="BG931">
        <v>0</v>
      </c>
      <c r="BH931">
        <v>1675</v>
      </c>
      <c r="BI931">
        <v>1</v>
      </c>
      <c r="BJ931">
        <v>1</v>
      </c>
      <c r="BK931">
        <v>1</v>
      </c>
      <c r="BL931">
        <v>0</v>
      </c>
      <c r="BO931">
        <v>0</v>
      </c>
      <c r="BP931">
        <v>0</v>
      </c>
      <c r="BW931" t="str">
        <f>"20:17:02.667"</f>
        <v>20:17:02.667</v>
      </c>
      <c r="BZ931">
        <v>0</v>
      </c>
      <c r="CA931">
        <v>2016</v>
      </c>
      <c r="CB931">
        <v>224</v>
      </c>
      <c r="CD931">
        <v>1</v>
      </c>
      <c r="CE931">
        <v>0</v>
      </c>
      <c r="CF931">
        <v>0</v>
      </c>
      <c r="CG931">
        <v>1</v>
      </c>
      <c r="CH931">
        <v>0</v>
      </c>
      <c r="CI931">
        <v>0</v>
      </c>
      <c r="CJ931">
        <v>0</v>
      </c>
      <c r="CK931">
        <v>2</v>
      </c>
      <c r="CL931">
        <v>0</v>
      </c>
      <c r="CM931">
        <v>2</v>
      </c>
      <c r="CN931">
        <v>0</v>
      </c>
      <c r="CO931">
        <v>7</v>
      </c>
      <c r="CP931" t="s">
        <v>119</v>
      </c>
      <c r="CQ931">
        <v>180</v>
      </c>
      <c r="CR931">
        <v>2</v>
      </c>
      <c r="CW931">
        <v>8018158</v>
      </c>
      <c r="CY931">
        <v>1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</row>
    <row r="932" spans="1:113" x14ac:dyDescent="0.3">
      <c r="A932" t="str">
        <f>"02/08/2021 20:17:00.368"</f>
        <v>02/08/2021 20:17:00.368</v>
      </c>
      <c r="C932" t="str">
        <f t="shared" si="44"/>
        <v>FFDFD7C0</v>
      </c>
      <c r="D932" t="s">
        <v>124</v>
      </c>
      <c r="E932">
        <v>13</v>
      </c>
      <c r="F932">
        <v>1013</v>
      </c>
      <c r="G932" t="s">
        <v>114</v>
      </c>
      <c r="J932" t="s">
        <v>125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>"20:17:02.664"</f>
        <v>20:17:02.664</v>
      </c>
      <c r="T932" t="str">
        <f>"20:17:02.164"</f>
        <v>20:17:02.164</v>
      </c>
      <c r="U932" t="str">
        <f t="shared" si="43"/>
        <v>AB01F4</v>
      </c>
      <c r="V932">
        <v>0</v>
      </c>
      <c r="W932">
        <v>0</v>
      </c>
      <c r="X932">
        <v>2</v>
      </c>
      <c r="Z932">
        <v>0</v>
      </c>
      <c r="AA932">
        <v>9</v>
      </c>
      <c r="AB932">
        <v>3</v>
      </c>
      <c r="AC932">
        <v>0</v>
      </c>
      <c r="AD932">
        <v>10</v>
      </c>
      <c r="AE932">
        <v>0</v>
      </c>
      <c r="AF932">
        <v>3</v>
      </c>
      <c r="AG932">
        <v>2</v>
      </c>
      <c r="AH932">
        <v>0</v>
      </c>
      <c r="AI932" t="s">
        <v>742</v>
      </c>
      <c r="AJ932">
        <v>39.689698</v>
      </c>
      <c r="AK932" t="s">
        <v>743</v>
      </c>
      <c r="AL932">
        <v>-92.521361999999996</v>
      </c>
      <c r="AM932">
        <v>100</v>
      </c>
      <c r="AN932">
        <v>1700</v>
      </c>
      <c r="AO932" t="s">
        <v>118</v>
      </c>
      <c r="AP932">
        <v>-32</v>
      </c>
      <c r="AQ932">
        <v>122</v>
      </c>
      <c r="AR932">
        <v>0</v>
      </c>
      <c r="AZ932">
        <v>1200</v>
      </c>
      <c r="BA932">
        <v>1</v>
      </c>
      <c r="BB932" t="str">
        <f t="shared" si="45"/>
        <v xml:space="preserve">N8080G  </v>
      </c>
      <c r="BC932">
        <v>1</v>
      </c>
      <c r="BE932">
        <v>0</v>
      </c>
      <c r="BF932">
        <v>0</v>
      </c>
      <c r="BG932">
        <v>0</v>
      </c>
      <c r="BH932">
        <v>1675</v>
      </c>
      <c r="BI932">
        <v>1</v>
      </c>
      <c r="BJ932">
        <v>1</v>
      </c>
      <c r="BK932">
        <v>1</v>
      </c>
      <c r="BL932">
        <v>0</v>
      </c>
      <c r="BO932">
        <v>0</v>
      </c>
      <c r="BP932">
        <v>0</v>
      </c>
      <c r="BW932" t="str">
        <f>"20:17:02.667"</f>
        <v>20:17:02.667</v>
      </c>
      <c r="BZ932">
        <v>0</v>
      </c>
      <c r="CA932">
        <v>2016</v>
      </c>
      <c r="CB932">
        <v>224</v>
      </c>
      <c r="CD932">
        <v>1</v>
      </c>
      <c r="CE932">
        <v>0</v>
      </c>
      <c r="CF932">
        <v>0</v>
      </c>
      <c r="CG932">
        <v>1</v>
      </c>
      <c r="CH932">
        <v>0</v>
      </c>
      <c r="CI932">
        <v>0</v>
      </c>
      <c r="CJ932">
        <v>0</v>
      </c>
      <c r="CK932">
        <v>2</v>
      </c>
      <c r="CL932">
        <v>0</v>
      </c>
      <c r="CM932">
        <v>2</v>
      </c>
      <c r="CN932">
        <v>0</v>
      </c>
      <c r="CO932">
        <v>7</v>
      </c>
      <c r="CP932" t="s">
        <v>119</v>
      </c>
      <c r="CQ932">
        <v>180</v>
      </c>
      <c r="CR932">
        <v>2</v>
      </c>
      <c r="CW932">
        <v>8018158</v>
      </c>
      <c r="CY932">
        <v>1</v>
      </c>
      <c r="CZ932">
        <v>0</v>
      </c>
      <c r="DA932">
        <v>1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</row>
    <row r="933" spans="1:113" x14ac:dyDescent="0.3">
      <c r="A933" t="str">
        <f>"02/08/2021 20:17:00.368"</f>
        <v>02/08/2021 20:17:00.368</v>
      </c>
      <c r="C933" t="str">
        <f t="shared" si="44"/>
        <v>FFDFD7C0</v>
      </c>
      <c r="D933" t="s">
        <v>124</v>
      </c>
      <c r="E933">
        <v>12</v>
      </c>
      <c r="F933">
        <v>1012</v>
      </c>
      <c r="G933" t="s">
        <v>675</v>
      </c>
      <c r="J933" t="s">
        <v>125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>"20:17:02.664"</f>
        <v>20:17:02.664</v>
      </c>
      <c r="T933" t="str">
        <f>"20:17:02.164"</f>
        <v>20:17:02.164</v>
      </c>
      <c r="U933" t="str">
        <f t="shared" si="43"/>
        <v>AB01F4</v>
      </c>
      <c r="V933">
        <v>0</v>
      </c>
      <c r="W933">
        <v>0</v>
      </c>
      <c r="X933">
        <v>2</v>
      </c>
      <c r="Z933">
        <v>0</v>
      </c>
      <c r="AA933">
        <v>9</v>
      </c>
      <c r="AB933">
        <v>3</v>
      </c>
      <c r="AC933">
        <v>0</v>
      </c>
      <c r="AD933">
        <v>10</v>
      </c>
      <c r="AE933">
        <v>0</v>
      </c>
      <c r="AF933">
        <v>3</v>
      </c>
      <c r="AG933">
        <v>2</v>
      </c>
      <c r="AH933">
        <v>0</v>
      </c>
      <c r="AI933" t="s">
        <v>742</v>
      </c>
      <c r="AJ933">
        <v>39.689698</v>
      </c>
      <c r="AK933" t="s">
        <v>743</v>
      </c>
      <c r="AL933">
        <v>-92.521361999999996</v>
      </c>
      <c r="AM933">
        <v>100</v>
      </c>
      <c r="AN933">
        <v>1700</v>
      </c>
      <c r="AO933" t="s">
        <v>118</v>
      </c>
      <c r="AP933">
        <v>-32</v>
      </c>
      <c r="AQ933">
        <v>122</v>
      </c>
      <c r="AR933">
        <v>0</v>
      </c>
      <c r="AZ933">
        <v>1200</v>
      </c>
      <c r="BA933">
        <v>1</v>
      </c>
      <c r="BB933" t="str">
        <f t="shared" si="45"/>
        <v xml:space="preserve">N8080G  </v>
      </c>
      <c r="BC933">
        <v>1</v>
      </c>
      <c r="BE933">
        <v>0</v>
      </c>
      <c r="BF933">
        <v>0</v>
      </c>
      <c r="BG933">
        <v>0</v>
      </c>
      <c r="BH933">
        <v>1675</v>
      </c>
      <c r="BI933">
        <v>1</v>
      </c>
      <c r="BJ933">
        <v>1</v>
      </c>
      <c r="BK933">
        <v>1</v>
      </c>
      <c r="BL933">
        <v>0</v>
      </c>
      <c r="BO933">
        <v>0</v>
      </c>
      <c r="BP933">
        <v>0</v>
      </c>
      <c r="BW933" t="str">
        <f>"20:17:02.667"</f>
        <v>20:17:02.667</v>
      </c>
      <c r="BZ933">
        <v>0</v>
      </c>
      <c r="CA933">
        <v>2016</v>
      </c>
      <c r="CB933">
        <v>224</v>
      </c>
      <c r="CD933">
        <v>1</v>
      </c>
      <c r="CE933">
        <v>0</v>
      </c>
      <c r="CF933">
        <v>0</v>
      </c>
      <c r="CG933">
        <v>1</v>
      </c>
      <c r="CH933">
        <v>0</v>
      </c>
      <c r="CI933">
        <v>0</v>
      </c>
      <c r="CJ933">
        <v>0</v>
      </c>
      <c r="CK933">
        <v>2</v>
      </c>
      <c r="CL933">
        <v>0</v>
      </c>
      <c r="CM933">
        <v>2</v>
      </c>
      <c r="CN933">
        <v>0</v>
      </c>
      <c r="CO933">
        <v>7</v>
      </c>
      <c r="CP933" t="s">
        <v>119</v>
      </c>
      <c r="CQ933">
        <v>180</v>
      </c>
      <c r="CR933">
        <v>2</v>
      </c>
      <c r="CW933">
        <v>8018158</v>
      </c>
      <c r="CY933">
        <v>1</v>
      </c>
      <c r="CZ933">
        <v>0</v>
      </c>
      <c r="DA933">
        <v>1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</row>
    <row r="934" spans="1:113" x14ac:dyDescent="0.3">
      <c r="A934" t="str">
        <f>"02/08/2021 20:17:00.368"</f>
        <v>02/08/2021 20:17:00.368</v>
      </c>
      <c r="C934" t="str">
        <f t="shared" si="44"/>
        <v>FFDFD7C0</v>
      </c>
      <c r="D934" t="s">
        <v>124</v>
      </c>
      <c r="E934">
        <v>11</v>
      </c>
      <c r="F934">
        <v>1011</v>
      </c>
      <c r="G934" t="s">
        <v>590</v>
      </c>
      <c r="J934" t="s">
        <v>125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>"20:17:02.664"</f>
        <v>20:17:02.664</v>
      </c>
      <c r="T934" t="str">
        <f>"20:17:02.164"</f>
        <v>20:17:02.164</v>
      </c>
      <c r="U934" t="str">
        <f t="shared" si="43"/>
        <v>AB01F4</v>
      </c>
      <c r="V934">
        <v>0</v>
      </c>
      <c r="W934">
        <v>0</v>
      </c>
      <c r="X934">
        <v>2</v>
      </c>
      <c r="Z934">
        <v>0</v>
      </c>
      <c r="AA934">
        <v>9</v>
      </c>
      <c r="AB934">
        <v>3</v>
      </c>
      <c r="AC934">
        <v>0</v>
      </c>
      <c r="AD934">
        <v>10</v>
      </c>
      <c r="AE934">
        <v>0</v>
      </c>
      <c r="AF934">
        <v>3</v>
      </c>
      <c r="AG934">
        <v>2</v>
      </c>
      <c r="AH934">
        <v>0</v>
      </c>
      <c r="AI934" t="s">
        <v>742</v>
      </c>
      <c r="AJ934">
        <v>39.689698</v>
      </c>
      <c r="AK934" t="s">
        <v>743</v>
      </c>
      <c r="AL934">
        <v>-92.521361999999996</v>
      </c>
      <c r="AM934">
        <v>100</v>
      </c>
      <c r="AN934">
        <v>1700</v>
      </c>
      <c r="AO934" t="s">
        <v>118</v>
      </c>
      <c r="AP934">
        <v>-32</v>
      </c>
      <c r="AQ934">
        <v>122</v>
      </c>
      <c r="AR934">
        <v>0</v>
      </c>
      <c r="AZ934">
        <v>1200</v>
      </c>
      <c r="BA934">
        <v>1</v>
      </c>
      <c r="BB934" t="str">
        <f t="shared" si="45"/>
        <v xml:space="preserve">N8080G  </v>
      </c>
      <c r="BC934">
        <v>1</v>
      </c>
      <c r="BE934">
        <v>0</v>
      </c>
      <c r="BF934">
        <v>0</v>
      </c>
      <c r="BG934">
        <v>0</v>
      </c>
      <c r="BH934">
        <v>1675</v>
      </c>
      <c r="BI934">
        <v>1</v>
      </c>
      <c r="BJ934">
        <v>1</v>
      </c>
      <c r="BK934">
        <v>1</v>
      </c>
      <c r="BL934">
        <v>0</v>
      </c>
      <c r="BO934">
        <v>0</v>
      </c>
      <c r="BP934">
        <v>0</v>
      </c>
      <c r="BW934" t="str">
        <f>"20:17:02.667"</f>
        <v>20:17:02.667</v>
      </c>
      <c r="BZ934">
        <v>0</v>
      </c>
      <c r="CA934">
        <v>2016</v>
      </c>
      <c r="CB934">
        <v>224</v>
      </c>
      <c r="CD934">
        <v>1</v>
      </c>
      <c r="CE934">
        <v>0</v>
      </c>
      <c r="CF934">
        <v>0</v>
      </c>
      <c r="CG934">
        <v>1</v>
      </c>
      <c r="CH934">
        <v>0</v>
      </c>
      <c r="CI934">
        <v>0</v>
      </c>
      <c r="CJ934">
        <v>0</v>
      </c>
      <c r="CK934">
        <v>2</v>
      </c>
      <c r="CL934">
        <v>0</v>
      </c>
      <c r="CM934">
        <v>2</v>
      </c>
      <c r="CN934">
        <v>0</v>
      </c>
      <c r="CO934">
        <v>7</v>
      </c>
      <c r="CP934" t="s">
        <v>119</v>
      </c>
      <c r="CQ934">
        <v>180</v>
      </c>
      <c r="CR934">
        <v>2</v>
      </c>
      <c r="CW934">
        <v>8018158</v>
      </c>
      <c r="CY934">
        <v>1</v>
      </c>
      <c r="CZ934">
        <v>0</v>
      </c>
      <c r="DA934">
        <v>1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</row>
    <row r="935" spans="1:113" x14ac:dyDescent="0.3">
      <c r="A935" t="str">
        <f>"02/08/2021 20:17:02.984"</f>
        <v>02/08/2021 20:17:02.984</v>
      </c>
      <c r="C935" t="str">
        <f t="shared" si="44"/>
        <v>FFDFD7C0</v>
      </c>
      <c r="D935" t="s">
        <v>124</v>
      </c>
      <c r="E935">
        <v>13</v>
      </c>
      <c r="F935">
        <v>1013</v>
      </c>
      <c r="G935" t="s">
        <v>114</v>
      </c>
      <c r="J935" t="s">
        <v>125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>"20:17:05.289"</f>
        <v>20:17:05.289</v>
      </c>
      <c r="T935" t="str">
        <f>"20:17:04.789"</f>
        <v>20:17:04.789</v>
      </c>
      <c r="U935" t="str">
        <f t="shared" si="43"/>
        <v>AB01F4</v>
      </c>
      <c r="V935">
        <v>0</v>
      </c>
      <c r="W935">
        <v>0</v>
      </c>
      <c r="X935">
        <v>2</v>
      </c>
      <c r="Z935">
        <v>0</v>
      </c>
      <c r="AA935">
        <v>9</v>
      </c>
      <c r="AB935">
        <v>3</v>
      </c>
      <c r="AC935">
        <v>0</v>
      </c>
      <c r="AD935">
        <v>10</v>
      </c>
      <c r="AE935">
        <v>0</v>
      </c>
      <c r="AF935">
        <v>3</v>
      </c>
      <c r="AG935">
        <v>2</v>
      </c>
      <c r="AH935">
        <v>0</v>
      </c>
      <c r="AI935" t="s">
        <v>744</v>
      </c>
      <c r="AJ935">
        <v>39.691136</v>
      </c>
      <c r="AK935" t="s">
        <v>745</v>
      </c>
      <c r="AL935">
        <v>-92.521856</v>
      </c>
      <c r="AM935">
        <v>100</v>
      </c>
      <c r="AN935">
        <v>1700</v>
      </c>
      <c r="AO935" t="s">
        <v>118</v>
      </c>
      <c r="AP935">
        <v>-33</v>
      </c>
      <c r="AQ935">
        <v>122</v>
      </c>
      <c r="AR935">
        <v>0</v>
      </c>
      <c r="AZ935">
        <v>1200</v>
      </c>
      <c r="BA935">
        <v>1</v>
      </c>
      <c r="BB935" t="str">
        <f t="shared" si="45"/>
        <v xml:space="preserve">N8080G  </v>
      </c>
      <c r="BC935">
        <v>1</v>
      </c>
      <c r="BE935">
        <v>0</v>
      </c>
      <c r="BF935">
        <v>0</v>
      </c>
      <c r="BG935">
        <v>0</v>
      </c>
      <c r="BH935">
        <v>1675</v>
      </c>
      <c r="BI935">
        <v>1</v>
      </c>
      <c r="BJ935">
        <v>1</v>
      </c>
      <c r="BK935">
        <v>1</v>
      </c>
      <c r="BL935">
        <v>0</v>
      </c>
      <c r="BO935">
        <v>0</v>
      </c>
      <c r="BP935">
        <v>0</v>
      </c>
      <c r="BW935" t="str">
        <f>"20:17:05.290"</f>
        <v>20:17:05.290</v>
      </c>
      <c r="BZ935">
        <v>0</v>
      </c>
      <c r="CA935">
        <v>2016</v>
      </c>
      <c r="CB935">
        <v>224</v>
      </c>
      <c r="CD935">
        <v>1</v>
      </c>
      <c r="CE935">
        <v>0</v>
      </c>
      <c r="CF935">
        <v>0</v>
      </c>
      <c r="CG935">
        <v>1</v>
      </c>
      <c r="CH935">
        <v>0</v>
      </c>
      <c r="CI935">
        <v>0</v>
      </c>
      <c r="CJ935">
        <v>0</v>
      </c>
      <c r="CK935">
        <v>2</v>
      </c>
      <c r="CL935">
        <v>0</v>
      </c>
      <c r="CM935">
        <v>2</v>
      </c>
      <c r="CN935">
        <v>0</v>
      </c>
      <c r="CO935">
        <v>7</v>
      </c>
      <c r="CP935" t="s">
        <v>119</v>
      </c>
      <c r="CQ935">
        <v>180</v>
      </c>
      <c r="CR935">
        <v>2</v>
      </c>
      <c r="CW935">
        <v>8020407</v>
      </c>
      <c r="CY935">
        <v>1</v>
      </c>
      <c r="CZ935">
        <v>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</row>
    <row r="936" spans="1:113" x14ac:dyDescent="0.3">
      <c r="A936" t="str">
        <f>"02/08/2021 20:17:02.984"</f>
        <v>02/08/2021 20:17:02.984</v>
      </c>
      <c r="C936" t="str">
        <f t="shared" si="44"/>
        <v>FFDFD7C0</v>
      </c>
      <c r="D936" t="s">
        <v>124</v>
      </c>
      <c r="E936">
        <v>12</v>
      </c>
      <c r="F936">
        <v>1012</v>
      </c>
      <c r="G936" t="s">
        <v>675</v>
      </c>
      <c r="J936" t="s">
        <v>125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>"20:17:05.289"</f>
        <v>20:17:05.289</v>
      </c>
      <c r="T936" t="str">
        <f>"20:17:04.789"</f>
        <v>20:17:04.789</v>
      </c>
      <c r="U936" t="str">
        <f t="shared" si="43"/>
        <v>AB01F4</v>
      </c>
      <c r="V936">
        <v>0</v>
      </c>
      <c r="W936">
        <v>0</v>
      </c>
      <c r="X936">
        <v>2</v>
      </c>
      <c r="Z936">
        <v>0</v>
      </c>
      <c r="AA936">
        <v>9</v>
      </c>
      <c r="AB936">
        <v>3</v>
      </c>
      <c r="AC936">
        <v>0</v>
      </c>
      <c r="AD936">
        <v>10</v>
      </c>
      <c r="AE936">
        <v>0</v>
      </c>
      <c r="AF936">
        <v>3</v>
      </c>
      <c r="AG936">
        <v>2</v>
      </c>
      <c r="AH936">
        <v>0</v>
      </c>
      <c r="AI936" t="s">
        <v>744</v>
      </c>
      <c r="AJ936">
        <v>39.691136</v>
      </c>
      <c r="AK936" t="s">
        <v>745</v>
      </c>
      <c r="AL936">
        <v>-92.521856</v>
      </c>
      <c r="AM936">
        <v>100</v>
      </c>
      <c r="AN936">
        <v>1700</v>
      </c>
      <c r="AO936" t="s">
        <v>118</v>
      </c>
      <c r="AP936">
        <v>-33</v>
      </c>
      <c r="AQ936">
        <v>122</v>
      </c>
      <c r="AR936">
        <v>0</v>
      </c>
      <c r="AZ936">
        <v>1200</v>
      </c>
      <c r="BA936">
        <v>1</v>
      </c>
      <c r="BB936" t="str">
        <f t="shared" si="45"/>
        <v xml:space="preserve">N8080G  </v>
      </c>
      <c r="BC936">
        <v>1</v>
      </c>
      <c r="BE936">
        <v>0</v>
      </c>
      <c r="BF936">
        <v>0</v>
      </c>
      <c r="BG936">
        <v>0</v>
      </c>
      <c r="BH936">
        <v>1675</v>
      </c>
      <c r="BI936">
        <v>1</v>
      </c>
      <c r="BJ936">
        <v>1</v>
      </c>
      <c r="BK936">
        <v>1</v>
      </c>
      <c r="BL936">
        <v>0</v>
      </c>
      <c r="BO936">
        <v>0</v>
      </c>
      <c r="BP936">
        <v>0</v>
      </c>
      <c r="BW936" t="str">
        <f>"20:17:05.290"</f>
        <v>20:17:05.290</v>
      </c>
      <c r="BZ936">
        <v>0</v>
      </c>
      <c r="CA936">
        <v>2016</v>
      </c>
      <c r="CB936">
        <v>224</v>
      </c>
      <c r="CD936">
        <v>1</v>
      </c>
      <c r="CE936">
        <v>0</v>
      </c>
      <c r="CF936">
        <v>0</v>
      </c>
      <c r="CG936">
        <v>1</v>
      </c>
      <c r="CH936">
        <v>0</v>
      </c>
      <c r="CI936">
        <v>0</v>
      </c>
      <c r="CJ936">
        <v>0</v>
      </c>
      <c r="CK936">
        <v>2</v>
      </c>
      <c r="CL936">
        <v>0</v>
      </c>
      <c r="CM936">
        <v>2</v>
      </c>
      <c r="CN936">
        <v>0</v>
      </c>
      <c r="CO936">
        <v>7</v>
      </c>
      <c r="CP936" t="s">
        <v>119</v>
      </c>
      <c r="CQ936">
        <v>180</v>
      </c>
      <c r="CR936">
        <v>2</v>
      </c>
      <c r="CW936">
        <v>8020407</v>
      </c>
      <c r="CY936">
        <v>1</v>
      </c>
      <c r="CZ936">
        <v>0</v>
      </c>
      <c r="DA936">
        <v>1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</row>
    <row r="937" spans="1:113" x14ac:dyDescent="0.3">
      <c r="A937" t="str">
        <f>"02/08/2021 20:17:02.984"</f>
        <v>02/08/2021 20:17:02.984</v>
      </c>
      <c r="C937" t="str">
        <f t="shared" si="44"/>
        <v>FFDFD7C0</v>
      </c>
      <c r="D937" t="s">
        <v>113</v>
      </c>
      <c r="E937">
        <v>6</v>
      </c>
      <c r="H937">
        <v>165</v>
      </c>
      <c r="I937" t="s">
        <v>114</v>
      </c>
      <c r="J937" t="s">
        <v>115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>"20:17:05.289"</f>
        <v>20:17:05.289</v>
      </c>
      <c r="T937" t="str">
        <f>"20:17:04.789"</f>
        <v>20:17:04.789</v>
      </c>
      <c r="U937" t="str">
        <f t="shared" si="43"/>
        <v>AB01F4</v>
      </c>
      <c r="V937">
        <v>0</v>
      </c>
      <c r="W937">
        <v>0</v>
      </c>
      <c r="X937">
        <v>2</v>
      </c>
      <c r="Z937">
        <v>0</v>
      </c>
      <c r="AA937">
        <v>9</v>
      </c>
      <c r="AB937">
        <v>3</v>
      </c>
      <c r="AC937">
        <v>0</v>
      </c>
      <c r="AD937">
        <v>10</v>
      </c>
      <c r="AE937">
        <v>0</v>
      </c>
      <c r="AF937">
        <v>3</v>
      </c>
      <c r="AG937">
        <v>2</v>
      </c>
      <c r="AH937">
        <v>0</v>
      </c>
      <c r="AI937" t="s">
        <v>744</v>
      </c>
      <c r="AJ937">
        <v>39.691136</v>
      </c>
      <c r="AK937" t="s">
        <v>745</v>
      </c>
      <c r="AL937">
        <v>-92.521856</v>
      </c>
      <c r="AM937">
        <v>100</v>
      </c>
      <c r="AN937">
        <v>1700</v>
      </c>
      <c r="AO937" t="s">
        <v>118</v>
      </c>
      <c r="AP937">
        <v>-33</v>
      </c>
      <c r="AQ937">
        <v>122</v>
      </c>
      <c r="AR937">
        <v>0</v>
      </c>
      <c r="AZ937">
        <v>1200</v>
      </c>
      <c r="BA937">
        <v>1</v>
      </c>
      <c r="BB937" t="str">
        <f t="shared" si="45"/>
        <v xml:space="preserve">N8080G  </v>
      </c>
      <c r="BC937">
        <v>1</v>
      </c>
      <c r="BE937">
        <v>0</v>
      </c>
      <c r="BF937">
        <v>0</v>
      </c>
      <c r="BG937">
        <v>0</v>
      </c>
      <c r="BH937">
        <v>1675</v>
      </c>
      <c r="BI937">
        <v>1</v>
      </c>
      <c r="BJ937">
        <v>1</v>
      </c>
      <c r="BK937">
        <v>1</v>
      </c>
      <c r="BL937">
        <v>0</v>
      </c>
      <c r="BO937">
        <v>0</v>
      </c>
      <c r="BP937">
        <v>0</v>
      </c>
      <c r="BW937" t="str">
        <f>"20:17:05.290"</f>
        <v>20:17:05.290</v>
      </c>
      <c r="BZ937">
        <v>0</v>
      </c>
      <c r="CA937">
        <v>2016</v>
      </c>
      <c r="CB937">
        <v>224</v>
      </c>
      <c r="CD937">
        <v>1</v>
      </c>
      <c r="CE937">
        <v>0</v>
      </c>
      <c r="CF937">
        <v>0</v>
      </c>
      <c r="CG937">
        <v>1</v>
      </c>
      <c r="CH937">
        <v>0</v>
      </c>
      <c r="CI937">
        <v>0</v>
      </c>
      <c r="CJ937">
        <v>0</v>
      </c>
      <c r="CK937">
        <v>2</v>
      </c>
      <c r="CL937">
        <v>0</v>
      </c>
      <c r="CM937">
        <v>2</v>
      </c>
      <c r="CN937">
        <v>0</v>
      </c>
      <c r="CO937">
        <v>7</v>
      </c>
      <c r="CP937" t="s">
        <v>119</v>
      </c>
      <c r="CQ937">
        <v>180</v>
      </c>
      <c r="CR937">
        <v>2</v>
      </c>
      <c r="CW937">
        <v>8020407</v>
      </c>
      <c r="CY937">
        <v>1</v>
      </c>
      <c r="CZ937">
        <v>0</v>
      </c>
      <c r="DA937">
        <v>1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</row>
    <row r="938" spans="1:113" x14ac:dyDescent="0.3">
      <c r="A938" t="str">
        <f>"02/08/2021 20:17:02.984"</f>
        <v>02/08/2021 20:17:02.984</v>
      </c>
      <c r="C938" t="str">
        <f t="shared" si="44"/>
        <v>FFDFD7C0</v>
      </c>
      <c r="D938" t="s">
        <v>124</v>
      </c>
      <c r="E938">
        <v>11</v>
      </c>
      <c r="F938">
        <v>1011</v>
      </c>
      <c r="G938" t="s">
        <v>590</v>
      </c>
      <c r="J938" t="s">
        <v>125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>"20:17:05.289"</f>
        <v>20:17:05.289</v>
      </c>
      <c r="T938" t="str">
        <f>"20:17:04.789"</f>
        <v>20:17:04.789</v>
      </c>
      <c r="U938" t="str">
        <f t="shared" si="43"/>
        <v>AB01F4</v>
      </c>
      <c r="V938">
        <v>0</v>
      </c>
      <c r="W938">
        <v>0</v>
      </c>
      <c r="X938">
        <v>2</v>
      </c>
      <c r="Z938">
        <v>0</v>
      </c>
      <c r="AA938">
        <v>9</v>
      </c>
      <c r="AB938">
        <v>3</v>
      </c>
      <c r="AC938">
        <v>0</v>
      </c>
      <c r="AD938">
        <v>10</v>
      </c>
      <c r="AE938">
        <v>0</v>
      </c>
      <c r="AF938">
        <v>3</v>
      </c>
      <c r="AG938">
        <v>2</v>
      </c>
      <c r="AH938">
        <v>0</v>
      </c>
      <c r="AI938" t="s">
        <v>744</v>
      </c>
      <c r="AJ938">
        <v>39.691136</v>
      </c>
      <c r="AK938" t="s">
        <v>745</v>
      </c>
      <c r="AL938">
        <v>-92.521856</v>
      </c>
      <c r="AM938">
        <v>100</v>
      </c>
      <c r="AN938">
        <v>1700</v>
      </c>
      <c r="AO938" t="s">
        <v>118</v>
      </c>
      <c r="AP938">
        <v>-33</v>
      </c>
      <c r="AQ938">
        <v>122</v>
      </c>
      <c r="AR938">
        <v>0</v>
      </c>
      <c r="AZ938">
        <v>1200</v>
      </c>
      <c r="BA938">
        <v>1</v>
      </c>
      <c r="BB938" t="str">
        <f t="shared" si="45"/>
        <v xml:space="preserve">N8080G  </v>
      </c>
      <c r="BC938">
        <v>1</v>
      </c>
      <c r="BE938">
        <v>0</v>
      </c>
      <c r="BF938">
        <v>0</v>
      </c>
      <c r="BG938">
        <v>0</v>
      </c>
      <c r="BH938">
        <v>1675</v>
      </c>
      <c r="BI938">
        <v>1</v>
      </c>
      <c r="BJ938">
        <v>1</v>
      </c>
      <c r="BK938">
        <v>1</v>
      </c>
      <c r="BL938">
        <v>0</v>
      </c>
      <c r="BO938">
        <v>0</v>
      </c>
      <c r="BP938">
        <v>0</v>
      </c>
      <c r="BW938" t="str">
        <f>"20:17:05.290"</f>
        <v>20:17:05.290</v>
      </c>
      <c r="BZ938">
        <v>0</v>
      </c>
      <c r="CA938">
        <v>2016</v>
      </c>
      <c r="CB938">
        <v>224</v>
      </c>
      <c r="CD938">
        <v>1</v>
      </c>
      <c r="CE938">
        <v>0</v>
      </c>
      <c r="CF938">
        <v>0</v>
      </c>
      <c r="CG938">
        <v>1</v>
      </c>
      <c r="CH938">
        <v>0</v>
      </c>
      <c r="CI938">
        <v>0</v>
      </c>
      <c r="CJ938">
        <v>0</v>
      </c>
      <c r="CK938">
        <v>2</v>
      </c>
      <c r="CL938">
        <v>0</v>
      </c>
      <c r="CM938">
        <v>2</v>
      </c>
      <c r="CN938">
        <v>0</v>
      </c>
      <c r="CO938">
        <v>7</v>
      </c>
      <c r="CP938" t="s">
        <v>119</v>
      </c>
      <c r="CQ938">
        <v>180</v>
      </c>
      <c r="CR938">
        <v>2</v>
      </c>
      <c r="CW938">
        <v>8020407</v>
      </c>
      <c r="CY938">
        <v>1</v>
      </c>
      <c r="CZ938">
        <v>0</v>
      </c>
      <c r="DA938">
        <v>1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</row>
    <row r="939" spans="1:113" x14ac:dyDescent="0.3">
      <c r="A939" t="str">
        <f>"02/08/2021 20:17:04.396"</f>
        <v>02/08/2021 20:17:04.396</v>
      </c>
      <c r="C939" t="str">
        <f t="shared" si="44"/>
        <v>FFDFD7C0</v>
      </c>
      <c r="D939" t="s">
        <v>124</v>
      </c>
      <c r="E939">
        <v>13</v>
      </c>
      <c r="F939">
        <v>1013</v>
      </c>
      <c r="G939" t="s">
        <v>114</v>
      </c>
      <c r="J939" t="s">
        <v>125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>"20:17:06.727"</f>
        <v>20:17:06.727</v>
      </c>
      <c r="T939" t="str">
        <f>"20:17:06.227"</f>
        <v>20:17:06.227</v>
      </c>
      <c r="U939" t="str">
        <f t="shared" si="43"/>
        <v>AB01F4</v>
      </c>
      <c r="V939">
        <v>0</v>
      </c>
      <c r="W939">
        <v>0</v>
      </c>
      <c r="X939">
        <v>2</v>
      </c>
      <c r="Z939">
        <v>0</v>
      </c>
      <c r="AA939">
        <v>9</v>
      </c>
      <c r="AB939">
        <v>3</v>
      </c>
      <c r="AC939">
        <v>0</v>
      </c>
      <c r="AD939">
        <v>10</v>
      </c>
      <c r="AE939">
        <v>0</v>
      </c>
      <c r="AF939">
        <v>3</v>
      </c>
      <c r="AG939">
        <v>2</v>
      </c>
      <c r="AH939">
        <v>0</v>
      </c>
      <c r="AI939" t="s">
        <v>746</v>
      </c>
      <c r="AJ939">
        <v>39.691994000000001</v>
      </c>
      <c r="AK939" t="s">
        <v>747</v>
      </c>
      <c r="AL939">
        <v>-92.522135000000006</v>
      </c>
      <c r="AM939">
        <v>100</v>
      </c>
      <c r="AN939">
        <v>1700</v>
      </c>
      <c r="AO939" t="s">
        <v>118</v>
      </c>
      <c r="AP939">
        <v>-33</v>
      </c>
      <c r="AQ939">
        <v>122</v>
      </c>
      <c r="AR939">
        <v>128</v>
      </c>
      <c r="AZ939">
        <v>1200</v>
      </c>
      <c r="BA939">
        <v>1</v>
      </c>
      <c r="BB939" t="str">
        <f t="shared" si="45"/>
        <v xml:space="preserve">N8080G  </v>
      </c>
      <c r="BC939">
        <v>1</v>
      </c>
      <c r="BE939">
        <v>0</v>
      </c>
      <c r="BF939">
        <v>0</v>
      </c>
      <c r="BG939">
        <v>0</v>
      </c>
      <c r="BH939">
        <v>1675</v>
      </c>
      <c r="BI939">
        <v>1</v>
      </c>
      <c r="BJ939">
        <v>1</v>
      </c>
      <c r="BK939">
        <v>1</v>
      </c>
      <c r="BL939">
        <v>0</v>
      </c>
      <c r="BO939">
        <v>0</v>
      </c>
      <c r="BP939">
        <v>0</v>
      </c>
      <c r="BW939" t="str">
        <f>"20:17:06.727"</f>
        <v>20:17:06.727</v>
      </c>
      <c r="BZ939">
        <v>0</v>
      </c>
      <c r="CA939">
        <v>2016</v>
      </c>
      <c r="CB939">
        <v>224</v>
      </c>
      <c r="CD939">
        <v>1</v>
      </c>
      <c r="CE939">
        <v>0</v>
      </c>
      <c r="CF939">
        <v>0</v>
      </c>
      <c r="CG939">
        <v>1</v>
      </c>
      <c r="CH939">
        <v>0</v>
      </c>
      <c r="CI939">
        <v>0</v>
      </c>
      <c r="CJ939">
        <v>0</v>
      </c>
      <c r="CK939">
        <v>2</v>
      </c>
      <c r="CL939">
        <v>0</v>
      </c>
      <c r="CM939">
        <v>2</v>
      </c>
      <c r="CN939">
        <v>0</v>
      </c>
      <c r="CO939">
        <v>7</v>
      </c>
      <c r="CP939" t="s">
        <v>119</v>
      </c>
      <c r="CQ939">
        <v>180</v>
      </c>
      <c r="CR939">
        <v>2</v>
      </c>
      <c r="CW939">
        <v>8021625</v>
      </c>
      <c r="CY939">
        <v>1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</row>
    <row r="940" spans="1:113" x14ac:dyDescent="0.3">
      <c r="A940" t="str">
        <f>"02/08/2021 20:17:04.396"</f>
        <v>02/08/2021 20:17:04.396</v>
      </c>
      <c r="C940" t="str">
        <f t="shared" si="44"/>
        <v>FFDFD7C0</v>
      </c>
      <c r="D940" t="s">
        <v>124</v>
      </c>
      <c r="E940">
        <v>12</v>
      </c>
      <c r="F940">
        <v>1012</v>
      </c>
      <c r="G940" t="s">
        <v>675</v>
      </c>
      <c r="J940" t="s">
        <v>125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>"20:17:06.727"</f>
        <v>20:17:06.727</v>
      </c>
      <c r="T940" t="str">
        <f>"20:17:06.227"</f>
        <v>20:17:06.227</v>
      </c>
      <c r="U940" t="str">
        <f t="shared" si="43"/>
        <v>AB01F4</v>
      </c>
      <c r="V940">
        <v>0</v>
      </c>
      <c r="W940">
        <v>0</v>
      </c>
      <c r="X940">
        <v>2</v>
      </c>
      <c r="Z940">
        <v>0</v>
      </c>
      <c r="AA940">
        <v>9</v>
      </c>
      <c r="AB940">
        <v>3</v>
      </c>
      <c r="AC940">
        <v>0</v>
      </c>
      <c r="AD940">
        <v>10</v>
      </c>
      <c r="AE940">
        <v>0</v>
      </c>
      <c r="AF940">
        <v>3</v>
      </c>
      <c r="AG940">
        <v>2</v>
      </c>
      <c r="AH940">
        <v>0</v>
      </c>
      <c r="AI940" t="s">
        <v>746</v>
      </c>
      <c r="AJ940">
        <v>39.691994000000001</v>
      </c>
      <c r="AK940" t="s">
        <v>747</v>
      </c>
      <c r="AL940">
        <v>-92.522135000000006</v>
      </c>
      <c r="AM940">
        <v>100</v>
      </c>
      <c r="AN940">
        <v>1700</v>
      </c>
      <c r="AO940" t="s">
        <v>118</v>
      </c>
      <c r="AP940">
        <v>-33</v>
      </c>
      <c r="AQ940">
        <v>122</v>
      </c>
      <c r="AR940">
        <v>128</v>
      </c>
      <c r="AZ940">
        <v>1200</v>
      </c>
      <c r="BA940">
        <v>1</v>
      </c>
      <c r="BB940" t="str">
        <f t="shared" si="45"/>
        <v xml:space="preserve">N8080G  </v>
      </c>
      <c r="BC940">
        <v>1</v>
      </c>
      <c r="BE940">
        <v>0</v>
      </c>
      <c r="BF940">
        <v>0</v>
      </c>
      <c r="BG940">
        <v>0</v>
      </c>
      <c r="BH940">
        <v>1675</v>
      </c>
      <c r="BI940">
        <v>1</v>
      </c>
      <c r="BJ940">
        <v>1</v>
      </c>
      <c r="BK940">
        <v>1</v>
      </c>
      <c r="BL940">
        <v>0</v>
      </c>
      <c r="BO940">
        <v>0</v>
      </c>
      <c r="BP940">
        <v>0</v>
      </c>
      <c r="BW940" t="str">
        <f>"20:17:06.727"</f>
        <v>20:17:06.727</v>
      </c>
      <c r="BZ940">
        <v>0</v>
      </c>
      <c r="CA940">
        <v>2016</v>
      </c>
      <c r="CB940">
        <v>224</v>
      </c>
      <c r="CD940">
        <v>1</v>
      </c>
      <c r="CE940">
        <v>0</v>
      </c>
      <c r="CF940">
        <v>0</v>
      </c>
      <c r="CG940">
        <v>1</v>
      </c>
      <c r="CH940">
        <v>0</v>
      </c>
      <c r="CI940">
        <v>0</v>
      </c>
      <c r="CJ940">
        <v>0</v>
      </c>
      <c r="CK940">
        <v>2</v>
      </c>
      <c r="CL940">
        <v>0</v>
      </c>
      <c r="CM940">
        <v>2</v>
      </c>
      <c r="CN940">
        <v>0</v>
      </c>
      <c r="CO940">
        <v>7</v>
      </c>
      <c r="CP940" t="s">
        <v>119</v>
      </c>
      <c r="CQ940">
        <v>180</v>
      </c>
      <c r="CR940">
        <v>2</v>
      </c>
      <c r="CW940">
        <v>8021625</v>
      </c>
      <c r="CY940">
        <v>1</v>
      </c>
      <c r="CZ940">
        <v>0</v>
      </c>
      <c r="DA940">
        <v>1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</row>
    <row r="941" spans="1:113" x14ac:dyDescent="0.3">
      <c r="A941" t="str">
        <f>"02/08/2021 20:17:04.396"</f>
        <v>02/08/2021 20:17:04.396</v>
      </c>
      <c r="C941" t="str">
        <f t="shared" si="44"/>
        <v>FFDFD7C0</v>
      </c>
      <c r="D941" t="s">
        <v>113</v>
      </c>
      <c r="E941">
        <v>6</v>
      </c>
      <c r="H941">
        <v>165</v>
      </c>
      <c r="I941" t="s">
        <v>114</v>
      </c>
      <c r="J941" t="s">
        <v>115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>"20:17:06.727"</f>
        <v>20:17:06.727</v>
      </c>
      <c r="T941" t="str">
        <f>"20:17:06.227"</f>
        <v>20:17:06.227</v>
      </c>
      <c r="U941" t="str">
        <f t="shared" si="43"/>
        <v>AB01F4</v>
      </c>
      <c r="V941">
        <v>0</v>
      </c>
      <c r="W941">
        <v>0</v>
      </c>
      <c r="X941">
        <v>2</v>
      </c>
      <c r="Z941">
        <v>0</v>
      </c>
      <c r="AA941">
        <v>9</v>
      </c>
      <c r="AB941">
        <v>3</v>
      </c>
      <c r="AC941">
        <v>0</v>
      </c>
      <c r="AD941">
        <v>10</v>
      </c>
      <c r="AE941">
        <v>0</v>
      </c>
      <c r="AF941">
        <v>3</v>
      </c>
      <c r="AG941">
        <v>2</v>
      </c>
      <c r="AH941">
        <v>0</v>
      </c>
      <c r="AI941" t="s">
        <v>746</v>
      </c>
      <c r="AJ941">
        <v>39.691994000000001</v>
      </c>
      <c r="AK941" t="s">
        <v>747</v>
      </c>
      <c r="AL941">
        <v>-92.522135000000006</v>
      </c>
      <c r="AM941">
        <v>100</v>
      </c>
      <c r="AN941">
        <v>1700</v>
      </c>
      <c r="AO941" t="s">
        <v>118</v>
      </c>
      <c r="AP941">
        <v>-33</v>
      </c>
      <c r="AQ941">
        <v>122</v>
      </c>
      <c r="AR941">
        <v>128</v>
      </c>
      <c r="AZ941">
        <v>1200</v>
      </c>
      <c r="BA941">
        <v>1</v>
      </c>
      <c r="BB941" t="str">
        <f t="shared" si="45"/>
        <v xml:space="preserve">N8080G  </v>
      </c>
      <c r="BC941">
        <v>1</v>
      </c>
      <c r="BE941">
        <v>0</v>
      </c>
      <c r="BF941">
        <v>0</v>
      </c>
      <c r="BG941">
        <v>0</v>
      </c>
      <c r="BH941">
        <v>1675</v>
      </c>
      <c r="BI941">
        <v>1</v>
      </c>
      <c r="BJ941">
        <v>1</v>
      </c>
      <c r="BK941">
        <v>1</v>
      </c>
      <c r="BL941">
        <v>0</v>
      </c>
      <c r="BO941">
        <v>0</v>
      </c>
      <c r="BP941">
        <v>0</v>
      </c>
      <c r="BW941" t="str">
        <f>"20:17:06.727"</f>
        <v>20:17:06.727</v>
      </c>
      <c r="BZ941">
        <v>0</v>
      </c>
      <c r="CA941">
        <v>2016</v>
      </c>
      <c r="CB941">
        <v>224</v>
      </c>
      <c r="CD941">
        <v>1</v>
      </c>
      <c r="CE941">
        <v>0</v>
      </c>
      <c r="CF941">
        <v>0</v>
      </c>
      <c r="CG941">
        <v>1</v>
      </c>
      <c r="CH941">
        <v>0</v>
      </c>
      <c r="CI941">
        <v>0</v>
      </c>
      <c r="CJ941">
        <v>0</v>
      </c>
      <c r="CK941">
        <v>2</v>
      </c>
      <c r="CL941">
        <v>0</v>
      </c>
      <c r="CM941">
        <v>2</v>
      </c>
      <c r="CN941">
        <v>0</v>
      </c>
      <c r="CO941">
        <v>7</v>
      </c>
      <c r="CP941" t="s">
        <v>119</v>
      </c>
      <c r="CQ941">
        <v>180</v>
      </c>
      <c r="CR941">
        <v>2</v>
      </c>
      <c r="CW941">
        <v>8021625</v>
      </c>
      <c r="CY941">
        <v>1</v>
      </c>
      <c r="CZ941">
        <v>0</v>
      </c>
      <c r="DA941">
        <v>1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</row>
    <row r="942" spans="1:113" x14ac:dyDescent="0.3">
      <c r="A942" t="str">
        <f>"02/08/2021 20:17:04.396"</f>
        <v>02/08/2021 20:17:04.396</v>
      </c>
      <c r="C942" t="str">
        <f t="shared" si="44"/>
        <v>FFDFD7C0</v>
      </c>
      <c r="D942" t="s">
        <v>124</v>
      </c>
      <c r="E942">
        <v>11</v>
      </c>
      <c r="F942">
        <v>1011</v>
      </c>
      <c r="G942" t="s">
        <v>590</v>
      </c>
      <c r="J942" t="s">
        <v>125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>"20:17:06.727"</f>
        <v>20:17:06.727</v>
      </c>
      <c r="T942" t="str">
        <f>"20:17:06.227"</f>
        <v>20:17:06.227</v>
      </c>
      <c r="U942" t="str">
        <f t="shared" si="43"/>
        <v>AB01F4</v>
      </c>
      <c r="V942">
        <v>0</v>
      </c>
      <c r="W942">
        <v>0</v>
      </c>
      <c r="X942">
        <v>2</v>
      </c>
      <c r="Z942">
        <v>0</v>
      </c>
      <c r="AA942">
        <v>9</v>
      </c>
      <c r="AB942">
        <v>3</v>
      </c>
      <c r="AC942">
        <v>0</v>
      </c>
      <c r="AD942">
        <v>10</v>
      </c>
      <c r="AE942">
        <v>0</v>
      </c>
      <c r="AF942">
        <v>3</v>
      </c>
      <c r="AG942">
        <v>2</v>
      </c>
      <c r="AH942">
        <v>0</v>
      </c>
      <c r="AI942" t="s">
        <v>746</v>
      </c>
      <c r="AJ942">
        <v>39.691994000000001</v>
      </c>
      <c r="AK942" t="s">
        <v>747</v>
      </c>
      <c r="AL942">
        <v>-92.522135000000006</v>
      </c>
      <c r="AM942">
        <v>100</v>
      </c>
      <c r="AN942">
        <v>1700</v>
      </c>
      <c r="AO942" t="s">
        <v>118</v>
      </c>
      <c r="AP942">
        <v>-33</v>
      </c>
      <c r="AQ942">
        <v>122</v>
      </c>
      <c r="AR942">
        <v>128</v>
      </c>
      <c r="AZ942">
        <v>1200</v>
      </c>
      <c r="BA942">
        <v>1</v>
      </c>
      <c r="BB942" t="str">
        <f t="shared" si="45"/>
        <v xml:space="preserve">N8080G  </v>
      </c>
      <c r="BC942">
        <v>1</v>
      </c>
      <c r="BE942">
        <v>0</v>
      </c>
      <c r="BF942">
        <v>0</v>
      </c>
      <c r="BG942">
        <v>0</v>
      </c>
      <c r="BH942">
        <v>1675</v>
      </c>
      <c r="BI942">
        <v>1</v>
      </c>
      <c r="BJ942">
        <v>1</v>
      </c>
      <c r="BK942">
        <v>1</v>
      </c>
      <c r="BL942">
        <v>0</v>
      </c>
      <c r="BO942">
        <v>0</v>
      </c>
      <c r="BP942">
        <v>0</v>
      </c>
      <c r="BW942" t="str">
        <f>"20:17:06.727"</f>
        <v>20:17:06.727</v>
      </c>
      <c r="BZ942">
        <v>0</v>
      </c>
      <c r="CA942">
        <v>2016</v>
      </c>
      <c r="CB942">
        <v>224</v>
      </c>
      <c r="CD942">
        <v>1</v>
      </c>
      <c r="CE942">
        <v>0</v>
      </c>
      <c r="CF942">
        <v>0</v>
      </c>
      <c r="CG942">
        <v>1</v>
      </c>
      <c r="CH942">
        <v>0</v>
      </c>
      <c r="CI942">
        <v>0</v>
      </c>
      <c r="CJ942">
        <v>0</v>
      </c>
      <c r="CK942">
        <v>2</v>
      </c>
      <c r="CL942">
        <v>0</v>
      </c>
      <c r="CM942">
        <v>2</v>
      </c>
      <c r="CN942">
        <v>0</v>
      </c>
      <c r="CO942">
        <v>7</v>
      </c>
      <c r="CP942" t="s">
        <v>119</v>
      </c>
      <c r="CQ942">
        <v>180</v>
      </c>
      <c r="CR942">
        <v>2</v>
      </c>
      <c r="CW942">
        <v>8021625</v>
      </c>
      <c r="CY942">
        <v>1</v>
      </c>
      <c r="CZ942">
        <v>0</v>
      </c>
      <c r="DA942">
        <v>1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</row>
    <row r="943" spans="1:113" x14ac:dyDescent="0.3">
      <c r="A943" t="str">
        <f>"02/08/2021 20:17:05.488"</f>
        <v>02/08/2021 20:17:05.488</v>
      </c>
      <c r="C943" t="str">
        <f t="shared" si="44"/>
        <v>FFDFD7C0</v>
      </c>
      <c r="D943" t="s">
        <v>124</v>
      </c>
      <c r="E943">
        <v>11</v>
      </c>
      <c r="F943">
        <v>1011</v>
      </c>
      <c r="G943" t="s">
        <v>590</v>
      </c>
      <c r="J943" t="s">
        <v>125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>"20:17:07.797"</f>
        <v>20:17:07.797</v>
      </c>
      <c r="T943" t="str">
        <f>"20:17:07.297"</f>
        <v>20:17:07.297</v>
      </c>
      <c r="U943" t="str">
        <f t="shared" si="43"/>
        <v>AB01F4</v>
      </c>
      <c r="V943">
        <v>0</v>
      </c>
      <c r="W943">
        <v>0</v>
      </c>
      <c r="X943">
        <v>2</v>
      </c>
      <c r="Z943">
        <v>0</v>
      </c>
      <c r="AA943">
        <v>9</v>
      </c>
      <c r="AB943">
        <v>3</v>
      </c>
      <c r="AC943">
        <v>0</v>
      </c>
      <c r="AD943">
        <v>10</v>
      </c>
      <c r="AE943">
        <v>0</v>
      </c>
      <c r="AF943">
        <v>3</v>
      </c>
      <c r="AG943">
        <v>2</v>
      </c>
      <c r="AH943">
        <v>0</v>
      </c>
      <c r="AI943" t="s">
        <v>748</v>
      </c>
      <c r="AJ943">
        <v>39.692551999999999</v>
      </c>
      <c r="AK943" t="s">
        <v>749</v>
      </c>
      <c r="AL943">
        <v>-92.522371000000007</v>
      </c>
      <c r="AM943">
        <v>100</v>
      </c>
      <c r="AN943">
        <v>1700</v>
      </c>
      <c r="AO943" t="s">
        <v>118</v>
      </c>
      <c r="AP943">
        <v>-32</v>
      </c>
      <c r="AQ943">
        <v>122</v>
      </c>
      <c r="AR943">
        <v>192</v>
      </c>
      <c r="AZ943">
        <v>1200</v>
      </c>
      <c r="BA943">
        <v>1</v>
      </c>
      <c r="BB943" t="str">
        <f t="shared" si="45"/>
        <v xml:space="preserve">N8080G  </v>
      </c>
      <c r="BC943">
        <v>1</v>
      </c>
      <c r="BE943">
        <v>0</v>
      </c>
      <c r="BF943">
        <v>0</v>
      </c>
      <c r="BG943">
        <v>0</v>
      </c>
      <c r="BH943">
        <v>1700</v>
      </c>
      <c r="BI943">
        <v>1</v>
      </c>
      <c r="BJ943">
        <v>1</v>
      </c>
      <c r="BK943">
        <v>1</v>
      </c>
      <c r="BL943">
        <v>0</v>
      </c>
      <c r="BO943">
        <v>0</v>
      </c>
      <c r="BP943">
        <v>0</v>
      </c>
      <c r="BW943" t="str">
        <f>"20:17:07.799"</f>
        <v>20:17:07.799</v>
      </c>
      <c r="BZ943">
        <v>0</v>
      </c>
      <c r="CA943">
        <v>2016</v>
      </c>
      <c r="CB943">
        <v>224</v>
      </c>
      <c r="CD943">
        <v>1</v>
      </c>
      <c r="CE943">
        <v>0</v>
      </c>
      <c r="CF943">
        <v>0</v>
      </c>
      <c r="CG943">
        <v>1</v>
      </c>
      <c r="CH943">
        <v>0</v>
      </c>
      <c r="CI943">
        <v>0</v>
      </c>
      <c r="CJ943">
        <v>0</v>
      </c>
      <c r="CK943">
        <v>2</v>
      </c>
      <c r="CL943">
        <v>0</v>
      </c>
      <c r="CM943">
        <v>2</v>
      </c>
      <c r="CN943">
        <v>0</v>
      </c>
      <c r="CO943">
        <v>7</v>
      </c>
      <c r="CP943" t="s">
        <v>119</v>
      </c>
      <c r="CQ943">
        <v>180</v>
      </c>
      <c r="CR943">
        <v>2</v>
      </c>
      <c r="CW943">
        <v>8022477</v>
      </c>
      <c r="CY943">
        <v>1</v>
      </c>
      <c r="CZ943">
        <v>0</v>
      </c>
      <c r="DA943">
        <v>0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</row>
    <row r="944" spans="1:113" x14ac:dyDescent="0.3">
      <c r="A944" t="str">
        <f>"02/08/2021 20:17:05.488"</f>
        <v>02/08/2021 20:17:05.488</v>
      </c>
      <c r="C944" t="str">
        <f t="shared" si="44"/>
        <v>FFDFD7C0</v>
      </c>
      <c r="D944" t="s">
        <v>124</v>
      </c>
      <c r="E944">
        <v>13</v>
      </c>
      <c r="F944">
        <v>1013</v>
      </c>
      <c r="G944" t="s">
        <v>114</v>
      </c>
      <c r="J944" t="s">
        <v>125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>"20:17:07.797"</f>
        <v>20:17:07.797</v>
      </c>
      <c r="T944" t="str">
        <f>"20:17:07.297"</f>
        <v>20:17:07.297</v>
      </c>
      <c r="U944" t="str">
        <f t="shared" si="43"/>
        <v>AB01F4</v>
      </c>
      <c r="V944">
        <v>0</v>
      </c>
      <c r="W944">
        <v>0</v>
      </c>
      <c r="X944">
        <v>2</v>
      </c>
      <c r="Z944">
        <v>0</v>
      </c>
      <c r="AA944">
        <v>9</v>
      </c>
      <c r="AB944">
        <v>3</v>
      </c>
      <c r="AC944">
        <v>0</v>
      </c>
      <c r="AD944">
        <v>10</v>
      </c>
      <c r="AE944">
        <v>0</v>
      </c>
      <c r="AF944">
        <v>3</v>
      </c>
      <c r="AG944">
        <v>2</v>
      </c>
      <c r="AH944">
        <v>0</v>
      </c>
      <c r="AI944" t="s">
        <v>748</v>
      </c>
      <c r="AJ944">
        <v>39.692551999999999</v>
      </c>
      <c r="AK944" t="s">
        <v>749</v>
      </c>
      <c r="AL944">
        <v>-92.522371000000007</v>
      </c>
      <c r="AM944">
        <v>100</v>
      </c>
      <c r="AN944">
        <v>1700</v>
      </c>
      <c r="AO944" t="s">
        <v>118</v>
      </c>
      <c r="AP944">
        <v>-32</v>
      </c>
      <c r="AQ944">
        <v>122</v>
      </c>
      <c r="AR944">
        <v>192</v>
      </c>
      <c r="AZ944">
        <v>1200</v>
      </c>
      <c r="BA944">
        <v>1</v>
      </c>
      <c r="BB944" t="str">
        <f t="shared" si="45"/>
        <v xml:space="preserve">N8080G  </v>
      </c>
      <c r="BC944">
        <v>1</v>
      </c>
      <c r="BE944">
        <v>0</v>
      </c>
      <c r="BF944">
        <v>0</v>
      </c>
      <c r="BG944">
        <v>0</v>
      </c>
      <c r="BH944">
        <v>1700</v>
      </c>
      <c r="BI944">
        <v>1</v>
      </c>
      <c r="BJ944">
        <v>1</v>
      </c>
      <c r="BK944">
        <v>1</v>
      </c>
      <c r="BL944">
        <v>0</v>
      </c>
      <c r="BO944">
        <v>0</v>
      </c>
      <c r="BP944">
        <v>0</v>
      </c>
      <c r="BW944" t="str">
        <f>"20:17:07.799"</f>
        <v>20:17:07.799</v>
      </c>
      <c r="BZ944">
        <v>0</v>
      </c>
      <c r="CA944">
        <v>2016</v>
      </c>
      <c r="CB944">
        <v>224</v>
      </c>
      <c r="CD944">
        <v>1</v>
      </c>
      <c r="CE944">
        <v>0</v>
      </c>
      <c r="CF944">
        <v>0</v>
      </c>
      <c r="CG944">
        <v>1</v>
      </c>
      <c r="CH944">
        <v>0</v>
      </c>
      <c r="CI944">
        <v>0</v>
      </c>
      <c r="CJ944">
        <v>0</v>
      </c>
      <c r="CK944">
        <v>2</v>
      </c>
      <c r="CL944">
        <v>0</v>
      </c>
      <c r="CM944">
        <v>2</v>
      </c>
      <c r="CN944">
        <v>0</v>
      </c>
      <c r="CO944">
        <v>7</v>
      </c>
      <c r="CP944" t="s">
        <v>119</v>
      </c>
      <c r="CQ944">
        <v>180</v>
      </c>
      <c r="CR944">
        <v>2</v>
      </c>
      <c r="CW944">
        <v>8022477</v>
      </c>
      <c r="CY944">
        <v>1</v>
      </c>
      <c r="CZ944">
        <v>0</v>
      </c>
      <c r="DA944">
        <v>1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</row>
    <row r="945" spans="1:113" x14ac:dyDescent="0.3">
      <c r="A945" t="str">
        <f>"02/08/2021 20:17:05.488"</f>
        <v>02/08/2021 20:17:05.488</v>
      </c>
      <c r="C945" t="str">
        <f t="shared" si="44"/>
        <v>FFDFD7C0</v>
      </c>
      <c r="D945" t="s">
        <v>124</v>
      </c>
      <c r="E945">
        <v>12</v>
      </c>
      <c r="F945">
        <v>1012</v>
      </c>
      <c r="G945" t="s">
        <v>675</v>
      </c>
      <c r="J945" t="s">
        <v>125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>"20:17:07.797"</f>
        <v>20:17:07.797</v>
      </c>
      <c r="T945" t="str">
        <f>"20:17:07.297"</f>
        <v>20:17:07.297</v>
      </c>
      <c r="U945" t="str">
        <f t="shared" si="43"/>
        <v>AB01F4</v>
      </c>
      <c r="V945">
        <v>0</v>
      </c>
      <c r="W945">
        <v>0</v>
      </c>
      <c r="X945">
        <v>2</v>
      </c>
      <c r="Z945">
        <v>0</v>
      </c>
      <c r="AA945">
        <v>9</v>
      </c>
      <c r="AB945">
        <v>3</v>
      </c>
      <c r="AC945">
        <v>0</v>
      </c>
      <c r="AD945">
        <v>10</v>
      </c>
      <c r="AE945">
        <v>0</v>
      </c>
      <c r="AF945">
        <v>3</v>
      </c>
      <c r="AG945">
        <v>2</v>
      </c>
      <c r="AH945">
        <v>0</v>
      </c>
      <c r="AI945" t="s">
        <v>748</v>
      </c>
      <c r="AJ945">
        <v>39.692551999999999</v>
      </c>
      <c r="AK945" t="s">
        <v>749</v>
      </c>
      <c r="AL945">
        <v>-92.522371000000007</v>
      </c>
      <c r="AM945">
        <v>100</v>
      </c>
      <c r="AN945">
        <v>1700</v>
      </c>
      <c r="AO945" t="s">
        <v>118</v>
      </c>
      <c r="AP945">
        <v>-32</v>
      </c>
      <c r="AQ945">
        <v>122</v>
      </c>
      <c r="AR945">
        <v>192</v>
      </c>
      <c r="AZ945">
        <v>1200</v>
      </c>
      <c r="BA945">
        <v>1</v>
      </c>
      <c r="BB945" t="str">
        <f t="shared" si="45"/>
        <v xml:space="preserve">N8080G  </v>
      </c>
      <c r="BC945">
        <v>1</v>
      </c>
      <c r="BE945">
        <v>0</v>
      </c>
      <c r="BF945">
        <v>0</v>
      </c>
      <c r="BG945">
        <v>0</v>
      </c>
      <c r="BH945">
        <v>1700</v>
      </c>
      <c r="BI945">
        <v>1</v>
      </c>
      <c r="BJ945">
        <v>1</v>
      </c>
      <c r="BK945">
        <v>1</v>
      </c>
      <c r="BL945">
        <v>0</v>
      </c>
      <c r="BO945">
        <v>0</v>
      </c>
      <c r="BP945">
        <v>0</v>
      </c>
      <c r="BW945" t="str">
        <f>"20:17:07.799"</f>
        <v>20:17:07.799</v>
      </c>
      <c r="BZ945">
        <v>0</v>
      </c>
      <c r="CA945">
        <v>2016</v>
      </c>
      <c r="CB945">
        <v>224</v>
      </c>
      <c r="CD945">
        <v>1</v>
      </c>
      <c r="CE945">
        <v>0</v>
      </c>
      <c r="CF945">
        <v>0</v>
      </c>
      <c r="CG945">
        <v>1</v>
      </c>
      <c r="CH945">
        <v>0</v>
      </c>
      <c r="CI945">
        <v>0</v>
      </c>
      <c r="CJ945">
        <v>0</v>
      </c>
      <c r="CK945">
        <v>2</v>
      </c>
      <c r="CL945">
        <v>0</v>
      </c>
      <c r="CM945">
        <v>2</v>
      </c>
      <c r="CN945">
        <v>0</v>
      </c>
      <c r="CO945">
        <v>7</v>
      </c>
      <c r="CP945" t="s">
        <v>119</v>
      </c>
      <c r="CQ945">
        <v>180</v>
      </c>
      <c r="CR945">
        <v>2</v>
      </c>
      <c r="CW945">
        <v>8022477</v>
      </c>
      <c r="CY945">
        <v>1</v>
      </c>
      <c r="CZ945">
        <v>0</v>
      </c>
      <c r="DA945">
        <v>1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</row>
    <row r="946" spans="1:113" x14ac:dyDescent="0.3">
      <c r="A946" t="str">
        <f>"02/08/2021 20:17:05.488"</f>
        <v>02/08/2021 20:17:05.488</v>
      </c>
      <c r="C946" t="str">
        <f t="shared" si="44"/>
        <v>FFDFD7C0</v>
      </c>
      <c r="D946" t="s">
        <v>113</v>
      </c>
      <c r="E946">
        <v>6</v>
      </c>
      <c r="H946">
        <v>165</v>
      </c>
      <c r="I946" t="s">
        <v>114</v>
      </c>
      <c r="J946" t="s">
        <v>115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>"20:17:07.797"</f>
        <v>20:17:07.797</v>
      </c>
      <c r="T946" t="str">
        <f>"20:17:07.297"</f>
        <v>20:17:07.297</v>
      </c>
      <c r="U946" t="str">
        <f t="shared" si="43"/>
        <v>AB01F4</v>
      </c>
      <c r="V946">
        <v>0</v>
      </c>
      <c r="W946">
        <v>0</v>
      </c>
      <c r="X946">
        <v>2</v>
      </c>
      <c r="Z946">
        <v>0</v>
      </c>
      <c r="AA946">
        <v>9</v>
      </c>
      <c r="AB946">
        <v>3</v>
      </c>
      <c r="AC946">
        <v>0</v>
      </c>
      <c r="AD946">
        <v>10</v>
      </c>
      <c r="AE946">
        <v>0</v>
      </c>
      <c r="AF946">
        <v>3</v>
      </c>
      <c r="AG946">
        <v>2</v>
      </c>
      <c r="AH946">
        <v>0</v>
      </c>
      <c r="AI946" t="s">
        <v>748</v>
      </c>
      <c r="AJ946">
        <v>39.692551999999999</v>
      </c>
      <c r="AK946" t="s">
        <v>749</v>
      </c>
      <c r="AL946">
        <v>-92.522371000000007</v>
      </c>
      <c r="AM946">
        <v>100</v>
      </c>
      <c r="AN946">
        <v>1700</v>
      </c>
      <c r="AO946" t="s">
        <v>118</v>
      </c>
      <c r="AP946">
        <v>-32</v>
      </c>
      <c r="AQ946">
        <v>122</v>
      </c>
      <c r="AR946">
        <v>192</v>
      </c>
      <c r="AZ946">
        <v>1200</v>
      </c>
      <c r="BA946">
        <v>1</v>
      </c>
      <c r="BB946" t="str">
        <f t="shared" si="45"/>
        <v xml:space="preserve">N8080G  </v>
      </c>
      <c r="BC946">
        <v>1</v>
      </c>
      <c r="BE946">
        <v>0</v>
      </c>
      <c r="BF946">
        <v>0</v>
      </c>
      <c r="BG946">
        <v>0</v>
      </c>
      <c r="BH946">
        <v>1700</v>
      </c>
      <c r="BI946">
        <v>1</v>
      </c>
      <c r="BJ946">
        <v>1</v>
      </c>
      <c r="BK946">
        <v>1</v>
      </c>
      <c r="BL946">
        <v>0</v>
      </c>
      <c r="BO946">
        <v>0</v>
      </c>
      <c r="BP946">
        <v>0</v>
      </c>
      <c r="BW946" t="str">
        <f>"20:17:07.799"</f>
        <v>20:17:07.799</v>
      </c>
      <c r="BZ946">
        <v>0</v>
      </c>
      <c r="CA946">
        <v>2016</v>
      </c>
      <c r="CB946">
        <v>224</v>
      </c>
      <c r="CD946">
        <v>1</v>
      </c>
      <c r="CE946">
        <v>0</v>
      </c>
      <c r="CF946">
        <v>0</v>
      </c>
      <c r="CG946">
        <v>1</v>
      </c>
      <c r="CH946">
        <v>0</v>
      </c>
      <c r="CI946">
        <v>0</v>
      </c>
      <c r="CJ946">
        <v>0</v>
      </c>
      <c r="CK946">
        <v>2</v>
      </c>
      <c r="CL946">
        <v>0</v>
      </c>
      <c r="CM946">
        <v>2</v>
      </c>
      <c r="CN946">
        <v>0</v>
      </c>
      <c r="CO946">
        <v>7</v>
      </c>
      <c r="CP946" t="s">
        <v>119</v>
      </c>
      <c r="CQ946">
        <v>180</v>
      </c>
      <c r="CR946">
        <v>2</v>
      </c>
      <c r="CW946">
        <v>8022477</v>
      </c>
      <c r="CY946">
        <v>1</v>
      </c>
      <c r="CZ946">
        <v>0</v>
      </c>
      <c r="DA946">
        <v>1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</row>
    <row r="947" spans="1:113" x14ac:dyDescent="0.3">
      <c r="A947" t="str">
        <f>"02/08/2021 20:17:06.556"</f>
        <v>02/08/2021 20:17:06.556</v>
      </c>
      <c r="C947" t="str">
        <f t="shared" si="44"/>
        <v>FFDFD7C0</v>
      </c>
      <c r="D947" t="s">
        <v>124</v>
      </c>
      <c r="E947">
        <v>13</v>
      </c>
      <c r="F947">
        <v>1013</v>
      </c>
      <c r="G947" t="s">
        <v>114</v>
      </c>
      <c r="J947" t="s">
        <v>125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>"20:17:08.859"</f>
        <v>20:17:08.859</v>
      </c>
      <c r="T947" t="str">
        <f>"20:17:08.359"</f>
        <v>20:17:08.359</v>
      </c>
      <c r="U947" t="str">
        <f t="shared" si="43"/>
        <v>AB01F4</v>
      </c>
      <c r="V947">
        <v>0</v>
      </c>
      <c r="W947">
        <v>0</v>
      </c>
      <c r="X947">
        <v>2</v>
      </c>
      <c r="Z947">
        <v>0</v>
      </c>
      <c r="AA947">
        <v>9</v>
      </c>
      <c r="AB947">
        <v>3</v>
      </c>
      <c r="AC947">
        <v>0</v>
      </c>
      <c r="AD947">
        <v>10</v>
      </c>
      <c r="AE947">
        <v>0</v>
      </c>
      <c r="AF947">
        <v>3</v>
      </c>
      <c r="AG947">
        <v>2</v>
      </c>
      <c r="AH947">
        <v>0</v>
      </c>
      <c r="AI947" t="s">
        <v>750</v>
      </c>
      <c r="AJ947">
        <v>39.693173999999999</v>
      </c>
      <c r="AK947" t="s">
        <v>751</v>
      </c>
      <c r="AL947">
        <v>-92.522585000000007</v>
      </c>
      <c r="AM947">
        <v>100</v>
      </c>
      <c r="AN947">
        <v>1700</v>
      </c>
      <c r="AO947" t="s">
        <v>118</v>
      </c>
      <c r="AP947">
        <v>-32</v>
      </c>
      <c r="AQ947">
        <v>122</v>
      </c>
      <c r="AR947">
        <v>128</v>
      </c>
      <c r="AZ947">
        <v>1200</v>
      </c>
      <c r="BA947">
        <v>1</v>
      </c>
      <c r="BB947" t="str">
        <f t="shared" si="45"/>
        <v xml:space="preserve">N8080G  </v>
      </c>
      <c r="BC947">
        <v>1</v>
      </c>
      <c r="BE947">
        <v>0</v>
      </c>
      <c r="BF947">
        <v>0</v>
      </c>
      <c r="BG947">
        <v>0</v>
      </c>
      <c r="BH947">
        <v>1700</v>
      </c>
      <c r="BI947">
        <v>1</v>
      </c>
      <c r="BJ947">
        <v>1</v>
      </c>
      <c r="BK947">
        <v>1</v>
      </c>
      <c r="BL947">
        <v>0</v>
      </c>
      <c r="BO947">
        <v>0</v>
      </c>
      <c r="BP947">
        <v>0</v>
      </c>
      <c r="BW947" t="str">
        <f>"20:17:08.864"</f>
        <v>20:17:08.864</v>
      </c>
      <c r="BZ947">
        <v>0</v>
      </c>
      <c r="CA947">
        <v>2016</v>
      </c>
      <c r="CB947">
        <v>224</v>
      </c>
      <c r="CD947">
        <v>1</v>
      </c>
      <c r="CE947">
        <v>0</v>
      </c>
      <c r="CF947">
        <v>0</v>
      </c>
      <c r="CG947">
        <v>1</v>
      </c>
      <c r="CH947">
        <v>0</v>
      </c>
      <c r="CI947">
        <v>0</v>
      </c>
      <c r="CJ947">
        <v>0</v>
      </c>
      <c r="CK947">
        <v>2</v>
      </c>
      <c r="CL947">
        <v>0</v>
      </c>
      <c r="CM947">
        <v>2</v>
      </c>
      <c r="CN947">
        <v>0</v>
      </c>
      <c r="CO947">
        <v>7</v>
      </c>
      <c r="CP947" t="s">
        <v>119</v>
      </c>
      <c r="CQ947">
        <v>180</v>
      </c>
      <c r="CR947">
        <v>2</v>
      </c>
      <c r="CW947">
        <v>8023369</v>
      </c>
      <c r="CY947">
        <v>1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</row>
    <row r="948" spans="1:113" x14ac:dyDescent="0.3">
      <c r="A948" t="str">
        <f>"02/08/2021 20:17:06.556"</f>
        <v>02/08/2021 20:17:06.556</v>
      </c>
      <c r="C948" t="str">
        <f t="shared" si="44"/>
        <v>FFDFD7C0</v>
      </c>
      <c r="D948" t="s">
        <v>124</v>
      </c>
      <c r="E948">
        <v>12</v>
      </c>
      <c r="F948">
        <v>1012</v>
      </c>
      <c r="G948" t="s">
        <v>675</v>
      </c>
      <c r="J948" t="s">
        <v>125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>"20:17:08.859"</f>
        <v>20:17:08.859</v>
      </c>
      <c r="T948" t="str">
        <f>"20:17:08.359"</f>
        <v>20:17:08.359</v>
      </c>
      <c r="U948" t="str">
        <f t="shared" si="43"/>
        <v>AB01F4</v>
      </c>
      <c r="V948">
        <v>0</v>
      </c>
      <c r="W948">
        <v>0</v>
      </c>
      <c r="X948">
        <v>2</v>
      </c>
      <c r="Z948">
        <v>0</v>
      </c>
      <c r="AA948">
        <v>9</v>
      </c>
      <c r="AB948">
        <v>3</v>
      </c>
      <c r="AC948">
        <v>0</v>
      </c>
      <c r="AD948">
        <v>10</v>
      </c>
      <c r="AE948">
        <v>0</v>
      </c>
      <c r="AF948">
        <v>3</v>
      </c>
      <c r="AG948">
        <v>2</v>
      </c>
      <c r="AH948">
        <v>0</v>
      </c>
      <c r="AI948" t="s">
        <v>750</v>
      </c>
      <c r="AJ948">
        <v>39.693173999999999</v>
      </c>
      <c r="AK948" t="s">
        <v>751</v>
      </c>
      <c r="AL948">
        <v>-92.522585000000007</v>
      </c>
      <c r="AM948">
        <v>100</v>
      </c>
      <c r="AN948">
        <v>1700</v>
      </c>
      <c r="AO948" t="s">
        <v>118</v>
      </c>
      <c r="AP948">
        <v>-32</v>
      </c>
      <c r="AQ948">
        <v>122</v>
      </c>
      <c r="AR948">
        <v>128</v>
      </c>
      <c r="AZ948">
        <v>1200</v>
      </c>
      <c r="BA948">
        <v>1</v>
      </c>
      <c r="BB948" t="str">
        <f t="shared" si="45"/>
        <v xml:space="preserve">N8080G  </v>
      </c>
      <c r="BC948">
        <v>1</v>
      </c>
      <c r="BE948">
        <v>0</v>
      </c>
      <c r="BF948">
        <v>0</v>
      </c>
      <c r="BG948">
        <v>0</v>
      </c>
      <c r="BH948">
        <v>1700</v>
      </c>
      <c r="BI948">
        <v>1</v>
      </c>
      <c r="BJ948">
        <v>1</v>
      </c>
      <c r="BK948">
        <v>1</v>
      </c>
      <c r="BL948">
        <v>0</v>
      </c>
      <c r="BO948">
        <v>0</v>
      </c>
      <c r="BP948">
        <v>0</v>
      </c>
      <c r="BW948" t="str">
        <f>"20:17:08.864"</f>
        <v>20:17:08.864</v>
      </c>
      <c r="BZ948">
        <v>0</v>
      </c>
      <c r="CA948">
        <v>2016</v>
      </c>
      <c r="CB948">
        <v>224</v>
      </c>
      <c r="CD948">
        <v>1</v>
      </c>
      <c r="CE948">
        <v>0</v>
      </c>
      <c r="CF948">
        <v>0</v>
      </c>
      <c r="CG948">
        <v>1</v>
      </c>
      <c r="CH948">
        <v>0</v>
      </c>
      <c r="CI948">
        <v>0</v>
      </c>
      <c r="CJ948">
        <v>0</v>
      </c>
      <c r="CK948">
        <v>2</v>
      </c>
      <c r="CL948">
        <v>0</v>
      </c>
      <c r="CM948">
        <v>2</v>
      </c>
      <c r="CN948">
        <v>0</v>
      </c>
      <c r="CO948">
        <v>7</v>
      </c>
      <c r="CP948" t="s">
        <v>119</v>
      </c>
      <c r="CQ948">
        <v>180</v>
      </c>
      <c r="CR948">
        <v>2</v>
      </c>
      <c r="CW948">
        <v>8023369</v>
      </c>
      <c r="CY948">
        <v>1</v>
      </c>
      <c r="CZ948">
        <v>0</v>
      </c>
      <c r="DA948">
        <v>1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</row>
    <row r="949" spans="1:113" x14ac:dyDescent="0.3">
      <c r="A949" t="str">
        <f>"02/08/2021 20:17:06.556"</f>
        <v>02/08/2021 20:17:06.556</v>
      </c>
      <c r="C949" t="str">
        <f t="shared" si="44"/>
        <v>FFDFD7C0</v>
      </c>
      <c r="D949" t="s">
        <v>113</v>
      </c>
      <c r="E949">
        <v>6</v>
      </c>
      <c r="H949">
        <v>165</v>
      </c>
      <c r="I949" t="s">
        <v>114</v>
      </c>
      <c r="J949" t="s">
        <v>115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>"20:17:08.859"</f>
        <v>20:17:08.859</v>
      </c>
      <c r="T949" t="str">
        <f>"20:17:08.359"</f>
        <v>20:17:08.359</v>
      </c>
      <c r="U949" t="str">
        <f t="shared" si="43"/>
        <v>AB01F4</v>
      </c>
      <c r="V949">
        <v>0</v>
      </c>
      <c r="W949">
        <v>0</v>
      </c>
      <c r="X949">
        <v>2</v>
      </c>
      <c r="Z949">
        <v>0</v>
      </c>
      <c r="AA949">
        <v>9</v>
      </c>
      <c r="AB949">
        <v>3</v>
      </c>
      <c r="AC949">
        <v>0</v>
      </c>
      <c r="AD949">
        <v>10</v>
      </c>
      <c r="AE949">
        <v>0</v>
      </c>
      <c r="AF949">
        <v>3</v>
      </c>
      <c r="AG949">
        <v>2</v>
      </c>
      <c r="AH949">
        <v>0</v>
      </c>
      <c r="AI949" t="s">
        <v>750</v>
      </c>
      <c r="AJ949">
        <v>39.693173999999999</v>
      </c>
      <c r="AK949" t="s">
        <v>751</v>
      </c>
      <c r="AL949">
        <v>-92.522585000000007</v>
      </c>
      <c r="AM949">
        <v>100</v>
      </c>
      <c r="AN949">
        <v>1700</v>
      </c>
      <c r="AO949" t="s">
        <v>118</v>
      </c>
      <c r="AP949">
        <v>-32</v>
      </c>
      <c r="AQ949">
        <v>122</v>
      </c>
      <c r="AR949">
        <v>128</v>
      </c>
      <c r="AZ949">
        <v>1200</v>
      </c>
      <c r="BA949">
        <v>1</v>
      </c>
      <c r="BB949" t="str">
        <f t="shared" si="45"/>
        <v xml:space="preserve">N8080G  </v>
      </c>
      <c r="BC949">
        <v>1</v>
      </c>
      <c r="BE949">
        <v>0</v>
      </c>
      <c r="BF949">
        <v>0</v>
      </c>
      <c r="BG949">
        <v>0</v>
      </c>
      <c r="BH949">
        <v>1700</v>
      </c>
      <c r="BI949">
        <v>1</v>
      </c>
      <c r="BJ949">
        <v>1</v>
      </c>
      <c r="BK949">
        <v>1</v>
      </c>
      <c r="BL949">
        <v>0</v>
      </c>
      <c r="BO949">
        <v>0</v>
      </c>
      <c r="BP949">
        <v>0</v>
      </c>
      <c r="BW949" t="str">
        <f>"20:17:08.864"</f>
        <v>20:17:08.864</v>
      </c>
      <c r="BZ949">
        <v>0</v>
      </c>
      <c r="CA949">
        <v>2016</v>
      </c>
      <c r="CB949">
        <v>224</v>
      </c>
      <c r="CD949">
        <v>1</v>
      </c>
      <c r="CE949">
        <v>0</v>
      </c>
      <c r="CF949">
        <v>0</v>
      </c>
      <c r="CG949">
        <v>1</v>
      </c>
      <c r="CH949">
        <v>0</v>
      </c>
      <c r="CI949">
        <v>0</v>
      </c>
      <c r="CJ949">
        <v>0</v>
      </c>
      <c r="CK949">
        <v>2</v>
      </c>
      <c r="CL949">
        <v>0</v>
      </c>
      <c r="CM949">
        <v>2</v>
      </c>
      <c r="CN949">
        <v>0</v>
      </c>
      <c r="CO949">
        <v>7</v>
      </c>
      <c r="CP949" t="s">
        <v>119</v>
      </c>
      <c r="CQ949">
        <v>180</v>
      </c>
      <c r="CR949">
        <v>2</v>
      </c>
      <c r="CW949">
        <v>8023369</v>
      </c>
      <c r="CY949">
        <v>1</v>
      </c>
      <c r="CZ949">
        <v>0</v>
      </c>
      <c r="DA949">
        <v>1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</row>
    <row r="950" spans="1:113" x14ac:dyDescent="0.3">
      <c r="A950" t="str">
        <f>"02/08/2021 20:17:06.556"</f>
        <v>02/08/2021 20:17:06.556</v>
      </c>
      <c r="C950" t="str">
        <f t="shared" si="44"/>
        <v>FFDFD7C0</v>
      </c>
      <c r="D950" t="s">
        <v>124</v>
      </c>
      <c r="E950">
        <v>11</v>
      </c>
      <c r="F950">
        <v>1011</v>
      </c>
      <c r="G950" t="s">
        <v>590</v>
      </c>
      <c r="J950" t="s">
        <v>125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>"20:17:08.859"</f>
        <v>20:17:08.859</v>
      </c>
      <c r="T950" t="str">
        <f>"20:17:08.359"</f>
        <v>20:17:08.359</v>
      </c>
      <c r="U950" t="str">
        <f t="shared" si="43"/>
        <v>AB01F4</v>
      </c>
      <c r="V950">
        <v>0</v>
      </c>
      <c r="W950">
        <v>0</v>
      </c>
      <c r="X950">
        <v>2</v>
      </c>
      <c r="Z950">
        <v>0</v>
      </c>
      <c r="AA950">
        <v>9</v>
      </c>
      <c r="AB950">
        <v>3</v>
      </c>
      <c r="AC950">
        <v>0</v>
      </c>
      <c r="AD950">
        <v>10</v>
      </c>
      <c r="AE950">
        <v>0</v>
      </c>
      <c r="AF950">
        <v>3</v>
      </c>
      <c r="AG950">
        <v>2</v>
      </c>
      <c r="AH950">
        <v>0</v>
      </c>
      <c r="AI950" t="s">
        <v>750</v>
      </c>
      <c r="AJ950">
        <v>39.693173999999999</v>
      </c>
      <c r="AK950" t="s">
        <v>751</v>
      </c>
      <c r="AL950">
        <v>-92.522585000000007</v>
      </c>
      <c r="AM950">
        <v>100</v>
      </c>
      <c r="AN950">
        <v>1700</v>
      </c>
      <c r="AO950" t="s">
        <v>118</v>
      </c>
      <c r="AP950">
        <v>-32</v>
      </c>
      <c r="AQ950">
        <v>122</v>
      </c>
      <c r="AR950">
        <v>128</v>
      </c>
      <c r="AZ950">
        <v>1200</v>
      </c>
      <c r="BA950">
        <v>1</v>
      </c>
      <c r="BB950" t="str">
        <f t="shared" si="45"/>
        <v xml:space="preserve">N8080G  </v>
      </c>
      <c r="BC950">
        <v>1</v>
      </c>
      <c r="BE950">
        <v>0</v>
      </c>
      <c r="BF950">
        <v>0</v>
      </c>
      <c r="BG950">
        <v>0</v>
      </c>
      <c r="BH950">
        <v>1700</v>
      </c>
      <c r="BI950">
        <v>1</v>
      </c>
      <c r="BJ950">
        <v>1</v>
      </c>
      <c r="BK950">
        <v>1</v>
      </c>
      <c r="BL950">
        <v>0</v>
      </c>
      <c r="BO950">
        <v>0</v>
      </c>
      <c r="BP950">
        <v>0</v>
      </c>
      <c r="BW950" t="str">
        <f>"20:17:08.864"</f>
        <v>20:17:08.864</v>
      </c>
      <c r="BZ950">
        <v>0</v>
      </c>
      <c r="CA950">
        <v>2016</v>
      </c>
      <c r="CB950">
        <v>224</v>
      </c>
      <c r="CD950">
        <v>1</v>
      </c>
      <c r="CE950">
        <v>0</v>
      </c>
      <c r="CF950">
        <v>0</v>
      </c>
      <c r="CG950">
        <v>1</v>
      </c>
      <c r="CH950">
        <v>0</v>
      </c>
      <c r="CI950">
        <v>0</v>
      </c>
      <c r="CJ950">
        <v>0</v>
      </c>
      <c r="CK950">
        <v>2</v>
      </c>
      <c r="CL950">
        <v>0</v>
      </c>
      <c r="CM950">
        <v>2</v>
      </c>
      <c r="CN950">
        <v>0</v>
      </c>
      <c r="CO950">
        <v>7</v>
      </c>
      <c r="CP950" t="s">
        <v>119</v>
      </c>
      <c r="CQ950">
        <v>180</v>
      </c>
      <c r="CR950">
        <v>2</v>
      </c>
      <c r="CW950">
        <v>8023369</v>
      </c>
      <c r="CY950">
        <v>1</v>
      </c>
      <c r="CZ950">
        <v>0</v>
      </c>
      <c r="DA950">
        <v>1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</row>
    <row r="951" spans="1:113" x14ac:dyDescent="0.3">
      <c r="A951" t="str">
        <f>"02/08/2021 20:17:07.597"</f>
        <v>02/08/2021 20:17:07.597</v>
      </c>
      <c r="C951" t="str">
        <f t="shared" si="44"/>
        <v>FFDFD7C0</v>
      </c>
      <c r="D951" t="s">
        <v>113</v>
      </c>
      <c r="E951">
        <v>6</v>
      </c>
      <c r="H951">
        <v>165</v>
      </c>
      <c r="I951" t="s">
        <v>114</v>
      </c>
      <c r="J951" t="s">
        <v>115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>"20:17:09.898"</f>
        <v>20:17:09.898</v>
      </c>
      <c r="T951" t="str">
        <f>"20:17:09.498"</f>
        <v>20:17:09.498</v>
      </c>
      <c r="U951" t="str">
        <f t="shared" si="43"/>
        <v>AB01F4</v>
      </c>
      <c r="V951">
        <v>0</v>
      </c>
      <c r="W951">
        <v>0</v>
      </c>
      <c r="X951">
        <v>2</v>
      </c>
      <c r="Z951">
        <v>0</v>
      </c>
      <c r="AA951">
        <v>9</v>
      </c>
      <c r="AB951">
        <v>3</v>
      </c>
      <c r="AC951">
        <v>0</v>
      </c>
      <c r="AD951">
        <v>10</v>
      </c>
      <c r="AE951">
        <v>0</v>
      </c>
      <c r="AF951">
        <v>3</v>
      </c>
      <c r="AG951">
        <v>2</v>
      </c>
      <c r="AH951">
        <v>0</v>
      </c>
      <c r="AI951" t="s">
        <v>752</v>
      </c>
      <c r="AJ951">
        <v>39.693753999999998</v>
      </c>
      <c r="AK951" t="s">
        <v>753</v>
      </c>
      <c r="AL951">
        <v>-92.522756999999999</v>
      </c>
      <c r="AM951">
        <v>100</v>
      </c>
      <c r="AN951">
        <v>1700</v>
      </c>
      <c r="AO951" t="s">
        <v>118</v>
      </c>
      <c r="AP951">
        <v>-32</v>
      </c>
      <c r="AQ951">
        <v>122</v>
      </c>
      <c r="AR951">
        <v>64</v>
      </c>
      <c r="AZ951">
        <v>1200</v>
      </c>
      <c r="BA951">
        <v>1</v>
      </c>
      <c r="BB951" t="str">
        <f t="shared" si="45"/>
        <v xml:space="preserve">N8080G  </v>
      </c>
      <c r="BC951">
        <v>1</v>
      </c>
      <c r="BE951">
        <v>0</v>
      </c>
      <c r="BF951">
        <v>0</v>
      </c>
      <c r="BG951">
        <v>0</v>
      </c>
      <c r="BH951">
        <v>1700</v>
      </c>
      <c r="BI951">
        <v>1</v>
      </c>
      <c r="BJ951">
        <v>1</v>
      </c>
      <c r="BK951">
        <v>1</v>
      </c>
      <c r="BL951">
        <v>0</v>
      </c>
      <c r="BO951">
        <v>0</v>
      </c>
      <c r="BP951">
        <v>0</v>
      </c>
      <c r="BW951" t="str">
        <f>"20:17:09.906"</f>
        <v>20:17:09.906</v>
      </c>
      <c r="BZ951">
        <v>0</v>
      </c>
      <c r="CA951">
        <v>2016</v>
      </c>
      <c r="CB951">
        <v>224</v>
      </c>
      <c r="CD951">
        <v>1</v>
      </c>
      <c r="CE951">
        <v>0</v>
      </c>
      <c r="CF951">
        <v>0</v>
      </c>
      <c r="CG951">
        <v>1</v>
      </c>
      <c r="CH951">
        <v>0</v>
      </c>
      <c r="CI951">
        <v>0</v>
      </c>
      <c r="CJ951">
        <v>0</v>
      </c>
      <c r="CK951">
        <v>2</v>
      </c>
      <c r="CL951">
        <v>0</v>
      </c>
      <c r="CM951">
        <v>2</v>
      </c>
      <c r="CN951">
        <v>0</v>
      </c>
      <c r="CO951">
        <v>7</v>
      </c>
      <c r="CP951" t="s">
        <v>119</v>
      </c>
      <c r="CQ951">
        <v>180</v>
      </c>
      <c r="CR951">
        <v>2</v>
      </c>
      <c r="CW951">
        <v>8024256</v>
      </c>
      <c r="CY951">
        <v>1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</row>
    <row r="952" spans="1:113" x14ac:dyDescent="0.3">
      <c r="A952" t="str">
        <f>"02/08/2021 20:17:07.597"</f>
        <v>02/08/2021 20:17:07.597</v>
      </c>
      <c r="C952" t="str">
        <f t="shared" si="44"/>
        <v>FFDFD7C0</v>
      </c>
      <c r="D952" t="s">
        <v>124</v>
      </c>
      <c r="E952">
        <v>11</v>
      </c>
      <c r="F952">
        <v>1011</v>
      </c>
      <c r="G952" t="s">
        <v>590</v>
      </c>
      <c r="J952" t="s">
        <v>125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>"20:17:09.898"</f>
        <v>20:17:09.898</v>
      </c>
      <c r="T952" t="str">
        <f>"20:17:09.498"</f>
        <v>20:17:09.498</v>
      </c>
      <c r="U952" t="str">
        <f t="shared" si="43"/>
        <v>AB01F4</v>
      </c>
      <c r="V952">
        <v>0</v>
      </c>
      <c r="W952">
        <v>0</v>
      </c>
      <c r="X952">
        <v>2</v>
      </c>
      <c r="Z952">
        <v>0</v>
      </c>
      <c r="AA952">
        <v>9</v>
      </c>
      <c r="AB952">
        <v>3</v>
      </c>
      <c r="AC952">
        <v>0</v>
      </c>
      <c r="AD952">
        <v>10</v>
      </c>
      <c r="AE952">
        <v>0</v>
      </c>
      <c r="AF952">
        <v>3</v>
      </c>
      <c r="AG952">
        <v>2</v>
      </c>
      <c r="AH952">
        <v>0</v>
      </c>
      <c r="AI952" t="s">
        <v>752</v>
      </c>
      <c r="AJ952">
        <v>39.693753999999998</v>
      </c>
      <c r="AK952" t="s">
        <v>753</v>
      </c>
      <c r="AL952">
        <v>-92.522756999999999</v>
      </c>
      <c r="AM952">
        <v>100</v>
      </c>
      <c r="AN952">
        <v>1700</v>
      </c>
      <c r="AO952" t="s">
        <v>118</v>
      </c>
      <c r="AP952">
        <v>-32</v>
      </c>
      <c r="AQ952">
        <v>122</v>
      </c>
      <c r="AR952">
        <v>64</v>
      </c>
      <c r="AZ952">
        <v>1200</v>
      </c>
      <c r="BA952">
        <v>1</v>
      </c>
      <c r="BB952" t="str">
        <f t="shared" si="45"/>
        <v xml:space="preserve">N8080G  </v>
      </c>
      <c r="BC952">
        <v>1</v>
      </c>
      <c r="BE952">
        <v>0</v>
      </c>
      <c r="BF952">
        <v>0</v>
      </c>
      <c r="BG952">
        <v>0</v>
      </c>
      <c r="BH952">
        <v>1700</v>
      </c>
      <c r="BI952">
        <v>1</v>
      </c>
      <c r="BJ952">
        <v>1</v>
      </c>
      <c r="BK952">
        <v>1</v>
      </c>
      <c r="BL952">
        <v>0</v>
      </c>
      <c r="BO952">
        <v>0</v>
      </c>
      <c r="BP952">
        <v>0</v>
      </c>
      <c r="BW952" t="str">
        <f>"20:17:09.906"</f>
        <v>20:17:09.906</v>
      </c>
      <c r="BZ952">
        <v>0</v>
      </c>
      <c r="CA952">
        <v>2016</v>
      </c>
      <c r="CB952">
        <v>224</v>
      </c>
      <c r="CD952">
        <v>1</v>
      </c>
      <c r="CE952">
        <v>0</v>
      </c>
      <c r="CF952">
        <v>0</v>
      </c>
      <c r="CG952">
        <v>1</v>
      </c>
      <c r="CH952">
        <v>0</v>
      </c>
      <c r="CI952">
        <v>0</v>
      </c>
      <c r="CJ952">
        <v>0</v>
      </c>
      <c r="CK952">
        <v>2</v>
      </c>
      <c r="CL952">
        <v>0</v>
      </c>
      <c r="CM952">
        <v>2</v>
      </c>
      <c r="CN952">
        <v>0</v>
      </c>
      <c r="CO952">
        <v>7</v>
      </c>
      <c r="CP952" t="s">
        <v>119</v>
      </c>
      <c r="CQ952">
        <v>180</v>
      </c>
      <c r="CR952">
        <v>2</v>
      </c>
      <c r="CW952">
        <v>8024256</v>
      </c>
      <c r="CY952">
        <v>1</v>
      </c>
      <c r="CZ952">
        <v>0</v>
      </c>
      <c r="DA952">
        <v>1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</row>
    <row r="953" spans="1:113" x14ac:dyDescent="0.3">
      <c r="A953" t="str">
        <f>"02/08/2021 20:17:07.597"</f>
        <v>02/08/2021 20:17:07.597</v>
      </c>
      <c r="C953" t="str">
        <f t="shared" si="44"/>
        <v>FFDFD7C0</v>
      </c>
      <c r="D953" t="s">
        <v>124</v>
      </c>
      <c r="E953">
        <v>13</v>
      </c>
      <c r="F953">
        <v>1013</v>
      </c>
      <c r="G953" t="s">
        <v>114</v>
      </c>
      <c r="J953" t="s">
        <v>125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>"20:17:09.898"</f>
        <v>20:17:09.898</v>
      </c>
      <c r="T953" t="str">
        <f>"20:17:09.498"</f>
        <v>20:17:09.498</v>
      </c>
      <c r="U953" t="str">
        <f t="shared" si="43"/>
        <v>AB01F4</v>
      </c>
      <c r="V953">
        <v>0</v>
      </c>
      <c r="W953">
        <v>0</v>
      </c>
      <c r="X953">
        <v>2</v>
      </c>
      <c r="Z953">
        <v>0</v>
      </c>
      <c r="AA953">
        <v>9</v>
      </c>
      <c r="AB953">
        <v>3</v>
      </c>
      <c r="AC953">
        <v>0</v>
      </c>
      <c r="AD953">
        <v>10</v>
      </c>
      <c r="AE953">
        <v>0</v>
      </c>
      <c r="AF953">
        <v>3</v>
      </c>
      <c r="AG953">
        <v>2</v>
      </c>
      <c r="AH953">
        <v>0</v>
      </c>
      <c r="AI953" t="s">
        <v>752</v>
      </c>
      <c r="AJ953">
        <v>39.693753999999998</v>
      </c>
      <c r="AK953" t="s">
        <v>753</v>
      </c>
      <c r="AL953">
        <v>-92.522756999999999</v>
      </c>
      <c r="AM953">
        <v>100</v>
      </c>
      <c r="AN953">
        <v>1700</v>
      </c>
      <c r="AO953" t="s">
        <v>118</v>
      </c>
      <c r="AP953">
        <v>-32</v>
      </c>
      <c r="AQ953">
        <v>122</v>
      </c>
      <c r="AR953">
        <v>64</v>
      </c>
      <c r="AZ953">
        <v>1200</v>
      </c>
      <c r="BA953">
        <v>1</v>
      </c>
      <c r="BB953" t="str">
        <f t="shared" si="45"/>
        <v xml:space="preserve">N8080G  </v>
      </c>
      <c r="BC953">
        <v>1</v>
      </c>
      <c r="BE953">
        <v>0</v>
      </c>
      <c r="BF953">
        <v>0</v>
      </c>
      <c r="BG953">
        <v>0</v>
      </c>
      <c r="BH953">
        <v>1700</v>
      </c>
      <c r="BI953">
        <v>1</v>
      </c>
      <c r="BJ953">
        <v>1</v>
      </c>
      <c r="BK953">
        <v>1</v>
      </c>
      <c r="BL953">
        <v>0</v>
      </c>
      <c r="BO953">
        <v>0</v>
      </c>
      <c r="BP953">
        <v>0</v>
      </c>
      <c r="BW953" t="str">
        <f>"20:17:09.906"</f>
        <v>20:17:09.906</v>
      </c>
      <c r="BZ953">
        <v>0</v>
      </c>
      <c r="CA953">
        <v>2016</v>
      </c>
      <c r="CB953">
        <v>224</v>
      </c>
      <c r="CD953">
        <v>1</v>
      </c>
      <c r="CE953">
        <v>0</v>
      </c>
      <c r="CF953">
        <v>0</v>
      </c>
      <c r="CG953">
        <v>1</v>
      </c>
      <c r="CH953">
        <v>0</v>
      </c>
      <c r="CI953">
        <v>0</v>
      </c>
      <c r="CJ953">
        <v>0</v>
      </c>
      <c r="CK953">
        <v>2</v>
      </c>
      <c r="CL953">
        <v>0</v>
      </c>
      <c r="CM953">
        <v>2</v>
      </c>
      <c r="CN953">
        <v>0</v>
      </c>
      <c r="CO953">
        <v>7</v>
      </c>
      <c r="CP953" t="s">
        <v>119</v>
      </c>
      <c r="CQ953">
        <v>180</v>
      </c>
      <c r="CR953">
        <v>2</v>
      </c>
      <c r="CW953">
        <v>8024256</v>
      </c>
      <c r="CY953">
        <v>1</v>
      </c>
      <c r="CZ953">
        <v>0</v>
      </c>
      <c r="DA953">
        <v>1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</row>
    <row r="954" spans="1:113" x14ac:dyDescent="0.3">
      <c r="A954" t="str">
        <f>"02/08/2021 20:17:07.597"</f>
        <v>02/08/2021 20:17:07.597</v>
      </c>
      <c r="C954" t="str">
        <f t="shared" si="44"/>
        <v>FFDFD7C0</v>
      </c>
      <c r="D954" t="s">
        <v>124</v>
      </c>
      <c r="E954">
        <v>12</v>
      </c>
      <c r="F954">
        <v>1012</v>
      </c>
      <c r="G954" t="s">
        <v>675</v>
      </c>
      <c r="J954" t="s">
        <v>125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>"20:17:09.898"</f>
        <v>20:17:09.898</v>
      </c>
      <c r="T954" t="str">
        <f>"20:17:09.498"</f>
        <v>20:17:09.498</v>
      </c>
      <c r="U954" t="str">
        <f t="shared" si="43"/>
        <v>AB01F4</v>
      </c>
      <c r="V954">
        <v>0</v>
      </c>
      <c r="W954">
        <v>0</v>
      </c>
      <c r="X954">
        <v>2</v>
      </c>
      <c r="Z954">
        <v>0</v>
      </c>
      <c r="AA954">
        <v>9</v>
      </c>
      <c r="AB954">
        <v>3</v>
      </c>
      <c r="AC954">
        <v>0</v>
      </c>
      <c r="AD954">
        <v>10</v>
      </c>
      <c r="AE954">
        <v>0</v>
      </c>
      <c r="AF954">
        <v>3</v>
      </c>
      <c r="AG954">
        <v>2</v>
      </c>
      <c r="AH954">
        <v>0</v>
      </c>
      <c r="AI954" t="s">
        <v>752</v>
      </c>
      <c r="AJ954">
        <v>39.693753999999998</v>
      </c>
      <c r="AK954" t="s">
        <v>753</v>
      </c>
      <c r="AL954">
        <v>-92.522756999999999</v>
      </c>
      <c r="AM954">
        <v>100</v>
      </c>
      <c r="AN954">
        <v>1700</v>
      </c>
      <c r="AO954" t="s">
        <v>118</v>
      </c>
      <c r="AP954">
        <v>-32</v>
      </c>
      <c r="AQ954">
        <v>122</v>
      </c>
      <c r="AR954">
        <v>64</v>
      </c>
      <c r="AZ954">
        <v>1200</v>
      </c>
      <c r="BA954">
        <v>1</v>
      </c>
      <c r="BB954" t="str">
        <f t="shared" si="45"/>
        <v xml:space="preserve">N8080G  </v>
      </c>
      <c r="BC954">
        <v>1</v>
      </c>
      <c r="BE954">
        <v>0</v>
      </c>
      <c r="BF954">
        <v>0</v>
      </c>
      <c r="BG954">
        <v>0</v>
      </c>
      <c r="BH954">
        <v>1700</v>
      </c>
      <c r="BI954">
        <v>1</v>
      </c>
      <c r="BJ954">
        <v>1</v>
      </c>
      <c r="BK954">
        <v>1</v>
      </c>
      <c r="BL954">
        <v>0</v>
      </c>
      <c r="BO954">
        <v>0</v>
      </c>
      <c r="BP954">
        <v>0</v>
      </c>
      <c r="BW954" t="str">
        <f>"20:17:09.906"</f>
        <v>20:17:09.906</v>
      </c>
      <c r="BZ954">
        <v>0</v>
      </c>
      <c r="CA954">
        <v>2016</v>
      </c>
      <c r="CB954">
        <v>224</v>
      </c>
      <c r="CD954">
        <v>1</v>
      </c>
      <c r="CE954">
        <v>0</v>
      </c>
      <c r="CF954">
        <v>0</v>
      </c>
      <c r="CG954">
        <v>1</v>
      </c>
      <c r="CH954">
        <v>0</v>
      </c>
      <c r="CI954">
        <v>0</v>
      </c>
      <c r="CJ954">
        <v>0</v>
      </c>
      <c r="CK954">
        <v>2</v>
      </c>
      <c r="CL954">
        <v>0</v>
      </c>
      <c r="CM954">
        <v>2</v>
      </c>
      <c r="CN954">
        <v>0</v>
      </c>
      <c r="CO954">
        <v>7</v>
      </c>
      <c r="CP954" t="s">
        <v>119</v>
      </c>
      <c r="CQ954">
        <v>180</v>
      </c>
      <c r="CR954">
        <v>2</v>
      </c>
      <c r="CW954">
        <v>8024256</v>
      </c>
      <c r="CY954">
        <v>1</v>
      </c>
      <c r="CZ954">
        <v>0</v>
      </c>
      <c r="DA954">
        <v>1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</row>
    <row r="955" spans="1:113" x14ac:dyDescent="0.3">
      <c r="A955" t="str">
        <f>"02/08/2021 20:17:08.719"</f>
        <v>02/08/2021 20:17:08.719</v>
      </c>
      <c r="C955" t="str">
        <f t="shared" si="44"/>
        <v>FFDFD7C0</v>
      </c>
      <c r="D955" t="s">
        <v>124</v>
      </c>
      <c r="E955">
        <v>13</v>
      </c>
      <c r="F955">
        <v>1013</v>
      </c>
      <c r="G955" t="s">
        <v>114</v>
      </c>
      <c r="J955" t="s">
        <v>125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>"20:17:11.031"</f>
        <v>20:17:11.031</v>
      </c>
      <c r="T955" t="str">
        <f>"20:17:10.531"</f>
        <v>20:17:10.531</v>
      </c>
      <c r="U955" t="str">
        <f t="shared" si="43"/>
        <v>AB01F4</v>
      </c>
      <c r="V955">
        <v>0</v>
      </c>
      <c r="W955">
        <v>0</v>
      </c>
      <c r="X955">
        <v>2</v>
      </c>
      <c r="Z955">
        <v>0</v>
      </c>
      <c r="AA955">
        <v>9</v>
      </c>
      <c r="AB955">
        <v>3</v>
      </c>
      <c r="AC955">
        <v>0</v>
      </c>
      <c r="AD955">
        <v>10</v>
      </c>
      <c r="AE955">
        <v>0</v>
      </c>
      <c r="AF955">
        <v>3</v>
      </c>
      <c r="AG955">
        <v>2</v>
      </c>
      <c r="AH955">
        <v>0</v>
      </c>
      <c r="AI955" t="s">
        <v>754</v>
      </c>
      <c r="AJ955">
        <v>39.69444</v>
      </c>
      <c r="AK955" t="s">
        <v>755</v>
      </c>
      <c r="AL955">
        <v>-92.523015000000001</v>
      </c>
      <c r="AM955">
        <v>100</v>
      </c>
      <c r="AN955">
        <v>1700</v>
      </c>
      <c r="AO955" t="s">
        <v>118</v>
      </c>
      <c r="AP955">
        <v>-32</v>
      </c>
      <c r="AQ955">
        <v>122</v>
      </c>
      <c r="AR955">
        <v>128</v>
      </c>
      <c r="AZ955">
        <v>1200</v>
      </c>
      <c r="BA955">
        <v>1</v>
      </c>
      <c r="BB955" t="str">
        <f t="shared" si="45"/>
        <v xml:space="preserve">N8080G  </v>
      </c>
      <c r="BC955">
        <v>1</v>
      </c>
      <c r="BE955">
        <v>0</v>
      </c>
      <c r="BF955">
        <v>0</v>
      </c>
      <c r="BG955">
        <v>0</v>
      </c>
      <c r="BH955">
        <v>1700</v>
      </c>
      <c r="BI955">
        <v>1</v>
      </c>
      <c r="BJ955">
        <v>1</v>
      </c>
      <c r="BK955">
        <v>1</v>
      </c>
      <c r="BL955">
        <v>0</v>
      </c>
      <c r="BO955">
        <v>0</v>
      </c>
      <c r="BP955">
        <v>0</v>
      </c>
      <c r="BW955" t="str">
        <f>"20:17:11.038"</f>
        <v>20:17:11.038</v>
      </c>
      <c r="BZ955">
        <v>0</v>
      </c>
      <c r="CA955">
        <v>2016</v>
      </c>
      <c r="CB955">
        <v>224</v>
      </c>
      <c r="CD955">
        <v>1</v>
      </c>
      <c r="CE955">
        <v>0</v>
      </c>
      <c r="CF955">
        <v>0</v>
      </c>
      <c r="CG955">
        <v>1</v>
      </c>
      <c r="CH955">
        <v>0</v>
      </c>
      <c r="CI955">
        <v>0</v>
      </c>
      <c r="CJ955">
        <v>0</v>
      </c>
      <c r="CK955">
        <v>2</v>
      </c>
      <c r="CL955">
        <v>0</v>
      </c>
      <c r="CM955">
        <v>2</v>
      </c>
      <c r="CN955">
        <v>0</v>
      </c>
      <c r="CO955">
        <v>7</v>
      </c>
      <c r="CP955" t="s">
        <v>119</v>
      </c>
      <c r="CQ955">
        <v>180</v>
      </c>
      <c r="CR955">
        <v>2</v>
      </c>
      <c r="CW955">
        <v>8025234</v>
      </c>
      <c r="CY955">
        <v>1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</row>
    <row r="956" spans="1:113" x14ac:dyDescent="0.3">
      <c r="A956" t="str">
        <f>"02/08/2021 20:17:08.719"</f>
        <v>02/08/2021 20:17:08.719</v>
      </c>
      <c r="C956" t="str">
        <f t="shared" si="44"/>
        <v>FFDFD7C0</v>
      </c>
      <c r="D956" t="s">
        <v>124</v>
      </c>
      <c r="E956">
        <v>12</v>
      </c>
      <c r="F956">
        <v>1012</v>
      </c>
      <c r="G956" t="s">
        <v>675</v>
      </c>
      <c r="J956" t="s">
        <v>125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>"20:17:11.031"</f>
        <v>20:17:11.031</v>
      </c>
      <c r="T956" t="str">
        <f>"20:17:10.531"</f>
        <v>20:17:10.531</v>
      </c>
      <c r="U956" t="str">
        <f t="shared" si="43"/>
        <v>AB01F4</v>
      </c>
      <c r="V956">
        <v>0</v>
      </c>
      <c r="W956">
        <v>0</v>
      </c>
      <c r="X956">
        <v>2</v>
      </c>
      <c r="Z956">
        <v>0</v>
      </c>
      <c r="AA956">
        <v>9</v>
      </c>
      <c r="AB956">
        <v>3</v>
      </c>
      <c r="AC956">
        <v>0</v>
      </c>
      <c r="AD956">
        <v>10</v>
      </c>
      <c r="AE956">
        <v>0</v>
      </c>
      <c r="AF956">
        <v>3</v>
      </c>
      <c r="AG956">
        <v>2</v>
      </c>
      <c r="AH956">
        <v>0</v>
      </c>
      <c r="AI956" t="s">
        <v>754</v>
      </c>
      <c r="AJ956">
        <v>39.69444</v>
      </c>
      <c r="AK956" t="s">
        <v>755</v>
      </c>
      <c r="AL956">
        <v>-92.523015000000001</v>
      </c>
      <c r="AM956">
        <v>100</v>
      </c>
      <c r="AN956">
        <v>1700</v>
      </c>
      <c r="AO956" t="s">
        <v>118</v>
      </c>
      <c r="AP956">
        <v>-32</v>
      </c>
      <c r="AQ956">
        <v>122</v>
      </c>
      <c r="AR956">
        <v>128</v>
      </c>
      <c r="AZ956">
        <v>1200</v>
      </c>
      <c r="BA956">
        <v>1</v>
      </c>
      <c r="BB956" t="str">
        <f t="shared" si="45"/>
        <v xml:space="preserve">N8080G  </v>
      </c>
      <c r="BC956">
        <v>1</v>
      </c>
      <c r="BE956">
        <v>0</v>
      </c>
      <c r="BF956">
        <v>0</v>
      </c>
      <c r="BG956">
        <v>0</v>
      </c>
      <c r="BH956">
        <v>1700</v>
      </c>
      <c r="BI956">
        <v>1</v>
      </c>
      <c r="BJ956">
        <v>1</v>
      </c>
      <c r="BK956">
        <v>1</v>
      </c>
      <c r="BL956">
        <v>0</v>
      </c>
      <c r="BO956">
        <v>0</v>
      </c>
      <c r="BP956">
        <v>0</v>
      </c>
      <c r="BW956" t="str">
        <f>"20:17:11.038"</f>
        <v>20:17:11.038</v>
      </c>
      <c r="BZ956">
        <v>0</v>
      </c>
      <c r="CA956">
        <v>2016</v>
      </c>
      <c r="CB956">
        <v>224</v>
      </c>
      <c r="CD956">
        <v>1</v>
      </c>
      <c r="CE956">
        <v>0</v>
      </c>
      <c r="CF956">
        <v>0</v>
      </c>
      <c r="CG956">
        <v>1</v>
      </c>
      <c r="CH956">
        <v>0</v>
      </c>
      <c r="CI956">
        <v>0</v>
      </c>
      <c r="CJ956">
        <v>0</v>
      </c>
      <c r="CK956">
        <v>2</v>
      </c>
      <c r="CL956">
        <v>0</v>
      </c>
      <c r="CM956">
        <v>2</v>
      </c>
      <c r="CN956">
        <v>0</v>
      </c>
      <c r="CO956">
        <v>7</v>
      </c>
      <c r="CP956" t="s">
        <v>119</v>
      </c>
      <c r="CQ956">
        <v>180</v>
      </c>
      <c r="CR956">
        <v>2</v>
      </c>
      <c r="CW956">
        <v>8025234</v>
      </c>
      <c r="CY956">
        <v>1</v>
      </c>
      <c r="CZ956">
        <v>0</v>
      </c>
      <c r="DA956">
        <v>1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</row>
    <row r="957" spans="1:113" x14ac:dyDescent="0.3">
      <c r="A957" t="str">
        <f>"02/08/2021 20:17:08.719"</f>
        <v>02/08/2021 20:17:08.719</v>
      </c>
      <c r="C957" t="str">
        <f t="shared" si="44"/>
        <v>FFDFD7C0</v>
      </c>
      <c r="D957" t="s">
        <v>113</v>
      </c>
      <c r="E957">
        <v>6</v>
      </c>
      <c r="H957">
        <v>165</v>
      </c>
      <c r="I957" t="s">
        <v>114</v>
      </c>
      <c r="J957" t="s">
        <v>115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>"20:17:11.031"</f>
        <v>20:17:11.031</v>
      </c>
      <c r="T957" t="str">
        <f>"20:17:10.531"</f>
        <v>20:17:10.531</v>
      </c>
      <c r="U957" t="str">
        <f t="shared" si="43"/>
        <v>AB01F4</v>
      </c>
      <c r="V957">
        <v>0</v>
      </c>
      <c r="W957">
        <v>0</v>
      </c>
      <c r="X957">
        <v>2</v>
      </c>
      <c r="Z957">
        <v>0</v>
      </c>
      <c r="AA957">
        <v>9</v>
      </c>
      <c r="AB957">
        <v>3</v>
      </c>
      <c r="AC957">
        <v>0</v>
      </c>
      <c r="AD957">
        <v>10</v>
      </c>
      <c r="AE957">
        <v>0</v>
      </c>
      <c r="AF957">
        <v>3</v>
      </c>
      <c r="AG957">
        <v>2</v>
      </c>
      <c r="AH957">
        <v>0</v>
      </c>
      <c r="AI957" t="s">
        <v>754</v>
      </c>
      <c r="AJ957">
        <v>39.69444</v>
      </c>
      <c r="AK957" t="s">
        <v>755</v>
      </c>
      <c r="AL957">
        <v>-92.523015000000001</v>
      </c>
      <c r="AM957">
        <v>100</v>
      </c>
      <c r="AN957">
        <v>1700</v>
      </c>
      <c r="AO957" t="s">
        <v>118</v>
      </c>
      <c r="AP957">
        <v>-32</v>
      </c>
      <c r="AQ957">
        <v>122</v>
      </c>
      <c r="AR957">
        <v>128</v>
      </c>
      <c r="AZ957">
        <v>1200</v>
      </c>
      <c r="BA957">
        <v>1</v>
      </c>
      <c r="BB957" t="str">
        <f t="shared" si="45"/>
        <v xml:space="preserve">N8080G  </v>
      </c>
      <c r="BC957">
        <v>1</v>
      </c>
      <c r="BE957">
        <v>0</v>
      </c>
      <c r="BF957">
        <v>0</v>
      </c>
      <c r="BG957">
        <v>0</v>
      </c>
      <c r="BH957">
        <v>1700</v>
      </c>
      <c r="BI957">
        <v>1</v>
      </c>
      <c r="BJ957">
        <v>1</v>
      </c>
      <c r="BK957">
        <v>1</v>
      </c>
      <c r="BL957">
        <v>0</v>
      </c>
      <c r="BO957">
        <v>0</v>
      </c>
      <c r="BP957">
        <v>0</v>
      </c>
      <c r="BW957" t="str">
        <f>"20:17:11.038"</f>
        <v>20:17:11.038</v>
      </c>
      <c r="BZ957">
        <v>0</v>
      </c>
      <c r="CA957">
        <v>2016</v>
      </c>
      <c r="CB957">
        <v>224</v>
      </c>
      <c r="CD957">
        <v>1</v>
      </c>
      <c r="CE957">
        <v>0</v>
      </c>
      <c r="CF957">
        <v>0</v>
      </c>
      <c r="CG957">
        <v>1</v>
      </c>
      <c r="CH957">
        <v>0</v>
      </c>
      <c r="CI957">
        <v>0</v>
      </c>
      <c r="CJ957">
        <v>0</v>
      </c>
      <c r="CK957">
        <v>2</v>
      </c>
      <c r="CL957">
        <v>0</v>
      </c>
      <c r="CM957">
        <v>2</v>
      </c>
      <c r="CN957">
        <v>0</v>
      </c>
      <c r="CO957">
        <v>7</v>
      </c>
      <c r="CP957" t="s">
        <v>119</v>
      </c>
      <c r="CQ957">
        <v>180</v>
      </c>
      <c r="CR957">
        <v>2</v>
      </c>
      <c r="CW957">
        <v>8025234</v>
      </c>
      <c r="CY957">
        <v>1</v>
      </c>
      <c r="CZ957">
        <v>0</v>
      </c>
      <c r="DA957">
        <v>1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</row>
    <row r="958" spans="1:113" x14ac:dyDescent="0.3">
      <c r="A958" t="str">
        <f>"02/08/2021 20:17:08.719"</f>
        <v>02/08/2021 20:17:08.719</v>
      </c>
      <c r="C958" t="str">
        <f t="shared" si="44"/>
        <v>FFDFD7C0</v>
      </c>
      <c r="D958" t="s">
        <v>124</v>
      </c>
      <c r="E958">
        <v>11</v>
      </c>
      <c r="F958">
        <v>1011</v>
      </c>
      <c r="G958" t="s">
        <v>590</v>
      </c>
      <c r="J958" t="s">
        <v>125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>"20:17:11.031"</f>
        <v>20:17:11.031</v>
      </c>
      <c r="T958" t="str">
        <f>"20:17:10.531"</f>
        <v>20:17:10.531</v>
      </c>
      <c r="U958" t="str">
        <f t="shared" si="43"/>
        <v>AB01F4</v>
      </c>
      <c r="V958">
        <v>0</v>
      </c>
      <c r="W958">
        <v>0</v>
      </c>
      <c r="X958">
        <v>2</v>
      </c>
      <c r="Z958">
        <v>0</v>
      </c>
      <c r="AA958">
        <v>9</v>
      </c>
      <c r="AB958">
        <v>3</v>
      </c>
      <c r="AC958">
        <v>0</v>
      </c>
      <c r="AD958">
        <v>10</v>
      </c>
      <c r="AE958">
        <v>0</v>
      </c>
      <c r="AF958">
        <v>3</v>
      </c>
      <c r="AG958">
        <v>2</v>
      </c>
      <c r="AH958">
        <v>0</v>
      </c>
      <c r="AI958" t="s">
        <v>754</v>
      </c>
      <c r="AJ958">
        <v>39.69444</v>
      </c>
      <c r="AK958" t="s">
        <v>755</v>
      </c>
      <c r="AL958">
        <v>-92.523015000000001</v>
      </c>
      <c r="AM958">
        <v>100</v>
      </c>
      <c r="AN958">
        <v>1700</v>
      </c>
      <c r="AO958" t="s">
        <v>118</v>
      </c>
      <c r="AP958">
        <v>-32</v>
      </c>
      <c r="AQ958">
        <v>122</v>
      </c>
      <c r="AR958">
        <v>128</v>
      </c>
      <c r="AZ958">
        <v>1200</v>
      </c>
      <c r="BA958">
        <v>1</v>
      </c>
      <c r="BB958" t="str">
        <f t="shared" si="45"/>
        <v xml:space="preserve">N8080G  </v>
      </c>
      <c r="BC958">
        <v>1</v>
      </c>
      <c r="BE958">
        <v>0</v>
      </c>
      <c r="BF958">
        <v>0</v>
      </c>
      <c r="BG958">
        <v>0</v>
      </c>
      <c r="BH958">
        <v>1700</v>
      </c>
      <c r="BI958">
        <v>1</v>
      </c>
      <c r="BJ958">
        <v>1</v>
      </c>
      <c r="BK958">
        <v>1</v>
      </c>
      <c r="BL958">
        <v>0</v>
      </c>
      <c r="BO958">
        <v>0</v>
      </c>
      <c r="BP958">
        <v>0</v>
      </c>
      <c r="BW958" t="str">
        <f>"20:17:11.038"</f>
        <v>20:17:11.038</v>
      </c>
      <c r="BZ958">
        <v>0</v>
      </c>
      <c r="CA958">
        <v>2016</v>
      </c>
      <c r="CB958">
        <v>224</v>
      </c>
      <c r="CD958">
        <v>1</v>
      </c>
      <c r="CE958">
        <v>0</v>
      </c>
      <c r="CF958">
        <v>0</v>
      </c>
      <c r="CG958">
        <v>1</v>
      </c>
      <c r="CH958">
        <v>0</v>
      </c>
      <c r="CI958">
        <v>0</v>
      </c>
      <c r="CJ958">
        <v>0</v>
      </c>
      <c r="CK958">
        <v>2</v>
      </c>
      <c r="CL958">
        <v>0</v>
      </c>
      <c r="CM958">
        <v>2</v>
      </c>
      <c r="CN958">
        <v>0</v>
      </c>
      <c r="CO958">
        <v>7</v>
      </c>
      <c r="CP958" t="s">
        <v>119</v>
      </c>
      <c r="CQ958">
        <v>180</v>
      </c>
      <c r="CR958">
        <v>2</v>
      </c>
      <c r="CW958">
        <v>8025234</v>
      </c>
      <c r="CY958">
        <v>1</v>
      </c>
      <c r="CZ958">
        <v>0</v>
      </c>
      <c r="DA958">
        <v>1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</row>
    <row r="959" spans="1:113" x14ac:dyDescent="0.3">
      <c r="A959" t="str">
        <f>"02/08/2021 20:17:09.824"</f>
        <v>02/08/2021 20:17:09.824</v>
      </c>
      <c r="C959" t="str">
        <f t="shared" si="44"/>
        <v>FFDFD7C0</v>
      </c>
      <c r="D959" t="s">
        <v>124</v>
      </c>
      <c r="E959">
        <v>11</v>
      </c>
      <c r="F959">
        <v>1011</v>
      </c>
      <c r="G959" t="s">
        <v>590</v>
      </c>
      <c r="J959" t="s">
        <v>125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>"20:17:12.148"</f>
        <v>20:17:12.148</v>
      </c>
      <c r="T959" t="str">
        <f>"20:17:11.648"</f>
        <v>20:17:11.648</v>
      </c>
      <c r="U959" t="str">
        <f t="shared" si="43"/>
        <v>AB01F4</v>
      </c>
      <c r="V959">
        <v>0</v>
      </c>
      <c r="W959">
        <v>0</v>
      </c>
      <c r="X959">
        <v>2</v>
      </c>
      <c r="Z959">
        <v>0</v>
      </c>
      <c r="AA959">
        <v>9</v>
      </c>
      <c r="AB959">
        <v>3</v>
      </c>
      <c r="AC959">
        <v>0</v>
      </c>
      <c r="AD959">
        <v>10</v>
      </c>
      <c r="AE959">
        <v>0</v>
      </c>
      <c r="AF959">
        <v>3</v>
      </c>
      <c r="AG959">
        <v>2</v>
      </c>
      <c r="AH959">
        <v>0</v>
      </c>
      <c r="AI959" t="s">
        <v>756</v>
      </c>
      <c r="AJ959">
        <v>39.695062999999998</v>
      </c>
      <c r="AK959" t="s">
        <v>757</v>
      </c>
      <c r="AL959">
        <v>-92.523207999999997</v>
      </c>
      <c r="AM959">
        <v>100</v>
      </c>
      <c r="AN959">
        <v>1700</v>
      </c>
      <c r="AO959" t="s">
        <v>118</v>
      </c>
      <c r="AP959">
        <v>-32</v>
      </c>
      <c r="AQ959">
        <v>122</v>
      </c>
      <c r="AR959">
        <v>192</v>
      </c>
      <c r="AZ959">
        <v>1200</v>
      </c>
      <c r="BA959">
        <v>1</v>
      </c>
      <c r="BB959" t="str">
        <f t="shared" si="45"/>
        <v xml:space="preserve">N8080G  </v>
      </c>
      <c r="BC959">
        <v>1</v>
      </c>
      <c r="BE959">
        <v>0</v>
      </c>
      <c r="BF959">
        <v>0</v>
      </c>
      <c r="BG959">
        <v>0</v>
      </c>
      <c r="BH959">
        <v>1700</v>
      </c>
      <c r="BI959">
        <v>1</v>
      </c>
      <c r="BJ959">
        <v>1</v>
      </c>
      <c r="BK959">
        <v>1</v>
      </c>
      <c r="BL959">
        <v>0</v>
      </c>
      <c r="BO959">
        <v>0</v>
      </c>
      <c r="BP959">
        <v>0</v>
      </c>
      <c r="BW959" t="str">
        <f>"20:17:12.154"</f>
        <v>20:17:12.154</v>
      </c>
      <c r="BZ959">
        <v>0</v>
      </c>
      <c r="CA959">
        <v>2016</v>
      </c>
      <c r="CB959">
        <v>224</v>
      </c>
      <c r="CD959">
        <v>1</v>
      </c>
      <c r="CE959">
        <v>0</v>
      </c>
      <c r="CF959">
        <v>0</v>
      </c>
      <c r="CG959">
        <v>1</v>
      </c>
      <c r="CH959">
        <v>0</v>
      </c>
      <c r="CI959">
        <v>0</v>
      </c>
      <c r="CJ959">
        <v>0</v>
      </c>
      <c r="CK959">
        <v>2</v>
      </c>
      <c r="CL959">
        <v>0</v>
      </c>
      <c r="CM959">
        <v>2</v>
      </c>
      <c r="CN959">
        <v>0</v>
      </c>
      <c r="CO959">
        <v>7</v>
      </c>
      <c r="CP959" t="s">
        <v>119</v>
      </c>
      <c r="CQ959">
        <v>180</v>
      </c>
      <c r="CR959">
        <v>2</v>
      </c>
      <c r="CW959">
        <v>8026114</v>
      </c>
      <c r="CY959">
        <v>1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</row>
    <row r="960" spans="1:113" x14ac:dyDescent="0.3">
      <c r="A960" t="str">
        <f>"02/08/2021 20:17:09.824"</f>
        <v>02/08/2021 20:17:09.824</v>
      </c>
      <c r="C960" t="str">
        <f t="shared" si="44"/>
        <v>FFDFD7C0</v>
      </c>
      <c r="D960" t="s">
        <v>113</v>
      </c>
      <c r="E960">
        <v>6</v>
      </c>
      <c r="H960">
        <v>165</v>
      </c>
      <c r="I960" t="s">
        <v>114</v>
      </c>
      <c r="J960" t="s">
        <v>115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>"20:17:12.148"</f>
        <v>20:17:12.148</v>
      </c>
      <c r="T960" t="str">
        <f>"20:17:11.648"</f>
        <v>20:17:11.648</v>
      </c>
      <c r="U960" t="str">
        <f t="shared" si="43"/>
        <v>AB01F4</v>
      </c>
      <c r="V960">
        <v>0</v>
      </c>
      <c r="W960">
        <v>0</v>
      </c>
      <c r="X960">
        <v>2</v>
      </c>
      <c r="Z960">
        <v>0</v>
      </c>
      <c r="AA960">
        <v>9</v>
      </c>
      <c r="AB960">
        <v>3</v>
      </c>
      <c r="AC960">
        <v>0</v>
      </c>
      <c r="AD960">
        <v>10</v>
      </c>
      <c r="AE960">
        <v>0</v>
      </c>
      <c r="AF960">
        <v>3</v>
      </c>
      <c r="AG960">
        <v>2</v>
      </c>
      <c r="AH960">
        <v>0</v>
      </c>
      <c r="AI960" t="s">
        <v>756</v>
      </c>
      <c r="AJ960">
        <v>39.695062999999998</v>
      </c>
      <c r="AK960" t="s">
        <v>757</v>
      </c>
      <c r="AL960">
        <v>-92.523207999999997</v>
      </c>
      <c r="AM960">
        <v>100</v>
      </c>
      <c r="AN960">
        <v>1700</v>
      </c>
      <c r="AO960" t="s">
        <v>118</v>
      </c>
      <c r="AP960">
        <v>-32</v>
      </c>
      <c r="AQ960">
        <v>122</v>
      </c>
      <c r="AR960">
        <v>192</v>
      </c>
      <c r="AZ960">
        <v>1200</v>
      </c>
      <c r="BA960">
        <v>1</v>
      </c>
      <c r="BB960" t="str">
        <f t="shared" si="45"/>
        <v xml:space="preserve">N8080G  </v>
      </c>
      <c r="BC960">
        <v>1</v>
      </c>
      <c r="BE960">
        <v>0</v>
      </c>
      <c r="BF960">
        <v>0</v>
      </c>
      <c r="BG960">
        <v>0</v>
      </c>
      <c r="BH960">
        <v>1700</v>
      </c>
      <c r="BI960">
        <v>1</v>
      </c>
      <c r="BJ960">
        <v>1</v>
      </c>
      <c r="BK960">
        <v>1</v>
      </c>
      <c r="BL960">
        <v>0</v>
      </c>
      <c r="BO960">
        <v>0</v>
      </c>
      <c r="BP960">
        <v>0</v>
      </c>
      <c r="BW960" t="str">
        <f>"20:17:12.154"</f>
        <v>20:17:12.154</v>
      </c>
      <c r="BZ960">
        <v>0</v>
      </c>
      <c r="CA960">
        <v>2016</v>
      </c>
      <c r="CB960">
        <v>224</v>
      </c>
      <c r="CD960">
        <v>1</v>
      </c>
      <c r="CE960">
        <v>0</v>
      </c>
      <c r="CF960">
        <v>0</v>
      </c>
      <c r="CG960">
        <v>1</v>
      </c>
      <c r="CH960">
        <v>0</v>
      </c>
      <c r="CI960">
        <v>0</v>
      </c>
      <c r="CJ960">
        <v>0</v>
      </c>
      <c r="CK960">
        <v>2</v>
      </c>
      <c r="CL960">
        <v>0</v>
      </c>
      <c r="CM960">
        <v>2</v>
      </c>
      <c r="CN960">
        <v>0</v>
      </c>
      <c r="CO960">
        <v>7</v>
      </c>
      <c r="CP960" t="s">
        <v>119</v>
      </c>
      <c r="CQ960">
        <v>180</v>
      </c>
      <c r="CR960">
        <v>2</v>
      </c>
      <c r="CW960">
        <v>8026114</v>
      </c>
      <c r="CY960">
        <v>1</v>
      </c>
      <c r="CZ960">
        <v>0</v>
      </c>
      <c r="DA960">
        <v>1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</row>
    <row r="961" spans="1:113" x14ac:dyDescent="0.3">
      <c r="A961" t="str">
        <f>"02/08/2021 20:17:09.824"</f>
        <v>02/08/2021 20:17:09.824</v>
      </c>
      <c r="C961" t="str">
        <f t="shared" si="44"/>
        <v>FFDFD7C0</v>
      </c>
      <c r="D961" t="s">
        <v>124</v>
      </c>
      <c r="E961">
        <v>13</v>
      </c>
      <c r="F961">
        <v>1013</v>
      </c>
      <c r="G961" t="s">
        <v>114</v>
      </c>
      <c r="J961" t="s">
        <v>125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>"20:17:12.148"</f>
        <v>20:17:12.148</v>
      </c>
      <c r="T961" t="str">
        <f>"20:17:11.648"</f>
        <v>20:17:11.648</v>
      </c>
      <c r="U961" t="str">
        <f t="shared" si="43"/>
        <v>AB01F4</v>
      </c>
      <c r="V961">
        <v>0</v>
      </c>
      <c r="W961">
        <v>0</v>
      </c>
      <c r="X961">
        <v>2</v>
      </c>
      <c r="Z961">
        <v>0</v>
      </c>
      <c r="AA961">
        <v>9</v>
      </c>
      <c r="AB961">
        <v>3</v>
      </c>
      <c r="AC961">
        <v>0</v>
      </c>
      <c r="AD961">
        <v>10</v>
      </c>
      <c r="AE961">
        <v>0</v>
      </c>
      <c r="AF961">
        <v>3</v>
      </c>
      <c r="AG961">
        <v>2</v>
      </c>
      <c r="AH961">
        <v>0</v>
      </c>
      <c r="AI961" t="s">
        <v>756</v>
      </c>
      <c r="AJ961">
        <v>39.695062999999998</v>
      </c>
      <c r="AK961" t="s">
        <v>757</v>
      </c>
      <c r="AL961">
        <v>-92.523207999999997</v>
      </c>
      <c r="AM961">
        <v>100</v>
      </c>
      <c r="AN961">
        <v>1700</v>
      </c>
      <c r="AO961" t="s">
        <v>118</v>
      </c>
      <c r="AP961">
        <v>-32</v>
      </c>
      <c r="AQ961">
        <v>122</v>
      </c>
      <c r="AR961">
        <v>192</v>
      </c>
      <c r="AZ961">
        <v>1200</v>
      </c>
      <c r="BA961">
        <v>1</v>
      </c>
      <c r="BB961" t="str">
        <f t="shared" si="45"/>
        <v xml:space="preserve">N8080G  </v>
      </c>
      <c r="BC961">
        <v>1</v>
      </c>
      <c r="BE961">
        <v>0</v>
      </c>
      <c r="BF961">
        <v>0</v>
      </c>
      <c r="BG961">
        <v>0</v>
      </c>
      <c r="BH961">
        <v>1700</v>
      </c>
      <c r="BI961">
        <v>1</v>
      </c>
      <c r="BJ961">
        <v>1</v>
      </c>
      <c r="BK961">
        <v>1</v>
      </c>
      <c r="BL961">
        <v>0</v>
      </c>
      <c r="BO961">
        <v>0</v>
      </c>
      <c r="BP961">
        <v>0</v>
      </c>
      <c r="BW961" t="str">
        <f>"20:17:12.154"</f>
        <v>20:17:12.154</v>
      </c>
      <c r="BZ961">
        <v>0</v>
      </c>
      <c r="CA961">
        <v>2016</v>
      </c>
      <c r="CB961">
        <v>224</v>
      </c>
      <c r="CD961">
        <v>1</v>
      </c>
      <c r="CE961">
        <v>0</v>
      </c>
      <c r="CF961">
        <v>0</v>
      </c>
      <c r="CG961">
        <v>1</v>
      </c>
      <c r="CH961">
        <v>0</v>
      </c>
      <c r="CI961">
        <v>0</v>
      </c>
      <c r="CJ961">
        <v>0</v>
      </c>
      <c r="CK961">
        <v>2</v>
      </c>
      <c r="CL961">
        <v>0</v>
      </c>
      <c r="CM961">
        <v>2</v>
      </c>
      <c r="CN961">
        <v>0</v>
      </c>
      <c r="CO961">
        <v>7</v>
      </c>
      <c r="CP961" t="s">
        <v>119</v>
      </c>
      <c r="CQ961">
        <v>180</v>
      </c>
      <c r="CR961">
        <v>2</v>
      </c>
      <c r="CW961">
        <v>8026114</v>
      </c>
      <c r="CY961">
        <v>1</v>
      </c>
      <c r="CZ961">
        <v>0</v>
      </c>
      <c r="DA961">
        <v>1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</row>
    <row r="962" spans="1:113" x14ac:dyDescent="0.3">
      <c r="A962" t="str">
        <f>"02/08/2021 20:17:09.824"</f>
        <v>02/08/2021 20:17:09.824</v>
      </c>
      <c r="C962" t="str">
        <f t="shared" si="44"/>
        <v>FFDFD7C0</v>
      </c>
      <c r="D962" t="s">
        <v>124</v>
      </c>
      <c r="E962">
        <v>12</v>
      </c>
      <c r="F962">
        <v>1012</v>
      </c>
      <c r="G962" t="s">
        <v>675</v>
      </c>
      <c r="J962" t="s">
        <v>125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>"20:17:12.148"</f>
        <v>20:17:12.148</v>
      </c>
      <c r="T962" t="str">
        <f>"20:17:11.648"</f>
        <v>20:17:11.648</v>
      </c>
      <c r="U962" t="str">
        <f t="shared" ref="U962:U1025" si="46">"AB01F4"</f>
        <v>AB01F4</v>
      </c>
      <c r="V962">
        <v>0</v>
      </c>
      <c r="W962">
        <v>0</v>
      </c>
      <c r="X962">
        <v>2</v>
      </c>
      <c r="Z962">
        <v>0</v>
      </c>
      <c r="AA962">
        <v>9</v>
      </c>
      <c r="AB962">
        <v>3</v>
      </c>
      <c r="AC962">
        <v>0</v>
      </c>
      <c r="AD962">
        <v>10</v>
      </c>
      <c r="AE962">
        <v>0</v>
      </c>
      <c r="AF962">
        <v>3</v>
      </c>
      <c r="AG962">
        <v>2</v>
      </c>
      <c r="AH962">
        <v>0</v>
      </c>
      <c r="AI962" t="s">
        <v>756</v>
      </c>
      <c r="AJ962">
        <v>39.695062999999998</v>
      </c>
      <c r="AK962" t="s">
        <v>757</v>
      </c>
      <c r="AL962">
        <v>-92.523207999999997</v>
      </c>
      <c r="AM962">
        <v>100</v>
      </c>
      <c r="AN962">
        <v>1700</v>
      </c>
      <c r="AO962" t="s">
        <v>118</v>
      </c>
      <c r="AP962">
        <v>-32</v>
      </c>
      <c r="AQ962">
        <v>122</v>
      </c>
      <c r="AR962">
        <v>192</v>
      </c>
      <c r="AZ962">
        <v>1200</v>
      </c>
      <c r="BA962">
        <v>1</v>
      </c>
      <c r="BB962" t="str">
        <f t="shared" si="45"/>
        <v xml:space="preserve">N8080G  </v>
      </c>
      <c r="BC962">
        <v>1</v>
      </c>
      <c r="BE962">
        <v>0</v>
      </c>
      <c r="BF962">
        <v>0</v>
      </c>
      <c r="BG962">
        <v>0</v>
      </c>
      <c r="BH962">
        <v>1700</v>
      </c>
      <c r="BI962">
        <v>1</v>
      </c>
      <c r="BJ962">
        <v>1</v>
      </c>
      <c r="BK962">
        <v>1</v>
      </c>
      <c r="BL962">
        <v>0</v>
      </c>
      <c r="BO962">
        <v>0</v>
      </c>
      <c r="BP962">
        <v>0</v>
      </c>
      <c r="BW962" t="str">
        <f>"20:17:12.154"</f>
        <v>20:17:12.154</v>
      </c>
      <c r="BZ962">
        <v>0</v>
      </c>
      <c r="CA962">
        <v>2016</v>
      </c>
      <c r="CB962">
        <v>224</v>
      </c>
      <c r="CD962">
        <v>1</v>
      </c>
      <c r="CE962">
        <v>0</v>
      </c>
      <c r="CF962">
        <v>0</v>
      </c>
      <c r="CG962">
        <v>1</v>
      </c>
      <c r="CH962">
        <v>0</v>
      </c>
      <c r="CI962">
        <v>0</v>
      </c>
      <c r="CJ962">
        <v>0</v>
      </c>
      <c r="CK962">
        <v>2</v>
      </c>
      <c r="CL962">
        <v>0</v>
      </c>
      <c r="CM962">
        <v>2</v>
      </c>
      <c r="CN962">
        <v>0</v>
      </c>
      <c r="CO962">
        <v>7</v>
      </c>
      <c r="CP962" t="s">
        <v>119</v>
      </c>
      <c r="CQ962">
        <v>180</v>
      </c>
      <c r="CR962">
        <v>2</v>
      </c>
      <c r="CW962">
        <v>8026114</v>
      </c>
      <c r="CY962">
        <v>1</v>
      </c>
      <c r="CZ962">
        <v>0</v>
      </c>
      <c r="DA962">
        <v>1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</row>
    <row r="963" spans="1:113" x14ac:dyDescent="0.3">
      <c r="A963" t="str">
        <f>"02/08/2021 20:17:10.882"</f>
        <v>02/08/2021 20:17:10.882</v>
      </c>
      <c r="C963" t="str">
        <f t="shared" si="44"/>
        <v>FFDFD7C0</v>
      </c>
      <c r="D963" t="s">
        <v>124</v>
      </c>
      <c r="E963">
        <v>11</v>
      </c>
      <c r="F963">
        <v>1011</v>
      </c>
      <c r="G963" t="s">
        <v>590</v>
      </c>
      <c r="J963" t="s">
        <v>125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>"20:17:13.180"</f>
        <v>20:17:13.180</v>
      </c>
      <c r="T963" t="str">
        <f>"20:17:12.780"</f>
        <v>20:17:12.780</v>
      </c>
      <c r="U963" t="str">
        <f t="shared" si="46"/>
        <v>AB01F4</v>
      </c>
      <c r="V963">
        <v>0</v>
      </c>
      <c r="W963">
        <v>0</v>
      </c>
      <c r="X963">
        <v>2</v>
      </c>
      <c r="Z963">
        <v>0</v>
      </c>
      <c r="AA963">
        <v>9</v>
      </c>
      <c r="AB963">
        <v>3</v>
      </c>
      <c r="AC963">
        <v>0</v>
      </c>
      <c r="AD963">
        <v>10</v>
      </c>
      <c r="AE963">
        <v>0</v>
      </c>
      <c r="AF963">
        <v>3</v>
      </c>
      <c r="AG963">
        <v>2</v>
      </c>
      <c r="AH963">
        <v>0</v>
      </c>
      <c r="AI963" t="s">
        <v>758</v>
      </c>
      <c r="AJ963">
        <v>39.695621000000003</v>
      </c>
      <c r="AK963" t="s">
        <v>759</v>
      </c>
      <c r="AL963">
        <v>-92.523401000000007</v>
      </c>
      <c r="AM963">
        <v>100</v>
      </c>
      <c r="AN963">
        <v>1700</v>
      </c>
      <c r="AO963" t="s">
        <v>118</v>
      </c>
      <c r="AP963">
        <v>-32</v>
      </c>
      <c r="AQ963">
        <v>122</v>
      </c>
      <c r="AR963">
        <v>64</v>
      </c>
      <c r="AZ963">
        <v>1200</v>
      </c>
      <c r="BA963">
        <v>1</v>
      </c>
      <c r="BB963" t="str">
        <f t="shared" si="45"/>
        <v xml:space="preserve">N8080G  </v>
      </c>
      <c r="BC963">
        <v>1</v>
      </c>
      <c r="BE963">
        <v>0</v>
      </c>
      <c r="BF963">
        <v>0</v>
      </c>
      <c r="BG963">
        <v>0</v>
      </c>
      <c r="BH963">
        <v>1700</v>
      </c>
      <c r="BI963">
        <v>1</v>
      </c>
      <c r="BJ963">
        <v>1</v>
      </c>
      <c r="BK963">
        <v>1</v>
      </c>
      <c r="BL963">
        <v>0</v>
      </c>
      <c r="BO963">
        <v>0</v>
      </c>
      <c r="BP963">
        <v>0</v>
      </c>
      <c r="BW963" t="str">
        <f>"20:17:13.184"</f>
        <v>20:17:13.184</v>
      </c>
      <c r="BZ963">
        <v>0</v>
      </c>
      <c r="CA963">
        <v>2016</v>
      </c>
      <c r="CB963">
        <v>224</v>
      </c>
      <c r="CD963">
        <v>1</v>
      </c>
      <c r="CE963">
        <v>0</v>
      </c>
      <c r="CF963">
        <v>0</v>
      </c>
      <c r="CG963">
        <v>1</v>
      </c>
      <c r="CH963">
        <v>0</v>
      </c>
      <c r="CI963">
        <v>0</v>
      </c>
      <c r="CJ963">
        <v>0</v>
      </c>
      <c r="CK963">
        <v>2</v>
      </c>
      <c r="CL963">
        <v>0</v>
      </c>
      <c r="CM963">
        <v>2</v>
      </c>
      <c r="CN963">
        <v>0</v>
      </c>
      <c r="CO963">
        <v>7</v>
      </c>
      <c r="CP963" t="s">
        <v>119</v>
      </c>
      <c r="CQ963">
        <v>180</v>
      </c>
      <c r="CR963">
        <v>2</v>
      </c>
      <c r="CW963">
        <v>8026959</v>
      </c>
      <c r="CY963">
        <v>1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</row>
    <row r="964" spans="1:113" x14ac:dyDescent="0.3">
      <c r="A964" t="str">
        <f>"02/08/2021 20:17:10.882"</f>
        <v>02/08/2021 20:17:10.882</v>
      </c>
      <c r="C964" t="str">
        <f t="shared" si="44"/>
        <v>FFDFD7C0</v>
      </c>
      <c r="D964" t="s">
        <v>113</v>
      </c>
      <c r="E964">
        <v>6</v>
      </c>
      <c r="H964">
        <v>165</v>
      </c>
      <c r="I964" t="s">
        <v>114</v>
      </c>
      <c r="J964" t="s">
        <v>115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>"20:17:13.180"</f>
        <v>20:17:13.180</v>
      </c>
      <c r="T964" t="str">
        <f>"20:17:12.780"</f>
        <v>20:17:12.780</v>
      </c>
      <c r="U964" t="str">
        <f t="shared" si="46"/>
        <v>AB01F4</v>
      </c>
      <c r="V964">
        <v>0</v>
      </c>
      <c r="W964">
        <v>0</v>
      </c>
      <c r="X964">
        <v>2</v>
      </c>
      <c r="Z964">
        <v>0</v>
      </c>
      <c r="AA964">
        <v>9</v>
      </c>
      <c r="AB964">
        <v>3</v>
      </c>
      <c r="AC964">
        <v>0</v>
      </c>
      <c r="AD964">
        <v>10</v>
      </c>
      <c r="AE964">
        <v>0</v>
      </c>
      <c r="AF964">
        <v>3</v>
      </c>
      <c r="AG964">
        <v>2</v>
      </c>
      <c r="AH964">
        <v>0</v>
      </c>
      <c r="AI964" t="s">
        <v>758</v>
      </c>
      <c r="AJ964">
        <v>39.695621000000003</v>
      </c>
      <c r="AK964" t="s">
        <v>759</v>
      </c>
      <c r="AL964">
        <v>-92.523401000000007</v>
      </c>
      <c r="AM964">
        <v>100</v>
      </c>
      <c r="AN964">
        <v>1700</v>
      </c>
      <c r="AO964" t="s">
        <v>118</v>
      </c>
      <c r="AP964">
        <v>-32</v>
      </c>
      <c r="AQ964">
        <v>122</v>
      </c>
      <c r="AR964">
        <v>64</v>
      </c>
      <c r="AZ964">
        <v>1200</v>
      </c>
      <c r="BA964">
        <v>1</v>
      </c>
      <c r="BB964" t="str">
        <f t="shared" si="45"/>
        <v xml:space="preserve">N8080G  </v>
      </c>
      <c r="BC964">
        <v>1</v>
      </c>
      <c r="BE964">
        <v>0</v>
      </c>
      <c r="BF964">
        <v>0</v>
      </c>
      <c r="BG964">
        <v>0</v>
      </c>
      <c r="BH964">
        <v>1700</v>
      </c>
      <c r="BI964">
        <v>1</v>
      </c>
      <c r="BJ964">
        <v>1</v>
      </c>
      <c r="BK964">
        <v>1</v>
      </c>
      <c r="BL964">
        <v>0</v>
      </c>
      <c r="BO964">
        <v>0</v>
      </c>
      <c r="BP964">
        <v>0</v>
      </c>
      <c r="BW964" t="str">
        <f>"20:17:13.184"</f>
        <v>20:17:13.184</v>
      </c>
      <c r="BZ964">
        <v>0</v>
      </c>
      <c r="CA964">
        <v>2016</v>
      </c>
      <c r="CB964">
        <v>224</v>
      </c>
      <c r="CD964">
        <v>1</v>
      </c>
      <c r="CE964">
        <v>0</v>
      </c>
      <c r="CF964">
        <v>0</v>
      </c>
      <c r="CG964">
        <v>1</v>
      </c>
      <c r="CH964">
        <v>0</v>
      </c>
      <c r="CI964">
        <v>0</v>
      </c>
      <c r="CJ964">
        <v>0</v>
      </c>
      <c r="CK964">
        <v>2</v>
      </c>
      <c r="CL964">
        <v>0</v>
      </c>
      <c r="CM964">
        <v>2</v>
      </c>
      <c r="CN964">
        <v>0</v>
      </c>
      <c r="CO964">
        <v>7</v>
      </c>
      <c r="CP964" t="s">
        <v>119</v>
      </c>
      <c r="CQ964">
        <v>180</v>
      </c>
      <c r="CR964">
        <v>2</v>
      </c>
      <c r="CW964">
        <v>8026959</v>
      </c>
      <c r="CY964">
        <v>1</v>
      </c>
      <c r="CZ964">
        <v>0</v>
      </c>
      <c r="DA964">
        <v>1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</row>
    <row r="965" spans="1:113" x14ac:dyDescent="0.3">
      <c r="A965" t="str">
        <f>"02/08/2021 20:17:10.882"</f>
        <v>02/08/2021 20:17:10.882</v>
      </c>
      <c r="C965" t="str">
        <f t="shared" si="44"/>
        <v>FFDFD7C0</v>
      </c>
      <c r="D965" t="s">
        <v>124</v>
      </c>
      <c r="E965">
        <v>13</v>
      </c>
      <c r="F965">
        <v>1013</v>
      </c>
      <c r="G965" t="s">
        <v>114</v>
      </c>
      <c r="J965" t="s">
        <v>125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>"20:17:13.180"</f>
        <v>20:17:13.180</v>
      </c>
      <c r="T965" t="str">
        <f>"20:17:12.780"</f>
        <v>20:17:12.780</v>
      </c>
      <c r="U965" t="str">
        <f t="shared" si="46"/>
        <v>AB01F4</v>
      </c>
      <c r="V965">
        <v>0</v>
      </c>
      <c r="W965">
        <v>0</v>
      </c>
      <c r="X965">
        <v>2</v>
      </c>
      <c r="Z965">
        <v>0</v>
      </c>
      <c r="AA965">
        <v>9</v>
      </c>
      <c r="AB965">
        <v>3</v>
      </c>
      <c r="AC965">
        <v>0</v>
      </c>
      <c r="AD965">
        <v>10</v>
      </c>
      <c r="AE965">
        <v>0</v>
      </c>
      <c r="AF965">
        <v>3</v>
      </c>
      <c r="AG965">
        <v>2</v>
      </c>
      <c r="AH965">
        <v>0</v>
      </c>
      <c r="AI965" t="s">
        <v>758</v>
      </c>
      <c r="AJ965">
        <v>39.695621000000003</v>
      </c>
      <c r="AK965" t="s">
        <v>759</v>
      </c>
      <c r="AL965">
        <v>-92.523401000000007</v>
      </c>
      <c r="AM965">
        <v>100</v>
      </c>
      <c r="AN965">
        <v>1700</v>
      </c>
      <c r="AO965" t="s">
        <v>118</v>
      </c>
      <c r="AP965">
        <v>-32</v>
      </c>
      <c r="AQ965">
        <v>122</v>
      </c>
      <c r="AR965">
        <v>64</v>
      </c>
      <c r="AZ965">
        <v>1200</v>
      </c>
      <c r="BA965">
        <v>1</v>
      </c>
      <c r="BB965" t="str">
        <f t="shared" si="45"/>
        <v xml:space="preserve">N8080G  </v>
      </c>
      <c r="BC965">
        <v>1</v>
      </c>
      <c r="BE965">
        <v>0</v>
      </c>
      <c r="BF965">
        <v>0</v>
      </c>
      <c r="BG965">
        <v>0</v>
      </c>
      <c r="BH965">
        <v>1700</v>
      </c>
      <c r="BI965">
        <v>1</v>
      </c>
      <c r="BJ965">
        <v>1</v>
      </c>
      <c r="BK965">
        <v>1</v>
      </c>
      <c r="BL965">
        <v>0</v>
      </c>
      <c r="BO965">
        <v>0</v>
      </c>
      <c r="BP965">
        <v>0</v>
      </c>
      <c r="BW965" t="str">
        <f>"20:17:13.184"</f>
        <v>20:17:13.184</v>
      </c>
      <c r="BZ965">
        <v>0</v>
      </c>
      <c r="CA965">
        <v>2016</v>
      </c>
      <c r="CB965">
        <v>224</v>
      </c>
      <c r="CD965">
        <v>1</v>
      </c>
      <c r="CE965">
        <v>0</v>
      </c>
      <c r="CF965">
        <v>0</v>
      </c>
      <c r="CG965">
        <v>1</v>
      </c>
      <c r="CH965">
        <v>0</v>
      </c>
      <c r="CI965">
        <v>0</v>
      </c>
      <c r="CJ965">
        <v>0</v>
      </c>
      <c r="CK965">
        <v>2</v>
      </c>
      <c r="CL965">
        <v>0</v>
      </c>
      <c r="CM965">
        <v>2</v>
      </c>
      <c r="CN965">
        <v>0</v>
      </c>
      <c r="CO965">
        <v>7</v>
      </c>
      <c r="CP965" t="s">
        <v>119</v>
      </c>
      <c r="CQ965">
        <v>180</v>
      </c>
      <c r="CR965">
        <v>2</v>
      </c>
      <c r="CW965">
        <v>8026959</v>
      </c>
      <c r="CY965">
        <v>1</v>
      </c>
      <c r="CZ965">
        <v>0</v>
      </c>
      <c r="DA965">
        <v>1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</row>
    <row r="966" spans="1:113" x14ac:dyDescent="0.3">
      <c r="A966" t="str">
        <f>"02/08/2021 20:17:10.882"</f>
        <v>02/08/2021 20:17:10.882</v>
      </c>
      <c r="C966" t="str">
        <f t="shared" si="44"/>
        <v>FFDFD7C0</v>
      </c>
      <c r="D966" t="s">
        <v>124</v>
      </c>
      <c r="E966">
        <v>12</v>
      </c>
      <c r="F966">
        <v>1012</v>
      </c>
      <c r="G966" t="s">
        <v>675</v>
      </c>
      <c r="J966" t="s">
        <v>125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>"20:17:13.180"</f>
        <v>20:17:13.180</v>
      </c>
      <c r="T966" t="str">
        <f>"20:17:12.780"</f>
        <v>20:17:12.780</v>
      </c>
      <c r="U966" t="str">
        <f t="shared" si="46"/>
        <v>AB01F4</v>
      </c>
      <c r="V966">
        <v>0</v>
      </c>
      <c r="W966">
        <v>0</v>
      </c>
      <c r="X966">
        <v>2</v>
      </c>
      <c r="Z966">
        <v>0</v>
      </c>
      <c r="AA966">
        <v>9</v>
      </c>
      <c r="AB966">
        <v>3</v>
      </c>
      <c r="AC966">
        <v>0</v>
      </c>
      <c r="AD966">
        <v>10</v>
      </c>
      <c r="AE966">
        <v>0</v>
      </c>
      <c r="AF966">
        <v>3</v>
      </c>
      <c r="AG966">
        <v>2</v>
      </c>
      <c r="AH966">
        <v>0</v>
      </c>
      <c r="AI966" t="s">
        <v>758</v>
      </c>
      <c r="AJ966">
        <v>39.695621000000003</v>
      </c>
      <c r="AK966" t="s">
        <v>759</v>
      </c>
      <c r="AL966">
        <v>-92.523401000000007</v>
      </c>
      <c r="AM966">
        <v>100</v>
      </c>
      <c r="AN966">
        <v>1700</v>
      </c>
      <c r="AO966" t="s">
        <v>118</v>
      </c>
      <c r="AP966">
        <v>-32</v>
      </c>
      <c r="AQ966">
        <v>122</v>
      </c>
      <c r="AR966">
        <v>64</v>
      </c>
      <c r="AZ966">
        <v>1200</v>
      </c>
      <c r="BA966">
        <v>1</v>
      </c>
      <c r="BB966" t="str">
        <f t="shared" si="45"/>
        <v xml:space="preserve">N8080G  </v>
      </c>
      <c r="BC966">
        <v>1</v>
      </c>
      <c r="BE966">
        <v>0</v>
      </c>
      <c r="BF966">
        <v>0</v>
      </c>
      <c r="BG966">
        <v>0</v>
      </c>
      <c r="BH966">
        <v>1700</v>
      </c>
      <c r="BI966">
        <v>1</v>
      </c>
      <c r="BJ966">
        <v>1</v>
      </c>
      <c r="BK966">
        <v>1</v>
      </c>
      <c r="BL966">
        <v>0</v>
      </c>
      <c r="BO966">
        <v>0</v>
      </c>
      <c r="BP966">
        <v>0</v>
      </c>
      <c r="BW966" t="str">
        <f>"20:17:13.184"</f>
        <v>20:17:13.184</v>
      </c>
      <c r="BZ966">
        <v>0</v>
      </c>
      <c r="CA966">
        <v>2016</v>
      </c>
      <c r="CB966">
        <v>224</v>
      </c>
      <c r="CD966">
        <v>1</v>
      </c>
      <c r="CE966">
        <v>0</v>
      </c>
      <c r="CF966">
        <v>0</v>
      </c>
      <c r="CG966">
        <v>1</v>
      </c>
      <c r="CH966">
        <v>0</v>
      </c>
      <c r="CI966">
        <v>0</v>
      </c>
      <c r="CJ966">
        <v>0</v>
      </c>
      <c r="CK966">
        <v>2</v>
      </c>
      <c r="CL966">
        <v>0</v>
      </c>
      <c r="CM966">
        <v>2</v>
      </c>
      <c r="CN966">
        <v>0</v>
      </c>
      <c r="CO966">
        <v>7</v>
      </c>
      <c r="CP966" t="s">
        <v>119</v>
      </c>
      <c r="CQ966">
        <v>180</v>
      </c>
      <c r="CR966">
        <v>2</v>
      </c>
      <c r="CW966">
        <v>8026959</v>
      </c>
      <c r="CY966">
        <v>1</v>
      </c>
      <c r="CZ966">
        <v>0</v>
      </c>
      <c r="DA966">
        <v>1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</row>
    <row r="967" spans="1:113" x14ac:dyDescent="0.3">
      <c r="A967" t="str">
        <f>"02/08/2021 20:17:12.296"</f>
        <v>02/08/2021 20:17:12.296</v>
      </c>
      <c r="C967" t="str">
        <f t="shared" si="44"/>
        <v>FFDFD7C0</v>
      </c>
      <c r="D967" t="s">
        <v>124</v>
      </c>
      <c r="E967">
        <v>12</v>
      </c>
      <c r="F967">
        <v>1012</v>
      </c>
      <c r="G967" t="s">
        <v>675</v>
      </c>
      <c r="J967" t="s">
        <v>125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>"20:17:14.602"</f>
        <v>20:17:14.602</v>
      </c>
      <c r="T967" t="str">
        <f>"20:17:14.202"</f>
        <v>20:17:14.202</v>
      </c>
      <c r="U967" t="str">
        <f t="shared" si="46"/>
        <v>AB01F4</v>
      </c>
      <c r="V967">
        <v>0</v>
      </c>
      <c r="W967">
        <v>0</v>
      </c>
      <c r="X967">
        <v>2</v>
      </c>
      <c r="Z967">
        <v>0</v>
      </c>
      <c r="AA967">
        <v>9</v>
      </c>
      <c r="AB967">
        <v>3</v>
      </c>
      <c r="AC967">
        <v>0</v>
      </c>
      <c r="AD967">
        <v>10</v>
      </c>
      <c r="AE967">
        <v>0</v>
      </c>
      <c r="AF967">
        <v>3</v>
      </c>
      <c r="AG967">
        <v>2</v>
      </c>
      <c r="AH967">
        <v>0</v>
      </c>
      <c r="AI967" t="s">
        <v>760</v>
      </c>
      <c r="AJ967">
        <v>39.696393</v>
      </c>
      <c r="AK967" t="s">
        <v>761</v>
      </c>
      <c r="AL967">
        <v>-92.523701000000003</v>
      </c>
      <c r="AM967">
        <v>100</v>
      </c>
      <c r="AN967">
        <v>1700</v>
      </c>
      <c r="AO967" t="s">
        <v>118</v>
      </c>
      <c r="AP967">
        <v>-32</v>
      </c>
      <c r="AQ967">
        <v>122</v>
      </c>
      <c r="AR967">
        <v>-64</v>
      </c>
      <c r="AZ967">
        <v>1200</v>
      </c>
      <c r="BA967">
        <v>1</v>
      </c>
      <c r="BB967" t="str">
        <f t="shared" si="45"/>
        <v xml:space="preserve">N8080G  </v>
      </c>
      <c r="BC967">
        <v>1</v>
      </c>
      <c r="BE967">
        <v>0</v>
      </c>
      <c r="BF967">
        <v>0</v>
      </c>
      <c r="BG967">
        <v>0</v>
      </c>
      <c r="BH967">
        <v>1700</v>
      </c>
      <c r="BI967">
        <v>1</v>
      </c>
      <c r="BJ967">
        <v>1</v>
      </c>
      <c r="BK967">
        <v>1</v>
      </c>
      <c r="BL967">
        <v>0</v>
      </c>
      <c r="BO967">
        <v>0</v>
      </c>
      <c r="BP967">
        <v>0</v>
      </c>
      <c r="BW967" t="str">
        <f>"20:17:14.605"</f>
        <v>20:17:14.605</v>
      </c>
      <c r="BZ967">
        <v>0</v>
      </c>
      <c r="CA967">
        <v>2016</v>
      </c>
      <c r="CB967">
        <v>224</v>
      </c>
      <c r="CD967">
        <v>1</v>
      </c>
      <c r="CE967">
        <v>0</v>
      </c>
      <c r="CF967">
        <v>0</v>
      </c>
      <c r="CG967">
        <v>1</v>
      </c>
      <c r="CH967">
        <v>0</v>
      </c>
      <c r="CI967">
        <v>0</v>
      </c>
      <c r="CJ967">
        <v>0</v>
      </c>
      <c r="CK967">
        <v>2</v>
      </c>
      <c r="CL967">
        <v>0</v>
      </c>
      <c r="CM967">
        <v>2</v>
      </c>
      <c r="CN967">
        <v>0</v>
      </c>
      <c r="CO967">
        <v>7</v>
      </c>
      <c r="CP967" t="s">
        <v>119</v>
      </c>
      <c r="CQ967">
        <v>180</v>
      </c>
      <c r="CR967">
        <v>2</v>
      </c>
      <c r="CW967">
        <v>8028203</v>
      </c>
      <c r="CY967">
        <v>1</v>
      </c>
      <c r="CZ967">
        <v>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</row>
    <row r="968" spans="1:113" x14ac:dyDescent="0.3">
      <c r="A968" t="str">
        <f>"02/08/2021 20:17:12.296"</f>
        <v>02/08/2021 20:17:12.296</v>
      </c>
      <c r="C968" t="str">
        <f t="shared" si="44"/>
        <v>FFDFD7C0</v>
      </c>
      <c r="D968" t="s">
        <v>113</v>
      </c>
      <c r="E968">
        <v>6</v>
      </c>
      <c r="H968">
        <v>165</v>
      </c>
      <c r="I968" t="s">
        <v>114</v>
      </c>
      <c r="J968" t="s">
        <v>115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>"20:17:14.602"</f>
        <v>20:17:14.602</v>
      </c>
      <c r="T968" t="str">
        <f>"20:17:14.202"</f>
        <v>20:17:14.202</v>
      </c>
      <c r="U968" t="str">
        <f t="shared" si="46"/>
        <v>AB01F4</v>
      </c>
      <c r="V968">
        <v>0</v>
      </c>
      <c r="W968">
        <v>0</v>
      </c>
      <c r="X968">
        <v>2</v>
      </c>
      <c r="Z968">
        <v>0</v>
      </c>
      <c r="AA968">
        <v>9</v>
      </c>
      <c r="AB968">
        <v>3</v>
      </c>
      <c r="AC968">
        <v>0</v>
      </c>
      <c r="AD968">
        <v>10</v>
      </c>
      <c r="AE968">
        <v>0</v>
      </c>
      <c r="AF968">
        <v>3</v>
      </c>
      <c r="AG968">
        <v>2</v>
      </c>
      <c r="AH968">
        <v>0</v>
      </c>
      <c r="AI968" t="s">
        <v>760</v>
      </c>
      <c r="AJ968">
        <v>39.696393</v>
      </c>
      <c r="AK968" t="s">
        <v>761</v>
      </c>
      <c r="AL968">
        <v>-92.523701000000003</v>
      </c>
      <c r="AM968">
        <v>100</v>
      </c>
      <c r="AN968">
        <v>1700</v>
      </c>
      <c r="AO968" t="s">
        <v>118</v>
      </c>
      <c r="AP968">
        <v>-32</v>
      </c>
      <c r="AQ968">
        <v>122</v>
      </c>
      <c r="AR968">
        <v>-64</v>
      </c>
      <c r="AZ968">
        <v>1200</v>
      </c>
      <c r="BA968">
        <v>1</v>
      </c>
      <c r="BB968" t="str">
        <f t="shared" si="45"/>
        <v xml:space="preserve">N8080G  </v>
      </c>
      <c r="BC968">
        <v>1</v>
      </c>
      <c r="BE968">
        <v>0</v>
      </c>
      <c r="BF968">
        <v>0</v>
      </c>
      <c r="BG968">
        <v>0</v>
      </c>
      <c r="BH968">
        <v>1700</v>
      </c>
      <c r="BI968">
        <v>1</v>
      </c>
      <c r="BJ968">
        <v>1</v>
      </c>
      <c r="BK968">
        <v>1</v>
      </c>
      <c r="BL968">
        <v>0</v>
      </c>
      <c r="BO968">
        <v>0</v>
      </c>
      <c r="BP968">
        <v>0</v>
      </c>
      <c r="BW968" t="str">
        <f>"20:17:14.605"</f>
        <v>20:17:14.605</v>
      </c>
      <c r="BZ968">
        <v>0</v>
      </c>
      <c r="CA968">
        <v>2016</v>
      </c>
      <c r="CB968">
        <v>224</v>
      </c>
      <c r="CD968">
        <v>1</v>
      </c>
      <c r="CE968">
        <v>0</v>
      </c>
      <c r="CF968">
        <v>0</v>
      </c>
      <c r="CG968">
        <v>1</v>
      </c>
      <c r="CH968">
        <v>0</v>
      </c>
      <c r="CI968">
        <v>0</v>
      </c>
      <c r="CJ968">
        <v>0</v>
      </c>
      <c r="CK968">
        <v>2</v>
      </c>
      <c r="CL968">
        <v>0</v>
      </c>
      <c r="CM968">
        <v>2</v>
      </c>
      <c r="CN968">
        <v>0</v>
      </c>
      <c r="CO968">
        <v>7</v>
      </c>
      <c r="CP968" t="s">
        <v>119</v>
      </c>
      <c r="CQ968">
        <v>180</v>
      </c>
      <c r="CR968">
        <v>2</v>
      </c>
      <c r="CW968">
        <v>8028203</v>
      </c>
      <c r="CY968">
        <v>1</v>
      </c>
      <c r="CZ968">
        <v>0</v>
      </c>
      <c r="DA968">
        <v>1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</row>
    <row r="969" spans="1:113" x14ac:dyDescent="0.3">
      <c r="A969" t="str">
        <f>"02/08/2021 20:17:12.296"</f>
        <v>02/08/2021 20:17:12.296</v>
      </c>
      <c r="C969" t="str">
        <f t="shared" ref="C969:C1032" si="47">"FFDFD7C0"</f>
        <v>FFDFD7C0</v>
      </c>
      <c r="D969" t="s">
        <v>124</v>
      </c>
      <c r="E969">
        <v>13</v>
      </c>
      <c r="F969">
        <v>1013</v>
      </c>
      <c r="G969" t="s">
        <v>114</v>
      </c>
      <c r="J969" t="s">
        <v>125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>"20:17:14.602"</f>
        <v>20:17:14.602</v>
      </c>
      <c r="T969" t="str">
        <f>"20:17:14.202"</f>
        <v>20:17:14.202</v>
      </c>
      <c r="U969" t="str">
        <f t="shared" si="46"/>
        <v>AB01F4</v>
      </c>
      <c r="V969">
        <v>0</v>
      </c>
      <c r="W969">
        <v>0</v>
      </c>
      <c r="X969">
        <v>2</v>
      </c>
      <c r="Z969">
        <v>0</v>
      </c>
      <c r="AA969">
        <v>9</v>
      </c>
      <c r="AB969">
        <v>3</v>
      </c>
      <c r="AC969">
        <v>0</v>
      </c>
      <c r="AD969">
        <v>10</v>
      </c>
      <c r="AE969">
        <v>0</v>
      </c>
      <c r="AF969">
        <v>3</v>
      </c>
      <c r="AG969">
        <v>2</v>
      </c>
      <c r="AH969">
        <v>0</v>
      </c>
      <c r="AI969" t="s">
        <v>760</v>
      </c>
      <c r="AJ969">
        <v>39.696393</v>
      </c>
      <c r="AK969" t="s">
        <v>761</v>
      </c>
      <c r="AL969">
        <v>-92.523701000000003</v>
      </c>
      <c r="AM969">
        <v>100</v>
      </c>
      <c r="AN969">
        <v>1700</v>
      </c>
      <c r="AO969" t="s">
        <v>118</v>
      </c>
      <c r="AP969">
        <v>-32</v>
      </c>
      <c r="AQ969">
        <v>122</v>
      </c>
      <c r="AR969">
        <v>-64</v>
      </c>
      <c r="AZ969">
        <v>1200</v>
      </c>
      <c r="BA969">
        <v>1</v>
      </c>
      <c r="BB969" t="str">
        <f t="shared" si="45"/>
        <v xml:space="preserve">N8080G  </v>
      </c>
      <c r="BC969">
        <v>1</v>
      </c>
      <c r="BE969">
        <v>0</v>
      </c>
      <c r="BF969">
        <v>0</v>
      </c>
      <c r="BG969">
        <v>0</v>
      </c>
      <c r="BH969">
        <v>1700</v>
      </c>
      <c r="BI969">
        <v>1</v>
      </c>
      <c r="BJ969">
        <v>1</v>
      </c>
      <c r="BK969">
        <v>1</v>
      </c>
      <c r="BL969">
        <v>0</v>
      </c>
      <c r="BO969">
        <v>0</v>
      </c>
      <c r="BP969">
        <v>0</v>
      </c>
      <c r="BW969" t="str">
        <f>"20:17:14.605"</f>
        <v>20:17:14.605</v>
      </c>
      <c r="BZ969">
        <v>0</v>
      </c>
      <c r="CA969">
        <v>2016</v>
      </c>
      <c r="CB969">
        <v>224</v>
      </c>
      <c r="CD969">
        <v>1</v>
      </c>
      <c r="CE969">
        <v>0</v>
      </c>
      <c r="CF969">
        <v>0</v>
      </c>
      <c r="CG969">
        <v>1</v>
      </c>
      <c r="CH969">
        <v>0</v>
      </c>
      <c r="CI969">
        <v>0</v>
      </c>
      <c r="CJ969">
        <v>0</v>
      </c>
      <c r="CK969">
        <v>2</v>
      </c>
      <c r="CL969">
        <v>0</v>
      </c>
      <c r="CM969">
        <v>2</v>
      </c>
      <c r="CN969">
        <v>0</v>
      </c>
      <c r="CO969">
        <v>7</v>
      </c>
      <c r="CP969" t="s">
        <v>119</v>
      </c>
      <c r="CQ969">
        <v>180</v>
      </c>
      <c r="CR969">
        <v>2</v>
      </c>
      <c r="CW969">
        <v>8028203</v>
      </c>
      <c r="CY969">
        <v>1</v>
      </c>
      <c r="CZ969">
        <v>0</v>
      </c>
      <c r="DA969">
        <v>1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</row>
    <row r="970" spans="1:113" x14ac:dyDescent="0.3">
      <c r="A970" t="str">
        <f>"02/08/2021 20:17:12.296"</f>
        <v>02/08/2021 20:17:12.296</v>
      </c>
      <c r="C970" t="str">
        <f t="shared" si="47"/>
        <v>FFDFD7C0</v>
      </c>
      <c r="D970" t="s">
        <v>124</v>
      </c>
      <c r="E970">
        <v>11</v>
      </c>
      <c r="F970">
        <v>1011</v>
      </c>
      <c r="G970" t="s">
        <v>590</v>
      </c>
      <c r="J970" t="s">
        <v>125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>"20:17:14.602"</f>
        <v>20:17:14.602</v>
      </c>
      <c r="T970" t="str">
        <f>"20:17:14.202"</f>
        <v>20:17:14.202</v>
      </c>
      <c r="U970" t="str">
        <f t="shared" si="46"/>
        <v>AB01F4</v>
      </c>
      <c r="V970">
        <v>0</v>
      </c>
      <c r="W970">
        <v>0</v>
      </c>
      <c r="X970">
        <v>2</v>
      </c>
      <c r="Z970">
        <v>0</v>
      </c>
      <c r="AA970">
        <v>9</v>
      </c>
      <c r="AB970">
        <v>3</v>
      </c>
      <c r="AC970">
        <v>0</v>
      </c>
      <c r="AD970">
        <v>10</v>
      </c>
      <c r="AE970">
        <v>0</v>
      </c>
      <c r="AF970">
        <v>3</v>
      </c>
      <c r="AG970">
        <v>2</v>
      </c>
      <c r="AH970">
        <v>0</v>
      </c>
      <c r="AI970" t="s">
        <v>760</v>
      </c>
      <c r="AJ970">
        <v>39.696393</v>
      </c>
      <c r="AK970" t="s">
        <v>761</v>
      </c>
      <c r="AL970">
        <v>-92.523701000000003</v>
      </c>
      <c r="AM970">
        <v>100</v>
      </c>
      <c r="AN970">
        <v>1700</v>
      </c>
      <c r="AO970" t="s">
        <v>118</v>
      </c>
      <c r="AP970">
        <v>-32</v>
      </c>
      <c r="AQ970">
        <v>122</v>
      </c>
      <c r="AR970">
        <v>-64</v>
      </c>
      <c r="AZ970">
        <v>1200</v>
      </c>
      <c r="BA970">
        <v>1</v>
      </c>
      <c r="BB970" t="str">
        <f t="shared" si="45"/>
        <v xml:space="preserve">N8080G  </v>
      </c>
      <c r="BC970">
        <v>1</v>
      </c>
      <c r="BE970">
        <v>0</v>
      </c>
      <c r="BF970">
        <v>0</v>
      </c>
      <c r="BG970">
        <v>0</v>
      </c>
      <c r="BH970">
        <v>1700</v>
      </c>
      <c r="BI970">
        <v>1</v>
      </c>
      <c r="BJ970">
        <v>1</v>
      </c>
      <c r="BK970">
        <v>1</v>
      </c>
      <c r="BL970">
        <v>0</v>
      </c>
      <c r="BO970">
        <v>0</v>
      </c>
      <c r="BP970">
        <v>0</v>
      </c>
      <c r="BW970" t="str">
        <f>"20:17:14.605"</f>
        <v>20:17:14.605</v>
      </c>
      <c r="BZ970">
        <v>0</v>
      </c>
      <c r="CA970">
        <v>2016</v>
      </c>
      <c r="CB970">
        <v>224</v>
      </c>
      <c r="CD970">
        <v>1</v>
      </c>
      <c r="CE970">
        <v>0</v>
      </c>
      <c r="CF970">
        <v>0</v>
      </c>
      <c r="CG970">
        <v>1</v>
      </c>
      <c r="CH970">
        <v>0</v>
      </c>
      <c r="CI970">
        <v>0</v>
      </c>
      <c r="CJ970">
        <v>0</v>
      </c>
      <c r="CK970">
        <v>2</v>
      </c>
      <c r="CL970">
        <v>0</v>
      </c>
      <c r="CM970">
        <v>2</v>
      </c>
      <c r="CN970">
        <v>0</v>
      </c>
      <c r="CO970">
        <v>7</v>
      </c>
      <c r="CP970" t="s">
        <v>119</v>
      </c>
      <c r="CQ970">
        <v>180</v>
      </c>
      <c r="CR970">
        <v>2</v>
      </c>
      <c r="CW970">
        <v>8028203</v>
      </c>
      <c r="CY970">
        <v>1</v>
      </c>
      <c r="CZ970">
        <v>0</v>
      </c>
      <c r="DA970">
        <v>1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</row>
    <row r="971" spans="1:113" x14ac:dyDescent="0.3">
      <c r="A971" t="str">
        <f>"02/08/2021 20:17:13.649"</f>
        <v>02/08/2021 20:17:13.649</v>
      </c>
      <c r="C971" t="str">
        <f t="shared" si="47"/>
        <v>FFDFD7C0</v>
      </c>
      <c r="D971" t="s">
        <v>124</v>
      </c>
      <c r="E971">
        <v>13</v>
      </c>
      <c r="F971">
        <v>1013</v>
      </c>
      <c r="G971" t="s">
        <v>114</v>
      </c>
      <c r="J971" t="s">
        <v>125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>"20:17:15.938"</f>
        <v>20:17:15.938</v>
      </c>
      <c r="T971" t="str">
        <f>"20:17:15.538"</f>
        <v>20:17:15.538</v>
      </c>
      <c r="U971" t="str">
        <f t="shared" si="46"/>
        <v>AB01F4</v>
      </c>
      <c r="V971">
        <v>0</v>
      </c>
      <c r="W971">
        <v>0</v>
      </c>
      <c r="X971">
        <v>2</v>
      </c>
      <c r="Z971">
        <v>0</v>
      </c>
      <c r="AA971">
        <v>9</v>
      </c>
      <c r="AB971">
        <v>3</v>
      </c>
      <c r="AC971">
        <v>0</v>
      </c>
      <c r="AD971">
        <v>10</v>
      </c>
      <c r="AE971">
        <v>0</v>
      </c>
      <c r="AF971">
        <v>3</v>
      </c>
      <c r="AG971">
        <v>2</v>
      </c>
      <c r="AH971">
        <v>0</v>
      </c>
      <c r="AI971" t="s">
        <v>762</v>
      </c>
      <c r="AJ971">
        <v>39.697164999999998</v>
      </c>
      <c r="AK971" t="s">
        <v>763</v>
      </c>
      <c r="AL971">
        <v>-92.523937000000004</v>
      </c>
      <c r="AM971">
        <v>100</v>
      </c>
      <c r="AN971">
        <v>1700</v>
      </c>
      <c r="AO971" t="s">
        <v>118</v>
      </c>
      <c r="AP971">
        <v>-32</v>
      </c>
      <c r="AQ971">
        <v>122</v>
      </c>
      <c r="AR971">
        <v>-64</v>
      </c>
      <c r="AZ971">
        <v>1200</v>
      </c>
      <c r="BA971">
        <v>1</v>
      </c>
      <c r="BB971" t="str">
        <f t="shared" si="45"/>
        <v xml:space="preserve">N8080G  </v>
      </c>
      <c r="BC971">
        <v>1</v>
      </c>
      <c r="BE971">
        <v>0</v>
      </c>
      <c r="BF971">
        <v>0</v>
      </c>
      <c r="BG971">
        <v>0</v>
      </c>
      <c r="BH971">
        <v>1700</v>
      </c>
      <c r="BI971">
        <v>1</v>
      </c>
      <c r="BJ971">
        <v>1</v>
      </c>
      <c r="BK971">
        <v>1</v>
      </c>
      <c r="BL971">
        <v>0</v>
      </c>
      <c r="BO971">
        <v>0</v>
      </c>
      <c r="BP971">
        <v>0</v>
      </c>
      <c r="BW971" t="str">
        <f>"20:17:15.940"</f>
        <v>20:17:15.940</v>
      </c>
      <c r="BZ971">
        <v>0</v>
      </c>
      <c r="CA971">
        <v>2016</v>
      </c>
      <c r="CB971">
        <v>224</v>
      </c>
      <c r="CD971">
        <v>1</v>
      </c>
      <c r="CE971">
        <v>0</v>
      </c>
      <c r="CF971">
        <v>0</v>
      </c>
      <c r="CG971">
        <v>1</v>
      </c>
      <c r="CH971">
        <v>0</v>
      </c>
      <c r="CI971">
        <v>0</v>
      </c>
      <c r="CJ971">
        <v>0</v>
      </c>
      <c r="CK971">
        <v>2</v>
      </c>
      <c r="CL971">
        <v>0</v>
      </c>
      <c r="CM971">
        <v>2</v>
      </c>
      <c r="CN971">
        <v>0</v>
      </c>
      <c r="CO971">
        <v>7</v>
      </c>
      <c r="CP971" t="s">
        <v>119</v>
      </c>
      <c r="CQ971">
        <v>180</v>
      </c>
      <c r="CR971">
        <v>2</v>
      </c>
      <c r="CW971">
        <v>8029314</v>
      </c>
      <c r="CY971">
        <v>1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</row>
    <row r="972" spans="1:113" x14ac:dyDescent="0.3">
      <c r="A972" t="str">
        <f>"02/08/2021 20:17:13.649"</f>
        <v>02/08/2021 20:17:13.649</v>
      </c>
      <c r="C972" t="str">
        <f t="shared" si="47"/>
        <v>FFDFD7C0</v>
      </c>
      <c r="D972" t="s">
        <v>124</v>
      </c>
      <c r="E972">
        <v>12</v>
      </c>
      <c r="F972">
        <v>1012</v>
      </c>
      <c r="G972" t="s">
        <v>675</v>
      </c>
      <c r="J972" t="s">
        <v>125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>"20:17:15.938"</f>
        <v>20:17:15.938</v>
      </c>
      <c r="T972" t="str">
        <f>"20:17:15.538"</f>
        <v>20:17:15.538</v>
      </c>
      <c r="U972" t="str">
        <f t="shared" si="46"/>
        <v>AB01F4</v>
      </c>
      <c r="V972">
        <v>0</v>
      </c>
      <c r="W972">
        <v>0</v>
      </c>
      <c r="X972">
        <v>2</v>
      </c>
      <c r="Z972">
        <v>0</v>
      </c>
      <c r="AA972">
        <v>9</v>
      </c>
      <c r="AB972">
        <v>3</v>
      </c>
      <c r="AC972">
        <v>0</v>
      </c>
      <c r="AD972">
        <v>10</v>
      </c>
      <c r="AE972">
        <v>0</v>
      </c>
      <c r="AF972">
        <v>3</v>
      </c>
      <c r="AG972">
        <v>2</v>
      </c>
      <c r="AH972">
        <v>0</v>
      </c>
      <c r="AI972" t="s">
        <v>762</v>
      </c>
      <c r="AJ972">
        <v>39.697164999999998</v>
      </c>
      <c r="AK972" t="s">
        <v>763</v>
      </c>
      <c r="AL972">
        <v>-92.523937000000004</v>
      </c>
      <c r="AM972">
        <v>100</v>
      </c>
      <c r="AN972">
        <v>1700</v>
      </c>
      <c r="AO972" t="s">
        <v>118</v>
      </c>
      <c r="AP972">
        <v>-32</v>
      </c>
      <c r="AQ972">
        <v>122</v>
      </c>
      <c r="AR972">
        <v>-64</v>
      </c>
      <c r="AZ972">
        <v>1200</v>
      </c>
      <c r="BA972">
        <v>1</v>
      </c>
      <c r="BB972" t="str">
        <f t="shared" si="45"/>
        <v xml:space="preserve">N8080G  </v>
      </c>
      <c r="BC972">
        <v>1</v>
      </c>
      <c r="BE972">
        <v>0</v>
      </c>
      <c r="BF972">
        <v>0</v>
      </c>
      <c r="BG972">
        <v>0</v>
      </c>
      <c r="BH972">
        <v>1700</v>
      </c>
      <c r="BI972">
        <v>1</v>
      </c>
      <c r="BJ972">
        <v>1</v>
      </c>
      <c r="BK972">
        <v>1</v>
      </c>
      <c r="BL972">
        <v>0</v>
      </c>
      <c r="BO972">
        <v>0</v>
      </c>
      <c r="BP972">
        <v>0</v>
      </c>
      <c r="BW972" t="str">
        <f>"20:17:15.940"</f>
        <v>20:17:15.940</v>
      </c>
      <c r="BZ972">
        <v>0</v>
      </c>
      <c r="CA972">
        <v>2016</v>
      </c>
      <c r="CB972">
        <v>224</v>
      </c>
      <c r="CD972">
        <v>1</v>
      </c>
      <c r="CE972">
        <v>0</v>
      </c>
      <c r="CF972">
        <v>0</v>
      </c>
      <c r="CG972">
        <v>1</v>
      </c>
      <c r="CH972">
        <v>0</v>
      </c>
      <c r="CI972">
        <v>0</v>
      </c>
      <c r="CJ972">
        <v>0</v>
      </c>
      <c r="CK972">
        <v>2</v>
      </c>
      <c r="CL972">
        <v>0</v>
      </c>
      <c r="CM972">
        <v>2</v>
      </c>
      <c r="CN972">
        <v>0</v>
      </c>
      <c r="CO972">
        <v>7</v>
      </c>
      <c r="CP972" t="s">
        <v>119</v>
      </c>
      <c r="CQ972">
        <v>180</v>
      </c>
      <c r="CR972">
        <v>2</v>
      </c>
      <c r="CW972">
        <v>8029314</v>
      </c>
      <c r="CY972">
        <v>1</v>
      </c>
      <c r="CZ972">
        <v>0</v>
      </c>
      <c r="DA972">
        <v>1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</row>
    <row r="973" spans="1:113" x14ac:dyDescent="0.3">
      <c r="A973" t="str">
        <f>"02/08/2021 20:17:13.649"</f>
        <v>02/08/2021 20:17:13.649</v>
      </c>
      <c r="C973" t="str">
        <f t="shared" si="47"/>
        <v>FFDFD7C0</v>
      </c>
      <c r="D973" t="s">
        <v>124</v>
      </c>
      <c r="E973">
        <v>11</v>
      </c>
      <c r="F973">
        <v>1011</v>
      </c>
      <c r="G973" t="s">
        <v>590</v>
      </c>
      <c r="J973" t="s">
        <v>125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>"20:17:15.938"</f>
        <v>20:17:15.938</v>
      </c>
      <c r="T973" t="str">
        <f>"20:17:15.538"</f>
        <v>20:17:15.538</v>
      </c>
      <c r="U973" t="str">
        <f t="shared" si="46"/>
        <v>AB01F4</v>
      </c>
      <c r="V973">
        <v>0</v>
      </c>
      <c r="W973">
        <v>0</v>
      </c>
      <c r="X973">
        <v>2</v>
      </c>
      <c r="Z973">
        <v>0</v>
      </c>
      <c r="AA973">
        <v>9</v>
      </c>
      <c r="AB973">
        <v>3</v>
      </c>
      <c r="AC973">
        <v>0</v>
      </c>
      <c r="AD973">
        <v>10</v>
      </c>
      <c r="AE973">
        <v>0</v>
      </c>
      <c r="AF973">
        <v>3</v>
      </c>
      <c r="AG973">
        <v>2</v>
      </c>
      <c r="AH973">
        <v>0</v>
      </c>
      <c r="AI973" t="s">
        <v>762</v>
      </c>
      <c r="AJ973">
        <v>39.697164999999998</v>
      </c>
      <c r="AK973" t="s">
        <v>763</v>
      </c>
      <c r="AL973">
        <v>-92.523937000000004</v>
      </c>
      <c r="AM973">
        <v>100</v>
      </c>
      <c r="AN973">
        <v>1700</v>
      </c>
      <c r="AO973" t="s">
        <v>118</v>
      </c>
      <c r="AP973">
        <v>-32</v>
      </c>
      <c r="AQ973">
        <v>122</v>
      </c>
      <c r="AR973">
        <v>-64</v>
      </c>
      <c r="AZ973">
        <v>1200</v>
      </c>
      <c r="BA973">
        <v>1</v>
      </c>
      <c r="BB973" t="str">
        <f t="shared" si="45"/>
        <v xml:space="preserve">N8080G  </v>
      </c>
      <c r="BC973">
        <v>1</v>
      </c>
      <c r="BE973">
        <v>0</v>
      </c>
      <c r="BF973">
        <v>0</v>
      </c>
      <c r="BG973">
        <v>0</v>
      </c>
      <c r="BH973">
        <v>1700</v>
      </c>
      <c r="BI973">
        <v>1</v>
      </c>
      <c r="BJ973">
        <v>1</v>
      </c>
      <c r="BK973">
        <v>1</v>
      </c>
      <c r="BL973">
        <v>0</v>
      </c>
      <c r="BO973">
        <v>0</v>
      </c>
      <c r="BP973">
        <v>0</v>
      </c>
      <c r="BW973" t="str">
        <f>"20:17:15.940"</f>
        <v>20:17:15.940</v>
      </c>
      <c r="BZ973">
        <v>0</v>
      </c>
      <c r="CA973">
        <v>2016</v>
      </c>
      <c r="CB973">
        <v>224</v>
      </c>
      <c r="CD973">
        <v>1</v>
      </c>
      <c r="CE973">
        <v>0</v>
      </c>
      <c r="CF973">
        <v>0</v>
      </c>
      <c r="CG973">
        <v>1</v>
      </c>
      <c r="CH973">
        <v>0</v>
      </c>
      <c r="CI973">
        <v>0</v>
      </c>
      <c r="CJ973">
        <v>0</v>
      </c>
      <c r="CK973">
        <v>2</v>
      </c>
      <c r="CL973">
        <v>0</v>
      </c>
      <c r="CM973">
        <v>2</v>
      </c>
      <c r="CN973">
        <v>0</v>
      </c>
      <c r="CO973">
        <v>7</v>
      </c>
      <c r="CP973" t="s">
        <v>119</v>
      </c>
      <c r="CQ973">
        <v>180</v>
      </c>
      <c r="CR973">
        <v>2</v>
      </c>
      <c r="CW973">
        <v>8029314</v>
      </c>
      <c r="CY973">
        <v>1</v>
      </c>
      <c r="CZ973">
        <v>0</v>
      </c>
      <c r="DA973">
        <v>1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</row>
    <row r="974" spans="1:113" x14ac:dyDescent="0.3">
      <c r="A974" t="str">
        <f>"02/08/2021 20:17:13.649"</f>
        <v>02/08/2021 20:17:13.649</v>
      </c>
      <c r="C974" t="str">
        <f t="shared" si="47"/>
        <v>FFDFD7C0</v>
      </c>
      <c r="D974" t="s">
        <v>113</v>
      </c>
      <c r="E974">
        <v>6</v>
      </c>
      <c r="H974">
        <v>165</v>
      </c>
      <c r="I974" t="s">
        <v>114</v>
      </c>
      <c r="J974" t="s">
        <v>115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>"20:17:15.938"</f>
        <v>20:17:15.938</v>
      </c>
      <c r="T974" t="str">
        <f>"20:17:15.538"</f>
        <v>20:17:15.538</v>
      </c>
      <c r="U974" t="str">
        <f t="shared" si="46"/>
        <v>AB01F4</v>
      </c>
      <c r="V974">
        <v>0</v>
      </c>
      <c r="W974">
        <v>0</v>
      </c>
      <c r="X974">
        <v>2</v>
      </c>
      <c r="Z974">
        <v>0</v>
      </c>
      <c r="AA974">
        <v>9</v>
      </c>
      <c r="AB974">
        <v>3</v>
      </c>
      <c r="AC974">
        <v>0</v>
      </c>
      <c r="AD974">
        <v>10</v>
      </c>
      <c r="AE974">
        <v>0</v>
      </c>
      <c r="AF974">
        <v>3</v>
      </c>
      <c r="AG974">
        <v>2</v>
      </c>
      <c r="AH974">
        <v>0</v>
      </c>
      <c r="AI974" t="s">
        <v>762</v>
      </c>
      <c r="AJ974">
        <v>39.697164999999998</v>
      </c>
      <c r="AK974" t="s">
        <v>763</v>
      </c>
      <c r="AL974">
        <v>-92.523937000000004</v>
      </c>
      <c r="AM974">
        <v>100</v>
      </c>
      <c r="AN974">
        <v>1700</v>
      </c>
      <c r="AO974" t="s">
        <v>118</v>
      </c>
      <c r="AP974">
        <v>-32</v>
      </c>
      <c r="AQ974">
        <v>122</v>
      </c>
      <c r="AR974">
        <v>-64</v>
      </c>
      <c r="AZ974">
        <v>1200</v>
      </c>
      <c r="BA974">
        <v>1</v>
      </c>
      <c r="BB974" t="str">
        <f t="shared" si="45"/>
        <v xml:space="preserve">N8080G  </v>
      </c>
      <c r="BC974">
        <v>1</v>
      </c>
      <c r="BE974">
        <v>0</v>
      </c>
      <c r="BF974">
        <v>0</v>
      </c>
      <c r="BG974">
        <v>0</v>
      </c>
      <c r="BH974">
        <v>1700</v>
      </c>
      <c r="BI974">
        <v>1</v>
      </c>
      <c r="BJ974">
        <v>1</v>
      </c>
      <c r="BK974">
        <v>1</v>
      </c>
      <c r="BL974">
        <v>0</v>
      </c>
      <c r="BO974">
        <v>0</v>
      </c>
      <c r="BP974">
        <v>0</v>
      </c>
      <c r="BW974" t="str">
        <f>"20:17:15.940"</f>
        <v>20:17:15.940</v>
      </c>
      <c r="BZ974">
        <v>0</v>
      </c>
      <c r="CA974">
        <v>2016</v>
      </c>
      <c r="CB974">
        <v>224</v>
      </c>
      <c r="CD974">
        <v>1</v>
      </c>
      <c r="CE974">
        <v>0</v>
      </c>
      <c r="CF974">
        <v>0</v>
      </c>
      <c r="CG974">
        <v>1</v>
      </c>
      <c r="CH974">
        <v>0</v>
      </c>
      <c r="CI974">
        <v>0</v>
      </c>
      <c r="CJ974">
        <v>0</v>
      </c>
      <c r="CK974">
        <v>2</v>
      </c>
      <c r="CL974">
        <v>0</v>
      </c>
      <c r="CM974">
        <v>2</v>
      </c>
      <c r="CN974">
        <v>0</v>
      </c>
      <c r="CO974">
        <v>7</v>
      </c>
      <c r="CP974" t="s">
        <v>119</v>
      </c>
      <c r="CQ974">
        <v>180</v>
      </c>
      <c r="CR974">
        <v>2</v>
      </c>
      <c r="CW974">
        <v>8029314</v>
      </c>
      <c r="CY974">
        <v>1</v>
      </c>
      <c r="CZ974">
        <v>0</v>
      </c>
      <c r="DA974">
        <v>1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</row>
    <row r="975" spans="1:113" x14ac:dyDescent="0.3">
      <c r="A975" t="str">
        <f>"02/08/2021 20:17:16.191"</f>
        <v>02/08/2021 20:17:16.191</v>
      </c>
      <c r="C975" t="str">
        <f t="shared" si="47"/>
        <v>FFDFD7C0</v>
      </c>
      <c r="D975" t="s">
        <v>113</v>
      </c>
      <c r="E975">
        <v>6</v>
      </c>
      <c r="H975">
        <v>165</v>
      </c>
      <c r="I975" t="s">
        <v>114</v>
      </c>
      <c r="J975" t="s">
        <v>115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>"20:17:18.492"</f>
        <v>20:17:18.492</v>
      </c>
      <c r="T975" t="str">
        <f>"20:17:18.092"</f>
        <v>20:17:18.092</v>
      </c>
      <c r="U975" t="str">
        <f t="shared" si="46"/>
        <v>AB01F4</v>
      </c>
      <c r="V975">
        <v>0</v>
      </c>
      <c r="W975">
        <v>0</v>
      </c>
      <c r="X975">
        <v>2</v>
      </c>
      <c r="Z975">
        <v>0</v>
      </c>
      <c r="AA975">
        <v>9</v>
      </c>
      <c r="AB975">
        <v>3</v>
      </c>
      <c r="AC975">
        <v>0</v>
      </c>
      <c r="AD975">
        <v>10</v>
      </c>
      <c r="AE975">
        <v>0</v>
      </c>
      <c r="AF975">
        <v>3</v>
      </c>
      <c r="AG975">
        <v>2</v>
      </c>
      <c r="AH975">
        <v>0</v>
      </c>
      <c r="AI975" t="s">
        <v>764</v>
      </c>
      <c r="AJ975">
        <v>39.698625</v>
      </c>
      <c r="AK975" t="s">
        <v>765</v>
      </c>
      <c r="AL975">
        <v>-92.524409000000006</v>
      </c>
      <c r="AM975">
        <v>100</v>
      </c>
      <c r="AN975">
        <v>1700</v>
      </c>
      <c r="AO975" t="s">
        <v>118</v>
      </c>
      <c r="AP975">
        <v>-32</v>
      </c>
      <c r="AQ975">
        <v>123</v>
      </c>
      <c r="AR975">
        <v>-256</v>
      </c>
      <c r="AZ975">
        <v>1200</v>
      </c>
      <c r="BA975">
        <v>1</v>
      </c>
      <c r="BB975" t="str">
        <f t="shared" ref="BB975:BB1038" si="48">"N8080G  "</f>
        <v xml:space="preserve">N8080G  </v>
      </c>
      <c r="BC975">
        <v>1</v>
      </c>
      <c r="BE975">
        <v>0</v>
      </c>
      <c r="BF975">
        <v>0</v>
      </c>
      <c r="BG975">
        <v>0</v>
      </c>
      <c r="BH975">
        <v>1675</v>
      </c>
      <c r="BI975">
        <v>1</v>
      </c>
      <c r="BJ975">
        <v>1</v>
      </c>
      <c r="BK975">
        <v>1</v>
      </c>
      <c r="BL975">
        <v>0</v>
      </c>
      <c r="BO975">
        <v>0</v>
      </c>
      <c r="BP975">
        <v>0</v>
      </c>
      <c r="BW975" t="str">
        <f>"20:17:18.496"</f>
        <v>20:17:18.496</v>
      </c>
      <c r="BZ975">
        <v>0</v>
      </c>
      <c r="CA975">
        <v>2016</v>
      </c>
      <c r="CB975">
        <v>224</v>
      </c>
      <c r="CD975">
        <v>1</v>
      </c>
      <c r="CE975">
        <v>0</v>
      </c>
      <c r="CF975">
        <v>0</v>
      </c>
      <c r="CG975">
        <v>1</v>
      </c>
      <c r="CH975">
        <v>0</v>
      </c>
      <c r="CI975">
        <v>0</v>
      </c>
      <c r="CJ975">
        <v>0</v>
      </c>
      <c r="CK975">
        <v>2</v>
      </c>
      <c r="CL975">
        <v>0</v>
      </c>
      <c r="CM975">
        <v>2</v>
      </c>
      <c r="CN975">
        <v>0</v>
      </c>
      <c r="CO975">
        <v>7</v>
      </c>
      <c r="CP975" t="s">
        <v>119</v>
      </c>
      <c r="CQ975">
        <v>180</v>
      </c>
      <c r="CR975">
        <v>2</v>
      </c>
      <c r="CW975">
        <v>8031328</v>
      </c>
      <c r="CY975">
        <v>1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</row>
    <row r="976" spans="1:113" x14ac:dyDescent="0.3">
      <c r="A976" t="str">
        <f>"02/08/2021 20:17:16.191"</f>
        <v>02/08/2021 20:17:16.191</v>
      </c>
      <c r="C976" t="str">
        <f t="shared" si="47"/>
        <v>FFDFD7C0</v>
      </c>
      <c r="D976" t="s">
        <v>124</v>
      </c>
      <c r="E976">
        <v>13</v>
      </c>
      <c r="F976">
        <v>1013</v>
      </c>
      <c r="G976" t="s">
        <v>114</v>
      </c>
      <c r="J976" t="s">
        <v>125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>"20:17:18.492"</f>
        <v>20:17:18.492</v>
      </c>
      <c r="T976" t="str">
        <f>"20:17:18.092"</f>
        <v>20:17:18.092</v>
      </c>
      <c r="U976" t="str">
        <f t="shared" si="46"/>
        <v>AB01F4</v>
      </c>
      <c r="V976">
        <v>0</v>
      </c>
      <c r="W976">
        <v>0</v>
      </c>
      <c r="X976">
        <v>2</v>
      </c>
      <c r="Z976">
        <v>0</v>
      </c>
      <c r="AA976">
        <v>9</v>
      </c>
      <c r="AB976">
        <v>3</v>
      </c>
      <c r="AC976">
        <v>0</v>
      </c>
      <c r="AD976">
        <v>10</v>
      </c>
      <c r="AE976">
        <v>0</v>
      </c>
      <c r="AF976">
        <v>3</v>
      </c>
      <c r="AG976">
        <v>2</v>
      </c>
      <c r="AH976">
        <v>0</v>
      </c>
      <c r="AI976" t="s">
        <v>764</v>
      </c>
      <c r="AJ976">
        <v>39.698625</v>
      </c>
      <c r="AK976" t="s">
        <v>765</v>
      </c>
      <c r="AL976">
        <v>-92.524409000000006</v>
      </c>
      <c r="AM976">
        <v>100</v>
      </c>
      <c r="AN976">
        <v>1700</v>
      </c>
      <c r="AO976" t="s">
        <v>118</v>
      </c>
      <c r="AP976">
        <v>-32</v>
      </c>
      <c r="AQ976">
        <v>123</v>
      </c>
      <c r="AR976">
        <v>-256</v>
      </c>
      <c r="AZ976">
        <v>1200</v>
      </c>
      <c r="BA976">
        <v>1</v>
      </c>
      <c r="BB976" t="str">
        <f t="shared" si="48"/>
        <v xml:space="preserve">N8080G  </v>
      </c>
      <c r="BC976">
        <v>1</v>
      </c>
      <c r="BE976">
        <v>0</v>
      </c>
      <c r="BF976">
        <v>0</v>
      </c>
      <c r="BG976">
        <v>0</v>
      </c>
      <c r="BH976">
        <v>1675</v>
      </c>
      <c r="BI976">
        <v>1</v>
      </c>
      <c r="BJ976">
        <v>1</v>
      </c>
      <c r="BK976">
        <v>1</v>
      </c>
      <c r="BL976">
        <v>0</v>
      </c>
      <c r="BO976">
        <v>0</v>
      </c>
      <c r="BP976">
        <v>0</v>
      </c>
      <c r="BW976" t="str">
        <f>"20:17:18.496"</f>
        <v>20:17:18.496</v>
      </c>
      <c r="BZ976">
        <v>0</v>
      </c>
      <c r="CA976">
        <v>2016</v>
      </c>
      <c r="CB976">
        <v>224</v>
      </c>
      <c r="CD976">
        <v>1</v>
      </c>
      <c r="CE976">
        <v>0</v>
      </c>
      <c r="CF976">
        <v>0</v>
      </c>
      <c r="CG976">
        <v>1</v>
      </c>
      <c r="CH976">
        <v>0</v>
      </c>
      <c r="CI976">
        <v>0</v>
      </c>
      <c r="CJ976">
        <v>0</v>
      </c>
      <c r="CK976">
        <v>2</v>
      </c>
      <c r="CL976">
        <v>0</v>
      </c>
      <c r="CM976">
        <v>2</v>
      </c>
      <c r="CN976">
        <v>0</v>
      </c>
      <c r="CO976">
        <v>7</v>
      </c>
      <c r="CP976" t="s">
        <v>119</v>
      </c>
      <c r="CQ976">
        <v>180</v>
      </c>
      <c r="CR976">
        <v>2</v>
      </c>
      <c r="CW976">
        <v>8031328</v>
      </c>
      <c r="CY976">
        <v>1</v>
      </c>
      <c r="CZ976">
        <v>0</v>
      </c>
      <c r="DA976">
        <v>1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</row>
    <row r="977" spans="1:113" x14ac:dyDescent="0.3">
      <c r="A977" t="str">
        <f>"02/08/2021 20:17:16.191"</f>
        <v>02/08/2021 20:17:16.191</v>
      </c>
      <c r="C977" t="str">
        <f t="shared" si="47"/>
        <v>FFDFD7C0</v>
      </c>
      <c r="D977" t="s">
        <v>124</v>
      </c>
      <c r="E977">
        <v>12</v>
      </c>
      <c r="F977">
        <v>1012</v>
      </c>
      <c r="G977" t="s">
        <v>675</v>
      </c>
      <c r="J977" t="s">
        <v>125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>"20:17:18.492"</f>
        <v>20:17:18.492</v>
      </c>
      <c r="T977" t="str">
        <f>"20:17:18.092"</f>
        <v>20:17:18.092</v>
      </c>
      <c r="U977" t="str">
        <f t="shared" si="46"/>
        <v>AB01F4</v>
      </c>
      <c r="V977">
        <v>0</v>
      </c>
      <c r="W977">
        <v>0</v>
      </c>
      <c r="X977">
        <v>2</v>
      </c>
      <c r="Z977">
        <v>0</v>
      </c>
      <c r="AA977">
        <v>9</v>
      </c>
      <c r="AB977">
        <v>3</v>
      </c>
      <c r="AC977">
        <v>0</v>
      </c>
      <c r="AD977">
        <v>10</v>
      </c>
      <c r="AE977">
        <v>0</v>
      </c>
      <c r="AF977">
        <v>3</v>
      </c>
      <c r="AG977">
        <v>2</v>
      </c>
      <c r="AH977">
        <v>0</v>
      </c>
      <c r="AI977" t="s">
        <v>764</v>
      </c>
      <c r="AJ977">
        <v>39.698625</v>
      </c>
      <c r="AK977" t="s">
        <v>765</v>
      </c>
      <c r="AL977">
        <v>-92.524409000000006</v>
      </c>
      <c r="AM977">
        <v>100</v>
      </c>
      <c r="AN977">
        <v>1700</v>
      </c>
      <c r="AO977" t="s">
        <v>118</v>
      </c>
      <c r="AP977">
        <v>-32</v>
      </c>
      <c r="AQ977">
        <v>123</v>
      </c>
      <c r="AR977">
        <v>-256</v>
      </c>
      <c r="AZ977">
        <v>1200</v>
      </c>
      <c r="BA977">
        <v>1</v>
      </c>
      <c r="BB977" t="str">
        <f t="shared" si="48"/>
        <v xml:space="preserve">N8080G  </v>
      </c>
      <c r="BC977">
        <v>1</v>
      </c>
      <c r="BE977">
        <v>0</v>
      </c>
      <c r="BF977">
        <v>0</v>
      </c>
      <c r="BG977">
        <v>0</v>
      </c>
      <c r="BH977">
        <v>1675</v>
      </c>
      <c r="BI977">
        <v>1</v>
      </c>
      <c r="BJ977">
        <v>1</v>
      </c>
      <c r="BK977">
        <v>1</v>
      </c>
      <c r="BL977">
        <v>0</v>
      </c>
      <c r="BO977">
        <v>0</v>
      </c>
      <c r="BP977">
        <v>0</v>
      </c>
      <c r="BW977" t="str">
        <f>"20:17:18.496"</f>
        <v>20:17:18.496</v>
      </c>
      <c r="BZ977">
        <v>0</v>
      </c>
      <c r="CA977">
        <v>2016</v>
      </c>
      <c r="CB977">
        <v>224</v>
      </c>
      <c r="CD977">
        <v>1</v>
      </c>
      <c r="CE977">
        <v>0</v>
      </c>
      <c r="CF977">
        <v>0</v>
      </c>
      <c r="CG977">
        <v>1</v>
      </c>
      <c r="CH977">
        <v>0</v>
      </c>
      <c r="CI977">
        <v>0</v>
      </c>
      <c r="CJ977">
        <v>0</v>
      </c>
      <c r="CK977">
        <v>2</v>
      </c>
      <c r="CL977">
        <v>0</v>
      </c>
      <c r="CM977">
        <v>2</v>
      </c>
      <c r="CN977">
        <v>0</v>
      </c>
      <c r="CO977">
        <v>7</v>
      </c>
      <c r="CP977" t="s">
        <v>119</v>
      </c>
      <c r="CQ977">
        <v>180</v>
      </c>
      <c r="CR977">
        <v>2</v>
      </c>
      <c r="CW977">
        <v>8031328</v>
      </c>
      <c r="CY977">
        <v>1</v>
      </c>
      <c r="CZ977">
        <v>0</v>
      </c>
      <c r="DA977">
        <v>1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</row>
    <row r="978" spans="1:113" x14ac:dyDescent="0.3">
      <c r="A978" t="str">
        <f>"02/08/2021 20:17:16.191"</f>
        <v>02/08/2021 20:17:16.191</v>
      </c>
      <c r="C978" t="str">
        <f t="shared" si="47"/>
        <v>FFDFD7C0</v>
      </c>
      <c r="D978" t="s">
        <v>124</v>
      </c>
      <c r="E978">
        <v>11</v>
      </c>
      <c r="F978">
        <v>1011</v>
      </c>
      <c r="G978" t="s">
        <v>590</v>
      </c>
      <c r="J978" t="s">
        <v>125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>"20:17:18.492"</f>
        <v>20:17:18.492</v>
      </c>
      <c r="T978" t="str">
        <f>"20:17:18.092"</f>
        <v>20:17:18.092</v>
      </c>
      <c r="U978" t="str">
        <f t="shared" si="46"/>
        <v>AB01F4</v>
      </c>
      <c r="V978">
        <v>0</v>
      </c>
      <c r="W978">
        <v>0</v>
      </c>
      <c r="X978">
        <v>2</v>
      </c>
      <c r="Z978">
        <v>0</v>
      </c>
      <c r="AA978">
        <v>9</v>
      </c>
      <c r="AB978">
        <v>3</v>
      </c>
      <c r="AC978">
        <v>0</v>
      </c>
      <c r="AD978">
        <v>10</v>
      </c>
      <c r="AE978">
        <v>0</v>
      </c>
      <c r="AF978">
        <v>3</v>
      </c>
      <c r="AG978">
        <v>2</v>
      </c>
      <c r="AH978">
        <v>0</v>
      </c>
      <c r="AI978" t="s">
        <v>764</v>
      </c>
      <c r="AJ978">
        <v>39.698625</v>
      </c>
      <c r="AK978" t="s">
        <v>765</v>
      </c>
      <c r="AL978">
        <v>-92.524409000000006</v>
      </c>
      <c r="AM978">
        <v>100</v>
      </c>
      <c r="AN978">
        <v>1700</v>
      </c>
      <c r="AO978" t="s">
        <v>118</v>
      </c>
      <c r="AP978">
        <v>-32</v>
      </c>
      <c r="AQ978">
        <v>123</v>
      </c>
      <c r="AR978">
        <v>-256</v>
      </c>
      <c r="AZ978">
        <v>1200</v>
      </c>
      <c r="BA978">
        <v>1</v>
      </c>
      <c r="BB978" t="str">
        <f t="shared" si="48"/>
        <v xml:space="preserve">N8080G  </v>
      </c>
      <c r="BC978">
        <v>1</v>
      </c>
      <c r="BE978">
        <v>0</v>
      </c>
      <c r="BF978">
        <v>0</v>
      </c>
      <c r="BG978">
        <v>0</v>
      </c>
      <c r="BH978">
        <v>1675</v>
      </c>
      <c r="BI978">
        <v>1</v>
      </c>
      <c r="BJ978">
        <v>1</v>
      </c>
      <c r="BK978">
        <v>1</v>
      </c>
      <c r="BL978">
        <v>0</v>
      </c>
      <c r="BO978">
        <v>0</v>
      </c>
      <c r="BP978">
        <v>0</v>
      </c>
      <c r="BW978" t="str">
        <f>"20:17:18.496"</f>
        <v>20:17:18.496</v>
      </c>
      <c r="BZ978">
        <v>0</v>
      </c>
      <c r="CA978">
        <v>2016</v>
      </c>
      <c r="CB978">
        <v>224</v>
      </c>
      <c r="CD978">
        <v>1</v>
      </c>
      <c r="CE978">
        <v>0</v>
      </c>
      <c r="CF978">
        <v>0</v>
      </c>
      <c r="CG978">
        <v>1</v>
      </c>
      <c r="CH978">
        <v>0</v>
      </c>
      <c r="CI978">
        <v>0</v>
      </c>
      <c r="CJ978">
        <v>0</v>
      </c>
      <c r="CK978">
        <v>2</v>
      </c>
      <c r="CL978">
        <v>0</v>
      </c>
      <c r="CM978">
        <v>2</v>
      </c>
      <c r="CN978">
        <v>0</v>
      </c>
      <c r="CO978">
        <v>7</v>
      </c>
      <c r="CP978" t="s">
        <v>119</v>
      </c>
      <c r="CQ978">
        <v>180</v>
      </c>
      <c r="CR978">
        <v>2</v>
      </c>
      <c r="CW978">
        <v>8031328</v>
      </c>
      <c r="CY978">
        <v>1</v>
      </c>
      <c r="CZ978">
        <v>0</v>
      </c>
      <c r="DA978">
        <v>1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</row>
    <row r="979" spans="1:113" x14ac:dyDescent="0.3">
      <c r="A979" t="str">
        <f>"02/08/2021 20:17:17.251"</f>
        <v>02/08/2021 20:17:17.251</v>
      </c>
      <c r="C979" t="str">
        <f t="shared" si="47"/>
        <v>FFDFD7C0</v>
      </c>
      <c r="D979" t="s">
        <v>113</v>
      </c>
      <c r="E979">
        <v>6</v>
      </c>
      <c r="H979">
        <v>165</v>
      </c>
      <c r="I979" t="s">
        <v>114</v>
      </c>
      <c r="J979" t="s">
        <v>115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>"20:17:19.563"</f>
        <v>20:17:19.563</v>
      </c>
      <c r="T979" t="str">
        <f>"20:17:19.063"</f>
        <v>20:17:19.063</v>
      </c>
      <c r="U979" t="str">
        <f t="shared" si="46"/>
        <v>AB01F4</v>
      </c>
      <c r="V979">
        <v>0</v>
      </c>
      <c r="W979">
        <v>0</v>
      </c>
      <c r="X979">
        <v>2</v>
      </c>
      <c r="Z979">
        <v>0</v>
      </c>
      <c r="AA979">
        <v>9</v>
      </c>
      <c r="AB979">
        <v>3</v>
      </c>
      <c r="AC979">
        <v>0</v>
      </c>
      <c r="AD979">
        <v>10</v>
      </c>
      <c r="AE979">
        <v>0</v>
      </c>
      <c r="AF979">
        <v>3</v>
      </c>
      <c r="AG979">
        <v>2</v>
      </c>
      <c r="AH979">
        <v>0</v>
      </c>
      <c r="AI979" t="s">
        <v>766</v>
      </c>
      <c r="AJ979">
        <v>39.699224999999998</v>
      </c>
      <c r="AK979" t="s">
        <v>767</v>
      </c>
      <c r="AL979">
        <v>-92.524645000000007</v>
      </c>
      <c r="AM979">
        <v>100</v>
      </c>
      <c r="AN979">
        <v>1700</v>
      </c>
      <c r="AO979" t="s">
        <v>118</v>
      </c>
      <c r="AP979">
        <v>-32</v>
      </c>
      <c r="AQ979">
        <v>123</v>
      </c>
      <c r="AR979">
        <v>-128</v>
      </c>
      <c r="AZ979">
        <v>1200</v>
      </c>
      <c r="BA979">
        <v>1</v>
      </c>
      <c r="BB979" t="str">
        <f t="shared" si="48"/>
        <v xml:space="preserve">N8080G  </v>
      </c>
      <c r="BC979">
        <v>1</v>
      </c>
      <c r="BE979">
        <v>0</v>
      </c>
      <c r="BF979">
        <v>0</v>
      </c>
      <c r="BG979">
        <v>0</v>
      </c>
      <c r="BH979">
        <v>1675</v>
      </c>
      <c r="BI979">
        <v>1</v>
      </c>
      <c r="BJ979">
        <v>1</v>
      </c>
      <c r="BK979">
        <v>1</v>
      </c>
      <c r="BL979">
        <v>0</v>
      </c>
      <c r="BO979">
        <v>0</v>
      </c>
      <c r="BP979">
        <v>0</v>
      </c>
      <c r="BW979" t="str">
        <f>"20:17:19.563"</f>
        <v>20:17:19.563</v>
      </c>
      <c r="BZ979">
        <v>0</v>
      </c>
      <c r="CA979">
        <v>2016</v>
      </c>
      <c r="CB979">
        <v>224</v>
      </c>
      <c r="CD979">
        <v>1</v>
      </c>
      <c r="CE979">
        <v>0</v>
      </c>
      <c r="CF979">
        <v>0</v>
      </c>
      <c r="CG979">
        <v>1</v>
      </c>
      <c r="CH979">
        <v>0</v>
      </c>
      <c r="CI979">
        <v>0</v>
      </c>
      <c r="CJ979">
        <v>0</v>
      </c>
      <c r="CK979">
        <v>2</v>
      </c>
      <c r="CL979">
        <v>0</v>
      </c>
      <c r="CM979">
        <v>2</v>
      </c>
      <c r="CN979">
        <v>0</v>
      </c>
      <c r="CO979">
        <v>7</v>
      </c>
      <c r="CP979" t="s">
        <v>119</v>
      </c>
      <c r="CQ979">
        <v>180</v>
      </c>
      <c r="CR979">
        <v>2</v>
      </c>
      <c r="CW979">
        <v>8032257</v>
      </c>
      <c r="CY979">
        <v>1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</row>
    <row r="980" spans="1:113" x14ac:dyDescent="0.3">
      <c r="A980" t="str">
        <f>"02/08/2021 20:17:17.251"</f>
        <v>02/08/2021 20:17:17.251</v>
      </c>
      <c r="C980" t="str">
        <f t="shared" si="47"/>
        <v>FFDFD7C0</v>
      </c>
      <c r="D980" t="s">
        <v>124</v>
      </c>
      <c r="E980">
        <v>13</v>
      </c>
      <c r="F980">
        <v>1013</v>
      </c>
      <c r="G980" t="s">
        <v>114</v>
      </c>
      <c r="J980" t="s">
        <v>125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>"20:17:19.563"</f>
        <v>20:17:19.563</v>
      </c>
      <c r="T980" t="str">
        <f>"20:17:19.063"</f>
        <v>20:17:19.063</v>
      </c>
      <c r="U980" t="str">
        <f t="shared" si="46"/>
        <v>AB01F4</v>
      </c>
      <c r="V980">
        <v>0</v>
      </c>
      <c r="W980">
        <v>0</v>
      </c>
      <c r="X980">
        <v>2</v>
      </c>
      <c r="Z980">
        <v>0</v>
      </c>
      <c r="AA980">
        <v>9</v>
      </c>
      <c r="AB980">
        <v>3</v>
      </c>
      <c r="AC980">
        <v>0</v>
      </c>
      <c r="AD980">
        <v>10</v>
      </c>
      <c r="AE980">
        <v>0</v>
      </c>
      <c r="AF980">
        <v>3</v>
      </c>
      <c r="AG980">
        <v>2</v>
      </c>
      <c r="AH980">
        <v>0</v>
      </c>
      <c r="AI980" t="s">
        <v>766</v>
      </c>
      <c r="AJ980">
        <v>39.699224999999998</v>
      </c>
      <c r="AK980" t="s">
        <v>767</v>
      </c>
      <c r="AL980">
        <v>-92.524645000000007</v>
      </c>
      <c r="AM980">
        <v>100</v>
      </c>
      <c r="AN980">
        <v>1700</v>
      </c>
      <c r="AO980" t="s">
        <v>118</v>
      </c>
      <c r="AP980">
        <v>-32</v>
      </c>
      <c r="AQ980">
        <v>123</v>
      </c>
      <c r="AR980">
        <v>-128</v>
      </c>
      <c r="AZ980">
        <v>1200</v>
      </c>
      <c r="BA980">
        <v>1</v>
      </c>
      <c r="BB980" t="str">
        <f t="shared" si="48"/>
        <v xml:space="preserve">N8080G  </v>
      </c>
      <c r="BC980">
        <v>1</v>
      </c>
      <c r="BE980">
        <v>0</v>
      </c>
      <c r="BF980">
        <v>0</v>
      </c>
      <c r="BG980">
        <v>0</v>
      </c>
      <c r="BH980">
        <v>1675</v>
      </c>
      <c r="BI980">
        <v>1</v>
      </c>
      <c r="BJ980">
        <v>1</v>
      </c>
      <c r="BK980">
        <v>1</v>
      </c>
      <c r="BL980">
        <v>0</v>
      </c>
      <c r="BO980">
        <v>0</v>
      </c>
      <c r="BP980">
        <v>0</v>
      </c>
      <c r="BW980" t="str">
        <f>"20:17:19.563"</f>
        <v>20:17:19.563</v>
      </c>
      <c r="BZ980">
        <v>0</v>
      </c>
      <c r="CA980">
        <v>2016</v>
      </c>
      <c r="CB980">
        <v>224</v>
      </c>
      <c r="CD980">
        <v>1</v>
      </c>
      <c r="CE980">
        <v>0</v>
      </c>
      <c r="CF980">
        <v>0</v>
      </c>
      <c r="CG980">
        <v>1</v>
      </c>
      <c r="CH980">
        <v>0</v>
      </c>
      <c r="CI980">
        <v>0</v>
      </c>
      <c r="CJ980">
        <v>0</v>
      </c>
      <c r="CK980">
        <v>2</v>
      </c>
      <c r="CL980">
        <v>0</v>
      </c>
      <c r="CM980">
        <v>2</v>
      </c>
      <c r="CN980">
        <v>0</v>
      </c>
      <c r="CO980">
        <v>7</v>
      </c>
      <c r="CP980" t="s">
        <v>119</v>
      </c>
      <c r="CQ980">
        <v>180</v>
      </c>
      <c r="CR980">
        <v>2</v>
      </c>
      <c r="CW980">
        <v>8032257</v>
      </c>
      <c r="CY980">
        <v>1</v>
      </c>
      <c r="CZ980">
        <v>0</v>
      </c>
      <c r="DA980">
        <v>1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</row>
    <row r="981" spans="1:113" x14ac:dyDescent="0.3">
      <c r="A981" t="str">
        <f>"02/08/2021 20:17:17.251"</f>
        <v>02/08/2021 20:17:17.251</v>
      </c>
      <c r="C981" t="str">
        <f t="shared" si="47"/>
        <v>FFDFD7C0</v>
      </c>
      <c r="D981" t="s">
        <v>124</v>
      </c>
      <c r="E981">
        <v>12</v>
      </c>
      <c r="F981">
        <v>1012</v>
      </c>
      <c r="G981" t="s">
        <v>675</v>
      </c>
      <c r="J981" t="s">
        <v>125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>"20:17:19.563"</f>
        <v>20:17:19.563</v>
      </c>
      <c r="T981" t="str">
        <f>"20:17:19.063"</f>
        <v>20:17:19.063</v>
      </c>
      <c r="U981" t="str">
        <f t="shared" si="46"/>
        <v>AB01F4</v>
      </c>
      <c r="V981">
        <v>0</v>
      </c>
      <c r="W981">
        <v>0</v>
      </c>
      <c r="X981">
        <v>2</v>
      </c>
      <c r="Z981">
        <v>0</v>
      </c>
      <c r="AA981">
        <v>9</v>
      </c>
      <c r="AB981">
        <v>3</v>
      </c>
      <c r="AC981">
        <v>0</v>
      </c>
      <c r="AD981">
        <v>10</v>
      </c>
      <c r="AE981">
        <v>0</v>
      </c>
      <c r="AF981">
        <v>3</v>
      </c>
      <c r="AG981">
        <v>2</v>
      </c>
      <c r="AH981">
        <v>0</v>
      </c>
      <c r="AI981" t="s">
        <v>766</v>
      </c>
      <c r="AJ981">
        <v>39.699224999999998</v>
      </c>
      <c r="AK981" t="s">
        <v>767</v>
      </c>
      <c r="AL981">
        <v>-92.524645000000007</v>
      </c>
      <c r="AM981">
        <v>100</v>
      </c>
      <c r="AN981">
        <v>1700</v>
      </c>
      <c r="AO981" t="s">
        <v>118</v>
      </c>
      <c r="AP981">
        <v>-32</v>
      </c>
      <c r="AQ981">
        <v>123</v>
      </c>
      <c r="AR981">
        <v>-128</v>
      </c>
      <c r="AZ981">
        <v>1200</v>
      </c>
      <c r="BA981">
        <v>1</v>
      </c>
      <c r="BB981" t="str">
        <f t="shared" si="48"/>
        <v xml:space="preserve">N8080G  </v>
      </c>
      <c r="BC981">
        <v>1</v>
      </c>
      <c r="BE981">
        <v>0</v>
      </c>
      <c r="BF981">
        <v>0</v>
      </c>
      <c r="BG981">
        <v>0</v>
      </c>
      <c r="BH981">
        <v>1675</v>
      </c>
      <c r="BI981">
        <v>1</v>
      </c>
      <c r="BJ981">
        <v>1</v>
      </c>
      <c r="BK981">
        <v>1</v>
      </c>
      <c r="BL981">
        <v>0</v>
      </c>
      <c r="BO981">
        <v>0</v>
      </c>
      <c r="BP981">
        <v>0</v>
      </c>
      <c r="BW981" t="str">
        <f>"20:17:19.563"</f>
        <v>20:17:19.563</v>
      </c>
      <c r="BZ981">
        <v>0</v>
      </c>
      <c r="CA981">
        <v>2016</v>
      </c>
      <c r="CB981">
        <v>224</v>
      </c>
      <c r="CD981">
        <v>1</v>
      </c>
      <c r="CE981">
        <v>0</v>
      </c>
      <c r="CF981">
        <v>0</v>
      </c>
      <c r="CG981">
        <v>1</v>
      </c>
      <c r="CH981">
        <v>0</v>
      </c>
      <c r="CI981">
        <v>0</v>
      </c>
      <c r="CJ981">
        <v>0</v>
      </c>
      <c r="CK981">
        <v>2</v>
      </c>
      <c r="CL981">
        <v>0</v>
      </c>
      <c r="CM981">
        <v>2</v>
      </c>
      <c r="CN981">
        <v>0</v>
      </c>
      <c r="CO981">
        <v>7</v>
      </c>
      <c r="CP981" t="s">
        <v>119</v>
      </c>
      <c r="CQ981">
        <v>180</v>
      </c>
      <c r="CR981">
        <v>2</v>
      </c>
      <c r="CW981">
        <v>8032257</v>
      </c>
      <c r="CY981">
        <v>1</v>
      </c>
      <c r="CZ981">
        <v>0</v>
      </c>
      <c r="DA981">
        <v>1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</row>
    <row r="982" spans="1:113" x14ac:dyDescent="0.3">
      <c r="A982" t="str">
        <f>"02/08/2021 20:17:17.251"</f>
        <v>02/08/2021 20:17:17.251</v>
      </c>
      <c r="C982" t="str">
        <f t="shared" si="47"/>
        <v>FFDFD7C0</v>
      </c>
      <c r="D982" t="s">
        <v>124</v>
      </c>
      <c r="E982">
        <v>11</v>
      </c>
      <c r="F982">
        <v>1011</v>
      </c>
      <c r="G982" t="s">
        <v>590</v>
      </c>
      <c r="J982" t="s">
        <v>125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>"20:17:19.563"</f>
        <v>20:17:19.563</v>
      </c>
      <c r="T982" t="str">
        <f>"20:17:19.063"</f>
        <v>20:17:19.063</v>
      </c>
      <c r="U982" t="str">
        <f t="shared" si="46"/>
        <v>AB01F4</v>
      </c>
      <c r="V982">
        <v>0</v>
      </c>
      <c r="W982">
        <v>0</v>
      </c>
      <c r="X982">
        <v>2</v>
      </c>
      <c r="Z982">
        <v>0</v>
      </c>
      <c r="AA982">
        <v>9</v>
      </c>
      <c r="AB982">
        <v>3</v>
      </c>
      <c r="AC982">
        <v>0</v>
      </c>
      <c r="AD982">
        <v>10</v>
      </c>
      <c r="AE982">
        <v>0</v>
      </c>
      <c r="AF982">
        <v>3</v>
      </c>
      <c r="AG982">
        <v>2</v>
      </c>
      <c r="AH982">
        <v>0</v>
      </c>
      <c r="AI982" t="s">
        <v>766</v>
      </c>
      <c r="AJ982">
        <v>39.699224999999998</v>
      </c>
      <c r="AK982" t="s">
        <v>767</v>
      </c>
      <c r="AL982">
        <v>-92.524645000000007</v>
      </c>
      <c r="AM982">
        <v>100</v>
      </c>
      <c r="AN982">
        <v>1700</v>
      </c>
      <c r="AO982" t="s">
        <v>118</v>
      </c>
      <c r="AP982">
        <v>-32</v>
      </c>
      <c r="AQ982">
        <v>123</v>
      </c>
      <c r="AR982">
        <v>-128</v>
      </c>
      <c r="AZ982">
        <v>1200</v>
      </c>
      <c r="BA982">
        <v>1</v>
      </c>
      <c r="BB982" t="str">
        <f t="shared" si="48"/>
        <v xml:space="preserve">N8080G  </v>
      </c>
      <c r="BC982">
        <v>1</v>
      </c>
      <c r="BE982">
        <v>0</v>
      </c>
      <c r="BF982">
        <v>0</v>
      </c>
      <c r="BG982">
        <v>0</v>
      </c>
      <c r="BH982">
        <v>1675</v>
      </c>
      <c r="BI982">
        <v>1</v>
      </c>
      <c r="BJ982">
        <v>1</v>
      </c>
      <c r="BK982">
        <v>1</v>
      </c>
      <c r="BL982">
        <v>0</v>
      </c>
      <c r="BO982">
        <v>0</v>
      </c>
      <c r="BP982">
        <v>0</v>
      </c>
      <c r="BW982" t="str">
        <f>"20:17:19.563"</f>
        <v>20:17:19.563</v>
      </c>
      <c r="BZ982">
        <v>0</v>
      </c>
      <c r="CA982">
        <v>2016</v>
      </c>
      <c r="CB982">
        <v>224</v>
      </c>
      <c r="CD982">
        <v>1</v>
      </c>
      <c r="CE982">
        <v>0</v>
      </c>
      <c r="CF982">
        <v>0</v>
      </c>
      <c r="CG982">
        <v>1</v>
      </c>
      <c r="CH982">
        <v>0</v>
      </c>
      <c r="CI982">
        <v>0</v>
      </c>
      <c r="CJ982">
        <v>0</v>
      </c>
      <c r="CK982">
        <v>2</v>
      </c>
      <c r="CL982">
        <v>0</v>
      </c>
      <c r="CM982">
        <v>2</v>
      </c>
      <c r="CN982">
        <v>0</v>
      </c>
      <c r="CO982">
        <v>7</v>
      </c>
      <c r="CP982" t="s">
        <v>119</v>
      </c>
      <c r="CQ982">
        <v>180</v>
      </c>
      <c r="CR982">
        <v>2</v>
      </c>
      <c r="CW982">
        <v>8032257</v>
      </c>
      <c r="CY982">
        <v>1</v>
      </c>
      <c r="CZ982">
        <v>0</v>
      </c>
      <c r="DA982">
        <v>1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</row>
    <row r="983" spans="1:113" x14ac:dyDescent="0.3">
      <c r="A983" t="str">
        <f>"02/08/2021 20:17:18.685"</f>
        <v>02/08/2021 20:17:18.685</v>
      </c>
      <c r="C983" t="str">
        <f t="shared" si="47"/>
        <v>FFDFD7C0</v>
      </c>
      <c r="D983" t="s">
        <v>124</v>
      </c>
      <c r="E983">
        <v>12</v>
      </c>
      <c r="F983">
        <v>1012</v>
      </c>
      <c r="G983" t="s">
        <v>675</v>
      </c>
      <c r="J983" t="s">
        <v>125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>"20:17:21.000"</f>
        <v>20:17:21.000</v>
      </c>
      <c r="T983" t="str">
        <f>"20:17:20.600"</f>
        <v>20:17:20.600</v>
      </c>
      <c r="U983" t="str">
        <f t="shared" si="46"/>
        <v>AB01F4</v>
      </c>
      <c r="V983">
        <v>0</v>
      </c>
      <c r="W983">
        <v>0</v>
      </c>
      <c r="X983">
        <v>2</v>
      </c>
      <c r="Z983">
        <v>0</v>
      </c>
      <c r="AA983">
        <v>9</v>
      </c>
      <c r="AB983">
        <v>3</v>
      </c>
      <c r="AC983">
        <v>0</v>
      </c>
      <c r="AD983">
        <v>10</v>
      </c>
      <c r="AE983">
        <v>0</v>
      </c>
      <c r="AF983">
        <v>3</v>
      </c>
      <c r="AG983">
        <v>2</v>
      </c>
      <c r="AH983">
        <v>0</v>
      </c>
      <c r="AI983" t="s">
        <v>768</v>
      </c>
      <c r="AJ983">
        <v>39.700062000000003</v>
      </c>
      <c r="AK983" t="s">
        <v>769</v>
      </c>
      <c r="AL983">
        <v>-92.524880999999993</v>
      </c>
      <c r="AM983">
        <v>100</v>
      </c>
      <c r="AN983">
        <v>1700</v>
      </c>
      <c r="AO983" t="s">
        <v>118</v>
      </c>
      <c r="AP983">
        <v>-32</v>
      </c>
      <c r="AQ983">
        <v>123</v>
      </c>
      <c r="AR983">
        <v>-64</v>
      </c>
      <c r="AZ983">
        <v>1200</v>
      </c>
      <c r="BA983">
        <v>1</v>
      </c>
      <c r="BB983" t="str">
        <f t="shared" si="48"/>
        <v xml:space="preserve">N8080G  </v>
      </c>
      <c r="BC983">
        <v>1</v>
      </c>
      <c r="BE983">
        <v>0</v>
      </c>
      <c r="BF983">
        <v>0</v>
      </c>
      <c r="BG983">
        <v>0</v>
      </c>
      <c r="BH983">
        <v>1675</v>
      </c>
      <c r="BI983">
        <v>1</v>
      </c>
      <c r="BJ983">
        <v>1</v>
      </c>
      <c r="BK983">
        <v>1</v>
      </c>
      <c r="BL983">
        <v>0</v>
      </c>
      <c r="BO983">
        <v>0</v>
      </c>
      <c r="BP983">
        <v>0</v>
      </c>
      <c r="BW983" t="str">
        <f>"20:17:21.004"</f>
        <v>20:17:21.004</v>
      </c>
      <c r="BZ983">
        <v>0</v>
      </c>
      <c r="CA983">
        <v>2016</v>
      </c>
      <c r="CB983">
        <v>224</v>
      </c>
      <c r="CD983">
        <v>1</v>
      </c>
      <c r="CE983">
        <v>0</v>
      </c>
      <c r="CF983">
        <v>0</v>
      </c>
      <c r="CG983">
        <v>1</v>
      </c>
      <c r="CH983">
        <v>0</v>
      </c>
      <c r="CI983">
        <v>0</v>
      </c>
      <c r="CJ983">
        <v>0</v>
      </c>
      <c r="CK983">
        <v>2</v>
      </c>
      <c r="CL983">
        <v>0</v>
      </c>
      <c r="CM983">
        <v>2</v>
      </c>
      <c r="CN983">
        <v>0</v>
      </c>
      <c r="CO983">
        <v>7</v>
      </c>
      <c r="CP983" t="s">
        <v>119</v>
      </c>
      <c r="CQ983">
        <v>180</v>
      </c>
      <c r="CR983">
        <v>2</v>
      </c>
      <c r="CW983">
        <v>8033381</v>
      </c>
      <c r="CY983">
        <v>1</v>
      </c>
      <c r="CZ983">
        <v>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</row>
    <row r="984" spans="1:113" x14ac:dyDescent="0.3">
      <c r="A984" t="str">
        <f>"02/08/2021 20:17:18.685"</f>
        <v>02/08/2021 20:17:18.685</v>
      </c>
      <c r="C984" t="str">
        <f t="shared" si="47"/>
        <v>FFDFD7C0</v>
      </c>
      <c r="D984" t="s">
        <v>124</v>
      </c>
      <c r="E984">
        <v>11</v>
      </c>
      <c r="F984">
        <v>1011</v>
      </c>
      <c r="G984" t="s">
        <v>590</v>
      </c>
      <c r="J984" t="s">
        <v>125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>"20:17:21.000"</f>
        <v>20:17:21.000</v>
      </c>
      <c r="T984" t="str">
        <f>"20:17:20.600"</f>
        <v>20:17:20.600</v>
      </c>
      <c r="U984" t="str">
        <f t="shared" si="46"/>
        <v>AB01F4</v>
      </c>
      <c r="V984">
        <v>0</v>
      </c>
      <c r="W984">
        <v>0</v>
      </c>
      <c r="X984">
        <v>2</v>
      </c>
      <c r="Z984">
        <v>0</v>
      </c>
      <c r="AA984">
        <v>9</v>
      </c>
      <c r="AB984">
        <v>3</v>
      </c>
      <c r="AC984">
        <v>0</v>
      </c>
      <c r="AD984">
        <v>10</v>
      </c>
      <c r="AE984">
        <v>0</v>
      </c>
      <c r="AF984">
        <v>3</v>
      </c>
      <c r="AG984">
        <v>2</v>
      </c>
      <c r="AH984">
        <v>0</v>
      </c>
      <c r="AI984" t="s">
        <v>768</v>
      </c>
      <c r="AJ984">
        <v>39.700062000000003</v>
      </c>
      <c r="AK984" t="s">
        <v>769</v>
      </c>
      <c r="AL984">
        <v>-92.524880999999993</v>
      </c>
      <c r="AM984">
        <v>100</v>
      </c>
      <c r="AN984">
        <v>1700</v>
      </c>
      <c r="AO984" t="s">
        <v>118</v>
      </c>
      <c r="AP984">
        <v>-32</v>
      </c>
      <c r="AQ984">
        <v>123</v>
      </c>
      <c r="AR984">
        <v>-64</v>
      </c>
      <c r="AZ984">
        <v>1200</v>
      </c>
      <c r="BA984">
        <v>1</v>
      </c>
      <c r="BB984" t="str">
        <f t="shared" si="48"/>
        <v xml:space="preserve">N8080G  </v>
      </c>
      <c r="BC984">
        <v>1</v>
      </c>
      <c r="BE984">
        <v>0</v>
      </c>
      <c r="BF984">
        <v>0</v>
      </c>
      <c r="BG984">
        <v>0</v>
      </c>
      <c r="BH984">
        <v>1675</v>
      </c>
      <c r="BI984">
        <v>1</v>
      </c>
      <c r="BJ984">
        <v>1</v>
      </c>
      <c r="BK984">
        <v>1</v>
      </c>
      <c r="BL984">
        <v>0</v>
      </c>
      <c r="BO984">
        <v>0</v>
      </c>
      <c r="BP984">
        <v>0</v>
      </c>
      <c r="BW984" t="str">
        <f>"20:17:21.004"</f>
        <v>20:17:21.004</v>
      </c>
      <c r="BZ984">
        <v>0</v>
      </c>
      <c r="CA984">
        <v>2016</v>
      </c>
      <c r="CB984">
        <v>224</v>
      </c>
      <c r="CD984">
        <v>1</v>
      </c>
      <c r="CE984">
        <v>0</v>
      </c>
      <c r="CF984">
        <v>0</v>
      </c>
      <c r="CG984">
        <v>1</v>
      </c>
      <c r="CH984">
        <v>0</v>
      </c>
      <c r="CI984">
        <v>0</v>
      </c>
      <c r="CJ984">
        <v>0</v>
      </c>
      <c r="CK984">
        <v>2</v>
      </c>
      <c r="CL984">
        <v>0</v>
      </c>
      <c r="CM984">
        <v>2</v>
      </c>
      <c r="CN984">
        <v>0</v>
      </c>
      <c r="CO984">
        <v>7</v>
      </c>
      <c r="CP984" t="s">
        <v>119</v>
      </c>
      <c r="CQ984">
        <v>180</v>
      </c>
      <c r="CR984">
        <v>2</v>
      </c>
      <c r="CW984">
        <v>8033381</v>
      </c>
      <c r="CY984">
        <v>1</v>
      </c>
      <c r="CZ984">
        <v>0</v>
      </c>
      <c r="DA984">
        <v>1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</row>
    <row r="985" spans="1:113" x14ac:dyDescent="0.3">
      <c r="A985" t="str">
        <f>"02/08/2021 20:17:18.685"</f>
        <v>02/08/2021 20:17:18.685</v>
      </c>
      <c r="C985" t="str">
        <f t="shared" si="47"/>
        <v>FFDFD7C0</v>
      </c>
      <c r="D985" t="s">
        <v>113</v>
      </c>
      <c r="E985">
        <v>6</v>
      </c>
      <c r="H985">
        <v>165</v>
      </c>
      <c r="I985" t="s">
        <v>114</v>
      </c>
      <c r="J985" t="s">
        <v>115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>"20:17:21.000"</f>
        <v>20:17:21.000</v>
      </c>
      <c r="T985" t="str">
        <f>"20:17:20.600"</f>
        <v>20:17:20.600</v>
      </c>
      <c r="U985" t="str">
        <f t="shared" si="46"/>
        <v>AB01F4</v>
      </c>
      <c r="V985">
        <v>0</v>
      </c>
      <c r="W985">
        <v>0</v>
      </c>
      <c r="X985">
        <v>2</v>
      </c>
      <c r="Z985">
        <v>0</v>
      </c>
      <c r="AA985">
        <v>9</v>
      </c>
      <c r="AB985">
        <v>3</v>
      </c>
      <c r="AC985">
        <v>0</v>
      </c>
      <c r="AD985">
        <v>10</v>
      </c>
      <c r="AE985">
        <v>0</v>
      </c>
      <c r="AF985">
        <v>3</v>
      </c>
      <c r="AG985">
        <v>2</v>
      </c>
      <c r="AH985">
        <v>0</v>
      </c>
      <c r="AI985" t="s">
        <v>768</v>
      </c>
      <c r="AJ985">
        <v>39.700062000000003</v>
      </c>
      <c r="AK985" t="s">
        <v>769</v>
      </c>
      <c r="AL985">
        <v>-92.524880999999993</v>
      </c>
      <c r="AM985">
        <v>100</v>
      </c>
      <c r="AN985">
        <v>1700</v>
      </c>
      <c r="AO985" t="s">
        <v>118</v>
      </c>
      <c r="AP985">
        <v>-32</v>
      </c>
      <c r="AQ985">
        <v>123</v>
      </c>
      <c r="AR985">
        <v>-64</v>
      </c>
      <c r="AZ985">
        <v>1200</v>
      </c>
      <c r="BA985">
        <v>1</v>
      </c>
      <c r="BB985" t="str">
        <f t="shared" si="48"/>
        <v xml:space="preserve">N8080G  </v>
      </c>
      <c r="BC985">
        <v>1</v>
      </c>
      <c r="BE985">
        <v>0</v>
      </c>
      <c r="BF985">
        <v>0</v>
      </c>
      <c r="BG985">
        <v>0</v>
      </c>
      <c r="BH985">
        <v>1675</v>
      </c>
      <c r="BI985">
        <v>1</v>
      </c>
      <c r="BJ985">
        <v>1</v>
      </c>
      <c r="BK985">
        <v>1</v>
      </c>
      <c r="BL985">
        <v>0</v>
      </c>
      <c r="BO985">
        <v>0</v>
      </c>
      <c r="BP985">
        <v>0</v>
      </c>
      <c r="BW985" t="str">
        <f>"20:17:21.004"</f>
        <v>20:17:21.004</v>
      </c>
      <c r="BZ985">
        <v>0</v>
      </c>
      <c r="CA985">
        <v>2016</v>
      </c>
      <c r="CB985">
        <v>224</v>
      </c>
      <c r="CD985">
        <v>1</v>
      </c>
      <c r="CE985">
        <v>0</v>
      </c>
      <c r="CF985">
        <v>0</v>
      </c>
      <c r="CG985">
        <v>1</v>
      </c>
      <c r="CH985">
        <v>0</v>
      </c>
      <c r="CI985">
        <v>0</v>
      </c>
      <c r="CJ985">
        <v>0</v>
      </c>
      <c r="CK985">
        <v>2</v>
      </c>
      <c r="CL985">
        <v>0</v>
      </c>
      <c r="CM985">
        <v>2</v>
      </c>
      <c r="CN985">
        <v>0</v>
      </c>
      <c r="CO985">
        <v>7</v>
      </c>
      <c r="CP985" t="s">
        <v>119</v>
      </c>
      <c r="CQ985">
        <v>180</v>
      </c>
      <c r="CR985">
        <v>2</v>
      </c>
      <c r="CW985">
        <v>8033381</v>
      </c>
      <c r="CY985">
        <v>1</v>
      </c>
      <c r="CZ985">
        <v>0</v>
      </c>
      <c r="DA985">
        <v>1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</row>
    <row r="986" spans="1:113" x14ac:dyDescent="0.3">
      <c r="A986" t="str">
        <f>"02/08/2021 20:17:18.685"</f>
        <v>02/08/2021 20:17:18.685</v>
      </c>
      <c r="C986" t="str">
        <f t="shared" si="47"/>
        <v>FFDFD7C0</v>
      </c>
      <c r="D986" t="s">
        <v>124</v>
      </c>
      <c r="E986">
        <v>13</v>
      </c>
      <c r="F986">
        <v>1013</v>
      </c>
      <c r="G986" t="s">
        <v>114</v>
      </c>
      <c r="J986" t="s">
        <v>125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>"20:17:21.000"</f>
        <v>20:17:21.000</v>
      </c>
      <c r="T986" t="str">
        <f>"20:17:20.600"</f>
        <v>20:17:20.600</v>
      </c>
      <c r="U986" t="str">
        <f t="shared" si="46"/>
        <v>AB01F4</v>
      </c>
      <c r="V986">
        <v>0</v>
      </c>
      <c r="W986">
        <v>0</v>
      </c>
      <c r="X986">
        <v>2</v>
      </c>
      <c r="Z986">
        <v>0</v>
      </c>
      <c r="AA986">
        <v>9</v>
      </c>
      <c r="AB986">
        <v>3</v>
      </c>
      <c r="AC986">
        <v>0</v>
      </c>
      <c r="AD986">
        <v>10</v>
      </c>
      <c r="AE986">
        <v>0</v>
      </c>
      <c r="AF986">
        <v>3</v>
      </c>
      <c r="AG986">
        <v>2</v>
      </c>
      <c r="AH986">
        <v>0</v>
      </c>
      <c r="AI986" t="s">
        <v>768</v>
      </c>
      <c r="AJ986">
        <v>39.700062000000003</v>
      </c>
      <c r="AK986" t="s">
        <v>769</v>
      </c>
      <c r="AL986">
        <v>-92.524880999999993</v>
      </c>
      <c r="AM986">
        <v>100</v>
      </c>
      <c r="AN986">
        <v>1700</v>
      </c>
      <c r="AO986" t="s">
        <v>118</v>
      </c>
      <c r="AP986">
        <v>-32</v>
      </c>
      <c r="AQ986">
        <v>123</v>
      </c>
      <c r="AR986">
        <v>-64</v>
      </c>
      <c r="AZ986">
        <v>1200</v>
      </c>
      <c r="BA986">
        <v>1</v>
      </c>
      <c r="BB986" t="str">
        <f t="shared" si="48"/>
        <v xml:space="preserve">N8080G  </v>
      </c>
      <c r="BC986">
        <v>1</v>
      </c>
      <c r="BE986">
        <v>0</v>
      </c>
      <c r="BF986">
        <v>0</v>
      </c>
      <c r="BG986">
        <v>0</v>
      </c>
      <c r="BH986">
        <v>1675</v>
      </c>
      <c r="BI986">
        <v>1</v>
      </c>
      <c r="BJ986">
        <v>1</v>
      </c>
      <c r="BK986">
        <v>1</v>
      </c>
      <c r="BL986">
        <v>0</v>
      </c>
      <c r="BO986">
        <v>0</v>
      </c>
      <c r="BP986">
        <v>0</v>
      </c>
      <c r="BW986" t="str">
        <f>"20:17:21.004"</f>
        <v>20:17:21.004</v>
      </c>
      <c r="BZ986">
        <v>0</v>
      </c>
      <c r="CA986">
        <v>2016</v>
      </c>
      <c r="CB986">
        <v>224</v>
      </c>
      <c r="CD986">
        <v>1</v>
      </c>
      <c r="CE986">
        <v>0</v>
      </c>
      <c r="CF986">
        <v>0</v>
      </c>
      <c r="CG986">
        <v>1</v>
      </c>
      <c r="CH986">
        <v>0</v>
      </c>
      <c r="CI986">
        <v>0</v>
      </c>
      <c r="CJ986">
        <v>0</v>
      </c>
      <c r="CK986">
        <v>2</v>
      </c>
      <c r="CL986">
        <v>0</v>
      </c>
      <c r="CM986">
        <v>2</v>
      </c>
      <c r="CN986">
        <v>0</v>
      </c>
      <c r="CO986">
        <v>7</v>
      </c>
      <c r="CP986" t="s">
        <v>119</v>
      </c>
      <c r="CQ986">
        <v>180</v>
      </c>
      <c r="CR986">
        <v>2</v>
      </c>
      <c r="CW986">
        <v>8033381</v>
      </c>
      <c r="CY986">
        <v>1</v>
      </c>
      <c r="CZ986">
        <v>0</v>
      </c>
      <c r="DA986">
        <v>1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</row>
    <row r="987" spans="1:113" x14ac:dyDescent="0.3">
      <c r="A987" t="str">
        <f>"02/08/2021 20:17:20.284"</f>
        <v>02/08/2021 20:17:20.284</v>
      </c>
      <c r="C987" t="str">
        <f t="shared" si="47"/>
        <v>FFDFD7C0</v>
      </c>
      <c r="D987" t="s">
        <v>113</v>
      </c>
      <c r="E987">
        <v>6</v>
      </c>
      <c r="H987">
        <v>165</v>
      </c>
      <c r="I987" t="s">
        <v>114</v>
      </c>
      <c r="J987" t="s">
        <v>115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>"20:17:22.609"</f>
        <v>20:17:22.609</v>
      </c>
      <c r="T987" t="str">
        <f>"20:17:22.109"</f>
        <v>20:17:22.109</v>
      </c>
      <c r="U987" t="str">
        <f t="shared" si="46"/>
        <v>AB01F4</v>
      </c>
      <c r="V987">
        <v>0</v>
      </c>
      <c r="W987">
        <v>0</v>
      </c>
      <c r="X987">
        <v>2</v>
      </c>
      <c r="Z987">
        <v>0</v>
      </c>
      <c r="AA987">
        <v>9</v>
      </c>
      <c r="AB987">
        <v>3</v>
      </c>
      <c r="AC987">
        <v>0</v>
      </c>
      <c r="AD987">
        <v>10</v>
      </c>
      <c r="AE987">
        <v>0</v>
      </c>
      <c r="AF987">
        <v>3</v>
      </c>
      <c r="AG987">
        <v>2</v>
      </c>
      <c r="AH987">
        <v>0</v>
      </c>
      <c r="AI987" t="s">
        <v>770</v>
      </c>
      <c r="AJ987">
        <v>39.701006</v>
      </c>
      <c r="AK987" t="s">
        <v>771</v>
      </c>
      <c r="AL987">
        <v>-92.525203000000005</v>
      </c>
      <c r="AM987">
        <v>100</v>
      </c>
      <c r="AN987">
        <v>1700</v>
      </c>
      <c r="AO987" t="s">
        <v>118</v>
      </c>
      <c r="AP987">
        <v>-32</v>
      </c>
      <c r="AQ987">
        <v>123</v>
      </c>
      <c r="AR987">
        <v>-128</v>
      </c>
      <c r="AZ987">
        <v>1200</v>
      </c>
      <c r="BA987">
        <v>1</v>
      </c>
      <c r="BB987" t="str">
        <f t="shared" si="48"/>
        <v xml:space="preserve">N8080G  </v>
      </c>
      <c r="BC987">
        <v>1</v>
      </c>
      <c r="BE987">
        <v>0</v>
      </c>
      <c r="BF987">
        <v>0</v>
      </c>
      <c r="BG987">
        <v>0</v>
      </c>
      <c r="BH987">
        <v>1675</v>
      </c>
      <c r="BI987">
        <v>1</v>
      </c>
      <c r="BJ987">
        <v>1</v>
      </c>
      <c r="BK987">
        <v>1</v>
      </c>
      <c r="BL987">
        <v>0</v>
      </c>
      <c r="BO987">
        <v>0</v>
      </c>
      <c r="BP987">
        <v>0</v>
      </c>
      <c r="BW987" t="str">
        <f>"20:17:22.613"</f>
        <v>20:17:22.613</v>
      </c>
      <c r="BZ987">
        <v>0</v>
      </c>
      <c r="CA987">
        <v>2016</v>
      </c>
      <c r="CB987">
        <v>224</v>
      </c>
      <c r="CD987">
        <v>1</v>
      </c>
      <c r="CE987">
        <v>0</v>
      </c>
      <c r="CF987">
        <v>0</v>
      </c>
      <c r="CG987">
        <v>1</v>
      </c>
      <c r="CH987">
        <v>0</v>
      </c>
      <c r="CI987">
        <v>0</v>
      </c>
      <c r="CJ987">
        <v>0</v>
      </c>
      <c r="CK987">
        <v>2</v>
      </c>
      <c r="CL987">
        <v>0</v>
      </c>
      <c r="CM987">
        <v>2</v>
      </c>
      <c r="CN987">
        <v>0</v>
      </c>
      <c r="CO987">
        <v>7</v>
      </c>
      <c r="CP987" t="s">
        <v>119</v>
      </c>
      <c r="CQ987">
        <v>180</v>
      </c>
      <c r="CR987">
        <v>2</v>
      </c>
      <c r="CW987">
        <v>8034654</v>
      </c>
      <c r="CY987">
        <v>1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</row>
    <row r="988" spans="1:113" x14ac:dyDescent="0.3">
      <c r="A988" t="str">
        <f>"02/08/2021 20:17:20.284"</f>
        <v>02/08/2021 20:17:20.284</v>
      </c>
      <c r="C988" t="str">
        <f t="shared" si="47"/>
        <v>FFDFD7C0</v>
      </c>
      <c r="D988" t="s">
        <v>124</v>
      </c>
      <c r="E988">
        <v>13</v>
      </c>
      <c r="F988">
        <v>1013</v>
      </c>
      <c r="G988" t="s">
        <v>114</v>
      </c>
      <c r="J988" t="s">
        <v>125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>"20:17:22.609"</f>
        <v>20:17:22.609</v>
      </c>
      <c r="T988" t="str">
        <f>"20:17:22.109"</f>
        <v>20:17:22.109</v>
      </c>
      <c r="U988" t="str">
        <f t="shared" si="46"/>
        <v>AB01F4</v>
      </c>
      <c r="V988">
        <v>0</v>
      </c>
      <c r="W988">
        <v>0</v>
      </c>
      <c r="X988">
        <v>2</v>
      </c>
      <c r="Z988">
        <v>0</v>
      </c>
      <c r="AA988">
        <v>9</v>
      </c>
      <c r="AB988">
        <v>3</v>
      </c>
      <c r="AC988">
        <v>0</v>
      </c>
      <c r="AD988">
        <v>10</v>
      </c>
      <c r="AE988">
        <v>0</v>
      </c>
      <c r="AF988">
        <v>3</v>
      </c>
      <c r="AG988">
        <v>2</v>
      </c>
      <c r="AH988">
        <v>0</v>
      </c>
      <c r="AI988" t="s">
        <v>770</v>
      </c>
      <c r="AJ988">
        <v>39.701006</v>
      </c>
      <c r="AK988" t="s">
        <v>771</v>
      </c>
      <c r="AL988">
        <v>-92.525203000000005</v>
      </c>
      <c r="AM988">
        <v>100</v>
      </c>
      <c r="AN988">
        <v>1700</v>
      </c>
      <c r="AO988" t="s">
        <v>118</v>
      </c>
      <c r="AP988">
        <v>-32</v>
      </c>
      <c r="AQ988">
        <v>123</v>
      </c>
      <c r="AR988">
        <v>-128</v>
      </c>
      <c r="AZ988">
        <v>1200</v>
      </c>
      <c r="BA988">
        <v>1</v>
      </c>
      <c r="BB988" t="str">
        <f t="shared" si="48"/>
        <v xml:space="preserve">N8080G  </v>
      </c>
      <c r="BC988">
        <v>1</v>
      </c>
      <c r="BE988">
        <v>0</v>
      </c>
      <c r="BF988">
        <v>0</v>
      </c>
      <c r="BG988">
        <v>0</v>
      </c>
      <c r="BH988">
        <v>1675</v>
      </c>
      <c r="BI988">
        <v>1</v>
      </c>
      <c r="BJ988">
        <v>1</v>
      </c>
      <c r="BK988">
        <v>1</v>
      </c>
      <c r="BL988">
        <v>0</v>
      </c>
      <c r="BO988">
        <v>0</v>
      </c>
      <c r="BP988">
        <v>0</v>
      </c>
      <c r="BW988" t="str">
        <f>"20:17:22.613"</f>
        <v>20:17:22.613</v>
      </c>
      <c r="BZ988">
        <v>0</v>
      </c>
      <c r="CA988">
        <v>2016</v>
      </c>
      <c r="CB988">
        <v>224</v>
      </c>
      <c r="CD988">
        <v>1</v>
      </c>
      <c r="CE988">
        <v>0</v>
      </c>
      <c r="CF988">
        <v>0</v>
      </c>
      <c r="CG988">
        <v>1</v>
      </c>
      <c r="CH988">
        <v>0</v>
      </c>
      <c r="CI988">
        <v>0</v>
      </c>
      <c r="CJ988">
        <v>0</v>
      </c>
      <c r="CK988">
        <v>2</v>
      </c>
      <c r="CL988">
        <v>0</v>
      </c>
      <c r="CM988">
        <v>2</v>
      </c>
      <c r="CN988">
        <v>0</v>
      </c>
      <c r="CO988">
        <v>7</v>
      </c>
      <c r="CP988" t="s">
        <v>119</v>
      </c>
      <c r="CQ988">
        <v>180</v>
      </c>
      <c r="CR988">
        <v>2</v>
      </c>
      <c r="CW988">
        <v>8034654</v>
      </c>
      <c r="CY988">
        <v>1</v>
      </c>
      <c r="CZ988">
        <v>0</v>
      </c>
      <c r="DA988">
        <v>1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</row>
    <row r="989" spans="1:113" x14ac:dyDescent="0.3">
      <c r="A989" t="str">
        <f>"02/08/2021 20:17:20.284"</f>
        <v>02/08/2021 20:17:20.284</v>
      </c>
      <c r="C989" t="str">
        <f t="shared" si="47"/>
        <v>FFDFD7C0</v>
      </c>
      <c r="D989" t="s">
        <v>124</v>
      </c>
      <c r="E989">
        <v>12</v>
      </c>
      <c r="F989">
        <v>1012</v>
      </c>
      <c r="G989" t="s">
        <v>675</v>
      </c>
      <c r="J989" t="s">
        <v>125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>"20:17:22.609"</f>
        <v>20:17:22.609</v>
      </c>
      <c r="T989" t="str">
        <f>"20:17:22.109"</f>
        <v>20:17:22.109</v>
      </c>
      <c r="U989" t="str">
        <f t="shared" si="46"/>
        <v>AB01F4</v>
      </c>
      <c r="V989">
        <v>0</v>
      </c>
      <c r="W989">
        <v>0</v>
      </c>
      <c r="X989">
        <v>2</v>
      </c>
      <c r="Z989">
        <v>0</v>
      </c>
      <c r="AA989">
        <v>9</v>
      </c>
      <c r="AB989">
        <v>3</v>
      </c>
      <c r="AC989">
        <v>0</v>
      </c>
      <c r="AD989">
        <v>10</v>
      </c>
      <c r="AE989">
        <v>0</v>
      </c>
      <c r="AF989">
        <v>3</v>
      </c>
      <c r="AG989">
        <v>2</v>
      </c>
      <c r="AH989">
        <v>0</v>
      </c>
      <c r="AI989" t="s">
        <v>770</v>
      </c>
      <c r="AJ989">
        <v>39.701006</v>
      </c>
      <c r="AK989" t="s">
        <v>771</v>
      </c>
      <c r="AL989">
        <v>-92.525203000000005</v>
      </c>
      <c r="AM989">
        <v>100</v>
      </c>
      <c r="AN989">
        <v>1700</v>
      </c>
      <c r="AO989" t="s">
        <v>118</v>
      </c>
      <c r="AP989">
        <v>-32</v>
      </c>
      <c r="AQ989">
        <v>123</v>
      </c>
      <c r="AR989">
        <v>-128</v>
      </c>
      <c r="AZ989">
        <v>1200</v>
      </c>
      <c r="BA989">
        <v>1</v>
      </c>
      <c r="BB989" t="str">
        <f t="shared" si="48"/>
        <v xml:space="preserve">N8080G  </v>
      </c>
      <c r="BC989">
        <v>1</v>
      </c>
      <c r="BE989">
        <v>0</v>
      </c>
      <c r="BF989">
        <v>0</v>
      </c>
      <c r="BG989">
        <v>0</v>
      </c>
      <c r="BH989">
        <v>1675</v>
      </c>
      <c r="BI989">
        <v>1</v>
      </c>
      <c r="BJ989">
        <v>1</v>
      </c>
      <c r="BK989">
        <v>1</v>
      </c>
      <c r="BL989">
        <v>0</v>
      </c>
      <c r="BO989">
        <v>0</v>
      </c>
      <c r="BP989">
        <v>0</v>
      </c>
      <c r="BW989" t="str">
        <f>"20:17:22.613"</f>
        <v>20:17:22.613</v>
      </c>
      <c r="BZ989">
        <v>0</v>
      </c>
      <c r="CA989">
        <v>2016</v>
      </c>
      <c r="CB989">
        <v>224</v>
      </c>
      <c r="CD989">
        <v>1</v>
      </c>
      <c r="CE989">
        <v>0</v>
      </c>
      <c r="CF989">
        <v>0</v>
      </c>
      <c r="CG989">
        <v>1</v>
      </c>
      <c r="CH989">
        <v>0</v>
      </c>
      <c r="CI989">
        <v>0</v>
      </c>
      <c r="CJ989">
        <v>0</v>
      </c>
      <c r="CK989">
        <v>2</v>
      </c>
      <c r="CL989">
        <v>0</v>
      </c>
      <c r="CM989">
        <v>2</v>
      </c>
      <c r="CN989">
        <v>0</v>
      </c>
      <c r="CO989">
        <v>7</v>
      </c>
      <c r="CP989" t="s">
        <v>119</v>
      </c>
      <c r="CQ989">
        <v>180</v>
      </c>
      <c r="CR989">
        <v>2</v>
      </c>
      <c r="CW989">
        <v>8034654</v>
      </c>
      <c r="CY989">
        <v>1</v>
      </c>
      <c r="CZ989">
        <v>0</v>
      </c>
      <c r="DA989">
        <v>1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</row>
    <row r="990" spans="1:113" x14ac:dyDescent="0.3">
      <c r="A990" t="str">
        <f>"02/08/2021 20:17:20.284"</f>
        <v>02/08/2021 20:17:20.284</v>
      </c>
      <c r="C990" t="str">
        <f t="shared" si="47"/>
        <v>FFDFD7C0</v>
      </c>
      <c r="D990" t="s">
        <v>124</v>
      </c>
      <c r="E990">
        <v>11</v>
      </c>
      <c r="F990">
        <v>1011</v>
      </c>
      <c r="G990" t="s">
        <v>590</v>
      </c>
      <c r="J990" t="s">
        <v>125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>"20:17:22.609"</f>
        <v>20:17:22.609</v>
      </c>
      <c r="T990" t="str">
        <f>"20:17:22.109"</f>
        <v>20:17:22.109</v>
      </c>
      <c r="U990" t="str">
        <f t="shared" si="46"/>
        <v>AB01F4</v>
      </c>
      <c r="V990">
        <v>0</v>
      </c>
      <c r="W990">
        <v>0</v>
      </c>
      <c r="X990">
        <v>2</v>
      </c>
      <c r="Z990">
        <v>0</v>
      </c>
      <c r="AA990">
        <v>9</v>
      </c>
      <c r="AB990">
        <v>3</v>
      </c>
      <c r="AC990">
        <v>0</v>
      </c>
      <c r="AD990">
        <v>10</v>
      </c>
      <c r="AE990">
        <v>0</v>
      </c>
      <c r="AF990">
        <v>3</v>
      </c>
      <c r="AG990">
        <v>2</v>
      </c>
      <c r="AH990">
        <v>0</v>
      </c>
      <c r="AI990" t="s">
        <v>770</v>
      </c>
      <c r="AJ990">
        <v>39.701006</v>
      </c>
      <c r="AK990" t="s">
        <v>771</v>
      </c>
      <c r="AL990">
        <v>-92.525203000000005</v>
      </c>
      <c r="AM990">
        <v>100</v>
      </c>
      <c r="AN990">
        <v>1700</v>
      </c>
      <c r="AO990" t="s">
        <v>118</v>
      </c>
      <c r="AP990">
        <v>-32</v>
      </c>
      <c r="AQ990">
        <v>123</v>
      </c>
      <c r="AR990">
        <v>-128</v>
      </c>
      <c r="AZ990">
        <v>1200</v>
      </c>
      <c r="BA990">
        <v>1</v>
      </c>
      <c r="BB990" t="str">
        <f t="shared" si="48"/>
        <v xml:space="preserve">N8080G  </v>
      </c>
      <c r="BC990">
        <v>1</v>
      </c>
      <c r="BE990">
        <v>0</v>
      </c>
      <c r="BF990">
        <v>0</v>
      </c>
      <c r="BG990">
        <v>0</v>
      </c>
      <c r="BH990">
        <v>1675</v>
      </c>
      <c r="BI990">
        <v>1</v>
      </c>
      <c r="BJ990">
        <v>1</v>
      </c>
      <c r="BK990">
        <v>1</v>
      </c>
      <c r="BL990">
        <v>0</v>
      </c>
      <c r="BO990">
        <v>0</v>
      </c>
      <c r="BP990">
        <v>0</v>
      </c>
      <c r="BW990" t="str">
        <f>"20:17:22.613"</f>
        <v>20:17:22.613</v>
      </c>
      <c r="BZ990">
        <v>0</v>
      </c>
      <c r="CA990">
        <v>2016</v>
      </c>
      <c r="CB990">
        <v>224</v>
      </c>
      <c r="CD990">
        <v>1</v>
      </c>
      <c r="CE990">
        <v>0</v>
      </c>
      <c r="CF990">
        <v>0</v>
      </c>
      <c r="CG990">
        <v>1</v>
      </c>
      <c r="CH990">
        <v>0</v>
      </c>
      <c r="CI990">
        <v>0</v>
      </c>
      <c r="CJ990">
        <v>0</v>
      </c>
      <c r="CK990">
        <v>2</v>
      </c>
      <c r="CL990">
        <v>0</v>
      </c>
      <c r="CM990">
        <v>2</v>
      </c>
      <c r="CN990">
        <v>0</v>
      </c>
      <c r="CO990">
        <v>7</v>
      </c>
      <c r="CP990" t="s">
        <v>119</v>
      </c>
      <c r="CQ990">
        <v>180</v>
      </c>
      <c r="CR990">
        <v>2</v>
      </c>
      <c r="CW990">
        <v>8034654</v>
      </c>
      <c r="CY990">
        <v>1</v>
      </c>
      <c r="CZ990">
        <v>0</v>
      </c>
      <c r="DA990">
        <v>1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</row>
    <row r="991" spans="1:113" x14ac:dyDescent="0.3">
      <c r="A991" t="str">
        <f>"02/08/2021 20:17:21.412"</f>
        <v>02/08/2021 20:17:21.412</v>
      </c>
      <c r="C991" t="str">
        <f t="shared" si="47"/>
        <v>FFDFD7C0</v>
      </c>
      <c r="D991" t="s">
        <v>124</v>
      </c>
      <c r="E991">
        <v>11</v>
      </c>
      <c r="F991">
        <v>1011</v>
      </c>
      <c r="G991" t="s">
        <v>590</v>
      </c>
      <c r="J991" t="s">
        <v>125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>"20:17:23.727"</f>
        <v>20:17:23.727</v>
      </c>
      <c r="T991" t="str">
        <f>"20:17:23.227"</f>
        <v>20:17:23.227</v>
      </c>
      <c r="U991" t="str">
        <f t="shared" si="46"/>
        <v>AB01F4</v>
      </c>
      <c r="V991">
        <v>0</v>
      </c>
      <c r="W991">
        <v>0</v>
      </c>
      <c r="X991">
        <v>2</v>
      </c>
      <c r="Z991">
        <v>0</v>
      </c>
      <c r="AA991">
        <v>9</v>
      </c>
      <c r="AB991">
        <v>3</v>
      </c>
      <c r="AC991">
        <v>0</v>
      </c>
      <c r="AD991">
        <v>10</v>
      </c>
      <c r="AE991">
        <v>0</v>
      </c>
      <c r="AF991">
        <v>3</v>
      </c>
      <c r="AG991">
        <v>2</v>
      </c>
      <c r="AH991">
        <v>0</v>
      </c>
      <c r="AI991" t="s">
        <v>772</v>
      </c>
      <c r="AJ991">
        <v>39.701650000000001</v>
      </c>
      <c r="AK991" t="s">
        <v>773</v>
      </c>
      <c r="AL991">
        <v>-92.525418000000002</v>
      </c>
      <c r="AM991">
        <v>100</v>
      </c>
      <c r="AN991">
        <v>1700</v>
      </c>
      <c r="AO991" t="s">
        <v>118</v>
      </c>
      <c r="AP991">
        <v>-32</v>
      </c>
      <c r="AQ991">
        <v>123</v>
      </c>
      <c r="AR991">
        <v>-64</v>
      </c>
      <c r="AZ991">
        <v>1200</v>
      </c>
      <c r="BA991">
        <v>1</v>
      </c>
      <c r="BB991" t="str">
        <f t="shared" si="48"/>
        <v xml:space="preserve">N8080G  </v>
      </c>
      <c r="BC991">
        <v>1</v>
      </c>
      <c r="BE991">
        <v>0</v>
      </c>
      <c r="BF991">
        <v>0</v>
      </c>
      <c r="BG991">
        <v>0</v>
      </c>
      <c r="BH991">
        <v>1675</v>
      </c>
      <c r="BI991">
        <v>1</v>
      </c>
      <c r="BJ991">
        <v>1</v>
      </c>
      <c r="BK991">
        <v>1</v>
      </c>
      <c r="BL991">
        <v>0</v>
      </c>
      <c r="BO991">
        <v>0</v>
      </c>
      <c r="BP991">
        <v>0</v>
      </c>
      <c r="BW991" t="str">
        <f>"20:17:23.732"</f>
        <v>20:17:23.732</v>
      </c>
      <c r="BZ991">
        <v>0</v>
      </c>
      <c r="CA991">
        <v>2016</v>
      </c>
      <c r="CB991">
        <v>224</v>
      </c>
      <c r="CD991">
        <v>1</v>
      </c>
      <c r="CE991">
        <v>0</v>
      </c>
      <c r="CF991">
        <v>0</v>
      </c>
      <c r="CG991">
        <v>1</v>
      </c>
      <c r="CH991">
        <v>0</v>
      </c>
      <c r="CI991">
        <v>0</v>
      </c>
      <c r="CJ991">
        <v>0</v>
      </c>
      <c r="CK991">
        <v>2</v>
      </c>
      <c r="CL991">
        <v>0</v>
      </c>
      <c r="CM991">
        <v>2</v>
      </c>
      <c r="CN991">
        <v>0</v>
      </c>
      <c r="CO991">
        <v>7</v>
      </c>
      <c r="CP991" t="s">
        <v>119</v>
      </c>
      <c r="CQ991">
        <v>180</v>
      </c>
      <c r="CR991">
        <v>1</v>
      </c>
      <c r="CW991">
        <v>10591501</v>
      </c>
      <c r="CY991">
        <v>1</v>
      </c>
      <c r="CZ991">
        <v>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</row>
    <row r="992" spans="1:113" x14ac:dyDescent="0.3">
      <c r="A992" t="str">
        <f>"02/08/2021 20:17:21.412"</f>
        <v>02/08/2021 20:17:21.412</v>
      </c>
      <c r="C992" t="str">
        <f t="shared" si="47"/>
        <v>FFDFD7C0</v>
      </c>
      <c r="D992" t="s">
        <v>124</v>
      </c>
      <c r="E992">
        <v>13</v>
      </c>
      <c r="F992">
        <v>1013</v>
      </c>
      <c r="G992" t="s">
        <v>114</v>
      </c>
      <c r="J992" t="s">
        <v>125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>"20:17:23.727"</f>
        <v>20:17:23.727</v>
      </c>
      <c r="T992" t="str">
        <f>"20:17:23.227"</f>
        <v>20:17:23.227</v>
      </c>
      <c r="U992" t="str">
        <f t="shared" si="46"/>
        <v>AB01F4</v>
      </c>
      <c r="V992">
        <v>0</v>
      </c>
      <c r="W992">
        <v>0</v>
      </c>
      <c r="X992">
        <v>2</v>
      </c>
      <c r="Z992">
        <v>0</v>
      </c>
      <c r="AA992">
        <v>9</v>
      </c>
      <c r="AB992">
        <v>3</v>
      </c>
      <c r="AC992">
        <v>0</v>
      </c>
      <c r="AD992">
        <v>10</v>
      </c>
      <c r="AE992">
        <v>0</v>
      </c>
      <c r="AF992">
        <v>3</v>
      </c>
      <c r="AG992">
        <v>2</v>
      </c>
      <c r="AH992">
        <v>0</v>
      </c>
      <c r="AI992" t="s">
        <v>772</v>
      </c>
      <c r="AJ992">
        <v>39.701650000000001</v>
      </c>
      <c r="AK992" t="s">
        <v>773</v>
      </c>
      <c r="AL992">
        <v>-92.525418000000002</v>
      </c>
      <c r="AM992">
        <v>100</v>
      </c>
      <c r="AN992">
        <v>1700</v>
      </c>
      <c r="AO992" t="s">
        <v>118</v>
      </c>
      <c r="AP992">
        <v>-32</v>
      </c>
      <c r="AQ992">
        <v>123</v>
      </c>
      <c r="AR992">
        <v>-64</v>
      </c>
      <c r="AZ992">
        <v>1200</v>
      </c>
      <c r="BA992">
        <v>1</v>
      </c>
      <c r="BB992" t="str">
        <f t="shared" si="48"/>
        <v xml:space="preserve">N8080G  </v>
      </c>
      <c r="BC992">
        <v>1</v>
      </c>
      <c r="BE992">
        <v>0</v>
      </c>
      <c r="BF992">
        <v>0</v>
      </c>
      <c r="BG992">
        <v>0</v>
      </c>
      <c r="BH992">
        <v>1675</v>
      </c>
      <c r="BI992">
        <v>1</v>
      </c>
      <c r="BJ992">
        <v>1</v>
      </c>
      <c r="BK992">
        <v>1</v>
      </c>
      <c r="BL992">
        <v>0</v>
      </c>
      <c r="BO992">
        <v>0</v>
      </c>
      <c r="BP992">
        <v>0</v>
      </c>
      <c r="BW992" t="str">
        <f>"20:17:23.732"</f>
        <v>20:17:23.732</v>
      </c>
      <c r="BZ992">
        <v>0</v>
      </c>
      <c r="CA992">
        <v>2016</v>
      </c>
      <c r="CB992">
        <v>224</v>
      </c>
      <c r="CD992">
        <v>1</v>
      </c>
      <c r="CE992">
        <v>0</v>
      </c>
      <c r="CF992">
        <v>0</v>
      </c>
      <c r="CG992">
        <v>1</v>
      </c>
      <c r="CH992">
        <v>0</v>
      </c>
      <c r="CI992">
        <v>0</v>
      </c>
      <c r="CJ992">
        <v>0</v>
      </c>
      <c r="CK992">
        <v>2</v>
      </c>
      <c r="CL992">
        <v>0</v>
      </c>
      <c r="CM992">
        <v>2</v>
      </c>
      <c r="CN992">
        <v>0</v>
      </c>
      <c r="CO992">
        <v>7</v>
      </c>
      <c r="CP992" t="s">
        <v>119</v>
      </c>
      <c r="CQ992">
        <v>180</v>
      </c>
      <c r="CR992">
        <v>1</v>
      </c>
      <c r="CW992">
        <v>10591501</v>
      </c>
      <c r="CY992">
        <v>1</v>
      </c>
      <c r="CZ992">
        <v>0</v>
      </c>
      <c r="DA992">
        <v>1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</row>
    <row r="993" spans="1:113" x14ac:dyDescent="0.3">
      <c r="A993" t="str">
        <f>"02/08/2021 20:17:21.412"</f>
        <v>02/08/2021 20:17:21.412</v>
      </c>
      <c r="C993" t="str">
        <f t="shared" si="47"/>
        <v>FFDFD7C0</v>
      </c>
      <c r="D993" t="s">
        <v>113</v>
      </c>
      <c r="E993">
        <v>6</v>
      </c>
      <c r="H993">
        <v>165</v>
      </c>
      <c r="I993" t="s">
        <v>114</v>
      </c>
      <c r="J993" t="s">
        <v>115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>"20:17:23.727"</f>
        <v>20:17:23.727</v>
      </c>
      <c r="T993" t="str">
        <f>"20:17:23.227"</f>
        <v>20:17:23.227</v>
      </c>
      <c r="U993" t="str">
        <f t="shared" si="46"/>
        <v>AB01F4</v>
      </c>
      <c r="V993">
        <v>0</v>
      </c>
      <c r="W993">
        <v>0</v>
      </c>
      <c r="X993">
        <v>2</v>
      </c>
      <c r="Z993">
        <v>0</v>
      </c>
      <c r="AA993">
        <v>9</v>
      </c>
      <c r="AB993">
        <v>3</v>
      </c>
      <c r="AC993">
        <v>0</v>
      </c>
      <c r="AD993">
        <v>10</v>
      </c>
      <c r="AE993">
        <v>0</v>
      </c>
      <c r="AF993">
        <v>3</v>
      </c>
      <c r="AG993">
        <v>2</v>
      </c>
      <c r="AH993">
        <v>0</v>
      </c>
      <c r="AI993" t="s">
        <v>772</v>
      </c>
      <c r="AJ993">
        <v>39.701650000000001</v>
      </c>
      <c r="AK993" t="s">
        <v>773</v>
      </c>
      <c r="AL993">
        <v>-92.525418000000002</v>
      </c>
      <c r="AM993">
        <v>100</v>
      </c>
      <c r="AN993">
        <v>1700</v>
      </c>
      <c r="AO993" t="s">
        <v>118</v>
      </c>
      <c r="AP993">
        <v>-32</v>
      </c>
      <c r="AQ993">
        <v>123</v>
      </c>
      <c r="AR993">
        <v>-64</v>
      </c>
      <c r="AZ993">
        <v>1200</v>
      </c>
      <c r="BA993">
        <v>1</v>
      </c>
      <c r="BB993" t="str">
        <f t="shared" si="48"/>
        <v xml:space="preserve">N8080G  </v>
      </c>
      <c r="BC993">
        <v>1</v>
      </c>
      <c r="BE993">
        <v>0</v>
      </c>
      <c r="BF993">
        <v>0</v>
      </c>
      <c r="BG993">
        <v>0</v>
      </c>
      <c r="BH993">
        <v>1675</v>
      </c>
      <c r="BI993">
        <v>1</v>
      </c>
      <c r="BJ993">
        <v>1</v>
      </c>
      <c r="BK993">
        <v>1</v>
      </c>
      <c r="BL993">
        <v>0</v>
      </c>
      <c r="BO993">
        <v>0</v>
      </c>
      <c r="BP993">
        <v>0</v>
      </c>
      <c r="BW993" t="str">
        <f>"20:17:23.732"</f>
        <v>20:17:23.732</v>
      </c>
      <c r="BZ993">
        <v>0</v>
      </c>
      <c r="CA993">
        <v>2016</v>
      </c>
      <c r="CB993">
        <v>224</v>
      </c>
      <c r="CD993">
        <v>1</v>
      </c>
      <c r="CE993">
        <v>0</v>
      </c>
      <c r="CF993">
        <v>0</v>
      </c>
      <c r="CG993">
        <v>1</v>
      </c>
      <c r="CH993">
        <v>0</v>
      </c>
      <c r="CI993">
        <v>0</v>
      </c>
      <c r="CJ993">
        <v>0</v>
      </c>
      <c r="CK993">
        <v>2</v>
      </c>
      <c r="CL993">
        <v>0</v>
      </c>
      <c r="CM993">
        <v>2</v>
      </c>
      <c r="CN993">
        <v>0</v>
      </c>
      <c r="CO993">
        <v>7</v>
      </c>
      <c r="CP993" t="s">
        <v>119</v>
      </c>
      <c r="CQ993">
        <v>180</v>
      </c>
      <c r="CR993">
        <v>1</v>
      </c>
      <c r="CW993">
        <v>10591501</v>
      </c>
      <c r="CY993">
        <v>1</v>
      </c>
      <c r="CZ993">
        <v>0</v>
      </c>
      <c r="DA993">
        <v>1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</row>
    <row r="994" spans="1:113" x14ac:dyDescent="0.3">
      <c r="A994" t="str">
        <f>"02/08/2021 20:17:21.412"</f>
        <v>02/08/2021 20:17:21.412</v>
      </c>
      <c r="C994" t="str">
        <f t="shared" si="47"/>
        <v>FFDFD7C0</v>
      </c>
      <c r="D994" t="s">
        <v>124</v>
      </c>
      <c r="E994">
        <v>12</v>
      </c>
      <c r="F994">
        <v>1012</v>
      </c>
      <c r="G994" t="s">
        <v>675</v>
      </c>
      <c r="J994" t="s">
        <v>125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>"20:17:23.727"</f>
        <v>20:17:23.727</v>
      </c>
      <c r="T994" t="str">
        <f>"20:17:23.227"</f>
        <v>20:17:23.227</v>
      </c>
      <c r="U994" t="str">
        <f t="shared" si="46"/>
        <v>AB01F4</v>
      </c>
      <c r="V994">
        <v>0</v>
      </c>
      <c r="W994">
        <v>0</v>
      </c>
      <c r="X994">
        <v>2</v>
      </c>
      <c r="Z994">
        <v>0</v>
      </c>
      <c r="AA994">
        <v>9</v>
      </c>
      <c r="AB994">
        <v>3</v>
      </c>
      <c r="AC994">
        <v>0</v>
      </c>
      <c r="AD994">
        <v>10</v>
      </c>
      <c r="AE994">
        <v>0</v>
      </c>
      <c r="AF994">
        <v>3</v>
      </c>
      <c r="AG994">
        <v>2</v>
      </c>
      <c r="AH994">
        <v>0</v>
      </c>
      <c r="AI994" t="s">
        <v>772</v>
      </c>
      <c r="AJ994">
        <v>39.701650000000001</v>
      </c>
      <c r="AK994" t="s">
        <v>773</v>
      </c>
      <c r="AL994">
        <v>-92.525418000000002</v>
      </c>
      <c r="AM994">
        <v>100</v>
      </c>
      <c r="AN994">
        <v>1700</v>
      </c>
      <c r="AO994" t="s">
        <v>118</v>
      </c>
      <c r="AP994">
        <v>-32</v>
      </c>
      <c r="AQ994">
        <v>123</v>
      </c>
      <c r="AR994">
        <v>-64</v>
      </c>
      <c r="AZ994">
        <v>1200</v>
      </c>
      <c r="BA994">
        <v>1</v>
      </c>
      <c r="BB994" t="str">
        <f t="shared" si="48"/>
        <v xml:space="preserve">N8080G  </v>
      </c>
      <c r="BC994">
        <v>1</v>
      </c>
      <c r="BE994">
        <v>0</v>
      </c>
      <c r="BF994">
        <v>0</v>
      </c>
      <c r="BG994">
        <v>0</v>
      </c>
      <c r="BH994">
        <v>1675</v>
      </c>
      <c r="BI994">
        <v>1</v>
      </c>
      <c r="BJ994">
        <v>1</v>
      </c>
      <c r="BK994">
        <v>1</v>
      </c>
      <c r="BL994">
        <v>0</v>
      </c>
      <c r="BO994">
        <v>0</v>
      </c>
      <c r="BP994">
        <v>0</v>
      </c>
      <c r="BW994" t="str">
        <f>"20:17:23.732"</f>
        <v>20:17:23.732</v>
      </c>
      <c r="BZ994">
        <v>0</v>
      </c>
      <c r="CA994">
        <v>2016</v>
      </c>
      <c r="CB994">
        <v>224</v>
      </c>
      <c r="CD994">
        <v>1</v>
      </c>
      <c r="CE994">
        <v>0</v>
      </c>
      <c r="CF994">
        <v>0</v>
      </c>
      <c r="CG994">
        <v>1</v>
      </c>
      <c r="CH994">
        <v>0</v>
      </c>
      <c r="CI994">
        <v>0</v>
      </c>
      <c r="CJ994">
        <v>0</v>
      </c>
      <c r="CK994">
        <v>2</v>
      </c>
      <c r="CL994">
        <v>0</v>
      </c>
      <c r="CM994">
        <v>2</v>
      </c>
      <c r="CN994">
        <v>0</v>
      </c>
      <c r="CO994">
        <v>7</v>
      </c>
      <c r="CP994" t="s">
        <v>119</v>
      </c>
      <c r="CQ994">
        <v>180</v>
      </c>
      <c r="CR994">
        <v>1</v>
      </c>
      <c r="CW994">
        <v>10591501</v>
      </c>
      <c r="CY994">
        <v>1</v>
      </c>
      <c r="CZ994">
        <v>0</v>
      </c>
      <c r="DA994">
        <v>1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</row>
    <row r="995" spans="1:113" x14ac:dyDescent="0.3">
      <c r="A995" t="str">
        <f>"02/08/2021 20:17:24.937"</f>
        <v>02/08/2021 20:17:24.937</v>
      </c>
      <c r="C995" t="str">
        <f t="shared" si="47"/>
        <v>FFDFD7C0</v>
      </c>
      <c r="D995" t="s">
        <v>113</v>
      </c>
      <c r="E995">
        <v>6</v>
      </c>
      <c r="H995">
        <v>165</v>
      </c>
      <c r="I995" t="s">
        <v>114</v>
      </c>
      <c r="J995" t="s">
        <v>115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>"20:17:27.234"</f>
        <v>20:17:27.234</v>
      </c>
      <c r="T995" t="str">
        <f>"20:17:26.834"</f>
        <v>20:17:26.834</v>
      </c>
      <c r="U995" t="str">
        <f t="shared" si="46"/>
        <v>AB01F4</v>
      </c>
      <c r="V995">
        <v>0</v>
      </c>
      <c r="W995">
        <v>0</v>
      </c>
      <c r="X995">
        <v>2</v>
      </c>
      <c r="Z995">
        <v>0</v>
      </c>
      <c r="AA995">
        <v>9</v>
      </c>
      <c r="AB995">
        <v>3</v>
      </c>
      <c r="AC995">
        <v>0</v>
      </c>
      <c r="AD995">
        <v>10</v>
      </c>
      <c r="AE995">
        <v>0</v>
      </c>
      <c r="AF995">
        <v>3</v>
      </c>
      <c r="AG995">
        <v>2</v>
      </c>
      <c r="AH995">
        <v>0</v>
      </c>
      <c r="AI995" t="s">
        <v>774</v>
      </c>
      <c r="AJ995">
        <v>39.703603000000001</v>
      </c>
      <c r="AK995" t="s">
        <v>775</v>
      </c>
      <c r="AL995">
        <v>-92.526126000000005</v>
      </c>
      <c r="AM995">
        <v>100</v>
      </c>
      <c r="AN995">
        <v>1700</v>
      </c>
      <c r="AO995" t="s">
        <v>118</v>
      </c>
      <c r="AP995">
        <v>-32</v>
      </c>
      <c r="AQ995">
        <v>123</v>
      </c>
      <c r="AR995">
        <v>128</v>
      </c>
      <c r="AZ995">
        <v>1200</v>
      </c>
      <c r="BA995">
        <v>1</v>
      </c>
      <c r="BB995" t="str">
        <f t="shared" si="48"/>
        <v xml:space="preserve">N8080G  </v>
      </c>
      <c r="BC995">
        <v>1</v>
      </c>
      <c r="BE995">
        <v>0</v>
      </c>
      <c r="BF995">
        <v>0</v>
      </c>
      <c r="BG995">
        <v>0</v>
      </c>
      <c r="BH995">
        <v>1675</v>
      </c>
      <c r="BI995">
        <v>1</v>
      </c>
      <c r="BJ995">
        <v>1</v>
      </c>
      <c r="BK995">
        <v>1</v>
      </c>
      <c r="BL995">
        <v>0</v>
      </c>
      <c r="BO995">
        <v>0</v>
      </c>
      <c r="BP995">
        <v>0</v>
      </c>
      <c r="BW995" t="str">
        <f>"20:17:27.239"</f>
        <v>20:17:27.239</v>
      </c>
      <c r="BZ995">
        <v>0</v>
      </c>
      <c r="CA995">
        <v>2016</v>
      </c>
      <c r="CB995">
        <v>224</v>
      </c>
      <c r="CD995">
        <v>1</v>
      </c>
      <c r="CE995">
        <v>0</v>
      </c>
      <c r="CF995">
        <v>0</v>
      </c>
      <c r="CG995">
        <v>1</v>
      </c>
      <c r="CH995">
        <v>0</v>
      </c>
      <c r="CI995">
        <v>0</v>
      </c>
      <c r="CJ995">
        <v>0</v>
      </c>
      <c r="CK995">
        <v>2</v>
      </c>
      <c r="CL995">
        <v>0</v>
      </c>
      <c r="CM995">
        <v>2</v>
      </c>
      <c r="CN995">
        <v>0</v>
      </c>
      <c r="CO995">
        <v>7</v>
      </c>
      <c r="CP995" t="s">
        <v>119</v>
      </c>
      <c r="CQ995">
        <v>180</v>
      </c>
      <c r="CR995">
        <v>2</v>
      </c>
      <c r="CW995">
        <v>8038520</v>
      </c>
      <c r="CY995">
        <v>1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</row>
    <row r="996" spans="1:113" x14ac:dyDescent="0.3">
      <c r="A996" t="str">
        <f>"02/08/2021 20:17:24.937"</f>
        <v>02/08/2021 20:17:24.937</v>
      </c>
      <c r="C996" t="str">
        <f t="shared" si="47"/>
        <v>FFDFD7C0</v>
      </c>
      <c r="D996" t="s">
        <v>124</v>
      </c>
      <c r="E996">
        <v>11</v>
      </c>
      <c r="F996">
        <v>1011</v>
      </c>
      <c r="G996" t="s">
        <v>590</v>
      </c>
      <c r="J996" t="s">
        <v>125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>"20:17:27.234"</f>
        <v>20:17:27.234</v>
      </c>
      <c r="T996" t="str">
        <f>"20:17:26.834"</f>
        <v>20:17:26.834</v>
      </c>
      <c r="U996" t="str">
        <f t="shared" si="46"/>
        <v>AB01F4</v>
      </c>
      <c r="V996">
        <v>0</v>
      </c>
      <c r="W996">
        <v>0</v>
      </c>
      <c r="X996">
        <v>2</v>
      </c>
      <c r="Z996">
        <v>0</v>
      </c>
      <c r="AA996">
        <v>9</v>
      </c>
      <c r="AB996">
        <v>3</v>
      </c>
      <c r="AC996">
        <v>0</v>
      </c>
      <c r="AD996">
        <v>10</v>
      </c>
      <c r="AE996">
        <v>0</v>
      </c>
      <c r="AF996">
        <v>3</v>
      </c>
      <c r="AG996">
        <v>2</v>
      </c>
      <c r="AH996">
        <v>0</v>
      </c>
      <c r="AI996" t="s">
        <v>774</v>
      </c>
      <c r="AJ996">
        <v>39.703603000000001</v>
      </c>
      <c r="AK996" t="s">
        <v>775</v>
      </c>
      <c r="AL996">
        <v>-92.526126000000005</v>
      </c>
      <c r="AM996">
        <v>100</v>
      </c>
      <c r="AN996">
        <v>1700</v>
      </c>
      <c r="AO996" t="s">
        <v>118</v>
      </c>
      <c r="AP996">
        <v>-32</v>
      </c>
      <c r="AQ996">
        <v>123</v>
      </c>
      <c r="AR996">
        <v>128</v>
      </c>
      <c r="AZ996">
        <v>1200</v>
      </c>
      <c r="BA996">
        <v>1</v>
      </c>
      <c r="BB996" t="str">
        <f t="shared" si="48"/>
        <v xml:space="preserve">N8080G  </v>
      </c>
      <c r="BC996">
        <v>1</v>
      </c>
      <c r="BE996">
        <v>0</v>
      </c>
      <c r="BF996">
        <v>0</v>
      </c>
      <c r="BG996">
        <v>0</v>
      </c>
      <c r="BH996">
        <v>1675</v>
      </c>
      <c r="BI996">
        <v>1</v>
      </c>
      <c r="BJ996">
        <v>1</v>
      </c>
      <c r="BK996">
        <v>1</v>
      </c>
      <c r="BL996">
        <v>0</v>
      </c>
      <c r="BO996">
        <v>0</v>
      </c>
      <c r="BP996">
        <v>0</v>
      </c>
      <c r="BW996" t="str">
        <f>"20:17:27.239"</f>
        <v>20:17:27.239</v>
      </c>
      <c r="BZ996">
        <v>0</v>
      </c>
      <c r="CA996">
        <v>2016</v>
      </c>
      <c r="CB996">
        <v>224</v>
      </c>
      <c r="CD996">
        <v>1</v>
      </c>
      <c r="CE996">
        <v>0</v>
      </c>
      <c r="CF996">
        <v>0</v>
      </c>
      <c r="CG996">
        <v>1</v>
      </c>
      <c r="CH996">
        <v>0</v>
      </c>
      <c r="CI996">
        <v>0</v>
      </c>
      <c r="CJ996">
        <v>0</v>
      </c>
      <c r="CK996">
        <v>2</v>
      </c>
      <c r="CL996">
        <v>0</v>
      </c>
      <c r="CM996">
        <v>2</v>
      </c>
      <c r="CN996">
        <v>0</v>
      </c>
      <c r="CO996">
        <v>7</v>
      </c>
      <c r="CP996" t="s">
        <v>119</v>
      </c>
      <c r="CQ996">
        <v>180</v>
      </c>
      <c r="CR996">
        <v>2</v>
      </c>
      <c r="CW996">
        <v>8038520</v>
      </c>
      <c r="CY996">
        <v>1</v>
      </c>
      <c r="CZ996">
        <v>0</v>
      </c>
      <c r="DA996">
        <v>1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</row>
    <row r="997" spans="1:113" x14ac:dyDescent="0.3">
      <c r="A997" t="str">
        <f>"02/08/2021 20:17:24.937"</f>
        <v>02/08/2021 20:17:24.937</v>
      </c>
      <c r="C997" t="str">
        <f t="shared" si="47"/>
        <v>FFDFD7C0</v>
      </c>
      <c r="D997" t="s">
        <v>124</v>
      </c>
      <c r="E997">
        <v>13</v>
      </c>
      <c r="F997">
        <v>1013</v>
      </c>
      <c r="G997" t="s">
        <v>114</v>
      </c>
      <c r="J997" t="s">
        <v>125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>"20:17:27.234"</f>
        <v>20:17:27.234</v>
      </c>
      <c r="T997" t="str">
        <f>"20:17:26.834"</f>
        <v>20:17:26.834</v>
      </c>
      <c r="U997" t="str">
        <f t="shared" si="46"/>
        <v>AB01F4</v>
      </c>
      <c r="V997">
        <v>0</v>
      </c>
      <c r="W997">
        <v>0</v>
      </c>
      <c r="X997">
        <v>2</v>
      </c>
      <c r="Z997">
        <v>0</v>
      </c>
      <c r="AA997">
        <v>9</v>
      </c>
      <c r="AB997">
        <v>3</v>
      </c>
      <c r="AC997">
        <v>0</v>
      </c>
      <c r="AD997">
        <v>10</v>
      </c>
      <c r="AE997">
        <v>0</v>
      </c>
      <c r="AF997">
        <v>3</v>
      </c>
      <c r="AG997">
        <v>2</v>
      </c>
      <c r="AH997">
        <v>0</v>
      </c>
      <c r="AI997" t="s">
        <v>774</v>
      </c>
      <c r="AJ997">
        <v>39.703603000000001</v>
      </c>
      <c r="AK997" t="s">
        <v>775</v>
      </c>
      <c r="AL997">
        <v>-92.526126000000005</v>
      </c>
      <c r="AM997">
        <v>100</v>
      </c>
      <c r="AN997">
        <v>1700</v>
      </c>
      <c r="AO997" t="s">
        <v>118</v>
      </c>
      <c r="AP997">
        <v>-32</v>
      </c>
      <c r="AQ997">
        <v>123</v>
      </c>
      <c r="AR997">
        <v>128</v>
      </c>
      <c r="AZ997">
        <v>1200</v>
      </c>
      <c r="BA997">
        <v>1</v>
      </c>
      <c r="BB997" t="str">
        <f t="shared" si="48"/>
        <v xml:space="preserve">N8080G  </v>
      </c>
      <c r="BC997">
        <v>1</v>
      </c>
      <c r="BE997">
        <v>0</v>
      </c>
      <c r="BF997">
        <v>0</v>
      </c>
      <c r="BG997">
        <v>0</v>
      </c>
      <c r="BH997">
        <v>1675</v>
      </c>
      <c r="BI997">
        <v>1</v>
      </c>
      <c r="BJ997">
        <v>1</v>
      </c>
      <c r="BK997">
        <v>1</v>
      </c>
      <c r="BL997">
        <v>0</v>
      </c>
      <c r="BO997">
        <v>0</v>
      </c>
      <c r="BP997">
        <v>0</v>
      </c>
      <c r="BW997" t="str">
        <f>"20:17:27.239"</f>
        <v>20:17:27.239</v>
      </c>
      <c r="BZ997">
        <v>0</v>
      </c>
      <c r="CA997">
        <v>2016</v>
      </c>
      <c r="CB997">
        <v>224</v>
      </c>
      <c r="CD997">
        <v>1</v>
      </c>
      <c r="CE997">
        <v>0</v>
      </c>
      <c r="CF997">
        <v>0</v>
      </c>
      <c r="CG997">
        <v>1</v>
      </c>
      <c r="CH997">
        <v>0</v>
      </c>
      <c r="CI997">
        <v>0</v>
      </c>
      <c r="CJ997">
        <v>0</v>
      </c>
      <c r="CK997">
        <v>2</v>
      </c>
      <c r="CL997">
        <v>0</v>
      </c>
      <c r="CM997">
        <v>2</v>
      </c>
      <c r="CN997">
        <v>0</v>
      </c>
      <c r="CO997">
        <v>7</v>
      </c>
      <c r="CP997" t="s">
        <v>119</v>
      </c>
      <c r="CQ997">
        <v>180</v>
      </c>
      <c r="CR997">
        <v>2</v>
      </c>
      <c r="CW997">
        <v>8038520</v>
      </c>
      <c r="CY997">
        <v>1</v>
      </c>
      <c r="CZ997">
        <v>0</v>
      </c>
      <c r="DA997">
        <v>1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</row>
    <row r="998" spans="1:113" x14ac:dyDescent="0.3">
      <c r="A998" t="str">
        <f>"02/08/2021 20:17:24.937"</f>
        <v>02/08/2021 20:17:24.937</v>
      </c>
      <c r="C998" t="str">
        <f t="shared" si="47"/>
        <v>FFDFD7C0</v>
      </c>
      <c r="D998" t="s">
        <v>124</v>
      </c>
      <c r="E998">
        <v>12</v>
      </c>
      <c r="F998">
        <v>1012</v>
      </c>
      <c r="G998" t="s">
        <v>675</v>
      </c>
      <c r="J998" t="s">
        <v>125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>"20:17:27.234"</f>
        <v>20:17:27.234</v>
      </c>
      <c r="T998" t="str">
        <f>"20:17:26.834"</f>
        <v>20:17:26.834</v>
      </c>
      <c r="U998" t="str">
        <f t="shared" si="46"/>
        <v>AB01F4</v>
      </c>
      <c r="V998">
        <v>0</v>
      </c>
      <c r="W998">
        <v>0</v>
      </c>
      <c r="X998">
        <v>2</v>
      </c>
      <c r="Z998">
        <v>0</v>
      </c>
      <c r="AA998">
        <v>9</v>
      </c>
      <c r="AB998">
        <v>3</v>
      </c>
      <c r="AC998">
        <v>0</v>
      </c>
      <c r="AD998">
        <v>10</v>
      </c>
      <c r="AE998">
        <v>0</v>
      </c>
      <c r="AF998">
        <v>3</v>
      </c>
      <c r="AG998">
        <v>2</v>
      </c>
      <c r="AH998">
        <v>0</v>
      </c>
      <c r="AI998" t="s">
        <v>774</v>
      </c>
      <c r="AJ998">
        <v>39.703603000000001</v>
      </c>
      <c r="AK998" t="s">
        <v>775</v>
      </c>
      <c r="AL998">
        <v>-92.526126000000005</v>
      </c>
      <c r="AM998">
        <v>100</v>
      </c>
      <c r="AN998">
        <v>1700</v>
      </c>
      <c r="AO998" t="s">
        <v>118</v>
      </c>
      <c r="AP998">
        <v>-32</v>
      </c>
      <c r="AQ998">
        <v>123</v>
      </c>
      <c r="AR998">
        <v>128</v>
      </c>
      <c r="AZ998">
        <v>1200</v>
      </c>
      <c r="BA998">
        <v>1</v>
      </c>
      <c r="BB998" t="str">
        <f t="shared" si="48"/>
        <v xml:space="preserve">N8080G  </v>
      </c>
      <c r="BC998">
        <v>1</v>
      </c>
      <c r="BE998">
        <v>0</v>
      </c>
      <c r="BF998">
        <v>0</v>
      </c>
      <c r="BG998">
        <v>0</v>
      </c>
      <c r="BH998">
        <v>1675</v>
      </c>
      <c r="BI998">
        <v>1</v>
      </c>
      <c r="BJ998">
        <v>1</v>
      </c>
      <c r="BK998">
        <v>1</v>
      </c>
      <c r="BL998">
        <v>0</v>
      </c>
      <c r="BO998">
        <v>0</v>
      </c>
      <c r="BP998">
        <v>0</v>
      </c>
      <c r="BW998" t="str">
        <f>"20:17:27.239"</f>
        <v>20:17:27.239</v>
      </c>
      <c r="BZ998">
        <v>0</v>
      </c>
      <c r="CA998">
        <v>2016</v>
      </c>
      <c r="CB998">
        <v>224</v>
      </c>
      <c r="CD998">
        <v>1</v>
      </c>
      <c r="CE998">
        <v>0</v>
      </c>
      <c r="CF998">
        <v>0</v>
      </c>
      <c r="CG998">
        <v>1</v>
      </c>
      <c r="CH998">
        <v>0</v>
      </c>
      <c r="CI998">
        <v>0</v>
      </c>
      <c r="CJ998">
        <v>0</v>
      </c>
      <c r="CK998">
        <v>2</v>
      </c>
      <c r="CL998">
        <v>0</v>
      </c>
      <c r="CM998">
        <v>2</v>
      </c>
      <c r="CN998">
        <v>0</v>
      </c>
      <c r="CO998">
        <v>7</v>
      </c>
      <c r="CP998" t="s">
        <v>119</v>
      </c>
      <c r="CQ998">
        <v>180</v>
      </c>
      <c r="CR998">
        <v>2</v>
      </c>
      <c r="CW998">
        <v>8038520</v>
      </c>
      <c r="CY998">
        <v>1</v>
      </c>
      <c r="CZ998">
        <v>0</v>
      </c>
      <c r="DA998">
        <v>1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</row>
    <row r="999" spans="1:113" x14ac:dyDescent="0.3">
      <c r="A999" t="str">
        <f>"02/08/2021 20:17:25.947"</f>
        <v>02/08/2021 20:17:25.947</v>
      </c>
      <c r="C999" t="str">
        <f t="shared" si="47"/>
        <v>FFDFD7C0</v>
      </c>
      <c r="D999" t="s">
        <v>124</v>
      </c>
      <c r="E999">
        <v>11</v>
      </c>
      <c r="F999">
        <v>1011</v>
      </c>
      <c r="G999" t="s">
        <v>590</v>
      </c>
      <c r="J999" t="s">
        <v>125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>"20:17:28.242"</f>
        <v>20:17:28.242</v>
      </c>
      <c r="T999" t="str">
        <f>"20:17:27.742"</f>
        <v>20:17:27.742</v>
      </c>
      <c r="U999" t="str">
        <f t="shared" si="46"/>
        <v>AB01F4</v>
      </c>
      <c r="V999">
        <v>0</v>
      </c>
      <c r="W999">
        <v>0</v>
      </c>
      <c r="X999">
        <v>2</v>
      </c>
      <c r="Z999">
        <v>0</v>
      </c>
      <c r="AA999">
        <v>9</v>
      </c>
      <c r="AB999">
        <v>3</v>
      </c>
      <c r="AC999">
        <v>0</v>
      </c>
      <c r="AD999">
        <v>10</v>
      </c>
      <c r="AE999">
        <v>0</v>
      </c>
      <c r="AF999">
        <v>3</v>
      </c>
      <c r="AG999">
        <v>2</v>
      </c>
      <c r="AH999">
        <v>0</v>
      </c>
      <c r="AI999" t="s">
        <v>776</v>
      </c>
      <c r="AJ999">
        <v>39.704160999999999</v>
      </c>
      <c r="AK999" t="s">
        <v>777</v>
      </c>
      <c r="AL999">
        <v>-92.526297999999997</v>
      </c>
      <c r="AM999">
        <v>100</v>
      </c>
      <c r="AN999">
        <v>1700</v>
      </c>
      <c r="AO999" t="s">
        <v>118</v>
      </c>
      <c r="AP999">
        <v>-32</v>
      </c>
      <c r="AQ999">
        <v>123</v>
      </c>
      <c r="AR999">
        <v>0</v>
      </c>
      <c r="AZ999">
        <v>1200</v>
      </c>
      <c r="BA999">
        <v>1</v>
      </c>
      <c r="BB999" t="str">
        <f t="shared" si="48"/>
        <v xml:space="preserve">N8080G  </v>
      </c>
      <c r="BC999">
        <v>1</v>
      </c>
      <c r="BE999">
        <v>0</v>
      </c>
      <c r="BF999">
        <v>0</v>
      </c>
      <c r="BG999">
        <v>0</v>
      </c>
      <c r="BH999">
        <v>1675</v>
      </c>
      <c r="BI999">
        <v>1</v>
      </c>
      <c r="BJ999">
        <v>1</v>
      </c>
      <c r="BK999">
        <v>1</v>
      </c>
      <c r="BL999">
        <v>0</v>
      </c>
      <c r="BO999">
        <v>0</v>
      </c>
      <c r="BP999">
        <v>0</v>
      </c>
      <c r="BW999" t="str">
        <f>"20:17:28.245"</f>
        <v>20:17:28.245</v>
      </c>
      <c r="BZ999">
        <v>0</v>
      </c>
      <c r="CA999">
        <v>2016</v>
      </c>
      <c r="CB999">
        <v>224</v>
      </c>
      <c r="CD999">
        <v>1</v>
      </c>
      <c r="CE999">
        <v>0</v>
      </c>
      <c r="CF999">
        <v>0</v>
      </c>
      <c r="CG999">
        <v>1</v>
      </c>
      <c r="CH999">
        <v>0</v>
      </c>
      <c r="CI999">
        <v>0</v>
      </c>
      <c r="CJ999">
        <v>0</v>
      </c>
      <c r="CK999">
        <v>2</v>
      </c>
      <c r="CL999">
        <v>0</v>
      </c>
      <c r="CM999">
        <v>2</v>
      </c>
      <c r="CN999">
        <v>0</v>
      </c>
      <c r="CO999">
        <v>7</v>
      </c>
      <c r="CP999" t="s">
        <v>119</v>
      </c>
      <c r="CQ999">
        <v>180</v>
      </c>
      <c r="CR999">
        <v>2</v>
      </c>
      <c r="CW999">
        <v>8039381</v>
      </c>
      <c r="CY999">
        <v>1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</row>
    <row r="1000" spans="1:113" x14ac:dyDescent="0.3">
      <c r="A1000" t="str">
        <f>"02/08/2021 20:17:25.947"</f>
        <v>02/08/2021 20:17:25.947</v>
      </c>
      <c r="C1000" t="str">
        <f t="shared" si="47"/>
        <v>FFDFD7C0</v>
      </c>
      <c r="D1000" t="s">
        <v>113</v>
      </c>
      <c r="E1000">
        <v>6</v>
      </c>
      <c r="H1000">
        <v>165</v>
      </c>
      <c r="I1000" t="s">
        <v>114</v>
      </c>
      <c r="J1000" t="s">
        <v>115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>"20:17:28.242"</f>
        <v>20:17:28.242</v>
      </c>
      <c r="T1000" t="str">
        <f>"20:17:27.742"</f>
        <v>20:17:27.742</v>
      </c>
      <c r="U1000" t="str">
        <f t="shared" si="46"/>
        <v>AB01F4</v>
      </c>
      <c r="V1000">
        <v>0</v>
      </c>
      <c r="W1000">
        <v>0</v>
      </c>
      <c r="X1000">
        <v>2</v>
      </c>
      <c r="Z1000">
        <v>0</v>
      </c>
      <c r="AA1000">
        <v>9</v>
      </c>
      <c r="AB1000">
        <v>3</v>
      </c>
      <c r="AC1000">
        <v>0</v>
      </c>
      <c r="AD1000">
        <v>10</v>
      </c>
      <c r="AE1000">
        <v>0</v>
      </c>
      <c r="AF1000">
        <v>3</v>
      </c>
      <c r="AG1000">
        <v>2</v>
      </c>
      <c r="AH1000">
        <v>0</v>
      </c>
      <c r="AI1000" t="s">
        <v>776</v>
      </c>
      <c r="AJ1000">
        <v>39.704160999999999</v>
      </c>
      <c r="AK1000" t="s">
        <v>777</v>
      </c>
      <c r="AL1000">
        <v>-92.526297999999997</v>
      </c>
      <c r="AM1000">
        <v>100</v>
      </c>
      <c r="AN1000">
        <v>1700</v>
      </c>
      <c r="AO1000" t="s">
        <v>118</v>
      </c>
      <c r="AP1000">
        <v>-32</v>
      </c>
      <c r="AQ1000">
        <v>123</v>
      </c>
      <c r="AR1000">
        <v>0</v>
      </c>
      <c r="AZ1000">
        <v>1200</v>
      </c>
      <c r="BA1000">
        <v>1</v>
      </c>
      <c r="BB1000" t="str">
        <f t="shared" si="48"/>
        <v xml:space="preserve">N8080G  </v>
      </c>
      <c r="BC1000">
        <v>1</v>
      </c>
      <c r="BE1000">
        <v>0</v>
      </c>
      <c r="BF1000">
        <v>0</v>
      </c>
      <c r="BG1000">
        <v>0</v>
      </c>
      <c r="BH1000">
        <v>1675</v>
      </c>
      <c r="BI1000">
        <v>1</v>
      </c>
      <c r="BJ1000">
        <v>1</v>
      </c>
      <c r="BK1000">
        <v>1</v>
      </c>
      <c r="BL1000">
        <v>0</v>
      </c>
      <c r="BO1000">
        <v>0</v>
      </c>
      <c r="BP1000">
        <v>0</v>
      </c>
      <c r="BW1000" t="str">
        <f>"20:17:28.245"</f>
        <v>20:17:28.245</v>
      </c>
      <c r="BZ1000">
        <v>0</v>
      </c>
      <c r="CA1000">
        <v>2016</v>
      </c>
      <c r="CB1000">
        <v>224</v>
      </c>
      <c r="CD1000">
        <v>1</v>
      </c>
      <c r="CE1000">
        <v>0</v>
      </c>
      <c r="CF1000">
        <v>0</v>
      </c>
      <c r="CG1000">
        <v>1</v>
      </c>
      <c r="CH1000">
        <v>0</v>
      </c>
      <c r="CI1000">
        <v>0</v>
      </c>
      <c r="CJ1000">
        <v>0</v>
      </c>
      <c r="CK1000">
        <v>2</v>
      </c>
      <c r="CL1000">
        <v>0</v>
      </c>
      <c r="CM1000">
        <v>2</v>
      </c>
      <c r="CN1000">
        <v>0</v>
      </c>
      <c r="CO1000">
        <v>7</v>
      </c>
      <c r="CP1000" t="s">
        <v>119</v>
      </c>
      <c r="CQ1000">
        <v>180</v>
      </c>
      <c r="CR1000">
        <v>2</v>
      </c>
      <c r="CW1000">
        <v>8039381</v>
      </c>
      <c r="CY1000">
        <v>1</v>
      </c>
      <c r="CZ1000">
        <v>0</v>
      </c>
      <c r="DA1000">
        <v>1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</row>
    <row r="1001" spans="1:113" x14ac:dyDescent="0.3">
      <c r="A1001" t="str">
        <f>"02/08/2021 20:17:25.947"</f>
        <v>02/08/2021 20:17:25.947</v>
      </c>
      <c r="C1001" t="str">
        <f t="shared" si="47"/>
        <v>FFDFD7C0</v>
      </c>
      <c r="D1001" t="s">
        <v>124</v>
      </c>
      <c r="E1001">
        <v>13</v>
      </c>
      <c r="F1001">
        <v>1013</v>
      </c>
      <c r="G1001" t="s">
        <v>114</v>
      </c>
      <c r="J1001" t="s">
        <v>125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>"20:17:28.242"</f>
        <v>20:17:28.242</v>
      </c>
      <c r="T1001" t="str">
        <f>"20:17:27.742"</f>
        <v>20:17:27.742</v>
      </c>
      <c r="U1001" t="str">
        <f t="shared" si="46"/>
        <v>AB01F4</v>
      </c>
      <c r="V1001">
        <v>0</v>
      </c>
      <c r="W1001">
        <v>0</v>
      </c>
      <c r="X1001">
        <v>2</v>
      </c>
      <c r="Z1001">
        <v>0</v>
      </c>
      <c r="AA1001">
        <v>9</v>
      </c>
      <c r="AB1001">
        <v>3</v>
      </c>
      <c r="AC1001">
        <v>0</v>
      </c>
      <c r="AD1001">
        <v>10</v>
      </c>
      <c r="AE1001">
        <v>0</v>
      </c>
      <c r="AF1001">
        <v>3</v>
      </c>
      <c r="AG1001">
        <v>2</v>
      </c>
      <c r="AH1001">
        <v>0</v>
      </c>
      <c r="AI1001" t="s">
        <v>776</v>
      </c>
      <c r="AJ1001">
        <v>39.704160999999999</v>
      </c>
      <c r="AK1001" t="s">
        <v>777</v>
      </c>
      <c r="AL1001">
        <v>-92.526297999999997</v>
      </c>
      <c r="AM1001">
        <v>100</v>
      </c>
      <c r="AN1001">
        <v>1700</v>
      </c>
      <c r="AO1001" t="s">
        <v>118</v>
      </c>
      <c r="AP1001">
        <v>-32</v>
      </c>
      <c r="AQ1001">
        <v>123</v>
      </c>
      <c r="AR1001">
        <v>0</v>
      </c>
      <c r="AZ1001">
        <v>1200</v>
      </c>
      <c r="BA1001">
        <v>1</v>
      </c>
      <c r="BB1001" t="str">
        <f t="shared" si="48"/>
        <v xml:space="preserve">N8080G  </v>
      </c>
      <c r="BC1001">
        <v>1</v>
      </c>
      <c r="BE1001">
        <v>0</v>
      </c>
      <c r="BF1001">
        <v>0</v>
      </c>
      <c r="BG1001">
        <v>0</v>
      </c>
      <c r="BH1001">
        <v>1675</v>
      </c>
      <c r="BI1001">
        <v>1</v>
      </c>
      <c r="BJ1001">
        <v>1</v>
      </c>
      <c r="BK1001">
        <v>1</v>
      </c>
      <c r="BL1001">
        <v>0</v>
      </c>
      <c r="BO1001">
        <v>0</v>
      </c>
      <c r="BP1001">
        <v>0</v>
      </c>
      <c r="BW1001" t="str">
        <f>"20:17:28.245"</f>
        <v>20:17:28.245</v>
      </c>
      <c r="BZ1001">
        <v>0</v>
      </c>
      <c r="CA1001">
        <v>2016</v>
      </c>
      <c r="CB1001">
        <v>224</v>
      </c>
      <c r="CD1001">
        <v>1</v>
      </c>
      <c r="CE1001">
        <v>0</v>
      </c>
      <c r="CF1001">
        <v>0</v>
      </c>
      <c r="CG1001">
        <v>1</v>
      </c>
      <c r="CH1001">
        <v>0</v>
      </c>
      <c r="CI1001">
        <v>0</v>
      </c>
      <c r="CJ1001">
        <v>0</v>
      </c>
      <c r="CK1001">
        <v>2</v>
      </c>
      <c r="CL1001">
        <v>0</v>
      </c>
      <c r="CM1001">
        <v>2</v>
      </c>
      <c r="CN1001">
        <v>0</v>
      </c>
      <c r="CO1001">
        <v>7</v>
      </c>
      <c r="CP1001" t="s">
        <v>119</v>
      </c>
      <c r="CQ1001">
        <v>180</v>
      </c>
      <c r="CR1001">
        <v>2</v>
      </c>
      <c r="CW1001">
        <v>8039381</v>
      </c>
      <c r="CY1001">
        <v>1</v>
      </c>
      <c r="CZ1001">
        <v>0</v>
      </c>
      <c r="DA1001">
        <v>1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</row>
    <row r="1002" spans="1:113" x14ac:dyDescent="0.3">
      <c r="A1002" t="str">
        <f>"02/08/2021 20:17:25.947"</f>
        <v>02/08/2021 20:17:25.947</v>
      </c>
      <c r="C1002" t="str">
        <f t="shared" si="47"/>
        <v>FFDFD7C0</v>
      </c>
      <c r="D1002" t="s">
        <v>124</v>
      </c>
      <c r="E1002">
        <v>12</v>
      </c>
      <c r="F1002">
        <v>1012</v>
      </c>
      <c r="G1002" t="s">
        <v>675</v>
      </c>
      <c r="J1002" t="s">
        <v>125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>"20:17:28.242"</f>
        <v>20:17:28.242</v>
      </c>
      <c r="T1002" t="str">
        <f>"20:17:27.742"</f>
        <v>20:17:27.742</v>
      </c>
      <c r="U1002" t="str">
        <f t="shared" si="46"/>
        <v>AB01F4</v>
      </c>
      <c r="V1002">
        <v>0</v>
      </c>
      <c r="W1002">
        <v>0</v>
      </c>
      <c r="X1002">
        <v>2</v>
      </c>
      <c r="Z1002">
        <v>0</v>
      </c>
      <c r="AA1002">
        <v>9</v>
      </c>
      <c r="AB1002">
        <v>3</v>
      </c>
      <c r="AC1002">
        <v>0</v>
      </c>
      <c r="AD1002">
        <v>10</v>
      </c>
      <c r="AE1002">
        <v>0</v>
      </c>
      <c r="AF1002">
        <v>3</v>
      </c>
      <c r="AG1002">
        <v>2</v>
      </c>
      <c r="AH1002">
        <v>0</v>
      </c>
      <c r="AI1002" t="s">
        <v>776</v>
      </c>
      <c r="AJ1002">
        <v>39.704160999999999</v>
      </c>
      <c r="AK1002" t="s">
        <v>777</v>
      </c>
      <c r="AL1002">
        <v>-92.526297999999997</v>
      </c>
      <c r="AM1002">
        <v>100</v>
      </c>
      <c r="AN1002">
        <v>1700</v>
      </c>
      <c r="AO1002" t="s">
        <v>118</v>
      </c>
      <c r="AP1002">
        <v>-32</v>
      </c>
      <c r="AQ1002">
        <v>123</v>
      </c>
      <c r="AR1002">
        <v>0</v>
      </c>
      <c r="AZ1002">
        <v>1200</v>
      </c>
      <c r="BA1002">
        <v>1</v>
      </c>
      <c r="BB1002" t="str">
        <f t="shared" si="48"/>
        <v xml:space="preserve">N8080G  </v>
      </c>
      <c r="BC1002">
        <v>1</v>
      </c>
      <c r="BE1002">
        <v>0</v>
      </c>
      <c r="BF1002">
        <v>0</v>
      </c>
      <c r="BG1002">
        <v>0</v>
      </c>
      <c r="BH1002">
        <v>1675</v>
      </c>
      <c r="BI1002">
        <v>1</v>
      </c>
      <c r="BJ1002">
        <v>1</v>
      </c>
      <c r="BK1002">
        <v>1</v>
      </c>
      <c r="BL1002">
        <v>0</v>
      </c>
      <c r="BO1002">
        <v>0</v>
      </c>
      <c r="BP1002">
        <v>0</v>
      </c>
      <c r="BW1002" t="str">
        <f>"20:17:28.245"</f>
        <v>20:17:28.245</v>
      </c>
      <c r="BZ1002">
        <v>0</v>
      </c>
      <c r="CA1002">
        <v>2016</v>
      </c>
      <c r="CB1002">
        <v>224</v>
      </c>
      <c r="CD1002">
        <v>1</v>
      </c>
      <c r="CE1002">
        <v>0</v>
      </c>
      <c r="CF1002">
        <v>0</v>
      </c>
      <c r="CG1002">
        <v>1</v>
      </c>
      <c r="CH1002">
        <v>0</v>
      </c>
      <c r="CI1002">
        <v>0</v>
      </c>
      <c r="CJ1002">
        <v>0</v>
      </c>
      <c r="CK1002">
        <v>2</v>
      </c>
      <c r="CL1002">
        <v>0</v>
      </c>
      <c r="CM1002">
        <v>2</v>
      </c>
      <c r="CN1002">
        <v>0</v>
      </c>
      <c r="CO1002">
        <v>7</v>
      </c>
      <c r="CP1002" t="s">
        <v>119</v>
      </c>
      <c r="CQ1002">
        <v>180</v>
      </c>
      <c r="CR1002">
        <v>2</v>
      </c>
      <c r="CW1002">
        <v>8039381</v>
      </c>
      <c r="CY1002">
        <v>1</v>
      </c>
      <c r="CZ1002">
        <v>0</v>
      </c>
      <c r="DA1002">
        <v>1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</row>
    <row r="1003" spans="1:113" x14ac:dyDescent="0.3">
      <c r="A1003" t="str">
        <f>"02/08/2021 20:17:26.822"</f>
        <v>02/08/2021 20:17:26.822</v>
      </c>
      <c r="C1003" t="str">
        <f t="shared" si="47"/>
        <v>FFDFD7C0</v>
      </c>
      <c r="D1003" t="s">
        <v>124</v>
      </c>
      <c r="E1003">
        <v>13</v>
      </c>
      <c r="F1003">
        <v>1013</v>
      </c>
      <c r="G1003" t="s">
        <v>114</v>
      </c>
      <c r="J1003" t="s">
        <v>125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>"20:17:29.172"</f>
        <v>20:17:29.172</v>
      </c>
      <c r="T1003" t="str">
        <f>"20:17:28.772"</f>
        <v>20:17:28.772</v>
      </c>
      <c r="U1003" t="str">
        <f t="shared" si="46"/>
        <v>AB01F4</v>
      </c>
      <c r="V1003">
        <v>0</v>
      </c>
      <c r="W1003">
        <v>0</v>
      </c>
      <c r="X1003">
        <v>2</v>
      </c>
      <c r="Z1003">
        <v>0</v>
      </c>
      <c r="AA1003">
        <v>9</v>
      </c>
      <c r="AB1003">
        <v>3</v>
      </c>
      <c r="AC1003">
        <v>0</v>
      </c>
      <c r="AD1003">
        <v>10</v>
      </c>
      <c r="AE1003">
        <v>0</v>
      </c>
      <c r="AF1003">
        <v>3</v>
      </c>
      <c r="AG1003">
        <v>2</v>
      </c>
      <c r="AH1003">
        <v>0</v>
      </c>
      <c r="AI1003" t="s">
        <v>778</v>
      </c>
      <c r="AJ1003">
        <v>39.704718999999997</v>
      </c>
      <c r="AK1003" t="s">
        <v>779</v>
      </c>
      <c r="AL1003">
        <v>-92.526448000000002</v>
      </c>
      <c r="AM1003">
        <v>100</v>
      </c>
      <c r="AN1003">
        <v>1700</v>
      </c>
      <c r="AO1003" t="s">
        <v>118</v>
      </c>
      <c r="AP1003">
        <v>-32</v>
      </c>
      <c r="AQ1003">
        <v>123</v>
      </c>
      <c r="AR1003">
        <v>0</v>
      </c>
      <c r="AZ1003">
        <v>1200</v>
      </c>
      <c r="BA1003">
        <v>1</v>
      </c>
      <c r="BB1003" t="str">
        <f t="shared" si="48"/>
        <v xml:space="preserve">N8080G  </v>
      </c>
      <c r="BC1003">
        <v>1</v>
      </c>
      <c r="BE1003">
        <v>0</v>
      </c>
      <c r="BF1003">
        <v>0</v>
      </c>
      <c r="BG1003">
        <v>0</v>
      </c>
      <c r="BH1003">
        <v>1675</v>
      </c>
      <c r="BI1003">
        <v>1</v>
      </c>
      <c r="BJ1003">
        <v>1</v>
      </c>
      <c r="BK1003">
        <v>1</v>
      </c>
      <c r="BL1003">
        <v>0</v>
      </c>
      <c r="BO1003">
        <v>0</v>
      </c>
      <c r="BP1003">
        <v>0</v>
      </c>
      <c r="BW1003" t="str">
        <f>"20:17:29.174"</f>
        <v>20:17:29.174</v>
      </c>
      <c r="BZ1003">
        <v>0</v>
      </c>
      <c r="CA1003">
        <v>2016</v>
      </c>
      <c r="CB1003">
        <v>224</v>
      </c>
      <c r="CD1003">
        <v>1</v>
      </c>
      <c r="CE1003">
        <v>0</v>
      </c>
      <c r="CF1003">
        <v>0</v>
      </c>
      <c r="CG1003">
        <v>1</v>
      </c>
      <c r="CH1003">
        <v>0</v>
      </c>
      <c r="CI1003">
        <v>0</v>
      </c>
      <c r="CJ1003">
        <v>0</v>
      </c>
      <c r="CK1003">
        <v>2</v>
      </c>
      <c r="CL1003">
        <v>0</v>
      </c>
      <c r="CM1003">
        <v>2</v>
      </c>
      <c r="CN1003">
        <v>0</v>
      </c>
      <c r="CO1003">
        <v>7</v>
      </c>
      <c r="CP1003" t="s">
        <v>119</v>
      </c>
      <c r="CQ1003">
        <v>180</v>
      </c>
      <c r="CR1003">
        <v>2</v>
      </c>
      <c r="CW1003">
        <v>8040179</v>
      </c>
      <c r="CY1003">
        <v>1</v>
      </c>
      <c r="CZ1003">
        <v>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</row>
    <row r="1004" spans="1:113" x14ac:dyDescent="0.3">
      <c r="A1004" t="str">
        <f>"02/08/2021 20:17:26.822"</f>
        <v>02/08/2021 20:17:26.822</v>
      </c>
      <c r="C1004" t="str">
        <f t="shared" si="47"/>
        <v>FFDFD7C0</v>
      </c>
      <c r="D1004" t="s">
        <v>124</v>
      </c>
      <c r="E1004">
        <v>12</v>
      </c>
      <c r="F1004">
        <v>1012</v>
      </c>
      <c r="G1004" t="s">
        <v>675</v>
      </c>
      <c r="J1004" t="s">
        <v>125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>"20:17:29.172"</f>
        <v>20:17:29.172</v>
      </c>
      <c r="T1004" t="str">
        <f>"20:17:28.772"</f>
        <v>20:17:28.772</v>
      </c>
      <c r="U1004" t="str">
        <f t="shared" si="46"/>
        <v>AB01F4</v>
      </c>
      <c r="V1004">
        <v>0</v>
      </c>
      <c r="W1004">
        <v>0</v>
      </c>
      <c r="X1004">
        <v>2</v>
      </c>
      <c r="Z1004">
        <v>0</v>
      </c>
      <c r="AA1004">
        <v>9</v>
      </c>
      <c r="AB1004">
        <v>3</v>
      </c>
      <c r="AC1004">
        <v>0</v>
      </c>
      <c r="AD1004">
        <v>10</v>
      </c>
      <c r="AE1004">
        <v>0</v>
      </c>
      <c r="AF1004">
        <v>3</v>
      </c>
      <c r="AG1004">
        <v>2</v>
      </c>
      <c r="AH1004">
        <v>0</v>
      </c>
      <c r="AI1004" t="s">
        <v>778</v>
      </c>
      <c r="AJ1004">
        <v>39.704718999999997</v>
      </c>
      <c r="AK1004" t="s">
        <v>779</v>
      </c>
      <c r="AL1004">
        <v>-92.526448000000002</v>
      </c>
      <c r="AM1004">
        <v>100</v>
      </c>
      <c r="AN1004">
        <v>1700</v>
      </c>
      <c r="AO1004" t="s">
        <v>118</v>
      </c>
      <c r="AP1004">
        <v>-32</v>
      </c>
      <c r="AQ1004">
        <v>123</v>
      </c>
      <c r="AR1004">
        <v>0</v>
      </c>
      <c r="AZ1004">
        <v>1200</v>
      </c>
      <c r="BA1004">
        <v>1</v>
      </c>
      <c r="BB1004" t="str">
        <f t="shared" si="48"/>
        <v xml:space="preserve">N8080G  </v>
      </c>
      <c r="BC1004">
        <v>1</v>
      </c>
      <c r="BE1004">
        <v>0</v>
      </c>
      <c r="BF1004">
        <v>0</v>
      </c>
      <c r="BG1004">
        <v>0</v>
      </c>
      <c r="BH1004">
        <v>1675</v>
      </c>
      <c r="BI1004">
        <v>1</v>
      </c>
      <c r="BJ1004">
        <v>1</v>
      </c>
      <c r="BK1004">
        <v>1</v>
      </c>
      <c r="BL1004">
        <v>0</v>
      </c>
      <c r="BO1004">
        <v>0</v>
      </c>
      <c r="BP1004">
        <v>0</v>
      </c>
      <c r="BW1004" t="str">
        <f>"20:17:29.174"</f>
        <v>20:17:29.174</v>
      </c>
      <c r="BZ1004">
        <v>0</v>
      </c>
      <c r="CA1004">
        <v>2016</v>
      </c>
      <c r="CB1004">
        <v>224</v>
      </c>
      <c r="CD1004">
        <v>1</v>
      </c>
      <c r="CE1004">
        <v>0</v>
      </c>
      <c r="CF1004">
        <v>0</v>
      </c>
      <c r="CG1004">
        <v>1</v>
      </c>
      <c r="CH1004">
        <v>0</v>
      </c>
      <c r="CI1004">
        <v>0</v>
      </c>
      <c r="CJ1004">
        <v>0</v>
      </c>
      <c r="CK1004">
        <v>2</v>
      </c>
      <c r="CL1004">
        <v>0</v>
      </c>
      <c r="CM1004">
        <v>2</v>
      </c>
      <c r="CN1004">
        <v>0</v>
      </c>
      <c r="CO1004">
        <v>7</v>
      </c>
      <c r="CP1004" t="s">
        <v>119</v>
      </c>
      <c r="CQ1004">
        <v>180</v>
      </c>
      <c r="CR1004">
        <v>2</v>
      </c>
      <c r="CW1004">
        <v>8040179</v>
      </c>
      <c r="CY1004">
        <v>1</v>
      </c>
      <c r="CZ1004">
        <v>0</v>
      </c>
      <c r="DA1004">
        <v>1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</row>
    <row r="1005" spans="1:113" x14ac:dyDescent="0.3">
      <c r="A1005" t="str">
        <f>"02/08/2021 20:17:26.822"</f>
        <v>02/08/2021 20:17:26.822</v>
      </c>
      <c r="C1005" t="str">
        <f t="shared" si="47"/>
        <v>FFDFD7C0</v>
      </c>
      <c r="D1005" t="s">
        <v>124</v>
      </c>
      <c r="E1005">
        <v>11</v>
      </c>
      <c r="F1005">
        <v>1011</v>
      </c>
      <c r="G1005" t="s">
        <v>590</v>
      </c>
      <c r="J1005" t="s">
        <v>125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>"20:17:29.172"</f>
        <v>20:17:29.172</v>
      </c>
      <c r="T1005" t="str">
        <f>"20:17:28.772"</f>
        <v>20:17:28.772</v>
      </c>
      <c r="U1005" t="str">
        <f t="shared" si="46"/>
        <v>AB01F4</v>
      </c>
      <c r="V1005">
        <v>0</v>
      </c>
      <c r="W1005">
        <v>0</v>
      </c>
      <c r="X1005">
        <v>2</v>
      </c>
      <c r="Z1005">
        <v>0</v>
      </c>
      <c r="AA1005">
        <v>9</v>
      </c>
      <c r="AB1005">
        <v>3</v>
      </c>
      <c r="AC1005">
        <v>0</v>
      </c>
      <c r="AD1005">
        <v>10</v>
      </c>
      <c r="AE1005">
        <v>0</v>
      </c>
      <c r="AF1005">
        <v>3</v>
      </c>
      <c r="AG1005">
        <v>2</v>
      </c>
      <c r="AH1005">
        <v>0</v>
      </c>
      <c r="AI1005" t="s">
        <v>778</v>
      </c>
      <c r="AJ1005">
        <v>39.704718999999997</v>
      </c>
      <c r="AK1005" t="s">
        <v>779</v>
      </c>
      <c r="AL1005">
        <v>-92.526448000000002</v>
      </c>
      <c r="AM1005">
        <v>100</v>
      </c>
      <c r="AN1005">
        <v>1700</v>
      </c>
      <c r="AO1005" t="s">
        <v>118</v>
      </c>
      <c r="AP1005">
        <v>-32</v>
      </c>
      <c r="AQ1005">
        <v>123</v>
      </c>
      <c r="AR1005">
        <v>0</v>
      </c>
      <c r="AZ1005">
        <v>1200</v>
      </c>
      <c r="BA1005">
        <v>1</v>
      </c>
      <c r="BB1005" t="str">
        <f t="shared" si="48"/>
        <v xml:space="preserve">N8080G  </v>
      </c>
      <c r="BC1005">
        <v>1</v>
      </c>
      <c r="BE1005">
        <v>0</v>
      </c>
      <c r="BF1005">
        <v>0</v>
      </c>
      <c r="BG1005">
        <v>0</v>
      </c>
      <c r="BH1005">
        <v>1675</v>
      </c>
      <c r="BI1005">
        <v>1</v>
      </c>
      <c r="BJ1005">
        <v>1</v>
      </c>
      <c r="BK1005">
        <v>1</v>
      </c>
      <c r="BL1005">
        <v>0</v>
      </c>
      <c r="BO1005">
        <v>0</v>
      </c>
      <c r="BP1005">
        <v>0</v>
      </c>
      <c r="BW1005" t="str">
        <f>"20:17:29.174"</f>
        <v>20:17:29.174</v>
      </c>
      <c r="BZ1005">
        <v>0</v>
      </c>
      <c r="CA1005">
        <v>2016</v>
      </c>
      <c r="CB1005">
        <v>224</v>
      </c>
      <c r="CD1005">
        <v>1</v>
      </c>
      <c r="CE1005">
        <v>0</v>
      </c>
      <c r="CF1005">
        <v>0</v>
      </c>
      <c r="CG1005">
        <v>1</v>
      </c>
      <c r="CH1005">
        <v>0</v>
      </c>
      <c r="CI1005">
        <v>0</v>
      </c>
      <c r="CJ1005">
        <v>0</v>
      </c>
      <c r="CK1005">
        <v>2</v>
      </c>
      <c r="CL1005">
        <v>0</v>
      </c>
      <c r="CM1005">
        <v>2</v>
      </c>
      <c r="CN1005">
        <v>0</v>
      </c>
      <c r="CO1005">
        <v>7</v>
      </c>
      <c r="CP1005" t="s">
        <v>119</v>
      </c>
      <c r="CQ1005">
        <v>180</v>
      </c>
      <c r="CR1005">
        <v>2</v>
      </c>
      <c r="CW1005">
        <v>8040179</v>
      </c>
      <c r="CY1005">
        <v>1</v>
      </c>
      <c r="CZ1005">
        <v>0</v>
      </c>
      <c r="DA1005">
        <v>1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</row>
    <row r="1006" spans="1:113" x14ac:dyDescent="0.3">
      <c r="A1006" t="str">
        <f>"02/08/2021 20:17:26.822"</f>
        <v>02/08/2021 20:17:26.822</v>
      </c>
      <c r="C1006" t="str">
        <f t="shared" si="47"/>
        <v>FFDFD7C0</v>
      </c>
      <c r="D1006" t="s">
        <v>113</v>
      </c>
      <c r="E1006">
        <v>6</v>
      </c>
      <c r="H1006">
        <v>165</v>
      </c>
      <c r="I1006" t="s">
        <v>114</v>
      </c>
      <c r="J1006" t="s">
        <v>115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>"20:17:29.172"</f>
        <v>20:17:29.172</v>
      </c>
      <c r="T1006" t="str">
        <f>"20:17:28.772"</f>
        <v>20:17:28.772</v>
      </c>
      <c r="U1006" t="str">
        <f t="shared" si="46"/>
        <v>AB01F4</v>
      </c>
      <c r="V1006">
        <v>0</v>
      </c>
      <c r="W1006">
        <v>0</v>
      </c>
      <c r="X1006">
        <v>2</v>
      </c>
      <c r="Z1006">
        <v>0</v>
      </c>
      <c r="AA1006">
        <v>9</v>
      </c>
      <c r="AB1006">
        <v>3</v>
      </c>
      <c r="AC1006">
        <v>0</v>
      </c>
      <c r="AD1006">
        <v>10</v>
      </c>
      <c r="AE1006">
        <v>0</v>
      </c>
      <c r="AF1006">
        <v>3</v>
      </c>
      <c r="AG1006">
        <v>2</v>
      </c>
      <c r="AH1006">
        <v>0</v>
      </c>
      <c r="AI1006" t="s">
        <v>778</v>
      </c>
      <c r="AJ1006">
        <v>39.704718999999997</v>
      </c>
      <c r="AK1006" t="s">
        <v>779</v>
      </c>
      <c r="AL1006">
        <v>-92.526448000000002</v>
      </c>
      <c r="AM1006">
        <v>100</v>
      </c>
      <c r="AN1006">
        <v>1700</v>
      </c>
      <c r="AO1006" t="s">
        <v>118</v>
      </c>
      <c r="AP1006">
        <v>-32</v>
      </c>
      <c r="AQ1006">
        <v>123</v>
      </c>
      <c r="AR1006">
        <v>0</v>
      </c>
      <c r="AZ1006">
        <v>1200</v>
      </c>
      <c r="BA1006">
        <v>1</v>
      </c>
      <c r="BB1006" t="str">
        <f t="shared" si="48"/>
        <v xml:space="preserve">N8080G  </v>
      </c>
      <c r="BC1006">
        <v>1</v>
      </c>
      <c r="BE1006">
        <v>0</v>
      </c>
      <c r="BF1006">
        <v>0</v>
      </c>
      <c r="BG1006">
        <v>0</v>
      </c>
      <c r="BH1006">
        <v>1675</v>
      </c>
      <c r="BI1006">
        <v>1</v>
      </c>
      <c r="BJ1006">
        <v>1</v>
      </c>
      <c r="BK1006">
        <v>1</v>
      </c>
      <c r="BL1006">
        <v>0</v>
      </c>
      <c r="BO1006">
        <v>0</v>
      </c>
      <c r="BP1006">
        <v>0</v>
      </c>
      <c r="BW1006" t="str">
        <f>"20:17:29.174"</f>
        <v>20:17:29.174</v>
      </c>
      <c r="BZ1006">
        <v>0</v>
      </c>
      <c r="CA1006">
        <v>2016</v>
      </c>
      <c r="CB1006">
        <v>224</v>
      </c>
      <c r="CD1006">
        <v>1</v>
      </c>
      <c r="CE1006">
        <v>0</v>
      </c>
      <c r="CF1006">
        <v>0</v>
      </c>
      <c r="CG1006">
        <v>1</v>
      </c>
      <c r="CH1006">
        <v>0</v>
      </c>
      <c r="CI1006">
        <v>0</v>
      </c>
      <c r="CJ1006">
        <v>0</v>
      </c>
      <c r="CK1006">
        <v>2</v>
      </c>
      <c r="CL1006">
        <v>0</v>
      </c>
      <c r="CM1006">
        <v>2</v>
      </c>
      <c r="CN1006">
        <v>0</v>
      </c>
      <c r="CO1006">
        <v>7</v>
      </c>
      <c r="CP1006" t="s">
        <v>119</v>
      </c>
      <c r="CQ1006">
        <v>180</v>
      </c>
      <c r="CR1006">
        <v>2</v>
      </c>
      <c r="CW1006">
        <v>8040179</v>
      </c>
      <c r="CY1006">
        <v>1</v>
      </c>
      <c r="CZ1006">
        <v>0</v>
      </c>
      <c r="DA1006">
        <v>1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</row>
    <row r="1007" spans="1:113" x14ac:dyDescent="0.3">
      <c r="A1007" t="str">
        <f>"02/08/2021 20:17:27.912"</f>
        <v>02/08/2021 20:17:27.912</v>
      </c>
      <c r="C1007" t="str">
        <f t="shared" si="47"/>
        <v>FFDFD7C0</v>
      </c>
      <c r="D1007" t="s">
        <v>124</v>
      </c>
      <c r="E1007">
        <v>11</v>
      </c>
      <c r="F1007">
        <v>1011</v>
      </c>
      <c r="G1007" t="s">
        <v>590</v>
      </c>
      <c r="J1007" t="s">
        <v>125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>"20:17:30.219"</f>
        <v>20:17:30.219</v>
      </c>
      <c r="T1007" t="str">
        <f>"20:17:29.719"</f>
        <v>20:17:29.719</v>
      </c>
      <c r="U1007" t="str">
        <f t="shared" si="46"/>
        <v>AB01F4</v>
      </c>
      <c r="V1007">
        <v>0</v>
      </c>
      <c r="W1007">
        <v>0</v>
      </c>
      <c r="X1007">
        <v>2</v>
      </c>
      <c r="Z1007">
        <v>0</v>
      </c>
      <c r="AA1007">
        <v>9</v>
      </c>
      <c r="AB1007">
        <v>3</v>
      </c>
      <c r="AC1007">
        <v>0</v>
      </c>
      <c r="AD1007">
        <v>10</v>
      </c>
      <c r="AE1007">
        <v>0</v>
      </c>
      <c r="AF1007">
        <v>3</v>
      </c>
      <c r="AG1007">
        <v>2</v>
      </c>
      <c r="AH1007">
        <v>0</v>
      </c>
      <c r="AI1007" t="s">
        <v>780</v>
      </c>
      <c r="AJ1007">
        <v>39.705340999999997</v>
      </c>
      <c r="AK1007" t="s">
        <v>781</v>
      </c>
      <c r="AL1007">
        <v>-92.526662000000002</v>
      </c>
      <c r="AM1007">
        <v>100</v>
      </c>
      <c r="AN1007">
        <v>1700</v>
      </c>
      <c r="AO1007" t="s">
        <v>118</v>
      </c>
      <c r="AP1007">
        <v>-32</v>
      </c>
      <c r="AQ1007">
        <v>123</v>
      </c>
      <c r="AR1007">
        <v>0</v>
      </c>
      <c r="AZ1007">
        <v>1200</v>
      </c>
      <c r="BA1007">
        <v>1</v>
      </c>
      <c r="BB1007" t="str">
        <f t="shared" si="48"/>
        <v xml:space="preserve">N8080G  </v>
      </c>
      <c r="BC1007">
        <v>1</v>
      </c>
      <c r="BE1007">
        <v>0</v>
      </c>
      <c r="BF1007">
        <v>0</v>
      </c>
      <c r="BG1007">
        <v>0</v>
      </c>
      <c r="BH1007">
        <v>1675</v>
      </c>
      <c r="BI1007">
        <v>1</v>
      </c>
      <c r="BJ1007">
        <v>1</v>
      </c>
      <c r="BK1007">
        <v>1</v>
      </c>
      <c r="BL1007">
        <v>0</v>
      </c>
      <c r="BO1007">
        <v>0</v>
      </c>
      <c r="BP1007">
        <v>0</v>
      </c>
      <c r="BW1007" t="str">
        <f>"20:17:30.225"</f>
        <v>20:17:30.225</v>
      </c>
      <c r="BZ1007">
        <v>0</v>
      </c>
      <c r="CA1007">
        <v>2016</v>
      </c>
      <c r="CB1007">
        <v>224</v>
      </c>
      <c r="CD1007">
        <v>1</v>
      </c>
      <c r="CE1007">
        <v>0</v>
      </c>
      <c r="CF1007">
        <v>0</v>
      </c>
      <c r="CG1007">
        <v>1</v>
      </c>
      <c r="CH1007">
        <v>0</v>
      </c>
      <c r="CI1007">
        <v>0</v>
      </c>
      <c r="CJ1007">
        <v>0</v>
      </c>
      <c r="CK1007">
        <v>2</v>
      </c>
      <c r="CL1007">
        <v>0</v>
      </c>
      <c r="CM1007">
        <v>2</v>
      </c>
      <c r="CN1007">
        <v>0</v>
      </c>
      <c r="CO1007">
        <v>7</v>
      </c>
      <c r="CP1007" t="s">
        <v>119</v>
      </c>
      <c r="CQ1007">
        <v>180</v>
      </c>
      <c r="CR1007">
        <v>2</v>
      </c>
      <c r="CW1007">
        <v>8040998</v>
      </c>
      <c r="CY1007">
        <v>1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</row>
    <row r="1008" spans="1:113" x14ac:dyDescent="0.3">
      <c r="A1008" t="str">
        <f>"02/08/2021 20:17:27.912"</f>
        <v>02/08/2021 20:17:27.912</v>
      </c>
      <c r="C1008" t="str">
        <f t="shared" si="47"/>
        <v>FFDFD7C0</v>
      </c>
      <c r="D1008" t="s">
        <v>113</v>
      </c>
      <c r="E1008">
        <v>6</v>
      </c>
      <c r="H1008">
        <v>165</v>
      </c>
      <c r="I1008" t="s">
        <v>114</v>
      </c>
      <c r="J1008" t="s">
        <v>115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>"20:17:30.219"</f>
        <v>20:17:30.219</v>
      </c>
      <c r="T1008" t="str">
        <f>"20:17:29.719"</f>
        <v>20:17:29.719</v>
      </c>
      <c r="U1008" t="str">
        <f t="shared" si="46"/>
        <v>AB01F4</v>
      </c>
      <c r="V1008">
        <v>0</v>
      </c>
      <c r="W1008">
        <v>0</v>
      </c>
      <c r="X1008">
        <v>2</v>
      </c>
      <c r="Z1008">
        <v>0</v>
      </c>
      <c r="AA1008">
        <v>9</v>
      </c>
      <c r="AB1008">
        <v>3</v>
      </c>
      <c r="AC1008">
        <v>0</v>
      </c>
      <c r="AD1008">
        <v>10</v>
      </c>
      <c r="AE1008">
        <v>0</v>
      </c>
      <c r="AF1008">
        <v>3</v>
      </c>
      <c r="AG1008">
        <v>2</v>
      </c>
      <c r="AH1008">
        <v>0</v>
      </c>
      <c r="AI1008" t="s">
        <v>780</v>
      </c>
      <c r="AJ1008">
        <v>39.705340999999997</v>
      </c>
      <c r="AK1008" t="s">
        <v>781</v>
      </c>
      <c r="AL1008">
        <v>-92.526662000000002</v>
      </c>
      <c r="AM1008">
        <v>100</v>
      </c>
      <c r="AN1008">
        <v>1700</v>
      </c>
      <c r="AO1008" t="s">
        <v>118</v>
      </c>
      <c r="AP1008">
        <v>-32</v>
      </c>
      <c r="AQ1008">
        <v>123</v>
      </c>
      <c r="AR1008">
        <v>0</v>
      </c>
      <c r="AZ1008">
        <v>1200</v>
      </c>
      <c r="BA1008">
        <v>1</v>
      </c>
      <c r="BB1008" t="str">
        <f t="shared" si="48"/>
        <v xml:space="preserve">N8080G  </v>
      </c>
      <c r="BC1008">
        <v>1</v>
      </c>
      <c r="BE1008">
        <v>0</v>
      </c>
      <c r="BF1008">
        <v>0</v>
      </c>
      <c r="BG1008">
        <v>0</v>
      </c>
      <c r="BH1008">
        <v>1675</v>
      </c>
      <c r="BI1008">
        <v>1</v>
      </c>
      <c r="BJ1008">
        <v>1</v>
      </c>
      <c r="BK1008">
        <v>1</v>
      </c>
      <c r="BL1008">
        <v>0</v>
      </c>
      <c r="BO1008">
        <v>0</v>
      </c>
      <c r="BP1008">
        <v>0</v>
      </c>
      <c r="BW1008" t="str">
        <f>"20:17:30.225"</f>
        <v>20:17:30.225</v>
      </c>
      <c r="BZ1008">
        <v>0</v>
      </c>
      <c r="CA1008">
        <v>2016</v>
      </c>
      <c r="CB1008">
        <v>224</v>
      </c>
      <c r="CD1008">
        <v>1</v>
      </c>
      <c r="CE1008">
        <v>0</v>
      </c>
      <c r="CF1008">
        <v>0</v>
      </c>
      <c r="CG1008">
        <v>1</v>
      </c>
      <c r="CH1008">
        <v>0</v>
      </c>
      <c r="CI1008">
        <v>0</v>
      </c>
      <c r="CJ1008">
        <v>0</v>
      </c>
      <c r="CK1008">
        <v>2</v>
      </c>
      <c r="CL1008">
        <v>0</v>
      </c>
      <c r="CM1008">
        <v>2</v>
      </c>
      <c r="CN1008">
        <v>0</v>
      </c>
      <c r="CO1008">
        <v>7</v>
      </c>
      <c r="CP1008" t="s">
        <v>119</v>
      </c>
      <c r="CQ1008">
        <v>180</v>
      </c>
      <c r="CR1008">
        <v>2</v>
      </c>
      <c r="CW1008">
        <v>8040998</v>
      </c>
      <c r="CY1008">
        <v>1</v>
      </c>
      <c r="CZ1008">
        <v>0</v>
      </c>
      <c r="DA1008">
        <v>1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</row>
    <row r="1009" spans="1:113" x14ac:dyDescent="0.3">
      <c r="A1009" t="str">
        <f>"02/08/2021 20:17:27.912"</f>
        <v>02/08/2021 20:17:27.912</v>
      </c>
      <c r="C1009" t="str">
        <f t="shared" si="47"/>
        <v>FFDFD7C0</v>
      </c>
      <c r="D1009" t="s">
        <v>124</v>
      </c>
      <c r="E1009">
        <v>13</v>
      </c>
      <c r="F1009">
        <v>1013</v>
      </c>
      <c r="G1009" t="s">
        <v>114</v>
      </c>
      <c r="J1009" t="s">
        <v>125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>"20:17:30.219"</f>
        <v>20:17:30.219</v>
      </c>
      <c r="T1009" t="str">
        <f>"20:17:29.719"</f>
        <v>20:17:29.719</v>
      </c>
      <c r="U1009" t="str">
        <f t="shared" si="46"/>
        <v>AB01F4</v>
      </c>
      <c r="V1009">
        <v>0</v>
      </c>
      <c r="W1009">
        <v>0</v>
      </c>
      <c r="X1009">
        <v>2</v>
      </c>
      <c r="Z1009">
        <v>0</v>
      </c>
      <c r="AA1009">
        <v>9</v>
      </c>
      <c r="AB1009">
        <v>3</v>
      </c>
      <c r="AC1009">
        <v>0</v>
      </c>
      <c r="AD1009">
        <v>10</v>
      </c>
      <c r="AE1009">
        <v>0</v>
      </c>
      <c r="AF1009">
        <v>3</v>
      </c>
      <c r="AG1009">
        <v>2</v>
      </c>
      <c r="AH1009">
        <v>0</v>
      </c>
      <c r="AI1009" t="s">
        <v>780</v>
      </c>
      <c r="AJ1009">
        <v>39.705340999999997</v>
      </c>
      <c r="AK1009" t="s">
        <v>781</v>
      </c>
      <c r="AL1009">
        <v>-92.526662000000002</v>
      </c>
      <c r="AM1009">
        <v>100</v>
      </c>
      <c r="AN1009">
        <v>1700</v>
      </c>
      <c r="AO1009" t="s">
        <v>118</v>
      </c>
      <c r="AP1009">
        <v>-32</v>
      </c>
      <c r="AQ1009">
        <v>123</v>
      </c>
      <c r="AR1009">
        <v>0</v>
      </c>
      <c r="AZ1009">
        <v>1200</v>
      </c>
      <c r="BA1009">
        <v>1</v>
      </c>
      <c r="BB1009" t="str">
        <f t="shared" si="48"/>
        <v xml:space="preserve">N8080G  </v>
      </c>
      <c r="BC1009">
        <v>1</v>
      </c>
      <c r="BE1009">
        <v>0</v>
      </c>
      <c r="BF1009">
        <v>0</v>
      </c>
      <c r="BG1009">
        <v>0</v>
      </c>
      <c r="BH1009">
        <v>1675</v>
      </c>
      <c r="BI1009">
        <v>1</v>
      </c>
      <c r="BJ1009">
        <v>1</v>
      </c>
      <c r="BK1009">
        <v>1</v>
      </c>
      <c r="BL1009">
        <v>0</v>
      </c>
      <c r="BO1009">
        <v>0</v>
      </c>
      <c r="BP1009">
        <v>0</v>
      </c>
      <c r="BW1009" t="str">
        <f>"20:17:30.225"</f>
        <v>20:17:30.225</v>
      </c>
      <c r="BZ1009">
        <v>0</v>
      </c>
      <c r="CA1009">
        <v>2016</v>
      </c>
      <c r="CB1009">
        <v>224</v>
      </c>
      <c r="CD1009">
        <v>1</v>
      </c>
      <c r="CE1009">
        <v>0</v>
      </c>
      <c r="CF1009">
        <v>0</v>
      </c>
      <c r="CG1009">
        <v>1</v>
      </c>
      <c r="CH1009">
        <v>0</v>
      </c>
      <c r="CI1009">
        <v>0</v>
      </c>
      <c r="CJ1009">
        <v>0</v>
      </c>
      <c r="CK1009">
        <v>2</v>
      </c>
      <c r="CL1009">
        <v>0</v>
      </c>
      <c r="CM1009">
        <v>2</v>
      </c>
      <c r="CN1009">
        <v>0</v>
      </c>
      <c r="CO1009">
        <v>7</v>
      </c>
      <c r="CP1009" t="s">
        <v>119</v>
      </c>
      <c r="CQ1009">
        <v>180</v>
      </c>
      <c r="CR1009">
        <v>2</v>
      </c>
      <c r="CW1009">
        <v>8040998</v>
      </c>
      <c r="CY1009">
        <v>1</v>
      </c>
      <c r="CZ1009">
        <v>0</v>
      </c>
      <c r="DA1009">
        <v>1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</row>
    <row r="1010" spans="1:113" x14ac:dyDescent="0.3">
      <c r="A1010" t="str">
        <f>"02/08/2021 20:17:27.912"</f>
        <v>02/08/2021 20:17:27.912</v>
      </c>
      <c r="C1010" t="str">
        <f t="shared" si="47"/>
        <v>FFDFD7C0</v>
      </c>
      <c r="D1010" t="s">
        <v>124</v>
      </c>
      <c r="E1010">
        <v>12</v>
      </c>
      <c r="F1010">
        <v>1012</v>
      </c>
      <c r="G1010" t="s">
        <v>675</v>
      </c>
      <c r="J1010" t="s">
        <v>125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>"20:17:30.219"</f>
        <v>20:17:30.219</v>
      </c>
      <c r="T1010" t="str">
        <f>"20:17:29.719"</f>
        <v>20:17:29.719</v>
      </c>
      <c r="U1010" t="str">
        <f t="shared" si="46"/>
        <v>AB01F4</v>
      </c>
      <c r="V1010">
        <v>0</v>
      </c>
      <c r="W1010">
        <v>0</v>
      </c>
      <c r="X1010">
        <v>2</v>
      </c>
      <c r="Z1010">
        <v>0</v>
      </c>
      <c r="AA1010">
        <v>9</v>
      </c>
      <c r="AB1010">
        <v>3</v>
      </c>
      <c r="AC1010">
        <v>0</v>
      </c>
      <c r="AD1010">
        <v>10</v>
      </c>
      <c r="AE1010">
        <v>0</v>
      </c>
      <c r="AF1010">
        <v>3</v>
      </c>
      <c r="AG1010">
        <v>2</v>
      </c>
      <c r="AH1010">
        <v>0</v>
      </c>
      <c r="AI1010" t="s">
        <v>780</v>
      </c>
      <c r="AJ1010">
        <v>39.705340999999997</v>
      </c>
      <c r="AK1010" t="s">
        <v>781</v>
      </c>
      <c r="AL1010">
        <v>-92.526662000000002</v>
      </c>
      <c r="AM1010">
        <v>100</v>
      </c>
      <c r="AN1010">
        <v>1700</v>
      </c>
      <c r="AO1010" t="s">
        <v>118</v>
      </c>
      <c r="AP1010">
        <v>-32</v>
      </c>
      <c r="AQ1010">
        <v>123</v>
      </c>
      <c r="AR1010">
        <v>0</v>
      </c>
      <c r="AZ1010">
        <v>1200</v>
      </c>
      <c r="BA1010">
        <v>1</v>
      </c>
      <c r="BB1010" t="str">
        <f t="shared" si="48"/>
        <v xml:space="preserve">N8080G  </v>
      </c>
      <c r="BC1010">
        <v>1</v>
      </c>
      <c r="BE1010">
        <v>0</v>
      </c>
      <c r="BF1010">
        <v>0</v>
      </c>
      <c r="BG1010">
        <v>0</v>
      </c>
      <c r="BH1010">
        <v>1675</v>
      </c>
      <c r="BI1010">
        <v>1</v>
      </c>
      <c r="BJ1010">
        <v>1</v>
      </c>
      <c r="BK1010">
        <v>1</v>
      </c>
      <c r="BL1010">
        <v>0</v>
      </c>
      <c r="BO1010">
        <v>0</v>
      </c>
      <c r="BP1010">
        <v>0</v>
      </c>
      <c r="BW1010" t="str">
        <f>"20:17:30.225"</f>
        <v>20:17:30.225</v>
      </c>
      <c r="BZ1010">
        <v>0</v>
      </c>
      <c r="CA1010">
        <v>2016</v>
      </c>
      <c r="CB1010">
        <v>224</v>
      </c>
      <c r="CD1010">
        <v>1</v>
      </c>
      <c r="CE1010">
        <v>0</v>
      </c>
      <c r="CF1010">
        <v>0</v>
      </c>
      <c r="CG1010">
        <v>1</v>
      </c>
      <c r="CH1010">
        <v>0</v>
      </c>
      <c r="CI1010">
        <v>0</v>
      </c>
      <c r="CJ1010">
        <v>0</v>
      </c>
      <c r="CK1010">
        <v>2</v>
      </c>
      <c r="CL1010">
        <v>0</v>
      </c>
      <c r="CM1010">
        <v>2</v>
      </c>
      <c r="CN1010">
        <v>0</v>
      </c>
      <c r="CO1010">
        <v>7</v>
      </c>
      <c r="CP1010" t="s">
        <v>119</v>
      </c>
      <c r="CQ1010">
        <v>180</v>
      </c>
      <c r="CR1010">
        <v>2</v>
      </c>
      <c r="CW1010">
        <v>8040998</v>
      </c>
      <c r="CY1010">
        <v>1</v>
      </c>
      <c r="CZ1010">
        <v>0</v>
      </c>
      <c r="DA1010">
        <v>1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</row>
    <row r="1011" spans="1:113" x14ac:dyDescent="0.3">
      <c r="A1011" t="str">
        <f>"02/08/2021 20:17:28.921"</f>
        <v>02/08/2021 20:17:28.921</v>
      </c>
      <c r="C1011" t="str">
        <f t="shared" si="47"/>
        <v>FFDFD7C0</v>
      </c>
      <c r="D1011" t="s">
        <v>124</v>
      </c>
      <c r="E1011">
        <v>11</v>
      </c>
      <c r="F1011">
        <v>1011</v>
      </c>
      <c r="G1011" t="s">
        <v>590</v>
      </c>
      <c r="J1011" t="s">
        <v>125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>"20:17:31.219"</f>
        <v>20:17:31.219</v>
      </c>
      <c r="T1011" t="str">
        <f>"20:17:30.719"</f>
        <v>20:17:30.719</v>
      </c>
      <c r="U1011" t="str">
        <f t="shared" si="46"/>
        <v>AB01F4</v>
      </c>
      <c r="V1011">
        <v>0</v>
      </c>
      <c r="W1011">
        <v>0</v>
      </c>
      <c r="X1011">
        <v>2</v>
      </c>
      <c r="Z1011">
        <v>0</v>
      </c>
      <c r="AA1011">
        <v>9</v>
      </c>
      <c r="AB1011">
        <v>3</v>
      </c>
      <c r="AC1011">
        <v>0</v>
      </c>
      <c r="AD1011">
        <v>10</v>
      </c>
      <c r="AE1011">
        <v>0</v>
      </c>
      <c r="AF1011">
        <v>3</v>
      </c>
      <c r="AG1011">
        <v>2</v>
      </c>
      <c r="AH1011">
        <v>0</v>
      </c>
      <c r="AI1011" t="s">
        <v>782</v>
      </c>
      <c r="AJ1011">
        <v>39.705899000000002</v>
      </c>
      <c r="AK1011" t="s">
        <v>783</v>
      </c>
      <c r="AL1011">
        <v>-92.526854999999998</v>
      </c>
      <c r="AM1011">
        <v>100</v>
      </c>
      <c r="AN1011">
        <v>1700</v>
      </c>
      <c r="AO1011" t="s">
        <v>118</v>
      </c>
      <c r="AP1011">
        <v>-32</v>
      </c>
      <c r="AQ1011">
        <v>123</v>
      </c>
      <c r="AR1011">
        <v>64</v>
      </c>
      <c r="AZ1011">
        <v>1200</v>
      </c>
      <c r="BA1011">
        <v>1</v>
      </c>
      <c r="BB1011" t="str">
        <f t="shared" si="48"/>
        <v xml:space="preserve">N8080G  </v>
      </c>
      <c r="BC1011">
        <v>1</v>
      </c>
      <c r="BE1011">
        <v>0</v>
      </c>
      <c r="BF1011">
        <v>0</v>
      </c>
      <c r="BG1011">
        <v>0</v>
      </c>
      <c r="BH1011">
        <v>1675</v>
      </c>
      <c r="BI1011">
        <v>1</v>
      </c>
      <c r="BJ1011">
        <v>1</v>
      </c>
      <c r="BK1011">
        <v>1</v>
      </c>
      <c r="BL1011">
        <v>0</v>
      </c>
      <c r="BO1011">
        <v>0</v>
      </c>
      <c r="BP1011">
        <v>0</v>
      </c>
      <c r="BW1011" t="str">
        <f>"20:17:31.223"</f>
        <v>20:17:31.223</v>
      </c>
      <c r="BZ1011">
        <v>0</v>
      </c>
      <c r="CA1011">
        <v>2016</v>
      </c>
      <c r="CB1011">
        <v>224</v>
      </c>
      <c r="CD1011">
        <v>1</v>
      </c>
      <c r="CE1011">
        <v>0</v>
      </c>
      <c r="CF1011">
        <v>0</v>
      </c>
      <c r="CG1011">
        <v>1</v>
      </c>
      <c r="CH1011">
        <v>0</v>
      </c>
      <c r="CI1011">
        <v>0</v>
      </c>
      <c r="CJ1011">
        <v>0</v>
      </c>
      <c r="CK1011">
        <v>2</v>
      </c>
      <c r="CL1011">
        <v>0</v>
      </c>
      <c r="CM1011">
        <v>2</v>
      </c>
      <c r="CN1011">
        <v>0</v>
      </c>
      <c r="CO1011">
        <v>7</v>
      </c>
      <c r="CP1011" t="s">
        <v>119</v>
      </c>
      <c r="CQ1011">
        <v>180</v>
      </c>
      <c r="CR1011">
        <v>2</v>
      </c>
      <c r="CW1011">
        <v>8041789</v>
      </c>
      <c r="CY1011">
        <v>1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</row>
    <row r="1012" spans="1:113" x14ac:dyDescent="0.3">
      <c r="A1012" t="str">
        <f>"02/08/2021 20:17:28.921"</f>
        <v>02/08/2021 20:17:28.921</v>
      </c>
      <c r="C1012" t="str">
        <f t="shared" si="47"/>
        <v>FFDFD7C0</v>
      </c>
      <c r="D1012" t="s">
        <v>113</v>
      </c>
      <c r="E1012">
        <v>6</v>
      </c>
      <c r="H1012">
        <v>165</v>
      </c>
      <c r="I1012" t="s">
        <v>114</v>
      </c>
      <c r="J1012" t="s">
        <v>115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>"20:17:31.219"</f>
        <v>20:17:31.219</v>
      </c>
      <c r="T1012" t="str">
        <f>"20:17:30.719"</f>
        <v>20:17:30.719</v>
      </c>
      <c r="U1012" t="str">
        <f t="shared" si="46"/>
        <v>AB01F4</v>
      </c>
      <c r="V1012">
        <v>0</v>
      </c>
      <c r="W1012">
        <v>0</v>
      </c>
      <c r="X1012">
        <v>2</v>
      </c>
      <c r="Z1012">
        <v>0</v>
      </c>
      <c r="AA1012">
        <v>9</v>
      </c>
      <c r="AB1012">
        <v>3</v>
      </c>
      <c r="AC1012">
        <v>0</v>
      </c>
      <c r="AD1012">
        <v>10</v>
      </c>
      <c r="AE1012">
        <v>0</v>
      </c>
      <c r="AF1012">
        <v>3</v>
      </c>
      <c r="AG1012">
        <v>2</v>
      </c>
      <c r="AH1012">
        <v>0</v>
      </c>
      <c r="AI1012" t="s">
        <v>782</v>
      </c>
      <c r="AJ1012">
        <v>39.705899000000002</v>
      </c>
      <c r="AK1012" t="s">
        <v>783</v>
      </c>
      <c r="AL1012">
        <v>-92.526854999999998</v>
      </c>
      <c r="AM1012">
        <v>100</v>
      </c>
      <c r="AN1012">
        <v>1700</v>
      </c>
      <c r="AO1012" t="s">
        <v>118</v>
      </c>
      <c r="AP1012">
        <v>-32</v>
      </c>
      <c r="AQ1012">
        <v>123</v>
      </c>
      <c r="AR1012">
        <v>64</v>
      </c>
      <c r="AZ1012">
        <v>1200</v>
      </c>
      <c r="BA1012">
        <v>1</v>
      </c>
      <c r="BB1012" t="str">
        <f t="shared" si="48"/>
        <v xml:space="preserve">N8080G  </v>
      </c>
      <c r="BC1012">
        <v>1</v>
      </c>
      <c r="BE1012">
        <v>0</v>
      </c>
      <c r="BF1012">
        <v>0</v>
      </c>
      <c r="BG1012">
        <v>0</v>
      </c>
      <c r="BH1012">
        <v>1675</v>
      </c>
      <c r="BI1012">
        <v>1</v>
      </c>
      <c r="BJ1012">
        <v>1</v>
      </c>
      <c r="BK1012">
        <v>1</v>
      </c>
      <c r="BL1012">
        <v>0</v>
      </c>
      <c r="BO1012">
        <v>0</v>
      </c>
      <c r="BP1012">
        <v>0</v>
      </c>
      <c r="BW1012" t="str">
        <f>"20:17:31.223"</f>
        <v>20:17:31.223</v>
      </c>
      <c r="BZ1012">
        <v>0</v>
      </c>
      <c r="CA1012">
        <v>2016</v>
      </c>
      <c r="CB1012">
        <v>224</v>
      </c>
      <c r="CD1012">
        <v>1</v>
      </c>
      <c r="CE1012">
        <v>0</v>
      </c>
      <c r="CF1012">
        <v>0</v>
      </c>
      <c r="CG1012">
        <v>1</v>
      </c>
      <c r="CH1012">
        <v>0</v>
      </c>
      <c r="CI1012">
        <v>0</v>
      </c>
      <c r="CJ1012">
        <v>0</v>
      </c>
      <c r="CK1012">
        <v>2</v>
      </c>
      <c r="CL1012">
        <v>0</v>
      </c>
      <c r="CM1012">
        <v>2</v>
      </c>
      <c r="CN1012">
        <v>0</v>
      </c>
      <c r="CO1012">
        <v>7</v>
      </c>
      <c r="CP1012" t="s">
        <v>119</v>
      </c>
      <c r="CQ1012">
        <v>180</v>
      </c>
      <c r="CR1012">
        <v>2</v>
      </c>
      <c r="CW1012">
        <v>8041789</v>
      </c>
      <c r="CY1012">
        <v>1</v>
      </c>
      <c r="CZ1012">
        <v>0</v>
      </c>
      <c r="DA1012">
        <v>1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</row>
    <row r="1013" spans="1:113" x14ac:dyDescent="0.3">
      <c r="A1013" t="str">
        <f>"02/08/2021 20:17:28.921"</f>
        <v>02/08/2021 20:17:28.921</v>
      </c>
      <c r="C1013" t="str">
        <f t="shared" si="47"/>
        <v>FFDFD7C0</v>
      </c>
      <c r="D1013" t="s">
        <v>124</v>
      </c>
      <c r="E1013">
        <v>13</v>
      </c>
      <c r="F1013">
        <v>1013</v>
      </c>
      <c r="G1013" t="s">
        <v>114</v>
      </c>
      <c r="J1013" t="s">
        <v>125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>"20:17:31.219"</f>
        <v>20:17:31.219</v>
      </c>
      <c r="T1013" t="str">
        <f>"20:17:30.719"</f>
        <v>20:17:30.719</v>
      </c>
      <c r="U1013" t="str">
        <f t="shared" si="46"/>
        <v>AB01F4</v>
      </c>
      <c r="V1013">
        <v>0</v>
      </c>
      <c r="W1013">
        <v>0</v>
      </c>
      <c r="X1013">
        <v>2</v>
      </c>
      <c r="Z1013">
        <v>0</v>
      </c>
      <c r="AA1013">
        <v>9</v>
      </c>
      <c r="AB1013">
        <v>3</v>
      </c>
      <c r="AC1013">
        <v>0</v>
      </c>
      <c r="AD1013">
        <v>10</v>
      </c>
      <c r="AE1013">
        <v>0</v>
      </c>
      <c r="AF1013">
        <v>3</v>
      </c>
      <c r="AG1013">
        <v>2</v>
      </c>
      <c r="AH1013">
        <v>0</v>
      </c>
      <c r="AI1013" t="s">
        <v>782</v>
      </c>
      <c r="AJ1013">
        <v>39.705899000000002</v>
      </c>
      <c r="AK1013" t="s">
        <v>783</v>
      </c>
      <c r="AL1013">
        <v>-92.526854999999998</v>
      </c>
      <c r="AM1013">
        <v>100</v>
      </c>
      <c r="AN1013">
        <v>1700</v>
      </c>
      <c r="AO1013" t="s">
        <v>118</v>
      </c>
      <c r="AP1013">
        <v>-32</v>
      </c>
      <c r="AQ1013">
        <v>123</v>
      </c>
      <c r="AR1013">
        <v>64</v>
      </c>
      <c r="AZ1013">
        <v>1200</v>
      </c>
      <c r="BA1013">
        <v>1</v>
      </c>
      <c r="BB1013" t="str">
        <f t="shared" si="48"/>
        <v xml:space="preserve">N8080G  </v>
      </c>
      <c r="BC1013">
        <v>1</v>
      </c>
      <c r="BE1013">
        <v>0</v>
      </c>
      <c r="BF1013">
        <v>0</v>
      </c>
      <c r="BG1013">
        <v>0</v>
      </c>
      <c r="BH1013">
        <v>1675</v>
      </c>
      <c r="BI1013">
        <v>1</v>
      </c>
      <c r="BJ1013">
        <v>1</v>
      </c>
      <c r="BK1013">
        <v>1</v>
      </c>
      <c r="BL1013">
        <v>0</v>
      </c>
      <c r="BO1013">
        <v>0</v>
      </c>
      <c r="BP1013">
        <v>0</v>
      </c>
      <c r="BW1013" t="str">
        <f>"20:17:31.223"</f>
        <v>20:17:31.223</v>
      </c>
      <c r="BZ1013">
        <v>0</v>
      </c>
      <c r="CA1013">
        <v>2016</v>
      </c>
      <c r="CB1013">
        <v>224</v>
      </c>
      <c r="CD1013">
        <v>1</v>
      </c>
      <c r="CE1013">
        <v>0</v>
      </c>
      <c r="CF1013">
        <v>0</v>
      </c>
      <c r="CG1013">
        <v>1</v>
      </c>
      <c r="CH1013">
        <v>0</v>
      </c>
      <c r="CI1013">
        <v>0</v>
      </c>
      <c r="CJ1013">
        <v>0</v>
      </c>
      <c r="CK1013">
        <v>2</v>
      </c>
      <c r="CL1013">
        <v>0</v>
      </c>
      <c r="CM1013">
        <v>2</v>
      </c>
      <c r="CN1013">
        <v>0</v>
      </c>
      <c r="CO1013">
        <v>7</v>
      </c>
      <c r="CP1013" t="s">
        <v>119</v>
      </c>
      <c r="CQ1013">
        <v>180</v>
      </c>
      <c r="CR1013">
        <v>2</v>
      </c>
      <c r="CW1013">
        <v>8041789</v>
      </c>
      <c r="CY1013">
        <v>1</v>
      </c>
      <c r="CZ1013">
        <v>0</v>
      </c>
      <c r="DA1013">
        <v>1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</row>
    <row r="1014" spans="1:113" x14ac:dyDescent="0.3">
      <c r="A1014" t="str">
        <f>"02/08/2021 20:17:28.921"</f>
        <v>02/08/2021 20:17:28.921</v>
      </c>
      <c r="C1014" t="str">
        <f t="shared" si="47"/>
        <v>FFDFD7C0</v>
      </c>
      <c r="D1014" t="s">
        <v>124</v>
      </c>
      <c r="E1014">
        <v>12</v>
      </c>
      <c r="F1014">
        <v>1012</v>
      </c>
      <c r="G1014" t="s">
        <v>675</v>
      </c>
      <c r="J1014" t="s">
        <v>125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>"20:17:31.219"</f>
        <v>20:17:31.219</v>
      </c>
      <c r="T1014" t="str">
        <f>"20:17:30.719"</f>
        <v>20:17:30.719</v>
      </c>
      <c r="U1014" t="str">
        <f t="shared" si="46"/>
        <v>AB01F4</v>
      </c>
      <c r="V1014">
        <v>0</v>
      </c>
      <c r="W1014">
        <v>0</v>
      </c>
      <c r="X1014">
        <v>2</v>
      </c>
      <c r="Z1014">
        <v>0</v>
      </c>
      <c r="AA1014">
        <v>9</v>
      </c>
      <c r="AB1014">
        <v>3</v>
      </c>
      <c r="AC1014">
        <v>0</v>
      </c>
      <c r="AD1014">
        <v>10</v>
      </c>
      <c r="AE1014">
        <v>0</v>
      </c>
      <c r="AF1014">
        <v>3</v>
      </c>
      <c r="AG1014">
        <v>2</v>
      </c>
      <c r="AH1014">
        <v>0</v>
      </c>
      <c r="AI1014" t="s">
        <v>782</v>
      </c>
      <c r="AJ1014">
        <v>39.705899000000002</v>
      </c>
      <c r="AK1014" t="s">
        <v>783</v>
      </c>
      <c r="AL1014">
        <v>-92.526854999999998</v>
      </c>
      <c r="AM1014">
        <v>100</v>
      </c>
      <c r="AN1014">
        <v>1700</v>
      </c>
      <c r="AO1014" t="s">
        <v>118</v>
      </c>
      <c r="AP1014">
        <v>-32</v>
      </c>
      <c r="AQ1014">
        <v>123</v>
      </c>
      <c r="AR1014">
        <v>64</v>
      </c>
      <c r="AZ1014">
        <v>1200</v>
      </c>
      <c r="BA1014">
        <v>1</v>
      </c>
      <c r="BB1014" t="str">
        <f t="shared" si="48"/>
        <v xml:space="preserve">N8080G  </v>
      </c>
      <c r="BC1014">
        <v>1</v>
      </c>
      <c r="BE1014">
        <v>0</v>
      </c>
      <c r="BF1014">
        <v>0</v>
      </c>
      <c r="BG1014">
        <v>0</v>
      </c>
      <c r="BH1014">
        <v>1675</v>
      </c>
      <c r="BI1014">
        <v>1</v>
      </c>
      <c r="BJ1014">
        <v>1</v>
      </c>
      <c r="BK1014">
        <v>1</v>
      </c>
      <c r="BL1014">
        <v>0</v>
      </c>
      <c r="BO1014">
        <v>0</v>
      </c>
      <c r="BP1014">
        <v>0</v>
      </c>
      <c r="BW1014" t="str">
        <f>"20:17:31.223"</f>
        <v>20:17:31.223</v>
      </c>
      <c r="BZ1014">
        <v>0</v>
      </c>
      <c r="CA1014">
        <v>2016</v>
      </c>
      <c r="CB1014">
        <v>224</v>
      </c>
      <c r="CD1014">
        <v>1</v>
      </c>
      <c r="CE1014">
        <v>0</v>
      </c>
      <c r="CF1014">
        <v>0</v>
      </c>
      <c r="CG1014">
        <v>1</v>
      </c>
      <c r="CH1014">
        <v>0</v>
      </c>
      <c r="CI1014">
        <v>0</v>
      </c>
      <c r="CJ1014">
        <v>0</v>
      </c>
      <c r="CK1014">
        <v>2</v>
      </c>
      <c r="CL1014">
        <v>0</v>
      </c>
      <c r="CM1014">
        <v>2</v>
      </c>
      <c r="CN1014">
        <v>0</v>
      </c>
      <c r="CO1014">
        <v>7</v>
      </c>
      <c r="CP1014" t="s">
        <v>119</v>
      </c>
      <c r="CQ1014">
        <v>180</v>
      </c>
      <c r="CR1014">
        <v>2</v>
      </c>
      <c r="CW1014">
        <v>8041789</v>
      </c>
      <c r="CY1014">
        <v>1</v>
      </c>
      <c r="CZ1014">
        <v>0</v>
      </c>
      <c r="DA1014">
        <v>1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</row>
    <row r="1015" spans="1:113" x14ac:dyDescent="0.3">
      <c r="A1015" t="str">
        <f>"02/08/2021 20:17:29.777"</f>
        <v>02/08/2021 20:17:29.777</v>
      </c>
      <c r="C1015" t="str">
        <f t="shared" si="47"/>
        <v>FFDFD7C0</v>
      </c>
      <c r="D1015" t="s">
        <v>124</v>
      </c>
      <c r="E1015">
        <v>11</v>
      </c>
      <c r="F1015">
        <v>1011</v>
      </c>
      <c r="G1015" t="s">
        <v>590</v>
      </c>
      <c r="J1015" t="s">
        <v>125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>"20:17:32.109"</f>
        <v>20:17:32.109</v>
      </c>
      <c r="T1015" t="str">
        <f>"20:17:31.709"</f>
        <v>20:17:31.709</v>
      </c>
      <c r="U1015" t="str">
        <f t="shared" si="46"/>
        <v>AB01F4</v>
      </c>
      <c r="V1015">
        <v>0</v>
      </c>
      <c r="W1015">
        <v>0</v>
      </c>
      <c r="X1015">
        <v>2</v>
      </c>
      <c r="Z1015">
        <v>0</v>
      </c>
      <c r="AA1015">
        <v>9</v>
      </c>
      <c r="AB1015">
        <v>3</v>
      </c>
      <c r="AC1015">
        <v>0</v>
      </c>
      <c r="AD1015">
        <v>10</v>
      </c>
      <c r="AE1015">
        <v>0</v>
      </c>
      <c r="AF1015">
        <v>3</v>
      </c>
      <c r="AG1015">
        <v>2</v>
      </c>
      <c r="AH1015">
        <v>0</v>
      </c>
      <c r="AI1015" t="s">
        <v>784</v>
      </c>
      <c r="AJ1015">
        <v>39.706414000000002</v>
      </c>
      <c r="AK1015" t="s">
        <v>785</v>
      </c>
      <c r="AL1015">
        <v>-92.527027000000004</v>
      </c>
      <c r="AM1015">
        <v>100</v>
      </c>
      <c r="AN1015">
        <v>1700</v>
      </c>
      <c r="AO1015" t="s">
        <v>118</v>
      </c>
      <c r="AP1015">
        <v>-32</v>
      </c>
      <c r="AQ1015">
        <v>123</v>
      </c>
      <c r="AR1015">
        <v>0</v>
      </c>
      <c r="AZ1015">
        <v>1200</v>
      </c>
      <c r="BA1015">
        <v>1</v>
      </c>
      <c r="BB1015" t="str">
        <f t="shared" si="48"/>
        <v xml:space="preserve">N8080G  </v>
      </c>
      <c r="BC1015">
        <v>1</v>
      </c>
      <c r="BE1015">
        <v>0</v>
      </c>
      <c r="BF1015">
        <v>0</v>
      </c>
      <c r="BG1015">
        <v>0</v>
      </c>
      <c r="BH1015">
        <v>1675</v>
      </c>
      <c r="BI1015">
        <v>1</v>
      </c>
      <c r="BJ1015">
        <v>1</v>
      </c>
      <c r="BK1015">
        <v>1</v>
      </c>
      <c r="BL1015">
        <v>0</v>
      </c>
      <c r="BO1015">
        <v>0</v>
      </c>
      <c r="BP1015">
        <v>0</v>
      </c>
      <c r="BW1015" t="str">
        <f>"20:17:32.111"</f>
        <v>20:17:32.111</v>
      </c>
      <c r="BZ1015">
        <v>0</v>
      </c>
      <c r="CA1015">
        <v>2016</v>
      </c>
      <c r="CB1015">
        <v>224</v>
      </c>
      <c r="CD1015">
        <v>1</v>
      </c>
      <c r="CE1015">
        <v>0</v>
      </c>
      <c r="CF1015">
        <v>0</v>
      </c>
      <c r="CG1015">
        <v>1</v>
      </c>
      <c r="CH1015">
        <v>0</v>
      </c>
      <c r="CI1015">
        <v>0</v>
      </c>
      <c r="CJ1015">
        <v>0</v>
      </c>
      <c r="CK1015">
        <v>2</v>
      </c>
      <c r="CL1015">
        <v>0</v>
      </c>
      <c r="CM1015">
        <v>2</v>
      </c>
      <c r="CN1015">
        <v>0</v>
      </c>
      <c r="CO1015">
        <v>7</v>
      </c>
      <c r="CP1015" t="s">
        <v>119</v>
      </c>
      <c r="CQ1015">
        <v>180</v>
      </c>
      <c r="CR1015">
        <v>2</v>
      </c>
      <c r="CW1015">
        <v>8042526</v>
      </c>
      <c r="CY1015">
        <v>1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</row>
    <row r="1016" spans="1:113" x14ac:dyDescent="0.3">
      <c r="A1016" t="str">
        <f>"02/08/2021 20:17:29.777"</f>
        <v>02/08/2021 20:17:29.777</v>
      </c>
      <c r="C1016" t="str">
        <f t="shared" si="47"/>
        <v>FFDFD7C0</v>
      </c>
      <c r="D1016" t="s">
        <v>113</v>
      </c>
      <c r="E1016">
        <v>6</v>
      </c>
      <c r="H1016">
        <v>165</v>
      </c>
      <c r="I1016" t="s">
        <v>114</v>
      </c>
      <c r="J1016" t="s">
        <v>115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>"20:17:32.109"</f>
        <v>20:17:32.109</v>
      </c>
      <c r="T1016" t="str">
        <f>"20:17:31.709"</f>
        <v>20:17:31.709</v>
      </c>
      <c r="U1016" t="str">
        <f t="shared" si="46"/>
        <v>AB01F4</v>
      </c>
      <c r="V1016">
        <v>0</v>
      </c>
      <c r="W1016">
        <v>0</v>
      </c>
      <c r="X1016">
        <v>2</v>
      </c>
      <c r="Z1016">
        <v>0</v>
      </c>
      <c r="AA1016">
        <v>9</v>
      </c>
      <c r="AB1016">
        <v>3</v>
      </c>
      <c r="AC1016">
        <v>0</v>
      </c>
      <c r="AD1016">
        <v>10</v>
      </c>
      <c r="AE1016">
        <v>0</v>
      </c>
      <c r="AF1016">
        <v>3</v>
      </c>
      <c r="AG1016">
        <v>2</v>
      </c>
      <c r="AH1016">
        <v>0</v>
      </c>
      <c r="AI1016" t="s">
        <v>784</v>
      </c>
      <c r="AJ1016">
        <v>39.706414000000002</v>
      </c>
      <c r="AK1016" t="s">
        <v>785</v>
      </c>
      <c r="AL1016">
        <v>-92.527027000000004</v>
      </c>
      <c r="AM1016">
        <v>100</v>
      </c>
      <c r="AN1016">
        <v>1700</v>
      </c>
      <c r="AO1016" t="s">
        <v>118</v>
      </c>
      <c r="AP1016">
        <v>-32</v>
      </c>
      <c r="AQ1016">
        <v>123</v>
      </c>
      <c r="AR1016">
        <v>0</v>
      </c>
      <c r="AZ1016">
        <v>1200</v>
      </c>
      <c r="BA1016">
        <v>1</v>
      </c>
      <c r="BB1016" t="str">
        <f t="shared" si="48"/>
        <v xml:space="preserve">N8080G  </v>
      </c>
      <c r="BC1016">
        <v>1</v>
      </c>
      <c r="BE1016">
        <v>0</v>
      </c>
      <c r="BF1016">
        <v>0</v>
      </c>
      <c r="BG1016">
        <v>0</v>
      </c>
      <c r="BH1016">
        <v>1675</v>
      </c>
      <c r="BI1016">
        <v>1</v>
      </c>
      <c r="BJ1016">
        <v>1</v>
      </c>
      <c r="BK1016">
        <v>1</v>
      </c>
      <c r="BL1016">
        <v>0</v>
      </c>
      <c r="BO1016">
        <v>0</v>
      </c>
      <c r="BP1016">
        <v>0</v>
      </c>
      <c r="BW1016" t="str">
        <f>"20:17:32.111"</f>
        <v>20:17:32.111</v>
      </c>
      <c r="BZ1016">
        <v>0</v>
      </c>
      <c r="CA1016">
        <v>2016</v>
      </c>
      <c r="CB1016">
        <v>224</v>
      </c>
      <c r="CD1016">
        <v>1</v>
      </c>
      <c r="CE1016">
        <v>0</v>
      </c>
      <c r="CF1016">
        <v>0</v>
      </c>
      <c r="CG1016">
        <v>1</v>
      </c>
      <c r="CH1016">
        <v>0</v>
      </c>
      <c r="CI1016">
        <v>0</v>
      </c>
      <c r="CJ1016">
        <v>0</v>
      </c>
      <c r="CK1016">
        <v>2</v>
      </c>
      <c r="CL1016">
        <v>0</v>
      </c>
      <c r="CM1016">
        <v>2</v>
      </c>
      <c r="CN1016">
        <v>0</v>
      </c>
      <c r="CO1016">
        <v>7</v>
      </c>
      <c r="CP1016" t="s">
        <v>119</v>
      </c>
      <c r="CQ1016">
        <v>180</v>
      </c>
      <c r="CR1016">
        <v>2</v>
      </c>
      <c r="CW1016">
        <v>8042526</v>
      </c>
      <c r="CY1016">
        <v>1</v>
      </c>
      <c r="CZ1016">
        <v>0</v>
      </c>
      <c r="DA1016">
        <v>1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</row>
    <row r="1017" spans="1:113" x14ac:dyDescent="0.3">
      <c r="A1017" t="str">
        <f>"02/08/2021 20:17:29.777"</f>
        <v>02/08/2021 20:17:29.777</v>
      </c>
      <c r="C1017" t="str">
        <f t="shared" si="47"/>
        <v>FFDFD7C0</v>
      </c>
      <c r="D1017" t="s">
        <v>124</v>
      </c>
      <c r="E1017">
        <v>13</v>
      </c>
      <c r="F1017">
        <v>1013</v>
      </c>
      <c r="G1017" t="s">
        <v>114</v>
      </c>
      <c r="J1017" t="s">
        <v>125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>"20:17:32.109"</f>
        <v>20:17:32.109</v>
      </c>
      <c r="T1017" t="str">
        <f>"20:17:31.709"</f>
        <v>20:17:31.709</v>
      </c>
      <c r="U1017" t="str">
        <f t="shared" si="46"/>
        <v>AB01F4</v>
      </c>
      <c r="V1017">
        <v>0</v>
      </c>
      <c r="W1017">
        <v>0</v>
      </c>
      <c r="X1017">
        <v>2</v>
      </c>
      <c r="Z1017">
        <v>0</v>
      </c>
      <c r="AA1017">
        <v>9</v>
      </c>
      <c r="AB1017">
        <v>3</v>
      </c>
      <c r="AC1017">
        <v>0</v>
      </c>
      <c r="AD1017">
        <v>10</v>
      </c>
      <c r="AE1017">
        <v>0</v>
      </c>
      <c r="AF1017">
        <v>3</v>
      </c>
      <c r="AG1017">
        <v>2</v>
      </c>
      <c r="AH1017">
        <v>0</v>
      </c>
      <c r="AI1017" t="s">
        <v>784</v>
      </c>
      <c r="AJ1017">
        <v>39.706414000000002</v>
      </c>
      <c r="AK1017" t="s">
        <v>785</v>
      </c>
      <c r="AL1017">
        <v>-92.527027000000004</v>
      </c>
      <c r="AM1017">
        <v>100</v>
      </c>
      <c r="AN1017">
        <v>1700</v>
      </c>
      <c r="AO1017" t="s">
        <v>118</v>
      </c>
      <c r="AP1017">
        <v>-32</v>
      </c>
      <c r="AQ1017">
        <v>123</v>
      </c>
      <c r="AR1017">
        <v>0</v>
      </c>
      <c r="AZ1017">
        <v>1200</v>
      </c>
      <c r="BA1017">
        <v>1</v>
      </c>
      <c r="BB1017" t="str">
        <f t="shared" si="48"/>
        <v xml:space="preserve">N8080G  </v>
      </c>
      <c r="BC1017">
        <v>1</v>
      </c>
      <c r="BE1017">
        <v>0</v>
      </c>
      <c r="BF1017">
        <v>0</v>
      </c>
      <c r="BG1017">
        <v>0</v>
      </c>
      <c r="BH1017">
        <v>1675</v>
      </c>
      <c r="BI1017">
        <v>1</v>
      </c>
      <c r="BJ1017">
        <v>1</v>
      </c>
      <c r="BK1017">
        <v>1</v>
      </c>
      <c r="BL1017">
        <v>0</v>
      </c>
      <c r="BO1017">
        <v>0</v>
      </c>
      <c r="BP1017">
        <v>0</v>
      </c>
      <c r="BW1017" t="str">
        <f>"20:17:32.111"</f>
        <v>20:17:32.111</v>
      </c>
      <c r="BZ1017">
        <v>0</v>
      </c>
      <c r="CA1017">
        <v>2016</v>
      </c>
      <c r="CB1017">
        <v>224</v>
      </c>
      <c r="CD1017">
        <v>1</v>
      </c>
      <c r="CE1017">
        <v>0</v>
      </c>
      <c r="CF1017">
        <v>0</v>
      </c>
      <c r="CG1017">
        <v>1</v>
      </c>
      <c r="CH1017">
        <v>0</v>
      </c>
      <c r="CI1017">
        <v>0</v>
      </c>
      <c r="CJ1017">
        <v>0</v>
      </c>
      <c r="CK1017">
        <v>2</v>
      </c>
      <c r="CL1017">
        <v>0</v>
      </c>
      <c r="CM1017">
        <v>2</v>
      </c>
      <c r="CN1017">
        <v>0</v>
      </c>
      <c r="CO1017">
        <v>7</v>
      </c>
      <c r="CP1017" t="s">
        <v>119</v>
      </c>
      <c r="CQ1017">
        <v>180</v>
      </c>
      <c r="CR1017">
        <v>2</v>
      </c>
      <c r="CW1017">
        <v>8042526</v>
      </c>
      <c r="CY1017">
        <v>1</v>
      </c>
      <c r="CZ1017">
        <v>0</v>
      </c>
      <c r="DA1017">
        <v>1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</row>
    <row r="1018" spans="1:113" x14ac:dyDescent="0.3">
      <c r="A1018" t="str">
        <f>"02/08/2021 20:17:29.777"</f>
        <v>02/08/2021 20:17:29.777</v>
      </c>
      <c r="C1018" t="str">
        <f t="shared" si="47"/>
        <v>FFDFD7C0</v>
      </c>
      <c r="D1018" t="s">
        <v>124</v>
      </c>
      <c r="E1018">
        <v>12</v>
      </c>
      <c r="F1018">
        <v>1012</v>
      </c>
      <c r="G1018" t="s">
        <v>675</v>
      </c>
      <c r="J1018" t="s">
        <v>125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>"20:17:32.109"</f>
        <v>20:17:32.109</v>
      </c>
      <c r="T1018" t="str">
        <f>"20:17:31.709"</f>
        <v>20:17:31.709</v>
      </c>
      <c r="U1018" t="str">
        <f t="shared" si="46"/>
        <v>AB01F4</v>
      </c>
      <c r="V1018">
        <v>0</v>
      </c>
      <c r="W1018">
        <v>0</v>
      </c>
      <c r="X1018">
        <v>2</v>
      </c>
      <c r="Z1018">
        <v>0</v>
      </c>
      <c r="AA1018">
        <v>9</v>
      </c>
      <c r="AB1018">
        <v>3</v>
      </c>
      <c r="AC1018">
        <v>0</v>
      </c>
      <c r="AD1018">
        <v>10</v>
      </c>
      <c r="AE1018">
        <v>0</v>
      </c>
      <c r="AF1018">
        <v>3</v>
      </c>
      <c r="AG1018">
        <v>2</v>
      </c>
      <c r="AH1018">
        <v>0</v>
      </c>
      <c r="AI1018" t="s">
        <v>784</v>
      </c>
      <c r="AJ1018">
        <v>39.706414000000002</v>
      </c>
      <c r="AK1018" t="s">
        <v>785</v>
      </c>
      <c r="AL1018">
        <v>-92.527027000000004</v>
      </c>
      <c r="AM1018">
        <v>100</v>
      </c>
      <c r="AN1018">
        <v>1700</v>
      </c>
      <c r="AO1018" t="s">
        <v>118</v>
      </c>
      <c r="AP1018">
        <v>-32</v>
      </c>
      <c r="AQ1018">
        <v>123</v>
      </c>
      <c r="AR1018">
        <v>0</v>
      </c>
      <c r="AZ1018">
        <v>1200</v>
      </c>
      <c r="BA1018">
        <v>1</v>
      </c>
      <c r="BB1018" t="str">
        <f t="shared" si="48"/>
        <v xml:space="preserve">N8080G  </v>
      </c>
      <c r="BC1018">
        <v>1</v>
      </c>
      <c r="BE1018">
        <v>0</v>
      </c>
      <c r="BF1018">
        <v>0</v>
      </c>
      <c r="BG1018">
        <v>0</v>
      </c>
      <c r="BH1018">
        <v>1675</v>
      </c>
      <c r="BI1018">
        <v>1</v>
      </c>
      <c r="BJ1018">
        <v>1</v>
      </c>
      <c r="BK1018">
        <v>1</v>
      </c>
      <c r="BL1018">
        <v>0</v>
      </c>
      <c r="BO1018">
        <v>0</v>
      </c>
      <c r="BP1018">
        <v>0</v>
      </c>
      <c r="BW1018" t="str">
        <f>"20:17:32.111"</f>
        <v>20:17:32.111</v>
      </c>
      <c r="BZ1018">
        <v>0</v>
      </c>
      <c r="CA1018">
        <v>2016</v>
      </c>
      <c r="CB1018">
        <v>224</v>
      </c>
      <c r="CD1018">
        <v>1</v>
      </c>
      <c r="CE1018">
        <v>0</v>
      </c>
      <c r="CF1018">
        <v>0</v>
      </c>
      <c r="CG1018">
        <v>1</v>
      </c>
      <c r="CH1018">
        <v>0</v>
      </c>
      <c r="CI1018">
        <v>0</v>
      </c>
      <c r="CJ1018">
        <v>0</v>
      </c>
      <c r="CK1018">
        <v>2</v>
      </c>
      <c r="CL1018">
        <v>0</v>
      </c>
      <c r="CM1018">
        <v>2</v>
      </c>
      <c r="CN1018">
        <v>0</v>
      </c>
      <c r="CO1018">
        <v>7</v>
      </c>
      <c r="CP1018" t="s">
        <v>119</v>
      </c>
      <c r="CQ1018">
        <v>180</v>
      </c>
      <c r="CR1018">
        <v>2</v>
      </c>
      <c r="CW1018">
        <v>8042526</v>
      </c>
      <c r="CY1018">
        <v>1</v>
      </c>
      <c r="CZ1018">
        <v>0</v>
      </c>
      <c r="DA1018">
        <v>1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</row>
    <row r="1019" spans="1:113" x14ac:dyDescent="0.3">
      <c r="A1019" t="str">
        <f>"02/08/2021 20:17:30.845"</f>
        <v>02/08/2021 20:17:30.845</v>
      </c>
      <c r="C1019" t="str">
        <f t="shared" si="47"/>
        <v>FFDFD7C0</v>
      </c>
      <c r="D1019" t="s">
        <v>113</v>
      </c>
      <c r="E1019">
        <v>6</v>
      </c>
      <c r="H1019">
        <v>165</v>
      </c>
      <c r="I1019" t="s">
        <v>114</v>
      </c>
      <c r="J1019" t="s">
        <v>115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>"20:17:33.195"</f>
        <v>20:17:33.195</v>
      </c>
      <c r="T1019" t="str">
        <f>"20:17:32.695"</f>
        <v>20:17:32.695</v>
      </c>
      <c r="U1019" t="str">
        <f t="shared" si="46"/>
        <v>AB01F4</v>
      </c>
      <c r="V1019">
        <v>0</v>
      </c>
      <c r="W1019">
        <v>0</v>
      </c>
      <c r="X1019">
        <v>2</v>
      </c>
      <c r="Z1019">
        <v>0</v>
      </c>
      <c r="AA1019">
        <v>9</v>
      </c>
      <c r="AB1019">
        <v>3</v>
      </c>
      <c r="AC1019">
        <v>0</v>
      </c>
      <c r="AD1019">
        <v>10</v>
      </c>
      <c r="AE1019">
        <v>0</v>
      </c>
      <c r="AF1019">
        <v>3</v>
      </c>
      <c r="AG1019">
        <v>2</v>
      </c>
      <c r="AH1019">
        <v>0</v>
      </c>
      <c r="AI1019" t="s">
        <v>786</v>
      </c>
      <c r="AJ1019">
        <v>39.706972</v>
      </c>
      <c r="AK1019" t="s">
        <v>787</v>
      </c>
      <c r="AL1019">
        <v>-92.52722</v>
      </c>
      <c r="AM1019">
        <v>100</v>
      </c>
      <c r="AN1019">
        <v>1700</v>
      </c>
      <c r="AO1019" t="s">
        <v>118</v>
      </c>
      <c r="AP1019">
        <v>-32</v>
      </c>
      <c r="AQ1019">
        <v>123</v>
      </c>
      <c r="AR1019">
        <v>0</v>
      </c>
      <c r="AZ1019">
        <v>1200</v>
      </c>
      <c r="BA1019">
        <v>1</v>
      </c>
      <c r="BB1019" t="str">
        <f t="shared" si="48"/>
        <v xml:space="preserve">N8080G  </v>
      </c>
      <c r="BC1019">
        <v>1</v>
      </c>
      <c r="BE1019">
        <v>0</v>
      </c>
      <c r="BF1019">
        <v>0</v>
      </c>
      <c r="BG1019">
        <v>0</v>
      </c>
      <c r="BH1019">
        <v>1675</v>
      </c>
      <c r="BI1019">
        <v>1</v>
      </c>
      <c r="BJ1019">
        <v>1</v>
      </c>
      <c r="BK1019">
        <v>1</v>
      </c>
      <c r="BL1019">
        <v>0</v>
      </c>
      <c r="BO1019">
        <v>0</v>
      </c>
      <c r="BP1019">
        <v>0</v>
      </c>
      <c r="BW1019" t="str">
        <f>"20:17:33.196"</f>
        <v>20:17:33.196</v>
      </c>
      <c r="BZ1019">
        <v>0</v>
      </c>
      <c r="CA1019">
        <v>2016</v>
      </c>
      <c r="CB1019">
        <v>224</v>
      </c>
      <c r="CD1019">
        <v>1</v>
      </c>
      <c r="CE1019">
        <v>0</v>
      </c>
      <c r="CF1019">
        <v>0</v>
      </c>
      <c r="CG1019">
        <v>1</v>
      </c>
      <c r="CH1019">
        <v>0</v>
      </c>
      <c r="CI1019">
        <v>0</v>
      </c>
      <c r="CJ1019">
        <v>0</v>
      </c>
      <c r="CK1019">
        <v>2</v>
      </c>
      <c r="CL1019">
        <v>0</v>
      </c>
      <c r="CM1019">
        <v>2</v>
      </c>
      <c r="CN1019">
        <v>0</v>
      </c>
      <c r="CO1019">
        <v>7</v>
      </c>
      <c r="CP1019" t="s">
        <v>119</v>
      </c>
      <c r="CQ1019">
        <v>180</v>
      </c>
      <c r="CR1019">
        <v>2</v>
      </c>
      <c r="CW1019">
        <v>8043473</v>
      </c>
      <c r="CY1019">
        <v>1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</row>
    <row r="1020" spans="1:113" x14ac:dyDescent="0.3">
      <c r="A1020" t="str">
        <f>"02/08/2021 20:17:30.845"</f>
        <v>02/08/2021 20:17:30.845</v>
      </c>
      <c r="C1020" t="str">
        <f t="shared" si="47"/>
        <v>FFDFD7C0</v>
      </c>
      <c r="D1020" t="s">
        <v>124</v>
      </c>
      <c r="E1020">
        <v>13</v>
      </c>
      <c r="F1020">
        <v>1013</v>
      </c>
      <c r="G1020" t="s">
        <v>114</v>
      </c>
      <c r="J1020" t="s">
        <v>125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>"20:17:33.195"</f>
        <v>20:17:33.195</v>
      </c>
      <c r="T1020" t="str">
        <f>"20:17:32.695"</f>
        <v>20:17:32.695</v>
      </c>
      <c r="U1020" t="str">
        <f t="shared" si="46"/>
        <v>AB01F4</v>
      </c>
      <c r="V1020">
        <v>0</v>
      </c>
      <c r="W1020">
        <v>0</v>
      </c>
      <c r="X1020">
        <v>2</v>
      </c>
      <c r="Z1020">
        <v>0</v>
      </c>
      <c r="AA1020">
        <v>9</v>
      </c>
      <c r="AB1020">
        <v>3</v>
      </c>
      <c r="AC1020">
        <v>0</v>
      </c>
      <c r="AD1020">
        <v>10</v>
      </c>
      <c r="AE1020">
        <v>0</v>
      </c>
      <c r="AF1020">
        <v>3</v>
      </c>
      <c r="AG1020">
        <v>2</v>
      </c>
      <c r="AH1020">
        <v>0</v>
      </c>
      <c r="AI1020" t="s">
        <v>786</v>
      </c>
      <c r="AJ1020">
        <v>39.706972</v>
      </c>
      <c r="AK1020" t="s">
        <v>787</v>
      </c>
      <c r="AL1020">
        <v>-92.52722</v>
      </c>
      <c r="AM1020">
        <v>100</v>
      </c>
      <c r="AN1020">
        <v>1700</v>
      </c>
      <c r="AO1020" t="s">
        <v>118</v>
      </c>
      <c r="AP1020">
        <v>-32</v>
      </c>
      <c r="AQ1020">
        <v>123</v>
      </c>
      <c r="AR1020">
        <v>0</v>
      </c>
      <c r="AZ1020">
        <v>1200</v>
      </c>
      <c r="BA1020">
        <v>1</v>
      </c>
      <c r="BB1020" t="str">
        <f t="shared" si="48"/>
        <v xml:space="preserve">N8080G  </v>
      </c>
      <c r="BC1020">
        <v>1</v>
      </c>
      <c r="BE1020">
        <v>0</v>
      </c>
      <c r="BF1020">
        <v>0</v>
      </c>
      <c r="BG1020">
        <v>0</v>
      </c>
      <c r="BH1020">
        <v>1675</v>
      </c>
      <c r="BI1020">
        <v>1</v>
      </c>
      <c r="BJ1020">
        <v>1</v>
      </c>
      <c r="BK1020">
        <v>1</v>
      </c>
      <c r="BL1020">
        <v>0</v>
      </c>
      <c r="BO1020">
        <v>0</v>
      </c>
      <c r="BP1020">
        <v>0</v>
      </c>
      <c r="BW1020" t="str">
        <f>"20:17:33.196"</f>
        <v>20:17:33.196</v>
      </c>
      <c r="BZ1020">
        <v>0</v>
      </c>
      <c r="CA1020">
        <v>2016</v>
      </c>
      <c r="CB1020">
        <v>224</v>
      </c>
      <c r="CD1020">
        <v>1</v>
      </c>
      <c r="CE1020">
        <v>0</v>
      </c>
      <c r="CF1020">
        <v>0</v>
      </c>
      <c r="CG1020">
        <v>1</v>
      </c>
      <c r="CH1020">
        <v>0</v>
      </c>
      <c r="CI1020">
        <v>0</v>
      </c>
      <c r="CJ1020">
        <v>0</v>
      </c>
      <c r="CK1020">
        <v>2</v>
      </c>
      <c r="CL1020">
        <v>0</v>
      </c>
      <c r="CM1020">
        <v>2</v>
      </c>
      <c r="CN1020">
        <v>0</v>
      </c>
      <c r="CO1020">
        <v>7</v>
      </c>
      <c r="CP1020" t="s">
        <v>119</v>
      </c>
      <c r="CQ1020">
        <v>180</v>
      </c>
      <c r="CR1020">
        <v>2</v>
      </c>
      <c r="CW1020">
        <v>8043473</v>
      </c>
      <c r="CY1020">
        <v>1</v>
      </c>
      <c r="CZ1020">
        <v>0</v>
      </c>
      <c r="DA1020">
        <v>1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</row>
    <row r="1021" spans="1:113" x14ac:dyDescent="0.3">
      <c r="A1021" t="str">
        <f>"02/08/2021 20:17:30.845"</f>
        <v>02/08/2021 20:17:30.845</v>
      </c>
      <c r="C1021" t="str">
        <f t="shared" si="47"/>
        <v>FFDFD7C0</v>
      </c>
      <c r="D1021" t="s">
        <v>124</v>
      </c>
      <c r="E1021">
        <v>12</v>
      </c>
      <c r="F1021">
        <v>1012</v>
      </c>
      <c r="G1021" t="s">
        <v>675</v>
      </c>
      <c r="J1021" t="s">
        <v>125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>"20:17:33.195"</f>
        <v>20:17:33.195</v>
      </c>
      <c r="T1021" t="str">
        <f>"20:17:32.695"</f>
        <v>20:17:32.695</v>
      </c>
      <c r="U1021" t="str">
        <f t="shared" si="46"/>
        <v>AB01F4</v>
      </c>
      <c r="V1021">
        <v>0</v>
      </c>
      <c r="W1021">
        <v>0</v>
      </c>
      <c r="X1021">
        <v>2</v>
      </c>
      <c r="Z1021">
        <v>0</v>
      </c>
      <c r="AA1021">
        <v>9</v>
      </c>
      <c r="AB1021">
        <v>3</v>
      </c>
      <c r="AC1021">
        <v>0</v>
      </c>
      <c r="AD1021">
        <v>10</v>
      </c>
      <c r="AE1021">
        <v>0</v>
      </c>
      <c r="AF1021">
        <v>3</v>
      </c>
      <c r="AG1021">
        <v>2</v>
      </c>
      <c r="AH1021">
        <v>0</v>
      </c>
      <c r="AI1021" t="s">
        <v>786</v>
      </c>
      <c r="AJ1021">
        <v>39.706972</v>
      </c>
      <c r="AK1021" t="s">
        <v>787</v>
      </c>
      <c r="AL1021">
        <v>-92.52722</v>
      </c>
      <c r="AM1021">
        <v>100</v>
      </c>
      <c r="AN1021">
        <v>1700</v>
      </c>
      <c r="AO1021" t="s">
        <v>118</v>
      </c>
      <c r="AP1021">
        <v>-32</v>
      </c>
      <c r="AQ1021">
        <v>123</v>
      </c>
      <c r="AR1021">
        <v>0</v>
      </c>
      <c r="AZ1021">
        <v>1200</v>
      </c>
      <c r="BA1021">
        <v>1</v>
      </c>
      <c r="BB1021" t="str">
        <f t="shared" si="48"/>
        <v xml:space="preserve">N8080G  </v>
      </c>
      <c r="BC1021">
        <v>1</v>
      </c>
      <c r="BE1021">
        <v>0</v>
      </c>
      <c r="BF1021">
        <v>0</v>
      </c>
      <c r="BG1021">
        <v>0</v>
      </c>
      <c r="BH1021">
        <v>1675</v>
      </c>
      <c r="BI1021">
        <v>1</v>
      </c>
      <c r="BJ1021">
        <v>1</v>
      </c>
      <c r="BK1021">
        <v>1</v>
      </c>
      <c r="BL1021">
        <v>0</v>
      </c>
      <c r="BO1021">
        <v>0</v>
      </c>
      <c r="BP1021">
        <v>0</v>
      </c>
      <c r="BW1021" t="str">
        <f>"20:17:33.196"</f>
        <v>20:17:33.196</v>
      </c>
      <c r="BZ1021">
        <v>0</v>
      </c>
      <c r="CA1021">
        <v>2016</v>
      </c>
      <c r="CB1021">
        <v>224</v>
      </c>
      <c r="CD1021">
        <v>1</v>
      </c>
      <c r="CE1021">
        <v>0</v>
      </c>
      <c r="CF1021">
        <v>0</v>
      </c>
      <c r="CG1021">
        <v>1</v>
      </c>
      <c r="CH1021">
        <v>0</v>
      </c>
      <c r="CI1021">
        <v>0</v>
      </c>
      <c r="CJ1021">
        <v>0</v>
      </c>
      <c r="CK1021">
        <v>2</v>
      </c>
      <c r="CL1021">
        <v>0</v>
      </c>
      <c r="CM1021">
        <v>2</v>
      </c>
      <c r="CN1021">
        <v>0</v>
      </c>
      <c r="CO1021">
        <v>7</v>
      </c>
      <c r="CP1021" t="s">
        <v>119</v>
      </c>
      <c r="CQ1021">
        <v>180</v>
      </c>
      <c r="CR1021">
        <v>2</v>
      </c>
      <c r="CW1021">
        <v>8043473</v>
      </c>
      <c r="CY1021">
        <v>1</v>
      </c>
      <c r="CZ1021">
        <v>0</v>
      </c>
      <c r="DA1021">
        <v>1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</row>
    <row r="1022" spans="1:113" x14ac:dyDescent="0.3">
      <c r="A1022" t="str">
        <f>"02/08/2021 20:17:30.845"</f>
        <v>02/08/2021 20:17:30.845</v>
      </c>
      <c r="C1022" t="str">
        <f t="shared" si="47"/>
        <v>FFDFD7C0</v>
      </c>
      <c r="D1022" t="s">
        <v>124</v>
      </c>
      <c r="E1022">
        <v>11</v>
      </c>
      <c r="F1022">
        <v>1011</v>
      </c>
      <c r="G1022" t="s">
        <v>590</v>
      </c>
      <c r="J1022" t="s">
        <v>125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>"20:17:33.195"</f>
        <v>20:17:33.195</v>
      </c>
      <c r="T1022" t="str">
        <f>"20:17:32.695"</f>
        <v>20:17:32.695</v>
      </c>
      <c r="U1022" t="str">
        <f t="shared" si="46"/>
        <v>AB01F4</v>
      </c>
      <c r="V1022">
        <v>0</v>
      </c>
      <c r="W1022">
        <v>0</v>
      </c>
      <c r="X1022">
        <v>2</v>
      </c>
      <c r="Z1022">
        <v>0</v>
      </c>
      <c r="AA1022">
        <v>9</v>
      </c>
      <c r="AB1022">
        <v>3</v>
      </c>
      <c r="AC1022">
        <v>0</v>
      </c>
      <c r="AD1022">
        <v>10</v>
      </c>
      <c r="AE1022">
        <v>0</v>
      </c>
      <c r="AF1022">
        <v>3</v>
      </c>
      <c r="AG1022">
        <v>2</v>
      </c>
      <c r="AH1022">
        <v>0</v>
      </c>
      <c r="AI1022" t="s">
        <v>786</v>
      </c>
      <c r="AJ1022">
        <v>39.706972</v>
      </c>
      <c r="AK1022" t="s">
        <v>787</v>
      </c>
      <c r="AL1022">
        <v>-92.52722</v>
      </c>
      <c r="AM1022">
        <v>100</v>
      </c>
      <c r="AN1022">
        <v>1700</v>
      </c>
      <c r="AO1022" t="s">
        <v>118</v>
      </c>
      <c r="AP1022">
        <v>-32</v>
      </c>
      <c r="AQ1022">
        <v>123</v>
      </c>
      <c r="AR1022">
        <v>0</v>
      </c>
      <c r="AZ1022">
        <v>1200</v>
      </c>
      <c r="BA1022">
        <v>1</v>
      </c>
      <c r="BB1022" t="str">
        <f t="shared" si="48"/>
        <v xml:space="preserve">N8080G  </v>
      </c>
      <c r="BC1022">
        <v>1</v>
      </c>
      <c r="BE1022">
        <v>0</v>
      </c>
      <c r="BF1022">
        <v>0</v>
      </c>
      <c r="BG1022">
        <v>0</v>
      </c>
      <c r="BH1022">
        <v>1675</v>
      </c>
      <c r="BI1022">
        <v>1</v>
      </c>
      <c r="BJ1022">
        <v>1</v>
      </c>
      <c r="BK1022">
        <v>1</v>
      </c>
      <c r="BL1022">
        <v>0</v>
      </c>
      <c r="BO1022">
        <v>0</v>
      </c>
      <c r="BP1022">
        <v>0</v>
      </c>
      <c r="BW1022" t="str">
        <f>"20:17:33.196"</f>
        <v>20:17:33.196</v>
      </c>
      <c r="BZ1022">
        <v>0</v>
      </c>
      <c r="CA1022">
        <v>2016</v>
      </c>
      <c r="CB1022">
        <v>224</v>
      </c>
      <c r="CD1022">
        <v>1</v>
      </c>
      <c r="CE1022">
        <v>0</v>
      </c>
      <c r="CF1022">
        <v>0</v>
      </c>
      <c r="CG1022">
        <v>1</v>
      </c>
      <c r="CH1022">
        <v>0</v>
      </c>
      <c r="CI1022">
        <v>0</v>
      </c>
      <c r="CJ1022">
        <v>0</v>
      </c>
      <c r="CK1022">
        <v>2</v>
      </c>
      <c r="CL1022">
        <v>0</v>
      </c>
      <c r="CM1022">
        <v>2</v>
      </c>
      <c r="CN1022">
        <v>0</v>
      </c>
      <c r="CO1022">
        <v>7</v>
      </c>
      <c r="CP1022" t="s">
        <v>119</v>
      </c>
      <c r="CQ1022">
        <v>180</v>
      </c>
      <c r="CR1022">
        <v>2</v>
      </c>
      <c r="CW1022">
        <v>8043473</v>
      </c>
      <c r="CY1022">
        <v>1</v>
      </c>
      <c r="CZ1022">
        <v>0</v>
      </c>
      <c r="DA1022">
        <v>1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</row>
    <row r="1023" spans="1:113" x14ac:dyDescent="0.3">
      <c r="A1023" t="str">
        <f>"02/08/2021 20:17:33.809"</f>
        <v>02/08/2021 20:17:33.809</v>
      </c>
      <c r="C1023" t="str">
        <f t="shared" si="47"/>
        <v>FFDFD7C0</v>
      </c>
      <c r="D1023" t="s">
        <v>124</v>
      </c>
      <c r="E1023">
        <v>11</v>
      </c>
      <c r="F1023">
        <v>1011</v>
      </c>
      <c r="G1023" t="s">
        <v>590</v>
      </c>
      <c r="J1023" t="s">
        <v>125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>"20:17:36.102"</f>
        <v>20:17:36.102</v>
      </c>
      <c r="T1023" t="str">
        <f>"20:17:35.602"</f>
        <v>20:17:35.602</v>
      </c>
      <c r="U1023" t="str">
        <f t="shared" si="46"/>
        <v>AB01F4</v>
      </c>
      <c r="V1023">
        <v>0</v>
      </c>
      <c r="W1023">
        <v>0</v>
      </c>
      <c r="X1023">
        <v>2</v>
      </c>
      <c r="Z1023">
        <v>0</v>
      </c>
      <c r="AA1023">
        <v>9</v>
      </c>
      <c r="AB1023">
        <v>3</v>
      </c>
      <c r="AC1023">
        <v>0</v>
      </c>
      <c r="AD1023">
        <v>10</v>
      </c>
      <c r="AE1023">
        <v>0</v>
      </c>
      <c r="AF1023">
        <v>3</v>
      </c>
      <c r="AG1023">
        <v>2</v>
      </c>
      <c r="AH1023">
        <v>0</v>
      </c>
      <c r="AI1023" t="s">
        <v>788</v>
      </c>
      <c r="AJ1023">
        <v>39.708644999999997</v>
      </c>
      <c r="AK1023" t="s">
        <v>789</v>
      </c>
      <c r="AL1023">
        <v>-92.527777999999998</v>
      </c>
      <c r="AM1023">
        <v>100</v>
      </c>
      <c r="AN1023">
        <v>1700</v>
      </c>
      <c r="AO1023" t="s">
        <v>118</v>
      </c>
      <c r="AP1023">
        <v>-31</v>
      </c>
      <c r="AQ1023">
        <v>123</v>
      </c>
      <c r="AR1023">
        <v>0</v>
      </c>
      <c r="AZ1023">
        <v>1200</v>
      </c>
      <c r="BA1023">
        <v>1</v>
      </c>
      <c r="BB1023" t="str">
        <f t="shared" si="48"/>
        <v xml:space="preserve">N8080G  </v>
      </c>
      <c r="BC1023">
        <v>1</v>
      </c>
      <c r="BE1023">
        <v>0</v>
      </c>
      <c r="BF1023">
        <v>0</v>
      </c>
      <c r="BG1023">
        <v>0</v>
      </c>
      <c r="BH1023">
        <v>1675</v>
      </c>
      <c r="BI1023">
        <v>1</v>
      </c>
      <c r="BJ1023">
        <v>1</v>
      </c>
      <c r="BK1023">
        <v>1</v>
      </c>
      <c r="BL1023">
        <v>0</v>
      </c>
      <c r="BO1023">
        <v>0</v>
      </c>
      <c r="BP1023">
        <v>0</v>
      </c>
      <c r="BW1023" t="str">
        <f>"20:17:36.107"</f>
        <v>20:17:36.107</v>
      </c>
      <c r="BZ1023">
        <v>0</v>
      </c>
      <c r="CA1023">
        <v>2016</v>
      </c>
      <c r="CB1023">
        <v>224</v>
      </c>
      <c r="CD1023">
        <v>1</v>
      </c>
      <c r="CE1023">
        <v>0</v>
      </c>
      <c r="CF1023">
        <v>0</v>
      </c>
      <c r="CG1023">
        <v>1</v>
      </c>
      <c r="CH1023">
        <v>0</v>
      </c>
      <c r="CI1023">
        <v>0</v>
      </c>
      <c r="CJ1023">
        <v>0</v>
      </c>
      <c r="CK1023">
        <v>2</v>
      </c>
      <c r="CL1023">
        <v>0</v>
      </c>
      <c r="CM1023">
        <v>2</v>
      </c>
      <c r="CN1023">
        <v>0</v>
      </c>
      <c r="CO1023">
        <v>7</v>
      </c>
      <c r="CP1023" t="s">
        <v>119</v>
      </c>
      <c r="CQ1023">
        <v>180</v>
      </c>
      <c r="CR1023">
        <v>2</v>
      </c>
      <c r="CW1023">
        <v>8045818</v>
      </c>
      <c r="CY1023">
        <v>1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</row>
    <row r="1024" spans="1:113" x14ac:dyDescent="0.3">
      <c r="A1024" t="str">
        <f>"02/08/2021 20:17:33.809"</f>
        <v>02/08/2021 20:17:33.809</v>
      </c>
      <c r="C1024" t="str">
        <f t="shared" si="47"/>
        <v>FFDFD7C0</v>
      </c>
      <c r="D1024" t="s">
        <v>124</v>
      </c>
      <c r="E1024">
        <v>13</v>
      </c>
      <c r="F1024">
        <v>1013</v>
      </c>
      <c r="G1024" t="s">
        <v>114</v>
      </c>
      <c r="J1024" t="s">
        <v>125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>"20:17:36.102"</f>
        <v>20:17:36.102</v>
      </c>
      <c r="T1024" t="str">
        <f>"20:17:35.602"</f>
        <v>20:17:35.602</v>
      </c>
      <c r="U1024" t="str">
        <f t="shared" si="46"/>
        <v>AB01F4</v>
      </c>
      <c r="V1024">
        <v>0</v>
      </c>
      <c r="W1024">
        <v>0</v>
      </c>
      <c r="X1024">
        <v>2</v>
      </c>
      <c r="Z1024">
        <v>0</v>
      </c>
      <c r="AA1024">
        <v>9</v>
      </c>
      <c r="AB1024">
        <v>3</v>
      </c>
      <c r="AC1024">
        <v>0</v>
      </c>
      <c r="AD1024">
        <v>10</v>
      </c>
      <c r="AE1024">
        <v>0</v>
      </c>
      <c r="AF1024">
        <v>3</v>
      </c>
      <c r="AG1024">
        <v>2</v>
      </c>
      <c r="AH1024">
        <v>0</v>
      </c>
      <c r="AI1024" t="s">
        <v>788</v>
      </c>
      <c r="AJ1024">
        <v>39.708644999999997</v>
      </c>
      <c r="AK1024" t="s">
        <v>789</v>
      </c>
      <c r="AL1024">
        <v>-92.527777999999998</v>
      </c>
      <c r="AM1024">
        <v>100</v>
      </c>
      <c r="AN1024">
        <v>1700</v>
      </c>
      <c r="AO1024" t="s">
        <v>118</v>
      </c>
      <c r="AP1024">
        <v>-31</v>
      </c>
      <c r="AQ1024">
        <v>123</v>
      </c>
      <c r="AR1024">
        <v>0</v>
      </c>
      <c r="AZ1024">
        <v>1200</v>
      </c>
      <c r="BA1024">
        <v>1</v>
      </c>
      <c r="BB1024" t="str">
        <f t="shared" si="48"/>
        <v xml:space="preserve">N8080G  </v>
      </c>
      <c r="BC1024">
        <v>1</v>
      </c>
      <c r="BE1024">
        <v>0</v>
      </c>
      <c r="BF1024">
        <v>0</v>
      </c>
      <c r="BG1024">
        <v>0</v>
      </c>
      <c r="BH1024">
        <v>1675</v>
      </c>
      <c r="BI1024">
        <v>1</v>
      </c>
      <c r="BJ1024">
        <v>1</v>
      </c>
      <c r="BK1024">
        <v>1</v>
      </c>
      <c r="BL1024">
        <v>0</v>
      </c>
      <c r="BO1024">
        <v>0</v>
      </c>
      <c r="BP1024">
        <v>0</v>
      </c>
      <c r="BW1024" t="str">
        <f>"20:17:36.107"</f>
        <v>20:17:36.107</v>
      </c>
      <c r="BZ1024">
        <v>0</v>
      </c>
      <c r="CA1024">
        <v>2016</v>
      </c>
      <c r="CB1024">
        <v>224</v>
      </c>
      <c r="CD1024">
        <v>1</v>
      </c>
      <c r="CE1024">
        <v>0</v>
      </c>
      <c r="CF1024">
        <v>0</v>
      </c>
      <c r="CG1024">
        <v>1</v>
      </c>
      <c r="CH1024">
        <v>0</v>
      </c>
      <c r="CI1024">
        <v>0</v>
      </c>
      <c r="CJ1024">
        <v>0</v>
      </c>
      <c r="CK1024">
        <v>2</v>
      </c>
      <c r="CL1024">
        <v>0</v>
      </c>
      <c r="CM1024">
        <v>2</v>
      </c>
      <c r="CN1024">
        <v>0</v>
      </c>
      <c r="CO1024">
        <v>7</v>
      </c>
      <c r="CP1024" t="s">
        <v>119</v>
      </c>
      <c r="CQ1024">
        <v>180</v>
      </c>
      <c r="CR1024">
        <v>2</v>
      </c>
      <c r="CW1024">
        <v>8045818</v>
      </c>
      <c r="CY1024">
        <v>1</v>
      </c>
      <c r="CZ1024">
        <v>0</v>
      </c>
      <c r="DA1024">
        <v>1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</row>
    <row r="1025" spans="1:113" x14ac:dyDescent="0.3">
      <c r="A1025" t="str">
        <f>"02/08/2021 20:17:33.809"</f>
        <v>02/08/2021 20:17:33.809</v>
      </c>
      <c r="C1025" t="str">
        <f t="shared" si="47"/>
        <v>FFDFD7C0</v>
      </c>
      <c r="D1025" t="s">
        <v>124</v>
      </c>
      <c r="E1025">
        <v>12</v>
      </c>
      <c r="F1025">
        <v>1012</v>
      </c>
      <c r="G1025" t="s">
        <v>675</v>
      </c>
      <c r="J1025" t="s">
        <v>125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>"20:17:36.102"</f>
        <v>20:17:36.102</v>
      </c>
      <c r="T1025" t="str">
        <f>"20:17:35.602"</f>
        <v>20:17:35.602</v>
      </c>
      <c r="U1025" t="str">
        <f t="shared" si="46"/>
        <v>AB01F4</v>
      </c>
      <c r="V1025">
        <v>0</v>
      </c>
      <c r="W1025">
        <v>0</v>
      </c>
      <c r="X1025">
        <v>2</v>
      </c>
      <c r="Z1025">
        <v>0</v>
      </c>
      <c r="AA1025">
        <v>9</v>
      </c>
      <c r="AB1025">
        <v>3</v>
      </c>
      <c r="AC1025">
        <v>0</v>
      </c>
      <c r="AD1025">
        <v>10</v>
      </c>
      <c r="AE1025">
        <v>0</v>
      </c>
      <c r="AF1025">
        <v>3</v>
      </c>
      <c r="AG1025">
        <v>2</v>
      </c>
      <c r="AH1025">
        <v>0</v>
      </c>
      <c r="AI1025" t="s">
        <v>788</v>
      </c>
      <c r="AJ1025">
        <v>39.708644999999997</v>
      </c>
      <c r="AK1025" t="s">
        <v>789</v>
      </c>
      <c r="AL1025">
        <v>-92.527777999999998</v>
      </c>
      <c r="AM1025">
        <v>100</v>
      </c>
      <c r="AN1025">
        <v>1700</v>
      </c>
      <c r="AO1025" t="s">
        <v>118</v>
      </c>
      <c r="AP1025">
        <v>-31</v>
      </c>
      <c r="AQ1025">
        <v>123</v>
      </c>
      <c r="AR1025">
        <v>0</v>
      </c>
      <c r="AZ1025">
        <v>1200</v>
      </c>
      <c r="BA1025">
        <v>1</v>
      </c>
      <c r="BB1025" t="str">
        <f t="shared" si="48"/>
        <v xml:space="preserve">N8080G  </v>
      </c>
      <c r="BC1025">
        <v>1</v>
      </c>
      <c r="BE1025">
        <v>0</v>
      </c>
      <c r="BF1025">
        <v>0</v>
      </c>
      <c r="BG1025">
        <v>0</v>
      </c>
      <c r="BH1025">
        <v>1675</v>
      </c>
      <c r="BI1025">
        <v>1</v>
      </c>
      <c r="BJ1025">
        <v>1</v>
      </c>
      <c r="BK1025">
        <v>1</v>
      </c>
      <c r="BL1025">
        <v>0</v>
      </c>
      <c r="BO1025">
        <v>0</v>
      </c>
      <c r="BP1025">
        <v>0</v>
      </c>
      <c r="BW1025" t="str">
        <f>"20:17:36.107"</f>
        <v>20:17:36.107</v>
      </c>
      <c r="BZ1025">
        <v>0</v>
      </c>
      <c r="CA1025">
        <v>2016</v>
      </c>
      <c r="CB1025">
        <v>224</v>
      </c>
      <c r="CD1025">
        <v>1</v>
      </c>
      <c r="CE1025">
        <v>0</v>
      </c>
      <c r="CF1025">
        <v>0</v>
      </c>
      <c r="CG1025">
        <v>1</v>
      </c>
      <c r="CH1025">
        <v>0</v>
      </c>
      <c r="CI1025">
        <v>0</v>
      </c>
      <c r="CJ1025">
        <v>0</v>
      </c>
      <c r="CK1025">
        <v>2</v>
      </c>
      <c r="CL1025">
        <v>0</v>
      </c>
      <c r="CM1025">
        <v>2</v>
      </c>
      <c r="CN1025">
        <v>0</v>
      </c>
      <c r="CO1025">
        <v>7</v>
      </c>
      <c r="CP1025" t="s">
        <v>119</v>
      </c>
      <c r="CQ1025">
        <v>180</v>
      </c>
      <c r="CR1025">
        <v>2</v>
      </c>
      <c r="CW1025">
        <v>8045818</v>
      </c>
      <c r="CY1025">
        <v>1</v>
      </c>
      <c r="CZ1025">
        <v>0</v>
      </c>
      <c r="DA1025">
        <v>1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</row>
    <row r="1026" spans="1:113" x14ac:dyDescent="0.3">
      <c r="A1026" t="str">
        <f>"02/08/2021 20:17:33.809"</f>
        <v>02/08/2021 20:17:33.809</v>
      </c>
      <c r="C1026" t="str">
        <f t="shared" si="47"/>
        <v>FFDFD7C0</v>
      </c>
      <c r="D1026" t="s">
        <v>113</v>
      </c>
      <c r="E1026">
        <v>6</v>
      </c>
      <c r="H1026">
        <v>165</v>
      </c>
      <c r="I1026" t="s">
        <v>114</v>
      </c>
      <c r="J1026" t="s">
        <v>115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>"20:17:36.102"</f>
        <v>20:17:36.102</v>
      </c>
      <c r="T1026" t="str">
        <f>"20:17:35.602"</f>
        <v>20:17:35.602</v>
      </c>
      <c r="U1026" t="str">
        <f t="shared" ref="U1026:U1089" si="49">"AB01F4"</f>
        <v>AB01F4</v>
      </c>
      <c r="V1026">
        <v>0</v>
      </c>
      <c r="W1026">
        <v>0</v>
      </c>
      <c r="X1026">
        <v>2</v>
      </c>
      <c r="Z1026">
        <v>0</v>
      </c>
      <c r="AA1026">
        <v>9</v>
      </c>
      <c r="AB1026">
        <v>3</v>
      </c>
      <c r="AC1026">
        <v>0</v>
      </c>
      <c r="AD1026">
        <v>10</v>
      </c>
      <c r="AE1026">
        <v>0</v>
      </c>
      <c r="AF1026">
        <v>3</v>
      </c>
      <c r="AG1026">
        <v>2</v>
      </c>
      <c r="AH1026">
        <v>0</v>
      </c>
      <c r="AI1026" t="s">
        <v>788</v>
      </c>
      <c r="AJ1026">
        <v>39.708644999999997</v>
      </c>
      <c r="AK1026" t="s">
        <v>789</v>
      </c>
      <c r="AL1026">
        <v>-92.527777999999998</v>
      </c>
      <c r="AM1026">
        <v>100</v>
      </c>
      <c r="AN1026">
        <v>1700</v>
      </c>
      <c r="AO1026" t="s">
        <v>118</v>
      </c>
      <c r="AP1026">
        <v>-31</v>
      </c>
      <c r="AQ1026">
        <v>123</v>
      </c>
      <c r="AR1026">
        <v>0</v>
      </c>
      <c r="AZ1026">
        <v>1200</v>
      </c>
      <c r="BA1026">
        <v>1</v>
      </c>
      <c r="BB1026" t="str">
        <f t="shared" si="48"/>
        <v xml:space="preserve">N8080G  </v>
      </c>
      <c r="BC1026">
        <v>1</v>
      </c>
      <c r="BE1026">
        <v>0</v>
      </c>
      <c r="BF1026">
        <v>0</v>
      </c>
      <c r="BG1026">
        <v>0</v>
      </c>
      <c r="BH1026">
        <v>1675</v>
      </c>
      <c r="BI1026">
        <v>1</v>
      </c>
      <c r="BJ1026">
        <v>1</v>
      </c>
      <c r="BK1026">
        <v>1</v>
      </c>
      <c r="BL1026">
        <v>0</v>
      </c>
      <c r="BO1026">
        <v>0</v>
      </c>
      <c r="BP1026">
        <v>0</v>
      </c>
      <c r="BW1026" t="str">
        <f>"20:17:36.107"</f>
        <v>20:17:36.107</v>
      </c>
      <c r="BZ1026">
        <v>0</v>
      </c>
      <c r="CA1026">
        <v>2016</v>
      </c>
      <c r="CB1026">
        <v>224</v>
      </c>
      <c r="CD1026">
        <v>1</v>
      </c>
      <c r="CE1026">
        <v>0</v>
      </c>
      <c r="CF1026">
        <v>0</v>
      </c>
      <c r="CG1026">
        <v>1</v>
      </c>
      <c r="CH1026">
        <v>0</v>
      </c>
      <c r="CI1026">
        <v>0</v>
      </c>
      <c r="CJ1026">
        <v>0</v>
      </c>
      <c r="CK1026">
        <v>2</v>
      </c>
      <c r="CL1026">
        <v>0</v>
      </c>
      <c r="CM1026">
        <v>2</v>
      </c>
      <c r="CN1026">
        <v>0</v>
      </c>
      <c r="CO1026">
        <v>7</v>
      </c>
      <c r="CP1026" t="s">
        <v>119</v>
      </c>
      <c r="CQ1026">
        <v>180</v>
      </c>
      <c r="CR1026">
        <v>2</v>
      </c>
      <c r="CW1026">
        <v>8045818</v>
      </c>
      <c r="CY1026">
        <v>1</v>
      </c>
      <c r="CZ1026">
        <v>0</v>
      </c>
      <c r="DA1026">
        <v>1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</row>
    <row r="1027" spans="1:113" x14ac:dyDescent="0.3">
      <c r="A1027" t="str">
        <f>"02/08/2021 20:17:34.871"</f>
        <v>02/08/2021 20:17:34.871</v>
      </c>
      <c r="C1027" t="str">
        <f t="shared" si="47"/>
        <v>FFDFD7C0</v>
      </c>
      <c r="D1027" t="s">
        <v>124</v>
      </c>
      <c r="E1027">
        <v>13</v>
      </c>
      <c r="F1027">
        <v>1013</v>
      </c>
      <c r="G1027" t="s">
        <v>114</v>
      </c>
      <c r="J1027" t="s">
        <v>125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>"20:17:37.219"</f>
        <v>20:17:37.219</v>
      </c>
      <c r="T1027" t="str">
        <f>"20:17:36.719"</f>
        <v>20:17:36.719</v>
      </c>
      <c r="U1027" t="str">
        <f t="shared" si="49"/>
        <v>AB01F4</v>
      </c>
      <c r="V1027">
        <v>0</v>
      </c>
      <c r="W1027">
        <v>0</v>
      </c>
      <c r="X1027">
        <v>2</v>
      </c>
      <c r="Z1027">
        <v>0</v>
      </c>
      <c r="AA1027">
        <v>9</v>
      </c>
      <c r="AB1027">
        <v>3</v>
      </c>
      <c r="AC1027">
        <v>0</v>
      </c>
      <c r="AD1027">
        <v>10</v>
      </c>
      <c r="AE1027">
        <v>0</v>
      </c>
      <c r="AF1027">
        <v>3</v>
      </c>
      <c r="AG1027">
        <v>2</v>
      </c>
      <c r="AH1027">
        <v>0</v>
      </c>
      <c r="AI1027" t="s">
        <v>790</v>
      </c>
      <c r="AJ1027">
        <v>39.709288999999998</v>
      </c>
      <c r="AK1027" t="s">
        <v>791</v>
      </c>
      <c r="AL1027">
        <v>-92.527950000000004</v>
      </c>
      <c r="AM1027">
        <v>100</v>
      </c>
      <c r="AN1027">
        <v>1700</v>
      </c>
      <c r="AO1027" t="s">
        <v>118</v>
      </c>
      <c r="AP1027">
        <v>-30</v>
      </c>
      <c r="AQ1027">
        <v>123</v>
      </c>
      <c r="AR1027">
        <v>-64</v>
      </c>
      <c r="AZ1027">
        <v>1200</v>
      </c>
      <c r="BA1027">
        <v>1</v>
      </c>
      <c r="BB1027" t="str">
        <f t="shared" si="48"/>
        <v xml:space="preserve">N8080G  </v>
      </c>
      <c r="BC1027">
        <v>1</v>
      </c>
      <c r="BE1027">
        <v>0</v>
      </c>
      <c r="BF1027">
        <v>0</v>
      </c>
      <c r="BG1027">
        <v>0</v>
      </c>
      <c r="BH1027">
        <v>1675</v>
      </c>
      <c r="BI1027">
        <v>1</v>
      </c>
      <c r="BJ1027">
        <v>1</v>
      </c>
      <c r="BK1027">
        <v>1</v>
      </c>
      <c r="BL1027">
        <v>0</v>
      </c>
      <c r="BO1027">
        <v>0</v>
      </c>
      <c r="BP1027">
        <v>0</v>
      </c>
      <c r="BW1027" t="str">
        <f>"20:17:37.222"</f>
        <v>20:17:37.222</v>
      </c>
      <c r="BZ1027">
        <v>0</v>
      </c>
      <c r="CA1027">
        <v>2016</v>
      </c>
      <c r="CB1027">
        <v>224</v>
      </c>
      <c r="CD1027">
        <v>1</v>
      </c>
      <c r="CE1027">
        <v>0</v>
      </c>
      <c r="CF1027">
        <v>0</v>
      </c>
      <c r="CG1027">
        <v>1</v>
      </c>
      <c r="CH1027">
        <v>0</v>
      </c>
      <c r="CI1027">
        <v>0</v>
      </c>
      <c r="CJ1027">
        <v>0</v>
      </c>
      <c r="CK1027">
        <v>2</v>
      </c>
      <c r="CL1027">
        <v>0</v>
      </c>
      <c r="CM1027">
        <v>2</v>
      </c>
      <c r="CN1027">
        <v>0</v>
      </c>
      <c r="CO1027">
        <v>7</v>
      </c>
      <c r="CP1027" t="s">
        <v>119</v>
      </c>
      <c r="CQ1027">
        <v>180</v>
      </c>
      <c r="CR1027">
        <v>1</v>
      </c>
      <c r="CW1027">
        <v>10603889</v>
      </c>
      <c r="CY1027">
        <v>1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</row>
    <row r="1028" spans="1:113" x14ac:dyDescent="0.3">
      <c r="A1028" t="str">
        <f>"02/08/2021 20:17:34.871"</f>
        <v>02/08/2021 20:17:34.871</v>
      </c>
      <c r="C1028" t="str">
        <f t="shared" si="47"/>
        <v>FFDFD7C0</v>
      </c>
      <c r="D1028" t="s">
        <v>124</v>
      </c>
      <c r="E1028">
        <v>12</v>
      </c>
      <c r="F1028">
        <v>1012</v>
      </c>
      <c r="G1028" t="s">
        <v>675</v>
      </c>
      <c r="J1028" t="s">
        <v>125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>"20:17:37.219"</f>
        <v>20:17:37.219</v>
      </c>
      <c r="T1028" t="str">
        <f>"20:17:36.719"</f>
        <v>20:17:36.719</v>
      </c>
      <c r="U1028" t="str">
        <f t="shared" si="49"/>
        <v>AB01F4</v>
      </c>
      <c r="V1028">
        <v>0</v>
      </c>
      <c r="W1028">
        <v>0</v>
      </c>
      <c r="X1028">
        <v>2</v>
      </c>
      <c r="Z1028">
        <v>0</v>
      </c>
      <c r="AA1028">
        <v>9</v>
      </c>
      <c r="AB1028">
        <v>3</v>
      </c>
      <c r="AC1028">
        <v>0</v>
      </c>
      <c r="AD1028">
        <v>10</v>
      </c>
      <c r="AE1028">
        <v>0</v>
      </c>
      <c r="AF1028">
        <v>3</v>
      </c>
      <c r="AG1028">
        <v>2</v>
      </c>
      <c r="AH1028">
        <v>0</v>
      </c>
      <c r="AI1028" t="s">
        <v>790</v>
      </c>
      <c r="AJ1028">
        <v>39.709288999999998</v>
      </c>
      <c r="AK1028" t="s">
        <v>791</v>
      </c>
      <c r="AL1028">
        <v>-92.527950000000004</v>
      </c>
      <c r="AM1028">
        <v>100</v>
      </c>
      <c r="AN1028">
        <v>1700</v>
      </c>
      <c r="AO1028" t="s">
        <v>118</v>
      </c>
      <c r="AP1028">
        <v>-30</v>
      </c>
      <c r="AQ1028">
        <v>123</v>
      </c>
      <c r="AR1028">
        <v>-64</v>
      </c>
      <c r="AZ1028">
        <v>1200</v>
      </c>
      <c r="BA1028">
        <v>1</v>
      </c>
      <c r="BB1028" t="str">
        <f t="shared" si="48"/>
        <v xml:space="preserve">N8080G  </v>
      </c>
      <c r="BC1028">
        <v>1</v>
      </c>
      <c r="BE1028">
        <v>0</v>
      </c>
      <c r="BF1028">
        <v>0</v>
      </c>
      <c r="BG1028">
        <v>0</v>
      </c>
      <c r="BH1028">
        <v>1675</v>
      </c>
      <c r="BI1028">
        <v>1</v>
      </c>
      <c r="BJ1028">
        <v>1</v>
      </c>
      <c r="BK1028">
        <v>1</v>
      </c>
      <c r="BL1028">
        <v>0</v>
      </c>
      <c r="BO1028">
        <v>0</v>
      </c>
      <c r="BP1028">
        <v>0</v>
      </c>
      <c r="BW1028" t="str">
        <f>"20:17:37.222"</f>
        <v>20:17:37.222</v>
      </c>
      <c r="BZ1028">
        <v>0</v>
      </c>
      <c r="CA1028">
        <v>2016</v>
      </c>
      <c r="CB1028">
        <v>224</v>
      </c>
      <c r="CD1028">
        <v>1</v>
      </c>
      <c r="CE1028">
        <v>0</v>
      </c>
      <c r="CF1028">
        <v>0</v>
      </c>
      <c r="CG1028">
        <v>1</v>
      </c>
      <c r="CH1028">
        <v>0</v>
      </c>
      <c r="CI1028">
        <v>0</v>
      </c>
      <c r="CJ1028">
        <v>0</v>
      </c>
      <c r="CK1028">
        <v>2</v>
      </c>
      <c r="CL1028">
        <v>0</v>
      </c>
      <c r="CM1028">
        <v>2</v>
      </c>
      <c r="CN1028">
        <v>0</v>
      </c>
      <c r="CO1028">
        <v>7</v>
      </c>
      <c r="CP1028" t="s">
        <v>119</v>
      </c>
      <c r="CQ1028">
        <v>180</v>
      </c>
      <c r="CR1028">
        <v>1</v>
      </c>
      <c r="CW1028">
        <v>10603889</v>
      </c>
      <c r="CY1028">
        <v>1</v>
      </c>
      <c r="CZ1028">
        <v>0</v>
      </c>
      <c r="DA1028">
        <v>1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</row>
    <row r="1029" spans="1:113" x14ac:dyDescent="0.3">
      <c r="A1029" t="str">
        <f>"02/08/2021 20:17:34.871"</f>
        <v>02/08/2021 20:17:34.871</v>
      </c>
      <c r="C1029" t="str">
        <f t="shared" si="47"/>
        <v>FFDFD7C0</v>
      </c>
      <c r="D1029" t="s">
        <v>113</v>
      </c>
      <c r="E1029">
        <v>6</v>
      </c>
      <c r="H1029">
        <v>165</v>
      </c>
      <c r="I1029" t="s">
        <v>114</v>
      </c>
      <c r="J1029" t="s">
        <v>115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>"20:17:37.219"</f>
        <v>20:17:37.219</v>
      </c>
      <c r="T1029" t="str">
        <f>"20:17:36.719"</f>
        <v>20:17:36.719</v>
      </c>
      <c r="U1029" t="str">
        <f t="shared" si="49"/>
        <v>AB01F4</v>
      </c>
      <c r="V1029">
        <v>0</v>
      </c>
      <c r="W1029">
        <v>0</v>
      </c>
      <c r="X1029">
        <v>2</v>
      </c>
      <c r="Z1029">
        <v>0</v>
      </c>
      <c r="AA1029">
        <v>9</v>
      </c>
      <c r="AB1029">
        <v>3</v>
      </c>
      <c r="AC1029">
        <v>0</v>
      </c>
      <c r="AD1029">
        <v>10</v>
      </c>
      <c r="AE1029">
        <v>0</v>
      </c>
      <c r="AF1029">
        <v>3</v>
      </c>
      <c r="AG1029">
        <v>2</v>
      </c>
      <c r="AH1029">
        <v>0</v>
      </c>
      <c r="AI1029" t="s">
        <v>790</v>
      </c>
      <c r="AJ1029">
        <v>39.709288999999998</v>
      </c>
      <c r="AK1029" t="s">
        <v>791</v>
      </c>
      <c r="AL1029">
        <v>-92.527950000000004</v>
      </c>
      <c r="AM1029">
        <v>100</v>
      </c>
      <c r="AN1029">
        <v>1700</v>
      </c>
      <c r="AO1029" t="s">
        <v>118</v>
      </c>
      <c r="AP1029">
        <v>-30</v>
      </c>
      <c r="AQ1029">
        <v>123</v>
      </c>
      <c r="AR1029">
        <v>-64</v>
      </c>
      <c r="AZ1029">
        <v>1200</v>
      </c>
      <c r="BA1029">
        <v>1</v>
      </c>
      <c r="BB1029" t="str">
        <f t="shared" si="48"/>
        <v xml:space="preserve">N8080G  </v>
      </c>
      <c r="BC1029">
        <v>1</v>
      </c>
      <c r="BE1029">
        <v>0</v>
      </c>
      <c r="BF1029">
        <v>0</v>
      </c>
      <c r="BG1029">
        <v>0</v>
      </c>
      <c r="BH1029">
        <v>1675</v>
      </c>
      <c r="BI1029">
        <v>1</v>
      </c>
      <c r="BJ1029">
        <v>1</v>
      </c>
      <c r="BK1029">
        <v>1</v>
      </c>
      <c r="BL1029">
        <v>0</v>
      </c>
      <c r="BO1029">
        <v>0</v>
      </c>
      <c r="BP1029">
        <v>0</v>
      </c>
      <c r="BW1029" t="str">
        <f>"20:17:37.222"</f>
        <v>20:17:37.222</v>
      </c>
      <c r="BZ1029">
        <v>0</v>
      </c>
      <c r="CA1029">
        <v>2016</v>
      </c>
      <c r="CB1029">
        <v>224</v>
      </c>
      <c r="CD1029">
        <v>1</v>
      </c>
      <c r="CE1029">
        <v>0</v>
      </c>
      <c r="CF1029">
        <v>0</v>
      </c>
      <c r="CG1029">
        <v>1</v>
      </c>
      <c r="CH1029">
        <v>0</v>
      </c>
      <c r="CI1029">
        <v>0</v>
      </c>
      <c r="CJ1029">
        <v>0</v>
      </c>
      <c r="CK1029">
        <v>2</v>
      </c>
      <c r="CL1029">
        <v>0</v>
      </c>
      <c r="CM1029">
        <v>2</v>
      </c>
      <c r="CN1029">
        <v>0</v>
      </c>
      <c r="CO1029">
        <v>7</v>
      </c>
      <c r="CP1029" t="s">
        <v>119</v>
      </c>
      <c r="CQ1029">
        <v>180</v>
      </c>
      <c r="CR1029">
        <v>1</v>
      </c>
      <c r="CW1029">
        <v>10603889</v>
      </c>
      <c r="CY1029">
        <v>1</v>
      </c>
      <c r="CZ1029">
        <v>0</v>
      </c>
      <c r="DA1029">
        <v>1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</row>
    <row r="1030" spans="1:113" x14ac:dyDescent="0.3">
      <c r="A1030" t="str">
        <f>"02/08/2021 20:17:34.871"</f>
        <v>02/08/2021 20:17:34.871</v>
      </c>
      <c r="C1030" t="str">
        <f t="shared" si="47"/>
        <v>FFDFD7C0</v>
      </c>
      <c r="D1030" t="s">
        <v>124</v>
      </c>
      <c r="E1030">
        <v>11</v>
      </c>
      <c r="F1030">
        <v>1011</v>
      </c>
      <c r="G1030" t="s">
        <v>590</v>
      </c>
      <c r="J1030" t="s">
        <v>125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>"20:17:37.219"</f>
        <v>20:17:37.219</v>
      </c>
      <c r="T1030" t="str">
        <f>"20:17:36.719"</f>
        <v>20:17:36.719</v>
      </c>
      <c r="U1030" t="str">
        <f t="shared" si="49"/>
        <v>AB01F4</v>
      </c>
      <c r="V1030">
        <v>0</v>
      </c>
      <c r="W1030">
        <v>0</v>
      </c>
      <c r="X1030">
        <v>2</v>
      </c>
      <c r="Z1030">
        <v>0</v>
      </c>
      <c r="AA1030">
        <v>9</v>
      </c>
      <c r="AB1030">
        <v>3</v>
      </c>
      <c r="AC1030">
        <v>0</v>
      </c>
      <c r="AD1030">
        <v>10</v>
      </c>
      <c r="AE1030">
        <v>0</v>
      </c>
      <c r="AF1030">
        <v>3</v>
      </c>
      <c r="AG1030">
        <v>2</v>
      </c>
      <c r="AH1030">
        <v>0</v>
      </c>
      <c r="AI1030" t="s">
        <v>790</v>
      </c>
      <c r="AJ1030">
        <v>39.709288999999998</v>
      </c>
      <c r="AK1030" t="s">
        <v>791</v>
      </c>
      <c r="AL1030">
        <v>-92.527950000000004</v>
      </c>
      <c r="AM1030">
        <v>100</v>
      </c>
      <c r="AN1030">
        <v>1700</v>
      </c>
      <c r="AO1030" t="s">
        <v>118</v>
      </c>
      <c r="AP1030">
        <v>-30</v>
      </c>
      <c r="AQ1030">
        <v>123</v>
      </c>
      <c r="AR1030">
        <v>-64</v>
      </c>
      <c r="AZ1030">
        <v>1200</v>
      </c>
      <c r="BA1030">
        <v>1</v>
      </c>
      <c r="BB1030" t="str">
        <f t="shared" si="48"/>
        <v xml:space="preserve">N8080G  </v>
      </c>
      <c r="BC1030">
        <v>1</v>
      </c>
      <c r="BE1030">
        <v>0</v>
      </c>
      <c r="BF1030">
        <v>0</v>
      </c>
      <c r="BG1030">
        <v>0</v>
      </c>
      <c r="BH1030">
        <v>1675</v>
      </c>
      <c r="BI1030">
        <v>1</v>
      </c>
      <c r="BJ1030">
        <v>1</v>
      </c>
      <c r="BK1030">
        <v>1</v>
      </c>
      <c r="BL1030">
        <v>0</v>
      </c>
      <c r="BO1030">
        <v>0</v>
      </c>
      <c r="BP1030">
        <v>0</v>
      </c>
      <c r="BW1030" t="str">
        <f>"20:17:37.222"</f>
        <v>20:17:37.222</v>
      </c>
      <c r="BZ1030">
        <v>0</v>
      </c>
      <c r="CA1030">
        <v>2016</v>
      </c>
      <c r="CB1030">
        <v>224</v>
      </c>
      <c r="CD1030">
        <v>1</v>
      </c>
      <c r="CE1030">
        <v>0</v>
      </c>
      <c r="CF1030">
        <v>0</v>
      </c>
      <c r="CG1030">
        <v>1</v>
      </c>
      <c r="CH1030">
        <v>0</v>
      </c>
      <c r="CI1030">
        <v>0</v>
      </c>
      <c r="CJ1030">
        <v>0</v>
      </c>
      <c r="CK1030">
        <v>2</v>
      </c>
      <c r="CL1030">
        <v>0</v>
      </c>
      <c r="CM1030">
        <v>2</v>
      </c>
      <c r="CN1030">
        <v>0</v>
      </c>
      <c r="CO1030">
        <v>7</v>
      </c>
      <c r="CP1030" t="s">
        <v>119</v>
      </c>
      <c r="CQ1030">
        <v>180</v>
      </c>
      <c r="CR1030">
        <v>1</v>
      </c>
      <c r="CW1030">
        <v>10603889</v>
      </c>
      <c r="CY1030">
        <v>1</v>
      </c>
      <c r="CZ1030">
        <v>0</v>
      </c>
      <c r="DA1030">
        <v>1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</row>
    <row r="1031" spans="1:113" x14ac:dyDescent="0.3">
      <c r="A1031" t="str">
        <f>"02/08/2021 20:17:36.054"</f>
        <v>02/08/2021 20:17:36.054</v>
      </c>
      <c r="C1031" t="str">
        <f t="shared" si="47"/>
        <v>FFDFD7C0</v>
      </c>
      <c r="D1031" t="s">
        <v>113</v>
      </c>
      <c r="E1031">
        <v>6</v>
      </c>
      <c r="H1031">
        <v>165</v>
      </c>
      <c r="I1031" t="s">
        <v>114</v>
      </c>
      <c r="J1031" t="s">
        <v>115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>"20:17:38.336"</f>
        <v>20:17:38.336</v>
      </c>
      <c r="T1031" t="str">
        <f>"20:17:37.836"</f>
        <v>20:17:37.836</v>
      </c>
      <c r="U1031" t="str">
        <f t="shared" si="49"/>
        <v>AB01F4</v>
      </c>
      <c r="V1031">
        <v>0</v>
      </c>
      <c r="W1031">
        <v>0</v>
      </c>
      <c r="X1031">
        <v>2</v>
      </c>
      <c r="Z1031">
        <v>0</v>
      </c>
      <c r="AA1031">
        <v>9</v>
      </c>
      <c r="AB1031">
        <v>3</v>
      </c>
      <c r="AC1031">
        <v>0</v>
      </c>
      <c r="AD1031">
        <v>10</v>
      </c>
      <c r="AE1031">
        <v>0</v>
      </c>
      <c r="AF1031">
        <v>3</v>
      </c>
      <c r="AG1031">
        <v>2</v>
      </c>
      <c r="AH1031">
        <v>0</v>
      </c>
      <c r="AI1031" t="s">
        <v>792</v>
      </c>
      <c r="AJ1031">
        <v>39.709954000000003</v>
      </c>
      <c r="AK1031" t="s">
        <v>793</v>
      </c>
      <c r="AL1031">
        <v>-92.528164000000004</v>
      </c>
      <c r="AM1031">
        <v>100</v>
      </c>
      <c r="AN1031">
        <v>1700</v>
      </c>
      <c r="AO1031" t="s">
        <v>118</v>
      </c>
      <c r="AP1031">
        <v>-27</v>
      </c>
      <c r="AQ1031">
        <v>124</v>
      </c>
      <c r="AR1031">
        <v>-64</v>
      </c>
      <c r="AZ1031">
        <v>1200</v>
      </c>
      <c r="BA1031">
        <v>1</v>
      </c>
      <c r="BB1031" t="str">
        <f t="shared" si="48"/>
        <v xml:space="preserve">N8080G  </v>
      </c>
      <c r="BC1031">
        <v>1</v>
      </c>
      <c r="BE1031">
        <v>0</v>
      </c>
      <c r="BF1031">
        <v>0</v>
      </c>
      <c r="BG1031">
        <v>0</v>
      </c>
      <c r="BH1031">
        <v>1675</v>
      </c>
      <c r="BI1031">
        <v>1</v>
      </c>
      <c r="BJ1031">
        <v>1</v>
      </c>
      <c r="BK1031">
        <v>1</v>
      </c>
      <c r="BL1031">
        <v>0</v>
      </c>
      <c r="BO1031">
        <v>0</v>
      </c>
      <c r="BP1031">
        <v>0</v>
      </c>
      <c r="BW1031" t="str">
        <f>"20:17:38.339"</f>
        <v>20:17:38.339</v>
      </c>
      <c r="BZ1031">
        <v>0</v>
      </c>
      <c r="CA1031">
        <v>2016</v>
      </c>
      <c r="CB1031">
        <v>224</v>
      </c>
      <c r="CD1031">
        <v>1</v>
      </c>
      <c r="CE1031">
        <v>0</v>
      </c>
      <c r="CF1031">
        <v>0</v>
      </c>
      <c r="CG1031">
        <v>1</v>
      </c>
      <c r="CH1031">
        <v>0</v>
      </c>
      <c r="CI1031">
        <v>0</v>
      </c>
      <c r="CJ1031">
        <v>0</v>
      </c>
      <c r="CK1031">
        <v>2</v>
      </c>
      <c r="CL1031">
        <v>0</v>
      </c>
      <c r="CM1031">
        <v>2</v>
      </c>
      <c r="CN1031">
        <v>0</v>
      </c>
      <c r="CO1031">
        <v>7</v>
      </c>
      <c r="CP1031" t="s">
        <v>119</v>
      </c>
      <c r="CQ1031">
        <v>180</v>
      </c>
      <c r="CR1031">
        <v>2</v>
      </c>
      <c r="CW1031">
        <v>8047718</v>
      </c>
      <c r="CY1031">
        <v>1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</row>
    <row r="1032" spans="1:113" x14ac:dyDescent="0.3">
      <c r="A1032" t="str">
        <f>"02/08/2021 20:17:36.054"</f>
        <v>02/08/2021 20:17:36.054</v>
      </c>
      <c r="C1032" t="str">
        <f t="shared" si="47"/>
        <v>FFDFD7C0</v>
      </c>
      <c r="D1032" t="s">
        <v>124</v>
      </c>
      <c r="E1032">
        <v>11</v>
      </c>
      <c r="F1032">
        <v>1011</v>
      </c>
      <c r="G1032" t="s">
        <v>590</v>
      </c>
      <c r="J1032" t="s">
        <v>125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>"20:17:38.336"</f>
        <v>20:17:38.336</v>
      </c>
      <c r="T1032" t="str">
        <f>"20:17:37.836"</f>
        <v>20:17:37.836</v>
      </c>
      <c r="U1032" t="str">
        <f t="shared" si="49"/>
        <v>AB01F4</v>
      </c>
      <c r="V1032">
        <v>0</v>
      </c>
      <c r="W1032">
        <v>0</v>
      </c>
      <c r="X1032">
        <v>2</v>
      </c>
      <c r="Z1032">
        <v>0</v>
      </c>
      <c r="AA1032">
        <v>9</v>
      </c>
      <c r="AB1032">
        <v>3</v>
      </c>
      <c r="AC1032">
        <v>0</v>
      </c>
      <c r="AD1032">
        <v>10</v>
      </c>
      <c r="AE1032">
        <v>0</v>
      </c>
      <c r="AF1032">
        <v>3</v>
      </c>
      <c r="AG1032">
        <v>2</v>
      </c>
      <c r="AH1032">
        <v>0</v>
      </c>
      <c r="AI1032" t="s">
        <v>792</v>
      </c>
      <c r="AJ1032">
        <v>39.709954000000003</v>
      </c>
      <c r="AK1032" t="s">
        <v>793</v>
      </c>
      <c r="AL1032">
        <v>-92.528164000000004</v>
      </c>
      <c r="AM1032">
        <v>100</v>
      </c>
      <c r="AN1032">
        <v>1700</v>
      </c>
      <c r="AO1032" t="s">
        <v>118</v>
      </c>
      <c r="AP1032">
        <v>-27</v>
      </c>
      <c r="AQ1032">
        <v>124</v>
      </c>
      <c r="AR1032">
        <v>-64</v>
      </c>
      <c r="AZ1032">
        <v>1200</v>
      </c>
      <c r="BA1032">
        <v>1</v>
      </c>
      <c r="BB1032" t="str">
        <f t="shared" si="48"/>
        <v xml:space="preserve">N8080G  </v>
      </c>
      <c r="BC1032">
        <v>1</v>
      </c>
      <c r="BE1032">
        <v>0</v>
      </c>
      <c r="BF1032">
        <v>0</v>
      </c>
      <c r="BG1032">
        <v>0</v>
      </c>
      <c r="BH1032">
        <v>1675</v>
      </c>
      <c r="BI1032">
        <v>1</v>
      </c>
      <c r="BJ1032">
        <v>1</v>
      </c>
      <c r="BK1032">
        <v>1</v>
      </c>
      <c r="BL1032">
        <v>0</v>
      </c>
      <c r="BO1032">
        <v>0</v>
      </c>
      <c r="BP1032">
        <v>0</v>
      </c>
      <c r="BW1032" t="str">
        <f>"20:17:38.339"</f>
        <v>20:17:38.339</v>
      </c>
      <c r="BZ1032">
        <v>0</v>
      </c>
      <c r="CA1032">
        <v>2016</v>
      </c>
      <c r="CB1032">
        <v>224</v>
      </c>
      <c r="CD1032">
        <v>1</v>
      </c>
      <c r="CE1032">
        <v>0</v>
      </c>
      <c r="CF1032">
        <v>0</v>
      </c>
      <c r="CG1032">
        <v>1</v>
      </c>
      <c r="CH1032">
        <v>0</v>
      </c>
      <c r="CI1032">
        <v>0</v>
      </c>
      <c r="CJ1032">
        <v>0</v>
      </c>
      <c r="CK1032">
        <v>2</v>
      </c>
      <c r="CL1032">
        <v>0</v>
      </c>
      <c r="CM1032">
        <v>2</v>
      </c>
      <c r="CN1032">
        <v>0</v>
      </c>
      <c r="CO1032">
        <v>7</v>
      </c>
      <c r="CP1032" t="s">
        <v>119</v>
      </c>
      <c r="CQ1032">
        <v>180</v>
      </c>
      <c r="CR1032">
        <v>2</v>
      </c>
      <c r="CW1032">
        <v>8047718</v>
      </c>
      <c r="CY1032">
        <v>1</v>
      </c>
      <c r="CZ1032">
        <v>0</v>
      </c>
      <c r="DA1032">
        <v>1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</row>
    <row r="1033" spans="1:113" x14ac:dyDescent="0.3">
      <c r="A1033" t="str">
        <f>"02/08/2021 20:17:36.054"</f>
        <v>02/08/2021 20:17:36.054</v>
      </c>
      <c r="C1033" t="str">
        <f t="shared" ref="C1033:C1096" si="50">"FFDFD7C0"</f>
        <v>FFDFD7C0</v>
      </c>
      <c r="D1033" t="s">
        <v>124</v>
      </c>
      <c r="E1033">
        <v>13</v>
      </c>
      <c r="F1033">
        <v>1013</v>
      </c>
      <c r="G1033" t="s">
        <v>114</v>
      </c>
      <c r="J1033" t="s">
        <v>125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>"20:17:38.336"</f>
        <v>20:17:38.336</v>
      </c>
      <c r="T1033" t="str">
        <f>"20:17:37.836"</f>
        <v>20:17:37.836</v>
      </c>
      <c r="U1033" t="str">
        <f t="shared" si="49"/>
        <v>AB01F4</v>
      </c>
      <c r="V1033">
        <v>0</v>
      </c>
      <c r="W1033">
        <v>0</v>
      </c>
      <c r="X1033">
        <v>2</v>
      </c>
      <c r="Z1033">
        <v>0</v>
      </c>
      <c r="AA1033">
        <v>9</v>
      </c>
      <c r="AB1033">
        <v>3</v>
      </c>
      <c r="AC1033">
        <v>0</v>
      </c>
      <c r="AD1033">
        <v>10</v>
      </c>
      <c r="AE1033">
        <v>0</v>
      </c>
      <c r="AF1033">
        <v>3</v>
      </c>
      <c r="AG1033">
        <v>2</v>
      </c>
      <c r="AH1033">
        <v>0</v>
      </c>
      <c r="AI1033" t="s">
        <v>792</v>
      </c>
      <c r="AJ1033">
        <v>39.709954000000003</v>
      </c>
      <c r="AK1033" t="s">
        <v>793</v>
      </c>
      <c r="AL1033">
        <v>-92.528164000000004</v>
      </c>
      <c r="AM1033">
        <v>100</v>
      </c>
      <c r="AN1033">
        <v>1700</v>
      </c>
      <c r="AO1033" t="s">
        <v>118</v>
      </c>
      <c r="AP1033">
        <v>-27</v>
      </c>
      <c r="AQ1033">
        <v>124</v>
      </c>
      <c r="AR1033">
        <v>-64</v>
      </c>
      <c r="AZ1033">
        <v>1200</v>
      </c>
      <c r="BA1033">
        <v>1</v>
      </c>
      <c r="BB1033" t="str">
        <f t="shared" si="48"/>
        <v xml:space="preserve">N8080G  </v>
      </c>
      <c r="BC1033">
        <v>1</v>
      </c>
      <c r="BE1033">
        <v>0</v>
      </c>
      <c r="BF1033">
        <v>0</v>
      </c>
      <c r="BG1033">
        <v>0</v>
      </c>
      <c r="BH1033">
        <v>1675</v>
      </c>
      <c r="BI1033">
        <v>1</v>
      </c>
      <c r="BJ1033">
        <v>1</v>
      </c>
      <c r="BK1033">
        <v>1</v>
      </c>
      <c r="BL1033">
        <v>0</v>
      </c>
      <c r="BO1033">
        <v>0</v>
      </c>
      <c r="BP1033">
        <v>0</v>
      </c>
      <c r="BW1033" t="str">
        <f>"20:17:38.339"</f>
        <v>20:17:38.339</v>
      </c>
      <c r="BZ1033">
        <v>0</v>
      </c>
      <c r="CA1033">
        <v>2016</v>
      </c>
      <c r="CB1033">
        <v>224</v>
      </c>
      <c r="CD1033">
        <v>1</v>
      </c>
      <c r="CE1033">
        <v>0</v>
      </c>
      <c r="CF1033">
        <v>0</v>
      </c>
      <c r="CG1033">
        <v>1</v>
      </c>
      <c r="CH1033">
        <v>0</v>
      </c>
      <c r="CI1033">
        <v>0</v>
      </c>
      <c r="CJ1033">
        <v>0</v>
      </c>
      <c r="CK1033">
        <v>2</v>
      </c>
      <c r="CL1033">
        <v>0</v>
      </c>
      <c r="CM1033">
        <v>2</v>
      </c>
      <c r="CN1033">
        <v>0</v>
      </c>
      <c r="CO1033">
        <v>7</v>
      </c>
      <c r="CP1033" t="s">
        <v>119</v>
      </c>
      <c r="CQ1033">
        <v>180</v>
      </c>
      <c r="CR1033">
        <v>2</v>
      </c>
      <c r="CW1033">
        <v>8047718</v>
      </c>
      <c r="CY1033">
        <v>1</v>
      </c>
      <c r="CZ1033">
        <v>0</v>
      </c>
      <c r="DA1033">
        <v>1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</row>
    <row r="1034" spans="1:113" x14ac:dyDescent="0.3">
      <c r="A1034" t="str">
        <f>"02/08/2021 20:17:36.054"</f>
        <v>02/08/2021 20:17:36.054</v>
      </c>
      <c r="C1034" t="str">
        <f t="shared" si="50"/>
        <v>FFDFD7C0</v>
      </c>
      <c r="D1034" t="s">
        <v>124</v>
      </c>
      <c r="E1034">
        <v>12</v>
      </c>
      <c r="F1034">
        <v>1012</v>
      </c>
      <c r="G1034" t="s">
        <v>675</v>
      </c>
      <c r="J1034" t="s">
        <v>125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>"20:17:38.336"</f>
        <v>20:17:38.336</v>
      </c>
      <c r="T1034" t="str">
        <f>"20:17:37.836"</f>
        <v>20:17:37.836</v>
      </c>
      <c r="U1034" t="str">
        <f t="shared" si="49"/>
        <v>AB01F4</v>
      </c>
      <c r="V1034">
        <v>0</v>
      </c>
      <c r="W1034">
        <v>0</v>
      </c>
      <c r="X1034">
        <v>2</v>
      </c>
      <c r="Z1034">
        <v>0</v>
      </c>
      <c r="AA1034">
        <v>9</v>
      </c>
      <c r="AB1034">
        <v>3</v>
      </c>
      <c r="AC1034">
        <v>0</v>
      </c>
      <c r="AD1034">
        <v>10</v>
      </c>
      <c r="AE1034">
        <v>0</v>
      </c>
      <c r="AF1034">
        <v>3</v>
      </c>
      <c r="AG1034">
        <v>2</v>
      </c>
      <c r="AH1034">
        <v>0</v>
      </c>
      <c r="AI1034" t="s">
        <v>792</v>
      </c>
      <c r="AJ1034">
        <v>39.709954000000003</v>
      </c>
      <c r="AK1034" t="s">
        <v>793</v>
      </c>
      <c r="AL1034">
        <v>-92.528164000000004</v>
      </c>
      <c r="AM1034">
        <v>100</v>
      </c>
      <c r="AN1034">
        <v>1700</v>
      </c>
      <c r="AO1034" t="s">
        <v>118</v>
      </c>
      <c r="AP1034">
        <v>-27</v>
      </c>
      <c r="AQ1034">
        <v>124</v>
      </c>
      <c r="AR1034">
        <v>-64</v>
      </c>
      <c r="AZ1034">
        <v>1200</v>
      </c>
      <c r="BA1034">
        <v>1</v>
      </c>
      <c r="BB1034" t="str">
        <f t="shared" si="48"/>
        <v xml:space="preserve">N8080G  </v>
      </c>
      <c r="BC1034">
        <v>1</v>
      </c>
      <c r="BE1034">
        <v>0</v>
      </c>
      <c r="BF1034">
        <v>0</v>
      </c>
      <c r="BG1034">
        <v>0</v>
      </c>
      <c r="BH1034">
        <v>1675</v>
      </c>
      <c r="BI1034">
        <v>1</v>
      </c>
      <c r="BJ1034">
        <v>1</v>
      </c>
      <c r="BK1034">
        <v>1</v>
      </c>
      <c r="BL1034">
        <v>0</v>
      </c>
      <c r="BO1034">
        <v>0</v>
      </c>
      <c r="BP1034">
        <v>0</v>
      </c>
      <c r="BW1034" t="str">
        <f>"20:17:38.339"</f>
        <v>20:17:38.339</v>
      </c>
      <c r="BZ1034">
        <v>0</v>
      </c>
      <c r="CA1034">
        <v>2016</v>
      </c>
      <c r="CB1034">
        <v>224</v>
      </c>
      <c r="CD1034">
        <v>1</v>
      </c>
      <c r="CE1034">
        <v>0</v>
      </c>
      <c r="CF1034">
        <v>0</v>
      </c>
      <c r="CG1034">
        <v>1</v>
      </c>
      <c r="CH1034">
        <v>0</v>
      </c>
      <c r="CI1034">
        <v>0</v>
      </c>
      <c r="CJ1034">
        <v>0</v>
      </c>
      <c r="CK1034">
        <v>2</v>
      </c>
      <c r="CL1034">
        <v>0</v>
      </c>
      <c r="CM1034">
        <v>2</v>
      </c>
      <c r="CN1034">
        <v>0</v>
      </c>
      <c r="CO1034">
        <v>7</v>
      </c>
      <c r="CP1034" t="s">
        <v>119</v>
      </c>
      <c r="CQ1034">
        <v>180</v>
      </c>
      <c r="CR1034">
        <v>2</v>
      </c>
      <c r="CW1034">
        <v>8047718</v>
      </c>
      <c r="CY1034">
        <v>1</v>
      </c>
      <c r="CZ1034">
        <v>0</v>
      </c>
      <c r="DA1034">
        <v>1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</row>
    <row r="1035" spans="1:113" x14ac:dyDescent="0.3">
      <c r="A1035" t="str">
        <f>"02/08/2021 20:17:37.166"</f>
        <v>02/08/2021 20:17:37.166</v>
      </c>
      <c r="C1035" t="str">
        <f t="shared" si="50"/>
        <v>FFDFD7C0</v>
      </c>
      <c r="D1035" t="s">
        <v>113</v>
      </c>
      <c r="E1035">
        <v>6</v>
      </c>
      <c r="H1035">
        <v>165</v>
      </c>
      <c r="I1035" t="s">
        <v>114</v>
      </c>
      <c r="J1035" t="s">
        <v>115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>"20:17:39.500"</f>
        <v>20:17:39.500</v>
      </c>
      <c r="T1035" t="str">
        <f>"20:17:39.000"</f>
        <v>20:17:39.000</v>
      </c>
      <c r="U1035" t="str">
        <f t="shared" si="49"/>
        <v>AB01F4</v>
      </c>
      <c r="V1035">
        <v>0</v>
      </c>
      <c r="W1035">
        <v>0</v>
      </c>
      <c r="X1035">
        <v>2</v>
      </c>
      <c r="Z1035">
        <v>0</v>
      </c>
      <c r="AA1035">
        <v>9</v>
      </c>
      <c r="AB1035">
        <v>3</v>
      </c>
      <c r="AC1035">
        <v>0</v>
      </c>
      <c r="AD1035">
        <v>10</v>
      </c>
      <c r="AE1035">
        <v>0</v>
      </c>
      <c r="AF1035">
        <v>3</v>
      </c>
      <c r="AG1035">
        <v>2</v>
      </c>
      <c r="AH1035">
        <v>0</v>
      </c>
      <c r="AI1035" t="s">
        <v>794</v>
      </c>
      <c r="AJ1035">
        <v>39.710597999999997</v>
      </c>
      <c r="AK1035" t="s">
        <v>795</v>
      </c>
      <c r="AL1035">
        <v>-92.528315000000006</v>
      </c>
      <c r="AM1035">
        <v>100</v>
      </c>
      <c r="AN1035">
        <v>1700</v>
      </c>
      <c r="AO1035" t="s">
        <v>118</v>
      </c>
      <c r="AP1035">
        <v>-22</v>
      </c>
      <c r="AQ1035">
        <v>124</v>
      </c>
      <c r="AR1035">
        <v>-64</v>
      </c>
      <c r="AZ1035">
        <v>1200</v>
      </c>
      <c r="BA1035">
        <v>1</v>
      </c>
      <c r="BB1035" t="str">
        <f t="shared" si="48"/>
        <v xml:space="preserve">N8080G  </v>
      </c>
      <c r="BC1035">
        <v>1</v>
      </c>
      <c r="BE1035">
        <v>0</v>
      </c>
      <c r="BF1035">
        <v>0</v>
      </c>
      <c r="BG1035">
        <v>0</v>
      </c>
      <c r="BH1035">
        <v>1675</v>
      </c>
      <c r="BI1035">
        <v>1</v>
      </c>
      <c r="BJ1035">
        <v>1</v>
      </c>
      <c r="BK1035">
        <v>1</v>
      </c>
      <c r="BL1035">
        <v>0</v>
      </c>
      <c r="BO1035">
        <v>0</v>
      </c>
      <c r="BP1035">
        <v>0</v>
      </c>
      <c r="BW1035" t="str">
        <f>"20:17:39.504"</f>
        <v>20:17:39.504</v>
      </c>
      <c r="BZ1035">
        <v>0</v>
      </c>
      <c r="CA1035">
        <v>2016</v>
      </c>
      <c r="CB1035">
        <v>224</v>
      </c>
      <c r="CD1035">
        <v>1</v>
      </c>
      <c r="CE1035">
        <v>0</v>
      </c>
      <c r="CF1035">
        <v>0</v>
      </c>
      <c r="CG1035">
        <v>1</v>
      </c>
      <c r="CH1035">
        <v>0</v>
      </c>
      <c r="CI1035">
        <v>0</v>
      </c>
      <c r="CJ1035">
        <v>0</v>
      </c>
      <c r="CK1035">
        <v>2</v>
      </c>
      <c r="CL1035">
        <v>0</v>
      </c>
      <c r="CM1035">
        <v>2</v>
      </c>
      <c r="CN1035">
        <v>0</v>
      </c>
      <c r="CO1035">
        <v>7</v>
      </c>
      <c r="CP1035" t="s">
        <v>119</v>
      </c>
      <c r="CQ1035">
        <v>180</v>
      </c>
      <c r="CR1035">
        <v>1</v>
      </c>
      <c r="CW1035">
        <v>10606032</v>
      </c>
      <c r="CY1035">
        <v>1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</row>
    <row r="1036" spans="1:113" x14ac:dyDescent="0.3">
      <c r="A1036" t="str">
        <f>"02/08/2021 20:17:37.166"</f>
        <v>02/08/2021 20:17:37.166</v>
      </c>
      <c r="C1036" t="str">
        <f t="shared" si="50"/>
        <v>FFDFD7C0</v>
      </c>
      <c r="D1036" t="s">
        <v>124</v>
      </c>
      <c r="E1036">
        <v>11</v>
      </c>
      <c r="F1036">
        <v>1011</v>
      </c>
      <c r="G1036" t="s">
        <v>590</v>
      </c>
      <c r="J1036" t="s">
        <v>125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>"20:17:39.500"</f>
        <v>20:17:39.500</v>
      </c>
      <c r="T1036" t="str">
        <f>"20:17:39.000"</f>
        <v>20:17:39.000</v>
      </c>
      <c r="U1036" t="str">
        <f t="shared" si="49"/>
        <v>AB01F4</v>
      </c>
      <c r="V1036">
        <v>0</v>
      </c>
      <c r="W1036">
        <v>0</v>
      </c>
      <c r="X1036">
        <v>2</v>
      </c>
      <c r="Z1036">
        <v>0</v>
      </c>
      <c r="AA1036">
        <v>9</v>
      </c>
      <c r="AB1036">
        <v>3</v>
      </c>
      <c r="AC1036">
        <v>0</v>
      </c>
      <c r="AD1036">
        <v>10</v>
      </c>
      <c r="AE1036">
        <v>0</v>
      </c>
      <c r="AF1036">
        <v>3</v>
      </c>
      <c r="AG1036">
        <v>2</v>
      </c>
      <c r="AH1036">
        <v>0</v>
      </c>
      <c r="AI1036" t="s">
        <v>794</v>
      </c>
      <c r="AJ1036">
        <v>39.710597999999997</v>
      </c>
      <c r="AK1036" t="s">
        <v>795</v>
      </c>
      <c r="AL1036">
        <v>-92.528315000000006</v>
      </c>
      <c r="AM1036">
        <v>100</v>
      </c>
      <c r="AN1036">
        <v>1700</v>
      </c>
      <c r="AO1036" t="s">
        <v>118</v>
      </c>
      <c r="AP1036">
        <v>-22</v>
      </c>
      <c r="AQ1036">
        <v>124</v>
      </c>
      <c r="AR1036">
        <v>-64</v>
      </c>
      <c r="AZ1036">
        <v>1200</v>
      </c>
      <c r="BA1036">
        <v>1</v>
      </c>
      <c r="BB1036" t="str">
        <f t="shared" si="48"/>
        <v xml:space="preserve">N8080G  </v>
      </c>
      <c r="BC1036">
        <v>1</v>
      </c>
      <c r="BE1036">
        <v>0</v>
      </c>
      <c r="BF1036">
        <v>0</v>
      </c>
      <c r="BG1036">
        <v>0</v>
      </c>
      <c r="BH1036">
        <v>1675</v>
      </c>
      <c r="BI1036">
        <v>1</v>
      </c>
      <c r="BJ1036">
        <v>1</v>
      </c>
      <c r="BK1036">
        <v>1</v>
      </c>
      <c r="BL1036">
        <v>0</v>
      </c>
      <c r="BO1036">
        <v>0</v>
      </c>
      <c r="BP1036">
        <v>0</v>
      </c>
      <c r="BW1036" t="str">
        <f>"20:17:39.504"</f>
        <v>20:17:39.504</v>
      </c>
      <c r="BZ1036">
        <v>0</v>
      </c>
      <c r="CA1036">
        <v>2016</v>
      </c>
      <c r="CB1036">
        <v>224</v>
      </c>
      <c r="CD1036">
        <v>1</v>
      </c>
      <c r="CE1036">
        <v>0</v>
      </c>
      <c r="CF1036">
        <v>0</v>
      </c>
      <c r="CG1036">
        <v>1</v>
      </c>
      <c r="CH1036">
        <v>0</v>
      </c>
      <c r="CI1036">
        <v>0</v>
      </c>
      <c r="CJ1036">
        <v>0</v>
      </c>
      <c r="CK1036">
        <v>2</v>
      </c>
      <c r="CL1036">
        <v>0</v>
      </c>
      <c r="CM1036">
        <v>2</v>
      </c>
      <c r="CN1036">
        <v>0</v>
      </c>
      <c r="CO1036">
        <v>7</v>
      </c>
      <c r="CP1036" t="s">
        <v>119</v>
      </c>
      <c r="CQ1036">
        <v>180</v>
      </c>
      <c r="CR1036">
        <v>1</v>
      </c>
      <c r="CW1036">
        <v>10606032</v>
      </c>
      <c r="CY1036">
        <v>1</v>
      </c>
      <c r="CZ1036">
        <v>0</v>
      </c>
      <c r="DA1036">
        <v>1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</row>
    <row r="1037" spans="1:113" x14ac:dyDescent="0.3">
      <c r="A1037" t="str">
        <f>"02/08/2021 20:17:37.166"</f>
        <v>02/08/2021 20:17:37.166</v>
      </c>
      <c r="C1037" t="str">
        <f t="shared" si="50"/>
        <v>FFDFD7C0</v>
      </c>
      <c r="D1037" t="s">
        <v>124</v>
      </c>
      <c r="E1037">
        <v>13</v>
      </c>
      <c r="F1037">
        <v>1013</v>
      </c>
      <c r="G1037" t="s">
        <v>114</v>
      </c>
      <c r="J1037" t="s">
        <v>125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>"20:17:39.500"</f>
        <v>20:17:39.500</v>
      </c>
      <c r="T1037" t="str">
        <f>"20:17:39.000"</f>
        <v>20:17:39.000</v>
      </c>
      <c r="U1037" t="str">
        <f t="shared" si="49"/>
        <v>AB01F4</v>
      </c>
      <c r="V1037">
        <v>0</v>
      </c>
      <c r="W1037">
        <v>0</v>
      </c>
      <c r="X1037">
        <v>2</v>
      </c>
      <c r="Z1037">
        <v>0</v>
      </c>
      <c r="AA1037">
        <v>9</v>
      </c>
      <c r="AB1037">
        <v>3</v>
      </c>
      <c r="AC1037">
        <v>0</v>
      </c>
      <c r="AD1037">
        <v>10</v>
      </c>
      <c r="AE1037">
        <v>0</v>
      </c>
      <c r="AF1037">
        <v>3</v>
      </c>
      <c r="AG1037">
        <v>2</v>
      </c>
      <c r="AH1037">
        <v>0</v>
      </c>
      <c r="AI1037" t="s">
        <v>794</v>
      </c>
      <c r="AJ1037">
        <v>39.710597999999997</v>
      </c>
      <c r="AK1037" t="s">
        <v>795</v>
      </c>
      <c r="AL1037">
        <v>-92.528315000000006</v>
      </c>
      <c r="AM1037">
        <v>100</v>
      </c>
      <c r="AN1037">
        <v>1700</v>
      </c>
      <c r="AO1037" t="s">
        <v>118</v>
      </c>
      <c r="AP1037">
        <v>-22</v>
      </c>
      <c r="AQ1037">
        <v>124</v>
      </c>
      <c r="AR1037">
        <v>-64</v>
      </c>
      <c r="AZ1037">
        <v>1200</v>
      </c>
      <c r="BA1037">
        <v>1</v>
      </c>
      <c r="BB1037" t="str">
        <f t="shared" si="48"/>
        <v xml:space="preserve">N8080G  </v>
      </c>
      <c r="BC1037">
        <v>1</v>
      </c>
      <c r="BE1037">
        <v>0</v>
      </c>
      <c r="BF1037">
        <v>0</v>
      </c>
      <c r="BG1037">
        <v>0</v>
      </c>
      <c r="BH1037">
        <v>1675</v>
      </c>
      <c r="BI1037">
        <v>1</v>
      </c>
      <c r="BJ1037">
        <v>1</v>
      </c>
      <c r="BK1037">
        <v>1</v>
      </c>
      <c r="BL1037">
        <v>0</v>
      </c>
      <c r="BO1037">
        <v>0</v>
      </c>
      <c r="BP1037">
        <v>0</v>
      </c>
      <c r="BW1037" t="str">
        <f>"20:17:39.504"</f>
        <v>20:17:39.504</v>
      </c>
      <c r="BZ1037">
        <v>0</v>
      </c>
      <c r="CA1037">
        <v>2016</v>
      </c>
      <c r="CB1037">
        <v>224</v>
      </c>
      <c r="CD1037">
        <v>1</v>
      </c>
      <c r="CE1037">
        <v>0</v>
      </c>
      <c r="CF1037">
        <v>0</v>
      </c>
      <c r="CG1037">
        <v>1</v>
      </c>
      <c r="CH1037">
        <v>0</v>
      </c>
      <c r="CI1037">
        <v>0</v>
      </c>
      <c r="CJ1037">
        <v>0</v>
      </c>
      <c r="CK1037">
        <v>2</v>
      </c>
      <c r="CL1037">
        <v>0</v>
      </c>
      <c r="CM1037">
        <v>2</v>
      </c>
      <c r="CN1037">
        <v>0</v>
      </c>
      <c r="CO1037">
        <v>7</v>
      </c>
      <c r="CP1037" t="s">
        <v>119</v>
      </c>
      <c r="CQ1037">
        <v>180</v>
      </c>
      <c r="CR1037">
        <v>1</v>
      </c>
      <c r="CW1037">
        <v>10606032</v>
      </c>
      <c r="CY1037">
        <v>1</v>
      </c>
      <c r="CZ1037">
        <v>0</v>
      </c>
      <c r="DA1037">
        <v>1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</row>
    <row r="1038" spans="1:113" x14ac:dyDescent="0.3">
      <c r="A1038" t="str">
        <f>"02/08/2021 20:17:37.166"</f>
        <v>02/08/2021 20:17:37.166</v>
      </c>
      <c r="C1038" t="str">
        <f t="shared" si="50"/>
        <v>FFDFD7C0</v>
      </c>
      <c r="D1038" t="s">
        <v>124</v>
      </c>
      <c r="E1038">
        <v>12</v>
      </c>
      <c r="F1038">
        <v>1012</v>
      </c>
      <c r="G1038" t="s">
        <v>675</v>
      </c>
      <c r="J1038" t="s">
        <v>125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>"20:17:39.500"</f>
        <v>20:17:39.500</v>
      </c>
      <c r="T1038" t="str">
        <f>"20:17:39.000"</f>
        <v>20:17:39.000</v>
      </c>
      <c r="U1038" t="str">
        <f t="shared" si="49"/>
        <v>AB01F4</v>
      </c>
      <c r="V1038">
        <v>0</v>
      </c>
      <c r="W1038">
        <v>0</v>
      </c>
      <c r="X1038">
        <v>2</v>
      </c>
      <c r="Z1038">
        <v>0</v>
      </c>
      <c r="AA1038">
        <v>9</v>
      </c>
      <c r="AB1038">
        <v>3</v>
      </c>
      <c r="AC1038">
        <v>0</v>
      </c>
      <c r="AD1038">
        <v>10</v>
      </c>
      <c r="AE1038">
        <v>0</v>
      </c>
      <c r="AF1038">
        <v>3</v>
      </c>
      <c r="AG1038">
        <v>2</v>
      </c>
      <c r="AH1038">
        <v>0</v>
      </c>
      <c r="AI1038" t="s">
        <v>794</v>
      </c>
      <c r="AJ1038">
        <v>39.710597999999997</v>
      </c>
      <c r="AK1038" t="s">
        <v>795</v>
      </c>
      <c r="AL1038">
        <v>-92.528315000000006</v>
      </c>
      <c r="AM1038">
        <v>100</v>
      </c>
      <c r="AN1038">
        <v>1700</v>
      </c>
      <c r="AO1038" t="s">
        <v>118</v>
      </c>
      <c r="AP1038">
        <v>-22</v>
      </c>
      <c r="AQ1038">
        <v>124</v>
      </c>
      <c r="AR1038">
        <v>-64</v>
      </c>
      <c r="AZ1038">
        <v>1200</v>
      </c>
      <c r="BA1038">
        <v>1</v>
      </c>
      <c r="BB1038" t="str">
        <f t="shared" si="48"/>
        <v xml:space="preserve">N8080G  </v>
      </c>
      <c r="BC1038">
        <v>1</v>
      </c>
      <c r="BE1038">
        <v>0</v>
      </c>
      <c r="BF1038">
        <v>0</v>
      </c>
      <c r="BG1038">
        <v>0</v>
      </c>
      <c r="BH1038">
        <v>1675</v>
      </c>
      <c r="BI1038">
        <v>1</v>
      </c>
      <c r="BJ1038">
        <v>1</v>
      </c>
      <c r="BK1038">
        <v>1</v>
      </c>
      <c r="BL1038">
        <v>0</v>
      </c>
      <c r="BO1038">
        <v>0</v>
      </c>
      <c r="BP1038">
        <v>0</v>
      </c>
      <c r="BW1038" t="str">
        <f>"20:17:39.504"</f>
        <v>20:17:39.504</v>
      </c>
      <c r="BZ1038">
        <v>0</v>
      </c>
      <c r="CA1038">
        <v>2016</v>
      </c>
      <c r="CB1038">
        <v>224</v>
      </c>
      <c r="CD1038">
        <v>1</v>
      </c>
      <c r="CE1038">
        <v>0</v>
      </c>
      <c r="CF1038">
        <v>0</v>
      </c>
      <c r="CG1038">
        <v>1</v>
      </c>
      <c r="CH1038">
        <v>0</v>
      </c>
      <c r="CI1038">
        <v>0</v>
      </c>
      <c r="CJ1038">
        <v>0</v>
      </c>
      <c r="CK1038">
        <v>2</v>
      </c>
      <c r="CL1038">
        <v>0</v>
      </c>
      <c r="CM1038">
        <v>2</v>
      </c>
      <c r="CN1038">
        <v>0</v>
      </c>
      <c r="CO1038">
        <v>7</v>
      </c>
      <c r="CP1038" t="s">
        <v>119</v>
      </c>
      <c r="CQ1038">
        <v>180</v>
      </c>
      <c r="CR1038">
        <v>1</v>
      </c>
      <c r="CW1038">
        <v>10606032</v>
      </c>
      <c r="CY1038">
        <v>1</v>
      </c>
      <c r="CZ1038">
        <v>0</v>
      </c>
      <c r="DA1038">
        <v>1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</row>
    <row r="1039" spans="1:113" x14ac:dyDescent="0.3">
      <c r="A1039" t="str">
        <f>"02/08/2021 20:17:38.683"</f>
        <v>02/08/2021 20:17:38.683</v>
      </c>
      <c r="C1039" t="str">
        <f t="shared" si="50"/>
        <v>FFDFD7C0</v>
      </c>
      <c r="D1039" t="s">
        <v>113</v>
      </c>
      <c r="E1039">
        <v>6</v>
      </c>
      <c r="H1039">
        <v>165</v>
      </c>
      <c r="I1039" t="s">
        <v>114</v>
      </c>
      <c r="J1039" t="s">
        <v>115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>"20:17:40.992"</f>
        <v>20:17:40.992</v>
      </c>
      <c r="T1039" t="str">
        <f>"20:17:40.492"</f>
        <v>20:17:40.492</v>
      </c>
      <c r="U1039" t="str">
        <f t="shared" si="49"/>
        <v>AB01F4</v>
      </c>
      <c r="V1039">
        <v>0</v>
      </c>
      <c r="W1039">
        <v>0</v>
      </c>
      <c r="X1039">
        <v>2</v>
      </c>
      <c r="Z1039">
        <v>0</v>
      </c>
      <c r="AA1039">
        <v>9</v>
      </c>
      <c r="AB1039">
        <v>3</v>
      </c>
      <c r="AC1039">
        <v>0</v>
      </c>
      <c r="AD1039">
        <v>10</v>
      </c>
      <c r="AE1039">
        <v>0</v>
      </c>
      <c r="AF1039">
        <v>3</v>
      </c>
      <c r="AG1039">
        <v>2</v>
      </c>
      <c r="AH1039">
        <v>0</v>
      </c>
      <c r="AI1039" t="s">
        <v>796</v>
      </c>
      <c r="AJ1039">
        <v>39.711455999999998</v>
      </c>
      <c r="AK1039" t="s">
        <v>797</v>
      </c>
      <c r="AL1039">
        <v>-92.528400000000005</v>
      </c>
      <c r="AM1039">
        <v>100</v>
      </c>
      <c r="AN1039">
        <v>1700</v>
      </c>
      <c r="AO1039" t="s">
        <v>118</v>
      </c>
      <c r="AP1039">
        <v>-16</v>
      </c>
      <c r="AQ1039">
        <v>125</v>
      </c>
      <c r="AR1039">
        <v>64</v>
      </c>
      <c r="AZ1039">
        <v>1200</v>
      </c>
      <c r="BA1039">
        <v>1</v>
      </c>
      <c r="BB1039" t="str">
        <f t="shared" ref="BB1039:BB1102" si="51">"N8080G  "</f>
        <v xml:space="preserve">N8080G  </v>
      </c>
      <c r="BC1039">
        <v>1</v>
      </c>
      <c r="BE1039">
        <v>0</v>
      </c>
      <c r="BF1039">
        <v>0</v>
      </c>
      <c r="BG1039">
        <v>0</v>
      </c>
      <c r="BH1039">
        <v>1675</v>
      </c>
      <c r="BI1039">
        <v>1</v>
      </c>
      <c r="BJ1039">
        <v>1</v>
      </c>
      <c r="BK1039">
        <v>1</v>
      </c>
      <c r="BL1039">
        <v>0</v>
      </c>
      <c r="BO1039">
        <v>0</v>
      </c>
      <c r="BP1039">
        <v>0</v>
      </c>
      <c r="BW1039" t="str">
        <f>"20:17:40.996"</f>
        <v>20:17:40.996</v>
      </c>
      <c r="BZ1039">
        <v>0</v>
      </c>
      <c r="CA1039">
        <v>2016</v>
      </c>
      <c r="CB1039">
        <v>224</v>
      </c>
      <c r="CD1039">
        <v>1</v>
      </c>
      <c r="CE1039">
        <v>0</v>
      </c>
      <c r="CF1039">
        <v>0</v>
      </c>
      <c r="CG1039">
        <v>1</v>
      </c>
      <c r="CH1039">
        <v>0</v>
      </c>
      <c r="CI1039">
        <v>0</v>
      </c>
      <c r="CJ1039">
        <v>0</v>
      </c>
      <c r="CK1039">
        <v>2</v>
      </c>
      <c r="CL1039">
        <v>0</v>
      </c>
      <c r="CM1039">
        <v>2</v>
      </c>
      <c r="CN1039">
        <v>0</v>
      </c>
      <c r="CO1039">
        <v>7</v>
      </c>
      <c r="CP1039" t="s">
        <v>119</v>
      </c>
      <c r="CQ1039">
        <v>180</v>
      </c>
      <c r="CR1039">
        <v>2</v>
      </c>
      <c r="CW1039">
        <v>8049865</v>
      </c>
      <c r="CY1039">
        <v>1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</row>
    <row r="1040" spans="1:113" x14ac:dyDescent="0.3">
      <c r="A1040" t="str">
        <f>"02/08/2021 20:17:38.683"</f>
        <v>02/08/2021 20:17:38.683</v>
      </c>
      <c r="C1040" t="str">
        <f t="shared" si="50"/>
        <v>FFDFD7C0</v>
      </c>
      <c r="D1040" t="s">
        <v>124</v>
      </c>
      <c r="E1040">
        <v>11</v>
      </c>
      <c r="F1040">
        <v>1011</v>
      </c>
      <c r="G1040" t="s">
        <v>590</v>
      </c>
      <c r="J1040" t="s">
        <v>125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>"20:17:40.992"</f>
        <v>20:17:40.992</v>
      </c>
      <c r="T1040" t="str">
        <f>"20:17:40.492"</f>
        <v>20:17:40.492</v>
      </c>
      <c r="U1040" t="str">
        <f t="shared" si="49"/>
        <v>AB01F4</v>
      </c>
      <c r="V1040">
        <v>0</v>
      </c>
      <c r="W1040">
        <v>0</v>
      </c>
      <c r="X1040">
        <v>2</v>
      </c>
      <c r="Z1040">
        <v>0</v>
      </c>
      <c r="AA1040">
        <v>9</v>
      </c>
      <c r="AB1040">
        <v>3</v>
      </c>
      <c r="AC1040">
        <v>0</v>
      </c>
      <c r="AD1040">
        <v>10</v>
      </c>
      <c r="AE1040">
        <v>0</v>
      </c>
      <c r="AF1040">
        <v>3</v>
      </c>
      <c r="AG1040">
        <v>2</v>
      </c>
      <c r="AH1040">
        <v>0</v>
      </c>
      <c r="AI1040" t="s">
        <v>796</v>
      </c>
      <c r="AJ1040">
        <v>39.711455999999998</v>
      </c>
      <c r="AK1040" t="s">
        <v>797</v>
      </c>
      <c r="AL1040">
        <v>-92.528400000000005</v>
      </c>
      <c r="AM1040">
        <v>100</v>
      </c>
      <c r="AN1040">
        <v>1700</v>
      </c>
      <c r="AO1040" t="s">
        <v>118</v>
      </c>
      <c r="AP1040">
        <v>-16</v>
      </c>
      <c r="AQ1040">
        <v>125</v>
      </c>
      <c r="AR1040">
        <v>64</v>
      </c>
      <c r="AZ1040">
        <v>1200</v>
      </c>
      <c r="BA1040">
        <v>1</v>
      </c>
      <c r="BB1040" t="str">
        <f t="shared" si="51"/>
        <v xml:space="preserve">N8080G  </v>
      </c>
      <c r="BC1040">
        <v>1</v>
      </c>
      <c r="BE1040">
        <v>0</v>
      </c>
      <c r="BF1040">
        <v>0</v>
      </c>
      <c r="BG1040">
        <v>0</v>
      </c>
      <c r="BH1040">
        <v>1675</v>
      </c>
      <c r="BI1040">
        <v>1</v>
      </c>
      <c r="BJ1040">
        <v>1</v>
      </c>
      <c r="BK1040">
        <v>1</v>
      </c>
      <c r="BL1040">
        <v>0</v>
      </c>
      <c r="BO1040">
        <v>0</v>
      </c>
      <c r="BP1040">
        <v>0</v>
      </c>
      <c r="BW1040" t="str">
        <f>"20:17:40.996"</f>
        <v>20:17:40.996</v>
      </c>
      <c r="BZ1040">
        <v>0</v>
      </c>
      <c r="CA1040">
        <v>2016</v>
      </c>
      <c r="CB1040">
        <v>224</v>
      </c>
      <c r="CD1040">
        <v>1</v>
      </c>
      <c r="CE1040">
        <v>0</v>
      </c>
      <c r="CF1040">
        <v>0</v>
      </c>
      <c r="CG1040">
        <v>1</v>
      </c>
      <c r="CH1040">
        <v>0</v>
      </c>
      <c r="CI1040">
        <v>0</v>
      </c>
      <c r="CJ1040">
        <v>0</v>
      </c>
      <c r="CK1040">
        <v>2</v>
      </c>
      <c r="CL1040">
        <v>0</v>
      </c>
      <c r="CM1040">
        <v>2</v>
      </c>
      <c r="CN1040">
        <v>0</v>
      </c>
      <c r="CO1040">
        <v>7</v>
      </c>
      <c r="CP1040" t="s">
        <v>119</v>
      </c>
      <c r="CQ1040">
        <v>180</v>
      </c>
      <c r="CR1040">
        <v>2</v>
      </c>
      <c r="CW1040">
        <v>8049865</v>
      </c>
      <c r="CY1040">
        <v>1</v>
      </c>
      <c r="CZ1040">
        <v>0</v>
      </c>
      <c r="DA1040">
        <v>1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</row>
    <row r="1041" spans="1:113" x14ac:dyDescent="0.3">
      <c r="A1041" t="str">
        <f>"02/08/2021 20:17:38.683"</f>
        <v>02/08/2021 20:17:38.683</v>
      </c>
      <c r="C1041" t="str">
        <f t="shared" si="50"/>
        <v>FFDFD7C0</v>
      </c>
      <c r="D1041" t="s">
        <v>124</v>
      </c>
      <c r="E1041">
        <v>13</v>
      </c>
      <c r="F1041">
        <v>1013</v>
      </c>
      <c r="G1041" t="s">
        <v>114</v>
      </c>
      <c r="J1041" t="s">
        <v>125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>"20:17:40.992"</f>
        <v>20:17:40.992</v>
      </c>
      <c r="T1041" t="str">
        <f>"20:17:40.492"</f>
        <v>20:17:40.492</v>
      </c>
      <c r="U1041" t="str">
        <f t="shared" si="49"/>
        <v>AB01F4</v>
      </c>
      <c r="V1041">
        <v>0</v>
      </c>
      <c r="W1041">
        <v>0</v>
      </c>
      <c r="X1041">
        <v>2</v>
      </c>
      <c r="Z1041">
        <v>0</v>
      </c>
      <c r="AA1041">
        <v>9</v>
      </c>
      <c r="AB1041">
        <v>3</v>
      </c>
      <c r="AC1041">
        <v>0</v>
      </c>
      <c r="AD1041">
        <v>10</v>
      </c>
      <c r="AE1041">
        <v>0</v>
      </c>
      <c r="AF1041">
        <v>3</v>
      </c>
      <c r="AG1041">
        <v>2</v>
      </c>
      <c r="AH1041">
        <v>0</v>
      </c>
      <c r="AI1041" t="s">
        <v>796</v>
      </c>
      <c r="AJ1041">
        <v>39.711455999999998</v>
      </c>
      <c r="AK1041" t="s">
        <v>797</v>
      </c>
      <c r="AL1041">
        <v>-92.528400000000005</v>
      </c>
      <c r="AM1041">
        <v>100</v>
      </c>
      <c r="AN1041">
        <v>1700</v>
      </c>
      <c r="AO1041" t="s">
        <v>118</v>
      </c>
      <c r="AP1041">
        <v>-16</v>
      </c>
      <c r="AQ1041">
        <v>125</v>
      </c>
      <c r="AR1041">
        <v>64</v>
      </c>
      <c r="AZ1041">
        <v>1200</v>
      </c>
      <c r="BA1041">
        <v>1</v>
      </c>
      <c r="BB1041" t="str">
        <f t="shared" si="51"/>
        <v xml:space="preserve">N8080G  </v>
      </c>
      <c r="BC1041">
        <v>1</v>
      </c>
      <c r="BE1041">
        <v>0</v>
      </c>
      <c r="BF1041">
        <v>0</v>
      </c>
      <c r="BG1041">
        <v>0</v>
      </c>
      <c r="BH1041">
        <v>1675</v>
      </c>
      <c r="BI1041">
        <v>1</v>
      </c>
      <c r="BJ1041">
        <v>1</v>
      </c>
      <c r="BK1041">
        <v>1</v>
      </c>
      <c r="BL1041">
        <v>0</v>
      </c>
      <c r="BO1041">
        <v>0</v>
      </c>
      <c r="BP1041">
        <v>0</v>
      </c>
      <c r="BW1041" t="str">
        <f>"20:17:40.996"</f>
        <v>20:17:40.996</v>
      </c>
      <c r="BZ1041">
        <v>0</v>
      </c>
      <c r="CA1041">
        <v>2016</v>
      </c>
      <c r="CB1041">
        <v>224</v>
      </c>
      <c r="CD1041">
        <v>1</v>
      </c>
      <c r="CE1041">
        <v>0</v>
      </c>
      <c r="CF1041">
        <v>0</v>
      </c>
      <c r="CG1041">
        <v>1</v>
      </c>
      <c r="CH1041">
        <v>0</v>
      </c>
      <c r="CI1041">
        <v>0</v>
      </c>
      <c r="CJ1041">
        <v>0</v>
      </c>
      <c r="CK1041">
        <v>2</v>
      </c>
      <c r="CL1041">
        <v>0</v>
      </c>
      <c r="CM1041">
        <v>2</v>
      </c>
      <c r="CN1041">
        <v>0</v>
      </c>
      <c r="CO1041">
        <v>7</v>
      </c>
      <c r="CP1041" t="s">
        <v>119</v>
      </c>
      <c r="CQ1041">
        <v>180</v>
      </c>
      <c r="CR1041">
        <v>2</v>
      </c>
      <c r="CW1041">
        <v>8049865</v>
      </c>
      <c r="CY1041">
        <v>1</v>
      </c>
      <c r="CZ1041">
        <v>0</v>
      </c>
      <c r="DA1041">
        <v>1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</row>
    <row r="1042" spans="1:113" x14ac:dyDescent="0.3">
      <c r="A1042" t="str">
        <f>"02/08/2021 20:17:38.683"</f>
        <v>02/08/2021 20:17:38.683</v>
      </c>
      <c r="C1042" t="str">
        <f t="shared" si="50"/>
        <v>FFDFD7C0</v>
      </c>
      <c r="D1042" t="s">
        <v>124</v>
      </c>
      <c r="E1042">
        <v>12</v>
      </c>
      <c r="F1042">
        <v>1012</v>
      </c>
      <c r="G1042" t="s">
        <v>675</v>
      </c>
      <c r="J1042" t="s">
        <v>125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>"20:17:40.992"</f>
        <v>20:17:40.992</v>
      </c>
      <c r="T1042" t="str">
        <f>"20:17:40.492"</f>
        <v>20:17:40.492</v>
      </c>
      <c r="U1042" t="str">
        <f t="shared" si="49"/>
        <v>AB01F4</v>
      </c>
      <c r="V1042">
        <v>0</v>
      </c>
      <c r="W1042">
        <v>0</v>
      </c>
      <c r="X1042">
        <v>2</v>
      </c>
      <c r="Z1042">
        <v>0</v>
      </c>
      <c r="AA1042">
        <v>9</v>
      </c>
      <c r="AB1042">
        <v>3</v>
      </c>
      <c r="AC1042">
        <v>0</v>
      </c>
      <c r="AD1042">
        <v>10</v>
      </c>
      <c r="AE1042">
        <v>0</v>
      </c>
      <c r="AF1042">
        <v>3</v>
      </c>
      <c r="AG1042">
        <v>2</v>
      </c>
      <c r="AH1042">
        <v>0</v>
      </c>
      <c r="AI1042" t="s">
        <v>796</v>
      </c>
      <c r="AJ1042">
        <v>39.711455999999998</v>
      </c>
      <c r="AK1042" t="s">
        <v>797</v>
      </c>
      <c r="AL1042">
        <v>-92.528400000000005</v>
      </c>
      <c r="AM1042">
        <v>100</v>
      </c>
      <c r="AN1042">
        <v>1700</v>
      </c>
      <c r="AO1042" t="s">
        <v>118</v>
      </c>
      <c r="AP1042">
        <v>-16</v>
      </c>
      <c r="AQ1042">
        <v>125</v>
      </c>
      <c r="AR1042">
        <v>64</v>
      </c>
      <c r="AZ1042">
        <v>1200</v>
      </c>
      <c r="BA1042">
        <v>1</v>
      </c>
      <c r="BB1042" t="str">
        <f t="shared" si="51"/>
        <v xml:space="preserve">N8080G  </v>
      </c>
      <c r="BC1042">
        <v>1</v>
      </c>
      <c r="BE1042">
        <v>0</v>
      </c>
      <c r="BF1042">
        <v>0</v>
      </c>
      <c r="BG1042">
        <v>0</v>
      </c>
      <c r="BH1042">
        <v>1675</v>
      </c>
      <c r="BI1042">
        <v>1</v>
      </c>
      <c r="BJ1042">
        <v>1</v>
      </c>
      <c r="BK1042">
        <v>1</v>
      </c>
      <c r="BL1042">
        <v>0</v>
      </c>
      <c r="BO1042">
        <v>0</v>
      </c>
      <c r="BP1042">
        <v>0</v>
      </c>
      <c r="BW1042" t="str">
        <f>"20:17:40.996"</f>
        <v>20:17:40.996</v>
      </c>
      <c r="BZ1042">
        <v>0</v>
      </c>
      <c r="CA1042">
        <v>2016</v>
      </c>
      <c r="CB1042">
        <v>224</v>
      </c>
      <c r="CD1042">
        <v>1</v>
      </c>
      <c r="CE1042">
        <v>0</v>
      </c>
      <c r="CF1042">
        <v>0</v>
      </c>
      <c r="CG1042">
        <v>1</v>
      </c>
      <c r="CH1042">
        <v>0</v>
      </c>
      <c r="CI1042">
        <v>0</v>
      </c>
      <c r="CJ1042">
        <v>0</v>
      </c>
      <c r="CK1042">
        <v>2</v>
      </c>
      <c r="CL1042">
        <v>0</v>
      </c>
      <c r="CM1042">
        <v>2</v>
      </c>
      <c r="CN1042">
        <v>0</v>
      </c>
      <c r="CO1042">
        <v>7</v>
      </c>
      <c r="CP1042" t="s">
        <v>119</v>
      </c>
      <c r="CQ1042">
        <v>180</v>
      </c>
      <c r="CR1042">
        <v>2</v>
      </c>
      <c r="CW1042">
        <v>8049865</v>
      </c>
      <c r="CY1042">
        <v>1</v>
      </c>
      <c r="CZ1042">
        <v>0</v>
      </c>
      <c r="DA1042">
        <v>1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</row>
    <row r="1043" spans="1:113" x14ac:dyDescent="0.3">
      <c r="A1043" t="str">
        <f>"02/08/2021 20:17:41.412"</f>
        <v>02/08/2021 20:17:41.412</v>
      </c>
      <c r="C1043" t="str">
        <f t="shared" si="50"/>
        <v>FFDFD7C0</v>
      </c>
      <c r="D1043" t="s">
        <v>113</v>
      </c>
      <c r="E1043">
        <v>6</v>
      </c>
      <c r="H1043">
        <v>165</v>
      </c>
      <c r="I1043" t="s">
        <v>114</v>
      </c>
      <c r="J1043" t="s">
        <v>115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>"20:17:43.703"</f>
        <v>20:17:43.703</v>
      </c>
      <c r="T1043" t="str">
        <f>"20:17:43.303"</f>
        <v>20:17:43.303</v>
      </c>
      <c r="U1043" t="str">
        <f t="shared" si="49"/>
        <v>AB01F4</v>
      </c>
      <c r="V1043">
        <v>0</v>
      </c>
      <c r="W1043">
        <v>0</v>
      </c>
      <c r="X1043">
        <v>2</v>
      </c>
      <c r="Z1043">
        <v>0</v>
      </c>
      <c r="AA1043">
        <v>9</v>
      </c>
      <c r="AB1043">
        <v>3</v>
      </c>
      <c r="AC1043">
        <v>0</v>
      </c>
      <c r="AD1043">
        <v>10</v>
      </c>
      <c r="AE1043">
        <v>0</v>
      </c>
      <c r="AF1043">
        <v>3</v>
      </c>
      <c r="AG1043">
        <v>2</v>
      </c>
      <c r="AH1043">
        <v>0</v>
      </c>
      <c r="AI1043" t="s">
        <v>798</v>
      </c>
      <c r="AJ1043">
        <v>39.713023</v>
      </c>
      <c r="AK1043" t="s">
        <v>799</v>
      </c>
      <c r="AL1043">
        <v>-92.528571999999997</v>
      </c>
      <c r="AM1043">
        <v>100</v>
      </c>
      <c r="AN1043">
        <v>1700</v>
      </c>
      <c r="AO1043" t="s">
        <v>118</v>
      </c>
      <c r="AP1043">
        <v>-6</v>
      </c>
      <c r="AQ1043">
        <v>125</v>
      </c>
      <c r="AR1043">
        <v>-64</v>
      </c>
      <c r="AZ1043">
        <v>1200</v>
      </c>
      <c r="BA1043">
        <v>1</v>
      </c>
      <c r="BB1043" t="str">
        <f t="shared" si="51"/>
        <v xml:space="preserve">N8080G  </v>
      </c>
      <c r="BC1043">
        <v>1</v>
      </c>
      <c r="BE1043">
        <v>0</v>
      </c>
      <c r="BF1043">
        <v>0</v>
      </c>
      <c r="BG1043">
        <v>0</v>
      </c>
      <c r="BH1043">
        <v>1675</v>
      </c>
      <c r="BI1043">
        <v>1</v>
      </c>
      <c r="BJ1043">
        <v>1</v>
      </c>
      <c r="BK1043">
        <v>1</v>
      </c>
      <c r="BL1043">
        <v>0</v>
      </c>
      <c r="BO1043">
        <v>0</v>
      </c>
      <c r="BP1043">
        <v>0</v>
      </c>
      <c r="BW1043" t="str">
        <f>"20:17:43.708"</f>
        <v>20:17:43.708</v>
      </c>
      <c r="BZ1043">
        <v>0</v>
      </c>
      <c r="CA1043">
        <v>2016</v>
      </c>
      <c r="CB1043">
        <v>224</v>
      </c>
      <c r="CD1043">
        <v>1</v>
      </c>
      <c r="CE1043">
        <v>0</v>
      </c>
      <c r="CF1043">
        <v>0</v>
      </c>
      <c r="CG1043">
        <v>1</v>
      </c>
      <c r="CH1043">
        <v>0</v>
      </c>
      <c r="CI1043">
        <v>0</v>
      </c>
      <c r="CJ1043">
        <v>0</v>
      </c>
      <c r="CK1043">
        <v>2</v>
      </c>
      <c r="CL1043">
        <v>0</v>
      </c>
      <c r="CM1043">
        <v>2</v>
      </c>
      <c r="CN1043">
        <v>0</v>
      </c>
      <c r="CO1043">
        <v>7</v>
      </c>
      <c r="CP1043" t="s">
        <v>119</v>
      </c>
      <c r="CQ1043">
        <v>180</v>
      </c>
      <c r="CR1043">
        <v>2</v>
      </c>
      <c r="CW1043">
        <v>8052154</v>
      </c>
      <c r="CY1043">
        <v>1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</row>
    <row r="1044" spans="1:113" x14ac:dyDescent="0.3">
      <c r="A1044" t="str">
        <f>"02/08/2021 20:17:41.412"</f>
        <v>02/08/2021 20:17:41.412</v>
      </c>
      <c r="C1044" t="str">
        <f t="shared" si="50"/>
        <v>FFDFD7C0</v>
      </c>
      <c r="D1044" t="s">
        <v>124</v>
      </c>
      <c r="E1044">
        <v>11</v>
      </c>
      <c r="F1044">
        <v>1011</v>
      </c>
      <c r="G1044" t="s">
        <v>590</v>
      </c>
      <c r="J1044" t="s">
        <v>125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>"20:17:43.703"</f>
        <v>20:17:43.703</v>
      </c>
      <c r="T1044" t="str">
        <f>"20:17:43.303"</f>
        <v>20:17:43.303</v>
      </c>
      <c r="U1044" t="str">
        <f t="shared" si="49"/>
        <v>AB01F4</v>
      </c>
      <c r="V1044">
        <v>0</v>
      </c>
      <c r="W1044">
        <v>0</v>
      </c>
      <c r="X1044">
        <v>2</v>
      </c>
      <c r="Z1044">
        <v>0</v>
      </c>
      <c r="AA1044">
        <v>9</v>
      </c>
      <c r="AB1044">
        <v>3</v>
      </c>
      <c r="AC1044">
        <v>0</v>
      </c>
      <c r="AD1044">
        <v>10</v>
      </c>
      <c r="AE1044">
        <v>0</v>
      </c>
      <c r="AF1044">
        <v>3</v>
      </c>
      <c r="AG1044">
        <v>2</v>
      </c>
      <c r="AH1044">
        <v>0</v>
      </c>
      <c r="AI1044" t="s">
        <v>798</v>
      </c>
      <c r="AJ1044">
        <v>39.713023</v>
      </c>
      <c r="AK1044" t="s">
        <v>799</v>
      </c>
      <c r="AL1044">
        <v>-92.528571999999997</v>
      </c>
      <c r="AM1044">
        <v>100</v>
      </c>
      <c r="AN1044">
        <v>1700</v>
      </c>
      <c r="AO1044" t="s">
        <v>118</v>
      </c>
      <c r="AP1044">
        <v>-6</v>
      </c>
      <c r="AQ1044">
        <v>125</v>
      </c>
      <c r="AR1044">
        <v>-64</v>
      </c>
      <c r="AZ1044">
        <v>1200</v>
      </c>
      <c r="BA1044">
        <v>1</v>
      </c>
      <c r="BB1044" t="str">
        <f t="shared" si="51"/>
        <v xml:space="preserve">N8080G  </v>
      </c>
      <c r="BC1044">
        <v>1</v>
      </c>
      <c r="BE1044">
        <v>0</v>
      </c>
      <c r="BF1044">
        <v>0</v>
      </c>
      <c r="BG1044">
        <v>0</v>
      </c>
      <c r="BH1044">
        <v>1675</v>
      </c>
      <c r="BI1044">
        <v>1</v>
      </c>
      <c r="BJ1044">
        <v>1</v>
      </c>
      <c r="BK1044">
        <v>1</v>
      </c>
      <c r="BL1044">
        <v>0</v>
      </c>
      <c r="BO1044">
        <v>0</v>
      </c>
      <c r="BP1044">
        <v>0</v>
      </c>
      <c r="BW1044" t="str">
        <f>"20:17:43.708"</f>
        <v>20:17:43.708</v>
      </c>
      <c r="BZ1044">
        <v>0</v>
      </c>
      <c r="CA1044">
        <v>2016</v>
      </c>
      <c r="CB1044">
        <v>224</v>
      </c>
      <c r="CD1044">
        <v>1</v>
      </c>
      <c r="CE1044">
        <v>0</v>
      </c>
      <c r="CF1044">
        <v>0</v>
      </c>
      <c r="CG1044">
        <v>1</v>
      </c>
      <c r="CH1044">
        <v>0</v>
      </c>
      <c r="CI1044">
        <v>0</v>
      </c>
      <c r="CJ1044">
        <v>0</v>
      </c>
      <c r="CK1044">
        <v>2</v>
      </c>
      <c r="CL1044">
        <v>0</v>
      </c>
      <c r="CM1044">
        <v>2</v>
      </c>
      <c r="CN1044">
        <v>0</v>
      </c>
      <c r="CO1044">
        <v>7</v>
      </c>
      <c r="CP1044" t="s">
        <v>119</v>
      </c>
      <c r="CQ1044">
        <v>180</v>
      </c>
      <c r="CR1044">
        <v>2</v>
      </c>
      <c r="CW1044">
        <v>8052154</v>
      </c>
      <c r="CY1044">
        <v>1</v>
      </c>
      <c r="CZ1044">
        <v>0</v>
      </c>
      <c r="DA1044">
        <v>1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</row>
    <row r="1045" spans="1:113" x14ac:dyDescent="0.3">
      <c r="A1045" t="str">
        <f>"02/08/2021 20:17:41.412"</f>
        <v>02/08/2021 20:17:41.412</v>
      </c>
      <c r="C1045" t="str">
        <f t="shared" si="50"/>
        <v>FFDFD7C0</v>
      </c>
      <c r="D1045" t="s">
        <v>124</v>
      </c>
      <c r="E1045">
        <v>12</v>
      </c>
      <c r="F1045">
        <v>1012</v>
      </c>
      <c r="G1045" t="s">
        <v>675</v>
      </c>
      <c r="J1045" t="s">
        <v>125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>"20:17:43.703"</f>
        <v>20:17:43.703</v>
      </c>
      <c r="T1045" t="str">
        <f>"20:17:43.303"</f>
        <v>20:17:43.303</v>
      </c>
      <c r="U1045" t="str">
        <f t="shared" si="49"/>
        <v>AB01F4</v>
      </c>
      <c r="V1045">
        <v>0</v>
      </c>
      <c r="W1045">
        <v>0</v>
      </c>
      <c r="X1045">
        <v>2</v>
      </c>
      <c r="Z1045">
        <v>0</v>
      </c>
      <c r="AA1045">
        <v>9</v>
      </c>
      <c r="AB1045">
        <v>3</v>
      </c>
      <c r="AC1045">
        <v>0</v>
      </c>
      <c r="AD1045">
        <v>10</v>
      </c>
      <c r="AE1045">
        <v>0</v>
      </c>
      <c r="AF1045">
        <v>3</v>
      </c>
      <c r="AG1045">
        <v>2</v>
      </c>
      <c r="AH1045">
        <v>0</v>
      </c>
      <c r="AI1045" t="s">
        <v>798</v>
      </c>
      <c r="AJ1045">
        <v>39.713023</v>
      </c>
      <c r="AK1045" t="s">
        <v>799</v>
      </c>
      <c r="AL1045">
        <v>-92.528571999999997</v>
      </c>
      <c r="AM1045">
        <v>100</v>
      </c>
      <c r="AN1045">
        <v>1700</v>
      </c>
      <c r="AO1045" t="s">
        <v>118</v>
      </c>
      <c r="AP1045">
        <v>-6</v>
      </c>
      <c r="AQ1045">
        <v>125</v>
      </c>
      <c r="AR1045">
        <v>-64</v>
      </c>
      <c r="AZ1045">
        <v>1200</v>
      </c>
      <c r="BA1045">
        <v>1</v>
      </c>
      <c r="BB1045" t="str">
        <f t="shared" si="51"/>
        <v xml:space="preserve">N8080G  </v>
      </c>
      <c r="BC1045">
        <v>1</v>
      </c>
      <c r="BE1045">
        <v>0</v>
      </c>
      <c r="BF1045">
        <v>0</v>
      </c>
      <c r="BG1045">
        <v>0</v>
      </c>
      <c r="BH1045">
        <v>1675</v>
      </c>
      <c r="BI1045">
        <v>1</v>
      </c>
      <c r="BJ1045">
        <v>1</v>
      </c>
      <c r="BK1045">
        <v>1</v>
      </c>
      <c r="BL1045">
        <v>0</v>
      </c>
      <c r="BO1045">
        <v>0</v>
      </c>
      <c r="BP1045">
        <v>0</v>
      </c>
      <c r="BW1045" t="str">
        <f>"20:17:43.708"</f>
        <v>20:17:43.708</v>
      </c>
      <c r="BZ1045">
        <v>0</v>
      </c>
      <c r="CA1045">
        <v>2016</v>
      </c>
      <c r="CB1045">
        <v>224</v>
      </c>
      <c r="CD1045">
        <v>1</v>
      </c>
      <c r="CE1045">
        <v>0</v>
      </c>
      <c r="CF1045">
        <v>0</v>
      </c>
      <c r="CG1045">
        <v>1</v>
      </c>
      <c r="CH1045">
        <v>0</v>
      </c>
      <c r="CI1045">
        <v>0</v>
      </c>
      <c r="CJ1045">
        <v>0</v>
      </c>
      <c r="CK1045">
        <v>2</v>
      </c>
      <c r="CL1045">
        <v>0</v>
      </c>
      <c r="CM1045">
        <v>2</v>
      </c>
      <c r="CN1045">
        <v>0</v>
      </c>
      <c r="CO1045">
        <v>7</v>
      </c>
      <c r="CP1045" t="s">
        <v>119</v>
      </c>
      <c r="CQ1045">
        <v>180</v>
      </c>
      <c r="CR1045">
        <v>2</v>
      </c>
      <c r="CW1045">
        <v>8052154</v>
      </c>
      <c r="CY1045">
        <v>1</v>
      </c>
      <c r="CZ1045">
        <v>0</v>
      </c>
      <c r="DA1045">
        <v>1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</row>
    <row r="1046" spans="1:113" x14ac:dyDescent="0.3">
      <c r="A1046" t="str">
        <f>"02/08/2021 20:17:41.412"</f>
        <v>02/08/2021 20:17:41.412</v>
      </c>
      <c r="C1046" t="str">
        <f t="shared" si="50"/>
        <v>FFDFD7C0</v>
      </c>
      <c r="D1046" t="s">
        <v>124</v>
      </c>
      <c r="E1046">
        <v>13</v>
      </c>
      <c r="F1046">
        <v>1013</v>
      </c>
      <c r="G1046" t="s">
        <v>114</v>
      </c>
      <c r="J1046" t="s">
        <v>125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>"20:17:43.703"</f>
        <v>20:17:43.703</v>
      </c>
      <c r="T1046" t="str">
        <f>"20:17:43.303"</f>
        <v>20:17:43.303</v>
      </c>
      <c r="U1046" t="str">
        <f t="shared" si="49"/>
        <v>AB01F4</v>
      </c>
      <c r="V1046">
        <v>0</v>
      </c>
      <c r="W1046">
        <v>0</v>
      </c>
      <c r="X1046">
        <v>2</v>
      </c>
      <c r="Z1046">
        <v>0</v>
      </c>
      <c r="AA1046">
        <v>9</v>
      </c>
      <c r="AB1046">
        <v>3</v>
      </c>
      <c r="AC1046">
        <v>0</v>
      </c>
      <c r="AD1046">
        <v>10</v>
      </c>
      <c r="AE1046">
        <v>0</v>
      </c>
      <c r="AF1046">
        <v>3</v>
      </c>
      <c r="AG1046">
        <v>2</v>
      </c>
      <c r="AH1046">
        <v>0</v>
      </c>
      <c r="AI1046" t="s">
        <v>798</v>
      </c>
      <c r="AJ1046">
        <v>39.713023</v>
      </c>
      <c r="AK1046" t="s">
        <v>799</v>
      </c>
      <c r="AL1046">
        <v>-92.528571999999997</v>
      </c>
      <c r="AM1046">
        <v>100</v>
      </c>
      <c r="AN1046">
        <v>1700</v>
      </c>
      <c r="AO1046" t="s">
        <v>118</v>
      </c>
      <c r="AP1046">
        <v>-6</v>
      </c>
      <c r="AQ1046">
        <v>125</v>
      </c>
      <c r="AR1046">
        <v>-64</v>
      </c>
      <c r="AZ1046">
        <v>1200</v>
      </c>
      <c r="BA1046">
        <v>1</v>
      </c>
      <c r="BB1046" t="str">
        <f t="shared" si="51"/>
        <v xml:space="preserve">N8080G  </v>
      </c>
      <c r="BC1046">
        <v>1</v>
      </c>
      <c r="BE1046">
        <v>0</v>
      </c>
      <c r="BF1046">
        <v>0</v>
      </c>
      <c r="BG1046">
        <v>0</v>
      </c>
      <c r="BH1046">
        <v>1675</v>
      </c>
      <c r="BI1046">
        <v>1</v>
      </c>
      <c r="BJ1046">
        <v>1</v>
      </c>
      <c r="BK1046">
        <v>1</v>
      </c>
      <c r="BL1046">
        <v>0</v>
      </c>
      <c r="BO1046">
        <v>0</v>
      </c>
      <c r="BP1046">
        <v>0</v>
      </c>
      <c r="BW1046" t="str">
        <f>"20:17:43.708"</f>
        <v>20:17:43.708</v>
      </c>
      <c r="BZ1046">
        <v>0</v>
      </c>
      <c r="CA1046">
        <v>2016</v>
      </c>
      <c r="CB1046">
        <v>224</v>
      </c>
      <c r="CD1046">
        <v>1</v>
      </c>
      <c r="CE1046">
        <v>0</v>
      </c>
      <c r="CF1046">
        <v>0</v>
      </c>
      <c r="CG1046">
        <v>1</v>
      </c>
      <c r="CH1046">
        <v>0</v>
      </c>
      <c r="CI1046">
        <v>0</v>
      </c>
      <c r="CJ1046">
        <v>0</v>
      </c>
      <c r="CK1046">
        <v>2</v>
      </c>
      <c r="CL1046">
        <v>0</v>
      </c>
      <c r="CM1046">
        <v>2</v>
      </c>
      <c r="CN1046">
        <v>0</v>
      </c>
      <c r="CO1046">
        <v>7</v>
      </c>
      <c r="CP1046" t="s">
        <v>119</v>
      </c>
      <c r="CQ1046">
        <v>180</v>
      </c>
      <c r="CR1046">
        <v>2</v>
      </c>
      <c r="CW1046">
        <v>8052154</v>
      </c>
      <c r="CY1046">
        <v>1</v>
      </c>
      <c r="CZ1046">
        <v>0</v>
      </c>
      <c r="DA1046">
        <v>1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</row>
    <row r="1047" spans="1:113" x14ac:dyDescent="0.3">
      <c r="A1047" t="str">
        <f>"02/08/2021 20:17:42.524"</f>
        <v>02/08/2021 20:17:42.524</v>
      </c>
      <c r="C1047" t="str">
        <f t="shared" si="50"/>
        <v>FFDFD7C0</v>
      </c>
      <c r="D1047" t="s">
        <v>113</v>
      </c>
      <c r="E1047">
        <v>6</v>
      </c>
      <c r="H1047">
        <v>165</v>
      </c>
      <c r="I1047" t="s">
        <v>114</v>
      </c>
      <c r="J1047" t="s">
        <v>115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>"20:17:44.836"</f>
        <v>20:17:44.836</v>
      </c>
      <c r="T1047" t="str">
        <f>"20:17:44.336"</f>
        <v>20:17:44.336</v>
      </c>
      <c r="U1047" t="str">
        <f t="shared" si="49"/>
        <v>AB01F4</v>
      </c>
      <c r="V1047">
        <v>0</v>
      </c>
      <c r="W1047">
        <v>0</v>
      </c>
      <c r="X1047">
        <v>2</v>
      </c>
      <c r="Z1047">
        <v>0</v>
      </c>
      <c r="AA1047">
        <v>9</v>
      </c>
      <c r="AB1047">
        <v>3</v>
      </c>
      <c r="AC1047">
        <v>0</v>
      </c>
      <c r="AD1047">
        <v>10</v>
      </c>
      <c r="AE1047">
        <v>0</v>
      </c>
      <c r="AF1047">
        <v>3</v>
      </c>
      <c r="AG1047">
        <v>2</v>
      </c>
      <c r="AH1047">
        <v>0</v>
      </c>
      <c r="AI1047" t="s">
        <v>800</v>
      </c>
      <c r="AJ1047">
        <v>39.713709000000001</v>
      </c>
      <c r="AK1047" t="s">
        <v>799</v>
      </c>
      <c r="AL1047">
        <v>-92.528571999999997</v>
      </c>
      <c r="AM1047">
        <v>100</v>
      </c>
      <c r="AN1047">
        <v>1700</v>
      </c>
      <c r="AO1047" t="s">
        <v>118</v>
      </c>
      <c r="AP1047">
        <v>-3</v>
      </c>
      <c r="AQ1047">
        <v>125</v>
      </c>
      <c r="AR1047">
        <v>0</v>
      </c>
      <c r="AZ1047">
        <v>1200</v>
      </c>
      <c r="BA1047">
        <v>1</v>
      </c>
      <c r="BB1047" t="str">
        <f t="shared" si="51"/>
        <v xml:space="preserve">N8080G  </v>
      </c>
      <c r="BC1047">
        <v>1</v>
      </c>
      <c r="BE1047">
        <v>0</v>
      </c>
      <c r="BF1047">
        <v>0</v>
      </c>
      <c r="BG1047">
        <v>0</v>
      </c>
      <c r="BH1047">
        <v>1675</v>
      </c>
      <c r="BI1047">
        <v>1</v>
      </c>
      <c r="BJ1047">
        <v>1</v>
      </c>
      <c r="BK1047">
        <v>1</v>
      </c>
      <c r="BL1047">
        <v>0</v>
      </c>
      <c r="BO1047">
        <v>0</v>
      </c>
      <c r="BP1047">
        <v>0</v>
      </c>
      <c r="BW1047" t="str">
        <f>"20:17:44.839"</f>
        <v>20:17:44.839</v>
      </c>
      <c r="BZ1047">
        <v>0</v>
      </c>
      <c r="CA1047">
        <v>2016</v>
      </c>
      <c r="CB1047">
        <v>224</v>
      </c>
      <c r="CD1047">
        <v>1</v>
      </c>
      <c r="CE1047">
        <v>0</v>
      </c>
      <c r="CF1047">
        <v>0</v>
      </c>
      <c r="CG1047">
        <v>1</v>
      </c>
      <c r="CH1047">
        <v>0</v>
      </c>
      <c r="CI1047">
        <v>0</v>
      </c>
      <c r="CJ1047">
        <v>0</v>
      </c>
      <c r="CK1047">
        <v>2</v>
      </c>
      <c r="CL1047">
        <v>0</v>
      </c>
      <c r="CM1047">
        <v>2</v>
      </c>
      <c r="CN1047">
        <v>0</v>
      </c>
      <c r="CO1047">
        <v>7</v>
      </c>
      <c r="CP1047" t="s">
        <v>119</v>
      </c>
      <c r="CQ1047">
        <v>180</v>
      </c>
      <c r="CR1047">
        <v>1</v>
      </c>
      <c r="CW1047">
        <v>10610799</v>
      </c>
      <c r="CY1047">
        <v>1</v>
      </c>
      <c r="CZ1047">
        <v>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</row>
    <row r="1048" spans="1:113" x14ac:dyDescent="0.3">
      <c r="A1048" t="str">
        <f>"02/08/2021 20:17:42.524"</f>
        <v>02/08/2021 20:17:42.524</v>
      </c>
      <c r="C1048" t="str">
        <f t="shared" si="50"/>
        <v>FFDFD7C0</v>
      </c>
      <c r="D1048" t="s">
        <v>124</v>
      </c>
      <c r="E1048">
        <v>13</v>
      </c>
      <c r="F1048">
        <v>1013</v>
      </c>
      <c r="G1048" t="s">
        <v>114</v>
      </c>
      <c r="J1048" t="s">
        <v>125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>"20:17:44.836"</f>
        <v>20:17:44.836</v>
      </c>
      <c r="T1048" t="str">
        <f>"20:17:44.336"</f>
        <v>20:17:44.336</v>
      </c>
      <c r="U1048" t="str">
        <f t="shared" si="49"/>
        <v>AB01F4</v>
      </c>
      <c r="V1048">
        <v>0</v>
      </c>
      <c r="W1048">
        <v>0</v>
      </c>
      <c r="X1048">
        <v>2</v>
      </c>
      <c r="Z1048">
        <v>0</v>
      </c>
      <c r="AA1048">
        <v>9</v>
      </c>
      <c r="AB1048">
        <v>3</v>
      </c>
      <c r="AC1048">
        <v>0</v>
      </c>
      <c r="AD1048">
        <v>10</v>
      </c>
      <c r="AE1048">
        <v>0</v>
      </c>
      <c r="AF1048">
        <v>3</v>
      </c>
      <c r="AG1048">
        <v>2</v>
      </c>
      <c r="AH1048">
        <v>0</v>
      </c>
      <c r="AI1048" t="s">
        <v>800</v>
      </c>
      <c r="AJ1048">
        <v>39.713709000000001</v>
      </c>
      <c r="AK1048" t="s">
        <v>799</v>
      </c>
      <c r="AL1048">
        <v>-92.528571999999997</v>
      </c>
      <c r="AM1048">
        <v>100</v>
      </c>
      <c r="AN1048">
        <v>1700</v>
      </c>
      <c r="AO1048" t="s">
        <v>118</v>
      </c>
      <c r="AP1048">
        <v>-3</v>
      </c>
      <c r="AQ1048">
        <v>125</v>
      </c>
      <c r="AR1048">
        <v>0</v>
      </c>
      <c r="AZ1048">
        <v>1200</v>
      </c>
      <c r="BA1048">
        <v>1</v>
      </c>
      <c r="BB1048" t="str">
        <f t="shared" si="51"/>
        <v xml:space="preserve">N8080G  </v>
      </c>
      <c r="BC1048">
        <v>1</v>
      </c>
      <c r="BE1048">
        <v>0</v>
      </c>
      <c r="BF1048">
        <v>0</v>
      </c>
      <c r="BG1048">
        <v>0</v>
      </c>
      <c r="BH1048">
        <v>1675</v>
      </c>
      <c r="BI1048">
        <v>1</v>
      </c>
      <c r="BJ1048">
        <v>1</v>
      </c>
      <c r="BK1048">
        <v>1</v>
      </c>
      <c r="BL1048">
        <v>0</v>
      </c>
      <c r="BO1048">
        <v>0</v>
      </c>
      <c r="BP1048">
        <v>0</v>
      </c>
      <c r="BW1048" t="str">
        <f>"20:17:44.839"</f>
        <v>20:17:44.839</v>
      </c>
      <c r="BZ1048">
        <v>0</v>
      </c>
      <c r="CA1048">
        <v>2016</v>
      </c>
      <c r="CB1048">
        <v>224</v>
      </c>
      <c r="CD1048">
        <v>1</v>
      </c>
      <c r="CE1048">
        <v>0</v>
      </c>
      <c r="CF1048">
        <v>0</v>
      </c>
      <c r="CG1048">
        <v>1</v>
      </c>
      <c r="CH1048">
        <v>0</v>
      </c>
      <c r="CI1048">
        <v>0</v>
      </c>
      <c r="CJ1048">
        <v>0</v>
      </c>
      <c r="CK1048">
        <v>2</v>
      </c>
      <c r="CL1048">
        <v>0</v>
      </c>
      <c r="CM1048">
        <v>2</v>
      </c>
      <c r="CN1048">
        <v>0</v>
      </c>
      <c r="CO1048">
        <v>7</v>
      </c>
      <c r="CP1048" t="s">
        <v>119</v>
      </c>
      <c r="CQ1048">
        <v>180</v>
      </c>
      <c r="CR1048">
        <v>1</v>
      </c>
      <c r="CW1048">
        <v>10610799</v>
      </c>
      <c r="CY1048">
        <v>1</v>
      </c>
      <c r="CZ1048">
        <v>0</v>
      </c>
      <c r="DA1048">
        <v>1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</row>
    <row r="1049" spans="1:113" x14ac:dyDescent="0.3">
      <c r="A1049" t="str">
        <f>"02/08/2021 20:17:42.524"</f>
        <v>02/08/2021 20:17:42.524</v>
      </c>
      <c r="C1049" t="str">
        <f t="shared" si="50"/>
        <v>FFDFD7C0</v>
      </c>
      <c r="D1049" t="s">
        <v>124</v>
      </c>
      <c r="E1049">
        <v>12</v>
      </c>
      <c r="F1049">
        <v>1012</v>
      </c>
      <c r="G1049" t="s">
        <v>675</v>
      </c>
      <c r="J1049" t="s">
        <v>125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>"20:17:44.836"</f>
        <v>20:17:44.836</v>
      </c>
      <c r="T1049" t="str">
        <f>"20:17:44.336"</f>
        <v>20:17:44.336</v>
      </c>
      <c r="U1049" t="str">
        <f t="shared" si="49"/>
        <v>AB01F4</v>
      </c>
      <c r="V1049">
        <v>0</v>
      </c>
      <c r="W1049">
        <v>0</v>
      </c>
      <c r="X1049">
        <v>2</v>
      </c>
      <c r="Z1049">
        <v>0</v>
      </c>
      <c r="AA1049">
        <v>9</v>
      </c>
      <c r="AB1049">
        <v>3</v>
      </c>
      <c r="AC1049">
        <v>0</v>
      </c>
      <c r="AD1049">
        <v>10</v>
      </c>
      <c r="AE1049">
        <v>0</v>
      </c>
      <c r="AF1049">
        <v>3</v>
      </c>
      <c r="AG1049">
        <v>2</v>
      </c>
      <c r="AH1049">
        <v>0</v>
      </c>
      <c r="AI1049" t="s">
        <v>800</v>
      </c>
      <c r="AJ1049">
        <v>39.713709000000001</v>
      </c>
      <c r="AK1049" t="s">
        <v>799</v>
      </c>
      <c r="AL1049">
        <v>-92.528571999999997</v>
      </c>
      <c r="AM1049">
        <v>100</v>
      </c>
      <c r="AN1049">
        <v>1700</v>
      </c>
      <c r="AO1049" t="s">
        <v>118</v>
      </c>
      <c r="AP1049">
        <v>-3</v>
      </c>
      <c r="AQ1049">
        <v>125</v>
      </c>
      <c r="AR1049">
        <v>0</v>
      </c>
      <c r="AZ1049">
        <v>1200</v>
      </c>
      <c r="BA1049">
        <v>1</v>
      </c>
      <c r="BB1049" t="str">
        <f t="shared" si="51"/>
        <v xml:space="preserve">N8080G  </v>
      </c>
      <c r="BC1049">
        <v>1</v>
      </c>
      <c r="BE1049">
        <v>0</v>
      </c>
      <c r="BF1049">
        <v>0</v>
      </c>
      <c r="BG1049">
        <v>0</v>
      </c>
      <c r="BH1049">
        <v>1675</v>
      </c>
      <c r="BI1049">
        <v>1</v>
      </c>
      <c r="BJ1049">
        <v>1</v>
      </c>
      <c r="BK1049">
        <v>1</v>
      </c>
      <c r="BL1049">
        <v>0</v>
      </c>
      <c r="BO1049">
        <v>0</v>
      </c>
      <c r="BP1049">
        <v>0</v>
      </c>
      <c r="BW1049" t="str">
        <f>"20:17:44.839"</f>
        <v>20:17:44.839</v>
      </c>
      <c r="BZ1049">
        <v>0</v>
      </c>
      <c r="CA1049">
        <v>2016</v>
      </c>
      <c r="CB1049">
        <v>224</v>
      </c>
      <c r="CD1049">
        <v>1</v>
      </c>
      <c r="CE1049">
        <v>0</v>
      </c>
      <c r="CF1049">
        <v>0</v>
      </c>
      <c r="CG1049">
        <v>1</v>
      </c>
      <c r="CH1049">
        <v>0</v>
      </c>
      <c r="CI1049">
        <v>0</v>
      </c>
      <c r="CJ1049">
        <v>0</v>
      </c>
      <c r="CK1049">
        <v>2</v>
      </c>
      <c r="CL1049">
        <v>0</v>
      </c>
      <c r="CM1049">
        <v>2</v>
      </c>
      <c r="CN1049">
        <v>0</v>
      </c>
      <c r="CO1049">
        <v>7</v>
      </c>
      <c r="CP1049" t="s">
        <v>119</v>
      </c>
      <c r="CQ1049">
        <v>180</v>
      </c>
      <c r="CR1049">
        <v>1</v>
      </c>
      <c r="CW1049">
        <v>10610799</v>
      </c>
      <c r="CY1049">
        <v>1</v>
      </c>
      <c r="CZ1049">
        <v>0</v>
      </c>
      <c r="DA1049">
        <v>1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</row>
    <row r="1050" spans="1:113" x14ac:dyDescent="0.3">
      <c r="A1050" t="str">
        <f>"02/08/2021 20:17:42.524"</f>
        <v>02/08/2021 20:17:42.524</v>
      </c>
      <c r="C1050" t="str">
        <f t="shared" si="50"/>
        <v>FFDFD7C0</v>
      </c>
      <c r="D1050" t="s">
        <v>124</v>
      </c>
      <c r="E1050">
        <v>11</v>
      </c>
      <c r="F1050">
        <v>1011</v>
      </c>
      <c r="G1050" t="s">
        <v>590</v>
      </c>
      <c r="J1050" t="s">
        <v>125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>"20:17:44.836"</f>
        <v>20:17:44.836</v>
      </c>
      <c r="T1050" t="str">
        <f>"20:17:44.336"</f>
        <v>20:17:44.336</v>
      </c>
      <c r="U1050" t="str">
        <f t="shared" si="49"/>
        <v>AB01F4</v>
      </c>
      <c r="V1050">
        <v>0</v>
      </c>
      <c r="W1050">
        <v>0</v>
      </c>
      <c r="X1050">
        <v>2</v>
      </c>
      <c r="Z1050">
        <v>0</v>
      </c>
      <c r="AA1050">
        <v>9</v>
      </c>
      <c r="AB1050">
        <v>3</v>
      </c>
      <c r="AC1050">
        <v>0</v>
      </c>
      <c r="AD1050">
        <v>10</v>
      </c>
      <c r="AE1050">
        <v>0</v>
      </c>
      <c r="AF1050">
        <v>3</v>
      </c>
      <c r="AG1050">
        <v>2</v>
      </c>
      <c r="AH1050">
        <v>0</v>
      </c>
      <c r="AI1050" t="s">
        <v>800</v>
      </c>
      <c r="AJ1050">
        <v>39.713709000000001</v>
      </c>
      <c r="AK1050" t="s">
        <v>799</v>
      </c>
      <c r="AL1050">
        <v>-92.528571999999997</v>
      </c>
      <c r="AM1050">
        <v>100</v>
      </c>
      <c r="AN1050">
        <v>1700</v>
      </c>
      <c r="AO1050" t="s">
        <v>118</v>
      </c>
      <c r="AP1050">
        <v>-3</v>
      </c>
      <c r="AQ1050">
        <v>125</v>
      </c>
      <c r="AR1050">
        <v>0</v>
      </c>
      <c r="AZ1050">
        <v>1200</v>
      </c>
      <c r="BA1050">
        <v>1</v>
      </c>
      <c r="BB1050" t="str">
        <f t="shared" si="51"/>
        <v xml:space="preserve">N8080G  </v>
      </c>
      <c r="BC1050">
        <v>1</v>
      </c>
      <c r="BE1050">
        <v>0</v>
      </c>
      <c r="BF1050">
        <v>0</v>
      </c>
      <c r="BG1050">
        <v>0</v>
      </c>
      <c r="BH1050">
        <v>1675</v>
      </c>
      <c r="BI1050">
        <v>1</v>
      </c>
      <c r="BJ1050">
        <v>1</v>
      </c>
      <c r="BK1050">
        <v>1</v>
      </c>
      <c r="BL1050">
        <v>0</v>
      </c>
      <c r="BO1050">
        <v>0</v>
      </c>
      <c r="BP1050">
        <v>0</v>
      </c>
      <c r="BW1050" t="str">
        <f>"20:17:44.839"</f>
        <v>20:17:44.839</v>
      </c>
      <c r="BZ1050">
        <v>0</v>
      </c>
      <c r="CA1050">
        <v>2016</v>
      </c>
      <c r="CB1050">
        <v>224</v>
      </c>
      <c r="CD1050">
        <v>1</v>
      </c>
      <c r="CE1050">
        <v>0</v>
      </c>
      <c r="CF1050">
        <v>0</v>
      </c>
      <c r="CG1050">
        <v>1</v>
      </c>
      <c r="CH1050">
        <v>0</v>
      </c>
      <c r="CI1050">
        <v>0</v>
      </c>
      <c r="CJ1050">
        <v>0</v>
      </c>
      <c r="CK1050">
        <v>2</v>
      </c>
      <c r="CL1050">
        <v>0</v>
      </c>
      <c r="CM1050">
        <v>2</v>
      </c>
      <c r="CN1050">
        <v>0</v>
      </c>
      <c r="CO1050">
        <v>7</v>
      </c>
      <c r="CP1050" t="s">
        <v>119</v>
      </c>
      <c r="CQ1050">
        <v>180</v>
      </c>
      <c r="CR1050">
        <v>1</v>
      </c>
      <c r="CW1050">
        <v>10610799</v>
      </c>
      <c r="CY1050">
        <v>1</v>
      </c>
      <c r="CZ1050">
        <v>0</v>
      </c>
      <c r="DA1050">
        <v>1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</row>
    <row r="1051" spans="1:113" x14ac:dyDescent="0.3">
      <c r="A1051" t="str">
        <f>"02/08/2021 20:17:44.032"</f>
        <v>02/08/2021 20:17:44.032</v>
      </c>
      <c r="C1051" t="str">
        <f t="shared" si="50"/>
        <v>FFDFD7C0</v>
      </c>
      <c r="D1051" t="s">
        <v>124</v>
      </c>
      <c r="E1051">
        <v>13</v>
      </c>
      <c r="F1051">
        <v>1013</v>
      </c>
      <c r="G1051" t="s">
        <v>114</v>
      </c>
      <c r="J1051" t="s">
        <v>125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>"20:17:46.359"</f>
        <v>20:17:46.359</v>
      </c>
      <c r="T1051" t="str">
        <f>"20:17:45.959"</f>
        <v>20:17:45.959</v>
      </c>
      <c r="U1051" t="str">
        <f t="shared" si="49"/>
        <v>AB01F4</v>
      </c>
      <c r="V1051">
        <v>0</v>
      </c>
      <c r="W1051">
        <v>0</v>
      </c>
      <c r="X1051">
        <v>2</v>
      </c>
      <c r="Z1051">
        <v>0</v>
      </c>
      <c r="AA1051">
        <v>9</v>
      </c>
      <c r="AB1051">
        <v>3</v>
      </c>
      <c r="AC1051">
        <v>0</v>
      </c>
      <c r="AD1051">
        <v>10</v>
      </c>
      <c r="AE1051">
        <v>0</v>
      </c>
      <c r="AF1051">
        <v>3</v>
      </c>
      <c r="AG1051">
        <v>2</v>
      </c>
      <c r="AH1051">
        <v>0</v>
      </c>
      <c r="AI1051" t="s">
        <v>801</v>
      </c>
      <c r="AJ1051">
        <v>39.714568</v>
      </c>
      <c r="AK1051" t="s">
        <v>802</v>
      </c>
      <c r="AL1051">
        <v>-92.528593999999998</v>
      </c>
      <c r="AM1051">
        <v>100</v>
      </c>
      <c r="AN1051">
        <v>1700</v>
      </c>
      <c r="AO1051" t="s">
        <v>118</v>
      </c>
      <c r="AP1051">
        <v>3</v>
      </c>
      <c r="AQ1051">
        <v>125</v>
      </c>
      <c r="AR1051">
        <v>-64</v>
      </c>
      <c r="AZ1051">
        <v>1200</v>
      </c>
      <c r="BA1051">
        <v>1</v>
      </c>
      <c r="BB1051" t="str">
        <f t="shared" si="51"/>
        <v xml:space="preserve">N8080G  </v>
      </c>
      <c r="BC1051">
        <v>1</v>
      </c>
      <c r="BE1051">
        <v>0</v>
      </c>
      <c r="BF1051">
        <v>0</v>
      </c>
      <c r="BG1051">
        <v>0</v>
      </c>
      <c r="BH1051">
        <v>1675</v>
      </c>
      <c r="BI1051">
        <v>1</v>
      </c>
      <c r="BJ1051">
        <v>1</v>
      </c>
      <c r="BK1051">
        <v>1</v>
      </c>
      <c r="BL1051">
        <v>0</v>
      </c>
      <c r="BO1051">
        <v>0</v>
      </c>
      <c r="BP1051">
        <v>0</v>
      </c>
      <c r="BW1051" t="str">
        <f>"20:17:46.361"</f>
        <v>20:17:46.361</v>
      </c>
      <c r="BZ1051">
        <v>0</v>
      </c>
      <c r="CA1051">
        <v>2016</v>
      </c>
      <c r="CB1051">
        <v>224</v>
      </c>
      <c r="CD1051">
        <v>1</v>
      </c>
      <c r="CE1051">
        <v>0</v>
      </c>
      <c r="CF1051">
        <v>0</v>
      </c>
      <c r="CG1051">
        <v>1</v>
      </c>
      <c r="CH1051">
        <v>0</v>
      </c>
      <c r="CI1051">
        <v>0</v>
      </c>
      <c r="CJ1051">
        <v>0</v>
      </c>
      <c r="CK1051">
        <v>2</v>
      </c>
      <c r="CL1051">
        <v>0</v>
      </c>
      <c r="CM1051">
        <v>2</v>
      </c>
      <c r="CN1051">
        <v>0</v>
      </c>
      <c r="CO1051">
        <v>7</v>
      </c>
      <c r="CP1051" t="s">
        <v>119</v>
      </c>
      <c r="CQ1051">
        <v>180</v>
      </c>
      <c r="CR1051">
        <v>2</v>
      </c>
      <c r="CW1051">
        <v>8054314</v>
      </c>
      <c r="CY1051">
        <v>1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</row>
    <row r="1052" spans="1:113" x14ac:dyDescent="0.3">
      <c r="A1052" t="str">
        <f>"02/08/2021 20:17:44.032"</f>
        <v>02/08/2021 20:17:44.032</v>
      </c>
      <c r="C1052" t="str">
        <f t="shared" si="50"/>
        <v>FFDFD7C0</v>
      </c>
      <c r="D1052" t="s">
        <v>113</v>
      </c>
      <c r="E1052">
        <v>6</v>
      </c>
      <c r="H1052">
        <v>165</v>
      </c>
      <c r="I1052" t="s">
        <v>114</v>
      </c>
      <c r="J1052" t="s">
        <v>115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>"20:17:46.359"</f>
        <v>20:17:46.359</v>
      </c>
      <c r="T1052" t="str">
        <f>"20:17:45.959"</f>
        <v>20:17:45.959</v>
      </c>
      <c r="U1052" t="str">
        <f t="shared" si="49"/>
        <v>AB01F4</v>
      </c>
      <c r="V1052">
        <v>0</v>
      </c>
      <c r="W1052">
        <v>0</v>
      </c>
      <c r="X1052">
        <v>2</v>
      </c>
      <c r="Z1052">
        <v>0</v>
      </c>
      <c r="AA1052">
        <v>9</v>
      </c>
      <c r="AB1052">
        <v>3</v>
      </c>
      <c r="AC1052">
        <v>0</v>
      </c>
      <c r="AD1052">
        <v>10</v>
      </c>
      <c r="AE1052">
        <v>0</v>
      </c>
      <c r="AF1052">
        <v>3</v>
      </c>
      <c r="AG1052">
        <v>2</v>
      </c>
      <c r="AH1052">
        <v>0</v>
      </c>
      <c r="AI1052" t="s">
        <v>801</v>
      </c>
      <c r="AJ1052">
        <v>39.714568</v>
      </c>
      <c r="AK1052" t="s">
        <v>802</v>
      </c>
      <c r="AL1052">
        <v>-92.528593999999998</v>
      </c>
      <c r="AM1052">
        <v>100</v>
      </c>
      <c r="AN1052">
        <v>1700</v>
      </c>
      <c r="AO1052" t="s">
        <v>118</v>
      </c>
      <c r="AP1052">
        <v>3</v>
      </c>
      <c r="AQ1052">
        <v>125</v>
      </c>
      <c r="AR1052">
        <v>-64</v>
      </c>
      <c r="AZ1052">
        <v>1200</v>
      </c>
      <c r="BA1052">
        <v>1</v>
      </c>
      <c r="BB1052" t="str">
        <f t="shared" si="51"/>
        <v xml:space="preserve">N8080G  </v>
      </c>
      <c r="BC1052">
        <v>1</v>
      </c>
      <c r="BE1052">
        <v>0</v>
      </c>
      <c r="BF1052">
        <v>0</v>
      </c>
      <c r="BG1052">
        <v>0</v>
      </c>
      <c r="BH1052">
        <v>1675</v>
      </c>
      <c r="BI1052">
        <v>1</v>
      </c>
      <c r="BJ1052">
        <v>1</v>
      </c>
      <c r="BK1052">
        <v>1</v>
      </c>
      <c r="BL1052">
        <v>0</v>
      </c>
      <c r="BO1052">
        <v>0</v>
      </c>
      <c r="BP1052">
        <v>0</v>
      </c>
      <c r="BW1052" t="str">
        <f>"20:17:46.361"</f>
        <v>20:17:46.361</v>
      </c>
      <c r="BZ1052">
        <v>0</v>
      </c>
      <c r="CA1052">
        <v>2016</v>
      </c>
      <c r="CB1052">
        <v>224</v>
      </c>
      <c r="CD1052">
        <v>1</v>
      </c>
      <c r="CE1052">
        <v>0</v>
      </c>
      <c r="CF1052">
        <v>0</v>
      </c>
      <c r="CG1052">
        <v>1</v>
      </c>
      <c r="CH1052">
        <v>0</v>
      </c>
      <c r="CI1052">
        <v>0</v>
      </c>
      <c r="CJ1052">
        <v>0</v>
      </c>
      <c r="CK1052">
        <v>2</v>
      </c>
      <c r="CL1052">
        <v>0</v>
      </c>
      <c r="CM1052">
        <v>2</v>
      </c>
      <c r="CN1052">
        <v>0</v>
      </c>
      <c r="CO1052">
        <v>7</v>
      </c>
      <c r="CP1052" t="s">
        <v>119</v>
      </c>
      <c r="CQ1052">
        <v>180</v>
      </c>
      <c r="CR1052">
        <v>2</v>
      </c>
      <c r="CW1052">
        <v>8054314</v>
      </c>
      <c r="CY1052">
        <v>1</v>
      </c>
      <c r="CZ1052">
        <v>0</v>
      </c>
      <c r="DA1052">
        <v>1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</row>
    <row r="1053" spans="1:113" x14ac:dyDescent="0.3">
      <c r="A1053" t="str">
        <f>"02/08/2021 20:17:44.032"</f>
        <v>02/08/2021 20:17:44.032</v>
      </c>
      <c r="C1053" t="str">
        <f t="shared" si="50"/>
        <v>FFDFD7C0</v>
      </c>
      <c r="D1053" t="s">
        <v>124</v>
      </c>
      <c r="E1053">
        <v>11</v>
      </c>
      <c r="F1053">
        <v>1011</v>
      </c>
      <c r="G1053" t="s">
        <v>590</v>
      </c>
      <c r="J1053" t="s">
        <v>125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>"20:17:46.359"</f>
        <v>20:17:46.359</v>
      </c>
      <c r="T1053" t="str">
        <f>"20:17:45.959"</f>
        <v>20:17:45.959</v>
      </c>
      <c r="U1053" t="str">
        <f t="shared" si="49"/>
        <v>AB01F4</v>
      </c>
      <c r="V1053">
        <v>0</v>
      </c>
      <c r="W1053">
        <v>0</v>
      </c>
      <c r="X1053">
        <v>2</v>
      </c>
      <c r="Z1053">
        <v>0</v>
      </c>
      <c r="AA1053">
        <v>9</v>
      </c>
      <c r="AB1053">
        <v>3</v>
      </c>
      <c r="AC1053">
        <v>0</v>
      </c>
      <c r="AD1053">
        <v>10</v>
      </c>
      <c r="AE1053">
        <v>0</v>
      </c>
      <c r="AF1053">
        <v>3</v>
      </c>
      <c r="AG1053">
        <v>2</v>
      </c>
      <c r="AH1053">
        <v>0</v>
      </c>
      <c r="AI1053" t="s">
        <v>801</v>
      </c>
      <c r="AJ1053">
        <v>39.714568</v>
      </c>
      <c r="AK1053" t="s">
        <v>802</v>
      </c>
      <c r="AL1053">
        <v>-92.528593999999998</v>
      </c>
      <c r="AM1053">
        <v>100</v>
      </c>
      <c r="AN1053">
        <v>1700</v>
      </c>
      <c r="AO1053" t="s">
        <v>118</v>
      </c>
      <c r="AP1053">
        <v>3</v>
      </c>
      <c r="AQ1053">
        <v>125</v>
      </c>
      <c r="AR1053">
        <v>-64</v>
      </c>
      <c r="AZ1053">
        <v>1200</v>
      </c>
      <c r="BA1053">
        <v>1</v>
      </c>
      <c r="BB1053" t="str">
        <f t="shared" si="51"/>
        <v xml:space="preserve">N8080G  </v>
      </c>
      <c r="BC1053">
        <v>1</v>
      </c>
      <c r="BE1053">
        <v>0</v>
      </c>
      <c r="BF1053">
        <v>0</v>
      </c>
      <c r="BG1053">
        <v>0</v>
      </c>
      <c r="BH1053">
        <v>1675</v>
      </c>
      <c r="BI1053">
        <v>1</v>
      </c>
      <c r="BJ1053">
        <v>1</v>
      </c>
      <c r="BK1053">
        <v>1</v>
      </c>
      <c r="BL1053">
        <v>0</v>
      </c>
      <c r="BO1053">
        <v>0</v>
      </c>
      <c r="BP1053">
        <v>0</v>
      </c>
      <c r="BW1053" t="str">
        <f>"20:17:46.361"</f>
        <v>20:17:46.361</v>
      </c>
      <c r="BZ1053">
        <v>0</v>
      </c>
      <c r="CA1053">
        <v>2016</v>
      </c>
      <c r="CB1053">
        <v>224</v>
      </c>
      <c r="CD1053">
        <v>1</v>
      </c>
      <c r="CE1053">
        <v>0</v>
      </c>
      <c r="CF1053">
        <v>0</v>
      </c>
      <c r="CG1053">
        <v>1</v>
      </c>
      <c r="CH1053">
        <v>0</v>
      </c>
      <c r="CI1053">
        <v>0</v>
      </c>
      <c r="CJ1053">
        <v>0</v>
      </c>
      <c r="CK1053">
        <v>2</v>
      </c>
      <c r="CL1053">
        <v>0</v>
      </c>
      <c r="CM1053">
        <v>2</v>
      </c>
      <c r="CN1053">
        <v>0</v>
      </c>
      <c r="CO1053">
        <v>7</v>
      </c>
      <c r="CP1053" t="s">
        <v>119</v>
      </c>
      <c r="CQ1053">
        <v>180</v>
      </c>
      <c r="CR1053">
        <v>2</v>
      </c>
      <c r="CW1053">
        <v>8054314</v>
      </c>
      <c r="CY1053">
        <v>1</v>
      </c>
      <c r="CZ1053">
        <v>0</v>
      </c>
      <c r="DA1053">
        <v>1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</row>
    <row r="1054" spans="1:113" x14ac:dyDescent="0.3">
      <c r="A1054" t="str">
        <f>"02/08/2021 20:17:44.032"</f>
        <v>02/08/2021 20:17:44.032</v>
      </c>
      <c r="C1054" t="str">
        <f t="shared" si="50"/>
        <v>FFDFD7C0</v>
      </c>
      <c r="D1054" t="s">
        <v>124</v>
      </c>
      <c r="E1054">
        <v>12</v>
      </c>
      <c r="F1054">
        <v>1012</v>
      </c>
      <c r="G1054" t="s">
        <v>675</v>
      </c>
      <c r="J1054" t="s">
        <v>125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>"20:17:46.359"</f>
        <v>20:17:46.359</v>
      </c>
      <c r="T1054" t="str">
        <f>"20:17:45.959"</f>
        <v>20:17:45.959</v>
      </c>
      <c r="U1054" t="str">
        <f t="shared" si="49"/>
        <v>AB01F4</v>
      </c>
      <c r="V1054">
        <v>0</v>
      </c>
      <c r="W1054">
        <v>0</v>
      </c>
      <c r="X1054">
        <v>2</v>
      </c>
      <c r="Z1054">
        <v>0</v>
      </c>
      <c r="AA1054">
        <v>9</v>
      </c>
      <c r="AB1054">
        <v>3</v>
      </c>
      <c r="AC1054">
        <v>0</v>
      </c>
      <c r="AD1054">
        <v>10</v>
      </c>
      <c r="AE1054">
        <v>0</v>
      </c>
      <c r="AF1054">
        <v>3</v>
      </c>
      <c r="AG1054">
        <v>2</v>
      </c>
      <c r="AH1054">
        <v>0</v>
      </c>
      <c r="AI1054" t="s">
        <v>801</v>
      </c>
      <c r="AJ1054">
        <v>39.714568</v>
      </c>
      <c r="AK1054" t="s">
        <v>802</v>
      </c>
      <c r="AL1054">
        <v>-92.528593999999998</v>
      </c>
      <c r="AM1054">
        <v>100</v>
      </c>
      <c r="AN1054">
        <v>1700</v>
      </c>
      <c r="AO1054" t="s">
        <v>118</v>
      </c>
      <c r="AP1054">
        <v>3</v>
      </c>
      <c r="AQ1054">
        <v>125</v>
      </c>
      <c r="AR1054">
        <v>-64</v>
      </c>
      <c r="AZ1054">
        <v>1200</v>
      </c>
      <c r="BA1054">
        <v>1</v>
      </c>
      <c r="BB1054" t="str">
        <f t="shared" si="51"/>
        <v xml:space="preserve">N8080G  </v>
      </c>
      <c r="BC1054">
        <v>1</v>
      </c>
      <c r="BE1054">
        <v>0</v>
      </c>
      <c r="BF1054">
        <v>0</v>
      </c>
      <c r="BG1054">
        <v>0</v>
      </c>
      <c r="BH1054">
        <v>1675</v>
      </c>
      <c r="BI1054">
        <v>1</v>
      </c>
      <c r="BJ1054">
        <v>1</v>
      </c>
      <c r="BK1054">
        <v>1</v>
      </c>
      <c r="BL1054">
        <v>0</v>
      </c>
      <c r="BO1054">
        <v>0</v>
      </c>
      <c r="BP1054">
        <v>0</v>
      </c>
      <c r="BW1054" t="str">
        <f>"20:17:46.361"</f>
        <v>20:17:46.361</v>
      </c>
      <c r="BZ1054">
        <v>0</v>
      </c>
      <c r="CA1054">
        <v>2016</v>
      </c>
      <c r="CB1054">
        <v>224</v>
      </c>
      <c r="CD1054">
        <v>1</v>
      </c>
      <c r="CE1054">
        <v>0</v>
      </c>
      <c r="CF1054">
        <v>0</v>
      </c>
      <c r="CG1054">
        <v>1</v>
      </c>
      <c r="CH1054">
        <v>0</v>
      </c>
      <c r="CI1054">
        <v>0</v>
      </c>
      <c r="CJ1054">
        <v>0</v>
      </c>
      <c r="CK1054">
        <v>2</v>
      </c>
      <c r="CL1054">
        <v>0</v>
      </c>
      <c r="CM1054">
        <v>2</v>
      </c>
      <c r="CN1054">
        <v>0</v>
      </c>
      <c r="CO1054">
        <v>7</v>
      </c>
      <c r="CP1054" t="s">
        <v>119</v>
      </c>
      <c r="CQ1054">
        <v>180</v>
      </c>
      <c r="CR1054">
        <v>2</v>
      </c>
      <c r="CW1054">
        <v>8054314</v>
      </c>
      <c r="CY1054">
        <v>1</v>
      </c>
      <c r="CZ1054">
        <v>0</v>
      </c>
      <c r="DA1054">
        <v>1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</row>
    <row r="1055" spans="1:113" x14ac:dyDescent="0.3">
      <c r="A1055" t="str">
        <f>"02/08/2021 20:17:45.598"</f>
        <v>02/08/2021 20:17:45.598</v>
      </c>
      <c r="C1055" t="str">
        <f t="shared" si="50"/>
        <v>FFDFD7C0</v>
      </c>
      <c r="D1055" t="s">
        <v>124</v>
      </c>
      <c r="E1055">
        <v>12</v>
      </c>
      <c r="F1055">
        <v>1012</v>
      </c>
      <c r="G1055" t="s">
        <v>675</v>
      </c>
      <c r="J1055" t="s">
        <v>125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>"20:17:47.930"</f>
        <v>20:17:47.930</v>
      </c>
      <c r="T1055" t="str">
        <f>"20:17:47.530"</f>
        <v>20:17:47.530</v>
      </c>
      <c r="U1055" t="str">
        <f t="shared" si="49"/>
        <v>AB01F4</v>
      </c>
      <c r="V1055">
        <v>0</v>
      </c>
      <c r="W1055">
        <v>0</v>
      </c>
      <c r="X1055">
        <v>2</v>
      </c>
      <c r="Z1055">
        <v>0</v>
      </c>
      <c r="AA1055">
        <v>9</v>
      </c>
      <c r="AB1055">
        <v>3</v>
      </c>
      <c r="AC1055">
        <v>0</v>
      </c>
      <c r="AD1055">
        <v>10</v>
      </c>
      <c r="AE1055">
        <v>0</v>
      </c>
      <c r="AF1055">
        <v>3</v>
      </c>
      <c r="AG1055">
        <v>2</v>
      </c>
      <c r="AH1055">
        <v>0</v>
      </c>
      <c r="AI1055" t="s">
        <v>803</v>
      </c>
      <c r="AJ1055">
        <v>39.715490000000003</v>
      </c>
      <c r="AK1055" t="s">
        <v>804</v>
      </c>
      <c r="AL1055">
        <v>-92.528464999999997</v>
      </c>
      <c r="AM1055">
        <v>100</v>
      </c>
      <c r="AN1055">
        <v>1700</v>
      </c>
      <c r="AO1055" t="s">
        <v>118</v>
      </c>
      <c r="AP1055">
        <v>8</v>
      </c>
      <c r="AQ1055">
        <v>124</v>
      </c>
      <c r="AR1055">
        <v>64</v>
      </c>
      <c r="AZ1055">
        <v>1200</v>
      </c>
      <c r="BA1055">
        <v>1</v>
      </c>
      <c r="BB1055" t="str">
        <f t="shared" si="51"/>
        <v xml:space="preserve">N8080G  </v>
      </c>
      <c r="BC1055">
        <v>1</v>
      </c>
      <c r="BE1055">
        <v>0</v>
      </c>
      <c r="BF1055">
        <v>0</v>
      </c>
      <c r="BG1055">
        <v>0</v>
      </c>
      <c r="BH1055">
        <v>1675</v>
      </c>
      <c r="BI1055">
        <v>1</v>
      </c>
      <c r="BJ1055">
        <v>1</v>
      </c>
      <c r="BK1055">
        <v>1</v>
      </c>
      <c r="BL1055">
        <v>0</v>
      </c>
      <c r="BO1055">
        <v>0</v>
      </c>
      <c r="BP1055">
        <v>0</v>
      </c>
      <c r="BW1055" t="str">
        <f>"20:17:47.932"</f>
        <v>20:17:47.932</v>
      </c>
      <c r="BZ1055">
        <v>0</v>
      </c>
      <c r="CA1055">
        <v>2016</v>
      </c>
      <c r="CB1055">
        <v>224</v>
      </c>
      <c r="CD1055">
        <v>1</v>
      </c>
      <c r="CE1055">
        <v>0</v>
      </c>
      <c r="CF1055">
        <v>0</v>
      </c>
      <c r="CG1055">
        <v>1</v>
      </c>
      <c r="CH1055">
        <v>0</v>
      </c>
      <c r="CI1055">
        <v>0</v>
      </c>
      <c r="CJ1055">
        <v>0</v>
      </c>
      <c r="CK1055">
        <v>2</v>
      </c>
      <c r="CL1055">
        <v>0</v>
      </c>
      <c r="CM1055">
        <v>2</v>
      </c>
      <c r="CN1055">
        <v>0</v>
      </c>
      <c r="CO1055">
        <v>7</v>
      </c>
      <c r="CP1055" t="s">
        <v>119</v>
      </c>
      <c r="CQ1055">
        <v>180</v>
      </c>
      <c r="CR1055">
        <v>2</v>
      </c>
      <c r="CW1055">
        <v>8055714</v>
      </c>
      <c r="CY1055">
        <v>1</v>
      </c>
      <c r="CZ1055">
        <v>0</v>
      </c>
      <c r="DA1055">
        <v>0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</row>
    <row r="1056" spans="1:113" x14ac:dyDescent="0.3">
      <c r="A1056" t="str">
        <f>"02/08/2021 20:17:45.598"</f>
        <v>02/08/2021 20:17:45.598</v>
      </c>
      <c r="C1056" t="str">
        <f t="shared" si="50"/>
        <v>FFDFD7C0</v>
      </c>
      <c r="D1056" t="s">
        <v>124</v>
      </c>
      <c r="E1056">
        <v>11</v>
      </c>
      <c r="F1056">
        <v>1011</v>
      </c>
      <c r="G1056" t="s">
        <v>590</v>
      </c>
      <c r="J1056" t="s">
        <v>125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>"20:17:47.930"</f>
        <v>20:17:47.930</v>
      </c>
      <c r="T1056" t="str">
        <f>"20:17:47.530"</f>
        <v>20:17:47.530</v>
      </c>
      <c r="U1056" t="str">
        <f t="shared" si="49"/>
        <v>AB01F4</v>
      </c>
      <c r="V1056">
        <v>0</v>
      </c>
      <c r="W1056">
        <v>0</v>
      </c>
      <c r="X1056">
        <v>2</v>
      </c>
      <c r="Z1056">
        <v>0</v>
      </c>
      <c r="AA1056">
        <v>9</v>
      </c>
      <c r="AB1056">
        <v>3</v>
      </c>
      <c r="AC1056">
        <v>0</v>
      </c>
      <c r="AD1056">
        <v>10</v>
      </c>
      <c r="AE1056">
        <v>0</v>
      </c>
      <c r="AF1056">
        <v>3</v>
      </c>
      <c r="AG1056">
        <v>2</v>
      </c>
      <c r="AH1056">
        <v>0</v>
      </c>
      <c r="AI1056" t="s">
        <v>803</v>
      </c>
      <c r="AJ1056">
        <v>39.715490000000003</v>
      </c>
      <c r="AK1056" t="s">
        <v>804</v>
      </c>
      <c r="AL1056">
        <v>-92.528464999999997</v>
      </c>
      <c r="AM1056">
        <v>100</v>
      </c>
      <c r="AN1056">
        <v>1700</v>
      </c>
      <c r="AO1056" t="s">
        <v>118</v>
      </c>
      <c r="AP1056">
        <v>8</v>
      </c>
      <c r="AQ1056">
        <v>124</v>
      </c>
      <c r="AR1056">
        <v>64</v>
      </c>
      <c r="AZ1056">
        <v>1200</v>
      </c>
      <c r="BA1056">
        <v>1</v>
      </c>
      <c r="BB1056" t="str">
        <f t="shared" si="51"/>
        <v xml:space="preserve">N8080G  </v>
      </c>
      <c r="BC1056">
        <v>1</v>
      </c>
      <c r="BE1056">
        <v>0</v>
      </c>
      <c r="BF1056">
        <v>0</v>
      </c>
      <c r="BG1056">
        <v>0</v>
      </c>
      <c r="BH1056">
        <v>1675</v>
      </c>
      <c r="BI1056">
        <v>1</v>
      </c>
      <c r="BJ1056">
        <v>1</v>
      </c>
      <c r="BK1056">
        <v>1</v>
      </c>
      <c r="BL1056">
        <v>0</v>
      </c>
      <c r="BO1056">
        <v>0</v>
      </c>
      <c r="BP1056">
        <v>0</v>
      </c>
      <c r="BW1056" t="str">
        <f>"20:17:47.932"</f>
        <v>20:17:47.932</v>
      </c>
      <c r="BZ1056">
        <v>0</v>
      </c>
      <c r="CA1056">
        <v>2016</v>
      </c>
      <c r="CB1056">
        <v>224</v>
      </c>
      <c r="CD1056">
        <v>1</v>
      </c>
      <c r="CE1056">
        <v>0</v>
      </c>
      <c r="CF1056">
        <v>0</v>
      </c>
      <c r="CG1056">
        <v>1</v>
      </c>
      <c r="CH1056">
        <v>0</v>
      </c>
      <c r="CI1056">
        <v>0</v>
      </c>
      <c r="CJ1056">
        <v>0</v>
      </c>
      <c r="CK1056">
        <v>2</v>
      </c>
      <c r="CL1056">
        <v>0</v>
      </c>
      <c r="CM1056">
        <v>2</v>
      </c>
      <c r="CN1056">
        <v>0</v>
      </c>
      <c r="CO1056">
        <v>7</v>
      </c>
      <c r="CP1056" t="s">
        <v>119</v>
      </c>
      <c r="CQ1056">
        <v>180</v>
      </c>
      <c r="CR1056">
        <v>2</v>
      </c>
      <c r="CW1056">
        <v>8055714</v>
      </c>
      <c r="CY1056">
        <v>1</v>
      </c>
      <c r="CZ1056">
        <v>0</v>
      </c>
      <c r="DA1056">
        <v>1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</row>
    <row r="1057" spans="1:113" x14ac:dyDescent="0.3">
      <c r="A1057" t="str">
        <f>"02/08/2021 20:17:45.598"</f>
        <v>02/08/2021 20:17:45.598</v>
      </c>
      <c r="C1057" t="str">
        <f t="shared" si="50"/>
        <v>FFDFD7C0</v>
      </c>
      <c r="D1057" t="s">
        <v>113</v>
      </c>
      <c r="E1057">
        <v>6</v>
      </c>
      <c r="H1057">
        <v>165</v>
      </c>
      <c r="I1057" t="s">
        <v>114</v>
      </c>
      <c r="J1057" t="s">
        <v>115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>"20:17:47.930"</f>
        <v>20:17:47.930</v>
      </c>
      <c r="T1057" t="str">
        <f>"20:17:47.530"</f>
        <v>20:17:47.530</v>
      </c>
      <c r="U1057" t="str">
        <f t="shared" si="49"/>
        <v>AB01F4</v>
      </c>
      <c r="V1057">
        <v>0</v>
      </c>
      <c r="W1057">
        <v>0</v>
      </c>
      <c r="X1057">
        <v>2</v>
      </c>
      <c r="Z1057">
        <v>0</v>
      </c>
      <c r="AA1057">
        <v>9</v>
      </c>
      <c r="AB1057">
        <v>3</v>
      </c>
      <c r="AC1057">
        <v>0</v>
      </c>
      <c r="AD1057">
        <v>10</v>
      </c>
      <c r="AE1057">
        <v>0</v>
      </c>
      <c r="AF1057">
        <v>3</v>
      </c>
      <c r="AG1057">
        <v>2</v>
      </c>
      <c r="AH1057">
        <v>0</v>
      </c>
      <c r="AI1057" t="s">
        <v>803</v>
      </c>
      <c r="AJ1057">
        <v>39.715490000000003</v>
      </c>
      <c r="AK1057" t="s">
        <v>804</v>
      </c>
      <c r="AL1057">
        <v>-92.528464999999997</v>
      </c>
      <c r="AM1057">
        <v>100</v>
      </c>
      <c r="AN1057">
        <v>1700</v>
      </c>
      <c r="AO1057" t="s">
        <v>118</v>
      </c>
      <c r="AP1057">
        <v>8</v>
      </c>
      <c r="AQ1057">
        <v>124</v>
      </c>
      <c r="AR1057">
        <v>64</v>
      </c>
      <c r="AZ1057">
        <v>1200</v>
      </c>
      <c r="BA1057">
        <v>1</v>
      </c>
      <c r="BB1057" t="str">
        <f t="shared" si="51"/>
        <v xml:space="preserve">N8080G  </v>
      </c>
      <c r="BC1057">
        <v>1</v>
      </c>
      <c r="BE1057">
        <v>0</v>
      </c>
      <c r="BF1057">
        <v>0</v>
      </c>
      <c r="BG1057">
        <v>0</v>
      </c>
      <c r="BH1057">
        <v>1675</v>
      </c>
      <c r="BI1057">
        <v>1</v>
      </c>
      <c r="BJ1057">
        <v>1</v>
      </c>
      <c r="BK1057">
        <v>1</v>
      </c>
      <c r="BL1057">
        <v>0</v>
      </c>
      <c r="BO1057">
        <v>0</v>
      </c>
      <c r="BP1057">
        <v>0</v>
      </c>
      <c r="BW1057" t="str">
        <f>"20:17:47.932"</f>
        <v>20:17:47.932</v>
      </c>
      <c r="BZ1057">
        <v>0</v>
      </c>
      <c r="CA1057">
        <v>2016</v>
      </c>
      <c r="CB1057">
        <v>224</v>
      </c>
      <c r="CD1057">
        <v>1</v>
      </c>
      <c r="CE1057">
        <v>0</v>
      </c>
      <c r="CF1057">
        <v>0</v>
      </c>
      <c r="CG1057">
        <v>1</v>
      </c>
      <c r="CH1057">
        <v>0</v>
      </c>
      <c r="CI1057">
        <v>0</v>
      </c>
      <c r="CJ1057">
        <v>0</v>
      </c>
      <c r="CK1057">
        <v>2</v>
      </c>
      <c r="CL1057">
        <v>0</v>
      </c>
      <c r="CM1057">
        <v>2</v>
      </c>
      <c r="CN1057">
        <v>0</v>
      </c>
      <c r="CO1057">
        <v>7</v>
      </c>
      <c r="CP1057" t="s">
        <v>119</v>
      </c>
      <c r="CQ1057">
        <v>180</v>
      </c>
      <c r="CR1057">
        <v>2</v>
      </c>
      <c r="CW1057">
        <v>8055714</v>
      </c>
      <c r="CY1057">
        <v>1</v>
      </c>
      <c r="CZ1057">
        <v>0</v>
      </c>
      <c r="DA1057">
        <v>1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</row>
    <row r="1058" spans="1:113" x14ac:dyDescent="0.3">
      <c r="A1058" t="str">
        <f>"02/08/2021 20:17:45.598"</f>
        <v>02/08/2021 20:17:45.598</v>
      </c>
      <c r="C1058" t="str">
        <f t="shared" si="50"/>
        <v>FFDFD7C0</v>
      </c>
      <c r="D1058" t="s">
        <v>124</v>
      </c>
      <c r="E1058">
        <v>13</v>
      </c>
      <c r="F1058">
        <v>1013</v>
      </c>
      <c r="G1058" t="s">
        <v>114</v>
      </c>
      <c r="J1058" t="s">
        <v>125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>"20:17:47.930"</f>
        <v>20:17:47.930</v>
      </c>
      <c r="T1058" t="str">
        <f>"20:17:47.530"</f>
        <v>20:17:47.530</v>
      </c>
      <c r="U1058" t="str">
        <f t="shared" si="49"/>
        <v>AB01F4</v>
      </c>
      <c r="V1058">
        <v>0</v>
      </c>
      <c r="W1058">
        <v>0</v>
      </c>
      <c r="X1058">
        <v>2</v>
      </c>
      <c r="Z1058">
        <v>0</v>
      </c>
      <c r="AA1058">
        <v>9</v>
      </c>
      <c r="AB1058">
        <v>3</v>
      </c>
      <c r="AC1058">
        <v>0</v>
      </c>
      <c r="AD1058">
        <v>10</v>
      </c>
      <c r="AE1058">
        <v>0</v>
      </c>
      <c r="AF1058">
        <v>3</v>
      </c>
      <c r="AG1058">
        <v>2</v>
      </c>
      <c r="AH1058">
        <v>0</v>
      </c>
      <c r="AI1058" t="s">
        <v>803</v>
      </c>
      <c r="AJ1058">
        <v>39.715490000000003</v>
      </c>
      <c r="AK1058" t="s">
        <v>804</v>
      </c>
      <c r="AL1058">
        <v>-92.528464999999997</v>
      </c>
      <c r="AM1058">
        <v>100</v>
      </c>
      <c r="AN1058">
        <v>1700</v>
      </c>
      <c r="AO1058" t="s">
        <v>118</v>
      </c>
      <c r="AP1058">
        <v>8</v>
      </c>
      <c r="AQ1058">
        <v>124</v>
      </c>
      <c r="AR1058">
        <v>64</v>
      </c>
      <c r="AZ1058">
        <v>1200</v>
      </c>
      <c r="BA1058">
        <v>1</v>
      </c>
      <c r="BB1058" t="str">
        <f t="shared" si="51"/>
        <v xml:space="preserve">N8080G  </v>
      </c>
      <c r="BC1058">
        <v>1</v>
      </c>
      <c r="BE1058">
        <v>0</v>
      </c>
      <c r="BF1058">
        <v>0</v>
      </c>
      <c r="BG1058">
        <v>0</v>
      </c>
      <c r="BH1058">
        <v>1675</v>
      </c>
      <c r="BI1058">
        <v>1</v>
      </c>
      <c r="BJ1058">
        <v>1</v>
      </c>
      <c r="BK1058">
        <v>1</v>
      </c>
      <c r="BL1058">
        <v>0</v>
      </c>
      <c r="BO1058">
        <v>0</v>
      </c>
      <c r="BP1058">
        <v>0</v>
      </c>
      <c r="BW1058" t="str">
        <f>"20:17:47.932"</f>
        <v>20:17:47.932</v>
      </c>
      <c r="BZ1058">
        <v>0</v>
      </c>
      <c r="CA1058">
        <v>2016</v>
      </c>
      <c r="CB1058">
        <v>224</v>
      </c>
      <c r="CD1058">
        <v>1</v>
      </c>
      <c r="CE1058">
        <v>0</v>
      </c>
      <c r="CF1058">
        <v>0</v>
      </c>
      <c r="CG1058">
        <v>1</v>
      </c>
      <c r="CH1058">
        <v>0</v>
      </c>
      <c r="CI1058">
        <v>0</v>
      </c>
      <c r="CJ1058">
        <v>0</v>
      </c>
      <c r="CK1058">
        <v>2</v>
      </c>
      <c r="CL1058">
        <v>0</v>
      </c>
      <c r="CM1058">
        <v>2</v>
      </c>
      <c r="CN1058">
        <v>0</v>
      </c>
      <c r="CO1058">
        <v>7</v>
      </c>
      <c r="CP1058" t="s">
        <v>119</v>
      </c>
      <c r="CQ1058">
        <v>180</v>
      </c>
      <c r="CR1058">
        <v>2</v>
      </c>
      <c r="CW1058">
        <v>8055714</v>
      </c>
      <c r="CY1058">
        <v>1</v>
      </c>
      <c r="CZ1058">
        <v>0</v>
      </c>
      <c r="DA1058">
        <v>1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</row>
    <row r="1059" spans="1:113" x14ac:dyDescent="0.3">
      <c r="A1059" t="str">
        <f>"02/08/2021 20:17:47.047"</f>
        <v>02/08/2021 20:17:47.047</v>
      </c>
      <c r="C1059" t="str">
        <f t="shared" si="50"/>
        <v>FFDFD7C0</v>
      </c>
      <c r="D1059" t="s">
        <v>124</v>
      </c>
      <c r="E1059">
        <v>13</v>
      </c>
      <c r="F1059">
        <v>1013</v>
      </c>
      <c r="G1059" t="s">
        <v>114</v>
      </c>
      <c r="J1059" t="s">
        <v>125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>"20:17:49.367"</f>
        <v>20:17:49.367</v>
      </c>
      <c r="T1059" t="str">
        <f>"20:17:48.967"</f>
        <v>20:17:48.967</v>
      </c>
      <c r="U1059" t="str">
        <f t="shared" si="49"/>
        <v>AB01F4</v>
      </c>
      <c r="V1059">
        <v>0</v>
      </c>
      <c r="W1059">
        <v>0</v>
      </c>
      <c r="X1059">
        <v>2</v>
      </c>
      <c r="Z1059">
        <v>0</v>
      </c>
      <c r="AA1059">
        <v>9</v>
      </c>
      <c r="AB1059">
        <v>3</v>
      </c>
      <c r="AC1059">
        <v>0</v>
      </c>
      <c r="AD1059">
        <v>10</v>
      </c>
      <c r="AE1059">
        <v>0</v>
      </c>
      <c r="AF1059">
        <v>3</v>
      </c>
      <c r="AG1059">
        <v>2</v>
      </c>
      <c r="AH1059">
        <v>0</v>
      </c>
      <c r="AI1059" t="s">
        <v>805</v>
      </c>
      <c r="AJ1059">
        <v>39.716306000000003</v>
      </c>
      <c r="AK1059" t="s">
        <v>797</v>
      </c>
      <c r="AL1059">
        <v>-92.528400000000005</v>
      </c>
      <c r="AM1059">
        <v>100</v>
      </c>
      <c r="AN1059">
        <v>1700</v>
      </c>
      <c r="AO1059" t="s">
        <v>118</v>
      </c>
      <c r="AP1059">
        <v>11</v>
      </c>
      <c r="AQ1059">
        <v>123</v>
      </c>
      <c r="AR1059">
        <v>128</v>
      </c>
      <c r="AZ1059">
        <v>1200</v>
      </c>
      <c r="BA1059">
        <v>1</v>
      </c>
      <c r="BB1059" t="str">
        <f t="shared" si="51"/>
        <v xml:space="preserve">N8080G  </v>
      </c>
      <c r="BC1059">
        <v>1</v>
      </c>
      <c r="BE1059">
        <v>0</v>
      </c>
      <c r="BF1059">
        <v>0</v>
      </c>
      <c r="BG1059">
        <v>0</v>
      </c>
      <c r="BH1059">
        <v>1675</v>
      </c>
      <c r="BI1059">
        <v>1</v>
      </c>
      <c r="BJ1059">
        <v>1</v>
      </c>
      <c r="BK1059">
        <v>1</v>
      </c>
      <c r="BL1059">
        <v>0</v>
      </c>
      <c r="BO1059">
        <v>0</v>
      </c>
      <c r="BP1059">
        <v>0</v>
      </c>
      <c r="BW1059" t="str">
        <f>"20:17:49.369"</f>
        <v>20:17:49.369</v>
      </c>
      <c r="BZ1059">
        <v>0</v>
      </c>
      <c r="CA1059">
        <v>2016</v>
      </c>
      <c r="CB1059">
        <v>224</v>
      </c>
      <c r="CD1059">
        <v>1</v>
      </c>
      <c r="CE1059">
        <v>0</v>
      </c>
      <c r="CF1059">
        <v>0</v>
      </c>
      <c r="CG1059">
        <v>1</v>
      </c>
      <c r="CH1059">
        <v>0</v>
      </c>
      <c r="CI1059">
        <v>0</v>
      </c>
      <c r="CJ1059">
        <v>0</v>
      </c>
      <c r="CK1059">
        <v>2</v>
      </c>
      <c r="CL1059">
        <v>0</v>
      </c>
      <c r="CM1059">
        <v>2</v>
      </c>
      <c r="CN1059">
        <v>0</v>
      </c>
      <c r="CO1059">
        <v>7</v>
      </c>
      <c r="CP1059" t="s">
        <v>119</v>
      </c>
      <c r="CQ1059">
        <v>180</v>
      </c>
      <c r="CR1059">
        <v>2</v>
      </c>
      <c r="CW1059">
        <v>8056863</v>
      </c>
      <c r="CY1059">
        <v>1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</row>
    <row r="1060" spans="1:113" x14ac:dyDescent="0.3">
      <c r="A1060" t="str">
        <f>"02/08/2021 20:17:47.047"</f>
        <v>02/08/2021 20:17:47.047</v>
      </c>
      <c r="C1060" t="str">
        <f t="shared" si="50"/>
        <v>FFDFD7C0</v>
      </c>
      <c r="D1060" t="s">
        <v>124</v>
      </c>
      <c r="E1060">
        <v>12</v>
      </c>
      <c r="F1060">
        <v>1012</v>
      </c>
      <c r="G1060" t="s">
        <v>675</v>
      </c>
      <c r="J1060" t="s">
        <v>125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>"20:17:49.367"</f>
        <v>20:17:49.367</v>
      </c>
      <c r="T1060" t="str">
        <f>"20:17:48.967"</f>
        <v>20:17:48.967</v>
      </c>
      <c r="U1060" t="str">
        <f t="shared" si="49"/>
        <v>AB01F4</v>
      </c>
      <c r="V1060">
        <v>0</v>
      </c>
      <c r="W1060">
        <v>0</v>
      </c>
      <c r="X1060">
        <v>2</v>
      </c>
      <c r="Z1060">
        <v>0</v>
      </c>
      <c r="AA1060">
        <v>9</v>
      </c>
      <c r="AB1060">
        <v>3</v>
      </c>
      <c r="AC1060">
        <v>0</v>
      </c>
      <c r="AD1060">
        <v>10</v>
      </c>
      <c r="AE1060">
        <v>0</v>
      </c>
      <c r="AF1060">
        <v>3</v>
      </c>
      <c r="AG1060">
        <v>2</v>
      </c>
      <c r="AH1060">
        <v>0</v>
      </c>
      <c r="AI1060" t="s">
        <v>805</v>
      </c>
      <c r="AJ1060">
        <v>39.716306000000003</v>
      </c>
      <c r="AK1060" t="s">
        <v>797</v>
      </c>
      <c r="AL1060">
        <v>-92.528400000000005</v>
      </c>
      <c r="AM1060">
        <v>100</v>
      </c>
      <c r="AN1060">
        <v>1700</v>
      </c>
      <c r="AO1060" t="s">
        <v>118</v>
      </c>
      <c r="AP1060">
        <v>11</v>
      </c>
      <c r="AQ1060">
        <v>123</v>
      </c>
      <c r="AR1060">
        <v>128</v>
      </c>
      <c r="AZ1060">
        <v>1200</v>
      </c>
      <c r="BA1060">
        <v>1</v>
      </c>
      <c r="BB1060" t="str">
        <f t="shared" si="51"/>
        <v xml:space="preserve">N8080G  </v>
      </c>
      <c r="BC1060">
        <v>1</v>
      </c>
      <c r="BE1060">
        <v>0</v>
      </c>
      <c r="BF1060">
        <v>0</v>
      </c>
      <c r="BG1060">
        <v>0</v>
      </c>
      <c r="BH1060">
        <v>1675</v>
      </c>
      <c r="BI1060">
        <v>1</v>
      </c>
      <c r="BJ1060">
        <v>1</v>
      </c>
      <c r="BK1060">
        <v>1</v>
      </c>
      <c r="BL1060">
        <v>0</v>
      </c>
      <c r="BO1060">
        <v>0</v>
      </c>
      <c r="BP1060">
        <v>0</v>
      </c>
      <c r="BW1060" t="str">
        <f>"20:17:49.369"</f>
        <v>20:17:49.369</v>
      </c>
      <c r="BZ1060">
        <v>0</v>
      </c>
      <c r="CA1060">
        <v>2016</v>
      </c>
      <c r="CB1060">
        <v>224</v>
      </c>
      <c r="CD1060">
        <v>1</v>
      </c>
      <c r="CE1060">
        <v>0</v>
      </c>
      <c r="CF1060">
        <v>0</v>
      </c>
      <c r="CG1060">
        <v>1</v>
      </c>
      <c r="CH1060">
        <v>0</v>
      </c>
      <c r="CI1060">
        <v>0</v>
      </c>
      <c r="CJ1060">
        <v>0</v>
      </c>
      <c r="CK1060">
        <v>2</v>
      </c>
      <c r="CL1060">
        <v>0</v>
      </c>
      <c r="CM1060">
        <v>2</v>
      </c>
      <c r="CN1060">
        <v>0</v>
      </c>
      <c r="CO1060">
        <v>7</v>
      </c>
      <c r="CP1060" t="s">
        <v>119</v>
      </c>
      <c r="CQ1060">
        <v>180</v>
      </c>
      <c r="CR1060">
        <v>2</v>
      </c>
      <c r="CW1060">
        <v>8056863</v>
      </c>
      <c r="CY1060">
        <v>1</v>
      </c>
      <c r="CZ1060">
        <v>0</v>
      </c>
      <c r="DA1060">
        <v>1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</row>
    <row r="1061" spans="1:113" x14ac:dyDescent="0.3">
      <c r="A1061" t="str">
        <f>"02/08/2021 20:17:47.047"</f>
        <v>02/08/2021 20:17:47.047</v>
      </c>
      <c r="C1061" t="str">
        <f t="shared" si="50"/>
        <v>FFDFD7C0</v>
      </c>
      <c r="D1061" t="s">
        <v>124</v>
      </c>
      <c r="E1061">
        <v>11</v>
      </c>
      <c r="F1061">
        <v>1011</v>
      </c>
      <c r="G1061" t="s">
        <v>590</v>
      </c>
      <c r="J1061" t="s">
        <v>125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>"20:17:49.367"</f>
        <v>20:17:49.367</v>
      </c>
      <c r="T1061" t="str">
        <f>"20:17:48.967"</f>
        <v>20:17:48.967</v>
      </c>
      <c r="U1061" t="str">
        <f t="shared" si="49"/>
        <v>AB01F4</v>
      </c>
      <c r="V1061">
        <v>0</v>
      </c>
      <c r="W1061">
        <v>0</v>
      </c>
      <c r="X1061">
        <v>2</v>
      </c>
      <c r="Z1061">
        <v>0</v>
      </c>
      <c r="AA1061">
        <v>9</v>
      </c>
      <c r="AB1061">
        <v>3</v>
      </c>
      <c r="AC1061">
        <v>0</v>
      </c>
      <c r="AD1061">
        <v>10</v>
      </c>
      <c r="AE1061">
        <v>0</v>
      </c>
      <c r="AF1061">
        <v>3</v>
      </c>
      <c r="AG1061">
        <v>2</v>
      </c>
      <c r="AH1061">
        <v>0</v>
      </c>
      <c r="AI1061" t="s">
        <v>805</v>
      </c>
      <c r="AJ1061">
        <v>39.716306000000003</v>
      </c>
      <c r="AK1061" t="s">
        <v>797</v>
      </c>
      <c r="AL1061">
        <v>-92.528400000000005</v>
      </c>
      <c r="AM1061">
        <v>100</v>
      </c>
      <c r="AN1061">
        <v>1700</v>
      </c>
      <c r="AO1061" t="s">
        <v>118</v>
      </c>
      <c r="AP1061">
        <v>11</v>
      </c>
      <c r="AQ1061">
        <v>123</v>
      </c>
      <c r="AR1061">
        <v>128</v>
      </c>
      <c r="AZ1061">
        <v>1200</v>
      </c>
      <c r="BA1061">
        <v>1</v>
      </c>
      <c r="BB1061" t="str">
        <f t="shared" si="51"/>
        <v xml:space="preserve">N8080G  </v>
      </c>
      <c r="BC1061">
        <v>1</v>
      </c>
      <c r="BE1061">
        <v>0</v>
      </c>
      <c r="BF1061">
        <v>0</v>
      </c>
      <c r="BG1061">
        <v>0</v>
      </c>
      <c r="BH1061">
        <v>1675</v>
      </c>
      <c r="BI1061">
        <v>1</v>
      </c>
      <c r="BJ1061">
        <v>1</v>
      </c>
      <c r="BK1061">
        <v>1</v>
      </c>
      <c r="BL1061">
        <v>0</v>
      </c>
      <c r="BO1061">
        <v>0</v>
      </c>
      <c r="BP1061">
        <v>0</v>
      </c>
      <c r="BW1061" t="str">
        <f>"20:17:49.369"</f>
        <v>20:17:49.369</v>
      </c>
      <c r="BZ1061">
        <v>0</v>
      </c>
      <c r="CA1061">
        <v>2016</v>
      </c>
      <c r="CB1061">
        <v>224</v>
      </c>
      <c r="CD1061">
        <v>1</v>
      </c>
      <c r="CE1061">
        <v>0</v>
      </c>
      <c r="CF1061">
        <v>0</v>
      </c>
      <c r="CG1061">
        <v>1</v>
      </c>
      <c r="CH1061">
        <v>0</v>
      </c>
      <c r="CI1061">
        <v>0</v>
      </c>
      <c r="CJ1061">
        <v>0</v>
      </c>
      <c r="CK1061">
        <v>2</v>
      </c>
      <c r="CL1061">
        <v>0</v>
      </c>
      <c r="CM1061">
        <v>2</v>
      </c>
      <c r="CN1061">
        <v>0</v>
      </c>
      <c r="CO1061">
        <v>7</v>
      </c>
      <c r="CP1061" t="s">
        <v>119</v>
      </c>
      <c r="CQ1061">
        <v>180</v>
      </c>
      <c r="CR1061">
        <v>2</v>
      </c>
      <c r="CW1061">
        <v>8056863</v>
      </c>
      <c r="CY1061">
        <v>1</v>
      </c>
      <c r="CZ1061">
        <v>0</v>
      </c>
      <c r="DA1061">
        <v>1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</row>
    <row r="1062" spans="1:113" x14ac:dyDescent="0.3">
      <c r="A1062" t="str">
        <f>"02/08/2021 20:17:47.047"</f>
        <v>02/08/2021 20:17:47.047</v>
      </c>
      <c r="C1062" t="str">
        <f t="shared" si="50"/>
        <v>FFDFD7C0</v>
      </c>
      <c r="D1062" t="s">
        <v>113</v>
      </c>
      <c r="E1062">
        <v>6</v>
      </c>
      <c r="H1062">
        <v>165</v>
      </c>
      <c r="I1062" t="s">
        <v>114</v>
      </c>
      <c r="J1062" t="s">
        <v>115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>"20:17:49.367"</f>
        <v>20:17:49.367</v>
      </c>
      <c r="T1062" t="str">
        <f>"20:17:48.967"</f>
        <v>20:17:48.967</v>
      </c>
      <c r="U1062" t="str">
        <f t="shared" si="49"/>
        <v>AB01F4</v>
      </c>
      <c r="V1062">
        <v>0</v>
      </c>
      <c r="W1062">
        <v>0</v>
      </c>
      <c r="X1062">
        <v>2</v>
      </c>
      <c r="Z1062">
        <v>0</v>
      </c>
      <c r="AA1062">
        <v>9</v>
      </c>
      <c r="AB1062">
        <v>3</v>
      </c>
      <c r="AC1062">
        <v>0</v>
      </c>
      <c r="AD1062">
        <v>10</v>
      </c>
      <c r="AE1062">
        <v>0</v>
      </c>
      <c r="AF1062">
        <v>3</v>
      </c>
      <c r="AG1062">
        <v>2</v>
      </c>
      <c r="AH1062">
        <v>0</v>
      </c>
      <c r="AI1062" t="s">
        <v>805</v>
      </c>
      <c r="AJ1062">
        <v>39.716306000000003</v>
      </c>
      <c r="AK1062" t="s">
        <v>797</v>
      </c>
      <c r="AL1062">
        <v>-92.528400000000005</v>
      </c>
      <c r="AM1062">
        <v>100</v>
      </c>
      <c r="AN1062">
        <v>1700</v>
      </c>
      <c r="AO1062" t="s">
        <v>118</v>
      </c>
      <c r="AP1062">
        <v>11</v>
      </c>
      <c r="AQ1062">
        <v>123</v>
      </c>
      <c r="AR1062">
        <v>128</v>
      </c>
      <c r="AZ1062">
        <v>1200</v>
      </c>
      <c r="BA1062">
        <v>1</v>
      </c>
      <c r="BB1062" t="str">
        <f t="shared" si="51"/>
        <v xml:space="preserve">N8080G  </v>
      </c>
      <c r="BC1062">
        <v>1</v>
      </c>
      <c r="BE1062">
        <v>0</v>
      </c>
      <c r="BF1062">
        <v>0</v>
      </c>
      <c r="BG1062">
        <v>0</v>
      </c>
      <c r="BH1062">
        <v>1675</v>
      </c>
      <c r="BI1062">
        <v>1</v>
      </c>
      <c r="BJ1062">
        <v>1</v>
      </c>
      <c r="BK1062">
        <v>1</v>
      </c>
      <c r="BL1062">
        <v>0</v>
      </c>
      <c r="BO1062">
        <v>0</v>
      </c>
      <c r="BP1062">
        <v>0</v>
      </c>
      <c r="BW1062" t="str">
        <f>"20:17:49.369"</f>
        <v>20:17:49.369</v>
      </c>
      <c r="BZ1062">
        <v>0</v>
      </c>
      <c r="CA1062">
        <v>2016</v>
      </c>
      <c r="CB1062">
        <v>224</v>
      </c>
      <c r="CD1062">
        <v>1</v>
      </c>
      <c r="CE1062">
        <v>0</v>
      </c>
      <c r="CF1062">
        <v>0</v>
      </c>
      <c r="CG1062">
        <v>1</v>
      </c>
      <c r="CH1062">
        <v>0</v>
      </c>
      <c r="CI1062">
        <v>0</v>
      </c>
      <c r="CJ1062">
        <v>0</v>
      </c>
      <c r="CK1062">
        <v>2</v>
      </c>
      <c r="CL1062">
        <v>0</v>
      </c>
      <c r="CM1062">
        <v>2</v>
      </c>
      <c r="CN1062">
        <v>0</v>
      </c>
      <c r="CO1062">
        <v>7</v>
      </c>
      <c r="CP1062" t="s">
        <v>119</v>
      </c>
      <c r="CQ1062">
        <v>180</v>
      </c>
      <c r="CR1062">
        <v>2</v>
      </c>
      <c r="CW1062">
        <v>8056863</v>
      </c>
      <c r="CY1062">
        <v>1</v>
      </c>
      <c r="CZ1062">
        <v>0</v>
      </c>
      <c r="DA1062">
        <v>1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</row>
    <row r="1063" spans="1:113" x14ac:dyDescent="0.3">
      <c r="A1063" t="str">
        <f>"02/08/2021 20:17:48.668"</f>
        <v>02/08/2021 20:17:48.668</v>
      </c>
      <c r="C1063" t="str">
        <f t="shared" si="50"/>
        <v>FFDFD7C0</v>
      </c>
      <c r="D1063" t="s">
        <v>124</v>
      </c>
      <c r="E1063">
        <v>12</v>
      </c>
      <c r="F1063">
        <v>1012</v>
      </c>
      <c r="G1063" t="s">
        <v>675</v>
      </c>
      <c r="J1063" t="s">
        <v>125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>"20:17:50.969"</f>
        <v>20:17:50.969</v>
      </c>
      <c r="T1063" t="str">
        <f>"20:17:50.469"</f>
        <v>20:17:50.469</v>
      </c>
      <c r="U1063" t="str">
        <f t="shared" si="49"/>
        <v>AB01F4</v>
      </c>
      <c r="V1063">
        <v>0</v>
      </c>
      <c r="W1063">
        <v>0</v>
      </c>
      <c r="X1063">
        <v>2</v>
      </c>
      <c r="Z1063">
        <v>0</v>
      </c>
      <c r="AA1063">
        <v>9</v>
      </c>
      <c r="AB1063">
        <v>3</v>
      </c>
      <c r="AC1063">
        <v>0</v>
      </c>
      <c r="AD1063">
        <v>10</v>
      </c>
      <c r="AE1063">
        <v>0</v>
      </c>
      <c r="AF1063">
        <v>3</v>
      </c>
      <c r="AG1063">
        <v>2</v>
      </c>
      <c r="AH1063">
        <v>0</v>
      </c>
      <c r="AI1063" t="s">
        <v>806</v>
      </c>
      <c r="AJ1063">
        <v>39.717227999999999</v>
      </c>
      <c r="AK1063" t="s">
        <v>807</v>
      </c>
      <c r="AL1063">
        <v>-92.528293000000005</v>
      </c>
      <c r="AM1063">
        <v>100</v>
      </c>
      <c r="AN1063">
        <v>1700</v>
      </c>
      <c r="AO1063" t="s">
        <v>118</v>
      </c>
      <c r="AP1063">
        <v>14</v>
      </c>
      <c r="AQ1063">
        <v>123</v>
      </c>
      <c r="AR1063">
        <v>128</v>
      </c>
      <c r="AZ1063">
        <v>1200</v>
      </c>
      <c r="BA1063">
        <v>1</v>
      </c>
      <c r="BB1063" t="str">
        <f t="shared" si="51"/>
        <v xml:space="preserve">N8080G  </v>
      </c>
      <c r="BC1063">
        <v>1</v>
      </c>
      <c r="BE1063">
        <v>0</v>
      </c>
      <c r="BF1063">
        <v>0</v>
      </c>
      <c r="BG1063">
        <v>0</v>
      </c>
      <c r="BH1063">
        <v>1700</v>
      </c>
      <c r="BI1063">
        <v>1</v>
      </c>
      <c r="BJ1063">
        <v>1</v>
      </c>
      <c r="BK1063">
        <v>1</v>
      </c>
      <c r="BL1063">
        <v>0</v>
      </c>
      <c r="BO1063">
        <v>0</v>
      </c>
      <c r="BP1063">
        <v>0</v>
      </c>
      <c r="BW1063" t="str">
        <f>"20:17:50.971"</f>
        <v>20:17:50.971</v>
      </c>
      <c r="BZ1063">
        <v>0</v>
      </c>
      <c r="CA1063">
        <v>2016</v>
      </c>
      <c r="CB1063">
        <v>224</v>
      </c>
      <c r="CD1063">
        <v>1</v>
      </c>
      <c r="CE1063">
        <v>0</v>
      </c>
      <c r="CF1063">
        <v>0</v>
      </c>
      <c r="CG1063">
        <v>1</v>
      </c>
      <c r="CH1063">
        <v>0</v>
      </c>
      <c r="CI1063">
        <v>0</v>
      </c>
      <c r="CJ1063">
        <v>0</v>
      </c>
      <c r="CK1063">
        <v>2</v>
      </c>
      <c r="CL1063">
        <v>0</v>
      </c>
      <c r="CM1063">
        <v>2</v>
      </c>
      <c r="CN1063">
        <v>0</v>
      </c>
      <c r="CO1063">
        <v>7</v>
      </c>
      <c r="CP1063" t="s">
        <v>119</v>
      </c>
      <c r="CQ1063">
        <v>180</v>
      </c>
      <c r="CR1063">
        <v>2</v>
      </c>
      <c r="CW1063">
        <v>8058218</v>
      </c>
      <c r="CY1063">
        <v>1</v>
      </c>
      <c r="CZ1063">
        <v>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</row>
    <row r="1064" spans="1:113" x14ac:dyDescent="0.3">
      <c r="A1064" t="str">
        <f>"02/08/2021 20:17:48.668"</f>
        <v>02/08/2021 20:17:48.668</v>
      </c>
      <c r="C1064" t="str">
        <f t="shared" si="50"/>
        <v>FFDFD7C0</v>
      </c>
      <c r="D1064" t="s">
        <v>124</v>
      </c>
      <c r="E1064">
        <v>11</v>
      </c>
      <c r="F1064">
        <v>1011</v>
      </c>
      <c r="G1064" t="s">
        <v>590</v>
      </c>
      <c r="J1064" t="s">
        <v>125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>"20:17:50.969"</f>
        <v>20:17:50.969</v>
      </c>
      <c r="T1064" t="str">
        <f>"20:17:50.469"</f>
        <v>20:17:50.469</v>
      </c>
      <c r="U1064" t="str">
        <f t="shared" si="49"/>
        <v>AB01F4</v>
      </c>
      <c r="V1064">
        <v>0</v>
      </c>
      <c r="W1064">
        <v>0</v>
      </c>
      <c r="X1064">
        <v>2</v>
      </c>
      <c r="Z1064">
        <v>0</v>
      </c>
      <c r="AA1064">
        <v>9</v>
      </c>
      <c r="AB1064">
        <v>3</v>
      </c>
      <c r="AC1064">
        <v>0</v>
      </c>
      <c r="AD1064">
        <v>10</v>
      </c>
      <c r="AE1064">
        <v>0</v>
      </c>
      <c r="AF1064">
        <v>3</v>
      </c>
      <c r="AG1064">
        <v>2</v>
      </c>
      <c r="AH1064">
        <v>0</v>
      </c>
      <c r="AI1064" t="s">
        <v>806</v>
      </c>
      <c r="AJ1064">
        <v>39.717227999999999</v>
      </c>
      <c r="AK1064" t="s">
        <v>807</v>
      </c>
      <c r="AL1064">
        <v>-92.528293000000005</v>
      </c>
      <c r="AM1064">
        <v>100</v>
      </c>
      <c r="AN1064">
        <v>1700</v>
      </c>
      <c r="AO1064" t="s">
        <v>118</v>
      </c>
      <c r="AP1064">
        <v>14</v>
      </c>
      <c r="AQ1064">
        <v>123</v>
      </c>
      <c r="AR1064">
        <v>128</v>
      </c>
      <c r="AZ1064">
        <v>1200</v>
      </c>
      <c r="BA1064">
        <v>1</v>
      </c>
      <c r="BB1064" t="str">
        <f t="shared" si="51"/>
        <v xml:space="preserve">N8080G  </v>
      </c>
      <c r="BC1064">
        <v>1</v>
      </c>
      <c r="BE1064">
        <v>0</v>
      </c>
      <c r="BF1064">
        <v>0</v>
      </c>
      <c r="BG1064">
        <v>0</v>
      </c>
      <c r="BH1064">
        <v>1700</v>
      </c>
      <c r="BI1064">
        <v>1</v>
      </c>
      <c r="BJ1064">
        <v>1</v>
      </c>
      <c r="BK1064">
        <v>1</v>
      </c>
      <c r="BL1064">
        <v>0</v>
      </c>
      <c r="BO1064">
        <v>0</v>
      </c>
      <c r="BP1064">
        <v>0</v>
      </c>
      <c r="BW1064" t="str">
        <f>"20:17:50.971"</f>
        <v>20:17:50.971</v>
      </c>
      <c r="BZ1064">
        <v>0</v>
      </c>
      <c r="CA1064">
        <v>2016</v>
      </c>
      <c r="CB1064">
        <v>224</v>
      </c>
      <c r="CD1064">
        <v>1</v>
      </c>
      <c r="CE1064">
        <v>0</v>
      </c>
      <c r="CF1064">
        <v>0</v>
      </c>
      <c r="CG1064">
        <v>1</v>
      </c>
      <c r="CH1064">
        <v>0</v>
      </c>
      <c r="CI1064">
        <v>0</v>
      </c>
      <c r="CJ1064">
        <v>0</v>
      </c>
      <c r="CK1064">
        <v>2</v>
      </c>
      <c r="CL1064">
        <v>0</v>
      </c>
      <c r="CM1064">
        <v>2</v>
      </c>
      <c r="CN1064">
        <v>0</v>
      </c>
      <c r="CO1064">
        <v>7</v>
      </c>
      <c r="CP1064" t="s">
        <v>119</v>
      </c>
      <c r="CQ1064">
        <v>180</v>
      </c>
      <c r="CR1064">
        <v>2</v>
      </c>
      <c r="CW1064">
        <v>8058218</v>
      </c>
      <c r="CY1064">
        <v>1</v>
      </c>
      <c r="CZ1064">
        <v>0</v>
      </c>
      <c r="DA1064">
        <v>1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</row>
    <row r="1065" spans="1:113" x14ac:dyDescent="0.3">
      <c r="A1065" t="str">
        <f>"02/08/2021 20:17:48.668"</f>
        <v>02/08/2021 20:17:48.668</v>
      </c>
      <c r="C1065" t="str">
        <f t="shared" si="50"/>
        <v>FFDFD7C0</v>
      </c>
      <c r="D1065" t="s">
        <v>113</v>
      </c>
      <c r="E1065">
        <v>6</v>
      </c>
      <c r="H1065">
        <v>165</v>
      </c>
      <c r="I1065" t="s">
        <v>114</v>
      </c>
      <c r="J1065" t="s">
        <v>115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>"20:17:50.969"</f>
        <v>20:17:50.969</v>
      </c>
      <c r="T1065" t="str">
        <f>"20:17:50.469"</f>
        <v>20:17:50.469</v>
      </c>
      <c r="U1065" t="str">
        <f t="shared" si="49"/>
        <v>AB01F4</v>
      </c>
      <c r="V1065">
        <v>0</v>
      </c>
      <c r="W1065">
        <v>0</v>
      </c>
      <c r="X1065">
        <v>2</v>
      </c>
      <c r="Z1065">
        <v>0</v>
      </c>
      <c r="AA1065">
        <v>9</v>
      </c>
      <c r="AB1065">
        <v>3</v>
      </c>
      <c r="AC1065">
        <v>0</v>
      </c>
      <c r="AD1065">
        <v>10</v>
      </c>
      <c r="AE1065">
        <v>0</v>
      </c>
      <c r="AF1065">
        <v>3</v>
      </c>
      <c r="AG1065">
        <v>2</v>
      </c>
      <c r="AH1065">
        <v>0</v>
      </c>
      <c r="AI1065" t="s">
        <v>806</v>
      </c>
      <c r="AJ1065">
        <v>39.717227999999999</v>
      </c>
      <c r="AK1065" t="s">
        <v>807</v>
      </c>
      <c r="AL1065">
        <v>-92.528293000000005</v>
      </c>
      <c r="AM1065">
        <v>100</v>
      </c>
      <c r="AN1065">
        <v>1700</v>
      </c>
      <c r="AO1065" t="s">
        <v>118</v>
      </c>
      <c r="AP1065">
        <v>14</v>
      </c>
      <c r="AQ1065">
        <v>123</v>
      </c>
      <c r="AR1065">
        <v>128</v>
      </c>
      <c r="AZ1065">
        <v>1200</v>
      </c>
      <c r="BA1065">
        <v>1</v>
      </c>
      <c r="BB1065" t="str">
        <f t="shared" si="51"/>
        <v xml:space="preserve">N8080G  </v>
      </c>
      <c r="BC1065">
        <v>1</v>
      </c>
      <c r="BE1065">
        <v>0</v>
      </c>
      <c r="BF1065">
        <v>0</v>
      </c>
      <c r="BG1065">
        <v>0</v>
      </c>
      <c r="BH1065">
        <v>1700</v>
      </c>
      <c r="BI1065">
        <v>1</v>
      </c>
      <c r="BJ1065">
        <v>1</v>
      </c>
      <c r="BK1065">
        <v>1</v>
      </c>
      <c r="BL1065">
        <v>0</v>
      </c>
      <c r="BO1065">
        <v>0</v>
      </c>
      <c r="BP1065">
        <v>0</v>
      </c>
      <c r="BW1065" t="str">
        <f>"20:17:50.971"</f>
        <v>20:17:50.971</v>
      </c>
      <c r="BZ1065">
        <v>0</v>
      </c>
      <c r="CA1065">
        <v>2016</v>
      </c>
      <c r="CB1065">
        <v>224</v>
      </c>
      <c r="CD1065">
        <v>1</v>
      </c>
      <c r="CE1065">
        <v>0</v>
      </c>
      <c r="CF1065">
        <v>0</v>
      </c>
      <c r="CG1065">
        <v>1</v>
      </c>
      <c r="CH1065">
        <v>0</v>
      </c>
      <c r="CI1065">
        <v>0</v>
      </c>
      <c r="CJ1065">
        <v>0</v>
      </c>
      <c r="CK1065">
        <v>2</v>
      </c>
      <c r="CL1065">
        <v>0</v>
      </c>
      <c r="CM1065">
        <v>2</v>
      </c>
      <c r="CN1065">
        <v>0</v>
      </c>
      <c r="CO1065">
        <v>7</v>
      </c>
      <c r="CP1065" t="s">
        <v>119</v>
      </c>
      <c r="CQ1065">
        <v>180</v>
      </c>
      <c r="CR1065">
        <v>2</v>
      </c>
      <c r="CW1065">
        <v>8058218</v>
      </c>
      <c r="CY1065">
        <v>1</v>
      </c>
      <c r="CZ1065">
        <v>0</v>
      </c>
      <c r="DA1065">
        <v>1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</row>
    <row r="1066" spans="1:113" x14ac:dyDescent="0.3">
      <c r="A1066" t="str">
        <f>"02/08/2021 20:17:48.668"</f>
        <v>02/08/2021 20:17:48.668</v>
      </c>
      <c r="C1066" t="str">
        <f t="shared" si="50"/>
        <v>FFDFD7C0</v>
      </c>
      <c r="D1066" t="s">
        <v>124</v>
      </c>
      <c r="E1066">
        <v>13</v>
      </c>
      <c r="F1066">
        <v>1013</v>
      </c>
      <c r="G1066" t="s">
        <v>114</v>
      </c>
      <c r="J1066" t="s">
        <v>125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>"20:17:50.969"</f>
        <v>20:17:50.969</v>
      </c>
      <c r="T1066" t="str">
        <f>"20:17:50.469"</f>
        <v>20:17:50.469</v>
      </c>
      <c r="U1066" t="str">
        <f t="shared" si="49"/>
        <v>AB01F4</v>
      </c>
      <c r="V1066">
        <v>0</v>
      </c>
      <c r="W1066">
        <v>0</v>
      </c>
      <c r="X1066">
        <v>2</v>
      </c>
      <c r="Z1066">
        <v>0</v>
      </c>
      <c r="AA1066">
        <v>9</v>
      </c>
      <c r="AB1066">
        <v>3</v>
      </c>
      <c r="AC1066">
        <v>0</v>
      </c>
      <c r="AD1066">
        <v>10</v>
      </c>
      <c r="AE1066">
        <v>0</v>
      </c>
      <c r="AF1066">
        <v>3</v>
      </c>
      <c r="AG1066">
        <v>2</v>
      </c>
      <c r="AH1066">
        <v>0</v>
      </c>
      <c r="AI1066" t="s">
        <v>806</v>
      </c>
      <c r="AJ1066">
        <v>39.717227999999999</v>
      </c>
      <c r="AK1066" t="s">
        <v>807</v>
      </c>
      <c r="AL1066">
        <v>-92.528293000000005</v>
      </c>
      <c r="AM1066">
        <v>100</v>
      </c>
      <c r="AN1066">
        <v>1700</v>
      </c>
      <c r="AO1066" t="s">
        <v>118</v>
      </c>
      <c r="AP1066">
        <v>14</v>
      </c>
      <c r="AQ1066">
        <v>123</v>
      </c>
      <c r="AR1066">
        <v>128</v>
      </c>
      <c r="AZ1066">
        <v>1200</v>
      </c>
      <c r="BA1066">
        <v>1</v>
      </c>
      <c r="BB1066" t="str">
        <f t="shared" si="51"/>
        <v xml:space="preserve">N8080G  </v>
      </c>
      <c r="BC1066">
        <v>1</v>
      </c>
      <c r="BE1066">
        <v>0</v>
      </c>
      <c r="BF1066">
        <v>0</v>
      </c>
      <c r="BG1066">
        <v>0</v>
      </c>
      <c r="BH1066">
        <v>1700</v>
      </c>
      <c r="BI1066">
        <v>1</v>
      </c>
      <c r="BJ1066">
        <v>1</v>
      </c>
      <c r="BK1066">
        <v>1</v>
      </c>
      <c r="BL1066">
        <v>0</v>
      </c>
      <c r="BO1066">
        <v>0</v>
      </c>
      <c r="BP1066">
        <v>0</v>
      </c>
      <c r="BW1066" t="str">
        <f>"20:17:50.971"</f>
        <v>20:17:50.971</v>
      </c>
      <c r="BZ1066">
        <v>0</v>
      </c>
      <c r="CA1066">
        <v>2016</v>
      </c>
      <c r="CB1066">
        <v>224</v>
      </c>
      <c r="CD1066">
        <v>1</v>
      </c>
      <c r="CE1066">
        <v>0</v>
      </c>
      <c r="CF1066">
        <v>0</v>
      </c>
      <c r="CG1066">
        <v>1</v>
      </c>
      <c r="CH1066">
        <v>0</v>
      </c>
      <c r="CI1066">
        <v>0</v>
      </c>
      <c r="CJ1066">
        <v>0</v>
      </c>
      <c r="CK1066">
        <v>2</v>
      </c>
      <c r="CL1066">
        <v>0</v>
      </c>
      <c r="CM1066">
        <v>2</v>
      </c>
      <c r="CN1066">
        <v>0</v>
      </c>
      <c r="CO1066">
        <v>7</v>
      </c>
      <c r="CP1066" t="s">
        <v>119</v>
      </c>
      <c r="CQ1066">
        <v>180</v>
      </c>
      <c r="CR1066">
        <v>2</v>
      </c>
      <c r="CW1066">
        <v>8058218</v>
      </c>
      <c r="CY1066">
        <v>1</v>
      </c>
      <c r="CZ1066">
        <v>0</v>
      </c>
      <c r="DA1066">
        <v>1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</row>
    <row r="1067" spans="1:113" x14ac:dyDescent="0.3">
      <c r="A1067" t="str">
        <f>"02/08/2021 20:17:52.924"</f>
        <v>02/08/2021 20:17:52.924</v>
      </c>
      <c r="C1067" t="str">
        <f t="shared" si="50"/>
        <v>FFDFD7C0</v>
      </c>
      <c r="D1067" t="s">
        <v>113</v>
      </c>
      <c r="E1067">
        <v>6</v>
      </c>
      <c r="H1067">
        <v>165</v>
      </c>
      <c r="I1067" t="s">
        <v>114</v>
      </c>
      <c r="J1067" t="s">
        <v>115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>"20:17:55.242"</f>
        <v>20:17:55.242</v>
      </c>
      <c r="T1067" t="str">
        <f>"20:17:54.842"</f>
        <v>20:17:54.842</v>
      </c>
      <c r="U1067" t="str">
        <f t="shared" si="49"/>
        <v>AB01F4</v>
      </c>
      <c r="V1067">
        <v>0</v>
      </c>
      <c r="W1067">
        <v>0</v>
      </c>
      <c r="X1067">
        <v>2</v>
      </c>
      <c r="Z1067">
        <v>0</v>
      </c>
      <c r="AA1067">
        <v>9</v>
      </c>
      <c r="AB1067">
        <v>3</v>
      </c>
      <c r="AC1067">
        <v>0</v>
      </c>
      <c r="AD1067">
        <v>10</v>
      </c>
      <c r="AE1067">
        <v>0</v>
      </c>
      <c r="AF1067">
        <v>3</v>
      </c>
      <c r="AG1067">
        <v>2</v>
      </c>
      <c r="AH1067">
        <v>0</v>
      </c>
      <c r="AI1067" t="s">
        <v>808</v>
      </c>
      <c r="AJ1067">
        <v>39.719631999999997</v>
      </c>
      <c r="AK1067" t="s">
        <v>789</v>
      </c>
      <c r="AL1067">
        <v>-92.527777999999998</v>
      </c>
      <c r="AM1067">
        <v>100</v>
      </c>
      <c r="AN1067">
        <v>1700</v>
      </c>
      <c r="AO1067" t="s">
        <v>118</v>
      </c>
      <c r="AP1067">
        <v>21</v>
      </c>
      <c r="AQ1067">
        <v>121</v>
      </c>
      <c r="AR1067">
        <v>0</v>
      </c>
      <c r="AZ1067">
        <v>1200</v>
      </c>
      <c r="BA1067">
        <v>1</v>
      </c>
      <c r="BB1067" t="str">
        <f t="shared" si="51"/>
        <v xml:space="preserve">N8080G  </v>
      </c>
      <c r="BC1067">
        <v>1</v>
      </c>
      <c r="BE1067">
        <v>0</v>
      </c>
      <c r="BF1067">
        <v>0</v>
      </c>
      <c r="BG1067">
        <v>0</v>
      </c>
      <c r="BH1067">
        <v>1675</v>
      </c>
      <c r="BI1067">
        <v>1</v>
      </c>
      <c r="BJ1067">
        <v>1</v>
      </c>
      <c r="BK1067">
        <v>1</v>
      </c>
      <c r="BL1067">
        <v>0</v>
      </c>
      <c r="BO1067">
        <v>0</v>
      </c>
      <c r="BP1067">
        <v>0</v>
      </c>
      <c r="BW1067" t="str">
        <f>"20:17:55.244"</f>
        <v>20:17:55.244</v>
      </c>
      <c r="BZ1067">
        <v>0</v>
      </c>
      <c r="CA1067">
        <v>2016</v>
      </c>
      <c r="CB1067">
        <v>224</v>
      </c>
      <c r="CD1067">
        <v>1</v>
      </c>
      <c r="CE1067">
        <v>0</v>
      </c>
      <c r="CF1067">
        <v>0</v>
      </c>
      <c r="CG1067">
        <v>1</v>
      </c>
      <c r="CH1067">
        <v>0</v>
      </c>
      <c r="CI1067">
        <v>0</v>
      </c>
      <c r="CJ1067">
        <v>0</v>
      </c>
      <c r="CK1067">
        <v>2</v>
      </c>
      <c r="CL1067">
        <v>0</v>
      </c>
      <c r="CM1067">
        <v>2</v>
      </c>
      <c r="CN1067">
        <v>0</v>
      </c>
      <c r="CO1067">
        <v>7</v>
      </c>
      <c r="CP1067" t="s">
        <v>119</v>
      </c>
      <c r="CQ1067">
        <v>180</v>
      </c>
      <c r="CR1067">
        <v>2</v>
      </c>
      <c r="CW1067">
        <v>8061821</v>
      </c>
      <c r="CY1067">
        <v>1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</row>
    <row r="1068" spans="1:113" x14ac:dyDescent="0.3">
      <c r="A1068" t="str">
        <f>"02/08/2021 20:17:52.924"</f>
        <v>02/08/2021 20:17:52.924</v>
      </c>
      <c r="C1068" t="str">
        <f t="shared" si="50"/>
        <v>FFDFD7C0</v>
      </c>
      <c r="D1068" t="s">
        <v>124</v>
      </c>
      <c r="E1068">
        <v>13</v>
      </c>
      <c r="F1068">
        <v>1013</v>
      </c>
      <c r="G1068" t="s">
        <v>114</v>
      </c>
      <c r="J1068" t="s">
        <v>125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>"20:17:55.242"</f>
        <v>20:17:55.242</v>
      </c>
      <c r="T1068" t="str">
        <f>"20:17:54.842"</f>
        <v>20:17:54.842</v>
      </c>
      <c r="U1068" t="str">
        <f t="shared" si="49"/>
        <v>AB01F4</v>
      </c>
      <c r="V1068">
        <v>0</v>
      </c>
      <c r="W1068">
        <v>0</v>
      </c>
      <c r="X1068">
        <v>2</v>
      </c>
      <c r="Z1068">
        <v>0</v>
      </c>
      <c r="AA1068">
        <v>9</v>
      </c>
      <c r="AB1068">
        <v>3</v>
      </c>
      <c r="AC1068">
        <v>0</v>
      </c>
      <c r="AD1068">
        <v>10</v>
      </c>
      <c r="AE1068">
        <v>0</v>
      </c>
      <c r="AF1068">
        <v>3</v>
      </c>
      <c r="AG1068">
        <v>2</v>
      </c>
      <c r="AH1068">
        <v>0</v>
      </c>
      <c r="AI1068" t="s">
        <v>808</v>
      </c>
      <c r="AJ1068">
        <v>39.719631999999997</v>
      </c>
      <c r="AK1068" t="s">
        <v>789</v>
      </c>
      <c r="AL1068">
        <v>-92.527777999999998</v>
      </c>
      <c r="AM1068">
        <v>100</v>
      </c>
      <c r="AN1068">
        <v>1700</v>
      </c>
      <c r="AO1068" t="s">
        <v>118</v>
      </c>
      <c r="AP1068">
        <v>21</v>
      </c>
      <c r="AQ1068">
        <v>121</v>
      </c>
      <c r="AR1068">
        <v>0</v>
      </c>
      <c r="AZ1068">
        <v>1200</v>
      </c>
      <c r="BA1068">
        <v>1</v>
      </c>
      <c r="BB1068" t="str">
        <f t="shared" si="51"/>
        <v xml:space="preserve">N8080G  </v>
      </c>
      <c r="BC1068">
        <v>1</v>
      </c>
      <c r="BE1068">
        <v>0</v>
      </c>
      <c r="BF1068">
        <v>0</v>
      </c>
      <c r="BG1068">
        <v>0</v>
      </c>
      <c r="BH1068">
        <v>1675</v>
      </c>
      <c r="BI1068">
        <v>1</v>
      </c>
      <c r="BJ1068">
        <v>1</v>
      </c>
      <c r="BK1068">
        <v>1</v>
      </c>
      <c r="BL1068">
        <v>0</v>
      </c>
      <c r="BO1068">
        <v>0</v>
      </c>
      <c r="BP1068">
        <v>0</v>
      </c>
      <c r="BW1068" t="str">
        <f>"20:17:55.244"</f>
        <v>20:17:55.244</v>
      </c>
      <c r="BZ1068">
        <v>0</v>
      </c>
      <c r="CA1068">
        <v>2016</v>
      </c>
      <c r="CB1068">
        <v>224</v>
      </c>
      <c r="CD1068">
        <v>1</v>
      </c>
      <c r="CE1068">
        <v>0</v>
      </c>
      <c r="CF1068">
        <v>0</v>
      </c>
      <c r="CG1068">
        <v>1</v>
      </c>
      <c r="CH1068">
        <v>0</v>
      </c>
      <c r="CI1068">
        <v>0</v>
      </c>
      <c r="CJ1068">
        <v>0</v>
      </c>
      <c r="CK1068">
        <v>2</v>
      </c>
      <c r="CL1068">
        <v>0</v>
      </c>
      <c r="CM1068">
        <v>2</v>
      </c>
      <c r="CN1068">
        <v>0</v>
      </c>
      <c r="CO1068">
        <v>7</v>
      </c>
      <c r="CP1068" t="s">
        <v>119</v>
      </c>
      <c r="CQ1068">
        <v>180</v>
      </c>
      <c r="CR1068">
        <v>2</v>
      </c>
      <c r="CW1068">
        <v>8061821</v>
      </c>
      <c r="CY1068">
        <v>1</v>
      </c>
      <c r="CZ1068">
        <v>0</v>
      </c>
      <c r="DA1068">
        <v>1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</row>
    <row r="1069" spans="1:113" x14ac:dyDescent="0.3">
      <c r="A1069" t="str">
        <f>"02/08/2021 20:17:52.924"</f>
        <v>02/08/2021 20:17:52.924</v>
      </c>
      <c r="C1069" t="str">
        <f t="shared" si="50"/>
        <v>FFDFD7C0</v>
      </c>
      <c r="D1069" t="s">
        <v>124</v>
      </c>
      <c r="E1069">
        <v>12</v>
      </c>
      <c r="F1069">
        <v>1012</v>
      </c>
      <c r="G1069" t="s">
        <v>675</v>
      </c>
      <c r="J1069" t="s">
        <v>125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>"20:17:55.242"</f>
        <v>20:17:55.242</v>
      </c>
      <c r="T1069" t="str">
        <f>"20:17:54.842"</f>
        <v>20:17:54.842</v>
      </c>
      <c r="U1069" t="str">
        <f t="shared" si="49"/>
        <v>AB01F4</v>
      </c>
      <c r="V1069">
        <v>0</v>
      </c>
      <c r="W1069">
        <v>0</v>
      </c>
      <c r="X1069">
        <v>2</v>
      </c>
      <c r="Z1069">
        <v>0</v>
      </c>
      <c r="AA1069">
        <v>9</v>
      </c>
      <c r="AB1069">
        <v>3</v>
      </c>
      <c r="AC1069">
        <v>0</v>
      </c>
      <c r="AD1069">
        <v>10</v>
      </c>
      <c r="AE1069">
        <v>0</v>
      </c>
      <c r="AF1069">
        <v>3</v>
      </c>
      <c r="AG1069">
        <v>2</v>
      </c>
      <c r="AH1069">
        <v>0</v>
      </c>
      <c r="AI1069" t="s">
        <v>808</v>
      </c>
      <c r="AJ1069">
        <v>39.719631999999997</v>
      </c>
      <c r="AK1069" t="s">
        <v>789</v>
      </c>
      <c r="AL1069">
        <v>-92.527777999999998</v>
      </c>
      <c r="AM1069">
        <v>100</v>
      </c>
      <c r="AN1069">
        <v>1700</v>
      </c>
      <c r="AO1069" t="s">
        <v>118</v>
      </c>
      <c r="AP1069">
        <v>21</v>
      </c>
      <c r="AQ1069">
        <v>121</v>
      </c>
      <c r="AR1069">
        <v>0</v>
      </c>
      <c r="AZ1069">
        <v>1200</v>
      </c>
      <c r="BA1069">
        <v>1</v>
      </c>
      <c r="BB1069" t="str">
        <f t="shared" si="51"/>
        <v xml:space="preserve">N8080G  </v>
      </c>
      <c r="BC1069">
        <v>1</v>
      </c>
      <c r="BE1069">
        <v>0</v>
      </c>
      <c r="BF1069">
        <v>0</v>
      </c>
      <c r="BG1069">
        <v>0</v>
      </c>
      <c r="BH1069">
        <v>1675</v>
      </c>
      <c r="BI1069">
        <v>1</v>
      </c>
      <c r="BJ1069">
        <v>1</v>
      </c>
      <c r="BK1069">
        <v>1</v>
      </c>
      <c r="BL1069">
        <v>0</v>
      </c>
      <c r="BO1069">
        <v>0</v>
      </c>
      <c r="BP1069">
        <v>0</v>
      </c>
      <c r="BW1069" t="str">
        <f>"20:17:55.244"</f>
        <v>20:17:55.244</v>
      </c>
      <c r="BZ1069">
        <v>0</v>
      </c>
      <c r="CA1069">
        <v>2016</v>
      </c>
      <c r="CB1069">
        <v>224</v>
      </c>
      <c r="CD1069">
        <v>1</v>
      </c>
      <c r="CE1069">
        <v>0</v>
      </c>
      <c r="CF1069">
        <v>0</v>
      </c>
      <c r="CG1069">
        <v>1</v>
      </c>
      <c r="CH1069">
        <v>0</v>
      </c>
      <c r="CI1069">
        <v>0</v>
      </c>
      <c r="CJ1069">
        <v>0</v>
      </c>
      <c r="CK1069">
        <v>2</v>
      </c>
      <c r="CL1069">
        <v>0</v>
      </c>
      <c r="CM1069">
        <v>2</v>
      </c>
      <c r="CN1069">
        <v>0</v>
      </c>
      <c r="CO1069">
        <v>7</v>
      </c>
      <c r="CP1069" t="s">
        <v>119</v>
      </c>
      <c r="CQ1069">
        <v>180</v>
      </c>
      <c r="CR1069">
        <v>2</v>
      </c>
      <c r="CW1069">
        <v>8061821</v>
      </c>
      <c r="CY1069">
        <v>1</v>
      </c>
      <c r="CZ1069">
        <v>0</v>
      </c>
      <c r="DA1069">
        <v>1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</row>
    <row r="1070" spans="1:113" x14ac:dyDescent="0.3">
      <c r="A1070" t="str">
        <f>"02/08/2021 20:17:52.924"</f>
        <v>02/08/2021 20:17:52.924</v>
      </c>
      <c r="C1070" t="str">
        <f t="shared" si="50"/>
        <v>FFDFD7C0</v>
      </c>
      <c r="D1070" t="s">
        <v>124</v>
      </c>
      <c r="E1070">
        <v>11</v>
      </c>
      <c r="F1070">
        <v>1011</v>
      </c>
      <c r="G1070" t="s">
        <v>590</v>
      </c>
      <c r="J1070" t="s">
        <v>125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>"20:17:55.242"</f>
        <v>20:17:55.242</v>
      </c>
      <c r="T1070" t="str">
        <f>"20:17:54.842"</f>
        <v>20:17:54.842</v>
      </c>
      <c r="U1070" t="str">
        <f t="shared" si="49"/>
        <v>AB01F4</v>
      </c>
      <c r="V1070">
        <v>0</v>
      </c>
      <c r="W1070">
        <v>0</v>
      </c>
      <c r="X1070">
        <v>2</v>
      </c>
      <c r="Z1070">
        <v>0</v>
      </c>
      <c r="AA1070">
        <v>9</v>
      </c>
      <c r="AB1070">
        <v>3</v>
      </c>
      <c r="AC1070">
        <v>0</v>
      </c>
      <c r="AD1070">
        <v>10</v>
      </c>
      <c r="AE1070">
        <v>0</v>
      </c>
      <c r="AF1070">
        <v>3</v>
      </c>
      <c r="AG1070">
        <v>2</v>
      </c>
      <c r="AH1070">
        <v>0</v>
      </c>
      <c r="AI1070" t="s">
        <v>808</v>
      </c>
      <c r="AJ1070">
        <v>39.719631999999997</v>
      </c>
      <c r="AK1070" t="s">
        <v>789</v>
      </c>
      <c r="AL1070">
        <v>-92.527777999999998</v>
      </c>
      <c r="AM1070">
        <v>100</v>
      </c>
      <c r="AN1070">
        <v>1700</v>
      </c>
      <c r="AO1070" t="s">
        <v>118</v>
      </c>
      <c r="AP1070">
        <v>21</v>
      </c>
      <c r="AQ1070">
        <v>121</v>
      </c>
      <c r="AR1070">
        <v>0</v>
      </c>
      <c r="AZ1070">
        <v>1200</v>
      </c>
      <c r="BA1070">
        <v>1</v>
      </c>
      <c r="BB1070" t="str">
        <f t="shared" si="51"/>
        <v xml:space="preserve">N8080G  </v>
      </c>
      <c r="BC1070">
        <v>1</v>
      </c>
      <c r="BE1070">
        <v>0</v>
      </c>
      <c r="BF1070">
        <v>0</v>
      </c>
      <c r="BG1070">
        <v>0</v>
      </c>
      <c r="BH1070">
        <v>1675</v>
      </c>
      <c r="BI1070">
        <v>1</v>
      </c>
      <c r="BJ1070">
        <v>1</v>
      </c>
      <c r="BK1070">
        <v>1</v>
      </c>
      <c r="BL1070">
        <v>0</v>
      </c>
      <c r="BO1070">
        <v>0</v>
      </c>
      <c r="BP1070">
        <v>0</v>
      </c>
      <c r="BW1070" t="str">
        <f>"20:17:55.244"</f>
        <v>20:17:55.244</v>
      </c>
      <c r="BZ1070">
        <v>0</v>
      </c>
      <c r="CA1070">
        <v>2016</v>
      </c>
      <c r="CB1070">
        <v>224</v>
      </c>
      <c r="CD1070">
        <v>1</v>
      </c>
      <c r="CE1070">
        <v>0</v>
      </c>
      <c r="CF1070">
        <v>0</v>
      </c>
      <c r="CG1070">
        <v>1</v>
      </c>
      <c r="CH1070">
        <v>0</v>
      </c>
      <c r="CI1070">
        <v>0</v>
      </c>
      <c r="CJ1070">
        <v>0</v>
      </c>
      <c r="CK1070">
        <v>2</v>
      </c>
      <c r="CL1070">
        <v>0</v>
      </c>
      <c r="CM1070">
        <v>2</v>
      </c>
      <c r="CN1070">
        <v>0</v>
      </c>
      <c r="CO1070">
        <v>7</v>
      </c>
      <c r="CP1070" t="s">
        <v>119</v>
      </c>
      <c r="CQ1070">
        <v>180</v>
      </c>
      <c r="CR1070">
        <v>2</v>
      </c>
      <c r="CW1070">
        <v>8061821</v>
      </c>
      <c r="CY1070">
        <v>1</v>
      </c>
      <c r="CZ1070">
        <v>0</v>
      </c>
      <c r="DA1070">
        <v>1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</row>
    <row r="1071" spans="1:113" x14ac:dyDescent="0.3">
      <c r="A1071" t="str">
        <f>"02/08/2021 20:17:54.385"</f>
        <v>02/08/2021 20:17:54.385</v>
      </c>
      <c r="C1071" t="str">
        <f t="shared" si="50"/>
        <v>FFDFD7C0</v>
      </c>
      <c r="D1071" t="s">
        <v>124</v>
      </c>
      <c r="E1071">
        <v>13</v>
      </c>
      <c r="F1071">
        <v>1013</v>
      </c>
      <c r="G1071" t="s">
        <v>114</v>
      </c>
      <c r="J1071" t="s">
        <v>125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>"20:17:56.672"</f>
        <v>20:17:56.672</v>
      </c>
      <c r="T1071" t="str">
        <f>"20:17:56.272"</f>
        <v>20:17:56.272</v>
      </c>
      <c r="U1071" t="str">
        <f t="shared" si="49"/>
        <v>AB01F4</v>
      </c>
      <c r="V1071">
        <v>0</v>
      </c>
      <c r="W1071">
        <v>0</v>
      </c>
      <c r="X1071">
        <v>2</v>
      </c>
      <c r="Z1071">
        <v>0</v>
      </c>
      <c r="AA1071">
        <v>9</v>
      </c>
      <c r="AB1071">
        <v>3</v>
      </c>
      <c r="AC1071">
        <v>0</v>
      </c>
      <c r="AD1071">
        <v>10</v>
      </c>
      <c r="AE1071">
        <v>0</v>
      </c>
      <c r="AF1071">
        <v>3</v>
      </c>
      <c r="AG1071">
        <v>2</v>
      </c>
      <c r="AH1071">
        <v>0</v>
      </c>
      <c r="AI1071" t="s">
        <v>809</v>
      </c>
      <c r="AJ1071">
        <v>39.720426000000003</v>
      </c>
      <c r="AK1071" t="s">
        <v>810</v>
      </c>
      <c r="AL1071">
        <v>-92.527585000000002</v>
      </c>
      <c r="AM1071">
        <v>100</v>
      </c>
      <c r="AN1071">
        <v>1700</v>
      </c>
      <c r="AO1071" t="s">
        <v>118</v>
      </c>
      <c r="AP1071">
        <v>22</v>
      </c>
      <c r="AQ1071">
        <v>121</v>
      </c>
      <c r="AR1071">
        <v>0</v>
      </c>
      <c r="AZ1071">
        <v>1200</v>
      </c>
      <c r="BA1071">
        <v>1</v>
      </c>
      <c r="BB1071" t="str">
        <f t="shared" si="51"/>
        <v xml:space="preserve">N8080G  </v>
      </c>
      <c r="BC1071">
        <v>1</v>
      </c>
      <c r="BE1071">
        <v>0</v>
      </c>
      <c r="BF1071">
        <v>0</v>
      </c>
      <c r="BG1071">
        <v>0</v>
      </c>
      <c r="BH1071">
        <v>1675</v>
      </c>
      <c r="BI1071">
        <v>1</v>
      </c>
      <c r="BJ1071">
        <v>1</v>
      </c>
      <c r="BK1071">
        <v>1</v>
      </c>
      <c r="BL1071">
        <v>0</v>
      </c>
      <c r="BO1071">
        <v>0</v>
      </c>
      <c r="BP1071">
        <v>0</v>
      </c>
      <c r="BW1071" t="str">
        <f>"20:17:56.679"</f>
        <v>20:17:56.679</v>
      </c>
      <c r="BZ1071">
        <v>0</v>
      </c>
      <c r="CA1071">
        <v>2016</v>
      </c>
      <c r="CB1071">
        <v>224</v>
      </c>
      <c r="CD1071">
        <v>1</v>
      </c>
      <c r="CE1071">
        <v>0</v>
      </c>
      <c r="CF1071">
        <v>0</v>
      </c>
      <c r="CG1071">
        <v>1</v>
      </c>
      <c r="CH1071">
        <v>0</v>
      </c>
      <c r="CI1071">
        <v>0</v>
      </c>
      <c r="CJ1071">
        <v>0</v>
      </c>
      <c r="CK1071">
        <v>2</v>
      </c>
      <c r="CL1071">
        <v>0</v>
      </c>
      <c r="CM1071">
        <v>2</v>
      </c>
      <c r="CN1071">
        <v>0</v>
      </c>
      <c r="CO1071">
        <v>6</v>
      </c>
      <c r="CP1071" t="s">
        <v>119</v>
      </c>
      <c r="CQ1071">
        <v>180</v>
      </c>
      <c r="CR1071">
        <v>2</v>
      </c>
      <c r="CW1071">
        <v>8063111</v>
      </c>
      <c r="CY1071">
        <v>1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</row>
    <row r="1072" spans="1:113" x14ac:dyDescent="0.3">
      <c r="A1072" t="str">
        <f>"02/08/2021 20:17:54.385"</f>
        <v>02/08/2021 20:17:54.385</v>
      </c>
      <c r="C1072" t="str">
        <f t="shared" si="50"/>
        <v>FFDFD7C0</v>
      </c>
      <c r="D1072" t="s">
        <v>113</v>
      </c>
      <c r="E1072">
        <v>6</v>
      </c>
      <c r="H1072">
        <v>165</v>
      </c>
      <c r="I1072" t="s">
        <v>114</v>
      </c>
      <c r="J1072" t="s">
        <v>115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>"20:17:56.672"</f>
        <v>20:17:56.672</v>
      </c>
      <c r="T1072" t="str">
        <f>"20:17:56.272"</f>
        <v>20:17:56.272</v>
      </c>
      <c r="U1072" t="str">
        <f t="shared" si="49"/>
        <v>AB01F4</v>
      </c>
      <c r="V1072">
        <v>0</v>
      </c>
      <c r="W1072">
        <v>0</v>
      </c>
      <c r="X1072">
        <v>2</v>
      </c>
      <c r="Z1072">
        <v>0</v>
      </c>
      <c r="AA1072">
        <v>9</v>
      </c>
      <c r="AB1072">
        <v>3</v>
      </c>
      <c r="AC1072">
        <v>0</v>
      </c>
      <c r="AD1072">
        <v>10</v>
      </c>
      <c r="AE1072">
        <v>0</v>
      </c>
      <c r="AF1072">
        <v>3</v>
      </c>
      <c r="AG1072">
        <v>2</v>
      </c>
      <c r="AH1072">
        <v>0</v>
      </c>
      <c r="AI1072" t="s">
        <v>809</v>
      </c>
      <c r="AJ1072">
        <v>39.720426000000003</v>
      </c>
      <c r="AK1072" t="s">
        <v>810</v>
      </c>
      <c r="AL1072">
        <v>-92.527585000000002</v>
      </c>
      <c r="AM1072">
        <v>100</v>
      </c>
      <c r="AN1072">
        <v>1700</v>
      </c>
      <c r="AO1072" t="s">
        <v>118</v>
      </c>
      <c r="AP1072">
        <v>22</v>
      </c>
      <c r="AQ1072">
        <v>121</v>
      </c>
      <c r="AR1072">
        <v>0</v>
      </c>
      <c r="AZ1072">
        <v>1200</v>
      </c>
      <c r="BA1072">
        <v>1</v>
      </c>
      <c r="BB1072" t="str">
        <f t="shared" si="51"/>
        <v xml:space="preserve">N8080G  </v>
      </c>
      <c r="BC1072">
        <v>1</v>
      </c>
      <c r="BE1072">
        <v>0</v>
      </c>
      <c r="BF1072">
        <v>0</v>
      </c>
      <c r="BG1072">
        <v>0</v>
      </c>
      <c r="BH1072">
        <v>1675</v>
      </c>
      <c r="BI1072">
        <v>1</v>
      </c>
      <c r="BJ1072">
        <v>1</v>
      </c>
      <c r="BK1072">
        <v>1</v>
      </c>
      <c r="BL1072">
        <v>0</v>
      </c>
      <c r="BO1072">
        <v>0</v>
      </c>
      <c r="BP1072">
        <v>0</v>
      </c>
      <c r="BW1072" t="str">
        <f>"20:17:56.679"</f>
        <v>20:17:56.679</v>
      </c>
      <c r="BZ1072">
        <v>0</v>
      </c>
      <c r="CA1072">
        <v>2016</v>
      </c>
      <c r="CB1072">
        <v>224</v>
      </c>
      <c r="CD1072">
        <v>1</v>
      </c>
      <c r="CE1072">
        <v>0</v>
      </c>
      <c r="CF1072">
        <v>0</v>
      </c>
      <c r="CG1072">
        <v>1</v>
      </c>
      <c r="CH1072">
        <v>0</v>
      </c>
      <c r="CI1072">
        <v>0</v>
      </c>
      <c r="CJ1072">
        <v>0</v>
      </c>
      <c r="CK1072">
        <v>2</v>
      </c>
      <c r="CL1072">
        <v>0</v>
      </c>
      <c r="CM1072">
        <v>2</v>
      </c>
      <c r="CN1072">
        <v>0</v>
      </c>
      <c r="CO1072">
        <v>6</v>
      </c>
      <c r="CP1072" t="s">
        <v>119</v>
      </c>
      <c r="CQ1072">
        <v>180</v>
      </c>
      <c r="CR1072">
        <v>2</v>
      </c>
      <c r="CW1072">
        <v>8063111</v>
      </c>
      <c r="CY1072">
        <v>1</v>
      </c>
      <c r="CZ1072">
        <v>0</v>
      </c>
      <c r="DA1072">
        <v>1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</row>
    <row r="1073" spans="1:113" x14ac:dyDescent="0.3">
      <c r="A1073" t="str">
        <f>"02/08/2021 20:17:54.385"</f>
        <v>02/08/2021 20:17:54.385</v>
      </c>
      <c r="C1073" t="str">
        <f t="shared" si="50"/>
        <v>FFDFD7C0</v>
      </c>
      <c r="D1073" t="s">
        <v>124</v>
      </c>
      <c r="E1073">
        <v>12</v>
      </c>
      <c r="F1073">
        <v>1012</v>
      </c>
      <c r="G1073" t="s">
        <v>675</v>
      </c>
      <c r="J1073" t="s">
        <v>125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>"20:17:56.672"</f>
        <v>20:17:56.672</v>
      </c>
      <c r="T1073" t="str">
        <f>"20:17:56.272"</f>
        <v>20:17:56.272</v>
      </c>
      <c r="U1073" t="str">
        <f t="shared" si="49"/>
        <v>AB01F4</v>
      </c>
      <c r="V1073">
        <v>0</v>
      </c>
      <c r="W1073">
        <v>0</v>
      </c>
      <c r="X1073">
        <v>2</v>
      </c>
      <c r="Z1073">
        <v>0</v>
      </c>
      <c r="AA1073">
        <v>9</v>
      </c>
      <c r="AB1073">
        <v>3</v>
      </c>
      <c r="AC1073">
        <v>0</v>
      </c>
      <c r="AD1073">
        <v>10</v>
      </c>
      <c r="AE1073">
        <v>0</v>
      </c>
      <c r="AF1073">
        <v>3</v>
      </c>
      <c r="AG1073">
        <v>2</v>
      </c>
      <c r="AH1073">
        <v>0</v>
      </c>
      <c r="AI1073" t="s">
        <v>809</v>
      </c>
      <c r="AJ1073">
        <v>39.720426000000003</v>
      </c>
      <c r="AK1073" t="s">
        <v>810</v>
      </c>
      <c r="AL1073">
        <v>-92.527585000000002</v>
      </c>
      <c r="AM1073">
        <v>100</v>
      </c>
      <c r="AN1073">
        <v>1700</v>
      </c>
      <c r="AO1073" t="s">
        <v>118</v>
      </c>
      <c r="AP1073">
        <v>22</v>
      </c>
      <c r="AQ1073">
        <v>121</v>
      </c>
      <c r="AR1073">
        <v>0</v>
      </c>
      <c r="AZ1073">
        <v>1200</v>
      </c>
      <c r="BA1073">
        <v>1</v>
      </c>
      <c r="BB1073" t="str">
        <f t="shared" si="51"/>
        <v xml:space="preserve">N8080G  </v>
      </c>
      <c r="BC1073">
        <v>1</v>
      </c>
      <c r="BE1073">
        <v>0</v>
      </c>
      <c r="BF1073">
        <v>0</v>
      </c>
      <c r="BG1073">
        <v>0</v>
      </c>
      <c r="BH1073">
        <v>1675</v>
      </c>
      <c r="BI1073">
        <v>1</v>
      </c>
      <c r="BJ1073">
        <v>1</v>
      </c>
      <c r="BK1073">
        <v>1</v>
      </c>
      <c r="BL1073">
        <v>0</v>
      </c>
      <c r="BO1073">
        <v>0</v>
      </c>
      <c r="BP1073">
        <v>0</v>
      </c>
      <c r="BW1073" t="str">
        <f>"20:17:56.679"</f>
        <v>20:17:56.679</v>
      </c>
      <c r="BZ1073">
        <v>0</v>
      </c>
      <c r="CA1073">
        <v>2016</v>
      </c>
      <c r="CB1073">
        <v>224</v>
      </c>
      <c r="CD1073">
        <v>1</v>
      </c>
      <c r="CE1073">
        <v>0</v>
      </c>
      <c r="CF1073">
        <v>0</v>
      </c>
      <c r="CG1073">
        <v>1</v>
      </c>
      <c r="CH1073">
        <v>0</v>
      </c>
      <c r="CI1073">
        <v>0</v>
      </c>
      <c r="CJ1073">
        <v>0</v>
      </c>
      <c r="CK1073">
        <v>2</v>
      </c>
      <c r="CL1073">
        <v>0</v>
      </c>
      <c r="CM1073">
        <v>2</v>
      </c>
      <c r="CN1073">
        <v>0</v>
      </c>
      <c r="CO1073">
        <v>6</v>
      </c>
      <c r="CP1073" t="s">
        <v>119</v>
      </c>
      <c r="CQ1073">
        <v>180</v>
      </c>
      <c r="CR1073">
        <v>2</v>
      </c>
      <c r="CW1073">
        <v>8063111</v>
      </c>
      <c r="CY1073">
        <v>1</v>
      </c>
      <c r="CZ1073">
        <v>0</v>
      </c>
      <c r="DA1073">
        <v>1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</row>
    <row r="1074" spans="1:113" x14ac:dyDescent="0.3">
      <c r="A1074" t="str">
        <f>"02/08/2021 20:17:54.385"</f>
        <v>02/08/2021 20:17:54.385</v>
      </c>
      <c r="C1074" t="str">
        <f t="shared" si="50"/>
        <v>FFDFD7C0</v>
      </c>
      <c r="D1074" t="s">
        <v>124</v>
      </c>
      <c r="E1074">
        <v>11</v>
      </c>
      <c r="F1074">
        <v>1011</v>
      </c>
      <c r="G1074" t="s">
        <v>590</v>
      </c>
      <c r="J1074" t="s">
        <v>125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>"20:17:56.672"</f>
        <v>20:17:56.672</v>
      </c>
      <c r="T1074" t="str">
        <f>"20:17:56.272"</f>
        <v>20:17:56.272</v>
      </c>
      <c r="U1074" t="str">
        <f t="shared" si="49"/>
        <v>AB01F4</v>
      </c>
      <c r="V1074">
        <v>0</v>
      </c>
      <c r="W1074">
        <v>0</v>
      </c>
      <c r="X1074">
        <v>2</v>
      </c>
      <c r="Z1074">
        <v>0</v>
      </c>
      <c r="AA1074">
        <v>9</v>
      </c>
      <c r="AB1074">
        <v>3</v>
      </c>
      <c r="AC1074">
        <v>0</v>
      </c>
      <c r="AD1074">
        <v>10</v>
      </c>
      <c r="AE1074">
        <v>0</v>
      </c>
      <c r="AF1074">
        <v>3</v>
      </c>
      <c r="AG1074">
        <v>2</v>
      </c>
      <c r="AH1074">
        <v>0</v>
      </c>
      <c r="AI1074" t="s">
        <v>809</v>
      </c>
      <c r="AJ1074">
        <v>39.720426000000003</v>
      </c>
      <c r="AK1074" t="s">
        <v>810</v>
      </c>
      <c r="AL1074">
        <v>-92.527585000000002</v>
      </c>
      <c r="AM1074">
        <v>100</v>
      </c>
      <c r="AN1074">
        <v>1700</v>
      </c>
      <c r="AO1074" t="s">
        <v>118</v>
      </c>
      <c r="AP1074">
        <v>22</v>
      </c>
      <c r="AQ1074">
        <v>121</v>
      </c>
      <c r="AR1074">
        <v>0</v>
      </c>
      <c r="AZ1074">
        <v>1200</v>
      </c>
      <c r="BA1074">
        <v>1</v>
      </c>
      <c r="BB1074" t="str">
        <f t="shared" si="51"/>
        <v xml:space="preserve">N8080G  </v>
      </c>
      <c r="BC1074">
        <v>1</v>
      </c>
      <c r="BE1074">
        <v>0</v>
      </c>
      <c r="BF1074">
        <v>0</v>
      </c>
      <c r="BG1074">
        <v>0</v>
      </c>
      <c r="BH1074">
        <v>1675</v>
      </c>
      <c r="BI1074">
        <v>1</v>
      </c>
      <c r="BJ1074">
        <v>1</v>
      </c>
      <c r="BK1074">
        <v>1</v>
      </c>
      <c r="BL1074">
        <v>0</v>
      </c>
      <c r="BO1074">
        <v>0</v>
      </c>
      <c r="BP1074">
        <v>0</v>
      </c>
      <c r="BW1074" t="str">
        <f>"20:17:56.679"</f>
        <v>20:17:56.679</v>
      </c>
      <c r="BZ1074">
        <v>0</v>
      </c>
      <c r="CA1074">
        <v>2016</v>
      </c>
      <c r="CB1074">
        <v>224</v>
      </c>
      <c r="CD1074">
        <v>1</v>
      </c>
      <c r="CE1074">
        <v>0</v>
      </c>
      <c r="CF1074">
        <v>0</v>
      </c>
      <c r="CG1074">
        <v>1</v>
      </c>
      <c r="CH1074">
        <v>0</v>
      </c>
      <c r="CI1074">
        <v>0</v>
      </c>
      <c r="CJ1074">
        <v>0</v>
      </c>
      <c r="CK1074">
        <v>2</v>
      </c>
      <c r="CL1074">
        <v>0</v>
      </c>
      <c r="CM1074">
        <v>2</v>
      </c>
      <c r="CN1074">
        <v>0</v>
      </c>
      <c r="CO1074">
        <v>6</v>
      </c>
      <c r="CP1074" t="s">
        <v>119</v>
      </c>
      <c r="CQ1074">
        <v>180</v>
      </c>
      <c r="CR1074">
        <v>2</v>
      </c>
      <c r="CW1074">
        <v>8063111</v>
      </c>
      <c r="CY1074">
        <v>1</v>
      </c>
      <c r="CZ1074">
        <v>0</v>
      </c>
      <c r="DA1074">
        <v>1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</row>
    <row r="1075" spans="1:113" x14ac:dyDescent="0.3">
      <c r="A1075" t="str">
        <f>"02/08/2021 20:17:55.851"</f>
        <v>02/08/2021 20:17:55.851</v>
      </c>
      <c r="C1075" t="str">
        <f t="shared" si="50"/>
        <v>FFDFD7C0</v>
      </c>
      <c r="D1075" t="s">
        <v>124</v>
      </c>
      <c r="E1075">
        <v>12</v>
      </c>
      <c r="F1075">
        <v>1012</v>
      </c>
      <c r="G1075" t="s">
        <v>675</v>
      </c>
      <c r="J1075" t="s">
        <v>125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>"20:17:58.195"</f>
        <v>20:17:58.195</v>
      </c>
      <c r="T1075" t="str">
        <f>"20:17:57.795"</f>
        <v>20:17:57.795</v>
      </c>
      <c r="U1075" t="str">
        <f t="shared" si="49"/>
        <v>AB01F4</v>
      </c>
      <c r="V1075">
        <v>0</v>
      </c>
      <c r="W1075">
        <v>0</v>
      </c>
      <c r="X1075">
        <v>2</v>
      </c>
      <c r="Z1075">
        <v>0</v>
      </c>
      <c r="AA1075">
        <v>9</v>
      </c>
      <c r="AB1075">
        <v>3</v>
      </c>
      <c r="AC1075">
        <v>0</v>
      </c>
      <c r="AD1075">
        <v>10</v>
      </c>
      <c r="AE1075">
        <v>0</v>
      </c>
      <c r="AF1075">
        <v>3</v>
      </c>
      <c r="AG1075">
        <v>2</v>
      </c>
      <c r="AH1075">
        <v>0</v>
      </c>
      <c r="AI1075" t="s">
        <v>811</v>
      </c>
      <c r="AJ1075">
        <v>39.721262000000003</v>
      </c>
      <c r="AK1075" t="s">
        <v>812</v>
      </c>
      <c r="AL1075">
        <v>-92.527392000000006</v>
      </c>
      <c r="AM1075">
        <v>100</v>
      </c>
      <c r="AN1075">
        <v>1700</v>
      </c>
      <c r="AO1075" t="s">
        <v>118</v>
      </c>
      <c r="AP1075">
        <v>23</v>
      </c>
      <c r="AQ1075">
        <v>120</v>
      </c>
      <c r="AR1075">
        <v>0</v>
      </c>
      <c r="AZ1075">
        <v>1200</v>
      </c>
      <c r="BA1075">
        <v>1</v>
      </c>
      <c r="BB1075" t="str">
        <f t="shared" si="51"/>
        <v xml:space="preserve">N8080G  </v>
      </c>
      <c r="BC1075">
        <v>1</v>
      </c>
      <c r="BE1075">
        <v>0</v>
      </c>
      <c r="BF1075">
        <v>0</v>
      </c>
      <c r="BG1075">
        <v>0</v>
      </c>
      <c r="BH1075">
        <v>1675</v>
      </c>
      <c r="BI1075">
        <v>1</v>
      </c>
      <c r="BJ1075">
        <v>1</v>
      </c>
      <c r="BK1075">
        <v>1</v>
      </c>
      <c r="BL1075">
        <v>0</v>
      </c>
      <c r="BO1075">
        <v>0</v>
      </c>
      <c r="BP1075">
        <v>0</v>
      </c>
      <c r="BW1075" t="str">
        <f>"20:17:58.200"</f>
        <v>20:17:58.200</v>
      </c>
      <c r="BZ1075">
        <v>0</v>
      </c>
      <c r="CA1075">
        <v>2016</v>
      </c>
      <c r="CB1075">
        <v>224</v>
      </c>
      <c r="CD1075">
        <v>1</v>
      </c>
      <c r="CE1075">
        <v>0</v>
      </c>
      <c r="CF1075">
        <v>0</v>
      </c>
      <c r="CG1075">
        <v>1</v>
      </c>
      <c r="CH1075">
        <v>0</v>
      </c>
      <c r="CI1075">
        <v>0</v>
      </c>
      <c r="CJ1075">
        <v>0</v>
      </c>
      <c r="CK1075">
        <v>2</v>
      </c>
      <c r="CL1075">
        <v>0</v>
      </c>
      <c r="CM1075">
        <v>2</v>
      </c>
      <c r="CN1075">
        <v>0</v>
      </c>
      <c r="CO1075">
        <v>6</v>
      </c>
      <c r="CP1075" t="s">
        <v>119</v>
      </c>
      <c r="CQ1075">
        <v>180</v>
      </c>
      <c r="CR1075">
        <v>2</v>
      </c>
      <c r="CW1075">
        <v>8064328</v>
      </c>
      <c r="CY1075">
        <v>1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</row>
    <row r="1076" spans="1:113" x14ac:dyDescent="0.3">
      <c r="A1076" t="str">
        <f>"02/08/2021 20:17:55.851"</f>
        <v>02/08/2021 20:17:55.851</v>
      </c>
      <c r="C1076" t="str">
        <f t="shared" si="50"/>
        <v>FFDFD7C0</v>
      </c>
      <c r="D1076" t="s">
        <v>113</v>
      </c>
      <c r="E1076">
        <v>6</v>
      </c>
      <c r="H1076">
        <v>165</v>
      </c>
      <c r="I1076" t="s">
        <v>114</v>
      </c>
      <c r="J1076" t="s">
        <v>115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>"20:17:58.195"</f>
        <v>20:17:58.195</v>
      </c>
      <c r="T1076" t="str">
        <f>"20:17:57.795"</f>
        <v>20:17:57.795</v>
      </c>
      <c r="U1076" t="str">
        <f t="shared" si="49"/>
        <v>AB01F4</v>
      </c>
      <c r="V1076">
        <v>0</v>
      </c>
      <c r="W1076">
        <v>0</v>
      </c>
      <c r="X1076">
        <v>2</v>
      </c>
      <c r="Z1076">
        <v>0</v>
      </c>
      <c r="AA1076">
        <v>9</v>
      </c>
      <c r="AB1076">
        <v>3</v>
      </c>
      <c r="AC1076">
        <v>0</v>
      </c>
      <c r="AD1076">
        <v>10</v>
      </c>
      <c r="AE1076">
        <v>0</v>
      </c>
      <c r="AF1076">
        <v>3</v>
      </c>
      <c r="AG1076">
        <v>2</v>
      </c>
      <c r="AH1076">
        <v>0</v>
      </c>
      <c r="AI1076" t="s">
        <v>811</v>
      </c>
      <c r="AJ1076">
        <v>39.721262000000003</v>
      </c>
      <c r="AK1076" t="s">
        <v>812</v>
      </c>
      <c r="AL1076">
        <v>-92.527392000000006</v>
      </c>
      <c r="AM1076">
        <v>100</v>
      </c>
      <c r="AN1076">
        <v>1700</v>
      </c>
      <c r="AO1076" t="s">
        <v>118</v>
      </c>
      <c r="AP1076">
        <v>23</v>
      </c>
      <c r="AQ1076">
        <v>120</v>
      </c>
      <c r="AR1076">
        <v>0</v>
      </c>
      <c r="AZ1076">
        <v>1200</v>
      </c>
      <c r="BA1076">
        <v>1</v>
      </c>
      <c r="BB1076" t="str">
        <f t="shared" si="51"/>
        <v xml:space="preserve">N8080G  </v>
      </c>
      <c r="BC1076">
        <v>1</v>
      </c>
      <c r="BE1076">
        <v>0</v>
      </c>
      <c r="BF1076">
        <v>0</v>
      </c>
      <c r="BG1076">
        <v>0</v>
      </c>
      <c r="BH1076">
        <v>1675</v>
      </c>
      <c r="BI1076">
        <v>1</v>
      </c>
      <c r="BJ1076">
        <v>1</v>
      </c>
      <c r="BK1076">
        <v>1</v>
      </c>
      <c r="BL1076">
        <v>0</v>
      </c>
      <c r="BO1076">
        <v>0</v>
      </c>
      <c r="BP1076">
        <v>0</v>
      </c>
      <c r="BW1076" t="str">
        <f>"20:17:58.200"</f>
        <v>20:17:58.200</v>
      </c>
      <c r="BZ1076">
        <v>0</v>
      </c>
      <c r="CA1076">
        <v>2016</v>
      </c>
      <c r="CB1076">
        <v>224</v>
      </c>
      <c r="CD1076">
        <v>1</v>
      </c>
      <c r="CE1076">
        <v>0</v>
      </c>
      <c r="CF1076">
        <v>0</v>
      </c>
      <c r="CG1076">
        <v>1</v>
      </c>
      <c r="CH1076">
        <v>0</v>
      </c>
      <c r="CI1076">
        <v>0</v>
      </c>
      <c r="CJ1076">
        <v>0</v>
      </c>
      <c r="CK1076">
        <v>2</v>
      </c>
      <c r="CL1076">
        <v>0</v>
      </c>
      <c r="CM1076">
        <v>2</v>
      </c>
      <c r="CN1076">
        <v>0</v>
      </c>
      <c r="CO1076">
        <v>6</v>
      </c>
      <c r="CP1076" t="s">
        <v>119</v>
      </c>
      <c r="CQ1076">
        <v>180</v>
      </c>
      <c r="CR1076">
        <v>2</v>
      </c>
      <c r="CW1076">
        <v>8064328</v>
      </c>
      <c r="CY1076">
        <v>1</v>
      </c>
      <c r="CZ1076">
        <v>0</v>
      </c>
      <c r="DA1076">
        <v>1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</row>
    <row r="1077" spans="1:113" x14ac:dyDescent="0.3">
      <c r="A1077" t="str">
        <f>"02/08/2021 20:17:55.851"</f>
        <v>02/08/2021 20:17:55.851</v>
      </c>
      <c r="C1077" t="str">
        <f t="shared" si="50"/>
        <v>FFDFD7C0</v>
      </c>
      <c r="D1077" t="s">
        <v>124</v>
      </c>
      <c r="E1077">
        <v>11</v>
      </c>
      <c r="F1077">
        <v>1011</v>
      </c>
      <c r="G1077" t="s">
        <v>590</v>
      </c>
      <c r="J1077" t="s">
        <v>125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>"20:17:58.195"</f>
        <v>20:17:58.195</v>
      </c>
      <c r="T1077" t="str">
        <f>"20:17:57.795"</f>
        <v>20:17:57.795</v>
      </c>
      <c r="U1077" t="str">
        <f t="shared" si="49"/>
        <v>AB01F4</v>
      </c>
      <c r="V1077">
        <v>0</v>
      </c>
      <c r="W1077">
        <v>0</v>
      </c>
      <c r="X1077">
        <v>2</v>
      </c>
      <c r="Z1077">
        <v>0</v>
      </c>
      <c r="AA1077">
        <v>9</v>
      </c>
      <c r="AB1077">
        <v>3</v>
      </c>
      <c r="AC1077">
        <v>0</v>
      </c>
      <c r="AD1077">
        <v>10</v>
      </c>
      <c r="AE1077">
        <v>0</v>
      </c>
      <c r="AF1077">
        <v>3</v>
      </c>
      <c r="AG1077">
        <v>2</v>
      </c>
      <c r="AH1077">
        <v>0</v>
      </c>
      <c r="AI1077" t="s">
        <v>811</v>
      </c>
      <c r="AJ1077">
        <v>39.721262000000003</v>
      </c>
      <c r="AK1077" t="s">
        <v>812</v>
      </c>
      <c r="AL1077">
        <v>-92.527392000000006</v>
      </c>
      <c r="AM1077">
        <v>100</v>
      </c>
      <c r="AN1077">
        <v>1700</v>
      </c>
      <c r="AO1077" t="s">
        <v>118</v>
      </c>
      <c r="AP1077">
        <v>23</v>
      </c>
      <c r="AQ1077">
        <v>120</v>
      </c>
      <c r="AR1077">
        <v>0</v>
      </c>
      <c r="AZ1077">
        <v>1200</v>
      </c>
      <c r="BA1077">
        <v>1</v>
      </c>
      <c r="BB1077" t="str">
        <f t="shared" si="51"/>
        <v xml:space="preserve">N8080G  </v>
      </c>
      <c r="BC1077">
        <v>1</v>
      </c>
      <c r="BE1077">
        <v>0</v>
      </c>
      <c r="BF1077">
        <v>0</v>
      </c>
      <c r="BG1077">
        <v>0</v>
      </c>
      <c r="BH1077">
        <v>1675</v>
      </c>
      <c r="BI1077">
        <v>1</v>
      </c>
      <c r="BJ1077">
        <v>1</v>
      </c>
      <c r="BK1077">
        <v>1</v>
      </c>
      <c r="BL1077">
        <v>0</v>
      </c>
      <c r="BO1077">
        <v>0</v>
      </c>
      <c r="BP1077">
        <v>0</v>
      </c>
      <c r="BW1077" t="str">
        <f>"20:17:58.200"</f>
        <v>20:17:58.200</v>
      </c>
      <c r="BZ1077">
        <v>0</v>
      </c>
      <c r="CA1077">
        <v>2016</v>
      </c>
      <c r="CB1077">
        <v>224</v>
      </c>
      <c r="CD1077">
        <v>1</v>
      </c>
      <c r="CE1077">
        <v>0</v>
      </c>
      <c r="CF1077">
        <v>0</v>
      </c>
      <c r="CG1077">
        <v>1</v>
      </c>
      <c r="CH1077">
        <v>0</v>
      </c>
      <c r="CI1077">
        <v>0</v>
      </c>
      <c r="CJ1077">
        <v>0</v>
      </c>
      <c r="CK1077">
        <v>2</v>
      </c>
      <c r="CL1077">
        <v>0</v>
      </c>
      <c r="CM1077">
        <v>2</v>
      </c>
      <c r="CN1077">
        <v>0</v>
      </c>
      <c r="CO1077">
        <v>6</v>
      </c>
      <c r="CP1077" t="s">
        <v>119</v>
      </c>
      <c r="CQ1077">
        <v>180</v>
      </c>
      <c r="CR1077">
        <v>2</v>
      </c>
      <c r="CW1077">
        <v>8064328</v>
      </c>
      <c r="CY1077">
        <v>1</v>
      </c>
      <c r="CZ1077">
        <v>0</v>
      </c>
      <c r="DA1077">
        <v>1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</row>
    <row r="1078" spans="1:113" x14ac:dyDescent="0.3">
      <c r="A1078" t="str">
        <f>"02/08/2021 20:17:55.851"</f>
        <v>02/08/2021 20:17:55.851</v>
      </c>
      <c r="C1078" t="str">
        <f t="shared" si="50"/>
        <v>FFDFD7C0</v>
      </c>
      <c r="D1078" t="s">
        <v>124</v>
      </c>
      <c r="E1078">
        <v>13</v>
      </c>
      <c r="F1078">
        <v>1013</v>
      </c>
      <c r="G1078" t="s">
        <v>114</v>
      </c>
      <c r="J1078" t="s">
        <v>125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>"20:17:58.195"</f>
        <v>20:17:58.195</v>
      </c>
      <c r="T1078" t="str">
        <f>"20:17:57.795"</f>
        <v>20:17:57.795</v>
      </c>
      <c r="U1078" t="str">
        <f t="shared" si="49"/>
        <v>AB01F4</v>
      </c>
      <c r="V1078">
        <v>0</v>
      </c>
      <c r="W1078">
        <v>0</v>
      </c>
      <c r="X1078">
        <v>2</v>
      </c>
      <c r="Z1078">
        <v>0</v>
      </c>
      <c r="AA1078">
        <v>9</v>
      </c>
      <c r="AB1078">
        <v>3</v>
      </c>
      <c r="AC1078">
        <v>0</v>
      </c>
      <c r="AD1078">
        <v>10</v>
      </c>
      <c r="AE1078">
        <v>0</v>
      </c>
      <c r="AF1078">
        <v>3</v>
      </c>
      <c r="AG1078">
        <v>2</v>
      </c>
      <c r="AH1078">
        <v>0</v>
      </c>
      <c r="AI1078" t="s">
        <v>811</v>
      </c>
      <c r="AJ1078">
        <v>39.721262000000003</v>
      </c>
      <c r="AK1078" t="s">
        <v>812</v>
      </c>
      <c r="AL1078">
        <v>-92.527392000000006</v>
      </c>
      <c r="AM1078">
        <v>100</v>
      </c>
      <c r="AN1078">
        <v>1700</v>
      </c>
      <c r="AO1078" t="s">
        <v>118</v>
      </c>
      <c r="AP1078">
        <v>23</v>
      </c>
      <c r="AQ1078">
        <v>120</v>
      </c>
      <c r="AR1078">
        <v>0</v>
      </c>
      <c r="AZ1078">
        <v>1200</v>
      </c>
      <c r="BA1078">
        <v>1</v>
      </c>
      <c r="BB1078" t="str">
        <f t="shared" si="51"/>
        <v xml:space="preserve">N8080G  </v>
      </c>
      <c r="BC1078">
        <v>1</v>
      </c>
      <c r="BE1078">
        <v>0</v>
      </c>
      <c r="BF1078">
        <v>0</v>
      </c>
      <c r="BG1078">
        <v>0</v>
      </c>
      <c r="BH1078">
        <v>1675</v>
      </c>
      <c r="BI1078">
        <v>1</v>
      </c>
      <c r="BJ1078">
        <v>1</v>
      </c>
      <c r="BK1078">
        <v>1</v>
      </c>
      <c r="BL1078">
        <v>0</v>
      </c>
      <c r="BO1078">
        <v>0</v>
      </c>
      <c r="BP1078">
        <v>0</v>
      </c>
      <c r="BW1078" t="str">
        <f>"20:17:58.200"</f>
        <v>20:17:58.200</v>
      </c>
      <c r="BZ1078">
        <v>0</v>
      </c>
      <c r="CA1078">
        <v>2016</v>
      </c>
      <c r="CB1078">
        <v>224</v>
      </c>
      <c r="CD1078">
        <v>1</v>
      </c>
      <c r="CE1078">
        <v>0</v>
      </c>
      <c r="CF1078">
        <v>0</v>
      </c>
      <c r="CG1078">
        <v>1</v>
      </c>
      <c r="CH1078">
        <v>0</v>
      </c>
      <c r="CI1078">
        <v>0</v>
      </c>
      <c r="CJ1078">
        <v>0</v>
      </c>
      <c r="CK1078">
        <v>2</v>
      </c>
      <c r="CL1078">
        <v>0</v>
      </c>
      <c r="CM1078">
        <v>2</v>
      </c>
      <c r="CN1078">
        <v>0</v>
      </c>
      <c r="CO1078">
        <v>6</v>
      </c>
      <c r="CP1078" t="s">
        <v>119</v>
      </c>
      <c r="CQ1078">
        <v>180</v>
      </c>
      <c r="CR1078">
        <v>2</v>
      </c>
      <c r="CW1078">
        <v>8064328</v>
      </c>
      <c r="CY1078">
        <v>1</v>
      </c>
      <c r="CZ1078">
        <v>0</v>
      </c>
      <c r="DA1078">
        <v>1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</row>
    <row r="1079" spans="1:113" x14ac:dyDescent="0.3">
      <c r="A1079" t="str">
        <f>"02/08/2021 20:17:57.335"</f>
        <v>02/08/2021 20:17:57.335</v>
      </c>
      <c r="C1079" t="str">
        <f t="shared" si="50"/>
        <v>FFDFD7C0</v>
      </c>
      <c r="D1079" t="s">
        <v>124</v>
      </c>
      <c r="E1079">
        <v>11</v>
      </c>
      <c r="F1079">
        <v>1011</v>
      </c>
      <c r="G1079" t="s">
        <v>590</v>
      </c>
      <c r="J1079" t="s">
        <v>125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>"20:17:59.664"</f>
        <v>20:17:59.664</v>
      </c>
      <c r="T1079" t="str">
        <f>"20:17:59.164"</f>
        <v>20:17:59.164</v>
      </c>
      <c r="U1079" t="str">
        <f t="shared" si="49"/>
        <v>AB01F4</v>
      </c>
      <c r="V1079">
        <v>0</v>
      </c>
      <c r="W1079">
        <v>0</v>
      </c>
      <c r="X1079">
        <v>2</v>
      </c>
      <c r="Z1079">
        <v>0</v>
      </c>
      <c r="AA1079">
        <v>9</v>
      </c>
      <c r="AB1079">
        <v>3</v>
      </c>
      <c r="AC1079">
        <v>0</v>
      </c>
      <c r="AD1079">
        <v>10</v>
      </c>
      <c r="AE1079">
        <v>0</v>
      </c>
      <c r="AF1079">
        <v>3</v>
      </c>
      <c r="AG1079">
        <v>2</v>
      </c>
      <c r="AH1079">
        <v>0</v>
      </c>
      <c r="AI1079" t="s">
        <v>813</v>
      </c>
      <c r="AJ1079">
        <v>39.722099</v>
      </c>
      <c r="AK1079" t="s">
        <v>814</v>
      </c>
      <c r="AL1079">
        <v>-92.527156000000005</v>
      </c>
      <c r="AM1079">
        <v>100</v>
      </c>
      <c r="AN1079">
        <v>1700</v>
      </c>
      <c r="AO1079" t="s">
        <v>118</v>
      </c>
      <c r="AP1079">
        <v>24</v>
      </c>
      <c r="AQ1079">
        <v>120</v>
      </c>
      <c r="AR1079">
        <v>0</v>
      </c>
      <c r="AZ1079">
        <v>1200</v>
      </c>
      <c r="BA1079">
        <v>1</v>
      </c>
      <c r="BB1079" t="str">
        <f t="shared" si="51"/>
        <v xml:space="preserve">N8080G  </v>
      </c>
      <c r="BC1079">
        <v>1</v>
      </c>
      <c r="BE1079">
        <v>0</v>
      </c>
      <c r="BF1079">
        <v>0</v>
      </c>
      <c r="BG1079">
        <v>0</v>
      </c>
      <c r="BH1079">
        <v>1700</v>
      </c>
      <c r="BI1079">
        <v>1</v>
      </c>
      <c r="BJ1079">
        <v>1</v>
      </c>
      <c r="BK1079">
        <v>1</v>
      </c>
      <c r="BL1079">
        <v>0</v>
      </c>
      <c r="BO1079">
        <v>0</v>
      </c>
      <c r="BP1079">
        <v>0</v>
      </c>
      <c r="BW1079" t="str">
        <f>"20:17:59.665"</f>
        <v>20:17:59.665</v>
      </c>
      <c r="BZ1079">
        <v>0</v>
      </c>
      <c r="CA1079">
        <v>2016</v>
      </c>
      <c r="CB1079">
        <v>224</v>
      </c>
      <c r="CD1079">
        <v>1</v>
      </c>
      <c r="CE1079">
        <v>0</v>
      </c>
      <c r="CF1079">
        <v>0</v>
      </c>
      <c r="CG1079">
        <v>1</v>
      </c>
      <c r="CH1079">
        <v>0</v>
      </c>
      <c r="CI1079">
        <v>0</v>
      </c>
      <c r="CJ1079">
        <v>0</v>
      </c>
      <c r="CK1079">
        <v>2</v>
      </c>
      <c r="CL1079">
        <v>0</v>
      </c>
      <c r="CM1079">
        <v>2</v>
      </c>
      <c r="CN1079">
        <v>0</v>
      </c>
      <c r="CO1079">
        <v>7</v>
      </c>
      <c r="CP1079" t="s">
        <v>119</v>
      </c>
      <c r="CQ1079">
        <v>180</v>
      </c>
      <c r="CR1079">
        <v>2</v>
      </c>
      <c r="CW1079">
        <v>8065533</v>
      </c>
      <c r="CY1079">
        <v>1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</row>
    <row r="1080" spans="1:113" x14ac:dyDescent="0.3">
      <c r="A1080" t="str">
        <f>"02/08/2021 20:17:57.335"</f>
        <v>02/08/2021 20:17:57.335</v>
      </c>
      <c r="C1080" t="str">
        <f t="shared" si="50"/>
        <v>FFDFD7C0</v>
      </c>
      <c r="D1080" t="s">
        <v>124</v>
      </c>
      <c r="E1080">
        <v>13</v>
      </c>
      <c r="F1080">
        <v>1013</v>
      </c>
      <c r="G1080" t="s">
        <v>114</v>
      </c>
      <c r="J1080" t="s">
        <v>125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>"20:17:59.664"</f>
        <v>20:17:59.664</v>
      </c>
      <c r="T1080" t="str">
        <f>"20:17:59.164"</f>
        <v>20:17:59.164</v>
      </c>
      <c r="U1080" t="str">
        <f t="shared" si="49"/>
        <v>AB01F4</v>
      </c>
      <c r="V1080">
        <v>0</v>
      </c>
      <c r="W1080">
        <v>0</v>
      </c>
      <c r="X1080">
        <v>2</v>
      </c>
      <c r="Z1080">
        <v>0</v>
      </c>
      <c r="AA1080">
        <v>9</v>
      </c>
      <c r="AB1080">
        <v>3</v>
      </c>
      <c r="AC1080">
        <v>0</v>
      </c>
      <c r="AD1080">
        <v>10</v>
      </c>
      <c r="AE1080">
        <v>0</v>
      </c>
      <c r="AF1080">
        <v>3</v>
      </c>
      <c r="AG1080">
        <v>2</v>
      </c>
      <c r="AH1080">
        <v>0</v>
      </c>
      <c r="AI1080" t="s">
        <v>813</v>
      </c>
      <c r="AJ1080">
        <v>39.722099</v>
      </c>
      <c r="AK1080" t="s">
        <v>814</v>
      </c>
      <c r="AL1080">
        <v>-92.527156000000005</v>
      </c>
      <c r="AM1080">
        <v>100</v>
      </c>
      <c r="AN1080">
        <v>1700</v>
      </c>
      <c r="AO1080" t="s">
        <v>118</v>
      </c>
      <c r="AP1080">
        <v>24</v>
      </c>
      <c r="AQ1080">
        <v>120</v>
      </c>
      <c r="AR1080">
        <v>0</v>
      </c>
      <c r="AZ1080">
        <v>1200</v>
      </c>
      <c r="BA1080">
        <v>1</v>
      </c>
      <c r="BB1080" t="str">
        <f t="shared" si="51"/>
        <v xml:space="preserve">N8080G  </v>
      </c>
      <c r="BC1080">
        <v>1</v>
      </c>
      <c r="BE1080">
        <v>0</v>
      </c>
      <c r="BF1080">
        <v>0</v>
      </c>
      <c r="BG1080">
        <v>0</v>
      </c>
      <c r="BH1080">
        <v>1700</v>
      </c>
      <c r="BI1080">
        <v>1</v>
      </c>
      <c r="BJ1080">
        <v>1</v>
      </c>
      <c r="BK1080">
        <v>1</v>
      </c>
      <c r="BL1080">
        <v>0</v>
      </c>
      <c r="BO1080">
        <v>0</v>
      </c>
      <c r="BP1080">
        <v>0</v>
      </c>
      <c r="BW1080" t="str">
        <f>"20:17:59.665"</f>
        <v>20:17:59.665</v>
      </c>
      <c r="BZ1080">
        <v>0</v>
      </c>
      <c r="CA1080">
        <v>2016</v>
      </c>
      <c r="CB1080">
        <v>224</v>
      </c>
      <c r="CD1080">
        <v>1</v>
      </c>
      <c r="CE1080">
        <v>0</v>
      </c>
      <c r="CF1080">
        <v>0</v>
      </c>
      <c r="CG1080">
        <v>1</v>
      </c>
      <c r="CH1080">
        <v>0</v>
      </c>
      <c r="CI1080">
        <v>0</v>
      </c>
      <c r="CJ1080">
        <v>0</v>
      </c>
      <c r="CK1080">
        <v>2</v>
      </c>
      <c r="CL1080">
        <v>0</v>
      </c>
      <c r="CM1080">
        <v>2</v>
      </c>
      <c r="CN1080">
        <v>0</v>
      </c>
      <c r="CO1080">
        <v>7</v>
      </c>
      <c r="CP1080" t="s">
        <v>119</v>
      </c>
      <c r="CQ1080">
        <v>180</v>
      </c>
      <c r="CR1080">
        <v>2</v>
      </c>
      <c r="CW1080">
        <v>8065533</v>
      </c>
      <c r="CY1080">
        <v>1</v>
      </c>
      <c r="CZ1080">
        <v>0</v>
      </c>
      <c r="DA1080">
        <v>1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</row>
    <row r="1081" spans="1:113" x14ac:dyDescent="0.3">
      <c r="A1081" t="str">
        <f>"02/08/2021 20:17:57.335"</f>
        <v>02/08/2021 20:17:57.335</v>
      </c>
      <c r="C1081" t="str">
        <f t="shared" si="50"/>
        <v>FFDFD7C0</v>
      </c>
      <c r="D1081" t="s">
        <v>124</v>
      </c>
      <c r="E1081">
        <v>12</v>
      </c>
      <c r="F1081">
        <v>1012</v>
      </c>
      <c r="G1081" t="s">
        <v>675</v>
      </c>
      <c r="J1081" t="s">
        <v>125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>"20:17:59.664"</f>
        <v>20:17:59.664</v>
      </c>
      <c r="T1081" t="str">
        <f>"20:17:59.164"</f>
        <v>20:17:59.164</v>
      </c>
      <c r="U1081" t="str">
        <f t="shared" si="49"/>
        <v>AB01F4</v>
      </c>
      <c r="V1081">
        <v>0</v>
      </c>
      <c r="W1081">
        <v>0</v>
      </c>
      <c r="X1081">
        <v>2</v>
      </c>
      <c r="Z1081">
        <v>0</v>
      </c>
      <c r="AA1081">
        <v>9</v>
      </c>
      <c r="AB1081">
        <v>3</v>
      </c>
      <c r="AC1081">
        <v>0</v>
      </c>
      <c r="AD1081">
        <v>10</v>
      </c>
      <c r="AE1081">
        <v>0</v>
      </c>
      <c r="AF1081">
        <v>3</v>
      </c>
      <c r="AG1081">
        <v>2</v>
      </c>
      <c r="AH1081">
        <v>0</v>
      </c>
      <c r="AI1081" t="s">
        <v>813</v>
      </c>
      <c r="AJ1081">
        <v>39.722099</v>
      </c>
      <c r="AK1081" t="s">
        <v>814</v>
      </c>
      <c r="AL1081">
        <v>-92.527156000000005</v>
      </c>
      <c r="AM1081">
        <v>100</v>
      </c>
      <c r="AN1081">
        <v>1700</v>
      </c>
      <c r="AO1081" t="s">
        <v>118</v>
      </c>
      <c r="AP1081">
        <v>24</v>
      </c>
      <c r="AQ1081">
        <v>120</v>
      </c>
      <c r="AR1081">
        <v>0</v>
      </c>
      <c r="AZ1081">
        <v>1200</v>
      </c>
      <c r="BA1081">
        <v>1</v>
      </c>
      <c r="BB1081" t="str">
        <f t="shared" si="51"/>
        <v xml:space="preserve">N8080G  </v>
      </c>
      <c r="BC1081">
        <v>1</v>
      </c>
      <c r="BE1081">
        <v>0</v>
      </c>
      <c r="BF1081">
        <v>0</v>
      </c>
      <c r="BG1081">
        <v>0</v>
      </c>
      <c r="BH1081">
        <v>1700</v>
      </c>
      <c r="BI1081">
        <v>1</v>
      </c>
      <c r="BJ1081">
        <v>1</v>
      </c>
      <c r="BK1081">
        <v>1</v>
      </c>
      <c r="BL1081">
        <v>0</v>
      </c>
      <c r="BO1081">
        <v>0</v>
      </c>
      <c r="BP1081">
        <v>0</v>
      </c>
      <c r="BW1081" t="str">
        <f>"20:17:59.665"</f>
        <v>20:17:59.665</v>
      </c>
      <c r="BZ1081">
        <v>0</v>
      </c>
      <c r="CA1081">
        <v>2016</v>
      </c>
      <c r="CB1081">
        <v>224</v>
      </c>
      <c r="CD1081">
        <v>1</v>
      </c>
      <c r="CE1081">
        <v>0</v>
      </c>
      <c r="CF1081">
        <v>0</v>
      </c>
      <c r="CG1081">
        <v>1</v>
      </c>
      <c r="CH1081">
        <v>0</v>
      </c>
      <c r="CI1081">
        <v>0</v>
      </c>
      <c r="CJ1081">
        <v>0</v>
      </c>
      <c r="CK1081">
        <v>2</v>
      </c>
      <c r="CL1081">
        <v>0</v>
      </c>
      <c r="CM1081">
        <v>2</v>
      </c>
      <c r="CN1081">
        <v>0</v>
      </c>
      <c r="CO1081">
        <v>7</v>
      </c>
      <c r="CP1081" t="s">
        <v>119</v>
      </c>
      <c r="CQ1081">
        <v>180</v>
      </c>
      <c r="CR1081">
        <v>2</v>
      </c>
      <c r="CW1081">
        <v>8065533</v>
      </c>
      <c r="CY1081">
        <v>1</v>
      </c>
      <c r="CZ1081">
        <v>0</v>
      </c>
      <c r="DA1081">
        <v>1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</row>
    <row r="1082" spans="1:113" x14ac:dyDescent="0.3">
      <c r="A1082" t="str">
        <f>"02/08/2021 20:17:57.335"</f>
        <v>02/08/2021 20:17:57.335</v>
      </c>
      <c r="C1082" t="str">
        <f t="shared" si="50"/>
        <v>FFDFD7C0</v>
      </c>
      <c r="D1082" t="s">
        <v>113</v>
      </c>
      <c r="E1082">
        <v>6</v>
      </c>
      <c r="H1082">
        <v>165</v>
      </c>
      <c r="I1082" t="s">
        <v>114</v>
      </c>
      <c r="J1082" t="s">
        <v>115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>"20:17:59.664"</f>
        <v>20:17:59.664</v>
      </c>
      <c r="T1082" t="str">
        <f>"20:17:59.164"</f>
        <v>20:17:59.164</v>
      </c>
      <c r="U1082" t="str">
        <f t="shared" si="49"/>
        <v>AB01F4</v>
      </c>
      <c r="V1082">
        <v>0</v>
      </c>
      <c r="W1082">
        <v>0</v>
      </c>
      <c r="X1082">
        <v>2</v>
      </c>
      <c r="Z1082">
        <v>0</v>
      </c>
      <c r="AA1082">
        <v>9</v>
      </c>
      <c r="AB1082">
        <v>3</v>
      </c>
      <c r="AC1082">
        <v>0</v>
      </c>
      <c r="AD1082">
        <v>10</v>
      </c>
      <c r="AE1082">
        <v>0</v>
      </c>
      <c r="AF1082">
        <v>3</v>
      </c>
      <c r="AG1082">
        <v>2</v>
      </c>
      <c r="AH1082">
        <v>0</v>
      </c>
      <c r="AI1082" t="s">
        <v>813</v>
      </c>
      <c r="AJ1082">
        <v>39.722099</v>
      </c>
      <c r="AK1082" t="s">
        <v>814</v>
      </c>
      <c r="AL1082">
        <v>-92.527156000000005</v>
      </c>
      <c r="AM1082">
        <v>100</v>
      </c>
      <c r="AN1082">
        <v>1700</v>
      </c>
      <c r="AO1082" t="s">
        <v>118</v>
      </c>
      <c r="AP1082">
        <v>24</v>
      </c>
      <c r="AQ1082">
        <v>120</v>
      </c>
      <c r="AR1082">
        <v>0</v>
      </c>
      <c r="AZ1082">
        <v>1200</v>
      </c>
      <c r="BA1082">
        <v>1</v>
      </c>
      <c r="BB1082" t="str">
        <f t="shared" si="51"/>
        <v xml:space="preserve">N8080G  </v>
      </c>
      <c r="BC1082">
        <v>1</v>
      </c>
      <c r="BE1082">
        <v>0</v>
      </c>
      <c r="BF1082">
        <v>0</v>
      </c>
      <c r="BG1082">
        <v>0</v>
      </c>
      <c r="BH1082">
        <v>1700</v>
      </c>
      <c r="BI1082">
        <v>1</v>
      </c>
      <c r="BJ1082">
        <v>1</v>
      </c>
      <c r="BK1082">
        <v>1</v>
      </c>
      <c r="BL1082">
        <v>0</v>
      </c>
      <c r="BO1082">
        <v>0</v>
      </c>
      <c r="BP1082">
        <v>0</v>
      </c>
      <c r="BW1082" t="str">
        <f>"20:17:59.665"</f>
        <v>20:17:59.665</v>
      </c>
      <c r="BZ1082">
        <v>0</v>
      </c>
      <c r="CA1082">
        <v>2016</v>
      </c>
      <c r="CB1082">
        <v>224</v>
      </c>
      <c r="CD1082">
        <v>1</v>
      </c>
      <c r="CE1082">
        <v>0</v>
      </c>
      <c r="CF1082">
        <v>0</v>
      </c>
      <c r="CG1082">
        <v>1</v>
      </c>
      <c r="CH1082">
        <v>0</v>
      </c>
      <c r="CI1082">
        <v>0</v>
      </c>
      <c r="CJ1082">
        <v>0</v>
      </c>
      <c r="CK1082">
        <v>2</v>
      </c>
      <c r="CL1082">
        <v>0</v>
      </c>
      <c r="CM1082">
        <v>2</v>
      </c>
      <c r="CN1082">
        <v>0</v>
      </c>
      <c r="CO1082">
        <v>7</v>
      </c>
      <c r="CP1082" t="s">
        <v>119</v>
      </c>
      <c r="CQ1082">
        <v>180</v>
      </c>
      <c r="CR1082">
        <v>2</v>
      </c>
      <c r="CW1082">
        <v>8065533</v>
      </c>
      <c r="CY1082">
        <v>1</v>
      </c>
      <c r="CZ1082">
        <v>0</v>
      </c>
      <c r="DA1082">
        <v>1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</row>
    <row r="1083" spans="1:113" x14ac:dyDescent="0.3">
      <c r="A1083" t="str">
        <f>"02/08/2021 20:18:00.457"</f>
        <v>02/08/2021 20:18:00.457</v>
      </c>
      <c r="C1083" t="str">
        <f t="shared" si="50"/>
        <v>FFDFD7C0</v>
      </c>
      <c r="D1083" t="s">
        <v>113</v>
      </c>
      <c r="E1083">
        <v>6</v>
      </c>
      <c r="H1083">
        <v>165</v>
      </c>
      <c r="I1083" t="s">
        <v>114</v>
      </c>
      <c r="J1083" t="s">
        <v>115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>"20:18:02.750"</f>
        <v>20:18:02.750</v>
      </c>
      <c r="T1083" t="str">
        <f>"20:18:02.250"</f>
        <v>20:18:02.250</v>
      </c>
      <c r="U1083" t="str">
        <f t="shared" si="49"/>
        <v>AB01F4</v>
      </c>
      <c r="V1083">
        <v>0</v>
      </c>
      <c r="W1083">
        <v>0</v>
      </c>
      <c r="X1083">
        <v>2</v>
      </c>
      <c r="Z1083">
        <v>0</v>
      </c>
      <c r="AA1083">
        <v>9</v>
      </c>
      <c r="AB1083">
        <v>3</v>
      </c>
      <c r="AC1083">
        <v>0</v>
      </c>
      <c r="AD1083">
        <v>10</v>
      </c>
      <c r="AE1083">
        <v>0</v>
      </c>
      <c r="AF1083">
        <v>3</v>
      </c>
      <c r="AG1083">
        <v>2</v>
      </c>
      <c r="AH1083">
        <v>0</v>
      </c>
      <c r="AI1083" t="s">
        <v>815</v>
      </c>
      <c r="AJ1083">
        <v>39.723815999999999</v>
      </c>
      <c r="AK1083" t="s">
        <v>816</v>
      </c>
      <c r="AL1083">
        <v>-92.526726999999994</v>
      </c>
      <c r="AM1083">
        <v>100</v>
      </c>
      <c r="AN1083">
        <v>1700</v>
      </c>
      <c r="AO1083" t="s">
        <v>118</v>
      </c>
      <c r="AP1083">
        <v>25</v>
      </c>
      <c r="AQ1083">
        <v>120</v>
      </c>
      <c r="AR1083">
        <v>0</v>
      </c>
      <c r="AZ1083">
        <v>1200</v>
      </c>
      <c r="BA1083">
        <v>1</v>
      </c>
      <c r="BB1083" t="str">
        <f t="shared" si="51"/>
        <v xml:space="preserve">N8080G  </v>
      </c>
      <c r="BC1083">
        <v>1</v>
      </c>
      <c r="BE1083">
        <v>0</v>
      </c>
      <c r="BF1083">
        <v>0</v>
      </c>
      <c r="BG1083">
        <v>0</v>
      </c>
      <c r="BH1083">
        <v>1700</v>
      </c>
      <c r="BI1083">
        <v>1</v>
      </c>
      <c r="BJ1083">
        <v>1</v>
      </c>
      <c r="BK1083">
        <v>1</v>
      </c>
      <c r="BL1083">
        <v>0</v>
      </c>
      <c r="BO1083">
        <v>0</v>
      </c>
      <c r="BP1083">
        <v>0</v>
      </c>
      <c r="BW1083" t="str">
        <f>"20:18:02.756"</f>
        <v>20:18:02.756</v>
      </c>
      <c r="BZ1083">
        <v>0</v>
      </c>
      <c r="CA1083">
        <v>2016</v>
      </c>
      <c r="CB1083">
        <v>224</v>
      </c>
      <c r="CD1083">
        <v>1</v>
      </c>
      <c r="CE1083">
        <v>0</v>
      </c>
      <c r="CF1083">
        <v>0</v>
      </c>
      <c r="CG1083">
        <v>1</v>
      </c>
      <c r="CH1083">
        <v>0</v>
      </c>
      <c r="CI1083">
        <v>0</v>
      </c>
      <c r="CJ1083">
        <v>0</v>
      </c>
      <c r="CK1083">
        <v>2</v>
      </c>
      <c r="CL1083">
        <v>0</v>
      </c>
      <c r="CM1083">
        <v>2</v>
      </c>
      <c r="CN1083">
        <v>0</v>
      </c>
      <c r="CO1083">
        <v>6</v>
      </c>
      <c r="CP1083" t="s">
        <v>119</v>
      </c>
      <c r="CQ1083">
        <v>180</v>
      </c>
      <c r="CR1083">
        <v>1</v>
      </c>
      <c r="CW1083">
        <v>10626929</v>
      </c>
      <c r="CY1083">
        <v>1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</row>
    <row r="1084" spans="1:113" x14ac:dyDescent="0.3">
      <c r="A1084" t="str">
        <f>"02/08/2021 20:18:00.457"</f>
        <v>02/08/2021 20:18:00.457</v>
      </c>
      <c r="C1084" t="str">
        <f t="shared" si="50"/>
        <v>FFDFD7C0</v>
      </c>
      <c r="D1084" t="s">
        <v>124</v>
      </c>
      <c r="E1084">
        <v>11</v>
      </c>
      <c r="F1084">
        <v>1011</v>
      </c>
      <c r="G1084" t="s">
        <v>590</v>
      </c>
      <c r="J1084" t="s">
        <v>125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>"20:18:02.750"</f>
        <v>20:18:02.750</v>
      </c>
      <c r="T1084" t="str">
        <f>"20:18:02.250"</f>
        <v>20:18:02.250</v>
      </c>
      <c r="U1084" t="str">
        <f t="shared" si="49"/>
        <v>AB01F4</v>
      </c>
      <c r="V1084">
        <v>0</v>
      </c>
      <c r="W1084">
        <v>0</v>
      </c>
      <c r="X1084">
        <v>2</v>
      </c>
      <c r="Z1084">
        <v>0</v>
      </c>
      <c r="AA1084">
        <v>9</v>
      </c>
      <c r="AB1084">
        <v>3</v>
      </c>
      <c r="AC1084">
        <v>0</v>
      </c>
      <c r="AD1084">
        <v>10</v>
      </c>
      <c r="AE1084">
        <v>0</v>
      </c>
      <c r="AF1084">
        <v>3</v>
      </c>
      <c r="AG1084">
        <v>2</v>
      </c>
      <c r="AH1084">
        <v>0</v>
      </c>
      <c r="AI1084" t="s">
        <v>815</v>
      </c>
      <c r="AJ1084">
        <v>39.723815999999999</v>
      </c>
      <c r="AK1084" t="s">
        <v>816</v>
      </c>
      <c r="AL1084">
        <v>-92.526726999999994</v>
      </c>
      <c r="AM1084">
        <v>100</v>
      </c>
      <c r="AN1084">
        <v>1700</v>
      </c>
      <c r="AO1084" t="s">
        <v>118</v>
      </c>
      <c r="AP1084">
        <v>25</v>
      </c>
      <c r="AQ1084">
        <v>120</v>
      </c>
      <c r="AR1084">
        <v>0</v>
      </c>
      <c r="AZ1084">
        <v>1200</v>
      </c>
      <c r="BA1084">
        <v>1</v>
      </c>
      <c r="BB1084" t="str">
        <f t="shared" si="51"/>
        <v xml:space="preserve">N8080G  </v>
      </c>
      <c r="BC1084">
        <v>1</v>
      </c>
      <c r="BE1084">
        <v>0</v>
      </c>
      <c r="BF1084">
        <v>0</v>
      </c>
      <c r="BG1084">
        <v>0</v>
      </c>
      <c r="BH1084">
        <v>1700</v>
      </c>
      <c r="BI1084">
        <v>1</v>
      </c>
      <c r="BJ1084">
        <v>1</v>
      </c>
      <c r="BK1084">
        <v>1</v>
      </c>
      <c r="BL1084">
        <v>0</v>
      </c>
      <c r="BO1084">
        <v>0</v>
      </c>
      <c r="BP1084">
        <v>0</v>
      </c>
      <c r="BW1084" t="str">
        <f>"20:18:02.756"</f>
        <v>20:18:02.756</v>
      </c>
      <c r="BZ1084">
        <v>0</v>
      </c>
      <c r="CA1084">
        <v>2016</v>
      </c>
      <c r="CB1084">
        <v>224</v>
      </c>
      <c r="CD1084">
        <v>1</v>
      </c>
      <c r="CE1084">
        <v>0</v>
      </c>
      <c r="CF1084">
        <v>0</v>
      </c>
      <c r="CG1084">
        <v>1</v>
      </c>
      <c r="CH1084">
        <v>0</v>
      </c>
      <c r="CI1084">
        <v>0</v>
      </c>
      <c r="CJ1084">
        <v>0</v>
      </c>
      <c r="CK1084">
        <v>2</v>
      </c>
      <c r="CL1084">
        <v>0</v>
      </c>
      <c r="CM1084">
        <v>2</v>
      </c>
      <c r="CN1084">
        <v>0</v>
      </c>
      <c r="CO1084">
        <v>6</v>
      </c>
      <c r="CP1084" t="s">
        <v>119</v>
      </c>
      <c r="CQ1084">
        <v>180</v>
      </c>
      <c r="CR1084">
        <v>1</v>
      </c>
      <c r="CW1084">
        <v>10626929</v>
      </c>
      <c r="CY1084">
        <v>1</v>
      </c>
      <c r="CZ1084">
        <v>0</v>
      </c>
      <c r="DA1084">
        <v>1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</row>
    <row r="1085" spans="1:113" x14ac:dyDescent="0.3">
      <c r="A1085" t="str">
        <f>"02/08/2021 20:18:00.457"</f>
        <v>02/08/2021 20:18:00.457</v>
      </c>
      <c r="C1085" t="str">
        <f t="shared" si="50"/>
        <v>FFDFD7C0</v>
      </c>
      <c r="D1085" t="s">
        <v>124</v>
      </c>
      <c r="E1085">
        <v>13</v>
      </c>
      <c r="F1085">
        <v>1013</v>
      </c>
      <c r="G1085" t="s">
        <v>114</v>
      </c>
      <c r="J1085" t="s">
        <v>125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>"20:18:02.750"</f>
        <v>20:18:02.750</v>
      </c>
      <c r="T1085" t="str">
        <f>"20:18:02.250"</f>
        <v>20:18:02.250</v>
      </c>
      <c r="U1085" t="str">
        <f t="shared" si="49"/>
        <v>AB01F4</v>
      </c>
      <c r="V1085">
        <v>0</v>
      </c>
      <c r="W1085">
        <v>0</v>
      </c>
      <c r="X1085">
        <v>2</v>
      </c>
      <c r="Z1085">
        <v>0</v>
      </c>
      <c r="AA1085">
        <v>9</v>
      </c>
      <c r="AB1085">
        <v>3</v>
      </c>
      <c r="AC1085">
        <v>0</v>
      </c>
      <c r="AD1085">
        <v>10</v>
      </c>
      <c r="AE1085">
        <v>0</v>
      </c>
      <c r="AF1085">
        <v>3</v>
      </c>
      <c r="AG1085">
        <v>2</v>
      </c>
      <c r="AH1085">
        <v>0</v>
      </c>
      <c r="AI1085" t="s">
        <v>815</v>
      </c>
      <c r="AJ1085">
        <v>39.723815999999999</v>
      </c>
      <c r="AK1085" t="s">
        <v>816</v>
      </c>
      <c r="AL1085">
        <v>-92.526726999999994</v>
      </c>
      <c r="AM1085">
        <v>100</v>
      </c>
      <c r="AN1085">
        <v>1700</v>
      </c>
      <c r="AO1085" t="s">
        <v>118</v>
      </c>
      <c r="AP1085">
        <v>25</v>
      </c>
      <c r="AQ1085">
        <v>120</v>
      </c>
      <c r="AR1085">
        <v>0</v>
      </c>
      <c r="AZ1085">
        <v>1200</v>
      </c>
      <c r="BA1085">
        <v>1</v>
      </c>
      <c r="BB1085" t="str">
        <f t="shared" si="51"/>
        <v xml:space="preserve">N8080G  </v>
      </c>
      <c r="BC1085">
        <v>1</v>
      </c>
      <c r="BE1085">
        <v>0</v>
      </c>
      <c r="BF1085">
        <v>0</v>
      </c>
      <c r="BG1085">
        <v>0</v>
      </c>
      <c r="BH1085">
        <v>1700</v>
      </c>
      <c r="BI1085">
        <v>1</v>
      </c>
      <c r="BJ1085">
        <v>1</v>
      </c>
      <c r="BK1085">
        <v>1</v>
      </c>
      <c r="BL1085">
        <v>0</v>
      </c>
      <c r="BO1085">
        <v>0</v>
      </c>
      <c r="BP1085">
        <v>0</v>
      </c>
      <c r="BW1085" t="str">
        <f>"20:18:02.756"</f>
        <v>20:18:02.756</v>
      </c>
      <c r="BZ1085">
        <v>0</v>
      </c>
      <c r="CA1085">
        <v>2016</v>
      </c>
      <c r="CB1085">
        <v>224</v>
      </c>
      <c r="CD1085">
        <v>1</v>
      </c>
      <c r="CE1085">
        <v>0</v>
      </c>
      <c r="CF1085">
        <v>0</v>
      </c>
      <c r="CG1085">
        <v>1</v>
      </c>
      <c r="CH1085">
        <v>0</v>
      </c>
      <c r="CI1085">
        <v>0</v>
      </c>
      <c r="CJ1085">
        <v>0</v>
      </c>
      <c r="CK1085">
        <v>2</v>
      </c>
      <c r="CL1085">
        <v>0</v>
      </c>
      <c r="CM1085">
        <v>2</v>
      </c>
      <c r="CN1085">
        <v>0</v>
      </c>
      <c r="CO1085">
        <v>6</v>
      </c>
      <c r="CP1085" t="s">
        <v>119</v>
      </c>
      <c r="CQ1085">
        <v>180</v>
      </c>
      <c r="CR1085">
        <v>1</v>
      </c>
      <c r="CW1085">
        <v>10626929</v>
      </c>
      <c r="CY1085">
        <v>1</v>
      </c>
      <c r="CZ1085">
        <v>0</v>
      </c>
      <c r="DA1085">
        <v>1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</row>
    <row r="1086" spans="1:113" x14ac:dyDescent="0.3">
      <c r="A1086" t="str">
        <f>"02/08/2021 20:18:00.457"</f>
        <v>02/08/2021 20:18:00.457</v>
      </c>
      <c r="C1086" t="str">
        <f t="shared" si="50"/>
        <v>FFDFD7C0</v>
      </c>
      <c r="D1086" t="s">
        <v>124</v>
      </c>
      <c r="E1086">
        <v>12</v>
      </c>
      <c r="F1086">
        <v>1012</v>
      </c>
      <c r="G1086" t="s">
        <v>675</v>
      </c>
      <c r="J1086" t="s">
        <v>125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>"20:18:02.750"</f>
        <v>20:18:02.750</v>
      </c>
      <c r="T1086" t="str">
        <f>"20:18:02.250"</f>
        <v>20:18:02.250</v>
      </c>
      <c r="U1086" t="str">
        <f t="shared" si="49"/>
        <v>AB01F4</v>
      </c>
      <c r="V1086">
        <v>0</v>
      </c>
      <c r="W1086">
        <v>0</v>
      </c>
      <c r="X1086">
        <v>2</v>
      </c>
      <c r="Z1086">
        <v>0</v>
      </c>
      <c r="AA1086">
        <v>9</v>
      </c>
      <c r="AB1086">
        <v>3</v>
      </c>
      <c r="AC1086">
        <v>0</v>
      </c>
      <c r="AD1086">
        <v>10</v>
      </c>
      <c r="AE1086">
        <v>0</v>
      </c>
      <c r="AF1086">
        <v>3</v>
      </c>
      <c r="AG1086">
        <v>2</v>
      </c>
      <c r="AH1086">
        <v>0</v>
      </c>
      <c r="AI1086" t="s">
        <v>815</v>
      </c>
      <c r="AJ1086">
        <v>39.723815999999999</v>
      </c>
      <c r="AK1086" t="s">
        <v>816</v>
      </c>
      <c r="AL1086">
        <v>-92.526726999999994</v>
      </c>
      <c r="AM1086">
        <v>100</v>
      </c>
      <c r="AN1086">
        <v>1700</v>
      </c>
      <c r="AO1086" t="s">
        <v>118</v>
      </c>
      <c r="AP1086">
        <v>25</v>
      </c>
      <c r="AQ1086">
        <v>120</v>
      </c>
      <c r="AR1086">
        <v>0</v>
      </c>
      <c r="AZ1086">
        <v>1200</v>
      </c>
      <c r="BA1086">
        <v>1</v>
      </c>
      <c r="BB1086" t="str">
        <f t="shared" si="51"/>
        <v xml:space="preserve">N8080G  </v>
      </c>
      <c r="BC1086">
        <v>1</v>
      </c>
      <c r="BE1086">
        <v>0</v>
      </c>
      <c r="BF1086">
        <v>0</v>
      </c>
      <c r="BG1086">
        <v>0</v>
      </c>
      <c r="BH1086">
        <v>1700</v>
      </c>
      <c r="BI1086">
        <v>1</v>
      </c>
      <c r="BJ1086">
        <v>1</v>
      </c>
      <c r="BK1086">
        <v>1</v>
      </c>
      <c r="BL1086">
        <v>0</v>
      </c>
      <c r="BO1086">
        <v>0</v>
      </c>
      <c r="BP1086">
        <v>0</v>
      </c>
      <c r="BW1086" t="str">
        <f>"20:18:02.756"</f>
        <v>20:18:02.756</v>
      </c>
      <c r="BZ1086">
        <v>0</v>
      </c>
      <c r="CA1086">
        <v>2016</v>
      </c>
      <c r="CB1086">
        <v>224</v>
      </c>
      <c r="CD1086">
        <v>1</v>
      </c>
      <c r="CE1086">
        <v>0</v>
      </c>
      <c r="CF1086">
        <v>0</v>
      </c>
      <c r="CG1086">
        <v>1</v>
      </c>
      <c r="CH1086">
        <v>0</v>
      </c>
      <c r="CI1086">
        <v>0</v>
      </c>
      <c r="CJ1086">
        <v>0</v>
      </c>
      <c r="CK1086">
        <v>2</v>
      </c>
      <c r="CL1086">
        <v>0</v>
      </c>
      <c r="CM1086">
        <v>2</v>
      </c>
      <c r="CN1086">
        <v>0</v>
      </c>
      <c r="CO1086">
        <v>6</v>
      </c>
      <c r="CP1086" t="s">
        <v>119</v>
      </c>
      <c r="CQ1086">
        <v>180</v>
      </c>
      <c r="CR1086">
        <v>1</v>
      </c>
      <c r="CW1086">
        <v>10626929</v>
      </c>
      <c r="CY1086">
        <v>1</v>
      </c>
      <c r="CZ1086">
        <v>0</v>
      </c>
      <c r="DA1086">
        <v>1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</row>
    <row r="1087" spans="1:113" x14ac:dyDescent="0.3">
      <c r="A1087" t="str">
        <f>"02/08/2021 20:18:01.971"</f>
        <v>02/08/2021 20:18:01.971</v>
      </c>
      <c r="C1087" t="str">
        <f t="shared" si="50"/>
        <v>FFDFD7C0</v>
      </c>
      <c r="D1087" t="s">
        <v>124</v>
      </c>
      <c r="E1087">
        <v>11</v>
      </c>
      <c r="F1087">
        <v>1011</v>
      </c>
      <c r="G1087" t="s">
        <v>590</v>
      </c>
      <c r="J1087" t="s">
        <v>125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>"20:18:04.281"</f>
        <v>20:18:04.281</v>
      </c>
      <c r="T1087" t="str">
        <f>"20:18:03.881"</f>
        <v>20:18:03.881</v>
      </c>
      <c r="U1087" t="str">
        <f t="shared" si="49"/>
        <v>AB01F4</v>
      </c>
      <c r="V1087">
        <v>0</v>
      </c>
      <c r="W1087">
        <v>0</v>
      </c>
      <c r="X1087">
        <v>2</v>
      </c>
      <c r="Z1087">
        <v>0</v>
      </c>
      <c r="AA1087">
        <v>9</v>
      </c>
      <c r="AB1087">
        <v>3</v>
      </c>
      <c r="AC1087">
        <v>0</v>
      </c>
      <c r="AD1087">
        <v>10</v>
      </c>
      <c r="AE1087">
        <v>0</v>
      </c>
      <c r="AF1087">
        <v>3</v>
      </c>
      <c r="AG1087">
        <v>2</v>
      </c>
      <c r="AH1087">
        <v>0</v>
      </c>
      <c r="AI1087" t="s">
        <v>817</v>
      </c>
      <c r="AJ1087">
        <v>39.724609999999998</v>
      </c>
      <c r="AK1087" t="s">
        <v>818</v>
      </c>
      <c r="AL1087">
        <v>-92.526490999999993</v>
      </c>
      <c r="AM1087">
        <v>100</v>
      </c>
      <c r="AN1087">
        <v>1700</v>
      </c>
      <c r="AO1087" t="s">
        <v>118</v>
      </c>
      <c r="AP1087">
        <v>25</v>
      </c>
      <c r="AQ1087">
        <v>120</v>
      </c>
      <c r="AR1087">
        <v>0</v>
      </c>
      <c r="AZ1087">
        <v>1200</v>
      </c>
      <c r="BA1087">
        <v>1</v>
      </c>
      <c r="BB1087" t="str">
        <f t="shared" si="51"/>
        <v xml:space="preserve">N8080G  </v>
      </c>
      <c r="BC1087">
        <v>1</v>
      </c>
      <c r="BE1087">
        <v>0</v>
      </c>
      <c r="BF1087">
        <v>0</v>
      </c>
      <c r="BG1087">
        <v>0</v>
      </c>
      <c r="BH1087">
        <v>1675</v>
      </c>
      <c r="BI1087">
        <v>1</v>
      </c>
      <c r="BJ1087">
        <v>1</v>
      </c>
      <c r="BK1087">
        <v>1</v>
      </c>
      <c r="BL1087">
        <v>0</v>
      </c>
      <c r="BO1087">
        <v>0</v>
      </c>
      <c r="BP1087">
        <v>0</v>
      </c>
      <c r="BW1087" t="str">
        <f>"20:18:04.285"</f>
        <v>20:18:04.285</v>
      </c>
      <c r="BZ1087">
        <v>0</v>
      </c>
      <c r="CA1087">
        <v>2016</v>
      </c>
      <c r="CB1087">
        <v>224</v>
      </c>
      <c r="CD1087">
        <v>1</v>
      </c>
      <c r="CE1087">
        <v>0</v>
      </c>
      <c r="CF1087">
        <v>0</v>
      </c>
      <c r="CG1087">
        <v>1</v>
      </c>
      <c r="CH1087">
        <v>0</v>
      </c>
      <c r="CI1087">
        <v>0</v>
      </c>
      <c r="CJ1087">
        <v>0</v>
      </c>
      <c r="CK1087">
        <v>2</v>
      </c>
      <c r="CL1087">
        <v>0</v>
      </c>
      <c r="CM1087">
        <v>2</v>
      </c>
      <c r="CN1087">
        <v>0</v>
      </c>
      <c r="CO1087">
        <v>7</v>
      </c>
      <c r="CP1087" t="s">
        <v>119</v>
      </c>
      <c r="CQ1087">
        <v>180</v>
      </c>
      <c r="CR1087">
        <v>2</v>
      </c>
      <c r="CW1087">
        <v>8069335</v>
      </c>
      <c r="CY1087">
        <v>1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</row>
    <row r="1088" spans="1:113" x14ac:dyDescent="0.3">
      <c r="A1088" t="str">
        <f>"02/08/2021 20:18:01.971"</f>
        <v>02/08/2021 20:18:01.971</v>
      </c>
      <c r="C1088" t="str">
        <f t="shared" si="50"/>
        <v>FFDFD7C0</v>
      </c>
      <c r="D1088" t="s">
        <v>113</v>
      </c>
      <c r="E1088">
        <v>6</v>
      </c>
      <c r="H1088">
        <v>165</v>
      </c>
      <c r="I1088" t="s">
        <v>114</v>
      </c>
      <c r="J1088" t="s">
        <v>115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>"20:18:04.281"</f>
        <v>20:18:04.281</v>
      </c>
      <c r="T1088" t="str">
        <f>"20:18:03.881"</f>
        <v>20:18:03.881</v>
      </c>
      <c r="U1088" t="str">
        <f t="shared" si="49"/>
        <v>AB01F4</v>
      </c>
      <c r="V1088">
        <v>0</v>
      </c>
      <c r="W1088">
        <v>0</v>
      </c>
      <c r="X1088">
        <v>2</v>
      </c>
      <c r="Z1088">
        <v>0</v>
      </c>
      <c r="AA1088">
        <v>9</v>
      </c>
      <c r="AB1088">
        <v>3</v>
      </c>
      <c r="AC1088">
        <v>0</v>
      </c>
      <c r="AD1088">
        <v>10</v>
      </c>
      <c r="AE1088">
        <v>0</v>
      </c>
      <c r="AF1088">
        <v>3</v>
      </c>
      <c r="AG1088">
        <v>2</v>
      </c>
      <c r="AH1088">
        <v>0</v>
      </c>
      <c r="AI1088" t="s">
        <v>817</v>
      </c>
      <c r="AJ1088">
        <v>39.724609999999998</v>
      </c>
      <c r="AK1088" t="s">
        <v>818</v>
      </c>
      <c r="AL1088">
        <v>-92.526490999999993</v>
      </c>
      <c r="AM1088">
        <v>100</v>
      </c>
      <c r="AN1088">
        <v>1700</v>
      </c>
      <c r="AO1088" t="s">
        <v>118</v>
      </c>
      <c r="AP1088">
        <v>25</v>
      </c>
      <c r="AQ1088">
        <v>120</v>
      </c>
      <c r="AR1088">
        <v>0</v>
      </c>
      <c r="AZ1088">
        <v>1200</v>
      </c>
      <c r="BA1088">
        <v>1</v>
      </c>
      <c r="BB1088" t="str">
        <f t="shared" si="51"/>
        <v xml:space="preserve">N8080G  </v>
      </c>
      <c r="BC1088">
        <v>1</v>
      </c>
      <c r="BE1088">
        <v>0</v>
      </c>
      <c r="BF1088">
        <v>0</v>
      </c>
      <c r="BG1088">
        <v>0</v>
      </c>
      <c r="BH1088">
        <v>1675</v>
      </c>
      <c r="BI1088">
        <v>1</v>
      </c>
      <c r="BJ1088">
        <v>1</v>
      </c>
      <c r="BK1088">
        <v>1</v>
      </c>
      <c r="BL1088">
        <v>0</v>
      </c>
      <c r="BO1088">
        <v>0</v>
      </c>
      <c r="BP1088">
        <v>0</v>
      </c>
      <c r="BW1088" t="str">
        <f>"20:18:04.285"</f>
        <v>20:18:04.285</v>
      </c>
      <c r="BZ1088">
        <v>0</v>
      </c>
      <c r="CA1088">
        <v>2016</v>
      </c>
      <c r="CB1088">
        <v>224</v>
      </c>
      <c r="CD1088">
        <v>1</v>
      </c>
      <c r="CE1088">
        <v>0</v>
      </c>
      <c r="CF1088">
        <v>0</v>
      </c>
      <c r="CG1088">
        <v>1</v>
      </c>
      <c r="CH1088">
        <v>0</v>
      </c>
      <c r="CI1088">
        <v>0</v>
      </c>
      <c r="CJ1088">
        <v>0</v>
      </c>
      <c r="CK1088">
        <v>2</v>
      </c>
      <c r="CL1088">
        <v>0</v>
      </c>
      <c r="CM1088">
        <v>2</v>
      </c>
      <c r="CN1088">
        <v>0</v>
      </c>
      <c r="CO1088">
        <v>7</v>
      </c>
      <c r="CP1088" t="s">
        <v>119</v>
      </c>
      <c r="CQ1088">
        <v>180</v>
      </c>
      <c r="CR1088">
        <v>2</v>
      </c>
      <c r="CW1088">
        <v>8069335</v>
      </c>
      <c r="CY1088">
        <v>1</v>
      </c>
      <c r="CZ1088">
        <v>0</v>
      </c>
      <c r="DA1088">
        <v>1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</row>
    <row r="1089" spans="1:113" x14ac:dyDescent="0.3">
      <c r="A1089" t="str">
        <f>"02/08/2021 20:18:01.971"</f>
        <v>02/08/2021 20:18:01.971</v>
      </c>
      <c r="C1089" t="str">
        <f t="shared" si="50"/>
        <v>FFDFD7C0</v>
      </c>
      <c r="D1089" t="s">
        <v>124</v>
      </c>
      <c r="E1089">
        <v>13</v>
      </c>
      <c r="F1089">
        <v>1013</v>
      </c>
      <c r="G1089" t="s">
        <v>114</v>
      </c>
      <c r="J1089" t="s">
        <v>125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>"20:18:04.281"</f>
        <v>20:18:04.281</v>
      </c>
      <c r="T1089" t="str">
        <f>"20:18:03.881"</f>
        <v>20:18:03.881</v>
      </c>
      <c r="U1089" t="str">
        <f t="shared" si="49"/>
        <v>AB01F4</v>
      </c>
      <c r="V1089">
        <v>0</v>
      </c>
      <c r="W1089">
        <v>0</v>
      </c>
      <c r="X1089">
        <v>2</v>
      </c>
      <c r="Z1089">
        <v>0</v>
      </c>
      <c r="AA1089">
        <v>9</v>
      </c>
      <c r="AB1089">
        <v>3</v>
      </c>
      <c r="AC1089">
        <v>0</v>
      </c>
      <c r="AD1089">
        <v>10</v>
      </c>
      <c r="AE1089">
        <v>0</v>
      </c>
      <c r="AF1089">
        <v>3</v>
      </c>
      <c r="AG1089">
        <v>2</v>
      </c>
      <c r="AH1089">
        <v>0</v>
      </c>
      <c r="AI1089" t="s">
        <v>817</v>
      </c>
      <c r="AJ1089">
        <v>39.724609999999998</v>
      </c>
      <c r="AK1089" t="s">
        <v>818</v>
      </c>
      <c r="AL1089">
        <v>-92.526490999999993</v>
      </c>
      <c r="AM1089">
        <v>100</v>
      </c>
      <c r="AN1089">
        <v>1700</v>
      </c>
      <c r="AO1089" t="s">
        <v>118</v>
      </c>
      <c r="AP1089">
        <v>25</v>
      </c>
      <c r="AQ1089">
        <v>120</v>
      </c>
      <c r="AR1089">
        <v>0</v>
      </c>
      <c r="AZ1089">
        <v>1200</v>
      </c>
      <c r="BA1089">
        <v>1</v>
      </c>
      <c r="BB1089" t="str">
        <f t="shared" si="51"/>
        <v xml:space="preserve">N8080G  </v>
      </c>
      <c r="BC1089">
        <v>1</v>
      </c>
      <c r="BE1089">
        <v>0</v>
      </c>
      <c r="BF1089">
        <v>0</v>
      </c>
      <c r="BG1089">
        <v>0</v>
      </c>
      <c r="BH1089">
        <v>1675</v>
      </c>
      <c r="BI1089">
        <v>1</v>
      </c>
      <c r="BJ1089">
        <v>1</v>
      </c>
      <c r="BK1089">
        <v>1</v>
      </c>
      <c r="BL1089">
        <v>0</v>
      </c>
      <c r="BO1089">
        <v>0</v>
      </c>
      <c r="BP1089">
        <v>0</v>
      </c>
      <c r="BW1089" t="str">
        <f>"20:18:04.285"</f>
        <v>20:18:04.285</v>
      </c>
      <c r="BZ1089">
        <v>0</v>
      </c>
      <c r="CA1089">
        <v>2016</v>
      </c>
      <c r="CB1089">
        <v>224</v>
      </c>
      <c r="CD1089">
        <v>1</v>
      </c>
      <c r="CE1089">
        <v>0</v>
      </c>
      <c r="CF1089">
        <v>0</v>
      </c>
      <c r="CG1089">
        <v>1</v>
      </c>
      <c r="CH1089">
        <v>0</v>
      </c>
      <c r="CI1089">
        <v>0</v>
      </c>
      <c r="CJ1089">
        <v>0</v>
      </c>
      <c r="CK1089">
        <v>2</v>
      </c>
      <c r="CL1089">
        <v>0</v>
      </c>
      <c r="CM1089">
        <v>2</v>
      </c>
      <c r="CN1089">
        <v>0</v>
      </c>
      <c r="CO1089">
        <v>7</v>
      </c>
      <c r="CP1089" t="s">
        <v>119</v>
      </c>
      <c r="CQ1089">
        <v>180</v>
      </c>
      <c r="CR1089">
        <v>2</v>
      </c>
      <c r="CW1089">
        <v>8069335</v>
      </c>
      <c r="CY1089">
        <v>1</v>
      </c>
      <c r="CZ1089">
        <v>0</v>
      </c>
      <c r="DA1089">
        <v>1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</row>
    <row r="1090" spans="1:113" x14ac:dyDescent="0.3">
      <c r="A1090" t="str">
        <f>"02/08/2021 20:18:01.971"</f>
        <v>02/08/2021 20:18:01.971</v>
      </c>
      <c r="C1090" t="str">
        <f t="shared" si="50"/>
        <v>FFDFD7C0</v>
      </c>
      <c r="D1090" t="s">
        <v>124</v>
      </c>
      <c r="E1090">
        <v>12</v>
      </c>
      <c r="F1090">
        <v>1012</v>
      </c>
      <c r="G1090" t="s">
        <v>675</v>
      </c>
      <c r="J1090" t="s">
        <v>125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>"20:18:04.281"</f>
        <v>20:18:04.281</v>
      </c>
      <c r="T1090" t="str">
        <f>"20:18:03.881"</f>
        <v>20:18:03.881</v>
      </c>
      <c r="U1090" t="str">
        <f t="shared" ref="U1090:U1153" si="52">"AB01F4"</f>
        <v>AB01F4</v>
      </c>
      <c r="V1090">
        <v>0</v>
      </c>
      <c r="W1090">
        <v>0</v>
      </c>
      <c r="X1090">
        <v>2</v>
      </c>
      <c r="Z1090">
        <v>0</v>
      </c>
      <c r="AA1090">
        <v>9</v>
      </c>
      <c r="AB1090">
        <v>3</v>
      </c>
      <c r="AC1090">
        <v>0</v>
      </c>
      <c r="AD1090">
        <v>10</v>
      </c>
      <c r="AE1090">
        <v>0</v>
      </c>
      <c r="AF1090">
        <v>3</v>
      </c>
      <c r="AG1090">
        <v>2</v>
      </c>
      <c r="AH1090">
        <v>0</v>
      </c>
      <c r="AI1090" t="s">
        <v>817</v>
      </c>
      <c r="AJ1090">
        <v>39.724609999999998</v>
      </c>
      <c r="AK1090" t="s">
        <v>818</v>
      </c>
      <c r="AL1090">
        <v>-92.526490999999993</v>
      </c>
      <c r="AM1090">
        <v>100</v>
      </c>
      <c r="AN1090">
        <v>1700</v>
      </c>
      <c r="AO1090" t="s">
        <v>118</v>
      </c>
      <c r="AP1090">
        <v>25</v>
      </c>
      <c r="AQ1090">
        <v>120</v>
      </c>
      <c r="AR1090">
        <v>0</v>
      </c>
      <c r="AZ1090">
        <v>1200</v>
      </c>
      <c r="BA1090">
        <v>1</v>
      </c>
      <c r="BB1090" t="str">
        <f t="shared" si="51"/>
        <v xml:space="preserve">N8080G  </v>
      </c>
      <c r="BC1090">
        <v>1</v>
      </c>
      <c r="BE1090">
        <v>0</v>
      </c>
      <c r="BF1090">
        <v>0</v>
      </c>
      <c r="BG1090">
        <v>0</v>
      </c>
      <c r="BH1090">
        <v>1675</v>
      </c>
      <c r="BI1090">
        <v>1</v>
      </c>
      <c r="BJ1090">
        <v>1</v>
      </c>
      <c r="BK1090">
        <v>1</v>
      </c>
      <c r="BL1090">
        <v>0</v>
      </c>
      <c r="BO1090">
        <v>0</v>
      </c>
      <c r="BP1090">
        <v>0</v>
      </c>
      <c r="BW1090" t="str">
        <f>"20:18:04.285"</f>
        <v>20:18:04.285</v>
      </c>
      <c r="BZ1090">
        <v>0</v>
      </c>
      <c r="CA1090">
        <v>2016</v>
      </c>
      <c r="CB1090">
        <v>224</v>
      </c>
      <c r="CD1090">
        <v>1</v>
      </c>
      <c r="CE1090">
        <v>0</v>
      </c>
      <c r="CF1090">
        <v>0</v>
      </c>
      <c r="CG1090">
        <v>1</v>
      </c>
      <c r="CH1090">
        <v>0</v>
      </c>
      <c r="CI1090">
        <v>0</v>
      </c>
      <c r="CJ1090">
        <v>0</v>
      </c>
      <c r="CK1090">
        <v>2</v>
      </c>
      <c r="CL1090">
        <v>0</v>
      </c>
      <c r="CM1090">
        <v>2</v>
      </c>
      <c r="CN1090">
        <v>0</v>
      </c>
      <c r="CO1090">
        <v>7</v>
      </c>
      <c r="CP1090" t="s">
        <v>119</v>
      </c>
      <c r="CQ1090">
        <v>180</v>
      </c>
      <c r="CR1090">
        <v>2</v>
      </c>
      <c r="CW1090">
        <v>8069335</v>
      </c>
      <c r="CY1090">
        <v>1</v>
      </c>
      <c r="CZ1090">
        <v>0</v>
      </c>
      <c r="DA1090">
        <v>1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</row>
    <row r="1091" spans="1:113" x14ac:dyDescent="0.3">
      <c r="A1091" t="str">
        <f>"02/08/2021 20:18:03.533"</f>
        <v>02/08/2021 20:18:03.533</v>
      </c>
      <c r="C1091" t="str">
        <f t="shared" si="50"/>
        <v>FFDFD7C0</v>
      </c>
      <c r="D1091" t="s">
        <v>124</v>
      </c>
      <c r="E1091">
        <v>13</v>
      </c>
      <c r="F1091">
        <v>1013</v>
      </c>
      <c r="G1091" t="s">
        <v>114</v>
      </c>
      <c r="J1091" t="s">
        <v>125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>"20:18:05.828"</f>
        <v>20:18:05.828</v>
      </c>
      <c r="T1091" t="str">
        <f>"20:18:05.328"</f>
        <v>20:18:05.328</v>
      </c>
      <c r="U1091" t="str">
        <f t="shared" si="52"/>
        <v>AB01F4</v>
      </c>
      <c r="V1091">
        <v>0</v>
      </c>
      <c r="W1091">
        <v>0</v>
      </c>
      <c r="X1091">
        <v>2</v>
      </c>
      <c r="Z1091">
        <v>0</v>
      </c>
      <c r="AA1091">
        <v>9</v>
      </c>
      <c r="AB1091">
        <v>3</v>
      </c>
      <c r="AC1091">
        <v>0</v>
      </c>
      <c r="AD1091">
        <v>10</v>
      </c>
      <c r="AE1091">
        <v>0</v>
      </c>
      <c r="AF1091">
        <v>3</v>
      </c>
      <c r="AG1091">
        <v>2</v>
      </c>
      <c r="AH1091">
        <v>0</v>
      </c>
      <c r="AI1091" t="s">
        <v>819</v>
      </c>
      <c r="AJ1091">
        <v>39.725532999999999</v>
      </c>
      <c r="AK1091" t="s">
        <v>820</v>
      </c>
      <c r="AL1091">
        <v>-92.526255000000006</v>
      </c>
      <c r="AM1091">
        <v>100</v>
      </c>
      <c r="AN1091">
        <v>1700</v>
      </c>
      <c r="AO1091" t="s">
        <v>118</v>
      </c>
      <c r="AP1091">
        <v>25</v>
      </c>
      <c r="AQ1091">
        <v>120</v>
      </c>
      <c r="AR1091">
        <v>-64</v>
      </c>
      <c r="AZ1091">
        <v>1200</v>
      </c>
      <c r="BA1091">
        <v>1</v>
      </c>
      <c r="BB1091" t="str">
        <f t="shared" si="51"/>
        <v xml:space="preserve">N8080G  </v>
      </c>
      <c r="BC1091">
        <v>1</v>
      </c>
      <c r="BE1091">
        <v>0</v>
      </c>
      <c r="BF1091">
        <v>0</v>
      </c>
      <c r="BG1091">
        <v>0</v>
      </c>
      <c r="BH1091">
        <v>1675</v>
      </c>
      <c r="BI1091">
        <v>1</v>
      </c>
      <c r="BJ1091">
        <v>1</v>
      </c>
      <c r="BK1091">
        <v>1</v>
      </c>
      <c r="BL1091">
        <v>0</v>
      </c>
      <c r="BO1091">
        <v>0</v>
      </c>
      <c r="BP1091">
        <v>0</v>
      </c>
      <c r="BW1091" t="str">
        <f>"20:18:05.828"</f>
        <v>20:18:05.828</v>
      </c>
      <c r="BZ1091">
        <v>0</v>
      </c>
      <c r="CA1091">
        <v>2016</v>
      </c>
      <c r="CB1091">
        <v>224</v>
      </c>
      <c r="CD1091">
        <v>1</v>
      </c>
      <c r="CE1091">
        <v>0</v>
      </c>
      <c r="CF1091">
        <v>0</v>
      </c>
      <c r="CG1091">
        <v>1</v>
      </c>
      <c r="CH1091">
        <v>0</v>
      </c>
      <c r="CI1091">
        <v>0</v>
      </c>
      <c r="CJ1091">
        <v>0</v>
      </c>
      <c r="CK1091">
        <v>2</v>
      </c>
      <c r="CL1091">
        <v>0</v>
      </c>
      <c r="CM1091">
        <v>2</v>
      </c>
      <c r="CN1091">
        <v>0</v>
      </c>
      <c r="CO1091">
        <v>7</v>
      </c>
      <c r="CP1091" t="s">
        <v>119</v>
      </c>
      <c r="CQ1091">
        <v>180</v>
      </c>
      <c r="CR1091">
        <v>2</v>
      </c>
      <c r="CW1091">
        <v>8070645</v>
      </c>
      <c r="CY1091">
        <v>1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</row>
    <row r="1092" spans="1:113" x14ac:dyDescent="0.3">
      <c r="A1092" t="str">
        <f>"02/08/2021 20:18:03.533"</f>
        <v>02/08/2021 20:18:03.533</v>
      </c>
      <c r="C1092" t="str">
        <f t="shared" si="50"/>
        <v>FFDFD7C0</v>
      </c>
      <c r="D1092" t="s">
        <v>124</v>
      </c>
      <c r="E1092">
        <v>11</v>
      </c>
      <c r="F1092">
        <v>1011</v>
      </c>
      <c r="G1092" t="s">
        <v>590</v>
      </c>
      <c r="J1092" t="s">
        <v>125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>"20:18:05.828"</f>
        <v>20:18:05.828</v>
      </c>
      <c r="T1092" t="str">
        <f>"20:18:05.328"</f>
        <v>20:18:05.328</v>
      </c>
      <c r="U1092" t="str">
        <f t="shared" si="52"/>
        <v>AB01F4</v>
      </c>
      <c r="V1092">
        <v>0</v>
      </c>
      <c r="W1092">
        <v>0</v>
      </c>
      <c r="X1092">
        <v>2</v>
      </c>
      <c r="Z1092">
        <v>0</v>
      </c>
      <c r="AA1092">
        <v>9</v>
      </c>
      <c r="AB1092">
        <v>3</v>
      </c>
      <c r="AC1092">
        <v>0</v>
      </c>
      <c r="AD1092">
        <v>10</v>
      </c>
      <c r="AE1092">
        <v>0</v>
      </c>
      <c r="AF1092">
        <v>3</v>
      </c>
      <c r="AG1092">
        <v>2</v>
      </c>
      <c r="AH1092">
        <v>0</v>
      </c>
      <c r="AI1092" t="s">
        <v>819</v>
      </c>
      <c r="AJ1092">
        <v>39.725532999999999</v>
      </c>
      <c r="AK1092" t="s">
        <v>820</v>
      </c>
      <c r="AL1092">
        <v>-92.526255000000006</v>
      </c>
      <c r="AM1092">
        <v>100</v>
      </c>
      <c r="AN1092">
        <v>1700</v>
      </c>
      <c r="AO1092" t="s">
        <v>118</v>
      </c>
      <c r="AP1092">
        <v>25</v>
      </c>
      <c r="AQ1092">
        <v>120</v>
      </c>
      <c r="AR1092">
        <v>-64</v>
      </c>
      <c r="AZ1092">
        <v>1200</v>
      </c>
      <c r="BA1092">
        <v>1</v>
      </c>
      <c r="BB1092" t="str">
        <f t="shared" si="51"/>
        <v xml:space="preserve">N8080G  </v>
      </c>
      <c r="BC1092">
        <v>1</v>
      </c>
      <c r="BE1092">
        <v>0</v>
      </c>
      <c r="BF1092">
        <v>0</v>
      </c>
      <c r="BG1092">
        <v>0</v>
      </c>
      <c r="BH1092">
        <v>1675</v>
      </c>
      <c r="BI1092">
        <v>1</v>
      </c>
      <c r="BJ1092">
        <v>1</v>
      </c>
      <c r="BK1092">
        <v>1</v>
      </c>
      <c r="BL1092">
        <v>0</v>
      </c>
      <c r="BO1092">
        <v>0</v>
      </c>
      <c r="BP1092">
        <v>0</v>
      </c>
      <c r="BW1092" t="str">
        <f>"20:18:05.828"</f>
        <v>20:18:05.828</v>
      </c>
      <c r="BZ1092">
        <v>0</v>
      </c>
      <c r="CA1092">
        <v>2016</v>
      </c>
      <c r="CB1092">
        <v>224</v>
      </c>
      <c r="CD1092">
        <v>1</v>
      </c>
      <c r="CE1092">
        <v>0</v>
      </c>
      <c r="CF1092">
        <v>0</v>
      </c>
      <c r="CG1092">
        <v>1</v>
      </c>
      <c r="CH1092">
        <v>0</v>
      </c>
      <c r="CI1092">
        <v>0</v>
      </c>
      <c r="CJ1092">
        <v>0</v>
      </c>
      <c r="CK1092">
        <v>2</v>
      </c>
      <c r="CL1092">
        <v>0</v>
      </c>
      <c r="CM1092">
        <v>2</v>
      </c>
      <c r="CN1092">
        <v>0</v>
      </c>
      <c r="CO1092">
        <v>7</v>
      </c>
      <c r="CP1092" t="s">
        <v>119</v>
      </c>
      <c r="CQ1092">
        <v>180</v>
      </c>
      <c r="CR1092">
        <v>2</v>
      </c>
      <c r="CW1092">
        <v>8070645</v>
      </c>
      <c r="CY1092">
        <v>1</v>
      </c>
      <c r="CZ1092">
        <v>0</v>
      </c>
      <c r="DA1092">
        <v>1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</row>
    <row r="1093" spans="1:113" x14ac:dyDescent="0.3">
      <c r="A1093" t="str">
        <f>"02/08/2021 20:18:03.533"</f>
        <v>02/08/2021 20:18:03.533</v>
      </c>
      <c r="C1093" t="str">
        <f t="shared" si="50"/>
        <v>FFDFD7C0</v>
      </c>
      <c r="D1093" t="s">
        <v>124</v>
      </c>
      <c r="E1093">
        <v>12</v>
      </c>
      <c r="F1093">
        <v>1012</v>
      </c>
      <c r="G1093" t="s">
        <v>675</v>
      </c>
      <c r="J1093" t="s">
        <v>125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>"20:18:05.828"</f>
        <v>20:18:05.828</v>
      </c>
      <c r="T1093" t="str">
        <f>"20:18:05.328"</f>
        <v>20:18:05.328</v>
      </c>
      <c r="U1093" t="str">
        <f t="shared" si="52"/>
        <v>AB01F4</v>
      </c>
      <c r="V1093">
        <v>0</v>
      </c>
      <c r="W1093">
        <v>0</v>
      </c>
      <c r="X1093">
        <v>2</v>
      </c>
      <c r="Z1093">
        <v>0</v>
      </c>
      <c r="AA1093">
        <v>9</v>
      </c>
      <c r="AB1093">
        <v>3</v>
      </c>
      <c r="AC1093">
        <v>0</v>
      </c>
      <c r="AD1093">
        <v>10</v>
      </c>
      <c r="AE1093">
        <v>0</v>
      </c>
      <c r="AF1093">
        <v>3</v>
      </c>
      <c r="AG1093">
        <v>2</v>
      </c>
      <c r="AH1093">
        <v>0</v>
      </c>
      <c r="AI1093" t="s">
        <v>819</v>
      </c>
      <c r="AJ1093">
        <v>39.725532999999999</v>
      </c>
      <c r="AK1093" t="s">
        <v>820</v>
      </c>
      <c r="AL1093">
        <v>-92.526255000000006</v>
      </c>
      <c r="AM1093">
        <v>100</v>
      </c>
      <c r="AN1093">
        <v>1700</v>
      </c>
      <c r="AO1093" t="s">
        <v>118</v>
      </c>
      <c r="AP1093">
        <v>25</v>
      </c>
      <c r="AQ1093">
        <v>120</v>
      </c>
      <c r="AR1093">
        <v>-64</v>
      </c>
      <c r="AZ1093">
        <v>1200</v>
      </c>
      <c r="BA1093">
        <v>1</v>
      </c>
      <c r="BB1093" t="str">
        <f t="shared" si="51"/>
        <v xml:space="preserve">N8080G  </v>
      </c>
      <c r="BC1093">
        <v>1</v>
      </c>
      <c r="BE1093">
        <v>0</v>
      </c>
      <c r="BF1093">
        <v>0</v>
      </c>
      <c r="BG1093">
        <v>0</v>
      </c>
      <c r="BH1093">
        <v>1675</v>
      </c>
      <c r="BI1093">
        <v>1</v>
      </c>
      <c r="BJ1093">
        <v>1</v>
      </c>
      <c r="BK1093">
        <v>1</v>
      </c>
      <c r="BL1093">
        <v>0</v>
      </c>
      <c r="BO1093">
        <v>0</v>
      </c>
      <c r="BP1093">
        <v>0</v>
      </c>
      <c r="BW1093" t="str">
        <f>"20:18:05.828"</f>
        <v>20:18:05.828</v>
      </c>
      <c r="BZ1093">
        <v>0</v>
      </c>
      <c r="CA1093">
        <v>2016</v>
      </c>
      <c r="CB1093">
        <v>224</v>
      </c>
      <c r="CD1093">
        <v>1</v>
      </c>
      <c r="CE1093">
        <v>0</v>
      </c>
      <c r="CF1093">
        <v>0</v>
      </c>
      <c r="CG1093">
        <v>1</v>
      </c>
      <c r="CH1093">
        <v>0</v>
      </c>
      <c r="CI1093">
        <v>0</v>
      </c>
      <c r="CJ1093">
        <v>0</v>
      </c>
      <c r="CK1093">
        <v>2</v>
      </c>
      <c r="CL1093">
        <v>0</v>
      </c>
      <c r="CM1093">
        <v>2</v>
      </c>
      <c r="CN1093">
        <v>0</v>
      </c>
      <c r="CO1093">
        <v>7</v>
      </c>
      <c r="CP1093" t="s">
        <v>119</v>
      </c>
      <c r="CQ1093">
        <v>180</v>
      </c>
      <c r="CR1093">
        <v>2</v>
      </c>
      <c r="CW1093">
        <v>8070645</v>
      </c>
      <c r="CY1093">
        <v>1</v>
      </c>
      <c r="CZ1093">
        <v>0</v>
      </c>
      <c r="DA1093">
        <v>1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</row>
    <row r="1094" spans="1:113" x14ac:dyDescent="0.3">
      <c r="A1094" t="str">
        <f>"02/08/2021 20:18:03.533"</f>
        <v>02/08/2021 20:18:03.533</v>
      </c>
      <c r="C1094" t="str">
        <f t="shared" si="50"/>
        <v>FFDFD7C0</v>
      </c>
      <c r="D1094" t="s">
        <v>113</v>
      </c>
      <c r="E1094">
        <v>6</v>
      </c>
      <c r="H1094">
        <v>165</v>
      </c>
      <c r="I1094" t="s">
        <v>114</v>
      </c>
      <c r="J1094" t="s">
        <v>115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>"20:18:05.828"</f>
        <v>20:18:05.828</v>
      </c>
      <c r="T1094" t="str">
        <f>"20:18:05.328"</f>
        <v>20:18:05.328</v>
      </c>
      <c r="U1094" t="str">
        <f t="shared" si="52"/>
        <v>AB01F4</v>
      </c>
      <c r="V1094">
        <v>0</v>
      </c>
      <c r="W1094">
        <v>0</v>
      </c>
      <c r="X1094">
        <v>2</v>
      </c>
      <c r="Z1094">
        <v>0</v>
      </c>
      <c r="AA1094">
        <v>9</v>
      </c>
      <c r="AB1094">
        <v>3</v>
      </c>
      <c r="AC1094">
        <v>0</v>
      </c>
      <c r="AD1094">
        <v>10</v>
      </c>
      <c r="AE1094">
        <v>0</v>
      </c>
      <c r="AF1094">
        <v>3</v>
      </c>
      <c r="AG1094">
        <v>2</v>
      </c>
      <c r="AH1094">
        <v>0</v>
      </c>
      <c r="AI1094" t="s">
        <v>819</v>
      </c>
      <c r="AJ1094">
        <v>39.725532999999999</v>
      </c>
      <c r="AK1094" t="s">
        <v>820</v>
      </c>
      <c r="AL1094">
        <v>-92.526255000000006</v>
      </c>
      <c r="AM1094">
        <v>100</v>
      </c>
      <c r="AN1094">
        <v>1700</v>
      </c>
      <c r="AO1094" t="s">
        <v>118</v>
      </c>
      <c r="AP1094">
        <v>25</v>
      </c>
      <c r="AQ1094">
        <v>120</v>
      </c>
      <c r="AR1094">
        <v>-64</v>
      </c>
      <c r="AZ1094">
        <v>1200</v>
      </c>
      <c r="BA1094">
        <v>1</v>
      </c>
      <c r="BB1094" t="str">
        <f t="shared" si="51"/>
        <v xml:space="preserve">N8080G  </v>
      </c>
      <c r="BC1094">
        <v>1</v>
      </c>
      <c r="BE1094">
        <v>0</v>
      </c>
      <c r="BF1094">
        <v>0</v>
      </c>
      <c r="BG1094">
        <v>0</v>
      </c>
      <c r="BH1094">
        <v>1675</v>
      </c>
      <c r="BI1094">
        <v>1</v>
      </c>
      <c r="BJ1094">
        <v>1</v>
      </c>
      <c r="BK1094">
        <v>1</v>
      </c>
      <c r="BL1094">
        <v>0</v>
      </c>
      <c r="BO1094">
        <v>0</v>
      </c>
      <c r="BP1094">
        <v>0</v>
      </c>
      <c r="BW1094" t="str">
        <f>"20:18:05.828"</f>
        <v>20:18:05.828</v>
      </c>
      <c r="BZ1094">
        <v>0</v>
      </c>
      <c r="CA1094">
        <v>2016</v>
      </c>
      <c r="CB1094">
        <v>224</v>
      </c>
      <c r="CD1094">
        <v>1</v>
      </c>
      <c r="CE1094">
        <v>0</v>
      </c>
      <c r="CF1094">
        <v>0</v>
      </c>
      <c r="CG1094">
        <v>1</v>
      </c>
      <c r="CH1094">
        <v>0</v>
      </c>
      <c r="CI1094">
        <v>0</v>
      </c>
      <c r="CJ1094">
        <v>0</v>
      </c>
      <c r="CK1094">
        <v>2</v>
      </c>
      <c r="CL1094">
        <v>0</v>
      </c>
      <c r="CM1094">
        <v>2</v>
      </c>
      <c r="CN1094">
        <v>0</v>
      </c>
      <c r="CO1094">
        <v>7</v>
      </c>
      <c r="CP1094" t="s">
        <v>119</v>
      </c>
      <c r="CQ1094">
        <v>180</v>
      </c>
      <c r="CR1094">
        <v>2</v>
      </c>
      <c r="CW1094">
        <v>8070645</v>
      </c>
      <c r="CY1094">
        <v>1</v>
      </c>
      <c r="CZ1094">
        <v>0</v>
      </c>
      <c r="DA1094">
        <v>1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</row>
    <row r="1095" spans="1:113" x14ac:dyDescent="0.3">
      <c r="A1095" t="str">
        <f>"02/08/2021 20:18:06.477"</f>
        <v>02/08/2021 20:18:06.477</v>
      </c>
      <c r="C1095" t="str">
        <f t="shared" si="50"/>
        <v>FFDFD7C0</v>
      </c>
      <c r="D1095" t="s">
        <v>113</v>
      </c>
      <c r="E1095">
        <v>6</v>
      </c>
      <c r="H1095">
        <v>165</v>
      </c>
      <c r="I1095" t="s">
        <v>114</v>
      </c>
      <c r="J1095" t="s">
        <v>115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>"20:18:08.766"</f>
        <v>20:18:08.766</v>
      </c>
      <c r="T1095" t="str">
        <f>"20:18:08.266"</f>
        <v>20:18:08.266</v>
      </c>
      <c r="U1095" t="str">
        <f t="shared" si="52"/>
        <v>AB01F4</v>
      </c>
      <c r="V1095">
        <v>0</v>
      </c>
      <c r="W1095">
        <v>0</v>
      </c>
      <c r="X1095">
        <v>2</v>
      </c>
      <c r="Z1095">
        <v>0</v>
      </c>
      <c r="AA1095">
        <v>9</v>
      </c>
      <c r="AB1095">
        <v>3</v>
      </c>
      <c r="AC1095">
        <v>0</v>
      </c>
      <c r="AD1095">
        <v>10</v>
      </c>
      <c r="AE1095">
        <v>0</v>
      </c>
      <c r="AF1095">
        <v>3</v>
      </c>
      <c r="AG1095">
        <v>2</v>
      </c>
      <c r="AH1095">
        <v>0</v>
      </c>
      <c r="AI1095" t="s">
        <v>821</v>
      </c>
      <c r="AJ1095">
        <v>39.727162999999997</v>
      </c>
      <c r="AK1095" t="s">
        <v>822</v>
      </c>
      <c r="AL1095">
        <v>-92.525783000000004</v>
      </c>
      <c r="AM1095">
        <v>100</v>
      </c>
      <c r="AN1095">
        <v>1700</v>
      </c>
      <c r="AO1095" t="s">
        <v>118</v>
      </c>
      <c r="AP1095">
        <v>26</v>
      </c>
      <c r="AQ1095">
        <v>120</v>
      </c>
      <c r="AR1095">
        <v>-64</v>
      </c>
      <c r="AZ1095">
        <v>1200</v>
      </c>
      <c r="BA1095">
        <v>1</v>
      </c>
      <c r="BB1095" t="str">
        <f t="shared" si="51"/>
        <v xml:space="preserve">N8080G  </v>
      </c>
      <c r="BC1095">
        <v>1</v>
      </c>
      <c r="BE1095">
        <v>0</v>
      </c>
      <c r="BF1095">
        <v>0</v>
      </c>
      <c r="BG1095">
        <v>0</v>
      </c>
      <c r="BH1095">
        <v>1675</v>
      </c>
      <c r="BI1095">
        <v>1</v>
      </c>
      <c r="BJ1095">
        <v>1</v>
      </c>
      <c r="BK1095">
        <v>1</v>
      </c>
      <c r="BL1095">
        <v>0</v>
      </c>
      <c r="BO1095">
        <v>0</v>
      </c>
      <c r="BP1095">
        <v>0</v>
      </c>
      <c r="BW1095" t="str">
        <f>"20:18:08.771"</f>
        <v>20:18:08.771</v>
      </c>
      <c r="BZ1095">
        <v>0</v>
      </c>
      <c r="CA1095">
        <v>2016</v>
      </c>
      <c r="CB1095">
        <v>224</v>
      </c>
      <c r="CD1095">
        <v>1</v>
      </c>
      <c r="CE1095">
        <v>0</v>
      </c>
      <c r="CF1095">
        <v>0</v>
      </c>
      <c r="CG1095">
        <v>1</v>
      </c>
      <c r="CH1095">
        <v>0</v>
      </c>
      <c r="CI1095">
        <v>0</v>
      </c>
      <c r="CJ1095">
        <v>0</v>
      </c>
      <c r="CK1095">
        <v>2</v>
      </c>
      <c r="CL1095">
        <v>0</v>
      </c>
      <c r="CM1095">
        <v>2</v>
      </c>
      <c r="CN1095">
        <v>0</v>
      </c>
      <c r="CO1095">
        <v>6</v>
      </c>
      <c r="CP1095" t="s">
        <v>119</v>
      </c>
      <c r="CQ1095">
        <v>180</v>
      </c>
      <c r="CR1095">
        <v>1</v>
      </c>
      <c r="CW1095">
        <v>10632187</v>
      </c>
      <c r="CY1095">
        <v>1</v>
      </c>
      <c r="CZ1095">
        <v>0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</row>
    <row r="1096" spans="1:113" x14ac:dyDescent="0.3">
      <c r="A1096" t="str">
        <f>"02/08/2021 20:18:06.477"</f>
        <v>02/08/2021 20:18:06.477</v>
      </c>
      <c r="C1096" t="str">
        <f t="shared" si="50"/>
        <v>FFDFD7C0</v>
      </c>
      <c r="D1096" t="s">
        <v>124</v>
      </c>
      <c r="E1096">
        <v>13</v>
      </c>
      <c r="F1096">
        <v>1013</v>
      </c>
      <c r="G1096" t="s">
        <v>114</v>
      </c>
      <c r="J1096" t="s">
        <v>125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>"20:18:08.766"</f>
        <v>20:18:08.766</v>
      </c>
      <c r="T1096" t="str">
        <f>"20:18:08.266"</f>
        <v>20:18:08.266</v>
      </c>
      <c r="U1096" t="str">
        <f t="shared" si="52"/>
        <v>AB01F4</v>
      </c>
      <c r="V1096">
        <v>0</v>
      </c>
      <c r="W1096">
        <v>0</v>
      </c>
      <c r="X1096">
        <v>2</v>
      </c>
      <c r="Z1096">
        <v>0</v>
      </c>
      <c r="AA1096">
        <v>9</v>
      </c>
      <c r="AB1096">
        <v>3</v>
      </c>
      <c r="AC1096">
        <v>0</v>
      </c>
      <c r="AD1096">
        <v>10</v>
      </c>
      <c r="AE1096">
        <v>0</v>
      </c>
      <c r="AF1096">
        <v>3</v>
      </c>
      <c r="AG1096">
        <v>2</v>
      </c>
      <c r="AH1096">
        <v>0</v>
      </c>
      <c r="AI1096" t="s">
        <v>821</v>
      </c>
      <c r="AJ1096">
        <v>39.727162999999997</v>
      </c>
      <c r="AK1096" t="s">
        <v>822</v>
      </c>
      <c r="AL1096">
        <v>-92.525783000000004</v>
      </c>
      <c r="AM1096">
        <v>100</v>
      </c>
      <c r="AN1096">
        <v>1700</v>
      </c>
      <c r="AO1096" t="s">
        <v>118</v>
      </c>
      <c r="AP1096">
        <v>26</v>
      </c>
      <c r="AQ1096">
        <v>120</v>
      </c>
      <c r="AR1096">
        <v>-64</v>
      </c>
      <c r="AZ1096">
        <v>1200</v>
      </c>
      <c r="BA1096">
        <v>1</v>
      </c>
      <c r="BB1096" t="str">
        <f t="shared" si="51"/>
        <v xml:space="preserve">N8080G  </v>
      </c>
      <c r="BC1096">
        <v>1</v>
      </c>
      <c r="BE1096">
        <v>0</v>
      </c>
      <c r="BF1096">
        <v>0</v>
      </c>
      <c r="BG1096">
        <v>0</v>
      </c>
      <c r="BH1096">
        <v>1675</v>
      </c>
      <c r="BI1096">
        <v>1</v>
      </c>
      <c r="BJ1096">
        <v>1</v>
      </c>
      <c r="BK1096">
        <v>1</v>
      </c>
      <c r="BL1096">
        <v>0</v>
      </c>
      <c r="BO1096">
        <v>0</v>
      </c>
      <c r="BP1096">
        <v>0</v>
      </c>
      <c r="BW1096" t="str">
        <f>"20:18:08.771"</f>
        <v>20:18:08.771</v>
      </c>
      <c r="BZ1096">
        <v>0</v>
      </c>
      <c r="CA1096">
        <v>2016</v>
      </c>
      <c r="CB1096">
        <v>224</v>
      </c>
      <c r="CD1096">
        <v>1</v>
      </c>
      <c r="CE1096">
        <v>0</v>
      </c>
      <c r="CF1096">
        <v>0</v>
      </c>
      <c r="CG1096">
        <v>1</v>
      </c>
      <c r="CH1096">
        <v>0</v>
      </c>
      <c r="CI1096">
        <v>0</v>
      </c>
      <c r="CJ1096">
        <v>0</v>
      </c>
      <c r="CK1096">
        <v>2</v>
      </c>
      <c r="CL1096">
        <v>0</v>
      </c>
      <c r="CM1096">
        <v>2</v>
      </c>
      <c r="CN1096">
        <v>0</v>
      </c>
      <c r="CO1096">
        <v>6</v>
      </c>
      <c r="CP1096" t="s">
        <v>119</v>
      </c>
      <c r="CQ1096">
        <v>180</v>
      </c>
      <c r="CR1096">
        <v>1</v>
      </c>
      <c r="CW1096">
        <v>10632187</v>
      </c>
      <c r="CY1096">
        <v>1</v>
      </c>
      <c r="CZ1096">
        <v>0</v>
      </c>
      <c r="DA1096">
        <v>1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</row>
    <row r="1097" spans="1:113" x14ac:dyDescent="0.3">
      <c r="A1097" t="str">
        <f>"02/08/2021 20:18:06.477"</f>
        <v>02/08/2021 20:18:06.477</v>
      </c>
      <c r="C1097" t="str">
        <f t="shared" ref="C1097:C1160" si="53">"FFDFD7C0"</f>
        <v>FFDFD7C0</v>
      </c>
      <c r="D1097" t="s">
        <v>124</v>
      </c>
      <c r="E1097">
        <v>11</v>
      </c>
      <c r="F1097">
        <v>1011</v>
      </c>
      <c r="G1097" t="s">
        <v>590</v>
      </c>
      <c r="J1097" t="s">
        <v>125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>"20:18:08.766"</f>
        <v>20:18:08.766</v>
      </c>
      <c r="T1097" t="str">
        <f>"20:18:08.266"</f>
        <v>20:18:08.266</v>
      </c>
      <c r="U1097" t="str">
        <f t="shared" si="52"/>
        <v>AB01F4</v>
      </c>
      <c r="V1097">
        <v>0</v>
      </c>
      <c r="W1097">
        <v>0</v>
      </c>
      <c r="X1097">
        <v>2</v>
      </c>
      <c r="Z1097">
        <v>0</v>
      </c>
      <c r="AA1097">
        <v>9</v>
      </c>
      <c r="AB1097">
        <v>3</v>
      </c>
      <c r="AC1097">
        <v>0</v>
      </c>
      <c r="AD1097">
        <v>10</v>
      </c>
      <c r="AE1097">
        <v>0</v>
      </c>
      <c r="AF1097">
        <v>3</v>
      </c>
      <c r="AG1097">
        <v>2</v>
      </c>
      <c r="AH1097">
        <v>0</v>
      </c>
      <c r="AI1097" t="s">
        <v>821</v>
      </c>
      <c r="AJ1097">
        <v>39.727162999999997</v>
      </c>
      <c r="AK1097" t="s">
        <v>822</v>
      </c>
      <c r="AL1097">
        <v>-92.525783000000004</v>
      </c>
      <c r="AM1097">
        <v>100</v>
      </c>
      <c r="AN1097">
        <v>1700</v>
      </c>
      <c r="AO1097" t="s">
        <v>118</v>
      </c>
      <c r="AP1097">
        <v>26</v>
      </c>
      <c r="AQ1097">
        <v>120</v>
      </c>
      <c r="AR1097">
        <v>-64</v>
      </c>
      <c r="AZ1097">
        <v>1200</v>
      </c>
      <c r="BA1097">
        <v>1</v>
      </c>
      <c r="BB1097" t="str">
        <f t="shared" si="51"/>
        <v xml:space="preserve">N8080G  </v>
      </c>
      <c r="BC1097">
        <v>1</v>
      </c>
      <c r="BE1097">
        <v>0</v>
      </c>
      <c r="BF1097">
        <v>0</v>
      </c>
      <c r="BG1097">
        <v>0</v>
      </c>
      <c r="BH1097">
        <v>1675</v>
      </c>
      <c r="BI1097">
        <v>1</v>
      </c>
      <c r="BJ1097">
        <v>1</v>
      </c>
      <c r="BK1097">
        <v>1</v>
      </c>
      <c r="BL1097">
        <v>0</v>
      </c>
      <c r="BO1097">
        <v>0</v>
      </c>
      <c r="BP1097">
        <v>0</v>
      </c>
      <c r="BW1097" t="str">
        <f>"20:18:08.771"</f>
        <v>20:18:08.771</v>
      </c>
      <c r="BZ1097">
        <v>0</v>
      </c>
      <c r="CA1097">
        <v>2016</v>
      </c>
      <c r="CB1097">
        <v>224</v>
      </c>
      <c r="CD1097">
        <v>1</v>
      </c>
      <c r="CE1097">
        <v>0</v>
      </c>
      <c r="CF1097">
        <v>0</v>
      </c>
      <c r="CG1097">
        <v>1</v>
      </c>
      <c r="CH1097">
        <v>0</v>
      </c>
      <c r="CI1097">
        <v>0</v>
      </c>
      <c r="CJ1097">
        <v>0</v>
      </c>
      <c r="CK1097">
        <v>2</v>
      </c>
      <c r="CL1097">
        <v>0</v>
      </c>
      <c r="CM1097">
        <v>2</v>
      </c>
      <c r="CN1097">
        <v>0</v>
      </c>
      <c r="CO1097">
        <v>6</v>
      </c>
      <c r="CP1097" t="s">
        <v>119</v>
      </c>
      <c r="CQ1097">
        <v>180</v>
      </c>
      <c r="CR1097">
        <v>1</v>
      </c>
      <c r="CW1097">
        <v>10632187</v>
      </c>
      <c r="CY1097">
        <v>1</v>
      </c>
      <c r="CZ1097">
        <v>0</v>
      </c>
      <c r="DA1097">
        <v>1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</row>
    <row r="1098" spans="1:113" x14ac:dyDescent="0.3">
      <c r="A1098" t="str">
        <f>"02/08/2021 20:18:06.477"</f>
        <v>02/08/2021 20:18:06.477</v>
      </c>
      <c r="C1098" t="str">
        <f t="shared" si="53"/>
        <v>FFDFD7C0</v>
      </c>
      <c r="D1098" t="s">
        <v>124</v>
      </c>
      <c r="E1098">
        <v>12</v>
      </c>
      <c r="F1098">
        <v>1012</v>
      </c>
      <c r="G1098" t="s">
        <v>675</v>
      </c>
      <c r="J1098" t="s">
        <v>125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>"20:18:08.766"</f>
        <v>20:18:08.766</v>
      </c>
      <c r="T1098" t="str">
        <f>"20:18:08.266"</f>
        <v>20:18:08.266</v>
      </c>
      <c r="U1098" t="str">
        <f t="shared" si="52"/>
        <v>AB01F4</v>
      </c>
      <c r="V1098">
        <v>0</v>
      </c>
      <c r="W1098">
        <v>0</v>
      </c>
      <c r="X1098">
        <v>2</v>
      </c>
      <c r="Z1098">
        <v>0</v>
      </c>
      <c r="AA1098">
        <v>9</v>
      </c>
      <c r="AB1098">
        <v>3</v>
      </c>
      <c r="AC1098">
        <v>0</v>
      </c>
      <c r="AD1098">
        <v>10</v>
      </c>
      <c r="AE1098">
        <v>0</v>
      </c>
      <c r="AF1098">
        <v>3</v>
      </c>
      <c r="AG1098">
        <v>2</v>
      </c>
      <c r="AH1098">
        <v>0</v>
      </c>
      <c r="AI1098" t="s">
        <v>821</v>
      </c>
      <c r="AJ1098">
        <v>39.727162999999997</v>
      </c>
      <c r="AK1098" t="s">
        <v>822</v>
      </c>
      <c r="AL1098">
        <v>-92.525783000000004</v>
      </c>
      <c r="AM1098">
        <v>100</v>
      </c>
      <c r="AN1098">
        <v>1700</v>
      </c>
      <c r="AO1098" t="s">
        <v>118</v>
      </c>
      <c r="AP1098">
        <v>26</v>
      </c>
      <c r="AQ1098">
        <v>120</v>
      </c>
      <c r="AR1098">
        <v>-64</v>
      </c>
      <c r="AZ1098">
        <v>1200</v>
      </c>
      <c r="BA1098">
        <v>1</v>
      </c>
      <c r="BB1098" t="str">
        <f t="shared" si="51"/>
        <v xml:space="preserve">N8080G  </v>
      </c>
      <c r="BC1098">
        <v>1</v>
      </c>
      <c r="BE1098">
        <v>0</v>
      </c>
      <c r="BF1098">
        <v>0</v>
      </c>
      <c r="BG1098">
        <v>0</v>
      </c>
      <c r="BH1098">
        <v>1675</v>
      </c>
      <c r="BI1098">
        <v>1</v>
      </c>
      <c r="BJ1098">
        <v>1</v>
      </c>
      <c r="BK1098">
        <v>1</v>
      </c>
      <c r="BL1098">
        <v>0</v>
      </c>
      <c r="BO1098">
        <v>0</v>
      </c>
      <c r="BP1098">
        <v>0</v>
      </c>
      <c r="BW1098" t="str">
        <f>"20:18:08.771"</f>
        <v>20:18:08.771</v>
      </c>
      <c r="BZ1098">
        <v>0</v>
      </c>
      <c r="CA1098">
        <v>2016</v>
      </c>
      <c r="CB1098">
        <v>224</v>
      </c>
      <c r="CD1098">
        <v>1</v>
      </c>
      <c r="CE1098">
        <v>0</v>
      </c>
      <c r="CF1098">
        <v>0</v>
      </c>
      <c r="CG1098">
        <v>1</v>
      </c>
      <c r="CH1098">
        <v>0</v>
      </c>
      <c r="CI1098">
        <v>0</v>
      </c>
      <c r="CJ1098">
        <v>0</v>
      </c>
      <c r="CK1098">
        <v>2</v>
      </c>
      <c r="CL1098">
        <v>0</v>
      </c>
      <c r="CM1098">
        <v>2</v>
      </c>
      <c r="CN1098">
        <v>0</v>
      </c>
      <c r="CO1098">
        <v>6</v>
      </c>
      <c r="CP1098" t="s">
        <v>119</v>
      </c>
      <c r="CQ1098">
        <v>180</v>
      </c>
      <c r="CR1098">
        <v>1</v>
      </c>
      <c r="CW1098">
        <v>10632187</v>
      </c>
      <c r="CY1098">
        <v>1</v>
      </c>
      <c r="CZ1098">
        <v>0</v>
      </c>
      <c r="DA1098">
        <v>1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0</v>
      </c>
      <c r="DI1098">
        <v>0</v>
      </c>
    </row>
    <row r="1099" spans="1:113" x14ac:dyDescent="0.3">
      <c r="A1099" t="str">
        <f>"02/08/2021 20:18:08.064"</f>
        <v>02/08/2021 20:18:08.064</v>
      </c>
      <c r="C1099" t="str">
        <f t="shared" si="53"/>
        <v>FFDFD7C0</v>
      </c>
      <c r="D1099" t="s">
        <v>124</v>
      </c>
      <c r="E1099">
        <v>12</v>
      </c>
      <c r="F1099">
        <v>1012</v>
      </c>
      <c r="G1099" t="s">
        <v>675</v>
      </c>
      <c r="J1099" t="s">
        <v>125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>"20:18:10.383"</f>
        <v>20:18:10.383</v>
      </c>
      <c r="T1099" t="str">
        <f>"20:18:09.983"</f>
        <v>20:18:09.983</v>
      </c>
      <c r="U1099" t="str">
        <f t="shared" si="52"/>
        <v>AB01F4</v>
      </c>
      <c r="V1099">
        <v>0</v>
      </c>
      <c r="W1099">
        <v>0</v>
      </c>
      <c r="X1099">
        <v>2</v>
      </c>
      <c r="Z1099">
        <v>0</v>
      </c>
      <c r="AA1099">
        <v>9</v>
      </c>
      <c r="AB1099">
        <v>3</v>
      </c>
      <c r="AC1099">
        <v>0</v>
      </c>
      <c r="AD1099">
        <v>10</v>
      </c>
      <c r="AE1099">
        <v>0</v>
      </c>
      <c r="AF1099">
        <v>3</v>
      </c>
      <c r="AG1099">
        <v>2</v>
      </c>
      <c r="AH1099">
        <v>0</v>
      </c>
      <c r="AI1099" t="s">
        <v>823</v>
      </c>
      <c r="AJ1099">
        <v>39.728022000000003</v>
      </c>
      <c r="AK1099" t="s">
        <v>824</v>
      </c>
      <c r="AL1099">
        <v>-92.525547000000003</v>
      </c>
      <c r="AM1099">
        <v>100</v>
      </c>
      <c r="AN1099">
        <v>1700</v>
      </c>
      <c r="AO1099" t="s">
        <v>118</v>
      </c>
      <c r="AP1099">
        <v>26</v>
      </c>
      <c r="AQ1099">
        <v>119</v>
      </c>
      <c r="AR1099">
        <v>0</v>
      </c>
      <c r="AZ1099">
        <v>1200</v>
      </c>
      <c r="BA1099">
        <v>1</v>
      </c>
      <c r="BB1099" t="str">
        <f t="shared" si="51"/>
        <v xml:space="preserve">N8080G  </v>
      </c>
      <c r="BC1099">
        <v>1</v>
      </c>
      <c r="BE1099">
        <v>0</v>
      </c>
      <c r="BF1099">
        <v>0</v>
      </c>
      <c r="BG1099">
        <v>0</v>
      </c>
      <c r="BH1099">
        <v>1675</v>
      </c>
      <c r="BI1099">
        <v>1</v>
      </c>
      <c r="BJ1099">
        <v>1</v>
      </c>
      <c r="BK1099">
        <v>1</v>
      </c>
      <c r="BL1099">
        <v>0</v>
      </c>
      <c r="BO1099">
        <v>0</v>
      </c>
      <c r="BP1099">
        <v>0</v>
      </c>
      <c r="BW1099" t="str">
        <f>"20:18:10.387"</f>
        <v>20:18:10.387</v>
      </c>
      <c r="BZ1099">
        <v>0</v>
      </c>
      <c r="CA1099">
        <v>2016</v>
      </c>
      <c r="CB1099">
        <v>224</v>
      </c>
      <c r="CD1099">
        <v>1</v>
      </c>
      <c r="CE1099">
        <v>0</v>
      </c>
      <c r="CF1099">
        <v>0</v>
      </c>
      <c r="CG1099">
        <v>1</v>
      </c>
      <c r="CH1099">
        <v>0</v>
      </c>
      <c r="CI1099">
        <v>0</v>
      </c>
      <c r="CJ1099">
        <v>0</v>
      </c>
      <c r="CK1099">
        <v>2</v>
      </c>
      <c r="CL1099">
        <v>0</v>
      </c>
      <c r="CM1099">
        <v>2</v>
      </c>
      <c r="CN1099">
        <v>0</v>
      </c>
      <c r="CO1099">
        <v>7</v>
      </c>
      <c r="CP1099" t="s">
        <v>119</v>
      </c>
      <c r="CQ1099">
        <v>180</v>
      </c>
      <c r="CR1099">
        <v>2</v>
      </c>
      <c r="CW1099">
        <v>8074354</v>
      </c>
      <c r="CY1099">
        <v>1</v>
      </c>
      <c r="CZ1099">
        <v>0</v>
      </c>
      <c r="DA1099">
        <v>0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</row>
    <row r="1100" spans="1:113" x14ac:dyDescent="0.3">
      <c r="A1100" t="str">
        <f>"02/08/2021 20:18:08.064"</f>
        <v>02/08/2021 20:18:08.064</v>
      </c>
      <c r="C1100" t="str">
        <f t="shared" si="53"/>
        <v>FFDFD7C0</v>
      </c>
      <c r="D1100" t="s">
        <v>124</v>
      </c>
      <c r="E1100">
        <v>11</v>
      </c>
      <c r="F1100">
        <v>1011</v>
      </c>
      <c r="G1100" t="s">
        <v>590</v>
      </c>
      <c r="J1100" t="s">
        <v>125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>"20:18:10.383"</f>
        <v>20:18:10.383</v>
      </c>
      <c r="T1100" t="str">
        <f>"20:18:09.983"</f>
        <v>20:18:09.983</v>
      </c>
      <c r="U1100" t="str">
        <f t="shared" si="52"/>
        <v>AB01F4</v>
      </c>
      <c r="V1100">
        <v>0</v>
      </c>
      <c r="W1100">
        <v>0</v>
      </c>
      <c r="X1100">
        <v>2</v>
      </c>
      <c r="Z1100">
        <v>0</v>
      </c>
      <c r="AA1100">
        <v>9</v>
      </c>
      <c r="AB1100">
        <v>3</v>
      </c>
      <c r="AC1100">
        <v>0</v>
      </c>
      <c r="AD1100">
        <v>10</v>
      </c>
      <c r="AE1100">
        <v>0</v>
      </c>
      <c r="AF1100">
        <v>3</v>
      </c>
      <c r="AG1100">
        <v>2</v>
      </c>
      <c r="AH1100">
        <v>0</v>
      </c>
      <c r="AI1100" t="s">
        <v>823</v>
      </c>
      <c r="AJ1100">
        <v>39.728022000000003</v>
      </c>
      <c r="AK1100" t="s">
        <v>824</v>
      </c>
      <c r="AL1100">
        <v>-92.525547000000003</v>
      </c>
      <c r="AM1100">
        <v>100</v>
      </c>
      <c r="AN1100">
        <v>1700</v>
      </c>
      <c r="AO1100" t="s">
        <v>118</v>
      </c>
      <c r="AP1100">
        <v>26</v>
      </c>
      <c r="AQ1100">
        <v>119</v>
      </c>
      <c r="AR1100">
        <v>0</v>
      </c>
      <c r="AZ1100">
        <v>1200</v>
      </c>
      <c r="BA1100">
        <v>1</v>
      </c>
      <c r="BB1100" t="str">
        <f t="shared" si="51"/>
        <v xml:space="preserve">N8080G  </v>
      </c>
      <c r="BC1100">
        <v>1</v>
      </c>
      <c r="BE1100">
        <v>0</v>
      </c>
      <c r="BF1100">
        <v>0</v>
      </c>
      <c r="BG1100">
        <v>0</v>
      </c>
      <c r="BH1100">
        <v>1675</v>
      </c>
      <c r="BI1100">
        <v>1</v>
      </c>
      <c r="BJ1100">
        <v>1</v>
      </c>
      <c r="BK1100">
        <v>1</v>
      </c>
      <c r="BL1100">
        <v>0</v>
      </c>
      <c r="BO1100">
        <v>0</v>
      </c>
      <c r="BP1100">
        <v>0</v>
      </c>
      <c r="BW1100" t="str">
        <f>"20:18:10.387"</f>
        <v>20:18:10.387</v>
      </c>
      <c r="BZ1100">
        <v>0</v>
      </c>
      <c r="CA1100">
        <v>2016</v>
      </c>
      <c r="CB1100">
        <v>224</v>
      </c>
      <c r="CD1100">
        <v>1</v>
      </c>
      <c r="CE1100">
        <v>0</v>
      </c>
      <c r="CF1100">
        <v>0</v>
      </c>
      <c r="CG1100">
        <v>1</v>
      </c>
      <c r="CH1100">
        <v>0</v>
      </c>
      <c r="CI1100">
        <v>0</v>
      </c>
      <c r="CJ1100">
        <v>0</v>
      </c>
      <c r="CK1100">
        <v>2</v>
      </c>
      <c r="CL1100">
        <v>0</v>
      </c>
      <c r="CM1100">
        <v>2</v>
      </c>
      <c r="CN1100">
        <v>0</v>
      </c>
      <c r="CO1100">
        <v>7</v>
      </c>
      <c r="CP1100" t="s">
        <v>119</v>
      </c>
      <c r="CQ1100">
        <v>180</v>
      </c>
      <c r="CR1100">
        <v>2</v>
      </c>
      <c r="CW1100">
        <v>8074354</v>
      </c>
      <c r="CY1100">
        <v>1</v>
      </c>
      <c r="CZ1100">
        <v>0</v>
      </c>
      <c r="DA1100">
        <v>1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</row>
    <row r="1101" spans="1:113" x14ac:dyDescent="0.3">
      <c r="A1101" t="str">
        <f>"02/08/2021 20:18:08.064"</f>
        <v>02/08/2021 20:18:08.064</v>
      </c>
      <c r="C1101" t="str">
        <f t="shared" si="53"/>
        <v>FFDFD7C0</v>
      </c>
      <c r="D1101" t="s">
        <v>113</v>
      </c>
      <c r="E1101">
        <v>6</v>
      </c>
      <c r="H1101">
        <v>165</v>
      </c>
      <c r="I1101" t="s">
        <v>114</v>
      </c>
      <c r="J1101" t="s">
        <v>115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>"20:18:10.383"</f>
        <v>20:18:10.383</v>
      </c>
      <c r="T1101" t="str">
        <f>"20:18:09.983"</f>
        <v>20:18:09.983</v>
      </c>
      <c r="U1101" t="str">
        <f t="shared" si="52"/>
        <v>AB01F4</v>
      </c>
      <c r="V1101">
        <v>0</v>
      </c>
      <c r="W1101">
        <v>0</v>
      </c>
      <c r="X1101">
        <v>2</v>
      </c>
      <c r="Z1101">
        <v>0</v>
      </c>
      <c r="AA1101">
        <v>9</v>
      </c>
      <c r="AB1101">
        <v>3</v>
      </c>
      <c r="AC1101">
        <v>0</v>
      </c>
      <c r="AD1101">
        <v>10</v>
      </c>
      <c r="AE1101">
        <v>0</v>
      </c>
      <c r="AF1101">
        <v>3</v>
      </c>
      <c r="AG1101">
        <v>2</v>
      </c>
      <c r="AH1101">
        <v>0</v>
      </c>
      <c r="AI1101" t="s">
        <v>823</v>
      </c>
      <c r="AJ1101">
        <v>39.728022000000003</v>
      </c>
      <c r="AK1101" t="s">
        <v>824</v>
      </c>
      <c r="AL1101">
        <v>-92.525547000000003</v>
      </c>
      <c r="AM1101">
        <v>100</v>
      </c>
      <c r="AN1101">
        <v>1700</v>
      </c>
      <c r="AO1101" t="s">
        <v>118</v>
      </c>
      <c r="AP1101">
        <v>26</v>
      </c>
      <c r="AQ1101">
        <v>119</v>
      </c>
      <c r="AR1101">
        <v>0</v>
      </c>
      <c r="AZ1101">
        <v>1200</v>
      </c>
      <c r="BA1101">
        <v>1</v>
      </c>
      <c r="BB1101" t="str">
        <f t="shared" si="51"/>
        <v xml:space="preserve">N8080G  </v>
      </c>
      <c r="BC1101">
        <v>1</v>
      </c>
      <c r="BE1101">
        <v>0</v>
      </c>
      <c r="BF1101">
        <v>0</v>
      </c>
      <c r="BG1101">
        <v>0</v>
      </c>
      <c r="BH1101">
        <v>1675</v>
      </c>
      <c r="BI1101">
        <v>1</v>
      </c>
      <c r="BJ1101">
        <v>1</v>
      </c>
      <c r="BK1101">
        <v>1</v>
      </c>
      <c r="BL1101">
        <v>0</v>
      </c>
      <c r="BO1101">
        <v>0</v>
      </c>
      <c r="BP1101">
        <v>0</v>
      </c>
      <c r="BW1101" t="str">
        <f>"20:18:10.387"</f>
        <v>20:18:10.387</v>
      </c>
      <c r="BZ1101">
        <v>0</v>
      </c>
      <c r="CA1101">
        <v>2016</v>
      </c>
      <c r="CB1101">
        <v>224</v>
      </c>
      <c r="CD1101">
        <v>1</v>
      </c>
      <c r="CE1101">
        <v>0</v>
      </c>
      <c r="CF1101">
        <v>0</v>
      </c>
      <c r="CG1101">
        <v>1</v>
      </c>
      <c r="CH1101">
        <v>0</v>
      </c>
      <c r="CI1101">
        <v>0</v>
      </c>
      <c r="CJ1101">
        <v>0</v>
      </c>
      <c r="CK1101">
        <v>2</v>
      </c>
      <c r="CL1101">
        <v>0</v>
      </c>
      <c r="CM1101">
        <v>2</v>
      </c>
      <c r="CN1101">
        <v>0</v>
      </c>
      <c r="CO1101">
        <v>7</v>
      </c>
      <c r="CP1101" t="s">
        <v>119</v>
      </c>
      <c r="CQ1101">
        <v>180</v>
      </c>
      <c r="CR1101">
        <v>2</v>
      </c>
      <c r="CW1101">
        <v>8074354</v>
      </c>
      <c r="CY1101">
        <v>1</v>
      </c>
      <c r="CZ1101">
        <v>0</v>
      </c>
      <c r="DA1101">
        <v>1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</row>
    <row r="1102" spans="1:113" x14ac:dyDescent="0.3">
      <c r="A1102" t="str">
        <f>"02/08/2021 20:18:08.064"</f>
        <v>02/08/2021 20:18:08.064</v>
      </c>
      <c r="C1102" t="str">
        <f t="shared" si="53"/>
        <v>FFDFD7C0</v>
      </c>
      <c r="D1102" t="s">
        <v>124</v>
      </c>
      <c r="E1102">
        <v>13</v>
      </c>
      <c r="F1102">
        <v>1013</v>
      </c>
      <c r="G1102" t="s">
        <v>114</v>
      </c>
      <c r="J1102" t="s">
        <v>125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>"20:18:10.383"</f>
        <v>20:18:10.383</v>
      </c>
      <c r="T1102" t="str">
        <f>"20:18:09.983"</f>
        <v>20:18:09.983</v>
      </c>
      <c r="U1102" t="str">
        <f t="shared" si="52"/>
        <v>AB01F4</v>
      </c>
      <c r="V1102">
        <v>0</v>
      </c>
      <c r="W1102">
        <v>0</v>
      </c>
      <c r="X1102">
        <v>2</v>
      </c>
      <c r="Z1102">
        <v>0</v>
      </c>
      <c r="AA1102">
        <v>9</v>
      </c>
      <c r="AB1102">
        <v>3</v>
      </c>
      <c r="AC1102">
        <v>0</v>
      </c>
      <c r="AD1102">
        <v>10</v>
      </c>
      <c r="AE1102">
        <v>0</v>
      </c>
      <c r="AF1102">
        <v>3</v>
      </c>
      <c r="AG1102">
        <v>2</v>
      </c>
      <c r="AH1102">
        <v>0</v>
      </c>
      <c r="AI1102" t="s">
        <v>823</v>
      </c>
      <c r="AJ1102">
        <v>39.728022000000003</v>
      </c>
      <c r="AK1102" t="s">
        <v>824</v>
      </c>
      <c r="AL1102">
        <v>-92.525547000000003</v>
      </c>
      <c r="AM1102">
        <v>100</v>
      </c>
      <c r="AN1102">
        <v>1700</v>
      </c>
      <c r="AO1102" t="s">
        <v>118</v>
      </c>
      <c r="AP1102">
        <v>26</v>
      </c>
      <c r="AQ1102">
        <v>119</v>
      </c>
      <c r="AR1102">
        <v>0</v>
      </c>
      <c r="AZ1102">
        <v>1200</v>
      </c>
      <c r="BA1102">
        <v>1</v>
      </c>
      <c r="BB1102" t="str">
        <f t="shared" si="51"/>
        <v xml:space="preserve">N8080G  </v>
      </c>
      <c r="BC1102">
        <v>1</v>
      </c>
      <c r="BE1102">
        <v>0</v>
      </c>
      <c r="BF1102">
        <v>0</v>
      </c>
      <c r="BG1102">
        <v>0</v>
      </c>
      <c r="BH1102">
        <v>1675</v>
      </c>
      <c r="BI1102">
        <v>1</v>
      </c>
      <c r="BJ1102">
        <v>1</v>
      </c>
      <c r="BK1102">
        <v>1</v>
      </c>
      <c r="BL1102">
        <v>0</v>
      </c>
      <c r="BO1102">
        <v>0</v>
      </c>
      <c r="BP1102">
        <v>0</v>
      </c>
      <c r="BW1102" t="str">
        <f>"20:18:10.387"</f>
        <v>20:18:10.387</v>
      </c>
      <c r="BZ1102">
        <v>0</v>
      </c>
      <c r="CA1102">
        <v>2016</v>
      </c>
      <c r="CB1102">
        <v>224</v>
      </c>
      <c r="CD1102">
        <v>1</v>
      </c>
      <c r="CE1102">
        <v>0</v>
      </c>
      <c r="CF1102">
        <v>0</v>
      </c>
      <c r="CG1102">
        <v>1</v>
      </c>
      <c r="CH1102">
        <v>0</v>
      </c>
      <c r="CI1102">
        <v>0</v>
      </c>
      <c r="CJ1102">
        <v>0</v>
      </c>
      <c r="CK1102">
        <v>2</v>
      </c>
      <c r="CL1102">
        <v>0</v>
      </c>
      <c r="CM1102">
        <v>2</v>
      </c>
      <c r="CN1102">
        <v>0</v>
      </c>
      <c r="CO1102">
        <v>7</v>
      </c>
      <c r="CP1102" t="s">
        <v>119</v>
      </c>
      <c r="CQ1102">
        <v>180</v>
      </c>
      <c r="CR1102">
        <v>2</v>
      </c>
      <c r="CW1102">
        <v>8074354</v>
      </c>
      <c r="CY1102">
        <v>1</v>
      </c>
      <c r="CZ1102">
        <v>0</v>
      </c>
      <c r="DA1102">
        <v>1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</row>
    <row r="1103" spans="1:113" x14ac:dyDescent="0.3">
      <c r="A1103" t="str">
        <f>"02/08/2021 20:18:09.523"</f>
        <v>02/08/2021 20:18:09.523</v>
      </c>
      <c r="C1103" t="str">
        <f t="shared" si="53"/>
        <v>FFDFD7C0</v>
      </c>
      <c r="D1103" t="s">
        <v>124</v>
      </c>
      <c r="E1103">
        <v>12</v>
      </c>
      <c r="F1103">
        <v>1012</v>
      </c>
      <c r="G1103" t="s">
        <v>675</v>
      </c>
      <c r="J1103" t="s">
        <v>125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>"20:18:11.844"</f>
        <v>20:18:11.844</v>
      </c>
      <c r="T1103" t="str">
        <f>"20:18:11.444"</f>
        <v>20:18:11.444</v>
      </c>
      <c r="U1103" t="str">
        <f t="shared" si="52"/>
        <v>AB01F4</v>
      </c>
      <c r="V1103">
        <v>0</v>
      </c>
      <c r="W1103">
        <v>0</v>
      </c>
      <c r="X1103">
        <v>2</v>
      </c>
      <c r="Z1103">
        <v>0</v>
      </c>
      <c r="AA1103">
        <v>9</v>
      </c>
      <c r="AB1103">
        <v>3</v>
      </c>
      <c r="AC1103">
        <v>0</v>
      </c>
      <c r="AD1103">
        <v>10</v>
      </c>
      <c r="AE1103">
        <v>0</v>
      </c>
      <c r="AF1103">
        <v>3</v>
      </c>
      <c r="AG1103">
        <v>2</v>
      </c>
      <c r="AH1103">
        <v>0</v>
      </c>
      <c r="AI1103" t="s">
        <v>825</v>
      </c>
      <c r="AJ1103">
        <v>39.728836999999999</v>
      </c>
      <c r="AK1103" t="s">
        <v>826</v>
      </c>
      <c r="AL1103">
        <v>-92.525332000000006</v>
      </c>
      <c r="AM1103">
        <v>100</v>
      </c>
      <c r="AN1103">
        <v>1700</v>
      </c>
      <c r="AO1103" t="s">
        <v>118</v>
      </c>
      <c r="AP1103">
        <v>26</v>
      </c>
      <c r="AQ1103">
        <v>119</v>
      </c>
      <c r="AR1103">
        <v>0</v>
      </c>
      <c r="AZ1103">
        <v>1200</v>
      </c>
      <c r="BA1103">
        <v>1</v>
      </c>
      <c r="BB1103" t="str">
        <f t="shared" ref="BB1103:BB1166" si="54">"N8080G  "</f>
        <v xml:space="preserve">N8080G  </v>
      </c>
      <c r="BC1103">
        <v>1</v>
      </c>
      <c r="BE1103">
        <v>0</v>
      </c>
      <c r="BF1103">
        <v>0</v>
      </c>
      <c r="BG1103">
        <v>0</v>
      </c>
      <c r="BH1103">
        <v>1675</v>
      </c>
      <c r="BI1103">
        <v>1</v>
      </c>
      <c r="BJ1103">
        <v>1</v>
      </c>
      <c r="BK1103">
        <v>1</v>
      </c>
      <c r="BL1103">
        <v>0</v>
      </c>
      <c r="BO1103">
        <v>0</v>
      </c>
      <c r="BP1103">
        <v>0</v>
      </c>
      <c r="BW1103" t="str">
        <f>"20:18:11.845"</f>
        <v>20:18:11.845</v>
      </c>
      <c r="BZ1103">
        <v>0</v>
      </c>
      <c r="CA1103">
        <v>2016</v>
      </c>
      <c r="CB1103">
        <v>224</v>
      </c>
      <c r="CD1103">
        <v>1</v>
      </c>
      <c r="CE1103">
        <v>0</v>
      </c>
      <c r="CF1103">
        <v>0</v>
      </c>
      <c r="CG1103">
        <v>1</v>
      </c>
      <c r="CH1103">
        <v>0</v>
      </c>
      <c r="CI1103">
        <v>0</v>
      </c>
      <c r="CJ1103">
        <v>0</v>
      </c>
      <c r="CK1103">
        <v>2</v>
      </c>
      <c r="CL1103">
        <v>0</v>
      </c>
      <c r="CM1103">
        <v>2</v>
      </c>
      <c r="CN1103">
        <v>0</v>
      </c>
      <c r="CO1103">
        <v>6</v>
      </c>
      <c r="CP1103" t="s">
        <v>119</v>
      </c>
      <c r="CQ1103">
        <v>180</v>
      </c>
      <c r="CR1103">
        <v>2</v>
      </c>
      <c r="CW1103">
        <v>8075517</v>
      </c>
      <c r="CY1103">
        <v>1</v>
      </c>
      <c r="CZ1103">
        <v>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</row>
    <row r="1104" spans="1:113" x14ac:dyDescent="0.3">
      <c r="A1104" t="str">
        <f>"02/08/2021 20:18:09.523"</f>
        <v>02/08/2021 20:18:09.523</v>
      </c>
      <c r="C1104" t="str">
        <f t="shared" si="53"/>
        <v>FFDFD7C0</v>
      </c>
      <c r="D1104" t="s">
        <v>124</v>
      </c>
      <c r="E1104">
        <v>11</v>
      </c>
      <c r="F1104">
        <v>1011</v>
      </c>
      <c r="G1104" t="s">
        <v>590</v>
      </c>
      <c r="J1104" t="s">
        <v>125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>"20:18:11.844"</f>
        <v>20:18:11.844</v>
      </c>
      <c r="T1104" t="str">
        <f>"20:18:11.444"</f>
        <v>20:18:11.444</v>
      </c>
      <c r="U1104" t="str">
        <f t="shared" si="52"/>
        <v>AB01F4</v>
      </c>
      <c r="V1104">
        <v>0</v>
      </c>
      <c r="W1104">
        <v>0</v>
      </c>
      <c r="X1104">
        <v>2</v>
      </c>
      <c r="Z1104">
        <v>0</v>
      </c>
      <c r="AA1104">
        <v>9</v>
      </c>
      <c r="AB1104">
        <v>3</v>
      </c>
      <c r="AC1104">
        <v>0</v>
      </c>
      <c r="AD1104">
        <v>10</v>
      </c>
      <c r="AE1104">
        <v>0</v>
      </c>
      <c r="AF1104">
        <v>3</v>
      </c>
      <c r="AG1104">
        <v>2</v>
      </c>
      <c r="AH1104">
        <v>0</v>
      </c>
      <c r="AI1104" t="s">
        <v>825</v>
      </c>
      <c r="AJ1104">
        <v>39.728836999999999</v>
      </c>
      <c r="AK1104" t="s">
        <v>826</v>
      </c>
      <c r="AL1104">
        <v>-92.525332000000006</v>
      </c>
      <c r="AM1104">
        <v>100</v>
      </c>
      <c r="AN1104">
        <v>1700</v>
      </c>
      <c r="AO1104" t="s">
        <v>118</v>
      </c>
      <c r="AP1104">
        <v>26</v>
      </c>
      <c r="AQ1104">
        <v>119</v>
      </c>
      <c r="AR1104">
        <v>0</v>
      </c>
      <c r="AZ1104">
        <v>1200</v>
      </c>
      <c r="BA1104">
        <v>1</v>
      </c>
      <c r="BB1104" t="str">
        <f t="shared" si="54"/>
        <v xml:space="preserve">N8080G  </v>
      </c>
      <c r="BC1104">
        <v>1</v>
      </c>
      <c r="BE1104">
        <v>0</v>
      </c>
      <c r="BF1104">
        <v>0</v>
      </c>
      <c r="BG1104">
        <v>0</v>
      </c>
      <c r="BH1104">
        <v>1675</v>
      </c>
      <c r="BI1104">
        <v>1</v>
      </c>
      <c r="BJ1104">
        <v>1</v>
      </c>
      <c r="BK1104">
        <v>1</v>
      </c>
      <c r="BL1104">
        <v>0</v>
      </c>
      <c r="BO1104">
        <v>0</v>
      </c>
      <c r="BP1104">
        <v>0</v>
      </c>
      <c r="BW1104" t="str">
        <f>"20:18:11.845"</f>
        <v>20:18:11.845</v>
      </c>
      <c r="BZ1104">
        <v>0</v>
      </c>
      <c r="CA1104">
        <v>2016</v>
      </c>
      <c r="CB1104">
        <v>224</v>
      </c>
      <c r="CD1104">
        <v>1</v>
      </c>
      <c r="CE1104">
        <v>0</v>
      </c>
      <c r="CF1104">
        <v>0</v>
      </c>
      <c r="CG1104">
        <v>1</v>
      </c>
      <c r="CH1104">
        <v>0</v>
      </c>
      <c r="CI1104">
        <v>0</v>
      </c>
      <c r="CJ1104">
        <v>0</v>
      </c>
      <c r="CK1104">
        <v>2</v>
      </c>
      <c r="CL1104">
        <v>0</v>
      </c>
      <c r="CM1104">
        <v>2</v>
      </c>
      <c r="CN1104">
        <v>0</v>
      </c>
      <c r="CO1104">
        <v>6</v>
      </c>
      <c r="CP1104" t="s">
        <v>119</v>
      </c>
      <c r="CQ1104">
        <v>180</v>
      </c>
      <c r="CR1104">
        <v>2</v>
      </c>
      <c r="CW1104">
        <v>8075517</v>
      </c>
      <c r="CY1104">
        <v>1</v>
      </c>
      <c r="CZ1104">
        <v>0</v>
      </c>
      <c r="DA1104">
        <v>1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</row>
    <row r="1105" spans="1:113" x14ac:dyDescent="0.3">
      <c r="A1105" t="str">
        <f>"02/08/2021 20:18:09.523"</f>
        <v>02/08/2021 20:18:09.523</v>
      </c>
      <c r="C1105" t="str">
        <f t="shared" si="53"/>
        <v>FFDFD7C0</v>
      </c>
      <c r="D1105" t="s">
        <v>113</v>
      </c>
      <c r="E1105">
        <v>6</v>
      </c>
      <c r="H1105">
        <v>165</v>
      </c>
      <c r="I1105" t="s">
        <v>114</v>
      </c>
      <c r="J1105" t="s">
        <v>115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>"20:18:11.844"</f>
        <v>20:18:11.844</v>
      </c>
      <c r="T1105" t="str">
        <f>"20:18:11.444"</f>
        <v>20:18:11.444</v>
      </c>
      <c r="U1105" t="str">
        <f t="shared" si="52"/>
        <v>AB01F4</v>
      </c>
      <c r="V1105">
        <v>0</v>
      </c>
      <c r="W1105">
        <v>0</v>
      </c>
      <c r="X1105">
        <v>2</v>
      </c>
      <c r="Z1105">
        <v>0</v>
      </c>
      <c r="AA1105">
        <v>9</v>
      </c>
      <c r="AB1105">
        <v>3</v>
      </c>
      <c r="AC1105">
        <v>0</v>
      </c>
      <c r="AD1105">
        <v>10</v>
      </c>
      <c r="AE1105">
        <v>0</v>
      </c>
      <c r="AF1105">
        <v>3</v>
      </c>
      <c r="AG1105">
        <v>2</v>
      </c>
      <c r="AH1105">
        <v>0</v>
      </c>
      <c r="AI1105" t="s">
        <v>825</v>
      </c>
      <c r="AJ1105">
        <v>39.728836999999999</v>
      </c>
      <c r="AK1105" t="s">
        <v>826</v>
      </c>
      <c r="AL1105">
        <v>-92.525332000000006</v>
      </c>
      <c r="AM1105">
        <v>100</v>
      </c>
      <c r="AN1105">
        <v>1700</v>
      </c>
      <c r="AO1105" t="s">
        <v>118</v>
      </c>
      <c r="AP1105">
        <v>26</v>
      </c>
      <c r="AQ1105">
        <v>119</v>
      </c>
      <c r="AR1105">
        <v>0</v>
      </c>
      <c r="AZ1105">
        <v>1200</v>
      </c>
      <c r="BA1105">
        <v>1</v>
      </c>
      <c r="BB1105" t="str">
        <f t="shared" si="54"/>
        <v xml:space="preserve">N8080G  </v>
      </c>
      <c r="BC1105">
        <v>1</v>
      </c>
      <c r="BE1105">
        <v>0</v>
      </c>
      <c r="BF1105">
        <v>0</v>
      </c>
      <c r="BG1105">
        <v>0</v>
      </c>
      <c r="BH1105">
        <v>1675</v>
      </c>
      <c r="BI1105">
        <v>1</v>
      </c>
      <c r="BJ1105">
        <v>1</v>
      </c>
      <c r="BK1105">
        <v>1</v>
      </c>
      <c r="BL1105">
        <v>0</v>
      </c>
      <c r="BO1105">
        <v>0</v>
      </c>
      <c r="BP1105">
        <v>0</v>
      </c>
      <c r="BW1105" t="str">
        <f>"20:18:11.845"</f>
        <v>20:18:11.845</v>
      </c>
      <c r="BZ1105">
        <v>0</v>
      </c>
      <c r="CA1105">
        <v>2016</v>
      </c>
      <c r="CB1105">
        <v>224</v>
      </c>
      <c r="CD1105">
        <v>1</v>
      </c>
      <c r="CE1105">
        <v>0</v>
      </c>
      <c r="CF1105">
        <v>0</v>
      </c>
      <c r="CG1105">
        <v>1</v>
      </c>
      <c r="CH1105">
        <v>0</v>
      </c>
      <c r="CI1105">
        <v>0</v>
      </c>
      <c r="CJ1105">
        <v>0</v>
      </c>
      <c r="CK1105">
        <v>2</v>
      </c>
      <c r="CL1105">
        <v>0</v>
      </c>
      <c r="CM1105">
        <v>2</v>
      </c>
      <c r="CN1105">
        <v>0</v>
      </c>
      <c r="CO1105">
        <v>6</v>
      </c>
      <c r="CP1105" t="s">
        <v>119</v>
      </c>
      <c r="CQ1105">
        <v>180</v>
      </c>
      <c r="CR1105">
        <v>2</v>
      </c>
      <c r="CW1105">
        <v>8075517</v>
      </c>
      <c r="CY1105">
        <v>1</v>
      </c>
      <c r="CZ1105">
        <v>0</v>
      </c>
      <c r="DA1105">
        <v>1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</row>
    <row r="1106" spans="1:113" x14ac:dyDescent="0.3">
      <c r="A1106" t="str">
        <f>"02/08/2021 20:18:09.523"</f>
        <v>02/08/2021 20:18:09.523</v>
      </c>
      <c r="C1106" t="str">
        <f t="shared" si="53"/>
        <v>FFDFD7C0</v>
      </c>
      <c r="D1106" t="s">
        <v>124</v>
      </c>
      <c r="E1106">
        <v>13</v>
      </c>
      <c r="F1106">
        <v>1013</v>
      </c>
      <c r="G1106" t="s">
        <v>114</v>
      </c>
      <c r="J1106" t="s">
        <v>125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>"20:18:11.844"</f>
        <v>20:18:11.844</v>
      </c>
      <c r="T1106" t="str">
        <f>"20:18:11.444"</f>
        <v>20:18:11.444</v>
      </c>
      <c r="U1106" t="str">
        <f t="shared" si="52"/>
        <v>AB01F4</v>
      </c>
      <c r="V1106">
        <v>0</v>
      </c>
      <c r="W1106">
        <v>0</v>
      </c>
      <c r="X1106">
        <v>2</v>
      </c>
      <c r="Z1106">
        <v>0</v>
      </c>
      <c r="AA1106">
        <v>9</v>
      </c>
      <c r="AB1106">
        <v>3</v>
      </c>
      <c r="AC1106">
        <v>0</v>
      </c>
      <c r="AD1106">
        <v>10</v>
      </c>
      <c r="AE1106">
        <v>0</v>
      </c>
      <c r="AF1106">
        <v>3</v>
      </c>
      <c r="AG1106">
        <v>2</v>
      </c>
      <c r="AH1106">
        <v>0</v>
      </c>
      <c r="AI1106" t="s">
        <v>825</v>
      </c>
      <c r="AJ1106">
        <v>39.728836999999999</v>
      </c>
      <c r="AK1106" t="s">
        <v>826</v>
      </c>
      <c r="AL1106">
        <v>-92.525332000000006</v>
      </c>
      <c r="AM1106">
        <v>100</v>
      </c>
      <c r="AN1106">
        <v>1700</v>
      </c>
      <c r="AO1106" t="s">
        <v>118</v>
      </c>
      <c r="AP1106">
        <v>26</v>
      </c>
      <c r="AQ1106">
        <v>119</v>
      </c>
      <c r="AR1106">
        <v>0</v>
      </c>
      <c r="AZ1106">
        <v>1200</v>
      </c>
      <c r="BA1106">
        <v>1</v>
      </c>
      <c r="BB1106" t="str">
        <f t="shared" si="54"/>
        <v xml:space="preserve">N8080G  </v>
      </c>
      <c r="BC1106">
        <v>1</v>
      </c>
      <c r="BE1106">
        <v>0</v>
      </c>
      <c r="BF1106">
        <v>0</v>
      </c>
      <c r="BG1106">
        <v>0</v>
      </c>
      <c r="BH1106">
        <v>1675</v>
      </c>
      <c r="BI1106">
        <v>1</v>
      </c>
      <c r="BJ1106">
        <v>1</v>
      </c>
      <c r="BK1106">
        <v>1</v>
      </c>
      <c r="BL1106">
        <v>0</v>
      </c>
      <c r="BO1106">
        <v>0</v>
      </c>
      <c r="BP1106">
        <v>0</v>
      </c>
      <c r="BW1106" t="str">
        <f>"20:18:11.845"</f>
        <v>20:18:11.845</v>
      </c>
      <c r="BZ1106">
        <v>0</v>
      </c>
      <c r="CA1106">
        <v>2016</v>
      </c>
      <c r="CB1106">
        <v>224</v>
      </c>
      <c r="CD1106">
        <v>1</v>
      </c>
      <c r="CE1106">
        <v>0</v>
      </c>
      <c r="CF1106">
        <v>0</v>
      </c>
      <c r="CG1106">
        <v>1</v>
      </c>
      <c r="CH1106">
        <v>0</v>
      </c>
      <c r="CI1106">
        <v>0</v>
      </c>
      <c r="CJ1106">
        <v>0</v>
      </c>
      <c r="CK1106">
        <v>2</v>
      </c>
      <c r="CL1106">
        <v>0</v>
      </c>
      <c r="CM1106">
        <v>2</v>
      </c>
      <c r="CN1106">
        <v>0</v>
      </c>
      <c r="CO1106">
        <v>6</v>
      </c>
      <c r="CP1106" t="s">
        <v>119</v>
      </c>
      <c r="CQ1106">
        <v>180</v>
      </c>
      <c r="CR1106">
        <v>2</v>
      </c>
      <c r="CW1106">
        <v>8075517</v>
      </c>
      <c r="CY1106">
        <v>1</v>
      </c>
      <c r="CZ1106">
        <v>0</v>
      </c>
      <c r="DA1106">
        <v>1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</row>
    <row r="1107" spans="1:113" x14ac:dyDescent="0.3">
      <c r="A1107" t="str">
        <f>"02/08/2021 20:18:10.579"</f>
        <v>02/08/2021 20:18:10.579</v>
      </c>
      <c r="C1107" t="str">
        <f t="shared" si="53"/>
        <v>FFDFD7C0</v>
      </c>
      <c r="D1107" t="s">
        <v>124</v>
      </c>
      <c r="E1107">
        <v>12</v>
      </c>
      <c r="F1107">
        <v>1012</v>
      </c>
      <c r="G1107" t="s">
        <v>675</v>
      </c>
      <c r="J1107" t="s">
        <v>125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>"20:18:12.875"</f>
        <v>20:18:12.875</v>
      </c>
      <c r="T1107" t="str">
        <f>"20:18:12.475"</f>
        <v>20:18:12.475</v>
      </c>
      <c r="U1107" t="str">
        <f t="shared" si="52"/>
        <v>AB01F4</v>
      </c>
      <c r="V1107">
        <v>0</v>
      </c>
      <c r="W1107">
        <v>0</v>
      </c>
      <c r="X1107">
        <v>2</v>
      </c>
      <c r="Z1107">
        <v>0</v>
      </c>
      <c r="AA1107">
        <v>9</v>
      </c>
      <c r="AB1107">
        <v>3</v>
      </c>
      <c r="AC1107">
        <v>0</v>
      </c>
      <c r="AD1107">
        <v>10</v>
      </c>
      <c r="AE1107">
        <v>0</v>
      </c>
      <c r="AF1107">
        <v>3</v>
      </c>
      <c r="AG1107">
        <v>2</v>
      </c>
      <c r="AH1107">
        <v>0</v>
      </c>
      <c r="AI1107" t="s">
        <v>827</v>
      </c>
      <c r="AJ1107">
        <v>39.729394999999997</v>
      </c>
      <c r="AK1107" t="s">
        <v>828</v>
      </c>
      <c r="AL1107">
        <v>-92.525138999999996</v>
      </c>
      <c r="AM1107">
        <v>100</v>
      </c>
      <c r="AN1107">
        <v>1700</v>
      </c>
      <c r="AO1107" t="s">
        <v>118</v>
      </c>
      <c r="AP1107">
        <v>27</v>
      </c>
      <c r="AQ1107">
        <v>119</v>
      </c>
      <c r="AR1107">
        <v>0</v>
      </c>
      <c r="AZ1107">
        <v>1200</v>
      </c>
      <c r="BA1107">
        <v>1</v>
      </c>
      <c r="BB1107" t="str">
        <f t="shared" si="54"/>
        <v xml:space="preserve">N8080G  </v>
      </c>
      <c r="BC1107">
        <v>1</v>
      </c>
      <c r="BE1107">
        <v>0</v>
      </c>
      <c r="BF1107">
        <v>0</v>
      </c>
      <c r="BG1107">
        <v>0</v>
      </c>
      <c r="BH1107">
        <v>1675</v>
      </c>
      <c r="BI1107">
        <v>1</v>
      </c>
      <c r="BJ1107">
        <v>1</v>
      </c>
      <c r="BK1107">
        <v>1</v>
      </c>
      <c r="BL1107">
        <v>0</v>
      </c>
      <c r="BO1107">
        <v>0</v>
      </c>
      <c r="BP1107">
        <v>0</v>
      </c>
      <c r="BW1107" t="str">
        <f>"20:18:12.882"</f>
        <v>20:18:12.882</v>
      </c>
      <c r="BZ1107">
        <v>0</v>
      </c>
      <c r="CA1107">
        <v>2016</v>
      </c>
      <c r="CB1107">
        <v>224</v>
      </c>
      <c r="CD1107">
        <v>1</v>
      </c>
      <c r="CE1107">
        <v>0</v>
      </c>
      <c r="CF1107">
        <v>0</v>
      </c>
      <c r="CG1107">
        <v>1</v>
      </c>
      <c r="CH1107">
        <v>0</v>
      </c>
      <c r="CI1107">
        <v>0</v>
      </c>
      <c r="CJ1107">
        <v>0</v>
      </c>
      <c r="CK1107">
        <v>2</v>
      </c>
      <c r="CL1107">
        <v>0</v>
      </c>
      <c r="CM1107">
        <v>2</v>
      </c>
      <c r="CN1107">
        <v>0</v>
      </c>
      <c r="CO1107">
        <v>7</v>
      </c>
      <c r="CP1107" t="s">
        <v>119</v>
      </c>
      <c r="CQ1107">
        <v>180</v>
      </c>
      <c r="CR1107">
        <v>2</v>
      </c>
      <c r="CW1107">
        <v>8076334</v>
      </c>
      <c r="CY1107">
        <v>1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</row>
    <row r="1108" spans="1:113" x14ac:dyDescent="0.3">
      <c r="A1108" t="str">
        <f>"02/08/2021 20:18:10.579"</f>
        <v>02/08/2021 20:18:10.579</v>
      </c>
      <c r="C1108" t="str">
        <f t="shared" si="53"/>
        <v>FFDFD7C0</v>
      </c>
      <c r="D1108" t="s">
        <v>124</v>
      </c>
      <c r="E1108">
        <v>11</v>
      </c>
      <c r="F1108">
        <v>1011</v>
      </c>
      <c r="G1108" t="s">
        <v>590</v>
      </c>
      <c r="J1108" t="s">
        <v>125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>"20:18:12.875"</f>
        <v>20:18:12.875</v>
      </c>
      <c r="T1108" t="str">
        <f>"20:18:12.475"</f>
        <v>20:18:12.475</v>
      </c>
      <c r="U1108" t="str">
        <f t="shared" si="52"/>
        <v>AB01F4</v>
      </c>
      <c r="V1108">
        <v>0</v>
      </c>
      <c r="W1108">
        <v>0</v>
      </c>
      <c r="X1108">
        <v>2</v>
      </c>
      <c r="Z1108">
        <v>0</v>
      </c>
      <c r="AA1108">
        <v>9</v>
      </c>
      <c r="AB1108">
        <v>3</v>
      </c>
      <c r="AC1108">
        <v>0</v>
      </c>
      <c r="AD1108">
        <v>10</v>
      </c>
      <c r="AE1108">
        <v>0</v>
      </c>
      <c r="AF1108">
        <v>3</v>
      </c>
      <c r="AG1108">
        <v>2</v>
      </c>
      <c r="AH1108">
        <v>0</v>
      </c>
      <c r="AI1108" t="s">
        <v>827</v>
      </c>
      <c r="AJ1108">
        <v>39.729394999999997</v>
      </c>
      <c r="AK1108" t="s">
        <v>828</v>
      </c>
      <c r="AL1108">
        <v>-92.525138999999996</v>
      </c>
      <c r="AM1108">
        <v>100</v>
      </c>
      <c r="AN1108">
        <v>1700</v>
      </c>
      <c r="AO1108" t="s">
        <v>118</v>
      </c>
      <c r="AP1108">
        <v>27</v>
      </c>
      <c r="AQ1108">
        <v>119</v>
      </c>
      <c r="AR1108">
        <v>0</v>
      </c>
      <c r="AZ1108">
        <v>1200</v>
      </c>
      <c r="BA1108">
        <v>1</v>
      </c>
      <c r="BB1108" t="str">
        <f t="shared" si="54"/>
        <v xml:space="preserve">N8080G  </v>
      </c>
      <c r="BC1108">
        <v>1</v>
      </c>
      <c r="BE1108">
        <v>0</v>
      </c>
      <c r="BF1108">
        <v>0</v>
      </c>
      <c r="BG1108">
        <v>0</v>
      </c>
      <c r="BH1108">
        <v>1675</v>
      </c>
      <c r="BI1108">
        <v>1</v>
      </c>
      <c r="BJ1108">
        <v>1</v>
      </c>
      <c r="BK1108">
        <v>1</v>
      </c>
      <c r="BL1108">
        <v>0</v>
      </c>
      <c r="BO1108">
        <v>0</v>
      </c>
      <c r="BP1108">
        <v>0</v>
      </c>
      <c r="BW1108" t="str">
        <f>"20:18:12.882"</f>
        <v>20:18:12.882</v>
      </c>
      <c r="BZ1108">
        <v>0</v>
      </c>
      <c r="CA1108">
        <v>2016</v>
      </c>
      <c r="CB1108">
        <v>224</v>
      </c>
      <c r="CD1108">
        <v>1</v>
      </c>
      <c r="CE1108">
        <v>0</v>
      </c>
      <c r="CF1108">
        <v>0</v>
      </c>
      <c r="CG1108">
        <v>1</v>
      </c>
      <c r="CH1108">
        <v>0</v>
      </c>
      <c r="CI1108">
        <v>0</v>
      </c>
      <c r="CJ1108">
        <v>0</v>
      </c>
      <c r="CK1108">
        <v>2</v>
      </c>
      <c r="CL1108">
        <v>0</v>
      </c>
      <c r="CM1108">
        <v>2</v>
      </c>
      <c r="CN1108">
        <v>0</v>
      </c>
      <c r="CO1108">
        <v>7</v>
      </c>
      <c r="CP1108" t="s">
        <v>119</v>
      </c>
      <c r="CQ1108">
        <v>180</v>
      </c>
      <c r="CR1108">
        <v>2</v>
      </c>
      <c r="CW1108">
        <v>8076334</v>
      </c>
      <c r="CY1108">
        <v>1</v>
      </c>
      <c r="CZ1108">
        <v>0</v>
      </c>
      <c r="DA1108">
        <v>1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</row>
    <row r="1109" spans="1:113" x14ac:dyDescent="0.3">
      <c r="A1109" t="str">
        <f>"02/08/2021 20:18:10.579"</f>
        <v>02/08/2021 20:18:10.579</v>
      </c>
      <c r="C1109" t="str">
        <f t="shared" si="53"/>
        <v>FFDFD7C0</v>
      </c>
      <c r="D1109" t="s">
        <v>124</v>
      </c>
      <c r="E1109">
        <v>13</v>
      </c>
      <c r="F1109">
        <v>1013</v>
      </c>
      <c r="G1109" t="s">
        <v>114</v>
      </c>
      <c r="J1109" t="s">
        <v>125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>"20:18:12.875"</f>
        <v>20:18:12.875</v>
      </c>
      <c r="T1109" t="str">
        <f>"20:18:12.475"</f>
        <v>20:18:12.475</v>
      </c>
      <c r="U1109" t="str">
        <f t="shared" si="52"/>
        <v>AB01F4</v>
      </c>
      <c r="V1109">
        <v>0</v>
      </c>
      <c r="W1109">
        <v>0</v>
      </c>
      <c r="X1109">
        <v>2</v>
      </c>
      <c r="Z1109">
        <v>0</v>
      </c>
      <c r="AA1109">
        <v>9</v>
      </c>
      <c r="AB1109">
        <v>3</v>
      </c>
      <c r="AC1109">
        <v>0</v>
      </c>
      <c r="AD1109">
        <v>10</v>
      </c>
      <c r="AE1109">
        <v>0</v>
      </c>
      <c r="AF1109">
        <v>3</v>
      </c>
      <c r="AG1109">
        <v>2</v>
      </c>
      <c r="AH1109">
        <v>0</v>
      </c>
      <c r="AI1109" t="s">
        <v>827</v>
      </c>
      <c r="AJ1109">
        <v>39.729394999999997</v>
      </c>
      <c r="AK1109" t="s">
        <v>828</v>
      </c>
      <c r="AL1109">
        <v>-92.525138999999996</v>
      </c>
      <c r="AM1109">
        <v>100</v>
      </c>
      <c r="AN1109">
        <v>1700</v>
      </c>
      <c r="AO1109" t="s">
        <v>118</v>
      </c>
      <c r="AP1109">
        <v>27</v>
      </c>
      <c r="AQ1109">
        <v>119</v>
      </c>
      <c r="AR1109">
        <v>0</v>
      </c>
      <c r="AZ1109">
        <v>1200</v>
      </c>
      <c r="BA1109">
        <v>1</v>
      </c>
      <c r="BB1109" t="str">
        <f t="shared" si="54"/>
        <v xml:space="preserve">N8080G  </v>
      </c>
      <c r="BC1109">
        <v>1</v>
      </c>
      <c r="BE1109">
        <v>0</v>
      </c>
      <c r="BF1109">
        <v>0</v>
      </c>
      <c r="BG1109">
        <v>0</v>
      </c>
      <c r="BH1109">
        <v>1675</v>
      </c>
      <c r="BI1109">
        <v>1</v>
      </c>
      <c r="BJ1109">
        <v>1</v>
      </c>
      <c r="BK1109">
        <v>1</v>
      </c>
      <c r="BL1109">
        <v>0</v>
      </c>
      <c r="BO1109">
        <v>0</v>
      </c>
      <c r="BP1109">
        <v>0</v>
      </c>
      <c r="BW1109" t="str">
        <f>"20:18:12.882"</f>
        <v>20:18:12.882</v>
      </c>
      <c r="BZ1109">
        <v>0</v>
      </c>
      <c r="CA1109">
        <v>2016</v>
      </c>
      <c r="CB1109">
        <v>224</v>
      </c>
      <c r="CD1109">
        <v>1</v>
      </c>
      <c r="CE1109">
        <v>0</v>
      </c>
      <c r="CF1109">
        <v>0</v>
      </c>
      <c r="CG1109">
        <v>1</v>
      </c>
      <c r="CH1109">
        <v>0</v>
      </c>
      <c r="CI1109">
        <v>0</v>
      </c>
      <c r="CJ1109">
        <v>0</v>
      </c>
      <c r="CK1109">
        <v>2</v>
      </c>
      <c r="CL1109">
        <v>0</v>
      </c>
      <c r="CM1109">
        <v>2</v>
      </c>
      <c r="CN1109">
        <v>0</v>
      </c>
      <c r="CO1109">
        <v>7</v>
      </c>
      <c r="CP1109" t="s">
        <v>119</v>
      </c>
      <c r="CQ1109">
        <v>180</v>
      </c>
      <c r="CR1109">
        <v>2</v>
      </c>
      <c r="CW1109">
        <v>8076334</v>
      </c>
      <c r="CY1109">
        <v>1</v>
      </c>
      <c r="CZ1109">
        <v>0</v>
      </c>
      <c r="DA1109">
        <v>1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</row>
    <row r="1110" spans="1:113" x14ac:dyDescent="0.3">
      <c r="A1110" t="str">
        <f>"02/08/2021 20:18:10.579"</f>
        <v>02/08/2021 20:18:10.579</v>
      </c>
      <c r="C1110" t="str">
        <f t="shared" si="53"/>
        <v>FFDFD7C0</v>
      </c>
      <c r="D1110" t="s">
        <v>113</v>
      </c>
      <c r="E1110">
        <v>6</v>
      </c>
      <c r="H1110">
        <v>165</v>
      </c>
      <c r="I1110" t="s">
        <v>114</v>
      </c>
      <c r="J1110" t="s">
        <v>115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>"20:18:12.875"</f>
        <v>20:18:12.875</v>
      </c>
      <c r="T1110" t="str">
        <f>"20:18:12.475"</f>
        <v>20:18:12.475</v>
      </c>
      <c r="U1110" t="str">
        <f t="shared" si="52"/>
        <v>AB01F4</v>
      </c>
      <c r="V1110">
        <v>0</v>
      </c>
      <c r="W1110">
        <v>0</v>
      </c>
      <c r="X1110">
        <v>2</v>
      </c>
      <c r="Z1110">
        <v>0</v>
      </c>
      <c r="AA1110">
        <v>9</v>
      </c>
      <c r="AB1110">
        <v>3</v>
      </c>
      <c r="AC1110">
        <v>0</v>
      </c>
      <c r="AD1110">
        <v>10</v>
      </c>
      <c r="AE1110">
        <v>0</v>
      </c>
      <c r="AF1110">
        <v>3</v>
      </c>
      <c r="AG1110">
        <v>2</v>
      </c>
      <c r="AH1110">
        <v>0</v>
      </c>
      <c r="AI1110" t="s">
        <v>827</v>
      </c>
      <c r="AJ1110">
        <v>39.729394999999997</v>
      </c>
      <c r="AK1110" t="s">
        <v>828</v>
      </c>
      <c r="AL1110">
        <v>-92.525138999999996</v>
      </c>
      <c r="AM1110">
        <v>100</v>
      </c>
      <c r="AN1110">
        <v>1700</v>
      </c>
      <c r="AO1110" t="s">
        <v>118</v>
      </c>
      <c r="AP1110">
        <v>27</v>
      </c>
      <c r="AQ1110">
        <v>119</v>
      </c>
      <c r="AR1110">
        <v>0</v>
      </c>
      <c r="AZ1110">
        <v>1200</v>
      </c>
      <c r="BA1110">
        <v>1</v>
      </c>
      <c r="BB1110" t="str">
        <f t="shared" si="54"/>
        <v xml:space="preserve">N8080G  </v>
      </c>
      <c r="BC1110">
        <v>1</v>
      </c>
      <c r="BE1110">
        <v>0</v>
      </c>
      <c r="BF1110">
        <v>0</v>
      </c>
      <c r="BG1110">
        <v>0</v>
      </c>
      <c r="BH1110">
        <v>1675</v>
      </c>
      <c r="BI1110">
        <v>1</v>
      </c>
      <c r="BJ1110">
        <v>1</v>
      </c>
      <c r="BK1110">
        <v>1</v>
      </c>
      <c r="BL1110">
        <v>0</v>
      </c>
      <c r="BO1110">
        <v>0</v>
      </c>
      <c r="BP1110">
        <v>0</v>
      </c>
      <c r="BW1110" t="str">
        <f>"20:18:12.882"</f>
        <v>20:18:12.882</v>
      </c>
      <c r="BZ1110">
        <v>0</v>
      </c>
      <c r="CA1110">
        <v>2016</v>
      </c>
      <c r="CB1110">
        <v>224</v>
      </c>
      <c r="CD1110">
        <v>1</v>
      </c>
      <c r="CE1110">
        <v>0</v>
      </c>
      <c r="CF1110">
        <v>0</v>
      </c>
      <c r="CG1110">
        <v>1</v>
      </c>
      <c r="CH1110">
        <v>0</v>
      </c>
      <c r="CI1110">
        <v>0</v>
      </c>
      <c r="CJ1110">
        <v>0</v>
      </c>
      <c r="CK1110">
        <v>2</v>
      </c>
      <c r="CL1110">
        <v>0</v>
      </c>
      <c r="CM1110">
        <v>2</v>
      </c>
      <c r="CN1110">
        <v>0</v>
      </c>
      <c r="CO1110">
        <v>7</v>
      </c>
      <c r="CP1110" t="s">
        <v>119</v>
      </c>
      <c r="CQ1110">
        <v>180</v>
      </c>
      <c r="CR1110">
        <v>2</v>
      </c>
      <c r="CW1110">
        <v>8076334</v>
      </c>
      <c r="CY1110">
        <v>1</v>
      </c>
      <c r="CZ1110">
        <v>0</v>
      </c>
      <c r="DA1110">
        <v>1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</row>
    <row r="1111" spans="1:113" x14ac:dyDescent="0.3">
      <c r="A1111" t="str">
        <f>"02/08/2021 20:18:11.924"</f>
        <v>02/08/2021 20:18:11.924</v>
      </c>
      <c r="C1111" t="str">
        <f t="shared" si="53"/>
        <v>FFDFD7C0</v>
      </c>
      <c r="D1111" t="s">
        <v>124</v>
      </c>
      <c r="E1111">
        <v>13</v>
      </c>
      <c r="F1111">
        <v>1013</v>
      </c>
      <c r="G1111" t="s">
        <v>114</v>
      </c>
      <c r="J1111" t="s">
        <v>125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>"20:18:14.266"</f>
        <v>20:18:14.266</v>
      </c>
      <c r="T1111" t="str">
        <f>"20:18:13.766"</f>
        <v>20:18:13.766</v>
      </c>
      <c r="U1111" t="str">
        <f t="shared" si="52"/>
        <v>AB01F4</v>
      </c>
      <c r="V1111">
        <v>0</v>
      </c>
      <c r="W1111">
        <v>0</v>
      </c>
      <c r="X1111">
        <v>2</v>
      </c>
      <c r="Z1111">
        <v>0</v>
      </c>
      <c r="AA1111">
        <v>9</v>
      </c>
      <c r="AB1111">
        <v>3</v>
      </c>
      <c r="AC1111">
        <v>0</v>
      </c>
      <c r="AD1111">
        <v>10</v>
      </c>
      <c r="AE1111">
        <v>0</v>
      </c>
      <c r="AF1111">
        <v>3</v>
      </c>
      <c r="AG1111">
        <v>2</v>
      </c>
      <c r="AH1111">
        <v>0</v>
      </c>
      <c r="AI1111" t="s">
        <v>829</v>
      </c>
      <c r="AJ1111">
        <v>39.730145999999998</v>
      </c>
      <c r="AK1111" t="s">
        <v>830</v>
      </c>
      <c r="AL1111">
        <v>-92.524902999999995</v>
      </c>
      <c r="AM1111">
        <v>100</v>
      </c>
      <c r="AN1111">
        <v>1700</v>
      </c>
      <c r="AO1111" t="s">
        <v>118</v>
      </c>
      <c r="AP1111">
        <v>27</v>
      </c>
      <c r="AQ1111">
        <v>118</v>
      </c>
      <c r="AR1111">
        <v>64</v>
      </c>
      <c r="AZ1111">
        <v>1200</v>
      </c>
      <c r="BA1111">
        <v>1</v>
      </c>
      <c r="BB1111" t="str">
        <f t="shared" si="54"/>
        <v xml:space="preserve">N8080G  </v>
      </c>
      <c r="BC1111">
        <v>1</v>
      </c>
      <c r="BE1111">
        <v>0</v>
      </c>
      <c r="BF1111">
        <v>0</v>
      </c>
      <c r="BG1111">
        <v>0</v>
      </c>
      <c r="BH1111">
        <v>1675</v>
      </c>
      <c r="BI1111">
        <v>1</v>
      </c>
      <c r="BJ1111">
        <v>1</v>
      </c>
      <c r="BK1111">
        <v>1</v>
      </c>
      <c r="BL1111">
        <v>0</v>
      </c>
      <c r="BO1111">
        <v>0</v>
      </c>
      <c r="BP1111">
        <v>0</v>
      </c>
      <c r="BW1111" t="str">
        <f>"20:18:14.270"</f>
        <v>20:18:14.270</v>
      </c>
      <c r="BZ1111">
        <v>0</v>
      </c>
      <c r="CA1111">
        <v>2016</v>
      </c>
      <c r="CB1111">
        <v>224</v>
      </c>
      <c r="CD1111">
        <v>1</v>
      </c>
      <c r="CE1111">
        <v>0</v>
      </c>
      <c r="CF1111">
        <v>0</v>
      </c>
      <c r="CG1111">
        <v>1</v>
      </c>
      <c r="CH1111">
        <v>0</v>
      </c>
      <c r="CI1111">
        <v>0</v>
      </c>
      <c r="CJ1111">
        <v>0</v>
      </c>
      <c r="CK1111">
        <v>2</v>
      </c>
      <c r="CL1111">
        <v>0</v>
      </c>
      <c r="CM1111">
        <v>2</v>
      </c>
      <c r="CN1111">
        <v>0</v>
      </c>
      <c r="CO1111">
        <v>7</v>
      </c>
      <c r="CP1111" t="s">
        <v>119</v>
      </c>
      <c r="CQ1111">
        <v>180</v>
      </c>
      <c r="CR1111">
        <v>2</v>
      </c>
      <c r="CW1111">
        <v>8077495</v>
      </c>
      <c r="CY1111">
        <v>1</v>
      </c>
      <c r="CZ1111">
        <v>0</v>
      </c>
      <c r="DA1111">
        <v>0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</row>
    <row r="1112" spans="1:113" x14ac:dyDescent="0.3">
      <c r="A1112" t="str">
        <f>"02/08/2021 20:18:11.924"</f>
        <v>02/08/2021 20:18:11.924</v>
      </c>
      <c r="C1112" t="str">
        <f t="shared" si="53"/>
        <v>FFDFD7C0</v>
      </c>
      <c r="D1112" t="s">
        <v>113</v>
      </c>
      <c r="E1112">
        <v>6</v>
      </c>
      <c r="H1112">
        <v>165</v>
      </c>
      <c r="I1112" t="s">
        <v>114</v>
      </c>
      <c r="J1112" t="s">
        <v>115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>"20:18:14.266"</f>
        <v>20:18:14.266</v>
      </c>
      <c r="T1112" t="str">
        <f>"20:18:13.766"</f>
        <v>20:18:13.766</v>
      </c>
      <c r="U1112" t="str">
        <f t="shared" si="52"/>
        <v>AB01F4</v>
      </c>
      <c r="V1112">
        <v>0</v>
      </c>
      <c r="W1112">
        <v>0</v>
      </c>
      <c r="X1112">
        <v>2</v>
      </c>
      <c r="Z1112">
        <v>0</v>
      </c>
      <c r="AA1112">
        <v>9</v>
      </c>
      <c r="AB1112">
        <v>3</v>
      </c>
      <c r="AC1112">
        <v>0</v>
      </c>
      <c r="AD1112">
        <v>10</v>
      </c>
      <c r="AE1112">
        <v>0</v>
      </c>
      <c r="AF1112">
        <v>3</v>
      </c>
      <c r="AG1112">
        <v>2</v>
      </c>
      <c r="AH1112">
        <v>0</v>
      </c>
      <c r="AI1112" t="s">
        <v>829</v>
      </c>
      <c r="AJ1112">
        <v>39.730145999999998</v>
      </c>
      <c r="AK1112" t="s">
        <v>830</v>
      </c>
      <c r="AL1112">
        <v>-92.524902999999995</v>
      </c>
      <c r="AM1112">
        <v>100</v>
      </c>
      <c r="AN1112">
        <v>1700</v>
      </c>
      <c r="AO1112" t="s">
        <v>118</v>
      </c>
      <c r="AP1112">
        <v>27</v>
      </c>
      <c r="AQ1112">
        <v>118</v>
      </c>
      <c r="AR1112">
        <v>64</v>
      </c>
      <c r="AZ1112">
        <v>1200</v>
      </c>
      <c r="BA1112">
        <v>1</v>
      </c>
      <c r="BB1112" t="str">
        <f t="shared" si="54"/>
        <v xml:space="preserve">N8080G  </v>
      </c>
      <c r="BC1112">
        <v>1</v>
      </c>
      <c r="BE1112">
        <v>0</v>
      </c>
      <c r="BF1112">
        <v>0</v>
      </c>
      <c r="BG1112">
        <v>0</v>
      </c>
      <c r="BH1112">
        <v>1675</v>
      </c>
      <c r="BI1112">
        <v>1</v>
      </c>
      <c r="BJ1112">
        <v>1</v>
      </c>
      <c r="BK1112">
        <v>1</v>
      </c>
      <c r="BL1112">
        <v>0</v>
      </c>
      <c r="BO1112">
        <v>0</v>
      </c>
      <c r="BP1112">
        <v>0</v>
      </c>
      <c r="BW1112" t="str">
        <f>"20:18:14.270"</f>
        <v>20:18:14.270</v>
      </c>
      <c r="BZ1112">
        <v>0</v>
      </c>
      <c r="CA1112">
        <v>2016</v>
      </c>
      <c r="CB1112">
        <v>224</v>
      </c>
      <c r="CD1112">
        <v>1</v>
      </c>
      <c r="CE1112">
        <v>0</v>
      </c>
      <c r="CF1112">
        <v>0</v>
      </c>
      <c r="CG1112">
        <v>1</v>
      </c>
      <c r="CH1112">
        <v>0</v>
      </c>
      <c r="CI1112">
        <v>0</v>
      </c>
      <c r="CJ1112">
        <v>0</v>
      </c>
      <c r="CK1112">
        <v>2</v>
      </c>
      <c r="CL1112">
        <v>0</v>
      </c>
      <c r="CM1112">
        <v>2</v>
      </c>
      <c r="CN1112">
        <v>0</v>
      </c>
      <c r="CO1112">
        <v>7</v>
      </c>
      <c r="CP1112" t="s">
        <v>119</v>
      </c>
      <c r="CQ1112">
        <v>180</v>
      </c>
      <c r="CR1112">
        <v>2</v>
      </c>
      <c r="CW1112">
        <v>8077495</v>
      </c>
      <c r="CY1112">
        <v>1</v>
      </c>
      <c r="CZ1112">
        <v>0</v>
      </c>
      <c r="DA1112">
        <v>1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</row>
    <row r="1113" spans="1:113" x14ac:dyDescent="0.3">
      <c r="A1113" t="str">
        <f>"02/08/2021 20:18:11.924"</f>
        <v>02/08/2021 20:18:11.924</v>
      </c>
      <c r="C1113" t="str">
        <f t="shared" si="53"/>
        <v>FFDFD7C0</v>
      </c>
      <c r="D1113" t="s">
        <v>124</v>
      </c>
      <c r="E1113">
        <v>12</v>
      </c>
      <c r="F1113">
        <v>1012</v>
      </c>
      <c r="G1113" t="s">
        <v>675</v>
      </c>
      <c r="J1113" t="s">
        <v>125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>"20:18:14.266"</f>
        <v>20:18:14.266</v>
      </c>
      <c r="T1113" t="str">
        <f>"20:18:13.766"</f>
        <v>20:18:13.766</v>
      </c>
      <c r="U1113" t="str">
        <f t="shared" si="52"/>
        <v>AB01F4</v>
      </c>
      <c r="V1113">
        <v>0</v>
      </c>
      <c r="W1113">
        <v>0</v>
      </c>
      <c r="X1113">
        <v>2</v>
      </c>
      <c r="Z1113">
        <v>0</v>
      </c>
      <c r="AA1113">
        <v>9</v>
      </c>
      <c r="AB1113">
        <v>3</v>
      </c>
      <c r="AC1113">
        <v>0</v>
      </c>
      <c r="AD1113">
        <v>10</v>
      </c>
      <c r="AE1113">
        <v>0</v>
      </c>
      <c r="AF1113">
        <v>3</v>
      </c>
      <c r="AG1113">
        <v>2</v>
      </c>
      <c r="AH1113">
        <v>0</v>
      </c>
      <c r="AI1113" t="s">
        <v>829</v>
      </c>
      <c r="AJ1113">
        <v>39.730145999999998</v>
      </c>
      <c r="AK1113" t="s">
        <v>830</v>
      </c>
      <c r="AL1113">
        <v>-92.524902999999995</v>
      </c>
      <c r="AM1113">
        <v>100</v>
      </c>
      <c r="AN1113">
        <v>1700</v>
      </c>
      <c r="AO1113" t="s">
        <v>118</v>
      </c>
      <c r="AP1113">
        <v>27</v>
      </c>
      <c r="AQ1113">
        <v>118</v>
      </c>
      <c r="AR1113">
        <v>64</v>
      </c>
      <c r="AZ1113">
        <v>1200</v>
      </c>
      <c r="BA1113">
        <v>1</v>
      </c>
      <c r="BB1113" t="str">
        <f t="shared" si="54"/>
        <v xml:space="preserve">N8080G  </v>
      </c>
      <c r="BC1113">
        <v>1</v>
      </c>
      <c r="BE1113">
        <v>0</v>
      </c>
      <c r="BF1113">
        <v>0</v>
      </c>
      <c r="BG1113">
        <v>0</v>
      </c>
      <c r="BH1113">
        <v>1675</v>
      </c>
      <c r="BI1113">
        <v>1</v>
      </c>
      <c r="BJ1113">
        <v>1</v>
      </c>
      <c r="BK1113">
        <v>1</v>
      </c>
      <c r="BL1113">
        <v>0</v>
      </c>
      <c r="BO1113">
        <v>0</v>
      </c>
      <c r="BP1113">
        <v>0</v>
      </c>
      <c r="BW1113" t="str">
        <f>"20:18:14.270"</f>
        <v>20:18:14.270</v>
      </c>
      <c r="BZ1113">
        <v>0</v>
      </c>
      <c r="CA1113">
        <v>2016</v>
      </c>
      <c r="CB1113">
        <v>224</v>
      </c>
      <c r="CD1113">
        <v>1</v>
      </c>
      <c r="CE1113">
        <v>0</v>
      </c>
      <c r="CF1113">
        <v>0</v>
      </c>
      <c r="CG1113">
        <v>1</v>
      </c>
      <c r="CH1113">
        <v>0</v>
      </c>
      <c r="CI1113">
        <v>0</v>
      </c>
      <c r="CJ1113">
        <v>0</v>
      </c>
      <c r="CK1113">
        <v>2</v>
      </c>
      <c r="CL1113">
        <v>0</v>
      </c>
      <c r="CM1113">
        <v>2</v>
      </c>
      <c r="CN1113">
        <v>0</v>
      </c>
      <c r="CO1113">
        <v>7</v>
      </c>
      <c r="CP1113" t="s">
        <v>119</v>
      </c>
      <c r="CQ1113">
        <v>180</v>
      </c>
      <c r="CR1113">
        <v>2</v>
      </c>
      <c r="CW1113">
        <v>8077495</v>
      </c>
      <c r="CY1113">
        <v>1</v>
      </c>
      <c r="CZ1113">
        <v>0</v>
      </c>
      <c r="DA1113">
        <v>1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</row>
    <row r="1114" spans="1:113" x14ac:dyDescent="0.3">
      <c r="A1114" t="str">
        <f>"02/08/2021 20:18:11.924"</f>
        <v>02/08/2021 20:18:11.924</v>
      </c>
      <c r="C1114" t="str">
        <f t="shared" si="53"/>
        <v>FFDFD7C0</v>
      </c>
      <c r="D1114" t="s">
        <v>124</v>
      </c>
      <c r="E1114">
        <v>11</v>
      </c>
      <c r="F1114">
        <v>1011</v>
      </c>
      <c r="G1114" t="s">
        <v>590</v>
      </c>
      <c r="J1114" t="s">
        <v>125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>"20:18:14.266"</f>
        <v>20:18:14.266</v>
      </c>
      <c r="T1114" t="str">
        <f>"20:18:13.766"</f>
        <v>20:18:13.766</v>
      </c>
      <c r="U1114" t="str">
        <f t="shared" si="52"/>
        <v>AB01F4</v>
      </c>
      <c r="V1114">
        <v>0</v>
      </c>
      <c r="W1114">
        <v>0</v>
      </c>
      <c r="X1114">
        <v>2</v>
      </c>
      <c r="Z1114">
        <v>0</v>
      </c>
      <c r="AA1114">
        <v>9</v>
      </c>
      <c r="AB1114">
        <v>3</v>
      </c>
      <c r="AC1114">
        <v>0</v>
      </c>
      <c r="AD1114">
        <v>10</v>
      </c>
      <c r="AE1114">
        <v>0</v>
      </c>
      <c r="AF1114">
        <v>3</v>
      </c>
      <c r="AG1114">
        <v>2</v>
      </c>
      <c r="AH1114">
        <v>0</v>
      </c>
      <c r="AI1114" t="s">
        <v>829</v>
      </c>
      <c r="AJ1114">
        <v>39.730145999999998</v>
      </c>
      <c r="AK1114" t="s">
        <v>830</v>
      </c>
      <c r="AL1114">
        <v>-92.524902999999995</v>
      </c>
      <c r="AM1114">
        <v>100</v>
      </c>
      <c r="AN1114">
        <v>1700</v>
      </c>
      <c r="AO1114" t="s">
        <v>118</v>
      </c>
      <c r="AP1114">
        <v>27</v>
      </c>
      <c r="AQ1114">
        <v>118</v>
      </c>
      <c r="AR1114">
        <v>64</v>
      </c>
      <c r="AZ1114">
        <v>1200</v>
      </c>
      <c r="BA1114">
        <v>1</v>
      </c>
      <c r="BB1114" t="str">
        <f t="shared" si="54"/>
        <v xml:space="preserve">N8080G  </v>
      </c>
      <c r="BC1114">
        <v>1</v>
      </c>
      <c r="BE1114">
        <v>0</v>
      </c>
      <c r="BF1114">
        <v>0</v>
      </c>
      <c r="BG1114">
        <v>0</v>
      </c>
      <c r="BH1114">
        <v>1675</v>
      </c>
      <c r="BI1114">
        <v>1</v>
      </c>
      <c r="BJ1114">
        <v>1</v>
      </c>
      <c r="BK1114">
        <v>1</v>
      </c>
      <c r="BL1114">
        <v>0</v>
      </c>
      <c r="BO1114">
        <v>0</v>
      </c>
      <c r="BP1114">
        <v>0</v>
      </c>
      <c r="BW1114" t="str">
        <f>"20:18:14.270"</f>
        <v>20:18:14.270</v>
      </c>
      <c r="BZ1114">
        <v>0</v>
      </c>
      <c r="CA1114">
        <v>2016</v>
      </c>
      <c r="CB1114">
        <v>224</v>
      </c>
      <c r="CD1114">
        <v>1</v>
      </c>
      <c r="CE1114">
        <v>0</v>
      </c>
      <c r="CF1114">
        <v>0</v>
      </c>
      <c r="CG1114">
        <v>1</v>
      </c>
      <c r="CH1114">
        <v>0</v>
      </c>
      <c r="CI1114">
        <v>0</v>
      </c>
      <c r="CJ1114">
        <v>0</v>
      </c>
      <c r="CK1114">
        <v>2</v>
      </c>
      <c r="CL1114">
        <v>0</v>
      </c>
      <c r="CM1114">
        <v>2</v>
      </c>
      <c r="CN1114">
        <v>0</v>
      </c>
      <c r="CO1114">
        <v>7</v>
      </c>
      <c r="CP1114" t="s">
        <v>119</v>
      </c>
      <c r="CQ1114">
        <v>180</v>
      </c>
      <c r="CR1114">
        <v>2</v>
      </c>
      <c r="CW1114">
        <v>8077495</v>
      </c>
      <c r="CY1114">
        <v>1</v>
      </c>
      <c r="CZ1114">
        <v>0</v>
      </c>
      <c r="DA1114">
        <v>1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</row>
    <row r="1115" spans="1:113" x14ac:dyDescent="0.3">
      <c r="A1115" t="str">
        <f>"02/08/2021 20:18:13.032"</f>
        <v>02/08/2021 20:18:13.032</v>
      </c>
      <c r="C1115" t="str">
        <f t="shared" si="53"/>
        <v>FFDFD7C0</v>
      </c>
      <c r="D1115" t="s">
        <v>124</v>
      </c>
      <c r="E1115">
        <v>13</v>
      </c>
      <c r="F1115">
        <v>1013</v>
      </c>
      <c r="G1115" t="s">
        <v>114</v>
      </c>
      <c r="J1115" t="s">
        <v>125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>"20:18:15.328"</f>
        <v>20:18:15.328</v>
      </c>
      <c r="T1115" t="str">
        <f>"20:18:14.828"</f>
        <v>20:18:14.828</v>
      </c>
      <c r="U1115" t="str">
        <f t="shared" si="52"/>
        <v>AB01F4</v>
      </c>
      <c r="V1115">
        <v>0</v>
      </c>
      <c r="W1115">
        <v>0</v>
      </c>
      <c r="X1115">
        <v>2</v>
      </c>
      <c r="Z1115">
        <v>0</v>
      </c>
      <c r="AA1115">
        <v>9</v>
      </c>
      <c r="AB1115">
        <v>3</v>
      </c>
      <c r="AC1115">
        <v>0</v>
      </c>
      <c r="AD1115">
        <v>10</v>
      </c>
      <c r="AE1115">
        <v>0</v>
      </c>
      <c r="AF1115">
        <v>3</v>
      </c>
      <c r="AG1115">
        <v>2</v>
      </c>
      <c r="AH1115">
        <v>0</v>
      </c>
      <c r="AI1115" t="s">
        <v>831</v>
      </c>
      <c r="AJ1115">
        <v>39.730767999999998</v>
      </c>
      <c r="AK1115" t="s">
        <v>832</v>
      </c>
      <c r="AL1115">
        <v>-92.524773999999994</v>
      </c>
      <c r="AM1115">
        <v>100</v>
      </c>
      <c r="AN1115">
        <v>1700</v>
      </c>
      <c r="AO1115" t="s">
        <v>118</v>
      </c>
      <c r="AP1115">
        <v>27</v>
      </c>
      <c r="AQ1115">
        <v>118</v>
      </c>
      <c r="AR1115">
        <v>0</v>
      </c>
      <c r="AZ1115">
        <v>1200</v>
      </c>
      <c r="BA1115">
        <v>1</v>
      </c>
      <c r="BB1115" t="str">
        <f t="shared" si="54"/>
        <v xml:space="preserve">N8080G  </v>
      </c>
      <c r="BC1115">
        <v>1</v>
      </c>
      <c r="BE1115">
        <v>0</v>
      </c>
      <c r="BF1115">
        <v>0</v>
      </c>
      <c r="BG1115">
        <v>0</v>
      </c>
      <c r="BH1115">
        <v>1675</v>
      </c>
      <c r="BI1115">
        <v>1</v>
      </c>
      <c r="BJ1115">
        <v>1</v>
      </c>
      <c r="BK1115">
        <v>1</v>
      </c>
      <c r="BL1115">
        <v>0</v>
      </c>
      <c r="BO1115">
        <v>0</v>
      </c>
      <c r="BP1115">
        <v>0</v>
      </c>
      <c r="BW1115" t="str">
        <f>"20:18:15.333"</f>
        <v>20:18:15.333</v>
      </c>
      <c r="BZ1115">
        <v>0</v>
      </c>
      <c r="CA1115">
        <v>2016</v>
      </c>
      <c r="CB1115">
        <v>224</v>
      </c>
      <c r="CD1115">
        <v>1</v>
      </c>
      <c r="CE1115">
        <v>0</v>
      </c>
      <c r="CF1115">
        <v>0</v>
      </c>
      <c r="CG1115">
        <v>1</v>
      </c>
      <c r="CH1115">
        <v>0</v>
      </c>
      <c r="CI1115">
        <v>0</v>
      </c>
      <c r="CJ1115">
        <v>0</v>
      </c>
      <c r="CK1115">
        <v>2</v>
      </c>
      <c r="CL1115">
        <v>0</v>
      </c>
      <c r="CM1115">
        <v>2</v>
      </c>
      <c r="CN1115">
        <v>0</v>
      </c>
      <c r="CO1115">
        <v>7</v>
      </c>
      <c r="CP1115" t="s">
        <v>119</v>
      </c>
      <c r="CQ1115">
        <v>180</v>
      </c>
      <c r="CR1115">
        <v>2</v>
      </c>
      <c r="CW1115">
        <v>8078430</v>
      </c>
      <c r="CY1115">
        <v>1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</row>
    <row r="1116" spans="1:113" x14ac:dyDescent="0.3">
      <c r="A1116" t="str">
        <f>"02/08/2021 20:18:13.032"</f>
        <v>02/08/2021 20:18:13.032</v>
      </c>
      <c r="C1116" t="str">
        <f t="shared" si="53"/>
        <v>FFDFD7C0</v>
      </c>
      <c r="D1116" t="s">
        <v>124</v>
      </c>
      <c r="E1116">
        <v>12</v>
      </c>
      <c r="F1116">
        <v>1012</v>
      </c>
      <c r="G1116" t="s">
        <v>675</v>
      </c>
      <c r="J1116" t="s">
        <v>125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>"20:18:15.328"</f>
        <v>20:18:15.328</v>
      </c>
      <c r="T1116" t="str">
        <f>"20:18:14.828"</f>
        <v>20:18:14.828</v>
      </c>
      <c r="U1116" t="str">
        <f t="shared" si="52"/>
        <v>AB01F4</v>
      </c>
      <c r="V1116">
        <v>0</v>
      </c>
      <c r="W1116">
        <v>0</v>
      </c>
      <c r="X1116">
        <v>2</v>
      </c>
      <c r="Z1116">
        <v>0</v>
      </c>
      <c r="AA1116">
        <v>9</v>
      </c>
      <c r="AB1116">
        <v>3</v>
      </c>
      <c r="AC1116">
        <v>0</v>
      </c>
      <c r="AD1116">
        <v>10</v>
      </c>
      <c r="AE1116">
        <v>0</v>
      </c>
      <c r="AF1116">
        <v>3</v>
      </c>
      <c r="AG1116">
        <v>2</v>
      </c>
      <c r="AH1116">
        <v>0</v>
      </c>
      <c r="AI1116" t="s">
        <v>831</v>
      </c>
      <c r="AJ1116">
        <v>39.730767999999998</v>
      </c>
      <c r="AK1116" t="s">
        <v>832</v>
      </c>
      <c r="AL1116">
        <v>-92.524773999999994</v>
      </c>
      <c r="AM1116">
        <v>100</v>
      </c>
      <c r="AN1116">
        <v>1700</v>
      </c>
      <c r="AO1116" t="s">
        <v>118</v>
      </c>
      <c r="AP1116">
        <v>27</v>
      </c>
      <c r="AQ1116">
        <v>118</v>
      </c>
      <c r="AR1116">
        <v>0</v>
      </c>
      <c r="AZ1116">
        <v>1200</v>
      </c>
      <c r="BA1116">
        <v>1</v>
      </c>
      <c r="BB1116" t="str">
        <f t="shared" si="54"/>
        <v xml:space="preserve">N8080G  </v>
      </c>
      <c r="BC1116">
        <v>1</v>
      </c>
      <c r="BE1116">
        <v>0</v>
      </c>
      <c r="BF1116">
        <v>0</v>
      </c>
      <c r="BG1116">
        <v>0</v>
      </c>
      <c r="BH1116">
        <v>1675</v>
      </c>
      <c r="BI1116">
        <v>1</v>
      </c>
      <c r="BJ1116">
        <v>1</v>
      </c>
      <c r="BK1116">
        <v>1</v>
      </c>
      <c r="BL1116">
        <v>0</v>
      </c>
      <c r="BO1116">
        <v>0</v>
      </c>
      <c r="BP1116">
        <v>0</v>
      </c>
      <c r="BW1116" t="str">
        <f>"20:18:15.333"</f>
        <v>20:18:15.333</v>
      </c>
      <c r="BZ1116">
        <v>0</v>
      </c>
      <c r="CA1116">
        <v>2016</v>
      </c>
      <c r="CB1116">
        <v>224</v>
      </c>
      <c r="CD1116">
        <v>1</v>
      </c>
      <c r="CE1116">
        <v>0</v>
      </c>
      <c r="CF1116">
        <v>0</v>
      </c>
      <c r="CG1116">
        <v>1</v>
      </c>
      <c r="CH1116">
        <v>0</v>
      </c>
      <c r="CI1116">
        <v>0</v>
      </c>
      <c r="CJ1116">
        <v>0</v>
      </c>
      <c r="CK1116">
        <v>2</v>
      </c>
      <c r="CL1116">
        <v>0</v>
      </c>
      <c r="CM1116">
        <v>2</v>
      </c>
      <c r="CN1116">
        <v>0</v>
      </c>
      <c r="CO1116">
        <v>7</v>
      </c>
      <c r="CP1116" t="s">
        <v>119</v>
      </c>
      <c r="CQ1116">
        <v>180</v>
      </c>
      <c r="CR1116">
        <v>2</v>
      </c>
      <c r="CW1116">
        <v>8078430</v>
      </c>
      <c r="CY1116">
        <v>1</v>
      </c>
      <c r="CZ1116">
        <v>0</v>
      </c>
      <c r="DA1116">
        <v>1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</row>
    <row r="1117" spans="1:113" x14ac:dyDescent="0.3">
      <c r="A1117" t="str">
        <f>"02/08/2021 20:18:13.032"</f>
        <v>02/08/2021 20:18:13.032</v>
      </c>
      <c r="C1117" t="str">
        <f t="shared" si="53"/>
        <v>FFDFD7C0</v>
      </c>
      <c r="D1117" t="s">
        <v>113</v>
      </c>
      <c r="E1117">
        <v>6</v>
      </c>
      <c r="H1117">
        <v>165</v>
      </c>
      <c r="I1117" t="s">
        <v>114</v>
      </c>
      <c r="J1117" t="s">
        <v>115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>"20:18:15.328"</f>
        <v>20:18:15.328</v>
      </c>
      <c r="T1117" t="str">
        <f>"20:18:14.828"</f>
        <v>20:18:14.828</v>
      </c>
      <c r="U1117" t="str">
        <f t="shared" si="52"/>
        <v>AB01F4</v>
      </c>
      <c r="V1117">
        <v>0</v>
      </c>
      <c r="W1117">
        <v>0</v>
      </c>
      <c r="X1117">
        <v>2</v>
      </c>
      <c r="Z1117">
        <v>0</v>
      </c>
      <c r="AA1117">
        <v>9</v>
      </c>
      <c r="AB1117">
        <v>3</v>
      </c>
      <c r="AC1117">
        <v>0</v>
      </c>
      <c r="AD1117">
        <v>10</v>
      </c>
      <c r="AE1117">
        <v>0</v>
      </c>
      <c r="AF1117">
        <v>3</v>
      </c>
      <c r="AG1117">
        <v>2</v>
      </c>
      <c r="AH1117">
        <v>0</v>
      </c>
      <c r="AI1117" t="s">
        <v>831</v>
      </c>
      <c r="AJ1117">
        <v>39.730767999999998</v>
      </c>
      <c r="AK1117" t="s">
        <v>832</v>
      </c>
      <c r="AL1117">
        <v>-92.524773999999994</v>
      </c>
      <c r="AM1117">
        <v>100</v>
      </c>
      <c r="AN1117">
        <v>1700</v>
      </c>
      <c r="AO1117" t="s">
        <v>118</v>
      </c>
      <c r="AP1117">
        <v>27</v>
      </c>
      <c r="AQ1117">
        <v>118</v>
      </c>
      <c r="AR1117">
        <v>0</v>
      </c>
      <c r="AZ1117">
        <v>1200</v>
      </c>
      <c r="BA1117">
        <v>1</v>
      </c>
      <c r="BB1117" t="str">
        <f t="shared" si="54"/>
        <v xml:space="preserve">N8080G  </v>
      </c>
      <c r="BC1117">
        <v>1</v>
      </c>
      <c r="BE1117">
        <v>0</v>
      </c>
      <c r="BF1117">
        <v>0</v>
      </c>
      <c r="BG1117">
        <v>0</v>
      </c>
      <c r="BH1117">
        <v>1675</v>
      </c>
      <c r="BI1117">
        <v>1</v>
      </c>
      <c r="BJ1117">
        <v>1</v>
      </c>
      <c r="BK1117">
        <v>1</v>
      </c>
      <c r="BL1117">
        <v>0</v>
      </c>
      <c r="BO1117">
        <v>0</v>
      </c>
      <c r="BP1117">
        <v>0</v>
      </c>
      <c r="BW1117" t="str">
        <f>"20:18:15.333"</f>
        <v>20:18:15.333</v>
      </c>
      <c r="BZ1117">
        <v>0</v>
      </c>
      <c r="CA1117">
        <v>2016</v>
      </c>
      <c r="CB1117">
        <v>224</v>
      </c>
      <c r="CD1117">
        <v>1</v>
      </c>
      <c r="CE1117">
        <v>0</v>
      </c>
      <c r="CF1117">
        <v>0</v>
      </c>
      <c r="CG1117">
        <v>1</v>
      </c>
      <c r="CH1117">
        <v>0</v>
      </c>
      <c r="CI1117">
        <v>0</v>
      </c>
      <c r="CJ1117">
        <v>0</v>
      </c>
      <c r="CK1117">
        <v>2</v>
      </c>
      <c r="CL1117">
        <v>0</v>
      </c>
      <c r="CM1117">
        <v>2</v>
      </c>
      <c r="CN1117">
        <v>0</v>
      </c>
      <c r="CO1117">
        <v>7</v>
      </c>
      <c r="CP1117" t="s">
        <v>119</v>
      </c>
      <c r="CQ1117">
        <v>180</v>
      </c>
      <c r="CR1117">
        <v>2</v>
      </c>
      <c r="CW1117">
        <v>8078430</v>
      </c>
      <c r="CY1117">
        <v>1</v>
      </c>
      <c r="CZ1117">
        <v>0</v>
      </c>
      <c r="DA1117">
        <v>1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</row>
    <row r="1118" spans="1:113" x14ac:dyDescent="0.3">
      <c r="A1118" t="str">
        <f>"02/08/2021 20:18:13.032"</f>
        <v>02/08/2021 20:18:13.032</v>
      </c>
      <c r="C1118" t="str">
        <f t="shared" si="53"/>
        <v>FFDFD7C0</v>
      </c>
      <c r="D1118" t="s">
        <v>124</v>
      </c>
      <c r="E1118">
        <v>11</v>
      </c>
      <c r="F1118">
        <v>1011</v>
      </c>
      <c r="G1118" t="s">
        <v>590</v>
      </c>
      <c r="J1118" t="s">
        <v>125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>"20:18:15.328"</f>
        <v>20:18:15.328</v>
      </c>
      <c r="T1118" t="str">
        <f>"20:18:14.828"</f>
        <v>20:18:14.828</v>
      </c>
      <c r="U1118" t="str">
        <f t="shared" si="52"/>
        <v>AB01F4</v>
      </c>
      <c r="V1118">
        <v>0</v>
      </c>
      <c r="W1118">
        <v>0</v>
      </c>
      <c r="X1118">
        <v>2</v>
      </c>
      <c r="Z1118">
        <v>0</v>
      </c>
      <c r="AA1118">
        <v>9</v>
      </c>
      <c r="AB1118">
        <v>3</v>
      </c>
      <c r="AC1118">
        <v>0</v>
      </c>
      <c r="AD1118">
        <v>10</v>
      </c>
      <c r="AE1118">
        <v>0</v>
      </c>
      <c r="AF1118">
        <v>3</v>
      </c>
      <c r="AG1118">
        <v>2</v>
      </c>
      <c r="AH1118">
        <v>0</v>
      </c>
      <c r="AI1118" t="s">
        <v>831</v>
      </c>
      <c r="AJ1118">
        <v>39.730767999999998</v>
      </c>
      <c r="AK1118" t="s">
        <v>832</v>
      </c>
      <c r="AL1118">
        <v>-92.524773999999994</v>
      </c>
      <c r="AM1118">
        <v>100</v>
      </c>
      <c r="AN1118">
        <v>1700</v>
      </c>
      <c r="AO1118" t="s">
        <v>118</v>
      </c>
      <c r="AP1118">
        <v>27</v>
      </c>
      <c r="AQ1118">
        <v>118</v>
      </c>
      <c r="AR1118">
        <v>0</v>
      </c>
      <c r="AZ1118">
        <v>1200</v>
      </c>
      <c r="BA1118">
        <v>1</v>
      </c>
      <c r="BB1118" t="str">
        <f t="shared" si="54"/>
        <v xml:space="preserve">N8080G  </v>
      </c>
      <c r="BC1118">
        <v>1</v>
      </c>
      <c r="BE1118">
        <v>0</v>
      </c>
      <c r="BF1118">
        <v>0</v>
      </c>
      <c r="BG1118">
        <v>0</v>
      </c>
      <c r="BH1118">
        <v>1675</v>
      </c>
      <c r="BI1118">
        <v>1</v>
      </c>
      <c r="BJ1118">
        <v>1</v>
      </c>
      <c r="BK1118">
        <v>1</v>
      </c>
      <c r="BL1118">
        <v>0</v>
      </c>
      <c r="BO1118">
        <v>0</v>
      </c>
      <c r="BP1118">
        <v>0</v>
      </c>
      <c r="BW1118" t="str">
        <f>"20:18:15.333"</f>
        <v>20:18:15.333</v>
      </c>
      <c r="BZ1118">
        <v>0</v>
      </c>
      <c r="CA1118">
        <v>2016</v>
      </c>
      <c r="CB1118">
        <v>224</v>
      </c>
      <c r="CD1118">
        <v>1</v>
      </c>
      <c r="CE1118">
        <v>0</v>
      </c>
      <c r="CF1118">
        <v>0</v>
      </c>
      <c r="CG1118">
        <v>1</v>
      </c>
      <c r="CH1118">
        <v>0</v>
      </c>
      <c r="CI1118">
        <v>0</v>
      </c>
      <c r="CJ1118">
        <v>0</v>
      </c>
      <c r="CK1118">
        <v>2</v>
      </c>
      <c r="CL1118">
        <v>0</v>
      </c>
      <c r="CM1118">
        <v>2</v>
      </c>
      <c r="CN1118">
        <v>0</v>
      </c>
      <c r="CO1118">
        <v>7</v>
      </c>
      <c r="CP1118" t="s">
        <v>119</v>
      </c>
      <c r="CQ1118">
        <v>180</v>
      </c>
      <c r="CR1118">
        <v>2</v>
      </c>
      <c r="CW1118">
        <v>8078430</v>
      </c>
      <c r="CY1118">
        <v>1</v>
      </c>
      <c r="CZ1118">
        <v>0</v>
      </c>
      <c r="DA1118">
        <v>1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</row>
    <row r="1119" spans="1:113" x14ac:dyDescent="0.3">
      <c r="A1119" t="str">
        <f>"02/08/2021 20:18:14.000"</f>
        <v>02/08/2021 20:18:14.000</v>
      </c>
      <c r="C1119" t="str">
        <f t="shared" si="53"/>
        <v>FFDFD7C0</v>
      </c>
      <c r="D1119" t="s">
        <v>124</v>
      </c>
      <c r="E1119">
        <v>12</v>
      </c>
      <c r="F1119">
        <v>1012</v>
      </c>
      <c r="G1119" t="s">
        <v>675</v>
      </c>
      <c r="J1119" t="s">
        <v>125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>"20:18:16.313"</f>
        <v>20:18:16.313</v>
      </c>
      <c r="T1119" t="str">
        <f>"20:18:15.813"</f>
        <v>20:18:15.813</v>
      </c>
      <c r="U1119" t="str">
        <f t="shared" si="52"/>
        <v>AB01F4</v>
      </c>
      <c r="V1119">
        <v>0</v>
      </c>
      <c r="W1119">
        <v>0</v>
      </c>
      <c r="X1119">
        <v>2</v>
      </c>
      <c r="Z1119">
        <v>0</v>
      </c>
      <c r="AA1119">
        <v>9</v>
      </c>
      <c r="AB1119">
        <v>3</v>
      </c>
      <c r="AC1119">
        <v>0</v>
      </c>
      <c r="AD1119">
        <v>10</v>
      </c>
      <c r="AE1119">
        <v>0</v>
      </c>
      <c r="AF1119">
        <v>3</v>
      </c>
      <c r="AG1119">
        <v>2</v>
      </c>
      <c r="AH1119">
        <v>0</v>
      </c>
      <c r="AI1119" t="s">
        <v>833</v>
      </c>
      <c r="AJ1119">
        <v>39.731326000000003</v>
      </c>
      <c r="AK1119" t="s">
        <v>834</v>
      </c>
      <c r="AL1119">
        <v>-92.524580999999998</v>
      </c>
      <c r="AM1119">
        <v>100</v>
      </c>
      <c r="AN1119">
        <v>1700</v>
      </c>
      <c r="AO1119" t="s">
        <v>118</v>
      </c>
      <c r="AP1119">
        <v>28</v>
      </c>
      <c r="AQ1119">
        <v>118</v>
      </c>
      <c r="AR1119">
        <v>0</v>
      </c>
      <c r="AZ1119">
        <v>1200</v>
      </c>
      <c r="BA1119">
        <v>1</v>
      </c>
      <c r="BB1119" t="str">
        <f t="shared" si="54"/>
        <v xml:space="preserve">N8080G  </v>
      </c>
      <c r="BC1119">
        <v>1</v>
      </c>
      <c r="BE1119">
        <v>0</v>
      </c>
      <c r="BF1119">
        <v>0</v>
      </c>
      <c r="BG1119">
        <v>0</v>
      </c>
      <c r="BH1119">
        <v>1675</v>
      </c>
      <c r="BI1119">
        <v>1</v>
      </c>
      <c r="BJ1119">
        <v>1</v>
      </c>
      <c r="BK1119">
        <v>1</v>
      </c>
      <c r="BL1119">
        <v>0</v>
      </c>
      <c r="BO1119">
        <v>0</v>
      </c>
      <c r="BP1119">
        <v>0</v>
      </c>
      <c r="BW1119" t="str">
        <f>"20:18:16.314"</f>
        <v>20:18:16.314</v>
      </c>
      <c r="BZ1119">
        <v>0</v>
      </c>
      <c r="CA1119">
        <v>2016</v>
      </c>
      <c r="CB1119">
        <v>224</v>
      </c>
      <c r="CD1119">
        <v>1</v>
      </c>
      <c r="CE1119">
        <v>0</v>
      </c>
      <c r="CF1119">
        <v>0</v>
      </c>
      <c r="CG1119">
        <v>1</v>
      </c>
      <c r="CH1119">
        <v>0</v>
      </c>
      <c r="CI1119">
        <v>0</v>
      </c>
      <c r="CJ1119">
        <v>0</v>
      </c>
      <c r="CK1119">
        <v>2</v>
      </c>
      <c r="CL1119">
        <v>0</v>
      </c>
      <c r="CM1119">
        <v>2</v>
      </c>
      <c r="CN1119">
        <v>0</v>
      </c>
      <c r="CO1119">
        <v>6</v>
      </c>
      <c r="CP1119" t="s">
        <v>119</v>
      </c>
      <c r="CQ1119">
        <v>180</v>
      </c>
      <c r="CR1119">
        <v>1</v>
      </c>
      <c r="CW1119">
        <v>10638990</v>
      </c>
      <c r="CY1119">
        <v>1</v>
      </c>
      <c r="CZ1119">
        <v>0</v>
      </c>
      <c r="DA1119">
        <v>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</row>
    <row r="1120" spans="1:113" x14ac:dyDescent="0.3">
      <c r="A1120" t="str">
        <f>"02/08/2021 20:18:14.000"</f>
        <v>02/08/2021 20:18:14.000</v>
      </c>
      <c r="C1120" t="str">
        <f t="shared" si="53"/>
        <v>FFDFD7C0</v>
      </c>
      <c r="D1120" t="s">
        <v>113</v>
      </c>
      <c r="E1120">
        <v>6</v>
      </c>
      <c r="H1120">
        <v>165</v>
      </c>
      <c r="I1120" t="s">
        <v>114</v>
      </c>
      <c r="J1120" t="s">
        <v>115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>"20:18:16.313"</f>
        <v>20:18:16.313</v>
      </c>
      <c r="T1120" t="str">
        <f>"20:18:15.813"</f>
        <v>20:18:15.813</v>
      </c>
      <c r="U1120" t="str">
        <f t="shared" si="52"/>
        <v>AB01F4</v>
      </c>
      <c r="V1120">
        <v>0</v>
      </c>
      <c r="W1120">
        <v>0</v>
      </c>
      <c r="X1120">
        <v>2</v>
      </c>
      <c r="Z1120">
        <v>0</v>
      </c>
      <c r="AA1120">
        <v>9</v>
      </c>
      <c r="AB1120">
        <v>3</v>
      </c>
      <c r="AC1120">
        <v>0</v>
      </c>
      <c r="AD1120">
        <v>10</v>
      </c>
      <c r="AE1120">
        <v>0</v>
      </c>
      <c r="AF1120">
        <v>3</v>
      </c>
      <c r="AG1120">
        <v>2</v>
      </c>
      <c r="AH1120">
        <v>0</v>
      </c>
      <c r="AI1120" t="s">
        <v>833</v>
      </c>
      <c r="AJ1120">
        <v>39.731326000000003</v>
      </c>
      <c r="AK1120" t="s">
        <v>834</v>
      </c>
      <c r="AL1120">
        <v>-92.524580999999998</v>
      </c>
      <c r="AM1120">
        <v>100</v>
      </c>
      <c r="AN1120">
        <v>1700</v>
      </c>
      <c r="AO1120" t="s">
        <v>118</v>
      </c>
      <c r="AP1120">
        <v>28</v>
      </c>
      <c r="AQ1120">
        <v>118</v>
      </c>
      <c r="AR1120">
        <v>0</v>
      </c>
      <c r="AZ1120">
        <v>1200</v>
      </c>
      <c r="BA1120">
        <v>1</v>
      </c>
      <c r="BB1120" t="str">
        <f t="shared" si="54"/>
        <v xml:space="preserve">N8080G  </v>
      </c>
      <c r="BC1120">
        <v>1</v>
      </c>
      <c r="BE1120">
        <v>0</v>
      </c>
      <c r="BF1120">
        <v>0</v>
      </c>
      <c r="BG1120">
        <v>0</v>
      </c>
      <c r="BH1120">
        <v>1675</v>
      </c>
      <c r="BI1120">
        <v>1</v>
      </c>
      <c r="BJ1120">
        <v>1</v>
      </c>
      <c r="BK1120">
        <v>1</v>
      </c>
      <c r="BL1120">
        <v>0</v>
      </c>
      <c r="BO1120">
        <v>0</v>
      </c>
      <c r="BP1120">
        <v>0</v>
      </c>
      <c r="BW1120" t="str">
        <f>"20:18:16.314"</f>
        <v>20:18:16.314</v>
      </c>
      <c r="BZ1120">
        <v>0</v>
      </c>
      <c r="CA1120">
        <v>2016</v>
      </c>
      <c r="CB1120">
        <v>224</v>
      </c>
      <c r="CD1120">
        <v>1</v>
      </c>
      <c r="CE1120">
        <v>0</v>
      </c>
      <c r="CF1120">
        <v>0</v>
      </c>
      <c r="CG1120">
        <v>1</v>
      </c>
      <c r="CH1120">
        <v>0</v>
      </c>
      <c r="CI1120">
        <v>0</v>
      </c>
      <c r="CJ1120">
        <v>0</v>
      </c>
      <c r="CK1120">
        <v>2</v>
      </c>
      <c r="CL1120">
        <v>0</v>
      </c>
      <c r="CM1120">
        <v>2</v>
      </c>
      <c r="CN1120">
        <v>0</v>
      </c>
      <c r="CO1120">
        <v>6</v>
      </c>
      <c r="CP1120" t="s">
        <v>119</v>
      </c>
      <c r="CQ1120">
        <v>180</v>
      </c>
      <c r="CR1120">
        <v>1</v>
      </c>
      <c r="CW1120">
        <v>10638990</v>
      </c>
      <c r="CY1120">
        <v>1</v>
      </c>
      <c r="CZ1120">
        <v>0</v>
      </c>
      <c r="DA1120">
        <v>1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</row>
    <row r="1121" spans="1:113" x14ac:dyDescent="0.3">
      <c r="A1121" t="str">
        <f>"02/08/2021 20:18:14.000"</f>
        <v>02/08/2021 20:18:14.000</v>
      </c>
      <c r="C1121" t="str">
        <f t="shared" si="53"/>
        <v>FFDFD7C0</v>
      </c>
      <c r="D1121" t="s">
        <v>124</v>
      </c>
      <c r="E1121">
        <v>11</v>
      </c>
      <c r="F1121">
        <v>1011</v>
      </c>
      <c r="G1121" t="s">
        <v>590</v>
      </c>
      <c r="J1121" t="s">
        <v>125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>"20:18:16.313"</f>
        <v>20:18:16.313</v>
      </c>
      <c r="T1121" t="str">
        <f>"20:18:15.813"</f>
        <v>20:18:15.813</v>
      </c>
      <c r="U1121" t="str">
        <f t="shared" si="52"/>
        <v>AB01F4</v>
      </c>
      <c r="V1121">
        <v>0</v>
      </c>
      <c r="W1121">
        <v>0</v>
      </c>
      <c r="X1121">
        <v>2</v>
      </c>
      <c r="Z1121">
        <v>0</v>
      </c>
      <c r="AA1121">
        <v>9</v>
      </c>
      <c r="AB1121">
        <v>3</v>
      </c>
      <c r="AC1121">
        <v>0</v>
      </c>
      <c r="AD1121">
        <v>10</v>
      </c>
      <c r="AE1121">
        <v>0</v>
      </c>
      <c r="AF1121">
        <v>3</v>
      </c>
      <c r="AG1121">
        <v>2</v>
      </c>
      <c r="AH1121">
        <v>0</v>
      </c>
      <c r="AI1121" t="s">
        <v>833</v>
      </c>
      <c r="AJ1121">
        <v>39.731326000000003</v>
      </c>
      <c r="AK1121" t="s">
        <v>834</v>
      </c>
      <c r="AL1121">
        <v>-92.524580999999998</v>
      </c>
      <c r="AM1121">
        <v>100</v>
      </c>
      <c r="AN1121">
        <v>1700</v>
      </c>
      <c r="AO1121" t="s">
        <v>118</v>
      </c>
      <c r="AP1121">
        <v>28</v>
      </c>
      <c r="AQ1121">
        <v>118</v>
      </c>
      <c r="AR1121">
        <v>0</v>
      </c>
      <c r="AZ1121">
        <v>1200</v>
      </c>
      <c r="BA1121">
        <v>1</v>
      </c>
      <c r="BB1121" t="str">
        <f t="shared" si="54"/>
        <v xml:space="preserve">N8080G  </v>
      </c>
      <c r="BC1121">
        <v>1</v>
      </c>
      <c r="BE1121">
        <v>0</v>
      </c>
      <c r="BF1121">
        <v>0</v>
      </c>
      <c r="BG1121">
        <v>0</v>
      </c>
      <c r="BH1121">
        <v>1675</v>
      </c>
      <c r="BI1121">
        <v>1</v>
      </c>
      <c r="BJ1121">
        <v>1</v>
      </c>
      <c r="BK1121">
        <v>1</v>
      </c>
      <c r="BL1121">
        <v>0</v>
      </c>
      <c r="BO1121">
        <v>0</v>
      </c>
      <c r="BP1121">
        <v>0</v>
      </c>
      <c r="BW1121" t="str">
        <f>"20:18:16.314"</f>
        <v>20:18:16.314</v>
      </c>
      <c r="BZ1121">
        <v>0</v>
      </c>
      <c r="CA1121">
        <v>2016</v>
      </c>
      <c r="CB1121">
        <v>224</v>
      </c>
      <c r="CD1121">
        <v>1</v>
      </c>
      <c r="CE1121">
        <v>0</v>
      </c>
      <c r="CF1121">
        <v>0</v>
      </c>
      <c r="CG1121">
        <v>1</v>
      </c>
      <c r="CH1121">
        <v>0</v>
      </c>
      <c r="CI1121">
        <v>0</v>
      </c>
      <c r="CJ1121">
        <v>0</v>
      </c>
      <c r="CK1121">
        <v>2</v>
      </c>
      <c r="CL1121">
        <v>0</v>
      </c>
      <c r="CM1121">
        <v>2</v>
      </c>
      <c r="CN1121">
        <v>0</v>
      </c>
      <c r="CO1121">
        <v>6</v>
      </c>
      <c r="CP1121" t="s">
        <v>119</v>
      </c>
      <c r="CQ1121">
        <v>180</v>
      </c>
      <c r="CR1121">
        <v>1</v>
      </c>
      <c r="CW1121">
        <v>10638990</v>
      </c>
      <c r="CY1121">
        <v>1</v>
      </c>
      <c r="CZ1121">
        <v>0</v>
      </c>
      <c r="DA1121">
        <v>1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</row>
    <row r="1122" spans="1:113" x14ac:dyDescent="0.3">
      <c r="A1122" t="str">
        <f>"02/08/2021 20:18:14.000"</f>
        <v>02/08/2021 20:18:14.000</v>
      </c>
      <c r="C1122" t="str">
        <f t="shared" si="53"/>
        <v>FFDFD7C0</v>
      </c>
      <c r="D1122" t="s">
        <v>124</v>
      </c>
      <c r="E1122">
        <v>13</v>
      </c>
      <c r="F1122">
        <v>1013</v>
      </c>
      <c r="G1122" t="s">
        <v>114</v>
      </c>
      <c r="J1122" t="s">
        <v>125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>"20:18:16.313"</f>
        <v>20:18:16.313</v>
      </c>
      <c r="T1122" t="str">
        <f>"20:18:15.813"</f>
        <v>20:18:15.813</v>
      </c>
      <c r="U1122" t="str">
        <f t="shared" si="52"/>
        <v>AB01F4</v>
      </c>
      <c r="V1122">
        <v>0</v>
      </c>
      <c r="W1122">
        <v>0</v>
      </c>
      <c r="X1122">
        <v>2</v>
      </c>
      <c r="Z1122">
        <v>0</v>
      </c>
      <c r="AA1122">
        <v>9</v>
      </c>
      <c r="AB1122">
        <v>3</v>
      </c>
      <c r="AC1122">
        <v>0</v>
      </c>
      <c r="AD1122">
        <v>10</v>
      </c>
      <c r="AE1122">
        <v>0</v>
      </c>
      <c r="AF1122">
        <v>3</v>
      </c>
      <c r="AG1122">
        <v>2</v>
      </c>
      <c r="AH1122">
        <v>0</v>
      </c>
      <c r="AI1122" t="s">
        <v>833</v>
      </c>
      <c r="AJ1122">
        <v>39.731326000000003</v>
      </c>
      <c r="AK1122" t="s">
        <v>834</v>
      </c>
      <c r="AL1122">
        <v>-92.524580999999998</v>
      </c>
      <c r="AM1122">
        <v>100</v>
      </c>
      <c r="AN1122">
        <v>1700</v>
      </c>
      <c r="AO1122" t="s">
        <v>118</v>
      </c>
      <c r="AP1122">
        <v>28</v>
      </c>
      <c r="AQ1122">
        <v>118</v>
      </c>
      <c r="AR1122">
        <v>0</v>
      </c>
      <c r="AZ1122">
        <v>1200</v>
      </c>
      <c r="BA1122">
        <v>1</v>
      </c>
      <c r="BB1122" t="str">
        <f t="shared" si="54"/>
        <v xml:space="preserve">N8080G  </v>
      </c>
      <c r="BC1122">
        <v>1</v>
      </c>
      <c r="BE1122">
        <v>0</v>
      </c>
      <c r="BF1122">
        <v>0</v>
      </c>
      <c r="BG1122">
        <v>0</v>
      </c>
      <c r="BH1122">
        <v>1675</v>
      </c>
      <c r="BI1122">
        <v>1</v>
      </c>
      <c r="BJ1122">
        <v>1</v>
      </c>
      <c r="BK1122">
        <v>1</v>
      </c>
      <c r="BL1122">
        <v>0</v>
      </c>
      <c r="BO1122">
        <v>0</v>
      </c>
      <c r="BP1122">
        <v>0</v>
      </c>
      <c r="BW1122" t="str">
        <f>"20:18:16.314"</f>
        <v>20:18:16.314</v>
      </c>
      <c r="BZ1122">
        <v>0</v>
      </c>
      <c r="CA1122">
        <v>2016</v>
      </c>
      <c r="CB1122">
        <v>224</v>
      </c>
      <c r="CD1122">
        <v>1</v>
      </c>
      <c r="CE1122">
        <v>0</v>
      </c>
      <c r="CF1122">
        <v>0</v>
      </c>
      <c r="CG1122">
        <v>1</v>
      </c>
      <c r="CH1122">
        <v>0</v>
      </c>
      <c r="CI1122">
        <v>0</v>
      </c>
      <c r="CJ1122">
        <v>0</v>
      </c>
      <c r="CK1122">
        <v>2</v>
      </c>
      <c r="CL1122">
        <v>0</v>
      </c>
      <c r="CM1122">
        <v>2</v>
      </c>
      <c r="CN1122">
        <v>0</v>
      </c>
      <c r="CO1122">
        <v>6</v>
      </c>
      <c r="CP1122" t="s">
        <v>119</v>
      </c>
      <c r="CQ1122">
        <v>180</v>
      </c>
      <c r="CR1122">
        <v>1</v>
      </c>
      <c r="CW1122">
        <v>10638990</v>
      </c>
      <c r="CY1122">
        <v>1</v>
      </c>
      <c r="CZ1122">
        <v>0</v>
      </c>
      <c r="DA1122">
        <v>1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</row>
    <row r="1123" spans="1:113" x14ac:dyDescent="0.3">
      <c r="A1123" t="str">
        <f>"02/08/2021 20:18:15.043"</f>
        <v>02/08/2021 20:18:15.043</v>
      </c>
      <c r="C1123" t="str">
        <f t="shared" si="53"/>
        <v>FFDFD7C0</v>
      </c>
      <c r="D1123" t="s">
        <v>124</v>
      </c>
      <c r="E1123">
        <v>13</v>
      </c>
      <c r="F1123">
        <v>1013</v>
      </c>
      <c r="G1123" t="s">
        <v>114</v>
      </c>
      <c r="J1123" t="s">
        <v>125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>"20:18:17.391"</f>
        <v>20:18:17.391</v>
      </c>
      <c r="T1123" t="str">
        <f>"20:18:16.991"</f>
        <v>20:18:16.991</v>
      </c>
      <c r="U1123" t="str">
        <f t="shared" si="52"/>
        <v>AB01F4</v>
      </c>
      <c r="V1123">
        <v>0</v>
      </c>
      <c r="W1123">
        <v>0</v>
      </c>
      <c r="X1123">
        <v>2</v>
      </c>
      <c r="Z1123">
        <v>0</v>
      </c>
      <c r="AA1123">
        <v>9</v>
      </c>
      <c r="AB1123">
        <v>3</v>
      </c>
      <c r="AC1123">
        <v>0</v>
      </c>
      <c r="AD1123">
        <v>10</v>
      </c>
      <c r="AE1123">
        <v>0</v>
      </c>
      <c r="AF1123">
        <v>3</v>
      </c>
      <c r="AG1123">
        <v>2</v>
      </c>
      <c r="AH1123">
        <v>0</v>
      </c>
      <c r="AI1123" t="s">
        <v>835</v>
      </c>
      <c r="AJ1123">
        <v>39.731862999999997</v>
      </c>
      <c r="AK1123" t="s">
        <v>765</v>
      </c>
      <c r="AL1123">
        <v>-92.524409000000006</v>
      </c>
      <c r="AM1123">
        <v>100</v>
      </c>
      <c r="AN1123">
        <v>1700</v>
      </c>
      <c r="AO1123" t="s">
        <v>118</v>
      </c>
      <c r="AP1123">
        <v>28</v>
      </c>
      <c r="AQ1123">
        <v>118</v>
      </c>
      <c r="AR1123">
        <v>-64</v>
      </c>
      <c r="AZ1123">
        <v>1200</v>
      </c>
      <c r="BA1123">
        <v>1</v>
      </c>
      <c r="BB1123" t="str">
        <f t="shared" si="54"/>
        <v xml:space="preserve">N8080G  </v>
      </c>
      <c r="BC1123">
        <v>1</v>
      </c>
      <c r="BE1123">
        <v>0</v>
      </c>
      <c r="BF1123">
        <v>0</v>
      </c>
      <c r="BG1123">
        <v>0</v>
      </c>
      <c r="BH1123">
        <v>1675</v>
      </c>
      <c r="BI1123">
        <v>1</v>
      </c>
      <c r="BJ1123">
        <v>1</v>
      </c>
      <c r="BK1123">
        <v>1</v>
      </c>
      <c r="BL1123">
        <v>0</v>
      </c>
      <c r="BO1123">
        <v>0</v>
      </c>
      <c r="BP1123">
        <v>0</v>
      </c>
      <c r="BW1123" t="str">
        <f>"20:18:17.391"</f>
        <v>20:18:17.391</v>
      </c>
      <c r="BZ1123">
        <v>0</v>
      </c>
      <c r="CA1123">
        <v>2016</v>
      </c>
      <c r="CB1123">
        <v>224</v>
      </c>
      <c r="CD1123">
        <v>1</v>
      </c>
      <c r="CE1123">
        <v>0</v>
      </c>
      <c r="CF1123">
        <v>0</v>
      </c>
      <c r="CG1123">
        <v>1</v>
      </c>
      <c r="CH1123">
        <v>0</v>
      </c>
      <c r="CI1123">
        <v>0</v>
      </c>
      <c r="CJ1123">
        <v>0</v>
      </c>
      <c r="CK1123">
        <v>2</v>
      </c>
      <c r="CL1123">
        <v>0</v>
      </c>
      <c r="CM1123">
        <v>2</v>
      </c>
      <c r="CN1123">
        <v>0</v>
      </c>
      <c r="CO1123">
        <v>6</v>
      </c>
      <c r="CP1123" t="s">
        <v>119</v>
      </c>
      <c r="CQ1123">
        <v>180</v>
      </c>
      <c r="CR1123">
        <v>2</v>
      </c>
      <c r="CW1123">
        <v>8080009</v>
      </c>
      <c r="CY1123">
        <v>1</v>
      </c>
      <c r="CZ1123">
        <v>0</v>
      </c>
      <c r="DA1123">
        <v>0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0</v>
      </c>
    </row>
    <row r="1124" spans="1:113" x14ac:dyDescent="0.3">
      <c r="A1124" t="str">
        <f>"02/08/2021 20:18:15.043"</f>
        <v>02/08/2021 20:18:15.043</v>
      </c>
      <c r="C1124" t="str">
        <f t="shared" si="53"/>
        <v>FFDFD7C0</v>
      </c>
      <c r="D1124" t="s">
        <v>124</v>
      </c>
      <c r="E1124">
        <v>12</v>
      </c>
      <c r="F1124">
        <v>1012</v>
      </c>
      <c r="G1124" t="s">
        <v>675</v>
      </c>
      <c r="J1124" t="s">
        <v>125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>"20:18:17.391"</f>
        <v>20:18:17.391</v>
      </c>
      <c r="T1124" t="str">
        <f>"20:18:16.991"</f>
        <v>20:18:16.991</v>
      </c>
      <c r="U1124" t="str">
        <f t="shared" si="52"/>
        <v>AB01F4</v>
      </c>
      <c r="V1124">
        <v>0</v>
      </c>
      <c r="W1124">
        <v>0</v>
      </c>
      <c r="X1124">
        <v>2</v>
      </c>
      <c r="Z1124">
        <v>0</v>
      </c>
      <c r="AA1124">
        <v>9</v>
      </c>
      <c r="AB1124">
        <v>3</v>
      </c>
      <c r="AC1124">
        <v>0</v>
      </c>
      <c r="AD1124">
        <v>10</v>
      </c>
      <c r="AE1124">
        <v>0</v>
      </c>
      <c r="AF1124">
        <v>3</v>
      </c>
      <c r="AG1124">
        <v>2</v>
      </c>
      <c r="AH1124">
        <v>0</v>
      </c>
      <c r="AI1124" t="s">
        <v>835</v>
      </c>
      <c r="AJ1124">
        <v>39.731862999999997</v>
      </c>
      <c r="AK1124" t="s">
        <v>765</v>
      </c>
      <c r="AL1124">
        <v>-92.524409000000006</v>
      </c>
      <c r="AM1124">
        <v>100</v>
      </c>
      <c r="AN1124">
        <v>1700</v>
      </c>
      <c r="AO1124" t="s">
        <v>118</v>
      </c>
      <c r="AP1124">
        <v>28</v>
      </c>
      <c r="AQ1124">
        <v>118</v>
      </c>
      <c r="AR1124">
        <v>-64</v>
      </c>
      <c r="AZ1124">
        <v>1200</v>
      </c>
      <c r="BA1124">
        <v>1</v>
      </c>
      <c r="BB1124" t="str">
        <f t="shared" si="54"/>
        <v xml:space="preserve">N8080G  </v>
      </c>
      <c r="BC1124">
        <v>1</v>
      </c>
      <c r="BE1124">
        <v>0</v>
      </c>
      <c r="BF1124">
        <v>0</v>
      </c>
      <c r="BG1124">
        <v>0</v>
      </c>
      <c r="BH1124">
        <v>1675</v>
      </c>
      <c r="BI1124">
        <v>1</v>
      </c>
      <c r="BJ1124">
        <v>1</v>
      </c>
      <c r="BK1124">
        <v>1</v>
      </c>
      <c r="BL1124">
        <v>0</v>
      </c>
      <c r="BO1124">
        <v>0</v>
      </c>
      <c r="BP1124">
        <v>0</v>
      </c>
      <c r="BW1124" t="str">
        <f>"20:18:17.391"</f>
        <v>20:18:17.391</v>
      </c>
      <c r="BZ1124">
        <v>0</v>
      </c>
      <c r="CA1124">
        <v>2016</v>
      </c>
      <c r="CB1124">
        <v>224</v>
      </c>
      <c r="CD1124">
        <v>1</v>
      </c>
      <c r="CE1124">
        <v>0</v>
      </c>
      <c r="CF1124">
        <v>0</v>
      </c>
      <c r="CG1124">
        <v>1</v>
      </c>
      <c r="CH1124">
        <v>0</v>
      </c>
      <c r="CI1124">
        <v>0</v>
      </c>
      <c r="CJ1124">
        <v>0</v>
      </c>
      <c r="CK1124">
        <v>2</v>
      </c>
      <c r="CL1124">
        <v>0</v>
      </c>
      <c r="CM1124">
        <v>2</v>
      </c>
      <c r="CN1124">
        <v>0</v>
      </c>
      <c r="CO1124">
        <v>6</v>
      </c>
      <c r="CP1124" t="s">
        <v>119</v>
      </c>
      <c r="CQ1124">
        <v>180</v>
      </c>
      <c r="CR1124">
        <v>2</v>
      </c>
      <c r="CW1124">
        <v>8080009</v>
      </c>
      <c r="CY1124">
        <v>1</v>
      </c>
      <c r="CZ1124">
        <v>0</v>
      </c>
      <c r="DA1124">
        <v>1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</row>
    <row r="1125" spans="1:113" x14ac:dyDescent="0.3">
      <c r="A1125" t="str">
        <f>"02/08/2021 20:18:15.043"</f>
        <v>02/08/2021 20:18:15.043</v>
      </c>
      <c r="C1125" t="str">
        <f t="shared" si="53"/>
        <v>FFDFD7C0</v>
      </c>
      <c r="D1125" t="s">
        <v>113</v>
      </c>
      <c r="E1125">
        <v>6</v>
      </c>
      <c r="H1125">
        <v>165</v>
      </c>
      <c r="I1125" t="s">
        <v>114</v>
      </c>
      <c r="J1125" t="s">
        <v>115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>"20:18:17.391"</f>
        <v>20:18:17.391</v>
      </c>
      <c r="T1125" t="str">
        <f>"20:18:16.991"</f>
        <v>20:18:16.991</v>
      </c>
      <c r="U1125" t="str">
        <f t="shared" si="52"/>
        <v>AB01F4</v>
      </c>
      <c r="V1125">
        <v>0</v>
      </c>
      <c r="W1125">
        <v>0</v>
      </c>
      <c r="X1125">
        <v>2</v>
      </c>
      <c r="Z1125">
        <v>0</v>
      </c>
      <c r="AA1125">
        <v>9</v>
      </c>
      <c r="AB1125">
        <v>3</v>
      </c>
      <c r="AC1125">
        <v>0</v>
      </c>
      <c r="AD1125">
        <v>10</v>
      </c>
      <c r="AE1125">
        <v>0</v>
      </c>
      <c r="AF1125">
        <v>3</v>
      </c>
      <c r="AG1125">
        <v>2</v>
      </c>
      <c r="AH1125">
        <v>0</v>
      </c>
      <c r="AI1125" t="s">
        <v>835</v>
      </c>
      <c r="AJ1125">
        <v>39.731862999999997</v>
      </c>
      <c r="AK1125" t="s">
        <v>765</v>
      </c>
      <c r="AL1125">
        <v>-92.524409000000006</v>
      </c>
      <c r="AM1125">
        <v>100</v>
      </c>
      <c r="AN1125">
        <v>1700</v>
      </c>
      <c r="AO1125" t="s">
        <v>118</v>
      </c>
      <c r="AP1125">
        <v>28</v>
      </c>
      <c r="AQ1125">
        <v>118</v>
      </c>
      <c r="AR1125">
        <v>-64</v>
      </c>
      <c r="AZ1125">
        <v>1200</v>
      </c>
      <c r="BA1125">
        <v>1</v>
      </c>
      <c r="BB1125" t="str">
        <f t="shared" si="54"/>
        <v xml:space="preserve">N8080G  </v>
      </c>
      <c r="BC1125">
        <v>1</v>
      </c>
      <c r="BE1125">
        <v>0</v>
      </c>
      <c r="BF1125">
        <v>0</v>
      </c>
      <c r="BG1125">
        <v>0</v>
      </c>
      <c r="BH1125">
        <v>1675</v>
      </c>
      <c r="BI1125">
        <v>1</v>
      </c>
      <c r="BJ1125">
        <v>1</v>
      </c>
      <c r="BK1125">
        <v>1</v>
      </c>
      <c r="BL1125">
        <v>0</v>
      </c>
      <c r="BO1125">
        <v>0</v>
      </c>
      <c r="BP1125">
        <v>0</v>
      </c>
      <c r="BW1125" t="str">
        <f>"20:18:17.391"</f>
        <v>20:18:17.391</v>
      </c>
      <c r="BZ1125">
        <v>0</v>
      </c>
      <c r="CA1125">
        <v>2016</v>
      </c>
      <c r="CB1125">
        <v>224</v>
      </c>
      <c r="CD1125">
        <v>1</v>
      </c>
      <c r="CE1125">
        <v>0</v>
      </c>
      <c r="CF1125">
        <v>0</v>
      </c>
      <c r="CG1125">
        <v>1</v>
      </c>
      <c r="CH1125">
        <v>0</v>
      </c>
      <c r="CI1125">
        <v>0</v>
      </c>
      <c r="CJ1125">
        <v>0</v>
      </c>
      <c r="CK1125">
        <v>2</v>
      </c>
      <c r="CL1125">
        <v>0</v>
      </c>
      <c r="CM1125">
        <v>2</v>
      </c>
      <c r="CN1125">
        <v>0</v>
      </c>
      <c r="CO1125">
        <v>6</v>
      </c>
      <c r="CP1125" t="s">
        <v>119</v>
      </c>
      <c r="CQ1125">
        <v>180</v>
      </c>
      <c r="CR1125">
        <v>2</v>
      </c>
      <c r="CW1125">
        <v>8080009</v>
      </c>
      <c r="CY1125">
        <v>1</v>
      </c>
      <c r="CZ1125">
        <v>0</v>
      </c>
      <c r="DA1125">
        <v>1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</row>
    <row r="1126" spans="1:113" x14ac:dyDescent="0.3">
      <c r="A1126" t="str">
        <f>"02/08/2021 20:18:15.043"</f>
        <v>02/08/2021 20:18:15.043</v>
      </c>
      <c r="C1126" t="str">
        <f t="shared" si="53"/>
        <v>FFDFD7C0</v>
      </c>
      <c r="D1126" t="s">
        <v>124</v>
      </c>
      <c r="E1126">
        <v>11</v>
      </c>
      <c r="F1126">
        <v>1011</v>
      </c>
      <c r="G1126" t="s">
        <v>590</v>
      </c>
      <c r="J1126" t="s">
        <v>125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>"20:18:17.391"</f>
        <v>20:18:17.391</v>
      </c>
      <c r="T1126" t="str">
        <f>"20:18:16.991"</f>
        <v>20:18:16.991</v>
      </c>
      <c r="U1126" t="str">
        <f t="shared" si="52"/>
        <v>AB01F4</v>
      </c>
      <c r="V1126">
        <v>0</v>
      </c>
      <c r="W1126">
        <v>0</v>
      </c>
      <c r="X1126">
        <v>2</v>
      </c>
      <c r="Z1126">
        <v>0</v>
      </c>
      <c r="AA1126">
        <v>9</v>
      </c>
      <c r="AB1126">
        <v>3</v>
      </c>
      <c r="AC1126">
        <v>0</v>
      </c>
      <c r="AD1126">
        <v>10</v>
      </c>
      <c r="AE1126">
        <v>0</v>
      </c>
      <c r="AF1126">
        <v>3</v>
      </c>
      <c r="AG1126">
        <v>2</v>
      </c>
      <c r="AH1126">
        <v>0</v>
      </c>
      <c r="AI1126" t="s">
        <v>835</v>
      </c>
      <c r="AJ1126">
        <v>39.731862999999997</v>
      </c>
      <c r="AK1126" t="s">
        <v>765</v>
      </c>
      <c r="AL1126">
        <v>-92.524409000000006</v>
      </c>
      <c r="AM1126">
        <v>100</v>
      </c>
      <c r="AN1126">
        <v>1700</v>
      </c>
      <c r="AO1126" t="s">
        <v>118</v>
      </c>
      <c r="AP1126">
        <v>28</v>
      </c>
      <c r="AQ1126">
        <v>118</v>
      </c>
      <c r="AR1126">
        <v>-64</v>
      </c>
      <c r="AZ1126">
        <v>1200</v>
      </c>
      <c r="BA1126">
        <v>1</v>
      </c>
      <c r="BB1126" t="str">
        <f t="shared" si="54"/>
        <v xml:space="preserve">N8080G  </v>
      </c>
      <c r="BC1126">
        <v>1</v>
      </c>
      <c r="BE1126">
        <v>0</v>
      </c>
      <c r="BF1126">
        <v>0</v>
      </c>
      <c r="BG1126">
        <v>0</v>
      </c>
      <c r="BH1126">
        <v>1675</v>
      </c>
      <c r="BI1126">
        <v>1</v>
      </c>
      <c r="BJ1126">
        <v>1</v>
      </c>
      <c r="BK1126">
        <v>1</v>
      </c>
      <c r="BL1126">
        <v>0</v>
      </c>
      <c r="BO1126">
        <v>0</v>
      </c>
      <c r="BP1126">
        <v>0</v>
      </c>
      <c r="BW1126" t="str">
        <f>"20:18:17.391"</f>
        <v>20:18:17.391</v>
      </c>
      <c r="BZ1126">
        <v>0</v>
      </c>
      <c r="CA1126">
        <v>2016</v>
      </c>
      <c r="CB1126">
        <v>224</v>
      </c>
      <c r="CD1126">
        <v>1</v>
      </c>
      <c r="CE1126">
        <v>0</v>
      </c>
      <c r="CF1126">
        <v>0</v>
      </c>
      <c r="CG1126">
        <v>1</v>
      </c>
      <c r="CH1126">
        <v>0</v>
      </c>
      <c r="CI1126">
        <v>0</v>
      </c>
      <c r="CJ1126">
        <v>0</v>
      </c>
      <c r="CK1126">
        <v>2</v>
      </c>
      <c r="CL1126">
        <v>0</v>
      </c>
      <c r="CM1126">
        <v>2</v>
      </c>
      <c r="CN1126">
        <v>0</v>
      </c>
      <c r="CO1126">
        <v>6</v>
      </c>
      <c r="CP1126" t="s">
        <v>119</v>
      </c>
      <c r="CQ1126">
        <v>180</v>
      </c>
      <c r="CR1126">
        <v>2</v>
      </c>
      <c r="CW1126">
        <v>8080009</v>
      </c>
      <c r="CY1126">
        <v>1</v>
      </c>
      <c r="CZ1126">
        <v>0</v>
      </c>
      <c r="DA1126">
        <v>1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</row>
    <row r="1127" spans="1:113" x14ac:dyDescent="0.3">
      <c r="A1127" t="str">
        <f>"02/08/2021 20:18:17.438"</f>
        <v>02/08/2021 20:18:17.438</v>
      </c>
      <c r="C1127" t="str">
        <f t="shared" si="53"/>
        <v>FFDFD7C0</v>
      </c>
      <c r="D1127" t="s">
        <v>124</v>
      </c>
      <c r="E1127">
        <v>11</v>
      </c>
      <c r="F1127">
        <v>1011</v>
      </c>
      <c r="G1127" t="s">
        <v>590</v>
      </c>
      <c r="J1127" t="s">
        <v>125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>"20:18:19.758"</f>
        <v>20:18:19.758</v>
      </c>
      <c r="T1127" t="str">
        <f>"20:18:19.358"</f>
        <v>20:18:19.358</v>
      </c>
      <c r="U1127" t="str">
        <f t="shared" si="52"/>
        <v>AB01F4</v>
      </c>
      <c r="V1127">
        <v>0</v>
      </c>
      <c r="W1127">
        <v>0</v>
      </c>
      <c r="X1127">
        <v>2</v>
      </c>
      <c r="Z1127">
        <v>0</v>
      </c>
      <c r="AA1127">
        <v>9</v>
      </c>
      <c r="AB1127">
        <v>3</v>
      </c>
      <c r="AC1127">
        <v>0</v>
      </c>
      <c r="AD1127">
        <v>10</v>
      </c>
      <c r="AE1127">
        <v>0</v>
      </c>
      <c r="AF1127">
        <v>3</v>
      </c>
      <c r="AG1127">
        <v>2</v>
      </c>
      <c r="AH1127">
        <v>0</v>
      </c>
      <c r="AI1127" t="s">
        <v>836</v>
      </c>
      <c r="AJ1127">
        <v>39.733150000000002</v>
      </c>
      <c r="AK1127" t="s">
        <v>837</v>
      </c>
      <c r="AL1127">
        <v>-92.523979999999995</v>
      </c>
      <c r="AM1127">
        <v>100</v>
      </c>
      <c r="AN1127">
        <v>1700</v>
      </c>
      <c r="AO1127" t="s">
        <v>118</v>
      </c>
      <c r="AP1127">
        <v>28</v>
      </c>
      <c r="AQ1127">
        <v>118</v>
      </c>
      <c r="AR1127">
        <v>-128</v>
      </c>
      <c r="AZ1127">
        <v>1200</v>
      </c>
      <c r="BA1127">
        <v>1</v>
      </c>
      <c r="BB1127" t="str">
        <f t="shared" si="54"/>
        <v xml:space="preserve">N8080G  </v>
      </c>
      <c r="BC1127">
        <v>1</v>
      </c>
      <c r="BE1127">
        <v>0</v>
      </c>
      <c r="BF1127">
        <v>0</v>
      </c>
      <c r="BG1127">
        <v>0</v>
      </c>
      <c r="BH1127">
        <v>1675</v>
      </c>
      <c r="BI1127">
        <v>1</v>
      </c>
      <c r="BJ1127">
        <v>1</v>
      </c>
      <c r="BK1127">
        <v>1</v>
      </c>
      <c r="BL1127">
        <v>0</v>
      </c>
      <c r="BO1127">
        <v>0</v>
      </c>
      <c r="BP1127">
        <v>0</v>
      </c>
      <c r="BW1127" t="str">
        <f>"20:18:19.765"</f>
        <v>20:18:19.765</v>
      </c>
      <c r="BZ1127">
        <v>0</v>
      </c>
      <c r="CA1127">
        <v>2016</v>
      </c>
      <c r="CB1127">
        <v>224</v>
      </c>
      <c r="CD1127">
        <v>1</v>
      </c>
      <c r="CE1127">
        <v>0</v>
      </c>
      <c r="CF1127">
        <v>0</v>
      </c>
      <c r="CG1127">
        <v>1</v>
      </c>
      <c r="CH1127">
        <v>0</v>
      </c>
      <c r="CI1127">
        <v>0</v>
      </c>
      <c r="CJ1127">
        <v>0</v>
      </c>
      <c r="CK1127">
        <v>2</v>
      </c>
      <c r="CL1127">
        <v>0</v>
      </c>
      <c r="CM1127">
        <v>2</v>
      </c>
      <c r="CN1127">
        <v>0</v>
      </c>
      <c r="CO1127">
        <v>6</v>
      </c>
      <c r="CP1127" t="s">
        <v>119</v>
      </c>
      <c r="CQ1127">
        <v>180</v>
      </c>
      <c r="CR1127">
        <v>1</v>
      </c>
      <c r="CW1127">
        <v>10642103</v>
      </c>
      <c r="CY1127">
        <v>1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</row>
    <row r="1128" spans="1:113" x14ac:dyDescent="0.3">
      <c r="A1128" t="str">
        <f>"02/08/2021 20:18:17.438"</f>
        <v>02/08/2021 20:18:17.438</v>
      </c>
      <c r="C1128" t="str">
        <f t="shared" si="53"/>
        <v>FFDFD7C0</v>
      </c>
      <c r="D1128" t="s">
        <v>113</v>
      </c>
      <c r="E1128">
        <v>6</v>
      </c>
      <c r="H1128">
        <v>165</v>
      </c>
      <c r="I1128" t="s">
        <v>114</v>
      </c>
      <c r="J1128" t="s">
        <v>115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>"20:18:19.758"</f>
        <v>20:18:19.758</v>
      </c>
      <c r="T1128" t="str">
        <f>"20:18:19.358"</f>
        <v>20:18:19.358</v>
      </c>
      <c r="U1128" t="str">
        <f t="shared" si="52"/>
        <v>AB01F4</v>
      </c>
      <c r="V1128">
        <v>0</v>
      </c>
      <c r="W1128">
        <v>0</v>
      </c>
      <c r="X1128">
        <v>2</v>
      </c>
      <c r="Z1128">
        <v>0</v>
      </c>
      <c r="AA1128">
        <v>9</v>
      </c>
      <c r="AB1128">
        <v>3</v>
      </c>
      <c r="AC1128">
        <v>0</v>
      </c>
      <c r="AD1128">
        <v>10</v>
      </c>
      <c r="AE1128">
        <v>0</v>
      </c>
      <c r="AF1128">
        <v>3</v>
      </c>
      <c r="AG1128">
        <v>2</v>
      </c>
      <c r="AH1128">
        <v>0</v>
      </c>
      <c r="AI1128" t="s">
        <v>836</v>
      </c>
      <c r="AJ1128">
        <v>39.733150000000002</v>
      </c>
      <c r="AK1128" t="s">
        <v>837</v>
      </c>
      <c r="AL1128">
        <v>-92.523979999999995</v>
      </c>
      <c r="AM1128">
        <v>100</v>
      </c>
      <c r="AN1128">
        <v>1700</v>
      </c>
      <c r="AO1128" t="s">
        <v>118</v>
      </c>
      <c r="AP1128">
        <v>28</v>
      </c>
      <c r="AQ1128">
        <v>118</v>
      </c>
      <c r="AR1128">
        <v>-128</v>
      </c>
      <c r="AZ1128">
        <v>1200</v>
      </c>
      <c r="BA1128">
        <v>1</v>
      </c>
      <c r="BB1128" t="str">
        <f t="shared" si="54"/>
        <v xml:space="preserve">N8080G  </v>
      </c>
      <c r="BC1128">
        <v>1</v>
      </c>
      <c r="BE1128">
        <v>0</v>
      </c>
      <c r="BF1128">
        <v>0</v>
      </c>
      <c r="BG1128">
        <v>0</v>
      </c>
      <c r="BH1128">
        <v>1675</v>
      </c>
      <c r="BI1128">
        <v>1</v>
      </c>
      <c r="BJ1128">
        <v>1</v>
      </c>
      <c r="BK1128">
        <v>1</v>
      </c>
      <c r="BL1128">
        <v>0</v>
      </c>
      <c r="BO1128">
        <v>0</v>
      </c>
      <c r="BP1128">
        <v>0</v>
      </c>
      <c r="BW1128" t="str">
        <f>"20:18:19.765"</f>
        <v>20:18:19.765</v>
      </c>
      <c r="BZ1128">
        <v>0</v>
      </c>
      <c r="CA1128">
        <v>2016</v>
      </c>
      <c r="CB1128">
        <v>224</v>
      </c>
      <c r="CD1128">
        <v>1</v>
      </c>
      <c r="CE1128">
        <v>0</v>
      </c>
      <c r="CF1128">
        <v>0</v>
      </c>
      <c r="CG1128">
        <v>1</v>
      </c>
      <c r="CH1128">
        <v>0</v>
      </c>
      <c r="CI1128">
        <v>0</v>
      </c>
      <c r="CJ1128">
        <v>0</v>
      </c>
      <c r="CK1128">
        <v>2</v>
      </c>
      <c r="CL1128">
        <v>0</v>
      </c>
      <c r="CM1128">
        <v>2</v>
      </c>
      <c r="CN1128">
        <v>0</v>
      </c>
      <c r="CO1128">
        <v>6</v>
      </c>
      <c r="CP1128" t="s">
        <v>119</v>
      </c>
      <c r="CQ1128">
        <v>180</v>
      </c>
      <c r="CR1128">
        <v>1</v>
      </c>
      <c r="CW1128">
        <v>10642103</v>
      </c>
      <c r="CY1128">
        <v>1</v>
      </c>
      <c r="CZ1128">
        <v>0</v>
      </c>
      <c r="DA1128">
        <v>1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</row>
    <row r="1129" spans="1:113" x14ac:dyDescent="0.3">
      <c r="A1129" t="str">
        <f>"02/08/2021 20:18:17.438"</f>
        <v>02/08/2021 20:18:17.438</v>
      </c>
      <c r="C1129" t="str">
        <f t="shared" si="53"/>
        <v>FFDFD7C0</v>
      </c>
      <c r="D1129" t="s">
        <v>124</v>
      </c>
      <c r="E1129">
        <v>13</v>
      </c>
      <c r="F1129">
        <v>1013</v>
      </c>
      <c r="G1129" t="s">
        <v>114</v>
      </c>
      <c r="J1129" t="s">
        <v>125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>"20:18:19.758"</f>
        <v>20:18:19.758</v>
      </c>
      <c r="T1129" t="str">
        <f>"20:18:19.358"</f>
        <v>20:18:19.358</v>
      </c>
      <c r="U1129" t="str">
        <f t="shared" si="52"/>
        <v>AB01F4</v>
      </c>
      <c r="V1129">
        <v>0</v>
      </c>
      <c r="W1129">
        <v>0</v>
      </c>
      <c r="X1129">
        <v>2</v>
      </c>
      <c r="Z1129">
        <v>0</v>
      </c>
      <c r="AA1129">
        <v>9</v>
      </c>
      <c r="AB1129">
        <v>3</v>
      </c>
      <c r="AC1129">
        <v>0</v>
      </c>
      <c r="AD1129">
        <v>10</v>
      </c>
      <c r="AE1129">
        <v>0</v>
      </c>
      <c r="AF1129">
        <v>3</v>
      </c>
      <c r="AG1129">
        <v>2</v>
      </c>
      <c r="AH1129">
        <v>0</v>
      </c>
      <c r="AI1129" t="s">
        <v>836</v>
      </c>
      <c r="AJ1129">
        <v>39.733150000000002</v>
      </c>
      <c r="AK1129" t="s">
        <v>837</v>
      </c>
      <c r="AL1129">
        <v>-92.523979999999995</v>
      </c>
      <c r="AM1129">
        <v>100</v>
      </c>
      <c r="AN1129">
        <v>1700</v>
      </c>
      <c r="AO1129" t="s">
        <v>118</v>
      </c>
      <c r="AP1129">
        <v>28</v>
      </c>
      <c r="AQ1129">
        <v>118</v>
      </c>
      <c r="AR1129">
        <v>-128</v>
      </c>
      <c r="AZ1129">
        <v>1200</v>
      </c>
      <c r="BA1129">
        <v>1</v>
      </c>
      <c r="BB1129" t="str">
        <f t="shared" si="54"/>
        <v xml:space="preserve">N8080G  </v>
      </c>
      <c r="BC1129">
        <v>1</v>
      </c>
      <c r="BE1129">
        <v>0</v>
      </c>
      <c r="BF1129">
        <v>0</v>
      </c>
      <c r="BG1129">
        <v>0</v>
      </c>
      <c r="BH1129">
        <v>1675</v>
      </c>
      <c r="BI1129">
        <v>1</v>
      </c>
      <c r="BJ1129">
        <v>1</v>
      </c>
      <c r="BK1129">
        <v>1</v>
      </c>
      <c r="BL1129">
        <v>0</v>
      </c>
      <c r="BO1129">
        <v>0</v>
      </c>
      <c r="BP1129">
        <v>0</v>
      </c>
      <c r="BW1129" t="str">
        <f>"20:18:19.765"</f>
        <v>20:18:19.765</v>
      </c>
      <c r="BZ1129">
        <v>0</v>
      </c>
      <c r="CA1129">
        <v>2016</v>
      </c>
      <c r="CB1129">
        <v>224</v>
      </c>
      <c r="CD1129">
        <v>1</v>
      </c>
      <c r="CE1129">
        <v>0</v>
      </c>
      <c r="CF1129">
        <v>0</v>
      </c>
      <c r="CG1129">
        <v>1</v>
      </c>
      <c r="CH1129">
        <v>0</v>
      </c>
      <c r="CI1129">
        <v>0</v>
      </c>
      <c r="CJ1129">
        <v>0</v>
      </c>
      <c r="CK1129">
        <v>2</v>
      </c>
      <c r="CL1129">
        <v>0</v>
      </c>
      <c r="CM1129">
        <v>2</v>
      </c>
      <c r="CN1129">
        <v>0</v>
      </c>
      <c r="CO1129">
        <v>6</v>
      </c>
      <c r="CP1129" t="s">
        <v>119</v>
      </c>
      <c r="CQ1129">
        <v>180</v>
      </c>
      <c r="CR1129">
        <v>1</v>
      </c>
      <c r="CW1129">
        <v>10642103</v>
      </c>
      <c r="CY1129">
        <v>1</v>
      </c>
      <c r="CZ1129">
        <v>0</v>
      </c>
      <c r="DA1129">
        <v>1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</row>
    <row r="1130" spans="1:113" x14ac:dyDescent="0.3">
      <c r="A1130" t="str">
        <f>"02/08/2021 20:18:17.438"</f>
        <v>02/08/2021 20:18:17.438</v>
      </c>
      <c r="C1130" t="str">
        <f t="shared" si="53"/>
        <v>FFDFD7C0</v>
      </c>
      <c r="D1130" t="s">
        <v>124</v>
      </c>
      <c r="E1130">
        <v>12</v>
      </c>
      <c r="F1130">
        <v>1012</v>
      </c>
      <c r="G1130" t="s">
        <v>675</v>
      </c>
      <c r="J1130" t="s">
        <v>125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>"20:18:19.758"</f>
        <v>20:18:19.758</v>
      </c>
      <c r="T1130" t="str">
        <f>"20:18:19.358"</f>
        <v>20:18:19.358</v>
      </c>
      <c r="U1130" t="str">
        <f t="shared" si="52"/>
        <v>AB01F4</v>
      </c>
      <c r="V1130">
        <v>0</v>
      </c>
      <c r="W1130">
        <v>0</v>
      </c>
      <c r="X1130">
        <v>2</v>
      </c>
      <c r="Z1130">
        <v>0</v>
      </c>
      <c r="AA1130">
        <v>9</v>
      </c>
      <c r="AB1130">
        <v>3</v>
      </c>
      <c r="AC1130">
        <v>0</v>
      </c>
      <c r="AD1130">
        <v>10</v>
      </c>
      <c r="AE1130">
        <v>0</v>
      </c>
      <c r="AF1130">
        <v>3</v>
      </c>
      <c r="AG1130">
        <v>2</v>
      </c>
      <c r="AH1130">
        <v>0</v>
      </c>
      <c r="AI1130" t="s">
        <v>836</v>
      </c>
      <c r="AJ1130">
        <v>39.733150000000002</v>
      </c>
      <c r="AK1130" t="s">
        <v>837</v>
      </c>
      <c r="AL1130">
        <v>-92.523979999999995</v>
      </c>
      <c r="AM1130">
        <v>100</v>
      </c>
      <c r="AN1130">
        <v>1700</v>
      </c>
      <c r="AO1130" t="s">
        <v>118</v>
      </c>
      <c r="AP1130">
        <v>28</v>
      </c>
      <c r="AQ1130">
        <v>118</v>
      </c>
      <c r="AR1130">
        <v>-128</v>
      </c>
      <c r="AZ1130">
        <v>1200</v>
      </c>
      <c r="BA1130">
        <v>1</v>
      </c>
      <c r="BB1130" t="str">
        <f t="shared" si="54"/>
        <v xml:space="preserve">N8080G  </v>
      </c>
      <c r="BC1130">
        <v>1</v>
      </c>
      <c r="BE1130">
        <v>0</v>
      </c>
      <c r="BF1130">
        <v>0</v>
      </c>
      <c r="BG1130">
        <v>0</v>
      </c>
      <c r="BH1130">
        <v>1675</v>
      </c>
      <c r="BI1130">
        <v>1</v>
      </c>
      <c r="BJ1130">
        <v>1</v>
      </c>
      <c r="BK1130">
        <v>1</v>
      </c>
      <c r="BL1130">
        <v>0</v>
      </c>
      <c r="BO1130">
        <v>0</v>
      </c>
      <c r="BP1130">
        <v>0</v>
      </c>
      <c r="BW1130" t="str">
        <f>"20:18:19.765"</f>
        <v>20:18:19.765</v>
      </c>
      <c r="BZ1130">
        <v>0</v>
      </c>
      <c r="CA1130">
        <v>2016</v>
      </c>
      <c r="CB1130">
        <v>224</v>
      </c>
      <c r="CD1130">
        <v>1</v>
      </c>
      <c r="CE1130">
        <v>0</v>
      </c>
      <c r="CF1130">
        <v>0</v>
      </c>
      <c r="CG1130">
        <v>1</v>
      </c>
      <c r="CH1130">
        <v>0</v>
      </c>
      <c r="CI1130">
        <v>0</v>
      </c>
      <c r="CJ1130">
        <v>0</v>
      </c>
      <c r="CK1130">
        <v>2</v>
      </c>
      <c r="CL1130">
        <v>0</v>
      </c>
      <c r="CM1130">
        <v>2</v>
      </c>
      <c r="CN1130">
        <v>0</v>
      </c>
      <c r="CO1130">
        <v>6</v>
      </c>
      <c r="CP1130" t="s">
        <v>119</v>
      </c>
      <c r="CQ1130">
        <v>180</v>
      </c>
      <c r="CR1130">
        <v>1</v>
      </c>
      <c r="CW1130">
        <v>10642103</v>
      </c>
      <c r="CY1130">
        <v>1</v>
      </c>
      <c r="CZ1130">
        <v>0</v>
      </c>
      <c r="DA1130">
        <v>1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</row>
    <row r="1131" spans="1:113" x14ac:dyDescent="0.3">
      <c r="A1131" t="str">
        <f>"02/08/2021 20:18:18.548"</f>
        <v>02/08/2021 20:18:18.548</v>
      </c>
      <c r="C1131" t="str">
        <f t="shared" si="53"/>
        <v>FFDFD7C0</v>
      </c>
      <c r="D1131" t="s">
        <v>124</v>
      </c>
      <c r="E1131">
        <v>11</v>
      </c>
      <c r="F1131">
        <v>1011</v>
      </c>
      <c r="G1131" t="s">
        <v>590</v>
      </c>
      <c r="J1131" t="s">
        <v>125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>"20:18:20.898"</f>
        <v>20:18:20.898</v>
      </c>
      <c r="T1131" t="str">
        <f>"20:18:20.398"</f>
        <v>20:18:20.398</v>
      </c>
      <c r="U1131" t="str">
        <f t="shared" si="52"/>
        <v>AB01F4</v>
      </c>
      <c r="V1131">
        <v>0</v>
      </c>
      <c r="W1131">
        <v>0</v>
      </c>
      <c r="X1131">
        <v>2</v>
      </c>
      <c r="Z1131">
        <v>0</v>
      </c>
      <c r="AA1131">
        <v>9</v>
      </c>
      <c r="AB1131">
        <v>3</v>
      </c>
      <c r="AC1131">
        <v>0</v>
      </c>
      <c r="AD1131">
        <v>10</v>
      </c>
      <c r="AE1131">
        <v>0</v>
      </c>
      <c r="AF1131">
        <v>3</v>
      </c>
      <c r="AG1131">
        <v>2</v>
      </c>
      <c r="AH1131">
        <v>0</v>
      </c>
      <c r="AI1131" t="s">
        <v>838</v>
      </c>
      <c r="AJ1131">
        <v>39.733772000000002</v>
      </c>
      <c r="AK1131" t="s">
        <v>839</v>
      </c>
      <c r="AL1131">
        <v>-92.523808000000002</v>
      </c>
      <c r="AM1131">
        <v>100</v>
      </c>
      <c r="AN1131">
        <v>1700</v>
      </c>
      <c r="AO1131" t="s">
        <v>118</v>
      </c>
      <c r="AP1131">
        <v>29</v>
      </c>
      <c r="AQ1131">
        <v>117</v>
      </c>
      <c r="AR1131">
        <v>0</v>
      </c>
      <c r="AZ1131">
        <v>1200</v>
      </c>
      <c r="BA1131">
        <v>1</v>
      </c>
      <c r="BB1131" t="str">
        <f t="shared" si="54"/>
        <v xml:space="preserve">N8080G  </v>
      </c>
      <c r="BC1131">
        <v>1</v>
      </c>
      <c r="BE1131">
        <v>0</v>
      </c>
      <c r="BF1131">
        <v>0</v>
      </c>
      <c r="BG1131">
        <v>0</v>
      </c>
      <c r="BH1131">
        <v>1675</v>
      </c>
      <c r="BI1131">
        <v>1</v>
      </c>
      <c r="BJ1131">
        <v>1</v>
      </c>
      <c r="BK1131">
        <v>1</v>
      </c>
      <c r="BL1131">
        <v>0</v>
      </c>
      <c r="BO1131">
        <v>0</v>
      </c>
      <c r="BP1131">
        <v>0</v>
      </c>
      <c r="BW1131" t="str">
        <f>"20:18:20.904"</f>
        <v>20:18:20.904</v>
      </c>
      <c r="BZ1131">
        <v>0</v>
      </c>
      <c r="CA1131">
        <v>2016</v>
      </c>
      <c r="CB1131">
        <v>224</v>
      </c>
      <c r="CD1131">
        <v>1</v>
      </c>
      <c r="CE1131">
        <v>0</v>
      </c>
      <c r="CF1131">
        <v>0</v>
      </c>
      <c r="CG1131">
        <v>1</v>
      </c>
      <c r="CH1131">
        <v>0</v>
      </c>
      <c r="CI1131">
        <v>0</v>
      </c>
      <c r="CJ1131">
        <v>0</v>
      </c>
      <c r="CK1131">
        <v>2</v>
      </c>
      <c r="CL1131">
        <v>0</v>
      </c>
      <c r="CM1131">
        <v>2</v>
      </c>
      <c r="CN1131">
        <v>0</v>
      </c>
      <c r="CO1131">
        <v>6</v>
      </c>
      <c r="CP1131" t="s">
        <v>119</v>
      </c>
      <c r="CQ1131">
        <v>180</v>
      </c>
      <c r="CR1131">
        <v>2</v>
      </c>
      <c r="CW1131">
        <v>8082910</v>
      </c>
      <c r="CY1131">
        <v>1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</row>
    <row r="1132" spans="1:113" x14ac:dyDescent="0.3">
      <c r="A1132" t="str">
        <f>"02/08/2021 20:18:18.548"</f>
        <v>02/08/2021 20:18:18.548</v>
      </c>
      <c r="C1132" t="str">
        <f t="shared" si="53"/>
        <v>FFDFD7C0</v>
      </c>
      <c r="D1132" t="s">
        <v>113</v>
      </c>
      <c r="E1132">
        <v>6</v>
      </c>
      <c r="H1132">
        <v>165</v>
      </c>
      <c r="I1132" t="s">
        <v>114</v>
      </c>
      <c r="J1132" t="s">
        <v>115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>"20:18:20.898"</f>
        <v>20:18:20.898</v>
      </c>
      <c r="T1132" t="str">
        <f>"20:18:20.398"</f>
        <v>20:18:20.398</v>
      </c>
      <c r="U1132" t="str">
        <f t="shared" si="52"/>
        <v>AB01F4</v>
      </c>
      <c r="V1132">
        <v>0</v>
      </c>
      <c r="W1132">
        <v>0</v>
      </c>
      <c r="X1132">
        <v>2</v>
      </c>
      <c r="Z1132">
        <v>0</v>
      </c>
      <c r="AA1132">
        <v>9</v>
      </c>
      <c r="AB1132">
        <v>3</v>
      </c>
      <c r="AC1132">
        <v>0</v>
      </c>
      <c r="AD1132">
        <v>10</v>
      </c>
      <c r="AE1132">
        <v>0</v>
      </c>
      <c r="AF1132">
        <v>3</v>
      </c>
      <c r="AG1132">
        <v>2</v>
      </c>
      <c r="AH1132">
        <v>0</v>
      </c>
      <c r="AI1132" t="s">
        <v>838</v>
      </c>
      <c r="AJ1132">
        <v>39.733772000000002</v>
      </c>
      <c r="AK1132" t="s">
        <v>839</v>
      </c>
      <c r="AL1132">
        <v>-92.523808000000002</v>
      </c>
      <c r="AM1132">
        <v>100</v>
      </c>
      <c r="AN1132">
        <v>1700</v>
      </c>
      <c r="AO1132" t="s">
        <v>118</v>
      </c>
      <c r="AP1132">
        <v>29</v>
      </c>
      <c r="AQ1132">
        <v>117</v>
      </c>
      <c r="AR1132">
        <v>0</v>
      </c>
      <c r="AZ1132">
        <v>1200</v>
      </c>
      <c r="BA1132">
        <v>1</v>
      </c>
      <c r="BB1132" t="str">
        <f t="shared" si="54"/>
        <v xml:space="preserve">N8080G  </v>
      </c>
      <c r="BC1132">
        <v>1</v>
      </c>
      <c r="BE1132">
        <v>0</v>
      </c>
      <c r="BF1132">
        <v>0</v>
      </c>
      <c r="BG1132">
        <v>0</v>
      </c>
      <c r="BH1132">
        <v>1675</v>
      </c>
      <c r="BI1132">
        <v>1</v>
      </c>
      <c r="BJ1132">
        <v>1</v>
      </c>
      <c r="BK1132">
        <v>1</v>
      </c>
      <c r="BL1132">
        <v>0</v>
      </c>
      <c r="BO1132">
        <v>0</v>
      </c>
      <c r="BP1132">
        <v>0</v>
      </c>
      <c r="BW1132" t="str">
        <f>"20:18:20.904"</f>
        <v>20:18:20.904</v>
      </c>
      <c r="BZ1132">
        <v>0</v>
      </c>
      <c r="CA1132">
        <v>2016</v>
      </c>
      <c r="CB1132">
        <v>224</v>
      </c>
      <c r="CD1132">
        <v>1</v>
      </c>
      <c r="CE1132">
        <v>0</v>
      </c>
      <c r="CF1132">
        <v>0</v>
      </c>
      <c r="CG1132">
        <v>1</v>
      </c>
      <c r="CH1132">
        <v>0</v>
      </c>
      <c r="CI1132">
        <v>0</v>
      </c>
      <c r="CJ1132">
        <v>0</v>
      </c>
      <c r="CK1132">
        <v>2</v>
      </c>
      <c r="CL1132">
        <v>0</v>
      </c>
      <c r="CM1132">
        <v>2</v>
      </c>
      <c r="CN1132">
        <v>0</v>
      </c>
      <c r="CO1132">
        <v>6</v>
      </c>
      <c r="CP1132" t="s">
        <v>119</v>
      </c>
      <c r="CQ1132">
        <v>180</v>
      </c>
      <c r="CR1132">
        <v>2</v>
      </c>
      <c r="CW1132">
        <v>8082910</v>
      </c>
      <c r="CY1132">
        <v>1</v>
      </c>
      <c r="CZ1132">
        <v>0</v>
      </c>
      <c r="DA1132">
        <v>1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</row>
    <row r="1133" spans="1:113" x14ac:dyDescent="0.3">
      <c r="A1133" t="str">
        <f>"02/08/2021 20:18:18.548"</f>
        <v>02/08/2021 20:18:18.548</v>
      </c>
      <c r="C1133" t="str">
        <f t="shared" si="53"/>
        <v>FFDFD7C0</v>
      </c>
      <c r="D1133" t="s">
        <v>124</v>
      </c>
      <c r="E1133">
        <v>13</v>
      </c>
      <c r="F1133">
        <v>1013</v>
      </c>
      <c r="G1133" t="s">
        <v>114</v>
      </c>
      <c r="J1133" t="s">
        <v>125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>"20:18:20.898"</f>
        <v>20:18:20.898</v>
      </c>
      <c r="T1133" t="str">
        <f>"20:18:20.398"</f>
        <v>20:18:20.398</v>
      </c>
      <c r="U1133" t="str">
        <f t="shared" si="52"/>
        <v>AB01F4</v>
      </c>
      <c r="V1133">
        <v>0</v>
      </c>
      <c r="W1133">
        <v>0</v>
      </c>
      <c r="X1133">
        <v>2</v>
      </c>
      <c r="Z1133">
        <v>0</v>
      </c>
      <c r="AA1133">
        <v>9</v>
      </c>
      <c r="AB1133">
        <v>3</v>
      </c>
      <c r="AC1133">
        <v>0</v>
      </c>
      <c r="AD1133">
        <v>10</v>
      </c>
      <c r="AE1133">
        <v>0</v>
      </c>
      <c r="AF1133">
        <v>3</v>
      </c>
      <c r="AG1133">
        <v>2</v>
      </c>
      <c r="AH1133">
        <v>0</v>
      </c>
      <c r="AI1133" t="s">
        <v>838</v>
      </c>
      <c r="AJ1133">
        <v>39.733772000000002</v>
      </c>
      <c r="AK1133" t="s">
        <v>839</v>
      </c>
      <c r="AL1133">
        <v>-92.523808000000002</v>
      </c>
      <c r="AM1133">
        <v>100</v>
      </c>
      <c r="AN1133">
        <v>1700</v>
      </c>
      <c r="AO1133" t="s">
        <v>118</v>
      </c>
      <c r="AP1133">
        <v>29</v>
      </c>
      <c r="AQ1133">
        <v>117</v>
      </c>
      <c r="AR1133">
        <v>0</v>
      </c>
      <c r="AZ1133">
        <v>1200</v>
      </c>
      <c r="BA1133">
        <v>1</v>
      </c>
      <c r="BB1133" t="str">
        <f t="shared" si="54"/>
        <v xml:space="preserve">N8080G  </v>
      </c>
      <c r="BC1133">
        <v>1</v>
      </c>
      <c r="BE1133">
        <v>0</v>
      </c>
      <c r="BF1133">
        <v>0</v>
      </c>
      <c r="BG1133">
        <v>0</v>
      </c>
      <c r="BH1133">
        <v>1675</v>
      </c>
      <c r="BI1133">
        <v>1</v>
      </c>
      <c r="BJ1133">
        <v>1</v>
      </c>
      <c r="BK1133">
        <v>1</v>
      </c>
      <c r="BL1133">
        <v>0</v>
      </c>
      <c r="BO1133">
        <v>0</v>
      </c>
      <c r="BP1133">
        <v>0</v>
      </c>
      <c r="BW1133" t="str">
        <f>"20:18:20.904"</f>
        <v>20:18:20.904</v>
      </c>
      <c r="BZ1133">
        <v>0</v>
      </c>
      <c r="CA1133">
        <v>2016</v>
      </c>
      <c r="CB1133">
        <v>224</v>
      </c>
      <c r="CD1133">
        <v>1</v>
      </c>
      <c r="CE1133">
        <v>0</v>
      </c>
      <c r="CF1133">
        <v>0</v>
      </c>
      <c r="CG1133">
        <v>1</v>
      </c>
      <c r="CH1133">
        <v>0</v>
      </c>
      <c r="CI1133">
        <v>0</v>
      </c>
      <c r="CJ1133">
        <v>0</v>
      </c>
      <c r="CK1133">
        <v>2</v>
      </c>
      <c r="CL1133">
        <v>0</v>
      </c>
      <c r="CM1133">
        <v>2</v>
      </c>
      <c r="CN1133">
        <v>0</v>
      </c>
      <c r="CO1133">
        <v>6</v>
      </c>
      <c r="CP1133" t="s">
        <v>119</v>
      </c>
      <c r="CQ1133">
        <v>180</v>
      </c>
      <c r="CR1133">
        <v>2</v>
      </c>
      <c r="CW1133">
        <v>8082910</v>
      </c>
      <c r="CY1133">
        <v>1</v>
      </c>
      <c r="CZ1133">
        <v>0</v>
      </c>
      <c r="DA1133">
        <v>1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</row>
    <row r="1134" spans="1:113" x14ac:dyDescent="0.3">
      <c r="A1134" t="str">
        <f>"02/08/2021 20:18:18.548"</f>
        <v>02/08/2021 20:18:18.548</v>
      </c>
      <c r="C1134" t="str">
        <f t="shared" si="53"/>
        <v>FFDFD7C0</v>
      </c>
      <c r="D1134" t="s">
        <v>124</v>
      </c>
      <c r="E1134">
        <v>12</v>
      </c>
      <c r="F1134">
        <v>1012</v>
      </c>
      <c r="G1134" t="s">
        <v>675</v>
      </c>
      <c r="J1134" t="s">
        <v>125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>"20:18:20.898"</f>
        <v>20:18:20.898</v>
      </c>
      <c r="T1134" t="str">
        <f>"20:18:20.398"</f>
        <v>20:18:20.398</v>
      </c>
      <c r="U1134" t="str">
        <f t="shared" si="52"/>
        <v>AB01F4</v>
      </c>
      <c r="V1134">
        <v>0</v>
      </c>
      <c r="W1134">
        <v>0</v>
      </c>
      <c r="X1134">
        <v>2</v>
      </c>
      <c r="Z1134">
        <v>0</v>
      </c>
      <c r="AA1134">
        <v>9</v>
      </c>
      <c r="AB1134">
        <v>3</v>
      </c>
      <c r="AC1134">
        <v>0</v>
      </c>
      <c r="AD1134">
        <v>10</v>
      </c>
      <c r="AE1134">
        <v>0</v>
      </c>
      <c r="AF1134">
        <v>3</v>
      </c>
      <c r="AG1134">
        <v>2</v>
      </c>
      <c r="AH1134">
        <v>0</v>
      </c>
      <c r="AI1134" t="s">
        <v>838</v>
      </c>
      <c r="AJ1134">
        <v>39.733772000000002</v>
      </c>
      <c r="AK1134" t="s">
        <v>839</v>
      </c>
      <c r="AL1134">
        <v>-92.523808000000002</v>
      </c>
      <c r="AM1134">
        <v>100</v>
      </c>
      <c r="AN1134">
        <v>1700</v>
      </c>
      <c r="AO1134" t="s">
        <v>118</v>
      </c>
      <c r="AP1134">
        <v>29</v>
      </c>
      <c r="AQ1134">
        <v>117</v>
      </c>
      <c r="AR1134">
        <v>0</v>
      </c>
      <c r="AZ1134">
        <v>1200</v>
      </c>
      <c r="BA1134">
        <v>1</v>
      </c>
      <c r="BB1134" t="str">
        <f t="shared" si="54"/>
        <v xml:space="preserve">N8080G  </v>
      </c>
      <c r="BC1134">
        <v>1</v>
      </c>
      <c r="BE1134">
        <v>0</v>
      </c>
      <c r="BF1134">
        <v>0</v>
      </c>
      <c r="BG1134">
        <v>0</v>
      </c>
      <c r="BH1134">
        <v>1675</v>
      </c>
      <c r="BI1134">
        <v>1</v>
      </c>
      <c r="BJ1134">
        <v>1</v>
      </c>
      <c r="BK1134">
        <v>1</v>
      </c>
      <c r="BL1134">
        <v>0</v>
      </c>
      <c r="BO1134">
        <v>0</v>
      </c>
      <c r="BP1134">
        <v>0</v>
      </c>
      <c r="BW1134" t="str">
        <f>"20:18:20.904"</f>
        <v>20:18:20.904</v>
      </c>
      <c r="BZ1134">
        <v>0</v>
      </c>
      <c r="CA1134">
        <v>2016</v>
      </c>
      <c r="CB1134">
        <v>224</v>
      </c>
      <c r="CD1134">
        <v>1</v>
      </c>
      <c r="CE1134">
        <v>0</v>
      </c>
      <c r="CF1134">
        <v>0</v>
      </c>
      <c r="CG1134">
        <v>1</v>
      </c>
      <c r="CH1134">
        <v>0</v>
      </c>
      <c r="CI1134">
        <v>0</v>
      </c>
      <c r="CJ1134">
        <v>0</v>
      </c>
      <c r="CK1134">
        <v>2</v>
      </c>
      <c r="CL1134">
        <v>0</v>
      </c>
      <c r="CM1134">
        <v>2</v>
      </c>
      <c r="CN1134">
        <v>0</v>
      </c>
      <c r="CO1134">
        <v>6</v>
      </c>
      <c r="CP1134" t="s">
        <v>119</v>
      </c>
      <c r="CQ1134">
        <v>180</v>
      </c>
      <c r="CR1134">
        <v>2</v>
      </c>
      <c r="CW1134">
        <v>8082910</v>
      </c>
      <c r="CY1134">
        <v>1</v>
      </c>
      <c r="CZ1134">
        <v>0</v>
      </c>
      <c r="DA1134">
        <v>1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</row>
    <row r="1135" spans="1:113" x14ac:dyDescent="0.3">
      <c r="A1135" t="str">
        <f>"02/08/2021 20:18:19.733"</f>
        <v>02/08/2021 20:18:19.733</v>
      </c>
      <c r="C1135" t="str">
        <f t="shared" si="53"/>
        <v>FFDFD7C0</v>
      </c>
      <c r="D1135" t="s">
        <v>124</v>
      </c>
      <c r="E1135">
        <v>12</v>
      </c>
      <c r="F1135">
        <v>1012</v>
      </c>
      <c r="G1135" t="s">
        <v>675</v>
      </c>
      <c r="J1135" t="s">
        <v>125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>"20:18:22.023"</f>
        <v>20:18:22.023</v>
      </c>
      <c r="T1135" t="str">
        <f>"20:18:21.523"</f>
        <v>20:18:21.523</v>
      </c>
      <c r="U1135" t="str">
        <f t="shared" si="52"/>
        <v>AB01F4</v>
      </c>
      <c r="V1135">
        <v>0</v>
      </c>
      <c r="W1135">
        <v>0</v>
      </c>
      <c r="X1135">
        <v>2</v>
      </c>
      <c r="Z1135">
        <v>0</v>
      </c>
      <c r="AA1135">
        <v>9</v>
      </c>
      <c r="AB1135">
        <v>3</v>
      </c>
      <c r="AC1135">
        <v>0</v>
      </c>
      <c r="AD1135">
        <v>10</v>
      </c>
      <c r="AE1135">
        <v>0</v>
      </c>
      <c r="AF1135">
        <v>3</v>
      </c>
      <c r="AG1135">
        <v>2</v>
      </c>
      <c r="AH1135">
        <v>0</v>
      </c>
      <c r="AI1135" t="s">
        <v>840</v>
      </c>
      <c r="AJ1135">
        <v>39.734437</v>
      </c>
      <c r="AK1135" t="s">
        <v>841</v>
      </c>
      <c r="AL1135">
        <v>-92.523615000000007</v>
      </c>
      <c r="AM1135">
        <v>100</v>
      </c>
      <c r="AN1135">
        <v>1700</v>
      </c>
      <c r="AO1135" t="s">
        <v>118</v>
      </c>
      <c r="AP1135">
        <v>29</v>
      </c>
      <c r="AQ1135">
        <v>117</v>
      </c>
      <c r="AR1135">
        <v>0</v>
      </c>
      <c r="AZ1135">
        <v>1200</v>
      </c>
      <c r="BA1135">
        <v>1</v>
      </c>
      <c r="BB1135" t="str">
        <f t="shared" si="54"/>
        <v xml:space="preserve">N8080G  </v>
      </c>
      <c r="BC1135">
        <v>1</v>
      </c>
      <c r="BE1135">
        <v>0</v>
      </c>
      <c r="BF1135">
        <v>0</v>
      </c>
      <c r="BG1135">
        <v>0</v>
      </c>
      <c r="BH1135">
        <v>1675</v>
      </c>
      <c r="BI1135">
        <v>1</v>
      </c>
      <c r="BJ1135">
        <v>1</v>
      </c>
      <c r="BK1135">
        <v>1</v>
      </c>
      <c r="BL1135">
        <v>0</v>
      </c>
      <c r="BO1135">
        <v>0</v>
      </c>
      <c r="BP1135">
        <v>0</v>
      </c>
      <c r="BW1135" t="str">
        <f>"20:18:22.029"</f>
        <v>20:18:22.029</v>
      </c>
      <c r="BZ1135">
        <v>0</v>
      </c>
      <c r="CA1135">
        <v>2016</v>
      </c>
      <c r="CB1135">
        <v>224</v>
      </c>
      <c r="CD1135">
        <v>1</v>
      </c>
      <c r="CE1135">
        <v>0</v>
      </c>
      <c r="CF1135">
        <v>0</v>
      </c>
      <c r="CG1135">
        <v>1</v>
      </c>
      <c r="CH1135">
        <v>0</v>
      </c>
      <c r="CI1135">
        <v>0</v>
      </c>
      <c r="CJ1135">
        <v>0</v>
      </c>
      <c r="CK1135">
        <v>2</v>
      </c>
      <c r="CL1135">
        <v>0</v>
      </c>
      <c r="CM1135">
        <v>2</v>
      </c>
      <c r="CN1135">
        <v>0</v>
      </c>
      <c r="CO1135">
        <v>6</v>
      </c>
      <c r="CP1135" t="s">
        <v>119</v>
      </c>
      <c r="CQ1135">
        <v>180</v>
      </c>
      <c r="CR1135">
        <v>2</v>
      </c>
      <c r="CW1135">
        <v>8083768</v>
      </c>
      <c r="CY1135">
        <v>1</v>
      </c>
      <c r="CZ1135">
        <v>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</row>
    <row r="1136" spans="1:113" x14ac:dyDescent="0.3">
      <c r="A1136" t="str">
        <f>"02/08/2021 20:18:19.733"</f>
        <v>02/08/2021 20:18:19.733</v>
      </c>
      <c r="C1136" t="str">
        <f t="shared" si="53"/>
        <v>FFDFD7C0</v>
      </c>
      <c r="D1136" t="s">
        <v>124</v>
      </c>
      <c r="E1136">
        <v>11</v>
      </c>
      <c r="F1136">
        <v>1011</v>
      </c>
      <c r="G1136" t="s">
        <v>590</v>
      </c>
      <c r="J1136" t="s">
        <v>125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>"20:18:22.023"</f>
        <v>20:18:22.023</v>
      </c>
      <c r="T1136" t="str">
        <f>"20:18:21.523"</f>
        <v>20:18:21.523</v>
      </c>
      <c r="U1136" t="str">
        <f t="shared" si="52"/>
        <v>AB01F4</v>
      </c>
      <c r="V1136">
        <v>0</v>
      </c>
      <c r="W1136">
        <v>0</v>
      </c>
      <c r="X1136">
        <v>2</v>
      </c>
      <c r="Z1136">
        <v>0</v>
      </c>
      <c r="AA1136">
        <v>9</v>
      </c>
      <c r="AB1136">
        <v>3</v>
      </c>
      <c r="AC1136">
        <v>0</v>
      </c>
      <c r="AD1136">
        <v>10</v>
      </c>
      <c r="AE1136">
        <v>0</v>
      </c>
      <c r="AF1136">
        <v>3</v>
      </c>
      <c r="AG1136">
        <v>2</v>
      </c>
      <c r="AH1136">
        <v>0</v>
      </c>
      <c r="AI1136" t="s">
        <v>840</v>
      </c>
      <c r="AJ1136">
        <v>39.734437</v>
      </c>
      <c r="AK1136" t="s">
        <v>841</v>
      </c>
      <c r="AL1136">
        <v>-92.523615000000007</v>
      </c>
      <c r="AM1136">
        <v>100</v>
      </c>
      <c r="AN1136">
        <v>1700</v>
      </c>
      <c r="AO1136" t="s">
        <v>118</v>
      </c>
      <c r="AP1136">
        <v>29</v>
      </c>
      <c r="AQ1136">
        <v>117</v>
      </c>
      <c r="AR1136">
        <v>0</v>
      </c>
      <c r="AZ1136">
        <v>1200</v>
      </c>
      <c r="BA1136">
        <v>1</v>
      </c>
      <c r="BB1136" t="str">
        <f t="shared" si="54"/>
        <v xml:space="preserve">N8080G  </v>
      </c>
      <c r="BC1136">
        <v>1</v>
      </c>
      <c r="BE1136">
        <v>0</v>
      </c>
      <c r="BF1136">
        <v>0</v>
      </c>
      <c r="BG1136">
        <v>0</v>
      </c>
      <c r="BH1136">
        <v>1675</v>
      </c>
      <c r="BI1136">
        <v>1</v>
      </c>
      <c r="BJ1136">
        <v>1</v>
      </c>
      <c r="BK1136">
        <v>1</v>
      </c>
      <c r="BL1136">
        <v>0</v>
      </c>
      <c r="BO1136">
        <v>0</v>
      </c>
      <c r="BP1136">
        <v>0</v>
      </c>
      <c r="BW1136" t="str">
        <f>"20:18:22.029"</f>
        <v>20:18:22.029</v>
      </c>
      <c r="BZ1136">
        <v>0</v>
      </c>
      <c r="CA1136">
        <v>2016</v>
      </c>
      <c r="CB1136">
        <v>224</v>
      </c>
      <c r="CD1136">
        <v>1</v>
      </c>
      <c r="CE1136">
        <v>0</v>
      </c>
      <c r="CF1136">
        <v>0</v>
      </c>
      <c r="CG1136">
        <v>1</v>
      </c>
      <c r="CH1136">
        <v>0</v>
      </c>
      <c r="CI1136">
        <v>0</v>
      </c>
      <c r="CJ1136">
        <v>0</v>
      </c>
      <c r="CK1136">
        <v>2</v>
      </c>
      <c r="CL1136">
        <v>0</v>
      </c>
      <c r="CM1136">
        <v>2</v>
      </c>
      <c r="CN1136">
        <v>0</v>
      </c>
      <c r="CO1136">
        <v>6</v>
      </c>
      <c r="CP1136" t="s">
        <v>119</v>
      </c>
      <c r="CQ1136">
        <v>180</v>
      </c>
      <c r="CR1136">
        <v>2</v>
      </c>
      <c r="CW1136">
        <v>8083768</v>
      </c>
      <c r="CY1136">
        <v>1</v>
      </c>
      <c r="CZ1136">
        <v>0</v>
      </c>
      <c r="DA1136">
        <v>1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</row>
    <row r="1137" spans="1:113" x14ac:dyDescent="0.3">
      <c r="A1137" t="str">
        <f>"02/08/2021 20:18:19.733"</f>
        <v>02/08/2021 20:18:19.733</v>
      </c>
      <c r="C1137" t="str">
        <f t="shared" si="53"/>
        <v>FFDFD7C0</v>
      </c>
      <c r="D1137" t="s">
        <v>113</v>
      </c>
      <c r="E1137">
        <v>6</v>
      </c>
      <c r="H1137">
        <v>165</v>
      </c>
      <c r="I1137" t="s">
        <v>114</v>
      </c>
      <c r="J1137" t="s">
        <v>115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>"20:18:22.023"</f>
        <v>20:18:22.023</v>
      </c>
      <c r="T1137" t="str">
        <f>"20:18:21.523"</f>
        <v>20:18:21.523</v>
      </c>
      <c r="U1137" t="str">
        <f t="shared" si="52"/>
        <v>AB01F4</v>
      </c>
      <c r="V1137">
        <v>0</v>
      </c>
      <c r="W1137">
        <v>0</v>
      </c>
      <c r="X1137">
        <v>2</v>
      </c>
      <c r="Z1137">
        <v>0</v>
      </c>
      <c r="AA1137">
        <v>9</v>
      </c>
      <c r="AB1137">
        <v>3</v>
      </c>
      <c r="AC1137">
        <v>0</v>
      </c>
      <c r="AD1137">
        <v>10</v>
      </c>
      <c r="AE1137">
        <v>0</v>
      </c>
      <c r="AF1137">
        <v>3</v>
      </c>
      <c r="AG1137">
        <v>2</v>
      </c>
      <c r="AH1137">
        <v>0</v>
      </c>
      <c r="AI1137" t="s">
        <v>840</v>
      </c>
      <c r="AJ1137">
        <v>39.734437</v>
      </c>
      <c r="AK1137" t="s">
        <v>841</v>
      </c>
      <c r="AL1137">
        <v>-92.523615000000007</v>
      </c>
      <c r="AM1137">
        <v>100</v>
      </c>
      <c r="AN1137">
        <v>1700</v>
      </c>
      <c r="AO1137" t="s">
        <v>118</v>
      </c>
      <c r="AP1137">
        <v>29</v>
      </c>
      <c r="AQ1137">
        <v>117</v>
      </c>
      <c r="AR1137">
        <v>0</v>
      </c>
      <c r="AZ1137">
        <v>1200</v>
      </c>
      <c r="BA1137">
        <v>1</v>
      </c>
      <c r="BB1137" t="str">
        <f t="shared" si="54"/>
        <v xml:space="preserve">N8080G  </v>
      </c>
      <c r="BC1137">
        <v>1</v>
      </c>
      <c r="BE1137">
        <v>0</v>
      </c>
      <c r="BF1137">
        <v>0</v>
      </c>
      <c r="BG1137">
        <v>0</v>
      </c>
      <c r="BH1137">
        <v>1675</v>
      </c>
      <c r="BI1137">
        <v>1</v>
      </c>
      <c r="BJ1137">
        <v>1</v>
      </c>
      <c r="BK1137">
        <v>1</v>
      </c>
      <c r="BL1137">
        <v>0</v>
      </c>
      <c r="BO1137">
        <v>0</v>
      </c>
      <c r="BP1137">
        <v>0</v>
      </c>
      <c r="BW1137" t="str">
        <f>"20:18:22.029"</f>
        <v>20:18:22.029</v>
      </c>
      <c r="BZ1137">
        <v>0</v>
      </c>
      <c r="CA1137">
        <v>2016</v>
      </c>
      <c r="CB1137">
        <v>224</v>
      </c>
      <c r="CD1137">
        <v>1</v>
      </c>
      <c r="CE1137">
        <v>0</v>
      </c>
      <c r="CF1137">
        <v>0</v>
      </c>
      <c r="CG1137">
        <v>1</v>
      </c>
      <c r="CH1137">
        <v>0</v>
      </c>
      <c r="CI1137">
        <v>0</v>
      </c>
      <c r="CJ1137">
        <v>0</v>
      </c>
      <c r="CK1137">
        <v>2</v>
      </c>
      <c r="CL1137">
        <v>0</v>
      </c>
      <c r="CM1137">
        <v>2</v>
      </c>
      <c r="CN1137">
        <v>0</v>
      </c>
      <c r="CO1137">
        <v>6</v>
      </c>
      <c r="CP1137" t="s">
        <v>119</v>
      </c>
      <c r="CQ1137">
        <v>180</v>
      </c>
      <c r="CR1137">
        <v>2</v>
      </c>
      <c r="CW1137">
        <v>8083768</v>
      </c>
      <c r="CY1137">
        <v>1</v>
      </c>
      <c r="CZ1137">
        <v>0</v>
      </c>
      <c r="DA1137">
        <v>1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</row>
    <row r="1138" spans="1:113" x14ac:dyDescent="0.3">
      <c r="A1138" t="str">
        <f>"02/08/2021 20:18:19.733"</f>
        <v>02/08/2021 20:18:19.733</v>
      </c>
      <c r="C1138" t="str">
        <f t="shared" si="53"/>
        <v>FFDFD7C0</v>
      </c>
      <c r="D1138" t="s">
        <v>124</v>
      </c>
      <c r="E1138">
        <v>13</v>
      </c>
      <c r="F1138">
        <v>1013</v>
      </c>
      <c r="G1138" t="s">
        <v>114</v>
      </c>
      <c r="J1138" t="s">
        <v>125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>"20:18:22.023"</f>
        <v>20:18:22.023</v>
      </c>
      <c r="T1138" t="str">
        <f>"20:18:21.523"</f>
        <v>20:18:21.523</v>
      </c>
      <c r="U1138" t="str">
        <f t="shared" si="52"/>
        <v>AB01F4</v>
      </c>
      <c r="V1138">
        <v>0</v>
      </c>
      <c r="W1138">
        <v>0</v>
      </c>
      <c r="X1138">
        <v>2</v>
      </c>
      <c r="Z1138">
        <v>0</v>
      </c>
      <c r="AA1138">
        <v>9</v>
      </c>
      <c r="AB1138">
        <v>3</v>
      </c>
      <c r="AC1138">
        <v>0</v>
      </c>
      <c r="AD1138">
        <v>10</v>
      </c>
      <c r="AE1138">
        <v>0</v>
      </c>
      <c r="AF1138">
        <v>3</v>
      </c>
      <c r="AG1138">
        <v>2</v>
      </c>
      <c r="AH1138">
        <v>0</v>
      </c>
      <c r="AI1138" t="s">
        <v>840</v>
      </c>
      <c r="AJ1138">
        <v>39.734437</v>
      </c>
      <c r="AK1138" t="s">
        <v>841</v>
      </c>
      <c r="AL1138">
        <v>-92.523615000000007</v>
      </c>
      <c r="AM1138">
        <v>100</v>
      </c>
      <c r="AN1138">
        <v>1700</v>
      </c>
      <c r="AO1138" t="s">
        <v>118</v>
      </c>
      <c r="AP1138">
        <v>29</v>
      </c>
      <c r="AQ1138">
        <v>117</v>
      </c>
      <c r="AR1138">
        <v>0</v>
      </c>
      <c r="AZ1138">
        <v>1200</v>
      </c>
      <c r="BA1138">
        <v>1</v>
      </c>
      <c r="BB1138" t="str">
        <f t="shared" si="54"/>
        <v xml:space="preserve">N8080G  </v>
      </c>
      <c r="BC1138">
        <v>1</v>
      </c>
      <c r="BE1138">
        <v>0</v>
      </c>
      <c r="BF1138">
        <v>0</v>
      </c>
      <c r="BG1138">
        <v>0</v>
      </c>
      <c r="BH1138">
        <v>1675</v>
      </c>
      <c r="BI1138">
        <v>1</v>
      </c>
      <c r="BJ1138">
        <v>1</v>
      </c>
      <c r="BK1138">
        <v>1</v>
      </c>
      <c r="BL1138">
        <v>0</v>
      </c>
      <c r="BO1138">
        <v>0</v>
      </c>
      <c r="BP1138">
        <v>0</v>
      </c>
      <c r="BW1138" t="str">
        <f>"20:18:22.029"</f>
        <v>20:18:22.029</v>
      </c>
      <c r="BZ1138">
        <v>0</v>
      </c>
      <c r="CA1138">
        <v>2016</v>
      </c>
      <c r="CB1138">
        <v>224</v>
      </c>
      <c r="CD1138">
        <v>1</v>
      </c>
      <c r="CE1138">
        <v>0</v>
      </c>
      <c r="CF1138">
        <v>0</v>
      </c>
      <c r="CG1138">
        <v>1</v>
      </c>
      <c r="CH1138">
        <v>0</v>
      </c>
      <c r="CI1138">
        <v>0</v>
      </c>
      <c r="CJ1138">
        <v>0</v>
      </c>
      <c r="CK1138">
        <v>2</v>
      </c>
      <c r="CL1138">
        <v>0</v>
      </c>
      <c r="CM1138">
        <v>2</v>
      </c>
      <c r="CN1138">
        <v>0</v>
      </c>
      <c r="CO1138">
        <v>6</v>
      </c>
      <c r="CP1138" t="s">
        <v>119</v>
      </c>
      <c r="CQ1138">
        <v>180</v>
      </c>
      <c r="CR1138">
        <v>2</v>
      </c>
      <c r="CW1138">
        <v>8083768</v>
      </c>
      <c r="CY1138">
        <v>1</v>
      </c>
      <c r="CZ1138">
        <v>0</v>
      </c>
      <c r="DA1138">
        <v>1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</row>
    <row r="1139" spans="1:113" x14ac:dyDescent="0.3">
      <c r="A1139" t="str">
        <f>"02/08/2021 20:18:21.218"</f>
        <v>02/08/2021 20:18:21.218</v>
      </c>
      <c r="C1139" t="str">
        <f t="shared" si="53"/>
        <v>FFDFD7C0</v>
      </c>
      <c r="D1139" t="s">
        <v>124</v>
      </c>
      <c r="E1139">
        <v>11</v>
      </c>
      <c r="F1139">
        <v>1011</v>
      </c>
      <c r="G1139" t="s">
        <v>590</v>
      </c>
      <c r="J1139" t="s">
        <v>125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>"20:18:23.539"</f>
        <v>20:18:23.539</v>
      </c>
      <c r="T1139" t="str">
        <f>"20:18:22.639"</f>
        <v>20:18:22.639</v>
      </c>
      <c r="U1139" t="str">
        <f t="shared" si="52"/>
        <v>AB01F4</v>
      </c>
      <c r="V1139">
        <v>0</v>
      </c>
      <c r="W1139">
        <v>0</v>
      </c>
      <c r="X1139">
        <v>2</v>
      </c>
      <c r="Z1139">
        <v>0</v>
      </c>
      <c r="AA1139">
        <v>9</v>
      </c>
      <c r="AB1139">
        <v>3</v>
      </c>
      <c r="AC1139">
        <v>0</v>
      </c>
      <c r="AD1139">
        <v>10</v>
      </c>
      <c r="AE1139">
        <v>0</v>
      </c>
      <c r="AF1139">
        <v>3</v>
      </c>
      <c r="AG1139">
        <v>2</v>
      </c>
      <c r="AH1139">
        <v>0</v>
      </c>
      <c r="AI1139" t="s">
        <v>842</v>
      </c>
      <c r="AJ1139">
        <v>39.735253</v>
      </c>
      <c r="AK1139" t="s">
        <v>843</v>
      </c>
      <c r="AL1139">
        <v>-92.523336</v>
      </c>
      <c r="AM1139">
        <v>100</v>
      </c>
      <c r="AN1139">
        <v>1700</v>
      </c>
      <c r="AO1139" t="s">
        <v>118</v>
      </c>
      <c r="AP1139">
        <v>28</v>
      </c>
      <c r="AQ1139">
        <v>117</v>
      </c>
      <c r="AR1139">
        <v>0</v>
      </c>
      <c r="AZ1139">
        <v>1200</v>
      </c>
      <c r="BA1139">
        <v>1</v>
      </c>
      <c r="BB1139" t="str">
        <f t="shared" si="54"/>
        <v xml:space="preserve">N8080G  </v>
      </c>
      <c r="BC1139">
        <v>1</v>
      </c>
      <c r="BE1139">
        <v>0</v>
      </c>
      <c r="BF1139">
        <v>0</v>
      </c>
      <c r="BG1139">
        <v>0</v>
      </c>
      <c r="BH1139">
        <v>1675</v>
      </c>
      <c r="BI1139">
        <v>1</v>
      </c>
      <c r="BJ1139">
        <v>1</v>
      </c>
      <c r="BK1139">
        <v>1</v>
      </c>
      <c r="BL1139">
        <v>0</v>
      </c>
      <c r="BO1139">
        <v>0</v>
      </c>
      <c r="BP1139">
        <v>0</v>
      </c>
      <c r="BW1139" t="str">
        <f>"20:18:23.540"</f>
        <v>20:18:23.540</v>
      </c>
      <c r="BZ1139">
        <v>0</v>
      </c>
      <c r="CA1139">
        <v>2016</v>
      </c>
      <c r="CB1139">
        <v>224</v>
      </c>
      <c r="CD1139">
        <v>1</v>
      </c>
      <c r="CE1139">
        <v>0</v>
      </c>
      <c r="CF1139">
        <v>0</v>
      </c>
      <c r="CG1139">
        <v>1</v>
      </c>
      <c r="CH1139">
        <v>0</v>
      </c>
      <c r="CI1139">
        <v>0</v>
      </c>
      <c r="CJ1139">
        <v>0</v>
      </c>
      <c r="CK1139">
        <v>2</v>
      </c>
      <c r="CL1139">
        <v>0</v>
      </c>
      <c r="CM1139">
        <v>2</v>
      </c>
      <c r="CN1139">
        <v>0</v>
      </c>
      <c r="CO1139">
        <v>6</v>
      </c>
      <c r="CP1139" t="s">
        <v>119</v>
      </c>
      <c r="CQ1139">
        <v>180</v>
      </c>
      <c r="CR1139">
        <v>1</v>
      </c>
      <c r="CW1139">
        <v>10645359</v>
      </c>
      <c r="CY1139">
        <v>1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</row>
    <row r="1140" spans="1:113" x14ac:dyDescent="0.3">
      <c r="A1140" t="str">
        <f>"02/08/2021 20:18:21.218"</f>
        <v>02/08/2021 20:18:21.218</v>
      </c>
      <c r="C1140" t="str">
        <f t="shared" si="53"/>
        <v>FFDFD7C0</v>
      </c>
      <c r="D1140" t="s">
        <v>124</v>
      </c>
      <c r="E1140">
        <v>13</v>
      </c>
      <c r="F1140">
        <v>1013</v>
      </c>
      <c r="G1140" t="s">
        <v>114</v>
      </c>
      <c r="J1140" t="s">
        <v>125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>"20:18:23.539"</f>
        <v>20:18:23.539</v>
      </c>
      <c r="T1140" t="str">
        <f>"20:18:22.639"</f>
        <v>20:18:22.639</v>
      </c>
      <c r="U1140" t="str">
        <f t="shared" si="52"/>
        <v>AB01F4</v>
      </c>
      <c r="V1140">
        <v>0</v>
      </c>
      <c r="W1140">
        <v>0</v>
      </c>
      <c r="X1140">
        <v>2</v>
      </c>
      <c r="Z1140">
        <v>0</v>
      </c>
      <c r="AA1140">
        <v>9</v>
      </c>
      <c r="AB1140">
        <v>3</v>
      </c>
      <c r="AC1140">
        <v>0</v>
      </c>
      <c r="AD1140">
        <v>10</v>
      </c>
      <c r="AE1140">
        <v>0</v>
      </c>
      <c r="AF1140">
        <v>3</v>
      </c>
      <c r="AG1140">
        <v>2</v>
      </c>
      <c r="AH1140">
        <v>0</v>
      </c>
      <c r="AI1140" t="s">
        <v>842</v>
      </c>
      <c r="AJ1140">
        <v>39.735253</v>
      </c>
      <c r="AK1140" t="s">
        <v>843</v>
      </c>
      <c r="AL1140">
        <v>-92.523336</v>
      </c>
      <c r="AM1140">
        <v>100</v>
      </c>
      <c r="AN1140">
        <v>1700</v>
      </c>
      <c r="AO1140" t="s">
        <v>118</v>
      </c>
      <c r="AP1140">
        <v>28</v>
      </c>
      <c r="AQ1140">
        <v>117</v>
      </c>
      <c r="AR1140">
        <v>0</v>
      </c>
      <c r="AZ1140">
        <v>1200</v>
      </c>
      <c r="BA1140">
        <v>1</v>
      </c>
      <c r="BB1140" t="str">
        <f t="shared" si="54"/>
        <v xml:space="preserve">N8080G  </v>
      </c>
      <c r="BC1140">
        <v>1</v>
      </c>
      <c r="BE1140">
        <v>0</v>
      </c>
      <c r="BF1140">
        <v>0</v>
      </c>
      <c r="BG1140">
        <v>0</v>
      </c>
      <c r="BH1140">
        <v>1675</v>
      </c>
      <c r="BI1140">
        <v>1</v>
      </c>
      <c r="BJ1140">
        <v>1</v>
      </c>
      <c r="BK1140">
        <v>1</v>
      </c>
      <c r="BL1140">
        <v>0</v>
      </c>
      <c r="BO1140">
        <v>0</v>
      </c>
      <c r="BP1140">
        <v>0</v>
      </c>
      <c r="BW1140" t="str">
        <f>"20:18:23.540"</f>
        <v>20:18:23.540</v>
      </c>
      <c r="BZ1140">
        <v>0</v>
      </c>
      <c r="CA1140">
        <v>2016</v>
      </c>
      <c r="CB1140">
        <v>224</v>
      </c>
      <c r="CD1140">
        <v>1</v>
      </c>
      <c r="CE1140">
        <v>0</v>
      </c>
      <c r="CF1140">
        <v>0</v>
      </c>
      <c r="CG1140">
        <v>1</v>
      </c>
      <c r="CH1140">
        <v>0</v>
      </c>
      <c r="CI1140">
        <v>0</v>
      </c>
      <c r="CJ1140">
        <v>0</v>
      </c>
      <c r="CK1140">
        <v>2</v>
      </c>
      <c r="CL1140">
        <v>0</v>
      </c>
      <c r="CM1140">
        <v>2</v>
      </c>
      <c r="CN1140">
        <v>0</v>
      </c>
      <c r="CO1140">
        <v>6</v>
      </c>
      <c r="CP1140" t="s">
        <v>119</v>
      </c>
      <c r="CQ1140">
        <v>180</v>
      </c>
      <c r="CR1140">
        <v>1</v>
      </c>
      <c r="CW1140">
        <v>10645359</v>
      </c>
      <c r="CY1140">
        <v>1</v>
      </c>
      <c r="CZ1140">
        <v>0</v>
      </c>
      <c r="DA1140">
        <v>1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</row>
    <row r="1141" spans="1:113" x14ac:dyDescent="0.3">
      <c r="A1141" t="str">
        <f>"02/08/2021 20:18:21.218"</f>
        <v>02/08/2021 20:18:21.218</v>
      </c>
      <c r="C1141" t="str">
        <f t="shared" si="53"/>
        <v>FFDFD7C0</v>
      </c>
      <c r="D1141" t="s">
        <v>113</v>
      </c>
      <c r="E1141">
        <v>6</v>
      </c>
      <c r="H1141">
        <v>165</v>
      </c>
      <c r="I1141" t="s">
        <v>114</v>
      </c>
      <c r="J1141" t="s">
        <v>115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>"20:18:23.539"</f>
        <v>20:18:23.539</v>
      </c>
      <c r="T1141" t="str">
        <f>"20:18:22.639"</f>
        <v>20:18:22.639</v>
      </c>
      <c r="U1141" t="str">
        <f t="shared" si="52"/>
        <v>AB01F4</v>
      </c>
      <c r="V1141">
        <v>0</v>
      </c>
      <c r="W1141">
        <v>0</v>
      </c>
      <c r="X1141">
        <v>2</v>
      </c>
      <c r="Z1141">
        <v>0</v>
      </c>
      <c r="AA1141">
        <v>9</v>
      </c>
      <c r="AB1141">
        <v>3</v>
      </c>
      <c r="AC1141">
        <v>0</v>
      </c>
      <c r="AD1141">
        <v>10</v>
      </c>
      <c r="AE1141">
        <v>0</v>
      </c>
      <c r="AF1141">
        <v>3</v>
      </c>
      <c r="AG1141">
        <v>2</v>
      </c>
      <c r="AH1141">
        <v>0</v>
      </c>
      <c r="AI1141" t="s">
        <v>842</v>
      </c>
      <c r="AJ1141">
        <v>39.735253</v>
      </c>
      <c r="AK1141" t="s">
        <v>843</v>
      </c>
      <c r="AL1141">
        <v>-92.523336</v>
      </c>
      <c r="AM1141">
        <v>100</v>
      </c>
      <c r="AN1141">
        <v>1700</v>
      </c>
      <c r="AO1141" t="s">
        <v>118</v>
      </c>
      <c r="AP1141">
        <v>28</v>
      </c>
      <c r="AQ1141">
        <v>117</v>
      </c>
      <c r="AR1141">
        <v>0</v>
      </c>
      <c r="AZ1141">
        <v>1200</v>
      </c>
      <c r="BA1141">
        <v>1</v>
      </c>
      <c r="BB1141" t="str">
        <f t="shared" si="54"/>
        <v xml:space="preserve">N8080G  </v>
      </c>
      <c r="BC1141">
        <v>1</v>
      </c>
      <c r="BE1141">
        <v>0</v>
      </c>
      <c r="BF1141">
        <v>0</v>
      </c>
      <c r="BG1141">
        <v>0</v>
      </c>
      <c r="BH1141">
        <v>1675</v>
      </c>
      <c r="BI1141">
        <v>1</v>
      </c>
      <c r="BJ1141">
        <v>1</v>
      </c>
      <c r="BK1141">
        <v>1</v>
      </c>
      <c r="BL1141">
        <v>0</v>
      </c>
      <c r="BO1141">
        <v>0</v>
      </c>
      <c r="BP1141">
        <v>0</v>
      </c>
      <c r="BW1141" t="str">
        <f>"20:18:23.540"</f>
        <v>20:18:23.540</v>
      </c>
      <c r="BZ1141">
        <v>0</v>
      </c>
      <c r="CA1141">
        <v>2016</v>
      </c>
      <c r="CB1141">
        <v>224</v>
      </c>
      <c r="CD1141">
        <v>1</v>
      </c>
      <c r="CE1141">
        <v>0</v>
      </c>
      <c r="CF1141">
        <v>0</v>
      </c>
      <c r="CG1141">
        <v>1</v>
      </c>
      <c r="CH1141">
        <v>0</v>
      </c>
      <c r="CI1141">
        <v>0</v>
      </c>
      <c r="CJ1141">
        <v>0</v>
      </c>
      <c r="CK1141">
        <v>2</v>
      </c>
      <c r="CL1141">
        <v>0</v>
      </c>
      <c r="CM1141">
        <v>2</v>
      </c>
      <c r="CN1141">
        <v>0</v>
      </c>
      <c r="CO1141">
        <v>6</v>
      </c>
      <c r="CP1141" t="s">
        <v>119</v>
      </c>
      <c r="CQ1141">
        <v>180</v>
      </c>
      <c r="CR1141">
        <v>1</v>
      </c>
      <c r="CW1141">
        <v>10645359</v>
      </c>
      <c r="CY1141">
        <v>1</v>
      </c>
      <c r="CZ1141">
        <v>0</v>
      </c>
      <c r="DA1141">
        <v>1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</row>
    <row r="1142" spans="1:113" x14ac:dyDescent="0.3">
      <c r="A1142" t="str">
        <f>"02/08/2021 20:18:21.218"</f>
        <v>02/08/2021 20:18:21.218</v>
      </c>
      <c r="C1142" t="str">
        <f t="shared" si="53"/>
        <v>FFDFD7C0</v>
      </c>
      <c r="D1142" t="s">
        <v>124</v>
      </c>
      <c r="E1142">
        <v>12</v>
      </c>
      <c r="F1142">
        <v>1012</v>
      </c>
      <c r="G1142" t="s">
        <v>675</v>
      </c>
      <c r="J1142" t="s">
        <v>125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>"20:18:23.539"</f>
        <v>20:18:23.539</v>
      </c>
      <c r="T1142" t="str">
        <f>"20:18:22.639"</f>
        <v>20:18:22.639</v>
      </c>
      <c r="U1142" t="str">
        <f t="shared" si="52"/>
        <v>AB01F4</v>
      </c>
      <c r="V1142">
        <v>0</v>
      </c>
      <c r="W1142">
        <v>0</v>
      </c>
      <c r="X1142">
        <v>2</v>
      </c>
      <c r="Z1142">
        <v>0</v>
      </c>
      <c r="AA1142">
        <v>9</v>
      </c>
      <c r="AB1142">
        <v>3</v>
      </c>
      <c r="AC1142">
        <v>0</v>
      </c>
      <c r="AD1142">
        <v>10</v>
      </c>
      <c r="AE1142">
        <v>0</v>
      </c>
      <c r="AF1142">
        <v>3</v>
      </c>
      <c r="AG1142">
        <v>2</v>
      </c>
      <c r="AH1142">
        <v>0</v>
      </c>
      <c r="AI1142" t="s">
        <v>842</v>
      </c>
      <c r="AJ1142">
        <v>39.735253</v>
      </c>
      <c r="AK1142" t="s">
        <v>843</v>
      </c>
      <c r="AL1142">
        <v>-92.523336</v>
      </c>
      <c r="AM1142">
        <v>100</v>
      </c>
      <c r="AN1142">
        <v>1700</v>
      </c>
      <c r="AO1142" t="s">
        <v>118</v>
      </c>
      <c r="AP1142">
        <v>28</v>
      </c>
      <c r="AQ1142">
        <v>117</v>
      </c>
      <c r="AR1142">
        <v>0</v>
      </c>
      <c r="AZ1142">
        <v>1200</v>
      </c>
      <c r="BA1142">
        <v>1</v>
      </c>
      <c r="BB1142" t="str">
        <f t="shared" si="54"/>
        <v xml:space="preserve">N8080G  </v>
      </c>
      <c r="BC1142">
        <v>1</v>
      </c>
      <c r="BE1142">
        <v>0</v>
      </c>
      <c r="BF1142">
        <v>0</v>
      </c>
      <c r="BG1142">
        <v>0</v>
      </c>
      <c r="BH1142">
        <v>1675</v>
      </c>
      <c r="BI1142">
        <v>1</v>
      </c>
      <c r="BJ1142">
        <v>1</v>
      </c>
      <c r="BK1142">
        <v>1</v>
      </c>
      <c r="BL1142">
        <v>0</v>
      </c>
      <c r="BO1142">
        <v>0</v>
      </c>
      <c r="BP1142">
        <v>0</v>
      </c>
      <c r="BW1142" t="str">
        <f>"20:18:23.540"</f>
        <v>20:18:23.540</v>
      </c>
      <c r="BZ1142">
        <v>0</v>
      </c>
      <c r="CA1142">
        <v>2016</v>
      </c>
      <c r="CB1142">
        <v>224</v>
      </c>
      <c r="CD1142">
        <v>1</v>
      </c>
      <c r="CE1142">
        <v>0</v>
      </c>
      <c r="CF1142">
        <v>0</v>
      </c>
      <c r="CG1142">
        <v>1</v>
      </c>
      <c r="CH1142">
        <v>0</v>
      </c>
      <c r="CI1142">
        <v>0</v>
      </c>
      <c r="CJ1142">
        <v>0</v>
      </c>
      <c r="CK1142">
        <v>2</v>
      </c>
      <c r="CL1142">
        <v>0</v>
      </c>
      <c r="CM1142">
        <v>2</v>
      </c>
      <c r="CN1142">
        <v>0</v>
      </c>
      <c r="CO1142">
        <v>6</v>
      </c>
      <c r="CP1142" t="s">
        <v>119</v>
      </c>
      <c r="CQ1142">
        <v>180</v>
      </c>
      <c r="CR1142">
        <v>1</v>
      </c>
      <c r="CW1142">
        <v>10645359</v>
      </c>
      <c r="CY1142">
        <v>1</v>
      </c>
      <c r="CZ1142">
        <v>0</v>
      </c>
      <c r="DA1142">
        <v>1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</row>
    <row r="1143" spans="1:113" x14ac:dyDescent="0.3">
      <c r="A1143" t="str">
        <f>"02/08/2021 20:18:22.326"</f>
        <v>02/08/2021 20:18:22.326</v>
      </c>
      <c r="C1143" t="str">
        <f t="shared" si="53"/>
        <v>FFDFD7C0</v>
      </c>
      <c r="D1143" t="s">
        <v>124</v>
      </c>
      <c r="E1143">
        <v>11</v>
      </c>
      <c r="F1143">
        <v>1011</v>
      </c>
      <c r="G1143" t="s">
        <v>590</v>
      </c>
      <c r="J1143" t="s">
        <v>125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>"20:18:24.625"</f>
        <v>20:18:24.625</v>
      </c>
      <c r="T1143" t="str">
        <f>"20:18:24.125"</f>
        <v>20:18:24.125</v>
      </c>
      <c r="U1143" t="str">
        <f t="shared" si="52"/>
        <v>AB01F4</v>
      </c>
      <c r="V1143">
        <v>0</v>
      </c>
      <c r="W1143">
        <v>0</v>
      </c>
      <c r="X1143">
        <v>2</v>
      </c>
      <c r="Z1143">
        <v>0</v>
      </c>
      <c r="AA1143">
        <v>9</v>
      </c>
      <c r="AB1143">
        <v>3</v>
      </c>
      <c r="AC1143">
        <v>0</v>
      </c>
      <c r="AD1143">
        <v>10</v>
      </c>
      <c r="AE1143">
        <v>0</v>
      </c>
      <c r="AF1143">
        <v>3</v>
      </c>
      <c r="AG1143">
        <v>2</v>
      </c>
      <c r="AH1143">
        <v>0</v>
      </c>
      <c r="AI1143" t="s">
        <v>844</v>
      </c>
      <c r="AJ1143">
        <v>39.735832000000002</v>
      </c>
      <c r="AK1143" t="s">
        <v>845</v>
      </c>
      <c r="AL1143">
        <v>-92.523185999999995</v>
      </c>
      <c r="AM1143">
        <v>100</v>
      </c>
      <c r="AN1143">
        <v>1700</v>
      </c>
      <c r="AO1143" t="s">
        <v>118</v>
      </c>
      <c r="AP1143">
        <v>28</v>
      </c>
      <c r="AQ1143">
        <v>117</v>
      </c>
      <c r="AR1143">
        <v>64</v>
      </c>
      <c r="AZ1143">
        <v>1200</v>
      </c>
      <c r="BA1143">
        <v>1</v>
      </c>
      <c r="BB1143" t="str">
        <f t="shared" si="54"/>
        <v xml:space="preserve">N8080G  </v>
      </c>
      <c r="BC1143">
        <v>1</v>
      </c>
      <c r="BE1143">
        <v>0</v>
      </c>
      <c r="BF1143">
        <v>0</v>
      </c>
      <c r="BG1143">
        <v>0</v>
      </c>
      <c r="BH1143">
        <v>1675</v>
      </c>
      <c r="BI1143">
        <v>1</v>
      </c>
      <c r="BJ1143">
        <v>1</v>
      </c>
      <c r="BK1143">
        <v>1</v>
      </c>
      <c r="BL1143">
        <v>0</v>
      </c>
      <c r="BO1143">
        <v>0</v>
      </c>
      <c r="BP1143">
        <v>0</v>
      </c>
      <c r="BW1143" t="str">
        <f>"20:18:24.626"</f>
        <v>20:18:24.626</v>
      </c>
      <c r="BZ1143">
        <v>0</v>
      </c>
      <c r="CA1143">
        <v>2016</v>
      </c>
      <c r="CB1143">
        <v>224</v>
      </c>
      <c r="CD1143">
        <v>1</v>
      </c>
      <c r="CE1143">
        <v>0</v>
      </c>
      <c r="CF1143">
        <v>0</v>
      </c>
      <c r="CG1143">
        <v>1</v>
      </c>
      <c r="CH1143">
        <v>0</v>
      </c>
      <c r="CI1143">
        <v>0</v>
      </c>
      <c r="CJ1143">
        <v>0</v>
      </c>
      <c r="CK1143">
        <v>2</v>
      </c>
      <c r="CL1143">
        <v>0</v>
      </c>
      <c r="CM1143">
        <v>2</v>
      </c>
      <c r="CN1143">
        <v>0</v>
      </c>
      <c r="CO1143">
        <v>6</v>
      </c>
      <c r="CP1143" t="s">
        <v>119</v>
      </c>
      <c r="CQ1143">
        <v>180</v>
      </c>
      <c r="CR1143">
        <v>1</v>
      </c>
      <c r="CW1143">
        <v>10646385</v>
      </c>
      <c r="CY1143">
        <v>1</v>
      </c>
      <c r="CZ1143">
        <v>0</v>
      </c>
      <c r="DA1143">
        <v>0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</row>
    <row r="1144" spans="1:113" x14ac:dyDescent="0.3">
      <c r="A1144" t="str">
        <f>"02/08/2021 20:18:22.326"</f>
        <v>02/08/2021 20:18:22.326</v>
      </c>
      <c r="C1144" t="str">
        <f t="shared" si="53"/>
        <v>FFDFD7C0</v>
      </c>
      <c r="D1144" t="s">
        <v>124</v>
      </c>
      <c r="E1144">
        <v>13</v>
      </c>
      <c r="F1144">
        <v>1013</v>
      </c>
      <c r="G1144" t="s">
        <v>114</v>
      </c>
      <c r="J1144" t="s">
        <v>125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>"20:18:24.625"</f>
        <v>20:18:24.625</v>
      </c>
      <c r="T1144" t="str">
        <f>"20:18:24.125"</f>
        <v>20:18:24.125</v>
      </c>
      <c r="U1144" t="str">
        <f t="shared" si="52"/>
        <v>AB01F4</v>
      </c>
      <c r="V1144">
        <v>0</v>
      </c>
      <c r="W1144">
        <v>0</v>
      </c>
      <c r="X1144">
        <v>2</v>
      </c>
      <c r="Z1144">
        <v>0</v>
      </c>
      <c r="AA1144">
        <v>9</v>
      </c>
      <c r="AB1144">
        <v>3</v>
      </c>
      <c r="AC1144">
        <v>0</v>
      </c>
      <c r="AD1144">
        <v>10</v>
      </c>
      <c r="AE1144">
        <v>0</v>
      </c>
      <c r="AF1144">
        <v>3</v>
      </c>
      <c r="AG1144">
        <v>2</v>
      </c>
      <c r="AH1144">
        <v>0</v>
      </c>
      <c r="AI1144" t="s">
        <v>844</v>
      </c>
      <c r="AJ1144">
        <v>39.735832000000002</v>
      </c>
      <c r="AK1144" t="s">
        <v>845</v>
      </c>
      <c r="AL1144">
        <v>-92.523185999999995</v>
      </c>
      <c r="AM1144">
        <v>100</v>
      </c>
      <c r="AN1144">
        <v>1700</v>
      </c>
      <c r="AO1144" t="s">
        <v>118</v>
      </c>
      <c r="AP1144">
        <v>28</v>
      </c>
      <c r="AQ1144">
        <v>117</v>
      </c>
      <c r="AR1144">
        <v>64</v>
      </c>
      <c r="AZ1144">
        <v>1200</v>
      </c>
      <c r="BA1144">
        <v>1</v>
      </c>
      <c r="BB1144" t="str">
        <f t="shared" si="54"/>
        <v xml:space="preserve">N8080G  </v>
      </c>
      <c r="BC1144">
        <v>1</v>
      </c>
      <c r="BE1144">
        <v>0</v>
      </c>
      <c r="BF1144">
        <v>0</v>
      </c>
      <c r="BG1144">
        <v>0</v>
      </c>
      <c r="BH1144">
        <v>1675</v>
      </c>
      <c r="BI1144">
        <v>1</v>
      </c>
      <c r="BJ1144">
        <v>1</v>
      </c>
      <c r="BK1144">
        <v>1</v>
      </c>
      <c r="BL1144">
        <v>0</v>
      </c>
      <c r="BO1144">
        <v>0</v>
      </c>
      <c r="BP1144">
        <v>0</v>
      </c>
      <c r="BW1144" t="str">
        <f>"20:18:24.626"</f>
        <v>20:18:24.626</v>
      </c>
      <c r="BZ1144">
        <v>0</v>
      </c>
      <c r="CA1144">
        <v>2016</v>
      </c>
      <c r="CB1144">
        <v>224</v>
      </c>
      <c r="CD1144">
        <v>1</v>
      </c>
      <c r="CE1144">
        <v>0</v>
      </c>
      <c r="CF1144">
        <v>0</v>
      </c>
      <c r="CG1144">
        <v>1</v>
      </c>
      <c r="CH1144">
        <v>0</v>
      </c>
      <c r="CI1144">
        <v>0</v>
      </c>
      <c r="CJ1144">
        <v>0</v>
      </c>
      <c r="CK1144">
        <v>2</v>
      </c>
      <c r="CL1144">
        <v>0</v>
      </c>
      <c r="CM1144">
        <v>2</v>
      </c>
      <c r="CN1144">
        <v>0</v>
      </c>
      <c r="CO1144">
        <v>6</v>
      </c>
      <c r="CP1144" t="s">
        <v>119</v>
      </c>
      <c r="CQ1144">
        <v>180</v>
      </c>
      <c r="CR1144">
        <v>1</v>
      </c>
      <c r="CW1144">
        <v>10646385</v>
      </c>
      <c r="CY1144">
        <v>1</v>
      </c>
      <c r="CZ1144">
        <v>0</v>
      </c>
      <c r="DA1144">
        <v>1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</row>
    <row r="1145" spans="1:113" x14ac:dyDescent="0.3">
      <c r="A1145" t="str">
        <f>"02/08/2021 20:18:22.326"</f>
        <v>02/08/2021 20:18:22.326</v>
      </c>
      <c r="C1145" t="str">
        <f t="shared" si="53"/>
        <v>FFDFD7C0</v>
      </c>
      <c r="D1145" t="s">
        <v>124</v>
      </c>
      <c r="E1145">
        <v>12</v>
      </c>
      <c r="F1145">
        <v>1012</v>
      </c>
      <c r="G1145" t="s">
        <v>675</v>
      </c>
      <c r="J1145" t="s">
        <v>125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>"20:18:24.625"</f>
        <v>20:18:24.625</v>
      </c>
      <c r="T1145" t="str">
        <f>"20:18:24.125"</f>
        <v>20:18:24.125</v>
      </c>
      <c r="U1145" t="str">
        <f t="shared" si="52"/>
        <v>AB01F4</v>
      </c>
      <c r="V1145">
        <v>0</v>
      </c>
      <c r="W1145">
        <v>0</v>
      </c>
      <c r="X1145">
        <v>2</v>
      </c>
      <c r="Z1145">
        <v>0</v>
      </c>
      <c r="AA1145">
        <v>9</v>
      </c>
      <c r="AB1145">
        <v>3</v>
      </c>
      <c r="AC1145">
        <v>0</v>
      </c>
      <c r="AD1145">
        <v>10</v>
      </c>
      <c r="AE1145">
        <v>0</v>
      </c>
      <c r="AF1145">
        <v>3</v>
      </c>
      <c r="AG1145">
        <v>2</v>
      </c>
      <c r="AH1145">
        <v>0</v>
      </c>
      <c r="AI1145" t="s">
        <v>844</v>
      </c>
      <c r="AJ1145">
        <v>39.735832000000002</v>
      </c>
      <c r="AK1145" t="s">
        <v>845</v>
      </c>
      <c r="AL1145">
        <v>-92.523185999999995</v>
      </c>
      <c r="AM1145">
        <v>100</v>
      </c>
      <c r="AN1145">
        <v>1700</v>
      </c>
      <c r="AO1145" t="s">
        <v>118</v>
      </c>
      <c r="AP1145">
        <v>28</v>
      </c>
      <c r="AQ1145">
        <v>117</v>
      </c>
      <c r="AR1145">
        <v>64</v>
      </c>
      <c r="AZ1145">
        <v>1200</v>
      </c>
      <c r="BA1145">
        <v>1</v>
      </c>
      <c r="BB1145" t="str">
        <f t="shared" si="54"/>
        <v xml:space="preserve">N8080G  </v>
      </c>
      <c r="BC1145">
        <v>1</v>
      </c>
      <c r="BE1145">
        <v>0</v>
      </c>
      <c r="BF1145">
        <v>0</v>
      </c>
      <c r="BG1145">
        <v>0</v>
      </c>
      <c r="BH1145">
        <v>1675</v>
      </c>
      <c r="BI1145">
        <v>1</v>
      </c>
      <c r="BJ1145">
        <v>1</v>
      </c>
      <c r="BK1145">
        <v>1</v>
      </c>
      <c r="BL1145">
        <v>0</v>
      </c>
      <c r="BO1145">
        <v>0</v>
      </c>
      <c r="BP1145">
        <v>0</v>
      </c>
      <c r="BW1145" t="str">
        <f>"20:18:24.626"</f>
        <v>20:18:24.626</v>
      </c>
      <c r="BZ1145">
        <v>0</v>
      </c>
      <c r="CA1145">
        <v>2016</v>
      </c>
      <c r="CB1145">
        <v>224</v>
      </c>
      <c r="CD1145">
        <v>1</v>
      </c>
      <c r="CE1145">
        <v>0</v>
      </c>
      <c r="CF1145">
        <v>0</v>
      </c>
      <c r="CG1145">
        <v>1</v>
      </c>
      <c r="CH1145">
        <v>0</v>
      </c>
      <c r="CI1145">
        <v>0</v>
      </c>
      <c r="CJ1145">
        <v>0</v>
      </c>
      <c r="CK1145">
        <v>2</v>
      </c>
      <c r="CL1145">
        <v>0</v>
      </c>
      <c r="CM1145">
        <v>2</v>
      </c>
      <c r="CN1145">
        <v>0</v>
      </c>
      <c r="CO1145">
        <v>6</v>
      </c>
      <c r="CP1145" t="s">
        <v>119</v>
      </c>
      <c r="CQ1145">
        <v>180</v>
      </c>
      <c r="CR1145">
        <v>1</v>
      </c>
      <c r="CW1145">
        <v>10646385</v>
      </c>
      <c r="CY1145">
        <v>1</v>
      </c>
      <c r="CZ1145">
        <v>0</v>
      </c>
      <c r="DA1145">
        <v>1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</row>
    <row r="1146" spans="1:113" x14ac:dyDescent="0.3">
      <c r="A1146" t="str">
        <f>"02/08/2021 20:18:22.326"</f>
        <v>02/08/2021 20:18:22.326</v>
      </c>
      <c r="C1146" t="str">
        <f t="shared" si="53"/>
        <v>FFDFD7C0</v>
      </c>
      <c r="D1146" t="s">
        <v>113</v>
      </c>
      <c r="E1146">
        <v>6</v>
      </c>
      <c r="H1146">
        <v>165</v>
      </c>
      <c r="I1146" t="s">
        <v>114</v>
      </c>
      <c r="J1146" t="s">
        <v>115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>"20:18:24.625"</f>
        <v>20:18:24.625</v>
      </c>
      <c r="T1146" t="str">
        <f>"20:18:24.125"</f>
        <v>20:18:24.125</v>
      </c>
      <c r="U1146" t="str">
        <f t="shared" si="52"/>
        <v>AB01F4</v>
      </c>
      <c r="V1146">
        <v>0</v>
      </c>
      <c r="W1146">
        <v>0</v>
      </c>
      <c r="X1146">
        <v>2</v>
      </c>
      <c r="Z1146">
        <v>0</v>
      </c>
      <c r="AA1146">
        <v>9</v>
      </c>
      <c r="AB1146">
        <v>3</v>
      </c>
      <c r="AC1146">
        <v>0</v>
      </c>
      <c r="AD1146">
        <v>10</v>
      </c>
      <c r="AE1146">
        <v>0</v>
      </c>
      <c r="AF1146">
        <v>3</v>
      </c>
      <c r="AG1146">
        <v>2</v>
      </c>
      <c r="AH1146">
        <v>0</v>
      </c>
      <c r="AI1146" t="s">
        <v>844</v>
      </c>
      <c r="AJ1146">
        <v>39.735832000000002</v>
      </c>
      <c r="AK1146" t="s">
        <v>845</v>
      </c>
      <c r="AL1146">
        <v>-92.523185999999995</v>
      </c>
      <c r="AM1146">
        <v>100</v>
      </c>
      <c r="AN1146">
        <v>1700</v>
      </c>
      <c r="AO1146" t="s">
        <v>118</v>
      </c>
      <c r="AP1146">
        <v>28</v>
      </c>
      <c r="AQ1146">
        <v>117</v>
      </c>
      <c r="AR1146">
        <v>64</v>
      </c>
      <c r="AZ1146">
        <v>1200</v>
      </c>
      <c r="BA1146">
        <v>1</v>
      </c>
      <c r="BB1146" t="str">
        <f t="shared" si="54"/>
        <v xml:space="preserve">N8080G  </v>
      </c>
      <c r="BC1146">
        <v>1</v>
      </c>
      <c r="BE1146">
        <v>0</v>
      </c>
      <c r="BF1146">
        <v>0</v>
      </c>
      <c r="BG1146">
        <v>0</v>
      </c>
      <c r="BH1146">
        <v>1675</v>
      </c>
      <c r="BI1146">
        <v>1</v>
      </c>
      <c r="BJ1146">
        <v>1</v>
      </c>
      <c r="BK1146">
        <v>1</v>
      </c>
      <c r="BL1146">
        <v>0</v>
      </c>
      <c r="BO1146">
        <v>0</v>
      </c>
      <c r="BP1146">
        <v>0</v>
      </c>
      <c r="BW1146" t="str">
        <f>"20:18:24.626"</f>
        <v>20:18:24.626</v>
      </c>
      <c r="BZ1146">
        <v>0</v>
      </c>
      <c r="CA1146">
        <v>2016</v>
      </c>
      <c r="CB1146">
        <v>224</v>
      </c>
      <c r="CD1146">
        <v>1</v>
      </c>
      <c r="CE1146">
        <v>0</v>
      </c>
      <c r="CF1146">
        <v>0</v>
      </c>
      <c r="CG1146">
        <v>1</v>
      </c>
      <c r="CH1146">
        <v>0</v>
      </c>
      <c r="CI1146">
        <v>0</v>
      </c>
      <c r="CJ1146">
        <v>0</v>
      </c>
      <c r="CK1146">
        <v>2</v>
      </c>
      <c r="CL1146">
        <v>0</v>
      </c>
      <c r="CM1146">
        <v>2</v>
      </c>
      <c r="CN1146">
        <v>0</v>
      </c>
      <c r="CO1146">
        <v>6</v>
      </c>
      <c r="CP1146" t="s">
        <v>119</v>
      </c>
      <c r="CQ1146">
        <v>180</v>
      </c>
      <c r="CR1146">
        <v>1</v>
      </c>
      <c r="CW1146">
        <v>10646385</v>
      </c>
      <c r="CY1146">
        <v>1</v>
      </c>
      <c r="CZ1146">
        <v>0</v>
      </c>
      <c r="DA1146">
        <v>1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</row>
    <row r="1147" spans="1:113" x14ac:dyDescent="0.3">
      <c r="A1147" t="str">
        <f>"02/08/2021 20:18:26.004"</f>
        <v>02/08/2021 20:18:26.004</v>
      </c>
      <c r="C1147" t="str">
        <f t="shared" si="53"/>
        <v>FFDFD7C0</v>
      </c>
      <c r="D1147" t="s">
        <v>124</v>
      </c>
      <c r="E1147">
        <v>13</v>
      </c>
      <c r="F1147">
        <v>1013</v>
      </c>
      <c r="G1147" t="s">
        <v>114</v>
      </c>
      <c r="J1147" t="s">
        <v>125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>"20:18:28.297"</f>
        <v>20:18:28.297</v>
      </c>
      <c r="T1147" t="str">
        <f>"20:18:27.797"</f>
        <v>20:18:27.797</v>
      </c>
      <c r="U1147" t="str">
        <f t="shared" si="52"/>
        <v>AB01F4</v>
      </c>
      <c r="V1147">
        <v>0</v>
      </c>
      <c r="W1147">
        <v>0</v>
      </c>
      <c r="X1147">
        <v>2</v>
      </c>
      <c r="Z1147">
        <v>0</v>
      </c>
      <c r="AA1147">
        <v>9</v>
      </c>
      <c r="AB1147">
        <v>3</v>
      </c>
      <c r="AC1147">
        <v>0</v>
      </c>
      <c r="AD1147">
        <v>10</v>
      </c>
      <c r="AE1147">
        <v>0</v>
      </c>
      <c r="AF1147">
        <v>3</v>
      </c>
      <c r="AG1147">
        <v>2</v>
      </c>
      <c r="AH1147">
        <v>0</v>
      </c>
      <c r="AI1147" t="s">
        <v>846</v>
      </c>
      <c r="AJ1147">
        <v>39.737785000000002</v>
      </c>
      <c r="AK1147" t="s">
        <v>751</v>
      </c>
      <c r="AL1147">
        <v>-92.522585000000007</v>
      </c>
      <c r="AM1147">
        <v>100</v>
      </c>
      <c r="AN1147">
        <v>1700</v>
      </c>
      <c r="AO1147" t="s">
        <v>118</v>
      </c>
      <c r="AP1147">
        <v>28</v>
      </c>
      <c r="AQ1147">
        <v>117</v>
      </c>
      <c r="AR1147">
        <v>64</v>
      </c>
      <c r="AZ1147">
        <v>1200</v>
      </c>
      <c r="BA1147">
        <v>1</v>
      </c>
      <c r="BB1147" t="str">
        <f t="shared" si="54"/>
        <v xml:space="preserve">N8080G  </v>
      </c>
      <c r="BC1147">
        <v>1</v>
      </c>
      <c r="BE1147">
        <v>0</v>
      </c>
      <c r="BF1147">
        <v>0</v>
      </c>
      <c r="BG1147">
        <v>0</v>
      </c>
      <c r="BH1147">
        <v>1700</v>
      </c>
      <c r="BI1147">
        <v>1</v>
      </c>
      <c r="BJ1147">
        <v>1</v>
      </c>
      <c r="BK1147">
        <v>1</v>
      </c>
      <c r="BL1147">
        <v>0</v>
      </c>
      <c r="BO1147">
        <v>0</v>
      </c>
      <c r="BP1147">
        <v>0</v>
      </c>
      <c r="BW1147" t="str">
        <f>"20:18:28.304"</f>
        <v>20:18:28.304</v>
      </c>
      <c r="BZ1147">
        <v>0</v>
      </c>
      <c r="CA1147">
        <v>2016</v>
      </c>
      <c r="CB1147">
        <v>224</v>
      </c>
      <c r="CD1147">
        <v>1</v>
      </c>
      <c r="CE1147">
        <v>0</v>
      </c>
      <c r="CF1147">
        <v>0</v>
      </c>
      <c r="CG1147">
        <v>1</v>
      </c>
      <c r="CH1147">
        <v>0</v>
      </c>
      <c r="CI1147">
        <v>0</v>
      </c>
      <c r="CJ1147">
        <v>0</v>
      </c>
      <c r="CK1147">
        <v>2</v>
      </c>
      <c r="CL1147">
        <v>0</v>
      </c>
      <c r="CM1147">
        <v>2</v>
      </c>
      <c r="CN1147">
        <v>0</v>
      </c>
      <c r="CO1147">
        <v>6</v>
      </c>
      <c r="CP1147" t="s">
        <v>119</v>
      </c>
      <c r="CQ1147">
        <v>180</v>
      </c>
      <c r="CR1147">
        <v>2</v>
      </c>
      <c r="CW1147">
        <v>8088914</v>
      </c>
      <c r="CY1147">
        <v>1</v>
      </c>
      <c r="CZ1147">
        <v>0</v>
      </c>
      <c r="DA1147">
        <v>0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</row>
    <row r="1148" spans="1:113" x14ac:dyDescent="0.3">
      <c r="A1148" t="str">
        <f>"02/08/2021 20:18:26.004"</f>
        <v>02/08/2021 20:18:26.004</v>
      </c>
      <c r="C1148" t="str">
        <f t="shared" si="53"/>
        <v>FFDFD7C0</v>
      </c>
      <c r="D1148" t="s">
        <v>124</v>
      </c>
      <c r="E1148">
        <v>11</v>
      </c>
      <c r="F1148">
        <v>1011</v>
      </c>
      <c r="G1148" t="s">
        <v>590</v>
      </c>
      <c r="J1148" t="s">
        <v>125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>"20:18:28.297"</f>
        <v>20:18:28.297</v>
      </c>
      <c r="T1148" t="str">
        <f>"20:18:27.797"</f>
        <v>20:18:27.797</v>
      </c>
      <c r="U1148" t="str">
        <f t="shared" si="52"/>
        <v>AB01F4</v>
      </c>
      <c r="V1148">
        <v>0</v>
      </c>
      <c r="W1148">
        <v>0</v>
      </c>
      <c r="X1148">
        <v>2</v>
      </c>
      <c r="Z1148">
        <v>0</v>
      </c>
      <c r="AA1148">
        <v>9</v>
      </c>
      <c r="AB1148">
        <v>3</v>
      </c>
      <c r="AC1148">
        <v>0</v>
      </c>
      <c r="AD1148">
        <v>10</v>
      </c>
      <c r="AE1148">
        <v>0</v>
      </c>
      <c r="AF1148">
        <v>3</v>
      </c>
      <c r="AG1148">
        <v>2</v>
      </c>
      <c r="AH1148">
        <v>0</v>
      </c>
      <c r="AI1148" t="s">
        <v>846</v>
      </c>
      <c r="AJ1148">
        <v>39.737785000000002</v>
      </c>
      <c r="AK1148" t="s">
        <v>751</v>
      </c>
      <c r="AL1148">
        <v>-92.522585000000007</v>
      </c>
      <c r="AM1148">
        <v>100</v>
      </c>
      <c r="AN1148">
        <v>1700</v>
      </c>
      <c r="AO1148" t="s">
        <v>118</v>
      </c>
      <c r="AP1148">
        <v>28</v>
      </c>
      <c r="AQ1148">
        <v>117</v>
      </c>
      <c r="AR1148">
        <v>64</v>
      </c>
      <c r="AZ1148">
        <v>1200</v>
      </c>
      <c r="BA1148">
        <v>1</v>
      </c>
      <c r="BB1148" t="str">
        <f t="shared" si="54"/>
        <v xml:space="preserve">N8080G  </v>
      </c>
      <c r="BC1148">
        <v>1</v>
      </c>
      <c r="BE1148">
        <v>0</v>
      </c>
      <c r="BF1148">
        <v>0</v>
      </c>
      <c r="BG1148">
        <v>0</v>
      </c>
      <c r="BH1148">
        <v>1700</v>
      </c>
      <c r="BI1148">
        <v>1</v>
      </c>
      <c r="BJ1148">
        <v>1</v>
      </c>
      <c r="BK1148">
        <v>1</v>
      </c>
      <c r="BL1148">
        <v>0</v>
      </c>
      <c r="BO1148">
        <v>0</v>
      </c>
      <c r="BP1148">
        <v>0</v>
      </c>
      <c r="BW1148" t="str">
        <f>"20:18:28.304"</f>
        <v>20:18:28.304</v>
      </c>
      <c r="BZ1148">
        <v>0</v>
      </c>
      <c r="CA1148">
        <v>2016</v>
      </c>
      <c r="CB1148">
        <v>224</v>
      </c>
      <c r="CD1148">
        <v>1</v>
      </c>
      <c r="CE1148">
        <v>0</v>
      </c>
      <c r="CF1148">
        <v>0</v>
      </c>
      <c r="CG1148">
        <v>1</v>
      </c>
      <c r="CH1148">
        <v>0</v>
      </c>
      <c r="CI1148">
        <v>0</v>
      </c>
      <c r="CJ1148">
        <v>0</v>
      </c>
      <c r="CK1148">
        <v>2</v>
      </c>
      <c r="CL1148">
        <v>0</v>
      </c>
      <c r="CM1148">
        <v>2</v>
      </c>
      <c r="CN1148">
        <v>0</v>
      </c>
      <c r="CO1148">
        <v>6</v>
      </c>
      <c r="CP1148" t="s">
        <v>119</v>
      </c>
      <c r="CQ1148">
        <v>180</v>
      </c>
      <c r="CR1148">
        <v>2</v>
      </c>
      <c r="CW1148">
        <v>8088914</v>
      </c>
      <c r="CY1148">
        <v>1</v>
      </c>
      <c r="CZ1148">
        <v>0</v>
      </c>
      <c r="DA1148">
        <v>1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</row>
    <row r="1149" spans="1:113" x14ac:dyDescent="0.3">
      <c r="A1149" t="str">
        <f>"02/08/2021 20:18:26.004"</f>
        <v>02/08/2021 20:18:26.004</v>
      </c>
      <c r="C1149" t="str">
        <f t="shared" si="53"/>
        <v>FFDFD7C0</v>
      </c>
      <c r="D1149" t="s">
        <v>124</v>
      </c>
      <c r="E1149">
        <v>12</v>
      </c>
      <c r="F1149">
        <v>1012</v>
      </c>
      <c r="G1149" t="s">
        <v>675</v>
      </c>
      <c r="J1149" t="s">
        <v>125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>"20:18:28.297"</f>
        <v>20:18:28.297</v>
      </c>
      <c r="T1149" t="str">
        <f>"20:18:27.797"</f>
        <v>20:18:27.797</v>
      </c>
      <c r="U1149" t="str">
        <f t="shared" si="52"/>
        <v>AB01F4</v>
      </c>
      <c r="V1149">
        <v>0</v>
      </c>
      <c r="W1149">
        <v>0</v>
      </c>
      <c r="X1149">
        <v>2</v>
      </c>
      <c r="Z1149">
        <v>0</v>
      </c>
      <c r="AA1149">
        <v>9</v>
      </c>
      <c r="AB1149">
        <v>3</v>
      </c>
      <c r="AC1149">
        <v>0</v>
      </c>
      <c r="AD1149">
        <v>10</v>
      </c>
      <c r="AE1149">
        <v>0</v>
      </c>
      <c r="AF1149">
        <v>3</v>
      </c>
      <c r="AG1149">
        <v>2</v>
      </c>
      <c r="AH1149">
        <v>0</v>
      </c>
      <c r="AI1149" t="s">
        <v>846</v>
      </c>
      <c r="AJ1149">
        <v>39.737785000000002</v>
      </c>
      <c r="AK1149" t="s">
        <v>751</v>
      </c>
      <c r="AL1149">
        <v>-92.522585000000007</v>
      </c>
      <c r="AM1149">
        <v>100</v>
      </c>
      <c r="AN1149">
        <v>1700</v>
      </c>
      <c r="AO1149" t="s">
        <v>118</v>
      </c>
      <c r="AP1149">
        <v>28</v>
      </c>
      <c r="AQ1149">
        <v>117</v>
      </c>
      <c r="AR1149">
        <v>64</v>
      </c>
      <c r="AZ1149">
        <v>1200</v>
      </c>
      <c r="BA1149">
        <v>1</v>
      </c>
      <c r="BB1149" t="str">
        <f t="shared" si="54"/>
        <v xml:space="preserve">N8080G  </v>
      </c>
      <c r="BC1149">
        <v>1</v>
      </c>
      <c r="BE1149">
        <v>0</v>
      </c>
      <c r="BF1149">
        <v>0</v>
      </c>
      <c r="BG1149">
        <v>0</v>
      </c>
      <c r="BH1149">
        <v>1700</v>
      </c>
      <c r="BI1149">
        <v>1</v>
      </c>
      <c r="BJ1149">
        <v>1</v>
      </c>
      <c r="BK1149">
        <v>1</v>
      </c>
      <c r="BL1149">
        <v>0</v>
      </c>
      <c r="BO1149">
        <v>0</v>
      </c>
      <c r="BP1149">
        <v>0</v>
      </c>
      <c r="BW1149" t="str">
        <f>"20:18:28.304"</f>
        <v>20:18:28.304</v>
      </c>
      <c r="BZ1149">
        <v>0</v>
      </c>
      <c r="CA1149">
        <v>2016</v>
      </c>
      <c r="CB1149">
        <v>224</v>
      </c>
      <c r="CD1149">
        <v>1</v>
      </c>
      <c r="CE1149">
        <v>0</v>
      </c>
      <c r="CF1149">
        <v>0</v>
      </c>
      <c r="CG1149">
        <v>1</v>
      </c>
      <c r="CH1149">
        <v>0</v>
      </c>
      <c r="CI1149">
        <v>0</v>
      </c>
      <c r="CJ1149">
        <v>0</v>
      </c>
      <c r="CK1149">
        <v>2</v>
      </c>
      <c r="CL1149">
        <v>0</v>
      </c>
      <c r="CM1149">
        <v>2</v>
      </c>
      <c r="CN1149">
        <v>0</v>
      </c>
      <c r="CO1149">
        <v>6</v>
      </c>
      <c r="CP1149" t="s">
        <v>119</v>
      </c>
      <c r="CQ1149">
        <v>180</v>
      </c>
      <c r="CR1149">
        <v>2</v>
      </c>
      <c r="CW1149">
        <v>8088914</v>
      </c>
      <c r="CY1149">
        <v>1</v>
      </c>
      <c r="CZ1149">
        <v>0</v>
      </c>
      <c r="DA1149">
        <v>1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</row>
    <row r="1150" spans="1:113" x14ac:dyDescent="0.3">
      <c r="A1150" t="str">
        <f>"02/08/2021 20:18:26.004"</f>
        <v>02/08/2021 20:18:26.004</v>
      </c>
      <c r="C1150" t="str">
        <f t="shared" si="53"/>
        <v>FFDFD7C0</v>
      </c>
      <c r="D1150" t="s">
        <v>113</v>
      </c>
      <c r="E1150">
        <v>6</v>
      </c>
      <c r="H1150">
        <v>165</v>
      </c>
      <c r="I1150" t="s">
        <v>114</v>
      </c>
      <c r="J1150" t="s">
        <v>115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>"20:18:28.297"</f>
        <v>20:18:28.297</v>
      </c>
      <c r="T1150" t="str">
        <f>"20:18:27.797"</f>
        <v>20:18:27.797</v>
      </c>
      <c r="U1150" t="str">
        <f t="shared" si="52"/>
        <v>AB01F4</v>
      </c>
      <c r="V1150">
        <v>0</v>
      </c>
      <c r="W1150">
        <v>0</v>
      </c>
      <c r="X1150">
        <v>2</v>
      </c>
      <c r="Z1150">
        <v>0</v>
      </c>
      <c r="AA1150">
        <v>9</v>
      </c>
      <c r="AB1150">
        <v>3</v>
      </c>
      <c r="AC1150">
        <v>0</v>
      </c>
      <c r="AD1150">
        <v>10</v>
      </c>
      <c r="AE1150">
        <v>0</v>
      </c>
      <c r="AF1150">
        <v>3</v>
      </c>
      <c r="AG1150">
        <v>2</v>
      </c>
      <c r="AH1150">
        <v>0</v>
      </c>
      <c r="AI1150" t="s">
        <v>846</v>
      </c>
      <c r="AJ1150">
        <v>39.737785000000002</v>
      </c>
      <c r="AK1150" t="s">
        <v>751</v>
      </c>
      <c r="AL1150">
        <v>-92.522585000000007</v>
      </c>
      <c r="AM1150">
        <v>100</v>
      </c>
      <c r="AN1150">
        <v>1700</v>
      </c>
      <c r="AO1150" t="s">
        <v>118</v>
      </c>
      <c r="AP1150">
        <v>28</v>
      </c>
      <c r="AQ1150">
        <v>117</v>
      </c>
      <c r="AR1150">
        <v>64</v>
      </c>
      <c r="AZ1150">
        <v>1200</v>
      </c>
      <c r="BA1150">
        <v>1</v>
      </c>
      <c r="BB1150" t="str">
        <f t="shared" si="54"/>
        <v xml:space="preserve">N8080G  </v>
      </c>
      <c r="BC1150">
        <v>1</v>
      </c>
      <c r="BE1150">
        <v>0</v>
      </c>
      <c r="BF1150">
        <v>0</v>
      </c>
      <c r="BG1150">
        <v>0</v>
      </c>
      <c r="BH1150">
        <v>1700</v>
      </c>
      <c r="BI1150">
        <v>1</v>
      </c>
      <c r="BJ1150">
        <v>1</v>
      </c>
      <c r="BK1150">
        <v>1</v>
      </c>
      <c r="BL1150">
        <v>0</v>
      </c>
      <c r="BO1150">
        <v>0</v>
      </c>
      <c r="BP1150">
        <v>0</v>
      </c>
      <c r="BW1150" t="str">
        <f>"20:18:28.304"</f>
        <v>20:18:28.304</v>
      </c>
      <c r="BZ1150">
        <v>0</v>
      </c>
      <c r="CA1150">
        <v>2016</v>
      </c>
      <c r="CB1150">
        <v>224</v>
      </c>
      <c r="CD1150">
        <v>1</v>
      </c>
      <c r="CE1150">
        <v>0</v>
      </c>
      <c r="CF1150">
        <v>0</v>
      </c>
      <c r="CG1150">
        <v>1</v>
      </c>
      <c r="CH1150">
        <v>0</v>
      </c>
      <c r="CI1150">
        <v>0</v>
      </c>
      <c r="CJ1150">
        <v>0</v>
      </c>
      <c r="CK1150">
        <v>2</v>
      </c>
      <c r="CL1150">
        <v>0</v>
      </c>
      <c r="CM1150">
        <v>2</v>
      </c>
      <c r="CN1150">
        <v>0</v>
      </c>
      <c r="CO1150">
        <v>6</v>
      </c>
      <c r="CP1150" t="s">
        <v>119</v>
      </c>
      <c r="CQ1150">
        <v>180</v>
      </c>
      <c r="CR1150">
        <v>2</v>
      </c>
      <c r="CW1150">
        <v>8088914</v>
      </c>
      <c r="CY1150">
        <v>1</v>
      </c>
      <c r="CZ1150">
        <v>0</v>
      </c>
      <c r="DA1150">
        <v>1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</row>
    <row r="1151" spans="1:113" x14ac:dyDescent="0.3">
      <c r="A1151" t="str">
        <f>"02/08/2021 20:18:27.514"</f>
        <v>02/08/2021 20:18:27.514</v>
      </c>
      <c r="C1151" t="str">
        <f t="shared" si="53"/>
        <v>FFDFD7C0</v>
      </c>
      <c r="D1151" t="s">
        <v>124</v>
      </c>
      <c r="E1151">
        <v>13</v>
      </c>
      <c r="F1151">
        <v>1013</v>
      </c>
      <c r="G1151" t="s">
        <v>114</v>
      </c>
      <c r="J1151" t="s">
        <v>125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>"20:18:29.828"</f>
        <v>20:18:29.828</v>
      </c>
      <c r="T1151" t="str">
        <f>"20:18:29.328"</f>
        <v>20:18:29.328</v>
      </c>
      <c r="U1151" t="str">
        <f t="shared" si="52"/>
        <v>AB01F4</v>
      </c>
      <c r="V1151">
        <v>0</v>
      </c>
      <c r="W1151">
        <v>0</v>
      </c>
      <c r="X1151">
        <v>2</v>
      </c>
      <c r="Z1151">
        <v>0</v>
      </c>
      <c r="AA1151">
        <v>9</v>
      </c>
      <c r="AB1151">
        <v>3</v>
      </c>
      <c r="AC1151">
        <v>0</v>
      </c>
      <c r="AD1151">
        <v>10</v>
      </c>
      <c r="AE1151">
        <v>0</v>
      </c>
      <c r="AF1151">
        <v>3</v>
      </c>
      <c r="AG1151">
        <v>2</v>
      </c>
      <c r="AH1151">
        <v>0</v>
      </c>
      <c r="AI1151" t="s">
        <v>847</v>
      </c>
      <c r="AJ1151">
        <v>39.738664999999997</v>
      </c>
      <c r="AK1151" t="s">
        <v>848</v>
      </c>
      <c r="AL1151">
        <v>-92.522284999999997</v>
      </c>
      <c r="AM1151">
        <v>100</v>
      </c>
      <c r="AN1151">
        <v>1700</v>
      </c>
      <c r="AO1151" t="s">
        <v>118</v>
      </c>
      <c r="AP1151">
        <v>28</v>
      </c>
      <c r="AQ1151">
        <v>117</v>
      </c>
      <c r="AR1151">
        <v>0</v>
      </c>
      <c r="AZ1151">
        <v>1200</v>
      </c>
      <c r="BA1151">
        <v>1</v>
      </c>
      <c r="BB1151" t="str">
        <f t="shared" si="54"/>
        <v xml:space="preserve">N8080G  </v>
      </c>
      <c r="BC1151">
        <v>1</v>
      </c>
      <c r="BE1151">
        <v>0</v>
      </c>
      <c r="BF1151">
        <v>0</v>
      </c>
      <c r="BG1151">
        <v>0</v>
      </c>
      <c r="BH1151">
        <v>1700</v>
      </c>
      <c r="BI1151">
        <v>1</v>
      </c>
      <c r="BJ1151">
        <v>1</v>
      </c>
      <c r="BK1151">
        <v>1</v>
      </c>
      <c r="BL1151">
        <v>0</v>
      </c>
      <c r="BO1151">
        <v>0</v>
      </c>
      <c r="BP1151">
        <v>0</v>
      </c>
      <c r="BW1151" t="str">
        <f>"20:18:29.831"</f>
        <v>20:18:29.831</v>
      </c>
      <c r="BZ1151">
        <v>0</v>
      </c>
      <c r="CA1151">
        <v>2016</v>
      </c>
      <c r="CB1151">
        <v>224</v>
      </c>
      <c r="CD1151">
        <v>1</v>
      </c>
      <c r="CE1151">
        <v>0</v>
      </c>
      <c r="CF1151">
        <v>0</v>
      </c>
      <c r="CG1151">
        <v>1</v>
      </c>
      <c r="CH1151">
        <v>0</v>
      </c>
      <c r="CI1151">
        <v>0</v>
      </c>
      <c r="CJ1151">
        <v>0</v>
      </c>
      <c r="CK1151">
        <v>2</v>
      </c>
      <c r="CL1151">
        <v>0</v>
      </c>
      <c r="CM1151">
        <v>2</v>
      </c>
      <c r="CN1151">
        <v>0</v>
      </c>
      <c r="CO1151">
        <v>6</v>
      </c>
      <c r="CP1151" t="s">
        <v>119</v>
      </c>
      <c r="CQ1151">
        <v>180</v>
      </c>
      <c r="CR1151">
        <v>2</v>
      </c>
      <c r="CW1151">
        <v>8090225</v>
      </c>
      <c r="CY1151">
        <v>1</v>
      </c>
      <c r="CZ1151">
        <v>0</v>
      </c>
      <c r="DA1151">
        <v>0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</row>
    <row r="1152" spans="1:113" x14ac:dyDescent="0.3">
      <c r="A1152" t="str">
        <f>"02/08/2021 20:18:27.514"</f>
        <v>02/08/2021 20:18:27.514</v>
      </c>
      <c r="C1152" t="str">
        <f t="shared" si="53"/>
        <v>FFDFD7C0</v>
      </c>
      <c r="D1152" t="s">
        <v>124</v>
      </c>
      <c r="E1152">
        <v>11</v>
      </c>
      <c r="F1152">
        <v>1011</v>
      </c>
      <c r="G1152" t="s">
        <v>590</v>
      </c>
      <c r="J1152" t="s">
        <v>125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>"20:18:29.828"</f>
        <v>20:18:29.828</v>
      </c>
      <c r="T1152" t="str">
        <f>"20:18:29.328"</f>
        <v>20:18:29.328</v>
      </c>
      <c r="U1152" t="str">
        <f t="shared" si="52"/>
        <v>AB01F4</v>
      </c>
      <c r="V1152">
        <v>0</v>
      </c>
      <c r="W1152">
        <v>0</v>
      </c>
      <c r="X1152">
        <v>2</v>
      </c>
      <c r="Z1152">
        <v>0</v>
      </c>
      <c r="AA1152">
        <v>9</v>
      </c>
      <c r="AB1152">
        <v>3</v>
      </c>
      <c r="AC1152">
        <v>0</v>
      </c>
      <c r="AD1152">
        <v>10</v>
      </c>
      <c r="AE1152">
        <v>0</v>
      </c>
      <c r="AF1152">
        <v>3</v>
      </c>
      <c r="AG1152">
        <v>2</v>
      </c>
      <c r="AH1152">
        <v>0</v>
      </c>
      <c r="AI1152" t="s">
        <v>847</v>
      </c>
      <c r="AJ1152">
        <v>39.738664999999997</v>
      </c>
      <c r="AK1152" t="s">
        <v>848</v>
      </c>
      <c r="AL1152">
        <v>-92.522284999999997</v>
      </c>
      <c r="AM1152">
        <v>100</v>
      </c>
      <c r="AN1152">
        <v>1700</v>
      </c>
      <c r="AO1152" t="s">
        <v>118</v>
      </c>
      <c r="AP1152">
        <v>28</v>
      </c>
      <c r="AQ1152">
        <v>117</v>
      </c>
      <c r="AR1152">
        <v>0</v>
      </c>
      <c r="AZ1152">
        <v>1200</v>
      </c>
      <c r="BA1152">
        <v>1</v>
      </c>
      <c r="BB1152" t="str">
        <f t="shared" si="54"/>
        <v xml:space="preserve">N8080G  </v>
      </c>
      <c r="BC1152">
        <v>1</v>
      </c>
      <c r="BE1152">
        <v>0</v>
      </c>
      <c r="BF1152">
        <v>0</v>
      </c>
      <c r="BG1152">
        <v>0</v>
      </c>
      <c r="BH1152">
        <v>1700</v>
      </c>
      <c r="BI1152">
        <v>1</v>
      </c>
      <c r="BJ1152">
        <v>1</v>
      </c>
      <c r="BK1152">
        <v>1</v>
      </c>
      <c r="BL1152">
        <v>0</v>
      </c>
      <c r="BO1152">
        <v>0</v>
      </c>
      <c r="BP1152">
        <v>0</v>
      </c>
      <c r="BW1152" t="str">
        <f>"20:18:29.831"</f>
        <v>20:18:29.831</v>
      </c>
      <c r="BZ1152">
        <v>0</v>
      </c>
      <c r="CA1152">
        <v>2016</v>
      </c>
      <c r="CB1152">
        <v>224</v>
      </c>
      <c r="CD1152">
        <v>1</v>
      </c>
      <c r="CE1152">
        <v>0</v>
      </c>
      <c r="CF1152">
        <v>0</v>
      </c>
      <c r="CG1152">
        <v>1</v>
      </c>
      <c r="CH1152">
        <v>0</v>
      </c>
      <c r="CI1152">
        <v>0</v>
      </c>
      <c r="CJ1152">
        <v>0</v>
      </c>
      <c r="CK1152">
        <v>2</v>
      </c>
      <c r="CL1152">
        <v>0</v>
      </c>
      <c r="CM1152">
        <v>2</v>
      </c>
      <c r="CN1152">
        <v>0</v>
      </c>
      <c r="CO1152">
        <v>6</v>
      </c>
      <c r="CP1152" t="s">
        <v>119</v>
      </c>
      <c r="CQ1152">
        <v>180</v>
      </c>
      <c r="CR1152">
        <v>2</v>
      </c>
      <c r="CW1152">
        <v>8090225</v>
      </c>
      <c r="CY1152">
        <v>1</v>
      </c>
      <c r="CZ1152">
        <v>0</v>
      </c>
      <c r="DA1152">
        <v>1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</row>
    <row r="1153" spans="1:113" x14ac:dyDescent="0.3">
      <c r="A1153" t="str">
        <f>"02/08/2021 20:18:27.514"</f>
        <v>02/08/2021 20:18:27.514</v>
      </c>
      <c r="C1153" t="str">
        <f t="shared" si="53"/>
        <v>FFDFD7C0</v>
      </c>
      <c r="D1153" t="s">
        <v>124</v>
      </c>
      <c r="E1153">
        <v>12</v>
      </c>
      <c r="F1153">
        <v>1012</v>
      </c>
      <c r="G1153" t="s">
        <v>675</v>
      </c>
      <c r="J1153" t="s">
        <v>125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>"20:18:29.828"</f>
        <v>20:18:29.828</v>
      </c>
      <c r="T1153" t="str">
        <f>"20:18:29.328"</f>
        <v>20:18:29.328</v>
      </c>
      <c r="U1153" t="str">
        <f t="shared" si="52"/>
        <v>AB01F4</v>
      </c>
      <c r="V1153">
        <v>0</v>
      </c>
      <c r="W1153">
        <v>0</v>
      </c>
      <c r="X1153">
        <v>2</v>
      </c>
      <c r="Z1153">
        <v>0</v>
      </c>
      <c r="AA1153">
        <v>9</v>
      </c>
      <c r="AB1153">
        <v>3</v>
      </c>
      <c r="AC1153">
        <v>0</v>
      </c>
      <c r="AD1153">
        <v>10</v>
      </c>
      <c r="AE1153">
        <v>0</v>
      </c>
      <c r="AF1153">
        <v>3</v>
      </c>
      <c r="AG1153">
        <v>2</v>
      </c>
      <c r="AH1153">
        <v>0</v>
      </c>
      <c r="AI1153" t="s">
        <v>847</v>
      </c>
      <c r="AJ1153">
        <v>39.738664999999997</v>
      </c>
      <c r="AK1153" t="s">
        <v>848</v>
      </c>
      <c r="AL1153">
        <v>-92.522284999999997</v>
      </c>
      <c r="AM1153">
        <v>100</v>
      </c>
      <c r="AN1153">
        <v>1700</v>
      </c>
      <c r="AO1153" t="s">
        <v>118</v>
      </c>
      <c r="AP1153">
        <v>28</v>
      </c>
      <c r="AQ1153">
        <v>117</v>
      </c>
      <c r="AR1153">
        <v>0</v>
      </c>
      <c r="AZ1153">
        <v>1200</v>
      </c>
      <c r="BA1153">
        <v>1</v>
      </c>
      <c r="BB1153" t="str">
        <f t="shared" si="54"/>
        <v xml:space="preserve">N8080G  </v>
      </c>
      <c r="BC1153">
        <v>1</v>
      </c>
      <c r="BE1153">
        <v>0</v>
      </c>
      <c r="BF1153">
        <v>0</v>
      </c>
      <c r="BG1153">
        <v>0</v>
      </c>
      <c r="BH1153">
        <v>1700</v>
      </c>
      <c r="BI1153">
        <v>1</v>
      </c>
      <c r="BJ1153">
        <v>1</v>
      </c>
      <c r="BK1153">
        <v>1</v>
      </c>
      <c r="BL1153">
        <v>0</v>
      </c>
      <c r="BO1153">
        <v>0</v>
      </c>
      <c r="BP1153">
        <v>0</v>
      </c>
      <c r="BW1153" t="str">
        <f>"20:18:29.831"</f>
        <v>20:18:29.831</v>
      </c>
      <c r="BZ1153">
        <v>0</v>
      </c>
      <c r="CA1153">
        <v>2016</v>
      </c>
      <c r="CB1153">
        <v>224</v>
      </c>
      <c r="CD1153">
        <v>1</v>
      </c>
      <c r="CE1153">
        <v>0</v>
      </c>
      <c r="CF1153">
        <v>0</v>
      </c>
      <c r="CG1153">
        <v>1</v>
      </c>
      <c r="CH1153">
        <v>0</v>
      </c>
      <c r="CI1153">
        <v>0</v>
      </c>
      <c r="CJ1153">
        <v>0</v>
      </c>
      <c r="CK1153">
        <v>2</v>
      </c>
      <c r="CL1153">
        <v>0</v>
      </c>
      <c r="CM1153">
        <v>2</v>
      </c>
      <c r="CN1153">
        <v>0</v>
      </c>
      <c r="CO1153">
        <v>6</v>
      </c>
      <c r="CP1153" t="s">
        <v>119</v>
      </c>
      <c r="CQ1153">
        <v>180</v>
      </c>
      <c r="CR1153">
        <v>2</v>
      </c>
      <c r="CW1153">
        <v>8090225</v>
      </c>
      <c r="CY1153">
        <v>1</v>
      </c>
      <c r="CZ1153">
        <v>0</v>
      </c>
      <c r="DA1153">
        <v>1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</row>
    <row r="1154" spans="1:113" x14ac:dyDescent="0.3">
      <c r="A1154" t="str">
        <f>"02/08/2021 20:18:27.514"</f>
        <v>02/08/2021 20:18:27.514</v>
      </c>
      <c r="C1154" t="str">
        <f t="shared" si="53"/>
        <v>FFDFD7C0</v>
      </c>
      <c r="D1154" t="s">
        <v>113</v>
      </c>
      <c r="E1154">
        <v>6</v>
      </c>
      <c r="H1154">
        <v>165</v>
      </c>
      <c r="I1154" t="s">
        <v>114</v>
      </c>
      <c r="J1154" t="s">
        <v>115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>"20:18:29.828"</f>
        <v>20:18:29.828</v>
      </c>
      <c r="T1154" t="str">
        <f>"20:18:29.328"</f>
        <v>20:18:29.328</v>
      </c>
      <c r="U1154" t="str">
        <f t="shared" ref="U1154:U1217" si="55">"AB01F4"</f>
        <v>AB01F4</v>
      </c>
      <c r="V1154">
        <v>0</v>
      </c>
      <c r="W1154">
        <v>0</v>
      </c>
      <c r="X1154">
        <v>2</v>
      </c>
      <c r="Z1154">
        <v>0</v>
      </c>
      <c r="AA1154">
        <v>9</v>
      </c>
      <c r="AB1154">
        <v>3</v>
      </c>
      <c r="AC1154">
        <v>0</v>
      </c>
      <c r="AD1154">
        <v>10</v>
      </c>
      <c r="AE1154">
        <v>0</v>
      </c>
      <c r="AF1154">
        <v>3</v>
      </c>
      <c r="AG1154">
        <v>2</v>
      </c>
      <c r="AH1154">
        <v>0</v>
      </c>
      <c r="AI1154" t="s">
        <v>847</v>
      </c>
      <c r="AJ1154">
        <v>39.738664999999997</v>
      </c>
      <c r="AK1154" t="s">
        <v>848</v>
      </c>
      <c r="AL1154">
        <v>-92.522284999999997</v>
      </c>
      <c r="AM1154">
        <v>100</v>
      </c>
      <c r="AN1154">
        <v>1700</v>
      </c>
      <c r="AO1154" t="s">
        <v>118</v>
      </c>
      <c r="AP1154">
        <v>28</v>
      </c>
      <c r="AQ1154">
        <v>117</v>
      </c>
      <c r="AR1154">
        <v>0</v>
      </c>
      <c r="AZ1154">
        <v>1200</v>
      </c>
      <c r="BA1154">
        <v>1</v>
      </c>
      <c r="BB1154" t="str">
        <f t="shared" si="54"/>
        <v xml:space="preserve">N8080G  </v>
      </c>
      <c r="BC1154">
        <v>1</v>
      </c>
      <c r="BE1154">
        <v>0</v>
      </c>
      <c r="BF1154">
        <v>0</v>
      </c>
      <c r="BG1154">
        <v>0</v>
      </c>
      <c r="BH1154">
        <v>1700</v>
      </c>
      <c r="BI1154">
        <v>1</v>
      </c>
      <c r="BJ1154">
        <v>1</v>
      </c>
      <c r="BK1154">
        <v>1</v>
      </c>
      <c r="BL1154">
        <v>0</v>
      </c>
      <c r="BO1154">
        <v>0</v>
      </c>
      <c r="BP1154">
        <v>0</v>
      </c>
      <c r="BW1154" t="str">
        <f>"20:18:29.831"</f>
        <v>20:18:29.831</v>
      </c>
      <c r="BZ1154">
        <v>0</v>
      </c>
      <c r="CA1154">
        <v>2016</v>
      </c>
      <c r="CB1154">
        <v>224</v>
      </c>
      <c r="CD1154">
        <v>1</v>
      </c>
      <c r="CE1154">
        <v>0</v>
      </c>
      <c r="CF1154">
        <v>0</v>
      </c>
      <c r="CG1154">
        <v>1</v>
      </c>
      <c r="CH1154">
        <v>0</v>
      </c>
      <c r="CI1154">
        <v>0</v>
      </c>
      <c r="CJ1154">
        <v>0</v>
      </c>
      <c r="CK1154">
        <v>2</v>
      </c>
      <c r="CL1154">
        <v>0</v>
      </c>
      <c r="CM1154">
        <v>2</v>
      </c>
      <c r="CN1154">
        <v>0</v>
      </c>
      <c r="CO1154">
        <v>6</v>
      </c>
      <c r="CP1154" t="s">
        <v>119</v>
      </c>
      <c r="CQ1154">
        <v>180</v>
      </c>
      <c r="CR1154">
        <v>2</v>
      </c>
      <c r="CW1154">
        <v>8090225</v>
      </c>
      <c r="CY1154">
        <v>1</v>
      </c>
      <c r="CZ1154">
        <v>0</v>
      </c>
      <c r="DA1154">
        <v>1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</row>
    <row r="1155" spans="1:113" x14ac:dyDescent="0.3">
      <c r="A1155" t="str">
        <f>"02/08/2021 20:18:29.019"</f>
        <v>02/08/2021 20:18:29.019</v>
      </c>
      <c r="C1155" t="str">
        <f t="shared" si="53"/>
        <v>FFDFD7C0</v>
      </c>
      <c r="D1155" t="s">
        <v>124</v>
      </c>
      <c r="E1155">
        <v>13</v>
      </c>
      <c r="F1155">
        <v>1013</v>
      </c>
      <c r="G1155" t="s">
        <v>114</v>
      </c>
      <c r="J1155" t="s">
        <v>125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>"20:18:31.320"</f>
        <v>20:18:31.320</v>
      </c>
      <c r="T1155" t="str">
        <f>"20:18:30.920"</f>
        <v>20:18:30.920</v>
      </c>
      <c r="U1155" t="str">
        <f t="shared" si="55"/>
        <v>AB01F4</v>
      </c>
      <c r="V1155">
        <v>0</v>
      </c>
      <c r="W1155">
        <v>0</v>
      </c>
      <c r="X1155">
        <v>2</v>
      </c>
      <c r="Z1155">
        <v>0</v>
      </c>
      <c r="AA1155">
        <v>9</v>
      </c>
      <c r="AB1155">
        <v>3</v>
      </c>
      <c r="AC1155">
        <v>0</v>
      </c>
      <c r="AD1155">
        <v>10</v>
      </c>
      <c r="AE1155">
        <v>0</v>
      </c>
      <c r="AF1155">
        <v>3</v>
      </c>
      <c r="AG1155">
        <v>2</v>
      </c>
      <c r="AH1155">
        <v>0</v>
      </c>
      <c r="AI1155" t="s">
        <v>849</v>
      </c>
      <c r="AJ1155">
        <v>39.73948</v>
      </c>
      <c r="AK1155" t="s">
        <v>850</v>
      </c>
      <c r="AL1155">
        <v>-92.522026999999994</v>
      </c>
      <c r="AM1155">
        <v>100</v>
      </c>
      <c r="AN1155">
        <v>1700</v>
      </c>
      <c r="AO1155" t="s">
        <v>118</v>
      </c>
      <c r="AP1155">
        <v>28</v>
      </c>
      <c r="AQ1155">
        <v>117</v>
      </c>
      <c r="AR1155">
        <v>64</v>
      </c>
      <c r="AZ1155">
        <v>1200</v>
      </c>
      <c r="BA1155">
        <v>1</v>
      </c>
      <c r="BB1155" t="str">
        <f t="shared" si="54"/>
        <v xml:space="preserve">N8080G  </v>
      </c>
      <c r="BC1155">
        <v>1</v>
      </c>
      <c r="BE1155">
        <v>0</v>
      </c>
      <c r="BF1155">
        <v>0</v>
      </c>
      <c r="BG1155">
        <v>0</v>
      </c>
      <c r="BH1155">
        <v>1700</v>
      </c>
      <c r="BI1155">
        <v>1</v>
      </c>
      <c r="BJ1155">
        <v>1</v>
      </c>
      <c r="BK1155">
        <v>1</v>
      </c>
      <c r="BL1155">
        <v>0</v>
      </c>
      <c r="BO1155">
        <v>0</v>
      </c>
      <c r="BP1155">
        <v>0</v>
      </c>
      <c r="BW1155" t="str">
        <f>"20:18:31.324"</f>
        <v>20:18:31.324</v>
      </c>
      <c r="BZ1155">
        <v>0</v>
      </c>
      <c r="CA1155">
        <v>2016</v>
      </c>
      <c r="CB1155">
        <v>224</v>
      </c>
      <c r="CD1155">
        <v>1</v>
      </c>
      <c r="CE1155">
        <v>0</v>
      </c>
      <c r="CF1155">
        <v>0</v>
      </c>
      <c r="CG1155">
        <v>1</v>
      </c>
      <c r="CH1155">
        <v>0</v>
      </c>
      <c r="CI1155">
        <v>0</v>
      </c>
      <c r="CJ1155">
        <v>0</v>
      </c>
      <c r="CK1155">
        <v>2</v>
      </c>
      <c r="CL1155">
        <v>0</v>
      </c>
      <c r="CM1155">
        <v>2</v>
      </c>
      <c r="CN1155">
        <v>0</v>
      </c>
      <c r="CO1155">
        <v>6</v>
      </c>
      <c r="CP1155" t="s">
        <v>119</v>
      </c>
      <c r="CQ1155">
        <v>180</v>
      </c>
      <c r="CR1155">
        <v>1</v>
      </c>
      <c r="CW1155">
        <v>10652205</v>
      </c>
      <c r="CY1155">
        <v>1</v>
      </c>
      <c r="CZ1155">
        <v>0</v>
      </c>
      <c r="DA1155">
        <v>0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</row>
    <row r="1156" spans="1:113" x14ac:dyDescent="0.3">
      <c r="A1156" t="str">
        <f>"02/08/2021 20:18:29.019"</f>
        <v>02/08/2021 20:18:29.019</v>
      </c>
      <c r="C1156" t="str">
        <f t="shared" si="53"/>
        <v>FFDFD7C0</v>
      </c>
      <c r="D1156" t="s">
        <v>124</v>
      </c>
      <c r="E1156">
        <v>11</v>
      </c>
      <c r="F1156">
        <v>1011</v>
      </c>
      <c r="G1156" t="s">
        <v>590</v>
      </c>
      <c r="J1156" t="s">
        <v>125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>"20:18:31.320"</f>
        <v>20:18:31.320</v>
      </c>
      <c r="T1156" t="str">
        <f>"20:18:30.920"</f>
        <v>20:18:30.920</v>
      </c>
      <c r="U1156" t="str">
        <f t="shared" si="55"/>
        <v>AB01F4</v>
      </c>
      <c r="V1156">
        <v>0</v>
      </c>
      <c r="W1156">
        <v>0</v>
      </c>
      <c r="X1156">
        <v>2</v>
      </c>
      <c r="Z1156">
        <v>0</v>
      </c>
      <c r="AA1156">
        <v>9</v>
      </c>
      <c r="AB1156">
        <v>3</v>
      </c>
      <c r="AC1156">
        <v>0</v>
      </c>
      <c r="AD1156">
        <v>10</v>
      </c>
      <c r="AE1156">
        <v>0</v>
      </c>
      <c r="AF1156">
        <v>3</v>
      </c>
      <c r="AG1156">
        <v>2</v>
      </c>
      <c r="AH1156">
        <v>0</v>
      </c>
      <c r="AI1156" t="s">
        <v>849</v>
      </c>
      <c r="AJ1156">
        <v>39.73948</v>
      </c>
      <c r="AK1156" t="s">
        <v>850</v>
      </c>
      <c r="AL1156">
        <v>-92.522026999999994</v>
      </c>
      <c r="AM1156">
        <v>100</v>
      </c>
      <c r="AN1156">
        <v>1700</v>
      </c>
      <c r="AO1156" t="s">
        <v>118</v>
      </c>
      <c r="AP1156">
        <v>28</v>
      </c>
      <c r="AQ1156">
        <v>117</v>
      </c>
      <c r="AR1156">
        <v>64</v>
      </c>
      <c r="AZ1156">
        <v>1200</v>
      </c>
      <c r="BA1156">
        <v>1</v>
      </c>
      <c r="BB1156" t="str">
        <f t="shared" si="54"/>
        <v xml:space="preserve">N8080G  </v>
      </c>
      <c r="BC1156">
        <v>1</v>
      </c>
      <c r="BE1156">
        <v>0</v>
      </c>
      <c r="BF1156">
        <v>0</v>
      </c>
      <c r="BG1156">
        <v>0</v>
      </c>
      <c r="BH1156">
        <v>1700</v>
      </c>
      <c r="BI1156">
        <v>1</v>
      </c>
      <c r="BJ1156">
        <v>1</v>
      </c>
      <c r="BK1156">
        <v>1</v>
      </c>
      <c r="BL1156">
        <v>0</v>
      </c>
      <c r="BO1156">
        <v>0</v>
      </c>
      <c r="BP1156">
        <v>0</v>
      </c>
      <c r="BW1156" t="str">
        <f>"20:18:31.324"</f>
        <v>20:18:31.324</v>
      </c>
      <c r="BZ1156">
        <v>0</v>
      </c>
      <c r="CA1156">
        <v>2016</v>
      </c>
      <c r="CB1156">
        <v>224</v>
      </c>
      <c r="CD1156">
        <v>1</v>
      </c>
      <c r="CE1156">
        <v>0</v>
      </c>
      <c r="CF1156">
        <v>0</v>
      </c>
      <c r="CG1156">
        <v>1</v>
      </c>
      <c r="CH1156">
        <v>0</v>
      </c>
      <c r="CI1156">
        <v>0</v>
      </c>
      <c r="CJ1156">
        <v>0</v>
      </c>
      <c r="CK1156">
        <v>2</v>
      </c>
      <c r="CL1156">
        <v>0</v>
      </c>
      <c r="CM1156">
        <v>2</v>
      </c>
      <c r="CN1156">
        <v>0</v>
      </c>
      <c r="CO1156">
        <v>6</v>
      </c>
      <c r="CP1156" t="s">
        <v>119</v>
      </c>
      <c r="CQ1156">
        <v>180</v>
      </c>
      <c r="CR1156">
        <v>1</v>
      </c>
      <c r="CW1156">
        <v>10652205</v>
      </c>
      <c r="CY1156">
        <v>1</v>
      </c>
      <c r="CZ1156">
        <v>0</v>
      </c>
      <c r="DA1156">
        <v>1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</row>
    <row r="1157" spans="1:113" x14ac:dyDescent="0.3">
      <c r="A1157" t="str">
        <f>"02/08/2021 20:18:29.019"</f>
        <v>02/08/2021 20:18:29.019</v>
      </c>
      <c r="C1157" t="str">
        <f t="shared" si="53"/>
        <v>FFDFD7C0</v>
      </c>
      <c r="D1157" t="s">
        <v>124</v>
      </c>
      <c r="E1157">
        <v>12</v>
      </c>
      <c r="F1157">
        <v>1012</v>
      </c>
      <c r="G1157" t="s">
        <v>675</v>
      </c>
      <c r="J1157" t="s">
        <v>125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>"20:18:31.320"</f>
        <v>20:18:31.320</v>
      </c>
      <c r="T1157" t="str">
        <f>"20:18:30.920"</f>
        <v>20:18:30.920</v>
      </c>
      <c r="U1157" t="str">
        <f t="shared" si="55"/>
        <v>AB01F4</v>
      </c>
      <c r="V1157">
        <v>0</v>
      </c>
      <c r="W1157">
        <v>0</v>
      </c>
      <c r="X1157">
        <v>2</v>
      </c>
      <c r="Z1157">
        <v>0</v>
      </c>
      <c r="AA1157">
        <v>9</v>
      </c>
      <c r="AB1157">
        <v>3</v>
      </c>
      <c r="AC1157">
        <v>0</v>
      </c>
      <c r="AD1157">
        <v>10</v>
      </c>
      <c r="AE1157">
        <v>0</v>
      </c>
      <c r="AF1157">
        <v>3</v>
      </c>
      <c r="AG1157">
        <v>2</v>
      </c>
      <c r="AH1157">
        <v>0</v>
      </c>
      <c r="AI1157" t="s">
        <v>849</v>
      </c>
      <c r="AJ1157">
        <v>39.73948</v>
      </c>
      <c r="AK1157" t="s">
        <v>850</v>
      </c>
      <c r="AL1157">
        <v>-92.522026999999994</v>
      </c>
      <c r="AM1157">
        <v>100</v>
      </c>
      <c r="AN1157">
        <v>1700</v>
      </c>
      <c r="AO1157" t="s">
        <v>118</v>
      </c>
      <c r="AP1157">
        <v>28</v>
      </c>
      <c r="AQ1157">
        <v>117</v>
      </c>
      <c r="AR1157">
        <v>64</v>
      </c>
      <c r="AZ1157">
        <v>1200</v>
      </c>
      <c r="BA1157">
        <v>1</v>
      </c>
      <c r="BB1157" t="str">
        <f t="shared" si="54"/>
        <v xml:space="preserve">N8080G  </v>
      </c>
      <c r="BC1157">
        <v>1</v>
      </c>
      <c r="BE1157">
        <v>0</v>
      </c>
      <c r="BF1157">
        <v>0</v>
      </c>
      <c r="BG1157">
        <v>0</v>
      </c>
      <c r="BH1157">
        <v>1700</v>
      </c>
      <c r="BI1157">
        <v>1</v>
      </c>
      <c r="BJ1157">
        <v>1</v>
      </c>
      <c r="BK1157">
        <v>1</v>
      </c>
      <c r="BL1157">
        <v>0</v>
      </c>
      <c r="BO1157">
        <v>0</v>
      </c>
      <c r="BP1157">
        <v>0</v>
      </c>
      <c r="BW1157" t="str">
        <f>"20:18:31.324"</f>
        <v>20:18:31.324</v>
      </c>
      <c r="BZ1157">
        <v>0</v>
      </c>
      <c r="CA1157">
        <v>2016</v>
      </c>
      <c r="CB1157">
        <v>224</v>
      </c>
      <c r="CD1157">
        <v>1</v>
      </c>
      <c r="CE1157">
        <v>0</v>
      </c>
      <c r="CF1157">
        <v>0</v>
      </c>
      <c r="CG1157">
        <v>1</v>
      </c>
      <c r="CH1157">
        <v>0</v>
      </c>
      <c r="CI1157">
        <v>0</v>
      </c>
      <c r="CJ1157">
        <v>0</v>
      </c>
      <c r="CK1157">
        <v>2</v>
      </c>
      <c r="CL1157">
        <v>0</v>
      </c>
      <c r="CM1157">
        <v>2</v>
      </c>
      <c r="CN1157">
        <v>0</v>
      </c>
      <c r="CO1157">
        <v>6</v>
      </c>
      <c r="CP1157" t="s">
        <v>119</v>
      </c>
      <c r="CQ1157">
        <v>180</v>
      </c>
      <c r="CR1157">
        <v>1</v>
      </c>
      <c r="CW1157">
        <v>10652205</v>
      </c>
      <c r="CY1157">
        <v>1</v>
      </c>
      <c r="CZ1157">
        <v>0</v>
      </c>
      <c r="DA1157">
        <v>1</v>
      </c>
      <c r="DB1157">
        <v>0</v>
      </c>
      <c r="DC1157">
        <v>0</v>
      </c>
      <c r="DD1157">
        <v>0</v>
      </c>
      <c r="DE1157">
        <v>0</v>
      </c>
      <c r="DF1157">
        <v>0</v>
      </c>
      <c r="DG1157">
        <v>0</v>
      </c>
      <c r="DH1157">
        <v>0</v>
      </c>
      <c r="DI1157">
        <v>0</v>
      </c>
    </row>
    <row r="1158" spans="1:113" x14ac:dyDescent="0.3">
      <c r="A1158" t="str">
        <f>"02/08/2021 20:18:29.019"</f>
        <v>02/08/2021 20:18:29.019</v>
      </c>
      <c r="C1158" t="str">
        <f t="shared" si="53"/>
        <v>FFDFD7C0</v>
      </c>
      <c r="D1158" t="s">
        <v>113</v>
      </c>
      <c r="E1158">
        <v>6</v>
      </c>
      <c r="H1158">
        <v>165</v>
      </c>
      <c r="I1158" t="s">
        <v>114</v>
      </c>
      <c r="J1158" t="s">
        <v>115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>"20:18:31.320"</f>
        <v>20:18:31.320</v>
      </c>
      <c r="T1158" t="str">
        <f>"20:18:30.920"</f>
        <v>20:18:30.920</v>
      </c>
      <c r="U1158" t="str">
        <f t="shared" si="55"/>
        <v>AB01F4</v>
      </c>
      <c r="V1158">
        <v>0</v>
      </c>
      <c r="W1158">
        <v>0</v>
      </c>
      <c r="X1158">
        <v>2</v>
      </c>
      <c r="Z1158">
        <v>0</v>
      </c>
      <c r="AA1158">
        <v>9</v>
      </c>
      <c r="AB1158">
        <v>3</v>
      </c>
      <c r="AC1158">
        <v>0</v>
      </c>
      <c r="AD1158">
        <v>10</v>
      </c>
      <c r="AE1158">
        <v>0</v>
      </c>
      <c r="AF1158">
        <v>3</v>
      </c>
      <c r="AG1158">
        <v>2</v>
      </c>
      <c r="AH1158">
        <v>0</v>
      </c>
      <c r="AI1158" t="s">
        <v>849</v>
      </c>
      <c r="AJ1158">
        <v>39.73948</v>
      </c>
      <c r="AK1158" t="s">
        <v>850</v>
      </c>
      <c r="AL1158">
        <v>-92.522026999999994</v>
      </c>
      <c r="AM1158">
        <v>100</v>
      </c>
      <c r="AN1158">
        <v>1700</v>
      </c>
      <c r="AO1158" t="s">
        <v>118</v>
      </c>
      <c r="AP1158">
        <v>28</v>
      </c>
      <c r="AQ1158">
        <v>117</v>
      </c>
      <c r="AR1158">
        <v>64</v>
      </c>
      <c r="AZ1158">
        <v>1200</v>
      </c>
      <c r="BA1158">
        <v>1</v>
      </c>
      <c r="BB1158" t="str">
        <f t="shared" si="54"/>
        <v xml:space="preserve">N8080G  </v>
      </c>
      <c r="BC1158">
        <v>1</v>
      </c>
      <c r="BE1158">
        <v>0</v>
      </c>
      <c r="BF1158">
        <v>0</v>
      </c>
      <c r="BG1158">
        <v>0</v>
      </c>
      <c r="BH1158">
        <v>1700</v>
      </c>
      <c r="BI1158">
        <v>1</v>
      </c>
      <c r="BJ1158">
        <v>1</v>
      </c>
      <c r="BK1158">
        <v>1</v>
      </c>
      <c r="BL1158">
        <v>0</v>
      </c>
      <c r="BO1158">
        <v>0</v>
      </c>
      <c r="BP1158">
        <v>0</v>
      </c>
      <c r="BW1158" t="str">
        <f>"20:18:31.324"</f>
        <v>20:18:31.324</v>
      </c>
      <c r="BZ1158">
        <v>0</v>
      </c>
      <c r="CA1158">
        <v>2016</v>
      </c>
      <c r="CB1158">
        <v>224</v>
      </c>
      <c r="CD1158">
        <v>1</v>
      </c>
      <c r="CE1158">
        <v>0</v>
      </c>
      <c r="CF1158">
        <v>0</v>
      </c>
      <c r="CG1158">
        <v>1</v>
      </c>
      <c r="CH1158">
        <v>0</v>
      </c>
      <c r="CI1158">
        <v>0</v>
      </c>
      <c r="CJ1158">
        <v>0</v>
      </c>
      <c r="CK1158">
        <v>2</v>
      </c>
      <c r="CL1158">
        <v>0</v>
      </c>
      <c r="CM1158">
        <v>2</v>
      </c>
      <c r="CN1158">
        <v>0</v>
      </c>
      <c r="CO1158">
        <v>6</v>
      </c>
      <c r="CP1158" t="s">
        <v>119</v>
      </c>
      <c r="CQ1158">
        <v>180</v>
      </c>
      <c r="CR1158">
        <v>1</v>
      </c>
      <c r="CW1158">
        <v>10652205</v>
      </c>
      <c r="CY1158">
        <v>1</v>
      </c>
      <c r="CZ1158">
        <v>0</v>
      </c>
      <c r="DA1158">
        <v>1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</row>
    <row r="1159" spans="1:113" x14ac:dyDescent="0.3">
      <c r="A1159" t="str">
        <f>"02/08/2021 20:18:30.491"</f>
        <v>02/08/2021 20:18:30.491</v>
      </c>
      <c r="C1159" t="str">
        <f t="shared" si="53"/>
        <v>FFDFD7C0</v>
      </c>
      <c r="D1159" t="s">
        <v>124</v>
      </c>
      <c r="E1159">
        <v>12</v>
      </c>
      <c r="F1159">
        <v>1012</v>
      </c>
      <c r="G1159" t="s">
        <v>675</v>
      </c>
      <c r="J1159" t="s">
        <v>125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>"20:18:32.813"</f>
        <v>20:18:32.813</v>
      </c>
      <c r="T1159" t="str">
        <f>"20:18:32.413"</f>
        <v>20:18:32.413</v>
      </c>
      <c r="U1159" t="str">
        <f t="shared" si="55"/>
        <v>AB01F4</v>
      </c>
      <c r="V1159">
        <v>0</v>
      </c>
      <c r="W1159">
        <v>0</v>
      </c>
      <c r="X1159">
        <v>2</v>
      </c>
      <c r="Z1159">
        <v>0</v>
      </c>
      <c r="AA1159">
        <v>9</v>
      </c>
      <c r="AB1159">
        <v>3</v>
      </c>
      <c r="AC1159">
        <v>0</v>
      </c>
      <c r="AD1159">
        <v>10</v>
      </c>
      <c r="AE1159">
        <v>0</v>
      </c>
      <c r="AF1159">
        <v>3</v>
      </c>
      <c r="AG1159">
        <v>2</v>
      </c>
      <c r="AH1159">
        <v>0</v>
      </c>
      <c r="AI1159" t="s">
        <v>851</v>
      </c>
      <c r="AJ1159">
        <v>39.740295000000003</v>
      </c>
      <c r="AK1159" t="s">
        <v>852</v>
      </c>
      <c r="AL1159">
        <v>-92.521790999999993</v>
      </c>
      <c r="AM1159">
        <v>100</v>
      </c>
      <c r="AN1159">
        <v>1700</v>
      </c>
      <c r="AO1159" t="s">
        <v>118</v>
      </c>
      <c r="AP1159">
        <v>28</v>
      </c>
      <c r="AQ1159">
        <v>117</v>
      </c>
      <c r="AR1159">
        <v>64</v>
      </c>
      <c r="AZ1159">
        <v>1200</v>
      </c>
      <c r="BA1159">
        <v>1</v>
      </c>
      <c r="BB1159" t="str">
        <f t="shared" si="54"/>
        <v xml:space="preserve">N8080G  </v>
      </c>
      <c r="BC1159">
        <v>1</v>
      </c>
      <c r="BE1159">
        <v>0</v>
      </c>
      <c r="BF1159">
        <v>0</v>
      </c>
      <c r="BG1159">
        <v>0</v>
      </c>
      <c r="BH1159">
        <v>1700</v>
      </c>
      <c r="BI1159">
        <v>1</v>
      </c>
      <c r="BJ1159">
        <v>1</v>
      </c>
      <c r="BK1159">
        <v>1</v>
      </c>
      <c r="BL1159">
        <v>0</v>
      </c>
      <c r="BO1159">
        <v>0</v>
      </c>
      <c r="BP1159">
        <v>0</v>
      </c>
      <c r="BW1159" t="str">
        <f>"20:18:32.817"</f>
        <v>20:18:32.817</v>
      </c>
      <c r="BZ1159">
        <v>0</v>
      </c>
      <c r="CA1159">
        <v>2016</v>
      </c>
      <c r="CB1159">
        <v>224</v>
      </c>
      <c r="CD1159">
        <v>1</v>
      </c>
      <c r="CE1159">
        <v>0</v>
      </c>
      <c r="CF1159">
        <v>0</v>
      </c>
      <c r="CG1159">
        <v>1</v>
      </c>
      <c r="CH1159">
        <v>0</v>
      </c>
      <c r="CI1159">
        <v>0</v>
      </c>
      <c r="CJ1159">
        <v>0</v>
      </c>
      <c r="CK1159">
        <v>2</v>
      </c>
      <c r="CL1159">
        <v>0</v>
      </c>
      <c r="CM1159">
        <v>2</v>
      </c>
      <c r="CN1159">
        <v>0</v>
      </c>
      <c r="CO1159">
        <v>6</v>
      </c>
      <c r="CP1159" t="s">
        <v>119</v>
      </c>
      <c r="CQ1159">
        <v>180</v>
      </c>
      <c r="CR1159">
        <v>2</v>
      </c>
      <c r="CW1159">
        <v>8092555</v>
      </c>
      <c r="CY1159">
        <v>1</v>
      </c>
      <c r="CZ1159">
        <v>0</v>
      </c>
      <c r="DA1159">
        <v>0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</row>
    <row r="1160" spans="1:113" x14ac:dyDescent="0.3">
      <c r="A1160" t="str">
        <f>"02/08/2021 20:18:30.491"</f>
        <v>02/08/2021 20:18:30.491</v>
      </c>
      <c r="C1160" t="str">
        <f t="shared" si="53"/>
        <v>FFDFD7C0</v>
      </c>
      <c r="D1160" t="s">
        <v>124</v>
      </c>
      <c r="E1160">
        <v>11</v>
      </c>
      <c r="F1160">
        <v>1011</v>
      </c>
      <c r="G1160" t="s">
        <v>590</v>
      </c>
      <c r="J1160" t="s">
        <v>125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>"20:18:32.813"</f>
        <v>20:18:32.813</v>
      </c>
      <c r="T1160" t="str">
        <f>"20:18:32.413"</f>
        <v>20:18:32.413</v>
      </c>
      <c r="U1160" t="str">
        <f t="shared" si="55"/>
        <v>AB01F4</v>
      </c>
      <c r="V1160">
        <v>0</v>
      </c>
      <c r="W1160">
        <v>0</v>
      </c>
      <c r="X1160">
        <v>2</v>
      </c>
      <c r="Z1160">
        <v>0</v>
      </c>
      <c r="AA1160">
        <v>9</v>
      </c>
      <c r="AB1160">
        <v>3</v>
      </c>
      <c r="AC1160">
        <v>0</v>
      </c>
      <c r="AD1160">
        <v>10</v>
      </c>
      <c r="AE1160">
        <v>0</v>
      </c>
      <c r="AF1160">
        <v>3</v>
      </c>
      <c r="AG1160">
        <v>2</v>
      </c>
      <c r="AH1160">
        <v>0</v>
      </c>
      <c r="AI1160" t="s">
        <v>851</v>
      </c>
      <c r="AJ1160">
        <v>39.740295000000003</v>
      </c>
      <c r="AK1160" t="s">
        <v>852</v>
      </c>
      <c r="AL1160">
        <v>-92.521790999999993</v>
      </c>
      <c r="AM1160">
        <v>100</v>
      </c>
      <c r="AN1160">
        <v>1700</v>
      </c>
      <c r="AO1160" t="s">
        <v>118</v>
      </c>
      <c r="AP1160">
        <v>28</v>
      </c>
      <c r="AQ1160">
        <v>117</v>
      </c>
      <c r="AR1160">
        <v>64</v>
      </c>
      <c r="AZ1160">
        <v>1200</v>
      </c>
      <c r="BA1160">
        <v>1</v>
      </c>
      <c r="BB1160" t="str">
        <f t="shared" si="54"/>
        <v xml:space="preserve">N8080G  </v>
      </c>
      <c r="BC1160">
        <v>1</v>
      </c>
      <c r="BE1160">
        <v>0</v>
      </c>
      <c r="BF1160">
        <v>0</v>
      </c>
      <c r="BG1160">
        <v>0</v>
      </c>
      <c r="BH1160">
        <v>1700</v>
      </c>
      <c r="BI1160">
        <v>1</v>
      </c>
      <c r="BJ1160">
        <v>1</v>
      </c>
      <c r="BK1160">
        <v>1</v>
      </c>
      <c r="BL1160">
        <v>0</v>
      </c>
      <c r="BO1160">
        <v>0</v>
      </c>
      <c r="BP1160">
        <v>0</v>
      </c>
      <c r="BW1160" t="str">
        <f>"20:18:32.817"</f>
        <v>20:18:32.817</v>
      </c>
      <c r="BZ1160">
        <v>0</v>
      </c>
      <c r="CA1160">
        <v>2016</v>
      </c>
      <c r="CB1160">
        <v>224</v>
      </c>
      <c r="CD1160">
        <v>1</v>
      </c>
      <c r="CE1160">
        <v>0</v>
      </c>
      <c r="CF1160">
        <v>0</v>
      </c>
      <c r="CG1160">
        <v>1</v>
      </c>
      <c r="CH1160">
        <v>0</v>
      </c>
      <c r="CI1160">
        <v>0</v>
      </c>
      <c r="CJ1160">
        <v>0</v>
      </c>
      <c r="CK1160">
        <v>2</v>
      </c>
      <c r="CL1160">
        <v>0</v>
      </c>
      <c r="CM1160">
        <v>2</v>
      </c>
      <c r="CN1160">
        <v>0</v>
      </c>
      <c r="CO1160">
        <v>6</v>
      </c>
      <c r="CP1160" t="s">
        <v>119</v>
      </c>
      <c r="CQ1160">
        <v>180</v>
      </c>
      <c r="CR1160">
        <v>2</v>
      </c>
      <c r="CW1160">
        <v>8092555</v>
      </c>
      <c r="CY1160">
        <v>1</v>
      </c>
      <c r="CZ1160">
        <v>0</v>
      </c>
      <c r="DA1160">
        <v>1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</row>
    <row r="1161" spans="1:113" x14ac:dyDescent="0.3">
      <c r="A1161" t="str">
        <f>"02/08/2021 20:18:30.491"</f>
        <v>02/08/2021 20:18:30.491</v>
      </c>
      <c r="C1161" t="str">
        <f t="shared" ref="C1161:C1224" si="56">"FFDFD7C0"</f>
        <v>FFDFD7C0</v>
      </c>
      <c r="D1161" t="s">
        <v>113</v>
      </c>
      <c r="E1161">
        <v>6</v>
      </c>
      <c r="H1161">
        <v>165</v>
      </c>
      <c r="I1161" t="s">
        <v>114</v>
      </c>
      <c r="J1161" t="s">
        <v>115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>"20:18:32.813"</f>
        <v>20:18:32.813</v>
      </c>
      <c r="T1161" t="str">
        <f>"20:18:32.413"</f>
        <v>20:18:32.413</v>
      </c>
      <c r="U1161" t="str">
        <f t="shared" si="55"/>
        <v>AB01F4</v>
      </c>
      <c r="V1161">
        <v>0</v>
      </c>
      <c r="W1161">
        <v>0</v>
      </c>
      <c r="X1161">
        <v>2</v>
      </c>
      <c r="Z1161">
        <v>0</v>
      </c>
      <c r="AA1161">
        <v>9</v>
      </c>
      <c r="AB1161">
        <v>3</v>
      </c>
      <c r="AC1161">
        <v>0</v>
      </c>
      <c r="AD1161">
        <v>10</v>
      </c>
      <c r="AE1161">
        <v>0</v>
      </c>
      <c r="AF1161">
        <v>3</v>
      </c>
      <c r="AG1161">
        <v>2</v>
      </c>
      <c r="AH1161">
        <v>0</v>
      </c>
      <c r="AI1161" t="s">
        <v>851</v>
      </c>
      <c r="AJ1161">
        <v>39.740295000000003</v>
      </c>
      <c r="AK1161" t="s">
        <v>852</v>
      </c>
      <c r="AL1161">
        <v>-92.521790999999993</v>
      </c>
      <c r="AM1161">
        <v>100</v>
      </c>
      <c r="AN1161">
        <v>1700</v>
      </c>
      <c r="AO1161" t="s">
        <v>118</v>
      </c>
      <c r="AP1161">
        <v>28</v>
      </c>
      <c r="AQ1161">
        <v>117</v>
      </c>
      <c r="AR1161">
        <v>64</v>
      </c>
      <c r="AZ1161">
        <v>1200</v>
      </c>
      <c r="BA1161">
        <v>1</v>
      </c>
      <c r="BB1161" t="str">
        <f t="shared" si="54"/>
        <v xml:space="preserve">N8080G  </v>
      </c>
      <c r="BC1161">
        <v>1</v>
      </c>
      <c r="BE1161">
        <v>0</v>
      </c>
      <c r="BF1161">
        <v>0</v>
      </c>
      <c r="BG1161">
        <v>0</v>
      </c>
      <c r="BH1161">
        <v>1700</v>
      </c>
      <c r="BI1161">
        <v>1</v>
      </c>
      <c r="BJ1161">
        <v>1</v>
      </c>
      <c r="BK1161">
        <v>1</v>
      </c>
      <c r="BL1161">
        <v>0</v>
      </c>
      <c r="BO1161">
        <v>0</v>
      </c>
      <c r="BP1161">
        <v>0</v>
      </c>
      <c r="BW1161" t="str">
        <f>"20:18:32.817"</f>
        <v>20:18:32.817</v>
      </c>
      <c r="BZ1161">
        <v>0</v>
      </c>
      <c r="CA1161">
        <v>2016</v>
      </c>
      <c r="CB1161">
        <v>224</v>
      </c>
      <c r="CD1161">
        <v>1</v>
      </c>
      <c r="CE1161">
        <v>0</v>
      </c>
      <c r="CF1161">
        <v>0</v>
      </c>
      <c r="CG1161">
        <v>1</v>
      </c>
      <c r="CH1161">
        <v>0</v>
      </c>
      <c r="CI1161">
        <v>0</v>
      </c>
      <c r="CJ1161">
        <v>0</v>
      </c>
      <c r="CK1161">
        <v>2</v>
      </c>
      <c r="CL1161">
        <v>0</v>
      </c>
      <c r="CM1161">
        <v>2</v>
      </c>
      <c r="CN1161">
        <v>0</v>
      </c>
      <c r="CO1161">
        <v>6</v>
      </c>
      <c r="CP1161" t="s">
        <v>119</v>
      </c>
      <c r="CQ1161">
        <v>180</v>
      </c>
      <c r="CR1161">
        <v>2</v>
      </c>
      <c r="CW1161">
        <v>8092555</v>
      </c>
      <c r="CY1161">
        <v>1</v>
      </c>
      <c r="CZ1161">
        <v>0</v>
      </c>
      <c r="DA1161">
        <v>1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</row>
    <row r="1162" spans="1:113" x14ac:dyDescent="0.3">
      <c r="A1162" t="str">
        <f>"02/08/2021 20:18:30.491"</f>
        <v>02/08/2021 20:18:30.491</v>
      </c>
      <c r="C1162" t="str">
        <f t="shared" si="56"/>
        <v>FFDFD7C0</v>
      </c>
      <c r="D1162" t="s">
        <v>124</v>
      </c>
      <c r="E1162">
        <v>13</v>
      </c>
      <c r="F1162">
        <v>1013</v>
      </c>
      <c r="G1162" t="s">
        <v>114</v>
      </c>
      <c r="J1162" t="s">
        <v>125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>"20:18:32.813"</f>
        <v>20:18:32.813</v>
      </c>
      <c r="T1162" t="str">
        <f>"20:18:32.413"</f>
        <v>20:18:32.413</v>
      </c>
      <c r="U1162" t="str">
        <f t="shared" si="55"/>
        <v>AB01F4</v>
      </c>
      <c r="V1162">
        <v>0</v>
      </c>
      <c r="W1162">
        <v>0</v>
      </c>
      <c r="X1162">
        <v>2</v>
      </c>
      <c r="Z1162">
        <v>0</v>
      </c>
      <c r="AA1162">
        <v>9</v>
      </c>
      <c r="AB1162">
        <v>3</v>
      </c>
      <c r="AC1162">
        <v>0</v>
      </c>
      <c r="AD1162">
        <v>10</v>
      </c>
      <c r="AE1162">
        <v>0</v>
      </c>
      <c r="AF1162">
        <v>3</v>
      </c>
      <c r="AG1162">
        <v>2</v>
      </c>
      <c r="AH1162">
        <v>0</v>
      </c>
      <c r="AI1162" t="s">
        <v>851</v>
      </c>
      <c r="AJ1162">
        <v>39.740295000000003</v>
      </c>
      <c r="AK1162" t="s">
        <v>852</v>
      </c>
      <c r="AL1162">
        <v>-92.521790999999993</v>
      </c>
      <c r="AM1162">
        <v>100</v>
      </c>
      <c r="AN1162">
        <v>1700</v>
      </c>
      <c r="AO1162" t="s">
        <v>118</v>
      </c>
      <c r="AP1162">
        <v>28</v>
      </c>
      <c r="AQ1162">
        <v>117</v>
      </c>
      <c r="AR1162">
        <v>64</v>
      </c>
      <c r="AZ1162">
        <v>1200</v>
      </c>
      <c r="BA1162">
        <v>1</v>
      </c>
      <c r="BB1162" t="str">
        <f t="shared" si="54"/>
        <v xml:space="preserve">N8080G  </v>
      </c>
      <c r="BC1162">
        <v>1</v>
      </c>
      <c r="BE1162">
        <v>0</v>
      </c>
      <c r="BF1162">
        <v>0</v>
      </c>
      <c r="BG1162">
        <v>0</v>
      </c>
      <c r="BH1162">
        <v>1700</v>
      </c>
      <c r="BI1162">
        <v>1</v>
      </c>
      <c r="BJ1162">
        <v>1</v>
      </c>
      <c r="BK1162">
        <v>1</v>
      </c>
      <c r="BL1162">
        <v>0</v>
      </c>
      <c r="BO1162">
        <v>0</v>
      </c>
      <c r="BP1162">
        <v>0</v>
      </c>
      <c r="BW1162" t="str">
        <f>"20:18:32.817"</f>
        <v>20:18:32.817</v>
      </c>
      <c r="BZ1162">
        <v>0</v>
      </c>
      <c r="CA1162">
        <v>2016</v>
      </c>
      <c r="CB1162">
        <v>224</v>
      </c>
      <c r="CD1162">
        <v>1</v>
      </c>
      <c r="CE1162">
        <v>0</v>
      </c>
      <c r="CF1162">
        <v>0</v>
      </c>
      <c r="CG1162">
        <v>1</v>
      </c>
      <c r="CH1162">
        <v>0</v>
      </c>
      <c r="CI1162">
        <v>0</v>
      </c>
      <c r="CJ1162">
        <v>0</v>
      </c>
      <c r="CK1162">
        <v>2</v>
      </c>
      <c r="CL1162">
        <v>0</v>
      </c>
      <c r="CM1162">
        <v>2</v>
      </c>
      <c r="CN1162">
        <v>0</v>
      </c>
      <c r="CO1162">
        <v>6</v>
      </c>
      <c r="CP1162" t="s">
        <v>119</v>
      </c>
      <c r="CQ1162">
        <v>180</v>
      </c>
      <c r="CR1162">
        <v>2</v>
      </c>
      <c r="CW1162">
        <v>8092555</v>
      </c>
      <c r="CY1162">
        <v>1</v>
      </c>
      <c r="CZ1162">
        <v>0</v>
      </c>
      <c r="DA1162">
        <v>1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</row>
    <row r="1163" spans="1:113" x14ac:dyDescent="0.3">
      <c r="A1163" t="str">
        <f>"02/08/2021 20:18:32.041"</f>
        <v>02/08/2021 20:18:32.041</v>
      </c>
      <c r="C1163" t="str">
        <f t="shared" si="56"/>
        <v>FFDFD7C0</v>
      </c>
      <c r="D1163" t="s">
        <v>124</v>
      </c>
      <c r="E1163">
        <v>13</v>
      </c>
      <c r="F1163">
        <v>1013</v>
      </c>
      <c r="G1163" t="s">
        <v>114</v>
      </c>
      <c r="J1163" t="s">
        <v>125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>"20:18:34.375"</f>
        <v>20:18:34.375</v>
      </c>
      <c r="T1163" t="str">
        <f>"20:18:33.975"</f>
        <v>20:18:33.975</v>
      </c>
      <c r="U1163" t="str">
        <f t="shared" si="55"/>
        <v>AB01F4</v>
      </c>
      <c r="V1163">
        <v>0</v>
      </c>
      <c r="W1163">
        <v>0</v>
      </c>
      <c r="X1163">
        <v>2</v>
      </c>
      <c r="Z1163">
        <v>0</v>
      </c>
      <c r="AA1163">
        <v>9</v>
      </c>
      <c r="AB1163">
        <v>3</v>
      </c>
      <c r="AC1163">
        <v>0</v>
      </c>
      <c r="AD1163">
        <v>10</v>
      </c>
      <c r="AE1163">
        <v>0</v>
      </c>
      <c r="AF1163">
        <v>3</v>
      </c>
      <c r="AG1163">
        <v>2</v>
      </c>
      <c r="AH1163">
        <v>0</v>
      </c>
      <c r="AI1163" t="s">
        <v>853</v>
      </c>
      <c r="AJ1163">
        <v>39.741110999999997</v>
      </c>
      <c r="AK1163" t="s">
        <v>854</v>
      </c>
      <c r="AL1163">
        <v>-92.521534000000003</v>
      </c>
      <c r="AM1163">
        <v>100</v>
      </c>
      <c r="AN1163">
        <v>1700</v>
      </c>
      <c r="AO1163" t="s">
        <v>118</v>
      </c>
      <c r="AP1163">
        <v>29</v>
      </c>
      <c r="AQ1163">
        <v>117</v>
      </c>
      <c r="AR1163">
        <v>0</v>
      </c>
      <c r="AZ1163">
        <v>1200</v>
      </c>
      <c r="BA1163">
        <v>1</v>
      </c>
      <c r="BB1163" t="str">
        <f t="shared" si="54"/>
        <v xml:space="preserve">N8080G  </v>
      </c>
      <c r="BC1163">
        <v>1</v>
      </c>
      <c r="BE1163">
        <v>0</v>
      </c>
      <c r="BF1163">
        <v>0</v>
      </c>
      <c r="BG1163">
        <v>0</v>
      </c>
      <c r="BH1163">
        <v>1700</v>
      </c>
      <c r="BI1163">
        <v>1</v>
      </c>
      <c r="BJ1163">
        <v>1</v>
      </c>
      <c r="BK1163">
        <v>1</v>
      </c>
      <c r="BL1163">
        <v>0</v>
      </c>
      <c r="BO1163">
        <v>0</v>
      </c>
      <c r="BP1163">
        <v>0</v>
      </c>
      <c r="BW1163" t="str">
        <f>"20:18:34.376"</f>
        <v>20:18:34.376</v>
      </c>
      <c r="BZ1163">
        <v>0</v>
      </c>
      <c r="CA1163">
        <v>2016</v>
      </c>
      <c r="CB1163">
        <v>224</v>
      </c>
      <c r="CD1163">
        <v>1</v>
      </c>
      <c r="CE1163">
        <v>0</v>
      </c>
      <c r="CF1163">
        <v>0</v>
      </c>
      <c r="CG1163">
        <v>1</v>
      </c>
      <c r="CH1163">
        <v>0</v>
      </c>
      <c r="CI1163">
        <v>0</v>
      </c>
      <c r="CJ1163">
        <v>0</v>
      </c>
      <c r="CK1163">
        <v>2</v>
      </c>
      <c r="CL1163">
        <v>0</v>
      </c>
      <c r="CM1163">
        <v>2</v>
      </c>
      <c r="CN1163">
        <v>0</v>
      </c>
      <c r="CO1163">
        <v>6</v>
      </c>
      <c r="CP1163" t="s">
        <v>119</v>
      </c>
      <c r="CQ1163">
        <v>180</v>
      </c>
      <c r="CR1163">
        <v>1</v>
      </c>
      <c r="CW1163">
        <v>10655040</v>
      </c>
      <c r="CY1163">
        <v>1</v>
      </c>
      <c r="CZ1163">
        <v>0</v>
      </c>
      <c r="DA1163">
        <v>0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</row>
    <row r="1164" spans="1:113" x14ac:dyDescent="0.3">
      <c r="A1164" t="str">
        <f>"02/08/2021 20:18:32.041"</f>
        <v>02/08/2021 20:18:32.041</v>
      </c>
      <c r="C1164" t="str">
        <f t="shared" si="56"/>
        <v>FFDFD7C0</v>
      </c>
      <c r="D1164" t="s">
        <v>113</v>
      </c>
      <c r="E1164">
        <v>6</v>
      </c>
      <c r="H1164">
        <v>165</v>
      </c>
      <c r="I1164" t="s">
        <v>114</v>
      </c>
      <c r="J1164" t="s">
        <v>115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>"20:18:34.375"</f>
        <v>20:18:34.375</v>
      </c>
      <c r="T1164" t="str">
        <f>"20:18:33.975"</f>
        <v>20:18:33.975</v>
      </c>
      <c r="U1164" t="str">
        <f t="shared" si="55"/>
        <v>AB01F4</v>
      </c>
      <c r="V1164">
        <v>0</v>
      </c>
      <c r="W1164">
        <v>0</v>
      </c>
      <c r="X1164">
        <v>2</v>
      </c>
      <c r="Z1164">
        <v>0</v>
      </c>
      <c r="AA1164">
        <v>9</v>
      </c>
      <c r="AB1164">
        <v>3</v>
      </c>
      <c r="AC1164">
        <v>0</v>
      </c>
      <c r="AD1164">
        <v>10</v>
      </c>
      <c r="AE1164">
        <v>0</v>
      </c>
      <c r="AF1164">
        <v>3</v>
      </c>
      <c r="AG1164">
        <v>2</v>
      </c>
      <c r="AH1164">
        <v>0</v>
      </c>
      <c r="AI1164" t="s">
        <v>853</v>
      </c>
      <c r="AJ1164">
        <v>39.741110999999997</v>
      </c>
      <c r="AK1164" t="s">
        <v>854</v>
      </c>
      <c r="AL1164">
        <v>-92.521534000000003</v>
      </c>
      <c r="AM1164">
        <v>100</v>
      </c>
      <c r="AN1164">
        <v>1700</v>
      </c>
      <c r="AO1164" t="s">
        <v>118</v>
      </c>
      <c r="AP1164">
        <v>29</v>
      </c>
      <c r="AQ1164">
        <v>117</v>
      </c>
      <c r="AR1164">
        <v>0</v>
      </c>
      <c r="AZ1164">
        <v>1200</v>
      </c>
      <c r="BA1164">
        <v>1</v>
      </c>
      <c r="BB1164" t="str">
        <f t="shared" si="54"/>
        <v xml:space="preserve">N8080G  </v>
      </c>
      <c r="BC1164">
        <v>1</v>
      </c>
      <c r="BE1164">
        <v>0</v>
      </c>
      <c r="BF1164">
        <v>0</v>
      </c>
      <c r="BG1164">
        <v>0</v>
      </c>
      <c r="BH1164">
        <v>1700</v>
      </c>
      <c r="BI1164">
        <v>1</v>
      </c>
      <c r="BJ1164">
        <v>1</v>
      </c>
      <c r="BK1164">
        <v>1</v>
      </c>
      <c r="BL1164">
        <v>0</v>
      </c>
      <c r="BO1164">
        <v>0</v>
      </c>
      <c r="BP1164">
        <v>0</v>
      </c>
      <c r="BW1164" t="str">
        <f>"20:18:34.376"</f>
        <v>20:18:34.376</v>
      </c>
      <c r="BZ1164">
        <v>0</v>
      </c>
      <c r="CA1164">
        <v>2016</v>
      </c>
      <c r="CB1164">
        <v>224</v>
      </c>
      <c r="CD1164">
        <v>1</v>
      </c>
      <c r="CE1164">
        <v>0</v>
      </c>
      <c r="CF1164">
        <v>0</v>
      </c>
      <c r="CG1164">
        <v>1</v>
      </c>
      <c r="CH1164">
        <v>0</v>
      </c>
      <c r="CI1164">
        <v>0</v>
      </c>
      <c r="CJ1164">
        <v>0</v>
      </c>
      <c r="CK1164">
        <v>2</v>
      </c>
      <c r="CL1164">
        <v>0</v>
      </c>
      <c r="CM1164">
        <v>2</v>
      </c>
      <c r="CN1164">
        <v>0</v>
      </c>
      <c r="CO1164">
        <v>6</v>
      </c>
      <c r="CP1164" t="s">
        <v>119</v>
      </c>
      <c r="CQ1164">
        <v>180</v>
      </c>
      <c r="CR1164">
        <v>1</v>
      </c>
      <c r="CW1164">
        <v>10655040</v>
      </c>
      <c r="CY1164">
        <v>1</v>
      </c>
      <c r="CZ1164">
        <v>0</v>
      </c>
      <c r="DA1164">
        <v>1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</row>
    <row r="1165" spans="1:113" x14ac:dyDescent="0.3">
      <c r="A1165" t="str">
        <f>"02/08/2021 20:18:32.041"</f>
        <v>02/08/2021 20:18:32.041</v>
      </c>
      <c r="C1165" t="str">
        <f t="shared" si="56"/>
        <v>FFDFD7C0</v>
      </c>
      <c r="D1165" t="s">
        <v>124</v>
      </c>
      <c r="E1165">
        <v>12</v>
      </c>
      <c r="F1165">
        <v>1012</v>
      </c>
      <c r="G1165" t="s">
        <v>675</v>
      </c>
      <c r="J1165" t="s">
        <v>125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>"20:18:34.375"</f>
        <v>20:18:34.375</v>
      </c>
      <c r="T1165" t="str">
        <f>"20:18:33.975"</f>
        <v>20:18:33.975</v>
      </c>
      <c r="U1165" t="str">
        <f t="shared" si="55"/>
        <v>AB01F4</v>
      </c>
      <c r="V1165">
        <v>0</v>
      </c>
      <c r="W1165">
        <v>0</v>
      </c>
      <c r="X1165">
        <v>2</v>
      </c>
      <c r="Z1165">
        <v>0</v>
      </c>
      <c r="AA1165">
        <v>9</v>
      </c>
      <c r="AB1165">
        <v>3</v>
      </c>
      <c r="AC1165">
        <v>0</v>
      </c>
      <c r="AD1165">
        <v>10</v>
      </c>
      <c r="AE1165">
        <v>0</v>
      </c>
      <c r="AF1165">
        <v>3</v>
      </c>
      <c r="AG1165">
        <v>2</v>
      </c>
      <c r="AH1165">
        <v>0</v>
      </c>
      <c r="AI1165" t="s">
        <v>853</v>
      </c>
      <c r="AJ1165">
        <v>39.741110999999997</v>
      </c>
      <c r="AK1165" t="s">
        <v>854</v>
      </c>
      <c r="AL1165">
        <v>-92.521534000000003</v>
      </c>
      <c r="AM1165">
        <v>100</v>
      </c>
      <c r="AN1165">
        <v>1700</v>
      </c>
      <c r="AO1165" t="s">
        <v>118</v>
      </c>
      <c r="AP1165">
        <v>29</v>
      </c>
      <c r="AQ1165">
        <v>117</v>
      </c>
      <c r="AR1165">
        <v>0</v>
      </c>
      <c r="AZ1165">
        <v>1200</v>
      </c>
      <c r="BA1165">
        <v>1</v>
      </c>
      <c r="BB1165" t="str">
        <f t="shared" si="54"/>
        <v xml:space="preserve">N8080G  </v>
      </c>
      <c r="BC1165">
        <v>1</v>
      </c>
      <c r="BE1165">
        <v>0</v>
      </c>
      <c r="BF1165">
        <v>0</v>
      </c>
      <c r="BG1165">
        <v>0</v>
      </c>
      <c r="BH1165">
        <v>1700</v>
      </c>
      <c r="BI1165">
        <v>1</v>
      </c>
      <c r="BJ1165">
        <v>1</v>
      </c>
      <c r="BK1165">
        <v>1</v>
      </c>
      <c r="BL1165">
        <v>0</v>
      </c>
      <c r="BO1165">
        <v>0</v>
      </c>
      <c r="BP1165">
        <v>0</v>
      </c>
      <c r="BW1165" t="str">
        <f>"20:18:34.376"</f>
        <v>20:18:34.376</v>
      </c>
      <c r="BZ1165">
        <v>0</v>
      </c>
      <c r="CA1165">
        <v>2016</v>
      </c>
      <c r="CB1165">
        <v>224</v>
      </c>
      <c r="CD1165">
        <v>1</v>
      </c>
      <c r="CE1165">
        <v>0</v>
      </c>
      <c r="CF1165">
        <v>0</v>
      </c>
      <c r="CG1165">
        <v>1</v>
      </c>
      <c r="CH1165">
        <v>0</v>
      </c>
      <c r="CI1165">
        <v>0</v>
      </c>
      <c r="CJ1165">
        <v>0</v>
      </c>
      <c r="CK1165">
        <v>2</v>
      </c>
      <c r="CL1165">
        <v>0</v>
      </c>
      <c r="CM1165">
        <v>2</v>
      </c>
      <c r="CN1165">
        <v>0</v>
      </c>
      <c r="CO1165">
        <v>6</v>
      </c>
      <c r="CP1165" t="s">
        <v>119</v>
      </c>
      <c r="CQ1165">
        <v>180</v>
      </c>
      <c r="CR1165">
        <v>1</v>
      </c>
      <c r="CW1165">
        <v>10655040</v>
      </c>
      <c r="CY1165">
        <v>1</v>
      </c>
      <c r="CZ1165">
        <v>0</v>
      </c>
      <c r="DA1165">
        <v>1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</row>
    <row r="1166" spans="1:113" x14ac:dyDescent="0.3">
      <c r="A1166" t="str">
        <f>"02/08/2021 20:18:32.041"</f>
        <v>02/08/2021 20:18:32.041</v>
      </c>
      <c r="C1166" t="str">
        <f t="shared" si="56"/>
        <v>FFDFD7C0</v>
      </c>
      <c r="D1166" t="s">
        <v>124</v>
      </c>
      <c r="E1166">
        <v>11</v>
      </c>
      <c r="F1166">
        <v>1011</v>
      </c>
      <c r="G1166" t="s">
        <v>590</v>
      </c>
      <c r="J1166" t="s">
        <v>125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>"20:18:34.375"</f>
        <v>20:18:34.375</v>
      </c>
      <c r="T1166" t="str">
        <f>"20:18:33.975"</f>
        <v>20:18:33.975</v>
      </c>
      <c r="U1166" t="str">
        <f t="shared" si="55"/>
        <v>AB01F4</v>
      </c>
      <c r="V1166">
        <v>0</v>
      </c>
      <c r="W1166">
        <v>0</v>
      </c>
      <c r="X1166">
        <v>2</v>
      </c>
      <c r="Z1166">
        <v>0</v>
      </c>
      <c r="AA1166">
        <v>9</v>
      </c>
      <c r="AB1166">
        <v>3</v>
      </c>
      <c r="AC1166">
        <v>0</v>
      </c>
      <c r="AD1166">
        <v>10</v>
      </c>
      <c r="AE1166">
        <v>0</v>
      </c>
      <c r="AF1166">
        <v>3</v>
      </c>
      <c r="AG1166">
        <v>2</v>
      </c>
      <c r="AH1166">
        <v>0</v>
      </c>
      <c r="AI1166" t="s">
        <v>853</v>
      </c>
      <c r="AJ1166">
        <v>39.741110999999997</v>
      </c>
      <c r="AK1166" t="s">
        <v>854</v>
      </c>
      <c r="AL1166">
        <v>-92.521534000000003</v>
      </c>
      <c r="AM1166">
        <v>100</v>
      </c>
      <c r="AN1166">
        <v>1700</v>
      </c>
      <c r="AO1166" t="s">
        <v>118</v>
      </c>
      <c r="AP1166">
        <v>29</v>
      </c>
      <c r="AQ1166">
        <v>117</v>
      </c>
      <c r="AR1166">
        <v>0</v>
      </c>
      <c r="AZ1166">
        <v>1200</v>
      </c>
      <c r="BA1166">
        <v>1</v>
      </c>
      <c r="BB1166" t="str">
        <f t="shared" si="54"/>
        <v xml:space="preserve">N8080G  </v>
      </c>
      <c r="BC1166">
        <v>1</v>
      </c>
      <c r="BE1166">
        <v>0</v>
      </c>
      <c r="BF1166">
        <v>0</v>
      </c>
      <c r="BG1166">
        <v>0</v>
      </c>
      <c r="BH1166">
        <v>1700</v>
      </c>
      <c r="BI1166">
        <v>1</v>
      </c>
      <c r="BJ1166">
        <v>1</v>
      </c>
      <c r="BK1166">
        <v>1</v>
      </c>
      <c r="BL1166">
        <v>0</v>
      </c>
      <c r="BO1166">
        <v>0</v>
      </c>
      <c r="BP1166">
        <v>0</v>
      </c>
      <c r="BW1166" t="str">
        <f>"20:18:34.376"</f>
        <v>20:18:34.376</v>
      </c>
      <c r="BZ1166">
        <v>0</v>
      </c>
      <c r="CA1166">
        <v>2016</v>
      </c>
      <c r="CB1166">
        <v>224</v>
      </c>
      <c r="CD1166">
        <v>1</v>
      </c>
      <c r="CE1166">
        <v>0</v>
      </c>
      <c r="CF1166">
        <v>0</v>
      </c>
      <c r="CG1166">
        <v>1</v>
      </c>
      <c r="CH1166">
        <v>0</v>
      </c>
      <c r="CI1166">
        <v>0</v>
      </c>
      <c r="CJ1166">
        <v>0</v>
      </c>
      <c r="CK1166">
        <v>2</v>
      </c>
      <c r="CL1166">
        <v>0</v>
      </c>
      <c r="CM1166">
        <v>2</v>
      </c>
      <c r="CN1166">
        <v>0</v>
      </c>
      <c r="CO1166">
        <v>6</v>
      </c>
      <c r="CP1166" t="s">
        <v>119</v>
      </c>
      <c r="CQ1166">
        <v>180</v>
      </c>
      <c r="CR1166">
        <v>1</v>
      </c>
      <c r="CW1166">
        <v>10655040</v>
      </c>
      <c r="CY1166">
        <v>1</v>
      </c>
      <c r="CZ1166">
        <v>0</v>
      </c>
      <c r="DA1166">
        <v>1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</row>
    <row r="1167" spans="1:113" x14ac:dyDescent="0.3">
      <c r="A1167" t="str">
        <f>"02/08/2021 20:18:35.215"</f>
        <v>02/08/2021 20:18:35.215</v>
      </c>
      <c r="C1167" t="str">
        <f t="shared" si="56"/>
        <v>FFDFD7C0</v>
      </c>
      <c r="D1167" t="s">
        <v>124</v>
      </c>
      <c r="E1167">
        <v>13</v>
      </c>
      <c r="F1167">
        <v>1013</v>
      </c>
      <c r="G1167" t="s">
        <v>114</v>
      </c>
      <c r="J1167" t="s">
        <v>125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>"20:18:37.516"</f>
        <v>20:18:37.516</v>
      </c>
      <c r="T1167" t="str">
        <f>"20:18:37.016"</f>
        <v>20:18:37.016</v>
      </c>
      <c r="U1167" t="str">
        <f t="shared" si="55"/>
        <v>AB01F4</v>
      </c>
      <c r="V1167">
        <v>0</v>
      </c>
      <c r="W1167">
        <v>0</v>
      </c>
      <c r="X1167">
        <v>2</v>
      </c>
      <c r="Z1167">
        <v>0</v>
      </c>
      <c r="AA1167">
        <v>9</v>
      </c>
      <c r="AB1167">
        <v>3</v>
      </c>
      <c r="AC1167">
        <v>0</v>
      </c>
      <c r="AD1167">
        <v>10</v>
      </c>
      <c r="AE1167">
        <v>0</v>
      </c>
      <c r="AF1167">
        <v>3</v>
      </c>
      <c r="AG1167">
        <v>2</v>
      </c>
      <c r="AH1167">
        <v>0</v>
      </c>
      <c r="AI1167" t="s">
        <v>855</v>
      </c>
      <c r="AJ1167">
        <v>39.742849</v>
      </c>
      <c r="AK1167" t="s">
        <v>856</v>
      </c>
      <c r="AL1167">
        <v>-92.520955000000001</v>
      </c>
      <c r="AM1167">
        <v>100</v>
      </c>
      <c r="AN1167">
        <v>1700</v>
      </c>
      <c r="AO1167" t="s">
        <v>118</v>
      </c>
      <c r="AP1167">
        <v>29</v>
      </c>
      <c r="AQ1167">
        <v>117</v>
      </c>
      <c r="AR1167">
        <v>-128</v>
      </c>
      <c r="AZ1167">
        <v>1200</v>
      </c>
      <c r="BA1167">
        <v>1</v>
      </c>
      <c r="BB1167" t="str">
        <f t="shared" ref="BB1167:BB1230" si="57">"N8080G  "</f>
        <v xml:space="preserve">N8080G  </v>
      </c>
      <c r="BC1167">
        <v>1</v>
      </c>
      <c r="BE1167">
        <v>0</v>
      </c>
      <c r="BF1167">
        <v>0</v>
      </c>
      <c r="BG1167">
        <v>0</v>
      </c>
      <c r="BH1167">
        <v>1675</v>
      </c>
      <c r="BI1167">
        <v>1</v>
      </c>
      <c r="BJ1167">
        <v>1</v>
      </c>
      <c r="BK1167">
        <v>1</v>
      </c>
      <c r="BL1167">
        <v>0</v>
      </c>
      <c r="BO1167">
        <v>0</v>
      </c>
      <c r="BP1167">
        <v>0</v>
      </c>
      <c r="BW1167" t="str">
        <f>"20:18:37.519"</f>
        <v>20:18:37.519</v>
      </c>
      <c r="BZ1167">
        <v>0</v>
      </c>
      <c r="CA1167">
        <v>2016</v>
      </c>
      <c r="CB1167">
        <v>224</v>
      </c>
      <c r="CD1167">
        <v>1</v>
      </c>
      <c r="CE1167">
        <v>0</v>
      </c>
      <c r="CF1167">
        <v>0</v>
      </c>
      <c r="CG1167">
        <v>1</v>
      </c>
      <c r="CH1167">
        <v>0</v>
      </c>
      <c r="CI1167">
        <v>0</v>
      </c>
      <c r="CJ1167">
        <v>0</v>
      </c>
      <c r="CK1167">
        <v>2</v>
      </c>
      <c r="CL1167">
        <v>0</v>
      </c>
      <c r="CM1167">
        <v>2</v>
      </c>
      <c r="CN1167">
        <v>0</v>
      </c>
      <c r="CO1167">
        <v>6</v>
      </c>
      <c r="CP1167" t="s">
        <v>119</v>
      </c>
      <c r="CQ1167">
        <v>180</v>
      </c>
      <c r="CR1167">
        <v>2</v>
      </c>
      <c r="CW1167">
        <v>8096351</v>
      </c>
      <c r="CY1167">
        <v>1</v>
      </c>
      <c r="CZ1167">
        <v>0</v>
      </c>
      <c r="DA1167">
        <v>0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</row>
    <row r="1168" spans="1:113" x14ac:dyDescent="0.3">
      <c r="A1168" t="str">
        <f>"02/08/2021 20:18:35.215"</f>
        <v>02/08/2021 20:18:35.215</v>
      </c>
      <c r="C1168" t="str">
        <f t="shared" si="56"/>
        <v>FFDFD7C0</v>
      </c>
      <c r="D1168" t="s">
        <v>124</v>
      </c>
      <c r="E1168">
        <v>12</v>
      </c>
      <c r="F1168">
        <v>1012</v>
      </c>
      <c r="G1168" t="s">
        <v>675</v>
      </c>
      <c r="J1168" t="s">
        <v>125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>"20:18:37.516"</f>
        <v>20:18:37.516</v>
      </c>
      <c r="T1168" t="str">
        <f>"20:18:37.016"</f>
        <v>20:18:37.016</v>
      </c>
      <c r="U1168" t="str">
        <f t="shared" si="55"/>
        <v>AB01F4</v>
      </c>
      <c r="V1168">
        <v>0</v>
      </c>
      <c r="W1168">
        <v>0</v>
      </c>
      <c r="X1168">
        <v>2</v>
      </c>
      <c r="Z1168">
        <v>0</v>
      </c>
      <c r="AA1168">
        <v>9</v>
      </c>
      <c r="AB1168">
        <v>3</v>
      </c>
      <c r="AC1168">
        <v>0</v>
      </c>
      <c r="AD1168">
        <v>10</v>
      </c>
      <c r="AE1168">
        <v>0</v>
      </c>
      <c r="AF1168">
        <v>3</v>
      </c>
      <c r="AG1168">
        <v>2</v>
      </c>
      <c r="AH1168">
        <v>0</v>
      </c>
      <c r="AI1168" t="s">
        <v>855</v>
      </c>
      <c r="AJ1168">
        <v>39.742849</v>
      </c>
      <c r="AK1168" t="s">
        <v>856</v>
      </c>
      <c r="AL1168">
        <v>-92.520955000000001</v>
      </c>
      <c r="AM1168">
        <v>100</v>
      </c>
      <c r="AN1168">
        <v>1700</v>
      </c>
      <c r="AO1168" t="s">
        <v>118</v>
      </c>
      <c r="AP1168">
        <v>29</v>
      </c>
      <c r="AQ1168">
        <v>117</v>
      </c>
      <c r="AR1168">
        <v>-128</v>
      </c>
      <c r="AZ1168">
        <v>1200</v>
      </c>
      <c r="BA1168">
        <v>1</v>
      </c>
      <c r="BB1168" t="str">
        <f t="shared" si="57"/>
        <v xml:space="preserve">N8080G  </v>
      </c>
      <c r="BC1168">
        <v>1</v>
      </c>
      <c r="BE1168">
        <v>0</v>
      </c>
      <c r="BF1168">
        <v>0</v>
      </c>
      <c r="BG1168">
        <v>0</v>
      </c>
      <c r="BH1168">
        <v>1675</v>
      </c>
      <c r="BI1168">
        <v>1</v>
      </c>
      <c r="BJ1168">
        <v>1</v>
      </c>
      <c r="BK1168">
        <v>1</v>
      </c>
      <c r="BL1168">
        <v>0</v>
      </c>
      <c r="BO1168">
        <v>0</v>
      </c>
      <c r="BP1168">
        <v>0</v>
      </c>
      <c r="BW1168" t="str">
        <f>"20:18:37.519"</f>
        <v>20:18:37.519</v>
      </c>
      <c r="BZ1168">
        <v>0</v>
      </c>
      <c r="CA1168">
        <v>2016</v>
      </c>
      <c r="CB1168">
        <v>224</v>
      </c>
      <c r="CD1168">
        <v>1</v>
      </c>
      <c r="CE1168">
        <v>0</v>
      </c>
      <c r="CF1168">
        <v>0</v>
      </c>
      <c r="CG1168">
        <v>1</v>
      </c>
      <c r="CH1168">
        <v>0</v>
      </c>
      <c r="CI1168">
        <v>0</v>
      </c>
      <c r="CJ1168">
        <v>0</v>
      </c>
      <c r="CK1168">
        <v>2</v>
      </c>
      <c r="CL1168">
        <v>0</v>
      </c>
      <c r="CM1168">
        <v>2</v>
      </c>
      <c r="CN1168">
        <v>0</v>
      </c>
      <c r="CO1168">
        <v>6</v>
      </c>
      <c r="CP1168" t="s">
        <v>119</v>
      </c>
      <c r="CQ1168">
        <v>180</v>
      </c>
      <c r="CR1168">
        <v>2</v>
      </c>
      <c r="CW1168">
        <v>8096351</v>
      </c>
      <c r="CY1168">
        <v>1</v>
      </c>
      <c r="CZ1168">
        <v>0</v>
      </c>
      <c r="DA1168">
        <v>1</v>
      </c>
      <c r="DB1168">
        <v>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</row>
    <row r="1169" spans="1:113" x14ac:dyDescent="0.3">
      <c r="A1169" t="str">
        <f>"02/08/2021 20:18:35.215"</f>
        <v>02/08/2021 20:18:35.215</v>
      </c>
      <c r="C1169" t="str">
        <f t="shared" si="56"/>
        <v>FFDFD7C0</v>
      </c>
      <c r="D1169" t="s">
        <v>113</v>
      </c>
      <c r="E1169">
        <v>6</v>
      </c>
      <c r="H1169">
        <v>165</v>
      </c>
      <c r="I1169" t="s">
        <v>114</v>
      </c>
      <c r="J1169" t="s">
        <v>115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>"20:18:37.516"</f>
        <v>20:18:37.516</v>
      </c>
      <c r="T1169" t="str">
        <f>"20:18:37.016"</f>
        <v>20:18:37.016</v>
      </c>
      <c r="U1169" t="str">
        <f t="shared" si="55"/>
        <v>AB01F4</v>
      </c>
      <c r="V1169">
        <v>0</v>
      </c>
      <c r="W1169">
        <v>0</v>
      </c>
      <c r="X1169">
        <v>2</v>
      </c>
      <c r="Z1169">
        <v>0</v>
      </c>
      <c r="AA1169">
        <v>9</v>
      </c>
      <c r="AB1169">
        <v>3</v>
      </c>
      <c r="AC1169">
        <v>0</v>
      </c>
      <c r="AD1169">
        <v>10</v>
      </c>
      <c r="AE1169">
        <v>0</v>
      </c>
      <c r="AF1169">
        <v>3</v>
      </c>
      <c r="AG1169">
        <v>2</v>
      </c>
      <c r="AH1169">
        <v>0</v>
      </c>
      <c r="AI1169" t="s">
        <v>855</v>
      </c>
      <c r="AJ1169">
        <v>39.742849</v>
      </c>
      <c r="AK1169" t="s">
        <v>856</v>
      </c>
      <c r="AL1169">
        <v>-92.520955000000001</v>
      </c>
      <c r="AM1169">
        <v>100</v>
      </c>
      <c r="AN1169">
        <v>1700</v>
      </c>
      <c r="AO1169" t="s">
        <v>118</v>
      </c>
      <c r="AP1169">
        <v>29</v>
      </c>
      <c r="AQ1169">
        <v>117</v>
      </c>
      <c r="AR1169">
        <v>-128</v>
      </c>
      <c r="AZ1169">
        <v>1200</v>
      </c>
      <c r="BA1169">
        <v>1</v>
      </c>
      <c r="BB1169" t="str">
        <f t="shared" si="57"/>
        <v xml:space="preserve">N8080G  </v>
      </c>
      <c r="BC1169">
        <v>1</v>
      </c>
      <c r="BE1169">
        <v>0</v>
      </c>
      <c r="BF1169">
        <v>0</v>
      </c>
      <c r="BG1169">
        <v>0</v>
      </c>
      <c r="BH1169">
        <v>1675</v>
      </c>
      <c r="BI1169">
        <v>1</v>
      </c>
      <c r="BJ1169">
        <v>1</v>
      </c>
      <c r="BK1169">
        <v>1</v>
      </c>
      <c r="BL1169">
        <v>0</v>
      </c>
      <c r="BO1169">
        <v>0</v>
      </c>
      <c r="BP1169">
        <v>0</v>
      </c>
      <c r="BW1169" t="str">
        <f>"20:18:37.519"</f>
        <v>20:18:37.519</v>
      </c>
      <c r="BZ1169">
        <v>0</v>
      </c>
      <c r="CA1169">
        <v>2016</v>
      </c>
      <c r="CB1169">
        <v>224</v>
      </c>
      <c r="CD1169">
        <v>1</v>
      </c>
      <c r="CE1169">
        <v>0</v>
      </c>
      <c r="CF1169">
        <v>0</v>
      </c>
      <c r="CG1169">
        <v>1</v>
      </c>
      <c r="CH1169">
        <v>0</v>
      </c>
      <c r="CI1169">
        <v>0</v>
      </c>
      <c r="CJ1169">
        <v>0</v>
      </c>
      <c r="CK1169">
        <v>2</v>
      </c>
      <c r="CL1169">
        <v>0</v>
      </c>
      <c r="CM1169">
        <v>2</v>
      </c>
      <c r="CN1169">
        <v>0</v>
      </c>
      <c r="CO1169">
        <v>6</v>
      </c>
      <c r="CP1169" t="s">
        <v>119</v>
      </c>
      <c r="CQ1169">
        <v>180</v>
      </c>
      <c r="CR1169">
        <v>2</v>
      </c>
      <c r="CW1169">
        <v>8096351</v>
      </c>
      <c r="CY1169">
        <v>1</v>
      </c>
      <c r="CZ1169">
        <v>0</v>
      </c>
      <c r="DA1169">
        <v>1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</row>
    <row r="1170" spans="1:113" x14ac:dyDescent="0.3">
      <c r="A1170" t="str">
        <f>"02/08/2021 20:18:35.215"</f>
        <v>02/08/2021 20:18:35.215</v>
      </c>
      <c r="C1170" t="str">
        <f t="shared" si="56"/>
        <v>FFDFD7C0</v>
      </c>
      <c r="D1170" t="s">
        <v>124</v>
      </c>
      <c r="E1170">
        <v>11</v>
      </c>
      <c r="F1170">
        <v>1011</v>
      </c>
      <c r="G1170" t="s">
        <v>590</v>
      </c>
      <c r="J1170" t="s">
        <v>125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>"20:18:37.516"</f>
        <v>20:18:37.516</v>
      </c>
      <c r="T1170" t="str">
        <f>"20:18:37.016"</f>
        <v>20:18:37.016</v>
      </c>
      <c r="U1170" t="str">
        <f t="shared" si="55"/>
        <v>AB01F4</v>
      </c>
      <c r="V1170">
        <v>0</v>
      </c>
      <c r="W1170">
        <v>0</v>
      </c>
      <c r="X1170">
        <v>2</v>
      </c>
      <c r="Z1170">
        <v>0</v>
      </c>
      <c r="AA1170">
        <v>9</v>
      </c>
      <c r="AB1170">
        <v>3</v>
      </c>
      <c r="AC1170">
        <v>0</v>
      </c>
      <c r="AD1170">
        <v>10</v>
      </c>
      <c r="AE1170">
        <v>0</v>
      </c>
      <c r="AF1170">
        <v>3</v>
      </c>
      <c r="AG1170">
        <v>2</v>
      </c>
      <c r="AH1170">
        <v>0</v>
      </c>
      <c r="AI1170" t="s">
        <v>855</v>
      </c>
      <c r="AJ1170">
        <v>39.742849</v>
      </c>
      <c r="AK1170" t="s">
        <v>856</v>
      </c>
      <c r="AL1170">
        <v>-92.520955000000001</v>
      </c>
      <c r="AM1170">
        <v>100</v>
      </c>
      <c r="AN1170">
        <v>1700</v>
      </c>
      <c r="AO1170" t="s">
        <v>118</v>
      </c>
      <c r="AP1170">
        <v>29</v>
      </c>
      <c r="AQ1170">
        <v>117</v>
      </c>
      <c r="AR1170">
        <v>-128</v>
      </c>
      <c r="AZ1170">
        <v>1200</v>
      </c>
      <c r="BA1170">
        <v>1</v>
      </c>
      <c r="BB1170" t="str">
        <f t="shared" si="57"/>
        <v xml:space="preserve">N8080G  </v>
      </c>
      <c r="BC1170">
        <v>1</v>
      </c>
      <c r="BE1170">
        <v>0</v>
      </c>
      <c r="BF1170">
        <v>0</v>
      </c>
      <c r="BG1170">
        <v>0</v>
      </c>
      <c r="BH1170">
        <v>1675</v>
      </c>
      <c r="BI1170">
        <v>1</v>
      </c>
      <c r="BJ1170">
        <v>1</v>
      </c>
      <c r="BK1170">
        <v>1</v>
      </c>
      <c r="BL1170">
        <v>0</v>
      </c>
      <c r="BO1170">
        <v>0</v>
      </c>
      <c r="BP1170">
        <v>0</v>
      </c>
      <c r="BW1170" t="str">
        <f>"20:18:37.519"</f>
        <v>20:18:37.519</v>
      </c>
      <c r="BZ1170">
        <v>0</v>
      </c>
      <c r="CA1170">
        <v>2016</v>
      </c>
      <c r="CB1170">
        <v>224</v>
      </c>
      <c r="CD1170">
        <v>1</v>
      </c>
      <c r="CE1170">
        <v>0</v>
      </c>
      <c r="CF1170">
        <v>0</v>
      </c>
      <c r="CG1170">
        <v>1</v>
      </c>
      <c r="CH1170">
        <v>0</v>
      </c>
      <c r="CI1170">
        <v>0</v>
      </c>
      <c r="CJ1170">
        <v>0</v>
      </c>
      <c r="CK1170">
        <v>2</v>
      </c>
      <c r="CL1170">
        <v>0</v>
      </c>
      <c r="CM1170">
        <v>2</v>
      </c>
      <c r="CN1170">
        <v>0</v>
      </c>
      <c r="CO1170">
        <v>6</v>
      </c>
      <c r="CP1170" t="s">
        <v>119</v>
      </c>
      <c r="CQ1170">
        <v>180</v>
      </c>
      <c r="CR1170">
        <v>2</v>
      </c>
      <c r="CW1170">
        <v>8096351</v>
      </c>
      <c r="CY1170">
        <v>1</v>
      </c>
      <c r="CZ1170">
        <v>0</v>
      </c>
      <c r="DA1170">
        <v>1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</row>
    <row r="1171" spans="1:113" x14ac:dyDescent="0.3">
      <c r="A1171" t="str">
        <f>"02/08/2021 20:18:36.622"</f>
        <v>02/08/2021 20:18:36.622</v>
      </c>
      <c r="C1171" t="str">
        <f t="shared" si="56"/>
        <v>FFDFD7C0</v>
      </c>
      <c r="D1171" t="s">
        <v>124</v>
      </c>
      <c r="E1171">
        <v>13</v>
      </c>
      <c r="F1171">
        <v>1013</v>
      </c>
      <c r="G1171" t="s">
        <v>114</v>
      </c>
      <c r="J1171" t="s">
        <v>125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>"20:18:38.961"</f>
        <v>20:18:38.961</v>
      </c>
      <c r="T1171" t="str">
        <f>"20:18:38.461"</f>
        <v>20:18:38.461</v>
      </c>
      <c r="U1171" t="str">
        <f t="shared" si="55"/>
        <v>AB01F4</v>
      </c>
      <c r="V1171">
        <v>0</v>
      </c>
      <c r="W1171">
        <v>0</v>
      </c>
      <c r="X1171">
        <v>2</v>
      </c>
      <c r="Z1171">
        <v>0</v>
      </c>
      <c r="AA1171">
        <v>9</v>
      </c>
      <c r="AB1171">
        <v>3</v>
      </c>
      <c r="AC1171">
        <v>0</v>
      </c>
      <c r="AD1171">
        <v>10</v>
      </c>
      <c r="AE1171">
        <v>0</v>
      </c>
      <c r="AF1171">
        <v>3</v>
      </c>
      <c r="AG1171">
        <v>2</v>
      </c>
      <c r="AH1171">
        <v>0</v>
      </c>
      <c r="AI1171" t="s">
        <v>857</v>
      </c>
      <c r="AJ1171">
        <v>39.743600000000001</v>
      </c>
      <c r="AK1171" t="s">
        <v>737</v>
      </c>
      <c r="AL1171">
        <v>-92.520696999999998</v>
      </c>
      <c r="AM1171">
        <v>100</v>
      </c>
      <c r="AN1171">
        <v>1700</v>
      </c>
      <c r="AO1171" t="s">
        <v>118</v>
      </c>
      <c r="AP1171">
        <v>29</v>
      </c>
      <c r="AQ1171">
        <v>117</v>
      </c>
      <c r="AR1171">
        <v>0</v>
      </c>
      <c r="AZ1171">
        <v>1200</v>
      </c>
      <c r="BA1171">
        <v>1</v>
      </c>
      <c r="BB1171" t="str">
        <f t="shared" si="57"/>
        <v xml:space="preserve">N8080G  </v>
      </c>
      <c r="BC1171">
        <v>1</v>
      </c>
      <c r="BE1171">
        <v>0</v>
      </c>
      <c r="BF1171">
        <v>0</v>
      </c>
      <c r="BG1171">
        <v>0</v>
      </c>
      <c r="BH1171">
        <v>1675</v>
      </c>
      <c r="BI1171">
        <v>1</v>
      </c>
      <c r="BJ1171">
        <v>1</v>
      </c>
      <c r="BK1171">
        <v>1</v>
      </c>
      <c r="BL1171">
        <v>0</v>
      </c>
      <c r="BO1171">
        <v>0</v>
      </c>
      <c r="BP1171">
        <v>0</v>
      </c>
      <c r="BW1171" t="str">
        <f>"20:18:38.964"</f>
        <v>20:18:38.964</v>
      </c>
      <c r="BZ1171">
        <v>0</v>
      </c>
      <c r="CA1171">
        <v>2016</v>
      </c>
      <c r="CB1171">
        <v>224</v>
      </c>
      <c r="CD1171">
        <v>1</v>
      </c>
      <c r="CE1171">
        <v>0</v>
      </c>
      <c r="CF1171">
        <v>0</v>
      </c>
      <c r="CG1171">
        <v>1</v>
      </c>
      <c r="CH1171">
        <v>0</v>
      </c>
      <c r="CI1171">
        <v>0</v>
      </c>
      <c r="CJ1171">
        <v>0</v>
      </c>
      <c r="CK1171">
        <v>2</v>
      </c>
      <c r="CL1171">
        <v>0</v>
      </c>
      <c r="CM1171">
        <v>2</v>
      </c>
      <c r="CN1171">
        <v>0</v>
      </c>
      <c r="CO1171">
        <v>6</v>
      </c>
      <c r="CP1171" t="s">
        <v>119</v>
      </c>
      <c r="CQ1171">
        <v>180</v>
      </c>
      <c r="CR1171">
        <v>2</v>
      </c>
      <c r="CW1171">
        <v>8097562</v>
      </c>
      <c r="CY1171">
        <v>1</v>
      </c>
      <c r="CZ1171">
        <v>0</v>
      </c>
      <c r="DA1171">
        <v>0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</row>
    <row r="1172" spans="1:113" x14ac:dyDescent="0.3">
      <c r="A1172" t="str">
        <f>"02/08/2021 20:18:36.622"</f>
        <v>02/08/2021 20:18:36.622</v>
      </c>
      <c r="C1172" t="str">
        <f t="shared" si="56"/>
        <v>FFDFD7C0</v>
      </c>
      <c r="D1172" t="s">
        <v>124</v>
      </c>
      <c r="E1172">
        <v>12</v>
      </c>
      <c r="F1172">
        <v>1012</v>
      </c>
      <c r="G1172" t="s">
        <v>675</v>
      </c>
      <c r="J1172" t="s">
        <v>125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>"20:18:38.961"</f>
        <v>20:18:38.961</v>
      </c>
      <c r="T1172" t="str">
        <f>"20:18:38.461"</f>
        <v>20:18:38.461</v>
      </c>
      <c r="U1172" t="str">
        <f t="shared" si="55"/>
        <v>AB01F4</v>
      </c>
      <c r="V1172">
        <v>0</v>
      </c>
      <c r="W1172">
        <v>0</v>
      </c>
      <c r="X1172">
        <v>2</v>
      </c>
      <c r="Z1172">
        <v>0</v>
      </c>
      <c r="AA1172">
        <v>9</v>
      </c>
      <c r="AB1172">
        <v>3</v>
      </c>
      <c r="AC1172">
        <v>0</v>
      </c>
      <c r="AD1172">
        <v>10</v>
      </c>
      <c r="AE1172">
        <v>0</v>
      </c>
      <c r="AF1172">
        <v>3</v>
      </c>
      <c r="AG1172">
        <v>2</v>
      </c>
      <c r="AH1172">
        <v>0</v>
      </c>
      <c r="AI1172" t="s">
        <v>857</v>
      </c>
      <c r="AJ1172">
        <v>39.743600000000001</v>
      </c>
      <c r="AK1172" t="s">
        <v>737</v>
      </c>
      <c r="AL1172">
        <v>-92.520696999999998</v>
      </c>
      <c r="AM1172">
        <v>100</v>
      </c>
      <c r="AN1172">
        <v>1700</v>
      </c>
      <c r="AO1172" t="s">
        <v>118</v>
      </c>
      <c r="AP1172">
        <v>29</v>
      </c>
      <c r="AQ1172">
        <v>117</v>
      </c>
      <c r="AR1172">
        <v>0</v>
      </c>
      <c r="AZ1172">
        <v>1200</v>
      </c>
      <c r="BA1172">
        <v>1</v>
      </c>
      <c r="BB1172" t="str">
        <f t="shared" si="57"/>
        <v xml:space="preserve">N8080G  </v>
      </c>
      <c r="BC1172">
        <v>1</v>
      </c>
      <c r="BE1172">
        <v>0</v>
      </c>
      <c r="BF1172">
        <v>0</v>
      </c>
      <c r="BG1172">
        <v>0</v>
      </c>
      <c r="BH1172">
        <v>1675</v>
      </c>
      <c r="BI1172">
        <v>1</v>
      </c>
      <c r="BJ1172">
        <v>1</v>
      </c>
      <c r="BK1172">
        <v>1</v>
      </c>
      <c r="BL1172">
        <v>0</v>
      </c>
      <c r="BO1172">
        <v>0</v>
      </c>
      <c r="BP1172">
        <v>0</v>
      </c>
      <c r="BW1172" t="str">
        <f>"20:18:38.964"</f>
        <v>20:18:38.964</v>
      </c>
      <c r="BZ1172">
        <v>0</v>
      </c>
      <c r="CA1172">
        <v>2016</v>
      </c>
      <c r="CB1172">
        <v>224</v>
      </c>
      <c r="CD1172">
        <v>1</v>
      </c>
      <c r="CE1172">
        <v>0</v>
      </c>
      <c r="CF1172">
        <v>0</v>
      </c>
      <c r="CG1172">
        <v>1</v>
      </c>
      <c r="CH1172">
        <v>0</v>
      </c>
      <c r="CI1172">
        <v>0</v>
      </c>
      <c r="CJ1172">
        <v>0</v>
      </c>
      <c r="CK1172">
        <v>2</v>
      </c>
      <c r="CL1172">
        <v>0</v>
      </c>
      <c r="CM1172">
        <v>2</v>
      </c>
      <c r="CN1172">
        <v>0</v>
      </c>
      <c r="CO1172">
        <v>6</v>
      </c>
      <c r="CP1172" t="s">
        <v>119</v>
      </c>
      <c r="CQ1172">
        <v>180</v>
      </c>
      <c r="CR1172">
        <v>2</v>
      </c>
      <c r="CW1172">
        <v>8097562</v>
      </c>
      <c r="CY1172">
        <v>1</v>
      </c>
      <c r="CZ1172">
        <v>0</v>
      </c>
      <c r="DA1172">
        <v>1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</row>
    <row r="1173" spans="1:113" x14ac:dyDescent="0.3">
      <c r="A1173" t="str">
        <f>"02/08/2021 20:18:36.622"</f>
        <v>02/08/2021 20:18:36.622</v>
      </c>
      <c r="C1173" t="str">
        <f t="shared" si="56"/>
        <v>FFDFD7C0</v>
      </c>
      <c r="D1173" t="s">
        <v>113</v>
      </c>
      <c r="E1173">
        <v>6</v>
      </c>
      <c r="H1173">
        <v>165</v>
      </c>
      <c r="I1173" t="s">
        <v>114</v>
      </c>
      <c r="J1173" t="s">
        <v>115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>"20:18:38.961"</f>
        <v>20:18:38.961</v>
      </c>
      <c r="T1173" t="str">
        <f>"20:18:38.461"</f>
        <v>20:18:38.461</v>
      </c>
      <c r="U1173" t="str">
        <f t="shared" si="55"/>
        <v>AB01F4</v>
      </c>
      <c r="V1173">
        <v>0</v>
      </c>
      <c r="W1173">
        <v>0</v>
      </c>
      <c r="X1173">
        <v>2</v>
      </c>
      <c r="Z1173">
        <v>0</v>
      </c>
      <c r="AA1173">
        <v>9</v>
      </c>
      <c r="AB1173">
        <v>3</v>
      </c>
      <c r="AC1173">
        <v>0</v>
      </c>
      <c r="AD1173">
        <v>10</v>
      </c>
      <c r="AE1173">
        <v>0</v>
      </c>
      <c r="AF1173">
        <v>3</v>
      </c>
      <c r="AG1173">
        <v>2</v>
      </c>
      <c r="AH1173">
        <v>0</v>
      </c>
      <c r="AI1173" t="s">
        <v>857</v>
      </c>
      <c r="AJ1173">
        <v>39.743600000000001</v>
      </c>
      <c r="AK1173" t="s">
        <v>737</v>
      </c>
      <c r="AL1173">
        <v>-92.520696999999998</v>
      </c>
      <c r="AM1173">
        <v>100</v>
      </c>
      <c r="AN1173">
        <v>1700</v>
      </c>
      <c r="AO1173" t="s">
        <v>118</v>
      </c>
      <c r="AP1173">
        <v>29</v>
      </c>
      <c r="AQ1173">
        <v>117</v>
      </c>
      <c r="AR1173">
        <v>0</v>
      </c>
      <c r="AZ1173">
        <v>1200</v>
      </c>
      <c r="BA1173">
        <v>1</v>
      </c>
      <c r="BB1173" t="str">
        <f t="shared" si="57"/>
        <v xml:space="preserve">N8080G  </v>
      </c>
      <c r="BC1173">
        <v>1</v>
      </c>
      <c r="BE1173">
        <v>0</v>
      </c>
      <c r="BF1173">
        <v>0</v>
      </c>
      <c r="BG1173">
        <v>0</v>
      </c>
      <c r="BH1173">
        <v>1675</v>
      </c>
      <c r="BI1173">
        <v>1</v>
      </c>
      <c r="BJ1173">
        <v>1</v>
      </c>
      <c r="BK1173">
        <v>1</v>
      </c>
      <c r="BL1173">
        <v>0</v>
      </c>
      <c r="BO1173">
        <v>0</v>
      </c>
      <c r="BP1173">
        <v>0</v>
      </c>
      <c r="BW1173" t="str">
        <f>"20:18:38.964"</f>
        <v>20:18:38.964</v>
      </c>
      <c r="BZ1173">
        <v>0</v>
      </c>
      <c r="CA1173">
        <v>2016</v>
      </c>
      <c r="CB1173">
        <v>224</v>
      </c>
      <c r="CD1173">
        <v>1</v>
      </c>
      <c r="CE1173">
        <v>0</v>
      </c>
      <c r="CF1173">
        <v>0</v>
      </c>
      <c r="CG1173">
        <v>1</v>
      </c>
      <c r="CH1173">
        <v>0</v>
      </c>
      <c r="CI1173">
        <v>0</v>
      </c>
      <c r="CJ1173">
        <v>0</v>
      </c>
      <c r="CK1173">
        <v>2</v>
      </c>
      <c r="CL1173">
        <v>0</v>
      </c>
      <c r="CM1173">
        <v>2</v>
      </c>
      <c r="CN1173">
        <v>0</v>
      </c>
      <c r="CO1173">
        <v>6</v>
      </c>
      <c r="CP1173" t="s">
        <v>119</v>
      </c>
      <c r="CQ1173">
        <v>180</v>
      </c>
      <c r="CR1173">
        <v>2</v>
      </c>
      <c r="CW1173">
        <v>8097562</v>
      </c>
      <c r="CY1173">
        <v>1</v>
      </c>
      <c r="CZ1173">
        <v>0</v>
      </c>
      <c r="DA1173">
        <v>1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</row>
    <row r="1174" spans="1:113" x14ac:dyDescent="0.3">
      <c r="A1174" t="str">
        <f>"02/08/2021 20:18:36.622"</f>
        <v>02/08/2021 20:18:36.622</v>
      </c>
      <c r="C1174" t="str">
        <f t="shared" si="56"/>
        <v>FFDFD7C0</v>
      </c>
      <c r="D1174" t="s">
        <v>124</v>
      </c>
      <c r="E1174">
        <v>11</v>
      </c>
      <c r="F1174">
        <v>1011</v>
      </c>
      <c r="G1174" t="s">
        <v>590</v>
      </c>
      <c r="J1174" t="s">
        <v>125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>"20:18:38.961"</f>
        <v>20:18:38.961</v>
      </c>
      <c r="T1174" t="str">
        <f>"20:18:38.461"</f>
        <v>20:18:38.461</v>
      </c>
      <c r="U1174" t="str">
        <f t="shared" si="55"/>
        <v>AB01F4</v>
      </c>
      <c r="V1174">
        <v>0</v>
      </c>
      <c r="W1174">
        <v>0</v>
      </c>
      <c r="X1174">
        <v>2</v>
      </c>
      <c r="Z1174">
        <v>0</v>
      </c>
      <c r="AA1174">
        <v>9</v>
      </c>
      <c r="AB1174">
        <v>3</v>
      </c>
      <c r="AC1174">
        <v>0</v>
      </c>
      <c r="AD1174">
        <v>10</v>
      </c>
      <c r="AE1174">
        <v>0</v>
      </c>
      <c r="AF1174">
        <v>3</v>
      </c>
      <c r="AG1174">
        <v>2</v>
      </c>
      <c r="AH1174">
        <v>0</v>
      </c>
      <c r="AI1174" t="s">
        <v>857</v>
      </c>
      <c r="AJ1174">
        <v>39.743600000000001</v>
      </c>
      <c r="AK1174" t="s">
        <v>737</v>
      </c>
      <c r="AL1174">
        <v>-92.520696999999998</v>
      </c>
      <c r="AM1174">
        <v>100</v>
      </c>
      <c r="AN1174">
        <v>1700</v>
      </c>
      <c r="AO1174" t="s">
        <v>118</v>
      </c>
      <c r="AP1174">
        <v>29</v>
      </c>
      <c r="AQ1174">
        <v>117</v>
      </c>
      <c r="AR1174">
        <v>0</v>
      </c>
      <c r="AZ1174">
        <v>1200</v>
      </c>
      <c r="BA1174">
        <v>1</v>
      </c>
      <c r="BB1174" t="str">
        <f t="shared" si="57"/>
        <v xml:space="preserve">N8080G  </v>
      </c>
      <c r="BC1174">
        <v>1</v>
      </c>
      <c r="BE1174">
        <v>0</v>
      </c>
      <c r="BF1174">
        <v>0</v>
      </c>
      <c r="BG1174">
        <v>0</v>
      </c>
      <c r="BH1174">
        <v>1675</v>
      </c>
      <c r="BI1174">
        <v>1</v>
      </c>
      <c r="BJ1174">
        <v>1</v>
      </c>
      <c r="BK1174">
        <v>1</v>
      </c>
      <c r="BL1174">
        <v>0</v>
      </c>
      <c r="BO1174">
        <v>0</v>
      </c>
      <c r="BP1174">
        <v>0</v>
      </c>
      <c r="BW1174" t="str">
        <f>"20:18:38.964"</f>
        <v>20:18:38.964</v>
      </c>
      <c r="BZ1174">
        <v>0</v>
      </c>
      <c r="CA1174">
        <v>2016</v>
      </c>
      <c r="CB1174">
        <v>224</v>
      </c>
      <c r="CD1174">
        <v>1</v>
      </c>
      <c r="CE1174">
        <v>0</v>
      </c>
      <c r="CF1174">
        <v>0</v>
      </c>
      <c r="CG1174">
        <v>1</v>
      </c>
      <c r="CH1174">
        <v>0</v>
      </c>
      <c r="CI1174">
        <v>0</v>
      </c>
      <c r="CJ1174">
        <v>0</v>
      </c>
      <c r="CK1174">
        <v>2</v>
      </c>
      <c r="CL1174">
        <v>0</v>
      </c>
      <c r="CM1174">
        <v>2</v>
      </c>
      <c r="CN1174">
        <v>0</v>
      </c>
      <c r="CO1174">
        <v>6</v>
      </c>
      <c r="CP1174" t="s">
        <v>119</v>
      </c>
      <c r="CQ1174">
        <v>180</v>
      </c>
      <c r="CR1174">
        <v>2</v>
      </c>
      <c r="CW1174">
        <v>8097562</v>
      </c>
      <c r="CY1174">
        <v>1</v>
      </c>
      <c r="CZ1174">
        <v>0</v>
      </c>
      <c r="DA1174">
        <v>1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0</v>
      </c>
    </row>
    <row r="1175" spans="1:113" x14ac:dyDescent="0.3">
      <c r="A1175" t="str">
        <f>"02/08/2021 20:18:38.014"</f>
        <v>02/08/2021 20:18:38.014</v>
      </c>
      <c r="C1175" t="str">
        <f t="shared" si="56"/>
        <v>FFDFD7C0</v>
      </c>
      <c r="D1175" t="s">
        <v>124</v>
      </c>
      <c r="E1175">
        <v>11</v>
      </c>
      <c r="F1175">
        <v>1011</v>
      </c>
      <c r="G1175" t="s">
        <v>590</v>
      </c>
      <c r="J1175" t="s">
        <v>125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>"20:18:40.359"</f>
        <v>20:18:40.359</v>
      </c>
      <c r="T1175" t="str">
        <f>"20:18:39.859"</f>
        <v>20:18:39.859</v>
      </c>
      <c r="U1175" t="str">
        <f t="shared" si="55"/>
        <v>AB01F4</v>
      </c>
      <c r="V1175">
        <v>0</v>
      </c>
      <c r="W1175">
        <v>0</v>
      </c>
      <c r="X1175">
        <v>2</v>
      </c>
      <c r="Z1175">
        <v>0</v>
      </c>
      <c r="AA1175">
        <v>9</v>
      </c>
      <c r="AB1175">
        <v>3</v>
      </c>
      <c r="AC1175">
        <v>0</v>
      </c>
      <c r="AD1175">
        <v>10</v>
      </c>
      <c r="AE1175">
        <v>0</v>
      </c>
      <c r="AF1175">
        <v>3</v>
      </c>
      <c r="AG1175">
        <v>2</v>
      </c>
      <c r="AH1175">
        <v>0</v>
      </c>
      <c r="AI1175" t="s">
        <v>858</v>
      </c>
      <c r="AJ1175">
        <v>39.744371999999998</v>
      </c>
      <c r="AK1175" t="s">
        <v>859</v>
      </c>
      <c r="AL1175">
        <v>-92.520460999999997</v>
      </c>
      <c r="AM1175">
        <v>100</v>
      </c>
      <c r="AN1175">
        <v>1700</v>
      </c>
      <c r="AO1175" t="s">
        <v>118</v>
      </c>
      <c r="AP1175">
        <v>29</v>
      </c>
      <c r="AQ1175">
        <v>117</v>
      </c>
      <c r="AR1175">
        <v>0</v>
      </c>
      <c r="AZ1175">
        <v>1200</v>
      </c>
      <c r="BA1175">
        <v>1</v>
      </c>
      <c r="BB1175" t="str">
        <f t="shared" si="57"/>
        <v xml:space="preserve">N8080G  </v>
      </c>
      <c r="BC1175">
        <v>1</v>
      </c>
      <c r="BE1175">
        <v>0</v>
      </c>
      <c r="BF1175">
        <v>0</v>
      </c>
      <c r="BG1175">
        <v>0</v>
      </c>
      <c r="BH1175">
        <v>1700</v>
      </c>
      <c r="BI1175">
        <v>1</v>
      </c>
      <c r="BJ1175">
        <v>1</v>
      </c>
      <c r="BK1175">
        <v>1</v>
      </c>
      <c r="BL1175">
        <v>0</v>
      </c>
      <c r="BO1175">
        <v>0</v>
      </c>
      <c r="BP1175">
        <v>0</v>
      </c>
      <c r="BW1175" t="str">
        <f>"20:18:40.362"</f>
        <v>20:18:40.362</v>
      </c>
      <c r="BZ1175">
        <v>0</v>
      </c>
      <c r="CA1175">
        <v>2016</v>
      </c>
      <c r="CB1175">
        <v>224</v>
      </c>
      <c r="CD1175">
        <v>1</v>
      </c>
      <c r="CE1175">
        <v>0</v>
      </c>
      <c r="CF1175">
        <v>0</v>
      </c>
      <c r="CG1175">
        <v>1</v>
      </c>
      <c r="CH1175">
        <v>0</v>
      </c>
      <c r="CI1175">
        <v>0</v>
      </c>
      <c r="CJ1175">
        <v>0</v>
      </c>
      <c r="CK1175">
        <v>2</v>
      </c>
      <c r="CL1175">
        <v>0</v>
      </c>
      <c r="CM1175">
        <v>2</v>
      </c>
      <c r="CN1175">
        <v>0</v>
      </c>
      <c r="CO1175">
        <v>7</v>
      </c>
      <c r="CP1175" t="s">
        <v>119</v>
      </c>
      <c r="CQ1175">
        <v>180</v>
      </c>
      <c r="CR1175">
        <v>2</v>
      </c>
      <c r="CW1175">
        <v>8098586</v>
      </c>
      <c r="CY1175">
        <v>1</v>
      </c>
      <c r="CZ1175">
        <v>0</v>
      </c>
      <c r="DA1175">
        <v>0</v>
      </c>
      <c r="DB1175">
        <v>0</v>
      </c>
      <c r="DC1175">
        <v>0</v>
      </c>
      <c r="DD1175">
        <v>0</v>
      </c>
      <c r="DE1175">
        <v>0</v>
      </c>
      <c r="DF1175">
        <v>0</v>
      </c>
      <c r="DG1175">
        <v>0</v>
      </c>
      <c r="DH1175">
        <v>0</v>
      </c>
      <c r="DI1175">
        <v>0</v>
      </c>
    </row>
    <row r="1176" spans="1:113" x14ac:dyDescent="0.3">
      <c r="A1176" t="str">
        <f>"02/08/2021 20:18:38.014"</f>
        <v>02/08/2021 20:18:38.014</v>
      </c>
      <c r="C1176" t="str">
        <f t="shared" si="56"/>
        <v>FFDFD7C0</v>
      </c>
      <c r="D1176" t="s">
        <v>113</v>
      </c>
      <c r="E1176">
        <v>6</v>
      </c>
      <c r="H1176">
        <v>165</v>
      </c>
      <c r="I1176" t="s">
        <v>114</v>
      </c>
      <c r="J1176" t="s">
        <v>115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>"20:18:40.359"</f>
        <v>20:18:40.359</v>
      </c>
      <c r="T1176" t="str">
        <f>"20:18:39.859"</f>
        <v>20:18:39.859</v>
      </c>
      <c r="U1176" t="str">
        <f t="shared" si="55"/>
        <v>AB01F4</v>
      </c>
      <c r="V1176">
        <v>0</v>
      </c>
      <c r="W1176">
        <v>0</v>
      </c>
      <c r="X1176">
        <v>2</v>
      </c>
      <c r="Z1176">
        <v>0</v>
      </c>
      <c r="AA1176">
        <v>9</v>
      </c>
      <c r="AB1176">
        <v>3</v>
      </c>
      <c r="AC1176">
        <v>0</v>
      </c>
      <c r="AD1176">
        <v>10</v>
      </c>
      <c r="AE1176">
        <v>0</v>
      </c>
      <c r="AF1176">
        <v>3</v>
      </c>
      <c r="AG1176">
        <v>2</v>
      </c>
      <c r="AH1176">
        <v>0</v>
      </c>
      <c r="AI1176" t="s">
        <v>858</v>
      </c>
      <c r="AJ1176">
        <v>39.744371999999998</v>
      </c>
      <c r="AK1176" t="s">
        <v>859</v>
      </c>
      <c r="AL1176">
        <v>-92.520460999999997</v>
      </c>
      <c r="AM1176">
        <v>100</v>
      </c>
      <c r="AN1176">
        <v>1700</v>
      </c>
      <c r="AO1176" t="s">
        <v>118</v>
      </c>
      <c r="AP1176">
        <v>29</v>
      </c>
      <c r="AQ1176">
        <v>117</v>
      </c>
      <c r="AR1176">
        <v>0</v>
      </c>
      <c r="AZ1176">
        <v>1200</v>
      </c>
      <c r="BA1176">
        <v>1</v>
      </c>
      <c r="BB1176" t="str">
        <f t="shared" si="57"/>
        <v xml:space="preserve">N8080G  </v>
      </c>
      <c r="BC1176">
        <v>1</v>
      </c>
      <c r="BE1176">
        <v>0</v>
      </c>
      <c r="BF1176">
        <v>0</v>
      </c>
      <c r="BG1176">
        <v>0</v>
      </c>
      <c r="BH1176">
        <v>1700</v>
      </c>
      <c r="BI1176">
        <v>1</v>
      </c>
      <c r="BJ1176">
        <v>1</v>
      </c>
      <c r="BK1176">
        <v>1</v>
      </c>
      <c r="BL1176">
        <v>0</v>
      </c>
      <c r="BO1176">
        <v>0</v>
      </c>
      <c r="BP1176">
        <v>0</v>
      </c>
      <c r="BW1176" t="str">
        <f>"20:18:40.362"</f>
        <v>20:18:40.362</v>
      </c>
      <c r="BZ1176">
        <v>0</v>
      </c>
      <c r="CA1176">
        <v>2016</v>
      </c>
      <c r="CB1176">
        <v>224</v>
      </c>
      <c r="CD1176">
        <v>1</v>
      </c>
      <c r="CE1176">
        <v>0</v>
      </c>
      <c r="CF1176">
        <v>0</v>
      </c>
      <c r="CG1176">
        <v>1</v>
      </c>
      <c r="CH1176">
        <v>0</v>
      </c>
      <c r="CI1176">
        <v>0</v>
      </c>
      <c r="CJ1176">
        <v>0</v>
      </c>
      <c r="CK1176">
        <v>2</v>
      </c>
      <c r="CL1176">
        <v>0</v>
      </c>
      <c r="CM1176">
        <v>2</v>
      </c>
      <c r="CN1176">
        <v>0</v>
      </c>
      <c r="CO1176">
        <v>7</v>
      </c>
      <c r="CP1176" t="s">
        <v>119</v>
      </c>
      <c r="CQ1176">
        <v>180</v>
      </c>
      <c r="CR1176">
        <v>2</v>
      </c>
      <c r="CW1176">
        <v>8098586</v>
      </c>
      <c r="CY1176">
        <v>1</v>
      </c>
      <c r="CZ1176">
        <v>0</v>
      </c>
      <c r="DA1176">
        <v>1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>
        <v>0</v>
      </c>
      <c r="DH1176">
        <v>0</v>
      </c>
      <c r="DI1176">
        <v>0</v>
      </c>
    </row>
    <row r="1177" spans="1:113" x14ac:dyDescent="0.3">
      <c r="A1177" t="str">
        <f>"02/08/2021 20:18:38.014"</f>
        <v>02/08/2021 20:18:38.014</v>
      </c>
      <c r="C1177" t="str">
        <f t="shared" si="56"/>
        <v>FFDFD7C0</v>
      </c>
      <c r="D1177" t="s">
        <v>124</v>
      </c>
      <c r="E1177">
        <v>13</v>
      </c>
      <c r="F1177">
        <v>1013</v>
      </c>
      <c r="G1177" t="s">
        <v>114</v>
      </c>
      <c r="J1177" t="s">
        <v>125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>"20:18:40.359"</f>
        <v>20:18:40.359</v>
      </c>
      <c r="T1177" t="str">
        <f>"20:18:39.859"</f>
        <v>20:18:39.859</v>
      </c>
      <c r="U1177" t="str">
        <f t="shared" si="55"/>
        <v>AB01F4</v>
      </c>
      <c r="V1177">
        <v>0</v>
      </c>
      <c r="W1177">
        <v>0</v>
      </c>
      <c r="X1177">
        <v>2</v>
      </c>
      <c r="Z1177">
        <v>0</v>
      </c>
      <c r="AA1177">
        <v>9</v>
      </c>
      <c r="AB1177">
        <v>3</v>
      </c>
      <c r="AC1177">
        <v>0</v>
      </c>
      <c r="AD1177">
        <v>10</v>
      </c>
      <c r="AE1177">
        <v>0</v>
      </c>
      <c r="AF1177">
        <v>3</v>
      </c>
      <c r="AG1177">
        <v>2</v>
      </c>
      <c r="AH1177">
        <v>0</v>
      </c>
      <c r="AI1177" t="s">
        <v>858</v>
      </c>
      <c r="AJ1177">
        <v>39.744371999999998</v>
      </c>
      <c r="AK1177" t="s">
        <v>859</v>
      </c>
      <c r="AL1177">
        <v>-92.520460999999997</v>
      </c>
      <c r="AM1177">
        <v>100</v>
      </c>
      <c r="AN1177">
        <v>1700</v>
      </c>
      <c r="AO1177" t="s">
        <v>118</v>
      </c>
      <c r="AP1177">
        <v>29</v>
      </c>
      <c r="AQ1177">
        <v>117</v>
      </c>
      <c r="AR1177">
        <v>0</v>
      </c>
      <c r="AZ1177">
        <v>1200</v>
      </c>
      <c r="BA1177">
        <v>1</v>
      </c>
      <c r="BB1177" t="str">
        <f t="shared" si="57"/>
        <v xml:space="preserve">N8080G  </v>
      </c>
      <c r="BC1177">
        <v>1</v>
      </c>
      <c r="BE1177">
        <v>0</v>
      </c>
      <c r="BF1177">
        <v>0</v>
      </c>
      <c r="BG1177">
        <v>0</v>
      </c>
      <c r="BH1177">
        <v>1700</v>
      </c>
      <c r="BI1177">
        <v>1</v>
      </c>
      <c r="BJ1177">
        <v>1</v>
      </c>
      <c r="BK1177">
        <v>1</v>
      </c>
      <c r="BL1177">
        <v>0</v>
      </c>
      <c r="BO1177">
        <v>0</v>
      </c>
      <c r="BP1177">
        <v>0</v>
      </c>
      <c r="BW1177" t="str">
        <f>"20:18:40.362"</f>
        <v>20:18:40.362</v>
      </c>
      <c r="BZ1177">
        <v>0</v>
      </c>
      <c r="CA1177">
        <v>2016</v>
      </c>
      <c r="CB1177">
        <v>224</v>
      </c>
      <c r="CD1177">
        <v>1</v>
      </c>
      <c r="CE1177">
        <v>0</v>
      </c>
      <c r="CF1177">
        <v>0</v>
      </c>
      <c r="CG1177">
        <v>1</v>
      </c>
      <c r="CH1177">
        <v>0</v>
      </c>
      <c r="CI1177">
        <v>0</v>
      </c>
      <c r="CJ1177">
        <v>0</v>
      </c>
      <c r="CK1177">
        <v>2</v>
      </c>
      <c r="CL1177">
        <v>0</v>
      </c>
      <c r="CM1177">
        <v>2</v>
      </c>
      <c r="CN1177">
        <v>0</v>
      </c>
      <c r="CO1177">
        <v>7</v>
      </c>
      <c r="CP1177" t="s">
        <v>119</v>
      </c>
      <c r="CQ1177">
        <v>180</v>
      </c>
      <c r="CR1177">
        <v>2</v>
      </c>
      <c r="CW1177">
        <v>8098586</v>
      </c>
      <c r="CY1177">
        <v>1</v>
      </c>
      <c r="CZ1177">
        <v>0</v>
      </c>
      <c r="DA1177">
        <v>1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</row>
    <row r="1178" spans="1:113" x14ac:dyDescent="0.3">
      <c r="A1178" t="str">
        <f>"02/08/2021 20:18:38.014"</f>
        <v>02/08/2021 20:18:38.014</v>
      </c>
      <c r="C1178" t="str">
        <f t="shared" si="56"/>
        <v>FFDFD7C0</v>
      </c>
      <c r="D1178" t="s">
        <v>124</v>
      </c>
      <c r="E1178">
        <v>12</v>
      </c>
      <c r="F1178">
        <v>1012</v>
      </c>
      <c r="G1178" t="s">
        <v>675</v>
      </c>
      <c r="J1178" t="s">
        <v>125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>"20:18:40.359"</f>
        <v>20:18:40.359</v>
      </c>
      <c r="T1178" t="str">
        <f>"20:18:39.859"</f>
        <v>20:18:39.859</v>
      </c>
      <c r="U1178" t="str">
        <f t="shared" si="55"/>
        <v>AB01F4</v>
      </c>
      <c r="V1178">
        <v>0</v>
      </c>
      <c r="W1178">
        <v>0</v>
      </c>
      <c r="X1178">
        <v>2</v>
      </c>
      <c r="Z1178">
        <v>0</v>
      </c>
      <c r="AA1178">
        <v>9</v>
      </c>
      <c r="AB1178">
        <v>3</v>
      </c>
      <c r="AC1178">
        <v>0</v>
      </c>
      <c r="AD1178">
        <v>10</v>
      </c>
      <c r="AE1178">
        <v>0</v>
      </c>
      <c r="AF1178">
        <v>3</v>
      </c>
      <c r="AG1178">
        <v>2</v>
      </c>
      <c r="AH1178">
        <v>0</v>
      </c>
      <c r="AI1178" t="s">
        <v>858</v>
      </c>
      <c r="AJ1178">
        <v>39.744371999999998</v>
      </c>
      <c r="AK1178" t="s">
        <v>859</v>
      </c>
      <c r="AL1178">
        <v>-92.520460999999997</v>
      </c>
      <c r="AM1178">
        <v>100</v>
      </c>
      <c r="AN1178">
        <v>1700</v>
      </c>
      <c r="AO1178" t="s">
        <v>118</v>
      </c>
      <c r="AP1178">
        <v>29</v>
      </c>
      <c r="AQ1178">
        <v>117</v>
      </c>
      <c r="AR1178">
        <v>0</v>
      </c>
      <c r="AZ1178">
        <v>1200</v>
      </c>
      <c r="BA1178">
        <v>1</v>
      </c>
      <c r="BB1178" t="str">
        <f t="shared" si="57"/>
        <v xml:space="preserve">N8080G  </v>
      </c>
      <c r="BC1178">
        <v>1</v>
      </c>
      <c r="BE1178">
        <v>0</v>
      </c>
      <c r="BF1178">
        <v>0</v>
      </c>
      <c r="BG1178">
        <v>0</v>
      </c>
      <c r="BH1178">
        <v>1700</v>
      </c>
      <c r="BI1178">
        <v>1</v>
      </c>
      <c r="BJ1178">
        <v>1</v>
      </c>
      <c r="BK1178">
        <v>1</v>
      </c>
      <c r="BL1178">
        <v>0</v>
      </c>
      <c r="BO1178">
        <v>0</v>
      </c>
      <c r="BP1178">
        <v>0</v>
      </c>
      <c r="BW1178" t="str">
        <f>"20:18:40.362"</f>
        <v>20:18:40.362</v>
      </c>
      <c r="BZ1178">
        <v>0</v>
      </c>
      <c r="CA1178">
        <v>2016</v>
      </c>
      <c r="CB1178">
        <v>224</v>
      </c>
      <c r="CD1178">
        <v>1</v>
      </c>
      <c r="CE1178">
        <v>0</v>
      </c>
      <c r="CF1178">
        <v>0</v>
      </c>
      <c r="CG1178">
        <v>1</v>
      </c>
      <c r="CH1178">
        <v>0</v>
      </c>
      <c r="CI1178">
        <v>0</v>
      </c>
      <c r="CJ1178">
        <v>0</v>
      </c>
      <c r="CK1178">
        <v>2</v>
      </c>
      <c r="CL1178">
        <v>0</v>
      </c>
      <c r="CM1178">
        <v>2</v>
      </c>
      <c r="CN1178">
        <v>0</v>
      </c>
      <c r="CO1178">
        <v>7</v>
      </c>
      <c r="CP1178" t="s">
        <v>119</v>
      </c>
      <c r="CQ1178">
        <v>180</v>
      </c>
      <c r="CR1178">
        <v>2</v>
      </c>
      <c r="CW1178">
        <v>8098586</v>
      </c>
      <c r="CY1178">
        <v>1</v>
      </c>
      <c r="CZ1178">
        <v>0</v>
      </c>
      <c r="DA1178">
        <v>1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</row>
    <row r="1179" spans="1:113" x14ac:dyDescent="0.3">
      <c r="A1179" t="str">
        <f>"02/08/2021 20:18:39.585"</f>
        <v>02/08/2021 20:18:39.585</v>
      </c>
      <c r="C1179" t="str">
        <f t="shared" si="56"/>
        <v>FFDFD7C0</v>
      </c>
      <c r="D1179" t="s">
        <v>113</v>
      </c>
      <c r="E1179">
        <v>6</v>
      </c>
      <c r="H1179">
        <v>165</v>
      </c>
      <c r="I1179" t="s">
        <v>114</v>
      </c>
      <c r="J1179" t="s">
        <v>115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>"20:18:41.891"</f>
        <v>20:18:41.891</v>
      </c>
      <c r="T1179" t="str">
        <f>"20:18:41.391"</f>
        <v>20:18:41.391</v>
      </c>
      <c r="U1179" t="str">
        <f t="shared" si="55"/>
        <v>AB01F4</v>
      </c>
      <c r="V1179">
        <v>0</v>
      </c>
      <c r="W1179">
        <v>0</v>
      </c>
      <c r="X1179">
        <v>2</v>
      </c>
      <c r="Z1179">
        <v>0</v>
      </c>
      <c r="AA1179">
        <v>9</v>
      </c>
      <c r="AB1179">
        <v>3</v>
      </c>
      <c r="AC1179">
        <v>0</v>
      </c>
      <c r="AD1179">
        <v>10</v>
      </c>
      <c r="AE1179">
        <v>0</v>
      </c>
      <c r="AF1179">
        <v>3</v>
      </c>
      <c r="AG1179">
        <v>2</v>
      </c>
      <c r="AH1179">
        <v>0</v>
      </c>
      <c r="AI1179" t="s">
        <v>860</v>
      </c>
      <c r="AJ1179">
        <v>39.745187999999999</v>
      </c>
      <c r="AK1179" t="s">
        <v>861</v>
      </c>
      <c r="AL1179">
        <v>-92.520204000000007</v>
      </c>
      <c r="AM1179">
        <v>100</v>
      </c>
      <c r="AN1179">
        <v>1700</v>
      </c>
      <c r="AO1179" t="s">
        <v>118</v>
      </c>
      <c r="AP1179">
        <v>29</v>
      </c>
      <c r="AQ1179">
        <v>117</v>
      </c>
      <c r="AR1179">
        <v>64</v>
      </c>
      <c r="AZ1179">
        <v>1200</v>
      </c>
      <c r="BA1179">
        <v>1</v>
      </c>
      <c r="BB1179" t="str">
        <f t="shared" si="57"/>
        <v xml:space="preserve">N8080G  </v>
      </c>
      <c r="BC1179">
        <v>1</v>
      </c>
      <c r="BE1179">
        <v>0</v>
      </c>
      <c r="BF1179">
        <v>0</v>
      </c>
      <c r="BG1179">
        <v>0</v>
      </c>
      <c r="BH1179">
        <v>1700</v>
      </c>
      <c r="BI1179">
        <v>1</v>
      </c>
      <c r="BJ1179">
        <v>1</v>
      </c>
      <c r="BK1179">
        <v>1</v>
      </c>
      <c r="BL1179">
        <v>0</v>
      </c>
      <c r="BO1179">
        <v>0</v>
      </c>
      <c r="BP1179">
        <v>0</v>
      </c>
      <c r="BW1179" t="str">
        <f>"20:18:41.893"</f>
        <v>20:18:41.893</v>
      </c>
      <c r="BZ1179">
        <v>0</v>
      </c>
      <c r="CA1179">
        <v>2016</v>
      </c>
      <c r="CB1179">
        <v>224</v>
      </c>
      <c r="CD1179">
        <v>1</v>
      </c>
      <c r="CE1179">
        <v>0</v>
      </c>
      <c r="CF1179">
        <v>0</v>
      </c>
      <c r="CG1179">
        <v>1</v>
      </c>
      <c r="CH1179">
        <v>0</v>
      </c>
      <c r="CI1179">
        <v>0</v>
      </c>
      <c r="CJ1179">
        <v>0</v>
      </c>
      <c r="CK1179">
        <v>2</v>
      </c>
      <c r="CL1179">
        <v>0</v>
      </c>
      <c r="CM1179">
        <v>2</v>
      </c>
      <c r="CN1179">
        <v>0</v>
      </c>
      <c r="CO1179">
        <v>6</v>
      </c>
      <c r="CP1179" t="s">
        <v>119</v>
      </c>
      <c r="CQ1179">
        <v>180</v>
      </c>
      <c r="CR1179">
        <v>2</v>
      </c>
      <c r="CW1179">
        <v>8099853</v>
      </c>
      <c r="CY1179">
        <v>1</v>
      </c>
      <c r="CZ1179">
        <v>0</v>
      </c>
      <c r="DA1179">
        <v>0</v>
      </c>
      <c r="DB1179">
        <v>0</v>
      </c>
      <c r="DC1179">
        <v>0</v>
      </c>
      <c r="DD1179">
        <v>0</v>
      </c>
      <c r="DE1179">
        <v>0</v>
      </c>
      <c r="DF1179">
        <v>0</v>
      </c>
      <c r="DG1179">
        <v>0</v>
      </c>
      <c r="DH1179">
        <v>0</v>
      </c>
      <c r="DI1179">
        <v>0</v>
      </c>
    </row>
    <row r="1180" spans="1:113" x14ac:dyDescent="0.3">
      <c r="A1180" t="str">
        <f>"02/08/2021 20:18:39.585"</f>
        <v>02/08/2021 20:18:39.585</v>
      </c>
      <c r="C1180" t="str">
        <f t="shared" si="56"/>
        <v>FFDFD7C0</v>
      </c>
      <c r="D1180" t="s">
        <v>124</v>
      </c>
      <c r="E1180">
        <v>12</v>
      </c>
      <c r="F1180">
        <v>1012</v>
      </c>
      <c r="G1180" t="s">
        <v>675</v>
      </c>
      <c r="J1180" t="s">
        <v>125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>"20:18:41.891"</f>
        <v>20:18:41.891</v>
      </c>
      <c r="T1180" t="str">
        <f>"20:18:41.391"</f>
        <v>20:18:41.391</v>
      </c>
      <c r="U1180" t="str">
        <f t="shared" si="55"/>
        <v>AB01F4</v>
      </c>
      <c r="V1180">
        <v>0</v>
      </c>
      <c r="W1180">
        <v>0</v>
      </c>
      <c r="X1180">
        <v>2</v>
      </c>
      <c r="Z1180">
        <v>0</v>
      </c>
      <c r="AA1180">
        <v>9</v>
      </c>
      <c r="AB1180">
        <v>3</v>
      </c>
      <c r="AC1180">
        <v>0</v>
      </c>
      <c r="AD1180">
        <v>10</v>
      </c>
      <c r="AE1180">
        <v>0</v>
      </c>
      <c r="AF1180">
        <v>3</v>
      </c>
      <c r="AG1180">
        <v>2</v>
      </c>
      <c r="AH1180">
        <v>0</v>
      </c>
      <c r="AI1180" t="s">
        <v>860</v>
      </c>
      <c r="AJ1180">
        <v>39.745187999999999</v>
      </c>
      <c r="AK1180" t="s">
        <v>861</v>
      </c>
      <c r="AL1180">
        <v>-92.520204000000007</v>
      </c>
      <c r="AM1180">
        <v>100</v>
      </c>
      <c r="AN1180">
        <v>1700</v>
      </c>
      <c r="AO1180" t="s">
        <v>118</v>
      </c>
      <c r="AP1180">
        <v>29</v>
      </c>
      <c r="AQ1180">
        <v>117</v>
      </c>
      <c r="AR1180">
        <v>64</v>
      </c>
      <c r="AZ1180">
        <v>1200</v>
      </c>
      <c r="BA1180">
        <v>1</v>
      </c>
      <c r="BB1180" t="str">
        <f t="shared" si="57"/>
        <v xml:space="preserve">N8080G  </v>
      </c>
      <c r="BC1180">
        <v>1</v>
      </c>
      <c r="BE1180">
        <v>0</v>
      </c>
      <c r="BF1180">
        <v>0</v>
      </c>
      <c r="BG1180">
        <v>0</v>
      </c>
      <c r="BH1180">
        <v>1700</v>
      </c>
      <c r="BI1180">
        <v>1</v>
      </c>
      <c r="BJ1180">
        <v>1</v>
      </c>
      <c r="BK1180">
        <v>1</v>
      </c>
      <c r="BL1180">
        <v>0</v>
      </c>
      <c r="BO1180">
        <v>0</v>
      </c>
      <c r="BP1180">
        <v>0</v>
      </c>
      <c r="BW1180" t="str">
        <f>"20:18:41.893"</f>
        <v>20:18:41.893</v>
      </c>
      <c r="BZ1180">
        <v>0</v>
      </c>
      <c r="CA1180">
        <v>2016</v>
      </c>
      <c r="CB1180">
        <v>224</v>
      </c>
      <c r="CD1180">
        <v>1</v>
      </c>
      <c r="CE1180">
        <v>0</v>
      </c>
      <c r="CF1180">
        <v>0</v>
      </c>
      <c r="CG1180">
        <v>1</v>
      </c>
      <c r="CH1180">
        <v>0</v>
      </c>
      <c r="CI1180">
        <v>0</v>
      </c>
      <c r="CJ1180">
        <v>0</v>
      </c>
      <c r="CK1180">
        <v>2</v>
      </c>
      <c r="CL1180">
        <v>0</v>
      </c>
      <c r="CM1180">
        <v>2</v>
      </c>
      <c r="CN1180">
        <v>0</v>
      </c>
      <c r="CO1180">
        <v>6</v>
      </c>
      <c r="CP1180" t="s">
        <v>119</v>
      </c>
      <c r="CQ1180">
        <v>180</v>
      </c>
      <c r="CR1180">
        <v>2</v>
      </c>
      <c r="CW1180">
        <v>8099853</v>
      </c>
      <c r="CY1180">
        <v>1</v>
      </c>
      <c r="CZ1180">
        <v>0</v>
      </c>
      <c r="DA1180">
        <v>1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0</v>
      </c>
    </row>
    <row r="1181" spans="1:113" x14ac:dyDescent="0.3">
      <c r="A1181" t="str">
        <f>"02/08/2021 20:18:39.585"</f>
        <v>02/08/2021 20:18:39.585</v>
      </c>
      <c r="C1181" t="str">
        <f t="shared" si="56"/>
        <v>FFDFD7C0</v>
      </c>
      <c r="D1181" t="s">
        <v>124</v>
      </c>
      <c r="E1181">
        <v>11</v>
      </c>
      <c r="F1181">
        <v>1011</v>
      </c>
      <c r="G1181" t="s">
        <v>590</v>
      </c>
      <c r="J1181" t="s">
        <v>125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>"20:18:41.891"</f>
        <v>20:18:41.891</v>
      </c>
      <c r="T1181" t="str">
        <f>"20:18:41.391"</f>
        <v>20:18:41.391</v>
      </c>
      <c r="U1181" t="str">
        <f t="shared" si="55"/>
        <v>AB01F4</v>
      </c>
      <c r="V1181">
        <v>0</v>
      </c>
      <c r="W1181">
        <v>0</v>
      </c>
      <c r="X1181">
        <v>2</v>
      </c>
      <c r="Z1181">
        <v>0</v>
      </c>
      <c r="AA1181">
        <v>9</v>
      </c>
      <c r="AB1181">
        <v>3</v>
      </c>
      <c r="AC1181">
        <v>0</v>
      </c>
      <c r="AD1181">
        <v>10</v>
      </c>
      <c r="AE1181">
        <v>0</v>
      </c>
      <c r="AF1181">
        <v>3</v>
      </c>
      <c r="AG1181">
        <v>2</v>
      </c>
      <c r="AH1181">
        <v>0</v>
      </c>
      <c r="AI1181" t="s">
        <v>860</v>
      </c>
      <c r="AJ1181">
        <v>39.745187999999999</v>
      </c>
      <c r="AK1181" t="s">
        <v>861</v>
      </c>
      <c r="AL1181">
        <v>-92.520204000000007</v>
      </c>
      <c r="AM1181">
        <v>100</v>
      </c>
      <c r="AN1181">
        <v>1700</v>
      </c>
      <c r="AO1181" t="s">
        <v>118</v>
      </c>
      <c r="AP1181">
        <v>29</v>
      </c>
      <c r="AQ1181">
        <v>117</v>
      </c>
      <c r="AR1181">
        <v>64</v>
      </c>
      <c r="AZ1181">
        <v>1200</v>
      </c>
      <c r="BA1181">
        <v>1</v>
      </c>
      <c r="BB1181" t="str">
        <f t="shared" si="57"/>
        <v xml:space="preserve">N8080G  </v>
      </c>
      <c r="BC1181">
        <v>1</v>
      </c>
      <c r="BE1181">
        <v>0</v>
      </c>
      <c r="BF1181">
        <v>0</v>
      </c>
      <c r="BG1181">
        <v>0</v>
      </c>
      <c r="BH1181">
        <v>1700</v>
      </c>
      <c r="BI1181">
        <v>1</v>
      </c>
      <c r="BJ1181">
        <v>1</v>
      </c>
      <c r="BK1181">
        <v>1</v>
      </c>
      <c r="BL1181">
        <v>0</v>
      </c>
      <c r="BO1181">
        <v>0</v>
      </c>
      <c r="BP1181">
        <v>0</v>
      </c>
      <c r="BW1181" t="str">
        <f>"20:18:41.893"</f>
        <v>20:18:41.893</v>
      </c>
      <c r="BZ1181">
        <v>0</v>
      </c>
      <c r="CA1181">
        <v>2016</v>
      </c>
      <c r="CB1181">
        <v>224</v>
      </c>
      <c r="CD1181">
        <v>1</v>
      </c>
      <c r="CE1181">
        <v>0</v>
      </c>
      <c r="CF1181">
        <v>0</v>
      </c>
      <c r="CG1181">
        <v>1</v>
      </c>
      <c r="CH1181">
        <v>0</v>
      </c>
      <c r="CI1181">
        <v>0</v>
      </c>
      <c r="CJ1181">
        <v>0</v>
      </c>
      <c r="CK1181">
        <v>2</v>
      </c>
      <c r="CL1181">
        <v>0</v>
      </c>
      <c r="CM1181">
        <v>2</v>
      </c>
      <c r="CN1181">
        <v>0</v>
      </c>
      <c r="CO1181">
        <v>6</v>
      </c>
      <c r="CP1181" t="s">
        <v>119</v>
      </c>
      <c r="CQ1181">
        <v>180</v>
      </c>
      <c r="CR1181">
        <v>2</v>
      </c>
      <c r="CW1181">
        <v>8099853</v>
      </c>
      <c r="CY1181">
        <v>1</v>
      </c>
      <c r="CZ1181">
        <v>0</v>
      </c>
      <c r="DA1181">
        <v>1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0</v>
      </c>
    </row>
    <row r="1182" spans="1:113" x14ac:dyDescent="0.3">
      <c r="A1182" t="str">
        <f>"02/08/2021 20:18:39.585"</f>
        <v>02/08/2021 20:18:39.585</v>
      </c>
      <c r="C1182" t="str">
        <f t="shared" si="56"/>
        <v>FFDFD7C0</v>
      </c>
      <c r="D1182" t="s">
        <v>124</v>
      </c>
      <c r="E1182">
        <v>13</v>
      </c>
      <c r="F1182">
        <v>1013</v>
      </c>
      <c r="G1182" t="s">
        <v>114</v>
      </c>
      <c r="J1182" t="s">
        <v>125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>"20:18:41.891"</f>
        <v>20:18:41.891</v>
      </c>
      <c r="T1182" t="str">
        <f>"20:18:41.391"</f>
        <v>20:18:41.391</v>
      </c>
      <c r="U1182" t="str">
        <f t="shared" si="55"/>
        <v>AB01F4</v>
      </c>
      <c r="V1182">
        <v>0</v>
      </c>
      <c r="W1182">
        <v>0</v>
      </c>
      <c r="X1182">
        <v>2</v>
      </c>
      <c r="Z1182">
        <v>0</v>
      </c>
      <c r="AA1182">
        <v>9</v>
      </c>
      <c r="AB1182">
        <v>3</v>
      </c>
      <c r="AC1182">
        <v>0</v>
      </c>
      <c r="AD1182">
        <v>10</v>
      </c>
      <c r="AE1182">
        <v>0</v>
      </c>
      <c r="AF1182">
        <v>3</v>
      </c>
      <c r="AG1182">
        <v>2</v>
      </c>
      <c r="AH1182">
        <v>0</v>
      </c>
      <c r="AI1182" t="s">
        <v>860</v>
      </c>
      <c r="AJ1182">
        <v>39.745187999999999</v>
      </c>
      <c r="AK1182" t="s">
        <v>861</v>
      </c>
      <c r="AL1182">
        <v>-92.520204000000007</v>
      </c>
      <c r="AM1182">
        <v>100</v>
      </c>
      <c r="AN1182">
        <v>1700</v>
      </c>
      <c r="AO1182" t="s">
        <v>118</v>
      </c>
      <c r="AP1182">
        <v>29</v>
      </c>
      <c r="AQ1182">
        <v>117</v>
      </c>
      <c r="AR1182">
        <v>64</v>
      </c>
      <c r="AZ1182">
        <v>1200</v>
      </c>
      <c r="BA1182">
        <v>1</v>
      </c>
      <c r="BB1182" t="str">
        <f t="shared" si="57"/>
        <v xml:space="preserve">N8080G  </v>
      </c>
      <c r="BC1182">
        <v>1</v>
      </c>
      <c r="BE1182">
        <v>0</v>
      </c>
      <c r="BF1182">
        <v>0</v>
      </c>
      <c r="BG1182">
        <v>0</v>
      </c>
      <c r="BH1182">
        <v>1700</v>
      </c>
      <c r="BI1182">
        <v>1</v>
      </c>
      <c r="BJ1182">
        <v>1</v>
      </c>
      <c r="BK1182">
        <v>1</v>
      </c>
      <c r="BL1182">
        <v>0</v>
      </c>
      <c r="BO1182">
        <v>0</v>
      </c>
      <c r="BP1182">
        <v>0</v>
      </c>
      <c r="BW1182" t="str">
        <f>"20:18:41.893"</f>
        <v>20:18:41.893</v>
      </c>
      <c r="BZ1182">
        <v>0</v>
      </c>
      <c r="CA1182">
        <v>2016</v>
      </c>
      <c r="CB1182">
        <v>224</v>
      </c>
      <c r="CD1182">
        <v>1</v>
      </c>
      <c r="CE1182">
        <v>0</v>
      </c>
      <c r="CF1182">
        <v>0</v>
      </c>
      <c r="CG1182">
        <v>1</v>
      </c>
      <c r="CH1182">
        <v>0</v>
      </c>
      <c r="CI1182">
        <v>0</v>
      </c>
      <c r="CJ1182">
        <v>0</v>
      </c>
      <c r="CK1182">
        <v>2</v>
      </c>
      <c r="CL1182">
        <v>0</v>
      </c>
      <c r="CM1182">
        <v>2</v>
      </c>
      <c r="CN1182">
        <v>0</v>
      </c>
      <c r="CO1182">
        <v>6</v>
      </c>
      <c r="CP1182" t="s">
        <v>119</v>
      </c>
      <c r="CQ1182">
        <v>180</v>
      </c>
      <c r="CR1182">
        <v>2</v>
      </c>
      <c r="CW1182">
        <v>8099853</v>
      </c>
      <c r="CY1182">
        <v>1</v>
      </c>
      <c r="CZ1182">
        <v>0</v>
      </c>
      <c r="DA1182">
        <v>1</v>
      </c>
      <c r="DB1182">
        <v>0</v>
      </c>
      <c r="DC1182">
        <v>0</v>
      </c>
      <c r="DD1182">
        <v>0</v>
      </c>
      <c r="DE1182">
        <v>0</v>
      </c>
      <c r="DF1182">
        <v>0</v>
      </c>
      <c r="DG1182">
        <v>0</v>
      </c>
      <c r="DH1182">
        <v>0</v>
      </c>
      <c r="DI1182">
        <v>0</v>
      </c>
    </row>
    <row r="1183" spans="1:113" x14ac:dyDescent="0.3">
      <c r="A1183" t="str">
        <f>"02/08/2021 20:18:43.099"</f>
        <v>02/08/2021 20:18:43.099</v>
      </c>
      <c r="C1183" t="str">
        <f t="shared" si="56"/>
        <v>FFDFD7C0</v>
      </c>
      <c r="D1183" t="s">
        <v>124</v>
      </c>
      <c r="E1183">
        <v>13</v>
      </c>
      <c r="F1183">
        <v>1013</v>
      </c>
      <c r="G1183" t="s">
        <v>114</v>
      </c>
      <c r="J1183" t="s">
        <v>125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>"20:18:45.445"</f>
        <v>20:18:45.445</v>
      </c>
      <c r="T1183" t="str">
        <f>"20:18:44.945"</f>
        <v>20:18:44.945</v>
      </c>
      <c r="U1183" t="str">
        <f t="shared" si="55"/>
        <v>AB01F4</v>
      </c>
      <c r="V1183">
        <v>0</v>
      </c>
      <c r="W1183">
        <v>0</v>
      </c>
      <c r="X1183">
        <v>2</v>
      </c>
      <c r="Z1183">
        <v>0</v>
      </c>
      <c r="AA1183">
        <v>9</v>
      </c>
      <c r="AB1183">
        <v>3</v>
      </c>
      <c r="AC1183">
        <v>0</v>
      </c>
      <c r="AD1183">
        <v>10</v>
      </c>
      <c r="AE1183">
        <v>0</v>
      </c>
      <c r="AF1183">
        <v>3</v>
      </c>
      <c r="AG1183">
        <v>2</v>
      </c>
      <c r="AH1183">
        <v>0</v>
      </c>
      <c r="AI1183" t="s">
        <v>862</v>
      </c>
      <c r="AJ1183">
        <v>39.747140000000002</v>
      </c>
      <c r="AK1183" t="s">
        <v>863</v>
      </c>
      <c r="AL1183">
        <v>-92.519603000000004</v>
      </c>
      <c r="AM1183">
        <v>100</v>
      </c>
      <c r="AN1183">
        <v>1700</v>
      </c>
      <c r="AO1183" t="s">
        <v>118</v>
      </c>
      <c r="AP1183">
        <v>27</v>
      </c>
      <c r="AQ1183">
        <v>118</v>
      </c>
      <c r="AR1183">
        <v>64</v>
      </c>
      <c r="AZ1183">
        <v>1200</v>
      </c>
      <c r="BA1183">
        <v>1</v>
      </c>
      <c r="BB1183" t="str">
        <f t="shared" si="57"/>
        <v xml:space="preserve">N8080G  </v>
      </c>
      <c r="BC1183">
        <v>1</v>
      </c>
      <c r="BE1183">
        <v>0</v>
      </c>
      <c r="BF1183">
        <v>0</v>
      </c>
      <c r="BG1183">
        <v>0</v>
      </c>
      <c r="BH1183">
        <v>1700</v>
      </c>
      <c r="BI1183">
        <v>1</v>
      </c>
      <c r="BJ1183">
        <v>1</v>
      </c>
      <c r="BK1183">
        <v>1</v>
      </c>
      <c r="BL1183">
        <v>0</v>
      </c>
      <c r="BO1183">
        <v>0</v>
      </c>
      <c r="BP1183">
        <v>0</v>
      </c>
      <c r="BW1183" t="str">
        <f>"20:18:45.447"</f>
        <v>20:18:45.447</v>
      </c>
      <c r="BZ1183">
        <v>0</v>
      </c>
      <c r="CA1183">
        <v>2016</v>
      </c>
      <c r="CB1183">
        <v>224</v>
      </c>
      <c r="CD1183">
        <v>1</v>
      </c>
      <c r="CE1183">
        <v>0</v>
      </c>
      <c r="CF1183">
        <v>0</v>
      </c>
      <c r="CG1183">
        <v>1</v>
      </c>
      <c r="CH1183">
        <v>0</v>
      </c>
      <c r="CI1183">
        <v>0</v>
      </c>
      <c r="CJ1183">
        <v>0</v>
      </c>
      <c r="CK1183">
        <v>2</v>
      </c>
      <c r="CL1183">
        <v>0</v>
      </c>
      <c r="CM1183">
        <v>2</v>
      </c>
      <c r="CN1183">
        <v>0</v>
      </c>
      <c r="CO1183">
        <v>6</v>
      </c>
      <c r="CP1183" t="s">
        <v>119</v>
      </c>
      <c r="CQ1183">
        <v>180</v>
      </c>
      <c r="CR1183">
        <v>2</v>
      </c>
      <c r="CW1183">
        <v>8102792</v>
      </c>
      <c r="CY1183">
        <v>1</v>
      </c>
      <c r="CZ1183">
        <v>0</v>
      </c>
      <c r="DA1183">
        <v>0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</row>
    <row r="1184" spans="1:113" x14ac:dyDescent="0.3">
      <c r="A1184" t="str">
        <f>"02/08/2021 20:18:43.099"</f>
        <v>02/08/2021 20:18:43.099</v>
      </c>
      <c r="C1184" t="str">
        <f t="shared" si="56"/>
        <v>FFDFD7C0</v>
      </c>
      <c r="D1184" t="s">
        <v>124</v>
      </c>
      <c r="E1184">
        <v>11</v>
      </c>
      <c r="F1184">
        <v>1011</v>
      </c>
      <c r="G1184" t="s">
        <v>590</v>
      </c>
      <c r="J1184" t="s">
        <v>125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>"20:18:45.445"</f>
        <v>20:18:45.445</v>
      </c>
      <c r="T1184" t="str">
        <f>"20:18:44.945"</f>
        <v>20:18:44.945</v>
      </c>
      <c r="U1184" t="str">
        <f t="shared" si="55"/>
        <v>AB01F4</v>
      </c>
      <c r="V1184">
        <v>0</v>
      </c>
      <c r="W1184">
        <v>0</v>
      </c>
      <c r="X1184">
        <v>2</v>
      </c>
      <c r="Z1184">
        <v>0</v>
      </c>
      <c r="AA1184">
        <v>9</v>
      </c>
      <c r="AB1184">
        <v>3</v>
      </c>
      <c r="AC1184">
        <v>0</v>
      </c>
      <c r="AD1184">
        <v>10</v>
      </c>
      <c r="AE1184">
        <v>0</v>
      </c>
      <c r="AF1184">
        <v>3</v>
      </c>
      <c r="AG1184">
        <v>2</v>
      </c>
      <c r="AH1184">
        <v>0</v>
      </c>
      <c r="AI1184" t="s">
        <v>862</v>
      </c>
      <c r="AJ1184">
        <v>39.747140000000002</v>
      </c>
      <c r="AK1184" t="s">
        <v>863</v>
      </c>
      <c r="AL1184">
        <v>-92.519603000000004</v>
      </c>
      <c r="AM1184">
        <v>100</v>
      </c>
      <c r="AN1184">
        <v>1700</v>
      </c>
      <c r="AO1184" t="s">
        <v>118</v>
      </c>
      <c r="AP1184">
        <v>27</v>
      </c>
      <c r="AQ1184">
        <v>118</v>
      </c>
      <c r="AR1184">
        <v>64</v>
      </c>
      <c r="AZ1184">
        <v>1200</v>
      </c>
      <c r="BA1184">
        <v>1</v>
      </c>
      <c r="BB1184" t="str">
        <f t="shared" si="57"/>
        <v xml:space="preserve">N8080G  </v>
      </c>
      <c r="BC1184">
        <v>1</v>
      </c>
      <c r="BE1184">
        <v>0</v>
      </c>
      <c r="BF1184">
        <v>0</v>
      </c>
      <c r="BG1184">
        <v>0</v>
      </c>
      <c r="BH1184">
        <v>1700</v>
      </c>
      <c r="BI1184">
        <v>1</v>
      </c>
      <c r="BJ1184">
        <v>1</v>
      </c>
      <c r="BK1184">
        <v>1</v>
      </c>
      <c r="BL1184">
        <v>0</v>
      </c>
      <c r="BO1184">
        <v>0</v>
      </c>
      <c r="BP1184">
        <v>0</v>
      </c>
      <c r="BW1184" t="str">
        <f>"20:18:45.447"</f>
        <v>20:18:45.447</v>
      </c>
      <c r="BZ1184">
        <v>0</v>
      </c>
      <c r="CA1184">
        <v>2016</v>
      </c>
      <c r="CB1184">
        <v>224</v>
      </c>
      <c r="CD1184">
        <v>1</v>
      </c>
      <c r="CE1184">
        <v>0</v>
      </c>
      <c r="CF1184">
        <v>0</v>
      </c>
      <c r="CG1184">
        <v>1</v>
      </c>
      <c r="CH1184">
        <v>0</v>
      </c>
      <c r="CI1184">
        <v>0</v>
      </c>
      <c r="CJ1184">
        <v>0</v>
      </c>
      <c r="CK1184">
        <v>2</v>
      </c>
      <c r="CL1184">
        <v>0</v>
      </c>
      <c r="CM1184">
        <v>2</v>
      </c>
      <c r="CN1184">
        <v>0</v>
      </c>
      <c r="CO1184">
        <v>6</v>
      </c>
      <c r="CP1184" t="s">
        <v>119</v>
      </c>
      <c r="CQ1184">
        <v>180</v>
      </c>
      <c r="CR1184">
        <v>2</v>
      </c>
      <c r="CW1184">
        <v>8102792</v>
      </c>
      <c r="CY1184">
        <v>1</v>
      </c>
      <c r="CZ1184">
        <v>0</v>
      </c>
      <c r="DA1184">
        <v>1</v>
      </c>
      <c r="DB1184">
        <v>0</v>
      </c>
      <c r="DC1184">
        <v>0</v>
      </c>
      <c r="DD1184">
        <v>0</v>
      </c>
      <c r="DE1184">
        <v>0</v>
      </c>
      <c r="DF1184">
        <v>0</v>
      </c>
      <c r="DG1184">
        <v>0</v>
      </c>
      <c r="DH1184">
        <v>0</v>
      </c>
      <c r="DI1184">
        <v>0</v>
      </c>
    </row>
    <row r="1185" spans="1:113" x14ac:dyDescent="0.3">
      <c r="A1185" t="str">
        <f>"02/08/2021 20:18:43.099"</f>
        <v>02/08/2021 20:18:43.099</v>
      </c>
      <c r="C1185" t="str">
        <f t="shared" si="56"/>
        <v>FFDFD7C0</v>
      </c>
      <c r="D1185" t="s">
        <v>124</v>
      </c>
      <c r="E1185">
        <v>12</v>
      </c>
      <c r="F1185">
        <v>1012</v>
      </c>
      <c r="G1185" t="s">
        <v>675</v>
      </c>
      <c r="J1185" t="s">
        <v>125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>"20:18:45.445"</f>
        <v>20:18:45.445</v>
      </c>
      <c r="T1185" t="str">
        <f>"20:18:44.945"</f>
        <v>20:18:44.945</v>
      </c>
      <c r="U1185" t="str">
        <f t="shared" si="55"/>
        <v>AB01F4</v>
      </c>
      <c r="V1185">
        <v>0</v>
      </c>
      <c r="W1185">
        <v>0</v>
      </c>
      <c r="X1185">
        <v>2</v>
      </c>
      <c r="Z1185">
        <v>0</v>
      </c>
      <c r="AA1185">
        <v>9</v>
      </c>
      <c r="AB1185">
        <v>3</v>
      </c>
      <c r="AC1185">
        <v>0</v>
      </c>
      <c r="AD1185">
        <v>10</v>
      </c>
      <c r="AE1185">
        <v>0</v>
      </c>
      <c r="AF1185">
        <v>3</v>
      </c>
      <c r="AG1185">
        <v>2</v>
      </c>
      <c r="AH1185">
        <v>0</v>
      </c>
      <c r="AI1185" t="s">
        <v>862</v>
      </c>
      <c r="AJ1185">
        <v>39.747140000000002</v>
      </c>
      <c r="AK1185" t="s">
        <v>863</v>
      </c>
      <c r="AL1185">
        <v>-92.519603000000004</v>
      </c>
      <c r="AM1185">
        <v>100</v>
      </c>
      <c r="AN1185">
        <v>1700</v>
      </c>
      <c r="AO1185" t="s">
        <v>118</v>
      </c>
      <c r="AP1185">
        <v>27</v>
      </c>
      <c r="AQ1185">
        <v>118</v>
      </c>
      <c r="AR1185">
        <v>64</v>
      </c>
      <c r="AZ1185">
        <v>1200</v>
      </c>
      <c r="BA1185">
        <v>1</v>
      </c>
      <c r="BB1185" t="str">
        <f t="shared" si="57"/>
        <v xml:space="preserve">N8080G  </v>
      </c>
      <c r="BC1185">
        <v>1</v>
      </c>
      <c r="BE1185">
        <v>0</v>
      </c>
      <c r="BF1185">
        <v>0</v>
      </c>
      <c r="BG1185">
        <v>0</v>
      </c>
      <c r="BH1185">
        <v>1700</v>
      </c>
      <c r="BI1185">
        <v>1</v>
      </c>
      <c r="BJ1185">
        <v>1</v>
      </c>
      <c r="BK1185">
        <v>1</v>
      </c>
      <c r="BL1185">
        <v>0</v>
      </c>
      <c r="BO1185">
        <v>0</v>
      </c>
      <c r="BP1185">
        <v>0</v>
      </c>
      <c r="BW1185" t="str">
        <f>"20:18:45.447"</f>
        <v>20:18:45.447</v>
      </c>
      <c r="BZ1185">
        <v>0</v>
      </c>
      <c r="CA1185">
        <v>2016</v>
      </c>
      <c r="CB1185">
        <v>224</v>
      </c>
      <c r="CD1185">
        <v>1</v>
      </c>
      <c r="CE1185">
        <v>0</v>
      </c>
      <c r="CF1185">
        <v>0</v>
      </c>
      <c r="CG1185">
        <v>1</v>
      </c>
      <c r="CH1185">
        <v>0</v>
      </c>
      <c r="CI1185">
        <v>0</v>
      </c>
      <c r="CJ1185">
        <v>0</v>
      </c>
      <c r="CK1185">
        <v>2</v>
      </c>
      <c r="CL1185">
        <v>0</v>
      </c>
      <c r="CM1185">
        <v>2</v>
      </c>
      <c r="CN1185">
        <v>0</v>
      </c>
      <c r="CO1185">
        <v>6</v>
      </c>
      <c r="CP1185" t="s">
        <v>119</v>
      </c>
      <c r="CQ1185">
        <v>180</v>
      </c>
      <c r="CR1185">
        <v>2</v>
      </c>
      <c r="CW1185">
        <v>8102792</v>
      </c>
      <c r="CY1185">
        <v>1</v>
      </c>
      <c r="CZ1185">
        <v>0</v>
      </c>
      <c r="DA1185">
        <v>1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0</v>
      </c>
      <c r="DH1185">
        <v>0</v>
      </c>
      <c r="DI1185">
        <v>0</v>
      </c>
    </row>
    <row r="1186" spans="1:113" x14ac:dyDescent="0.3">
      <c r="A1186" t="str">
        <f>"02/08/2021 20:18:43.099"</f>
        <v>02/08/2021 20:18:43.099</v>
      </c>
      <c r="C1186" t="str">
        <f t="shared" si="56"/>
        <v>FFDFD7C0</v>
      </c>
      <c r="D1186" t="s">
        <v>113</v>
      </c>
      <c r="E1186">
        <v>6</v>
      </c>
      <c r="H1186">
        <v>165</v>
      </c>
      <c r="I1186" t="s">
        <v>114</v>
      </c>
      <c r="J1186" t="s">
        <v>115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>"20:18:45.445"</f>
        <v>20:18:45.445</v>
      </c>
      <c r="T1186" t="str">
        <f>"20:18:44.945"</f>
        <v>20:18:44.945</v>
      </c>
      <c r="U1186" t="str">
        <f t="shared" si="55"/>
        <v>AB01F4</v>
      </c>
      <c r="V1186">
        <v>0</v>
      </c>
      <c r="W1186">
        <v>0</v>
      </c>
      <c r="X1186">
        <v>2</v>
      </c>
      <c r="Z1186">
        <v>0</v>
      </c>
      <c r="AA1186">
        <v>9</v>
      </c>
      <c r="AB1186">
        <v>3</v>
      </c>
      <c r="AC1186">
        <v>0</v>
      </c>
      <c r="AD1186">
        <v>10</v>
      </c>
      <c r="AE1186">
        <v>0</v>
      </c>
      <c r="AF1186">
        <v>3</v>
      </c>
      <c r="AG1186">
        <v>2</v>
      </c>
      <c r="AH1186">
        <v>0</v>
      </c>
      <c r="AI1186" t="s">
        <v>862</v>
      </c>
      <c r="AJ1186">
        <v>39.747140000000002</v>
      </c>
      <c r="AK1186" t="s">
        <v>863</v>
      </c>
      <c r="AL1186">
        <v>-92.519603000000004</v>
      </c>
      <c r="AM1186">
        <v>100</v>
      </c>
      <c r="AN1186">
        <v>1700</v>
      </c>
      <c r="AO1186" t="s">
        <v>118</v>
      </c>
      <c r="AP1186">
        <v>27</v>
      </c>
      <c r="AQ1186">
        <v>118</v>
      </c>
      <c r="AR1186">
        <v>64</v>
      </c>
      <c r="AZ1186">
        <v>1200</v>
      </c>
      <c r="BA1186">
        <v>1</v>
      </c>
      <c r="BB1186" t="str">
        <f t="shared" si="57"/>
        <v xml:space="preserve">N8080G  </v>
      </c>
      <c r="BC1186">
        <v>1</v>
      </c>
      <c r="BE1186">
        <v>0</v>
      </c>
      <c r="BF1186">
        <v>0</v>
      </c>
      <c r="BG1186">
        <v>0</v>
      </c>
      <c r="BH1186">
        <v>1700</v>
      </c>
      <c r="BI1186">
        <v>1</v>
      </c>
      <c r="BJ1186">
        <v>1</v>
      </c>
      <c r="BK1186">
        <v>1</v>
      </c>
      <c r="BL1186">
        <v>0</v>
      </c>
      <c r="BO1186">
        <v>0</v>
      </c>
      <c r="BP1186">
        <v>0</v>
      </c>
      <c r="BW1186" t="str">
        <f>"20:18:45.447"</f>
        <v>20:18:45.447</v>
      </c>
      <c r="BZ1186">
        <v>0</v>
      </c>
      <c r="CA1186">
        <v>2016</v>
      </c>
      <c r="CB1186">
        <v>224</v>
      </c>
      <c r="CD1186">
        <v>1</v>
      </c>
      <c r="CE1186">
        <v>0</v>
      </c>
      <c r="CF1186">
        <v>0</v>
      </c>
      <c r="CG1186">
        <v>1</v>
      </c>
      <c r="CH1186">
        <v>0</v>
      </c>
      <c r="CI1186">
        <v>0</v>
      </c>
      <c r="CJ1186">
        <v>0</v>
      </c>
      <c r="CK1186">
        <v>2</v>
      </c>
      <c r="CL1186">
        <v>0</v>
      </c>
      <c r="CM1186">
        <v>2</v>
      </c>
      <c r="CN1186">
        <v>0</v>
      </c>
      <c r="CO1186">
        <v>6</v>
      </c>
      <c r="CP1186" t="s">
        <v>119</v>
      </c>
      <c r="CQ1186">
        <v>180</v>
      </c>
      <c r="CR1186">
        <v>2</v>
      </c>
      <c r="CW1186">
        <v>8102792</v>
      </c>
      <c r="CY1186">
        <v>1</v>
      </c>
      <c r="CZ1186">
        <v>0</v>
      </c>
      <c r="DA1186">
        <v>1</v>
      </c>
      <c r="DB1186">
        <v>0</v>
      </c>
      <c r="DC1186">
        <v>0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0</v>
      </c>
    </row>
    <row r="1187" spans="1:113" x14ac:dyDescent="0.3">
      <c r="A1187" t="str">
        <f>"02/08/2021 20:18:44.503"</f>
        <v>02/08/2021 20:18:44.503</v>
      </c>
      <c r="C1187" t="str">
        <f t="shared" si="56"/>
        <v>FFDFD7C0</v>
      </c>
      <c r="D1187" t="s">
        <v>124</v>
      </c>
      <c r="E1187">
        <v>13</v>
      </c>
      <c r="F1187">
        <v>1013</v>
      </c>
      <c r="G1187" t="s">
        <v>114</v>
      </c>
      <c r="J1187" t="s">
        <v>125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>"20:18:46.797"</f>
        <v>20:18:46.797</v>
      </c>
      <c r="T1187" t="str">
        <f>"20:18:46.397"</f>
        <v>20:18:46.397</v>
      </c>
      <c r="U1187" t="str">
        <f t="shared" si="55"/>
        <v>AB01F4</v>
      </c>
      <c r="V1187">
        <v>0</v>
      </c>
      <c r="W1187">
        <v>0</v>
      </c>
      <c r="X1187">
        <v>2</v>
      </c>
      <c r="Z1187">
        <v>0</v>
      </c>
      <c r="AA1187">
        <v>9</v>
      </c>
      <c r="AB1187">
        <v>3</v>
      </c>
      <c r="AC1187">
        <v>0</v>
      </c>
      <c r="AD1187">
        <v>10</v>
      </c>
      <c r="AE1187">
        <v>0</v>
      </c>
      <c r="AF1187">
        <v>3</v>
      </c>
      <c r="AG1187">
        <v>2</v>
      </c>
      <c r="AH1187">
        <v>0</v>
      </c>
      <c r="AI1187" t="s">
        <v>864</v>
      </c>
      <c r="AJ1187">
        <v>39.747849000000002</v>
      </c>
      <c r="AK1187" t="s">
        <v>865</v>
      </c>
      <c r="AL1187">
        <v>-92.519388000000006</v>
      </c>
      <c r="AM1187">
        <v>100</v>
      </c>
      <c r="AN1187">
        <v>1700</v>
      </c>
      <c r="AO1187" t="s">
        <v>118</v>
      </c>
      <c r="AP1187">
        <v>26</v>
      </c>
      <c r="AQ1187">
        <v>118</v>
      </c>
      <c r="AR1187">
        <v>64</v>
      </c>
      <c r="AZ1187">
        <v>1200</v>
      </c>
      <c r="BA1187">
        <v>1</v>
      </c>
      <c r="BB1187" t="str">
        <f t="shared" si="57"/>
        <v xml:space="preserve">N8080G  </v>
      </c>
      <c r="BC1187">
        <v>1</v>
      </c>
      <c r="BE1187">
        <v>0</v>
      </c>
      <c r="BF1187">
        <v>0</v>
      </c>
      <c r="BG1187">
        <v>0</v>
      </c>
      <c r="BH1187">
        <v>1700</v>
      </c>
      <c r="BI1187">
        <v>1</v>
      </c>
      <c r="BJ1187">
        <v>1</v>
      </c>
      <c r="BK1187">
        <v>1</v>
      </c>
      <c r="BL1187">
        <v>0</v>
      </c>
      <c r="BO1187">
        <v>0</v>
      </c>
      <c r="BP1187">
        <v>0</v>
      </c>
      <c r="BW1187" t="str">
        <f>"20:18:46.799"</f>
        <v>20:18:46.799</v>
      </c>
      <c r="BZ1187">
        <v>0</v>
      </c>
      <c r="CA1187">
        <v>2016</v>
      </c>
      <c r="CB1187">
        <v>224</v>
      </c>
      <c r="CD1187">
        <v>1</v>
      </c>
      <c r="CE1187">
        <v>0</v>
      </c>
      <c r="CF1187">
        <v>0</v>
      </c>
      <c r="CG1187">
        <v>1</v>
      </c>
      <c r="CH1187">
        <v>0</v>
      </c>
      <c r="CI1187">
        <v>0</v>
      </c>
      <c r="CJ1187">
        <v>0</v>
      </c>
      <c r="CK1187">
        <v>2</v>
      </c>
      <c r="CL1187">
        <v>0</v>
      </c>
      <c r="CM1187">
        <v>2</v>
      </c>
      <c r="CN1187">
        <v>0</v>
      </c>
      <c r="CO1187">
        <v>6</v>
      </c>
      <c r="CP1187" t="s">
        <v>119</v>
      </c>
      <c r="CQ1187">
        <v>180</v>
      </c>
      <c r="CR1187">
        <v>2</v>
      </c>
      <c r="CW1187">
        <v>8103901</v>
      </c>
      <c r="CY1187">
        <v>1</v>
      </c>
      <c r="CZ1187">
        <v>0</v>
      </c>
      <c r="DA1187">
        <v>0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0</v>
      </c>
    </row>
    <row r="1188" spans="1:113" x14ac:dyDescent="0.3">
      <c r="A1188" t="str">
        <f>"02/08/2021 20:18:44.503"</f>
        <v>02/08/2021 20:18:44.503</v>
      </c>
      <c r="C1188" t="str">
        <f t="shared" si="56"/>
        <v>FFDFD7C0</v>
      </c>
      <c r="D1188" t="s">
        <v>124</v>
      </c>
      <c r="E1188">
        <v>11</v>
      </c>
      <c r="F1188">
        <v>1011</v>
      </c>
      <c r="G1188" t="s">
        <v>590</v>
      </c>
      <c r="J1188" t="s">
        <v>125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>"20:18:46.797"</f>
        <v>20:18:46.797</v>
      </c>
      <c r="T1188" t="str">
        <f>"20:18:46.397"</f>
        <v>20:18:46.397</v>
      </c>
      <c r="U1188" t="str">
        <f t="shared" si="55"/>
        <v>AB01F4</v>
      </c>
      <c r="V1188">
        <v>0</v>
      </c>
      <c r="W1188">
        <v>0</v>
      </c>
      <c r="X1188">
        <v>2</v>
      </c>
      <c r="Z1188">
        <v>0</v>
      </c>
      <c r="AA1188">
        <v>9</v>
      </c>
      <c r="AB1188">
        <v>3</v>
      </c>
      <c r="AC1188">
        <v>0</v>
      </c>
      <c r="AD1188">
        <v>10</v>
      </c>
      <c r="AE1188">
        <v>0</v>
      </c>
      <c r="AF1188">
        <v>3</v>
      </c>
      <c r="AG1188">
        <v>2</v>
      </c>
      <c r="AH1188">
        <v>0</v>
      </c>
      <c r="AI1188" t="s">
        <v>864</v>
      </c>
      <c r="AJ1188">
        <v>39.747849000000002</v>
      </c>
      <c r="AK1188" t="s">
        <v>865</v>
      </c>
      <c r="AL1188">
        <v>-92.519388000000006</v>
      </c>
      <c r="AM1188">
        <v>100</v>
      </c>
      <c r="AN1188">
        <v>1700</v>
      </c>
      <c r="AO1188" t="s">
        <v>118</v>
      </c>
      <c r="AP1188">
        <v>26</v>
      </c>
      <c r="AQ1188">
        <v>118</v>
      </c>
      <c r="AR1188">
        <v>64</v>
      </c>
      <c r="AZ1188">
        <v>1200</v>
      </c>
      <c r="BA1188">
        <v>1</v>
      </c>
      <c r="BB1188" t="str">
        <f t="shared" si="57"/>
        <v xml:space="preserve">N8080G  </v>
      </c>
      <c r="BC1188">
        <v>1</v>
      </c>
      <c r="BE1188">
        <v>0</v>
      </c>
      <c r="BF1188">
        <v>0</v>
      </c>
      <c r="BG1188">
        <v>0</v>
      </c>
      <c r="BH1188">
        <v>1700</v>
      </c>
      <c r="BI1188">
        <v>1</v>
      </c>
      <c r="BJ1188">
        <v>1</v>
      </c>
      <c r="BK1188">
        <v>1</v>
      </c>
      <c r="BL1188">
        <v>0</v>
      </c>
      <c r="BO1188">
        <v>0</v>
      </c>
      <c r="BP1188">
        <v>0</v>
      </c>
      <c r="BW1188" t="str">
        <f>"20:18:46.799"</f>
        <v>20:18:46.799</v>
      </c>
      <c r="BZ1188">
        <v>0</v>
      </c>
      <c r="CA1188">
        <v>2016</v>
      </c>
      <c r="CB1188">
        <v>224</v>
      </c>
      <c r="CD1188">
        <v>1</v>
      </c>
      <c r="CE1188">
        <v>0</v>
      </c>
      <c r="CF1188">
        <v>0</v>
      </c>
      <c r="CG1188">
        <v>1</v>
      </c>
      <c r="CH1188">
        <v>0</v>
      </c>
      <c r="CI1188">
        <v>0</v>
      </c>
      <c r="CJ1188">
        <v>0</v>
      </c>
      <c r="CK1188">
        <v>2</v>
      </c>
      <c r="CL1188">
        <v>0</v>
      </c>
      <c r="CM1188">
        <v>2</v>
      </c>
      <c r="CN1188">
        <v>0</v>
      </c>
      <c r="CO1188">
        <v>6</v>
      </c>
      <c r="CP1188" t="s">
        <v>119</v>
      </c>
      <c r="CQ1188">
        <v>180</v>
      </c>
      <c r="CR1188">
        <v>2</v>
      </c>
      <c r="CW1188">
        <v>8103901</v>
      </c>
      <c r="CY1188">
        <v>1</v>
      </c>
      <c r="CZ1188">
        <v>0</v>
      </c>
      <c r="DA1188">
        <v>1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</row>
    <row r="1189" spans="1:113" x14ac:dyDescent="0.3">
      <c r="A1189" t="str">
        <f>"02/08/2021 20:18:44.503"</f>
        <v>02/08/2021 20:18:44.503</v>
      </c>
      <c r="C1189" t="str">
        <f t="shared" si="56"/>
        <v>FFDFD7C0</v>
      </c>
      <c r="D1189" t="s">
        <v>124</v>
      </c>
      <c r="E1189">
        <v>12</v>
      </c>
      <c r="F1189">
        <v>1012</v>
      </c>
      <c r="G1189" t="s">
        <v>675</v>
      </c>
      <c r="J1189" t="s">
        <v>125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>"20:18:46.797"</f>
        <v>20:18:46.797</v>
      </c>
      <c r="T1189" t="str">
        <f>"20:18:46.397"</f>
        <v>20:18:46.397</v>
      </c>
      <c r="U1189" t="str">
        <f t="shared" si="55"/>
        <v>AB01F4</v>
      </c>
      <c r="V1189">
        <v>0</v>
      </c>
      <c r="W1189">
        <v>0</v>
      </c>
      <c r="X1189">
        <v>2</v>
      </c>
      <c r="Z1189">
        <v>0</v>
      </c>
      <c r="AA1189">
        <v>9</v>
      </c>
      <c r="AB1189">
        <v>3</v>
      </c>
      <c r="AC1189">
        <v>0</v>
      </c>
      <c r="AD1189">
        <v>10</v>
      </c>
      <c r="AE1189">
        <v>0</v>
      </c>
      <c r="AF1189">
        <v>3</v>
      </c>
      <c r="AG1189">
        <v>2</v>
      </c>
      <c r="AH1189">
        <v>0</v>
      </c>
      <c r="AI1189" t="s">
        <v>864</v>
      </c>
      <c r="AJ1189">
        <v>39.747849000000002</v>
      </c>
      <c r="AK1189" t="s">
        <v>865</v>
      </c>
      <c r="AL1189">
        <v>-92.519388000000006</v>
      </c>
      <c r="AM1189">
        <v>100</v>
      </c>
      <c r="AN1189">
        <v>1700</v>
      </c>
      <c r="AO1189" t="s">
        <v>118</v>
      </c>
      <c r="AP1189">
        <v>26</v>
      </c>
      <c r="AQ1189">
        <v>118</v>
      </c>
      <c r="AR1189">
        <v>64</v>
      </c>
      <c r="AZ1189">
        <v>1200</v>
      </c>
      <c r="BA1189">
        <v>1</v>
      </c>
      <c r="BB1189" t="str">
        <f t="shared" si="57"/>
        <v xml:space="preserve">N8080G  </v>
      </c>
      <c r="BC1189">
        <v>1</v>
      </c>
      <c r="BE1189">
        <v>0</v>
      </c>
      <c r="BF1189">
        <v>0</v>
      </c>
      <c r="BG1189">
        <v>0</v>
      </c>
      <c r="BH1189">
        <v>1700</v>
      </c>
      <c r="BI1189">
        <v>1</v>
      </c>
      <c r="BJ1189">
        <v>1</v>
      </c>
      <c r="BK1189">
        <v>1</v>
      </c>
      <c r="BL1189">
        <v>0</v>
      </c>
      <c r="BO1189">
        <v>0</v>
      </c>
      <c r="BP1189">
        <v>0</v>
      </c>
      <c r="BW1189" t="str">
        <f>"20:18:46.799"</f>
        <v>20:18:46.799</v>
      </c>
      <c r="BZ1189">
        <v>0</v>
      </c>
      <c r="CA1189">
        <v>2016</v>
      </c>
      <c r="CB1189">
        <v>224</v>
      </c>
      <c r="CD1189">
        <v>1</v>
      </c>
      <c r="CE1189">
        <v>0</v>
      </c>
      <c r="CF1189">
        <v>0</v>
      </c>
      <c r="CG1189">
        <v>1</v>
      </c>
      <c r="CH1189">
        <v>0</v>
      </c>
      <c r="CI1189">
        <v>0</v>
      </c>
      <c r="CJ1189">
        <v>0</v>
      </c>
      <c r="CK1189">
        <v>2</v>
      </c>
      <c r="CL1189">
        <v>0</v>
      </c>
      <c r="CM1189">
        <v>2</v>
      </c>
      <c r="CN1189">
        <v>0</v>
      </c>
      <c r="CO1189">
        <v>6</v>
      </c>
      <c r="CP1189" t="s">
        <v>119</v>
      </c>
      <c r="CQ1189">
        <v>180</v>
      </c>
      <c r="CR1189">
        <v>2</v>
      </c>
      <c r="CW1189">
        <v>8103901</v>
      </c>
      <c r="CY1189">
        <v>1</v>
      </c>
      <c r="CZ1189">
        <v>0</v>
      </c>
      <c r="DA1189">
        <v>1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</row>
    <row r="1190" spans="1:113" x14ac:dyDescent="0.3">
      <c r="A1190" t="str">
        <f>"02/08/2021 20:18:44.503"</f>
        <v>02/08/2021 20:18:44.503</v>
      </c>
      <c r="C1190" t="str">
        <f t="shared" si="56"/>
        <v>FFDFD7C0</v>
      </c>
      <c r="D1190" t="s">
        <v>113</v>
      </c>
      <c r="E1190">
        <v>6</v>
      </c>
      <c r="H1190">
        <v>165</v>
      </c>
      <c r="I1190" t="s">
        <v>114</v>
      </c>
      <c r="J1190" t="s">
        <v>115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>"20:18:46.797"</f>
        <v>20:18:46.797</v>
      </c>
      <c r="T1190" t="str">
        <f>"20:18:46.397"</f>
        <v>20:18:46.397</v>
      </c>
      <c r="U1190" t="str">
        <f t="shared" si="55"/>
        <v>AB01F4</v>
      </c>
      <c r="V1190">
        <v>0</v>
      </c>
      <c r="W1190">
        <v>0</v>
      </c>
      <c r="X1190">
        <v>2</v>
      </c>
      <c r="Z1190">
        <v>0</v>
      </c>
      <c r="AA1190">
        <v>9</v>
      </c>
      <c r="AB1190">
        <v>3</v>
      </c>
      <c r="AC1190">
        <v>0</v>
      </c>
      <c r="AD1190">
        <v>10</v>
      </c>
      <c r="AE1190">
        <v>0</v>
      </c>
      <c r="AF1190">
        <v>3</v>
      </c>
      <c r="AG1190">
        <v>2</v>
      </c>
      <c r="AH1190">
        <v>0</v>
      </c>
      <c r="AI1190" t="s">
        <v>864</v>
      </c>
      <c r="AJ1190">
        <v>39.747849000000002</v>
      </c>
      <c r="AK1190" t="s">
        <v>865</v>
      </c>
      <c r="AL1190">
        <v>-92.519388000000006</v>
      </c>
      <c r="AM1190">
        <v>100</v>
      </c>
      <c r="AN1190">
        <v>1700</v>
      </c>
      <c r="AO1190" t="s">
        <v>118</v>
      </c>
      <c r="AP1190">
        <v>26</v>
      </c>
      <c r="AQ1190">
        <v>118</v>
      </c>
      <c r="AR1190">
        <v>64</v>
      </c>
      <c r="AZ1190">
        <v>1200</v>
      </c>
      <c r="BA1190">
        <v>1</v>
      </c>
      <c r="BB1190" t="str">
        <f t="shared" si="57"/>
        <v xml:space="preserve">N8080G  </v>
      </c>
      <c r="BC1190">
        <v>1</v>
      </c>
      <c r="BE1190">
        <v>0</v>
      </c>
      <c r="BF1190">
        <v>0</v>
      </c>
      <c r="BG1190">
        <v>0</v>
      </c>
      <c r="BH1190">
        <v>1700</v>
      </c>
      <c r="BI1190">
        <v>1</v>
      </c>
      <c r="BJ1190">
        <v>1</v>
      </c>
      <c r="BK1190">
        <v>1</v>
      </c>
      <c r="BL1190">
        <v>0</v>
      </c>
      <c r="BO1190">
        <v>0</v>
      </c>
      <c r="BP1190">
        <v>0</v>
      </c>
      <c r="BW1190" t="str">
        <f>"20:18:46.799"</f>
        <v>20:18:46.799</v>
      </c>
      <c r="BZ1190">
        <v>0</v>
      </c>
      <c r="CA1190">
        <v>2016</v>
      </c>
      <c r="CB1190">
        <v>224</v>
      </c>
      <c r="CD1190">
        <v>1</v>
      </c>
      <c r="CE1190">
        <v>0</v>
      </c>
      <c r="CF1190">
        <v>0</v>
      </c>
      <c r="CG1190">
        <v>1</v>
      </c>
      <c r="CH1190">
        <v>0</v>
      </c>
      <c r="CI1190">
        <v>0</v>
      </c>
      <c r="CJ1190">
        <v>0</v>
      </c>
      <c r="CK1190">
        <v>2</v>
      </c>
      <c r="CL1190">
        <v>0</v>
      </c>
      <c r="CM1190">
        <v>2</v>
      </c>
      <c r="CN1190">
        <v>0</v>
      </c>
      <c r="CO1190">
        <v>6</v>
      </c>
      <c r="CP1190" t="s">
        <v>119</v>
      </c>
      <c r="CQ1190">
        <v>180</v>
      </c>
      <c r="CR1190">
        <v>2</v>
      </c>
      <c r="CW1190">
        <v>8103901</v>
      </c>
      <c r="CY1190">
        <v>1</v>
      </c>
      <c r="CZ1190">
        <v>0</v>
      </c>
      <c r="DA1190">
        <v>1</v>
      </c>
      <c r="DB1190">
        <v>0</v>
      </c>
      <c r="DC1190">
        <v>0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0</v>
      </c>
    </row>
    <row r="1191" spans="1:113" x14ac:dyDescent="0.3">
      <c r="A1191" t="str">
        <f>"02/08/2021 20:18:45.422"</f>
        <v>02/08/2021 20:18:45.422</v>
      </c>
      <c r="C1191" t="str">
        <f t="shared" si="56"/>
        <v>FFDFD7C0</v>
      </c>
      <c r="D1191" t="s">
        <v>124</v>
      </c>
      <c r="E1191">
        <v>11</v>
      </c>
      <c r="F1191">
        <v>1011</v>
      </c>
      <c r="G1191" t="s">
        <v>590</v>
      </c>
      <c r="J1191" t="s">
        <v>125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>"20:18:47.719"</f>
        <v>20:18:47.719</v>
      </c>
      <c r="T1191" t="str">
        <f>"20:18:47.319"</f>
        <v>20:18:47.319</v>
      </c>
      <c r="U1191" t="str">
        <f t="shared" si="55"/>
        <v>AB01F4</v>
      </c>
      <c r="V1191">
        <v>0</v>
      </c>
      <c r="W1191">
        <v>0</v>
      </c>
      <c r="X1191">
        <v>2</v>
      </c>
      <c r="Z1191">
        <v>0</v>
      </c>
      <c r="AA1191">
        <v>9</v>
      </c>
      <c r="AB1191">
        <v>3</v>
      </c>
      <c r="AC1191">
        <v>0</v>
      </c>
      <c r="AD1191">
        <v>10</v>
      </c>
      <c r="AE1191">
        <v>0</v>
      </c>
      <c r="AF1191">
        <v>3</v>
      </c>
      <c r="AG1191">
        <v>2</v>
      </c>
      <c r="AH1191">
        <v>0</v>
      </c>
      <c r="AI1191" t="s">
        <v>866</v>
      </c>
      <c r="AJ1191">
        <v>39.748406000000003</v>
      </c>
      <c r="AK1191" t="s">
        <v>867</v>
      </c>
      <c r="AL1191">
        <v>-92.519281000000007</v>
      </c>
      <c r="AM1191">
        <v>100</v>
      </c>
      <c r="AN1191">
        <v>1700</v>
      </c>
      <c r="AO1191" t="s">
        <v>118</v>
      </c>
      <c r="AP1191">
        <v>25</v>
      </c>
      <c r="AQ1191">
        <v>118</v>
      </c>
      <c r="AR1191">
        <v>0</v>
      </c>
      <c r="AZ1191">
        <v>1200</v>
      </c>
      <c r="BA1191">
        <v>1</v>
      </c>
      <c r="BB1191" t="str">
        <f t="shared" si="57"/>
        <v xml:space="preserve">N8080G  </v>
      </c>
      <c r="BC1191">
        <v>1</v>
      </c>
      <c r="BE1191">
        <v>0</v>
      </c>
      <c r="BF1191">
        <v>0</v>
      </c>
      <c r="BG1191">
        <v>0</v>
      </c>
      <c r="BH1191">
        <v>1700</v>
      </c>
      <c r="BI1191">
        <v>1</v>
      </c>
      <c r="BJ1191">
        <v>1</v>
      </c>
      <c r="BK1191">
        <v>1</v>
      </c>
      <c r="BL1191">
        <v>0</v>
      </c>
      <c r="BO1191">
        <v>0</v>
      </c>
      <c r="BP1191">
        <v>0</v>
      </c>
      <c r="BW1191" t="str">
        <f>"20:18:47.726"</f>
        <v>20:18:47.726</v>
      </c>
      <c r="BZ1191">
        <v>0</v>
      </c>
      <c r="CA1191">
        <v>2016</v>
      </c>
      <c r="CB1191">
        <v>224</v>
      </c>
      <c r="CD1191">
        <v>1</v>
      </c>
      <c r="CE1191">
        <v>0</v>
      </c>
      <c r="CF1191">
        <v>0</v>
      </c>
      <c r="CG1191">
        <v>1</v>
      </c>
      <c r="CH1191">
        <v>0</v>
      </c>
      <c r="CI1191">
        <v>0</v>
      </c>
      <c r="CJ1191">
        <v>0</v>
      </c>
      <c r="CK1191">
        <v>2</v>
      </c>
      <c r="CL1191">
        <v>0</v>
      </c>
      <c r="CM1191">
        <v>2</v>
      </c>
      <c r="CN1191">
        <v>0</v>
      </c>
      <c r="CO1191">
        <v>7</v>
      </c>
      <c r="CP1191" t="s">
        <v>119</v>
      </c>
      <c r="CQ1191">
        <v>180</v>
      </c>
      <c r="CR1191">
        <v>2</v>
      </c>
      <c r="CW1191">
        <v>8104701</v>
      </c>
      <c r="CY1191">
        <v>1</v>
      </c>
      <c r="CZ1191">
        <v>0</v>
      </c>
      <c r="DA1191">
        <v>0</v>
      </c>
      <c r="DB1191">
        <v>0</v>
      </c>
      <c r="DC1191">
        <v>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0</v>
      </c>
    </row>
    <row r="1192" spans="1:113" x14ac:dyDescent="0.3">
      <c r="A1192" t="str">
        <f>"02/08/2021 20:18:45.422"</f>
        <v>02/08/2021 20:18:45.422</v>
      </c>
      <c r="C1192" t="str">
        <f t="shared" si="56"/>
        <v>FFDFD7C0</v>
      </c>
      <c r="D1192" t="s">
        <v>124</v>
      </c>
      <c r="E1192">
        <v>12</v>
      </c>
      <c r="F1192">
        <v>1012</v>
      </c>
      <c r="G1192" t="s">
        <v>675</v>
      </c>
      <c r="J1192" t="s">
        <v>125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>"20:18:47.719"</f>
        <v>20:18:47.719</v>
      </c>
      <c r="T1192" t="str">
        <f>"20:18:47.319"</f>
        <v>20:18:47.319</v>
      </c>
      <c r="U1192" t="str">
        <f t="shared" si="55"/>
        <v>AB01F4</v>
      </c>
      <c r="V1192">
        <v>0</v>
      </c>
      <c r="W1192">
        <v>0</v>
      </c>
      <c r="X1192">
        <v>2</v>
      </c>
      <c r="Z1192">
        <v>0</v>
      </c>
      <c r="AA1192">
        <v>9</v>
      </c>
      <c r="AB1192">
        <v>3</v>
      </c>
      <c r="AC1192">
        <v>0</v>
      </c>
      <c r="AD1192">
        <v>10</v>
      </c>
      <c r="AE1192">
        <v>0</v>
      </c>
      <c r="AF1192">
        <v>3</v>
      </c>
      <c r="AG1192">
        <v>2</v>
      </c>
      <c r="AH1192">
        <v>0</v>
      </c>
      <c r="AI1192" t="s">
        <v>866</v>
      </c>
      <c r="AJ1192">
        <v>39.748406000000003</v>
      </c>
      <c r="AK1192" t="s">
        <v>867</v>
      </c>
      <c r="AL1192">
        <v>-92.519281000000007</v>
      </c>
      <c r="AM1192">
        <v>100</v>
      </c>
      <c r="AN1192">
        <v>1700</v>
      </c>
      <c r="AO1192" t="s">
        <v>118</v>
      </c>
      <c r="AP1192">
        <v>25</v>
      </c>
      <c r="AQ1192">
        <v>118</v>
      </c>
      <c r="AR1192">
        <v>0</v>
      </c>
      <c r="AZ1192">
        <v>1200</v>
      </c>
      <c r="BA1192">
        <v>1</v>
      </c>
      <c r="BB1192" t="str">
        <f t="shared" si="57"/>
        <v xml:space="preserve">N8080G  </v>
      </c>
      <c r="BC1192">
        <v>1</v>
      </c>
      <c r="BE1192">
        <v>0</v>
      </c>
      <c r="BF1192">
        <v>0</v>
      </c>
      <c r="BG1192">
        <v>0</v>
      </c>
      <c r="BH1192">
        <v>1700</v>
      </c>
      <c r="BI1192">
        <v>1</v>
      </c>
      <c r="BJ1192">
        <v>1</v>
      </c>
      <c r="BK1192">
        <v>1</v>
      </c>
      <c r="BL1192">
        <v>0</v>
      </c>
      <c r="BO1192">
        <v>0</v>
      </c>
      <c r="BP1192">
        <v>0</v>
      </c>
      <c r="BW1192" t="str">
        <f>"20:18:47.726"</f>
        <v>20:18:47.726</v>
      </c>
      <c r="BZ1192">
        <v>0</v>
      </c>
      <c r="CA1192">
        <v>2016</v>
      </c>
      <c r="CB1192">
        <v>224</v>
      </c>
      <c r="CD1192">
        <v>1</v>
      </c>
      <c r="CE1192">
        <v>0</v>
      </c>
      <c r="CF1192">
        <v>0</v>
      </c>
      <c r="CG1192">
        <v>1</v>
      </c>
      <c r="CH1192">
        <v>0</v>
      </c>
      <c r="CI1192">
        <v>0</v>
      </c>
      <c r="CJ1192">
        <v>0</v>
      </c>
      <c r="CK1192">
        <v>2</v>
      </c>
      <c r="CL1192">
        <v>0</v>
      </c>
      <c r="CM1192">
        <v>2</v>
      </c>
      <c r="CN1192">
        <v>0</v>
      </c>
      <c r="CO1192">
        <v>7</v>
      </c>
      <c r="CP1192" t="s">
        <v>119</v>
      </c>
      <c r="CQ1192">
        <v>180</v>
      </c>
      <c r="CR1192">
        <v>2</v>
      </c>
      <c r="CW1192">
        <v>8104701</v>
      </c>
      <c r="CY1192">
        <v>1</v>
      </c>
      <c r="CZ1192">
        <v>0</v>
      </c>
      <c r="DA1192">
        <v>1</v>
      </c>
      <c r="DB1192">
        <v>0</v>
      </c>
      <c r="DC1192">
        <v>0</v>
      </c>
      <c r="DD1192">
        <v>0</v>
      </c>
      <c r="DE1192">
        <v>0</v>
      </c>
      <c r="DF1192">
        <v>0</v>
      </c>
      <c r="DG1192">
        <v>0</v>
      </c>
      <c r="DH1192">
        <v>0</v>
      </c>
      <c r="DI1192">
        <v>0</v>
      </c>
    </row>
    <row r="1193" spans="1:113" x14ac:dyDescent="0.3">
      <c r="A1193" t="str">
        <f>"02/08/2021 20:18:45.422"</f>
        <v>02/08/2021 20:18:45.422</v>
      </c>
      <c r="C1193" t="str">
        <f t="shared" si="56"/>
        <v>FFDFD7C0</v>
      </c>
      <c r="D1193" t="s">
        <v>113</v>
      </c>
      <c r="E1193">
        <v>6</v>
      </c>
      <c r="H1193">
        <v>165</v>
      </c>
      <c r="I1193" t="s">
        <v>114</v>
      </c>
      <c r="J1193" t="s">
        <v>115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>"20:18:47.719"</f>
        <v>20:18:47.719</v>
      </c>
      <c r="T1193" t="str">
        <f>"20:18:47.319"</f>
        <v>20:18:47.319</v>
      </c>
      <c r="U1193" t="str">
        <f t="shared" si="55"/>
        <v>AB01F4</v>
      </c>
      <c r="V1193">
        <v>0</v>
      </c>
      <c r="W1193">
        <v>0</v>
      </c>
      <c r="X1193">
        <v>2</v>
      </c>
      <c r="Z1193">
        <v>0</v>
      </c>
      <c r="AA1193">
        <v>9</v>
      </c>
      <c r="AB1193">
        <v>3</v>
      </c>
      <c r="AC1193">
        <v>0</v>
      </c>
      <c r="AD1193">
        <v>10</v>
      </c>
      <c r="AE1193">
        <v>0</v>
      </c>
      <c r="AF1193">
        <v>3</v>
      </c>
      <c r="AG1193">
        <v>2</v>
      </c>
      <c r="AH1193">
        <v>0</v>
      </c>
      <c r="AI1193" t="s">
        <v>866</v>
      </c>
      <c r="AJ1193">
        <v>39.748406000000003</v>
      </c>
      <c r="AK1193" t="s">
        <v>867</v>
      </c>
      <c r="AL1193">
        <v>-92.519281000000007</v>
      </c>
      <c r="AM1193">
        <v>100</v>
      </c>
      <c r="AN1193">
        <v>1700</v>
      </c>
      <c r="AO1193" t="s">
        <v>118</v>
      </c>
      <c r="AP1193">
        <v>25</v>
      </c>
      <c r="AQ1193">
        <v>118</v>
      </c>
      <c r="AR1193">
        <v>0</v>
      </c>
      <c r="AZ1193">
        <v>1200</v>
      </c>
      <c r="BA1193">
        <v>1</v>
      </c>
      <c r="BB1193" t="str">
        <f t="shared" si="57"/>
        <v xml:space="preserve">N8080G  </v>
      </c>
      <c r="BC1193">
        <v>1</v>
      </c>
      <c r="BE1193">
        <v>0</v>
      </c>
      <c r="BF1193">
        <v>0</v>
      </c>
      <c r="BG1193">
        <v>0</v>
      </c>
      <c r="BH1193">
        <v>1700</v>
      </c>
      <c r="BI1193">
        <v>1</v>
      </c>
      <c r="BJ1193">
        <v>1</v>
      </c>
      <c r="BK1193">
        <v>1</v>
      </c>
      <c r="BL1193">
        <v>0</v>
      </c>
      <c r="BO1193">
        <v>0</v>
      </c>
      <c r="BP1193">
        <v>0</v>
      </c>
      <c r="BW1193" t="str">
        <f>"20:18:47.726"</f>
        <v>20:18:47.726</v>
      </c>
      <c r="BZ1193">
        <v>0</v>
      </c>
      <c r="CA1193">
        <v>2016</v>
      </c>
      <c r="CB1193">
        <v>224</v>
      </c>
      <c r="CD1193">
        <v>1</v>
      </c>
      <c r="CE1193">
        <v>0</v>
      </c>
      <c r="CF1193">
        <v>0</v>
      </c>
      <c r="CG1193">
        <v>1</v>
      </c>
      <c r="CH1193">
        <v>0</v>
      </c>
      <c r="CI1193">
        <v>0</v>
      </c>
      <c r="CJ1193">
        <v>0</v>
      </c>
      <c r="CK1193">
        <v>2</v>
      </c>
      <c r="CL1193">
        <v>0</v>
      </c>
      <c r="CM1193">
        <v>2</v>
      </c>
      <c r="CN1193">
        <v>0</v>
      </c>
      <c r="CO1193">
        <v>7</v>
      </c>
      <c r="CP1193" t="s">
        <v>119</v>
      </c>
      <c r="CQ1193">
        <v>180</v>
      </c>
      <c r="CR1193">
        <v>2</v>
      </c>
      <c r="CW1193">
        <v>8104701</v>
      </c>
      <c r="CY1193">
        <v>1</v>
      </c>
      <c r="CZ1193">
        <v>0</v>
      </c>
      <c r="DA1193">
        <v>1</v>
      </c>
      <c r="DB1193">
        <v>0</v>
      </c>
      <c r="DC1193">
        <v>0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0</v>
      </c>
    </row>
    <row r="1194" spans="1:113" x14ac:dyDescent="0.3">
      <c r="A1194" t="str">
        <f>"02/08/2021 20:18:45.422"</f>
        <v>02/08/2021 20:18:45.422</v>
      </c>
      <c r="C1194" t="str">
        <f t="shared" si="56"/>
        <v>FFDFD7C0</v>
      </c>
      <c r="D1194" t="s">
        <v>124</v>
      </c>
      <c r="E1194">
        <v>13</v>
      </c>
      <c r="F1194">
        <v>1013</v>
      </c>
      <c r="G1194" t="s">
        <v>114</v>
      </c>
      <c r="J1194" t="s">
        <v>125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>"20:18:47.719"</f>
        <v>20:18:47.719</v>
      </c>
      <c r="T1194" t="str">
        <f>"20:18:47.319"</f>
        <v>20:18:47.319</v>
      </c>
      <c r="U1194" t="str">
        <f t="shared" si="55"/>
        <v>AB01F4</v>
      </c>
      <c r="V1194">
        <v>0</v>
      </c>
      <c r="W1194">
        <v>0</v>
      </c>
      <c r="X1194">
        <v>2</v>
      </c>
      <c r="Z1194">
        <v>0</v>
      </c>
      <c r="AA1194">
        <v>9</v>
      </c>
      <c r="AB1194">
        <v>3</v>
      </c>
      <c r="AC1194">
        <v>0</v>
      </c>
      <c r="AD1194">
        <v>10</v>
      </c>
      <c r="AE1194">
        <v>0</v>
      </c>
      <c r="AF1194">
        <v>3</v>
      </c>
      <c r="AG1194">
        <v>2</v>
      </c>
      <c r="AH1194">
        <v>0</v>
      </c>
      <c r="AI1194" t="s">
        <v>866</v>
      </c>
      <c r="AJ1194">
        <v>39.748406000000003</v>
      </c>
      <c r="AK1194" t="s">
        <v>867</v>
      </c>
      <c r="AL1194">
        <v>-92.519281000000007</v>
      </c>
      <c r="AM1194">
        <v>100</v>
      </c>
      <c r="AN1194">
        <v>1700</v>
      </c>
      <c r="AO1194" t="s">
        <v>118</v>
      </c>
      <c r="AP1194">
        <v>25</v>
      </c>
      <c r="AQ1194">
        <v>118</v>
      </c>
      <c r="AR1194">
        <v>0</v>
      </c>
      <c r="AZ1194">
        <v>1200</v>
      </c>
      <c r="BA1194">
        <v>1</v>
      </c>
      <c r="BB1194" t="str">
        <f t="shared" si="57"/>
        <v xml:space="preserve">N8080G  </v>
      </c>
      <c r="BC1194">
        <v>1</v>
      </c>
      <c r="BE1194">
        <v>0</v>
      </c>
      <c r="BF1194">
        <v>0</v>
      </c>
      <c r="BG1194">
        <v>0</v>
      </c>
      <c r="BH1194">
        <v>1700</v>
      </c>
      <c r="BI1194">
        <v>1</v>
      </c>
      <c r="BJ1194">
        <v>1</v>
      </c>
      <c r="BK1194">
        <v>1</v>
      </c>
      <c r="BL1194">
        <v>0</v>
      </c>
      <c r="BO1194">
        <v>0</v>
      </c>
      <c r="BP1194">
        <v>0</v>
      </c>
      <c r="BW1194" t="str">
        <f>"20:18:47.726"</f>
        <v>20:18:47.726</v>
      </c>
      <c r="BZ1194">
        <v>0</v>
      </c>
      <c r="CA1194">
        <v>2016</v>
      </c>
      <c r="CB1194">
        <v>224</v>
      </c>
      <c r="CD1194">
        <v>1</v>
      </c>
      <c r="CE1194">
        <v>0</v>
      </c>
      <c r="CF1194">
        <v>0</v>
      </c>
      <c r="CG1194">
        <v>1</v>
      </c>
      <c r="CH1194">
        <v>0</v>
      </c>
      <c r="CI1194">
        <v>0</v>
      </c>
      <c r="CJ1194">
        <v>0</v>
      </c>
      <c r="CK1194">
        <v>2</v>
      </c>
      <c r="CL1194">
        <v>0</v>
      </c>
      <c r="CM1194">
        <v>2</v>
      </c>
      <c r="CN1194">
        <v>0</v>
      </c>
      <c r="CO1194">
        <v>7</v>
      </c>
      <c r="CP1194" t="s">
        <v>119</v>
      </c>
      <c r="CQ1194">
        <v>180</v>
      </c>
      <c r="CR1194">
        <v>2</v>
      </c>
      <c r="CW1194">
        <v>8104701</v>
      </c>
      <c r="CY1194">
        <v>1</v>
      </c>
      <c r="CZ1194">
        <v>0</v>
      </c>
      <c r="DA1194">
        <v>1</v>
      </c>
      <c r="DB1194">
        <v>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</row>
    <row r="1195" spans="1:113" x14ac:dyDescent="0.3">
      <c r="A1195" t="str">
        <f>"02/08/2021 20:18:46.416"</f>
        <v>02/08/2021 20:18:46.416</v>
      </c>
      <c r="C1195" t="str">
        <f t="shared" si="56"/>
        <v>FFDFD7C0</v>
      </c>
      <c r="D1195" t="s">
        <v>124</v>
      </c>
      <c r="E1195">
        <v>13</v>
      </c>
      <c r="F1195">
        <v>1013</v>
      </c>
      <c r="G1195" t="s">
        <v>114</v>
      </c>
      <c r="J1195" t="s">
        <v>125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>"20:18:48.734"</f>
        <v>20:18:48.734</v>
      </c>
      <c r="T1195" t="str">
        <f>"20:18:48.334"</f>
        <v>20:18:48.334</v>
      </c>
      <c r="U1195" t="str">
        <f t="shared" si="55"/>
        <v>AB01F4</v>
      </c>
      <c r="V1195">
        <v>0</v>
      </c>
      <c r="W1195">
        <v>0</v>
      </c>
      <c r="X1195">
        <v>2</v>
      </c>
      <c r="Z1195">
        <v>0</v>
      </c>
      <c r="AA1195">
        <v>9</v>
      </c>
      <c r="AB1195">
        <v>3</v>
      </c>
      <c r="AC1195">
        <v>0</v>
      </c>
      <c r="AD1195">
        <v>10</v>
      </c>
      <c r="AE1195">
        <v>0</v>
      </c>
      <c r="AF1195">
        <v>3</v>
      </c>
      <c r="AG1195">
        <v>2</v>
      </c>
      <c r="AH1195">
        <v>0</v>
      </c>
      <c r="AI1195" t="s">
        <v>868</v>
      </c>
      <c r="AJ1195">
        <v>39.748942999999997</v>
      </c>
      <c r="AK1195" t="s">
        <v>869</v>
      </c>
      <c r="AL1195">
        <v>-92.519087999999996</v>
      </c>
      <c r="AM1195">
        <v>100</v>
      </c>
      <c r="AN1195">
        <v>1700</v>
      </c>
      <c r="AO1195" t="s">
        <v>118</v>
      </c>
      <c r="AP1195">
        <v>25</v>
      </c>
      <c r="AQ1195">
        <v>118</v>
      </c>
      <c r="AR1195">
        <v>0</v>
      </c>
      <c r="AZ1195">
        <v>1200</v>
      </c>
      <c r="BA1195">
        <v>1</v>
      </c>
      <c r="BB1195" t="str">
        <f t="shared" si="57"/>
        <v xml:space="preserve">N8080G  </v>
      </c>
      <c r="BC1195">
        <v>1</v>
      </c>
      <c r="BE1195">
        <v>0</v>
      </c>
      <c r="BF1195">
        <v>0</v>
      </c>
      <c r="BG1195">
        <v>0</v>
      </c>
      <c r="BH1195">
        <v>1700</v>
      </c>
      <c r="BI1195">
        <v>1</v>
      </c>
      <c r="BJ1195">
        <v>1</v>
      </c>
      <c r="BK1195">
        <v>1</v>
      </c>
      <c r="BL1195">
        <v>0</v>
      </c>
      <c r="BO1195">
        <v>0</v>
      </c>
      <c r="BP1195">
        <v>0</v>
      </c>
      <c r="BW1195" t="str">
        <f>"20:18:48.736"</f>
        <v>20:18:48.736</v>
      </c>
      <c r="BZ1195">
        <v>0</v>
      </c>
      <c r="CA1195">
        <v>2016</v>
      </c>
      <c r="CB1195">
        <v>224</v>
      </c>
      <c r="CD1195">
        <v>1</v>
      </c>
      <c r="CE1195">
        <v>0</v>
      </c>
      <c r="CF1195">
        <v>0</v>
      </c>
      <c r="CG1195">
        <v>1</v>
      </c>
      <c r="CH1195">
        <v>0</v>
      </c>
      <c r="CI1195">
        <v>0</v>
      </c>
      <c r="CJ1195">
        <v>0</v>
      </c>
      <c r="CK1195">
        <v>2</v>
      </c>
      <c r="CL1195">
        <v>0</v>
      </c>
      <c r="CM1195">
        <v>2</v>
      </c>
      <c r="CN1195">
        <v>0</v>
      </c>
      <c r="CO1195">
        <v>7</v>
      </c>
      <c r="CP1195" t="s">
        <v>119</v>
      </c>
      <c r="CQ1195">
        <v>180</v>
      </c>
      <c r="CR1195">
        <v>2</v>
      </c>
      <c r="CW1195">
        <v>8105497</v>
      </c>
      <c r="CY1195">
        <v>1</v>
      </c>
      <c r="CZ1195">
        <v>0</v>
      </c>
      <c r="DA1195">
        <v>0</v>
      </c>
      <c r="DB1195">
        <v>0</v>
      </c>
      <c r="DC1195">
        <v>0</v>
      </c>
      <c r="DD1195">
        <v>0</v>
      </c>
      <c r="DE1195">
        <v>0</v>
      </c>
      <c r="DF1195">
        <v>0</v>
      </c>
      <c r="DG1195">
        <v>0</v>
      </c>
      <c r="DH1195">
        <v>0</v>
      </c>
      <c r="DI1195">
        <v>0</v>
      </c>
    </row>
    <row r="1196" spans="1:113" x14ac:dyDescent="0.3">
      <c r="A1196" t="str">
        <f>"02/08/2021 20:18:46.416"</f>
        <v>02/08/2021 20:18:46.416</v>
      </c>
      <c r="C1196" t="str">
        <f t="shared" si="56"/>
        <v>FFDFD7C0</v>
      </c>
      <c r="D1196" t="s">
        <v>124</v>
      </c>
      <c r="E1196">
        <v>11</v>
      </c>
      <c r="F1196">
        <v>1011</v>
      </c>
      <c r="G1196" t="s">
        <v>590</v>
      </c>
      <c r="J1196" t="s">
        <v>125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>"20:18:48.734"</f>
        <v>20:18:48.734</v>
      </c>
      <c r="T1196" t="str">
        <f>"20:18:48.334"</f>
        <v>20:18:48.334</v>
      </c>
      <c r="U1196" t="str">
        <f t="shared" si="55"/>
        <v>AB01F4</v>
      </c>
      <c r="V1196">
        <v>0</v>
      </c>
      <c r="W1196">
        <v>0</v>
      </c>
      <c r="X1196">
        <v>2</v>
      </c>
      <c r="Z1196">
        <v>0</v>
      </c>
      <c r="AA1196">
        <v>9</v>
      </c>
      <c r="AB1196">
        <v>3</v>
      </c>
      <c r="AC1196">
        <v>0</v>
      </c>
      <c r="AD1196">
        <v>10</v>
      </c>
      <c r="AE1196">
        <v>0</v>
      </c>
      <c r="AF1196">
        <v>3</v>
      </c>
      <c r="AG1196">
        <v>2</v>
      </c>
      <c r="AH1196">
        <v>0</v>
      </c>
      <c r="AI1196" t="s">
        <v>868</v>
      </c>
      <c r="AJ1196">
        <v>39.748942999999997</v>
      </c>
      <c r="AK1196" t="s">
        <v>869</v>
      </c>
      <c r="AL1196">
        <v>-92.519087999999996</v>
      </c>
      <c r="AM1196">
        <v>100</v>
      </c>
      <c r="AN1196">
        <v>1700</v>
      </c>
      <c r="AO1196" t="s">
        <v>118</v>
      </c>
      <c r="AP1196">
        <v>25</v>
      </c>
      <c r="AQ1196">
        <v>118</v>
      </c>
      <c r="AR1196">
        <v>0</v>
      </c>
      <c r="AZ1196">
        <v>1200</v>
      </c>
      <c r="BA1196">
        <v>1</v>
      </c>
      <c r="BB1196" t="str">
        <f t="shared" si="57"/>
        <v xml:space="preserve">N8080G  </v>
      </c>
      <c r="BC1196">
        <v>1</v>
      </c>
      <c r="BE1196">
        <v>0</v>
      </c>
      <c r="BF1196">
        <v>0</v>
      </c>
      <c r="BG1196">
        <v>0</v>
      </c>
      <c r="BH1196">
        <v>1700</v>
      </c>
      <c r="BI1196">
        <v>1</v>
      </c>
      <c r="BJ1196">
        <v>1</v>
      </c>
      <c r="BK1196">
        <v>1</v>
      </c>
      <c r="BL1196">
        <v>0</v>
      </c>
      <c r="BO1196">
        <v>0</v>
      </c>
      <c r="BP1196">
        <v>0</v>
      </c>
      <c r="BW1196" t="str">
        <f>"20:18:48.736"</f>
        <v>20:18:48.736</v>
      </c>
      <c r="BZ1196">
        <v>0</v>
      </c>
      <c r="CA1196">
        <v>2016</v>
      </c>
      <c r="CB1196">
        <v>224</v>
      </c>
      <c r="CD1196">
        <v>1</v>
      </c>
      <c r="CE1196">
        <v>0</v>
      </c>
      <c r="CF1196">
        <v>0</v>
      </c>
      <c r="CG1196">
        <v>1</v>
      </c>
      <c r="CH1196">
        <v>0</v>
      </c>
      <c r="CI1196">
        <v>0</v>
      </c>
      <c r="CJ1196">
        <v>0</v>
      </c>
      <c r="CK1196">
        <v>2</v>
      </c>
      <c r="CL1196">
        <v>0</v>
      </c>
      <c r="CM1196">
        <v>2</v>
      </c>
      <c r="CN1196">
        <v>0</v>
      </c>
      <c r="CO1196">
        <v>7</v>
      </c>
      <c r="CP1196" t="s">
        <v>119</v>
      </c>
      <c r="CQ1196">
        <v>180</v>
      </c>
      <c r="CR1196">
        <v>2</v>
      </c>
      <c r="CW1196">
        <v>8105497</v>
      </c>
      <c r="CY1196">
        <v>1</v>
      </c>
      <c r="CZ1196">
        <v>0</v>
      </c>
      <c r="DA1196">
        <v>1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0</v>
      </c>
    </row>
    <row r="1197" spans="1:113" x14ac:dyDescent="0.3">
      <c r="A1197" t="str">
        <f>"02/08/2021 20:18:46.416"</f>
        <v>02/08/2021 20:18:46.416</v>
      </c>
      <c r="C1197" t="str">
        <f t="shared" si="56"/>
        <v>FFDFD7C0</v>
      </c>
      <c r="D1197" t="s">
        <v>124</v>
      </c>
      <c r="E1197">
        <v>12</v>
      </c>
      <c r="F1197">
        <v>1012</v>
      </c>
      <c r="G1197" t="s">
        <v>675</v>
      </c>
      <c r="J1197" t="s">
        <v>125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>"20:18:48.734"</f>
        <v>20:18:48.734</v>
      </c>
      <c r="T1197" t="str">
        <f>"20:18:48.334"</f>
        <v>20:18:48.334</v>
      </c>
      <c r="U1197" t="str">
        <f t="shared" si="55"/>
        <v>AB01F4</v>
      </c>
      <c r="V1197">
        <v>0</v>
      </c>
      <c r="W1197">
        <v>0</v>
      </c>
      <c r="X1197">
        <v>2</v>
      </c>
      <c r="Z1197">
        <v>0</v>
      </c>
      <c r="AA1197">
        <v>9</v>
      </c>
      <c r="AB1197">
        <v>3</v>
      </c>
      <c r="AC1197">
        <v>0</v>
      </c>
      <c r="AD1197">
        <v>10</v>
      </c>
      <c r="AE1197">
        <v>0</v>
      </c>
      <c r="AF1197">
        <v>3</v>
      </c>
      <c r="AG1197">
        <v>2</v>
      </c>
      <c r="AH1197">
        <v>0</v>
      </c>
      <c r="AI1197" t="s">
        <v>868</v>
      </c>
      <c r="AJ1197">
        <v>39.748942999999997</v>
      </c>
      <c r="AK1197" t="s">
        <v>869</v>
      </c>
      <c r="AL1197">
        <v>-92.519087999999996</v>
      </c>
      <c r="AM1197">
        <v>100</v>
      </c>
      <c r="AN1197">
        <v>1700</v>
      </c>
      <c r="AO1197" t="s">
        <v>118</v>
      </c>
      <c r="AP1197">
        <v>25</v>
      </c>
      <c r="AQ1197">
        <v>118</v>
      </c>
      <c r="AR1197">
        <v>0</v>
      </c>
      <c r="AZ1197">
        <v>1200</v>
      </c>
      <c r="BA1197">
        <v>1</v>
      </c>
      <c r="BB1197" t="str">
        <f t="shared" si="57"/>
        <v xml:space="preserve">N8080G  </v>
      </c>
      <c r="BC1197">
        <v>1</v>
      </c>
      <c r="BE1197">
        <v>0</v>
      </c>
      <c r="BF1197">
        <v>0</v>
      </c>
      <c r="BG1197">
        <v>0</v>
      </c>
      <c r="BH1197">
        <v>1700</v>
      </c>
      <c r="BI1197">
        <v>1</v>
      </c>
      <c r="BJ1197">
        <v>1</v>
      </c>
      <c r="BK1197">
        <v>1</v>
      </c>
      <c r="BL1197">
        <v>0</v>
      </c>
      <c r="BO1197">
        <v>0</v>
      </c>
      <c r="BP1197">
        <v>0</v>
      </c>
      <c r="BW1197" t="str">
        <f>"20:18:48.736"</f>
        <v>20:18:48.736</v>
      </c>
      <c r="BZ1197">
        <v>0</v>
      </c>
      <c r="CA1197">
        <v>2016</v>
      </c>
      <c r="CB1197">
        <v>224</v>
      </c>
      <c r="CD1197">
        <v>1</v>
      </c>
      <c r="CE1197">
        <v>0</v>
      </c>
      <c r="CF1197">
        <v>0</v>
      </c>
      <c r="CG1197">
        <v>1</v>
      </c>
      <c r="CH1197">
        <v>0</v>
      </c>
      <c r="CI1197">
        <v>0</v>
      </c>
      <c r="CJ1197">
        <v>0</v>
      </c>
      <c r="CK1197">
        <v>2</v>
      </c>
      <c r="CL1197">
        <v>0</v>
      </c>
      <c r="CM1197">
        <v>2</v>
      </c>
      <c r="CN1197">
        <v>0</v>
      </c>
      <c r="CO1197">
        <v>7</v>
      </c>
      <c r="CP1197" t="s">
        <v>119</v>
      </c>
      <c r="CQ1197">
        <v>180</v>
      </c>
      <c r="CR1197">
        <v>2</v>
      </c>
      <c r="CW1197">
        <v>8105497</v>
      </c>
      <c r="CY1197">
        <v>1</v>
      </c>
      <c r="CZ1197">
        <v>0</v>
      </c>
      <c r="DA1197">
        <v>1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0</v>
      </c>
      <c r="DI1197">
        <v>0</v>
      </c>
    </row>
    <row r="1198" spans="1:113" x14ac:dyDescent="0.3">
      <c r="A1198" t="str">
        <f>"02/08/2021 20:18:46.416"</f>
        <v>02/08/2021 20:18:46.416</v>
      </c>
      <c r="C1198" t="str">
        <f t="shared" si="56"/>
        <v>FFDFD7C0</v>
      </c>
      <c r="D1198" t="s">
        <v>113</v>
      </c>
      <c r="E1198">
        <v>6</v>
      </c>
      <c r="H1198">
        <v>165</v>
      </c>
      <c r="I1198" t="s">
        <v>114</v>
      </c>
      <c r="J1198" t="s">
        <v>115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>"20:18:48.734"</f>
        <v>20:18:48.734</v>
      </c>
      <c r="T1198" t="str">
        <f>"20:18:48.334"</f>
        <v>20:18:48.334</v>
      </c>
      <c r="U1198" t="str">
        <f t="shared" si="55"/>
        <v>AB01F4</v>
      </c>
      <c r="V1198">
        <v>0</v>
      </c>
      <c r="W1198">
        <v>0</v>
      </c>
      <c r="X1198">
        <v>2</v>
      </c>
      <c r="Z1198">
        <v>0</v>
      </c>
      <c r="AA1198">
        <v>9</v>
      </c>
      <c r="AB1198">
        <v>3</v>
      </c>
      <c r="AC1198">
        <v>0</v>
      </c>
      <c r="AD1198">
        <v>10</v>
      </c>
      <c r="AE1198">
        <v>0</v>
      </c>
      <c r="AF1198">
        <v>3</v>
      </c>
      <c r="AG1198">
        <v>2</v>
      </c>
      <c r="AH1198">
        <v>0</v>
      </c>
      <c r="AI1198" t="s">
        <v>868</v>
      </c>
      <c r="AJ1198">
        <v>39.748942999999997</v>
      </c>
      <c r="AK1198" t="s">
        <v>869</v>
      </c>
      <c r="AL1198">
        <v>-92.519087999999996</v>
      </c>
      <c r="AM1198">
        <v>100</v>
      </c>
      <c r="AN1198">
        <v>1700</v>
      </c>
      <c r="AO1198" t="s">
        <v>118</v>
      </c>
      <c r="AP1198">
        <v>25</v>
      </c>
      <c r="AQ1198">
        <v>118</v>
      </c>
      <c r="AR1198">
        <v>0</v>
      </c>
      <c r="AZ1198">
        <v>1200</v>
      </c>
      <c r="BA1198">
        <v>1</v>
      </c>
      <c r="BB1198" t="str">
        <f t="shared" si="57"/>
        <v xml:space="preserve">N8080G  </v>
      </c>
      <c r="BC1198">
        <v>1</v>
      </c>
      <c r="BE1198">
        <v>0</v>
      </c>
      <c r="BF1198">
        <v>0</v>
      </c>
      <c r="BG1198">
        <v>0</v>
      </c>
      <c r="BH1198">
        <v>1700</v>
      </c>
      <c r="BI1198">
        <v>1</v>
      </c>
      <c r="BJ1198">
        <v>1</v>
      </c>
      <c r="BK1198">
        <v>1</v>
      </c>
      <c r="BL1198">
        <v>0</v>
      </c>
      <c r="BO1198">
        <v>0</v>
      </c>
      <c r="BP1198">
        <v>0</v>
      </c>
      <c r="BW1198" t="str">
        <f>"20:18:48.736"</f>
        <v>20:18:48.736</v>
      </c>
      <c r="BZ1198">
        <v>0</v>
      </c>
      <c r="CA1198">
        <v>2016</v>
      </c>
      <c r="CB1198">
        <v>224</v>
      </c>
      <c r="CD1198">
        <v>1</v>
      </c>
      <c r="CE1198">
        <v>0</v>
      </c>
      <c r="CF1198">
        <v>0</v>
      </c>
      <c r="CG1198">
        <v>1</v>
      </c>
      <c r="CH1198">
        <v>0</v>
      </c>
      <c r="CI1198">
        <v>0</v>
      </c>
      <c r="CJ1198">
        <v>0</v>
      </c>
      <c r="CK1198">
        <v>2</v>
      </c>
      <c r="CL1198">
        <v>0</v>
      </c>
      <c r="CM1198">
        <v>2</v>
      </c>
      <c r="CN1198">
        <v>0</v>
      </c>
      <c r="CO1198">
        <v>7</v>
      </c>
      <c r="CP1198" t="s">
        <v>119</v>
      </c>
      <c r="CQ1198">
        <v>180</v>
      </c>
      <c r="CR1198">
        <v>2</v>
      </c>
      <c r="CW1198">
        <v>8105497</v>
      </c>
      <c r="CY1198">
        <v>1</v>
      </c>
      <c r="CZ1198">
        <v>0</v>
      </c>
      <c r="DA1198">
        <v>1</v>
      </c>
      <c r="DB1198">
        <v>0</v>
      </c>
      <c r="DC1198">
        <v>0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0</v>
      </c>
    </row>
    <row r="1199" spans="1:113" x14ac:dyDescent="0.3">
      <c r="A1199" t="str">
        <f>"02/08/2021 20:18:47.797"</f>
        <v>02/08/2021 20:18:47.797</v>
      </c>
      <c r="C1199" t="str">
        <f t="shared" si="56"/>
        <v>FFDFD7C0</v>
      </c>
      <c r="D1199" t="s">
        <v>124</v>
      </c>
      <c r="E1199">
        <v>12</v>
      </c>
      <c r="F1199">
        <v>1012</v>
      </c>
      <c r="G1199" t="s">
        <v>675</v>
      </c>
      <c r="J1199" t="s">
        <v>125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>"20:18:50.125"</f>
        <v>20:18:50.125</v>
      </c>
      <c r="T1199" t="str">
        <f>"20:18:49.625"</f>
        <v>20:18:49.625</v>
      </c>
      <c r="U1199" t="str">
        <f t="shared" si="55"/>
        <v>AB01F4</v>
      </c>
      <c r="V1199">
        <v>0</v>
      </c>
      <c r="W1199">
        <v>0</v>
      </c>
      <c r="X1199">
        <v>2</v>
      </c>
      <c r="Z1199">
        <v>0</v>
      </c>
      <c r="AA1199">
        <v>9</v>
      </c>
      <c r="AB1199">
        <v>3</v>
      </c>
      <c r="AC1199">
        <v>0</v>
      </c>
      <c r="AD1199">
        <v>10</v>
      </c>
      <c r="AE1199">
        <v>0</v>
      </c>
      <c r="AF1199">
        <v>3</v>
      </c>
      <c r="AG1199">
        <v>2</v>
      </c>
      <c r="AH1199">
        <v>0</v>
      </c>
      <c r="AI1199" t="s">
        <v>870</v>
      </c>
      <c r="AJ1199">
        <v>39.749715000000002</v>
      </c>
      <c r="AK1199" t="s">
        <v>871</v>
      </c>
      <c r="AL1199">
        <v>-92.518916000000004</v>
      </c>
      <c r="AM1199">
        <v>100</v>
      </c>
      <c r="AN1199">
        <v>1700</v>
      </c>
      <c r="AO1199" t="s">
        <v>118</v>
      </c>
      <c r="AP1199">
        <v>25</v>
      </c>
      <c r="AQ1199">
        <v>118</v>
      </c>
      <c r="AR1199">
        <v>0</v>
      </c>
      <c r="AZ1199">
        <v>1200</v>
      </c>
      <c r="BA1199">
        <v>1</v>
      </c>
      <c r="BB1199" t="str">
        <f t="shared" si="57"/>
        <v xml:space="preserve">N8080G  </v>
      </c>
      <c r="BC1199">
        <v>1</v>
      </c>
      <c r="BE1199">
        <v>0</v>
      </c>
      <c r="BF1199">
        <v>0</v>
      </c>
      <c r="BG1199">
        <v>0</v>
      </c>
      <c r="BH1199">
        <v>1700</v>
      </c>
      <c r="BI1199">
        <v>1</v>
      </c>
      <c r="BJ1199">
        <v>1</v>
      </c>
      <c r="BK1199">
        <v>1</v>
      </c>
      <c r="BL1199">
        <v>0</v>
      </c>
      <c r="BO1199">
        <v>0</v>
      </c>
      <c r="BP1199">
        <v>0</v>
      </c>
      <c r="BW1199" t="str">
        <f>"20:18:50.132"</f>
        <v>20:18:50.132</v>
      </c>
      <c r="BZ1199">
        <v>0</v>
      </c>
      <c r="CA1199">
        <v>2016</v>
      </c>
      <c r="CB1199">
        <v>224</v>
      </c>
      <c r="CD1199">
        <v>1</v>
      </c>
      <c r="CE1199">
        <v>0</v>
      </c>
      <c r="CF1199">
        <v>0</v>
      </c>
      <c r="CG1199">
        <v>1</v>
      </c>
      <c r="CH1199">
        <v>0</v>
      </c>
      <c r="CI1199">
        <v>0</v>
      </c>
      <c r="CJ1199">
        <v>0</v>
      </c>
      <c r="CK1199">
        <v>2</v>
      </c>
      <c r="CL1199">
        <v>0</v>
      </c>
      <c r="CM1199">
        <v>2</v>
      </c>
      <c r="CN1199">
        <v>0</v>
      </c>
      <c r="CO1199">
        <v>6</v>
      </c>
      <c r="CP1199" t="s">
        <v>119</v>
      </c>
      <c r="CQ1199">
        <v>180</v>
      </c>
      <c r="CR1199">
        <v>2</v>
      </c>
      <c r="CW1199">
        <v>8106657</v>
      </c>
      <c r="CY1199">
        <v>1</v>
      </c>
      <c r="CZ1199">
        <v>0</v>
      </c>
      <c r="DA1199">
        <v>0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0</v>
      </c>
      <c r="DI1199">
        <v>0</v>
      </c>
    </row>
    <row r="1200" spans="1:113" x14ac:dyDescent="0.3">
      <c r="A1200" t="str">
        <f>"02/08/2021 20:18:47.797"</f>
        <v>02/08/2021 20:18:47.797</v>
      </c>
      <c r="C1200" t="str">
        <f t="shared" si="56"/>
        <v>FFDFD7C0</v>
      </c>
      <c r="D1200" t="s">
        <v>124</v>
      </c>
      <c r="E1200">
        <v>13</v>
      </c>
      <c r="F1200">
        <v>1013</v>
      </c>
      <c r="G1200" t="s">
        <v>114</v>
      </c>
      <c r="J1200" t="s">
        <v>125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>"20:18:50.125"</f>
        <v>20:18:50.125</v>
      </c>
      <c r="T1200" t="str">
        <f>"20:18:49.625"</f>
        <v>20:18:49.625</v>
      </c>
      <c r="U1200" t="str">
        <f t="shared" si="55"/>
        <v>AB01F4</v>
      </c>
      <c r="V1200">
        <v>0</v>
      </c>
      <c r="W1200">
        <v>0</v>
      </c>
      <c r="X1200">
        <v>2</v>
      </c>
      <c r="Z1200">
        <v>0</v>
      </c>
      <c r="AA1200">
        <v>9</v>
      </c>
      <c r="AB1200">
        <v>3</v>
      </c>
      <c r="AC1200">
        <v>0</v>
      </c>
      <c r="AD1200">
        <v>10</v>
      </c>
      <c r="AE1200">
        <v>0</v>
      </c>
      <c r="AF1200">
        <v>3</v>
      </c>
      <c r="AG1200">
        <v>2</v>
      </c>
      <c r="AH1200">
        <v>0</v>
      </c>
      <c r="AI1200" t="s">
        <v>870</v>
      </c>
      <c r="AJ1200">
        <v>39.749715000000002</v>
      </c>
      <c r="AK1200" t="s">
        <v>871</v>
      </c>
      <c r="AL1200">
        <v>-92.518916000000004</v>
      </c>
      <c r="AM1200">
        <v>100</v>
      </c>
      <c r="AN1200">
        <v>1700</v>
      </c>
      <c r="AO1200" t="s">
        <v>118</v>
      </c>
      <c r="AP1200">
        <v>25</v>
      </c>
      <c r="AQ1200">
        <v>118</v>
      </c>
      <c r="AR1200">
        <v>0</v>
      </c>
      <c r="AZ1200">
        <v>1200</v>
      </c>
      <c r="BA1200">
        <v>1</v>
      </c>
      <c r="BB1200" t="str">
        <f t="shared" si="57"/>
        <v xml:space="preserve">N8080G  </v>
      </c>
      <c r="BC1200">
        <v>1</v>
      </c>
      <c r="BE1200">
        <v>0</v>
      </c>
      <c r="BF1200">
        <v>0</v>
      </c>
      <c r="BG1200">
        <v>0</v>
      </c>
      <c r="BH1200">
        <v>1700</v>
      </c>
      <c r="BI1200">
        <v>1</v>
      </c>
      <c r="BJ1200">
        <v>1</v>
      </c>
      <c r="BK1200">
        <v>1</v>
      </c>
      <c r="BL1200">
        <v>0</v>
      </c>
      <c r="BO1200">
        <v>0</v>
      </c>
      <c r="BP1200">
        <v>0</v>
      </c>
      <c r="BW1200" t="str">
        <f>"20:18:50.132"</f>
        <v>20:18:50.132</v>
      </c>
      <c r="BZ1200">
        <v>0</v>
      </c>
      <c r="CA1200">
        <v>2016</v>
      </c>
      <c r="CB1200">
        <v>224</v>
      </c>
      <c r="CD1200">
        <v>1</v>
      </c>
      <c r="CE1200">
        <v>0</v>
      </c>
      <c r="CF1200">
        <v>0</v>
      </c>
      <c r="CG1200">
        <v>1</v>
      </c>
      <c r="CH1200">
        <v>0</v>
      </c>
      <c r="CI1200">
        <v>0</v>
      </c>
      <c r="CJ1200">
        <v>0</v>
      </c>
      <c r="CK1200">
        <v>2</v>
      </c>
      <c r="CL1200">
        <v>0</v>
      </c>
      <c r="CM1200">
        <v>2</v>
      </c>
      <c r="CN1200">
        <v>0</v>
      </c>
      <c r="CO1200">
        <v>6</v>
      </c>
      <c r="CP1200" t="s">
        <v>119</v>
      </c>
      <c r="CQ1200">
        <v>180</v>
      </c>
      <c r="CR1200">
        <v>2</v>
      </c>
      <c r="CW1200">
        <v>8106657</v>
      </c>
      <c r="CY1200">
        <v>1</v>
      </c>
      <c r="CZ1200">
        <v>0</v>
      </c>
      <c r="DA1200">
        <v>1</v>
      </c>
      <c r="DB1200">
        <v>0</v>
      </c>
      <c r="DC1200">
        <v>0</v>
      </c>
      <c r="DD1200">
        <v>0</v>
      </c>
      <c r="DE1200">
        <v>0</v>
      </c>
      <c r="DF1200">
        <v>0</v>
      </c>
      <c r="DG1200">
        <v>0</v>
      </c>
      <c r="DH1200">
        <v>0</v>
      </c>
      <c r="DI1200">
        <v>0</v>
      </c>
    </row>
    <row r="1201" spans="1:113" x14ac:dyDescent="0.3">
      <c r="A1201" t="str">
        <f>"02/08/2021 20:18:47.797"</f>
        <v>02/08/2021 20:18:47.797</v>
      </c>
      <c r="C1201" t="str">
        <f t="shared" si="56"/>
        <v>FFDFD7C0</v>
      </c>
      <c r="D1201" t="s">
        <v>113</v>
      </c>
      <c r="E1201">
        <v>6</v>
      </c>
      <c r="H1201">
        <v>165</v>
      </c>
      <c r="I1201" t="s">
        <v>114</v>
      </c>
      <c r="J1201" t="s">
        <v>115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>"20:18:50.125"</f>
        <v>20:18:50.125</v>
      </c>
      <c r="T1201" t="str">
        <f>"20:18:49.625"</f>
        <v>20:18:49.625</v>
      </c>
      <c r="U1201" t="str">
        <f t="shared" si="55"/>
        <v>AB01F4</v>
      </c>
      <c r="V1201">
        <v>0</v>
      </c>
      <c r="W1201">
        <v>0</v>
      </c>
      <c r="X1201">
        <v>2</v>
      </c>
      <c r="Z1201">
        <v>0</v>
      </c>
      <c r="AA1201">
        <v>9</v>
      </c>
      <c r="AB1201">
        <v>3</v>
      </c>
      <c r="AC1201">
        <v>0</v>
      </c>
      <c r="AD1201">
        <v>10</v>
      </c>
      <c r="AE1201">
        <v>0</v>
      </c>
      <c r="AF1201">
        <v>3</v>
      </c>
      <c r="AG1201">
        <v>2</v>
      </c>
      <c r="AH1201">
        <v>0</v>
      </c>
      <c r="AI1201" t="s">
        <v>870</v>
      </c>
      <c r="AJ1201">
        <v>39.749715000000002</v>
      </c>
      <c r="AK1201" t="s">
        <v>871</v>
      </c>
      <c r="AL1201">
        <v>-92.518916000000004</v>
      </c>
      <c r="AM1201">
        <v>100</v>
      </c>
      <c r="AN1201">
        <v>1700</v>
      </c>
      <c r="AO1201" t="s">
        <v>118</v>
      </c>
      <c r="AP1201">
        <v>25</v>
      </c>
      <c r="AQ1201">
        <v>118</v>
      </c>
      <c r="AR1201">
        <v>0</v>
      </c>
      <c r="AZ1201">
        <v>1200</v>
      </c>
      <c r="BA1201">
        <v>1</v>
      </c>
      <c r="BB1201" t="str">
        <f t="shared" si="57"/>
        <v xml:space="preserve">N8080G  </v>
      </c>
      <c r="BC1201">
        <v>1</v>
      </c>
      <c r="BE1201">
        <v>0</v>
      </c>
      <c r="BF1201">
        <v>0</v>
      </c>
      <c r="BG1201">
        <v>0</v>
      </c>
      <c r="BH1201">
        <v>1700</v>
      </c>
      <c r="BI1201">
        <v>1</v>
      </c>
      <c r="BJ1201">
        <v>1</v>
      </c>
      <c r="BK1201">
        <v>1</v>
      </c>
      <c r="BL1201">
        <v>0</v>
      </c>
      <c r="BO1201">
        <v>0</v>
      </c>
      <c r="BP1201">
        <v>0</v>
      </c>
      <c r="BW1201" t="str">
        <f>"20:18:50.132"</f>
        <v>20:18:50.132</v>
      </c>
      <c r="BZ1201">
        <v>0</v>
      </c>
      <c r="CA1201">
        <v>2016</v>
      </c>
      <c r="CB1201">
        <v>224</v>
      </c>
      <c r="CD1201">
        <v>1</v>
      </c>
      <c r="CE1201">
        <v>0</v>
      </c>
      <c r="CF1201">
        <v>0</v>
      </c>
      <c r="CG1201">
        <v>1</v>
      </c>
      <c r="CH1201">
        <v>0</v>
      </c>
      <c r="CI1201">
        <v>0</v>
      </c>
      <c r="CJ1201">
        <v>0</v>
      </c>
      <c r="CK1201">
        <v>2</v>
      </c>
      <c r="CL1201">
        <v>0</v>
      </c>
      <c r="CM1201">
        <v>2</v>
      </c>
      <c r="CN1201">
        <v>0</v>
      </c>
      <c r="CO1201">
        <v>6</v>
      </c>
      <c r="CP1201" t="s">
        <v>119</v>
      </c>
      <c r="CQ1201">
        <v>180</v>
      </c>
      <c r="CR1201">
        <v>2</v>
      </c>
      <c r="CW1201">
        <v>8106657</v>
      </c>
      <c r="CY1201">
        <v>1</v>
      </c>
      <c r="CZ1201">
        <v>0</v>
      </c>
      <c r="DA1201">
        <v>1</v>
      </c>
      <c r="DB1201">
        <v>0</v>
      </c>
      <c r="DC1201">
        <v>0</v>
      </c>
      <c r="DD1201">
        <v>0</v>
      </c>
      <c r="DE1201">
        <v>0</v>
      </c>
      <c r="DF1201">
        <v>0</v>
      </c>
      <c r="DG1201">
        <v>0</v>
      </c>
      <c r="DH1201">
        <v>0</v>
      </c>
      <c r="DI1201">
        <v>0</v>
      </c>
    </row>
    <row r="1202" spans="1:113" x14ac:dyDescent="0.3">
      <c r="A1202" t="str">
        <f>"02/08/2021 20:18:47.797"</f>
        <v>02/08/2021 20:18:47.797</v>
      </c>
      <c r="C1202" t="str">
        <f t="shared" si="56"/>
        <v>FFDFD7C0</v>
      </c>
      <c r="D1202" t="s">
        <v>124</v>
      </c>
      <c r="E1202">
        <v>11</v>
      </c>
      <c r="F1202">
        <v>1011</v>
      </c>
      <c r="G1202" t="s">
        <v>590</v>
      </c>
      <c r="J1202" t="s">
        <v>125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>"20:18:50.125"</f>
        <v>20:18:50.125</v>
      </c>
      <c r="T1202" t="str">
        <f>"20:18:49.625"</f>
        <v>20:18:49.625</v>
      </c>
      <c r="U1202" t="str">
        <f t="shared" si="55"/>
        <v>AB01F4</v>
      </c>
      <c r="V1202">
        <v>0</v>
      </c>
      <c r="W1202">
        <v>0</v>
      </c>
      <c r="X1202">
        <v>2</v>
      </c>
      <c r="Z1202">
        <v>0</v>
      </c>
      <c r="AA1202">
        <v>9</v>
      </c>
      <c r="AB1202">
        <v>3</v>
      </c>
      <c r="AC1202">
        <v>0</v>
      </c>
      <c r="AD1202">
        <v>10</v>
      </c>
      <c r="AE1202">
        <v>0</v>
      </c>
      <c r="AF1202">
        <v>3</v>
      </c>
      <c r="AG1202">
        <v>2</v>
      </c>
      <c r="AH1202">
        <v>0</v>
      </c>
      <c r="AI1202" t="s">
        <v>870</v>
      </c>
      <c r="AJ1202">
        <v>39.749715000000002</v>
      </c>
      <c r="AK1202" t="s">
        <v>871</v>
      </c>
      <c r="AL1202">
        <v>-92.518916000000004</v>
      </c>
      <c r="AM1202">
        <v>100</v>
      </c>
      <c r="AN1202">
        <v>1700</v>
      </c>
      <c r="AO1202" t="s">
        <v>118</v>
      </c>
      <c r="AP1202">
        <v>25</v>
      </c>
      <c r="AQ1202">
        <v>118</v>
      </c>
      <c r="AR1202">
        <v>0</v>
      </c>
      <c r="AZ1202">
        <v>1200</v>
      </c>
      <c r="BA1202">
        <v>1</v>
      </c>
      <c r="BB1202" t="str">
        <f t="shared" si="57"/>
        <v xml:space="preserve">N8080G  </v>
      </c>
      <c r="BC1202">
        <v>1</v>
      </c>
      <c r="BE1202">
        <v>0</v>
      </c>
      <c r="BF1202">
        <v>0</v>
      </c>
      <c r="BG1202">
        <v>0</v>
      </c>
      <c r="BH1202">
        <v>1700</v>
      </c>
      <c r="BI1202">
        <v>1</v>
      </c>
      <c r="BJ1202">
        <v>1</v>
      </c>
      <c r="BK1202">
        <v>1</v>
      </c>
      <c r="BL1202">
        <v>0</v>
      </c>
      <c r="BO1202">
        <v>0</v>
      </c>
      <c r="BP1202">
        <v>0</v>
      </c>
      <c r="BW1202" t="str">
        <f>"20:18:50.132"</f>
        <v>20:18:50.132</v>
      </c>
      <c r="BZ1202">
        <v>0</v>
      </c>
      <c r="CA1202">
        <v>2016</v>
      </c>
      <c r="CB1202">
        <v>224</v>
      </c>
      <c r="CD1202">
        <v>1</v>
      </c>
      <c r="CE1202">
        <v>0</v>
      </c>
      <c r="CF1202">
        <v>0</v>
      </c>
      <c r="CG1202">
        <v>1</v>
      </c>
      <c r="CH1202">
        <v>0</v>
      </c>
      <c r="CI1202">
        <v>0</v>
      </c>
      <c r="CJ1202">
        <v>0</v>
      </c>
      <c r="CK1202">
        <v>2</v>
      </c>
      <c r="CL1202">
        <v>0</v>
      </c>
      <c r="CM1202">
        <v>2</v>
      </c>
      <c r="CN1202">
        <v>0</v>
      </c>
      <c r="CO1202">
        <v>6</v>
      </c>
      <c r="CP1202" t="s">
        <v>119</v>
      </c>
      <c r="CQ1202">
        <v>180</v>
      </c>
      <c r="CR1202">
        <v>2</v>
      </c>
      <c r="CW1202">
        <v>8106657</v>
      </c>
      <c r="CY1202">
        <v>1</v>
      </c>
      <c r="CZ1202">
        <v>0</v>
      </c>
      <c r="DA1202">
        <v>1</v>
      </c>
      <c r="DB1202">
        <v>0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0</v>
      </c>
      <c r="DI1202">
        <v>0</v>
      </c>
    </row>
    <row r="1203" spans="1:113" x14ac:dyDescent="0.3">
      <c r="A1203" t="str">
        <f>"02/08/2021 20:18:51.314"</f>
        <v>02/08/2021 20:18:51.314</v>
      </c>
      <c r="C1203" t="str">
        <f t="shared" si="56"/>
        <v>FFDFD7C0</v>
      </c>
      <c r="D1203" t="s">
        <v>113</v>
      </c>
      <c r="E1203">
        <v>6</v>
      </c>
      <c r="H1203">
        <v>165</v>
      </c>
      <c r="I1203" t="s">
        <v>114</v>
      </c>
      <c r="J1203" t="s">
        <v>115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>"20:18:53.609"</f>
        <v>20:18:53.609</v>
      </c>
      <c r="T1203" t="str">
        <f>"20:18:53.209"</f>
        <v>20:18:53.209</v>
      </c>
      <c r="U1203" t="str">
        <f t="shared" si="55"/>
        <v>AB01F4</v>
      </c>
      <c r="V1203">
        <v>0</v>
      </c>
      <c r="W1203">
        <v>0</v>
      </c>
      <c r="X1203">
        <v>2</v>
      </c>
      <c r="Z1203">
        <v>0</v>
      </c>
      <c r="AA1203">
        <v>9</v>
      </c>
      <c r="AB1203">
        <v>3</v>
      </c>
      <c r="AC1203">
        <v>0</v>
      </c>
      <c r="AD1203">
        <v>10</v>
      </c>
      <c r="AE1203">
        <v>0</v>
      </c>
      <c r="AF1203">
        <v>3</v>
      </c>
      <c r="AG1203">
        <v>2</v>
      </c>
      <c r="AH1203">
        <v>0</v>
      </c>
      <c r="AI1203" t="s">
        <v>872</v>
      </c>
      <c r="AJ1203">
        <v>39.751646999999998</v>
      </c>
      <c r="AK1203" t="s">
        <v>873</v>
      </c>
      <c r="AL1203">
        <v>-92.518379999999993</v>
      </c>
      <c r="AM1203">
        <v>100</v>
      </c>
      <c r="AN1203">
        <v>1700</v>
      </c>
      <c r="AO1203" t="s">
        <v>118</v>
      </c>
      <c r="AP1203">
        <v>24</v>
      </c>
      <c r="AQ1203">
        <v>118</v>
      </c>
      <c r="AR1203">
        <v>-64</v>
      </c>
      <c r="AZ1203">
        <v>1200</v>
      </c>
      <c r="BA1203">
        <v>1</v>
      </c>
      <c r="BB1203" t="str">
        <f t="shared" si="57"/>
        <v xml:space="preserve">N8080G  </v>
      </c>
      <c r="BC1203">
        <v>1</v>
      </c>
      <c r="BE1203">
        <v>0</v>
      </c>
      <c r="BF1203">
        <v>0</v>
      </c>
      <c r="BG1203">
        <v>0</v>
      </c>
      <c r="BH1203">
        <v>1675</v>
      </c>
      <c r="BI1203">
        <v>1</v>
      </c>
      <c r="BJ1203">
        <v>1</v>
      </c>
      <c r="BK1203">
        <v>1</v>
      </c>
      <c r="BL1203">
        <v>0</v>
      </c>
      <c r="BO1203">
        <v>0</v>
      </c>
      <c r="BP1203">
        <v>0</v>
      </c>
      <c r="BW1203" t="str">
        <f>"20:18:53.615"</f>
        <v>20:18:53.615</v>
      </c>
      <c r="BZ1203">
        <v>0</v>
      </c>
      <c r="CA1203">
        <v>2016</v>
      </c>
      <c r="CB1203">
        <v>224</v>
      </c>
      <c r="CD1203">
        <v>1</v>
      </c>
      <c r="CE1203">
        <v>0</v>
      </c>
      <c r="CF1203">
        <v>0</v>
      </c>
      <c r="CG1203">
        <v>1</v>
      </c>
      <c r="CH1203">
        <v>0</v>
      </c>
      <c r="CI1203">
        <v>0</v>
      </c>
      <c r="CJ1203">
        <v>0</v>
      </c>
      <c r="CK1203">
        <v>2</v>
      </c>
      <c r="CL1203">
        <v>0</v>
      </c>
      <c r="CM1203">
        <v>2</v>
      </c>
      <c r="CN1203">
        <v>0</v>
      </c>
      <c r="CO1203">
        <v>6</v>
      </c>
      <c r="CP1203" t="s">
        <v>119</v>
      </c>
      <c r="CQ1203">
        <v>180</v>
      </c>
      <c r="CR1203">
        <v>2</v>
      </c>
      <c r="CW1203">
        <v>8109548</v>
      </c>
      <c r="CY1203">
        <v>1</v>
      </c>
      <c r="CZ1203">
        <v>0</v>
      </c>
      <c r="DA1203">
        <v>0</v>
      </c>
      <c r="DB1203">
        <v>0</v>
      </c>
      <c r="DC1203">
        <v>0</v>
      </c>
      <c r="DD1203">
        <v>0</v>
      </c>
      <c r="DE1203">
        <v>0</v>
      </c>
      <c r="DF1203">
        <v>0</v>
      </c>
      <c r="DG1203">
        <v>0</v>
      </c>
      <c r="DH1203">
        <v>0</v>
      </c>
      <c r="DI1203">
        <v>0</v>
      </c>
    </row>
    <row r="1204" spans="1:113" x14ac:dyDescent="0.3">
      <c r="A1204" t="str">
        <f>"02/08/2021 20:18:51.314"</f>
        <v>02/08/2021 20:18:51.314</v>
      </c>
      <c r="C1204" t="str">
        <f t="shared" si="56"/>
        <v>FFDFD7C0</v>
      </c>
      <c r="D1204" t="s">
        <v>124</v>
      </c>
      <c r="E1204">
        <v>12</v>
      </c>
      <c r="F1204">
        <v>1012</v>
      </c>
      <c r="G1204" t="s">
        <v>675</v>
      </c>
      <c r="J1204" t="s">
        <v>125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>"20:18:53.609"</f>
        <v>20:18:53.609</v>
      </c>
      <c r="T1204" t="str">
        <f>"20:18:53.209"</f>
        <v>20:18:53.209</v>
      </c>
      <c r="U1204" t="str">
        <f t="shared" si="55"/>
        <v>AB01F4</v>
      </c>
      <c r="V1204">
        <v>0</v>
      </c>
      <c r="W1204">
        <v>0</v>
      </c>
      <c r="X1204">
        <v>2</v>
      </c>
      <c r="Z1204">
        <v>0</v>
      </c>
      <c r="AA1204">
        <v>9</v>
      </c>
      <c r="AB1204">
        <v>3</v>
      </c>
      <c r="AC1204">
        <v>0</v>
      </c>
      <c r="AD1204">
        <v>10</v>
      </c>
      <c r="AE1204">
        <v>0</v>
      </c>
      <c r="AF1204">
        <v>3</v>
      </c>
      <c r="AG1204">
        <v>2</v>
      </c>
      <c r="AH1204">
        <v>0</v>
      </c>
      <c r="AI1204" t="s">
        <v>872</v>
      </c>
      <c r="AJ1204">
        <v>39.751646999999998</v>
      </c>
      <c r="AK1204" t="s">
        <v>873</v>
      </c>
      <c r="AL1204">
        <v>-92.518379999999993</v>
      </c>
      <c r="AM1204">
        <v>100</v>
      </c>
      <c r="AN1204">
        <v>1700</v>
      </c>
      <c r="AO1204" t="s">
        <v>118</v>
      </c>
      <c r="AP1204">
        <v>24</v>
      </c>
      <c r="AQ1204">
        <v>118</v>
      </c>
      <c r="AR1204">
        <v>-64</v>
      </c>
      <c r="AZ1204">
        <v>1200</v>
      </c>
      <c r="BA1204">
        <v>1</v>
      </c>
      <c r="BB1204" t="str">
        <f t="shared" si="57"/>
        <v xml:space="preserve">N8080G  </v>
      </c>
      <c r="BC1204">
        <v>1</v>
      </c>
      <c r="BE1204">
        <v>0</v>
      </c>
      <c r="BF1204">
        <v>0</v>
      </c>
      <c r="BG1204">
        <v>0</v>
      </c>
      <c r="BH1204">
        <v>1675</v>
      </c>
      <c r="BI1204">
        <v>1</v>
      </c>
      <c r="BJ1204">
        <v>1</v>
      </c>
      <c r="BK1204">
        <v>1</v>
      </c>
      <c r="BL1204">
        <v>0</v>
      </c>
      <c r="BO1204">
        <v>0</v>
      </c>
      <c r="BP1204">
        <v>0</v>
      </c>
      <c r="BW1204" t="str">
        <f>"20:18:53.615"</f>
        <v>20:18:53.615</v>
      </c>
      <c r="BZ1204">
        <v>0</v>
      </c>
      <c r="CA1204">
        <v>2016</v>
      </c>
      <c r="CB1204">
        <v>224</v>
      </c>
      <c r="CD1204">
        <v>1</v>
      </c>
      <c r="CE1204">
        <v>0</v>
      </c>
      <c r="CF1204">
        <v>0</v>
      </c>
      <c r="CG1204">
        <v>1</v>
      </c>
      <c r="CH1204">
        <v>0</v>
      </c>
      <c r="CI1204">
        <v>0</v>
      </c>
      <c r="CJ1204">
        <v>0</v>
      </c>
      <c r="CK1204">
        <v>2</v>
      </c>
      <c r="CL1204">
        <v>0</v>
      </c>
      <c r="CM1204">
        <v>2</v>
      </c>
      <c r="CN1204">
        <v>0</v>
      </c>
      <c r="CO1204">
        <v>6</v>
      </c>
      <c r="CP1204" t="s">
        <v>119</v>
      </c>
      <c r="CQ1204">
        <v>180</v>
      </c>
      <c r="CR1204">
        <v>2</v>
      </c>
      <c r="CW1204">
        <v>8109548</v>
      </c>
      <c r="CY1204">
        <v>1</v>
      </c>
      <c r="CZ1204">
        <v>0</v>
      </c>
      <c r="DA1204">
        <v>1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0</v>
      </c>
    </row>
    <row r="1205" spans="1:113" x14ac:dyDescent="0.3">
      <c r="A1205" t="str">
        <f>"02/08/2021 20:18:51.314"</f>
        <v>02/08/2021 20:18:51.314</v>
      </c>
      <c r="C1205" t="str">
        <f t="shared" si="56"/>
        <v>FFDFD7C0</v>
      </c>
      <c r="D1205" t="s">
        <v>124</v>
      </c>
      <c r="E1205">
        <v>11</v>
      </c>
      <c r="F1205">
        <v>1011</v>
      </c>
      <c r="G1205" t="s">
        <v>590</v>
      </c>
      <c r="J1205" t="s">
        <v>125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>"20:18:53.609"</f>
        <v>20:18:53.609</v>
      </c>
      <c r="T1205" t="str">
        <f>"20:18:53.209"</f>
        <v>20:18:53.209</v>
      </c>
      <c r="U1205" t="str">
        <f t="shared" si="55"/>
        <v>AB01F4</v>
      </c>
      <c r="V1205">
        <v>0</v>
      </c>
      <c r="W1205">
        <v>0</v>
      </c>
      <c r="X1205">
        <v>2</v>
      </c>
      <c r="Z1205">
        <v>0</v>
      </c>
      <c r="AA1205">
        <v>9</v>
      </c>
      <c r="AB1205">
        <v>3</v>
      </c>
      <c r="AC1205">
        <v>0</v>
      </c>
      <c r="AD1205">
        <v>10</v>
      </c>
      <c r="AE1205">
        <v>0</v>
      </c>
      <c r="AF1205">
        <v>3</v>
      </c>
      <c r="AG1205">
        <v>2</v>
      </c>
      <c r="AH1205">
        <v>0</v>
      </c>
      <c r="AI1205" t="s">
        <v>872</v>
      </c>
      <c r="AJ1205">
        <v>39.751646999999998</v>
      </c>
      <c r="AK1205" t="s">
        <v>873</v>
      </c>
      <c r="AL1205">
        <v>-92.518379999999993</v>
      </c>
      <c r="AM1205">
        <v>100</v>
      </c>
      <c r="AN1205">
        <v>1700</v>
      </c>
      <c r="AO1205" t="s">
        <v>118</v>
      </c>
      <c r="AP1205">
        <v>24</v>
      </c>
      <c r="AQ1205">
        <v>118</v>
      </c>
      <c r="AR1205">
        <v>-64</v>
      </c>
      <c r="AZ1205">
        <v>1200</v>
      </c>
      <c r="BA1205">
        <v>1</v>
      </c>
      <c r="BB1205" t="str">
        <f t="shared" si="57"/>
        <v xml:space="preserve">N8080G  </v>
      </c>
      <c r="BC1205">
        <v>1</v>
      </c>
      <c r="BE1205">
        <v>0</v>
      </c>
      <c r="BF1205">
        <v>0</v>
      </c>
      <c r="BG1205">
        <v>0</v>
      </c>
      <c r="BH1205">
        <v>1675</v>
      </c>
      <c r="BI1205">
        <v>1</v>
      </c>
      <c r="BJ1205">
        <v>1</v>
      </c>
      <c r="BK1205">
        <v>1</v>
      </c>
      <c r="BL1205">
        <v>0</v>
      </c>
      <c r="BO1205">
        <v>0</v>
      </c>
      <c r="BP1205">
        <v>0</v>
      </c>
      <c r="BW1205" t="str">
        <f>"20:18:53.615"</f>
        <v>20:18:53.615</v>
      </c>
      <c r="BZ1205">
        <v>0</v>
      </c>
      <c r="CA1205">
        <v>2016</v>
      </c>
      <c r="CB1205">
        <v>224</v>
      </c>
      <c r="CD1205">
        <v>1</v>
      </c>
      <c r="CE1205">
        <v>0</v>
      </c>
      <c r="CF1205">
        <v>0</v>
      </c>
      <c r="CG1205">
        <v>1</v>
      </c>
      <c r="CH1205">
        <v>0</v>
      </c>
      <c r="CI1205">
        <v>0</v>
      </c>
      <c r="CJ1205">
        <v>0</v>
      </c>
      <c r="CK1205">
        <v>2</v>
      </c>
      <c r="CL1205">
        <v>0</v>
      </c>
      <c r="CM1205">
        <v>2</v>
      </c>
      <c r="CN1205">
        <v>0</v>
      </c>
      <c r="CO1205">
        <v>6</v>
      </c>
      <c r="CP1205" t="s">
        <v>119</v>
      </c>
      <c r="CQ1205">
        <v>180</v>
      </c>
      <c r="CR1205">
        <v>2</v>
      </c>
      <c r="CW1205">
        <v>8109548</v>
      </c>
      <c r="CY1205">
        <v>1</v>
      </c>
      <c r="CZ1205">
        <v>0</v>
      </c>
      <c r="DA1205">
        <v>1</v>
      </c>
      <c r="DB1205">
        <v>0</v>
      </c>
      <c r="DC1205">
        <v>0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0</v>
      </c>
    </row>
    <row r="1206" spans="1:113" x14ac:dyDescent="0.3">
      <c r="A1206" t="str">
        <f>"02/08/2021 20:18:51.314"</f>
        <v>02/08/2021 20:18:51.314</v>
      </c>
      <c r="C1206" t="str">
        <f t="shared" si="56"/>
        <v>FFDFD7C0</v>
      </c>
      <c r="D1206" t="s">
        <v>124</v>
      </c>
      <c r="E1206">
        <v>13</v>
      </c>
      <c r="F1206">
        <v>1013</v>
      </c>
      <c r="G1206" t="s">
        <v>114</v>
      </c>
      <c r="J1206" t="s">
        <v>125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>"20:18:53.609"</f>
        <v>20:18:53.609</v>
      </c>
      <c r="T1206" t="str">
        <f>"20:18:53.209"</f>
        <v>20:18:53.209</v>
      </c>
      <c r="U1206" t="str">
        <f t="shared" si="55"/>
        <v>AB01F4</v>
      </c>
      <c r="V1206">
        <v>0</v>
      </c>
      <c r="W1206">
        <v>0</v>
      </c>
      <c r="X1206">
        <v>2</v>
      </c>
      <c r="Z1206">
        <v>0</v>
      </c>
      <c r="AA1206">
        <v>9</v>
      </c>
      <c r="AB1206">
        <v>3</v>
      </c>
      <c r="AC1206">
        <v>0</v>
      </c>
      <c r="AD1206">
        <v>10</v>
      </c>
      <c r="AE1206">
        <v>0</v>
      </c>
      <c r="AF1206">
        <v>3</v>
      </c>
      <c r="AG1206">
        <v>2</v>
      </c>
      <c r="AH1206">
        <v>0</v>
      </c>
      <c r="AI1206" t="s">
        <v>872</v>
      </c>
      <c r="AJ1206">
        <v>39.751646999999998</v>
      </c>
      <c r="AK1206" t="s">
        <v>873</v>
      </c>
      <c r="AL1206">
        <v>-92.518379999999993</v>
      </c>
      <c r="AM1206">
        <v>100</v>
      </c>
      <c r="AN1206">
        <v>1700</v>
      </c>
      <c r="AO1206" t="s">
        <v>118</v>
      </c>
      <c r="AP1206">
        <v>24</v>
      </c>
      <c r="AQ1206">
        <v>118</v>
      </c>
      <c r="AR1206">
        <v>-64</v>
      </c>
      <c r="AZ1206">
        <v>1200</v>
      </c>
      <c r="BA1206">
        <v>1</v>
      </c>
      <c r="BB1206" t="str">
        <f t="shared" si="57"/>
        <v xml:space="preserve">N8080G  </v>
      </c>
      <c r="BC1206">
        <v>1</v>
      </c>
      <c r="BE1206">
        <v>0</v>
      </c>
      <c r="BF1206">
        <v>0</v>
      </c>
      <c r="BG1206">
        <v>0</v>
      </c>
      <c r="BH1206">
        <v>1675</v>
      </c>
      <c r="BI1206">
        <v>1</v>
      </c>
      <c r="BJ1206">
        <v>1</v>
      </c>
      <c r="BK1206">
        <v>1</v>
      </c>
      <c r="BL1206">
        <v>0</v>
      </c>
      <c r="BO1206">
        <v>0</v>
      </c>
      <c r="BP1206">
        <v>0</v>
      </c>
      <c r="BW1206" t="str">
        <f>"20:18:53.615"</f>
        <v>20:18:53.615</v>
      </c>
      <c r="BZ1206">
        <v>0</v>
      </c>
      <c r="CA1206">
        <v>2016</v>
      </c>
      <c r="CB1206">
        <v>224</v>
      </c>
      <c r="CD1206">
        <v>1</v>
      </c>
      <c r="CE1206">
        <v>0</v>
      </c>
      <c r="CF1206">
        <v>0</v>
      </c>
      <c r="CG1206">
        <v>1</v>
      </c>
      <c r="CH1206">
        <v>0</v>
      </c>
      <c r="CI1206">
        <v>0</v>
      </c>
      <c r="CJ1206">
        <v>0</v>
      </c>
      <c r="CK1206">
        <v>2</v>
      </c>
      <c r="CL1206">
        <v>0</v>
      </c>
      <c r="CM1206">
        <v>2</v>
      </c>
      <c r="CN1206">
        <v>0</v>
      </c>
      <c r="CO1206">
        <v>6</v>
      </c>
      <c r="CP1206" t="s">
        <v>119</v>
      </c>
      <c r="CQ1206">
        <v>180</v>
      </c>
      <c r="CR1206">
        <v>2</v>
      </c>
      <c r="CW1206">
        <v>8109548</v>
      </c>
      <c r="CY1206">
        <v>1</v>
      </c>
      <c r="CZ1206">
        <v>0</v>
      </c>
      <c r="DA1206">
        <v>1</v>
      </c>
      <c r="DB1206">
        <v>0</v>
      </c>
      <c r="DC1206">
        <v>0</v>
      </c>
      <c r="DD1206">
        <v>0</v>
      </c>
      <c r="DE1206">
        <v>0</v>
      </c>
      <c r="DF1206">
        <v>0</v>
      </c>
      <c r="DG1206">
        <v>0</v>
      </c>
      <c r="DH1206">
        <v>0</v>
      </c>
      <c r="DI1206">
        <v>0</v>
      </c>
    </row>
    <row r="1207" spans="1:113" x14ac:dyDescent="0.3">
      <c r="A1207" t="str">
        <f>"02/08/2021 20:18:52.447"</f>
        <v>02/08/2021 20:18:52.447</v>
      </c>
      <c r="C1207" t="str">
        <f t="shared" si="56"/>
        <v>FFDFD7C0</v>
      </c>
      <c r="D1207" t="s">
        <v>124</v>
      </c>
      <c r="E1207">
        <v>13</v>
      </c>
      <c r="F1207">
        <v>1013</v>
      </c>
      <c r="G1207" t="s">
        <v>114</v>
      </c>
      <c r="J1207" t="s">
        <v>125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>"20:18:54.750"</f>
        <v>20:18:54.750</v>
      </c>
      <c r="T1207" t="str">
        <f>"20:18:54.250"</f>
        <v>20:18:54.250</v>
      </c>
      <c r="U1207" t="str">
        <f t="shared" si="55"/>
        <v>AB01F4</v>
      </c>
      <c r="V1207">
        <v>0</v>
      </c>
      <c r="W1207">
        <v>0</v>
      </c>
      <c r="X1207">
        <v>2</v>
      </c>
      <c r="Z1207">
        <v>0</v>
      </c>
      <c r="AA1207">
        <v>9</v>
      </c>
      <c r="AB1207">
        <v>3</v>
      </c>
      <c r="AC1207">
        <v>0</v>
      </c>
      <c r="AD1207">
        <v>10</v>
      </c>
      <c r="AE1207">
        <v>0</v>
      </c>
      <c r="AF1207">
        <v>3</v>
      </c>
      <c r="AG1207">
        <v>2</v>
      </c>
      <c r="AH1207">
        <v>0</v>
      </c>
      <c r="AI1207" t="s">
        <v>874</v>
      </c>
      <c r="AJ1207">
        <v>39.752246999999997</v>
      </c>
      <c r="AK1207" t="s">
        <v>875</v>
      </c>
      <c r="AL1207">
        <v>-92.518251000000006</v>
      </c>
      <c r="AM1207">
        <v>100</v>
      </c>
      <c r="AN1207">
        <v>1700</v>
      </c>
      <c r="AO1207" t="s">
        <v>118</v>
      </c>
      <c r="AP1207">
        <v>24</v>
      </c>
      <c r="AQ1207">
        <v>118</v>
      </c>
      <c r="AR1207">
        <v>-64</v>
      </c>
      <c r="AZ1207">
        <v>1200</v>
      </c>
      <c r="BA1207">
        <v>1</v>
      </c>
      <c r="BB1207" t="str">
        <f t="shared" si="57"/>
        <v xml:space="preserve">N8080G  </v>
      </c>
      <c r="BC1207">
        <v>1</v>
      </c>
      <c r="BE1207">
        <v>0</v>
      </c>
      <c r="BF1207">
        <v>0</v>
      </c>
      <c r="BG1207">
        <v>0</v>
      </c>
      <c r="BH1207">
        <v>1675</v>
      </c>
      <c r="BI1207">
        <v>1</v>
      </c>
      <c r="BJ1207">
        <v>1</v>
      </c>
      <c r="BK1207">
        <v>1</v>
      </c>
      <c r="BL1207">
        <v>0</v>
      </c>
      <c r="BO1207">
        <v>0</v>
      </c>
      <c r="BP1207">
        <v>0</v>
      </c>
      <c r="BW1207" t="str">
        <f>"20:18:54.750"</f>
        <v>20:18:54.750</v>
      </c>
      <c r="BZ1207">
        <v>0</v>
      </c>
      <c r="CA1207">
        <v>2016</v>
      </c>
      <c r="CB1207">
        <v>224</v>
      </c>
      <c r="CD1207">
        <v>1</v>
      </c>
      <c r="CE1207">
        <v>0</v>
      </c>
      <c r="CF1207">
        <v>0</v>
      </c>
      <c r="CG1207">
        <v>1</v>
      </c>
      <c r="CH1207">
        <v>0</v>
      </c>
      <c r="CI1207">
        <v>0</v>
      </c>
      <c r="CJ1207">
        <v>0</v>
      </c>
      <c r="CK1207">
        <v>2</v>
      </c>
      <c r="CL1207">
        <v>0</v>
      </c>
      <c r="CM1207">
        <v>2</v>
      </c>
      <c r="CN1207">
        <v>0</v>
      </c>
      <c r="CO1207">
        <v>6</v>
      </c>
      <c r="CP1207" t="s">
        <v>119</v>
      </c>
      <c r="CQ1207">
        <v>180</v>
      </c>
      <c r="CR1207">
        <v>1</v>
      </c>
      <c r="CW1207">
        <v>10672833</v>
      </c>
      <c r="CY1207">
        <v>1</v>
      </c>
      <c r="CZ1207">
        <v>0</v>
      </c>
      <c r="DA1207">
        <v>0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</row>
    <row r="1208" spans="1:113" x14ac:dyDescent="0.3">
      <c r="A1208" t="str">
        <f>"02/08/2021 20:18:52.447"</f>
        <v>02/08/2021 20:18:52.447</v>
      </c>
      <c r="C1208" t="str">
        <f t="shared" si="56"/>
        <v>FFDFD7C0</v>
      </c>
      <c r="D1208" t="s">
        <v>124</v>
      </c>
      <c r="E1208">
        <v>12</v>
      </c>
      <c r="F1208">
        <v>1012</v>
      </c>
      <c r="G1208" t="s">
        <v>675</v>
      </c>
      <c r="J1208" t="s">
        <v>125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>"20:18:54.750"</f>
        <v>20:18:54.750</v>
      </c>
      <c r="T1208" t="str">
        <f>"20:18:54.250"</f>
        <v>20:18:54.250</v>
      </c>
      <c r="U1208" t="str">
        <f t="shared" si="55"/>
        <v>AB01F4</v>
      </c>
      <c r="V1208">
        <v>0</v>
      </c>
      <c r="W1208">
        <v>0</v>
      </c>
      <c r="X1208">
        <v>2</v>
      </c>
      <c r="Z1208">
        <v>0</v>
      </c>
      <c r="AA1208">
        <v>9</v>
      </c>
      <c r="AB1208">
        <v>3</v>
      </c>
      <c r="AC1208">
        <v>0</v>
      </c>
      <c r="AD1208">
        <v>10</v>
      </c>
      <c r="AE1208">
        <v>0</v>
      </c>
      <c r="AF1208">
        <v>3</v>
      </c>
      <c r="AG1208">
        <v>2</v>
      </c>
      <c r="AH1208">
        <v>0</v>
      </c>
      <c r="AI1208" t="s">
        <v>874</v>
      </c>
      <c r="AJ1208">
        <v>39.752246999999997</v>
      </c>
      <c r="AK1208" t="s">
        <v>875</v>
      </c>
      <c r="AL1208">
        <v>-92.518251000000006</v>
      </c>
      <c r="AM1208">
        <v>100</v>
      </c>
      <c r="AN1208">
        <v>1700</v>
      </c>
      <c r="AO1208" t="s">
        <v>118</v>
      </c>
      <c r="AP1208">
        <v>24</v>
      </c>
      <c r="AQ1208">
        <v>118</v>
      </c>
      <c r="AR1208">
        <v>-64</v>
      </c>
      <c r="AZ1208">
        <v>1200</v>
      </c>
      <c r="BA1208">
        <v>1</v>
      </c>
      <c r="BB1208" t="str">
        <f t="shared" si="57"/>
        <v xml:space="preserve">N8080G  </v>
      </c>
      <c r="BC1208">
        <v>1</v>
      </c>
      <c r="BE1208">
        <v>0</v>
      </c>
      <c r="BF1208">
        <v>0</v>
      </c>
      <c r="BG1208">
        <v>0</v>
      </c>
      <c r="BH1208">
        <v>1675</v>
      </c>
      <c r="BI1208">
        <v>1</v>
      </c>
      <c r="BJ1208">
        <v>1</v>
      </c>
      <c r="BK1208">
        <v>1</v>
      </c>
      <c r="BL1208">
        <v>0</v>
      </c>
      <c r="BO1208">
        <v>0</v>
      </c>
      <c r="BP1208">
        <v>0</v>
      </c>
      <c r="BW1208" t="str">
        <f>"20:18:54.750"</f>
        <v>20:18:54.750</v>
      </c>
      <c r="BZ1208">
        <v>0</v>
      </c>
      <c r="CA1208">
        <v>2016</v>
      </c>
      <c r="CB1208">
        <v>224</v>
      </c>
      <c r="CD1208">
        <v>1</v>
      </c>
      <c r="CE1208">
        <v>0</v>
      </c>
      <c r="CF1208">
        <v>0</v>
      </c>
      <c r="CG1208">
        <v>1</v>
      </c>
      <c r="CH1208">
        <v>0</v>
      </c>
      <c r="CI1208">
        <v>0</v>
      </c>
      <c r="CJ1208">
        <v>0</v>
      </c>
      <c r="CK1208">
        <v>2</v>
      </c>
      <c r="CL1208">
        <v>0</v>
      </c>
      <c r="CM1208">
        <v>2</v>
      </c>
      <c r="CN1208">
        <v>0</v>
      </c>
      <c r="CO1208">
        <v>6</v>
      </c>
      <c r="CP1208" t="s">
        <v>119</v>
      </c>
      <c r="CQ1208">
        <v>180</v>
      </c>
      <c r="CR1208">
        <v>1</v>
      </c>
      <c r="CW1208">
        <v>10672833</v>
      </c>
      <c r="CY1208">
        <v>1</v>
      </c>
      <c r="CZ1208">
        <v>0</v>
      </c>
      <c r="DA1208">
        <v>1</v>
      </c>
      <c r="DB1208">
        <v>0</v>
      </c>
      <c r="DC1208">
        <v>0</v>
      </c>
      <c r="DD1208">
        <v>0</v>
      </c>
      <c r="DE1208">
        <v>0</v>
      </c>
      <c r="DF1208">
        <v>0</v>
      </c>
      <c r="DG1208">
        <v>0</v>
      </c>
      <c r="DH1208">
        <v>0</v>
      </c>
      <c r="DI1208">
        <v>0</v>
      </c>
    </row>
    <row r="1209" spans="1:113" x14ac:dyDescent="0.3">
      <c r="A1209" t="str">
        <f>"02/08/2021 20:18:52.447"</f>
        <v>02/08/2021 20:18:52.447</v>
      </c>
      <c r="C1209" t="str">
        <f t="shared" si="56"/>
        <v>FFDFD7C0</v>
      </c>
      <c r="D1209" t="s">
        <v>113</v>
      </c>
      <c r="E1209">
        <v>6</v>
      </c>
      <c r="H1209">
        <v>165</v>
      </c>
      <c r="I1209" t="s">
        <v>114</v>
      </c>
      <c r="J1209" t="s">
        <v>115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>"20:18:54.750"</f>
        <v>20:18:54.750</v>
      </c>
      <c r="T1209" t="str">
        <f>"20:18:54.250"</f>
        <v>20:18:54.250</v>
      </c>
      <c r="U1209" t="str">
        <f t="shared" si="55"/>
        <v>AB01F4</v>
      </c>
      <c r="V1209">
        <v>0</v>
      </c>
      <c r="W1209">
        <v>0</v>
      </c>
      <c r="X1209">
        <v>2</v>
      </c>
      <c r="Z1209">
        <v>0</v>
      </c>
      <c r="AA1209">
        <v>9</v>
      </c>
      <c r="AB1209">
        <v>3</v>
      </c>
      <c r="AC1209">
        <v>0</v>
      </c>
      <c r="AD1209">
        <v>10</v>
      </c>
      <c r="AE1209">
        <v>0</v>
      </c>
      <c r="AF1209">
        <v>3</v>
      </c>
      <c r="AG1209">
        <v>2</v>
      </c>
      <c r="AH1209">
        <v>0</v>
      </c>
      <c r="AI1209" t="s">
        <v>874</v>
      </c>
      <c r="AJ1209">
        <v>39.752246999999997</v>
      </c>
      <c r="AK1209" t="s">
        <v>875</v>
      </c>
      <c r="AL1209">
        <v>-92.518251000000006</v>
      </c>
      <c r="AM1209">
        <v>100</v>
      </c>
      <c r="AN1209">
        <v>1700</v>
      </c>
      <c r="AO1209" t="s">
        <v>118</v>
      </c>
      <c r="AP1209">
        <v>24</v>
      </c>
      <c r="AQ1209">
        <v>118</v>
      </c>
      <c r="AR1209">
        <v>-64</v>
      </c>
      <c r="AZ1209">
        <v>1200</v>
      </c>
      <c r="BA1209">
        <v>1</v>
      </c>
      <c r="BB1209" t="str">
        <f t="shared" si="57"/>
        <v xml:space="preserve">N8080G  </v>
      </c>
      <c r="BC1209">
        <v>1</v>
      </c>
      <c r="BE1209">
        <v>0</v>
      </c>
      <c r="BF1209">
        <v>0</v>
      </c>
      <c r="BG1209">
        <v>0</v>
      </c>
      <c r="BH1209">
        <v>1675</v>
      </c>
      <c r="BI1209">
        <v>1</v>
      </c>
      <c r="BJ1209">
        <v>1</v>
      </c>
      <c r="BK1209">
        <v>1</v>
      </c>
      <c r="BL1209">
        <v>0</v>
      </c>
      <c r="BO1209">
        <v>0</v>
      </c>
      <c r="BP1209">
        <v>0</v>
      </c>
      <c r="BW1209" t="str">
        <f>"20:18:54.750"</f>
        <v>20:18:54.750</v>
      </c>
      <c r="BZ1209">
        <v>0</v>
      </c>
      <c r="CA1209">
        <v>2016</v>
      </c>
      <c r="CB1209">
        <v>224</v>
      </c>
      <c r="CD1209">
        <v>1</v>
      </c>
      <c r="CE1209">
        <v>0</v>
      </c>
      <c r="CF1209">
        <v>0</v>
      </c>
      <c r="CG1209">
        <v>1</v>
      </c>
      <c r="CH1209">
        <v>0</v>
      </c>
      <c r="CI1209">
        <v>0</v>
      </c>
      <c r="CJ1209">
        <v>0</v>
      </c>
      <c r="CK1209">
        <v>2</v>
      </c>
      <c r="CL1209">
        <v>0</v>
      </c>
      <c r="CM1209">
        <v>2</v>
      </c>
      <c r="CN1209">
        <v>0</v>
      </c>
      <c r="CO1209">
        <v>6</v>
      </c>
      <c r="CP1209" t="s">
        <v>119</v>
      </c>
      <c r="CQ1209">
        <v>180</v>
      </c>
      <c r="CR1209">
        <v>1</v>
      </c>
      <c r="CW1209">
        <v>10672833</v>
      </c>
      <c r="CY1209">
        <v>1</v>
      </c>
      <c r="CZ1209">
        <v>0</v>
      </c>
      <c r="DA1209">
        <v>1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0</v>
      </c>
      <c r="DI1209">
        <v>0</v>
      </c>
    </row>
    <row r="1210" spans="1:113" x14ac:dyDescent="0.3">
      <c r="A1210" t="str">
        <f>"02/08/2021 20:18:52.447"</f>
        <v>02/08/2021 20:18:52.447</v>
      </c>
      <c r="C1210" t="str">
        <f t="shared" si="56"/>
        <v>FFDFD7C0</v>
      </c>
      <c r="D1210" t="s">
        <v>124</v>
      </c>
      <c r="E1210">
        <v>11</v>
      </c>
      <c r="F1210">
        <v>1011</v>
      </c>
      <c r="G1210" t="s">
        <v>590</v>
      </c>
      <c r="J1210" t="s">
        <v>125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>"20:18:54.750"</f>
        <v>20:18:54.750</v>
      </c>
      <c r="T1210" t="str">
        <f>"20:18:54.250"</f>
        <v>20:18:54.250</v>
      </c>
      <c r="U1210" t="str">
        <f t="shared" si="55"/>
        <v>AB01F4</v>
      </c>
      <c r="V1210">
        <v>0</v>
      </c>
      <c r="W1210">
        <v>0</v>
      </c>
      <c r="X1210">
        <v>2</v>
      </c>
      <c r="Z1210">
        <v>0</v>
      </c>
      <c r="AA1210">
        <v>9</v>
      </c>
      <c r="AB1210">
        <v>3</v>
      </c>
      <c r="AC1210">
        <v>0</v>
      </c>
      <c r="AD1210">
        <v>10</v>
      </c>
      <c r="AE1210">
        <v>0</v>
      </c>
      <c r="AF1210">
        <v>3</v>
      </c>
      <c r="AG1210">
        <v>2</v>
      </c>
      <c r="AH1210">
        <v>0</v>
      </c>
      <c r="AI1210" t="s">
        <v>874</v>
      </c>
      <c r="AJ1210">
        <v>39.752246999999997</v>
      </c>
      <c r="AK1210" t="s">
        <v>875</v>
      </c>
      <c r="AL1210">
        <v>-92.518251000000006</v>
      </c>
      <c r="AM1210">
        <v>100</v>
      </c>
      <c r="AN1210">
        <v>1700</v>
      </c>
      <c r="AO1210" t="s">
        <v>118</v>
      </c>
      <c r="AP1210">
        <v>24</v>
      </c>
      <c r="AQ1210">
        <v>118</v>
      </c>
      <c r="AR1210">
        <v>-64</v>
      </c>
      <c r="AZ1210">
        <v>1200</v>
      </c>
      <c r="BA1210">
        <v>1</v>
      </c>
      <c r="BB1210" t="str">
        <f t="shared" si="57"/>
        <v xml:space="preserve">N8080G  </v>
      </c>
      <c r="BC1210">
        <v>1</v>
      </c>
      <c r="BE1210">
        <v>0</v>
      </c>
      <c r="BF1210">
        <v>0</v>
      </c>
      <c r="BG1210">
        <v>0</v>
      </c>
      <c r="BH1210">
        <v>1675</v>
      </c>
      <c r="BI1210">
        <v>1</v>
      </c>
      <c r="BJ1210">
        <v>1</v>
      </c>
      <c r="BK1210">
        <v>1</v>
      </c>
      <c r="BL1210">
        <v>0</v>
      </c>
      <c r="BO1210">
        <v>0</v>
      </c>
      <c r="BP1210">
        <v>0</v>
      </c>
      <c r="BW1210" t="str">
        <f>"20:18:54.750"</f>
        <v>20:18:54.750</v>
      </c>
      <c r="BZ1210">
        <v>0</v>
      </c>
      <c r="CA1210">
        <v>2016</v>
      </c>
      <c r="CB1210">
        <v>224</v>
      </c>
      <c r="CD1210">
        <v>1</v>
      </c>
      <c r="CE1210">
        <v>0</v>
      </c>
      <c r="CF1210">
        <v>0</v>
      </c>
      <c r="CG1210">
        <v>1</v>
      </c>
      <c r="CH1210">
        <v>0</v>
      </c>
      <c r="CI1210">
        <v>0</v>
      </c>
      <c r="CJ1210">
        <v>0</v>
      </c>
      <c r="CK1210">
        <v>2</v>
      </c>
      <c r="CL1210">
        <v>0</v>
      </c>
      <c r="CM1210">
        <v>2</v>
      </c>
      <c r="CN1210">
        <v>0</v>
      </c>
      <c r="CO1210">
        <v>6</v>
      </c>
      <c r="CP1210" t="s">
        <v>119</v>
      </c>
      <c r="CQ1210">
        <v>180</v>
      </c>
      <c r="CR1210">
        <v>1</v>
      </c>
      <c r="CW1210">
        <v>10672833</v>
      </c>
      <c r="CY1210">
        <v>1</v>
      </c>
      <c r="CZ1210">
        <v>0</v>
      </c>
      <c r="DA1210">
        <v>1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0</v>
      </c>
    </row>
    <row r="1211" spans="1:113" x14ac:dyDescent="0.3">
      <c r="A1211" t="str">
        <f>"02/08/2021 20:18:53.505"</f>
        <v>02/08/2021 20:18:53.505</v>
      </c>
      <c r="C1211" t="str">
        <f t="shared" si="56"/>
        <v>FFDFD7C0</v>
      </c>
      <c r="D1211" t="s">
        <v>124</v>
      </c>
      <c r="E1211">
        <v>13</v>
      </c>
      <c r="F1211">
        <v>1013</v>
      </c>
      <c r="G1211" t="s">
        <v>114</v>
      </c>
      <c r="J1211" t="s">
        <v>125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>"20:18:55.836"</f>
        <v>20:18:55.836</v>
      </c>
      <c r="T1211" t="str">
        <f>"20:18:55.336"</f>
        <v>20:18:55.336</v>
      </c>
      <c r="U1211" t="str">
        <f t="shared" si="55"/>
        <v>AB01F4</v>
      </c>
      <c r="V1211">
        <v>0</v>
      </c>
      <c r="W1211">
        <v>0</v>
      </c>
      <c r="X1211">
        <v>2</v>
      </c>
      <c r="Z1211">
        <v>0</v>
      </c>
      <c r="AA1211">
        <v>9</v>
      </c>
      <c r="AB1211">
        <v>3</v>
      </c>
      <c r="AC1211">
        <v>0</v>
      </c>
      <c r="AD1211">
        <v>10</v>
      </c>
      <c r="AE1211">
        <v>0</v>
      </c>
      <c r="AF1211">
        <v>3</v>
      </c>
      <c r="AG1211">
        <v>2</v>
      </c>
      <c r="AH1211">
        <v>0</v>
      </c>
      <c r="AI1211" t="s">
        <v>876</v>
      </c>
      <c r="AJ1211">
        <v>39.752870000000001</v>
      </c>
      <c r="AK1211" t="s">
        <v>877</v>
      </c>
      <c r="AL1211">
        <v>-92.518057999999996</v>
      </c>
      <c r="AM1211">
        <v>100</v>
      </c>
      <c r="AN1211">
        <v>1700</v>
      </c>
      <c r="AO1211" t="s">
        <v>118</v>
      </c>
      <c r="AP1211">
        <v>24</v>
      </c>
      <c r="AQ1211">
        <v>118</v>
      </c>
      <c r="AR1211">
        <v>-64</v>
      </c>
      <c r="AZ1211">
        <v>1200</v>
      </c>
      <c r="BA1211">
        <v>1</v>
      </c>
      <c r="BB1211" t="str">
        <f t="shared" si="57"/>
        <v xml:space="preserve">N8080G  </v>
      </c>
      <c r="BC1211">
        <v>1</v>
      </c>
      <c r="BE1211">
        <v>0</v>
      </c>
      <c r="BF1211">
        <v>0</v>
      </c>
      <c r="BG1211">
        <v>0</v>
      </c>
      <c r="BH1211">
        <v>1675</v>
      </c>
      <c r="BI1211">
        <v>1</v>
      </c>
      <c r="BJ1211">
        <v>1</v>
      </c>
      <c r="BK1211">
        <v>1</v>
      </c>
      <c r="BL1211">
        <v>0</v>
      </c>
      <c r="BO1211">
        <v>0</v>
      </c>
      <c r="BP1211">
        <v>0</v>
      </c>
      <c r="BW1211" t="str">
        <f>"20:18:55.840"</f>
        <v>20:18:55.840</v>
      </c>
      <c r="BZ1211">
        <v>0</v>
      </c>
      <c r="CA1211">
        <v>2016</v>
      </c>
      <c r="CB1211">
        <v>224</v>
      </c>
      <c r="CD1211">
        <v>1</v>
      </c>
      <c r="CE1211">
        <v>0</v>
      </c>
      <c r="CF1211">
        <v>0</v>
      </c>
      <c r="CG1211">
        <v>1</v>
      </c>
      <c r="CH1211">
        <v>0</v>
      </c>
      <c r="CI1211">
        <v>0</v>
      </c>
      <c r="CJ1211">
        <v>0</v>
      </c>
      <c r="CK1211">
        <v>2</v>
      </c>
      <c r="CL1211">
        <v>0</v>
      </c>
      <c r="CM1211">
        <v>2</v>
      </c>
      <c r="CN1211">
        <v>0</v>
      </c>
      <c r="CO1211">
        <v>6</v>
      </c>
      <c r="CP1211" t="s">
        <v>119</v>
      </c>
      <c r="CQ1211">
        <v>180</v>
      </c>
      <c r="CR1211">
        <v>2</v>
      </c>
      <c r="CW1211">
        <v>8111408</v>
      </c>
      <c r="CY1211">
        <v>1</v>
      </c>
      <c r="CZ1211">
        <v>0</v>
      </c>
      <c r="DA1211">
        <v>0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0</v>
      </c>
    </row>
    <row r="1212" spans="1:113" x14ac:dyDescent="0.3">
      <c r="A1212" t="str">
        <f>"02/08/2021 20:18:53.505"</f>
        <v>02/08/2021 20:18:53.505</v>
      </c>
      <c r="C1212" t="str">
        <f t="shared" si="56"/>
        <v>FFDFD7C0</v>
      </c>
      <c r="D1212" t="s">
        <v>124</v>
      </c>
      <c r="E1212">
        <v>12</v>
      </c>
      <c r="F1212">
        <v>1012</v>
      </c>
      <c r="G1212" t="s">
        <v>675</v>
      </c>
      <c r="J1212" t="s">
        <v>125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>"20:18:55.836"</f>
        <v>20:18:55.836</v>
      </c>
      <c r="T1212" t="str">
        <f>"20:18:55.336"</f>
        <v>20:18:55.336</v>
      </c>
      <c r="U1212" t="str">
        <f t="shared" si="55"/>
        <v>AB01F4</v>
      </c>
      <c r="V1212">
        <v>0</v>
      </c>
      <c r="W1212">
        <v>0</v>
      </c>
      <c r="X1212">
        <v>2</v>
      </c>
      <c r="Z1212">
        <v>0</v>
      </c>
      <c r="AA1212">
        <v>9</v>
      </c>
      <c r="AB1212">
        <v>3</v>
      </c>
      <c r="AC1212">
        <v>0</v>
      </c>
      <c r="AD1212">
        <v>10</v>
      </c>
      <c r="AE1212">
        <v>0</v>
      </c>
      <c r="AF1212">
        <v>3</v>
      </c>
      <c r="AG1212">
        <v>2</v>
      </c>
      <c r="AH1212">
        <v>0</v>
      </c>
      <c r="AI1212" t="s">
        <v>876</v>
      </c>
      <c r="AJ1212">
        <v>39.752870000000001</v>
      </c>
      <c r="AK1212" t="s">
        <v>877</v>
      </c>
      <c r="AL1212">
        <v>-92.518057999999996</v>
      </c>
      <c r="AM1212">
        <v>100</v>
      </c>
      <c r="AN1212">
        <v>1700</v>
      </c>
      <c r="AO1212" t="s">
        <v>118</v>
      </c>
      <c r="AP1212">
        <v>24</v>
      </c>
      <c r="AQ1212">
        <v>118</v>
      </c>
      <c r="AR1212">
        <v>-64</v>
      </c>
      <c r="AZ1212">
        <v>1200</v>
      </c>
      <c r="BA1212">
        <v>1</v>
      </c>
      <c r="BB1212" t="str">
        <f t="shared" si="57"/>
        <v xml:space="preserve">N8080G  </v>
      </c>
      <c r="BC1212">
        <v>1</v>
      </c>
      <c r="BE1212">
        <v>0</v>
      </c>
      <c r="BF1212">
        <v>0</v>
      </c>
      <c r="BG1212">
        <v>0</v>
      </c>
      <c r="BH1212">
        <v>1675</v>
      </c>
      <c r="BI1212">
        <v>1</v>
      </c>
      <c r="BJ1212">
        <v>1</v>
      </c>
      <c r="BK1212">
        <v>1</v>
      </c>
      <c r="BL1212">
        <v>0</v>
      </c>
      <c r="BO1212">
        <v>0</v>
      </c>
      <c r="BP1212">
        <v>0</v>
      </c>
      <c r="BW1212" t="str">
        <f>"20:18:55.840"</f>
        <v>20:18:55.840</v>
      </c>
      <c r="BZ1212">
        <v>0</v>
      </c>
      <c r="CA1212">
        <v>2016</v>
      </c>
      <c r="CB1212">
        <v>224</v>
      </c>
      <c r="CD1212">
        <v>1</v>
      </c>
      <c r="CE1212">
        <v>0</v>
      </c>
      <c r="CF1212">
        <v>0</v>
      </c>
      <c r="CG1212">
        <v>1</v>
      </c>
      <c r="CH1212">
        <v>0</v>
      </c>
      <c r="CI1212">
        <v>0</v>
      </c>
      <c r="CJ1212">
        <v>0</v>
      </c>
      <c r="CK1212">
        <v>2</v>
      </c>
      <c r="CL1212">
        <v>0</v>
      </c>
      <c r="CM1212">
        <v>2</v>
      </c>
      <c r="CN1212">
        <v>0</v>
      </c>
      <c r="CO1212">
        <v>6</v>
      </c>
      <c r="CP1212" t="s">
        <v>119</v>
      </c>
      <c r="CQ1212">
        <v>180</v>
      </c>
      <c r="CR1212">
        <v>2</v>
      </c>
      <c r="CW1212">
        <v>8111408</v>
      </c>
      <c r="CY1212">
        <v>1</v>
      </c>
      <c r="CZ1212">
        <v>0</v>
      </c>
      <c r="DA1212">
        <v>1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</row>
    <row r="1213" spans="1:113" x14ac:dyDescent="0.3">
      <c r="A1213" t="str">
        <f>"02/08/2021 20:18:53.505"</f>
        <v>02/08/2021 20:18:53.505</v>
      </c>
      <c r="C1213" t="str">
        <f t="shared" si="56"/>
        <v>FFDFD7C0</v>
      </c>
      <c r="D1213" t="s">
        <v>113</v>
      </c>
      <c r="E1213">
        <v>6</v>
      </c>
      <c r="H1213">
        <v>165</v>
      </c>
      <c r="I1213" t="s">
        <v>114</v>
      </c>
      <c r="J1213" t="s">
        <v>115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>"20:18:55.836"</f>
        <v>20:18:55.836</v>
      </c>
      <c r="T1213" t="str">
        <f>"20:18:55.336"</f>
        <v>20:18:55.336</v>
      </c>
      <c r="U1213" t="str">
        <f t="shared" si="55"/>
        <v>AB01F4</v>
      </c>
      <c r="V1213">
        <v>0</v>
      </c>
      <c r="W1213">
        <v>0</v>
      </c>
      <c r="X1213">
        <v>2</v>
      </c>
      <c r="Z1213">
        <v>0</v>
      </c>
      <c r="AA1213">
        <v>9</v>
      </c>
      <c r="AB1213">
        <v>3</v>
      </c>
      <c r="AC1213">
        <v>0</v>
      </c>
      <c r="AD1213">
        <v>10</v>
      </c>
      <c r="AE1213">
        <v>0</v>
      </c>
      <c r="AF1213">
        <v>3</v>
      </c>
      <c r="AG1213">
        <v>2</v>
      </c>
      <c r="AH1213">
        <v>0</v>
      </c>
      <c r="AI1213" t="s">
        <v>876</v>
      </c>
      <c r="AJ1213">
        <v>39.752870000000001</v>
      </c>
      <c r="AK1213" t="s">
        <v>877</v>
      </c>
      <c r="AL1213">
        <v>-92.518057999999996</v>
      </c>
      <c r="AM1213">
        <v>100</v>
      </c>
      <c r="AN1213">
        <v>1700</v>
      </c>
      <c r="AO1213" t="s">
        <v>118</v>
      </c>
      <c r="AP1213">
        <v>24</v>
      </c>
      <c r="AQ1213">
        <v>118</v>
      </c>
      <c r="AR1213">
        <v>-64</v>
      </c>
      <c r="AZ1213">
        <v>1200</v>
      </c>
      <c r="BA1213">
        <v>1</v>
      </c>
      <c r="BB1213" t="str">
        <f t="shared" si="57"/>
        <v xml:space="preserve">N8080G  </v>
      </c>
      <c r="BC1213">
        <v>1</v>
      </c>
      <c r="BE1213">
        <v>0</v>
      </c>
      <c r="BF1213">
        <v>0</v>
      </c>
      <c r="BG1213">
        <v>0</v>
      </c>
      <c r="BH1213">
        <v>1675</v>
      </c>
      <c r="BI1213">
        <v>1</v>
      </c>
      <c r="BJ1213">
        <v>1</v>
      </c>
      <c r="BK1213">
        <v>1</v>
      </c>
      <c r="BL1213">
        <v>0</v>
      </c>
      <c r="BO1213">
        <v>0</v>
      </c>
      <c r="BP1213">
        <v>0</v>
      </c>
      <c r="BW1213" t="str">
        <f>"20:18:55.840"</f>
        <v>20:18:55.840</v>
      </c>
      <c r="BZ1213">
        <v>0</v>
      </c>
      <c r="CA1213">
        <v>2016</v>
      </c>
      <c r="CB1213">
        <v>224</v>
      </c>
      <c r="CD1213">
        <v>1</v>
      </c>
      <c r="CE1213">
        <v>0</v>
      </c>
      <c r="CF1213">
        <v>0</v>
      </c>
      <c r="CG1213">
        <v>1</v>
      </c>
      <c r="CH1213">
        <v>0</v>
      </c>
      <c r="CI1213">
        <v>0</v>
      </c>
      <c r="CJ1213">
        <v>0</v>
      </c>
      <c r="CK1213">
        <v>2</v>
      </c>
      <c r="CL1213">
        <v>0</v>
      </c>
      <c r="CM1213">
        <v>2</v>
      </c>
      <c r="CN1213">
        <v>0</v>
      </c>
      <c r="CO1213">
        <v>6</v>
      </c>
      <c r="CP1213" t="s">
        <v>119</v>
      </c>
      <c r="CQ1213">
        <v>180</v>
      </c>
      <c r="CR1213">
        <v>2</v>
      </c>
      <c r="CW1213">
        <v>8111408</v>
      </c>
      <c r="CY1213">
        <v>1</v>
      </c>
      <c r="CZ1213">
        <v>0</v>
      </c>
      <c r="DA1213">
        <v>1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</row>
    <row r="1214" spans="1:113" x14ac:dyDescent="0.3">
      <c r="A1214" t="str">
        <f>"02/08/2021 20:18:53.505"</f>
        <v>02/08/2021 20:18:53.505</v>
      </c>
      <c r="C1214" t="str">
        <f t="shared" si="56"/>
        <v>FFDFD7C0</v>
      </c>
      <c r="D1214" t="s">
        <v>124</v>
      </c>
      <c r="E1214">
        <v>11</v>
      </c>
      <c r="F1214">
        <v>1011</v>
      </c>
      <c r="G1214" t="s">
        <v>590</v>
      </c>
      <c r="J1214" t="s">
        <v>125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>"20:18:55.836"</f>
        <v>20:18:55.836</v>
      </c>
      <c r="T1214" t="str">
        <f>"20:18:55.336"</f>
        <v>20:18:55.336</v>
      </c>
      <c r="U1214" t="str">
        <f t="shared" si="55"/>
        <v>AB01F4</v>
      </c>
      <c r="V1214">
        <v>0</v>
      </c>
      <c r="W1214">
        <v>0</v>
      </c>
      <c r="X1214">
        <v>2</v>
      </c>
      <c r="Z1214">
        <v>0</v>
      </c>
      <c r="AA1214">
        <v>9</v>
      </c>
      <c r="AB1214">
        <v>3</v>
      </c>
      <c r="AC1214">
        <v>0</v>
      </c>
      <c r="AD1214">
        <v>10</v>
      </c>
      <c r="AE1214">
        <v>0</v>
      </c>
      <c r="AF1214">
        <v>3</v>
      </c>
      <c r="AG1214">
        <v>2</v>
      </c>
      <c r="AH1214">
        <v>0</v>
      </c>
      <c r="AI1214" t="s">
        <v>876</v>
      </c>
      <c r="AJ1214">
        <v>39.752870000000001</v>
      </c>
      <c r="AK1214" t="s">
        <v>877</v>
      </c>
      <c r="AL1214">
        <v>-92.518057999999996</v>
      </c>
      <c r="AM1214">
        <v>100</v>
      </c>
      <c r="AN1214">
        <v>1700</v>
      </c>
      <c r="AO1214" t="s">
        <v>118</v>
      </c>
      <c r="AP1214">
        <v>24</v>
      </c>
      <c r="AQ1214">
        <v>118</v>
      </c>
      <c r="AR1214">
        <v>-64</v>
      </c>
      <c r="AZ1214">
        <v>1200</v>
      </c>
      <c r="BA1214">
        <v>1</v>
      </c>
      <c r="BB1214" t="str">
        <f t="shared" si="57"/>
        <v xml:space="preserve">N8080G  </v>
      </c>
      <c r="BC1214">
        <v>1</v>
      </c>
      <c r="BE1214">
        <v>0</v>
      </c>
      <c r="BF1214">
        <v>0</v>
      </c>
      <c r="BG1214">
        <v>0</v>
      </c>
      <c r="BH1214">
        <v>1675</v>
      </c>
      <c r="BI1214">
        <v>1</v>
      </c>
      <c r="BJ1214">
        <v>1</v>
      </c>
      <c r="BK1214">
        <v>1</v>
      </c>
      <c r="BL1214">
        <v>0</v>
      </c>
      <c r="BO1214">
        <v>0</v>
      </c>
      <c r="BP1214">
        <v>0</v>
      </c>
      <c r="BW1214" t="str">
        <f>"20:18:55.840"</f>
        <v>20:18:55.840</v>
      </c>
      <c r="BZ1214">
        <v>0</v>
      </c>
      <c r="CA1214">
        <v>2016</v>
      </c>
      <c r="CB1214">
        <v>224</v>
      </c>
      <c r="CD1214">
        <v>1</v>
      </c>
      <c r="CE1214">
        <v>0</v>
      </c>
      <c r="CF1214">
        <v>0</v>
      </c>
      <c r="CG1214">
        <v>1</v>
      </c>
      <c r="CH1214">
        <v>0</v>
      </c>
      <c r="CI1214">
        <v>0</v>
      </c>
      <c r="CJ1214">
        <v>0</v>
      </c>
      <c r="CK1214">
        <v>2</v>
      </c>
      <c r="CL1214">
        <v>0</v>
      </c>
      <c r="CM1214">
        <v>2</v>
      </c>
      <c r="CN1214">
        <v>0</v>
      </c>
      <c r="CO1214">
        <v>6</v>
      </c>
      <c r="CP1214" t="s">
        <v>119</v>
      </c>
      <c r="CQ1214">
        <v>180</v>
      </c>
      <c r="CR1214">
        <v>2</v>
      </c>
      <c r="CW1214">
        <v>8111408</v>
      </c>
      <c r="CY1214">
        <v>1</v>
      </c>
      <c r="CZ1214">
        <v>0</v>
      </c>
      <c r="DA1214">
        <v>1</v>
      </c>
      <c r="DB1214">
        <v>0</v>
      </c>
      <c r="DC1214">
        <v>0</v>
      </c>
      <c r="DD1214">
        <v>0</v>
      </c>
      <c r="DE1214">
        <v>0</v>
      </c>
      <c r="DF1214">
        <v>0</v>
      </c>
      <c r="DG1214">
        <v>0</v>
      </c>
      <c r="DH1214">
        <v>0</v>
      </c>
      <c r="DI1214">
        <v>0</v>
      </c>
    </row>
    <row r="1215" spans="1:113" x14ac:dyDescent="0.3">
      <c r="A1215" t="str">
        <f>"02/08/2021 20:18:54.540"</f>
        <v>02/08/2021 20:18:54.540</v>
      </c>
      <c r="C1215" t="str">
        <f t="shared" si="56"/>
        <v>FFDFD7C0</v>
      </c>
      <c r="D1215" t="s">
        <v>124</v>
      </c>
      <c r="E1215">
        <v>12</v>
      </c>
      <c r="F1215">
        <v>1012</v>
      </c>
      <c r="G1215" t="s">
        <v>675</v>
      </c>
      <c r="J1215" t="s">
        <v>125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>"20:18:56.844"</f>
        <v>20:18:56.844</v>
      </c>
      <c r="T1215" t="str">
        <f>"20:18:56.344"</f>
        <v>20:18:56.344</v>
      </c>
      <c r="U1215" t="str">
        <f t="shared" si="55"/>
        <v>AB01F4</v>
      </c>
      <c r="V1215">
        <v>0</v>
      </c>
      <c r="W1215">
        <v>0</v>
      </c>
      <c r="X1215">
        <v>2</v>
      </c>
      <c r="Z1215">
        <v>0</v>
      </c>
      <c r="AA1215">
        <v>9</v>
      </c>
      <c r="AB1215">
        <v>3</v>
      </c>
      <c r="AC1215">
        <v>0</v>
      </c>
      <c r="AD1215">
        <v>10</v>
      </c>
      <c r="AE1215">
        <v>0</v>
      </c>
      <c r="AF1215">
        <v>3</v>
      </c>
      <c r="AG1215">
        <v>2</v>
      </c>
      <c r="AH1215">
        <v>0</v>
      </c>
      <c r="AI1215" t="s">
        <v>878</v>
      </c>
      <c r="AJ1215">
        <v>39.753385000000002</v>
      </c>
      <c r="AK1215" t="s">
        <v>879</v>
      </c>
      <c r="AL1215">
        <v>-92.517950999999996</v>
      </c>
      <c r="AM1215">
        <v>100</v>
      </c>
      <c r="AN1215">
        <v>1700</v>
      </c>
      <c r="AO1215" t="s">
        <v>118</v>
      </c>
      <c r="AP1215">
        <v>24</v>
      </c>
      <c r="AQ1215">
        <v>118</v>
      </c>
      <c r="AR1215">
        <v>-64</v>
      </c>
      <c r="AZ1215">
        <v>1200</v>
      </c>
      <c r="BA1215">
        <v>1</v>
      </c>
      <c r="BB1215" t="str">
        <f t="shared" si="57"/>
        <v xml:space="preserve">N8080G  </v>
      </c>
      <c r="BC1215">
        <v>1</v>
      </c>
      <c r="BE1215">
        <v>0</v>
      </c>
      <c r="BF1215">
        <v>0</v>
      </c>
      <c r="BG1215">
        <v>0</v>
      </c>
      <c r="BH1215">
        <v>1675</v>
      </c>
      <c r="BI1215">
        <v>1</v>
      </c>
      <c r="BJ1215">
        <v>1</v>
      </c>
      <c r="BK1215">
        <v>1</v>
      </c>
      <c r="BL1215">
        <v>0</v>
      </c>
      <c r="BO1215">
        <v>0</v>
      </c>
      <c r="BP1215">
        <v>0</v>
      </c>
      <c r="BW1215" t="str">
        <f>"20:18:56.846"</f>
        <v>20:18:56.846</v>
      </c>
      <c r="BZ1215">
        <v>0</v>
      </c>
      <c r="CA1215">
        <v>2016</v>
      </c>
      <c r="CB1215">
        <v>224</v>
      </c>
      <c r="CD1215">
        <v>1</v>
      </c>
      <c r="CE1215">
        <v>0</v>
      </c>
      <c r="CF1215">
        <v>0</v>
      </c>
      <c r="CG1215">
        <v>1</v>
      </c>
      <c r="CH1215">
        <v>0</v>
      </c>
      <c r="CI1215">
        <v>0</v>
      </c>
      <c r="CJ1215">
        <v>0</v>
      </c>
      <c r="CK1215">
        <v>2</v>
      </c>
      <c r="CL1215">
        <v>0</v>
      </c>
      <c r="CM1215">
        <v>2</v>
      </c>
      <c r="CN1215">
        <v>0</v>
      </c>
      <c r="CO1215">
        <v>7</v>
      </c>
      <c r="CP1215" t="s">
        <v>119</v>
      </c>
      <c r="CQ1215">
        <v>180</v>
      </c>
      <c r="CR1215">
        <v>2</v>
      </c>
      <c r="CW1215">
        <v>8112274</v>
      </c>
      <c r="CY1215">
        <v>1</v>
      </c>
      <c r="CZ1215">
        <v>0</v>
      </c>
      <c r="DA1215">
        <v>0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</row>
    <row r="1216" spans="1:113" x14ac:dyDescent="0.3">
      <c r="A1216" t="str">
        <f>"02/08/2021 20:18:54.540"</f>
        <v>02/08/2021 20:18:54.540</v>
      </c>
      <c r="C1216" t="str">
        <f t="shared" si="56"/>
        <v>FFDFD7C0</v>
      </c>
      <c r="D1216" t="s">
        <v>124</v>
      </c>
      <c r="E1216">
        <v>11</v>
      </c>
      <c r="F1216">
        <v>1011</v>
      </c>
      <c r="G1216" t="s">
        <v>590</v>
      </c>
      <c r="J1216" t="s">
        <v>125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>"20:18:56.844"</f>
        <v>20:18:56.844</v>
      </c>
      <c r="T1216" t="str">
        <f>"20:18:56.344"</f>
        <v>20:18:56.344</v>
      </c>
      <c r="U1216" t="str">
        <f t="shared" si="55"/>
        <v>AB01F4</v>
      </c>
      <c r="V1216">
        <v>0</v>
      </c>
      <c r="W1216">
        <v>0</v>
      </c>
      <c r="X1216">
        <v>2</v>
      </c>
      <c r="Z1216">
        <v>0</v>
      </c>
      <c r="AA1216">
        <v>9</v>
      </c>
      <c r="AB1216">
        <v>3</v>
      </c>
      <c r="AC1216">
        <v>0</v>
      </c>
      <c r="AD1216">
        <v>10</v>
      </c>
      <c r="AE1216">
        <v>0</v>
      </c>
      <c r="AF1216">
        <v>3</v>
      </c>
      <c r="AG1216">
        <v>2</v>
      </c>
      <c r="AH1216">
        <v>0</v>
      </c>
      <c r="AI1216" t="s">
        <v>878</v>
      </c>
      <c r="AJ1216">
        <v>39.753385000000002</v>
      </c>
      <c r="AK1216" t="s">
        <v>879</v>
      </c>
      <c r="AL1216">
        <v>-92.517950999999996</v>
      </c>
      <c r="AM1216">
        <v>100</v>
      </c>
      <c r="AN1216">
        <v>1700</v>
      </c>
      <c r="AO1216" t="s">
        <v>118</v>
      </c>
      <c r="AP1216">
        <v>24</v>
      </c>
      <c r="AQ1216">
        <v>118</v>
      </c>
      <c r="AR1216">
        <v>-64</v>
      </c>
      <c r="AZ1216">
        <v>1200</v>
      </c>
      <c r="BA1216">
        <v>1</v>
      </c>
      <c r="BB1216" t="str">
        <f t="shared" si="57"/>
        <v xml:space="preserve">N8080G  </v>
      </c>
      <c r="BC1216">
        <v>1</v>
      </c>
      <c r="BE1216">
        <v>0</v>
      </c>
      <c r="BF1216">
        <v>0</v>
      </c>
      <c r="BG1216">
        <v>0</v>
      </c>
      <c r="BH1216">
        <v>1675</v>
      </c>
      <c r="BI1216">
        <v>1</v>
      </c>
      <c r="BJ1216">
        <v>1</v>
      </c>
      <c r="BK1216">
        <v>1</v>
      </c>
      <c r="BL1216">
        <v>0</v>
      </c>
      <c r="BO1216">
        <v>0</v>
      </c>
      <c r="BP1216">
        <v>0</v>
      </c>
      <c r="BW1216" t="str">
        <f>"20:18:56.846"</f>
        <v>20:18:56.846</v>
      </c>
      <c r="BZ1216">
        <v>0</v>
      </c>
      <c r="CA1216">
        <v>2016</v>
      </c>
      <c r="CB1216">
        <v>224</v>
      </c>
      <c r="CD1216">
        <v>1</v>
      </c>
      <c r="CE1216">
        <v>0</v>
      </c>
      <c r="CF1216">
        <v>0</v>
      </c>
      <c r="CG1216">
        <v>1</v>
      </c>
      <c r="CH1216">
        <v>0</v>
      </c>
      <c r="CI1216">
        <v>0</v>
      </c>
      <c r="CJ1216">
        <v>0</v>
      </c>
      <c r="CK1216">
        <v>2</v>
      </c>
      <c r="CL1216">
        <v>0</v>
      </c>
      <c r="CM1216">
        <v>2</v>
      </c>
      <c r="CN1216">
        <v>0</v>
      </c>
      <c r="CO1216">
        <v>7</v>
      </c>
      <c r="CP1216" t="s">
        <v>119</v>
      </c>
      <c r="CQ1216">
        <v>180</v>
      </c>
      <c r="CR1216">
        <v>2</v>
      </c>
      <c r="CW1216">
        <v>8112274</v>
      </c>
      <c r="CY1216">
        <v>1</v>
      </c>
      <c r="CZ1216">
        <v>0</v>
      </c>
      <c r="DA1216">
        <v>1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</row>
    <row r="1217" spans="1:113" x14ac:dyDescent="0.3">
      <c r="A1217" t="str">
        <f>"02/08/2021 20:18:54.540"</f>
        <v>02/08/2021 20:18:54.540</v>
      </c>
      <c r="C1217" t="str">
        <f t="shared" si="56"/>
        <v>FFDFD7C0</v>
      </c>
      <c r="D1217" t="s">
        <v>113</v>
      </c>
      <c r="E1217">
        <v>6</v>
      </c>
      <c r="H1217">
        <v>165</v>
      </c>
      <c r="I1217" t="s">
        <v>114</v>
      </c>
      <c r="J1217" t="s">
        <v>115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>"20:18:56.844"</f>
        <v>20:18:56.844</v>
      </c>
      <c r="T1217" t="str">
        <f>"20:18:56.344"</f>
        <v>20:18:56.344</v>
      </c>
      <c r="U1217" t="str">
        <f t="shared" si="55"/>
        <v>AB01F4</v>
      </c>
      <c r="V1217">
        <v>0</v>
      </c>
      <c r="W1217">
        <v>0</v>
      </c>
      <c r="X1217">
        <v>2</v>
      </c>
      <c r="Z1217">
        <v>0</v>
      </c>
      <c r="AA1217">
        <v>9</v>
      </c>
      <c r="AB1217">
        <v>3</v>
      </c>
      <c r="AC1217">
        <v>0</v>
      </c>
      <c r="AD1217">
        <v>10</v>
      </c>
      <c r="AE1217">
        <v>0</v>
      </c>
      <c r="AF1217">
        <v>3</v>
      </c>
      <c r="AG1217">
        <v>2</v>
      </c>
      <c r="AH1217">
        <v>0</v>
      </c>
      <c r="AI1217" t="s">
        <v>878</v>
      </c>
      <c r="AJ1217">
        <v>39.753385000000002</v>
      </c>
      <c r="AK1217" t="s">
        <v>879</v>
      </c>
      <c r="AL1217">
        <v>-92.517950999999996</v>
      </c>
      <c r="AM1217">
        <v>100</v>
      </c>
      <c r="AN1217">
        <v>1700</v>
      </c>
      <c r="AO1217" t="s">
        <v>118</v>
      </c>
      <c r="AP1217">
        <v>24</v>
      </c>
      <c r="AQ1217">
        <v>118</v>
      </c>
      <c r="AR1217">
        <v>-64</v>
      </c>
      <c r="AZ1217">
        <v>1200</v>
      </c>
      <c r="BA1217">
        <v>1</v>
      </c>
      <c r="BB1217" t="str">
        <f t="shared" si="57"/>
        <v xml:space="preserve">N8080G  </v>
      </c>
      <c r="BC1217">
        <v>1</v>
      </c>
      <c r="BE1217">
        <v>0</v>
      </c>
      <c r="BF1217">
        <v>0</v>
      </c>
      <c r="BG1217">
        <v>0</v>
      </c>
      <c r="BH1217">
        <v>1675</v>
      </c>
      <c r="BI1217">
        <v>1</v>
      </c>
      <c r="BJ1217">
        <v>1</v>
      </c>
      <c r="BK1217">
        <v>1</v>
      </c>
      <c r="BL1217">
        <v>0</v>
      </c>
      <c r="BO1217">
        <v>0</v>
      </c>
      <c r="BP1217">
        <v>0</v>
      </c>
      <c r="BW1217" t="str">
        <f>"20:18:56.846"</f>
        <v>20:18:56.846</v>
      </c>
      <c r="BZ1217">
        <v>0</v>
      </c>
      <c r="CA1217">
        <v>2016</v>
      </c>
      <c r="CB1217">
        <v>224</v>
      </c>
      <c r="CD1217">
        <v>1</v>
      </c>
      <c r="CE1217">
        <v>0</v>
      </c>
      <c r="CF1217">
        <v>0</v>
      </c>
      <c r="CG1217">
        <v>1</v>
      </c>
      <c r="CH1217">
        <v>0</v>
      </c>
      <c r="CI1217">
        <v>0</v>
      </c>
      <c r="CJ1217">
        <v>0</v>
      </c>
      <c r="CK1217">
        <v>2</v>
      </c>
      <c r="CL1217">
        <v>0</v>
      </c>
      <c r="CM1217">
        <v>2</v>
      </c>
      <c r="CN1217">
        <v>0</v>
      </c>
      <c r="CO1217">
        <v>7</v>
      </c>
      <c r="CP1217" t="s">
        <v>119</v>
      </c>
      <c r="CQ1217">
        <v>180</v>
      </c>
      <c r="CR1217">
        <v>2</v>
      </c>
      <c r="CW1217">
        <v>8112274</v>
      </c>
      <c r="CY1217">
        <v>1</v>
      </c>
      <c r="CZ1217">
        <v>0</v>
      </c>
      <c r="DA1217">
        <v>1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</row>
    <row r="1218" spans="1:113" x14ac:dyDescent="0.3">
      <c r="A1218" t="str">
        <f>"02/08/2021 20:18:54.540"</f>
        <v>02/08/2021 20:18:54.540</v>
      </c>
      <c r="C1218" t="str">
        <f t="shared" si="56"/>
        <v>FFDFD7C0</v>
      </c>
      <c r="D1218" t="s">
        <v>124</v>
      </c>
      <c r="E1218">
        <v>13</v>
      </c>
      <c r="F1218">
        <v>1013</v>
      </c>
      <c r="G1218" t="s">
        <v>114</v>
      </c>
      <c r="J1218" t="s">
        <v>125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>"20:18:56.844"</f>
        <v>20:18:56.844</v>
      </c>
      <c r="T1218" t="str">
        <f>"20:18:56.344"</f>
        <v>20:18:56.344</v>
      </c>
      <c r="U1218" t="str">
        <f t="shared" ref="U1218:U1281" si="58">"AB01F4"</f>
        <v>AB01F4</v>
      </c>
      <c r="V1218">
        <v>0</v>
      </c>
      <c r="W1218">
        <v>0</v>
      </c>
      <c r="X1218">
        <v>2</v>
      </c>
      <c r="Z1218">
        <v>0</v>
      </c>
      <c r="AA1218">
        <v>9</v>
      </c>
      <c r="AB1218">
        <v>3</v>
      </c>
      <c r="AC1218">
        <v>0</v>
      </c>
      <c r="AD1218">
        <v>10</v>
      </c>
      <c r="AE1218">
        <v>0</v>
      </c>
      <c r="AF1218">
        <v>3</v>
      </c>
      <c r="AG1218">
        <v>2</v>
      </c>
      <c r="AH1218">
        <v>0</v>
      </c>
      <c r="AI1218" t="s">
        <v>878</v>
      </c>
      <c r="AJ1218">
        <v>39.753385000000002</v>
      </c>
      <c r="AK1218" t="s">
        <v>879</v>
      </c>
      <c r="AL1218">
        <v>-92.517950999999996</v>
      </c>
      <c r="AM1218">
        <v>100</v>
      </c>
      <c r="AN1218">
        <v>1700</v>
      </c>
      <c r="AO1218" t="s">
        <v>118</v>
      </c>
      <c r="AP1218">
        <v>24</v>
      </c>
      <c r="AQ1218">
        <v>118</v>
      </c>
      <c r="AR1218">
        <v>-64</v>
      </c>
      <c r="AZ1218">
        <v>1200</v>
      </c>
      <c r="BA1218">
        <v>1</v>
      </c>
      <c r="BB1218" t="str">
        <f t="shared" si="57"/>
        <v xml:space="preserve">N8080G  </v>
      </c>
      <c r="BC1218">
        <v>1</v>
      </c>
      <c r="BE1218">
        <v>0</v>
      </c>
      <c r="BF1218">
        <v>0</v>
      </c>
      <c r="BG1218">
        <v>0</v>
      </c>
      <c r="BH1218">
        <v>1675</v>
      </c>
      <c r="BI1218">
        <v>1</v>
      </c>
      <c r="BJ1218">
        <v>1</v>
      </c>
      <c r="BK1218">
        <v>1</v>
      </c>
      <c r="BL1218">
        <v>0</v>
      </c>
      <c r="BO1218">
        <v>0</v>
      </c>
      <c r="BP1218">
        <v>0</v>
      </c>
      <c r="BW1218" t="str">
        <f>"20:18:56.846"</f>
        <v>20:18:56.846</v>
      </c>
      <c r="BZ1218">
        <v>0</v>
      </c>
      <c r="CA1218">
        <v>2016</v>
      </c>
      <c r="CB1218">
        <v>224</v>
      </c>
      <c r="CD1218">
        <v>1</v>
      </c>
      <c r="CE1218">
        <v>0</v>
      </c>
      <c r="CF1218">
        <v>0</v>
      </c>
      <c r="CG1218">
        <v>1</v>
      </c>
      <c r="CH1218">
        <v>0</v>
      </c>
      <c r="CI1218">
        <v>0</v>
      </c>
      <c r="CJ1218">
        <v>0</v>
      </c>
      <c r="CK1218">
        <v>2</v>
      </c>
      <c r="CL1218">
        <v>0</v>
      </c>
      <c r="CM1218">
        <v>2</v>
      </c>
      <c r="CN1218">
        <v>0</v>
      </c>
      <c r="CO1218">
        <v>7</v>
      </c>
      <c r="CP1218" t="s">
        <v>119</v>
      </c>
      <c r="CQ1218">
        <v>180</v>
      </c>
      <c r="CR1218">
        <v>2</v>
      </c>
      <c r="CW1218">
        <v>8112274</v>
      </c>
      <c r="CY1218">
        <v>1</v>
      </c>
      <c r="CZ1218">
        <v>0</v>
      </c>
      <c r="DA1218">
        <v>1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0</v>
      </c>
    </row>
    <row r="1219" spans="1:113" x14ac:dyDescent="0.3">
      <c r="A1219" t="str">
        <f>"02/08/2021 20:18:55.565"</f>
        <v>02/08/2021 20:18:55.565</v>
      </c>
      <c r="C1219" t="str">
        <f t="shared" si="56"/>
        <v>FFDFD7C0</v>
      </c>
      <c r="D1219" t="s">
        <v>124</v>
      </c>
      <c r="E1219">
        <v>13</v>
      </c>
      <c r="F1219">
        <v>1013</v>
      </c>
      <c r="G1219" t="s">
        <v>114</v>
      </c>
      <c r="J1219" t="s">
        <v>125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>"20:18:57.867"</f>
        <v>20:18:57.867</v>
      </c>
      <c r="T1219" t="str">
        <f>"20:18:57.367"</f>
        <v>20:18:57.367</v>
      </c>
      <c r="U1219" t="str">
        <f t="shared" si="58"/>
        <v>AB01F4</v>
      </c>
      <c r="V1219">
        <v>0</v>
      </c>
      <c r="W1219">
        <v>0</v>
      </c>
      <c r="X1219">
        <v>2</v>
      </c>
      <c r="Z1219">
        <v>0</v>
      </c>
      <c r="AA1219">
        <v>9</v>
      </c>
      <c r="AB1219">
        <v>3</v>
      </c>
      <c r="AC1219">
        <v>0</v>
      </c>
      <c r="AD1219">
        <v>10</v>
      </c>
      <c r="AE1219">
        <v>0</v>
      </c>
      <c r="AF1219">
        <v>3</v>
      </c>
      <c r="AG1219">
        <v>2</v>
      </c>
      <c r="AH1219">
        <v>0</v>
      </c>
      <c r="AI1219" t="s">
        <v>880</v>
      </c>
      <c r="AJ1219">
        <v>39.753942000000002</v>
      </c>
      <c r="AK1219" t="s">
        <v>881</v>
      </c>
      <c r="AL1219">
        <v>-92.517757000000003</v>
      </c>
      <c r="AM1219">
        <v>100</v>
      </c>
      <c r="AN1219">
        <v>1700</v>
      </c>
      <c r="AO1219" t="s">
        <v>118</v>
      </c>
      <c r="AP1219">
        <v>24</v>
      </c>
      <c r="AQ1219">
        <v>118</v>
      </c>
      <c r="AR1219">
        <v>0</v>
      </c>
      <c r="AZ1219">
        <v>1200</v>
      </c>
      <c r="BA1219">
        <v>1</v>
      </c>
      <c r="BB1219" t="str">
        <f t="shared" si="57"/>
        <v xml:space="preserve">N8080G  </v>
      </c>
      <c r="BC1219">
        <v>1</v>
      </c>
      <c r="BE1219">
        <v>0</v>
      </c>
      <c r="BF1219">
        <v>0</v>
      </c>
      <c r="BG1219">
        <v>0</v>
      </c>
      <c r="BH1219">
        <v>1675</v>
      </c>
      <c r="BI1219">
        <v>1</v>
      </c>
      <c r="BJ1219">
        <v>1</v>
      </c>
      <c r="BK1219">
        <v>1</v>
      </c>
      <c r="BL1219">
        <v>0</v>
      </c>
      <c r="BO1219">
        <v>0</v>
      </c>
      <c r="BP1219">
        <v>0</v>
      </c>
      <c r="BW1219" t="str">
        <f>"20:18:57.871"</f>
        <v>20:18:57.871</v>
      </c>
      <c r="BZ1219">
        <v>0</v>
      </c>
      <c r="CA1219">
        <v>2016</v>
      </c>
      <c r="CB1219">
        <v>224</v>
      </c>
      <c r="CD1219">
        <v>1</v>
      </c>
      <c r="CE1219">
        <v>0</v>
      </c>
      <c r="CF1219">
        <v>0</v>
      </c>
      <c r="CG1219">
        <v>1</v>
      </c>
      <c r="CH1219">
        <v>0</v>
      </c>
      <c r="CI1219">
        <v>0</v>
      </c>
      <c r="CJ1219">
        <v>0</v>
      </c>
      <c r="CK1219">
        <v>2</v>
      </c>
      <c r="CL1219">
        <v>0</v>
      </c>
      <c r="CM1219">
        <v>2</v>
      </c>
      <c r="CN1219">
        <v>0</v>
      </c>
      <c r="CO1219">
        <v>7</v>
      </c>
      <c r="CP1219" t="s">
        <v>119</v>
      </c>
      <c r="CQ1219">
        <v>180</v>
      </c>
      <c r="CR1219">
        <v>2</v>
      </c>
      <c r="CW1219">
        <v>8113106</v>
      </c>
      <c r="CY1219">
        <v>1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0</v>
      </c>
      <c r="DI1219">
        <v>0</v>
      </c>
    </row>
    <row r="1220" spans="1:113" x14ac:dyDescent="0.3">
      <c r="A1220" t="str">
        <f>"02/08/2021 20:18:55.565"</f>
        <v>02/08/2021 20:18:55.565</v>
      </c>
      <c r="C1220" t="str">
        <f t="shared" si="56"/>
        <v>FFDFD7C0</v>
      </c>
      <c r="D1220" t="s">
        <v>124</v>
      </c>
      <c r="E1220">
        <v>12</v>
      </c>
      <c r="F1220">
        <v>1012</v>
      </c>
      <c r="G1220" t="s">
        <v>675</v>
      </c>
      <c r="J1220" t="s">
        <v>125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>"20:18:57.867"</f>
        <v>20:18:57.867</v>
      </c>
      <c r="T1220" t="str">
        <f>"20:18:57.367"</f>
        <v>20:18:57.367</v>
      </c>
      <c r="U1220" t="str">
        <f t="shared" si="58"/>
        <v>AB01F4</v>
      </c>
      <c r="V1220">
        <v>0</v>
      </c>
      <c r="W1220">
        <v>0</v>
      </c>
      <c r="X1220">
        <v>2</v>
      </c>
      <c r="Z1220">
        <v>0</v>
      </c>
      <c r="AA1220">
        <v>9</v>
      </c>
      <c r="AB1220">
        <v>3</v>
      </c>
      <c r="AC1220">
        <v>0</v>
      </c>
      <c r="AD1220">
        <v>10</v>
      </c>
      <c r="AE1220">
        <v>0</v>
      </c>
      <c r="AF1220">
        <v>3</v>
      </c>
      <c r="AG1220">
        <v>2</v>
      </c>
      <c r="AH1220">
        <v>0</v>
      </c>
      <c r="AI1220" t="s">
        <v>880</v>
      </c>
      <c r="AJ1220">
        <v>39.753942000000002</v>
      </c>
      <c r="AK1220" t="s">
        <v>881</v>
      </c>
      <c r="AL1220">
        <v>-92.517757000000003</v>
      </c>
      <c r="AM1220">
        <v>100</v>
      </c>
      <c r="AN1220">
        <v>1700</v>
      </c>
      <c r="AO1220" t="s">
        <v>118</v>
      </c>
      <c r="AP1220">
        <v>24</v>
      </c>
      <c r="AQ1220">
        <v>118</v>
      </c>
      <c r="AR1220">
        <v>0</v>
      </c>
      <c r="AZ1220">
        <v>1200</v>
      </c>
      <c r="BA1220">
        <v>1</v>
      </c>
      <c r="BB1220" t="str">
        <f t="shared" si="57"/>
        <v xml:space="preserve">N8080G  </v>
      </c>
      <c r="BC1220">
        <v>1</v>
      </c>
      <c r="BE1220">
        <v>0</v>
      </c>
      <c r="BF1220">
        <v>0</v>
      </c>
      <c r="BG1220">
        <v>0</v>
      </c>
      <c r="BH1220">
        <v>1675</v>
      </c>
      <c r="BI1220">
        <v>1</v>
      </c>
      <c r="BJ1220">
        <v>1</v>
      </c>
      <c r="BK1220">
        <v>1</v>
      </c>
      <c r="BL1220">
        <v>0</v>
      </c>
      <c r="BO1220">
        <v>0</v>
      </c>
      <c r="BP1220">
        <v>0</v>
      </c>
      <c r="BW1220" t="str">
        <f>"20:18:57.871"</f>
        <v>20:18:57.871</v>
      </c>
      <c r="BZ1220">
        <v>0</v>
      </c>
      <c r="CA1220">
        <v>2016</v>
      </c>
      <c r="CB1220">
        <v>224</v>
      </c>
      <c r="CD1220">
        <v>1</v>
      </c>
      <c r="CE1220">
        <v>0</v>
      </c>
      <c r="CF1220">
        <v>0</v>
      </c>
      <c r="CG1220">
        <v>1</v>
      </c>
      <c r="CH1220">
        <v>0</v>
      </c>
      <c r="CI1220">
        <v>0</v>
      </c>
      <c r="CJ1220">
        <v>0</v>
      </c>
      <c r="CK1220">
        <v>2</v>
      </c>
      <c r="CL1220">
        <v>0</v>
      </c>
      <c r="CM1220">
        <v>2</v>
      </c>
      <c r="CN1220">
        <v>0</v>
      </c>
      <c r="CO1220">
        <v>7</v>
      </c>
      <c r="CP1220" t="s">
        <v>119</v>
      </c>
      <c r="CQ1220">
        <v>180</v>
      </c>
      <c r="CR1220">
        <v>2</v>
      </c>
      <c r="CW1220">
        <v>8113106</v>
      </c>
      <c r="CY1220">
        <v>1</v>
      </c>
      <c r="CZ1220">
        <v>0</v>
      </c>
      <c r="DA1220">
        <v>1</v>
      </c>
      <c r="DB1220">
        <v>0</v>
      </c>
      <c r="DC1220">
        <v>0</v>
      </c>
      <c r="DD1220">
        <v>0</v>
      </c>
      <c r="DE1220">
        <v>0</v>
      </c>
      <c r="DF1220">
        <v>0</v>
      </c>
      <c r="DG1220">
        <v>0</v>
      </c>
      <c r="DH1220">
        <v>0</v>
      </c>
      <c r="DI1220">
        <v>0</v>
      </c>
    </row>
    <row r="1221" spans="1:113" x14ac:dyDescent="0.3">
      <c r="A1221" t="str">
        <f>"02/08/2021 20:18:55.565"</f>
        <v>02/08/2021 20:18:55.565</v>
      </c>
      <c r="C1221" t="str">
        <f t="shared" si="56"/>
        <v>FFDFD7C0</v>
      </c>
      <c r="D1221" t="s">
        <v>124</v>
      </c>
      <c r="E1221">
        <v>11</v>
      </c>
      <c r="F1221">
        <v>1011</v>
      </c>
      <c r="G1221" t="s">
        <v>590</v>
      </c>
      <c r="J1221" t="s">
        <v>125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>"20:18:57.867"</f>
        <v>20:18:57.867</v>
      </c>
      <c r="T1221" t="str">
        <f>"20:18:57.367"</f>
        <v>20:18:57.367</v>
      </c>
      <c r="U1221" t="str">
        <f t="shared" si="58"/>
        <v>AB01F4</v>
      </c>
      <c r="V1221">
        <v>0</v>
      </c>
      <c r="W1221">
        <v>0</v>
      </c>
      <c r="X1221">
        <v>2</v>
      </c>
      <c r="Z1221">
        <v>0</v>
      </c>
      <c r="AA1221">
        <v>9</v>
      </c>
      <c r="AB1221">
        <v>3</v>
      </c>
      <c r="AC1221">
        <v>0</v>
      </c>
      <c r="AD1221">
        <v>10</v>
      </c>
      <c r="AE1221">
        <v>0</v>
      </c>
      <c r="AF1221">
        <v>3</v>
      </c>
      <c r="AG1221">
        <v>2</v>
      </c>
      <c r="AH1221">
        <v>0</v>
      </c>
      <c r="AI1221" t="s">
        <v>880</v>
      </c>
      <c r="AJ1221">
        <v>39.753942000000002</v>
      </c>
      <c r="AK1221" t="s">
        <v>881</v>
      </c>
      <c r="AL1221">
        <v>-92.517757000000003</v>
      </c>
      <c r="AM1221">
        <v>100</v>
      </c>
      <c r="AN1221">
        <v>1700</v>
      </c>
      <c r="AO1221" t="s">
        <v>118</v>
      </c>
      <c r="AP1221">
        <v>24</v>
      </c>
      <c r="AQ1221">
        <v>118</v>
      </c>
      <c r="AR1221">
        <v>0</v>
      </c>
      <c r="AZ1221">
        <v>1200</v>
      </c>
      <c r="BA1221">
        <v>1</v>
      </c>
      <c r="BB1221" t="str">
        <f t="shared" si="57"/>
        <v xml:space="preserve">N8080G  </v>
      </c>
      <c r="BC1221">
        <v>1</v>
      </c>
      <c r="BE1221">
        <v>0</v>
      </c>
      <c r="BF1221">
        <v>0</v>
      </c>
      <c r="BG1221">
        <v>0</v>
      </c>
      <c r="BH1221">
        <v>1675</v>
      </c>
      <c r="BI1221">
        <v>1</v>
      </c>
      <c r="BJ1221">
        <v>1</v>
      </c>
      <c r="BK1221">
        <v>1</v>
      </c>
      <c r="BL1221">
        <v>0</v>
      </c>
      <c r="BO1221">
        <v>0</v>
      </c>
      <c r="BP1221">
        <v>0</v>
      </c>
      <c r="BW1221" t="str">
        <f>"20:18:57.871"</f>
        <v>20:18:57.871</v>
      </c>
      <c r="BZ1221">
        <v>0</v>
      </c>
      <c r="CA1221">
        <v>2016</v>
      </c>
      <c r="CB1221">
        <v>224</v>
      </c>
      <c r="CD1221">
        <v>1</v>
      </c>
      <c r="CE1221">
        <v>0</v>
      </c>
      <c r="CF1221">
        <v>0</v>
      </c>
      <c r="CG1221">
        <v>1</v>
      </c>
      <c r="CH1221">
        <v>0</v>
      </c>
      <c r="CI1221">
        <v>0</v>
      </c>
      <c r="CJ1221">
        <v>0</v>
      </c>
      <c r="CK1221">
        <v>2</v>
      </c>
      <c r="CL1221">
        <v>0</v>
      </c>
      <c r="CM1221">
        <v>2</v>
      </c>
      <c r="CN1221">
        <v>0</v>
      </c>
      <c r="CO1221">
        <v>7</v>
      </c>
      <c r="CP1221" t="s">
        <v>119</v>
      </c>
      <c r="CQ1221">
        <v>180</v>
      </c>
      <c r="CR1221">
        <v>2</v>
      </c>
      <c r="CW1221">
        <v>8113106</v>
      </c>
      <c r="CY1221">
        <v>1</v>
      </c>
      <c r="CZ1221">
        <v>0</v>
      </c>
      <c r="DA1221">
        <v>1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0</v>
      </c>
    </row>
    <row r="1222" spans="1:113" x14ac:dyDescent="0.3">
      <c r="A1222" t="str">
        <f>"02/08/2021 20:18:55.565"</f>
        <v>02/08/2021 20:18:55.565</v>
      </c>
      <c r="C1222" t="str">
        <f t="shared" si="56"/>
        <v>FFDFD7C0</v>
      </c>
      <c r="D1222" t="s">
        <v>113</v>
      </c>
      <c r="E1222">
        <v>6</v>
      </c>
      <c r="H1222">
        <v>165</v>
      </c>
      <c r="I1222" t="s">
        <v>114</v>
      </c>
      <c r="J1222" t="s">
        <v>115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>"20:18:57.867"</f>
        <v>20:18:57.867</v>
      </c>
      <c r="T1222" t="str">
        <f>"20:18:57.367"</f>
        <v>20:18:57.367</v>
      </c>
      <c r="U1222" t="str">
        <f t="shared" si="58"/>
        <v>AB01F4</v>
      </c>
      <c r="V1222">
        <v>0</v>
      </c>
      <c r="W1222">
        <v>0</v>
      </c>
      <c r="X1222">
        <v>2</v>
      </c>
      <c r="Z1222">
        <v>0</v>
      </c>
      <c r="AA1222">
        <v>9</v>
      </c>
      <c r="AB1222">
        <v>3</v>
      </c>
      <c r="AC1222">
        <v>0</v>
      </c>
      <c r="AD1222">
        <v>10</v>
      </c>
      <c r="AE1222">
        <v>0</v>
      </c>
      <c r="AF1222">
        <v>3</v>
      </c>
      <c r="AG1222">
        <v>2</v>
      </c>
      <c r="AH1222">
        <v>0</v>
      </c>
      <c r="AI1222" t="s">
        <v>880</v>
      </c>
      <c r="AJ1222">
        <v>39.753942000000002</v>
      </c>
      <c r="AK1222" t="s">
        <v>881</v>
      </c>
      <c r="AL1222">
        <v>-92.517757000000003</v>
      </c>
      <c r="AM1222">
        <v>100</v>
      </c>
      <c r="AN1222">
        <v>1700</v>
      </c>
      <c r="AO1222" t="s">
        <v>118</v>
      </c>
      <c r="AP1222">
        <v>24</v>
      </c>
      <c r="AQ1222">
        <v>118</v>
      </c>
      <c r="AR1222">
        <v>0</v>
      </c>
      <c r="AZ1222">
        <v>1200</v>
      </c>
      <c r="BA1222">
        <v>1</v>
      </c>
      <c r="BB1222" t="str">
        <f t="shared" si="57"/>
        <v xml:space="preserve">N8080G  </v>
      </c>
      <c r="BC1222">
        <v>1</v>
      </c>
      <c r="BE1222">
        <v>0</v>
      </c>
      <c r="BF1222">
        <v>0</v>
      </c>
      <c r="BG1222">
        <v>0</v>
      </c>
      <c r="BH1222">
        <v>1675</v>
      </c>
      <c r="BI1222">
        <v>1</v>
      </c>
      <c r="BJ1222">
        <v>1</v>
      </c>
      <c r="BK1222">
        <v>1</v>
      </c>
      <c r="BL1222">
        <v>0</v>
      </c>
      <c r="BO1222">
        <v>0</v>
      </c>
      <c r="BP1222">
        <v>0</v>
      </c>
      <c r="BW1222" t="str">
        <f>"20:18:57.871"</f>
        <v>20:18:57.871</v>
      </c>
      <c r="BZ1222">
        <v>0</v>
      </c>
      <c r="CA1222">
        <v>2016</v>
      </c>
      <c r="CB1222">
        <v>224</v>
      </c>
      <c r="CD1222">
        <v>1</v>
      </c>
      <c r="CE1222">
        <v>0</v>
      </c>
      <c r="CF1222">
        <v>0</v>
      </c>
      <c r="CG1222">
        <v>1</v>
      </c>
      <c r="CH1222">
        <v>0</v>
      </c>
      <c r="CI1222">
        <v>0</v>
      </c>
      <c r="CJ1222">
        <v>0</v>
      </c>
      <c r="CK1222">
        <v>2</v>
      </c>
      <c r="CL1222">
        <v>0</v>
      </c>
      <c r="CM1222">
        <v>2</v>
      </c>
      <c r="CN1222">
        <v>0</v>
      </c>
      <c r="CO1222">
        <v>7</v>
      </c>
      <c r="CP1222" t="s">
        <v>119</v>
      </c>
      <c r="CQ1222">
        <v>180</v>
      </c>
      <c r="CR1222">
        <v>2</v>
      </c>
      <c r="CW1222">
        <v>8113106</v>
      </c>
      <c r="CY1222">
        <v>1</v>
      </c>
      <c r="CZ1222">
        <v>0</v>
      </c>
      <c r="DA1222">
        <v>1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0</v>
      </c>
      <c r="DI1222">
        <v>0</v>
      </c>
    </row>
    <row r="1223" spans="1:113" x14ac:dyDescent="0.3">
      <c r="A1223" t="str">
        <f>"02/08/2021 20:18:56.800"</f>
        <v>02/08/2021 20:18:56.800</v>
      </c>
      <c r="C1223" t="str">
        <f t="shared" si="56"/>
        <v>FFDFD7C0</v>
      </c>
      <c r="D1223" t="s">
        <v>124</v>
      </c>
      <c r="E1223">
        <v>12</v>
      </c>
      <c r="F1223">
        <v>1012</v>
      </c>
      <c r="G1223" t="s">
        <v>675</v>
      </c>
      <c r="J1223" t="s">
        <v>125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>"20:18:59.148"</f>
        <v>20:18:59.148</v>
      </c>
      <c r="T1223" t="str">
        <f>"20:18:58.748"</f>
        <v>20:18:58.748</v>
      </c>
      <c r="U1223" t="str">
        <f t="shared" si="58"/>
        <v>AB01F4</v>
      </c>
      <c r="V1223">
        <v>0</v>
      </c>
      <c r="W1223">
        <v>0</v>
      </c>
      <c r="X1223">
        <v>2</v>
      </c>
      <c r="Z1223">
        <v>0</v>
      </c>
      <c r="AA1223">
        <v>9</v>
      </c>
      <c r="AB1223">
        <v>3</v>
      </c>
      <c r="AC1223">
        <v>0</v>
      </c>
      <c r="AD1223">
        <v>10</v>
      </c>
      <c r="AE1223">
        <v>0</v>
      </c>
      <c r="AF1223">
        <v>3</v>
      </c>
      <c r="AG1223">
        <v>2</v>
      </c>
      <c r="AH1223">
        <v>0</v>
      </c>
      <c r="AI1223" t="s">
        <v>882</v>
      </c>
      <c r="AJ1223">
        <v>39.754629000000001</v>
      </c>
      <c r="AK1223" t="s">
        <v>715</v>
      </c>
      <c r="AL1223">
        <v>-92.517606999999998</v>
      </c>
      <c r="AM1223">
        <v>100</v>
      </c>
      <c r="AN1223">
        <v>1700</v>
      </c>
      <c r="AO1223" t="s">
        <v>118</v>
      </c>
      <c r="AP1223">
        <v>23</v>
      </c>
      <c r="AQ1223">
        <v>118</v>
      </c>
      <c r="AR1223">
        <v>0</v>
      </c>
      <c r="AZ1223">
        <v>1200</v>
      </c>
      <c r="BA1223">
        <v>1</v>
      </c>
      <c r="BB1223" t="str">
        <f t="shared" si="57"/>
        <v xml:space="preserve">N8080G  </v>
      </c>
      <c r="BC1223">
        <v>1</v>
      </c>
      <c r="BE1223">
        <v>0</v>
      </c>
      <c r="BF1223">
        <v>0</v>
      </c>
      <c r="BG1223">
        <v>0</v>
      </c>
      <c r="BH1223">
        <v>1675</v>
      </c>
      <c r="BI1223">
        <v>1</v>
      </c>
      <c r="BJ1223">
        <v>1</v>
      </c>
      <c r="BK1223">
        <v>1</v>
      </c>
      <c r="BL1223">
        <v>0</v>
      </c>
      <c r="BO1223">
        <v>0</v>
      </c>
      <c r="BP1223">
        <v>0</v>
      </c>
      <c r="BW1223" t="str">
        <f>"20:18:59.149"</f>
        <v>20:18:59.149</v>
      </c>
      <c r="BZ1223">
        <v>0</v>
      </c>
      <c r="CA1223">
        <v>2016</v>
      </c>
      <c r="CB1223">
        <v>224</v>
      </c>
      <c r="CD1223">
        <v>1</v>
      </c>
      <c r="CE1223">
        <v>0</v>
      </c>
      <c r="CF1223">
        <v>0</v>
      </c>
      <c r="CG1223">
        <v>1</v>
      </c>
      <c r="CH1223">
        <v>0</v>
      </c>
      <c r="CI1223">
        <v>0</v>
      </c>
      <c r="CJ1223">
        <v>0</v>
      </c>
      <c r="CK1223">
        <v>2</v>
      </c>
      <c r="CL1223">
        <v>0</v>
      </c>
      <c r="CM1223">
        <v>2</v>
      </c>
      <c r="CN1223">
        <v>0</v>
      </c>
      <c r="CO1223">
        <v>6</v>
      </c>
      <c r="CP1223" t="s">
        <v>119</v>
      </c>
      <c r="CQ1223">
        <v>180</v>
      </c>
      <c r="CR1223">
        <v>2</v>
      </c>
      <c r="CW1223">
        <v>8114119</v>
      </c>
      <c r="CY1223">
        <v>1</v>
      </c>
      <c r="CZ1223">
        <v>0</v>
      </c>
      <c r="DA1223">
        <v>0</v>
      </c>
      <c r="DB1223">
        <v>0</v>
      </c>
      <c r="DC1223">
        <v>0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0</v>
      </c>
    </row>
    <row r="1224" spans="1:113" x14ac:dyDescent="0.3">
      <c r="A1224" t="str">
        <f>"02/08/2021 20:18:56.800"</f>
        <v>02/08/2021 20:18:56.800</v>
      </c>
      <c r="C1224" t="str">
        <f t="shared" si="56"/>
        <v>FFDFD7C0</v>
      </c>
      <c r="D1224" t="s">
        <v>124</v>
      </c>
      <c r="E1224">
        <v>11</v>
      </c>
      <c r="F1224">
        <v>1011</v>
      </c>
      <c r="G1224" t="s">
        <v>590</v>
      </c>
      <c r="J1224" t="s">
        <v>125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>"20:18:59.148"</f>
        <v>20:18:59.148</v>
      </c>
      <c r="T1224" t="str">
        <f>"20:18:58.748"</f>
        <v>20:18:58.748</v>
      </c>
      <c r="U1224" t="str">
        <f t="shared" si="58"/>
        <v>AB01F4</v>
      </c>
      <c r="V1224">
        <v>0</v>
      </c>
      <c r="W1224">
        <v>0</v>
      </c>
      <c r="X1224">
        <v>2</v>
      </c>
      <c r="Z1224">
        <v>0</v>
      </c>
      <c r="AA1224">
        <v>9</v>
      </c>
      <c r="AB1224">
        <v>3</v>
      </c>
      <c r="AC1224">
        <v>0</v>
      </c>
      <c r="AD1224">
        <v>10</v>
      </c>
      <c r="AE1224">
        <v>0</v>
      </c>
      <c r="AF1224">
        <v>3</v>
      </c>
      <c r="AG1224">
        <v>2</v>
      </c>
      <c r="AH1224">
        <v>0</v>
      </c>
      <c r="AI1224" t="s">
        <v>882</v>
      </c>
      <c r="AJ1224">
        <v>39.754629000000001</v>
      </c>
      <c r="AK1224" t="s">
        <v>715</v>
      </c>
      <c r="AL1224">
        <v>-92.517606999999998</v>
      </c>
      <c r="AM1224">
        <v>100</v>
      </c>
      <c r="AN1224">
        <v>1700</v>
      </c>
      <c r="AO1224" t="s">
        <v>118</v>
      </c>
      <c r="AP1224">
        <v>23</v>
      </c>
      <c r="AQ1224">
        <v>118</v>
      </c>
      <c r="AR1224">
        <v>0</v>
      </c>
      <c r="AZ1224">
        <v>1200</v>
      </c>
      <c r="BA1224">
        <v>1</v>
      </c>
      <c r="BB1224" t="str">
        <f t="shared" si="57"/>
        <v xml:space="preserve">N8080G  </v>
      </c>
      <c r="BC1224">
        <v>1</v>
      </c>
      <c r="BE1224">
        <v>0</v>
      </c>
      <c r="BF1224">
        <v>0</v>
      </c>
      <c r="BG1224">
        <v>0</v>
      </c>
      <c r="BH1224">
        <v>1675</v>
      </c>
      <c r="BI1224">
        <v>1</v>
      </c>
      <c r="BJ1224">
        <v>1</v>
      </c>
      <c r="BK1224">
        <v>1</v>
      </c>
      <c r="BL1224">
        <v>0</v>
      </c>
      <c r="BO1224">
        <v>0</v>
      </c>
      <c r="BP1224">
        <v>0</v>
      </c>
      <c r="BW1224" t="str">
        <f>"20:18:59.149"</f>
        <v>20:18:59.149</v>
      </c>
      <c r="BZ1224">
        <v>0</v>
      </c>
      <c r="CA1224">
        <v>2016</v>
      </c>
      <c r="CB1224">
        <v>224</v>
      </c>
      <c r="CD1224">
        <v>1</v>
      </c>
      <c r="CE1224">
        <v>0</v>
      </c>
      <c r="CF1224">
        <v>0</v>
      </c>
      <c r="CG1224">
        <v>1</v>
      </c>
      <c r="CH1224">
        <v>0</v>
      </c>
      <c r="CI1224">
        <v>0</v>
      </c>
      <c r="CJ1224">
        <v>0</v>
      </c>
      <c r="CK1224">
        <v>2</v>
      </c>
      <c r="CL1224">
        <v>0</v>
      </c>
      <c r="CM1224">
        <v>2</v>
      </c>
      <c r="CN1224">
        <v>0</v>
      </c>
      <c r="CO1224">
        <v>6</v>
      </c>
      <c r="CP1224" t="s">
        <v>119</v>
      </c>
      <c r="CQ1224">
        <v>180</v>
      </c>
      <c r="CR1224">
        <v>2</v>
      </c>
      <c r="CW1224">
        <v>8114119</v>
      </c>
      <c r="CY1224">
        <v>1</v>
      </c>
      <c r="CZ1224">
        <v>0</v>
      </c>
      <c r="DA1224">
        <v>1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0</v>
      </c>
    </row>
    <row r="1225" spans="1:113" x14ac:dyDescent="0.3">
      <c r="A1225" t="str">
        <f>"02/08/2021 20:18:56.800"</f>
        <v>02/08/2021 20:18:56.800</v>
      </c>
      <c r="C1225" t="str">
        <f t="shared" ref="C1225:C1288" si="59">"FFDFD7C0"</f>
        <v>FFDFD7C0</v>
      </c>
      <c r="D1225" t="s">
        <v>124</v>
      </c>
      <c r="E1225">
        <v>13</v>
      </c>
      <c r="F1225">
        <v>1013</v>
      </c>
      <c r="G1225" t="s">
        <v>114</v>
      </c>
      <c r="J1225" t="s">
        <v>125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>"20:18:59.148"</f>
        <v>20:18:59.148</v>
      </c>
      <c r="T1225" t="str">
        <f>"20:18:58.748"</f>
        <v>20:18:58.748</v>
      </c>
      <c r="U1225" t="str">
        <f t="shared" si="58"/>
        <v>AB01F4</v>
      </c>
      <c r="V1225">
        <v>0</v>
      </c>
      <c r="W1225">
        <v>0</v>
      </c>
      <c r="X1225">
        <v>2</v>
      </c>
      <c r="Z1225">
        <v>0</v>
      </c>
      <c r="AA1225">
        <v>9</v>
      </c>
      <c r="AB1225">
        <v>3</v>
      </c>
      <c r="AC1225">
        <v>0</v>
      </c>
      <c r="AD1225">
        <v>10</v>
      </c>
      <c r="AE1225">
        <v>0</v>
      </c>
      <c r="AF1225">
        <v>3</v>
      </c>
      <c r="AG1225">
        <v>2</v>
      </c>
      <c r="AH1225">
        <v>0</v>
      </c>
      <c r="AI1225" t="s">
        <v>882</v>
      </c>
      <c r="AJ1225">
        <v>39.754629000000001</v>
      </c>
      <c r="AK1225" t="s">
        <v>715</v>
      </c>
      <c r="AL1225">
        <v>-92.517606999999998</v>
      </c>
      <c r="AM1225">
        <v>100</v>
      </c>
      <c r="AN1225">
        <v>1700</v>
      </c>
      <c r="AO1225" t="s">
        <v>118</v>
      </c>
      <c r="AP1225">
        <v>23</v>
      </c>
      <c r="AQ1225">
        <v>118</v>
      </c>
      <c r="AR1225">
        <v>0</v>
      </c>
      <c r="AZ1225">
        <v>1200</v>
      </c>
      <c r="BA1225">
        <v>1</v>
      </c>
      <c r="BB1225" t="str">
        <f t="shared" si="57"/>
        <v xml:space="preserve">N8080G  </v>
      </c>
      <c r="BC1225">
        <v>1</v>
      </c>
      <c r="BE1225">
        <v>0</v>
      </c>
      <c r="BF1225">
        <v>0</v>
      </c>
      <c r="BG1225">
        <v>0</v>
      </c>
      <c r="BH1225">
        <v>1675</v>
      </c>
      <c r="BI1225">
        <v>1</v>
      </c>
      <c r="BJ1225">
        <v>1</v>
      </c>
      <c r="BK1225">
        <v>1</v>
      </c>
      <c r="BL1225">
        <v>0</v>
      </c>
      <c r="BO1225">
        <v>0</v>
      </c>
      <c r="BP1225">
        <v>0</v>
      </c>
      <c r="BW1225" t="str">
        <f>"20:18:59.149"</f>
        <v>20:18:59.149</v>
      </c>
      <c r="BZ1225">
        <v>0</v>
      </c>
      <c r="CA1225">
        <v>2016</v>
      </c>
      <c r="CB1225">
        <v>224</v>
      </c>
      <c r="CD1225">
        <v>1</v>
      </c>
      <c r="CE1225">
        <v>0</v>
      </c>
      <c r="CF1225">
        <v>0</v>
      </c>
      <c r="CG1225">
        <v>1</v>
      </c>
      <c r="CH1225">
        <v>0</v>
      </c>
      <c r="CI1225">
        <v>0</v>
      </c>
      <c r="CJ1225">
        <v>0</v>
      </c>
      <c r="CK1225">
        <v>2</v>
      </c>
      <c r="CL1225">
        <v>0</v>
      </c>
      <c r="CM1225">
        <v>2</v>
      </c>
      <c r="CN1225">
        <v>0</v>
      </c>
      <c r="CO1225">
        <v>6</v>
      </c>
      <c r="CP1225" t="s">
        <v>119</v>
      </c>
      <c r="CQ1225">
        <v>180</v>
      </c>
      <c r="CR1225">
        <v>2</v>
      </c>
      <c r="CW1225">
        <v>8114119</v>
      </c>
      <c r="CY1225">
        <v>1</v>
      </c>
      <c r="CZ1225">
        <v>0</v>
      </c>
      <c r="DA1225">
        <v>1</v>
      </c>
      <c r="DB1225">
        <v>0</v>
      </c>
      <c r="DC1225">
        <v>0</v>
      </c>
      <c r="DD1225">
        <v>0</v>
      </c>
      <c r="DE1225">
        <v>0</v>
      </c>
      <c r="DF1225">
        <v>0</v>
      </c>
      <c r="DG1225">
        <v>0</v>
      </c>
      <c r="DH1225">
        <v>0</v>
      </c>
      <c r="DI1225">
        <v>0</v>
      </c>
    </row>
    <row r="1226" spans="1:113" x14ac:dyDescent="0.3">
      <c r="A1226" t="str">
        <f>"02/08/2021 20:18:56.800"</f>
        <v>02/08/2021 20:18:56.800</v>
      </c>
      <c r="C1226" t="str">
        <f t="shared" si="59"/>
        <v>FFDFD7C0</v>
      </c>
      <c r="D1226" t="s">
        <v>113</v>
      </c>
      <c r="E1226">
        <v>6</v>
      </c>
      <c r="H1226">
        <v>165</v>
      </c>
      <c r="I1226" t="s">
        <v>114</v>
      </c>
      <c r="J1226" t="s">
        <v>115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>"20:18:59.148"</f>
        <v>20:18:59.148</v>
      </c>
      <c r="T1226" t="str">
        <f>"20:18:58.748"</f>
        <v>20:18:58.748</v>
      </c>
      <c r="U1226" t="str">
        <f t="shared" si="58"/>
        <v>AB01F4</v>
      </c>
      <c r="V1226">
        <v>0</v>
      </c>
      <c r="W1226">
        <v>0</v>
      </c>
      <c r="X1226">
        <v>2</v>
      </c>
      <c r="Z1226">
        <v>0</v>
      </c>
      <c r="AA1226">
        <v>9</v>
      </c>
      <c r="AB1226">
        <v>3</v>
      </c>
      <c r="AC1226">
        <v>0</v>
      </c>
      <c r="AD1226">
        <v>10</v>
      </c>
      <c r="AE1226">
        <v>0</v>
      </c>
      <c r="AF1226">
        <v>3</v>
      </c>
      <c r="AG1226">
        <v>2</v>
      </c>
      <c r="AH1226">
        <v>0</v>
      </c>
      <c r="AI1226" t="s">
        <v>882</v>
      </c>
      <c r="AJ1226">
        <v>39.754629000000001</v>
      </c>
      <c r="AK1226" t="s">
        <v>715</v>
      </c>
      <c r="AL1226">
        <v>-92.517606999999998</v>
      </c>
      <c r="AM1226">
        <v>100</v>
      </c>
      <c r="AN1226">
        <v>1700</v>
      </c>
      <c r="AO1226" t="s">
        <v>118</v>
      </c>
      <c r="AP1226">
        <v>23</v>
      </c>
      <c r="AQ1226">
        <v>118</v>
      </c>
      <c r="AR1226">
        <v>0</v>
      </c>
      <c r="AZ1226">
        <v>1200</v>
      </c>
      <c r="BA1226">
        <v>1</v>
      </c>
      <c r="BB1226" t="str">
        <f t="shared" si="57"/>
        <v xml:space="preserve">N8080G  </v>
      </c>
      <c r="BC1226">
        <v>1</v>
      </c>
      <c r="BE1226">
        <v>0</v>
      </c>
      <c r="BF1226">
        <v>0</v>
      </c>
      <c r="BG1226">
        <v>0</v>
      </c>
      <c r="BH1226">
        <v>1675</v>
      </c>
      <c r="BI1226">
        <v>1</v>
      </c>
      <c r="BJ1226">
        <v>1</v>
      </c>
      <c r="BK1226">
        <v>1</v>
      </c>
      <c r="BL1226">
        <v>0</v>
      </c>
      <c r="BO1226">
        <v>0</v>
      </c>
      <c r="BP1226">
        <v>0</v>
      </c>
      <c r="BW1226" t="str">
        <f>"20:18:59.149"</f>
        <v>20:18:59.149</v>
      </c>
      <c r="BZ1226">
        <v>0</v>
      </c>
      <c r="CA1226">
        <v>2016</v>
      </c>
      <c r="CB1226">
        <v>224</v>
      </c>
      <c r="CD1226">
        <v>1</v>
      </c>
      <c r="CE1226">
        <v>0</v>
      </c>
      <c r="CF1226">
        <v>0</v>
      </c>
      <c r="CG1226">
        <v>1</v>
      </c>
      <c r="CH1226">
        <v>0</v>
      </c>
      <c r="CI1226">
        <v>0</v>
      </c>
      <c r="CJ1226">
        <v>0</v>
      </c>
      <c r="CK1226">
        <v>2</v>
      </c>
      <c r="CL1226">
        <v>0</v>
      </c>
      <c r="CM1226">
        <v>2</v>
      </c>
      <c r="CN1226">
        <v>0</v>
      </c>
      <c r="CO1226">
        <v>6</v>
      </c>
      <c r="CP1226" t="s">
        <v>119</v>
      </c>
      <c r="CQ1226">
        <v>180</v>
      </c>
      <c r="CR1226">
        <v>2</v>
      </c>
      <c r="CW1226">
        <v>8114119</v>
      </c>
      <c r="CY1226">
        <v>1</v>
      </c>
      <c r="CZ1226">
        <v>0</v>
      </c>
      <c r="DA1226">
        <v>1</v>
      </c>
      <c r="DB1226">
        <v>0</v>
      </c>
      <c r="DC1226">
        <v>0</v>
      </c>
      <c r="DD1226">
        <v>0</v>
      </c>
      <c r="DE1226">
        <v>0</v>
      </c>
      <c r="DF1226">
        <v>0</v>
      </c>
      <c r="DG1226">
        <v>0</v>
      </c>
      <c r="DH1226">
        <v>0</v>
      </c>
      <c r="DI1226">
        <v>0</v>
      </c>
    </row>
    <row r="1227" spans="1:113" x14ac:dyDescent="0.3">
      <c r="A1227" t="str">
        <f>"02/08/2021 20:18:57.910"</f>
        <v>02/08/2021 20:18:57.910</v>
      </c>
      <c r="C1227" t="str">
        <f t="shared" si="59"/>
        <v>FFDFD7C0</v>
      </c>
      <c r="D1227" t="s">
        <v>124</v>
      </c>
      <c r="E1227">
        <v>12</v>
      </c>
      <c r="F1227">
        <v>1012</v>
      </c>
      <c r="G1227" t="s">
        <v>675</v>
      </c>
      <c r="J1227" t="s">
        <v>125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>"20:19:00.211"</f>
        <v>20:19:00.211</v>
      </c>
      <c r="T1227" t="str">
        <f>"20:18:59.711"</f>
        <v>20:18:59.711</v>
      </c>
      <c r="U1227" t="str">
        <f t="shared" si="58"/>
        <v>AB01F4</v>
      </c>
      <c r="V1227">
        <v>0</v>
      </c>
      <c r="W1227">
        <v>0</v>
      </c>
      <c r="X1227">
        <v>2</v>
      </c>
      <c r="Z1227">
        <v>0</v>
      </c>
      <c r="AA1227">
        <v>9</v>
      </c>
      <c r="AB1227">
        <v>3</v>
      </c>
      <c r="AC1227">
        <v>0</v>
      </c>
      <c r="AD1227">
        <v>10</v>
      </c>
      <c r="AE1227">
        <v>0</v>
      </c>
      <c r="AF1227">
        <v>3</v>
      </c>
      <c r="AG1227">
        <v>2</v>
      </c>
      <c r="AH1227">
        <v>0</v>
      </c>
      <c r="AI1227" t="s">
        <v>883</v>
      </c>
      <c r="AJ1227">
        <v>39.755229999999997</v>
      </c>
      <c r="AK1227" t="s">
        <v>884</v>
      </c>
      <c r="AL1227">
        <v>-92.517456999999993</v>
      </c>
      <c r="AM1227">
        <v>100</v>
      </c>
      <c r="AN1227">
        <v>1700</v>
      </c>
      <c r="AO1227" t="s">
        <v>118</v>
      </c>
      <c r="AP1227">
        <v>23</v>
      </c>
      <c r="AQ1227">
        <v>118</v>
      </c>
      <c r="AR1227">
        <v>0</v>
      </c>
      <c r="AZ1227">
        <v>1200</v>
      </c>
      <c r="BA1227">
        <v>1</v>
      </c>
      <c r="BB1227" t="str">
        <f t="shared" si="57"/>
        <v xml:space="preserve">N8080G  </v>
      </c>
      <c r="BC1227">
        <v>1</v>
      </c>
      <c r="BE1227">
        <v>0</v>
      </c>
      <c r="BF1227">
        <v>0</v>
      </c>
      <c r="BG1227">
        <v>0</v>
      </c>
      <c r="BH1227">
        <v>1675</v>
      </c>
      <c r="BI1227">
        <v>1</v>
      </c>
      <c r="BJ1227">
        <v>1</v>
      </c>
      <c r="BK1227">
        <v>1</v>
      </c>
      <c r="BL1227">
        <v>0</v>
      </c>
      <c r="BO1227">
        <v>0</v>
      </c>
      <c r="BP1227">
        <v>0</v>
      </c>
      <c r="BW1227" t="str">
        <f>"20:19:00.216"</f>
        <v>20:19:00.216</v>
      </c>
      <c r="BZ1227">
        <v>0</v>
      </c>
      <c r="CA1227">
        <v>2016</v>
      </c>
      <c r="CB1227">
        <v>224</v>
      </c>
      <c r="CD1227">
        <v>1</v>
      </c>
      <c r="CE1227">
        <v>0</v>
      </c>
      <c r="CF1227">
        <v>0</v>
      </c>
      <c r="CG1227">
        <v>1</v>
      </c>
      <c r="CH1227">
        <v>0</v>
      </c>
      <c r="CI1227">
        <v>0</v>
      </c>
      <c r="CJ1227">
        <v>0</v>
      </c>
      <c r="CK1227">
        <v>2</v>
      </c>
      <c r="CL1227">
        <v>0</v>
      </c>
      <c r="CM1227">
        <v>2</v>
      </c>
      <c r="CN1227">
        <v>0</v>
      </c>
      <c r="CO1227">
        <v>7</v>
      </c>
      <c r="CP1227" t="s">
        <v>119</v>
      </c>
      <c r="CQ1227">
        <v>180</v>
      </c>
      <c r="CR1227">
        <v>2</v>
      </c>
      <c r="CW1227">
        <v>8114949</v>
      </c>
      <c r="CY1227">
        <v>1</v>
      </c>
      <c r="CZ1227">
        <v>0</v>
      </c>
      <c r="DA1227">
        <v>0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>
        <v>0</v>
      </c>
      <c r="DH1227">
        <v>0</v>
      </c>
      <c r="DI1227">
        <v>0</v>
      </c>
    </row>
    <row r="1228" spans="1:113" x14ac:dyDescent="0.3">
      <c r="A1228" t="str">
        <f>"02/08/2021 20:18:57.910"</f>
        <v>02/08/2021 20:18:57.910</v>
      </c>
      <c r="C1228" t="str">
        <f t="shared" si="59"/>
        <v>FFDFD7C0</v>
      </c>
      <c r="D1228" t="s">
        <v>124</v>
      </c>
      <c r="E1228">
        <v>11</v>
      </c>
      <c r="F1228">
        <v>1011</v>
      </c>
      <c r="G1228" t="s">
        <v>590</v>
      </c>
      <c r="J1228" t="s">
        <v>125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>"20:19:00.211"</f>
        <v>20:19:00.211</v>
      </c>
      <c r="T1228" t="str">
        <f>"20:18:59.711"</f>
        <v>20:18:59.711</v>
      </c>
      <c r="U1228" t="str">
        <f t="shared" si="58"/>
        <v>AB01F4</v>
      </c>
      <c r="V1228">
        <v>0</v>
      </c>
      <c r="W1228">
        <v>0</v>
      </c>
      <c r="X1228">
        <v>2</v>
      </c>
      <c r="Z1228">
        <v>0</v>
      </c>
      <c r="AA1228">
        <v>9</v>
      </c>
      <c r="AB1228">
        <v>3</v>
      </c>
      <c r="AC1228">
        <v>0</v>
      </c>
      <c r="AD1228">
        <v>10</v>
      </c>
      <c r="AE1228">
        <v>0</v>
      </c>
      <c r="AF1228">
        <v>3</v>
      </c>
      <c r="AG1228">
        <v>2</v>
      </c>
      <c r="AH1228">
        <v>0</v>
      </c>
      <c r="AI1228" t="s">
        <v>883</v>
      </c>
      <c r="AJ1228">
        <v>39.755229999999997</v>
      </c>
      <c r="AK1228" t="s">
        <v>884</v>
      </c>
      <c r="AL1228">
        <v>-92.517456999999993</v>
      </c>
      <c r="AM1228">
        <v>100</v>
      </c>
      <c r="AN1228">
        <v>1700</v>
      </c>
      <c r="AO1228" t="s">
        <v>118</v>
      </c>
      <c r="AP1228">
        <v>23</v>
      </c>
      <c r="AQ1228">
        <v>118</v>
      </c>
      <c r="AR1228">
        <v>0</v>
      </c>
      <c r="AZ1228">
        <v>1200</v>
      </c>
      <c r="BA1228">
        <v>1</v>
      </c>
      <c r="BB1228" t="str">
        <f t="shared" si="57"/>
        <v xml:space="preserve">N8080G  </v>
      </c>
      <c r="BC1228">
        <v>1</v>
      </c>
      <c r="BE1228">
        <v>0</v>
      </c>
      <c r="BF1228">
        <v>0</v>
      </c>
      <c r="BG1228">
        <v>0</v>
      </c>
      <c r="BH1228">
        <v>1675</v>
      </c>
      <c r="BI1228">
        <v>1</v>
      </c>
      <c r="BJ1228">
        <v>1</v>
      </c>
      <c r="BK1228">
        <v>1</v>
      </c>
      <c r="BL1228">
        <v>0</v>
      </c>
      <c r="BO1228">
        <v>0</v>
      </c>
      <c r="BP1228">
        <v>0</v>
      </c>
      <c r="BW1228" t="str">
        <f>"20:19:00.216"</f>
        <v>20:19:00.216</v>
      </c>
      <c r="BZ1228">
        <v>0</v>
      </c>
      <c r="CA1228">
        <v>2016</v>
      </c>
      <c r="CB1228">
        <v>224</v>
      </c>
      <c r="CD1228">
        <v>1</v>
      </c>
      <c r="CE1228">
        <v>0</v>
      </c>
      <c r="CF1228">
        <v>0</v>
      </c>
      <c r="CG1228">
        <v>1</v>
      </c>
      <c r="CH1228">
        <v>0</v>
      </c>
      <c r="CI1228">
        <v>0</v>
      </c>
      <c r="CJ1228">
        <v>0</v>
      </c>
      <c r="CK1228">
        <v>2</v>
      </c>
      <c r="CL1228">
        <v>0</v>
      </c>
      <c r="CM1228">
        <v>2</v>
      </c>
      <c r="CN1228">
        <v>0</v>
      </c>
      <c r="CO1228">
        <v>7</v>
      </c>
      <c r="CP1228" t="s">
        <v>119</v>
      </c>
      <c r="CQ1228">
        <v>180</v>
      </c>
      <c r="CR1228">
        <v>2</v>
      </c>
      <c r="CW1228">
        <v>8114949</v>
      </c>
      <c r="CY1228">
        <v>1</v>
      </c>
      <c r="CZ1228">
        <v>0</v>
      </c>
      <c r="DA1228">
        <v>1</v>
      </c>
      <c r="DB1228">
        <v>0</v>
      </c>
      <c r="DC1228">
        <v>0</v>
      </c>
      <c r="DD1228">
        <v>0</v>
      </c>
      <c r="DE1228">
        <v>0</v>
      </c>
      <c r="DF1228">
        <v>0</v>
      </c>
      <c r="DG1228">
        <v>0</v>
      </c>
      <c r="DH1228">
        <v>0</v>
      </c>
      <c r="DI1228">
        <v>0</v>
      </c>
    </row>
    <row r="1229" spans="1:113" x14ac:dyDescent="0.3">
      <c r="A1229" t="str">
        <f>"02/08/2021 20:18:57.910"</f>
        <v>02/08/2021 20:18:57.910</v>
      </c>
      <c r="C1229" t="str">
        <f t="shared" si="59"/>
        <v>FFDFD7C0</v>
      </c>
      <c r="D1229" t="s">
        <v>124</v>
      </c>
      <c r="E1229">
        <v>13</v>
      </c>
      <c r="F1229">
        <v>1013</v>
      </c>
      <c r="G1229" t="s">
        <v>114</v>
      </c>
      <c r="J1229" t="s">
        <v>125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>"20:19:00.211"</f>
        <v>20:19:00.211</v>
      </c>
      <c r="T1229" t="str">
        <f>"20:18:59.711"</f>
        <v>20:18:59.711</v>
      </c>
      <c r="U1229" t="str">
        <f t="shared" si="58"/>
        <v>AB01F4</v>
      </c>
      <c r="V1229">
        <v>0</v>
      </c>
      <c r="W1229">
        <v>0</v>
      </c>
      <c r="X1229">
        <v>2</v>
      </c>
      <c r="Z1229">
        <v>0</v>
      </c>
      <c r="AA1229">
        <v>9</v>
      </c>
      <c r="AB1229">
        <v>3</v>
      </c>
      <c r="AC1229">
        <v>0</v>
      </c>
      <c r="AD1229">
        <v>10</v>
      </c>
      <c r="AE1229">
        <v>0</v>
      </c>
      <c r="AF1229">
        <v>3</v>
      </c>
      <c r="AG1229">
        <v>2</v>
      </c>
      <c r="AH1229">
        <v>0</v>
      </c>
      <c r="AI1229" t="s">
        <v>883</v>
      </c>
      <c r="AJ1229">
        <v>39.755229999999997</v>
      </c>
      <c r="AK1229" t="s">
        <v>884</v>
      </c>
      <c r="AL1229">
        <v>-92.517456999999993</v>
      </c>
      <c r="AM1229">
        <v>100</v>
      </c>
      <c r="AN1229">
        <v>1700</v>
      </c>
      <c r="AO1229" t="s">
        <v>118</v>
      </c>
      <c r="AP1229">
        <v>23</v>
      </c>
      <c r="AQ1229">
        <v>118</v>
      </c>
      <c r="AR1229">
        <v>0</v>
      </c>
      <c r="AZ1229">
        <v>1200</v>
      </c>
      <c r="BA1229">
        <v>1</v>
      </c>
      <c r="BB1229" t="str">
        <f t="shared" si="57"/>
        <v xml:space="preserve">N8080G  </v>
      </c>
      <c r="BC1229">
        <v>1</v>
      </c>
      <c r="BE1229">
        <v>0</v>
      </c>
      <c r="BF1229">
        <v>0</v>
      </c>
      <c r="BG1229">
        <v>0</v>
      </c>
      <c r="BH1229">
        <v>1675</v>
      </c>
      <c r="BI1229">
        <v>1</v>
      </c>
      <c r="BJ1229">
        <v>1</v>
      </c>
      <c r="BK1229">
        <v>1</v>
      </c>
      <c r="BL1229">
        <v>0</v>
      </c>
      <c r="BO1229">
        <v>0</v>
      </c>
      <c r="BP1229">
        <v>0</v>
      </c>
      <c r="BW1229" t="str">
        <f>"20:19:00.216"</f>
        <v>20:19:00.216</v>
      </c>
      <c r="BZ1229">
        <v>0</v>
      </c>
      <c r="CA1229">
        <v>2016</v>
      </c>
      <c r="CB1229">
        <v>224</v>
      </c>
      <c r="CD1229">
        <v>1</v>
      </c>
      <c r="CE1229">
        <v>0</v>
      </c>
      <c r="CF1229">
        <v>0</v>
      </c>
      <c r="CG1229">
        <v>1</v>
      </c>
      <c r="CH1229">
        <v>0</v>
      </c>
      <c r="CI1229">
        <v>0</v>
      </c>
      <c r="CJ1229">
        <v>0</v>
      </c>
      <c r="CK1229">
        <v>2</v>
      </c>
      <c r="CL1229">
        <v>0</v>
      </c>
      <c r="CM1229">
        <v>2</v>
      </c>
      <c r="CN1229">
        <v>0</v>
      </c>
      <c r="CO1229">
        <v>7</v>
      </c>
      <c r="CP1229" t="s">
        <v>119</v>
      </c>
      <c r="CQ1229">
        <v>180</v>
      </c>
      <c r="CR1229">
        <v>2</v>
      </c>
      <c r="CW1229">
        <v>8114949</v>
      </c>
      <c r="CY1229">
        <v>1</v>
      </c>
      <c r="CZ1229">
        <v>0</v>
      </c>
      <c r="DA1229">
        <v>1</v>
      </c>
      <c r="DB1229">
        <v>0</v>
      </c>
      <c r="DC1229">
        <v>0</v>
      </c>
      <c r="DD1229">
        <v>0</v>
      </c>
      <c r="DE1229">
        <v>0</v>
      </c>
      <c r="DF1229">
        <v>0</v>
      </c>
      <c r="DG1229">
        <v>0</v>
      </c>
      <c r="DH1229">
        <v>0</v>
      </c>
      <c r="DI1229">
        <v>0</v>
      </c>
    </row>
    <row r="1230" spans="1:113" x14ac:dyDescent="0.3">
      <c r="A1230" t="str">
        <f>"02/08/2021 20:18:57.910"</f>
        <v>02/08/2021 20:18:57.910</v>
      </c>
      <c r="C1230" t="str">
        <f t="shared" si="59"/>
        <v>FFDFD7C0</v>
      </c>
      <c r="D1230" t="s">
        <v>113</v>
      </c>
      <c r="E1230">
        <v>6</v>
      </c>
      <c r="H1230">
        <v>165</v>
      </c>
      <c r="I1230" t="s">
        <v>114</v>
      </c>
      <c r="J1230" t="s">
        <v>115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>"20:19:00.211"</f>
        <v>20:19:00.211</v>
      </c>
      <c r="T1230" t="str">
        <f>"20:18:59.711"</f>
        <v>20:18:59.711</v>
      </c>
      <c r="U1230" t="str">
        <f t="shared" si="58"/>
        <v>AB01F4</v>
      </c>
      <c r="V1230">
        <v>0</v>
      </c>
      <c r="W1230">
        <v>0</v>
      </c>
      <c r="X1230">
        <v>2</v>
      </c>
      <c r="Z1230">
        <v>0</v>
      </c>
      <c r="AA1230">
        <v>9</v>
      </c>
      <c r="AB1230">
        <v>3</v>
      </c>
      <c r="AC1230">
        <v>0</v>
      </c>
      <c r="AD1230">
        <v>10</v>
      </c>
      <c r="AE1230">
        <v>0</v>
      </c>
      <c r="AF1230">
        <v>3</v>
      </c>
      <c r="AG1230">
        <v>2</v>
      </c>
      <c r="AH1230">
        <v>0</v>
      </c>
      <c r="AI1230" t="s">
        <v>883</v>
      </c>
      <c r="AJ1230">
        <v>39.755229999999997</v>
      </c>
      <c r="AK1230" t="s">
        <v>884</v>
      </c>
      <c r="AL1230">
        <v>-92.517456999999993</v>
      </c>
      <c r="AM1230">
        <v>100</v>
      </c>
      <c r="AN1230">
        <v>1700</v>
      </c>
      <c r="AO1230" t="s">
        <v>118</v>
      </c>
      <c r="AP1230">
        <v>23</v>
      </c>
      <c r="AQ1230">
        <v>118</v>
      </c>
      <c r="AR1230">
        <v>0</v>
      </c>
      <c r="AZ1230">
        <v>1200</v>
      </c>
      <c r="BA1230">
        <v>1</v>
      </c>
      <c r="BB1230" t="str">
        <f t="shared" si="57"/>
        <v xml:space="preserve">N8080G  </v>
      </c>
      <c r="BC1230">
        <v>1</v>
      </c>
      <c r="BE1230">
        <v>0</v>
      </c>
      <c r="BF1230">
        <v>0</v>
      </c>
      <c r="BG1230">
        <v>0</v>
      </c>
      <c r="BH1230">
        <v>1675</v>
      </c>
      <c r="BI1230">
        <v>1</v>
      </c>
      <c r="BJ1230">
        <v>1</v>
      </c>
      <c r="BK1230">
        <v>1</v>
      </c>
      <c r="BL1230">
        <v>0</v>
      </c>
      <c r="BO1230">
        <v>0</v>
      </c>
      <c r="BP1230">
        <v>0</v>
      </c>
      <c r="BW1230" t="str">
        <f>"20:19:00.216"</f>
        <v>20:19:00.216</v>
      </c>
      <c r="BZ1230">
        <v>0</v>
      </c>
      <c r="CA1230">
        <v>2016</v>
      </c>
      <c r="CB1230">
        <v>224</v>
      </c>
      <c r="CD1230">
        <v>1</v>
      </c>
      <c r="CE1230">
        <v>0</v>
      </c>
      <c r="CF1230">
        <v>0</v>
      </c>
      <c r="CG1230">
        <v>1</v>
      </c>
      <c r="CH1230">
        <v>0</v>
      </c>
      <c r="CI1230">
        <v>0</v>
      </c>
      <c r="CJ1230">
        <v>0</v>
      </c>
      <c r="CK1230">
        <v>2</v>
      </c>
      <c r="CL1230">
        <v>0</v>
      </c>
      <c r="CM1230">
        <v>2</v>
      </c>
      <c r="CN1230">
        <v>0</v>
      </c>
      <c r="CO1230">
        <v>7</v>
      </c>
      <c r="CP1230" t="s">
        <v>119</v>
      </c>
      <c r="CQ1230">
        <v>180</v>
      </c>
      <c r="CR1230">
        <v>2</v>
      </c>
      <c r="CW1230">
        <v>8114949</v>
      </c>
      <c r="CY1230">
        <v>1</v>
      </c>
      <c r="CZ1230">
        <v>0</v>
      </c>
      <c r="DA1230">
        <v>1</v>
      </c>
      <c r="DB1230">
        <v>0</v>
      </c>
      <c r="DC1230">
        <v>0</v>
      </c>
      <c r="DD1230">
        <v>0</v>
      </c>
      <c r="DE1230">
        <v>0</v>
      </c>
      <c r="DF1230">
        <v>0</v>
      </c>
      <c r="DG1230">
        <v>0</v>
      </c>
      <c r="DH1230">
        <v>0</v>
      </c>
      <c r="DI1230">
        <v>0</v>
      </c>
    </row>
    <row r="1231" spans="1:113" x14ac:dyDescent="0.3">
      <c r="A1231" t="str">
        <f>"02/08/2021 20:19:00.681"</f>
        <v>02/08/2021 20:19:00.681</v>
      </c>
      <c r="C1231" t="str">
        <f t="shared" si="59"/>
        <v>FFDFD7C0</v>
      </c>
      <c r="D1231" t="s">
        <v>124</v>
      </c>
      <c r="E1231">
        <v>12</v>
      </c>
      <c r="F1231">
        <v>1012</v>
      </c>
      <c r="G1231" t="s">
        <v>675</v>
      </c>
      <c r="J1231" t="s">
        <v>125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>"20:19:03.000"</f>
        <v>20:19:03.000</v>
      </c>
      <c r="T1231" t="str">
        <f>"20:19:02.600"</f>
        <v>20:19:02.600</v>
      </c>
      <c r="U1231" t="str">
        <f t="shared" si="58"/>
        <v>AB01F4</v>
      </c>
      <c r="V1231">
        <v>0</v>
      </c>
      <c r="W1231">
        <v>0</v>
      </c>
      <c r="X1231">
        <v>2</v>
      </c>
      <c r="Z1231">
        <v>0</v>
      </c>
      <c r="AA1231">
        <v>9</v>
      </c>
      <c r="AB1231">
        <v>3</v>
      </c>
      <c r="AC1231">
        <v>0</v>
      </c>
      <c r="AD1231">
        <v>10</v>
      </c>
      <c r="AE1231">
        <v>0</v>
      </c>
      <c r="AF1231">
        <v>3</v>
      </c>
      <c r="AG1231">
        <v>2</v>
      </c>
      <c r="AH1231">
        <v>0</v>
      </c>
      <c r="AI1231" t="s">
        <v>885</v>
      </c>
      <c r="AJ1231">
        <v>39.756732</v>
      </c>
      <c r="AK1231" t="s">
        <v>886</v>
      </c>
      <c r="AL1231">
        <v>-92.517071000000001</v>
      </c>
      <c r="AM1231">
        <v>100</v>
      </c>
      <c r="AN1231">
        <v>1700</v>
      </c>
      <c r="AO1231" t="s">
        <v>118</v>
      </c>
      <c r="AP1231">
        <v>23</v>
      </c>
      <c r="AQ1231">
        <v>118</v>
      </c>
      <c r="AR1231">
        <v>64</v>
      </c>
      <c r="AZ1231">
        <v>1200</v>
      </c>
      <c r="BA1231">
        <v>1</v>
      </c>
      <c r="BB1231" t="str">
        <f t="shared" ref="BB1231:BB1294" si="60">"N8080G  "</f>
        <v xml:space="preserve">N8080G  </v>
      </c>
      <c r="BC1231">
        <v>1</v>
      </c>
      <c r="BE1231">
        <v>0</v>
      </c>
      <c r="BF1231">
        <v>0</v>
      </c>
      <c r="BG1231">
        <v>0</v>
      </c>
      <c r="BH1231">
        <v>1675</v>
      </c>
      <c r="BI1231">
        <v>1</v>
      </c>
      <c r="BJ1231">
        <v>1</v>
      </c>
      <c r="BK1231">
        <v>1</v>
      </c>
      <c r="BL1231">
        <v>0</v>
      </c>
      <c r="BO1231">
        <v>0</v>
      </c>
      <c r="BP1231">
        <v>0</v>
      </c>
      <c r="BW1231" t="str">
        <f>"20:19:03.006"</f>
        <v>20:19:03.006</v>
      </c>
      <c r="BZ1231">
        <v>0</v>
      </c>
      <c r="CA1231">
        <v>2016</v>
      </c>
      <c r="CB1231">
        <v>224</v>
      </c>
      <c r="CD1231">
        <v>1</v>
      </c>
      <c r="CE1231">
        <v>0</v>
      </c>
      <c r="CF1231">
        <v>0</v>
      </c>
      <c r="CG1231">
        <v>1</v>
      </c>
      <c r="CH1231">
        <v>0</v>
      </c>
      <c r="CI1231">
        <v>0</v>
      </c>
      <c r="CJ1231">
        <v>0</v>
      </c>
      <c r="CK1231">
        <v>2</v>
      </c>
      <c r="CL1231">
        <v>0</v>
      </c>
      <c r="CM1231">
        <v>2</v>
      </c>
      <c r="CN1231">
        <v>0</v>
      </c>
      <c r="CO1231">
        <v>6</v>
      </c>
      <c r="CP1231" t="s">
        <v>119</v>
      </c>
      <c r="CQ1231">
        <v>180</v>
      </c>
      <c r="CR1231">
        <v>1</v>
      </c>
      <c r="CW1231">
        <v>10680232</v>
      </c>
      <c r="CY1231">
        <v>1</v>
      </c>
      <c r="CZ1231">
        <v>0</v>
      </c>
      <c r="DA1231">
        <v>0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>
        <v>0</v>
      </c>
      <c r="DH1231">
        <v>0</v>
      </c>
      <c r="DI1231">
        <v>0</v>
      </c>
    </row>
    <row r="1232" spans="1:113" x14ac:dyDescent="0.3">
      <c r="A1232" t="str">
        <f>"02/08/2021 20:19:00.681"</f>
        <v>02/08/2021 20:19:00.681</v>
      </c>
      <c r="C1232" t="str">
        <f t="shared" si="59"/>
        <v>FFDFD7C0</v>
      </c>
      <c r="D1232" t="s">
        <v>124</v>
      </c>
      <c r="E1232">
        <v>13</v>
      </c>
      <c r="F1232">
        <v>1013</v>
      </c>
      <c r="G1232" t="s">
        <v>114</v>
      </c>
      <c r="J1232" t="s">
        <v>125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>"20:19:03.000"</f>
        <v>20:19:03.000</v>
      </c>
      <c r="T1232" t="str">
        <f>"20:19:02.600"</f>
        <v>20:19:02.600</v>
      </c>
      <c r="U1232" t="str">
        <f t="shared" si="58"/>
        <v>AB01F4</v>
      </c>
      <c r="V1232">
        <v>0</v>
      </c>
      <c r="W1232">
        <v>0</v>
      </c>
      <c r="X1232">
        <v>2</v>
      </c>
      <c r="Z1232">
        <v>0</v>
      </c>
      <c r="AA1232">
        <v>9</v>
      </c>
      <c r="AB1232">
        <v>3</v>
      </c>
      <c r="AC1232">
        <v>0</v>
      </c>
      <c r="AD1232">
        <v>10</v>
      </c>
      <c r="AE1232">
        <v>0</v>
      </c>
      <c r="AF1232">
        <v>3</v>
      </c>
      <c r="AG1232">
        <v>2</v>
      </c>
      <c r="AH1232">
        <v>0</v>
      </c>
      <c r="AI1232" t="s">
        <v>885</v>
      </c>
      <c r="AJ1232">
        <v>39.756732</v>
      </c>
      <c r="AK1232" t="s">
        <v>886</v>
      </c>
      <c r="AL1232">
        <v>-92.517071000000001</v>
      </c>
      <c r="AM1232">
        <v>100</v>
      </c>
      <c r="AN1232">
        <v>1700</v>
      </c>
      <c r="AO1232" t="s">
        <v>118</v>
      </c>
      <c r="AP1232">
        <v>23</v>
      </c>
      <c r="AQ1232">
        <v>118</v>
      </c>
      <c r="AR1232">
        <v>64</v>
      </c>
      <c r="AZ1232">
        <v>1200</v>
      </c>
      <c r="BA1232">
        <v>1</v>
      </c>
      <c r="BB1232" t="str">
        <f t="shared" si="60"/>
        <v xml:space="preserve">N8080G  </v>
      </c>
      <c r="BC1232">
        <v>1</v>
      </c>
      <c r="BE1232">
        <v>0</v>
      </c>
      <c r="BF1232">
        <v>0</v>
      </c>
      <c r="BG1232">
        <v>0</v>
      </c>
      <c r="BH1232">
        <v>1675</v>
      </c>
      <c r="BI1232">
        <v>1</v>
      </c>
      <c r="BJ1232">
        <v>1</v>
      </c>
      <c r="BK1232">
        <v>1</v>
      </c>
      <c r="BL1232">
        <v>0</v>
      </c>
      <c r="BO1232">
        <v>0</v>
      </c>
      <c r="BP1232">
        <v>0</v>
      </c>
      <c r="BW1232" t="str">
        <f>"20:19:03.006"</f>
        <v>20:19:03.006</v>
      </c>
      <c r="BZ1232">
        <v>0</v>
      </c>
      <c r="CA1232">
        <v>2016</v>
      </c>
      <c r="CB1232">
        <v>224</v>
      </c>
      <c r="CD1232">
        <v>1</v>
      </c>
      <c r="CE1232">
        <v>0</v>
      </c>
      <c r="CF1232">
        <v>0</v>
      </c>
      <c r="CG1232">
        <v>1</v>
      </c>
      <c r="CH1232">
        <v>0</v>
      </c>
      <c r="CI1232">
        <v>0</v>
      </c>
      <c r="CJ1232">
        <v>0</v>
      </c>
      <c r="CK1232">
        <v>2</v>
      </c>
      <c r="CL1232">
        <v>0</v>
      </c>
      <c r="CM1232">
        <v>2</v>
      </c>
      <c r="CN1232">
        <v>0</v>
      </c>
      <c r="CO1232">
        <v>6</v>
      </c>
      <c r="CP1232" t="s">
        <v>119</v>
      </c>
      <c r="CQ1232">
        <v>180</v>
      </c>
      <c r="CR1232">
        <v>1</v>
      </c>
      <c r="CW1232">
        <v>10680232</v>
      </c>
      <c r="CY1232">
        <v>1</v>
      </c>
      <c r="CZ1232">
        <v>0</v>
      </c>
      <c r="DA1232">
        <v>1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0</v>
      </c>
    </row>
    <row r="1233" spans="1:113" x14ac:dyDescent="0.3">
      <c r="A1233" t="str">
        <f>"02/08/2021 20:19:00.681"</f>
        <v>02/08/2021 20:19:00.681</v>
      </c>
      <c r="C1233" t="str">
        <f t="shared" si="59"/>
        <v>FFDFD7C0</v>
      </c>
      <c r="D1233" t="s">
        <v>124</v>
      </c>
      <c r="E1233">
        <v>11</v>
      </c>
      <c r="F1233">
        <v>1011</v>
      </c>
      <c r="G1233" t="s">
        <v>590</v>
      </c>
      <c r="J1233" t="s">
        <v>125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>"20:19:03.000"</f>
        <v>20:19:03.000</v>
      </c>
      <c r="T1233" t="str">
        <f>"20:19:02.600"</f>
        <v>20:19:02.600</v>
      </c>
      <c r="U1233" t="str">
        <f t="shared" si="58"/>
        <v>AB01F4</v>
      </c>
      <c r="V1233">
        <v>0</v>
      </c>
      <c r="W1233">
        <v>0</v>
      </c>
      <c r="X1233">
        <v>2</v>
      </c>
      <c r="Z1233">
        <v>0</v>
      </c>
      <c r="AA1233">
        <v>9</v>
      </c>
      <c r="AB1233">
        <v>3</v>
      </c>
      <c r="AC1233">
        <v>0</v>
      </c>
      <c r="AD1233">
        <v>10</v>
      </c>
      <c r="AE1233">
        <v>0</v>
      </c>
      <c r="AF1233">
        <v>3</v>
      </c>
      <c r="AG1233">
        <v>2</v>
      </c>
      <c r="AH1233">
        <v>0</v>
      </c>
      <c r="AI1233" t="s">
        <v>885</v>
      </c>
      <c r="AJ1233">
        <v>39.756732</v>
      </c>
      <c r="AK1233" t="s">
        <v>886</v>
      </c>
      <c r="AL1233">
        <v>-92.517071000000001</v>
      </c>
      <c r="AM1233">
        <v>100</v>
      </c>
      <c r="AN1233">
        <v>1700</v>
      </c>
      <c r="AO1233" t="s">
        <v>118</v>
      </c>
      <c r="AP1233">
        <v>23</v>
      </c>
      <c r="AQ1233">
        <v>118</v>
      </c>
      <c r="AR1233">
        <v>64</v>
      </c>
      <c r="AZ1233">
        <v>1200</v>
      </c>
      <c r="BA1233">
        <v>1</v>
      </c>
      <c r="BB1233" t="str">
        <f t="shared" si="60"/>
        <v xml:space="preserve">N8080G  </v>
      </c>
      <c r="BC1233">
        <v>1</v>
      </c>
      <c r="BE1233">
        <v>0</v>
      </c>
      <c r="BF1233">
        <v>0</v>
      </c>
      <c r="BG1233">
        <v>0</v>
      </c>
      <c r="BH1233">
        <v>1675</v>
      </c>
      <c r="BI1233">
        <v>1</v>
      </c>
      <c r="BJ1233">
        <v>1</v>
      </c>
      <c r="BK1233">
        <v>1</v>
      </c>
      <c r="BL1233">
        <v>0</v>
      </c>
      <c r="BO1233">
        <v>0</v>
      </c>
      <c r="BP1233">
        <v>0</v>
      </c>
      <c r="BW1233" t="str">
        <f>"20:19:03.006"</f>
        <v>20:19:03.006</v>
      </c>
      <c r="BZ1233">
        <v>0</v>
      </c>
      <c r="CA1233">
        <v>2016</v>
      </c>
      <c r="CB1233">
        <v>224</v>
      </c>
      <c r="CD1233">
        <v>1</v>
      </c>
      <c r="CE1233">
        <v>0</v>
      </c>
      <c r="CF1233">
        <v>0</v>
      </c>
      <c r="CG1233">
        <v>1</v>
      </c>
      <c r="CH1233">
        <v>0</v>
      </c>
      <c r="CI1233">
        <v>0</v>
      </c>
      <c r="CJ1233">
        <v>0</v>
      </c>
      <c r="CK1233">
        <v>2</v>
      </c>
      <c r="CL1233">
        <v>0</v>
      </c>
      <c r="CM1233">
        <v>2</v>
      </c>
      <c r="CN1233">
        <v>0</v>
      </c>
      <c r="CO1233">
        <v>6</v>
      </c>
      <c r="CP1233" t="s">
        <v>119</v>
      </c>
      <c r="CQ1233">
        <v>180</v>
      </c>
      <c r="CR1233">
        <v>1</v>
      </c>
      <c r="CW1233">
        <v>10680232</v>
      </c>
      <c r="CY1233">
        <v>1</v>
      </c>
      <c r="CZ1233">
        <v>0</v>
      </c>
      <c r="DA1233">
        <v>1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0</v>
      </c>
      <c r="DH1233">
        <v>0</v>
      </c>
      <c r="DI1233">
        <v>0</v>
      </c>
    </row>
    <row r="1234" spans="1:113" x14ac:dyDescent="0.3">
      <c r="A1234" t="str">
        <f>"02/08/2021 20:19:00.681"</f>
        <v>02/08/2021 20:19:00.681</v>
      </c>
      <c r="C1234" t="str">
        <f t="shared" si="59"/>
        <v>FFDFD7C0</v>
      </c>
      <c r="D1234" t="s">
        <v>113</v>
      </c>
      <c r="E1234">
        <v>6</v>
      </c>
      <c r="H1234">
        <v>165</v>
      </c>
      <c r="I1234" t="s">
        <v>114</v>
      </c>
      <c r="J1234" t="s">
        <v>115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>"20:19:03.000"</f>
        <v>20:19:03.000</v>
      </c>
      <c r="T1234" t="str">
        <f>"20:19:02.600"</f>
        <v>20:19:02.600</v>
      </c>
      <c r="U1234" t="str">
        <f t="shared" si="58"/>
        <v>AB01F4</v>
      </c>
      <c r="V1234">
        <v>0</v>
      </c>
      <c r="W1234">
        <v>0</v>
      </c>
      <c r="X1234">
        <v>2</v>
      </c>
      <c r="Z1234">
        <v>0</v>
      </c>
      <c r="AA1234">
        <v>9</v>
      </c>
      <c r="AB1234">
        <v>3</v>
      </c>
      <c r="AC1234">
        <v>0</v>
      </c>
      <c r="AD1234">
        <v>10</v>
      </c>
      <c r="AE1234">
        <v>0</v>
      </c>
      <c r="AF1234">
        <v>3</v>
      </c>
      <c r="AG1234">
        <v>2</v>
      </c>
      <c r="AH1234">
        <v>0</v>
      </c>
      <c r="AI1234" t="s">
        <v>885</v>
      </c>
      <c r="AJ1234">
        <v>39.756732</v>
      </c>
      <c r="AK1234" t="s">
        <v>886</v>
      </c>
      <c r="AL1234">
        <v>-92.517071000000001</v>
      </c>
      <c r="AM1234">
        <v>100</v>
      </c>
      <c r="AN1234">
        <v>1700</v>
      </c>
      <c r="AO1234" t="s">
        <v>118</v>
      </c>
      <c r="AP1234">
        <v>23</v>
      </c>
      <c r="AQ1234">
        <v>118</v>
      </c>
      <c r="AR1234">
        <v>64</v>
      </c>
      <c r="AZ1234">
        <v>1200</v>
      </c>
      <c r="BA1234">
        <v>1</v>
      </c>
      <c r="BB1234" t="str">
        <f t="shared" si="60"/>
        <v xml:space="preserve">N8080G  </v>
      </c>
      <c r="BC1234">
        <v>1</v>
      </c>
      <c r="BE1234">
        <v>0</v>
      </c>
      <c r="BF1234">
        <v>0</v>
      </c>
      <c r="BG1234">
        <v>0</v>
      </c>
      <c r="BH1234">
        <v>1675</v>
      </c>
      <c r="BI1234">
        <v>1</v>
      </c>
      <c r="BJ1234">
        <v>1</v>
      </c>
      <c r="BK1234">
        <v>1</v>
      </c>
      <c r="BL1234">
        <v>0</v>
      </c>
      <c r="BO1234">
        <v>0</v>
      </c>
      <c r="BP1234">
        <v>0</v>
      </c>
      <c r="BW1234" t="str">
        <f>"20:19:03.006"</f>
        <v>20:19:03.006</v>
      </c>
      <c r="BZ1234">
        <v>0</v>
      </c>
      <c r="CA1234">
        <v>2016</v>
      </c>
      <c r="CB1234">
        <v>224</v>
      </c>
      <c r="CD1234">
        <v>1</v>
      </c>
      <c r="CE1234">
        <v>0</v>
      </c>
      <c r="CF1234">
        <v>0</v>
      </c>
      <c r="CG1234">
        <v>1</v>
      </c>
      <c r="CH1234">
        <v>0</v>
      </c>
      <c r="CI1234">
        <v>0</v>
      </c>
      <c r="CJ1234">
        <v>0</v>
      </c>
      <c r="CK1234">
        <v>2</v>
      </c>
      <c r="CL1234">
        <v>0</v>
      </c>
      <c r="CM1234">
        <v>2</v>
      </c>
      <c r="CN1234">
        <v>0</v>
      </c>
      <c r="CO1234">
        <v>6</v>
      </c>
      <c r="CP1234" t="s">
        <v>119</v>
      </c>
      <c r="CQ1234">
        <v>180</v>
      </c>
      <c r="CR1234">
        <v>1</v>
      </c>
      <c r="CW1234">
        <v>10680232</v>
      </c>
      <c r="CY1234">
        <v>1</v>
      </c>
      <c r="CZ1234">
        <v>0</v>
      </c>
      <c r="DA1234">
        <v>1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</row>
    <row r="1235" spans="1:113" x14ac:dyDescent="0.3">
      <c r="A1235" t="str">
        <f>"02/08/2021 20:19:02.206"</f>
        <v>02/08/2021 20:19:02.206</v>
      </c>
      <c r="C1235" t="str">
        <f t="shared" si="59"/>
        <v>FFDFD7C0</v>
      </c>
      <c r="D1235" t="s">
        <v>124</v>
      </c>
      <c r="E1235">
        <v>13</v>
      </c>
      <c r="F1235">
        <v>1013</v>
      </c>
      <c r="G1235" t="s">
        <v>114</v>
      </c>
      <c r="J1235" t="s">
        <v>125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>"20:19:04.523"</f>
        <v>20:19:04.523</v>
      </c>
      <c r="T1235" t="str">
        <f>"20:19:04.023"</f>
        <v>20:19:04.023</v>
      </c>
      <c r="U1235" t="str">
        <f t="shared" si="58"/>
        <v>AB01F4</v>
      </c>
      <c r="V1235">
        <v>0</v>
      </c>
      <c r="W1235">
        <v>0</v>
      </c>
      <c r="X1235">
        <v>2</v>
      </c>
      <c r="Z1235">
        <v>0</v>
      </c>
      <c r="AA1235">
        <v>9</v>
      </c>
      <c r="AB1235">
        <v>3</v>
      </c>
      <c r="AC1235">
        <v>0</v>
      </c>
      <c r="AD1235">
        <v>10</v>
      </c>
      <c r="AE1235">
        <v>0</v>
      </c>
      <c r="AF1235">
        <v>3</v>
      </c>
      <c r="AG1235">
        <v>2</v>
      </c>
      <c r="AH1235">
        <v>0</v>
      </c>
      <c r="AI1235" t="s">
        <v>887</v>
      </c>
      <c r="AJ1235">
        <v>39.75759</v>
      </c>
      <c r="AK1235" t="s">
        <v>888</v>
      </c>
      <c r="AL1235">
        <v>-92.516835</v>
      </c>
      <c r="AM1235">
        <v>100</v>
      </c>
      <c r="AN1235">
        <v>1700</v>
      </c>
      <c r="AO1235" t="s">
        <v>118</v>
      </c>
      <c r="AP1235">
        <v>23</v>
      </c>
      <c r="AQ1235">
        <v>118</v>
      </c>
      <c r="AR1235">
        <v>64</v>
      </c>
      <c r="AZ1235">
        <v>1200</v>
      </c>
      <c r="BA1235">
        <v>1</v>
      </c>
      <c r="BB1235" t="str">
        <f t="shared" si="60"/>
        <v xml:space="preserve">N8080G  </v>
      </c>
      <c r="BC1235">
        <v>1</v>
      </c>
      <c r="BE1235">
        <v>0</v>
      </c>
      <c r="BF1235">
        <v>0</v>
      </c>
      <c r="BG1235">
        <v>0</v>
      </c>
      <c r="BH1235">
        <v>1700</v>
      </c>
      <c r="BI1235">
        <v>1</v>
      </c>
      <c r="BJ1235">
        <v>1</v>
      </c>
      <c r="BK1235">
        <v>1</v>
      </c>
      <c r="BL1235">
        <v>0</v>
      </c>
      <c r="BO1235">
        <v>0</v>
      </c>
      <c r="BP1235">
        <v>0</v>
      </c>
      <c r="BW1235" t="str">
        <f>"20:19:04.530"</f>
        <v>20:19:04.530</v>
      </c>
      <c r="BZ1235">
        <v>0</v>
      </c>
      <c r="CA1235">
        <v>2016</v>
      </c>
      <c r="CB1235">
        <v>224</v>
      </c>
      <c r="CD1235">
        <v>1</v>
      </c>
      <c r="CE1235">
        <v>0</v>
      </c>
      <c r="CF1235">
        <v>0</v>
      </c>
      <c r="CG1235">
        <v>1</v>
      </c>
      <c r="CH1235">
        <v>0</v>
      </c>
      <c r="CI1235">
        <v>0</v>
      </c>
      <c r="CJ1235">
        <v>0</v>
      </c>
      <c r="CK1235">
        <v>2</v>
      </c>
      <c r="CL1235">
        <v>0</v>
      </c>
      <c r="CM1235">
        <v>2</v>
      </c>
      <c r="CN1235">
        <v>0</v>
      </c>
      <c r="CO1235">
        <v>7</v>
      </c>
      <c r="CP1235" t="s">
        <v>119</v>
      </c>
      <c r="CQ1235">
        <v>180</v>
      </c>
      <c r="CR1235">
        <v>2</v>
      </c>
      <c r="CW1235">
        <v>8118563</v>
      </c>
      <c r="CY1235">
        <v>1</v>
      </c>
      <c r="CZ1235">
        <v>0</v>
      </c>
      <c r="DA1235">
        <v>0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>
        <v>0</v>
      </c>
      <c r="DH1235">
        <v>0</v>
      </c>
      <c r="DI1235">
        <v>0</v>
      </c>
    </row>
    <row r="1236" spans="1:113" x14ac:dyDescent="0.3">
      <c r="A1236" t="str">
        <f>"02/08/2021 20:19:02.206"</f>
        <v>02/08/2021 20:19:02.206</v>
      </c>
      <c r="C1236" t="str">
        <f t="shared" si="59"/>
        <v>FFDFD7C0</v>
      </c>
      <c r="D1236" t="s">
        <v>124</v>
      </c>
      <c r="E1236">
        <v>11</v>
      </c>
      <c r="F1236">
        <v>1011</v>
      </c>
      <c r="G1236" t="s">
        <v>590</v>
      </c>
      <c r="J1236" t="s">
        <v>125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>"20:19:04.523"</f>
        <v>20:19:04.523</v>
      </c>
      <c r="T1236" t="str">
        <f>"20:19:04.023"</f>
        <v>20:19:04.023</v>
      </c>
      <c r="U1236" t="str">
        <f t="shared" si="58"/>
        <v>AB01F4</v>
      </c>
      <c r="V1236">
        <v>0</v>
      </c>
      <c r="W1236">
        <v>0</v>
      </c>
      <c r="X1236">
        <v>2</v>
      </c>
      <c r="Z1236">
        <v>0</v>
      </c>
      <c r="AA1236">
        <v>9</v>
      </c>
      <c r="AB1236">
        <v>3</v>
      </c>
      <c r="AC1236">
        <v>0</v>
      </c>
      <c r="AD1236">
        <v>10</v>
      </c>
      <c r="AE1236">
        <v>0</v>
      </c>
      <c r="AF1236">
        <v>3</v>
      </c>
      <c r="AG1236">
        <v>2</v>
      </c>
      <c r="AH1236">
        <v>0</v>
      </c>
      <c r="AI1236" t="s">
        <v>887</v>
      </c>
      <c r="AJ1236">
        <v>39.75759</v>
      </c>
      <c r="AK1236" t="s">
        <v>888</v>
      </c>
      <c r="AL1236">
        <v>-92.516835</v>
      </c>
      <c r="AM1236">
        <v>100</v>
      </c>
      <c r="AN1236">
        <v>1700</v>
      </c>
      <c r="AO1236" t="s">
        <v>118</v>
      </c>
      <c r="AP1236">
        <v>23</v>
      </c>
      <c r="AQ1236">
        <v>118</v>
      </c>
      <c r="AR1236">
        <v>64</v>
      </c>
      <c r="AZ1236">
        <v>1200</v>
      </c>
      <c r="BA1236">
        <v>1</v>
      </c>
      <c r="BB1236" t="str">
        <f t="shared" si="60"/>
        <v xml:space="preserve">N8080G  </v>
      </c>
      <c r="BC1236">
        <v>1</v>
      </c>
      <c r="BE1236">
        <v>0</v>
      </c>
      <c r="BF1236">
        <v>0</v>
      </c>
      <c r="BG1236">
        <v>0</v>
      </c>
      <c r="BH1236">
        <v>1700</v>
      </c>
      <c r="BI1236">
        <v>1</v>
      </c>
      <c r="BJ1236">
        <v>1</v>
      </c>
      <c r="BK1236">
        <v>1</v>
      </c>
      <c r="BL1236">
        <v>0</v>
      </c>
      <c r="BO1236">
        <v>0</v>
      </c>
      <c r="BP1236">
        <v>0</v>
      </c>
      <c r="BW1236" t="str">
        <f>"20:19:04.530"</f>
        <v>20:19:04.530</v>
      </c>
      <c r="BZ1236">
        <v>0</v>
      </c>
      <c r="CA1236">
        <v>2016</v>
      </c>
      <c r="CB1236">
        <v>224</v>
      </c>
      <c r="CD1236">
        <v>1</v>
      </c>
      <c r="CE1236">
        <v>0</v>
      </c>
      <c r="CF1236">
        <v>0</v>
      </c>
      <c r="CG1236">
        <v>1</v>
      </c>
      <c r="CH1236">
        <v>0</v>
      </c>
      <c r="CI1236">
        <v>0</v>
      </c>
      <c r="CJ1236">
        <v>0</v>
      </c>
      <c r="CK1236">
        <v>2</v>
      </c>
      <c r="CL1236">
        <v>0</v>
      </c>
      <c r="CM1236">
        <v>2</v>
      </c>
      <c r="CN1236">
        <v>0</v>
      </c>
      <c r="CO1236">
        <v>7</v>
      </c>
      <c r="CP1236" t="s">
        <v>119</v>
      </c>
      <c r="CQ1236">
        <v>180</v>
      </c>
      <c r="CR1236">
        <v>2</v>
      </c>
      <c r="CW1236">
        <v>8118563</v>
      </c>
      <c r="CY1236">
        <v>1</v>
      </c>
      <c r="CZ1236">
        <v>0</v>
      </c>
      <c r="DA1236">
        <v>1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0</v>
      </c>
      <c r="DH1236">
        <v>0</v>
      </c>
      <c r="DI1236">
        <v>0</v>
      </c>
    </row>
    <row r="1237" spans="1:113" x14ac:dyDescent="0.3">
      <c r="A1237" t="str">
        <f>"02/08/2021 20:19:02.206"</f>
        <v>02/08/2021 20:19:02.206</v>
      </c>
      <c r="C1237" t="str">
        <f t="shared" si="59"/>
        <v>FFDFD7C0</v>
      </c>
      <c r="D1237" t="s">
        <v>113</v>
      </c>
      <c r="E1237">
        <v>6</v>
      </c>
      <c r="H1237">
        <v>165</v>
      </c>
      <c r="I1237" t="s">
        <v>114</v>
      </c>
      <c r="J1237" t="s">
        <v>115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>"20:19:04.523"</f>
        <v>20:19:04.523</v>
      </c>
      <c r="T1237" t="str">
        <f>"20:19:04.023"</f>
        <v>20:19:04.023</v>
      </c>
      <c r="U1237" t="str">
        <f t="shared" si="58"/>
        <v>AB01F4</v>
      </c>
      <c r="V1237">
        <v>0</v>
      </c>
      <c r="W1237">
        <v>0</v>
      </c>
      <c r="X1237">
        <v>2</v>
      </c>
      <c r="Z1237">
        <v>0</v>
      </c>
      <c r="AA1237">
        <v>9</v>
      </c>
      <c r="AB1237">
        <v>3</v>
      </c>
      <c r="AC1237">
        <v>0</v>
      </c>
      <c r="AD1237">
        <v>10</v>
      </c>
      <c r="AE1237">
        <v>0</v>
      </c>
      <c r="AF1237">
        <v>3</v>
      </c>
      <c r="AG1237">
        <v>2</v>
      </c>
      <c r="AH1237">
        <v>0</v>
      </c>
      <c r="AI1237" t="s">
        <v>887</v>
      </c>
      <c r="AJ1237">
        <v>39.75759</v>
      </c>
      <c r="AK1237" t="s">
        <v>888</v>
      </c>
      <c r="AL1237">
        <v>-92.516835</v>
      </c>
      <c r="AM1237">
        <v>100</v>
      </c>
      <c r="AN1237">
        <v>1700</v>
      </c>
      <c r="AO1237" t="s">
        <v>118</v>
      </c>
      <c r="AP1237">
        <v>23</v>
      </c>
      <c r="AQ1237">
        <v>118</v>
      </c>
      <c r="AR1237">
        <v>64</v>
      </c>
      <c r="AZ1237">
        <v>1200</v>
      </c>
      <c r="BA1237">
        <v>1</v>
      </c>
      <c r="BB1237" t="str">
        <f t="shared" si="60"/>
        <v xml:space="preserve">N8080G  </v>
      </c>
      <c r="BC1237">
        <v>1</v>
      </c>
      <c r="BE1237">
        <v>0</v>
      </c>
      <c r="BF1237">
        <v>0</v>
      </c>
      <c r="BG1237">
        <v>0</v>
      </c>
      <c r="BH1237">
        <v>1700</v>
      </c>
      <c r="BI1237">
        <v>1</v>
      </c>
      <c r="BJ1237">
        <v>1</v>
      </c>
      <c r="BK1237">
        <v>1</v>
      </c>
      <c r="BL1237">
        <v>0</v>
      </c>
      <c r="BO1237">
        <v>0</v>
      </c>
      <c r="BP1237">
        <v>0</v>
      </c>
      <c r="BW1237" t="str">
        <f>"20:19:04.530"</f>
        <v>20:19:04.530</v>
      </c>
      <c r="BZ1237">
        <v>0</v>
      </c>
      <c r="CA1237">
        <v>2016</v>
      </c>
      <c r="CB1237">
        <v>224</v>
      </c>
      <c r="CD1237">
        <v>1</v>
      </c>
      <c r="CE1237">
        <v>0</v>
      </c>
      <c r="CF1237">
        <v>0</v>
      </c>
      <c r="CG1237">
        <v>1</v>
      </c>
      <c r="CH1237">
        <v>0</v>
      </c>
      <c r="CI1237">
        <v>0</v>
      </c>
      <c r="CJ1237">
        <v>0</v>
      </c>
      <c r="CK1237">
        <v>2</v>
      </c>
      <c r="CL1237">
        <v>0</v>
      </c>
      <c r="CM1237">
        <v>2</v>
      </c>
      <c r="CN1237">
        <v>0</v>
      </c>
      <c r="CO1237">
        <v>7</v>
      </c>
      <c r="CP1237" t="s">
        <v>119</v>
      </c>
      <c r="CQ1237">
        <v>180</v>
      </c>
      <c r="CR1237">
        <v>2</v>
      </c>
      <c r="CW1237">
        <v>8118563</v>
      </c>
      <c r="CY1237">
        <v>1</v>
      </c>
      <c r="CZ1237">
        <v>0</v>
      </c>
      <c r="DA1237">
        <v>1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0</v>
      </c>
      <c r="DI1237">
        <v>0</v>
      </c>
    </row>
    <row r="1238" spans="1:113" x14ac:dyDescent="0.3">
      <c r="A1238" t="str">
        <f>"02/08/2021 20:19:02.206"</f>
        <v>02/08/2021 20:19:02.206</v>
      </c>
      <c r="C1238" t="str">
        <f t="shared" si="59"/>
        <v>FFDFD7C0</v>
      </c>
      <c r="D1238" t="s">
        <v>124</v>
      </c>
      <c r="E1238">
        <v>12</v>
      </c>
      <c r="F1238">
        <v>1012</v>
      </c>
      <c r="G1238" t="s">
        <v>675</v>
      </c>
      <c r="J1238" t="s">
        <v>125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>"20:19:04.523"</f>
        <v>20:19:04.523</v>
      </c>
      <c r="T1238" t="str">
        <f>"20:19:04.023"</f>
        <v>20:19:04.023</v>
      </c>
      <c r="U1238" t="str">
        <f t="shared" si="58"/>
        <v>AB01F4</v>
      </c>
      <c r="V1238">
        <v>0</v>
      </c>
      <c r="W1238">
        <v>0</v>
      </c>
      <c r="X1238">
        <v>2</v>
      </c>
      <c r="Z1238">
        <v>0</v>
      </c>
      <c r="AA1238">
        <v>9</v>
      </c>
      <c r="AB1238">
        <v>3</v>
      </c>
      <c r="AC1238">
        <v>0</v>
      </c>
      <c r="AD1238">
        <v>10</v>
      </c>
      <c r="AE1238">
        <v>0</v>
      </c>
      <c r="AF1238">
        <v>3</v>
      </c>
      <c r="AG1238">
        <v>2</v>
      </c>
      <c r="AH1238">
        <v>0</v>
      </c>
      <c r="AI1238" t="s">
        <v>887</v>
      </c>
      <c r="AJ1238">
        <v>39.75759</v>
      </c>
      <c r="AK1238" t="s">
        <v>888</v>
      </c>
      <c r="AL1238">
        <v>-92.516835</v>
      </c>
      <c r="AM1238">
        <v>100</v>
      </c>
      <c r="AN1238">
        <v>1700</v>
      </c>
      <c r="AO1238" t="s">
        <v>118</v>
      </c>
      <c r="AP1238">
        <v>23</v>
      </c>
      <c r="AQ1238">
        <v>118</v>
      </c>
      <c r="AR1238">
        <v>64</v>
      </c>
      <c r="AZ1238">
        <v>1200</v>
      </c>
      <c r="BA1238">
        <v>1</v>
      </c>
      <c r="BB1238" t="str">
        <f t="shared" si="60"/>
        <v xml:space="preserve">N8080G  </v>
      </c>
      <c r="BC1238">
        <v>1</v>
      </c>
      <c r="BE1238">
        <v>0</v>
      </c>
      <c r="BF1238">
        <v>0</v>
      </c>
      <c r="BG1238">
        <v>0</v>
      </c>
      <c r="BH1238">
        <v>1700</v>
      </c>
      <c r="BI1238">
        <v>1</v>
      </c>
      <c r="BJ1238">
        <v>1</v>
      </c>
      <c r="BK1238">
        <v>1</v>
      </c>
      <c r="BL1238">
        <v>0</v>
      </c>
      <c r="BO1238">
        <v>0</v>
      </c>
      <c r="BP1238">
        <v>0</v>
      </c>
      <c r="BW1238" t="str">
        <f>"20:19:04.530"</f>
        <v>20:19:04.530</v>
      </c>
      <c r="BZ1238">
        <v>0</v>
      </c>
      <c r="CA1238">
        <v>2016</v>
      </c>
      <c r="CB1238">
        <v>224</v>
      </c>
      <c r="CD1238">
        <v>1</v>
      </c>
      <c r="CE1238">
        <v>0</v>
      </c>
      <c r="CF1238">
        <v>0</v>
      </c>
      <c r="CG1238">
        <v>1</v>
      </c>
      <c r="CH1238">
        <v>0</v>
      </c>
      <c r="CI1238">
        <v>0</v>
      </c>
      <c r="CJ1238">
        <v>0</v>
      </c>
      <c r="CK1238">
        <v>2</v>
      </c>
      <c r="CL1238">
        <v>0</v>
      </c>
      <c r="CM1238">
        <v>2</v>
      </c>
      <c r="CN1238">
        <v>0</v>
      </c>
      <c r="CO1238">
        <v>7</v>
      </c>
      <c r="CP1238" t="s">
        <v>119</v>
      </c>
      <c r="CQ1238">
        <v>180</v>
      </c>
      <c r="CR1238">
        <v>2</v>
      </c>
      <c r="CW1238">
        <v>8118563</v>
      </c>
      <c r="CY1238">
        <v>1</v>
      </c>
      <c r="CZ1238">
        <v>0</v>
      </c>
      <c r="DA1238">
        <v>1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0</v>
      </c>
      <c r="DI1238">
        <v>0</v>
      </c>
    </row>
    <row r="1239" spans="1:113" x14ac:dyDescent="0.3">
      <c r="A1239" t="str">
        <f>"02/08/2021 20:19:03.796"</f>
        <v>02/08/2021 20:19:03.796</v>
      </c>
      <c r="C1239" t="str">
        <f t="shared" si="59"/>
        <v>FFDFD7C0</v>
      </c>
      <c r="D1239" t="s">
        <v>124</v>
      </c>
      <c r="E1239">
        <v>12</v>
      </c>
      <c r="F1239">
        <v>1012</v>
      </c>
      <c r="G1239" t="s">
        <v>675</v>
      </c>
      <c r="J1239" t="s">
        <v>125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>"20:19:06.133"</f>
        <v>20:19:06.133</v>
      </c>
      <c r="T1239" t="str">
        <f>"20:19:05.633"</f>
        <v>20:19:05.633</v>
      </c>
      <c r="U1239" t="str">
        <f t="shared" si="58"/>
        <v>AB01F4</v>
      </c>
      <c r="V1239">
        <v>0</v>
      </c>
      <c r="W1239">
        <v>0</v>
      </c>
      <c r="X1239">
        <v>2</v>
      </c>
      <c r="Z1239">
        <v>0</v>
      </c>
      <c r="AA1239">
        <v>9</v>
      </c>
      <c r="AB1239">
        <v>3</v>
      </c>
      <c r="AC1239">
        <v>0</v>
      </c>
      <c r="AD1239">
        <v>10</v>
      </c>
      <c r="AE1239">
        <v>0</v>
      </c>
      <c r="AF1239">
        <v>3</v>
      </c>
      <c r="AG1239">
        <v>2</v>
      </c>
      <c r="AH1239">
        <v>0</v>
      </c>
      <c r="AI1239" t="s">
        <v>889</v>
      </c>
      <c r="AJ1239">
        <v>39.758470000000003</v>
      </c>
      <c r="AK1239" t="s">
        <v>890</v>
      </c>
      <c r="AL1239">
        <v>-92.516642000000004</v>
      </c>
      <c r="AM1239">
        <v>100</v>
      </c>
      <c r="AN1239">
        <v>1700</v>
      </c>
      <c r="AO1239" t="s">
        <v>118</v>
      </c>
      <c r="AP1239">
        <v>23</v>
      </c>
      <c r="AQ1239">
        <v>118</v>
      </c>
      <c r="AR1239">
        <v>64</v>
      </c>
      <c r="AZ1239">
        <v>1200</v>
      </c>
      <c r="BA1239">
        <v>1</v>
      </c>
      <c r="BB1239" t="str">
        <f t="shared" si="60"/>
        <v xml:space="preserve">N8080G  </v>
      </c>
      <c r="BC1239">
        <v>1</v>
      </c>
      <c r="BE1239">
        <v>0</v>
      </c>
      <c r="BF1239">
        <v>0</v>
      </c>
      <c r="BG1239">
        <v>0</v>
      </c>
      <c r="BH1239">
        <v>1700</v>
      </c>
      <c r="BI1239">
        <v>1</v>
      </c>
      <c r="BJ1239">
        <v>1</v>
      </c>
      <c r="BK1239">
        <v>1</v>
      </c>
      <c r="BL1239">
        <v>0</v>
      </c>
      <c r="BO1239">
        <v>0</v>
      </c>
      <c r="BP1239">
        <v>0</v>
      </c>
      <c r="BW1239" t="str">
        <f>"20:19:06.139"</f>
        <v>20:19:06.139</v>
      </c>
      <c r="BZ1239">
        <v>0</v>
      </c>
      <c r="CA1239">
        <v>2016</v>
      </c>
      <c r="CB1239">
        <v>224</v>
      </c>
      <c r="CD1239">
        <v>1</v>
      </c>
      <c r="CE1239">
        <v>0</v>
      </c>
      <c r="CF1239">
        <v>0</v>
      </c>
      <c r="CG1239">
        <v>1</v>
      </c>
      <c r="CH1239">
        <v>0</v>
      </c>
      <c r="CI1239">
        <v>0</v>
      </c>
      <c r="CJ1239">
        <v>0</v>
      </c>
      <c r="CK1239">
        <v>2</v>
      </c>
      <c r="CL1239">
        <v>0</v>
      </c>
      <c r="CM1239">
        <v>2</v>
      </c>
      <c r="CN1239">
        <v>0</v>
      </c>
      <c r="CO1239">
        <v>7</v>
      </c>
      <c r="CP1239" t="s">
        <v>119</v>
      </c>
      <c r="CQ1239">
        <v>180</v>
      </c>
      <c r="CR1239">
        <v>2</v>
      </c>
      <c r="CW1239">
        <v>8119985</v>
      </c>
      <c r="CY1239">
        <v>1</v>
      </c>
      <c r="CZ1239">
        <v>0</v>
      </c>
      <c r="DA1239">
        <v>0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>
        <v>0</v>
      </c>
      <c r="DH1239">
        <v>0</v>
      </c>
      <c r="DI1239">
        <v>0</v>
      </c>
    </row>
    <row r="1240" spans="1:113" x14ac:dyDescent="0.3">
      <c r="A1240" t="str">
        <f>"02/08/2021 20:19:03.796"</f>
        <v>02/08/2021 20:19:03.796</v>
      </c>
      <c r="C1240" t="str">
        <f t="shared" si="59"/>
        <v>FFDFD7C0</v>
      </c>
      <c r="D1240" t="s">
        <v>113</v>
      </c>
      <c r="E1240">
        <v>6</v>
      </c>
      <c r="H1240">
        <v>165</v>
      </c>
      <c r="I1240" t="s">
        <v>114</v>
      </c>
      <c r="J1240" t="s">
        <v>115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>"20:19:06.133"</f>
        <v>20:19:06.133</v>
      </c>
      <c r="T1240" t="str">
        <f>"20:19:05.633"</f>
        <v>20:19:05.633</v>
      </c>
      <c r="U1240" t="str">
        <f t="shared" si="58"/>
        <v>AB01F4</v>
      </c>
      <c r="V1240">
        <v>0</v>
      </c>
      <c r="W1240">
        <v>0</v>
      </c>
      <c r="X1240">
        <v>2</v>
      </c>
      <c r="Z1240">
        <v>0</v>
      </c>
      <c r="AA1240">
        <v>9</v>
      </c>
      <c r="AB1240">
        <v>3</v>
      </c>
      <c r="AC1240">
        <v>0</v>
      </c>
      <c r="AD1240">
        <v>10</v>
      </c>
      <c r="AE1240">
        <v>0</v>
      </c>
      <c r="AF1240">
        <v>3</v>
      </c>
      <c r="AG1240">
        <v>2</v>
      </c>
      <c r="AH1240">
        <v>0</v>
      </c>
      <c r="AI1240" t="s">
        <v>889</v>
      </c>
      <c r="AJ1240">
        <v>39.758470000000003</v>
      </c>
      <c r="AK1240" t="s">
        <v>890</v>
      </c>
      <c r="AL1240">
        <v>-92.516642000000004</v>
      </c>
      <c r="AM1240">
        <v>100</v>
      </c>
      <c r="AN1240">
        <v>1700</v>
      </c>
      <c r="AO1240" t="s">
        <v>118</v>
      </c>
      <c r="AP1240">
        <v>23</v>
      </c>
      <c r="AQ1240">
        <v>118</v>
      </c>
      <c r="AR1240">
        <v>64</v>
      </c>
      <c r="AZ1240">
        <v>1200</v>
      </c>
      <c r="BA1240">
        <v>1</v>
      </c>
      <c r="BB1240" t="str">
        <f t="shared" si="60"/>
        <v xml:space="preserve">N8080G  </v>
      </c>
      <c r="BC1240">
        <v>1</v>
      </c>
      <c r="BE1240">
        <v>0</v>
      </c>
      <c r="BF1240">
        <v>0</v>
      </c>
      <c r="BG1240">
        <v>0</v>
      </c>
      <c r="BH1240">
        <v>1700</v>
      </c>
      <c r="BI1240">
        <v>1</v>
      </c>
      <c r="BJ1240">
        <v>1</v>
      </c>
      <c r="BK1240">
        <v>1</v>
      </c>
      <c r="BL1240">
        <v>0</v>
      </c>
      <c r="BO1240">
        <v>0</v>
      </c>
      <c r="BP1240">
        <v>0</v>
      </c>
      <c r="BW1240" t="str">
        <f>"20:19:06.139"</f>
        <v>20:19:06.139</v>
      </c>
      <c r="BZ1240">
        <v>0</v>
      </c>
      <c r="CA1240">
        <v>2016</v>
      </c>
      <c r="CB1240">
        <v>224</v>
      </c>
      <c r="CD1240">
        <v>1</v>
      </c>
      <c r="CE1240">
        <v>0</v>
      </c>
      <c r="CF1240">
        <v>0</v>
      </c>
      <c r="CG1240">
        <v>1</v>
      </c>
      <c r="CH1240">
        <v>0</v>
      </c>
      <c r="CI1240">
        <v>0</v>
      </c>
      <c r="CJ1240">
        <v>0</v>
      </c>
      <c r="CK1240">
        <v>2</v>
      </c>
      <c r="CL1240">
        <v>0</v>
      </c>
      <c r="CM1240">
        <v>2</v>
      </c>
      <c r="CN1240">
        <v>0</v>
      </c>
      <c r="CO1240">
        <v>7</v>
      </c>
      <c r="CP1240" t="s">
        <v>119</v>
      </c>
      <c r="CQ1240">
        <v>180</v>
      </c>
      <c r="CR1240">
        <v>2</v>
      </c>
      <c r="CW1240">
        <v>8119985</v>
      </c>
      <c r="CY1240">
        <v>1</v>
      </c>
      <c r="CZ1240">
        <v>0</v>
      </c>
      <c r="DA1240">
        <v>1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0</v>
      </c>
      <c r="DH1240">
        <v>0</v>
      </c>
      <c r="DI1240">
        <v>0</v>
      </c>
    </row>
    <row r="1241" spans="1:113" x14ac:dyDescent="0.3">
      <c r="A1241" t="str">
        <f>"02/08/2021 20:19:03.796"</f>
        <v>02/08/2021 20:19:03.796</v>
      </c>
      <c r="C1241" t="str">
        <f t="shared" si="59"/>
        <v>FFDFD7C0</v>
      </c>
      <c r="D1241" t="s">
        <v>124</v>
      </c>
      <c r="E1241">
        <v>13</v>
      </c>
      <c r="F1241">
        <v>1013</v>
      </c>
      <c r="G1241" t="s">
        <v>114</v>
      </c>
      <c r="J1241" t="s">
        <v>125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>"20:19:06.133"</f>
        <v>20:19:06.133</v>
      </c>
      <c r="T1241" t="str">
        <f>"20:19:05.633"</f>
        <v>20:19:05.633</v>
      </c>
      <c r="U1241" t="str">
        <f t="shared" si="58"/>
        <v>AB01F4</v>
      </c>
      <c r="V1241">
        <v>0</v>
      </c>
      <c r="W1241">
        <v>0</v>
      </c>
      <c r="X1241">
        <v>2</v>
      </c>
      <c r="Z1241">
        <v>0</v>
      </c>
      <c r="AA1241">
        <v>9</v>
      </c>
      <c r="AB1241">
        <v>3</v>
      </c>
      <c r="AC1241">
        <v>0</v>
      </c>
      <c r="AD1241">
        <v>10</v>
      </c>
      <c r="AE1241">
        <v>0</v>
      </c>
      <c r="AF1241">
        <v>3</v>
      </c>
      <c r="AG1241">
        <v>2</v>
      </c>
      <c r="AH1241">
        <v>0</v>
      </c>
      <c r="AI1241" t="s">
        <v>889</v>
      </c>
      <c r="AJ1241">
        <v>39.758470000000003</v>
      </c>
      <c r="AK1241" t="s">
        <v>890</v>
      </c>
      <c r="AL1241">
        <v>-92.516642000000004</v>
      </c>
      <c r="AM1241">
        <v>100</v>
      </c>
      <c r="AN1241">
        <v>1700</v>
      </c>
      <c r="AO1241" t="s">
        <v>118</v>
      </c>
      <c r="AP1241">
        <v>23</v>
      </c>
      <c r="AQ1241">
        <v>118</v>
      </c>
      <c r="AR1241">
        <v>64</v>
      </c>
      <c r="AZ1241">
        <v>1200</v>
      </c>
      <c r="BA1241">
        <v>1</v>
      </c>
      <c r="BB1241" t="str">
        <f t="shared" si="60"/>
        <v xml:space="preserve">N8080G  </v>
      </c>
      <c r="BC1241">
        <v>1</v>
      </c>
      <c r="BE1241">
        <v>0</v>
      </c>
      <c r="BF1241">
        <v>0</v>
      </c>
      <c r="BG1241">
        <v>0</v>
      </c>
      <c r="BH1241">
        <v>1700</v>
      </c>
      <c r="BI1241">
        <v>1</v>
      </c>
      <c r="BJ1241">
        <v>1</v>
      </c>
      <c r="BK1241">
        <v>1</v>
      </c>
      <c r="BL1241">
        <v>0</v>
      </c>
      <c r="BO1241">
        <v>0</v>
      </c>
      <c r="BP1241">
        <v>0</v>
      </c>
      <c r="BW1241" t="str">
        <f>"20:19:06.139"</f>
        <v>20:19:06.139</v>
      </c>
      <c r="BZ1241">
        <v>0</v>
      </c>
      <c r="CA1241">
        <v>2016</v>
      </c>
      <c r="CB1241">
        <v>224</v>
      </c>
      <c r="CD1241">
        <v>1</v>
      </c>
      <c r="CE1241">
        <v>0</v>
      </c>
      <c r="CF1241">
        <v>0</v>
      </c>
      <c r="CG1241">
        <v>1</v>
      </c>
      <c r="CH1241">
        <v>0</v>
      </c>
      <c r="CI1241">
        <v>0</v>
      </c>
      <c r="CJ1241">
        <v>0</v>
      </c>
      <c r="CK1241">
        <v>2</v>
      </c>
      <c r="CL1241">
        <v>0</v>
      </c>
      <c r="CM1241">
        <v>2</v>
      </c>
      <c r="CN1241">
        <v>0</v>
      </c>
      <c r="CO1241">
        <v>7</v>
      </c>
      <c r="CP1241" t="s">
        <v>119</v>
      </c>
      <c r="CQ1241">
        <v>180</v>
      </c>
      <c r="CR1241">
        <v>2</v>
      </c>
      <c r="CW1241">
        <v>8119985</v>
      </c>
      <c r="CY1241">
        <v>1</v>
      </c>
      <c r="CZ1241">
        <v>0</v>
      </c>
      <c r="DA1241">
        <v>1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0</v>
      </c>
      <c r="DH1241">
        <v>0</v>
      </c>
      <c r="DI1241">
        <v>0</v>
      </c>
    </row>
    <row r="1242" spans="1:113" x14ac:dyDescent="0.3">
      <c r="A1242" t="str">
        <f>"02/08/2021 20:19:03.796"</f>
        <v>02/08/2021 20:19:03.796</v>
      </c>
      <c r="C1242" t="str">
        <f t="shared" si="59"/>
        <v>FFDFD7C0</v>
      </c>
      <c r="D1242" t="s">
        <v>124</v>
      </c>
      <c r="E1242">
        <v>11</v>
      </c>
      <c r="F1242">
        <v>1011</v>
      </c>
      <c r="G1242" t="s">
        <v>590</v>
      </c>
      <c r="J1242" t="s">
        <v>125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>"20:19:06.133"</f>
        <v>20:19:06.133</v>
      </c>
      <c r="T1242" t="str">
        <f>"20:19:05.633"</f>
        <v>20:19:05.633</v>
      </c>
      <c r="U1242" t="str">
        <f t="shared" si="58"/>
        <v>AB01F4</v>
      </c>
      <c r="V1242">
        <v>0</v>
      </c>
      <c r="W1242">
        <v>0</v>
      </c>
      <c r="X1242">
        <v>2</v>
      </c>
      <c r="Z1242">
        <v>0</v>
      </c>
      <c r="AA1242">
        <v>9</v>
      </c>
      <c r="AB1242">
        <v>3</v>
      </c>
      <c r="AC1242">
        <v>0</v>
      </c>
      <c r="AD1242">
        <v>10</v>
      </c>
      <c r="AE1242">
        <v>0</v>
      </c>
      <c r="AF1242">
        <v>3</v>
      </c>
      <c r="AG1242">
        <v>2</v>
      </c>
      <c r="AH1242">
        <v>0</v>
      </c>
      <c r="AI1242" t="s">
        <v>889</v>
      </c>
      <c r="AJ1242">
        <v>39.758470000000003</v>
      </c>
      <c r="AK1242" t="s">
        <v>890</v>
      </c>
      <c r="AL1242">
        <v>-92.516642000000004</v>
      </c>
      <c r="AM1242">
        <v>100</v>
      </c>
      <c r="AN1242">
        <v>1700</v>
      </c>
      <c r="AO1242" t="s">
        <v>118</v>
      </c>
      <c r="AP1242">
        <v>23</v>
      </c>
      <c r="AQ1242">
        <v>118</v>
      </c>
      <c r="AR1242">
        <v>64</v>
      </c>
      <c r="AZ1242">
        <v>1200</v>
      </c>
      <c r="BA1242">
        <v>1</v>
      </c>
      <c r="BB1242" t="str">
        <f t="shared" si="60"/>
        <v xml:space="preserve">N8080G  </v>
      </c>
      <c r="BC1242">
        <v>1</v>
      </c>
      <c r="BE1242">
        <v>0</v>
      </c>
      <c r="BF1242">
        <v>0</v>
      </c>
      <c r="BG1242">
        <v>0</v>
      </c>
      <c r="BH1242">
        <v>1700</v>
      </c>
      <c r="BI1242">
        <v>1</v>
      </c>
      <c r="BJ1242">
        <v>1</v>
      </c>
      <c r="BK1242">
        <v>1</v>
      </c>
      <c r="BL1242">
        <v>0</v>
      </c>
      <c r="BO1242">
        <v>0</v>
      </c>
      <c r="BP1242">
        <v>0</v>
      </c>
      <c r="BW1242" t="str">
        <f>"20:19:06.139"</f>
        <v>20:19:06.139</v>
      </c>
      <c r="BZ1242">
        <v>0</v>
      </c>
      <c r="CA1242">
        <v>2016</v>
      </c>
      <c r="CB1242">
        <v>224</v>
      </c>
      <c r="CD1242">
        <v>1</v>
      </c>
      <c r="CE1242">
        <v>0</v>
      </c>
      <c r="CF1242">
        <v>0</v>
      </c>
      <c r="CG1242">
        <v>1</v>
      </c>
      <c r="CH1242">
        <v>0</v>
      </c>
      <c r="CI1242">
        <v>0</v>
      </c>
      <c r="CJ1242">
        <v>0</v>
      </c>
      <c r="CK1242">
        <v>2</v>
      </c>
      <c r="CL1242">
        <v>0</v>
      </c>
      <c r="CM1242">
        <v>2</v>
      </c>
      <c r="CN1242">
        <v>0</v>
      </c>
      <c r="CO1242">
        <v>7</v>
      </c>
      <c r="CP1242" t="s">
        <v>119</v>
      </c>
      <c r="CQ1242">
        <v>180</v>
      </c>
      <c r="CR1242">
        <v>2</v>
      </c>
      <c r="CW1242">
        <v>8119985</v>
      </c>
      <c r="CY1242">
        <v>1</v>
      </c>
      <c r="CZ1242">
        <v>0</v>
      </c>
      <c r="DA1242">
        <v>1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>
        <v>0</v>
      </c>
      <c r="DH1242">
        <v>0</v>
      </c>
      <c r="DI1242">
        <v>0</v>
      </c>
    </row>
    <row r="1243" spans="1:113" x14ac:dyDescent="0.3">
      <c r="A1243" t="str">
        <f>"02/08/2021 20:19:05.305"</f>
        <v>02/08/2021 20:19:05.305</v>
      </c>
      <c r="C1243" t="str">
        <f t="shared" si="59"/>
        <v>FFDFD7C0</v>
      </c>
      <c r="D1243" t="s">
        <v>124</v>
      </c>
      <c r="E1243">
        <v>12</v>
      </c>
      <c r="F1243">
        <v>1012</v>
      </c>
      <c r="G1243" t="s">
        <v>675</v>
      </c>
      <c r="J1243" t="s">
        <v>125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>"20:19:07.594"</f>
        <v>20:19:07.594</v>
      </c>
      <c r="T1243" t="str">
        <f>"20:19:07.194"</f>
        <v>20:19:07.194</v>
      </c>
      <c r="U1243" t="str">
        <f t="shared" si="58"/>
        <v>AB01F4</v>
      </c>
      <c r="V1243">
        <v>0</v>
      </c>
      <c r="W1243">
        <v>0</v>
      </c>
      <c r="X1243">
        <v>2</v>
      </c>
      <c r="Z1243">
        <v>0</v>
      </c>
      <c r="AA1243">
        <v>9</v>
      </c>
      <c r="AB1243">
        <v>3</v>
      </c>
      <c r="AC1243">
        <v>0</v>
      </c>
      <c r="AD1243">
        <v>10</v>
      </c>
      <c r="AE1243">
        <v>0</v>
      </c>
      <c r="AF1243">
        <v>3</v>
      </c>
      <c r="AG1243">
        <v>2</v>
      </c>
      <c r="AH1243">
        <v>0</v>
      </c>
      <c r="AI1243" t="s">
        <v>891</v>
      </c>
      <c r="AJ1243">
        <v>39.759242999999998</v>
      </c>
      <c r="AK1243" t="s">
        <v>892</v>
      </c>
      <c r="AL1243">
        <v>-92.516406000000003</v>
      </c>
      <c r="AM1243">
        <v>100</v>
      </c>
      <c r="AN1243">
        <v>1700</v>
      </c>
      <c r="AO1243" t="s">
        <v>118</v>
      </c>
      <c r="AP1243">
        <v>23</v>
      </c>
      <c r="AQ1243">
        <v>118</v>
      </c>
      <c r="AR1243">
        <v>0</v>
      </c>
      <c r="AZ1243">
        <v>1200</v>
      </c>
      <c r="BA1243">
        <v>1</v>
      </c>
      <c r="BB1243" t="str">
        <f t="shared" si="60"/>
        <v xml:space="preserve">N8080G  </v>
      </c>
      <c r="BC1243">
        <v>1</v>
      </c>
      <c r="BE1243">
        <v>0</v>
      </c>
      <c r="BF1243">
        <v>0</v>
      </c>
      <c r="BG1243">
        <v>0</v>
      </c>
      <c r="BH1243">
        <v>1675</v>
      </c>
      <c r="BI1243">
        <v>1</v>
      </c>
      <c r="BJ1243">
        <v>1</v>
      </c>
      <c r="BK1243">
        <v>1</v>
      </c>
      <c r="BL1243">
        <v>0</v>
      </c>
      <c r="BO1243">
        <v>0</v>
      </c>
      <c r="BP1243">
        <v>0</v>
      </c>
      <c r="BW1243" t="str">
        <f>"20:19:07.595"</f>
        <v>20:19:07.595</v>
      </c>
      <c r="BZ1243">
        <v>0</v>
      </c>
      <c r="CA1243">
        <v>2016</v>
      </c>
      <c r="CB1243">
        <v>224</v>
      </c>
      <c r="CD1243">
        <v>1</v>
      </c>
      <c r="CE1243">
        <v>0</v>
      </c>
      <c r="CF1243">
        <v>0</v>
      </c>
      <c r="CG1243">
        <v>1</v>
      </c>
      <c r="CH1243">
        <v>0</v>
      </c>
      <c r="CI1243">
        <v>0</v>
      </c>
      <c r="CJ1243">
        <v>0</v>
      </c>
      <c r="CK1243">
        <v>2</v>
      </c>
      <c r="CL1243">
        <v>0</v>
      </c>
      <c r="CM1243">
        <v>2</v>
      </c>
      <c r="CN1243">
        <v>0</v>
      </c>
      <c r="CO1243">
        <v>7</v>
      </c>
      <c r="CP1243" t="s">
        <v>119</v>
      </c>
      <c r="CQ1243">
        <v>180</v>
      </c>
      <c r="CR1243">
        <v>2</v>
      </c>
      <c r="CW1243">
        <v>8121193</v>
      </c>
      <c r="CY1243">
        <v>1</v>
      </c>
      <c r="CZ1243">
        <v>0</v>
      </c>
      <c r="DA1243">
        <v>0</v>
      </c>
      <c r="DB1243">
        <v>0</v>
      </c>
      <c r="DC1243">
        <v>0</v>
      </c>
      <c r="DD1243">
        <v>0</v>
      </c>
      <c r="DE1243">
        <v>0</v>
      </c>
      <c r="DF1243">
        <v>0</v>
      </c>
      <c r="DG1243">
        <v>0</v>
      </c>
      <c r="DH1243">
        <v>0</v>
      </c>
      <c r="DI1243">
        <v>0</v>
      </c>
    </row>
    <row r="1244" spans="1:113" x14ac:dyDescent="0.3">
      <c r="A1244" t="str">
        <f>"02/08/2021 20:19:05.305"</f>
        <v>02/08/2021 20:19:05.305</v>
      </c>
      <c r="C1244" t="str">
        <f t="shared" si="59"/>
        <v>FFDFD7C0</v>
      </c>
      <c r="D1244" t="s">
        <v>113</v>
      </c>
      <c r="E1244">
        <v>6</v>
      </c>
      <c r="H1244">
        <v>165</v>
      </c>
      <c r="I1244" t="s">
        <v>114</v>
      </c>
      <c r="J1244" t="s">
        <v>115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>"20:19:07.594"</f>
        <v>20:19:07.594</v>
      </c>
      <c r="T1244" t="str">
        <f>"20:19:07.194"</f>
        <v>20:19:07.194</v>
      </c>
      <c r="U1244" t="str">
        <f t="shared" si="58"/>
        <v>AB01F4</v>
      </c>
      <c r="V1244">
        <v>0</v>
      </c>
      <c r="W1244">
        <v>0</v>
      </c>
      <c r="X1244">
        <v>2</v>
      </c>
      <c r="Z1244">
        <v>0</v>
      </c>
      <c r="AA1244">
        <v>9</v>
      </c>
      <c r="AB1244">
        <v>3</v>
      </c>
      <c r="AC1244">
        <v>0</v>
      </c>
      <c r="AD1244">
        <v>10</v>
      </c>
      <c r="AE1244">
        <v>0</v>
      </c>
      <c r="AF1244">
        <v>3</v>
      </c>
      <c r="AG1244">
        <v>2</v>
      </c>
      <c r="AH1244">
        <v>0</v>
      </c>
      <c r="AI1244" t="s">
        <v>891</v>
      </c>
      <c r="AJ1244">
        <v>39.759242999999998</v>
      </c>
      <c r="AK1244" t="s">
        <v>892</v>
      </c>
      <c r="AL1244">
        <v>-92.516406000000003</v>
      </c>
      <c r="AM1244">
        <v>100</v>
      </c>
      <c r="AN1244">
        <v>1700</v>
      </c>
      <c r="AO1244" t="s">
        <v>118</v>
      </c>
      <c r="AP1244">
        <v>23</v>
      </c>
      <c r="AQ1244">
        <v>118</v>
      </c>
      <c r="AR1244">
        <v>0</v>
      </c>
      <c r="AZ1244">
        <v>1200</v>
      </c>
      <c r="BA1244">
        <v>1</v>
      </c>
      <c r="BB1244" t="str">
        <f t="shared" si="60"/>
        <v xml:space="preserve">N8080G  </v>
      </c>
      <c r="BC1244">
        <v>1</v>
      </c>
      <c r="BE1244">
        <v>0</v>
      </c>
      <c r="BF1244">
        <v>0</v>
      </c>
      <c r="BG1244">
        <v>0</v>
      </c>
      <c r="BH1244">
        <v>1675</v>
      </c>
      <c r="BI1244">
        <v>1</v>
      </c>
      <c r="BJ1244">
        <v>1</v>
      </c>
      <c r="BK1244">
        <v>1</v>
      </c>
      <c r="BL1244">
        <v>0</v>
      </c>
      <c r="BO1244">
        <v>0</v>
      </c>
      <c r="BP1244">
        <v>0</v>
      </c>
      <c r="BW1244" t="str">
        <f>"20:19:07.595"</f>
        <v>20:19:07.595</v>
      </c>
      <c r="BZ1244">
        <v>0</v>
      </c>
      <c r="CA1244">
        <v>2016</v>
      </c>
      <c r="CB1244">
        <v>224</v>
      </c>
      <c r="CD1244">
        <v>1</v>
      </c>
      <c r="CE1244">
        <v>0</v>
      </c>
      <c r="CF1244">
        <v>0</v>
      </c>
      <c r="CG1244">
        <v>1</v>
      </c>
      <c r="CH1244">
        <v>0</v>
      </c>
      <c r="CI1244">
        <v>0</v>
      </c>
      <c r="CJ1244">
        <v>0</v>
      </c>
      <c r="CK1244">
        <v>2</v>
      </c>
      <c r="CL1244">
        <v>0</v>
      </c>
      <c r="CM1244">
        <v>2</v>
      </c>
      <c r="CN1244">
        <v>0</v>
      </c>
      <c r="CO1244">
        <v>7</v>
      </c>
      <c r="CP1244" t="s">
        <v>119</v>
      </c>
      <c r="CQ1244">
        <v>180</v>
      </c>
      <c r="CR1244">
        <v>2</v>
      </c>
      <c r="CW1244">
        <v>8121193</v>
      </c>
      <c r="CY1244">
        <v>1</v>
      </c>
      <c r="CZ1244">
        <v>0</v>
      </c>
      <c r="DA1244">
        <v>1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0</v>
      </c>
      <c r="DH1244">
        <v>0</v>
      </c>
      <c r="DI1244">
        <v>0</v>
      </c>
    </row>
    <row r="1245" spans="1:113" x14ac:dyDescent="0.3">
      <c r="A1245" t="str">
        <f>"02/08/2021 20:19:05.305"</f>
        <v>02/08/2021 20:19:05.305</v>
      </c>
      <c r="C1245" t="str">
        <f t="shared" si="59"/>
        <v>FFDFD7C0</v>
      </c>
      <c r="D1245" t="s">
        <v>124</v>
      </c>
      <c r="E1245">
        <v>13</v>
      </c>
      <c r="F1245">
        <v>1013</v>
      </c>
      <c r="G1245" t="s">
        <v>114</v>
      </c>
      <c r="J1245" t="s">
        <v>125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>"20:19:07.594"</f>
        <v>20:19:07.594</v>
      </c>
      <c r="T1245" t="str">
        <f>"20:19:07.194"</f>
        <v>20:19:07.194</v>
      </c>
      <c r="U1245" t="str">
        <f t="shared" si="58"/>
        <v>AB01F4</v>
      </c>
      <c r="V1245">
        <v>0</v>
      </c>
      <c r="W1245">
        <v>0</v>
      </c>
      <c r="X1245">
        <v>2</v>
      </c>
      <c r="Z1245">
        <v>0</v>
      </c>
      <c r="AA1245">
        <v>9</v>
      </c>
      <c r="AB1245">
        <v>3</v>
      </c>
      <c r="AC1245">
        <v>0</v>
      </c>
      <c r="AD1245">
        <v>10</v>
      </c>
      <c r="AE1245">
        <v>0</v>
      </c>
      <c r="AF1245">
        <v>3</v>
      </c>
      <c r="AG1245">
        <v>2</v>
      </c>
      <c r="AH1245">
        <v>0</v>
      </c>
      <c r="AI1245" t="s">
        <v>891</v>
      </c>
      <c r="AJ1245">
        <v>39.759242999999998</v>
      </c>
      <c r="AK1245" t="s">
        <v>892</v>
      </c>
      <c r="AL1245">
        <v>-92.516406000000003</v>
      </c>
      <c r="AM1245">
        <v>100</v>
      </c>
      <c r="AN1245">
        <v>1700</v>
      </c>
      <c r="AO1245" t="s">
        <v>118</v>
      </c>
      <c r="AP1245">
        <v>23</v>
      </c>
      <c r="AQ1245">
        <v>118</v>
      </c>
      <c r="AR1245">
        <v>0</v>
      </c>
      <c r="AZ1245">
        <v>1200</v>
      </c>
      <c r="BA1245">
        <v>1</v>
      </c>
      <c r="BB1245" t="str">
        <f t="shared" si="60"/>
        <v xml:space="preserve">N8080G  </v>
      </c>
      <c r="BC1245">
        <v>1</v>
      </c>
      <c r="BE1245">
        <v>0</v>
      </c>
      <c r="BF1245">
        <v>0</v>
      </c>
      <c r="BG1245">
        <v>0</v>
      </c>
      <c r="BH1245">
        <v>1675</v>
      </c>
      <c r="BI1245">
        <v>1</v>
      </c>
      <c r="BJ1245">
        <v>1</v>
      </c>
      <c r="BK1245">
        <v>1</v>
      </c>
      <c r="BL1245">
        <v>0</v>
      </c>
      <c r="BO1245">
        <v>0</v>
      </c>
      <c r="BP1245">
        <v>0</v>
      </c>
      <c r="BW1245" t="str">
        <f>"20:19:07.595"</f>
        <v>20:19:07.595</v>
      </c>
      <c r="BZ1245">
        <v>0</v>
      </c>
      <c r="CA1245">
        <v>2016</v>
      </c>
      <c r="CB1245">
        <v>224</v>
      </c>
      <c r="CD1245">
        <v>1</v>
      </c>
      <c r="CE1245">
        <v>0</v>
      </c>
      <c r="CF1245">
        <v>0</v>
      </c>
      <c r="CG1245">
        <v>1</v>
      </c>
      <c r="CH1245">
        <v>0</v>
      </c>
      <c r="CI1245">
        <v>0</v>
      </c>
      <c r="CJ1245">
        <v>0</v>
      </c>
      <c r="CK1245">
        <v>2</v>
      </c>
      <c r="CL1245">
        <v>0</v>
      </c>
      <c r="CM1245">
        <v>2</v>
      </c>
      <c r="CN1245">
        <v>0</v>
      </c>
      <c r="CO1245">
        <v>7</v>
      </c>
      <c r="CP1245" t="s">
        <v>119</v>
      </c>
      <c r="CQ1245">
        <v>180</v>
      </c>
      <c r="CR1245">
        <v>2</v>
      </c>
      <c r="CW1245">
        <v>8121193</v>
      </c>
      <c r="CY1245">
        <v>1</v>
      </c>
      <c r="CZ1245">
        <v>0</v>
      </c>
      <c r="DA1245">
        <v>1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>
        <v>0</v>
      </c>
      <c r="DH1245">
        <v>0</v>
      </c>
      <c r="DI1245">
        <v>0</v>
      </c>
    </row>
    <row r="1246" spans="1:113" x14ac:dyDescent="0.3">
      <c r="A1246" t="str">
        <f>"02/08/2021 20:19:05.305"</f>
        <v>02/08/2021 20:19:05.305</v>
      </c>
      <c r="C1246" t="str">
        <f t="shared" si="59"/>
        <v>FFDFD7C0</v>
      </c>
      <c r="D1246" t="s">
        <v>124</v>
      </c>
      <c r="E1246">
        <v>11</v>
      </c>
      <c r="F1246">
        <v>1011</v>
      </c>
      <c r="G1246" t="s">
        <v>590</v>
      </c>
      <c r="J1246" t="s">
        <v>125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>"20:19:07.594"</f>
        <v>20:19:07.594</v>
      </c>
      <c r="T1246" t="str">
        <f>"20:19:07.194"</f>
        <v>20:19:07.194</v>
      </c>
      <c r="U1246" t="str">
        <f t="shared" si="58"/>
        <v>AB01F4</v>
      </c>
      <c r="V1246">
        <v>0</v>
      </c>
      <c r="W1246">
        <v>0</v>
      </c>
      <c r="X1246">
        <v>2</v>
      </c>
      <c r="Z1246">
        <v>0</v>
      </c>
      <c r="AA1246">
        <v>9</v>
      </c>
      <c r="AB1246">
        <v>3</v>
      </c>
      <c r="AC1246">
        <v>0</v>
      </c>
      <c r="AD1246">
        <v>10</v>
      </c>
      <c r="AE1246">
        <v>0</v>
      </c>
      <c r="AF1246">
        <v>3</v>
      </c>
      <c r="AG1246">
        <v>2</v>
      </c>
      <c r="AH1246">
        <v>0</v>
      </c>
      <c r="AI1246" t="s">
        <v>891</v>
      </c>
      <c r="AJ1246">
        <v>39.759242999999998</v>
      </c>
      <c r="AK1246" t="s">
        <v>892</v>
      </c>
      <c r="AL1246">
        <v>-92.516406000000003</v>
      </c>
      <c r="AM1246">
        <v>100</v>
      </c>
      <c r="AN1246">
        <v>1700</v>
      </c>
      <c r="AO1246" t="s">
        <v>118</v>
      </c>
      <c r="AP1246">
        <v>23</v>
      </c>
      <c r="AQ1246">
        <v>118</v>
      </c>
      <c r="AR1246">
        <v>0</v>
      </c>
      <c r="AZ1246">
        <v>1200</v>
      </c>
      <c r="BA1246">
        <v>1</v>
      </c>
      <c r="BB1246" t="str">
        <f t="shared" si="60"/>
        <v xml:space="preserve">N8080G  </v>
      </c>
      <c r="BC1246">
        <v>1</v>
      </c>
      <c r="BE1246">
        <v>0</v>
      </c>
      <c r="BF1246">
        <v>0</v>
      </c>
      <c r="BG1246">
        <v>0</v>
      </c>
      <c r="BH1246">
        <v>1675</v>
      </c>
      <c r="BI1246">
        <v>1</v>
      </c>
      <c r="BJ1246">
        <v>1</v>
      </c>
      <c r="BK1246">
        <v>1</v>
      </c>
      <c r="BL1246">
        <v>0</v>
      </c>
      <c r="BO1246">
        <v>0</v>
      </c>
      <c r="BP1246">
        <v>0</v>
      </c>
      <c r="BW1246" t="str">
        <f>"20:19:07.595"</f>
        <v>20:19:07.595</v>
      </c>
      <c r="BZ1246">
        <v>0</v>
      </c>
      <c r="CA1246">
        <v>2016</v>
      </c>
      <c r="CB1246">
        <v>224</v>
      </c>
      <c r="CD1246">
        <v>1</v>
      </c>
      <c r="CE1246">
        <v>0</v>
      </c>
      <c r="CF1246">
        <v>0</v>
      </c>
      <c r="CG1246">
        <v>1</v>
      </c>
      <c r="CH1246">
        <v>0</v>
      </c>
      <c r="CI1246">
        <v>0</v>
      </c>
      <c r="CJ1246">
        <v>0</v>
      </c>
      <c r="CK1246">
        <v>2</v>
      </c>
      <c r="CL1246">
        <v>0</v>
      </c>
      <c r="CM1246">
        <v>2</v>
      </c>
      <c r="CN1246">
        <v>0</v>
      </c>
      <c r="CO1246">
        <v>7</v>
      </c>
      <c r="CP1246" t="s">
        <v>119</v>
      </c>
      <c r="CQ1246">
        <v>180</v>
      </c>
      <c r="CR1246">
        <v>2</v>
      </c>
      <c r="CW1246">
        <v>8121193</v>
      </c>
      <c r="CY1246">
        <v>1</v>
      </c>
      <c r="CZ1246">
        <v>0</v>
      </c>
      <c r="DA1246">
        <v>1</v>
      </c>
      <c r="DB1246">
        <v>0</v>
      </c>
      <c r="DC1246">
        <v>0</v>
      </c>
      <c r="DD1246">
        <v>0</v>
      </c>
      <c r="DE1246">
        <v>0</v>
      </c>
      <c r="DF1246">
        <v>0</v>
      </c>
      <c r="DG1246">
        <v>0</v>
      </c>
      <c r="DH1246">
        <v>0</v>
      </c>
      <c r="DI1246">
        <v>0</v>
      </c>
    </row>
    <row r="1247" spans="1:113" x14ac:dyDescent="0.3">
      <c r="A1247" t="str">
        <f>"02/08/2021 20:19:08.305"</f>
        <v>02/08/2021 20:19:08.305</v>
      </c>
      <c r="C1247" t="str">
        <f t="shared" si="59"/>
        <v>FFDFD7C0</v>
      </c>
      <c r="D1247" t="s">
        <v>113</v>
      </c>
      <c r="E1247">
        <v>6</v>
      </c>
      <c r="H1247">
        <v>165</v>
      </c>
      <c r="I1247" t="s">
        <v>114</v>
      </c>
      <c r="J1247" t="s">
        <v>115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>"20:19:10.648"</f>
        <v>20:19:10.648</v>
      </c>
      <c r="T1247" t="str">
        <f>"20:19:10.148"</f>
        <v>20:19:10.148</v>
      </c>
      <c r="U1247" t="str">
        <f t="shared" si="58"/>
        <v>AB01F4</v>
      </c>
      <c r="V1247">
        <v>0</v>
      </c>
      <c r="W1247">
        <v>0</v>
      </c>
      <c r="X1247">
        <v>2</v>
      </c>
      <c r="Z1247">
        <v>0</v>
      </c>
      <c r="AA1247">
        <v>9</v>
      </c>
      <c r="AB1247">
        <v>3</v>
      </c>
      <c r="AC1247">
        <v>0</v>
      </c>
      <c r="AD1247">
        <v>10</v>
      </c>
      <c r="AE1247">
        <v>0</v>
      </c>
      <c r="AF1247">
        <v>3</v>
      </c>
      <c r="AG1247">
        <v>2</v>
      </c>
      <c r="AH1247">
        <v>0</v>
      </c>
      <c r="AI1247" t="s">
        <v>893</v>
      </c>
      <c r="AJ1247">
        <v>39.760959</v>
      </c>
      <c r="AK1247" t="s">
        <v>894</v>
      </c>
      <c r="AL1247">
        <v>-92.515997999999996</v>
      </c>
      <c r="AM1247">
        <v>100</v>
      </c>
      <c r="AN1247">
        <v>1700</v>
      </c>
      <c r="AO1247" t="s">
        <v>118</v>
      </c>
      <c r="AP1247">
        <v>24</v>
      </c>
      <c r="AQ1247">
        <v>118</v>
      </c>
      <c r="AR1247">
        <v>0</v>
      </c>
      <c r="AZ1247">
        <v>1200</v>
      </c>
      <c r="BA1247">
        <v>1</v>
      </c>
      <c r="BB1247" t="str">
        <f t="shared" si="60"/>
        <v xml:space="preserve">N8080G  </v>
      </c>
      <c r="BC1247">
        <v>1</v>
      </c>
      <c r="BE1247">
        <v>0</v>
      </c>
      <c r="BF1247">
        <v>0</v>
      </c>
      <c r="BG1247">
        <v>0</v>
      </c>
      <c r="BH1247">
        <v>1675</v>
      </c>
      <c r="BI1247">
        <v>1</v>
      </c>
      <c r="BJ1247">
        <v>1</v>
      </c>
      <c r="BK1247">
        <v>1</v>
      </c>
      <c r="BL1247">
        <v>0</v>
      </c>
      <c r="BO1247">
        <v>0</v>
      </c>
      <c r="BP1247">
        <v>0</v>
      </c>
      <c r="BW1247" t="str">
        <f>"20:19:10.651"</f>
        <v>20:19:10.651</v>
      </c>
      <c r="BZ1247">
        <v>0</v>
      </c>
      <c r="CA1247">
        <v>2016</v>
      </c>
      <c r="CB1247">
        <v>224</v>
      </c>
      <c r="CD1247">
        <v>1</v>
      </c>
      <c r="CE1247">
        <v>0</v>
      </c>
      <c r="CF1247">
        <v>0</v>
      </c>
      <c r="CG1247">
        <v>1</v>
      </c>
      <c r="CH1247">
        <v>0</v>
      </c>
      <c r="CI1247">
        <v>0</v>
      </c>
      <c r="CJ1247">
        <v>0</v>
      </c>
      <c r="CK1247">
        <v>2</v>
      </c>
      <c r="CL1247">
        <v>0</v>
      </c>
      <c r="CM1247">
        <v>2</v>
      </c>
      <c r="CN1247">
        <v>0</v>
      </c>
      <c r="CO1247">
        <v>7</v>
      </c>
      <c r="CP1247" t="s">
        <v>119</v>
      </c>
      <c r="CQ1247">
        <v>180</v>
      </c>
      <c r="CR1247">
        <v>2</v>
      </c>
      <c r="CW1247">
        <v>8123770</v>
      </c>
      <c r="CY1247">
        <v>1</v>
      </c>
      <c r="CZ1247">
        <v>0</v>
      </c>
      <c r="DA1247">
        <v>0</v>
      </c>
      <c r="DB1247">
        <v>0</v>
      </c>
      <c r="DC1247">
        <v>0</v>
      </c>
      <c r="DD1247">
        <v>0</v>
      </c>
      <c r="DE1247">
        <v>0</v>
      </c>
      <c r="DF1247">
        <v>0</v>
      </c>
      <c r="DG1247">
        <v>0</v>
      </c>
      <c r="DH1247">
        <v>0</v>
      </c>
      <c r="DI1247">
        <v>0</v>
      </c>
    </row>
    <row r="1248" spans="1:113" x14ac:dyDescent="0.3">
      <c r="A1248" t="str">
        <f>"02/08/2021 20:19:08.305"</f>
        <v>02/08/2021 20:19:08.305</v>
      </c>
      <c r="C1248" t="str">
        <f t="shared" si="59"/>
        <v>FFDFD7C0</v>
      </c>
      <c r="D1248" t="s">
        <v>124</v>
      </c>
      <c r="E1248">
        <v>11</v>
      </c>
      <c r="F1248">
        <v>1011</v>
      </c>
      <c r="G1248" t="s">
        <v>590</v>
      </c>
      <c r="J1248" t="s">
        <v>125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>"20:19:10.648"</f>
        <v>20:19:10.648</v>
      </c>
      <c r="T1248" t="str">
        <f>"20:19:10.148"</f>
        <v>20:19:10.148</v>
      </c>
      <c r="U1248" t="str">
        <f t="shared" si="58"/>
        <v>AB01F4</v>
      </c>
      <c r="V1248">
        <v>0</v>
      </c>
      <c r="W1248">
        <v>0</v>
      </c>
      <c r="X1248">
        <v>2</v>
      </c>
      <c r="Z1248">
        <v>0</v>
      </c>
      <c r="AA1248">
        <v>9</v>
      </c>
      <c r="AB1248">
        <v>3</v>
      </c>
      <c r="AC1248">
        <v>0</v>
      </c>
      <c r="AD1248">
        <v>10</v>
      </c>
      <c r="AE1248">
        <v>0</v>
      </c>
      <c r="AF1248">
        <v>3</v>
      </c>
      <c r="AG1248">
        <v>2</v>
      </c>
      <c r="AH1248">
        <v>0</v>
      </c>
      <c r="AI1248" t="s">
        <v>893</v>
      </c>
      <c r="AJ1248">
        <v>39.760959</v>
      </c>
      <c r="AK1248" t="s">
        <v>894</v>
      </c>
      <c r="AL1248">
        <v>-92.515997999999996</v>
      </c>
      <c r="AM1248">
        <v>100</v>
      </c>
      <c r="AN1248">
        <v>1700</v>
      </c>
      <c r="AO1248" t="s">
        <v>118</v>
      </c>
      <c r="AP1248">
        <v>24</v>
      </c>
      <c r="AQ1248">
        <v>118</v>
      </c>
      <c r="AR1248">
        <v>0</v>
      </c>
      <c r="AZ1248">
        <v>1200</v>
      </c>
      <c r="BA1248">
        <v>1</v>
      </c>
      <c r="BB1248" t="str">
        <f t="shared" si="60"/>
        <v xml:space="preserve">N8080G  </v>
      </c>
      <c r="BC1248">
        <v>1</v>
      </c>
      <c r="BE1248">
        <v>0</v>
      </c>
      <c r="BF1248">
        <v>0</v>
      </c>
      <c r="BG1248">
        <v>0</v>
      </c>
      <c r="BH1248">
        <v>1675</v>
      </c>
      <c r="BI1248">
        <v>1</v>
      </c>
      <c r="BJ1248">
        <v>1</v>
      </c>
      <c r="BK1248">
        <v>1</v>
      </c>
      <c r="BL1248">
        <v>0</v>
      </c>
      <c r="BO1248">
        <v>0</v>
      </c>
      <c r="BP1248">
        <v>0</v>
      </c>
      <c r="BW1248" t="str">
        <f>"20:19:10.651"</f>
        <v>20:19:10.651</v>
      </c>
      <c r="BZ1248">
        <v>0</v>
      </c>
      <c r="CA1248">
        <v>2016</v>
      </c>
      <c r="CB1248">
        <v>224</v>
      </c>
      <c r="CD1248">
        <v>1</v>
      </c>
      <c r="CE1248">
        <v>0</v>
      </c>
      <c r="CF1248">
        <v>0</v>
      </c>
      <c r="CG1248">
        <v>1</v>
      </c>
      <c r="CH1248">
        <v>0</v>
      </c>
      <c r="CI1248">
        <v>0</v>
      </c>
      <c r="CJ1248">
        <v>0</v>
      </c>
      <c r="CK1248">
        <v>2</v>
      </c>
      <c r="CL1248">
        <v>0</v>
      </c>
      <c r="CM1248">
        <v>2</v>
      </c>
      <c r="CN1248">
        <v>0</v>
      </c>
      <c r="CO1248">
        <v>7</v>
      </c>
      <c r="CP1248" t="s">
        <v>119</v>
      </c>
      <c r="CQ1248">
        <v>180</v>
      </c>
      <c r="CR1248">
        <v>2</v>
      </c>
      <c r="CW1248">
        <v>8123770</v>
      </c>
      <c r="CY1248">
        <v>1</v>
      </c>
      <c r="CZ1248">
        <v>0</v>
      </c>
      <c r="DA1248">
        <v>1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0</v>
      </c>
    </row>
    <row r="1249" spans="1:113" x14ac:dyDescent="0.3">
      <c r="A1249" t="str">
        <f>"02/08/2021 20:19:08.305"</f>
        <v>02/08/2021 20:19:08.305</v>
      </c>
      <c r="C1249" t="str">
        <f t="shared" si="59"/>
        <v>FFDFD7C0</v>
      </c>
      <c r="D1249" t="s">
        <v>124</v>
      </c>
      <c r="E1249">
        <v>12</v>
      </c>
      <c r="F1249">
        <v>1012</v>
      </c>
      <c r="G1249" t="s">
        <v>675</v>
      </c>
      <c r="J1249" t="s">
        <v>125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>"20:19:10.648"</f>
        <v>20:19:10.648</v>
      </c>
      <c r="T1249" t="str">
        <f>"20:19:10.148"</f>
        <v>20:19:10.148</v>
      </c>
      <c r="U1249" t="str">
        <f t="shared" si="58"/>
        <v>AB01F4</v>
      </c>
      <c r="V1249">
        <v>0</v>
      </c>
      <c r="W1249">
        <v>0</v>
      </c>
      <c r="X1249">
        <v>2</v>
      </c>
      <c r="Z1249">
        <v>0</v>
      </c>
      <c r="AA1249">
        <v>9</v>
      </c>
      <c r="AB1249">
        <v>3</v>
      </c>
      <c r="AC1249">
        <v>0</v>
      </c>
      <c r="AD1249">
        <v>10</v>
      </c>
      <c r="AE1249">
        <v>0</v>
      </c>
      <c r="AF1249">
        <v>3</v>
      </c>
      <c r="AG1249">
        <v>2</v>
      </c>
      <c r="AH1249">
        <v>0</v>
      </c>
      <c r="AI1249" t="s">
        <v>893</v>
      </c>
      <c r="AJ1249">
        <v>39.760959</v>
      </c>
      <c r="AK1249" t="s">
        <v>894</v>
      </c>
      <c r="AL1249">
        <v>-92.515997999999996</v>
      </c>
      <c r="AM1249">
        <v>100</v>
      </c>
      <c r="AN1249">
        <v>1700</v>
      </c>
      <c r="AO1249" t="s">
        <v>118</v>
      </c>
      <c r="AP1249">
        <v>24</v>
      </c>
      <c r="AQ1249">
        <v>118</v>
      </c>
      <c r="AR1249">
        <v>0</v>
      </c>
      <c r="AZ1249">
        <v>1200</v>
      </c>
      <c r="BA1249">
        <v>1</v>
      </c>
      <c r="BB1249" t="str">
        <f t="shared" si="60"/>
        <v xml:space="preserve">N8080G  </v>
      </c>
      <c r="BC1249">
        <v>1</v>
      </c>
      <c r="BE1249">
        <v>0</v>
      </c>
      <c r="BF1249">
        <v>0</v>
      </c>
      <c r="BG1249">
        <v>0</v>
      </c>
      <c r="BH1249">
        <v>1675</v>
      </c>
      <c r="BI1249">
        <v>1</v>
      </c>
      <c r="BJ1249">
        <v>1</v>
      </c>
      <c r="BK1249">
        <v>1</v>
      </c>
      <c r="BL1249">
        <v>0</v>
      </c>
      <c r="BO1249">
        <v>0</v>
      </c>
      <c r="BP1249">
        <v>0</v>
      </c>
      <c r="BW1249" t="str">
        <f>"20:19:10.651"</f>
        <v>20:19:10.651</v>
      </c>
      <c r="BZ1249">
        <v>0</v>
      </c>
      <c r="CA1249">
        <v>2016</v>
      </c>
      <c r="CB1249">
        <v>224</v>
      </c>
      <c r="CD1249">
        <v>1</v>
      </c>
      <c r="CE1249">
        <v>0</v>
      </c>
      <c r="CF1249">
        <v>0</v>
      </c>
      <c r="CG1249">
        <v>1</v>
      </c>
      <c r="CH1249">
        <v>0</v>
      </c>
      <c r="CI1249">
        <v>0</v>
      </c>
      <c r="CJ1249">
        <v>0</v>
      </c>
      <c r="CK1249">
        <v>2</v>
      </c>
      <c r="CL1249">
        <v>0</v>
      </c>
      <c r="CM1249">
        <v>2</v>
      </c>
      <c r="CN1249">
        <v>0</v>
      </c>
      <c r="CO1249">
        <v>7</v>
      </c>
      <c r="CP1249" t="s">
        <v>119</v>
      </c>
      <c r="CQ1249">
        <v>180</v>
      </c>
      <c r="CR1249">
        <v>2</v>
      </c>
      <c r="CW1249">
        <v>8123770</v>
      </c>
      <c r="CY1249">
        <v>1</v>
      </c>
      <c r="CZ1249">
        <v>0</v>
      </c>
      <c r="DA1249">
        <v>1</v>
      </c>
      <c r="DB1249">
        <v>0</v>
      </c>
      <c r="DC1249">
        <v>0</v>
      </c>
      <c r="DD1249">
        <v>0</v>
      </c>
      <c r="DE1249">
        <v>0</v>
      </c>
      <c r="DF1249">
        <v>0</v>
      </c>
      <c r="DG1249">
        <v>0</v>
      </c>
      <c r="DH1249">
        <v>0</v>
      </c>
      <c r="DI1249">
        <v>0</v>
      </c>
    </row>
    <row r="1250" spans="1:113" x14ac:dyDescent="0.3">
      <c r="A1250" t="str">
        <f>"02/08/2021 20:19:08.305"</f>
        <v>02/08/2021 20:19:08.305</v>
      </c>
      <c r="C1250" t="str">
        <f t="shared" si="59"/>
        <v>FFDFD7C0</v>
      </c>
      <c r="D1250" t="s">
        <v>124</v>
      </c>
      <c r="E1250">
        <v>13</v>
      </c>
      <c r="F1250">
        <v>1013</v>
      </c>
      <c r="G1250" t="s">
        <v>114</v>
      </c>
      <c r="J1250" t="s">
        <v>125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>"20:19:10.648"</f>
        <v>20:19:10.648</v>
      </c>
      <c r="T1250" t="str">
        <f>"20:19:10.148"</f>
        <v>20:19:10.148</v>
      </c>
      <c r="U1250" t="str">
        <f t="shared" si="58"/>
        <v>AB01F4</v>
      </c>
      <c r="V1250">
        <v>0</v>
      </c>
      <c r="W1250">
        <v>0</v>
      </c>
      <c r="X1250">
        <v>2</v>
      </c>
      <c r="Z1250">
        <v>0</v>
      </c>
      <c r="AA1250">
        <v>9</v>
      </c>
      <c r="AB1250">
        <v>3</v>
      </c>
      <c r="AC1250">
        <v>0</v>
      </c>
      <c r="AD1250">
        <v>10</v>
      </c>
      <c r="AE1250">
        <v>0</v>
      </c>
      <c r="AF1250">
        <v>3</v>
      </c>
      <c r="AG1250">
        <v>2</v>
      </c>
      <c r="AH1250">
        <v>0</v>
      </c>
      <c r="AI1250" t="s">
        <v>893</v>
      </c>
      <c r="AJ1250">
        <v>39.760959</v>
      </c>
      <c r="AK1250" t="s">
        <v>894</v>
      </c>
      <c r="AL1250">
        <v>-92.515997999999996</v>
      </c>
      <c r="AM1250">
        <v>100</v>
      </c>
      <c r="AN1250">
        <v>1700</v>
      </c>
      <c r="AO1250" t="s">
        <v>118</v>
      </c>
      <c r="AP1250">
        <v>24</v>
      </c>
      <c r="AQ1250">
        <v>118</v>
      </c>
      <c r="AR1250">
        <v>0</v>
      </c>
      <c r="AZ1250">
        <v>1200</v>
      </c>
      <c r="BA1250">
        <v>1</v>
      </c>
      <c r="BB1250" t="str">
        <f t="shared" si="60"/>
        <v xml:space="preserve">N8080G  </v>
      </c>
      <c r="BC1250">
        <v>1</v>
      </c>
      <c r="BE1250">
        <v>0</v>
      </c>
      <c r="BF1250">
        <v>0</v>
      </c>
      <c r="BG1250">
        <v>0</v>
      </c>
      <c r="BH1250">
        <v>1675</v>
      </c>
      <c r="BI1250">
        <v>1</v>
      </c>
      <c r="BJ1250">
        <v>1</v>
      </c>
      <c r="BK1250">
        <v>1</v>
      </c>
      <c r="BL1250">
        <v>0</v>
      </c>
      <c r="BO1250">
        <v>0</v>
      </c>
      <c r="BP1250">
        <v>0</v>
      </c>
      <c r="BW1250" t="str">
        <f>"20:19:10.651"</f>
        <v>20:19:10.651</v>
      </c>
      <c r="BZ1250">
        <v>0</v>
      </c>
      <c r="CA1250">
        <v>2016</v>
      </c>
      <c r="CB1250">
        <v>224</v>
      </c>
      <c r="CD1250">
        <v>1</v>
      </c>
      <c r="CE1250">
        <v>0</v>
      </c>
      <c r="CF1250">
        <v>0</v>
      </c>
      <c r="CG1250">
        <v>1</v>
      </c>
      <c r="CH1250">
        <v>0</v>
      </c>
      <c r="CI1250">
        <v>0</v>
      </c>
      <c r="CJ1250">
        <v>0</v>
      </c>
      <c r="CK1250">
        <v>2</v>
      </c>
      <c r="CL1250">
        <v>0</v>
      </c>
      <c r="CM1250">
        <v>2</v>
      </c>
      <c r="CN1250">
        <v>0</v>
      </c>
      <c r="CO1250">
        <v>7</v>
      </c>
      <c r="CP1250" t="s">
        <v>119</v>
      </c>
      <c r="CQ1250">
        <v>180</v>
      </c>
      <c r="CR1250">
        <v>2</v>
      </c>
      <c r="CW1250">
        <v>8123770</v>
      </c>
      <c r="CY1250">
        <v>1</v>
      </c>
      <c r="CZ1250">
        <v>0</v>
      </c>
      <c r="DA1250">
        <v>1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0</v>
      </c>
      <c r="DH1250">
        <v>0</v>
      </c>
      <c r="DI1250">
        <v>0</v>
      </c>
    </row>
    <row r="1251" spans="1:113" x14ac:dyDescent="0.3">
      <c r="A1251" t="str">
        <f>"02/08/2021 20:19:09.340"</f>
        <v>02/08/2021 20:19:09.340</v>
      </c>
      <c r="C1251" t="str">
        <f t="shared" si="59"/>
        <v>FFDFD7C0</v>
      </c>
      <c r="D1251" t="s">
        <v>124</v>
      </c>
      <c r="E1251">
        <v>13</v>
      </c>
      <c r="F1251">
        <v>1013</v>
      </c>
      <c r="G1251" t="s">
        <v>114</v>
      </c>
      <c r="J1251" t="s">
        <v>125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>"20:19:11.680"</f>
        <v>20:19:11.680</v>
      </c>
      <c r="T1251" t="str">
        <f>"20:19:11.180"</f>
        <v>20:19:11.180</v>
      </c>
      <c r="U1251" t="str">
        <f t="shared" si="58"/>
        <v>AB01F4</v>
      </c>
      <c r="V1251">
        <v>0</v>
      </c>
      <c r="W1251">
        <v>0</v>
      </c>
      <c r="X1251">
        <v>2</v>
      </c>
      <c r="Z1251">
        <v>0</v>
      </c>
      <c r="AA1251">
        <v>9</v>
      </c>
      <c r="AB1251">
        <v>3</v>
      </c>
      <c r="AC1251">
        <v>0</v>
      </c>
      <c r="AD1251">
        <v>10</v>
      </c>
      <c r="AE1251">
        <v>0</v>
      </c>
      <c r="AF1251">
        <v>3</v>
      </c>
      <c r="AG1251">
        <v>2</v>
      </c>
      <c r="AH1251">
        <v>0</v>
      </c>
      <c r="AI1251" t="s">
        <v>895</v>
      </c>
      <c r="AJ1251">
        <v>39.761516999999998</v>
      </c>
      <c r="AK1251" t="s">
        <v>896</v>
      </c>
      <c r="AL1251">
        <v>-92.515868999999995</v>
      </c>
      <c r="AM1251">
        <v>100</v>
      </c>
      <c r="AN1251">
        <v>1700</v>
      </c>
      <c r="AO1251" t="s">
        <v>118</v>
      </c>
      <c r="AP1251">
        <v>24</v>
      </c>
      <c r="AQ1251">
        <v>118</v>
      </c>
      <c r="AR1251">
        <v>0</v>
      </c>
      <c r="AZ1251">
        <v>1200</v>
      </c>
      <c r="BA1251">
        <v>1</v>
      </c>
      <c r="BB1251" t="str">
        <f t="shared" si="60"/>
        <v xml:space="preserve">N8080G  </v>
      </c>
      <c r="BC1251">
        <v>1</v>
      </c>
      <c r="BE1251">
        <v>0</v>
      </c>
      <c r="BF1251">
        <v>0</v>
      </c>
      <c r="BG1251">
        <v>0</v>
      </c>
      <c r="BH1251">
        <v>1675</v>
      </c>
      <c r="BI1251">
        <v>1</v>
      </c>
      <c r="BJ1251">
        <v>1</v>
      </c>
      <c r="BK1251">
        <v>1</v>
      </c>
      <c r="BL1251">
        <v>0</v>
      </c>
      <c r="BO1251">
        <v>0</v>
      </c>
      <c r="BP1251">
        <v>0</v>
      </c>
      <c r="BW1251" t="str">
        <f>"20:19:11.683"</f>
        <v>20:19:11.683</v>
      </c>
      <c r="BZ1251">
        <v>0</v>
      </c>
      <c r="CA1251">
        <v>2016</v>
      </c>
      <c r="CB1251">
        <v>224</v>
      </c>
      <c r="CD1251">
        <v>1</v>
      </c>
      <c r="CE1251">
        <v>0</v>
      </c>
      <c r="CF1251">
        <v>0</v>
      </c>
      <c r="CG1251">
        <v>1</v>
      </c>
      <c r="CH1251">
        <v>0</v>
      </c>
      <c r="CI1251">
        <v>0</v>
      </c>
      <c r="CJ1251">
        <v>0</v>
      </c>
      <c r="CK1251">
        <v>2</v>
      </c>
      <c r="CL1251">
        <v>0</v>
      </c>
      <c r="CM1251">
        <v>2</v>
      </c>
      <c r="CN1251">
        <v>0</v>
      </c>
      <c r="CO1251">
        <v>6</v>
      </c>
      <c r="CP1251" t="s">
        <v>119</v>
      </c>
      <c r="CQ1251">
        <v>180</v>
      </c>
      <c r="CR1251">
        <v>1</v>
      </c>
      <c r="CW1251">
        <v>10687678</v>
      </c>
      <c r="CY1251">
        <v>1</v>
      </c>
      <c r="CZ1251">
        <v>0</v>
      </c>
      <c r="DA1251">
        <v>0</v>
      </c>
      <c r="DB1251">
        <v>0</v>
      </c>
      <c r="DC1251">
        <v>0</v>
      </c>
      <c r="DD1251">
        <v>0</v>
      </c>
      <c r="DE1251">
        <v>0</v>
      </c>
      <c r="DF1251">
        <v>0</v>
      </c>
      <c r="DG1251">
        <v>0</v>
      </c>
      <c r="DH1251">
        <v>0</v>
      </c>
      <c r="DI1251">
        <v>0</v>
      </c>
    </row>
    <row r="1252" spans="1:113" x14ac:dyDescent="0.3">
      <c r="A1252" t="str">
        <f>"02/08/2021 20:19:09.340"</f>
        <v>02/08/2021 20:19:09.340</v>
      </c>
      <c r="C1252" t="str">
        <f t="shared" si="59"/>
        <v>FFDFD7C0</v>
      </c>
      <c r="D1252" t="s">
        <v>124</v>
      </c>
      <c r="E1252">
        <v>11</v>
      </c>
      <c r="F1252">
        <v>1011</v>
      </c>
      <c r="G1252" t="s">
        <v>590</v>
      </c>
      <c r="J1252" t="s">
        <v>125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>"20:19:11.680"</f>
        <v>20:19:11.680</v>
      </c>
      <c r="T1252" t="str">
        <f>"20:19:11.180"</f>
        <v>20:19:11.180</v>
      </c>
      <c r="U1252" t="str">
        <f t="shared" si="58"/>
        <v>AB01F4</v>
      </c>
      <c r="V1252">
        <v>0</v>
      </c>
      <c r="W1252">
        <v>0</v>
      </c>
      <c r="X1252">
        <v>2</v>
      </c>
      <c r="Z1252">
        <v>0</v>
      </c>
      <c r="AA1252">
        <v>9</v>
      </c>
      <c r="AB1252">
        <v>3</v>
      </c>
      <c r="AC1252">
        <v>0</v>
      </c>
      <c r="AD1252">
        <v>10</v>
      </c>
      <c r="AE1252">
        <v>0</v>
      </c>
      <c r="AF1252">
        <v>3</v>
      </c>
      <c r="AG1252">
        <v>2</v>
      </c>
      <c r="AH1252">
        <v>0</v>
      </c>
      <c r="AI1252" t="s">
        <v>895</v>
      </c>
      <c r="AJ1252">
        <v>39.761516999999998</v>
      </c>
      <c r="AK1252" t="s">
        <v>896</v>
      </c>
      <c r="AL1252">
        <v>-92.515868999999995</v>
      </c>
      <c r="AM1252">
        <v>100</v>
      </c>
      <c r="AN1252">
        <v>1700</v>
      </c>
      <c r="AO1252" t="s">
        <v>118</v>
      </c>
      <c r="AP1252">
        <v>24</v>
      </c>
      <c r="AQ1252">
        <v>118</v>
      </c>
      <c r="AR1252">
        <v>0</v>
      </c>
      <c r="AZ1252">
        <v>1200</v>
      </c>
      <c r="BA1252">
        <v>1</v>
      </c>
      <c r="BB1252" t="str">
        <f t="shared" si="60"/>
        <v xml:space="preserve">N8080G  </v>
      </c>
      <c r="BC1252">
        <v>1</v>
      </c>
      <c r="BE1252">
        <v>0</v>
      </c>
      <c r="BF1252">
        <v>0</v>
      </c>
      <c r="BG1252">
        <v>0</v>
      </c>
      <c r="BH1252">
        <v>1675</v>
      </c>
      <c r="BI1252">
        <v>1</v>
      </c>
      <c r="BJ1252">
        <v>1</v>
      </c>
      <c r="BK1252">
        <v>1</v>
      </c>
      <c r="BL1252">
        <v>0</v>
      </c>
      <c r="BO1252">
        <v>0</v>
      </c>
      <c r="BP1252">
        <v>0</v>
      </c>
      <c r="BW1252" t="str">
        <f>"20:19:11.683"</f>
        <v>20:19:11.683</v>
      </c>
      <c r="BZ1252">
        <v>0</v>
      </c>
      <c r="CA1252">
        <v>2016</v>
      </c>
      <c r="CB1252">
        <v>224</v>
      </c>
      <c r="CD1252">
        <v>1</v>
      </c>
      <c r="CE1252">
        <v>0</v>
      </c>
      <c r="CF1252">
        <v>0</v>
      </c>
      <c r="CG1252">
        <v>1</v>
      </c>
      <c r="CH1252">
        <v>0</v>
      </c>
      <c r="CI1252">
        <v>0</v>
      </c>
      <c r="CJ1252">
        <v>0</v>
      </c>
      <c r="CK1252">
        <v>2</v>
      </c>
      <c r="CL1252">
        <v>0</v>
      </c>
      <c r="CM1252">
        <v>2</v>
      </c>
      <c r="CN1252">
        <v>0</v>
      </c>
      <c r="CO1252">
        <v>6</v>
      </c>
      <c r="CP1252" t="s">
        <v>119</v>
      </c>
      <c r="CQ1252">
        <v>180</v>
      </c>
      <c r="CR1252">
        <v>1</v>
      </c>
      <c r="CW1252">
        <v>10687678</v>
      </c>
      <c r="CY1252">
        <v>1</v>
      </c>
      <c r="CZ1252">
        <v>0</v>
      </c>
      <c r="DA1252">
        <v>1</v>
      </c>
      <c r="DB1252">
        <v>0</v>
      </c>
      <c r="DC1252">
        <v>0</v>
      </c>
      <c r="DD1252">
        <v>0</v>
      </c>
      <c r="DE1252">
        <v>0</v>
      </c>
      <c r="DF1252">
        <v>0</v>
      </c>
      <c r="DG1252">
        <v>0</v>
      </c>
      <c r="DH1252">
        <v>0</v>
      </c>
      <c r="DI1252">
        <v>0</v>
      </c>
    </row>
    <row r="1253" spans="1:113" x14ac:dyDescent="0.3">
      <c r="A1253" t="str">
        <f>"02/08/2021 20:19:09.340"</f>
        <v>02/08/2021 20:19:09.340</v>
      </c>
      <c r="C1253" t="str">
        <f t="shared" si="59"/>
        <v>FFDFD7C0</v>
      </c>
      <c r="D1253" t="s">
        <v>113</v>
      </c>
      <c r="E1253">
        <v>6</v>
      </c>
      <c r="H1253">
        <v>165</v>
      </c>
      <c r="I1253" t="s">
        <v>114</v>
      </c>
      <c r="J1253" t="s">
        <v>115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>"20:19:11.680"</f>
        <v>20:19:11.680</v>
      </c>
      <c r="T1253" t="str">
        <f>"20:19:11.180"</f>
        <v>20:19:11.180</v>
      </c>
      <c r="U1253" t="str">
        <f t="shared" si="58"/>
        <v>AB01F4</v>
      </c>
      <c r="V1253">
        <v>0</v>
      </c>
      <c r="W1253">
        <v>0</v>
      </c>
      <c r="X1253">
        <v>2</v>
      </c>
      <c r="Z1253">
        <v>0</v>
      </c>
      <c r="AA1253">
        <v>9</v>
      </c>
      <c r="AB1253">
        <v>3</v>
      </c>
      <c r="AC1253">
        <v>0</v>
      </c>
      <c r="AD1253">
        <v>10</v>
      </c>
      <c r="AE1253">
        <v>0</v>
      </c>
      <c r="AF1253">
        <v>3</v>
      </c>
      <c r="AG1253">
        <v>2</v>
      </c>
      <c r="AH1253">
        <v>0</v>
      </c>
      <c r="AI1253" t="s">
        <v>895</v>
      </c>
      <c r="AJ1253">
        <v>39.761516999999998</v>
      </c>
      <c r="AK1253" t="s">
        <v>896</v>
      </c>
      <c r="AL1253">
        <v>-92.515868999999995</v>
      </c>
      <c r="AM1253">
        <v>100</v>
      </c>
      <c r="AN1253">
        <v>1700</v>
      </c>
      <c r="AO1253" t="s">
        <v>118</v>
      </c>
      <c r="AP1253">
        <v>24</v>
      </c>
      <c r="AQ1253">
        <v>118</v>
      </c>
      <c r="AR1253">
        <v>0</v>
      </c>
      <c r="AZ1253">
        <v>1200</v>
      </c>
      <c r="BA1253">
        <v>1</v>
      </c>
      <c r="BB1253" t="str">
        <f t="shared" si="60"/>
        <v xml:space="preserve">N8080G  </v>
      </c>
      <c r="BC1253">
        <v>1</v>
      </c>
      <c r="BE1253">
        <v>0</v>
      </c>
      <c r="BF1253">
        <v>0</v>
      </c>
      <c r="BG1253">
        <v>0</v>
      </c>
      <c r="BH1253">
        <v>1675</v>
      </c>
      <c r="BI1253">
        <v>1</v>
      </c>
      <c r="BJ1253">
        <v>1</v>
      </c>
      <c r="BK1253">
        <v>1</v>
      </c>
      <c r="BL1253">
        <v>0</v>
      </c>
      <c r="BO1253">
        <v>0</v>
      </c>
      <c r="BP1253">
        <v>0</v>
      </c>
      <c r="BW1253" t="str">
        <f>"20:19:11.683"</f>
        <v>20:19:11.683</v>
      </c>
      <c r="BZ1253">
        <v>0</v>
      </c>
      <c r="CA1253">
        <v>2016</v>
      </c>
      <c r="CB1253">
        <v>224</v>
      </c>
      <c r="CD1253">
        <v>1</v>
      </c>
      <c r="CE1253">
        <v>0</v>
      </c>
      <c r="CF1253">
        <v>0</v>
      </c>
      <c r="CG1253">
        <v>1</v>
      </c>
      <c r="CH1253">
        <v>0</v>
      </c>
      <c r="CI1253">
        <v>0</v>
      </c>
      <c r="CJ1253">
        <v>0</v>
      </c>
      <c r="CK1253">
        <v>2</v>
      </c>
      <c r="CL1253">
        <v>0</v>
      </c>
      <c r="CM1253">
        <v>2</v>
      </c>
      <c r="CN1253">
        <v>0</v>
      </c>
      <c r="CO1253">
        <v>6</v>
      </c>
      <c r="CP1253" t="s">
        <v>119</v>
      </c>
      <c r="CQ1253">
        <v>180</v>
      </c>
      <c r="CR1253">
        <v>1</v>
      </c>
      <c r="CW1253">
        <v>10687678</v>
      </c>
      <c r="CY1253">
        <v>1</v>
      </c>
      <c r="CZ1253">
        <v>0</v>
      </c>
      <c r="DA1253">
        <v>1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>
        <v>0</v>
      </c>
      <c r="DH1253">
        <v>0</v>
      </c>
      <c r="DI1253">
        <v>0</v>
      </c>
    </row>
    <row r="1254" spans="1:113" x14ac:dyDescent="0.3">
      <c r="A1254" t="str">
        <f>"02/08/2021 20:19:09.340"</f>
        <v>02/08/2021 20:19:09.340</v>
      </c>
      <c r="C1254" t="str">
        <f t="shared" si="59"/>
        <v>FFDFD7C0</v>
      </c>
      <c r="D1254" t="s">
        <v>124</v>
      </c>
      <c r="E1254">
        <v>12</v>
      </c>
      <c r="F1254">
        <v>1012</v>
      </c>
      <c r="G1254" t="s">
        <v>675</v>
      </c>
      <c r="J1254" t="s">
        <v>125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>"20:19:11.680"</f>
        <v>20:19:11.680</v>
      </c>
      <c r="T1254" t="str">
        <f>"20:19:11.180"</f>
        <v>20:19:11.180</v>
      </c>
      <c r="U1254" t="str">
        <f t="shared" si="58"/>
        <v>AB01F4</v>
      </c>
      <c r="V1254">
        <v>0</v>
      </c>
      <c r="W1254">
        <v>0</v>
      </c>
      <c r="X1254">
        <v>2</v>
      </c>
      <c r="Z1254">
        <v>0</v>
      </c>
      <c r="AA1254">
        <v>9</v>
      </c>
      <c r="AB1254">
        <v>3</v>
      </c>
      <c r="AC1254">
        <v>0</v>
      </c>
      <c r="AD1254">
        <v>10</v>
      </c>
      <c r="AE1254">
        <v>0</v>
      </c>
      <c r="AF1254">
        <v>3</v>
      </c>
      <c r="AG1254">
        <v>2</v>
      </c>
      <c r="AH1254">
        <v>0</v>
      </c>
      <c r="AI1254" t="s">
        <v>895</v>
      </c>
      <c r="AJ1254">
        <v>39.761516999999998</v>
      </c>
      <c r="AK1254" t="s">
        <v>896</v>
      </c>
      <c r="AL1254">
        <v>-92.515868999999995</v>
      </c>
      <c r="AM1254">
        <v>100</v>
      </c>
      <c r="AN1254">
        <v>1700</v>
      </c>
      <c r="AO1254" t="s">
        <v>118</v>
      </c>
      <c r="AP1254">
        <v>24</v>
      </c>
      <c r="AQ1254">
        <v>118</v>
      </c>
      <c r="AR1254">
        <v>0</v>
      </c>
      <c r="AZ1254">
        <v>1200</v>
      </c>
      <c r="BA1254">
        <v>1</v>
      </c>
      <c r="BB1254" t="str">
        <f t="shared" si="60"/>
        <v xml:space="preserve">N8080G  </v>
      </c>
      <c r="BC1254">
        <v>1</v>
      </c>
      <c r="BE1254">
        <v>0</v>
      </c>
      <c r="BF1254">
        <v>0</v>
      </c>
      <c r="BG1254">
        <v>0</v>
      </c>
      <c r="BH1254">
        <v>1675</v>
      </c>
      <c r="BI1254">
        <v>1</v>
      </c>
      <c r="BJ1254">
        <v>1</v>
      </c>
      <c r="BK1254">
        <v>1</v>
      </c>
      <c r="BL1254">
        <v>0</v>
      </c>
      <c r="BO1254">
        <v>0</v>
      </c>
      <c r="BP1254">
        <v>0</v>
      </c>
      <c r="BW1254" t="str">
        <f>"20:19:11.683"</f>
        <v>20:19:11.683</v>
      </c>
      <c r="BZ1254">
        <v>0</v>
      </c>
      <c r="CA1254">
        <v>2016</v>
      </c>
      <c r="CB1254">
        <v>224</v>
      </c>
      <c r="CD1254">
        <v>1</v>
      </c>
      <c r="CE1254">
        <v>0</v>
      </c>
      <c r="CF1254">
        <v>0</v>
      </c>
      <c r="CG1254">
        <v>1</v>
      </c>
      <c r="CH1254">
        <v>0</v>
      </c>
      <c r="CI1254">
        <v>0</v>
      </c>
      <c r="CJ1254">
        <v>0</v>
      </c>
      <c r="CK1254">
        <v>2</v>
      </c>
      <c r="CL1254">
        <v>0</v>
      </c>
      <c r="CM1254">
        <v>2</v>
      </c>
      <c r="CN1254">
        <v>0</v>
      </c>
      <c r="CO1254">
        <v>6</v>
      </c>
      <c r="CP1254" t="s">
        <v>119</v>
      </c>
      <c r="CQ1254">
        <v>180</v>
      </c>
      <c r="CR1254">
        <v>1</v>
      </c>
      <c r="CW1254">
        <v>10687678</v>
      </c>
      <c r="CY1254">
        <v>1</v>
      </c>
      <c r="CZ1254">
        <v>0</v>
      </c>
      <c r="DA1254">
        <v>1</v>
      </c>
      <c r="DB1254">
        <v>0</v>
      </c>
      <c r="DC1254">
        <v>0</v>
      </c>
      <c r="DD1254">
        <v>0</v>
      </c>
      <c r="DE1254">
        <v>0</v>
      </c>
      <c r="DF1254">
        <v>0</v>
      </c>
      <c r="DG1254">
        <v>0</v>
      </c>
      <c r="DH1254">
        <v>0</v>
      </c>
      <c r="DI1254">
        <v>0</v>
      </c>
    </row>
    <row r="1255" spans="1:113" x14ac:dyDescent="0.3">
      <c r="A1255" t="str">
        <f>"02/08/2021 20:19:10.778"</f>
        <v>02/08/2021 20:19:10.778</v>
      </c>
      <c r="C1255" t="str">
        <f t="shared" si="59"/>
        <v>FFDFD7C0</v>
      </c>
      <c r="D1255" t="s">
        <v>124</v>
      </c>
      <c r="E1255">
        <v>11</v>
      </c>
      <c r="F1255">
        <v>1011</v>
      </c>
      <c r="G1255" t="s">
        <v>590</v>
      </c>
      <c r="J1255" t="s">
        <v>125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>"20:19:13.094"</f>
        <v>20:19:13.094</v>
      </c>
      <c r="T1255" t="str">
        <f>"20:19:12.694"</f>
        <v>20:19:12.694</v>
      </c>
      <c r="U1255" t="str">
        <f t="shared" si="58"/>
        <v>AB01F4</v>
      </c>
      <c r="V1255">
        <v>0</v>
      </c>
      <c r="W1255">
        <v>0</v>
      </c>
      <c r="X1255">
        <v>2</v>
      </c>
      <c r="Z1255">
        <v>0</v>
      </c>
      <c r="AA1255">
        <v>9</v>
      </c>
      <c r="AB1255">
        <v>3</v>
      </c>
      <c r="AC1255">
        <v>0</v>
      </c>
      <c r="AD1255">
        <v>10</v>
      </c>
      <c r="AE1255">
        <v>0</v>
      </c>
      <c r="AF1255">
        <v>3</v>
      </c>
      <c r="AG1255">
        <v>2</v>
      </c>
      <c r="AH1255">
        <v>0</v>
      </c>
      <c r="AI1255" t="s">
        <v>897</v>
      </c>
      <c r="AJ1255">
        <v>39.762267999999999</v>
      </c>
      <c r="AK1255" t="s">
        <v>898</v>
      </c>
      <c r="AL1255">
        <v>-92.515632999999994</v>
      </c>
      <c r="AM1255">
        <v>100</v>
      </c>
      <c r="AN1255">
        <v>1700</v>
      </c>
      <c r="AO1255" t="s">
        <v>118</v>
      </c>
      <c r="AP1255">
        <v>23</v>
      </c>
      <c r="AQ1255">
        <v>118</v>
      </c>
      <c r="AR1255">
        <v>0</v>
      </c>
      <c r="AZ1255">
        <v>1200</v>
      </c>
      <c r="BA1255">
        <v>1</v>
      </c>
      <c r="BB1255" t="str">
        <f t="shared" si="60"/>
        <v xml:space="preserve">N8080G  </v>
      </c>
      <c r="BC1255">
        <v>1</v>
      </c>
      <c r="BE1255">
        <v>0</v>
      </c>
      <c r="BF1255">
        <v>0</v>
      </c>
      <c r="BG1255">
        <v>0</v>
      </c>
      <c r="BH1255">
        <v>1675</v>
      </c>
      <c r="BI1255">
        <v>1</v>
      </c>
      <c r="BJ1255">
        <v>1</v>
      </c>
      <c r="BK1255">
        <v>1</v>
      </c>
      <c r="BL1255">
        <v>0</v>
      </c>
      <c r="BO1255">
        <v>0</v>
      </c>
      <c r="BP1255">
        <v>0</v>
      </c>
      <c r="BW1255" t="str">
        <f>"20:19:13.096"</f>
        <v>20:19:13.096</v>
      </c>
      <c r="BZ1255">
        <v>0</v>
      </c>
      <c r="CA1255">
        <v>2016</v>
      </c>
      <c r="CB1255">
        <v>224</v>
      </c>
      <c r="CD1255">
        <v>1</v>
      </c>
      <c r="CE1255">
        <v>0</v>
      </c>
      <c r="CF1255">
        <v>0</v>
      </c>
      <c r="CG1255">
        <v>1</v>
      </c>
      <c r="CH1255">
        <v>0</v>
      </c>
      <c r="CI1255">
        <v>0</v>
      </c>
      <c r="CJ1255">
        <v>0</v>
      </c>
      <c r="CK1255">
        <v>2</v>
      </c>
      <c r="CL1255">
        <v>0</v>
      </c>
      <c r="CM1255">
        <v>2</v>
      </c>
      <c r="CN1255">
        <v>0</v>
      </c>
      <c r="CO1255">
        <v>7</v>
      </c>
      <c r="CP1255" t="s">
        <v>119</v>
      </c>
      <c r="CQ1255">
        <v>180</v>
      </c>
      <c r="CR1255">
        <v>2</v>
      </c>
      <c r="CW1255">
        <v>8125750</v>
      </c>
      <c r="CY1255">
        <v>1</v>
      </c>
      <c r="CZ1255">
        <v>0</v>
      </c>
      <c r="DA1255">
        <v>0</v>
      </c>
      <c r="DB1255">
        <v>0</v>
      </c>
      <c r="DC1255">
        <v>0</v>
      </c>
      <c r="DD1255">
        <v>0</v>
      </c>
      <c r="DE1255">
        <v>0</v>
      </c>
      <c r="DF1255">
        <v>0</v>
      </c>
      <c r="DG1255">
        <v>0</v>
      </c>
      <c r="DH1255">
        <v>0</v>
      </c>
      <c r="DI1255">
        <v>0</v>
      </c>
    </row>
    <row r="1256" spans="1:113" x14ac:dyDescent="0.3">
      <c r="A1256" t="str">
        <f>"02/08/2021 20:19:10.778"</f>
        <v>02/08/2021 20:19:10.778</v>
      </c>
      <c r="C1256" t="str">
        <f t="shared" si="59"/>
        <v>FFDFD7C0</v>
      </c>
      <c r="D1256" t="s">
        <v>124</v>
      </c>
      <c r="E1256">
        <v>12</v>
      </c>
      <c r="F1256">
        <v>1012</v>
      </c>
      <c r="G1256" t="s">
        <v>675</v>
      </c>
      <c r="J1256" t="s">
        <v>125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>"20:19:13.094"</f>
        <v>20:19:13.094</v>
      </c>
      <c r="T1256" t="str">
        <f>"20:19:12.694"</f>
        <v>20:19:12.694</v>
      </c>
      <c r="U1256" t="str">
        <f t="shared" si="58"/>
        <v>AB01F4</v>
      </c>
      <c r="V1256">
        <v>0</v>
      </c>
      <c r="W1256">
        <v>0</v>
      </c>
      <c r="X1256">
        <v>2</v>
      </c>
      <c r="Z1256">
        <v>0</v>
      </c>
      <c r="AA1256">
        <v>9</v>
      </c>
      <c r="AB1256">
        <v>3</v>
      </c>
      <c r="AC1256">
        <v>0</v>
      </c>
      <c r="AD1256">
        <v>10</v>
      </c>
      <c r="AE1256">
        <v>0</v>
      </c>
      <c r="AF1256">
        <v>3</v>
      </c>
      <c r="AG1256">
        <v>2</v>
      </c>
      <c r="AH1256">
        <v>0</v>
      </c>
      <c r="AI1256" t="s">
        <v>897</v>
      </c>
      <c r="AJ1256">
        <v>39.762267999999999</v>
      </c>
      <c r="AK1256" t="s">
        <v>898</v>
      </c>
      <c r="AL1256">
        <v>-92.515632999999994</v>
      </c>
      <c r="AM1256">
        <v>100</v>
      </c>
      <c r="AN1256">
        <v>1700</v>
      </c>
      <c r="AO1256" t="s">
        <v>118</v>
      </c>
      <c r="AP1256">
        <v>23</v>
      </c>
      <c r="AQ1256">
        <v>118</v>
      </c>
      <c r="AR1256">
        <v>0</v>
      </c>
      <c r="AZ1256">
        <v>1200</v>
      </c>
      <c r="BA1256">
        <v>1</v>
      </c>
      <c r="BB1256" t="str">
        <f t="shared" si="60"/>
        <v xml:space="preserve">N8080G  </v>
      </c>
      <c r="BC1256">
        <v>1</v>
      </c>
      <c r="BE1256">
        <v>0</v>
      </c>
      <c r="BF1256">
        <v>0</v>
      </c>
      <c r="BG1256">
        <v>0</v>
      </c>
      <c r="BH1256">
        <v>1675</v>
      </c>
      <c r="BI1256">
        <v>1</v>
      </c>
      <c r="BJ1256">
        <v>1</v>
      </c>
      <c r="BK1256">
        <v>1</v>
      </c>
      <c r="BL1256">
        <v>0</v>
      </c>
      <c r="BO1256">
        <v>0</v>
      </c>
      <c r="BP1256">
        <v>0</v>
      </c>
      <c r="BW1256" t="str">
        <f>"20:19:13.096"</f>
        <v>20:19:13.096</v>
      </c>
      <c r="BZ1256">
        <v>0</v>
      </c>
      <c r="CA1256">
        <v>2016</v>
      </c>
      <c r="CB1256">
        <v>224</v>
      </c>
      <c r="CD1256">
        <v>1</v>
      </c>
      <c r="CE1256">
        <v>0</v>
      </c>
      <c r="CF1256">
        <v>0</v>
      </c>
      <c r="CG1256">
        <v>1</v>
      </c>
      <c r="CH1256">
        <v>0</v>
      </c>
      <c r="CI1256">
        <v>0</v>
      </c>
      <c r="CJ1256">
        <v>0</v>
      </c>
      <c r="CK1256">
        <v>2</v>
      </c>
      <c r="CL1256">
        <v>0</v>
      </c>
      <c r="CM1256">
        <v>2</v>
      </c>
      <c r="CN1256">
        <v>0</v>
      </c>
      <c r="CO1256">
        <v>7</v>
      </c>
      <c r="CP1256" t="s">
        <v>119</v>
      </c>
      <c r="CQ1256">
        <v>180</v>
      </c>
      <c r="CR1256">
        <v>2</v>
      </c>
      <c r="CW1256">
        <v>8125750</v>
      </c>
      <c r="CY1256">
        <v>1</v>
      </c>
      <c r="CZ1256">
        <v>0</v>
      </c>
      <c r="DA1256">
        <v>1</v>
      </c>
      <c r="DB1256">
        <v>0</v>
      </c>
      <c r="DC1256">
        <v>0</v>
      </c>
      <c r="DD1256">
        <v>0</v>
      </c>
      <c r="DE1256">
        <v>0</v>
      </c>
      <c r="DF1256">
        <v>0</v>
      </c>
      <c r="DG1256">
        <v>0</v>
      </c>
      <c r="DH1256">
        <v>0</v>
      </c>
      <c r="DI1256">
        <v>0</v>
      </c>
    </row>
    <row r="1257" spans="1:113" x14ac:dyDescent="0.3">
      <c r="A1257" t="str">
        <f>"02/08/2021 20:19:10.778"</f>
        <v>02/08/2021 20:19:10.778</v>
      </c>
      <c r="C1257" t="str">
        <f t="shared" si="59"/>
        <v>FFDFD7C0</v>
      </c>
      <c r="D1257" t="s">
        <v>113</v>
      </c>
      <c r="E1257">
        <v>6</v>
      </c>
      <c r="H1257">
        <v>165</v>
      </c>
      <c r="I1257" t="s">
        <v>114</v>
      </c>
      <c r="J1257" t="s">
        <v>115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>"20:19:13.094"</f>
        <v>20:19:13.094</v>
      </c>
      <c r="T1257" t="str">
        <f>"20:19:12.694"</f>
        <v>20:19:12.694</v>
      </c>
      <c r="U1257" t="str">
        <f t="shared" si="58"/>
        <v>AB01F4</v>
      </c>
      <c r="V1257">
        <v>0</v>
      </c>
      <c r="W1257">
        <v>0</v>
      </c>
      <c r="X1257">
        <v>2</v>
      </c>
      <c r="Z1257">
        <v>0</v>
      </c>
      <c r="AA1257">
        <v>9</v>
      </c>
      <c r="AB1257">
        <v>3</v>
      </c>
      <c r="AC1257">
        <v>0</v>
      </c>
      <c r="AD1257">
        <v>10</v>
      </c>
      <c r="AE1257">
        <v>0</v>
      </c>
      <c r="AF1257">
        <v>3</v>
      </c>
      <c r="AG1257">
        <v>2</v>
      </c>
      <c r="AH1257">
        <v>0</v>
      </c>
      <c r="AI1257" t="s">
        <v>897</v>
      </c>
      <c r="AJ1257">
        <v>39.762267999999999</v>
      </c>
      <c r="AK1257" t="s">
        <v>898</v>
      </c>
      <c r="AL1257">
        <v>-92.515632999999994</v>
      </c>
      <c r="AM1257">
        <v>100</v>
      </c>
      <c r="AN1257">
        <v>1700</v>
      </c>
      <c r="AO1257" t="s">
        <v>118</v>
      </c>
      <c r="AP1257">
        <v>23</v>
      </c>
      <c r="AQ1257">
        <v>118</v>
      </c>
      <c r="AR1257">
        <v>0</v>
      </c>
      <c r="AZ1257">
        <v>1200</v>
      </c>
      <c r="BA1257">
        <v>1</v>
      </c>
      <c r="BB1257" t="str">
        <f t="shared" si="60"/>
        <v xml:space="preserve">N8080G  </v>
      </c>
      <c r="BC1257">
        <v>1</v>
      </c>
      <c r="BE1257">
        <v>0</v>
      </c>
      <c r="BF1257">
        <v>0</v>
      </c>
      <c r="BG1257">
        <v>0</v>
      </c>
      <c r="BH1257">
        <v>1675</v>
      </c>
      <c r="BI1257">
        <v>1</v>
      </c>
      <c r="BJ1257">
        <v>1</v>
      </c>
      <c r="BK1257">
        <v>1</v>
      </c>
      <c r="BL1257">
        <v>0</v>
      </c>
      <c r="BO1257">
        <v>0</v>
      </c>
      <c r="BP1257">
        <v>0</v>
      </c>
      <c r="BW1257" t="str">
        <f>"20:19:13.096"</f>
        <v>20:19:13.096</v>
      </c>
      <c r="BZ1257">
        <v>0</v>
      </c>
      <c r="CA1257">
        <v>2016</v>
      </c>
      <c r="CB1257">
        <v>224</v>
      </c>
      <c r="CD1257">
        <v>1</v>
      </c>
      <c r="CE1257">
        <v>0</v>
      </c>
      <c r="CF1257">
        <v>0</v>
      </c>
      <c r="CG1257">
        <v>1</v>
      </c>
      <c r="CH1257">
        <v>0</v>
      </c>
      <c r="CI1257">
        <v>0</v>
      </c>
      <c r="CJ1257">
        <v>0</v>
      </c>
      <c r="CK1257">
        <v>2</v>
      </c>
      <c r="CL1257">
        <v>0</v>
      </c>
      <c r="CM1257">
        <v>2</v>
      </c>
      <c r="CN1257">
        <v>0</v>
      </c>
      <c r="CO1257">
        <v>7</v>
      </c>
      <c r="CP1257" t="s">
        <v>119</v>
      </c>
      <c r="CQ1257">
        <v>180</v>
      </c>
      <c r="CR1257">
        <v>2</v>
      </c>
      <c r="CW1257">
        <v>8125750</v>
      </c>
      <c r="CY1257">
        <v>1</v>
      </c>
      <c r="CZ1257">
        <v>0</v>
      </c>
      <c r="DA1257">
        <v>1</v>
      </c>
      <c r="DB1257">
        <v>0</v>
      </c>
      <c r="DC1257">
        <v>0</v>
      </c>
      <c r="DD1257">
        <v>0</v>
      </c>
      <c r="DE1257">
        <v>0</v>
      </c>
      <c r="DF1257">
        <v>0</v>
      </c>
      <c r="DG1257">
        <v>0</v>
      </c>
      <c r="DH1257">
        <v>0</v>
      </c>
      <c r="DI1257">
        <v>0</v>
      </c>
    </row>
    <row r="1258" spans="1:113" x14ac:dyDescent="0.3">
      <c r="A1258" t="str">
        <f>"02/08/2021 20:19:10.778"</f>
        <v>02/08/2021 20:19:10.778</v>
      </c>
      <c r="C1258" t="str">
        <f t="shared" si="59"/>
        <v>FFDFD7C0</v>
      </c>
      <c r="D1258" t="s">
        <v>124</v>
      </c>
      <c r="E1258">
        <v>13</v>
      </c>
      <c r="F1258">
        <v>1013</v>
      </c>
      <c r="G1258" t="s">
        <v>114</v>
      </c>
      <c r="J1258" t="s">
        <v>125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>"20:19:13.094"</f>
        <v>20:19:13.094</v>
      </c>
      <c r="T1258" t="str">
        <f>"20:19:12.694"</f>
        <v>20:19:12.694</v>
      </c>
      <c r="U1258" t="str">
        <f t="shared" si="58"/>
        <v>AB01F4</v>
      </c>
      <c r="V1258">
        <v>0</v>
      </c>
      <c r="W1258">
        <v>0</v>
      </c>
      <c r="X1258">
        <v>2</v>
      </c>
      <c r="Z1258">
        <v>0</v>
      </c>
      <c r="AA1258">
        <v>9</v>
      </c>
      <c r="AB1258">
        <v>3</v>
      </c>
      <c r="AC1258">
        <v>0</v>
      </c>
      <c r="AD1258">
        <v>10</v>
      </c>
      <c r="AE1258">
        <v>0</v>
      </c>
      <c r="AF1258">
        <v>3</v>
      </c>
      <c r="AG1258">
        <v>2</v>
      </c>
      <c r="AH1258">
        <v>0</v>
      </c>
      <c r="AI1258" t="s">
        <v>897</v>
      </c>
      <c r="AJ1258">
        <v>39.762267999999999</v>
      </c>
      <c r="AK1258" t="s">
        <v>898</v>
      </c>
      <c r="AL1258">
        <v>-92.515632999999994</v>
      </c>
      <c r="AM1258">
        <v>100</v>
      </c>
      <c r="AN1258">
        <v>1700</v>
      </c>
      <c r="AO1258" t="s">
        <v>118</v>
      </c>
      <c r="AP1258">
        <v>23</v>
      </c>
      <c r="AQ1258">
        <v>118</v>
      </c>
      <c r="AR1258">
        <v>0</v>
      </c>
      <c r="AZ1258">
        <v>1200</v>
      </c>
      <c r="BA1258">
        <v>1</v>
      </c>
      <c r="BB1258" t="str">
        <f t="shared" si="60"/>
        <v xml:space="preserve">N8080G  </v>
      </c>
      <c r="BC1258">
        <v>1</v>
      </c>
      <c r="BE1258">
        <v>0</v>
      </c>
      <c r="BF1258">
        <v>0</v>
      </c>
      <c r="BG1258">
        <v>0</v>
      </c>
      <c r="BH1258">
        <v>1675</v>
      </c>
      <c r="BI1258">
        <v>1</v>
      </c>
      <c r="BJ1258">
        <v>1</v>
      </c>
      <c r="BK1258">
        <v>1</v>
      </c>
      <c r="BL1258">
        <v>0</v>
      </c>
      <c r="BO1258">
        <v>0</v>
      </c>
      <c r="BP1258">
        <v>0</v>
      </c>
      <c r="BW1258" t="str">
        <f>"20:19:13.096"</f>
        <v>20:19:13.096</v>
      </c>
      <c r="BZ1258">
        <v>0</v>
      </c>
      <c r="CA1258">
        <v>2016</v>
      </c>
      <c r="CB1258">
        <v>224</v>
      </c>
      <c r="CD1258">
        <v>1</v>
      </c>
      <c r="CE1258">
        <v>0</v>
      </c>
      <c r="CF1258">
        <v>0</v>
      </c>
      <c r="CG1258">
        <v>1</v>
      </c>
      <c r="CH1258">
        <v>0</v>
      </c>
      <c r="CI1258">
        <v>0</v>
      </c>
      <c r="CJ1258">
        <v>0</v>
      </c>
      <c r="CK1258">
        <v>2</v>
      </c>
      <c r="CL1258">
        <v>0</v>
      </c>
      <c r="CM1258">
        <v>2</v>
      </c>
      <c r="CN1258">
        <v>0</v>
      </c>
      <c r="CO1258">
        <v>7</v>
      </c>
      <c r="CP1258" t="s">
        <v>119</v>
      </c>
      <c r="CQ1258">
        <v>180</v>
      </c>
      <c r="CR1258">
        <v>2</v>
      </c>
      <c r="CW1258">
        <v>8125750</v>
      </c>
      <c r="CY1258">
        <v>1</v>
      </c>
      <c r="CZ1258">
        <v>0</v>
      </c>
      <c r="DA1258">
        <v>1</v>
      </c>
      <c r="DB1258">
        <v>0</v>
      </c>
      <c r="DC1258">
        <v>0</v>
      </c>
      <c r="DD1258">
        <v>0</v>
      </c>
      <c r="DE1258">
        <v>0</v>
      </c>
      <c r="DF1258">
        <v>0</v>
      </c>
      <c r="DG1258">
        <v>0</v>
      </c>
      <c r="DH1258">
        <v>0</v>
      </c>
      <c r="DI1258">
        <v>0</v>
      </c>
    </row>
    <row r="1259" spans="1:113" x14ac:dyDescent="0.3">
      <c r="A1259" t="str">
        <f>"02/08/2021 20:19:12.287"</f>
        <v>02/08/2021 20:19:12.287</v>
      </c>
      <c r="C1259" t="str">
        <f t="shared" si="59"/>
        <v>FFDFD7C0</v>
      </c>
      <c r="D1259" t="s">
        <v>124</v>
      </c>
      <c r="E1259">
        <v>12</v>
      </c>
      <c r="F1259">
        <v>1012</v>
      </c>
      <c r="G1259" t="s">
        <v>675</v>
      </c>
      <c r="J1259" t="s">
        <v>125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>"20:19:14.625"</f>
        <v>20:19:14.625</v>
      </c>
      <c r="T1259" t="str">
        <f>"20:19:14.125"</f>
        <v>20:19:14.125</v>
      </c>
      <c r="U1259" t="str">
        <f t="shared" si="58"/>
        <v>AB01F4</v>
      </c>
      <c r="V1259">
        <v>0</v>
      </c>
      <c r="W1259">
        <v>0</v>
      </c>
      <c r="X1259">
        <v>2</v>
      </c>
      <c r="Z1259">
        <v>0</v>
      </c>
      <c r="AA1259">
        <v>9</v>
      </c>
      <c r="AB1259">
        <v>3</v>
      </c>
      <c r="AC1259">
        <v>0</v>
      </c>
      <c r="AD1259">
        <v>10</v>
      </c>
      <c r="AE1259">
        <v>0</v>
      </c>
      <c r="AF1259">
        <v>3</v>
      </c>
      <c r="AG1259">
        <v>2</v>
      </c>
      <c r="AH1259">
        <v>0</v>
      </c>
      <c r="AI1259" t="s">
        <v>899</v>
      </c>
      <c r="AJ1259">
        <v>39.763148000000001</v>
      </c>
      <c r="AK1259" t="s">
        <v>900</v>
      </c>
      <c r="AL1259">
        <v>-92.515439999999998</v>
      </c>
      <c r="AM1259">
        <v>100</v>
      </c>
      <c r="AN1259">
        <v>1700</v>
      </c>
      <c r="AO1259" t="s">
        <v>118</v>
      </c>
      <c r="AP1259">
        <v>23</v>
      </c>
      <c r="AQ1259">
        <v>118</v>
      </c>
      <c r="AR1259">
        <v>0</v>
      </c>
      <c r="AZ1259">
        <v>1200</v>
      </c>
      <c r="BA1259">
        <v>1</v>
      </c>
      <c r="BB1259" t="str">
        <f t="shared" si="60"/>
        <v xml:space="preserve">N8080G  </v>
      </c>
      <c r="BC1259">
        <v>1</v>
      </c>
      <c r="BE1259">
        <v>0</v>
      </c>
      <c r="BF1259">
        <v>0</v>
      </c>
      <c r="BG1259">
        <v>0</v>
      </c>
      <c r="BH1259">
        <v>1675</v>
      </c>
      <c r="BI1259">
        <v>1</v>
      </c>
      <c r="BJ1259">
        <v>1</v>
      </c>
      <c r="BK1259">
        <v>1</v>
      </c>
      <c r="BL1259">
        <v>0</v>
      </c>
      <c r="BO1259">
        <v>0</v>
      </c>
      <c r="BP1259">
        <v>0</v>
      </c>
      <c r="BW1259" t="str">
        <f>"20:19:14.633"</f>
        <v>20:19:14.633</v>
      </c>
      <c r="BZ1259">
        <v>0</v>
      </c>
      <c r="CA1259">
        <v>2016</v>
      </c>
      <c r="CB1259">
        <v>224</v>
      </c>
      <c r="CD1259">
        <v>1</v>
      </c>
      <c r="CE1259">
        <v>0</v>
      </c>
      <c r="CF1259">
        <v>0</v>
      </c>
      <c r="CG1259">
        <v>1</v>
      </c>
      <c r="CH1259">
        <v>0</v>
      </c>
      <c r="CI1259">
        <v>0</v>
      </c>
      <c r="CJ1259">
        <v>0</v>
      </c>
      <c r="CK1259">
        <v>2</v>
      </c>
      <c r="CL1259">
        <v>0</v>
      </c>
      <c r="CM1259">
        <v>2</v>
      </c>
      <c r="CN1259">
        <v>0</v>
      </c>
      <c r="CO1259">
        <v>7</v>
      </c>
      <c r="CP1259" t="s">
        <v>119</v>
      </c>
      <c r="CQ1259">
        <v>180</v>
      </c>
      <c r="CR1259">
        <v>2</v>
      </c>
      <c r="CW1259">
        <v>8127060</v>
      </c>
      <c r="CY1259">
        <v>1</v>
      </c>
      <c r="CZ1259">
        <v>0</v>
      </c>
      <c r="DA1259">
        <v>0</v>
      </c>
      <c r="DB1259">
        <v>0</v>
      </c>
      <c r="DC1259">
        <v>0</v>
      </c>
      <c r="DD1259">
        <v>0</v>
      </c>
      <c r="DE1259">
        <v>0</v>
      </c>
      <c r="DF1259">
        <v>0</v>
      </c>
      <c r="DG1259">
        <v>0</v>
      </c>
      <c r="DH1259">
        <v>0</v>
      </c>
      <c r="DI1259">
        <v>0</v>
      </c>
    </row>
    <row r="1260" spans="1:113" x14ac:dyDescent="0.3">
      <c r="A1260" t="str">
        <f>"02/08/2021 20:19:12.287"</f>
        <v>02/08/2021 20:19:12.287</v>
      </c>
      <c r="C1260" t="str">
        <f t="shared" si="59"/>
        <v>FFDFD7C0</v>
      </c>
      <c r="D1260" t="s">
        <v>124</v>
      </c>
      <c r="E1260">
        <v>11</v>
      </c>
      <c r="F1260">
        <v>1011</v>
      </c>
      <c r="G1260" t="s">
        <v>590</v>
      </c>
      <c r="J1260" t="s">
        <v>125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>"20:19:14.625"</f>
        <v>20:19:14.625</v>
      </c>
      <c r="T1260" t="str">
        <f>"20:19:14.125"</f>
        <v>20:19:14.125</v>
      </c>
      <c r="U1260" t="str">
        <f t="shared" si="58"/>
        <v>AB01F4</v>
      </c>
      <c r="V1260">
        <v>0</v>
      </c>
      <c r="W1260">
        <v>0</v>
      </c>
      <c r="X1260">
        <v>2</v>
      </c>
      <c r="Z1260">
        <v>0</v>
      </c>
      <c r="AA1260">
        <v>9</v>
      </c>
      <c r="AB1260">
        <v>3</v>
      </c>
      <c r="AC1260">
        <v>0</v>
      </c>
      <c r="AD1260">
        <v>10</v>
      </c>
      <c r="AE1260">
        <v>0</v>
      </c>
      <c r="AF1260">
        <v>3</v>
      </c>
      <c r="AG1260">
        <v>2</v>
      </c>
      <c r="AH1260">
        <v>0</v>
      </c>
      <c r="AI1260" t="s">
        <v>899</v>
      </c>
      <c r="AJ1260">
        <v>39.763148000000001</v>
      </c>
      <c r="AK1260" t="s">
        <v>900</v>
      </c>
      <c r="AL1260">
        <v>-92.515439999999998</v>
      </c>
      <c r="AM1260">
        <v>100</v>
      </c>
      <c r="AN1260">
        <v>1700</v>
      </c>
      <c r="AO1260" t="s">
        <v>118</v>
      </c>
      <c r="AP1260">
        <v>23</v>
      </c>
      <c r="AQ1260">
        <v>118</v>
      </c>
      <c r="AR1260">
        <v>0</v>
      </c>
      <c r="AZ1260">
        <v>1200</v>
      </c>
      <c r="BA1260">
        <v>1</v>
      </c>
      <c r="BB1260" t="str">
        <f t="shared" si="60"/>
        <v xml:space="preserve">N8080G  </v>
      </c>
      <c r="BC1260">
        <v>1</v>
      </c>
      <c r="BE1260">
        <v>0</v>
      </c>
      <c r="BF1260">
        <v>0</v>
      </c>
      <c r="BG1260">
        <v>0</v>
      </c>
      <c r="BH1260">
        <v>1675</v>
      </c>
      <c r="BI1260">
        <v>1</v>
      </c>
      <c r="BJ1260">
        <v>1</v>
      </c>
      <c r="BK1260">
        <v>1</v>
      </c>
      <c r="BL1260">
        <v>0</v>
      </c>
      <c r="BO1260">
        <v>0</v>
      </c>
      <c r="BP1260">
        <v>0</v>
      </c>
      <c r="BW1260" t="str">
        <f>"20:19:14.633"</f>
        <v>20:19:14.633</v>
      </c>
      <c r="BZ1260">
        <v>0</v>
      </c>
      <c r="CA1260">
        <v>2016</v>
      </c>
      <c r="CB1260">
        <v>224</v>
      </c>
      <c r="CD1260">
        <v>1</v>
      </c>
      <c r="CE1260">
        <v>0</v>
      </c>
      <c r="CF1260">
        <v>0</v>
      </c>
      <c r="CG1260">
        <v>1</v>
      </c>
      <c r="CH1260">
        <v>0</v>
      </c>
      <c r="CI1260">
        <v>0</v>
      </c>
      <c r="CJ1260">
        <v>0</v>
      </c>
      <c r="CK1260">
        <v>2</v>
      </c>
      <c r="CL1260">
        <v>0</v>
      </c>
      <c r="CM1260">
        <v>2</v>
      </c>
      <c r="CN1260">
        <v>0</v>
      </c>
      <c r="CO1260">
        <v>7</v>
      </c>
      <c r="CP1260" t="s">
        <v>119</v>
      </c>
      <c r="CQ1260">
        <v>180</v>
      </c>
      <c r="CR1260">
        <v>2</v>
      </c>
      <c r="CW1260">
        <v>8127060</v>
      </c>
      <c r="CY1260">
        <v>1</v>
      </c>
      <c r="CZ1260">
        <v>0</v>
      </c>
      <c r="DA1260">
        <v>1</v>
      </c>
      <c r="DB1260">
        <v>0</v>
      </c>
      <c r="DC1260">
        <v>0</v>
      </c>
      <c r="DD1260">
        <v>0</v>
      </c>
      <c r="DE1260">
        <v>0</v>
      </c>
      <c r="DF1260">
        <v>0</v>
      </c>
      <c r="DG1260">
        <v>0</v>
      </c>
      <c r="DH1260">
        <v>0</v>
      </c>
      <c r="DI1260">
        <v>0</v>
      </c>
    </row>
    <row r="1261" spans="1:113" x14ac:dyDescent="0.3">
      <c r="A1261" t="str">
        <f>"02/08/2021 20:19:12.287"</f>
        <v>02/08/2021 20:19:12.287</v>
      </c>
      <c r="C1261" t="str">
        <f t="shared" si="59"/>
        <v>FFDFD7C0</v>
      </c>
      <c r="D1261" t="s">
        <v>113</v>
      </c>
      <c r="E1261">
        <v>6</v>
      </c>
      <c r="H1261">
        <v>165</v>
      </c>
      <c r="I1261" t="s">
        <v>114</v>
      </c>
      <c r="J1261" t="s">
        <v>115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>"20:19:14.625"</f>
        <v>20:19:14.625</v>
      </c>
      <c r="T1261" t="str">
        <f>"20:19:14.125"</f>
        <v>20:19:14.125</v>
      </c>
      <c r="U1261" t="str">
        <f t="shared" si="58"/>
        <v>AB01F4</v>
      </c>
      <c r="V1261">
        <v>0</v>
      </c>
      <c r="W1261">
        <v>0</v>
      </c>
      <c r="X1261">
        <v>2</v>
      </c>
      <c r="Z1261">
        <v>0</v>
      </c>
      <c r="AA1261">
        <v>9</v>
      </c>
      <c r="AB1261">
        <v>3</v>
      </c>
      <c r="AC1261">
        <v>0</v>
      </c>
      <c r="AD1261">
        <v>10</v>
      </c>
      <c r="AE1261">
        <v>0</v>
      </c>
      <c r="AF1261">
        <v>3</v>
      </c>
      <c r="AG1261">
        <v>2</v>
      </c>
      <c r="AH1261">
        <v>0</v>
      </c>
      <c r="AI1261" t="s">
        <v>899</v>
      </c>
      <c r="AJ1261">
        <v>39.763148000000001</v>
      </c>
      <c r="AK1261" t="s">
        <v>900</v>
      </c>
      <c r="AL1261">
        <v>-92.515439999999998</v>
      </c>
      <c r="AM1261">
        <v>100</v>
      </c>
      <c r="AN1261">
        <v>1700</v>
      </c>
      <c r="AO1261" t="s">
        <v>118</v>
      </c>
      <c r="AP1261">
        <v>23</v>
      </c>
      <c r="AQ1261">
        <v>118</v>
      </c>
      <c r="AR1261">
        <v>0</v>
      </c>
      <c r="AZ1261">
        <v>1200</v>
      </c>
      <c r="BA1261">
        <v>1</v>
      </c>
      <c r="BB1261" t="str">
        <f t="shared" si="60"/>
        <v xml:space="preserve">N8080G  </v>
      </c>
      <c r="BC1261">
        <v>1</v>
      </c>
      <c r="BE1261">
        <v>0</v>
      </c>
      <c r="BF1261">
        <v>0</v>
      </c>
      <c r="BG1261">
        <v>0</v>
      </c>
      <c r="BH1261">
        <v>1675</v>
      </c>
      <c r="BI1261">
        <v>1</v>
      </c>
      <c r="BJ1261">
        <v>1</v>
      </c>
      <c r="BK1261">
        <v>1</v>
      </c>
      <c r="BL1261">
        <v>0</v>
      </c>
      <c r="BO1261">
        <v>0</v>
      </c>
      <c r="BP1261">
        <v>0</v>
      </c>
      <c r="BW1261" t="str">
        <f>"20:19:14.633"</f>
        <v>20:19:14.633</v>
      </c>
      <c r="BZ1261">
        <v>0</v>
      </c>
      <c r="CA1261">
        <v>2016</v>
      </c>
      <c r="CB1261">
        <v>224</v>
      </c>
      <c r="CD1261">
        <v>1</v>
      </c>
      <c r="CE1261">
        <v>0</v>
      </c>
      <c r="CF1261">
        <v>0</v>
      </c>
      <c r="CG1261">
        <v>1</v>
      </c>
      <c r="CH1261">
        <v>0</v>
      </c>
      <c r="CI1261">
        <v>0</v>
      </c>
      <c r="CJ1261">
        <v>0</v>
      </c>
      <c r="CK1261">
        <v>2</v>
      </c>
      <c r="CL1261">
        <v>0</v>
      </c>
      <c r="CM1261">
        <v>2</v>
      </c>
      <c r="CN1261">
        <v>0</v>
      </c>
      <c r="CO1261">
        <v>7</v>
      </c>
      <c r="CP1261" t="s">
        <v>119</v>
      </c>
      <c r="CQ1261">
        <v>180</v>
      </c>
      <c r="CR1261">
        <v>2</v>
      </c>
      <c r="CW1261">
        <v>8127060</v>
      </c>
      <c r="CY1261">
        <v>1</v>
      </c>
      <c r="CZ1261">
        <v>0</v>
      </c>
      <c r="DA1261">
        <v>1</v>
      </c>
      <c r="DB1261">
        <v>0</v>
      </c>
      <c r="DC1261">
        <v>0</v>
      </c>
      <c r="DD1261">
        <v>0</v>
      </c>
      <c r="DE1261">
        <v>0</v>
      </c>
      <c r="DF1261">
        <v>0</v>
      </c>
      <c r="DG1261">
        <v>0</v>
      </c>
      <c r="DH1261">
        <v>0</v>
      </c>
      <c r="DI1261">
        <v>0</v>
      </c>
    </row>
    <row r="1262" spans="1:113" x14ac:dyDescent="0.3">
      <c r="A1262" t="str">
        <f>"02/08/2021 20:19:12.287"</f>
        <v>02/08/2021 20:19:12.287</v>
      </c>
      <c r="C1262" t="str">
        <f t="shared" si="59"/>
        <v>FFDFD7C0</v>
      </c>
      <c r="D1262" t="s">
        <v>124</v>
      </c>
      <c r="E1262">
        <v>13</v>
      </c>
      <c r="F1262">
        <v>1013</v>
      </c>
      <c r="G1262" t="s">
        <v>114</v>
      </c>
      <c r="J1262" t="s">
        <v>125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>"20:19:14.625"</f>
        <v>20:19:14.625</v>
      </c>
      <c r="T1262" t="str">
        <f>"20:19:14.125"</f>
        <v>20:19:14.125</v>
      </c>
      <c r="U1262" t="str">
        <f t="shared" si="58"/>
        <v>AB01F4</v>
      </c>
      <c r="V1262">
        <v>0</v>
      </c>
      <c r="W1262">
        <v>0</v>
      </c>
      <c r="X1262">
        <v>2</v>
      </c>
      <c r="Z1262">
        <v>0</v>
      </c>
      <c r="AA1262">
        <v>9</v>
      </c>
      <c r="AB1262">
        <v>3</v>
      </c>
      <c r="AC1262">
        <v>0</v>
      </c>
      <c r="AD1262">
        <v>10</v>
      </c>
      <c r="AE1262">
        <v>0</v>
      </c>
      <c r="AF1262">
        <v>3</v>
      </c>
      <c r="AG1262">
        <v>2</v>
      </c>
      <c r="AH1262">
        <v>0</v>
      </c>
      <c r="AI1262" t="s">
        <v>899</v>
      </c>
      <c r="AJ1262">
        <v>39.763148000000001</v>
      </c>
      <c r="AK1262" t="s">
        <v>900</v>
      </c>
      <c r="AL1262">
        <v>-92.515439999999998</v>
      </c>
      <c r="AM1262">
        <v>100</v>
      </c>
      <c r="AN1262">
        <v>1700</v>
      </c>
      <c r="AO1262" t="s">
        <v>118</v>
      </c>
      <c r="AP1262">
        <v>23</v>
      </c>
      <c r="AQ1262">
        <v>118</v>
      </c>
      <c r="AR1262">
        <v>0</v>
      </c>
      <c r="AZ1262">
        <v>1200</v>
      </c>
      <c r="BA1262">
        <v>1</v>
      </c>
      <c r="BB1262" t="str">
        <f t="shared" si="60"/>
        <v xml:space="preserve">N8080G  </v>
      </c>
      <c r="BC1262">
        <v>1</v>
      </c>
      <c r="BE1262">
        <v>0</v>
      </c>
      <c r="BF1262">
        <v>0</v>
      </c>
      <c r="BG1262">
        <v>0</v>
      </c>
      <c r="BH1262">
        <v>1675</v>
      </c>
      <c r="BI1262">
        <v>1</v>
      </c>
      <c r="BJ1262">
        <v>1</v>
      </c>
      <c r="BK1262">
        <v>1</v>
      </c>
      <c r="BL1262">
        <v>0</v>
      </c>
      <c r="BO1262">
        <v>0</v>
      </c>
      <c r="BP1262">
        <v>0</v>
      </c>
      <c r="BW1262" t="str">
        <f>"20:19:14.633"</f>
        <v>20:19:14.633</v>
      </c>
      <c r="BZ1262">
        <v>0</v>
      </c>
      <c r="CA1262">
        <v>2016</v>
      </c>
      <c r="CB1262">
        <v>224</v>
      </c>
      <c r="CD1262">
        <v>1</v>
      </c>
      <c r="CE1262">
        <v>0</v>
      </c>
      <c r="CF1262">
        <v>0</v>
      </c>
      <c r="CG1262">
        <v>1</v>
      </c>
      <c r="CH1262">
        <v>0</v>
      </c>
      <c r="CI1262">
        <v>0</v>
      </c>
      <c r="CJ1262">
        <v>0</v>
      </c>
      <c r="CK1262">
        <v>2</v>
      </c>
      <c r="CL1262">
        <v>0</v>
      </c>
      <c r="CM1262">
        <v>2</v>
      </c>
      <c r="CN1262">
        <v>0</v>
      </c>
      <c r="CO1262">
        <v>7</v>
      </c>
      <c r="CP1262" t="s">
        <v>119</v>
      </c>
      <c r="CQ1262">
        <v>180</v>
      </c>
      <c r="CR1262">
        <v>2</v>
      </c>
      <c r="CW1262">
        <v>8127060</v>
      </c>
      <c r="CY1262">
        <v>1</v>
      </c>
      <c r="CZ1262">
        <v>0</v>
      </c>
      <c r="DA1262">
        <v>1</v>
      </c>
      <c r="DB1262">
        <v>0</v>
      </c>
      <c r="DC1262">
        <v>0</v>
      </c>
      <c r="DD1262">
        <v>0</v>
      </c>
      <c r="DE1262">
        <v>0</v>
      </c>
      <c r="DF1262">
        <v>0</v>
      </c>
      <c r="DG1262">
        <v>0</v>
      </c>
      <c r="DH1262">
        <v>0</v>
      </c>
      <c r="DI1262">
        <v>0</v>
      </c>
    </row>
    <row r="1263" spans="1:113" x14ac:dyDescent="0.3">
      <c r="A1263" t="str">
        <f>"02/08/2021 20:19:13.798"</f>
        <v>02/08/2021 20:19:13.798</v>
      </c>
      <c r="C1263" t="str">
        <f t="shared" si="59"/>
        <v>FFDFD7C0</v>
      </c>
      <c r="D1263" t="s">
        <v>124</v>
      </c>
      <c r="E1263">
        <v>12</v>
      </c>
      <c r="F1263">
        <v>1012</v>
      </c>
      <c r="G1263" t="s">
        <v>675</v>
      </c>
      <c r="J1263" t="s">
        <v>125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>"20:19:16.102"</f>
        <v>20:19:16.102</v>
      </c>
      <c r="T1263" t="str">
        <f>"20:19:15.602"</f>
        <v>20:19:15.602</v>
      </c>
      <c r="U1263" t="str">
        <f t="shared" si="58"/>
        <v>AB01F4</v>
      </c>
      <c r="V1263">
        <v>0</v>
      </c>
      <c r="W1263">
        <v>0</v>
      </c>
      <c r="X1263">
        <v>2</v>
      </c>
      <c r="Z1263">
        <v>0</v>
      </c>
      <c r="AA1263">
        <v>9</v>
      </c>
      <c r="AB1263">
        <v>3</v>
      </c>
      <c r="AC1263">
        <v>0</v>
      </c>
      <c r="AD1263">
        <v>10</v>
      </c>
      <c r="AE1263">
        <v>0</v>
      </c>
      <c r="AF1263">
        <v>3</v>
      </c>
      <c r="AG1263">
        <v>2</v>
      </c>
      <c r="AH1263">
        <v>0</v>
      </c>
      <c r="AI1263" t="s">
        <v>901</v>
      </c>
      <c r="AJ1263">
        <v>39.763899000000002</v>
      </c>
      <c r="AK1263" t="s">
        <v>902</v>
      </c>
      <c r="AL1263">
        <v>-92.515203999999997</v>
      </c>
      <c r="AM1263">
        <v>100</v>
      </c>
      <c r="AN1263">
        <v>1700</v>
      </c>
      <c r="AO1263" t="s">
        <v>118</v>
      </c>
      <c r="AP1263">
        <v>23</v>
      </c>
      <c r="AQ1263">
        <v>118</v>
      </c>
      <c r="AR1263">
        <v>0</v>
      </c>
      <c r="AZ1263">
        <v>1200</v>
      </c>
      <c r="BA1263">
        <v>1</v>
      </c>
      <c r="BB1263" t="str">
        <f t="shared" si="60"/>
        <v xml:space="preserve">N8080G  </v>
      </c>
      <c r="BC1263">
        <v>1</v>
      </c>
      <c r="BE1263">
        <v>0</v>
      </c>
      <c r="BF1263">
        <v>0</v>
      </c>
      <c r="BG1263">
        <v>0</v>
      </c>
      <c r="BH1263">
        <v>1675</v>
      </c>
      <c r="BI1263">
        <v>1</v>
      </c>
      <c r="BJ1263">
        <v>1</v>
      </c>
      <c r="BK1263">
        <v>1</v>
      </c>
      <c r="BL1263">
        <v>0</v>
      </c>
      <c r="BO1263">
        <v>0</v>
      </c>
      <c r="BP1263">
        <v>0</v>
      </c>
      <c r="BW1263" t="str">
        <f>"20:19:16.107"</f>
        <v>20:19:16.107</v>
      </c>
      <c r="BZ1263">
        <v>0</v>
      </c>
      <c r="CA1263">
        <v>2016</v>
      </c>
      <c r="CB1263">
        <v>224</v>
      </c>
      <c r="CD1263">
        <v>1</v>
      </c>
      <c r="CE1263">
        <v>0</v>
      </c>
      <c r="CF1263">
        <v>0</v>
      </c>
      <c r="CG1263">
        <v>1</v>
      </c>
      <c r="CH1263">
        <v>0</v>
      </c>
      <c r="CI1263">
        <v>0</v>
      </c>
      <c r="CJ1263">
        <v>0</v>
      </c>
      <c r="CK1263">
        <v>2</v>
      </c>
      <c r="CL1263">
        <v>0</v>
      </c>
      <c r="CM1263">
        <v>2</v>
      </c>
      <c r="CN1263">
        <v>0</v>
      </c>
      <c r="CO1263">
        <v>7</v>
      </c>
      <c r="CP1263" t="s">
        <v>119</v>
      </c>
      <c r="CQ1263">
        <v>180</v>
      </c>
      <c r="CR1263">
        <v>2</v>
      </c>
      <c r="CW1263">
        <v>8128272</v>
      </c>
      <c r="CY1263">
        <v>1</v>
      </c>
      <c r="CZ1263">
        <v>0</v>
      </c>
      <c r="DA1263">
        <v>0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0</v>
      </c>
    </row>
    <row r="1264" spans="1:113" x14ac:dyDescent="0.3">
      <c r="A1264" t="str">
        <f>"02/08/2021 20:19:13.798"</f>
        <v>02/08/2021 20:19:13.798</v>
      </c>
      <c r="C1264" t="str">
        <f t="shared" si="59"/>
        <v>FFDFD7C0</v>
      </c>
      <c r="D1264" t="s">
        <v>124</v>
      </c>
      <c r="E1264">
        <v>11</v>
      </c>
      <c r="F1264">
        <v>1011</v>
      </c>
      <c r="G1264" t="s">
        <v>590</v>
      </c>
      <c r="J1264" t="s">
        <v>125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>"20:19:16.102"</f>
        <v>20:19:16.102</v>
      </c>
      <c r="T1264" t="str">
        <f>"20:19:15.602"</f>
        <v>20:19:15.602</v>
      </c>
      <c r="U1264" t="str">
        <f t="shared" si="58"/>
        <v>AB01F4</v>
      </c>
      <c r="V1264">
        <v>0</v>
      </c>
      <c r="W1264">
        <v>0</v>
      </c>
      <c r="X1264">
        <v>2</v>
      </c>
      <c r="Z1264">
        <v>0</v>
      </c>
      <c r="AA1264">
        <v>9</v>
      </c>
      <c r="AB1264">
        <v>3</v>
      </c>
      <c r="AC1264">
        <v>0</v>
      </c>
      <c r="AD1264">
        <v>10</v>
      </c>
      <c r="AE1264">
        <v>0</v>
      </c>
      <c r="AF1264">
        <v>3</v>
      </c>
      <c r="AG1264">
        <v>2</v>
      </c>
      <c r="AH1264">
        <v>0</v>
      </c>
      <c r="AI1264" t="s">
        <v>901</v>
      </c>
      <c r="AJ1264">
        <v>39.763899000000002</v>
      </c>
      <c r="AK1264" t="s">
        <v>902</v>
      </c>
      <c r="AL1264">
        <v>-92.515203999999997</v>
      </c>
      <c r="AM1264">
        <v>100</v>
      </c>
      <c r="AN1264">
        <v>1700</v>
      </c>
      <c r="AO1264" t="s">
        <v>118</v>
      </c>
      <c r="AP1264">
        <v>23</v>
      </c>
      <c r="AQ1264">
        <v>118</v>
      </c>
      <c r="AR1264">
        <v>0</v>
      </c>
      <c r="AZ1264">
        <v>1200</v>
      </c>
      <c r="BA1264">
        <v>1</v>
      </c>
      <c r="BB1264" t="str">
        <f t="shared" si="60"/>
        <v xml:space="preserve">N8080G  </v>
      </c>
      <c r="BC1264">
        <v>1</v>
      </c>
      <c r="BE1264">
        <v>0</v>
      </c>
      <c r="BF1264">
        <v>0</v>
      </c>
      <c r="BG1264">
        <v>0</v>
      </c>
      <c r="BH1264">
        <v>1675</v>
      </c>
      <c r="BI1264">
        <v>1</v>
      </c>
      <c r="BJ1264">
        <v>1</v>
      </c>
      <c r="BK1264">
        <v>1</v>
      </c>
      <c r="BL1264">
        <v>0</v>
      </c>
      <c r="BO1264">
        <v>0</v>
      </c>
      <c r="BP1264">
        <v>0</v>
      </c>
      <c r="BW1264" t="str">
        <f>"20:19:16.107"</f>
        <v>20:19:16.107</v>
      </c>
      <c r="BZ1264">
        <v>0</v>
      </c>
      <c r="CA1264">
        <v>2016</v>
      </c>
      <c r="CB1264">
        <v>224</v>
      </c>
      <c r="CD1264">
        <v>1</v>
      </c>
      <c r="CE1264">
        <v>0</v>
      </c>
      <c r="CF1264">
        <v>0</v>
      </c>
      <c r="CG1264">
        <v>1</v>
      </c>
      <c r="CH1264">
        <v>0</v>
      </c>
      <c r="CI1264">
        <v>0</v>
      </c>
      <c r="CJ1264">
        <v>0</v>
      </c>
      <c r="CK1264">
        <v>2</v>
      </c>
      <c r="CL1264">
        <v>0</v>
      </c>
      <c r="CM1264">
        <v>2</v>
      </c>
      <c r="CN1264">
        <v>0</v>
      </c>
      <c r="CO1264">
        <v>7</v>
      </c>
      <c r="CP1264" t="s">
        <v>119</v>
      </c>
      <c r="CQ1264">
        <v>180</v>
      </c>
      <c r="CR1264">
        <v>2</v>
      </c>
      <c r="CW1264">
        <v>8128272</v>
      </c>
      <c r="CY1264">
        <v>1</v>
      </c>
      <c r="CZ1264">
        <v>0</v>
      </c>
      <c r="DA1264">
        <v>1</v>
      </c>
      <c r="DB1264">
        <v>0</v>
      </c>
      <c r="DC1264">
        <v>0</v>
      </c>
      <c r="DD1264">
        <v>0</v>
      </c>
      <c r="DE1264">
        <v>0</v>
      </c>
      <c r="DF1264">
        <v>0</v>
      </c>
      <c r="DG1264">
        <v>0</v>
      </c>
      <c r="DH1264">
        <v>0</v>
      </c>
      <c r="DI1264">
        <v>0</v>
      </c>
    </row>
    <row r="1265" spans="1:113" x14ac:dyDescent="0.3">
      <c r="A1265" t="str">
        <f>"02/08/2021 20:19:13.798"</f>
        <v>02/08/2021 20:19:13.798</v>
      </c>
      <c r="C1265" t="str">
        <f t="shared" si="59"/>
        <v>FFDFD7C0</v>
      </c>
      <c r="D1265" t="s">
        <v>124</v>
      </c>
      <c r="E1265">
        <v>13</v>
      </c>
      <c r="F1265">
        <v>1013</v>
      </c>
      <c r="G1265" t="s">
        <v>114</v>
      </c>
      <c r="J1265" t="s">
        <v>125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>"20:19:16.102"</f>
        <v>20:19:16.102</v>
      </c>
      <c r="T1265" t="str">
        <f>"20:19:15.602"</f>
        <v>20:19:15.602</v>
      </c>
      <c r="U1265" t="str">
        <f t="shared" si="58"/>
        <v>AB01F4</v>
      </c>
      <c r="V1265">
        <v>0</v>
      </c>
      <c r="W1265">
        <v>0</v>
      </c>
      <c r="X1265">
        <v>2</v>
      </c>
      <c r="Z1265">
        <v>0</v>
      </c>
      <c r="AA1265">
        <v>9</v>
      </c>
      <c r="AB1265">
        <v>3</v>
      </c>
      <c r="AC1265">
        <v>0</v>
      </c>
      <c r="AD1265">
        <v>10</v>
      </c>
      <c r="AE1265">
        <v>0</v>
      </c>
      <c r="AF1265">
        <v>3</v>
      </c>
      <c r="AG1265">
        <v>2</v>
      </c>
      <c r="AH1265">
        <v>0</v>
      </c>
      <c r="AI1265" t="s">
        <v>901</v>
      </c>
      <c r="AJ1265">
        <v>39.763899000000002</v>
      </c>
      <c r="AK1265" t="s">
        <v>902</v>
      </c>
      <c r="AL1265">
        <v>-92.515203999999997</v>
      </c>
      <c r="AM1265">
        <v>100</v>
      </c>
      <c r="AN1265">
        <v>1700</v>
      </c>
      <c r="AO1265" t="s">
        <v>118</v>
      </c>
      <c r="AP1265">
        <v>23</v>
      </c>
      <c r="AQ1265">
        <v>118</v>
      </c>
      <c r="AR1265">
        <v>0</v>
      </c>
      <c r="AZ1265">
        <v>1200</v>
      </c>
      <c r="BA1265">
        <v>1</v>
      </c>
      <c r="BB1265" t="str">
        <f t="shared" si="60"/>
        <v xml:space="preserve">N8080G  </v>
      </c>
      <c r="BC1265">
        <v>1</v>
      </c>
      <c r="BE1265">
        <v>0</v>
      </c>
      <c r="BF1265">
        <v>0</v>
      </c>
      <c r="BG1265">
        <v>0</v>
      </c>
      <c r="BH1265">
        <v>1675</v>
      </c>
      <c r="BI1265">
        <v>1</v>
      </c>
      <c r="BJ1265">
        <v>1</v>
      </c>
      <c r="BK1265">
        <v>1</v>
      </c>
      <c r="BL1265">
        <v>0</v>
      </c>
      <c r="BO1265">
        <v>0</v>
      </c>
      <c r="BP1265">
        <v>0</v>
      </c>
      <c r="BW1265" t="str">
        <f>"20:19:16.107"</f>
        <v>20:19:16.107</v>
      </c>
      <c r="BZ1265">
        <v>0</v>
      </c>
      <c r="CA1265">
        <v>2016</v>
      </c>
      <c r="CB1265">
        <v>224</v>
      </c>
      <c r="CD1265">
        <v>1</v>
      </c>
      <c r="CE1265">
        <v>0</v>
      </c>
      <c r="CF1265">
        <v>0</v>
      </c>
      <c r="CG1265">
        <v>1</v>
      </c>
      <c r="CH1265">
        <v>0</v>
      </c>
      <c r="CI1265">
        <v>0</v>
      </c>
      <c r="CJ1265">
        <v>0</v>
      </c>
      <c r="CK1265">
        <v>2</v>
      </c>
      <c r="CL1265">
        <v>0</v>
      </c>
      <c r="CM1265">
        <v>2</v>
      </c>
      <c r="CN1265">
        <v>0</v>
      </c>
      <c r="CO1265">
        <v>7</v>
      </c>
      <c r="CP1265" t="s">
        <v>119</v>
      </c>
      <c r="CQ1265">
        <v>180</v>
      </c>
      <c r="CR1265">
        <v>2</v>
      </c>
      <c r="CW1265">
        <v>8128272</v>
      </c>
      <c r="CY1265">
        <v>1</v>
      </c>
      <c r="CZ1265">
        <v>0</v>
      </c>
      <c r="DA1265">
        <v>1</v>
      </c>
      <c r="DB1265">
        <v>0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0</v>
      </c>
    </row>
    <row r="1266" spans="1:113" x14ac:dyDescent="0.3">
      <c r="A1266" t="str">
        <f>"02/08/2021 20:19:13.798"</f>
        <v>02/08/2021 20:19:13.798</v>
      </c>
      <c r="C1266" t="str">
        <f t="shared" si="59"/>
        <v>FFDFD7C0</v>
      </c>
      <c r="D1266" t="s">
        <v>113</v>
      </c>
      <c r="E1266">
        <v>6</v>
      </c>
      <c r="H1266">
        <v>165</v>
      </c>
      <c r="I1266" t="s">
        <v>114</v>
      </c>
      <c r="J1266" t="s">
        <v>115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>"20:19:16.102"</f>
        <v>20:19:16.102</v>
      </c>
      <c r="T1266" t="str">
        <f>"20:19:15.602"</f>
        <v>20:19:15.602</v>
      </c>
      <c r="U1266" t="str">
        <f t="shared" si="58"/>
        <v>AB01F4</v>
      </c>
      <c r="V1266">
        <v>0</v>
      </c>
      <c r="W1266">
        <v>0</v>
      </c>
      <c r="X1266">
        <v>2</v>
      </c>
      <c r="Z1266">
        <v>0</v>
      </c>
      <c r="AA1266">
        <v>9</v>
      </c>
      <c r="AB1266">
        <v>3</v>
      </c>
      <c r="AC1266">
        <v>0</v>
      </c>
      <c r="AD1266">
        <v>10</v>
      </c>
      <c r="AE1266">
        <v>0</v>
      </c>
      <c r="AF1266">
        <v>3</v>
      </c>
      <c r="AG1266">
        <v>2</v>
      </c>
      <c r="AH1266">
        <v>0</v>
      </c>
      <c r="AI1266" t="s">
        <v>901</v>
      </c>
      <c r="AJ1266">
        <v>39.763899000000002</v>
      </c>
      <c r="AK1266" t="s">
        <v>902</v>
      </c>
      <c r="AL1266">
        <v>-92.515203999999997</v>
      </c>
      <c r="AM1266">
        <v>100</v>
      </c>
      <c r="AN1266">
        <v>1700</v>
      </c>
      <c r="AO1266" t="s">
        <v>118</v>
      </c>
      <c r="AP1266">
        <v>23</v>
      </c>
      <c r="AQ1266">
        <v>118</v>
      </c>
      <c r="AR1266">
        <v>0</v>
      </c>
      <c r="AZ1266">
        <v>1200</v>
      </c>
      <c r="BA1266">
        <v>1</v>
      </c>
      <c r="BB1266" t="str">
        <f t="shared" si="60"/>
        <v xml:space="preserve">N8080G  </v>
      </c>
      <c r="BC1266">
        <v>1</v>
      </c>
      <c r="BE1266">
        <v>0</v>
      </c>
      <c r="BF1266">
        <v>0</v>
      </c>
      <c r="BG1266">
        <v>0</v>
      </c>
      <c r="BH1266">
        <v>1675</v>
      </c>
      <c r="BI1266">
        <v>1</v>
      </c>
      <c r="BJ1266">
        <v>1</v>
      </c>
      <c r="BK1266">
        <v>1</v>
      </c>
      <c r="BL1266">
        <v>0</v>
      </c>
      <c r="BO1266">
        <v>0</v>
      </c>
      <c r="BP1266">
        <v>0</v>
      </c>
      <c r="BW1266" t="str">
        <f>"20:19:16.107"</f>
        <v>20:19:16.107</v>
      </c>
      <c r="BZ1266">
        <v>0</v>
      </c>
      <c r="CA1266">
        <v>2016</v>
      </c>
      <c r="CB1266">
        <v>224</v>
      </c>
      <c r="CD1266">
        <v>1</v>
      </c>
      <c r="CE1266">
        <v>0</v>
      </c>
      <c r="CF1266">
        <v>0</v>
      </c>
      <c r="CG1266">
        <v>1</v>
      </c>
      <c r="CH1266">
        <v>0</v>
      </c>
      <c r="CI1266">
        <v>0</v>
      </c>
      <c r="CJ1266">
        <v>0</v>
      </c>
      <c r="CK1266">
        <v>2</v>
      </c>
      <c r="CL1266">
        <v>0</v>
      </c>
      <c r="CM1266">
        <v>2</v>
      </c>
      <c r="CN1266">
        <v>0</v>
      </c>
      <c r="CO1266">
        <v>7</v>
      </c>
      <c r="CP1266" t="s">
        <v>119</v>
      </c>
      <c r="CQ1266">
        <v>180</v>
      </c>
      <c r="CR1266">
        <v>2</v>
      </c>
      <c r="CW1266">
        <v>8128272</v>
      </c>
      <c r="CY1266">
        <v>1</v>
      </c>
      <c r="CZ1266">
        <v>0</v>
      </c>
      <c r="DA1266">
        <v>1</v>
      </c>
      <c r="DB1266">
        <v>0</v>
      </c>
      <c r="DC1266">
        <v>0</v>
      </c>
      <c r="DD1266">
        <v>0</v>
      </c>
      <c r="DE1266">
        <v>0</v>
      </c>
      <c r="DF1266">
        <v>0</v>
      </c>
      <c r="DG1266">
        <v>0</v>
      </c>
      <c r="DH1266">
        <v>0</v>
      </c>
      <c r="DI1266">
        <v>0</v>
      </c>
    </row>
    <row r="1267" spans="1:113" x14ac:dyDescent="0.3">
      <c r="A1267" t="str">
        <f>"02/08/2021 20:19:15.227"</f>
        <v>02/08/2021 20:19:15.227</v>
      </c>
      <c r="C1267" t="str">
        <f t="shared" si="59"/>
        <v>FFDFD7C0</v>
      </c>
      <c r="D1267" t="s">
        <v>124</v>
      </c>
      <c r="E1267">
        <v>13</v>
      </c>
      <c r="F1267">
        <v>1013</v>
      </c>
      <c r="G1267" t="s">
        <v>114</v>
      </c>
      <c r="J1267" t="s">
        <v>125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>"20:19:17.531"</f>
        <v>20:19:17.531</v>
      </c>
      <c r="T1267" t="str">
        <f>"20:19:17.131"</f>
        <v>20:19:17.131</v>
      </c>
      <c r="U1267" t="str">
        <f t="shared" si="58"/>
        <v>AB01F4</v>
      </c>
      <c r="V1267">
        <v>0</v>
      </c>
      <c r="W1267">
        <v>0</v>
      </c>
      <c r="X1267">
        <v>2</v>
      </c>
      <c r="Z1267">
        <v>0</v>
      </c>
      <c r="AA1267">
        <v>9</v>
      </c>
      <c r="AB1267">
        <v>3</v>
      </c>
      <c r="AC1267">
        <v>0</v>
      </c>
      <c r="AD1267">
        <v>10</v>
      </c>
      <c r="AE1267">
        <v>0</v>
      </c>
      <c r="AF1267">
        <v>3</v>
      </c>
      <c r="AG1267">
        <v>2</v>
      </c>
      <c r="AH1267">
        <v>0</v>
      </c>
      <c r="AI1267" t="s">
        <v>903</v>
      </c>
      <c r="AJ1267">
        <v>39.764735999999999</v>
      </c>
      <c r="AK1267" t="s">
        <v>904</v>
      </c>
      <c r="AL1267">
        <v>-92.515032000000005</v>
      </c>
      <c r="AM1267">
        <v>100</v>
      </c>
      <c r="AN1267">
        <v>1700</v>
      </c>
      <c r="AO1267" t="s">
        <v>118</v>
      </c>
      <c r="AP1267">
        <v>23</v>
      </c>
      <c r="AQ1267">
        <v>118</v>
      </c>
      <c r="AR1267">
        <v>0</v>
      </c>
      <c r="AZ1267">
        <v>1200</v>
      </c>
      <c r="BA1267">
        <v>1</v>
      </c>
      <c r="BB1267" t="str">
        <f t="shared" si="60"/>
        <v xml:space="preserve">N8080G  </v>
      </c>
      <c r="BC1267">
        <v>1</v>
      </c>
      <c r="BE1267">
        <v>0</v>
      </c>
      <c r="BF1267">
        <v>0</v>
      </c>
      <c r="BG1267">
        <v>0</v>
      </c>
      <c r="BH1267">
        <v>1675</v>
      </c>
      <c r="BI1267">
        <v>1</v>
      </c>
      <c r="BJ1267">
        <v>1</v>
      </c>
      <c r="BK1267">
        <v>1</v>
      </c>
      <c r="BL1267">
        <v>0</v>
      </c>
      <c r="BO1267">
        <v>0</v>
      </c>
      <c r="BP1267">
        <v>0</v>
      </c>
      <c r="BW1267" t="str">
        <f>"20:19:17.533"</f>
        <v>20:19:17.533</v>
      </c>
      <c r="BZ1267">
        <v>0</v>
      </c>
      <c r="CA1267">
        <v>2016</v>
      </c>
      <c r="CB1267">
        <v>224</v>
      </c>
      <c r="CD1267">
        <v>1</v>
      </c>
      <c r="CE1267">
        <v>0</v>
      </c>
      <c r="CF1267">
        <v>0</v>
      </c>
      <c r="CG1267">
        <v>1</v>
      </c>
      <c r="CH1267">
        <v>0</v>
      </c>
      <c r="CI1267">
        <v>0</v>
      </c>
      <c r="CJ1267">
        <v>0</v>
      </c>
      <c r="CK1267">
        <v>2</v>
      </c>
      <c r="CL1267">
        <v>0</v>
      </c>
      <c r="CM1267">
        <v>2</v>
      </c>
      <c r="CN1267">
        <v>0</v>
      </c>
      <c r="CO1267">
        <v>6</v>
      </c>
      <c r="CP1267" t="s">
        <v>119</v>
      </c>
      <c r="CQ1267">
        <v>180</v>
      </c>
      <c r="CR1267">
        <v>1</v>
      </c>
      <c r="CW1267">
        <v>10692619</v>
      </c>
      <c r="CY1267">
        <v>1</v>
      </c>
      <c r="CZ1267">
        <v>0</v>
      </c>
      <c r="DA1267">
        <v>0</v>
      </c>
      <c r="DB1267">
        <v>0</v>
      </c>
      <c r="DC1267">
        <v>0</v>
      </c>
      <c r="DD1267">
        <v>0</v>
      </c>
      <c r="DE1267">
        <v>0</v>
      </c>
      <c r="DF1267">
        <v>0</v>
      </c>
      <c r="DG1267">
        <v>0</v>
      </c>
      <c r="DH1267">
        <v>0</v>
      </c>
      <c r="DI1267">
        <v>0</v>
      </c>
    </row>
    <row r="1268" spans="1:113" x14ac:dyDescent="0.3">
      <c r="A1268" t="str">
        <f>"02/08/2021 20:19:15.227"</f>
        <v>02/08/2021 20:19:15.227</v>
      </c>
      <c r="C1268" t="str">
        <f t="shared" si="59"/>
        <v>FFDFD7C0</v>
      </c>
      <c r="D1268" t="s">
        <v>113</v>
      </c>
      <c r="E1268">
        <v>6</v>
      </c>
      <c r="H1268">
        <v>165</v>
      </c>
      <c r="I1268" t="s">
        <v>114</v>
      </c>
      <c r="J1268" t="s">
        <v>115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>"20:19:17.531"</f>
        <v>20:19:17.531</v>
      </c>
      <c r="T1268" t="str">
        <f>"20:19:17.131"</f>
        <v>20:19:17.131</v>
      </c>
      <c r="U1268" t="str">
        <f t="shared" si="58"/>
        <v>AB01F4</v>
      </c>
      <c r="V1268">
        <v>0</v>
      </c>
      <c r="W1268">
        <v>0</v>
      </c>
      <c r="X1268">
        <v>2</v>
      </c>
      <c r="Z1268">
        <v>0</v>
      </c>
      <c r="AA1268">
        <v>9</v>
      </c>
      <c r="AB1268">
        <v>3</v>
      </c>
      <c r="AC1268">
        <v>0</v>
      </c>
      <c r="AD1268">
        <v>10</v>
      </c>
      <c r="AE1268">
        <v>0</v>
      </c>
      <c r="AF1268">
        <v>3</v>
      </c>
      <c r="AG1268">
        <v>2</v>
      </c>
      <c r="AH1268">
        <v>0</v>
      </c>
      <c r="AI1268" t="s">
        <v>903</v>
      </c>
      <c r="AJ1268">
        <v>39.764735999999999</v>
      </c>
      <c r="AK1268" t="s">
        <v>904</v>
      </c>
      <c r="AL1268">
        <v>-92.515032000000005</v>
      </c>
      <c r="AM1268">
        <v>100</v>
      </c>
      <c r="AN1268">
        <v>1700</v>
      </c>
      <c r="AO1268" t="s">
        <v>118</v>
      </c>
      <c r="AP1268">
        <v>23</v>
      </c>
      <c r="AQ1268">
        <v>118</v>
      </c>
      <c r="AR1268">
        <v>0</v>
      </c>
      <c r="AZ1268">
        <v>1200</v>
      </c>
      <c r="BA1268">
        <v>1</v>
      </c>
      <c r="BB1268" t="str">
        <f t="shared" si="60"/>
        <v xml:space="preserve">N8080G  </v>
      </c>
      <c r="BC1268">
        <v>1</v>
      </c>
      <c r="BE1268">
        <v>0</v>
      </c>
      <c r="BF1268">
        <v>0</v>
      </c>
      <c r="BG1268">
        <v>0</v>
      </c>
      <c r="BH1268">
        <v>1675</v>
      </c>
      <c r="BI1268">
        <v>1</v>
      </c>
      <c r="BJ1268">
        <v>1</v>
      </c>
      <c r="BK1268">
        <v>1</v>
      </c>
      <c r="BL1268">
        <v>0</v>
      </c>
      <c r="BO1268">
        <v>0</v>
      </c>
      <c r="BP1268">
        <v>0</v>
      </c>
      <c r="BW1268" t="str">
        <f>"20:19:17.533"</f>
        <v>20:19:17.533</v>
      </c>
      <c r="BZ1268">
        <v>0</v>
      </c>
      <c r="CA1268">
        <v>2016</v>
      </c>
      <c r="CB1268">
        <v>224</v>
      </c>
      <c r="CD1268">
        <v>1</v>
      </c>
      <c r="CE1268">
        <v>0</v>
      </c>
      <c r="CF1268">
        <v>0</v>
      </c>
      <c r="CG1268">
        <v>1</v>
      </c>
      <c r="CH1268">
        <v>0</v>
      </c>
      <c r="CI1268">
        <v>0</v>
      </c>
      <c r="CJ1268">
        <v>0</v>
      </c>
      <c r="CK1268">
        <v>2</v>
      </c>
      <c r="CL1268">
        <v>0</v>
      </c>
      <c r="CM1268">
        <v>2</v>
      </c>
      <c r="CN1268">
        <v>0</v>
      </c>
      <c r="CO1268">
        <v>6</v>
      </c>
      <c r="CP1268" t="s">
        <v>119</v>
      </c>
      <c r="CQ1268">
        <v>180</v>
      </c>
      <c r="CR1268">
        <v>1</v>
      </c>
      <c r="CW1268">
        <v>10692619</v>
      </c>
      <c r="CY1268">
        <v>1</v>
      </c>
      <c r="CZ1268">
        <v>0</v>
      </c>
      <c r="DA1268">
        <v>1</v>
      </c>
      <c r="DB1268">
        <v>0</v>
      </c>
      <c r="DC1268">
        <v>0</v>
      </c>
      <c r="DD1268">
        <v>0</v>
      </c>
      <c r="DE1268">
        <v>0</v>
      </c>
      <c r="DF1268">
        <v>0</v>
      </c>
      <c r="DG1268">
        <v>0</v>
      </c>
      <c r="DH1268">
        <v>0</v>
      </c>
      <c r="DI1268">
        <v>0</v>
      </c>
    </row>
    <row r="1269" spans="1:113" x14ac:dyDescent="0.3">
      <c r="A1269" t="str">
        <f>"02/08/2021 20:19:15.227"</f>
        <v>02/08/2021 20:19:15.227</v>
      </c>
      <c r="C1269" t="str">
        <f t="shared" si="59"/>
        <v>FFDFD7C0</v>
      </c>
      <c r="D1269" t="s">
        <v>124</v>
      </c>
      <c r="E1269">
        <v>12</v>
      </c>
      <c r="F1269">
        <v>1012</v>
      </c>
      <c r="G1269" t="s">
        <v>675</v>
      </c>
      <c r="J1269" t="s">
        <v>125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>"20:19:17.531"</f>
        <v>20:19:17.531</v>
      </c>
      <c r="T1269" t="str">
        <f>"20:19:17.131"</f>
        <v>20:19:17.131</v>
      </c>
      <c r="U1269" t="str">
        <f t="shared" si="58"/>
        <v>AB01F4</v>
      </c>
      <c r="V1269">
        <v>0</v>
      </c>
      <c r="W1269">
        <v>0</v>
      </c>
      <c r="X1269">
        <v>2</v>
      </c>
      <c r="Z1269">
        <v>0</v>
      </c>
      <c r="AA1269">
        <v>9</v>
      </c>
      <c r="AB1269">
        <v>3</v>
      </c>
      <c r="AC1269">
        <v>0</v>
      </c>
      <c r="AD1269">
        <v>10</v>
      </c>
      <c r="AE1269">
        <v>0</v>
      </c>
      <c r="AF1269">
        <v>3</v>
      </c>
      <c r="AG1269">
        <v>2</v>
      </c>
      <c r="AH1269">
        <v>0</v>
      </c>
      <c r="AI1269" t="s">
        <v>903</v>
      </c>
      <c r="AJ1269">
        <v>39.764735999999999</v>
      </c>
      <c r="AK1269" t="s">
        <v>904</v>
      </c>
      <c r="AL1269">
        <v>-92.515032000000005</v>
      </c>
      <c r="AM1269">
        <v>100</v>
      </c>
      <c r="AN1269">
        <v>1700</v>
      </c>
      <c r="AO1269" t="s">
        <v>118</v>
      </c>
      <c r="AP1269">
        <v>23</v>
      </c>
      <c r="AQ1269">
        <v>118</v>
      </c>
      <c r="AR1269">
        <v>0</v>
      </c>
      <c r="AZ1269">
        <v>1200</v>
      </c>
      <c r="BA1269">
        <v>1</v>
      </c>
      <c r="BB1269" t="str">
        <f t="shared" si="60"/>
        <v xml:space="preserve">N8080G  </v>
      </c>
      <c r="BC1269">
        <v>1</v>
      </c>
      <c r="BE1269">
        <v>0</v>
      </c>
      <c r="BF1269">
        <v>0</v>
      </c>
      <c r="BG1269">
        <v>0</v>
      </c>
      <c r="BH1269">
        <v>1675</v>
      </c>
      <c r="BI1269">
        <v>1</v>
      </c>
      <c r="BJ1269">
        <v>1</v>
      </c>
      <c r="BK1269">
        <v>1</v>
      </c>
      <c r="BL1269">
        <v>0</v>
      </c>
      <c r="BO1269">
        <v>0</v>
      </c>
      <c r="BP1269">
        <v>0</v>
      </c>
      <c r="BW1269" t="str">
        <f>"20:19:17.533"</f>
        <v>20:19:17.533</v>
      </c>
      <c r="BZ1269">
        <v>0</v>
      </c>
      <c r="CA1269">
        <v>2016</v>
      </c>
      <c r="CB1269">
        <v>224</v>
      </c>
      <c r="CD1269">
        <v>1</v>
      </c>
      <c r="CE1269">
        <v>0</v>
      </c>
      <c r="CF1269">
        <v>0</v>
      </c>
      <c r="CG1269">
        <v>1</v>
      </c>
      <c r="CH1269">
        <v>0</v>
      </c>
      <c r="CI1269">
        <v>0</v>
      </c>
      <c r="CJ1269">
        <v>0</v>
      </c>
      <c r="CK1269">
        <v>2</v>
      </c>
      <c r="CL1269">
        <v>0</v>
      </c>
      <c r="CM1269">
        <v>2</v>
      </c>
      <c r="CN1269">
        <v>0</v>
      </c>
      <c r="CO1269">
        <v>6</v>
      </c>
      <c r="CP1269" t="s">
        <v>119</v>
      </c>
      <c r="CQ1269">
        <v>180</v>
      </c>
      <c r="CR1269">
        <v>1</v>
      </c>
      <c r="CW1269">
        <v>10692619</v>
      </c>
      <c r="CY1269">
        <v>1</v>
      </c>
      <c r="CZ1269">
        <v>0</v>
      </c>
      <c r="DA1269">
        <v>1</v>
      </c>
      <c r="DB1269">
        <v>0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</v>
      </c>
      <c r="DI1269">
        <v>0</v>
      </c>
    </row>
    <row r="1270" spans="1:113" x14ac:dyDescent="0.3">
      <c r="A1270" t="str">
        <f>"02/08/2021 20:19:15.227"</f>
        <v>02/08/2021 20:19:15.227</v>
      </c>
      <c r="C1270" t="str">
        <f t="shared" si="59"/>
        <v>FFDFD7C0</v>
      </c>
      <c r="D1270" t="s">
        <v>124</v>
      </c>
      <c r="E1270">
        <v>11</v>
      </c>
      <c r="F1270">
        <v>1011</v>
      </c>
      <c r="G1270" t="s">
        <v>590</v>
      </c>
      <c r="J1270" t="s">
        <v>125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>"20:19:17.531"</f>
        <v>20:19:17.531</v>
      </c>
      <c r="T1270" t="str">
        <f>"20:19:17.131"</f>
        <v>20:19:17.131</v>
      </c>
      <c r="U1270" t="str">
        <f t="shared" si="58"/>
        <v>AB01F4</v>
      </c>
      <c r="V1270">
        <v>0</v>
      </c>
      <c r="W1270">
        <v>0</v>
      </c>
      <c r="X1270">
        <v>2</v>
      </c>
      <c r="Z1270">
        <v>0</v>
      </c>
      <c r="AA1270">
        <v>9</v>
      </c>
      <c r="AB1270">
        <v>3</v>
      </c>
      <c r="AC1270">
        <v>0</v>
      </c>
      <c r="AD1270">
        <v>10</v>
      </c>
      <c r="AE1270">
        <v>0</v>
      </c>
      <c r="AF1270">
        <v>3</v>
      </c>
      <c r="AG1270">
        <v>2</v>
      </c>
      <c r="AH1270">
        <v>0</v>
      </c>
      <c r="AI1270" t="s">
        <v>903</v>
      </c>
      <c r="AJ1270">
        <v>39.764735999999999</v>
      </c>
      <c r="AK1270" t="s">
        <v>904</v>
      </c>
      <c r="AL1270">
        <v>-92.515032000000005</v>
      </c>
      <c r="AM1270">
        <v>100</v>
      </c>
      <c r="AN1270">
        <v>1700</v>
      </c>
      <c r="AO1270" t="s">
        <v>118</v>
      </c>
      <c r="AP1270">
        <v>23</v>
      </c>
      <c r="AQ1270">
        <v>118</v>
      </c>
      <c r="AR1270">
        <v>0</v>
      </c>
      <c r="AZ1270">
        <v>1200</v>
      </c>
      <c r="BA1270">
        <v>1</v>
      </c>
      <c r="BB1270" t="str">
        <f t="shared" si="60"/>
        <v xml:space="preserve">N8080G  </v>
      </c>
      <c r="BC1270">
        <v>1</v>
      </c>
      <c r="BE1270">
        <v>0</v>
      </c>
      <c r="BF1270">
        <v>0</v>
      </c>
      <c r="BG1270">
        <v>0</v>
      </c>
      <c r="BH1270">
        <v>1675</v>
      </c>
      <c r="BI1270">
        <v>1</v>
      </c>
      <c r="BJ1270">
        <v>1</v>
      </c>
      <c r="BK1270">
        <v>1</v>
      </c>
      <c r="BL1270">
        <v>0</v>
      </c>
      <c r="BO1270">
        <v>0</v>
      </c>
      <c r="BP1270">
        <v>0</v>
      </c>
      <c r="BW1270" t="str">
        <f>"20:19:17.533"</f>
        <v>20:19:17.533</v>
      </c>
      <c r="BZ1270">
        <v>0</v>
      </c>
      <c r="CA1270">
        <v>2016</v>
      </c>
      <c r="CB1270">
        <v>224</v>
      </c>
      <c r="CD1270">
        <v>1</v>
      </c>
      <c r="CE1270">
        <v>0</v>
      </c>
      <c r="CF1270">
        <v>0</v>
      </c>
      <c r="CG1270">
        <v>1</v>
      </c>
      <c r="CH1270">
        <v>0</v>
      </c>
      <c r="CI1270">
        <v>0</v>
      </c>
      <c r="CJ1270">
        <v>0</v>
      </c>
      <c r="CK1270">
        <v>2</v>
      </c>
      <c r="CL1270">
        <v>0</v>
      </c>
      <c r="CM1270">
        <v>2</v>
      </c>
      <c r="CN1270">
        <v>0</v>
      </c>
      <c r="CO1270">
        <v>6</v>
      </c>
      <c r="CP1270" t="s">
        <v>119</v>
      </c>
      <c r="CQ1270">
        <v>180</v>
      </c>
      <c r="CR1270">
        <v>1</v>
      </c>
      <c r="CW1270">
        <v>10692619</v>
      </c>
      <c r="CY1270">
        <v>1</v>
      </c>
      <c r="CZ1270">
        <v>0</v>
      </c>
      <c r="DA1270">
        <v>1</v>
      </c>
      <c r="DB1270">
        <v>0</v>
      </c>
      <c r="DC1270">
        <v>0</v>
      </c>
      <c r="DD1270">
        <v>0</v>
      </c>
      <c r="DE1270">
        <v>0</v>
      </c>
      <c r="DF1270">
        <v>0</v>
      </c>
      <c r="DG1270">
        <v>0</v>
      </c>
      <c r="DH1270">
        <v>0</v>
      </c>
      <c r="DI1270">
        <v>0</v>
      </c>
    </row>
    <row r="1271" spans="1:113" x14ac:dyDescent="0.3">
      <c r="A1271" t="str">
        <f>"02/08/2021 20:19:19.349"</f>
        <v>02/08/2021 20:19:19.349</v>
      </c>
      <c r="C1271" t="str">
        <f t="shared" si="59"/>
        <v>FFDFD7C0</v>
      </c>
      <c r="D1271" t="s">
        <v>124</v>
      </c>
      <c r="E1271">
        <v>13</v>
      </c>
      <c r="F1271">
        <v>1013</v>
      </c>
      <c r="G1271" t="s">
        <v>114</v>
      </c>
      <c r="J1271" t="s">
        <v>125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>"20:19:21.656"</f>
        <v>20:19:21.656</v>
      </c>
      <c r="T1271" t="str">
        <f>"20:19:21.256"</f>
        <v>20:19:21.256</v>
      </c>
      <c r="U1271" t="str">
        <f t="shared" si="58"/>
        <v>AB01F4</v>
      </c>
      <c r="V1271">
        <v>0</v>
      </c>
      <c r="W1271">
        <v>0</v>
      </c>
      <c r="X1271">
        <v>2</v>
      </c>
      <c r="Z1271">
        <v>0</v>
      </c>
      <c r="AA1271">
        <v>9</v>
      </c>
      <c r="AB1271">
        <v>3</v>
      </c>
      <c r="AC1271">
        <v>0</v>
      </c>
      <c r="AD1271">
        <v>10</v>
      </c>
      <c r="AE1271">
        <v>0</v>
      </c>
      <c r="AF1271">
        <v>3</v>
      </c>
      <c r="AG1271">
        <v>2</v>
      </c>
      <c r="AH1271">
        <v>0</v>
      </c>
      <c r="AI1271" t="s">
        <v>905</v>
      </c>
      <c r="AJ1271">
        <v>39.766967000000001</v>
      </c>
      <c r="AK1271" t="s">
        <v>906</v>
      </c>
      <c r="AL1271">
        <v>-92.514582000000004</v>
      </c>
      <c r="AM1271">
        <v>100</v>
      </c>
      <c r="AN1271">
        <v>1700</v>
      </c>
      <c r="AO1271" t="s">
        <v>118</v>
      </c>
      <c r="AP1271">
        <v>15</v>
      </c>
      <c r="AQ1271">
        <v>120</v>
      </c>
      <c r="AR1271">
        <v>0</v>
      </c>
      <c r="AZ1271">
        <v>1200</v>
      </c>
      <c r="BA1271">
        <v>1</v>
      </c>
      <c r="BB1271" t="str">
        <f t="shared" si="60"/>
        <v xml:space="preserve">N8080G  </v>
      </c>
      <c r="BC1271">
        <v>1</v>
      </c>
      <c r="BE1271">
        <v>0</v>
      </c>
      <c r="BF1271">
        <v>0</v>
      </c>
      <c r="BG1271">
        <v>0</v>
      </c>
      <c r="BH1271">
        <v>1675</v>
      </c>
      <c r="BI1271">
        <v>1</v>
      </c>
      <c r="BJ1271">
        <v>1</v>
      </c>
      <c r="BK1271">
        <v>1</v>
      </c>
      <c r="BL1271">
        <v>0</v>
      </c>
      <c r="BO1271">
        <v>0</v>
      </c>
      <c r="BP1271">
        <v>0</v>
      </c>
      <c r="BW1271" t="str">
        <f>"20:19:21.660"</f>
        <v>20:19:21.660</v>
      </c>
      <c r="BZ1271">
        <v>0</v>
      </c>
      <c r="CA1271">
        <v>2016</v>
      </c>
      <c r="CB1271">
        <v>224</v>
      </c>
      <c r="CD1271">
        <v>1</v>
      </c>
      <c r="CE1271">
        <v>0</v>
      </c>
      <c r="CF1271">
        <v>0</v>
      </c>
      <c r="CG1271">
        <v>1</v>
      </c>
      <c r="CH1271">
        <v>0</v>
      </c>
      <c r="CI1271">
        <v>0</v>
      </c>
      <c r="CJ1271">
        <v>0</v>
      </c>
      <c r="CK1271">
        <v>2</v>
      </c>
      <c r="CL1271">
        <v>0</v>
      </c>
      <c r="CM1271">
        <v>2</v>
      </c>
      <c r="CN1271">
        <v>0</v>
      </c>
      <c r="CO1271">
        <v>7</v>
      </c>
      <c r="CP1271" t="s">
        <v>119</v>
      </c>
      <c r="CQ1271">
        <v>180</v>
      </c>
      <c r="CR1271">
        <v>1</v>
      </c>
      <c r="CW1271">
        <v>10696162</v>
      </c>
      <c r="CY1271">
        <v>1</v>
      </c>
      <c r="CZ1271">
        <v>0</v>
      </c>
      <c r="DA1271">
        <v>0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0</v>
      </c>
    </row>
    <row r="1272" spans="1:113" x14ac:dyDescent="0.3">
      <c r="A1272" t="str">
        <f>"02/08/2021 20:19:19.349"</f>
        <v>02/08/2021 20:19:19.349</v>
      </c>
      <c r="C1272" t="str">
        <f t="shared" si="59"/>
        <v>FFDFD7C0</v>
      </c>
      <c r="D1272" t="s">
        <v>113</v>
      </c>
      <c r="E1272">
        <v>6</v>
      </c>
      <c r="H1272">
        <v>165</v>
      </c>
      <c r="I1272" t="s">
        <v>114</v>
      </c>
      <c r="J1272" t="s">
        <v>115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>"20:19:21.656"</f>
        <v>20:19:21.656</v>
      </c>
      <c r="T1272" t="str">
        <f>"20:19:21.256"</f>
        <v>20:19:21.256</v>
      </c>
      <c r="U1272" t="str">
        <f t="shared" si="58"/>
        <v>AB01F4</v>
      </c>
      <c r="V1272">
        <v>0</v>
      </c>
      <c r="W1272">
        <v>0</v>
      </c>
      <c r="X1272">
        <v>2</v>
      </c>
      <c r="Z1272">
        <v>0</v>
      </c>
      <c r="AA1272">
        <v>9</v>
      </c>
      <c r="AB1272">
        <v>3</v>
      </c>
      <c r="AC1272">
        <v>0</v>
      </c>
      <c r="AD1272">
        <v>10</v>
      </c>
      <c r="AE1272">
        <v>0</v>
      </c>
      <c r="AF1272">
        <v>3</v>
      </c>
      <c r="AG1272">
        <v>2</v>
      </c>
      <c r="AH1272">
        <v>0</v>
      </c>
      <c r="AI1272" t="s">
        <v>905</v>
      </c>
      <c r="AJ1272">
        <v>39.766967000000001</v>
      </c>
      <c r="AK1272" t="s">
        <v>906</v>
      </c>
      <c r="AL1272">
        <v>-92.514582000000004</v>
      </c>
      <c r="AM1272">
        <v>100</v>
      </c>
      <c r="AN1272">
        <v>1700</v>
      </c>
      <c r="AO1272" t="s">
        <v>118</v>
      </c>
      <c r="AP1272">
        <v>15</v>
      </c>
      <c r="AQ1272">
        <v>120</v>
      </c>
      <c r="AR1272">
        <v>0</v>
      </c>
      <c r="AZ1272">
        <v>1200</v>
      </c>
      <c r="BA1272">
        <v>1</v>
      </c>
      <c r="BB1272" t="str">
        <f t="shared" si="60"/>
        <v xml:space="preserve">N8080G  </v>
      </c>
      <c r="BC1272">
        <v>1</v>
      </c>
      <c r="BE1272">
        <v>0</v>
      </c>
      <c r="BF1272">
        <v>0</v>
      </c>
      <c r="BG1272">
        <v>0</v>
      </c>
      <c r="BH1272">
        <v>1675</v>
      </c>
      <c r="BI1272">
        <v>1</v>
      </c>
      <c r="BJ1272">
        <v>1</v>
      </c>
      <c r="BK1272">
        <v>1</v>
      </c>
      <c r="BL1272">
        <v>0</v>
      </c>
      <c r="BO1272">
        <v>0</v>
      </c>
      <c r="BP1272">
        <v>0</v>
      </c>
      <c r="BW1272" t="str">
        <f>"20:19:21.660"</f>
        <v>20:19:21.660</v>
      </c>
      <c r="BZ1272">
        <v>0</v>
      </c>
      <c r="CA1272">
        <v>2016</v>
      </c>
      <c r="CB1272">
        <v>224</v>
      </c>
      <c r="CD1272">
        <v>1</v>
      </c>
      <c r="CE1272">
        <v>0</v>
      </c>
      <c r="CF1272">
        <v>0</v>
      </c>
      <c r="CG1272">
        <v>1</v>
      </c>
      <c r="CH1272">
        <v>0</v>
      </c>
      <c r="CI1272">
        <v>0</v>
      </c>
      <c r="CJ1272">
        <v>0</v>
      </c>
      <c r="CK1272">
        <v>2</v>
      </c>
      <c r="CL1272">
        <v>0</v>
      </c>
      <c r="CM1272">
        <v>2</v>
      </c>
      <c r="CN1272">
        <v>0</v>
      </c>
      <c r="CO1272">
        <v>7</v>
      </c>
      <c r="CP1272" t="s">
        <v>119</v>
      </c>
      <c r="CQ1272">
        <v>180</v>
      </c>
      <c r="CR1272">
        <v>1</v>
      </c>
      <c r="CW1272">
        <v>10696162</v>
      </c>
      <c r="CY1272">
        <v>1</v>
      </c>
      <c r="CZ1272">
        <v>0</v>
      </c>
      <c r="DA1272">
        <v>1</v>
      </c>
      <c r="DB1272">
        <v>0</v>
      </c>
      <c r="DC1272">
        <v>0</v>
      </c>
      <c r="DD1272">
        <v>0</v>
      </c>
      <c r="DE1272">
        <v>0</v>
      </c>
      <c r="DF1272">
        <v>0</v>
      </c>
      <c r="DG1272">
        <v>0</v>
      </c>
      <c r="DH1272">
        <v>0</v>
      </c>
      <c r="DI1272">
        <v>0</v>
      </c>
    </row>
    <row r="1273" spans="1:113" x14ac:dyDescent="0.3">
      <c r="A1273" t="str">
        <f>"02/08/2021 20:19:19.349"</f>
        <v>02/08/2021 20:19:19.349</v>
      </c>
      <c r="C1273" t="str">
        <f t="shared" si="59"/>
        <v>FFDFD7C0</v>
      </c>
      <c r="D1273" t="s">
        <v>124</v>
      </c>
      <c r="E1273">
        <v>12</v>
      </c>
      <c r="F1273">
        <v>1012</v>
      </c>
      <c r="G1273" t="s">
        <v>675</v>
      </c>
      <c r="J1273" t="s">
        <v>125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>"20:19:21.656"</f>
        <v>20:19:21.656</v>
      </c>
      <c r="T1273" t="str">
        <f>"20:19:21.256"</f>
        <v>20:19:21.256</v>
      </c>
      <c r="U1273" t="str">
        <f t="shared" si="58"/>
        <v>AB01F4</v>
      </c>
      <c r="V1273">
        <v>0</v>
      </c>
      <c r="W1273">
        <v>0</v>
      </c>
      <c r="X1273">
        <v>2</v>
      </c>
      <c r="Z1273">
        <v>0</v>
      </c>
      <c r="AA1273">
        <v>9</v>
      </c>
      <c r="AB1273">
        <v>3</v>
      </c>
      <c r="AC1273">
        <v>0</v>
      </c>
      <c r="AD1273">
        <v>10</v>
      </c>
      <c r="AE1273">
        <v>0</v>
      </c>
      <c r="AF1273">
        <v>3</v>
      </c>
      <c r="AG1273">
        <v>2</v>
      </c>
      <c r="AH1273">
        <v>0</v>
      </c>
      <c r="AI1273" t="s">
        <v>905</v>
      </c>
      <c r="AJ1273">
        <v>39.766967000000001</v>
      </c>
      <c r="AK1273" t="s">
        <v>906</v>
      </c>
      <c r="AL1273">
        <v>-92.514582000000004</v>
      </c>
      <c r="AM1273">
        <v>100</v>
      </c>
      <c r="AN1273">
        <v>1700</v>
      </c>
      <c r="AO1273" t="s">
        <v>118</v>
      </c>
      <c r="AP1273">
        <v>15</v>
      </c>
      <c r="AQ1273">
        <v>120</v>
      </c>
      <c r="AR1273">
        <v>0</v>
      </c>
      <c r="AZ1273">
        <v>1200</v>
      </c>
      <c r="BA1273">
        <v>1</v>
      </c>
      <c r="BB1273" t="str">
        <f t="shared" si="60"/>
        <v xml:space="preserve">N8080G  </v>
      </c>
      <c r="BC1273">
        <v>1</v>
      </c>
      <c r="BE1273">
        <v>0</v>
      </c>
      <c r="BF1273">
        <v>0</v>
      </c>
      <c r="BG1273">
        <v>0</v>
      </c>
      <c r="BH1273">
        <v>1675</v>
      </c>
      <c r="BI1273">
        <v>1</v>
      </c>
      <c r="BJ1273">
        <v>1</v>
      </c>
      <c r="BK1273">
        <v>1</v>
      </c>
      <c r="BL1273">
        <v>0</v>
      </c>
      <c r="BO1273">
        <v>0</v>
      </c>
      <c r="BP1273">
        <v>0</v>
      </c>
      <c r="BW1273" t="str">
        <f>"20:19:21.660"</f>
        <v>20:19:21.660</v>
      </c>
      <c r="BZ1273">
        <v>0</v>
      </c>
      <c r="CA1273">
        <v>2016</v>
      </c>
      <c r="CB1273">
        <v>224</v>
      </c>
      <c r="CD1273">
        <v>1</v>
      </c>
      <c r="CE1273">
        <v>0</v>
      </c>
      <c r="CF1273">
        <v>0</v>
      </c>
      <c r="CG1273">
        <v>1</v>
      </c>
      <c r="CH1273">
        <v>0</v>
      </c>
      <c r="CI1273">
        <v>0</v>
      </c>
      <c r="CJ1273">
        <v>0</v>
      </c>
      <c r="CK1273">
        <v>2</v>
      </c>
      <c r="CL1273">
        <v>0</v>
      </c>
      <c r="CM1273">
        <v>2</v>
      </c>
      <c r="CN1273">
        <v>0</v>
      </c>
      <c r="CO1273">
        <v>7</v>
      </c>
      <c r="CP1273" t="s">
        <v>119</v>
      </c>
      <c r="CQ1273">
        <v>180</v>
      </c>
      <c r="CR1273">
        <v>1</v>
      </c>
      <c r="CW1273">
        <v>10696162</v>
      </c>
      <c r="CY1273">
        <v>1</v>
      </c>
      <c r="CZ1273">
        <v>0</v>
      </c>
      <c r="DA1273">
        <v>1</v>
      </c>
      <c r="DB1273">
        <v>0</v>
      </c>
      <c r="DC1273">
        <v>0</v>
      </c>
      <c r="DD1273">
        <v>0</v>
      </c>
      <c r="DE1273">
        <v>0</v>
      </c>
      <c r="DF1273">
        <v>0</v>
      </c>
      <c r="DG1273">
        <v>0</v>
      </c>
      <c r="DH1273">
        <v>0</v>
      </c>
      <c r="DI1273">
        <v>0</v>
      </c>
    </row>
    <row r="1274" spans="1:113" x14ac:dyDescent="0.3">
      <c r="A1274" t="str">
        <f>"02/08/2021 20:19:19.349"</f>
        <v>02/08/2021 20:19:19.349</v>
      </c>
      <c r="C1274" t="str">
        <f t="shared" si="59"/>
        <v>FFDFD7C0</v>
      </c>
      <c r="D1274" t="s">
        <v>124</v>
      </c>
      <c r="E1274">
        <v>11</v>
      </c>
      <c r="F1274">
        <v>1011</v>
      </c>
      <c r="G1274" t="s">
        <v>590</v>
      </c>
      <c r="J1274" t="s">
        <v>125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>"20:19:21.656"</f>
        <v>20:19:21.656</v>
      </c>
      <c r="T1274" t="str">
        <f>"20:19:21.256"</f>
        <v>20:19:21.256</v>
      </c>
      <c r="U1274" t="str">
        <f t="shared" si="58"/>
        <v>AB01F4</v>
      </c>
      <c r="V1274">
        <v>0</v>
      </c>
      <c r="W1274">
        <v>0</v>
      </c>
      <c r="X1274">
        <v>2</v>
      </c>
      <c r="Z1274">
        <v>0</v>
      </c>
      <c r="AA1274">
        <v>9</v>
      </c>
      <c r="AB1274">
        <v>3</v>
      </c>
      <c r="AC1274">
        <v>0</v>
      </c>
      <c r="AD1274">
        <v>10</v>
      </c>
      <c r="AE1274">
        <v>0</v>
      </c>
      <c r="AF1274">
        <v>3</v>
      </c>
      <c r="AG1274">
        <v>2</v>
      </c>
      <c r="AH1274">
        <v>0</v>
      </c>
      <c r="AI1274" t="s">
        <v>905</v>
      </c>
      <c r="AJ1274">
        <v>39.766967000000001</v>
      </c>
      <c r="AK1274" t="s">
        <v>906</v>
      </c>
      <c r="AL1274">
        <v>-92.514582000000004</v>
      </c>
      <c r="AM1274">
        <v>100</v>
      </c>
      <c r="AN1274">
        <v>1700</v>
      </c>
      <c r="AO1274" t="s">
        <v>118</v>
      </c>
      <c r="AP1274">
        <v>15</v>
      </c>
      <c r="AQ1274">
        <v>120</v>
      </c>
      <c r="AR1274">
        <v>0</v>
      </c>
      <c r="AZ1274">
        <v>1200</v>
      </c>
      <c r="BA1274">
        <v>1</v>
      </c>
      <c r="BB1274" t="str">
        <f t="shared" si="60"/>
        <v xml:space="preserve">N8080G  </v>
      </c>
      <c r="BC1274">
        <v>1</v>
      </c>
      <c r="BE1274">
        <v>0</v>
      </c>
      <c r="BF1274">
        <v>0</v>
      </c>
      <c r="BG1274">
        <v>0</v>
      </c>
      <c r="BH1274">
        <v>1675</v>
      </c>
      <c r="BI1274">
        <v>1</v>
      </c>
      <c r="BJ1274">
        <v>1</v>
      </c>
      <c r="BK1274">
        <v>1</v>
      </c>
      <c r="BL1274">
        <v>0</v>
      </c>
      <c r="BO1274">
        <v>0</v>
      </c>
      <c r="BP1274">
        <v>0</v>
      </c>
      <c r="BW1274" t="str">
        <f>"20:19:21.660"</f>
        <v>20:19:21.660</v>
      </c>
      <c r="BZ1274">
        <v>0</v>
      </c>
      <c r="CA1274">
        <v>2016</v>
      </c>
      <c r="CB1274">
        <v>224</v>
      </c>
      <c r="CD1274">
        <v>1</v>
      </c>
      <c r="CE1274">
        <v>0</v>
      </c>
      <c r="CF1274">
        <v>0</v>
      </c>
      <c r="CG1274">
        <v>1</v>
      </c>
      <c r="CH1274">
        <v>0</v>
      </c>
      <c r="CI1274">
        <v>0</v>
      </c>
      <c r="CJ1274">
        <v>0</v>
      </c>
      <c r="CK1274">
        <v>2</v>
      </c>
      <c r="CL1274">
        <v>0</v>
      </c>
      <c r="CM1274">
        <v>2</v>
      </c>
      <c r="CN1274">
        <v>0</v>
      </c>
      <c r="CO1274">
        <v>7</v>
      </c>
      <c r="CP1274" t="s">
        <v>119</v>
      </c>
      <c r="CQ1274">
        <v>180</v>
      </c>
      <c r="CR1274">
        <v>1</v>
      </c>
      <c r="CW1274">
        <v>10696162</v>
      </c>
      <c r="CY1274">
        <v>1</v>
      </c>
      <c r="CZ1274">
        <v>0</v>
      </c>
      <c r="DA1274">
        <v>1</v>
      </c>
      <c r="DB1274">
        <v>0</v>
      </c>
      <c r="DC1274">
        <v>0</v>
      </c>
      <c r="DD1274">
        <v>0</v>
      </c>
      <c r="DE1274">
        <v>0</v>
      </c>
      <c r="DF1274">
        <v>0</v>
      </c>
      <c r="DG1274">
        <v>0</v>
      </c>
      <c r="DH1274">
        <v>0</v>
      </c>
      <c r="DI1274">
        <v>0</v>
      </c>
    </row>
    <row r="1275" spans="1:113" x14ac:dyDescent="0.3">
      <c r="A1275" t="str">
        <f>"02/08/2021 20:19:20.652"</f>
        <v>02/08/2021 20:19:20.652</v>
      </c>
      <c r="C1275" t="str">
        <f t="shared" si="59"/>
        <v>FFDFD7C0</v>
      </c>
      <c r="D1275" t="s">
        <v>124</v>
      </c>
      <c r="E1275">
        <v>11</v>
      </c>
      <c r="F1275">
        <v>1011</v>
      </c>
      <c r="G1275" t="s">
        <v>590</v>
      </c>
      <c r="J1275" t="s">
        <v>125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>"20:19:22.977"</f>
        <v>20:19:22.977</v>
      </c>
      <c r="T1275" t="str">
        <f>"20:19:22.577"</f>
        <v>20:19:22.577</v>
      </c>
      <c r="U1275" t="str">
        <f t="shared" si="58"/>
        <v>AB01F4</v>
      </c>
      <c r="V1275">
        <v>0</v>
      </c>
      <c r="W1275">
        <v>0</v>
      </c>
      <c r="X1275">
        <v>2</v>
      </c>
      <c r="Z1275">
        <v>0</v>
      </c>
      <c r="AA1275">
        <v>9</v>
      </c>
      <c r="AB1275">
        <v>3</v>
      </c>
      <c r="AC1275">
        <v>0</v>
      </c>
      <c r="AD1275">
        <v>10</v>
      </c>
      <c r="AE1275">
        <v>0</v>
      </c>
      <c r="AF1275">
        <v>3</v>
      </c>
      <c r="AG1275">
        <v>2</v>
      </c>
      <c r="AH1275">
        <v>0</v>
      </c>
      <c r="AI1275" t="s">
        <v>907</v>
      </c>
      <c r="AJ1275">
        <v>39.767718000000002</v>
      </c>
      <c r="AK1275" t="s">
        <v>908</v>
      </c>
      <c r="AL1275">
        <v>-92.514495999999994</v>
      </c>
      <c r="AM1275">
        <v>100</v>
      </c>
      <c r="AN1275">
        <v>1700</v>
      </c>
      <c r="AO1275" t="s">
        <v>118</v>
      </c>
      <c r="AP1275">
        <v>10</v>
      </c>
      <c r="AQ1275">
        <v>120</v>
      </c>
      <c r="AR1275">
        <v>0</v>
      </c>
      <c r="AZ1275">
        <v>1200</v>
      </c>
      <c r="BA1275">
        <v>1</v>
      </c>
      <c r="BB1275" t="str">
        <f t="shared" si="60"/>
        <v xml:space="preserve">N8080G  </v>
      </c>
      <c r="BC1275">
        <v>1</v>
      </c>
      <c r="BE1275">
        <v>0</v>
      </c>
      <c r="BF1275">
        <v>0</v>
      </c>
      <c r="BG1275">
        <v>0</v>
      </c>
      <c r="BH1275">
        <v>1675</v>
      </c>
      <c r="BI1275">
        <v>1</v>
      </c>
      <c r="BJ1275">
        <v>1</v>
      </c>
      <c r="BK1275">
        <v>1</v>
      </c>
      <c r="BL1275">
        <v>0</v>
      </c>
      <c r="BO1275">
        <v>0</v>
      </c>
      <c r="BP1275">
        <v>0</v>
      </c>
      <c r="BW1275" t="str">
        <f>"20:19:22.982"</f>
        <v>20:19:22.982</v>
      </c>
      <c r="BZ1275">
        <v>0</v>
      </c>
      <c r="CA1275">
        <v>2016</v>
      </c>
      <c r="CB1275">
        <v>224</v>
      </c>
      <c r="CD1275">
        <v>1</v>
      </c>
      <c r="CE1275">
        <v>0</v>
      </c>
      <c r="CF1275">
        <v>0</v>
      </c>
      <c r="CG1275">
        <v>1</v>
      </c>
      <c r="CH1275">
        <v>0</v>
      </c>
      <c r="CI1275">
        <v>0</v>
      </c>
      <c r="CJ1275">
        <v>0</v>
      </c>
      <c r="CK1275">
        <v>2</v>
      </c>
      <c r="CL1275">
        <v>0</v>
      </c>
      <c r="CM1275">
        <v>2</v>
      </c>
      <c r="CN1275">
        <v>0</v>
      </c>
      <c r="CO1275">
        <v>7</v>
      </c>
      <c r="CP1275" t="s">
        <v>119</v>
      </c>
      <c r="CQ1275">
        <v>180</v>
      </c>
      <c r="CR1275">
        <v>2</v>
      </c>
      <c r="CW1275">
        <v>8133894</v>
      </c>
      <c r="CY1275">
        <v>1</v>
      </c>
      <c r="CZ1275">
        <v>0</v>
      </c>
      <c r="DA1275">
        <v>0</v>
      </c>
      <c r="DB1275">
        <v>0</v>
      </c>
      <c r="DC1275">
        <v>0</v>
      </c>
      <c r="DD1275">
        <v>0</v>
      </c>
      <c r="DE1275">
        <v>0</v>
      </c>
      <c r="DF1275">
        <v>0</v>
      </c>
      <c r="DG1275">
        <v>0</v>
      </c>
      <c r="DH1275">
        <v>0</v>
      </c>
      <c r="DI1275">
        <v>0</v>
      </c>
    </row>
    <row r="1276" spans="1:113" x14ac:dyDescent="0.3">
      <c r="A1276" t="str">
        <f>"02/08/2021 20:19:20.652"</f>
        <v>02/08/2021 20:19:20.652</v>
      </c>
      <c r="C1276" t="str">
        <f t="shared" si="59"/>
        <v>FFDFD7C0</v>
      </c>
      <c r="D1276" t="s">
        <v>124</v>
      </c>
      <c r="E1276">
        <v>13</v>
      </c>
      <c r="F1276">
        <v>1013</v>
      </c>
      <c r="G1276" t="s">
        <v>114</v>
      </c>
      <c r="J1276" t="s">
        <v>125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>"20:19:22.977"</f>
        <v>20:19:22.977</v>
      </c>
      <c r="T1276" t="str">
        <f>"20:19:22.577"</f>
        <v>20:19:22.577</v>
      </c>
      <c r="U1276" t="str">
        <f t="shared" si="58"/>
        <v>AB01F4</v>
      </c>
      <c r="V1276">
        <v>0</v>
      </c>
      <c r="W1276">
        <v>0</v>
      </c>
      <c r="X1276">
        <v>2</v>
      </c>
      <c r="Z1276">
        <v>0</v>
      </c>
      <c r="AA1276">
        <v>9</v>
      </c>
      <c r="AB1276">
        <v>3</v>
      </c>
      <c r="AC1276">
        <v>0</v>
      </c>
      <c r="AD1276">
        <v>10</v>
      </c>
      <c r="AE1276">
        <v>0</v>
      </c>
      <c r="AF1276">
        <v>3</v>
      </c>
      <c r="AG1276">
        <v>2</v>
      </c>
      <c r="AH1276">
        <v>0</v>
      </c>
      <c r="AI1276" t="s">
        <v>907</v>
      </c>
      <c r="AJ1276">
        <v>39.767718000000002</v>
      </c>
      <c r="AK1276" t="s">
        <v>908</v>
      </c>
      <c r="AL1276">
        <v>-92.514495999999994</v>
      </c>
      <c r="AM1276">
        <v>100</v>
      </c>
      <c r="AN1276">
        <v>1700</v>
      </c>
      <c r="AO1276" t="s">
        <v>118</v>
      </c>
      <c r="AP1276">
        <v>10</v>
      </c>
      <c r="AQ1276">
        <v>120</v>
      </c>
      <c r="AR1276">
        <v>0</v>
      </c>
      <c r="AZ1276">
        <v>1200</v>
      </c>
      <c r="BA1276">
        <v>1</v>
      </c>
      <c r="BB1276" t="str">
        <f t="shared" si="60"/>
        <v xml:space="preserve">N8080G  </v>
      </c>
      <c r="BC1276">
        <v>1</v>
      </c>
      <c r="BE1276">
        <v>0</v>
      </c>
      <c r="BF1276">
        <v>0</v>
      </c>
      <c r="BG1276">
        <v>0</v>
      </c>
      <c r="BH1276">
        <v>1675</v>
      </c>
      <c r="BI1276">
        <v>1</v>
      </c>
      <c r="BJ1276">
        <v>1</v>
      </c>
      <c r="BK1276">
        <v>1</v>
      </c>
      <c r="BL1276">
        <v>0</v>
      </c>
      <c r="BO1276">
        <v>0</v>
      </c>
      <c r="BP1276">
        <v>0</v>
      </c>
      <c r="BW1276" t="str">
        <f>"20:19:22.982"</f>
        <v>20:19:22.982</v>
      </c>
      <c r="BZ1276">
        <v>0</v>
      </c>
      <c r="CA1276">
        <v>2016</v>
      </c>
      <c r="CB1276">
        <v>224</v>
      </c>
      <c r="CD1276">
        <v>1</v>
      </c>
      <c r="CE1276">
        <v>0</v>
      </c>
      <c r="CF1276">
        <v>0</v>
      </c>
      <c r="CG1276">
        <v>1</v>
      </c>
      <c r="CH1276">
        <v>0</v>
      </c>
      <c r="CI1276">
        <v>0</v>
      </c>
      <c r="CJ1276">
        <v>0</v>
      </c>
      <c r="CK1276">
        <v>2</v>
      </c>
      <c r="CL1276">
        <v>0</v>
      </c>
      <c r="CM1276">
        <v>2</v>
      </c>
      <c r="CN1276">
        <v>0</v>
      </c>
      <c r="CO1276">
        <v>7</v>
      </c>
      <c r="CP1276" t="s">
        <v>119</v>
      </c>
      <c r="CQ1276">
        <v>180</v>
      </c>
      <c r="CR1276">
        <v>2</v>
      </c>
      <c r="CW1276">
        <v>8133894</v>
      </c>
      <c r="CY1276">
        <v>1</v>
      </c>
      <c r="CZ1276">
        <v>0</v>
      </c>
      <c r="DA1276">
        <v>1</v>
      </c>
      <c r="DB1276">
        <v>0</v>
      </c>
      <c r="DC1276">
        <v>0</v>
      </c>
      <c r="DD1276">
        <v>0</v>
      </c>
      <c r="DE1276">
        <v>0</v>
      </c>
      <c r="DF1276">
        <v>0</v>
      </c>
      <c r="DG1276">
        <v>0</v>
      </c>
      <c r="DH1276">
        <v>0</v>
      </c>
      <c r="DI1276">
        <v>0</v>
      </c>
    </row>
    <row r="1277" spans="1:113" x14ac:dyDescent="0.3">
      <c r="A1277" t="str">
        <f>"02/08/2021 20:19:20.652"</f>
        <v>02/08/2021 20:19:20.652</v>
      </c>
      <c r="C1277" t="str">
        <f t="shared" si="59"/>
        <v>FFDFD7C0</v>
      </c>
      <c r="D1277" t="s">
        <v>124</v>
      </c>
      <c r="E1277">
        <v>12</v>
      </c>
      <c r="F1277">
        <v>1012</v>
      </c>
      <c r="G1277" t="s">
        <v>675</v>
      </c>
      <c r="J1277" t="s">
        <v>125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>"20:19:22.977"</f>
        <v>20:19:22.977</v>
      </c>
      <c r="T1277" t="str">
        <f>"20:19:22.577"</f>
        <v>20:19:22.577</v>
      </c>
      <c r="U1277" t="str">
        <f t="shared" si="58"/>
        <v>AB01F4</v>
      </c>
      <c r="V1277">
        <v>0</v>
      </c>
      <c r="W1277">
        <v>0</v>
      </c>
      <c r="X1277">
        <v>2</v>
      </c>
      <c r="Z1277">
        <v>0</v>
      </c>
      <c r="AA1277">
        <v>9</v>
      </c>
      <c r="AB1277">
        <v>3</v>
      </c>
      <c r="AC1277">
        <v>0</v>
      </c>
      <c r="AD1277">
        <v>10</v>
      </c>
      <c r="AE1277">
        <v>0</v>
      </c>
      <c r="AF1277">
        <v>3</v>
      </c>
      <c r="AG1277">
        <v>2</v>
      </c>
      <c r="AH1277">
        <v>0</v>
      </c>
      <c r="AI1277" t="s">
        <v>907</v>
      </c>
      <c r="AJ1277">
        <v>39.767718000000002</v>
      </c>
      <c r="AK1277" t="s">
        <v>908</v>
      </c>
      <c r="AL1277">
        <v>-92.514495999999994</v>
      </c>
      <c r="AM1277">
        <v>100</v>
      </c>
      <c r="AN1277">
        <v>1700</v>
      </c>
      <c r="AO1277" t="s">
        <v>118</v>
      </c>
      <c r="AP1277">
        <v>10</v>
      </c>
      <c r="AQ1277">
        <v>120</v>
      </c>
      <c r="AR1277">
        <v>0</v>
      </c>
      <c r="AZ1277">
        <v>1200</v>
      </c>
      <c r="BA1277">
        <v>1</v>
      </c>
      <c r="BB1277" t="str">
        <f t="shared" si="60"/>
        <v xml:space="preserve">N8080G  </v>
      </c>
      <c r="BC1277">
        <v>1</v>
      </c>
      <c r="BE1277">
        <v>0</v>
      </c>
      <c r="BF1277">
        <v>0</v>
      </c>
      <c r="BG1277">
        <v>0</v>
      </c>
      <c r="BH1277">
        <v>1675</v>
      </c>
      <c r="BI1277">
        <v>1</v>
      </c>
      <c r="BJ1277">
        <v>1</v>
      </c>
      <c r="BK1277">
        <v>1</v>
      </c>
      <c r="BL1277">
        <v>0</v>
      </c>
      <c r="BO1277">
        <v>0</v>
      </c>
      <c r="BP1277">
        <v>0</v>
      </c>
      <c r="BW1277" t="str">
        <f>"20:19:22.982"</f>
        <v>20:19:22.982</v>
      </c>
      <c r="BZ1277">
        <v>0</v>
      </c>
      <c r="CA1277">
        <v>2016</v>
      </c>
      <c r="CB1277">
        <v>224</v>
      </c>
      <c r="CD1277">
        <v>1</v>
      </c>
      <c r="CE1277">
        <v>0</v>
      </c>
      <c r="CF1277">
        <v>0</v>
      </c>
      <c r="CG1277">
        <v>1</v>
      </c>
      <c r="CH1277">
        <v>0</v>
      </c>
      <c r="CI1277">
        <v>0</v>
      </c>
      <c r="CJ1277">
        <v>0</v>
      </c>
      <c r="CK1277">
        <v>2</v>
      </c>
      <c r="CL1277">
        <v>0</v>
      </c>
      <c r="CM1277">
        <v>2</v>
      </c>
      <c r="CN1277">
        <v>0</v>
      </c>
      <c r="CO1277">
        <v>7</v>
      </c>
      <c r="CP1277" t="s">
        <v>119</v>
      </c>
      <c r="CQ1277">
        <v>180</v>
      </c>
      <c r="CR1277">
        <v>2</v>
      </c>
      <c r="CW1277">
        <v>8133894</v>
      </c>
      <c r="CY1277">
        <v>1</v>
      </c>
      <c r="CZ1277">
        <v>0</v>
      </c>
      <c r="DA1277">
        <v>1</v>
      </c>
      <c r="DB1277">
        <v>0</v>
      </c>
      <c r="DC1277">
        <v>0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0</v>
      </c>
    </row>
    <row r="1278" spans="1:113" x14ac:dyDescent="0.3">
      <c r="A1278" t="str">
        <f>"02/08/2021 20:19:20.652"</f>
        <v>02/08/2021 20:19:20.652</v>
      </c>
      <c r="C1278" t="str">
        <f t="shared" si="59"/>
        <v>FFDFD7C0</v>
      </c>
      <c r="D1278" t="s">
        <v>113</v>
      </c>
      <c r="E1278">
        <v>6</v>
      </c>
      <c r="H1278">
        <v>165</v>
      </c>
      <c r="I1278" t="s">
        <v>114</v>
      </c>
      <c r="J1278" t="s">
        <v>115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>"20:19:22.977"</f>
        <v>20:19:22.977</v>
      </c>
      <c r="T1278" t="str">
        <f>"20:19:22.577"</f>
        <v>20:19:22.577</v>
      </c>
      <c r="U1278" t="str">
        <f t="shared" si="58"/>
        <v>AB01F4</v>
      </c>
      <c r="V1278">
        <v>0</v>
      </c>
      <c r="W1278">
        <v>0</v>
      </c>
      <c r="X1278">
        <v>2</v>
      </c>
      <c r="Z1278">
        <v>0</v>
      </c>
      <c r="AA1278">
        <v>9</v>
      </c>
      <c r="AB1278">
        <v>3</v>
      </c>
      <c r="AC1278">
        <v>0</v>
      </c>
      <c r="AD1278">
        <v>10</v>
      </c>
      <c r="AE1278">
        <v>0</v>
      </c>
      <c r="AF1278">
        <v>3</v>
      </c>
      <c r="AG1278">
        <v>2</v>
      </c>
      <c r="AH1278">
        <v>0</v>
      </c>
      <c r="AI1278" t="s">
        <v>907</v>
      </c>
      <c r="AJ1278">
        <v>39.767718000000002</v>
      </c>
      <c r="AK1278" t="s">
        <v>908</v>
      </c>
      <c r="AL1278">
        <v>-92.514495999999994</v>
      </c>
      <c r="AM1278">
        <v>100</v>
      </c>
      <c r="AN1278">
        <v>1700</v>
      </c>
      <c r="AO1278" t="s">
        <v>118</v>
      </c>
      <c r="AP1278">
        <v>10</v>
      </c>
      <c r="AQ1278">
        <v>120</v>
      </c>
      <c r="AR1278">
        <v>0</v>
      </c>
      <c r="AZ1278">
        <v>1200</v>
      </c>
      <c r="BA1278">
        <v>1</v>
      </c>
      <c r="BB1278" t="str">
        <f t="shared" si="60"/>
        <v xml:space="preserve">N8080G  </v>
      </c>
      <c r="BC1278">
        <v>1</v>
      </c>
      <c r="BE1278">
        <v>0</v>
      </c>
      <c r="BF1278">
        <v>0</v>
      </c>
      <c r="BG1278">
        <v>0</v>
      </c>
      <c r="BH1278">
        <v>1675</v>
      </c>
      <c r="BI1278">
        <v>1</v>
      </c>
      <c r="BJ1278">
        <v>1</v>
      </c>
      <c r="BK1278">
        <v>1</v>
      </c>
      <c r="BL1278">
        <v>0</v>
      </c>
      <c r="BO1278">
        <v>0</v>
      </c>
      <c r="BP1278">
        <v>0</v>
      </c>
      <c r="BW1278" t="str">
        <f>"20:19:22.982"</f>
        <v>20:19:22.982</v>
      </c>
      <c r="BZ1278">
        <v>0</v>
      </c>
      <c r="CA1278">
        <v>2016</v>
      </c>
      <c r="CB1278">
        <v>224</v>
      </c>
      <c r="CD1278">
        <v>1</v>
      </c>
      <c r="CE1278">
        <v>0</v>
      </c>
      <c r="CF1278">
        <v>0</v>
      </c>
      <c r="CG1278">
        <v>1</v>
      </c>
      <c r="CH1278">
        <v>0</v>
      </c>
      <c r="CI1278">
        <v>0</v>
      </c>
      <c r="CJ1278">
        <v>0</v>
      </c>
      <c r="CK1278">
        <v>2</v>
      </c>
      <c r="CL1278">
        <v>0</v>
      </c>
      <c r="CM1278">
        <v>2</v>
      </c>
      <c r="CN1278">
        <v>0</v>
      </c>
      <c r="CO1278">
        <v>7</v>
      </c>
      <c r="CP1278" t="s">
        <v>119</v>
      </c>
      <c r="CQ1278">
        <v>180</v>
      </c>
      <c r="CR1278">
        <v>2</v>
      </c>
      <c r="CW1278">
        <v>8133894</v>
      </c>
      <c r="CY1278">
        <v>1</v>
      </c>
      <c r="CZ1278">
        <v>0</v>
      </c>
      <c r="DA1278">
        <v>1</v>
      </c>
      <c r="DB1278">
        <v>0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0</v>
      </c>
      <c r="DI1278">
        <v>0</v>
      </c>
    </row>
    <row r="1279" spans="1:113" x14ac:dyDescent="0.3">
      <c r="A1279" t="str">
        <f>"02/08/2021 20:19:21.742"</f>
        <v>02/08/2021 20:19:21.742</v>
      </c>
      <c r="C1279" t="str">
        <f t="shared" si="59"/>
        <v>FFDFD7C0</v>
      </c>
      <c r="D1279" t="s">
        <v>124</v>
      </c>
      <c r="E1279">
        <v>12</v>
      </c>
      <c r="F1279">
        <v>1012</v>
      </c>
      <c r="G1279" t="s">
        <v>675</v>
      </c>
      <c r="J1279" t="s">
        <v>125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>"20:19:24.055"</f>
        <v>20:19:24.055</v>
      </c>
      <c r="T1279" t="str">
        <f>"20:19:23.555"</f>
        <v>20:19:23.555</v>
      </c>
      <c r="U1279" t="str">
        <f t="shared" si="58"/>
        <v>AB01F4</v>
      </c>
      <c r="V1279">
        <v>0</v>
      </c>
      <c r="W1279">
        <v>0</v>
      </c>
      <c r="X1279">
        <v>2</v>
      </c>
      <c r="Z1279">
        <v>0</v>
      </c>
      <c r="AA1279">
        <v>9</v>
      </c>
      <c r="AB1279">
        <v>3</v>
      </c>
      <c r="AC1279">
        <v>0</v>
      </c>
      <c r="AD1279">
        <v>10</v>
      </c>
      <c r="AE1279">
        <v>0</v>
      </c>
      <c r="AF1279">
        <v>3</v>
      </c>
      <c r="AG1279">
        <v>2</v>
      </c>
      <c r="AH1279">
        <v>0</v>
      </c>
      <c r="AI1279" t="s">
        <v>909</v>
      </c>
      <c r="AJ1279">
        <v>39.768318999999998</v>
      </c>
      <c r="AK1279" t="s">
        <v>910</v>
      </c>
      <c r="AL1279">
        <v>-92.514474000000007</v>
      </c>
      <c r="AM1279">
        <v>100</v>
      </c>
      <c r="AN1279">
        <v>1700</v>
      </c>
      <c r="AO1279" t="s">
        <v>118</v>
      </c>
      <c r="AP1279">
        <v>6</v>
      </c>
      <c r="AQ1279">
        <v>121</v>
      </c>
      <c r="AR1279">
        <v>-64</v>
      </c>
      <c r="AZ1279">
        <v>1200</v>
      </c>
      <c r="BA1279">
        <v>1</v>
      </c>
      <c r="BB1279" t="str">
        <f t="shared" si="60"/>
        <v xml:space="preserve">N8080G  </v>
      </c>
      <c r="BC1279">
        <v>1</v>
      </c>
      <c r="BE1279">
        <v>0</v>
      </c>
      <c r="BF1279">
        <v>0</v>
      </c>
      <c r="BG1279">
        <v>0</v>
      </c>
      <c r="BH1279">
        <v>1675</v>
      </c>
      <c r="BI1279">
        <v>1</v>
      </c>
      <c r="BJ1279">
        <v>1</v>
      </c>
      <c r="BK1279">
        <v>1</v>
      </c>
      <c r="BL1279">
        <v>0</v>
      </c>
      <c r="BO1279">
        <v>0</v>
      </c>
      <c r="BP1279">
        <v>0</v>
      </c>
      <c r="BW1279" t="str">
        <f>"20:19:24.058"</f>
        <v>20:19:24.058</v>
      </c>
      <c r="BZ1279">
        <v>0</v>
      </c>
      <c r="CA1279">
        <v>2016</v>
      </c>
      <c r="CB1279">
        <v>224</v>
      </c>
      <c r="CD1279">
        <v>1</v>
      </c>
      <c r="CE1279">
        <v>0</v>
      </c>
      <c r="CF1279">
        <v>0</v>
      </c>
      <c r="CG1279">
        <v>1</v>
      </c>
      <c r="CH1279">
        <v>0</v>
      </c>
      <c r="CI1279">
        <v>0</v>
      </c>
      <c r="CJ1279">
        <v>0</v>
      </c>
      <c r="CK1279">
        <v>2</v>
      </c>
      <c r="CL1279">
        <v>0</v>
      </c>
      <c r="CM1279">
        <v>2</v>
      </c>
      <c r="CN1279">
        <v>0</v>
      </c>
      <c r="CO1279">
        <v>7</v>
      </c>
      <c r="CP1279" t="s">
        <v>119</v>
      </c>
      <c r="CQ1279">
        <v>180</v>
      </c>
      <c r="CR1279">
        <v>2</v>
      </c>
      <c r="CW1279">
        <v>8134781</v>
      </c>
      <c r="CY1279">
        <v>1</v>
      </c>
      <c r="CZ1279">
        <v>0</v>
      </c>
      <c r="DA1279">
        <v>0</v>
      </c>
      <c r="DB1279">
        <v>0</v>
      </c>
      <c r="DC1279">
        <v>0</v>
      </c>
      <c r="DD1279">
        <v>0</v>
      </c>
      <c r="DE1279">
        <v>0</v>
      </c>
      <c r="DF1279">
        <v>0</v>
      </c>
      <c r="DG1279">
        <v>0</v>
      </c>
      <c r="DH1279">
        <v>0</v>
      </c>
      <c r="DI1279">
        <v>0</v>
      </c>
    </row>
    <row r="1280" spans="1:113" x14ac:dyDescent="0.3">
      <c r="A1280" t="str">
        <f>"02/08/2021 20:19:21.742"</f>
        <v>02/08/2021 20:19:21.742</v>
      </c>
      <c r="C1280" t="str">
        <f t="shared" si="59"/>
        <v>FFDFD7C0</v>
      </c>
      <c r="D1280" t="s">
        <v>113</v>
      </c>
      <c r="E1280">
        <v>6</v>
      </c>
      <c r="H1280">
        <v>165</v>
      </c>
      <c r="I1280" t="s">
        <v>114</v>
      </c>
      <c r="J1280" t="s">
        <v>115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>"20:19:24.055"</f>
        <v>20:19:24.055</v>
      </c>
      <c r="T1280" t="str">
        <f>"20:19:23.555"</f>
        <v>20:19:23.555</v>
      </c>
      <c r="U1280" t="str">
        <f t="shared" si="58"/>
        <v>AB01F4</v>
      </c>
      <c r="V1280">
        <v>0</v>
      </c>
      <c r="W1280">
        <v>0</v>
      </c>
      <c r="X1280">
        <v>2</v>
      </c>
      <c r="Z1280">
        <v>0</v>
      </c>
      <c r="AA1280">
        <v>9</v>
      </c>
      <c r="AB1280">
        <v>3</v>
      </c>
      <c r="AC1280">
        <v>0</v>
      </c>
      <c r="AD1280">
        <v>10</v>
      </c>
      <c r="AE1280">
        <v>0</v>
      </c>
      <c r="AF1280">
        <v>3</v>
      </c>
      <c r="AG1280">
        <v>2</v>
      </c>
      <c r="AH1280">
        <v>0</v>
      </c>
      <c r="AI1280" t="s">
        <v>909</v>
      </c>
      <c r="AJ1280">
        <v>39.768318999999998</v>
      </c>
      <c r="AK1280" t="s">
        <v>910</v>
      </c>
      <c r="AL1280">
        <v>-92.514474000000007</v>
      </c>
      <c r="AM1280">
        <v>100</v>
      </c>
      <c r="AN1280">
        <v>1700</v>
      </c>
      <c r="AO1280" t="s">
        <v>118</v>
      </c>
      <c r="AP1280">
        <v>6</v>
      </c>
      <c r="AQ1280">
        <v>121</v>
      </c>
      <c r="AR1280">
        <v>-64</v>
      </c>
      <c r="AZ1280">
        <v>1200</v>
      </c>
      <c r="BA1280">
        <v>1</v>
      </c>
      <c r="BB1280" t="str">
        <f t="shared" si="60"/>
        <v xml:space="preserve">N8080G  </v>
      </c>
      <c r="BC1280">
        <v>1</v>
      </c>
      <c r="BE1280">
        <v>0</v>
      </c>
      <c r="BF1280">
        <v>0</v>
      </c>
      <c r="BG1280">
        <v>0</v>
      </c>
      <c r="BH1280">
        <v>1675</v>
      </c>
      <c r="BI1280">
        <v>1</v>
      </c>
      <c r="BJ1280">
        <v>1</v>
      </c>
      <c r="BK1280">
        <v>1</v>
      </c>
      <c r="BL1280">
        <v>0</v>
      </c>
      <c r="BO1280">
        <v>0</v>
      </c>
      <c r="BP1280">
        <v>0</v>
      </c>
      <c r="BW1280" t="str">
        <f>"20:19:24.058"</f>
        <v>20:19:24.058</v>
      </c>
      <c r="BZ1280">
        <v>0</v>
      </c>
      <c r="CA1280">
        <v>2016</v>
      </c>
      <c r="CB1280">
        <v>224</v>
      </c>
      <c r="CD1280">
        <v>1</v>
      </c>
      <c r="CE1280">
        <v>0</v>
      </c>
      <c r="CF1280">
        <v>0</v>
      </c>
      <c r="CG1280">
        <v>1</v>
      </c>
      <c r="CH1280">
        <v>0</v>
      </c>
      <c r="CI1280">
        <v>0</v>
      </c>
      <c r="CJ1280">
        <v>0</v>
      </c>
      <c r="CK1280">
        <v>2</v>
      </c>
      <c r="CL1280">
        <v>0</v>
      </c>
      <c r="CM1280">
        <v>2</v>
      </c>
      <c r="CN1280">
        <v>0</v>
      </c>
      <c r="CO1280">
        <v>7</v>
      </c>
      <c r="CP1280" t="s">
        <v>119</v>
      </c>
      <c r="CQ1280">
        <v>180</v>
      </c>
      <c r="CR1280">
        <v>2</v>
      </c>
      <c r="CW1280">
        <v>8134781</v>
      </c>
      <c r="CY1280">
        <v>1</v>
      </c>
      <c r="CZ1280">
        <v>0</v>
      </c>
      <c r="DA1280">
        <v>1</v>
      </c>
      <c r="DB1280">
        <v>0</v>
      </c>
      <c r="DC1280">
        <v>0</v>
      </c>
      <c r="DD1280">
        <v>0</v>
      </c>
      <c r="DE1280">
        <v>0</v>
      </c>
      <c r="DF1280">
        <v>0</v>
      </c>
      <c r="DG1280">
        <v>0</v>
      </c>
      <c r="DH1280">
        <v>0</v>
      </c>
      <c r="DI1280">
        <v>0</v>
      </c>
    </row>
    <row r="1281" spans="1:113" x14ac:dyDescent="0.3">
      <c r="A1281" t="str">
        <f>"02/08/2021 20:19:21.742"</f>
        <v>02/08/2021 20:19:21.742</v>
      </c>
      <c r="C1281" t="str">
        <f t="shared" si="59"/>
        <v>FFDFD7C0</v>
      </c>
      <c r="D1281" t="s">
        <v>124</v>
      </c>
      <c r="E1281">
        <v>11</v>
      </c>
      <c r="F1281">
        <v>1011</v>
      </c>
      <c r="G1281" t="s">
        <v>590</v>
      </c>
      <c r="J1281" t="s">
        <v>125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>"20:19:24.055"</f>
        <v>20:19:24.055</v>
      </c>
      <c r="T1281" t="str">
        <f>"20:19:23.555"</f>
        <v>20:19:23.555</v>
      </c>
      <c r="U1281" t="str">
        <f t="shared" si="58"/>
        <v>AB01F4</v>
      </c>
      <c r="V1281">
        <v>0</v>
      </c>
      <c r="W1281">
        <v>0</v>
      </c>
      <c r="X1281">
        <v>2</v>
      </c>
      <c r="Z1281">
        <v>0</v>
      </c>
      <c r="AA1281">
        <v>9</v>
      </c>
      <c r="AB1281">
        <v>3</v>
      </c>
      <c r="AC1281">
        <v>0</v>
      </c>
      <c r="AD1281">
        <v>10</v>
      </c>
      <c r="AE1281">
        <v>0</v>
      </c>
      <c r="AF1281">
        <v>3</v>
      </c>
      <c r="AG1281">
        <v>2</v>
      </c>
      <c r="AH1281">
        <v>0</v>
      </c>
      <c r="AI1281" t="s">
        <v>909</v>
      </c>
      <c r="AJ1281">
        <v>39.768318999999998</v>
      </c>
      <c r="AK1281" t="s">
        <v>910</v>
      </c>
      <c r="AL1281">
        <v>-92.514474000000007</v>
      </c>
      <c r="AM1281">
        <v>100</v>
      </c>
      <c r="AN1281">
        <v>1700</v>
      </c>
      <c r="AO1281" t="s">
        <v>118</v>
      </c>
      <c r="AP1281">
        <v>6</v>
      </c>
      <c r="AQ1281">
        <v>121</v>
      </c>
      <c r="AR1281">
        <v>-64</v>
      </c>
      <c r="AZ1281">
        <v>1200</v>
      </c>
      <c r="BA1281">
        <v>1</v>
      </c>
      <c r="BB1281" t="str">
        <f t="shared" si="60"/>
        <v xml:space="preserve">N8080G  </v>
      </c>
      <c r="BC1281">
        <v>1</v>
      </c>
      <c r="BE1281">
        <v>0</v>
      </c>
      <c r="BF1281">
        <v>0</v>
      </c>
      <c r="BG1281">
        <v>0</v>
      </c>
      <c r="BH1281">
        <v>1675</v>
      </c>
      <c r="BI1281">
        <v>1</v>
      </c>
      <c r="BJ1281">
        <v>1</v>
      </c>
      <c r="BK1281">
        <v>1</v>
      </c>
      <c r="BL1281">
        <v>0</v>
      </c>
      <c r="BO1281">
        <v>0</v>
      </c>
      <c r="BP1281">
        <v>0</v>
      </c>
      <c r="BW1281" t="str">
        <f>"20:19:24.058"</f>
        <v>20:19:24.058</v>
      </c>
      <c r="BZ1281">
        <v>0</v>
      </c>
      <c r="CA1281">
        <v>2016</v>
      </c>
      <c r="CB1281">
        <v>224</v>
      </c>
      <c r="CD1281">
        <v>1</v>
      </c>
      <c r="CE1281">
        <v>0</v>
      </c>
      <c r="CF1281">
        <v>0</v>
      </c>
      <c r="CG1281">
        <v>1</v>
      </c>
      <c r="CH1281">
        <v>0</v>
      </c>
      <c r="CI1281">
        <v>0</v>
      </c>
      <c r="CJ1281">
        <v>0</v>
      </c>
      <c r="CK1281">
        <v>2</v>
      </c>
      <c r="CL1281">
        <v>0</v>
      </c>
      <c r="CM1281">
        <v>2</v>
      </c>
      <c r="CN1281">
        <v>0</v>
      </c>
      <c r="CO1281">
        <v>7</v>
      </c>
      <c r="CP1281" t="s">
        <v>119</v>
      </c>
      <c r="CQ1281">
        <v>180</v>
      </c>
      <c r="CR1281">
        <v>2</v>
      </c>
      <c r="CW1281">
        <v>8134781</v>
      </c>
      <c r="CY1281">
        <v>1</v>
      </c>
      <c r="CZ1281">
        <v>0</v>
      </c>
      <c r="DA1281">
        <v>1</v>
      </c>
      <c r="DB1281">
        <v>0</v>
      </c>
      <c r="DC1281">
        <v>0</v>
      </c>
      <c r="DD1281">
        <v>0</v>
      </c>
      <c r="DE1281">
        <v>0</v>
      </c>
      <c r="DF1281">
        <v>0</v>
      </c>
      <c r="DG1281">
        <v>0</v>
      </c>
      <c r="DH1281">
        <v>0</v>
      </c>
      <c r="DI1281">
        <v>0</v>
      </c>
    </row>
    <row r="1282" spans="1:113" x14ac:dyDescent="0.3">
      <c r="A1282" t="str">
        <f>"02/08/2021 20:19:21.742"</f>
        <v>02/08/2021 20:19:21.742</v>
      </c>
      <c r="C1282" t="str">
        <f t="shared" si="59"/>
        <v>FFDFD7C0</v>
      </c>
      <c r="D1282" t="s">
        <v>124</v>
      </c>
      <c r="E1282">
        <v>13</v>
      </c>
      <c r="F1282">
        <v>1013</v>
      </c>
      <c r="G1282" t="s">
        <v>114</v>
      </c>
      <c r="J1282" t="s">
        <v>125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>"20:19:24.055"</f>
        <v>20:19:24.055</v>
      </c>
      <c r="T1282" t="str">
        <f>"20:19:23.555"</f>
        <v>20:19:23.555</v>
      </c>
      <c r="U1282" t="str">
        <f t="shared" ref="U1282:U1345" si="61">"AB01F4"</f>
        <v>AB01F4</v>
      </c>
      <c r="V1282">
        <v>0</v>
      </c>
      <c r="W1282">
        <v>0</v>
      </c>
      <c r="X1282">
        <v>2</v>
      </c>
      <c r="Z1282">
        <v>0</v>
      </c>
      <c r="AA1282">
        <v>9</v>
      </c>
      <c r="AB1282">
        <v>3</v>
      </c>
      <c r="AC1282">
        <v>0</v>
      </c>
      <c r="AD1282">
        <v>10</v>
      </c>
      <c r="AE1282">
        <v>0</v>
      </c>
      <c r="AF1282">
        <v>3</v>
      </c>
      <c r="AG1282">
        <v>2</v>
      </c>
      <c r="AH1282">
        <v>0</v>
      </c>
      <c r="AI1282" t="s">
        <v>909</v>
      </c>
      <c r="AJ1282">
        <v>39.768318999999998</v>
      </c>
      <c r="AK1282" t="s">
        <v>910</v>
      </c>
      <c r="AL1282">
        <v>-92.514474000000007</v>
      </c>
      <c r="AM1282">
        <v>100</v>
      </c>
      <c r="AN1282">
        <v>1700</v>
      </c>
      <c r="AO1282" t="s">
        <v>118</v>
      </c>
      <c r="AP1282">
        <v>6</v>
      </c>
      <c r="AQ1282">
        <v>121</v>
      </c>
      <c r="AR1282">
        <v>-64</v>
      </c>
      <c r="AZ1282">
        <v>1200</v>
      </c>
      <c r="BA1282">
        <v>1</v>
      </c>
      <c r="BB1282" t="str">
        <f t="shared" si="60"/>
        <v xml:space="preserve">N8080G  </v>
      </c>
      <c r="BC1282">
        <v>1</v>
      </c>
      <c r="BE1282">
        <v>0</v>
      </c>
      <c r="BF1282">
        <v>0</v>
      </c>
      <c r="BG1282">
        <v>0</v>
      </c>
      <c r="BH1282">
        <v>1675</v>
      </c>
      <c r="BI1282">
        <v>1</v>
      </c>
      <c r="BJ1282">
        <v>1</v>
      </c>
      <c r="BK1282">
        <v>1</v>
      </c>
      <c r="BL1282">
        <v>0</v>
      </c>
      <c r="BO1282">
        <v>0</v>
      </c>
      <c r="BP1282">
        <v>0</v>
      </c>
      <c r="BW1282" t="str">
        <f>"20:19:24.058"</f>
        <v>20:19:24.058</v>
      </c>
      <c r="BZ1282">
        <v>0</v>
      </c>
      <c r="CA1282">
        <v>2016</v>
      </c>
      <c r="CB1282">
        <v>224</v>
      </c>
      <c r="CD1282">
        <v>1</v>
      </c>
      <c r="CE1282">
        <v>0</v>
      </c>
      <c r="CF1282">
        <v>0</v>
      </c>
      <c r="CG1282">
        <v>1</v>
      </c>
      <c r="CH1282">
        <v>0</v>
      </c>
      <c r="CI1282">
        <v>0</v>
      </c>
      <c r="CJ1282">
        <v>0</v>
      </c>
      <c r="CK1282">
        <v>2</v>
      </c>
      <c r="CL1282">
        <v>0</v>
      </c>
      <c r="CM1282">
        <v>2</v>
      </c>
      <c r="CN1282">
        <v>0</v>
      </c>
      <c r="CO1282">
        <v>7</v>
      </c>
      <c r="CP1282" t="s">
        <v>119</v>
      </c>
      <c r="CQ1282">
        <v>180</v>
      </c>
      <c r="CR1282">
        <v>2</v>
      </c>
      <c r="CW1282">
        <v>8134781</v>
      </c>
      <c r="CY1282">
        <v>1</v>
      </c>
      <c r="CZ1282">
        <v>0</v>
      </c>
      <c r="DA1282">
        <v>1</v>
      </c>
      <c r="DB1282">
        <v>0</v>
      </c>
      <c r="DC1282">
        <v>0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0</v>
      </c>
    </row>
    <row r="1283" spans="1:113" x14ac:dyDescent="0.3">
      <c r="A1283" t="str">
        <f>"02/08/2021 20:19:22.819"</f>
        <v>02/08/2021 20:19:22.819</v>
      </c>
      <c r="C1283" t="str">
        <f t="shared" si="59"/>
        <v>FFDFD7C0</v>
      </c>
      <c r="D1283" t="s">
        <v>124</v>
      </c>
      <c r="E1283">
        <v>11</v>
      </c>
      <c r="F1283">
        <v>1011</v>
      </c>
      <c r="G1283" t="s">
        <v>590</v>
      </c>
      <c r="J1283" t="s">
        <v>125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>"20:19:25.102"</f>
        <v>20:19:25.102</v>
      </c>
      <c r="T1283" t="str">
        <f>"20:19:24.702"</f>
        <v>20:19:24.702</v>
      </c>
      <c r="U1283" t="str">
        <f t="shared" si="61"/>
        <v>AB01F4</v>
      </c>
      <c r="V1283">
        <v>0</v>
      </c>
      <c r="W1283">
        <v>0</v>
      </c>
      <c r="X1283">
        <v>2</v>
      </c>
      <c r="Z1283">
        <v>0</v>
      </c>
      <c r="AA1283">
        <v>9</v>
      </c>
      <c r="AB1283">
        <v>3</v>
      </c>
      <c r="AC1283">
        <v>0</v>
      </c>
      <c r="AD1283">
        <v>10</v>
      </c>
      <c r="AE1283">
        <v>0</v>
      </c>
      <c r="AF1283">
        <v>3</v>
      </c>
      <c r="AG1283">
        <v>2</v>
      </c>
      <c r="AH1283">
        <v>0</v>
      </c>
      <c r="AI1283" t="s">
        <v>911</v>
      </c>
      <c r="AJ1283">
        <v>39.768877000000003</v>
      </c>
      <c r="AK1283" t="s">
        <v>910</v>
      </c>
      <c r="AL1283">
        <v>-92.514474000000007</v>
      </c>
      <c r="AM1283">
        <v>100</v>
      </c>
      <c r="AN1283">
        <v>1700</v>
      </c>
      <c r="AO1283" t="s">
        <v>118</v>
      </c>
      <c r="AP1283">
        <v>3</v>
      </c>
      <c r="AQ1283">
        <v>121</v>
      </c>
      <c r="AR1283">
        <v>-64</v>
      </c>
      <c r="AZ1283">
        <v>1200</v>
      </c>
      <c r="BA1283">
        <v>1</v>
      </c>
      <c r="BB1283" t="str">
        <f t="shared" si="60"/>
        <v xml:space="preserve">N8080G  </v>
      </c>
      <c r="BC1283">
        <v>1</v>
      </c>
      <c r="BE1283">
        <v>0</v>
      </c>
      <c r="BF1283">
        <v>0</v>
      </c>
      <c r="BG1283">
        <v>0</v>
      </c>
      <c r="BH1283">
        <v>1675</v>
      </c>
      <c r="BI1283">
        <v>1</v>
      </c>
      <c r="BJ1283">
        <v>1</v>
      </c>
      <c r="BK1283">
        <v>1</v>
      </c>
      <c r="BL1283">
        <v>0</v>
      </c>
      <c r="BO1283">
        <v>0</v>
      </c>
      <c r="BP1283">
        <v>0</v>
      </c>
      <c r="BW1283" t="str">
        <f>"20:19:25.105"</f>
        <v>20:19:25.105</v>
      </c>
      <c r="BZ1283">
        <v>0</v>
      </c>
      <c r="CA1283">
        <v>2016</v>
      </c>
      <c r="CB1283">
        <v>224</v>
      </c>
      <c r="CD1283">
        <v>1</v>
      </c>
      <c r="CE1283">
        <v>0</v>
      </c>
      <c r="CF1283">
        <v>0</v>
      </c>
      <c r="CG1283">
        <v>1</v>
      </c>
      <c r="CH1283">
        <v>0</v>
      </c>
      <c r="CI1283">
        <v>0</v>
      </c>
      <c r="CJ1283">
        <v>0</v>
      </c>
      <c r="CK1283">
        <v>2</v>
      </c>
      <c r="CL1283">
        <v>0</v>
      </c>
      <c r="CM1283">
        <v>2</v>
      </c>
      <c r="CN1283">
        <v>0</v>
      </c>
      <c r="CO1283">
        <v>6</v>
      </c>
      <c r="CP1283" t="s">
        <v>119</v>
      </c>
      <c r="CQ1283">
        <v>180</v>
      </c>
      <c r="CR1283">
        <v>1</v>
      </c>
      <c r="CW1283">
        <v>10699180</v>
      </c>
      <c r="CY1283">
        <v>1</v>
      </c>
      <c r="CZ1283">
        <v>0</v>
      </c>
      <c r="DA1283">
        <v>0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0</v>
      </c>
      <c r="DH1283">
        <v>0</v>
      </c>
      <c r="DI1283">
        <v>0</v>
      </c>
    </row>
    <row r="1284" spans="1:113" x14ac:dyDescent="0.3">
      <c r="A1284" t="str">
        <f>"02/08/2021 20:19:22.819"</f>
        <v>02/08/2021 20:19:22.819</v>
      </c>
      <c r="C1284" t="str">
        <f t="shared" si="59"/>
        <v>FFDFD7C0</v>
      </c>
      <c r="D1284" t="s">
        <v>113</v>
      </c>
      <c r="E1284">
        <v>6</v>
      </c>
      <c r="H1284">
        <v>165</v>
      </c>
      <c r="I1284" t="s">
        <v>114</v>
      </c>
      <c r="J1284" t="s">
        <v>115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>"20:19:25.102"</f>
        <v>20:19:25.102</v>
      </c>
      <c r="T1284" t="str">
        <f>"20:19:24.702"</f>
        <v>20:19:24.702</v>
      </c>
      <c r="U1284" t="str">
        <f t="shared" si="61"/>
        <v>AB01F4</v>
      </c>
      <c r="V1284">
        <v>0</v>
      </c>
      <c r="W1284">
        <v>0</v>
      </c>
      <c r="X1284">
        <v>2</v>
      </c>
      <c r="Z1284">
        <v>0</v>
      </c>
      <c r="AA1284">
        <v>9</v>
      </c>
      <c r="AB1284">
        <v>3</v>
      </c>
      <c r="AC1284">
        <v>0</v>
      </c>
      <c r="AD1284">
        <v>10</v>
      </c>
      <c r="AE1284">
        <v>0</v>
      </c>
      <c r="AF1284">
        <v>3</v>
      </c>
      <c r="AG1284">
        <v>2</v>
      </c>
      <c r="AH1284">
        <v>0</v>
      </c>
      <c r="AI1284" t="s">
        <v>911</v>
      </c>
      <c r="AJ1284">
        <v>39.768877000000003</v>
      </c>
      <c r="AK1284" t="s">
        <v>910</v>
      </c>
      <c r="AL1284">
        <v>-92.514474000000007</v>
      </c>
      <c r="AM1284">
        <v>100</v>
      </c>
      <c r="AN1284">
        <v>1700</v>
      </c>
      <c r="AO1284" t="s">
        <v>118</v>
      </c>
      <c r="AP1284">
        <v>3</v>
      </c>
      <c r="AQ1284">
        <v>121</v>
      </c>
      <c r="AR1284">
        <v>-64</v>
      </c>
      <c r="AZ1284">
        <v>1200</v>
      </c>
      <c r="BA1284">
        <v>1</v>
      </c>
      <c r="BB1284" t="str">
        <f t="shared" si="60"/>
        <v xml:space="preserve">N8080G  </v>
      </c>
      <c r="BC1284">
        <v>1</v>
      </c>
      <c r="BE1284">
        <v>0</v>
      </c>
      <c r="BF1284">
        <v>0</v>
      </c>
      <c r="BG1284">
        <v>0</v>
      </c>
      <c r="BH1284">
        <v>1675</v>
      </c>
      <c r="BI1284">
        <v>1</v>
      </c>
      <c r="BJ1284">
        <v>1</v>
      </c>
      <c r="BK1284">
        <v>1</v>
      </c>
      <c r="BL1284">
        <v>0</v>
      </c>
      <c r="BO1284">
        <v>0</v>
      </c>
      <c r="BP1284">
        <v>0</v>
      </c>
      <c r="BW1284" t="str">
        <f>"20:19:25.105"</f>
        <v>20:19:25.105</v>
      </c>
      <c r="BZ1284">
        <v>0</v>
      </c>
      <c r="CA1284">
        <v>2016</v>
      </c>
      <c r="CB1284">
        <v>224</v>
      </c>
      <c r="CD1284">
        <v>1</v>
      </c>
      <c r="CE1284">
        <v>0</v>
      </c>
      <c r="CF1284">
        <v>0</v>
      </c>
      <c r="CG1284">
        <v>1</v>
      </c>
      <c r="CH1284">
        <v>0</v>
      </c>
      <c r="CI1284">
        <v>0</v>
      </c>
      <c r="CJ1284">
        <v>0</v>
      </c>
      <c r="CK1284">
        <v>2</v>
      </c>
      <c r="CL1284">
        <v>0</v>
      </c>
      <c r="CM1284">
        <v>2</v>
      </c>
      <c r="CN1284">
        <v>0</v>
      </c>
      <c r="CO1284">
        <v>6</v>
      </c>
      <c r="CP1284" t="s">
        <v>119</v>
      </c>
      <c r="CQ1284">
        <v>180</v>
      </c>
      <c r="CR1284">
        <v>1</v>
      </c>
      <c r="CW1284">
        <v>10699180</v>
      </c>
      <c r="CY1284">
        <v>1</v>
      </c>
      <c r="CZ1284">
        <v>0</v>
      </c>
      <c r="DA1284">
        <v>1</v>
      </c>
      <c r="DB1284">
        <v>0</v>
      </c>
      <c r="DC1284">
        <v>0</v>
      </c>
      <c r="DD1284">
        <v>0</v>
      </c>
      <c r="DE1284">
        <v>0</v>
      </c>
      <c r="DF1284">
        <v>0</v>
      </c>
      <c r="DG1284">
        <v>0</v>
      </c>
      <c r="DH1284">
        <v>0</v>
      </c>
      <c r="DI1284">
        <v>0</v>
      </c>
    </row>
    <row r="1285" spans="1:113" x14ac:dyDescent="0.3">
      <c r="A1285" t="str">
        <f>"02/08/2021 20:19:22.819"</f>
        <v>02/08/2021 20:19:22.819</v>
      </c>
      <c r="C1285" t="str">
        <f t="shared" si="59"/>
        <v>FFDFD7C0</v>
      </c>
      <c r="D1285" t="s">
        <v>124</v>
      </c>
      <c r="E1285">
        <v>13</v>
      </c>
      <c r="F1285">
        <v>1013</v>
      </c>
      <c r="G1285" t="s">
        <v>114</v>
      </c>
      <c r="J1285" t="s">
        <v>125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>"20:19:25.102"</f>
        <v>20:19:25.102</v>
      </c>
      <c r="T1285" t="str">
        <f>"20:19:24.702"</f>
        <v>20:19:24.702</v>
      </c>
      <c r="U1285" t="str">
        <f t="shared" si="61"/>
        <v>AB01F4</v>
      </c>
      <c r="V1285">
        <v>0</v>
      </c>
      <c r="W1285">
        <v>0</v>
      </c>
      <c r="X1285">
        <v>2</v>
      </c>
      <c r="Z1285">
        <v>0</v>
      </c>
      <c r="AA1285">
        <v>9</v>
      </c>
      <c r="AB1285">
        <v>3</v>
      </c>
      <c r="AC1285">
        <v>0</v>
      </c>
      <c r="AD1285">
        <v>10</v>
      </c>
      <c r="AE1285">
        <v>0</v>
      </c>
      <c r="AF1285">
        <v>3</v>
      </c>
      <c r="AG1285">
        <v>2</v>
      </c>
      <c r="AH1285">
        <v>0</v>
      </c>
      <c r="AI1285" t="s">
        <v>911</v>
      </c>
      <c r="AJ1285">
        <v>39.768877000000003</v>
      </c>
      <c r="AK1285" t="s">
        <v>910</v>
      </c>
      <c r="AL1285">
        <v>-92.514474000000007</v>
      </c>
      <c r="AM1285">
        <v>100</v>
      </c>
      <c r="AN1285">
        <v>1700</v>
      </c>
      <c r="AO1285" t="s">
        <v>118</v>
      </c>
      <c r="AP1285">
        <v>3</v>
      </c>
      <c r="AQ1285">
        <v>121</v>
      </c>
      <c r="AR1285">
        <v>-64</v>
      </c>
      <c r="AZ1285">
        <v>1200</v>
      </c>
      <c r="BA1285">
        <v>1</v>
      </c>
      <c r="BB1285" t="str">
        <f t="shared" si="60"/>
        <v xml:space="preserve">N8080G  </v>
      </c>
      <c r="BC1285">
        <v>1</v>
      </c>
      <c r="BE1285">
        <v>0</v>
      </c>
      <c r="BF1285">
        <v>0</v>
      </c>
      <c r="BG1285">
        <v>0</v>
      </c>
      <c r="BH1285">
        <v>1675</v>
      </c>
      <c r="BI1285">
        <v>1</v>
      </c>
      <c r="BJ1285">
        <v>1</v>
      </c>
      <c r="BK1285">
        <v>1</v>
      </c>
      <c r="BL1285">
        <v>0</v>
      </c>
      <c r="BO1285">
        <v>0</v>
      </c>
      <c r="BP1285">
        <v>0</v>
      </c>
      <c r="BW1285" t="str">
        <f>"20:19:25.105"</f>
        <v>20:19:25.105</v>
      </c>
      <c r="BZ1285">
        <v>0</v>
      </c>
      <c r="CA1285">
        <v>2016</v>
      </c>
      <c r="CB1285">
        <v>224</v>
      </c>
      <c r="CD1285">
        <v>1</v>
      </c>
      <c r="CE1285">
        <v>0</v>
      </c>
      <c r="CF1285">
        <v>0</v>
      </c>
      <c r="CG1285">
        <v>1</v>
      </c>
      <c r="CH1285">
        <v>0</v>
      </c>
      <c r="CI1285">
        <v>0</v>
      </c>
      <c r="CJ1285">
        <v>0</v>
      </c>
      <c r="CK1285">
        <v>2</v>
      </c>
      <c r="CL1285">
        <v>0</v>
      </c>
      <c r="CM1285">
        <v>2</v>
      </c>
      <c r="CN1285">
        <v>0</v>
      </c>
      <c r="CO1285">
        <v>6</v>
      </c>
      <c r="CP1285" t="s">
        <v>119</v>
      </c>
      <c r="CQ1285">
        <v>180</v>
      </c>
      <c r="CR1285">
        <v>1</v>
      </c>
      <c r="CW1285">
        <v>10699180</v>
      </c>
      <c r="CY1285">
        <v>1</v>
      </c>
      <c r="CZ1285">
        <v>0</v>
      </c>
      <c r="DA1285">
        <v>1</v>
      </c>
      <c r="DB1285">
        <v>0</v>
      </c>
      <c r="DC1285">
        <v>0</v>
      </c>
      <c r="DD1285">
        <v>0</v>
      </c>
      <c r="DE1285">
        <v>0</v>
      </c>
      <c r="DF1285">
        <v>0</v>
      </c>
      <c r="DG1285">
        <v>0</v>
      </c>
      <c r="DH1285">
        <v>0</v>
      </c>
      <c r="DI1285">
        <v>0</v>
      </c>
    </row>
    <row r="1286" spans="1:113" x14ac:dyDescent="0.3">
      <c r="A1286" t="str">
        <f>"02/08/2021 20:19:22.819"</f>
        <v>02/08/2021 20:19:22.819</v>
      </c>
      <c r="C1286" t="str">
        <f t="shared" si="59"/>
        <v>FFDFD7C0</v>
      </c>
      <c r="D1286" t="s">
        <v>124</v>
      </c>
      <c r="E1286">
        <v>12</v>
      </c>
      <c r="F1286">
        <v>1012</v>
      </c>
      <c r="G1286" t="s">
        <v>675</v>
      </c>
      <c r="J1286" t="s">
        <v>125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>"20:19:25.102"</f>
        <v>20:19:25.102</v>
      </c>
      <c r="T1286" t="str">
        <f>"20:19:24.702"</f>
        <v>20:19:24.702</v>
      </c>
      <c r="U1286" t="str">
        <f t="shared" si="61"/>
        <v>AB01F4</v>
      </c>
      <c r="V1286">
        <v>0</v>
      </c>
      <c r="W1286">
        <v>0</v>
      </c>
      <c r="X1286">
        <v>2</v>
      </c>
      <c r="Z1286">
        <v>0</v>
      </c>
      <c r="AA1286">
        <v>9</v>
      </c>
      <c r="AB1286">
        <v>3</v>
      </c>
      <c r="AC1286">
        <v>0</v>
      </c>
      <c r="AD1286">
        <v>10</v>
      </c>
      <c r="AE1286">
        <v>0</v>
      </c>
      <c r="AF1286">
        <v>3</v>
      </c>
      <c r="AG1286">
        <v>2</v>
      </c>
      <c r="AH1286">
        <v>0</v>
      </c>
      <c r="AI1286" t="s">
        <v>911</v>
      </c>
      <c r="AJ1286">
        <v>39.768877000000003</v>
      </c>
      <c r="AK1286" t="s">
        <v>910</v>
      </c>
      <c r="AL1286">
        <v>-92.514474000000007</v>
      </c>
      <c r="AM1286">
        <v>100</v>
      </c>
      <c r="AN1286">
        <v>1700</v>
      </c>
      <c r="AO1286" t="s">
        <v>118</v>
      </c>
      <c r="AP1286">
        <v>3</v>
      </c>
      <c r="AQ1286">
        <v>121</v>
      </c>
      <c r="AR1286">
        <v>-64</v>
      </c>
      <c r="AZ1286">
        <v>1200</v>
      </c>
      <c r="BA1286">
        <v>1</v>
      </c>
      <c r="BB1286" t="str">
        <f t="shared" si="60"/>
        <v xml:space="preserve">N8080G  </v>
      </c>
      <c r="BC1286">
        <v>1</v>
      </c>
      <c r="BE1286">
        <v>0</v>
      </c>
      <c r="BF1286">
        <v>0</v>
      </c>
      <c r="BG1286">
        <v>0</v>
      </c>
      <c r="BH1286">
        <v>1675</v>
      </c>
      <c r="BI1286">
        <v>1</v>
      </c>
      <c r="BJ1286">
        <v>1</v>
      </c>
      <c r="BK1286">
        <v>1</v>
      </c>
      <c r="BL1286">
        <v>0</v>
      </c>
      <c r="BO1286">
        <v>0</v>
      </c>
      <c r="BP1286">
        <v>0</v>
      </c>
      <c r="BW1286" t="str">
        <f>"20:19:25.105"</f>
        <v>20:19:25.105</v>
      </c>
      <c r="BZ1286">
        <v>0</v>
      </c>
      <c r="CA1286">
        <v>2016</v>
      </c>
      <c r="CB1286">
        <v>224</v>
      </c>
      <c r="CD1286">
        <v>1</v>
      </c>
      <c r="CE1286">
        <v>0</v>
      </c>
      <c r="CF1286">
        <v>0</v>
      </c>
      <c r="CG1286">
        <v>1</v>
      </c>
      <c r="CH1286">
        <v>0</v>
      </c>
      <c r="CI1286">
        <v>0</v>
      </c>
      <c r="CJ1286">
        <v>0</v>
      </c>
      <c r="CK1286">
        <v>2</v>
      </c>
      <c r="CL1286">
        <v>0</v>
      </c>
      <c r="CM1286">
        <v>2</v>
      </c>
      <c r="CN1286">
        <v>0</v>
      </c>
      <c r="CO1286">
        <v>6</v>
      </c>
      <c r="CP1286" t="s">
        <v>119</v>
      </c>
      <c r="CQ1286">
        <v>180</v>
      </c>
      <c r="CR1286">
        <v>1</v>
      </c>
      <c r="CW1286">
        <v>10699180</v>
      </c>
      <c r="CY1286">
        <v>1</v>
      </c>
      <c r="CZ1286">
        <v>0</v>
      </c>
      <c r="DA1286">
        <v>1</v>
      </c>
      <c r="DB1286">
        <v>0</v>
      </c>
      <c r="DC1286">
        <v>0</v>
      </c>
      <c r="DD1286">
        <v>0</v>
      </c>
      <c r="DE1286">
        <v>0</v>
      </c>
      <c r="DF1286">
        <v>0</v>
      </c>
      <c r="DG1286">
        <v>0</v>
      </c>
      <c r="DH1286">
        <v>0</v>
      </c>
      <c r="DI1286">
        <v>0</v>
      </c>
    </row>
    <row r="1287" spans="1:113" x14ac:dyDescent="0.3">
      <c r="A1287" t="str">
        <f>"02/08/2021 20:19:25.638"</f>
        <v>02/08/2021 20:19:25.638</v>
      </c>
      <c r="C1287" t="str">
        <f t="shared" si="59"/>
        <v>FFDFD7C0</v>
      </c>
      <c r="D1287" t="s">
        <v>124</v>
      </c>
      <c r="E1287">
        <v>13</v>
      </c>
      <c r="F1287">
        <v>1013</v>
      </c>
      <c r="G1287" t="s">
        <v>114</v>
      </c>
      <c r="J1287" t="s">
        <v>125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>"20:19:27.945"</f>
        <v>20:19:27.945</v>
      </c>
      <c r="T1287" t="str">
        <f>"20:19:27.545"</f>
        <v>20:19:27.545</v>
      </c>
      <c r="U1287" t="str">
        <f t="shared" si="61"/>
        <v>AB01F4</v>
      </c>
      <c r="V1287">
        <v>0</v>
      </c>
      <c r="W1287">
        <v>0</v>
      </c>
      <c r="X1287">
        <v>2</v>
      </c>
      <c r="Z1287">
        <v>0</v>
      </c>
      <c r="AA1287">
        <v>9</v>
      </c>
      <c r="AB1287">
        <v>3</v>
      </c>
      <c r="AC1287">
        <v>0</v>
      </c>
      <c r="AD1287">
        <v>10</v>
      </c>
      <c r="AE1287">
        <v>0</v>
      </c>
      <c r="AF1287">
        <v>3</v>
      </c>
      <c r="AG1287">
        <v>2</v>
      </c>
      <c r="AH1287">
        <v>0</v>
      </c>
      <c r="AI1287" t="s">
        <v>912</v>
      </c>
      <c r="AJ1287">
        <v>39.770508</v>
      </c>
      <c r="AK1287" t="s">
        <v>913</v>
      </c>
      <c r="AL1287">
        <v>-92.514431000000002</v>
      </c>
      <c r="AM1287">
        <v>100</v>
      </c>
      <c r="AN1287">
        <v>1700</v>
      </c>
      <c r="AO1287" t="s">
        <v>118</v>
      </c>
      <c r="AP1287">
        <v>-2</v>
      </c>
      <c r="AQ1287">
        <v>121</v>
      </c>
      <c r="AR1287">
        <v>64</v>
      </c>
      <c r="AZ1287">
        <v>1200</v>
      </c>
      <c r="BA1287">
        <v>1</v>
      </c>
      <c r="BB1287" t="str">
        <f t="shared" si="60"/>
        <v xml:space="preserve">N8080G  </v>
      </c>
      <c r="BC1287">
        <v>1</v>
      </c>
      <c r="BE1287">
        <v>0</v>
      </c>
      <c r="BF1287">
        <v>0</v>
      </c>
      <c r="BG1287">
        <v>0</v>
      </c>
      <c r="BH1287">
        <v>1675</v>
      </c>
      <c r="BI1287">
        <v>1</v>
      </c>
      <c r="BJ1287">
        <v>1</v>
      </c>
      <c r="BK1287">
        <v>1</v>
      </c>
      <c r="BL1287">
        <v>0</v>
      </c>
      <c r="BO1287">
        <v>0</v>
      </c>
      <c r="BP1287">
        <v>0</v>
      </c>
      <c r="BW1287" t="str">
        <f>"20:19:27.948"</f>
        <v>20:19:27.948</v>
      </c>
      <c r="BZ1287">
        <v>0</v>
      </c>
      <c r="CA1287">
        <v>2016</v>
      </c>
      <c r="CB1287">
        <v>224</v>
      </c>
      <c r="CD1287">
        <v>1</v>
      </c>
      <c r="CE1287">
        <v>0</v>
      </c>
      <c r="CF1287">
        <v>0</v>
      </c>
      <c r="CG1287">
        <v>1</v>
      </c>
      <c r="CH1287">
        <v>0</v>
      </c>
      <c r="CI1287">
        <v>0</v>
      </c>
      <c r="CJ1287">
        <v>0</v>
      </c>
      <c r="CK1287">
        <v>2</v>
      </c>
      <c r="CL1287">
        <v>0</v>
      </c>
      <c r="CM1287">
        <v>2</v>
      </c>
      <c r="CN1287">
        <v>0</v>
      </c>
      <c r="CO1287">
        <v>7</v>
      </c>
      <c r="CP1287" t="s">
        <v>119</v>
      </c>
      <c r="CQ1287">
        <v>180</v>
      </c>
      <c r="CR1287">
        <v>1</v>
      </c>
      <c r="CW1287">
        <v>10701538</v>
      </c>
      <c r="CY1287">
        <v>1</v>
      </c>
      <c r="CZ1287">
        <v>0</v>
      </c>
      <c r="DA1287">
        <v>0</v>
      </c>
      <c r="DB1287">
        <v>0</v>
      </c>
      <c r="DC1287">
        <v>0</v>
      </c>
      <c r="DD1287">
        <v>0</v>
      </c>
      <c r="DE1287">
        <v>0</v>
      </c>
      <c r="DF1287">
        <v>0</v>
      </c>
      <c r="DG1287">
        <v>0</v>
      </c>
      <c r="DH1287">
        <v>0</v>
      </c>
      <c r="DI1287">
        <v>0</v>
      </c>
    </row>
    <row r="1288" spans="1:113" x14ac:dyDescent="0.3">
      <c r="A1288" t="str">
        <f>"02/08/2021 20:19:25.638"</f>
        <v>02/08/2021 20:19:25.638</v>
      </c>
      <c r="C1288" t="str">
        <f t="shared" si="59"/>
        <v>FFDFD7C0</v>
      </c>
      <c r="D1288" t="s">
        <v>124</v>
      </c>
      <c r="E1288">
        <v>11</v>
      </c>
      <c r="F1288">
        <v>1011</v>
      </c>
      <c r="G1288" t="s">
        <v>590</v>
      </c>
      <c r="J1288" t="s">
        <v>125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>"20:19:27.945"</f>
        <v>20:19:27.945</v>
      </c>
      <c r="T1288" t="str">
        <f>"20:19:27.545"</f>
        <v>20:19:27.545</v>
      </c>
      <c r="U1288" t="str">
        <f t="shared" si="61"/>
        <v>AB01F4</v>
      </c>
      <c r="V1288">
        <v>0</v>
      </c>
      <c r="W1288">
        <v>0</v>
      </c>
      <c r="X1288">
        <v>2</v>
      </c>
      <c r="Z1288">
        <v>0</v>
      </c>
      <c r="AA1288">
        <v>9</v>
      </c>
      <c r="AB1288">
        <v>3</v>
      </c>
      <c r="AC1288">
        <v>0</v>
      </c>
      <c r="AD1288">
        <v>10</v>
      </c>
      <c r="AE1288">
        <v>0</v>
      </c>
      <c r="AF1288">
        <v>3</v>
      </c>
      <c r="AG1288">
        <v>2</v>
      </c>
      <c r="AH1288">
        <v>0</v>
      </c>
      <c r="AI1288" t="s">
        <v>912</v>
      </c>
      <c r="AJ1288">
        <v>39.770508</v>
      </c>
      <c r="AK1288" t="s">
        <v>913</v>
      </c>
      <c r="AL1288">
        <v>-92.514431000000002</v>
      </c>
      <c r="AM1288">
        <v>100</v>
      </c>
      <c r="AN1288">
        <v>1700</v>
      </c>
      <c r="AO1288" t="s">
        <v>118</v>
      </c>
      <c r="AP1288">
        <v>-2</v>
      </c>
      <c r="AQ1288">
        <v>121</v>
      </c>
      <c r="AR1288">
        <v>64</v>
      </c>
      <c r="AZ1288">
        <v>1200</v>
      </c>
      <c r="BA1288">
        <v>1</v>
      </c>
      <c r="BB1288" t="str">
        <f t="shared" si="60"/>
        <v xml:space="preserve">N8080G  </v>
      </c>
      <c r="BC1288">
        <v>1</v>
      </c>
      <c r="BE1288">
        <v>0</v>
      </c>
      <c r="BF1288">
        <v>0</v>
      </c>
      <c r="BG1288">
        <v>0</v>
      </c>
      <c r="BH1288">
        <v>1675</v>
      </c>
      <c r="BI1288">
        <v>1</v>
      </c>
      <c r="BJ1288">
        <v>1</v>
      </c>
      <c r="BK1288">
        <v>1</v>
      </c>
      <c r="BL1288">
        <v>0</v>
      </c>
      <c r="BO1288">
        <v>0</v>
      </c>
      <c r="BP1288">
        <v>0</v>
      </c>
      <c r="BW1288" t="str">
        <f>"20:19:27.948"</f>
        <v>20:19:27.948</v>
      </c>
      <c r="BZ1288">
        <v>0</v>
      </c>
      <c r="CA1288">
        <v>2016</v>
      </c>
      <c r="CB1288">
        <v>224</v>
      </c>
      <c r="CD1288">
        <v>1</v>
      </c>
      <c r="CE1288">
        <v>0</v>
      </c>
      <c r="CF1288">
        <v>0</v>
      </c>
      <c r="CG1288">
        <v>1</v>
      </c>
      <c r="CH1288">
        <v>0</v>
      </c>
      <c r="CI1288">
        <v>0</v>
      </c>
      <c r="CJ1288">
        <v>0</v>
      </c>
      <c r="CK1288">
        <v>2</v>
      </c>
      <c r="CL1288">
        <v>0</v>
      </c>
      <c r="CM1288">
        <v>2</v>
      </c>
      <c r="CN1288">
        <v>0</v>
      </c>
      <c r="CO1288">
        <v>7</v>
      </c>
      <c r="CP1288" t="s">
        <v>119</v>
      </c>
      <c r="CQ1288">
        <v>180</v>
      </c>
      <c r="CR1288">
        <v>1</v>
      </c>
      <c r="CW1288">
        <v>10701538</v>
      </c>
      <c r="CY1288">
        <v>1</v>
      </c>
      <c r="CZ1288">
        <v>0</v>
      </c>
      <c r="DA1288">
        <v>1</v>
      </c>
      <c r="DB1288">
        <v>0</v>
      </c>
      <c r="DC1288">
        <v>0</v>
      </c>
      <c r="DD1288">
        <v>0</v>
      </c>
      <c r="DE1288">
        <v>0</v>
      </c>
      <c r="DF1288">
        <v>0</v>
      </c>
      <c r="DG1288">
        <v>0</v>
      </c>
      <c r="DH1288">
        <v>0</v>
      </c>
      <c r="DI1288">
        <v>0</v>
      </c>
    </row>
    <row r="1289" spans="1:113" x14ac:dyDescent="0.3">
      <c r="A1289" t="str">
        <f>"02/08/2021 20:19:25.638"</f>
        <v>02/08/2021 20:19:25.638</v>
      </c>
      <c r="C1289" t="str">
        <f t="shared" ref="C1289:C1352" si="62">"FFDFD7C0"</f>
        <v>FFDFD7C0</v>
      </c>
      <c r="D1289" t="s">
        <v>113</v>
      </c>
      <c r="E1289">
        <v>6</v>
      </c>
      <c r="H1289">
        <v>165</v>
      </c>
      <c r="I1289" t="s">
        <v>114</v>
      </c>
      <c r="J1289" t="s">
        <v>115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>"20:19:27.945"</f>
        <v>20:19:27.945</v>
      </c>
      <c r="T1289" t="str">
        <f>"20:19:27.545"</f>
        <v>20:19:27.545</v>
      </c>
      <c r="U1289" t="str">
        <f t="shared" si="61"/>
        <v>AB01F4</v>
      </c>
      <c r="V1289">
        <v>0</v>
      </c>
      <c r="W1289">
        <v>0</v>
      </c>
      <c r="X1289">
        <v>2</v>
      </c>
      <c r="Z1289">
        <v>0</v>
      </c>
      <c r="AA1289">
        <v>9</v>
      </c>
      <c r="AB1289">
        <v>3</v>
      </c>
      <c r="AC1289">
        <v>0</v>
      </c>
      <c r="AD1289">
        <v>10</v>
      </c>
      <c r="AE1289">
        <v>0</v>
      </c>
      <c r="AF1289">
        <v>3</v>
      </c>
      <c r="AG1289">
        <v>2</v>
      </c>
      <c r="AH1289">
        <v>0</v>
      </c>
      <c r="AI1289" t="s">
        <v>912</v>
      </c>
      <c r="AJ1289">
        <v>39.770508</v>
      </c>
      <c r="AK1289" t="s">
        <v>913</v>
      </c>
      <c r="AL1289">
        <v>-92.514431000000002</v>
      </c>
      <c r="AM1289">
        <v>100</v>
      </c>
      <c r="AN1289">
        <v>1700</v>
      </c>
      <c r="AO1289" t="s">
        <v>118</v>
      </c>
      <c r="AP1289">
        <v>-2</v>
      </c>
      <c r="AQ1289">
        <v>121</v>
      </c>
      <c r="AR1289">
        <v>64</v>
      </c>
      <c r="AZ1289">
        <v>1200</v>
      </c>
      <c r="BA1289">
        <v>1</v>
      </c>
      <c r="BB1289" t="str">
        <f t="shared" si="60"/>
        <v xml:space="preserve">N8080G  </v>
      </c>
      <c r="BC1289">
        <v>1</v>
      </c>
      <c r="BE1289">
        <v>0</v>
      </c>
      <c r="BF1289">
        <v>0</v>
      </c>
      <c r="BG1289">
        <v>0</v>
      </c>
      <c r="BH1289">
        <v>1675</v>
      </c>
      <c r="BI1289">
        <v>1</v>
      </c>
      <c r="BJ1289">
        <v>1</v>
      </c>
      <c r="BK1289">
        <v>1</v>
      </c>
      <c r="BL1289">
        <v>0</v>
      </c>
      <c r="BO1289">
        <v>0</v>
      </c>
      <c r="BP1289">
        <v>0</v>
      </c>
      <c r="BW1289" t="str">
        <f>"20:19:27.948"</f>
        <v>20:19:27.948</v>
      </c>
      <c r="BZ1289">
        <v>0</v>
      </c>
      <c r="CA1289">
        <v>2016</v>
      </c>
      <c r="CB1289">
        <v>224</v>
      </c>
      <c r="CD1289">
        <v>1</v>
      </c>
      <c r="CE1289">
        <v>0</v>
      </c>
      <c r="CF1289">
        <v>0</v>
      </c>
      <c r="CG1289">
        <v>1</v>
      </c>
      <c r="CH1289">
        <v>0</v>
      </c>
      <c r="CI1289">
        <v>0</v>
      </c>
      <c r="CJ1289">
        <v>0</v>
      </c>
      <c r="CK1289">
        <v>2</v>
      </c>
      <c r="CL1289">
        <v>0</v>
      </c>
      <c r="CM1289">
        <v>2</v>
      </c>
      <c r="CN1289">
        <v>0</v>
      </c>
      <c r="CO1289">
        <v>7</v>
      </c>
      <c r="CP1289" t="s">
        <v>119</v>
      </c>
      <c r="CQ1289">
        <v>180</v>
      </c>
      <c r="CR1289">
        <v>1</v>
      </c>
      <c r="CW1289">
        <v>10701538</v>
      </c>
      <c r="CY1289">
        <v>1</v>
      </c>
      <c r="CZ1289">
        <v>0</v>
      </c>
      <c r="DA1289">
        <v>1</v>
      </c>
      <c r="DB1289">
        <v>0</v>
      </c>
      <c r="DC1289">
        <v>0</v>
      </c>
      <c r="DD1289">
        <v>0</v>
      </c>
      <c r="DE1289">
        <v>0</v>
      </c>
      <c r="DF1289">
        <v>0</v>
      </c>
      <c r="DG1289">
        <v>0</v>
      </c>
      <c r="DH1289">
        <v>0</v>
      </c>
      <c r="DI1289">
        <v>0</v>
      </c>
    </row>
    <row r="1290" spans="1:113" x14ac:dyDescent="0.3">
      <c r="A1290" t="str">
        <f>"02/08/2021 20:19:25.638"</f>
        <v>02/08/2021 20:19:25.638</v>
      </c>
      <c r="C1290" t="str">
        <f t="shared" si="62"/>
        <v>FFDFD7C0</v>
      </c>
      <c r="D1290" t="s">
        <v>124</v>
      </c>
      <c r="E1290">
        <v>12</v>
      </c>
      <c r="F1290">
        <v>1012</v>
      </c>
      <c r="G1290" t="s">
        <v>675</v>
      </c>
      <c r="J1290" t="s">
        <v>125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>"20:19:27.945"</f>
        <v>20:19:27.945</v>
      </c>
      <c r="T1290" t="str">
        <f>"20:19:27.545"</f>
        <v>20:19:27.545</v>
      </c>
      <c r="U1290" t="str">
        <f t="shared" si="61"/>
        <v>AB01F4</v>
      </c>
      <c r="V1290">
        <v>0</v>
      </c>
      <c r="W1290">
        <v>0</v>
      </c>
      <c r="X1290">
        <v>2</v>
      </c>
      <c r="Z1290">
        <v>0</v>
      </c>
      <c r="AA1290">
        <v>9</v>
      </c>
      <c r="AB1290">
        <v>3</v>
      </c>
      <c r="AC1290">
        <v>0</v>
      </c>
      <c r="AD1290">
        <v>10</v>
      </c>
      <c r="AE1290">
        <v>0</v>
      </c>
      <c r="AF1290">
        <v>3</v>
      </c>
      <c r="AG1290">
        <v>2</v>
      </c>
      <c r="AH1290">
        <v>0</v>
      </c>
      <c r="AI1290" t="s">
        <v>912</v>
      </c>
      <c r="AJ1290">
        <v>39.770508</v>
      </c>
      <c r="AK1290" t="s">
        <v>913</v>
      </c>
      <c r="AL1290">
        <v>-92.514431000000002</v>
      </c>
      <c r="AM1290">
        <v>100</v>
      </c>
      <c r="AN1290">
        <v>1700</v>
      </c>
      <c r="AO1290" t="s">
        <v>118</v>
      </c>
      <c r="AP1290">
        <v>-2</v>
      </c>
      <c r="AQ1290">
        <v>121</v>
      </c>
      <c r="AR1290">
        <v>64</v>
      </c>
      <c r="AZ1290">
        <v>1200</v>
      </c>
      <c r="BA1290">
        <v>1</v>
      </c>
      <c r="BB1290" t="str">
        <f t="shared" si="60"/>
        <v xml:space="preserve">N8080G  </v>
      </c>
      <c r="BC1290">
        <v>1</v>
      </c>
      <c r="BE1290">
        <v>0</v>
      </c>
      <c r="BF1290">
        <v>0</v>
      </c>
      <c r="BG1290">
        <v>0</v>
      </c>
      <c r="BH1290">
        <v>1675</v>
      </c>
      <c r="BI1290">
        <v>1</v>
      </c>
      <c r="BJ1290">
        <v>1</v>
      </c>
      <c r="BK1290">
        <v>1</v>
      </c>
      <c r="BL1290">
        <v>0</v>
      </c>
      <c r="BO1290">
        <v>0</v>
      </c>
      <c r="BP1290">
        <v>0</v>
      </c>
      <c r="BW1290" t="str">
        <f>"20:19:27.948"</f>
        <v>20:19:27.948</v>
      </c>
      <c r="BZ1290">
        <v>0</v>
      </c>
      <c r="CA1290">
        <v>2016</v>
      </c>
      <c r="CB1290">
        <v>224</v>
      </c>
      <c r="CD1290">
        <v>1</v>
      </c>
      <c r="CE1290">
        <v>0</v>
      </c>
      <c r="CF1290">
        <v>0</v>
      </c>
      <c r="CG1290">
        <v>1</v>
      </c>
      <c r="CH1290">
        <v>0</v>
      </c>
      <c r="CI1290">
        <v>0</v>
      </c>
      <c r="CJ1290">
        <v>0</v>
      </c>
      <c r="CK1290">
        <v>2</v>
      </c>
      <c r="CL1290">
        <v>0</v>
      </c>
      <c r="CM1290">
        <v>2</v>
      </c>
      <c r="CN1290">
        <v>0</v>
      </c>
      <c r="CO1290">
        <v>7</v>
      </c>
      <c r="CP1290" t="s">
        <v>119</v>
      </c>
      <c r="CQ1290">
        <v>180</v>
      </c>
      <c r="CR1290">
        <v>1</v>
      </c>
      <c r="CW1290">
        <v>10701538</v>
      </c>
      <c r="CY1290">
        <v>1</v>
      </c>
      <c r="CZ1290">
        <v>0</v>
      </c>
      <c r="DA1290">
        <v>1</v>
      </c>
      <c r="DB1290">
        <v>0</v>
      </c>
      <c r="DC1290">
        <v>0</v>
      </c>
      <c r="DD1290">
        <v>0</v>
      </c>
      <c r="DE1290">
        <v>0</v>
      </c>
      <c r="DF1290">
        <v>0</v>
      </c>
      <c r="DG1290">
        <v>0</v>
      </c>
      <c r="DH1290">
        <v>0</v>
      </c>
      <c r="DI1290">
        <v>0</v>
      </c>
    </row>
    <row r="1291" spans="1:113" x14ac:dyDescent="0.3">
      <c r="A1291" t="str">
        <f>"02/08/2021 20:19:27.097"</f>
        <v>02/08/2021 20:19:27.097</v>
      </c>
      <c r="C1291" t="str">
        <f t="shared" si="62"/>
        <v>FFDFD7C0</v>
      </c>
      <c r="D1291" t="s">
        <v>124</v>
      </c>
      <c r="E1291">
        <v>13</v>
      </c>
      <c r="F1291">
        <v>1013</v>
      </c>
      <c r="G1291" t="s">
        <v>114</v>
      </c>
      <c r="J1291" t="s">
        <v>125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>"20:19:29.398"</f>
        <v>20:19:29.398</v>
      </c>
      <c r="T1291" t="str">
        <f>"20:19:28.898"</f>
        <v>20:19:28.898</v>
      </c>
      <c r="U1291" t="str">
        <f t="shared" si="61"/>
        <v>AB01F4</v>
      </c>
      <c r="V1291">
        <v>0</v>
      </c>
      <c r="W1291">
        <v>0</v>
      </c>
      <c r="X1291">
        <v>2</v>
      </c>
      <c r="Z1291">
        <v>0</v>
      </c>
      <c r="AA1291">
        <v>9</v>
      </c>
      <c r="AB1291">
        <v>3</v>
      </c>
      <c r="AC1291">
        <v>0</v>
      </c>
      <c r="AD1291">
        <v>10</v>
      </c>
      <c r="AE1291">
        <v>0</v>
      </c>
      <c r="AF1291">
        <v>3</v>
      </c>
      <c r="AG1291">
        <v>2</v>
      </c>
      <c r="AH1291">
        <v>0</v>
      </c>
      <c r="AI1291" t="s">
        <v>914</v>
      </c>
      <c r="AJ1291">
        <v>39.771279999999997</v>
      </c>
      <c r="AK1291" t="s">
        <v>908</v>
      </c>
      <c r="AL1291">
        <v>-92.514495999999994</v>
      </c>
      <c r="AM1291">
        <v>100</v>
      </c>
      <c r="AN1291">
        <v>1700</v>
      </c>
      <c r="AO1291" t="s">
        <v>118</v>
      </c>
      <c r="AP1291">
        <v>-4</v>
      </c>
      <c r="AQ1291">
        <v>121</v>
      </c>
      <c r="AR1291">
        <v>64</v>
      </c>
      <c r="AZ1291">
        <v>1200</v>
      </c>
      <c r="BA1291">
        <v>1</v>
      </c>
      <c r="BB1291" t="str">
        <f t="shared" si="60"/>
        <v xml:space="preserve">N8080G  </v>
      </c>
      <c r="BC1291">
        <v>1</v>
      </c>
      <c r="BE1291">
        <v>0</v>
      </c>
      <c r="BF1291">
        <v>0</v>
      </c>
      <c r="BG1291">
        <v>0</v>
      </c>
      <c r="BH1291">
        <v>1675</v>
      </c>
      <c r="BI1291">
        <v>1</v>
      </c>
      <c r="BJ1291">
        <v>1</v>
      </c>
      <c r="BK1291">
        <v>1</v>
      </c>
      <c r="BL1291">
        <v>0</v>
      </c>
      <c r="BO1291">
        <v>0</v>
      </c>
      <c r="BP1291">
        <v>0</v>
      </c>
      <c r="BW1291" t="str">
        <f>"20:19:29.405"</f>
        <v>20:19:29.405</v>
      </c>
      <c r="BZ1291">
        <v>0</v>
      </c>
      <c r="CA1291">
        <v>2016</v>
      </c>
      <c r="CB1291">
        <v>224</v>
      </c>
      <c r="CD1291">
        <v>1</v>
      </c>
      <c r="CE1291">
        <v>0</v>
      </c>
      <c r="CF1291">
        <v>0</v>
      </c>
      <c r="CG1291">
        <v>1</v>
      </c>
      <c r="CH1291">
        <v>0</v>
      </c>
      <c r="CI1291">
        <v>0</v>
      </c>
      <c r="CJ1291">
        <v>0</v>
      </c>
      <c r="CK1291">
        <v>2</v>
      </c>
      <c r="CL1291">
        <v>0</v>
      </c>
      <c r="CM1291">
        <v>2</v>
      </c>
      <c r="CN1291">
        <v>0</v>
      </c>
      <c r="CO1291">
        <v>7</v>
      </c>
      <c r="CP1291" t="s">
        <v>119</v>
      </c>
      <c r="CQ1291">
        <v>180</v>
      </c>
      <c r="CR1291">
        <v>2</v>
      </c>
      <c r="CW1291">
        <v>8139229</v>
      </c>
      <c r="CY1291">
        <v>1</v>
      </c>
      <c r="CZ1291">
        <v>0</v>
      </c>
      <c r="DA1291">
        <v>0</v>
      </c>
      <c r="DB1291">
        <v>0</v>
      </c>
      <c r="DC1291">
        <v>0</v>
      </c>
      <c r="DD1291">
        <v>0</v>
      </c>
      <c r="DE1291">
        <v>0</v>
      </c>
      <c r="DF1291">
        <v>0</v>
      </c>
      <c r="DG1291">
        <v>0</v>
      </c>
      <c r="DH1291">
        <v>0</v>
      </c>
      <c r="DI1291">
        <v>0</v>
      </c>
    </row>
    <row r="1292" spans="1:113" x14ac:dyDescent="0.3">
      <c r="A1292" t="str">
        <f>"02/08/2021 20:19:27.097"</f>
        <v>02/08/2021 20:19:27.097</v>
      </c>
      <c r="C1292" t="str">
        <f t="shared" si="62"/>
        <v>FFDFD7C0</v>
      </c>
      <c r="D1292" t="s">
        <v>124</v>
      </c>
      <c r="E1292">
        <v>11</v>
      </c>
      <c r="F1292">
        <v>1011</v>
      </c>
      <c r="G1292" t="s">
        <v>590</v>
      </c>
      <c r="J1292" t="s">
        <v>125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>"20:19:29.398"</f>
        <v>20:19:29.398</v>
      </c>
      <c r="T1292" t="str">
        <f>"20:19:28.898"</f>
        <v>20:19:28.898</v>
      </c>
      <c r="U1292" t="str">
        <f t="shared" si="61"/>
        <v>AB01F4</v>
      </c>
      <c r="V1292">
        <v>0</v>
      </c>
      <c r="W1292">
        <v>0</v>
      </c>
      <c r="X1292">
        <v>2</v>
      </c>
      <c r="Z1292">
        <v>0</v>
      </c>
      <c r="AA1292">
        <v>9</v>
      </c>
      <c r="AB1292">
        <v>3</v>
      </c>
      <c r="AC1292">
        <v>0</v>
      </c>
      <c r="AD1292">
        <v>10</v>
      </c>
      <c r="AE1292">
        <v>0</v>
      </c>
      <c r="AF1292">
        <v>3</v>
      </c>
      <c r="AG1292">
        <v>2</v>
      </c>
      <c r="AH1292">
        <v>0</v>
      </c>
      <c r="AI1292" t="s">
        <v>914</v>
      </c>
      <c r="AJ1292">
        <v>39.771279999999997</v>
      </c>
      <c r="AK1292" t="s">
        <v>908</v>
      </c>
      <c r="AL1292">
        <v>-92.514495999999994</v>
      </c>
      <c r="AM1292">
        <v>100</v>
      </c>
      <c r="AN1292">
        <v>1700</v>
      </c>
      <c r="AO1292" t="s">
        <v>118</v>
      </c>
      <c r="AP1292">
        <v>-4</v>
      </c>
      <c r="AQ1292">
        <v>121</v>
      </c>
      <c r="AR1292">
        <v>64</v>
      </c>
      <c r="AZ1292">
        <v>1200</v>
      </c>
      <c r="BA1292">
        <v>1</v>
      </c>
      <c r="BB1292" t="str">
        <f t="shared" si="60"/>
        <v xml:space="preserve">N8080G  </v>
      </c>
      <c r="BC1292">
        <v>1</v>
      </c>
      <c r="BE1292">
        <v>0</v>
      </c>
      <c r="BF1292">
        <v>0</v>
      </c>
      <c r="BG1292">
        <v>0</v>
      </c>
      <c r="BH1292">
        <v>1675</v>
      </c>
      <c r="BI1292">
        <v>1</v>
      </c>
      <c r="BJ1292">
        <v>1</v>
      </c>
      <c r="BK1292">
        <v>1</v>
      </c>
      <c r="BL1292">
        <v>0</v>
      </c>
      <c r="BO1292">
        <v>0</v>
      </c>
      <c r="BP1292">
        <v>0</v>
      </c>
      <c r="BW1292" t="str">
        <f>"20:19:29.405"</f>
        <v>20:19:29.405</v>
      </c>
      <c r="BZ1292">
        <v>0</v>
      </c>
      <c r="CA1292">
        <v>2016</v>
      </c>
      <c r="CB1292">
        <v>224</v>
      </c>
      <c r="CD1292">
        <v>1</v>
      </c>
      <c r="CE1292">
        <v>0</v>
      </c>
      <c r="CF1292">
        <v>0</v>
      </c>
      <c r="CG1292">
        <v>1</v>
      </c>
      <c r="CH1292">
        <v>0</v>
      </c>
      <c r="CI1292">
        <v>0</v>
      </c>
      <c r="CJ1292">
        <v>0</v>
      </c>
      <c r="CK1292">
        <v>2</v>
      </c>
      <c r="CL1292">
        <v>0</v>
      </c>
      <c r="CM1292">
        <v>2</v>
      </c>
      <c r="CN1292">
        <v>0</v>
      </c>
      <c r="CO1292">
        <v>7</v>
      </c>
      <c r="CP1292" t="s">
        <v>119</v>
      </c>
      <c r="CQ1292">
        <v>180</v>
      </c>
      <c r="CR1292">
        <v>2</v>
      </c>
      <c r="CW1292">
        <v>8139229</v>
      </c>
      <c r="CY1292">
        <v>1</v>
      </c>
      <c r="CZ1292">
        <v>0</v>
      </c>
      <c r="DA1292">
        <v>1</v>
      </c>
      <c r="DB1292">
        <v>0</v>
      </c>
      <c r="DC1292">
        <v>0</v>
      </c>
      <c r="DD1292">
        <v>0</v>
      </c>
      <c r="DE1292">
        <v>0</v>
      </c>
      <c r="DF1292">
        <v>0</v>
      </c>
      <c r="DG1292">
        <v>0</v>
      </c>
      <c r="DH1292">
        <v>0</v>
      </c>
      <c r="DI1292">
        <v>0</v>
      </c>
    </row>
    <row r="1293" spans="1:113" x14ac:dyDescent="0.3">
      <c r="A1293" t="str">
        <f>"02/08/2021 20:19:27.097"</f>
        <v>02/08/2021 20:19:27.097</v>
      </c>
      <c r="C1293" t="str">
        <f t="shared" si="62"/>
        <v>FFDFD7C0</v>
      </c>
      <c r="D1293" t="s">
        <v>113</v>
      </c>
      <c r="E1293">
        <v>6</v>
      </c>
      <c r="H1293">
        <v>165</v>
      </c>
      <c r="I1293" t="s">
        <v>114</v>
      </c>
      <c r="J1293" t="s">
        <v>115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>"20:19:29.398"</f>
        <v>20:19:29.398</v>
      </c>
      <c r="T1293" t="str">
        <f>"20:19:28.898"</f>
        <v>20:19:28.898</v>
      </c>
      <c r="U1293" t="str">
        <f t="shared" si="61"/>
        <v>AB01F4</v>
      </c>
      <c r="V1293">
        <v>0</v>
      </c>
      <c r="W1293">
        <v>0</v>
      </c>
      <c r="X1293">
        <v>2</v>
      </c>
      <c r="Z1293">
        <v>0</v>
      </c>
      <c r="AA1293">
        <v>9</v>
      </c>
      <c r="AB1293">
        <v>3</v>
      </c>
      <c r="AC1293">
        <v>0</v>
      </c>
      <c r="AD1293">
        <v>10</v>
      </c>
      <c r="AE1293">
        <v>0</v>
      </c>
      <c r="AF1293">
        <v>3</v>
      </c>
      <c r="AG1293">
        <v>2</v>
      </c>
      <c r="AH1293">
        <v>0</v>
      </c>
      <c r="AI1293" t="s">
        <v>914</v>
      </c>
      <c r="AJ1293">
        <v>39.771279999999997</v>
      </c>
      <c r="AK1293" t="s">
        <v>908</v>
      </c>
      <c r="AL1293">
        <v>-92.514495999999994</v>
      </c>
      <c r="AM1293">
        <v>100</v>
      </c>
      <c r="AN1293">
        <v>1700</v>
      </c>
      <c r="AO1293" t="s">
        <v>118</v>
      </c>
      <c r="AP1293">
        <v>-4</v>
      </c>
      <c r="AQ1293">
        <v>121</v>
      </c>
      <c r="AR1293">
        <v>64</v>
      </c>
      <c r="AZ1293">
        <v>1200</v>
      </c>
      <c r="BA1293">
        <v>1</v>
      </c>
      <c r="BB1293" t="str">
        <f t="shared" si="60"/>
        <v xml:space="preserve">N8080G  </v>
      </c>
      <c r="BC1293">
        <v>1</v>
      </c>
      <c r="BE1293">
        <v>0</v>
      </c>
      <c r="BF1293">
        <v>0</v>
      </c>
      <c r="BG1293">
        <v>0</v>
      </c>
      <c r="BH1293">
        <v>1675</v>
      </c>
      <c r="BI1293">
        <v>1</v>
      </c>
      <c r="BJ1293">
        <v>1</v>
      </c>
      <c r="BK1293">
        <v>1</v>
      </c>
      <c r="BL1293">
        <v>0</v>
      </c>
      <c r="BO1293">
        <v>0</v>
      </c>
      <c r="BP1293">
        <v>0</v>
      </c>
      <c r="BW1293" t="str">
        <f>"20:19:29.405"</f>
        <v>20:19:29.405</v>
      </c>
      <c r="BZ1293">
        <v>0</v>
      </c>
      <c r="CA1293">
        <v>2016</v>
      </c>
      <c r="CB1293">
        <v>224</v>
      </c>
      <c r="CD1293">
        <v>1</v>
      </c>
      <c r="CE1293">
        <v>0</v>
      </c>
      <c r="CF1293">
        <v>0</v>
      </c>
      <c r="CG1293">
        <v>1</v>
      </c>
      <c r="CH1293">
        <v>0</v>
      </c>
      <c r="CI1293">
        <v>0</v>
      </c>
      <c r="CJ1293">
        <v>0</v>
      </c>
      <c r="CK1293">
        <v>2</v>
      </c>
      <c r="CL1293">
        <v>0</v>
      </c>
      <c r="CM1293">
        <v>2</v>
      </c>
      <c r="CN1293">
        <v>0</v>
      </c>
      <c r="CO1293">
        <v>7</v>
      </c>
      <c r="CP1293" t="s">
        <v>119</v>
      </c>
      <c r="CQ1293">
        <v>180</v>
      </c>
      <c r="CR1293">
        <v>2</v>
      </c>
      <c r="CW1293">
        <v>8139229</v>
      </c>
      <c r="CY1293">
        <v>1</v>
      </c>
      <c r="CZ1293">
        <v>0</v>
      </c>
      <c r="DA1293">
        <v>1</v>
      </c>
      <c r="DB1293">
        <v>0</v>
      </c>
      <c r="DC1293">
        <v>0</v>
      </c>
      <c r="DD1293">
        <v>0</v>
      </c>
      <c r="DE1293">
        <v>0</v>
      </c>
      <c r="DF1293">
        <v>0</v>
      </c>
      <c r="DG1293">
        <v>0</v>
      </c>
      <c r="DH1293">
        <v>0</v>
      </c>
      <c r="DI1293">
        <v>0</v>
      </c>
    </row>
    <row r="1294" spans="1:113" x14ac:dyDescent="0.3">
      <c r="A1294" t="str">
        <f>"02/08/2021 20:19:27.097"</f>
        <v>02/08/2021 20:19:27.097</v>
      </c>
      <c r="C1294" t="str">
        <f t="shared" si="62"/>
        <v>FFDFD7C0</v>
      </c>
      <c r="D1294" t="s">
        <v>124</v>
      </c>
      <c r="E1294">
        <v>12</v>
      </c>
      <c r="F1294">
        <v>1012</v>
      </c>
      <c r="G1294" t="s">
        <v>675</v>
      </c>
      <c r="J1294" t="s">
        <v>125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>"20:19:29.398"</f>
        <v>20:19:29.398</v>
      </c>
      <c r="T1294" t="str">
        <f>"20:19:28.898"</f>
        <v>20:19:28.898</v>
      </c>
      <c r="U1294" t="str">
        <f t="shared" si="61"/>
        <v>AB01F4</v>
      </c>
      <c r="V1294">
        <v>0</v>
      </c>
      <c r="W1294">
        <v>0</v>
      </c>
      <c r="X1294">
        <v>2</v>
      </c>
      <c r="Z1294">
        <v>0</v>
      </c>
      <c r="AA1294">
        <v>9</v>
      </c>
      <c r="AB1294">
        <v>3</v>
      </c>
      <c r="AC1294">
        <v>0</v>
      </c>
      <c r="AD1294">
        <v>10</v>
      </c>
      <c r="AE1294">
        <v>0</v>
      </c>
      <c r="AF1294">
        <v>3</v>
      </c>
      <c r="AG1294">
        <v>2</v>
      </c>
      <c r="AH1294">
        <v>0</v>
      </c>
      <c r="AI1294" t="s">
        <v>914</v>
      </c>
      <c r="AJ1294">
        <v>39.771279999999997</v>
      </c>
      <c r="AK1294" t="s">
        <v>908</v>
      </c>
      <c r="AL1294">
        <v>-92.514495999999994</v>
      </c>
      <c r="AM1294">
        <v>100</v>
      </c>
      <c r="AN1294">
        <v>1700</v>
      </c>
      <c r="AO1294" t="s">
        <v>118</v>
      </c>
      <c r="AP1294">
        <v>-4</v>
      </c>
      <c r="AQ1294">
        <v>121</v>
      </c>
      <c r="AR1294">
        <v>64</v>
      </c>
      <c r="AZ1294">
        <v>1200</v>
      </c>
      <c r="BA1294">
        <v>1</v>
      </c>
      <c r="BB1294" t="str">
        <f t="shared" si="60"/>
        <v xml:space="preserve">N8080G  </v>
      </c>
      <c r="BC1294">
        <v>1</v>
      </c>
      <c r="BE1294">
        <v>0</v>
      </c>
      <c r="BF1294">
        <v>0</v>
      </c>
      <c r="BG1294">
        <v>0</v>
      </c>
      <c r="BH1294">
        <v>1675</v>
      </c>
      <c r="BI1294">
        <v>1</v>
      </c>
      <c r="BJ1294">
        <v>1</v>
      </c>
      <c r="BK1294">
        <v>1</v>
      </c>
      <c r="BL1294">
        <v>0</v>
      </c>
      <c r="BO1294">
        <v>0</v>
      </c>
      <c r="BP1294">
        <v>0</v>
      </c>
      <c r="BW1294" t="str">
        <f>"20:19:29.405"</f>
        <v>20:19:29.405</v>
      </c>
      <c r="BZ1294">
        <v>0</v>
      </c>
      <c r="CA1294">
        <v>2016</v>
      </c>
      <c r="CB1294">
        <v>224</v>
      </c>
      <c r="CD1294">
        <v>1</v>
      </c>
      <c r="CE1294">
        <v>0</v>
      </c>
      <c r="CF1294">
        <v>0</v>
      </c>
      <c r="CG1294">
        <v>1</v>
      </c>
      <c r="CH1294">
        <v>0</v>
      </c>
      <c r="CI1294">
        <v>0</v>
      </c>
      <c r="CJ1294">
        <v>0</v>
      </c>
      <c r="CK1294">
        <v>2</v>
      </c>
      <c r="CL1294">
        <v>0</v>
      </c>
      <c r="CM1294">
        <v>2</v>
      </c>
      <c r="CN1294">
        <v>0</v>
      </c>
      <c r="CO1294">
        <v>7</v>
      </c>
      <c r="CP1294" t="s">
        <v>119</v>
      </c>
      <c r="CQ1294">
        <v>180</v>
      </c>
      <c r="CR1294">
        <v>2</v>
      </c>
      <c r="CW1294">
        <v>8139229</v>
      </c>
      <c r="CY1294">
        <v>1</v>
      </c>
      <c r="CZ1294">
        <v>0</v>
      </c>
      <c r="DA1294">
        <v>1</v>
      </c>
      <c r="DB1294">
        <v>0</v>
      </c>
      <c r="DC1294">
        <v>0</v>
      </c>
      <c r="DD1294">
        <v>0</v>
      </c>
      <c r="DE1294">
        <v>0</v>
      </c>
      <c r="DF1294">
        <v>0</v>
      </c>
      <c r="DG1294">
        <v>0</v>
      </c>
      <c r="DH1294">
        <v>0</v>
      </c>
      <c r="DI1294">
        <v>0</v>
      </c>
    </row>
    <row r="1295" spans="1:113" x14ac:dyDescent="0.3">
      <c r="A1295" t="str">
        <f>"02/08/2021 20:19:28.705"</f>
        <v>02/08/2021 20:19:28.705</v>
      </c>
      <c r="C1295" t="str">
        <f t="shared" si="62"/>
        <v>FFDFD7C0</v>
      </c>
      <c r="D1295" t="s">
        <v>124</v>
      </c>
      <c r="E1295">
        <v>13</v>
      </c>
      <c r="F1295">
        <v>1013</v>
      </c>
      <c r="G1295" t="s">
        <v>114</v>
      </c>
      <c r="J1295" t="s">
        <v>125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>"20:19:31.008"</f>
        <v>20:19:31.008</v>
      </c>
      <c r="T1295" t="str">
        <f>"20:19:30.508"</f>
        <v>20:19:30.508</v>
      </c>
      <c r="U1295" t="str">
        <f t="shared" si="61"/>
        <v>AB01F4</v>
      </c>
      <c r="V1295">
        <v>0</v>
      </c>
      <c r="W1295">
        <v>0</v>
      </c>
      <c r="X1295">
        <v>2</v>
      </c>
      <c r="Z1295">
        <v>0</v>
      </c>
      <c r="AA1295">
        <v>9</v>
      </c>
      <c r="AB1295">
        <v>3</v>
      </c>
      <c r="AC1295">
        <v>0</v>
      </c>
      <c r="AD1295">
        <v>10</v>
      </c>
      <c r="AE1295">
        <v>0</v>
      </c>
      <c r="AF1295">
        <v>3</v>
      </c>
      <c r="AG1295">
        <v>2</v>
      </c>
      <c r="AH1295">
        <v>0</v>
      </c>
      <c r="AI1295" t="s">
        <v>915</v>
      </c>
      <c r="AJ1295">
        <v>39.772266999999999</v>
      </c>
      <c r="AK1295" t="s">
        <v>916</v>
      </c>
      <c r="AL1295">
        <v>-92.514516999999998</v>
      </c>
      <c r="AM1295">
        <v>100</v>
      </c>
      <c r="AN1295">
        <v>1700</v>
      </c>
      <c r="AO1295" t="s">
        <v>118</v>
      </c>
      <c r="AP1295">
        <v>-5</v>
      </c>
      <c r="AQ1295">
        <v>121</v>
      </c>
      <c r="AR1295">
        <v>0</v>
      </c>
      <c r="AZ1295">
        <v>1200</v>
      </c>
      <c r="BA1295">
        <v>1</v>
      </c>
      <c r="BB1295" t="str">
        <f t="shared" ref="BB1295:BB1358" si="63">"N8080G  "</f>
        <v xml:space="preserve">N8080G  </v>
      </c>
      <c r="BC1295">
        <v>1</v>
      </c>
      <c r="BE1295">
        <v>0</v>
      </c>
      <c r="BF1295">
        <v>0</v>
      </c>
      <c r="BG1295">
        <v>0</v>
      </c>
      <c r="BH1295">
        <v>1700</v>
      </c>
      <c r="BI1295">
        <v>1</v>
      </c>
      <c r="BJ1295">
        <v>1</v>
      </c>
      <c r="BK1295">
        <v>1</v>
      </c>
      <c r="BL1295">
        <v>0</v>
      </c>
      <c r="BO1295">
        <v>0</v>
      </c>
      <c r="BP1295">
        <v>0</v>
      </c>
      <c r="BW1295" t="str">
        <f>"20:19:31.015"</f>
        <v>20:19:31.015</v>
      </c>
      <c r="BZ1295">
        <v>0</v>
      </c>
      <c r="CA1295">
        <v>2016</v>
      </c>
      <c r="CB1295">
        <v>224</v>
      </c>
      <c r="CD1295">
        <v>1</v>
      </c>
      <c r="CE1295">
        <v>0</v>
      </c>
      <c r="CF1295">
        <v>0</v>
      </c>
      <c r="CG1295">
        <v>1</v>
      </c>
      <c r="CH1295">
        <v>0</v>
      </c>
      <c r="CI1295">
        <v>0</v>
      </c>
      <c r="CJ1295">
        <v>0</v>
      </c>
      <c r="CK1295">
        <v>2</v>
      </c>
      <c r="CL1295">
        <v>0</v>
      </c>
      <c r="CM1295">
        <v>2</v>
      </c>
      <c r="CN1295">
        <v>0</v>
      </c>
      <c r="CO1295">
        <v>7</v>
      </c>
      <c r="CP1295" t="s">
        <v>119</v>
      </c>
      <c r="CQ1295">
        <v>180</v>
      </c>
      <c r="CR1295">
        <v>1</v>
      </c>
      <c r="CW1295">
        <v>10704078</v>
      </c>
      <c r="CY1295">
        <v>1</v>
      </c>
      <c r="CZ1295">
        <v>0</v>
      </c>
      <c r="DA1295">
        <v>0</v>
      </c>
      <c r="DB1295">
        <v>0</v>
      </c>
      <c r="DC1295">
        <v>0</v>
      </c>
      <c r="DD1295">
        <v>0</v>
      </c>
      <c r="DE1295">
        <v>0</v>
      </c>
      <c r="DF1295">
        <v>0</v>
      </c>
      <c r="DG1295">
        <v>0</v>
      </c>
      <c r="DH1295">
        <v>0</v>
      </c>
      <c r="DI1295">
        <v>0</v>
      </c>
    </row>
    <row r="1296" spans="1:113" x14ac:dyDescent="0.3">
      <c r="A1296" t="str">
        <f>"02/08/2021 20:19:28.705"</f>
        <v>02/08/2021 20:19:28.705</v>
      </c>
      <c r="C1296" t="str">
        <f t="shared" si="62"/>
        <v>FFDFD7C0</v>
      </c>
      <c r="D1296" t="s">
        <v>124</v>
      </c>
      <c r="E1296">
        <v>11</v>
      </c>
      <c r="F1296">
        <v>1011</v>
      </c>
      <c r="G1296" t="s">
        <v>590</v>
      </c>
      <c r="J1296" t="s">
        <v>125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>"20:19:31.008"</f>
        <v>20:19:31.008</v>
      </c>
      <c r="T1296" t="str">
        <f>"20:19:30.508"</f>
        <v>20:19:30.508</v>
      </c>
      <c r="U1296" t="str">
        <f t="shared" si="61"/>
        <v>AB01F4</v>
      </c>
      <c r="V1296">
        <v>0</v>
      </c>
      <c r="W1296">
        <v>0</v>
      </c>
      <c r="X1296">
        <v>2</v>
      </c>
      <c r="Z1296">
        <v>0</v>
      </c>
      <c r="AA1296">
        <v>9</v>
      </c>
      <c r="AB1296">
        <v>3</v>
      </c>
      <c r="AC1296">
        <v>0</v>
      </c>
      <c r="AD1296">
        <v>10</v>
      </c>
      <c r="AE1296">
        <v>0</v>
      </c>
      <c r="AF1296">
        <v>3</v>
      </c>
      <c r="AG1296">
        <v>2</v>
      </c>
      <c r="AH1296">
        <v>0</v>
      </c>
      <c r="AI1296" t="s">
        <v>915</v>
      </c>
      <c r="AJ1296">
        <v>39.772266999999999</v>
      </c>
      <c r="AK1296" t="s">
        <v>916</v>
      </c>
      <c r="AL1296">
        <v>-92.514516999999998</v>
      </c>
      <c r="AM1296">
        <v>100</v>
      </c>
      <c r="AN1296">
        <v>1700</v>
      </c>
      <c r="AO1296" t="s">
        <v>118</v>
      </c>
      <c r="AP1296">
        <v>-5</v>
      </c>
      <c r="AQ1296">
        <v>121</v>
      </c>
      <c r="AR1296">
        <v>0</v>
      </c>
      <c r="AZ1296">
        <v>1200</v>
      </c>
      <c r="BA1296">
        <v>1</v>
      </c>
      <c r="BB1296" t="str">
        <f t="shared" si="63"/>
        <v xml:space="preserve">N8080G  </v>
      </c>
      <c r="BC1296">
        <v>1</v>
      </c>
      <c r="BE1296">
        <v>0</v>
      </c>
      <c r="BF1296">
        <v>0</v>
      </c>
      <c r="BG1296">
        <v>0</v>
      </c>
      <c r="BH1296">
        <v>1700</v>
      </c>
      <c r="BI1296">
        <v>1</v>
      </c>
      <c r="BJ1296">
        <v>1</v>
      </c>
      <c r="BK1296">
        <v>1</v>
      </c>
      <c r="BL1296">
        <v>0</v>
      </c>
      <c r="BO1296">
        <v>0</v>
      </c>
      <c r="BP1296">
        <v>0</v>
      </c>
      <c r="BW1296" t="str">
        <f>"20:19:31.015"</f>
        <v>20:19:31.015</v>
      </c>
      <c r="BZ1296">
        <v>0</v>
      </c>
      <c r="CA1296">
        <v>2016</v>
      </c>
      <c r="CB1296">
        <v>224</v>
      </c>
      <c r="CD1296">
        <v>1</v>
      </c>
      <c r="CE1296">
        <v>0</v>
      </c>
      <c r="CF1296">
        <v>0</v>
      </c>
      <c r="CG1296">
        <v>1</v>
      </c>
      <c r="CH1296">
        <v>0</v>
      </c>
      <c r="CI1296">
        <v>0</v>
      </c>
      <c r="CJ1296">
        <v>0</v>
      </c>
      <c r="CK1296">
        <v>2</v>
      </c>
      <c r="CL1296">
        <v>0</v>
      </c>
      <c r="CM1296">
        <v>2</v>
      </c>
      <c r="CN1296">
        <v>0</v>
      </c>
      <c r="CO1296">
        <v>7</v>
      </c>
      <c r="CP1296" t="s">
        <v>119</v>
      </c>
      <c r="CQ1296">
        <v>180</v>
      </c>
      <c r="CR1296">
        <v>1</v>
      </c>
      <c r="CW1296">
        <v>10704078</v>
      </c>
      <c r="CY1296">
        <v>1</v>
      </c>
      <c r="CZ1296">
        <v>0</v>
      </c>
      <c r="DA1296">
        <v>1</v>
      </c>
      <c r="DB1296">
        <v>0</v>
      </c>
      <c r="DC1296">
        <v>0</v>
      </c>
      <c r="DD1296">
        <v>0</v>
      </c>
      <c r="DE1296">
        <v>0</v>
      </c>
      <c r="DF1296">
        <v>0</v>
      </c>
      <c r="DG1296">
        <v>0</v>
      </c>
      <c r="DH1296">
        <v>0</v>
      </c>
      <c r="DI1296">
        <v>0</v>
      </c>
    </row>
    <row r="1297" spans="1:113" x14ac:dyDescent="0.3">
      <c r="A1297" t="str">
        <f>"02/08/2021 20:19:28.705"</f>
        <v>02/08/2021 20:19:28.705</v>
      </c>
      <c r="C1297" t="str">
        <f t="shared" si="62"/>
        <v>FFDFD7C0</v>
      </c>
      <c r="D1297" t="s">
        <v>113</v>
      </c>
      <c r="E1297">
        <v>6</v>
      </c>
      <c r="H1297">
        <v>165</v>
      </c>
      <c r="I1297" t="s">
        <v>114</v>
      </c>
      <c r="J1297" t="s">
        <v>115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>"20:19:31.008"</f>
        <v>20:19:31.008</v>
      </c>
      <c r="T1297" t="str">
        <f>"20:19:30.508"</f>
        <v>20:19:30.508</v>
      </c>
      <c r="U1297" t="str">
        <f t="shared" si="61"/>
        <v>AB01F4</v>
      </c>
      <c r="V1297">
        <v>0</v>
      </c>
      <c r="W1297">
        <v>0</v>
      </c>
      <c r="X1297">
        <v>2</v>
      </c>
      <c r="Z1297">
        <v>0</v>
      </c>
      <c r="AA1297">
        <v>9</v>
      </c>
      <c r="AB1297">
        <v>3</v>
      </c>
      <c r="AC1297">
        <v>0</v>
      </c>
      <c r="AD1297">
        <v>10</v>
      </c>
      <c r="AE1297">
        <v>0</v>
      </c>
      <c r="AF1297">
        <v>3</v>
      </c>
      <c r="AG1297">
        <v>2</v>
      </c>
      <c r="AH1297">
        <v>0</v>
      </c>
      <c r="AI1297" t="s">
        <v>915</v>
      </c>
      <c r="AJ1297">
        <v>39.772266999999999</v>
      </c>
      <c r="AK1297" t="s">
        <v>916</v>
      </c>
      <c r="AL1297">
        <v>-92.514516999999998</v>
      </c>
      <c r="AM1297">
        <v>100</v>
      </c>
      <c r="AN1297">
        <v>1700</v>
      </c>
      <c r="AO1297" t="s">
        <v>118</v>
      </c>
      <c r="AP1297">
        <v>-5</v>
      </c>
      <c r="AQ1297">
        <v>121</v>
      </c>
      <c r="AR1297">
        <v>0</v>
      </c>
      <c r="AZ1297">
        <v>1200</v>
      </c>
      <c r="BA1297">
        <v>1</v>
      </c>
      <c r="BB1297" t="str">
        <f t="shared" si="63"/>
        <v xml:space="preserve">N8080G  </v>
      </c>
      <c r="BC1297">
        <v>1</v>
      </c>
      <c r="BE1297">
        <v>0</v>
      </c>
      <c r="BF1297">
        <v>0</v>
      </c>
      <c r="BG1297">
        <v>0</v>
      </c>
      <c r="BH1297">
        <v>1700</v>
      </c>
      <c r="BI1297">
        <v>1</v>
      </c>
      <c r="BJ1297">
        <v>1</v>
      </c>
      <c r="BK1297">
        <v>1</v>
      </c>
      <c r="BL1297">
        <v>0</v>
      </c>
      <c r="BO1297">
        <v>0</v>
      </c>
      <c r="BP1297">
        <v>0</v>
      </c>
      <c r="BW1297" t="str">
        <f>"20:19:31.015"</f>
        <v>20:19:31.015</v>
      </c>
      <c r="BZ1297">
        <v>0</v>
      </c>
      <c r="CA1297">
        <v>2016</v>
      </c>
      <c r="CB1297">
        <v>224</v>
      </c>
      <c r="CD1297">
        <v>1</v>
      </c>
      <c r="CE1297">
        <v>0</v>
      </c>
      <c r="CF1297">
        <v>0</v>
      </c>
      <c r="CG1297">
        <v>1</v>
      </c>
      <c r="CH1297">
        <v>0</v>
      </c>
      <c r="CI1297">
        <v>0</v>
      </c>
      <c r="CJ1297">
        <v>0</v>
      </c>
      <c r="CK1297">
        <v>2</v>
      </c>
      <c r="CL1297">
        <v>0</v>
      </c>
      <c r="CM1297">
        <v>2</v>
      </c>
      <c r="CN1297">
        <v>0</v>
      </c>
      <c r="CO1297">
        <v>7</v>
      </c>
      <c r="CP1297" t="s">
        <v>119</v>
      </c>
      <c r="CQ1297">
        <v>180</v>
      </c>
      <c r="CR1297">
        <v>1</v>
      </c>
      <c r="CW1297">
        <v>10704078</v>
      </c>
      <c r="CY1297">
        <v>1</v>
      </c>
      <c r="CZ1297">
        <v>0</v>
      </c>
      <c r="DA1297">
        <v>1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>
        <v>0</v>
      </c>
      <c r="DH1297">
        <v>0</v>
      </c>
      <c r="DI1297">
        <v>0</v>
      </c>
    </row>
    <row r="1298" spans="1:113" x14ac:dyDescent="0.3">
      <c r="A1298" t="str">
        <f>"02/08/2021 20:19:28.705"</f>
        <v>02/08/2021 20:19:28.705</v>
      </c>
      <c r="C1298" t="str">
        <f t="shared" si="62"/>
        <v>FFDFD7C0</v>
      </c>
      <c r="D1298" t="s">
        <v>124</v>
      </c>
      <c r="E1298">
        <v>12</v>
      </c>
      <c r="F1298">
        <v>1012</v>
      </c>
      <c r="G1298" t="s">
        <v>675</v>
      </c>
      <c r="J1298" t="s">
        <v>125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>"20:19:31.008"</f>
        <v>20:19:31.008</v>
      </c>
      <c r="T1298" t="str">
        <f>"20:19:30.508"</f>
        <v>20:19:30.508</v>
      </c>
      <c r="U1298" t="str">
        <f t="shared" si="61"/>
        <v>AB01F4</v>
      </c>
      <c r="V1298">
        <v>0</v>
      </c>
      <c r="W1298">
        <v>0</v>
      </c>
      <c r="X1298">
        <v>2</v>
      </c>
      <c r="Z1298">
        <v>0</v>
      </c>
      <c r="AA1298">
        <v>9</v>
      </c>
      <c r="AB1298">
        <v>3</v>
      </c>
      <c r="AC1298">
        <v>0</v>
      </c>
      <c r="AD1298">
        <v>10</v>
      </c>
      <c r="AE1298">
        <v>0</v>
      </c>
      <c r="AF1298">
        <v>3</v>
      </c>
      <c r="AG1298">
        <v>2</v>
      </c>
      <c r="AH1298">
        <v>0</v>
      </c>
      <c r="AI1298" t="s">
        <v>915</v>
      </c>
      <c r="AJ1298">
        <v>39.772266999999999</v>
      </c>
      <c r="AK1298" t="s">
        <v>916</v>
      </c>
      <c r="AL1298">
        <v>-92.514516999999998</v>
      </c>
      <c r="AM1298">
        <v>100</v>
      </c>
      <c r="AN1298">
        <v>1700</v>
      </c>
      <c r="AO1298" t="s">
        <v>118</v>
      </c>
      <c r="AP1298">
        <v>-5</v>
      </c>
      <c r="AQ1298">
        <v>121</v>
      </c>
      <c r="AR1298">
        <v>0</v>
      </c>
      <c r="AZ1298">
        <v>1200</v>
      </c>
      <c r="BA1298">
        <v>1</v>
      </c>
      <c r="BB1298" t="str">
        <f t="shared" si="63"/>
        <v xml:space="preserve">N8080G  </v>
      </c>
      <c r="BC1298">
        <v>1</v>
      </c>
      <c r="BE1298">
        <v>0</v>
      </c>
      <c r="BF1298">
        <v>0</v>
      </c>
      <c r="BG1298">
        <v>0</v>
      </c>
      <c r="BH1298">
        <v>1700</v>
      </c>
      <c r="BI1298">
        <v>1</v>
      </c>
      <c r="BJ1298">
        <v>1</v>
      </c>
      <c r="BK1298">
        <v>1</v>
      </c>
      <c r="BL1298">
        <v>0</v>
      </c>
      <c r="BO1298">
        <v>0</v>
      </c>
      <c r="BP1298">
        <v>0</v>
      </c>
      <c r="BW1298" t="str">
        <f>"20:19:31.015"</f>
        <v>20:19:31.015</v>
      </c>
      <c r="BZ1298">
        <v>0</v>
      </c>
      <c r="CA1298">
        <v>2016</v>
      </c>
      <c r="CB1298">
        <v>224</v>
      </c>
      <c r="CD1298">
        <v>1</v>
      </c>
      <c r="CE1298">
        <v>0</v>
      </c>
      <c r="CF1298">
        <v>0</v>
      </c>
      <c r="CG1298">
        <v>1</v>
      </c>
      <c r="CH1298">
        <v>0</v>
      </c>
      <c r="CI1298">
        <v>0</v>
      </c>
      <c r="CJ1298">
        <v>0</v>
      </c>
      <c r="CK1298">
        <v>2</v>
      </c>
      <c r="CL1298">
        <v>0</v>
      </c>
      <c r="CM1298">
        <v>2</v>
      </c>
      <c r="CN1298">
        <v>0</v>
      </c>
      <c r="CO1298">
        <v>7</v>
      </c>
      <c r="CP1298" t="s">
        <v>119</v>
      </c>
      <c r="CQ1298">
        <v>180</v>
      </c>
      <c r="CR1298">
        <v>1</v>
      </c>
      <c r="CW1298">
        <v>10704078</v>
      </c>
      <c r="CY1298">
        <v>1</v>
      </c>
      <c r="CZ1298">
        <v>0</v>
      </c>
      <c r="DA1298">
        <v>1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0</v>
      </c>
      <c r="DI1298">
        <v>0</v>
      </c>
    </row>
    <row r="1299" spans="1:113" x14ac:dyDescent="0.3">
      <c r="A1299" t="str">
        <f>"02/08/2021 20:19:30.242"</f>
        <v>02/08/2021 20:19:30.242</v>
      </c>
      <c r="C1299" t="str">
        <f t="shared" si="62"/>
        <v>FFDFD7C0</v>
      </c>
      <c r="D1299" t="s">
        <v>124</v>
      </c>
      <c r="E1299">
        <v>12</v>
      </c>
      <c r="F1299">
        <v>1012</v>
      </c>
      <c r="G1299" t="s">
        <v>675</v>
      </c>
      <c r="J1299" t="s">
        <v>125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>"20:19:32.570"</f>
        <v>20:19:32.570</v>
      </c>
      <c r="T1299" t="str">
        <f>"20:19:32.070"</f>
        <v>20:19:32.070</v>
      </c>
      <c r="U1299" t="str">
        <f t="shared" si="61"/>
        <v>AB01F4</v>
      </c>
      <c r="V1299">
        <v>0</v>
      </c>
      <c r="W1299">
        <v>0</v>
      </c>
      <c r="X1299">
        <v>2</v>
      </c>
      <c r="Z1299">
        <v>0</v>
      </c>
      <c r="AA1299">
        <v>9</v>
      </c>
      <c r="AB1299">
        <v>3</v>
      </c>
      <c r="AC1299">
        <v>0</v>
      </c>
      <c r="AD1299">
        <v>10</v>
      </c>
      <c r="AE1299">
        <v>0</v>
      </c>
      <c r="AF1299">
        <v>3</v>
      </c>
      <c r="AG1299">
        <v>2</v>
      </c>
      <c r="AH1299">
        <v>0</v>
      </c>
      <c r="AI1299" t="s">
        <v>917</v>
      </c>
      <c r="AJ1299">
        <v>39.773125999999998</v>
      </c>
      <c r="AK1299" t="s">
        <v>918</v>
      </c>
      <c r="AL1299">
        <v>-92.514624999999995</v>
      </c>
      <c r="AM1299">
        <v>100</v>
      </c>
      <c r="AN1299">
        <v>1700</v>
      </c>
      <c r="AO1299" t="s">
        <v>118</v>
      </c>
      <c r="AP1299">
        <v>-6</v>
      </c>
      <c r="AQ1299">
        <v>121</v>
      </c>
      <c r="AR1299">
        <v>0</v>
      </c>
      <c r="AZ1299">
        <v>1200</v>
      </c>
      <c r="BA1299">
        <v>1</v>
      </c>
      <c r="BB1299" t="str">
        <f t="shared" si="63"/>
        <v xml:space="preserve">N8080G  </v>
      </c>
      <c r="BC1299">
        <v>1</v>
      </c>
      <c r="BE1299">
        <v>0</v>
      </c>
      <c r="BF1299">
        <v>0</v>
      </c>
      <c r="BG1299">
        <v>0</v>
      </c>
      <c r="BH1299">
        <v>1700</v>
      </c>
      <c r="BI1299">
        <v>1</v>
      </c>
      <c r="BJ1299">
        <v>1</v>
      </c>
      <c r="BK1299">
        <v>1</v>
      </c>
      <c r="BL1299">
        <v>0</v>
      </c>
      <c r="BO1299">
        <v>0</v>
      </c>
      <c r="BP1299">
        <v>0</v>
      </c>
      <c r="BW1299" t="str">
        <f>"20:19:32.573"</f>
        <v>20:19:32.573</v>
      </c>
      <c r="BZ1299">
        <v>0</v>
      </c>
      <c r="CA1299">
        <v>2016</v>
      </c>
      <c r="CB1299">
        <v>224</v>
      </c>
      <c r="CD1299">
        <v>1</v>
      </c>
      <c r="CE1299">
        <v>0</v>
      </c>
      <c r="CF1299">
        <v>0</v>
      </c>
      <c r="CG1299">
        <v>1</v>
      </c>
      <c r="CH1299">
        <v>0</v>
      </c>
      <c r="CI1299">
        <v>0</v>
      </c>
      <c r="CJ1299">
        <v>0</v>
      </c>
      <c r="CK1299">
        <v>2</v>
      </c>
      <c r="CL1299">
        <v>0</v>
      </c>
      <c r="CM1299">
        <v>2</v>
      </c>
      <c r="CN1299">
        <v>0</v>
      </c>
      <c r="CO1299">
        <v>7</v>
      </c>
      <c r="CP1299" t="s">
        <v>119</v>
      </c>
      <c r="CQ1299">
        <v>180</v>
      </c>
      <c r="CR1299">
        <v>1</v>
      </c>
      <c r="CW1299">
        <v>10705449</v>
      </c>
      <c r="CY1299">
        <v>1</v>
      </c>
      <c r="CZ1299">
        <v>0</v>
      </c>
      <c r="DA1299">
        <v>0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</row>
    <row r="1300" spans="1:113" x14ac:dyDescent="0.3">
      <c r="A1300" t="str">
        <f>"02/08/2021 20:19:30.242"</f>
        <v>02/08/2021 20:19:30.242</v>
      </c>
      <c r="C1300" t="str">
        <f t="shared" si="62"/>
        <v>FFDFD7C0</v>
      </c>
      <c r="D1300" t="s">
        <v>113</v>
      </c>
      <c r="E1300">
        <v>6</v>
      </c>
      <c r="H1300">
        <v>165</v>
      </c>
      <c r="I1300" t="s">
        <v>114</v>
      </c>
      <c r="J1300" t="s">
        <v>115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>"20:19:32.570"</f>
        <v>20:19:32.570</v>
      </c>
      <c r="T1300" t="str">
        <f>"20:19:32.070"</f>
        <v>20:19:32.070</v>
      </c>
      <c r="U1300" t="str">
        <f t="shared" si="61"/>
        <v>AB01F4</v>
      </c>
      <c r="V1300">
        <v>0</v>
      </c>
      <c r="W1300">
        <v>0</v>
      </c>
      <c r="X1300">
        <v>2</v>
      </c>
      <c r="Z1300">
        <v>0</v>
      </c>
      <c r="AA1300">
        <v>9</v>
      </c>
      <c r="AB1300">
        <v>3</v>
      </c>
      <c r="AC1300">
        <v>0</v>
      </c>
      <c r="AD1300">
        <v>10</v>
      </c>
      <c r="AE1300">
        <v>0</v>
      </c>
      <c r="AF1300">
        <v>3</v>
      </c>
      <c r="AG1300">
        <v>2</v>
      </c>
      <c r="AH1300">
        <v>0</v>
      </c>
      <c r="AI1300" t="s">
        <v>917</v>
      </c>
      <c r="AJ1300">
        <v>39.773125999999998</v>
      </c>
      <c r="AK1300" t="s">
        <v>918</v>
      </c>
      <c r="AL1300">
        <v>-92.514624999999995</v>
      </c>
      <c r="AM1300">
        <v>100</v>
      </c>
      <c r="AN1300">
        <v>1700</v>
      </c>
      <c r="AO1300" t="s">
        <v>118</v>
      </c>
      <c r="AP1300">
        <v>-6</v>
      </c>
      <c r="AQ1300">
        <v>121</v>
      </c>
      <c r="AR1300">
        <v>0</v>
      </c>
      <c r="AZ1300">
        <v>1200</v>
      </c>
      <c r="BA1300">
        <v>1</v>
      </c>
      <c r="BB1300" t="str">
        <f t="shared" si="63"/>
        <v xml:space="preserve">N8080G  </v>
      </c>
      <c r="BC1300">
        <v>1</v>
      </c>
      <c r="BE1300">
        <v>0</v>
      </c>
      <c r="BF1300">
        <v>0</v>
      </c>
      <c r="BG1300">
        <v>0</v>
      </c>
      <c r="BH1300">
        <v>1700</v>
      </c>
      <c r="BI1300">
        <v>1</v>
      </c>
      <c r="BJ1300">
        <v>1</v>
      </c>
      <c r="BK1300">
        <v>1</v>
      </c>
      <c r="BL1300">
        <v>0</v>
      </c>
      <c r="BO1300">
        <v>0</v>
      </c>
      <c r="BP1300">
        <v>0</v>
      </c>
      <c r="BW1300" t="str">
        <f>"20:19:32.573"</f>
        <v>20:19:32.573</v>
      </c>
      <c r="BZ1300">
        <v>0</v>
      </c>
      <c r="CA1300">
        <v>2016</v>
      </c>
      <c r="CB1300">
        <v>224</v>
      </c>
      <c r="CD1300">
        <v>1</v>
      </c>
      <c r="CE1300">
        <v>0</v>
      </c>
      <c r="CF1300">
        <v>0</v>
      </c>
      <c r="CG1300">
        <v>1</v>
      </c>
      <c r="CH1300">
        <v>0</v>
      </c>
      <c r="CI1300">
        <v>0</v>
      </c>
      <c r="CJ1300">
        <v>0</v>
      </c>
      <c r="CK1300">
        <v>2</v>
      </c>
      <c r="CL1300">
        <v>0</v>
      </c>
      <c r="CM1300">
        <v>2</v>
      </c>
      <c r="CN1300">
        <v>0</v>
      </c>
      <c r="CO1300">
        <v>7</v>
      </c>
      <c r="CP1300" t="s">
        <v>119</v>
      </c>
      <c r="CQ1300">
        <v>180</v>
      </c>
      <c r="CR1300">
        <v>1</v>
      </c>
      <c r="CW1300">
        <v>10705449</v>
      </c>
      <c r="CY1300">
        <v>1</v>
      </c>
      <c r="CZ1300">
        <v>0</v>
      </c>
      <c r="DA1300">
        <v>1</v>
      </c>
      <c r="DB1300">
        <v>0</v>
      </c>
      <c r="DC1300">
        <v>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</row>
    <row r="1301" spans="1:113" x14ac:dyDescent="0.3">
      <c r="A1301" t="str">
        <f>"02/08/2021 20:19:30.242"</f>
        <v>02/08/2021 20:19:30.242</v>
      </c>
      <c r="C1301" t="str">
        <f t="shared" si="62"/>
        <v>FFDFD7C0</v>
      </c>
      <c r="D1301" t="s">
        <v>124</v>
      </c>
      <c r="E1301">
        <v>13</v>
      </c>
      <c r="F1301">
        <v>1013</v>
      </c>
      <c r="G1301" t="s">
        <v>114</v>
      </c>
      <c r="J1301" t="s">
        <v>125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>"20:19:32.570"</f>
        <v>20:19:32.570</v>
      </c>
      <c r="T1301" t="str">
        <f>"20:19:32.070"</f>
        <v>20:19:32.070</v>
      </c>
      <c r="U1301" t="str">
        <f t="shared" si="61"/>
        <v>AB01F4</v>
      </c>
      <c r="V1301">
        <v>0</v>
      </c>
      <c r="W1301">
        <v>0</v>
      </c>
      <c r="X1301">
        <v>2</v>
      </c>
      <c r="Z1301">
        <v>0</v>
      </c>
      <c r="AA1301">
        <v>9</v>
      </c>
      <c r="AB1301">
        <v>3</v>
      </c>
      <c r="AC1301">
        <v>0</v>
      </c>
      <c r="AD1301">
        <v>10</v>
      </c>
      <c r="AE1301">
        <v>0</v>
      </c>
      <c r="AF1301">
        <v>3</v>
      </c>
      <c r="AG1301">
        <v>2</v>
      </c>
      <c r="AH1301">
        <v>0</v>
      </c>
      <c r="AI1301" t="s">
        <v>917</v>
      </c>
      <c r="AJ1301">
        <v>39.773125999999998</v>
      </c>
      <c r="AK1301" t="s">
        <v>918</v>
      </c>
      <c r="AL1301">
        <v>-92.514624999999995</v>
      </c>
      <c r="AM1301">
        <v>100</v>
      </c>
      <c r="AN1301">
        <v>1700</v>
      </c>
      <c r="AO1301" t="s">
        <v>118</v>
      </c>
      <c r="AP1301">
        <v>-6</v>
      </c>
      <c r="AQ1301">
        <v>121</v>
      </c>
      <c r="AR1301">
        <v>0</v>
      </c>
      <c r="AZ1301">
        <v>1200</v>
      </c>
      <c r="BA1301">
        <v>1</v>
      </c>
      <c r="BB1301" t="str">
        <f t="shared" si="63"/>
        <v xml:space="preserve">N8080G  </v>
      </c>
      <c r="BC1301">
        <v>1</v>
      </c>
      <c r="BE1301">
        <v>0</v>
      </c>
      <c r="BF1301">
        <v>0</v>
      </c>
      <c r="BG1301">
        <v>0</v>
      </c>
      <c r="BH1301">
        <v>1700</v>
      </c>
      <c r="BI1301">
        <v>1</v>
      </c>
      <c r="BJ1301">
        <v>1</v>
      </c>
      <c r="BK1301">
        <v>1</v>
      </c>
      <c r="BL1301">
        <v>0</v>
      </c>
      <c r="BO1301">
        <v>0</v>
      </c>
      <c r="BP1301">
        <v>0</v>
      </c>
      <c r="BW1301" t="str">
        <f>"20:19:32.573"</f>
        <v>20:19:32.573</v>
      </c>
      <c r="BZ1301">
        <v>0</v>
      </c>
      <c r="CA1301">
        <v>2016</v>
      </c>
      <c r="CB1301">
        <v>224</v>
      </c>
      <c r="CD1301">
        <v>1</v>
      </c>
      <c r="CE1301">
        <v>0</v>
      </c>
      <c r="CF1301">
        <v>0</v>
      </c>
      <c r="CG1301">
        <v>1</v>
      </c>
      <c r="CH1301">
        <v>0</v>
      </c>
      <c r="CI1301">
        <v>0</v>
      </c>
      <c r="CJ1301">
        <v>0</v>
      </c>
      <c r="CK1301">
        <v>2</v>
      </c>
      <c r="CL1301">
        <v>0</v>
      </c>
      <c r="CM1301">
        <v>2</v>
      </c>
      <c r="CN1301">
        <v>0</v>
      </c>
      <c r="CO1301">
        <v>7</v>
      </c>
      <c r="CP1301" t="s">
        <v>119</v>
      </c>
      <c r="CQ1301">
        <v>180</v>
      </c>
      <c r="CR1301">
        <v>1</v>
      </c>
      <c r="CW1301">
        <v>10705449</v>
      </c>
      <c r="CY1301">
        <v>1</v>
      </c>
      <c r="CZ1301">
        <v>0</v>
      </c>
      <c r="DA1301">
        <v>1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0</v>
      </c>
      <c r="DI1301">
        <v>0</v>
      </c>
    </row>
    <row r="1302" spans="1:113" x14ac:dyDescent="0.3">
      <c r="A1302" t="str">
        <f>"02/08/2021 20:19:30.242"</f>
        <v>02/08/2021 20:19:30.242</v>
      </c>
      <c r="C1302" t="str">
        <f t="shared" si="62"/>
        <v>FFDFD7C0</v>
      </c>
      <c r="D1302" t="s">
        <v>124</v>
      </c>
      <c r="E1302">
        <v>11</v>
      </c>
      <c r="F1302">
        <v>1011</v>
      </c>
      <c r="G1302" t="s">
        <v>590</v>
      </c>
      <c r="J1302" t="s">
        <v>125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>"20:19:32.570"</f>
        <v>20:19:32.570</v>
      </c>
      <c r="T1302" t="str">
        <f>"20:19:32.070"</f>
        <v>20:19:32.070</v>
      </c>
      <c r="U1302" t="str">
        <f t="shared" si="61"/>
        <v>AB01F4</v>
      </c>
      <c r="V1302">
        <v>0</v>
      </c>
      <c r="W1302">
        <v>0</v>
      </c>
      <c r="X1302">
        <v>2</v>
      </c>
      <c r="Z1302">
        <v>0</v>
      </c>
      <c r="AA1302">
        <v>9</v>
      </c>
      <c r="AB1302">
        <v>3</v>
      </c>
      <c r="AC1302">
        <v>0</v>
      </c>
      <c r="AD1302">
        <v>10</v>
      </c>
      <c r="AE1302">
        <v>0</v>
      </c>
      <c r="AF1302">
        <v>3</v>
      </c>
      <c r="AG1302">
        <v>2</v>
      </c>
      <c r="AH1302">
        <v>0</v>
      </c>
      <c r="AI1302" t="s">
        <v>917</v>
      </c>
      <c r="AJ1302">
        <v>39.773125999999998</v>
      </c>
      <c r="AK1302" t="s">
        <v>918</v>
      </c>
      <c r="AL1302">
        <v>-92.514624999999995</v>
      </c>
      <c r="AM1302">
        <v>100</v>
      </c>
      <c r="AN1302">
        <v>1700</v>
      </c>
      <c r="AO1302" t="s">
        <v>118</v>
      </c>
      <c r="AP1302">
        <v>-6</v>
      </c>
      <c r="AQ1302">
        <v>121</v>
      </c>
      <c r="AR1302">
        <v>0</v>
      </c>
      <c r="AZ1302">
        <v>1200</v>
      </c>
      <c r="BA1302">
        <v>1</v>
      </c>
      <c r="BB1302" t="str">
        <f t="shared" si="63"/>
        <v xml:space="preserve">N8080G  </v>
      </c>
      <c r="BC1302">
        <v>1</v>
      </c>
      <c r="BE1302">
        <v>0</v>
      </c>
      <c r="BF1302">
        <v>0</v>
      </c>
      <c r="BG1302">
        <v>0</v>
      </c>
      <c r="BH1302">
        <v>1700</v>
      </c>
      <c r="BI1302">
        <v>1</v>
      </c>
      <c r="BJ1302">
        <v>1</v>
      </c>
      <c r="BK1302">
        <v>1</v>
      </c>
      <c r="BL1302">
        <v>0</v>
      </c>
      <c r="BO1302">
        <v>0</v>
      </c>
      <c r="BP1302">
        <v>0</v>
      </c>
      <c r="BW1302" t="str">
        <f>"20:19:32.573"</f>
        <v>20:19:32.573</v>
      </c>
      <c r="BZ1302">
        <v>0</v>
      </c>
      <c r="CA1302">
        <v>2016</v>
      </c>
      <c r="CB1302">
        <v>224</v>
      </c>
      <c r="CD1302">
        <v>1</v>
      </c>
      <c r="CE1302">
        <v>0</v>
      </c>
      <c r="CF1302">
        <v>0</v>
      </c>
      <c r="CG1302">
        <v>1</v>
      </c>
      <c r="CH1302">
        <v>0</v>
      </c>
      <c r="CI1302">
        <v>0</v>
      </c>
      <c r="CJ1302">
        <v>0</v>
      </c>
      <c r="CK1302">
        <v>2</v>
      </c>
      <c r="CL1302">
        <v>0</v>
      </c>
      <c r="CM1302">
        <v>2</v>
      </c>
      <c r="CN1302">
        <v>0</v>
      </c>
      <c r="CO1302">
        <v>7</v>
      </c>
      <c r="CP1302" t="s">
        <v>119</v>
      </c>
      <c r="CQ1302">
        <v>180</v>
      </c>
      <c r="CR1302">
        <v>1</v>
      </c>
      <c r="CW1302">
        <v>10705449</v>
      </c>
      <c r="CY1302">
        <v>1</v>
      </c>
      <c r="CZ1302">
        <v>0</v>
      </c>
      <c r="DA1302">
        <v>1</v>
      </c>
      <c r="DB1302">
        <v>0</v>
      </c>
      <c r="DC1302">
        <v>0</v>
      </c>
      <c r="DD1302">
        <v>0</v>
      </c>
      <c r="DE1302">
        <v>0</v>
      </c>
      <c r="DF1302">
        <v>0</v>
      </c>
      <c r="DG1302">
        <v>0</v>
      </c>
      <c r="DH1302">
        <v>0</v>
      </c>
      <c r="DI1302">
        <v>0</v>
      </c>
    </row>
    <row r="1303" spans="1:113" x14ac:dyDescent="0.3">
      <c r="A1303" t="str">
        <f>"02/08/2021 20:19:32.224"</f>
        <v>02/08/2021 20:19:32.224</v>
      </c>
      <c r="C1303" t="str">
        <f t="shared" si="62"/>
        <v>FFDFD7C0</v>
      </c>
      <c r="D1303" t="s">
        <v>113</v>
      </c>
      <c r="E1303">
        <v>6</v>
      </c>
      <c r="H1303">
        <v>165</v>
      </c>
      <c r="I1303" t="s">
        <v>114</v>
      </c>
      <c r="J1303" t="s">
        <v>115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>"20:19:34.555"</f>
        <v>20:19:34.555</v>
      </c>
      <c r="T1303" t="str">
        <f>"20:19:34.055"</f>
        <v>20:19:34.055</v>
      </c>
      <c r="U1303" t="str">
        <f t="shared" si="61"/>
        <v>AB01F4</v>
      </c>
      <c r="V1303">
        <v>0</v>
      </c>
      <c r="W1303">
        <v>0</v>
      </c>
      <c r="X1303">
        <v>2</v>
      </c>
      <c r="Z1303">
        <v>0</v>
      </c>
      <c r="AA1303">
        <v>9</v>
      </c>
      <c r="AB1303">
        <v>3</v>
      </c>
      <c r="AC1303">
        <v>0</v>
      </c>
      <c r="AD1303">
        <v>10</v>
      </c>
      <c r="AE1303">
        <v>0</v>
      </c>
      <c r="AF1303">
        <v>3</v>
      </c>
      <c r="AG1303">
        <v>2</v>
      </c>
      <c r="AH1303">
        <v>0</v>
      </c>
      <c r="AI1303" t="s">
        <v>919</v>
      </c>
      <c r="AJ1303">
        <v>39.77422</v>
      </c>
      <c r="AK1303" t="s">
        <v>920</v>
      </c>
      <c r="AL1303">
        <v>-92.514668</v>
      </c>
      <c r="AM1303">
        <v>100</v>
      </c>
      <c r="AN1303">
        <v>1700</v>
      </c>
      <c r="AO1303" t="s">
        <v>118</v>
      </c>
      <c r="AP1303">
        <v>-7</v>
      </c>
      <c r="AQ1303">
        <v>121</v>
      </c>
      <c r="AR1303">
        <v>64</v>
      </c>
      <c r="AZ1303">
        <v>1200</v>
      </c>
      <c r="BA1303">
        <v>1</v>
      </c>
      <c r="BB1303" t="str">
        <f t="shared" si="63"/>
        <v xml:space="preserve">N8080G  </v>
      </c>
      <c r="BC1303">
        <v>1</v>
      </c>
      <c r="BE1303">
        <v>0</v>
      </c>
      <c r="BF1303">
        <v>0</v>
      </c>
      <c r="BG1303">
        <v>0</v>
      </c>
      <c r="BH1303">
        <v>1675</v>
      </c>
      <c r="BI1303">
        <v>1</v>
      </c>
      <c r="BJ1303">
        <v>1</v>
      </c>
      <c r="BK1303">
        <v>1</v>
      </c>
      <c r="BL1303">
        <v>0</v>
      </c>
      <c r="BO1303">
        <v>0</v>
      </c>
      <c r="BP1303">
        <v>0</v>
      </c>
      <c r="BW1303" t="str">
        <f>"20:19:34.557"</f>
        <v>20:19:34.557</v>
      </c>
      <c r="BZ1303">
        <v>0</v>
      </c>
      <c r="CA1303">
        <v>2016</v>
      </c>
      <c r="CB1303">
        <v>224</v>
      </c>
      <c r="CD1303">
        <v>1</v>
      </c>
      <c r="CE1303">
        <v>0</v>
      </c>
      <c r="CF1303">
        <v>0</v>
      </c>
      <c r="CG1303">
        <v>1</v>
      </c>
      <c r="CH1303">
        <v>0</v>
      </c>
      <c r="CI1303">
        <v>0</v>
      </c>
      <c r="CJ1303">
        <v>0</v>
      </c>
      <c r="CK1303">
        <v>2</v>
      </c>
      <c r="CL1303">
        <v>0</v>
      </c>
      <c r="CM1303">
        <v>2</v>
      </c>
      <c r="CN1303">
        <v>0</v>
      </c>
      <c r="CO1303">
        <v>7</v>
      </c>
      <c r="CP1303" t="s">
        <v>119</v>
      </c>
      <c r="CQ1303">
        <v>180</v>
      </c>
      <c r="CR1303">
        <v>1</v>
      </c>
      <c r="CW1303">
        <v>10707137</v>
      </c>
      <c r="CY1303">
        <v>1</v>
      </c>
      <c r="CZ1303">
        <v>0</v>
      </c>
      <c r="DA1303">
        <v>0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0</v>
      </c>
      <c r="DI1303">
        <v>0</v>
      </c>
    </row>
    <row r="1304" spans="1:113" x14ac:dyDescent="0.3">
      <c r="A1304" t="str">
        <f>"02/08/2021 20:19:32.224"</f>
        <v>02/08/2021 20:19:32.224</v>
      </c>
      <c r="C1304" t="str">
        <f t="shared" si="62"/>
        <v>FFDFD7C0</v>
      </c>
      <c r="D1304" t="s">
        <v>124</v>
      </c>
      <c r="E1304">
        <v>13</v>
      </c>
      <c r="F1304">
        <v>1013</v>
      </c>
      <c r="G1304" t="s">
        <v>114</v>
      </c>
      <c r="J1304" t="s">
        <v>125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>"20:19:34.555"</f>
        <v>20:19:34.555</v>
      </c>
      <c r="T1304" t="str">
        <f>"20:19:34.055"</f>
        <v>20:19:34.055</v>
      </c>
      <c r="U1304" t="str">
        <f t="shared" si="61"/>
        <v>AB01F4</v>
      </c>
      <c r="V1304">
        <v>0</v>
      </c>
      <c r="W1304">
        <v>0</v>
      </c>
      <c r="X1304">
        <v>2</v>
      </c>
      <c r="Z1304">
        <v>0</v>
      </c>
      <c r="AA1304">
        <v>9</v>
      </c>
      <c r="AB1304">
        <v>3</v>
      </c>
      <c r="AC1304">
        <v>0</v>
      </c>
      <c r="AD1304">
        <v>10</v>
      </c>
      <c r="AE1304">
        <v>0</v>
      </c>
      <c r="AF1304">
        <v>3</v>
      </c>
      <c r="AG1304">
        <v>2</v>
      </c>
      <c r="AH1304">
        <v>0</v>
      </c>
      <c r="AI1304" t="s">
        <v>919</v>
      </c>
      <c r="AJ1304">
        <v>39.77422</v>
      </c>
      <c r="AK1304" t="s">
        <v>920</v>
      </c>
      <c r="AL1304">
        <v>-92.514668</v>
      </c>
      <c r="AM1304">
        <v>100</v>
      </c>
      <c r="AN1304">
        <v>1700</v>
      </c>
      <c r="AO1304" t="s">
        <v>118</v>
      </c>
      <c r="AP1304">
        <v>-7</v>
      </c>
      <c r="AQ1304">
        <v>121</v>
      </c>
      <c r="AR1304">
        <v>64</v>
      </c>
      <c r="AZ1304">
        <v>1200</v>
      </c>
      <c r="BA1304">
        <v>1</v>
      </c>
      <c r="BB1304" t="str">
        <f t="shared" si="63"/>
        <v xml:space="preserve">N8080G  </v>
      </c>
      <c r="BC1304">
        <v>1</v>
      </c>
      <c r="BE1304">
        <v>0</v>
      </c>
      <c r="BF1304">
        <v>0</v>
      </c>
      <c r="BG1304">
        <v>0</v>
      </c>
      <c r="BH1304">
        <v>1675</v>
      </c>
      <c r="BI1304">
        <v>1</v>
      </c>
      <c r="BJ1304">
        <v>1</v>
      </c>
      <c r="BK1304">
        <v>1</v>
      </c>
      <c r="BL1304">
        <v>0</v>
      </c>
      <c r="BO1304">
        <v>0</v>
      </c>
      <c r="BP1304">
        <v>0</v>
      </c>
      <c r="BW1304" t="str">
        <f>"20:19:34.557"</f>
        <v>20:19:34.557</v>
      </c>
      <c r="BZ1304">
        <v>0</v>
      </c>
      <c r="CA1304">
        <v>2016</v>
      </c>
      <c r="CB1304">
        <v>224</v>
      </c>
      <c r="CD1304">
        <v>1</v>
      </c>
      <c r="CE1304">
        <v>0</v>
      </c>
      <c r="CF1304">
        <v>0</v>
      </c>
      <c r="CG1304">
        <v>1</v>
      </c>
      <c r="CH1304">
        <v>0</v>
      </c>
      <c r="CI1304">
        <v>0</v>
      </c>
      <c r="CJ1304">
        <v>0</v>
      </c>
      <c r="CK1304">
        <v>2</v>
      </c>
      <c r="CL1304">
        <v>0</v>
      </c>
      <c r="CM1304">
        <v>2</v>
      </c>
      <c r="CN1304">
        <v>0</v>
      </c>
      <c r="CO1304">
        <v>7</v>
      </c>
      <c r="CP1304" t="s">
        <v>119</v>
      </c>
      <c r="CQ1304">
        <v>180</v>
      </c>
      <c r="CR1304">
        <v>1</v>
      </c>
      <c r="CW1304">
        <v>10707137</v>
      </c>
      <c r="CY1304">
        <v>1</v>
      </c>
      <c r="CZ1304">
        <v>0</v>
      </c>
      <c r="DA1304">
        <v>1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</row>
    <row r="1305" spans="1:113" x14ac:dyDescent="0.3">
      <c r="A1305" t="str">
        <f>"02/08/2021 20:19:32.224"</f>
        <v>02/08/2021 20:19:32.224</v>
      </c>
      <c r="C1305" t="str">
        <f t="shared" si="62"/>
        <v>FFDFD7C0</v>
      </c>
      <c r="D1305" t="s">
        <v>124</v>
      </c>
      <c r="E1305">
        <v>11</v>
      </c>
      <c r="F1305">
        <v>1011</v>
      </c>
      <c r="G1305" t="s">
        <v>590</v>
      </c>
      <c r="J1305" t="s">
        <v>125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>"20:19:34.555"</f>
        <v>20:19:34.555</v>
      </c>
      <c r="T1305" t="str">
        <f>"20:19:34.055"</f>
        <v>20:19:34.055</v>
      </c>
      <c r="U1305" t="str">
        <f t="shared" si="61"/>
        <v>AB01F4</v>
      </c>
      <c r="V1305">
        <v>0</v>
      </c>
      <c r="W1305">
        <v>0</v>
      </c>
      <c r="X1305">
        <v>2</v>
      </c>
      <c r="Z1305">
        <v>0</v>
      </c>
      <c r="AA1305">
        <v>9</v>
      </c>
      <c r="AB1305">
        <v>3</v>
      </c>
      <c r="AC1305">
        <v>0</v>
      </c>
      <c r="AD1305">
        <v>10</v>
      </c>
      <c r="AE1305">
        <v>0</v>
      </c>
      <c r="AF1305">
        <v>3</v>
      </c>
      <c r="AG1305">
        <v>2</v>
      </c>
      <c r="AH1305">
        <v>0</v>
      </c>
      <c r="AI1305" t="s">
        <v>919</v>
      </c>
      <c r="AJ1305">
        <v>39.77422</v>
      </c>
      <c r="AK1305" t="s">
        <v>920</v>
      </c>
      <c r="AL1305">
        <v>-92.514668</v>
      </c>
      <c r="AM1305">
        <v>100</v>
      </c>
      <c r="AN1305">
        <v>1700</v>
      </c>
      <c r="AO1305" t="s">
        <v>118</v>
      </c>
      <c r="AP1305">
        <v>-7</v>
      </c>
      <c r="AQ1305">
        <v>121</v>
      </c>
      <c r="AR1305">
        <v>64</v>
      </c>
      <c r="AZ1305">
        <v>1200</v>
      </c>
      <c r="BA1305">
        <v>1</v>
      </c>
      <c r="BB1305" t="str">
        <f t="shared" si="63"/>
        <v xml:space="preserve">N8080G  </v>
      </c>
      <c r="BC1305">
        <v>1</v>
      </c>
      <c r="BE1305">
        <v>0</v>
      </c>
      <c r="BF1305">
        <v>0</v>
      </c>
      <c r="BG1305">
        <v>0</v>
      </c>
      <c r="BH1305">
        <v>1675</v>
      </c>
      <c r="BI1305">
        <v>1</v>
      </c>
      <c r="BJ1305">
        <v>1</v>
      </c>
      <c r="BK1305">
        <v>1</v>
      </c>
      <c r="BL1305">
        <v>0</v>
      </c>
      <c r="BO1305">
        <v>0</v>
      </c>
      <c r="BP1305">
        <v>0</v>
      </c>
      <c r="BW1305" t="str">
        <f>"20:19:34.557"</f>
        <v>20:19:34.557</v>
      </c>
      <c r="BZ1305">
        <v>0</v>
      </c>
      <c r="CA1305">
        <v>2016</v>
      </c>
      <c r="CB1305">
        <v>224</v>
      </c>
      <c r="CD1305">
        <v>1</v>
      </c>
      <c r="CE1305">
        <v>0</v>
      </c>
      <c r="CF1305">
        <v>0</v>
      </c>
      <c r="CG1305">
        <v>1</v>
      </c>
      <c r="CH1305">
        <v>0</v>
      </c>
      <c r="CI1305">
        <v>0</v>
      </c>
      <c r="CJ1305">
        <v>0</v>
      </c>
      <c r="CK1305">
        <v>2</v>
      </c>
      <c r="CL1305">
        <v>0</v>
      </c>
      <c r="CM1305">
        <v>2</v>
      </c>
      <c r="CN1305">
        <v>0</v>
      </c>
      <c r="CO1305">
        <v>7</v>
      </c>
      <c r="CP1305" t="s">
        <v>119</v>
      </c>
      <c r="CQ1305">
        <v>180</v>
      </c>
      <c r="CR1305">
        <v>1</v>
      </c>
      <c r="CW1305">
        <v>10707137</v>
      </c>
      <c r="CY1305">
        <v>1</v>
      </c>
      <c r="CZ1305">
        <v>0</v>
      </c>
      <c r="DA1305">
        <v>1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0</v>
      </c>
      <c r="DI1305">
        <v>0</v>
      </c>
    </row>
    <row r="1306" spans="1:113" x14ac:dyDescent="0.3">
      <c r="A1306" t="str">
        <f>"02/08/2021 20:19:32.224"</f>
        <v>02/08/2021 20:19:32.224</v>
      </c>
      <c r="C1306" t="str">
        <f t="shared" si="62"/>
        <v>FFDFD7C0</v>
      </c>
      <c r="D1306" t="s">
        <v>124</v>
      </c>
      <c r="E1306">
        <v>12</v>
      </c>
      <c r="F1306">
        <v>1012</v>
      </c>
      <c r="G1306" t="s">
        <v>675</v>
      </c>
      <c r="J1306" t="s">
        <v>125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>"20:19:34.555"</f>
        <v>20:19:34.555</v>
      </c>
      <c r="T1306" t="str">
        <f>"20:19:34.055"</f>
        <v>20:19:34.055</v>
      </c>
      <c r="U1306" t="str">
        <f t="shared" si="61"/>
        <v>AB01F4</v>
      </c>
      <c r="V1306">
        <v>0</v>
      </c>
      <c r="W1306">
        <v>0</v>
      </c>
      <c r="X1306">
        <v>2</v>
      </c>
      <c r="Z1306">
        <v>0</v>
      </c>
      <c r="AA1306">
        <v>9</v>
      </c>
      <c r="AB1306">
        <v>3</v>
      </c>
      <c r="AC1306">
        <v>0</v>
      </c>
      <c r="AD1306">
        <v>10</v>
      </c>
      <c r="AE1306">
        <v>0</v>
      </c>
      <c r="AF1306">
        <v>3</v>
      </c>
      <c r="AG1306">
        <v>2</v>
      </c>
      <c r="AH1306">
        <v>0</v>
      </c>
      <c r="AI1306" t="s">
        <v>919</v>
      </c>
      <c r="AJ1306">
        <v>39.77422</v>
      </c>
      <c r="AK1306" t="s">
        <v>920</v>
      </c>
      <c r="AL1306">
        <v>-92.514668</v>
      </c>
      <c r="AM1306">
        <v>100</v>
      </c>
      <c r="AN1306">
        <v>1700</v>
      </c>
      <c r="AO1306" t="s">
        <v>118</v>
      </c>
      <c r="AP1306">
        <v>-7</v>
      </c>
      <c r="AQ1306">
        <v>121</v>
      </c>
      <c r="AR1306">
        <v>64</v>
      </c>
      <c r="AZ1306">
        <v>1200</v>
      </c>
      <c r="BA1306">
        <v>1</v>
      </c>
      <c r="BB1306" t="str">
        <f t="shared" si="63"/>
        <v xml:space="preserve">N8080G  </v>
      </c>
      <c r="BC1306">
        <v>1</v>
      </c>
      <c r="BE1306">
        <v>0</v>
      </c>
      <c r="BF1306">
        <v>0</v>
      </c>
      <c r="BG1306">
        <v>0</v>
      </c>
      <c r="BH1306">
        <v>1675</v>
      </c>
      <c r="BI1306">
        <v>1</v>
      </c>
      <c r="BJ1306">
        <v>1</v>
      </c>
      <c r="BK1306">
        <v>1</v>
      </c>
      <c r="BL1306">
        <v>0</v>
      </c>
      <c r="BO1306">
        <v>0</v>
      </c>
      <c r="BP1306">
        <v>0</v>
      </c>
      <c r="BW1306" t="str">
        <f>"20:19:34.557"</f>
        <v>20:19:34.557</v>
      </c>
      <c r="BZ1306">
        <v>0</v>
      </c>
      <c r="CA1306">
        <v>2016</v>
      </c>
      <c r="CB1306">
        <v>224</v>
      </c>
      <c r="CD1306">
        <v>1</v>
      </c>
      <c r="CE1306">
        <v>0</v>
      </c>
      <c r="CF1306">
        <v>0</v>
      </c>
      <c r="CG1306">
        <v>1</v>
      </c>
      <c r="CH1306">
        <v>0</v>
      </c>
      <c r="CI1306">
        <v>0</v>
      </c>
      <c r="CJ1306">
        <v>0</v>
      </c>
      <c r="CK1306">
        <v>2</v>
      </c>
      <c r="CL1306">
        <v>0</v>
      </c>
      <c r="CM1306">
        <v>2</v>
      </c>
      <c r="CN1306">
        <v>0</v>
      </c>
      <c r="CO1306">
        <v>7</v>
      </c>
      <c r="CP1306" t="s">
        <v>119</v>
      </c>
      <c r="CQ1306">
        <v>180</v>
      </c>
      <c r="CR1306">
        <v>1</v>
      </c>
      <c r="CW1306">
        <v>10707137</v>
      </c>
      <c r="CY1306">
        <v>1</v>
      </c>
      <c r="CZ1306">
        <v>0</v>
      </c>
      <c r="DA1306">
        <v>1</v>
      </c>
      <c r="DB1306">
        <v>0</v>
      </c>
      <c r="DC1306">
        <v>0</v>
      </c>
      <c r="DD1306">
        <v>0</v>
      </c>
      <c r="DE1306">
        <v>0</v>
      </c>
      <c r="DF1306">
        <v>0</v>
      </c>
      <c r="DG1306">
        <v>0</v>
      </c>
      <c r="DH1306">
        <v>0</v>
      </c>
      <c r="DI1306">
        <v>0</v>
      </c>
    </row>
    <row r="1307" spans="1:113" x14ac:dyDescent="0.3">
      <c r="A1307" t="str">
        <f>"02/08/2021 20:19:36.370"</f>
        <v>02/08/2021 20:19:36.370</v>
      </c>
      <c r="C1307" t="str">
        <f t="shared" si="62"/>
        <v>FFDFD7C0</v>
      </c>
      <c r="D1307" t="s">
        <v>113</v>
      </c>
      <c r="E1307">
        <v>6</v>
      </c>
      <c r="H1307">
        <v>165</v>
      </c>
      <c r="I1307" t="s">
        <v>114</v>
      </c>
      <c r="J1307" t="s">
        <v>115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>"20:19:38.672"</f>
        <v>20:19:38.672</v>
      </c>
      <c r="T1307" t="str">
        <f>"20:19:38.272"</f>
        <v>20:19:38.272</v>
      </c>
      <c r="U1307" t="str">
        <f t="shared" si="61"/>
        <v>AB01F4</v>
      </c>
      <c r="V1307">
        <v>0</v>
      </c>
      <c r="W1307">
        <v>0</v>
      </c>
      <c r="X1307">
        <v>2</v>
      </c>
      <c r="Z1307">
        <v>0</v>
      </c>
      <c r="AA1307">
        <v>9</v>
      </c>
      <c r="AB1307">
        <v>3</v>
      </c>
      <c r="AC1307">
        <v>0</v>
      </c>
      <c r="AD1307">
        <v>10</v>
      </c>
      <c r="AE1307">
        <v>0</v>
      </c>
      <c r="AF1307">
        <v>3</v>
      </c>
      <c r="AG1307">
        <v>2</v>
      </c>
      <c r="AH1307">
        <v>0</v>
      </c>
      <c r="AI1307" t="s">
        <v>921</v>
      </c>
      <c r="AJ1307">
        <v>39.776516000000001</v>
      </c>
      <c r="AK1307" t="s">
        <v>922</v>
      </c>
      <c r="AL1307">
        <v>-92.514882</v>
      </c>
      <c r="AM1307">
        <v>100</v>
      </c>
      <c r="AN1307">
        <v>1700</v>
      </c>
      <c r="AO1307" t="s">
        <v>118</v>
      </c>
      <c r="AP1307">
        <v>-9</v>
      </c>
      <c r="AQ1307">
        <v>121</v>
      </c>
      <c r="AR1307">
        <v>-64</v>
      </c>
      <c r="AZ1307">
        <v>1200</v>
      </c>
      <c r="BA1307">
        <v>1</v>
      </c>
      <c r="BB1307" t="str">
        <f t="shared" si="63"/>
        <v xml:space="preserve">N8080G  </v>
      </c>
      <c r="BC1307">
        <v>1</v>
      </c>
      <c r="BE1307">
        <v>0</v>
      </c>
      <c r="BF1307">
        <v>0</v>
      </c>
      <c r="BG1307">
        <v>0</v>
      </c>
      <c r="BH1307">
        <v>1700</v>
      </c>
      <c r="BI1307">
        <v>1</v>
      </c>
      <c r="BJ1307">
        <v>1</v>
      </c>
      <c r="BK1307">
        <v>1</v>
      </c>
      <c r="BL1307">
        <v>0</v>
      </c>
      <c r="BO1307">
        <v>0</v>
      </c>
      <c r="BP1307">
        <v>0</v>
      </c>
      <c r="BW1307" t="str">
        <f>"20:19:38.675"</f>
        <v>20:19:38.675</v>
      </c>
      <c r="BZ1307">
        <v>0</v>
      </c>
      <c r="CA1307">
        <v>2016</v>
      </c>
      <c r="CB1307">
        <v>224</v>
      </c>
      <c r="CD1307">
        <v>1</v>
      </c>
      <c r="CE1307">
        <v>0</v>
      </c>
      <c r="CF1307">
        <v>0</v>
      </c>
      <c r="CG1307">
        <v>1</v>
      </c>
      <c r="CH1307">
        <v>0</v>
      </c>
      <c r="CI1307">
        <v>0</v>
      </c>
      <c r="CJ1307">
        <v>0</v>
      </c>
      <c r="CK1307">
        <v>2</v>
      </c>
      <c r="CL1307">
        <v>0</v>
      </c>
      <c r="CM1307">
        <v>2</v>
      </c>
      <c r="CN1307">
        <v>0</v>
      </c>
      <c r="CO1307">
        <v>7</v>
      </c>
      <c r="CP1307" t="s">
        <v>119</v>
      </c>
      <c r="CQ1307">
        <v>180</v>
      </c>
      <c r="CR1307">
        <v>2</v>
      </c>
      <c r="CW1307">
        <v>8146812</v>
      </c>
      <c r="CY1307">
        <v>1</v>
      </c>
      <c r="CZ1307">
        <v>0</v>
      </c>
      <c r="DA1307">
        <v>0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0</v>
      </c>
      <c r="DI1307">
        <v>0</v>
      </c>
    </row>
    <row r="1308" spans="1:113" x14ac:dyDescent="0.3">
      <c r="A1308" t="str">
        <f>"02/08/2021 20:19:36.370"</f>
        <v>02/08/2021 20:19:36.370</v>
      </c>
      <c r="C1308" t="str">
        <f t="shared" si="62"/>
        <v>FFDFD7C0</v>
      </c>
      <c r="D1308" t="s">
        <v>124</v>
      </c>
      <c r="E1308">
        <v>11</v>
      </c>
      <c r="F1308">
        <v>1011</v>
      </c>
      <c r="G1308" t="s">
        <v>590</v>
      </c>
      <c r="J1308" t="s">
        <v>125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>"20:19:38.672"</f>
        <v>20:19:38.672</v>
      </c>
      <c r="T1308" t="str">
        <f>"20:19:38.272"</f>
        <v>20:19:38.272</v>
      </c>
      <c r="U1308" t="str">
        <f t="shared" si="61"/>
        <v>AB01F4</v>
      </c>
      <c r="V1308">
        <v>0</v>
      </c>
      <c r="W1308">
        <v>0</v>
      </c>
      <c r="X1308">
        <v>2</v>
      </c>
      <c r="Z1308">
        <v>0</v>
      </c>
      <c r="AA1308">
        <v>9</v>
      </c>
      <c r="AB1308">
        <v>3</v>
      </c>
      <c r="AC1308">
        <v>0</v>
      </c>
      <c r="AD1308">
        <v>10</v>
      </c>
      <c r="AE1308">
        <v>0</v>
      </c>
      <c r="AF1308">
        <v>3</v>
      </c>
      <c r="AG1308">
        <v>2</v>
      </c>
      <c r="AH1308">
        <v>0</v>
      </c>
      <c r="AI1308" t="s">
        <v>921</v>
      </c>
      <c r="AJ1308">
        <v>39.776516000000001</v>
      </c>
      <c r="AK1308" t="s">
        <v>922</v>
      </c>
      <c r="AL1308">
        <v>-92.514882</v>
      </c>
      <c r="AM1308">
        <v>100</v>
      </c>
      <c r="AN1308">
        <v>1700</v>
      </c>
      <c r="AO1308" t="s">
        <v>118</v>
      </c>
      <c r="AP1308">
        <v>-9</v>
      </c>
      <c r="AQ1308">
        <v>121</v>
      </c>
      <c r="AR1308">
        <v>-64</v>
      </c>
      <c r="AZ1308">
        <v>1200</v>
      </c>
      <c r="BA1308">
        <v>1</v>
      </c>
      <c r="BB1308" t="str">
        <f t="shared" si="63"/>
        <v xml:space="preserve">N8080G  </v>
      </c>
      <c r="BC1308">
        <v>1</v>
      </c>
      <c r="BE1308">
        <v>0</v>
      </c>
      <c r="BF1308">
        <v>0</v>
      </c>
      <c r="BG1308">
        <v>0</v>
      </c>
      <c r="BH1308">
        <v>1700</v>
      </c>
      <c r="BI1308">
        <v>1</v>
      </c>
      <c r="BJ1308">
        <v>1</v>
      </c>
      <c r="BK1308">
        <v>1</v>
      </c>
      <c r="BL1308">
        <v>0</v>
      </c>
      <c r="BO1308">
        <v>0</v>
      </c>
      <c r="BP1308">
        <v>0</v>
      </c>
      <c r="BW1308" t="str">
        <f>"20:19:38.675"</f>
        <v>20:19:38.675</v>
      </c>
      <c r="BZ1308">
        <v>0</v>
      </c>
      <c r="CA1308">
        <v>2016</v>
      </c>
      <c r="CB1308">
        <v>224</v>
      </c>
      <c r="CD1308">
        <v>1</v>
      </c>
      <c r="CE1308">
        <v>0</v>
      </c>
      <c r="CF1308">
        <v>0</v>
      </c>
      <c r="CG1308">
        <v>1</v>
      </c>
      <c r="CH1308">
        <v>0</v>
      </c>
      <c r="CI1308">
        <v>0</v>
      </c>
      <c r="CJ1308">
        <v>0</v>
      </c>
      <c r="CK1308">
        <v>2</v>
      </c>
      <c r="CL1308">
        <v>0</v>
      </c>
      <c r="CM1308">
        <v>2</v>
      </c>
      <c r="CN1308">
        <v>0</v>
      </c>
      <c r="CO1308">
        <v>7</v>
      </c>
      <c r="CP1308" t="s">
        <v>119</v>
      </c>
      <c r="CQ1308">
        <v>180</v>
      </c>
      <c r="CR1308">
        <v>2</v>
      </c>
      <c r="CW1308">
        <v>8146812</v>
      </c>
      <c r="CY1308">
        <v>1</v>
      </c>
      <c r="CZ1308">
        <v>0</v>
      </c>
      <c r="DA1308">
        <v>1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0</v>
      </c>
      <c r="DH1308">
        <v>0</v>
      </c>
      <c r="DI1308">
        <v>0</v>
      </c>
    </row>
    <row r="1309" spans="1:113" x14ac:dyDescent="0.3">
      <c r="A1309" t="str">
        <f>"02/08/2021 20:19:36.370"</f>
        <v>02/08/2021 20:19:36.370</v>
      </c>
      <c r="C1309" t="str">
        <f t="shared" si="62"/>
        <v>FFDFD7C0</v>
      </c>
      <c r="D1309" t="s">
        <v>124</v>
      </c>
      <c r="E1309">
        <v>12</v>
      </c>
      <c r="F1309">
        <v>1012</v>
      </c>
      <c r="G1309" t="s">
        <v>675</v>
      </c>
      <c r="J1309" t="s">
        <v>125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>"20:19:38.672"</f>
        <v>20:19:38.672</v>
      </c>
      <c r="T1309" t="str">
        <f>"20:19:38.272"</f>
        <v>20:19:38.272</v>
      </c>
      <c r="U1309" t="str">
        <f t="shared" si="61"/>
        <v>AB01F4</v>
      </c>
      <c r="V1309">
        <v>0</v>
      </c>
      <c r="W1309">
        <v>0</v>
      </c>
      <c r="X1309">
        <v>2</v>
      </c>
      <c r="Z1309">
        <v>0</v>
      </c>
      <c r="AA1309">
        <v>9</v>
      </c>
      <c r="AB1309">
        <v>3</v>
      </c>
      <c r="AC1309">
        <v>0</v>
      </c>
      <c r="AD1309">
        <v>10</v>
      </c>
      <c r="AE1309">
        <v>0</v>
      </c>
      <c r="AF1309">
        <v>3</v>
      </c>
      <c r="AG1309">
        <v>2</v>
      </c>
      <c r="AH1309">
        <v>0</v>
      </c>
      <c r="AI1309" t="s">
        <v>921</v>
      </c>
      <c r="AJ1309">
        <v>39.776516000000001</v>
      </c>
      <c r="AK1309" t="s">
        <v>922</v>
      </c>
      <c r="AL1309">
        <v>-92.514882</v>
      </c>
      <c r="AM1309">
        <v>100</v>
      </c>
      <c r="AN1309">
        <v>1700</v>
      </c>
      <c r="AO1309" t="s">
        <v>118</v>
      </c>
      <c r="AP1309">
        <v>-9</v>
      </c>
      <c r="AQ1309">
        <v>121</v>
      </c>
      <c r="AR1309">
        <v>-64</v>
      </c>
      <c r="AZ1309">
        <v>1200</v>
      </c>
      <c r="BA1309">
        <v>1</v>
      </c>
      <c r="BB1309" t="str">
        <f t="shared" si="63"/>
        <v xml:space="preserve">N8080G  </v>
      </c>
      <c r="BC1309">
        <v>1</v>
      </c>
      <c r="BE1309">
        <v>0</v>
      </c>
      <c r="BF1309">
        <v>0</v>
      </c>
      <c r="BG1309">
        <v>0</v>
      </c>
      <c r="BH1309">
        <v>1700</v>
      </c>
      <c r="BI1309">
        <v>1</v>
      </c>
      <c r="BJ1309">
        <v>1</v>
      </c>
      <c r="BK1309">
        <v>1</v>
      </c>
      <c r="BL1309">
        <v>0</v>
      </c>
      <c r="BO1309">
        <v>0</v>
      </c>
      <c r="BP1309">
        <v>0</v>
      </c>
      <c r="BW1309" t="str">
        <f>"20:19:38.675"</f>
        <v>20:19:38.675</v>
      </c>
      <c r="BZ1309">
        <v>0</v>
      </c>
      <c r="CA1309">
        <v>2016</v>
      </c>
      <c r="CB1309">
        <v>224</v>
      </c>
      <c r="CD1309">
        <v>1</v>
      </c>
      <c r="CE1309">
        <v>0</v>
      </c>
      <c r="CF1309">
        <v>0</v>
      </c>
      <c r="CG1309">
        <v>1</v>
      </c>
      <c r="CH1309">
        <v>0</v>
      </c>
      <c r="CI1309">
        <v>0</v>
      </c>
      <c r="CJ1309">
        <v>0</v>
      </c>
      <c r="CK1309">
        <v>2</v>
      </c>
      <c r="CL1309">
        <v>0</v>
      </c>
      <c r="CM1309">
        <v>2</v>
      </c>
      <c r="CN1309">
        <v>0</v>
      </c>
      <c r="CO1309">
        <v>7</v>
      </c>
      <c r="CP1309" t="s">
        <v>119</v>
      </c>
      <c r="CQ1309">
        <v>180</v>
      </c>
      <c r="CR1309">
        <v>2</v>
      </c>
      <c r="CW1309">
        <v>8146812</v>
      </c>
      <c r="CY1309">
        <v>1</v>
      </c>
      <c r="CZ1309">
        <v>0</v>
      </c>
      <c r="DA1309">
        <v>1</v>
      </c>
      <c r="DB1309">
        <v>0</v>
      </c>
      <c r="DC1309">
        <v>0</v>
      </c>
      <c r="DD1309">
        <v>0</v>
      </c>
      <c r="DE1309">
        <v>0</v>
      </c>
      <c r="DF1309">
        <v>0</v>
      </c>
      <c r="DG1309">
        <v>0</v>
      </c>
      <c r="DH1309">
        <v>0</v>
      </c>
      <c r="DI1309">
        <v>0</v>
      </c>
    </row>
    <row r="1310" spans="1:113" x14ac:dyDescent="0.3">
      <c r="A1310" t="str">
        <f>"02/08/2021 20:19:36.370"</f>
        <v>02/08/2021 20:19:36.370</v>
      </c>
      <c r="C1310" t="str">
        <f t="shared" si="62"/>
        <v>FFDFD7C0</v>
      </c>
      <c r="D1310" t="s">
        <v>124</v>
      </c>
      <c r="E1310">
        <v>13</v>
      </c>
      <c r="F1310">
        <v>1013</v>
      </c>
      <c r="G1310" t="s">
        <v>114</v>
      </c>
      <c r="J1310" t="s">
        <v>125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>"20:19:38.672"</f>
        <v>20:19:38.672</v>
      </c>
      <c r="T1310" t="str">
        <f>"20:19:38.272"</f>
        <v>20:19:38.272</v>
      </c>
      <c r="U1310" t="str">
        <f t="shared" si="61"/>
        <v>AB01F4</v>
      </c>
      <c r="V1310">
        <v>0</v>
      </c>
      <c r="W1310">
        <v>0</v>
      </c>
      <c r="X1310">
        <v>2</v>
      </c>
      <c r="Z1310">
        <v>0</v>
      </c>
      <c r="AA1310">
        <v>9</v>
      </c>
      <c r="AB1310">
        <v>3</v>
      </c>
      <c r="AC1310">
        <v>0</v>
      </c>
      <c r="AD1310">
        <v>10</v>
      </c>
      <c r="AE1310">
        <v>0</v>
      </c>
      <c r="AF1310">
        <v>3</v>
      </c>
      <c r="AG1310">
        <v>2</v>
      </c>
      <c r="AH1310">
        <v>0</v>
      </c>
      <c r="AI1310" t="s">
        <v>921</v>
      </c>
      <c r="AJ1310">
        <v>39.776516000000001</v>
      </c>
      <c r="AK1310" t="s">
        <v>922</v>
      </c>
      <c r="AL1310">
        <v>-92.514882</v>
      </c>
      <c r="AM1310">
        <v>100</v>
      </c>
      <c r="AN1310">
        <v>1700</v>
      </c>
      <c r="AO1310" t="s">
        <v>118</v>
      </c>
      <c r="AP1310">
        <v>-9</v>
      </c>
      <c r="AQ1310">
        <v>121</v>
      </c>
      <c r="AR1310">
        <v>-64</v>
      </c>
      <c r="AZ1310">
        <v>1200</v>
      </c>
      <c r="BA1310">
        <v>1</v>
      </c>
      <c r="BB1310" t="str">
        <f t="shared" si="63"/>
        <v xml:space="preserve">N8080G  </v>
      </c>
      <c r="BC1310">
        <v>1</v>
      </c>
      <c r="BE1310">
        <v>0</v>
      </c>
      <c r="BF1310">
        <v>0</v>
      </c>
      <c r="BG1310">
        <v>0</v>
      </c>
      <c r="BH1310">
        <v>1700</v>
      </c>
      <c r="BI1310">
        <v>1</v>
      </c>
      <c r="BJ1310">
        <v>1</v>
      </c>
      <c r="BK1310">
        <v>1</v>
      </c>
      <c r="BL1310">
        <v>0</v>
      </c>
      <c r="BO1310">
        <v>0</v>
      </c>
      <c r="BP1310">
        <v>0</v>
      </c>
      <c r="BW1310" t="str">
        <f>"20:19:38.675"</f>
        <v>20:19:38.675</v>
      </c>
      <c r="BZ1310">
        <v>0</v>
      </c>
      <c r="CA1310">
        <v>2016</v>
      </c>
      <c r="CB1310">
        <v>224</v>
      </c>
      <c r="CD1310">
        <v>1</v>
      </c>
      <c r="CE1310">
        <v>0</v>
      </c>
      <c r="CF1310">
        <v>0</v>
      </c>
      <c r="CG1310">
        <v>1</v>
      </c>
      <c r="CH1310">
        <v>0</v>
      </c>
      <c r="CI1310">
        <v>0</v>
      </c>
      <c r="CJ1310">
        <v>0</v>
      </c>
      <c r="CK1310">
        <v>2</v>
      </c>
      <c r="CL1310">
        <v>0</v>
      </c>
      <c r="CM1310">
        <v>2</v>
      </c>
      <c r="CN1310">
        <v>0</v>
      </c>
      <c r="CO1310">
        <v>7</v>
      </c>
      <c r="CP1310" t="s">
        <v>119</v>
      </c>
      <c r="CQ1310">
        <v>180</v>
      </c>
      <c r="CR1310">
        <v>2</v>
      </c>
      <c r="CW1310">
        <v>8146812</v>
      </c>
      <c r="CY1310">
        <v>1</v>
      </c>
      <c r="CZ1310">
        <v>0</v>
      </c>
      <c r="DA1310">
        <v>1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</row>
    <row r="1311" spans="1:113" x14ac:dyDescent="0.3">
      <c r="A1311" t="str">
        <f>"02/08/2021 20:19:38.446"</f>
        <v>02/08/2021 20:19:38.446</v>
      </c>
      <c r="C1311" t="str">
        <f t="shared" si="62"/>
        <v>FFDFD7C0</v>
      </c>
      <c r="D1311" t="s">
        <v>113</v>
      </c>
      <c r="E1311">
        <v>6</v>
      </c>
      <c r="H1311">
        <v>165</v>
      </c>
      <c r="I1311" t="s">
        <v>114</v>
      </c>
      <c r="J1311" t="s">
        <v>115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>"20:19:40.727"</f>
        <v>20:19:40.727</v>
      </c>
      <c r="T1311" t="str">
        <f>"20:19:40.227"</f>
        <v>20:19:40.227</v>
      </c>
      <c r="U1311" t="str">
        <f t="shared" si="61"/>
        <v>AB01F4</v>
      </c>
      <c r="V1311">
        <v>0</v>
      </c>
      <c r="W1311">
        <v>0</v>
      </c>
      <c r="X1311">
        <v>2</v>
      </c>
      <c r="Z1311">
        <v>0</v>
      </c>
      <c r="AA1311">
        <v>9</v>
      </c>
      <c r="AB1311">
        <v>3</v>
      </c>
      <c r="AC1311">
        <v>0</v>
      </c>
      <c r="AD1311">
        <v>10</v>
      </c>
      <c r="AE1311">
        <v>0</v>
      </c>
      <c r="AF1311">
        <v>3</v>
      </c>
      <c r="AG1311">
        <v>2</v>
      </c>
      <c r="AH1311">
        <v>0</v>
      </c>
      <c r="AI1311" t="s">
        <v>923</v>
      </c>
      <c r="AJ1311">
        <v>39.777695999999999</v>
      </c>
      <c r="AK1311" t="s">
        <v>693</v>
      </c>
      <c r="AL1311">
        <v>-92.514967999999996</v>
      </c>
      <c r="AM1311">
        <v>100</v>
      </c>
      <c r="AN1311">
        <v>1700</v>
      </c>
      <c r="AO1311" t="s">
        <v>118</v>
      </c>
      <c r="AP1311">
        <v>-9</v>
      </c>
      <c r="AQ1311">
        <v>121</v>
      </c>
      <c r="AR1311">
        <v>-64</v>
      </c>
      <c r="AZ1311">
        <v>1200</v>
      </c>
      <c r="BA1311">
        <v>1</v>
      </c>
      <c r="BB1311" t="str">
        <f t="shared" si="63"/>
        <v xml:space="preserve">N8080G  </v>
      </c>
      <c r="BC1311">
        <v>1</v>
      </c>
      <c r="BE1311">
        <v>0</v>
      </c>
      <c r="BF1311">
        <v>0</v>
      </c>
      <c r="BG1311">
        <v>0</v>
      </c>
      <c r="BH1311">
        <v>1675</v>
      </c>
      <c r="BI1311">
        <v>1</v>
      </c>
      <c r="BJ1311">
        <v>1</v>
      </c>
      <c r="BK1311">
        <v>1</v>
      </c>
      <c r="BL1311">
        <v>0</v>
      </c>
      <c r="BO1311">
        <v>0</v>
      </c>
      <c r="BP1311">
        <v>0</v>
      </c>
      <c r="BW1311" t="str">
        <f>"20:19:40.734"</f>
        <v>20:19:40.734</v>
      </c>
      <c r="BZ1311">
        <v>0</v>
      </c>
      <c r="CA1311">
        <v>2016</v>
      </c>
      <c r="CB1311">
        <v>224</v>
      </c>
      <c r="CD1311">
        <v>1</v>
      </c>
      <c r="CE1311">
        <v>0</v>
      </c>
      <c r="CF1311">
        <v>0</v>
      </c>
      <c r="CG1311">
        <v>1</v>
      </c>
      <c r="CH1311">
        <v>0</v>
      </c>
      <c r="CI1311">
        <v>0</v>
      </c>
      <c r="CJ1311">
        <v>0</v>
      </c>
      <c r="CK1311">
        <v>2</v>
      </c>
      <c r="CL1311">
        <v>0</v>
      </c>
      <c r="CM1311">
        <v>2</v>
      </c>
      <c r="CN1311">
        <v>0</v>
      </c>
      <c r="CO1311">
        <v>7</v>
      </c>
      <c r="CP1311" t="s">
        <v>119</v>
      </c>
      <c r="CQ1311">
        <v>180</v>
      </c>
      <c r="CR1311">
        <v>1</v>
      </c>
      <c r="CW1311">
        <v>10712286</v>
      </c>
      <c r="CY1311">
        <v>1</v>
      </c>
      <c r="CZ1311">
        <v>0</v>
      </c>
      <c r="DA1311">
        <v>0</v>
      </c>
      <c r="DB1311">
        <v>0</v>
      </c>
      <c r="DC1311">
        <v>0</v>
      </c>
      <c r="DD1311">
        <v>0</v>
      </c>
      <c r="DE1311">
        <v>0</v>
      </c>
      <c r="DF1311">
        <v>0</v>
      </c>
      <c r="DG1311">
        <v>0</v>
      </c>
      <c r="DH1311">
        <v>0</v>
      </c>
      <c r="DI1311">
        <v>0</v>
      </c>
    </row>
    <row r="1312" spans="1:113" x14ac:dyDescent="0.3">
      <c r="A1312" t="str">
        <f>"02/08/2021 20:19:38.446"</f>
        <v>02/08/2021 20:19:38.446</v>
      </c>
      <c r="C1312" t="str">
        <f t="shared" si="62"/>
        <v>FFDFD7C0</v>
      </c>
      <c r="D1312" t="s">
        <v>124</v>
      </c>
      <c r="E1312">
        <v>12</v>
      </c>
      <c r="F1312">
        <v>1012</v>
      </c>
      <c r="G1312" t="s">
        <v>675</v>
      </c>
      <c r="J1312" t="s">
        <v>125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>"20:19:40.727"</f>
        <v>20:19:40.727</v>
      </c>
      <c r="T1312" t="str">
        <f>"20:19:40.227"</f>
        <v>20:19:40.227</v>
      </c>
      <c r="U1312" t="str">
        <f t="shared" si="61"/>
        <v>AB01F4</v>
      </c>
      <c r="V1312">
        <v>0</v>
      </c>
      <c r="W1312">
        <v>0</v>
      </c>
      <c r="X1312">
        <v>2</v>
      </c>
      <c r="Z1312">
        <v>0</v>
      </c>
      <c r="AA1312">
        <v>9</v>
      </c>
      <c r="AB1312">
        <v>3</v>
      </c>
      <c r="AC1312">
        <v>0</v>
      </c>
      <c r="AD1312">
        <v>10</v>
      </c>
      <c r="AE1312">
        <v>0</v>
      </c>
      <c r="AF1312">
        <v>3</v>
      </c>
      <c r="AG1312">
        <v>2</v>
      </c>
      <c r="AH1312">
        <v>0</v>
      </c>
      <c r="AI1312" t="s">
        <v>923</v>
      </c>
      <c r="AJ1312">
        <v>39.777695999999999</v>
      </c>
      <c r="AK1312" t="s">
        <v>693</v>
      </c>
      <c r="AL1312">
        <v>-92.514967999999996</v>
      </c>
      <c r="AM1312">
        <v>100</v>
      </c>
      <c r="AN1312">
        <v>1700</v>
      </c>
      <c r="AO1312" t="s">
        <v>118</v>
      </c>
      <c r="AP1312">
        <v>-9</v>
      </c>
      <c r="AQ1312">
        <v>121</v>
      </c>
      <c r="AR1312">
        <v>-64</v>
      </c>
      <c r="AZ1312">
        <v>1200</v>
      </c>
      <c r="BA1312">
        <v>1</v>
      </c>
      <c r="BB1312" t="str">
        <f t="shared" si="63"/>
        <v xml:space="preserve">N8080G  </v>
      </c>
      <c r="BC1312">
        <v>1</v>
      </c>
      <c r="BE1312">
        <v>0</v>
      </c>
      <c r="BF1312">
        <v>0</v>
      </c>
      <c r="BG1312">
        <v>0</v>
      </c>
      <c r="BH1312">
        <v>1675</v>
      </c>
      <c r="BI1312">
        <v>1</v>
      </c>
      <c r="BJ1312">
        <v>1</v>
      </c>
      <c r="BK1312">
        <v>1</v>
      </c>
      <c r="BL1312">
        <v>0</v>
      </c>
      <c r="BO1312">
        <v>0</v>
      </c>
      <c r="BP1312">
        <v>0</v>
      </c>
      <c r="BW1312" t="str">
        <f>"20:19:40.734"</f>
        <v>20:19:40.734</v>
      </c>
      <c r="BZ1312">
        <v>0</v>
      </c>
      <c r="CA1312">
        <v>2016</v>
      </c>
      <c r="CB1312">
        <v>224</v>
      </c>
      <c r="CD1312">
        <v>1</v>
      </c>
      <c r="CE1312">
        <v>0</v>
      </c>
      <c r="CF1312">
        <v>0</v>
      </c>
      <c r="CG1312">
        <v>1</v>
      </c>
      <c r="CH1312">
        <v>0</v>
      </c>
      <c r="CI1312">
        <v>0</v>
      </c>
      <c r="CJ1312">
        <v>0</v>
      </c>
      <c r="CK1312">
        <v>2</v>
      </c>
      <c r="CL1312">
        <v>0</v>
      </c>
      <c r="CM1312">
        <v>2</v>
      </c>
      <c r="CN1312">
        <v>0</v>
      </c>
      <c r="CO1312">
        <v>7</v>
      </c>
      <c r="CP1312" t="s">
        <v>119</v>
      </c>
      <c r="CQ1312">
        <v>180</v>
      </c>
      <c r="CR1312">
        <v>1</v>
      </c>
      <c r="CW1312">
        <v>10712286</v>
      </c>
      <c r="CY1312">
        <v>1</v>
      </c>
      <c r="CZ1312">
        <v>0</v>
      </c>
      <c r="DA1312">
        <v>1</v>
      </c>
      <c r="DB1312">
        <v>0</v>
      </c>
      <c r="DC1312">
        <v>0</v>
      </c>
      <c r="DD1312">
        <v>0</v>
      </c>
      <c r="DE1312">
        <v>0</v>
      </c>
      <c r="DF1312">
        <v>0</v>
      </c>
      <c r="DG1312">
        <v>0</v>
      </c>
      <c r="DH1312">
        <v>0</v>
      </c>
      <c r="DI1312">
        <v>0</v>
      </c>
    </row>
    <row r="1313" spans="1:113" x14ac:dyDescent="0.3">
      <c r="A1313" t="str">
        <f>"02/08/2021 20:19:38.446"</f>
        <v>02/08/2021 20:19:38.446</v>
      </c>
      <c r="C1313" t="str">
        <f t="shared" si="62"/>
        <v>FFDFD7C0</v>
      </c>
      <c r="D1313" t="s">
        <v>124</v>
      </c>
      <c r="E1313">
        <v>11</v>
      </c>
      <c r="F1313">
        <v>1011</v>
      </c>
      <c r="G1313" t="s">
        <v>590</v>
      </c>
      <c r="J1313" t="s">
        <v>125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>"20:19:40.727"</f>
        <v>20:19:40.727</v>
      </c>
      <c r="T1313" t="str">
        <f>"20:19:40.227"</f>
        <v>20:19:40.227</v>
      </c>
      <c r="U1313" t="str">
        <f t="shared" si="61"/>
        <v>AB01F4</v>
      </c>
      <c r="V1313">
        <v>0</v>
      </c>
      <c r="W1313">
        <v>0</v>
      </c>
      <c r="X1313">
        <v>2</v>
      </c>
      <c r="Z1313">
        <v>0</v>
      </c>
      <c r="AA1313">
        <v>9</v>
      </c>
      <c r="AB1313">
        <v>3</v>
      </c>
      <c r="AC1313">
        <v>0</v>
      </c>
      <c r="AD1313">
        <v>10</v>
      </c>
      <c r="AE1313">
        <v>0</v>
      </c>
      <c r="AF1313">
        <v>3</v>
      </c>
      <c r="AG1313">
        <v>2</v>
      </c>
      <c r="AH1313">
        <v>0</v>
      </c>
      <c r="AI1313" t="s">
        <v>923</v>
      </c>
      <c r="AJ1313">
        <v>39.777695999999999</v>
      </c>
      <c r="AK1313" t="s">
        <v>693</v>
      </c>
      <c r="AL1313">
        <v>-92.514967999999996</v>
      </c>
      <c r="AM1313">
        <v>100</v>
      </c>
      <c r="AN1313">
        <v>1700</v>
      </c>
      <c r="AO1313" t="s">
        <v>118</v>
      </c>
      <c r="AP1313">
        <v>-9</v>
      </c>
      <c r="AQ1313">
        <v>121</v>
      </c>
      <c r="AR1313">
        <v>-64</v>
      </c>
      <c r="AZ1313">
        <v>1200</v>
      </c>
      <c r="BA1313">
        <v>1</v>
      </c>
      <c r="BB1313" t="str">
        <f t="shared" si="63"/>
        <v xml:space="preserve">N8080G  </v>
      </c>
      <c r="BC1313">
        <v>1</v>
      </c>
      <c r="BE1313">
        <v>0</v>
      </c>
      <c r="BF1313">
        <v>0</v>
      </c>
      <c r="BG1313">
        <v>0</v>
      </c>
      <c r="BH1313">
        <v>1675</v>
      </c>
      <c r="BI1313">
        <v>1</v>
      </c>
      <c r="BJ1313">
        <v>1</v>
      </c>
      <c r="BK1313">
        <v>1</v>
      </c>
      <c r="BL1313">
        <v>0</v>
      </c>
      <c r="BO1313">
        <v>0</v>
      </c>
      <c r="BP1313">
        <v>0</v>
      </c>
      <c r="BW1313" t="str">
        <f>"20:19:40.734"</f>
        <v>20:19:40.734</v>
      </c>
      <c r="BZ1313">
        <v>0</v>
      </c>
      <c r="CA1313">
        <v>2016</v>
      </c>
      <c r="CB1313">
        <v>224</v>
      </c>
      <c r="CD1313">
        <v>1</v>
      </c>
      <c r="CE1313">
        <v>0</v>
      </c>
      <c r="CF1313">
        <v>0</v>
      </c>
      <c r="CG1313">
        <v>1</v>
      </c>
      <c r="CH1313">
        <v>0</v>
      </c>
      <c r="CI1313">
        <v>0</v>
      </c>
      <c r="CJ1313">
        <v>0</v>
      </c>
      <c r="CK1313">
        <v>2</v>
      </c>
      <c r="CL1313">
        <v>0</v>
      </c>
      <c r="CM1313">
        <v>2</v>
      </c>
      <c r="CN1313">
        <v>0</v>
      </c>
      <c r="CO1313">
        <v>7</v>
      </c>
      <c r="CP1313" t="s">
        <v>119</v>
      </c>
      <c r="CQ1313">
        <v>180</v>
      </c>
      <c r="CR1313">
        <v>1</v>
      </c>
      <c r="CW1313">
        <v>10712286</v>
      </c>
      <c r="CY1313">
        <v>1</v>
      </c>
      <c r="CZ1313">
        <v>0</v>
      </c>
      <c r="DA1313">
        <v>1</v>
      </c>
      <c r="DB1313">
        <v>0</v>
      </c>
      <c r="DC1313">
        <v>0</v>
      </c>
      <c r="DD1313">
        <v>0</v>
      </c>
      <c r="DE1313">
        <v>0</v>
      </c>
      <c r="DF1313">
        <v>0</v>
      </c>
      <c r="DG1313">
        <v>0</v>
      </c>
      <c r="DH1313">
        <v>0</v>
      </c>
      <c r="DI1313">
        <v>0</v>
      </c>
    </row>
    <row r="1314" spans="1:113" x14ac:dyDescent="0.3">
      <c r="A1314" t="str">
        <f>"02/08/2021 20:19:38.446"</f>
        <v>02/08/2021 20:19:38.446</v>
      </c>
      <c r="C1314" t="str">
        <f t="shared" si="62"/>
        <v>FFDFD7C0</v>
      </c>
      <c r="D1314" t="s">
        <v>124</v>
      </c>
      <c r="E1314">
        <v>13</v>
      </c>
      <c r="F1314">
        <v>1013</v>
      </c>
      <c r="G1314" t="s">
        <v>114</v>
      </c>
      <c r="J1314" t="s">
        <v>125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>"20:19:40.727"</f>
        <v>20:19:40.727</v>
      </c>
      <c r="T1314" t="str">
        <f>"20:19:40.227"</f>
        <v>20:19:40.227</v>
      </c>
      <c r="U1314" t="str">
        <f t="shared" si="61"/>
        <v>AB01F4</v>
      </c>
      <c r="V1314">
        <v>0</v>
      </c>
      <c r="W1314">
        <v>0</v>
      </c>
      <c r="X1314">
        <v>2</v>
      </c>
      <c r="Z1314">
        <v>0</v>
      </c>
      <c r="AA1314">
        <v>9</v>
      </c>
      <c r="AB1314">
        <v>3</v>
      </c>
      <c r="AC1314">
        <v>0</v>
      </c>
      <c r="AD1314">
        <v>10</v>
      </c>
      <c r="AE1314">
        <v>0</v>
      </c>
      <c r="AF1314">
        <v>3</v>
      </c>
      <c r="AG1314">
        <v>2</v>
      </c>
      <c r="AH1314">
        <v>0</v>
      </c>
      <c r="AI1314" t="s">
        <v>923</v>
      </c>
      <c r="AJ1314">
        <v>39.777695999999999</v>
      </c>
      <c r="AK1314" t="s">
        <v>693</v>
      </c>
      <c r="AL1314">
        <v>-92.514967999999996</v>
      </c>
      <c r="AM1314">
        <v>100</v>
      </c>
      <c r="AN1314">
        <v>1700</v>
      </c>
      <c r="AO1314" t="s">
        <v>118</v>
      </c>
      <c r="AP1314">
        <v>-9</v>
      </c>
      <c r="AQ1314">
        <v>121</v>
      </c>
      <c r="AR1314">
        <v>-64</v>
      </c>
      <c r="AZ1314">
        <v>1200</v>
      </c>
      <c r="BA1314">
        <v>1</v>
      </c>
      <c r="BB1314" t="str">
        <f t="shared" si="63"/>
        <v xml:space="preserve">N8080G  </v>
      </c>
      <c r="BC1314">
        <v>1</v>
      </c>
      <c r="BE1314">
        <v>0</v>
      </c>
      <c r="BF1314">
        <v>0</v>
      </c>
      <c r="BG1314">
        <v>0</v>
      </c>
      <c r="BH1314">
        <v>1675</v>
      </c>
      <c r="BI1314">
        <v>1</v>
      </c>
      <c r="BJ1314">
        <v>1</v>
      </c>
      <c r="BK1314">
        <v>1</v>
      </c>
      <c r="BL1314">
        <v>0</v>
      </c>
      <c r="BO1314">
        <v>0</v>
      </c>
      <c r="BP1314">
        <v>0</v>
      </c>
      <c r="BW1314" t="str">
        <f>"20:19:40.734"</f>
        <v>20:19:40.734</v>
      </c>
      <c r="BZ1314">
        <v>0</v>
      </c>
      <c r="CA1314">
        <v>2016</v>
      </c>
      <c r="CB1314">
        <v>224</v>
      </c>
      <c r="CD1314">
        <v>1</v>
      </c>
      <c r="CE1314">
        <v>0</v>
      </c>
      <c r="CF1314">
        <v>0</v>
      </c>
      <c r="CG1314">
        <v>1</v>
      </c>
      <c r="CH1314">
        <v>0</v>
      </c>
      <c r="CI1314">
        <v>0</v>
      </c>
      <c r="CJ1314">
        <v>0</v>
      </c>
      <c r="CK1314">
        <v>2</v>
      </c>
      <c r="CL1314">
        <v>0</v>
      </c>
      <c r="CM1314">
        <v>2</v>
      </c>
      <c r="CN1314">
        <v>0</v>
      </c>
      <c r="CO1314">
        <v>7</v>
      </c>
      <c r="CP1314" t="s">
        <v>119</v>
      </c>
      <c r="CQ1314">
        <v>180</v>
      </c>
      <c r="CR1314">
        <v>1</v>
      </c>
      <c r="CW1314">
        <v>10712286</v>
      </c>
      <c r="CY1314">
        <v>1</v>
      </c>
      <c r="CZ1314">
        <v>0</v>
      </c>
      <c r="DA1314">
        <v>1</v>
      </c>
      <c r="DB1314">
        <v>0</v>
      </c>
      <c r="DC1314">
        <v>0</v>
      </c>
      <c r="DD1314">
        <v>0</v>
      </c>
      <c r="DE1314">
        <v>0</v>
      </c>
      <c r="DF1314">
        <v>0</v>
      </c>
      <c r="DG1314">
        <v>0</v>
      </c>
      <c r="DH1314">
        <v>0</v>
      </c>
      <c r="DI1314">
        <v>0</v>
      </c>
    </row>
    <row r="1315" spans="1:113" x14ac:dyDescent="0.3">
      <c r="A1315" t="str">
        <f>"02/08/2021 20:19:40.256"</f>
        <v>02/08/2021 20:19:40.256</v>
      </c>
      <c r="C1315" t="str">
        <f t="shared" si="62"/>
        <v>FFDFD7C0</v>
      </c>
      <c r="D1315" t="s">
        <v>124</v>
      </c>
      <c r="E1315">
        <v>12</v>
      </c>
      <c r="F1315">
        <v>1012</v>
      </c>
      <c r="G1315" t="s">
        <v>675</v>
      </c>
      <c r="J1315" t="s">
        <v>125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>"20:19:42.602"</f>
        <v>20:19:42.602</v>
      </c>
      <c r="T1315" t="str">
        <f>"20:19:42.102"</f>
        <v>20:19:42.102</v>
      </c>
      <c r="U1315" t="str">
        <f t="shared" si="61"/>
        <v>AB01F4</v>
      </c>
      <c r="V1315">
        <v>0</v>
      </c>
      <c r="W1315">
        <v>0</v>
      </c>
      <c r="X1315">
        <v>2</v>
      </c>
      <c r="Z1315">
        <v>0</v>
      </c>
      <c r="AA1315">
        <v>9</v>
      </c>
      <c r="AB1315">
        <v>3</v>
      </c>
      <c r="AC1315">
        <v>0</v>
      </c>
      <c r="AD1315">
        <v>10</v>
      </c>
      <c r="AE1315">
        <v>0</v>
      </c>
      <c r="AF1315">
        <v>3</v>
      </c>
      <c r="AG1315">
        <v>2</v>
      </c>
      <c r="AH1315">
        <v>0</v>
      </c>
      <c r="AI1315" t="s">
        <v>924</v>
      </c>
      <c r="AJ1315">
        <v>39.778705000000002</v>
      </c>
      <c r="AK1315" t="s">
        <v>925</v>
      </c>
      <c r="AL1315">
        <v>-92.515096999999997</v>
      </c>
      <c r="AM1315">
        <v>100</v>
      </c>
      <c r="AN1315">
        <v>1700</v>
      </c>
      <c r="AO1315" t="s">
        <v>118</v>
      </c>
      <c r="AP1315">
        <v>-10</v>
      </c>
      <c r="AQ1315">
        <v>121</v>
      </c>
      <c r="AR1315">
        <v>0</v>
      </c>
      <c r="AZ1315">
        <v>1200</v>
      </c>
      <c r="BA1315">
        <v>1</v>
      </c>
      <c r="BB1315" t="str">
        <f t="shared" si="63"/>
        <v xml:space="preserve">N8080G  </v>
      </c>
      <c r="BC1315">
        <v>1</v>
      </c>
      <c r="BE1315">
        <v>0</v>
      </c>
      <c r="BF1315">
        <v>0</v>
      </c>
      <c r="BG1315">
        <v>0</v>
      </c>
      <c r="BH1315">
        <v>1675</v>
      </c>
      <c r="BI1315">
        <v>1</v>
      </c>
      <c r="BJ1315">
        <v>1</v>
      </c>
      <c r="BK1315">
        <v>1</v>
      </c>
      <c r="BL1315">
        <v>0</v>
      </c>
      <c r="BO1315">
        <v>0</v>
      </c>
      <c r="BP1315">
        <v>0</v>
      </c>
      <c r="BW1315" t="str">
        <f>"20:19:42.605"</f>
        <v>20:19:42.605</v>
      </c>
      <c r="BZ1315">
        <v>0</v>
      </c>
      <c r="CA1315">
        <v>2016</v>
      </c>
      <c r="CB1315">
        <v>224</v>
      </c>
      <c r="CD1315">
        <v>1</v>
      </c>
      <c r="CE1315">
        <v>0</v>
      </c>
      <c r="CF1315">
        <v>0</v>
      </c>
      <c r="CG1315">
        <v>1</v>
      </c>
      <c r="CH1315">
        <v>0</v>
      </c>
      <c r="CI1315">
        <v>0</v>
      </c>
      <c r="CJ1315">
        <v>0</v>
      </c>
      <c r="CK1315">
        <v>2</v>
      </c>
      <c r="CL1315">
        <v>0</v>
      </c>
      <c r="CM1315">
        <v>2</v>
      </c>
      <c r="CN1315">
        <v>0</v>
      </c>
      <c r="CO1315">
        <v>7</v>
      </c>
      <c r="CP1315" t="s">
        <v>119</v>
      </c>
      <c r="CQ1315">
        <v>180</v>
      </c>
      <c r="CR1315">
        <v>2</v>
      </c>
      <c r="CW1315">
        <v>8150057</v>
      </c>
      <c r="CY1315">
        <v>1</v>
      </c>
      <c r="CZ1315">
        <v>0</v>
      </c>
      <c r="DA1315">
        <v>0</v>
      </c>
      <c r="DB1315">
        <v>0</v>
      </c>
      <c r="DC1315">
        <v>0</v>
      </c>
      <c r="DD1315">
        <v>0</v>
      </c>
      <c r="DE1315">
        <v>0</v>
      </c>
      <c r="DF1315">
        <v>0</v>
      </c>
      <c r="DG1315">
        <v>0</v>
      </c>
      <c r="DH1315">
        <v>0</v>
      </c>
      <c r="DI1315">
        <v>0</v>
      </c>
    </row>
    <row r="1316" spans="1:113" x14ac:dyDescent="0.3">
      <c r="A1316" t="str">
        <f>"02/08/2021 20:19:40.256"</f>
        <v>02/08/2021 20:19:40.256</v>
      </c>
      <c r="C1316" t="str">
        <f t="shared" si="62"/>
        <v>FFDFD7C0</v>
      </c>
      <c r="D1316" t="s">
        <v>124</v>
      </c>
      <c r="E1316">
        <v>11</v>
      </c>
      <c r="F1316">
        <v>1011</v>
      </c>
      <c r="G1316" t="s">
        <v>590</v>
      </c>
      <c r="J1316" t="s">
        <v>125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>"20:19:42.602"</f>
        <v>20:19:42.602</v>
      </c>
      <c r="T1316" t="str">
        <f>"20:19:42.102"</f>
        <v>20:19:42.102</v>
      </c>
      <c r="U1316" t="str">
        <f t="shared" si="61"/>
        <v>AB01F4</v>
      </c>
      <c r="V1316">
        <v>0</v>
      </c>
      <c r="W1316">
        <v>0</v>
      </c>
      <c r="X1316">
        <v>2</v>
      </c>
      <c r="Z1316">
        <v>0</v>
      </c>
      <c r="AA1316">
        <v>9</v>
      </c>
      <c r="AB1316">
        <v>3</v>
      </c>
      <c r="AC1316">
        <v>0</v>
      </c>
      <c r="AD1316">
        <v>10</v>
      </c>
      <c r="AE1316">
        <v>0</v>
      </c>
      <c r="AF1316">
        <v>3</v>
      </c>
      <c r="AG1316">
        <v>2</v>
      </c>
      <c r="AH1316">
        <v>0</v>
      </c>
      <c r="AI1316" t="s">
        <v>924</v>
      </c>
      <c r="AJ1316">
        <v>39.778705000000002</v>
      </c>
      <c r="AK1316" t="s">
        <v>925</v>
      </c>
      <c r="AL1316">
        <v>-92.515096999999997</v>
      </c>
      <c r="AM1316">
        <v>100</v>
      </c>
      <c r="AN1316">
        <v>1700</v>
      </c>
      <c r="AO1316" t="s">
        <v>118</v>
      </c>
      <c r="AP1316">
        <v>-10</v>
      </c>
      <c r="AQ1316">
        <v>121</v>
      </c>
      <c r="AR1316">
        <v>0</v>
      </c>
      <c r="AZ1316">
        <v>1200</v>
      </c>
      <c r="BA1316">
        <v>1</v>
      </c>
      <c r="BB1316" t="str">
        <f t="shared" si="63"/>
        <v xml:space="preserve">N8080G  </v>
      </c>
      <c r="BC1316">
        <v>1</v>
      </c>
      <c r="BE1316">
        <v>0</v>
      </c>
      <c r="BF1316">
        <v>0</v>
      </c>
      <c r="BG1316">
        <v>0</v>
      </c>
      <c r="BH1316">
        <v>1675</v>
      </c>
      <c r="BI1316">
        <v>1</v>
      </c>
      <c r="BJ1316">
        <v>1</v>
      </c>
      <c r="BK1316">
        <v>1</v>
      </c>
      <c r="BL1316">
        <v>0</v>
      </c>
      <c r="BO1316">
        <v>0</v>
      </c>
      <c r="BP1316">
        <v>0</v>
      </c>
      <c r="BW1316" t="str">
        <f>"20:19:42.605"</f>
        <v>20:19:42.605</v>
      </c>
      <c r="BZ1316">
        <v>0</v>
      </c>
      <c r="CA1316">
        <v>2016</v>
      </c>
      <c r="CB1316">
        <v>224</v>
      </c>
      <c r="CD1316">
        <v>1</v>
      </c>
      <c r="CE1316">
        <v>0</v>
      </c>
      <c r="CF1316">
        <v>0</v>
      </c>
      <c r="CG1316">
        <v>1</v>
      </c>
      <c r="CH1316">
        <v>0</v>
      </c>
      <c r="CI1316">
        <v>0</v>
      </c>
      <c r="CJ1316">
        <v>0</v>
      </c>
      <c r="CK1316">
        <v>2</v>
      </c>
      <c r="CL1316">
        <v>0</v>
      </c>
      <c r="CM1316">
        <v>2</v>
      </c>
      <c r="CN1316">
        <v>0</v>
      </c>
      <c r="CO1316">
        <v>7</v>
      </c>
      <c r="CP1316" t="s">
        <v>119</v>
      </c>
      <c r="CQ1316">
        <v>180</v>
      </c>
      <c r="CR1316">
        <v>2</v>
      </c>
      <c r="CW1316">
        <v>8150057</v>
      </c>
      <c r="CY1316">
        <v>1</v>
      </c>
      <c r="CZ1316">
        <v>0</v>
      </c>
      <c r="DA1316">
        <v>1</v>
      </c>
      <c r="DB1316">
        <v>0</v>
      </c>
      <c r="DC1316">
        <v>0</v>
      </c>
      <c r="DD1316">
        <v>0</v>
      </c>
      <c r="DE1316">
        <v>0</v>
      </c>
      <c r="DF1316">
        <v>0</v>
      </c>
      <c r="DG1316">
        <v>0</v>
      </c>
      <c r="DH1316">
        <v>0</v>
      </c>
      <c r="DI1316">
        <v>0</v>
      </c>
    </row>
    <row r="1317" spans="1:113" x14ac:dyDescent="0.3">
      <c r="A1317" t="str">
        <f>"02/08/2021 20:19:40.256"</f>
        <v>02/08/2021 20:19:40.256</v>
      </c>
      <c r="C1317" t="str">
        <f t="shared" si="62"/>
        <v>FFDFD7C0</v>
      </c>
      <c r="D1317" t="s">
        <v>113</v>
      </c>
      <c r="E1317">
        <v>6</v>
      </c>
      <c r="H1317">
        <v>165</v>
      </c>
      <c r="I1317" t="s">
        <v>114</v>
      </c>
      <c r="J1317" t="s">
        <v>115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>"20:19:42.602"</f>
        <v>20:19:42.602</v>
      </c>
      <c r="T1317" t="str">
        <f>"20:19:42.102"</f>
        <v>20:19:42.102</v>
      </c>
      <c r="U1317" t="str">
        <f t="shared" si="61"/>
        <v>AB01F4</v>
      </c>
      <c r="V1317">
        <v>0</v>
      </c>
      <c r="W1317">
        <v>0</v>
      </c>
      <c r="X1317">
        <v>2</v>
      </c>
      <c r="Z1317">
        <v>0</v>
      </c>
      <c r="AA1317">
        <v>9</v>
      </c>
      <c r="AB1317">
        <v>3</v>
      </c>
      <c r="AC1317">
        <v>0</v>
      </c>
      <c r="AD1317">
        <v>10</v>
      </c>
      <c r="AE1317">
        <v>0</v>
      </c>
      <c r="AF1317">
        <v>3</v>
      </c>
      <c r="AG1317">
        <v>2</v>
      </c>
      <c r="AH1317">
        <v>0</v>
      </c>
      <c r="AI1317" t="s">
        <v>924</v>
      </c>
      <c r="AJ1317">
        <v>39.778705000000002</v>
      </c>
      <c r="AK1317" t="s">
        <v>925</v>
      </c>
      <c r="AL1317">
        <v>-92.515096999999997</v>
      </c>
      <c r="AM1317">
        <v>100</v>
      </c>
      <c r="AN1317">
        <v>1700</v>
      </c>
      <c r="AO1317" t="s">
        <v>118</v>
      </c>
      <c r="AP1317">
        <v>-10</v>
      </c>
      <c r="AQ1317">
        <v>121</v>
      </c>
      <c r="AR1317">
        <v>0</v>
      </c>
      <c r="AZ1317">
        <v>1200</v>
      </c>
      <c r="BA1317">
        <v>1</v>
      </c>
      <c r="BB1317" t="str">
        <f t="shared" si="63"/>
        <v xml:space="preserve">N8080G  </v>
      </c>
      <c r="BC1317">
        <v>1</v>
      </c>
      <c r="BE1317">
        <v>0</v>
      </c>
      <c r="BF1317">
        <v>0</v>
      </c>
      <c r="BG1317">
        <v>0</v>
      </c>
      <c r="BH1317">
        <v>1675</v>
      </c>
      <c r="BI1317">
        <v>1</v>
      </c>
      <c r="BJ1317">
        <v>1</v>
      </c>
      <c r="BK1317">
        <v>1</v>
      </c>
      <c r="BL1317">
        <v>0</v>
      </c>
      <c r="BO1317">
        <v>0</v>
      </c>
      <c r="BP1317">
        <v>0</v>
      </c>
      <c r="BW1317" t="str">
        <f>"20:19:42.605"</f>
        <v>20:19:42.605</v>
      </c>
      <c r="BZ1317">
        <v>0</v>
      </c>
      <c r="CA1317">
        <v>2016</v>
      </c>
      <c r="CB1317">
        <v>224</v>
      </c>
      <c r="CD1317">
        <v>1</v>
      </c>
      <c r="CE1317">
        <v>0</v>
      </c>
      <c r="CF1317">
        <v>0</v>
      </c>
      <c r="CG1317">
        <v>1</v>
      </c>
      <c r="CH1317">
        <v>0</v>
      </c>
      <c r="CI1317">
        <v>0</v>
      </c>
      <c r="CJ1317">
        <v>0</v>
      </c>
      <c r="CK1317">
        <v>2</v>
      </c>
      <c r="CL1317">
        <v>0</v>
      </c>
      <c r="CM1317">
        <v>2</v>
      </c>
      <c r="CN1317">
        <v>0</v>
      </c>
      <c r="CO1317">
        <v>7</v>
      </c>
      <c r="CP1317" t="s">
        <v>119</v>
      </c>
      <c r="CQ1317">
        <v>180</v>
      </c>
      <c r="CR1317">
        <v>2</v>
      </c>
      <c r="CW1317">
        <v>8150057</v>
      </c>
      <c r="CY1317">
        <v>1</v>
      </c>
      <c r="CZ1317">
        <v>0</v>
      </c>
      <c r="DA1317">
        <v>1</v>
      </c>
      <c r="DB1317">
        <v>0</v>
      </c>
      <c r="DC1317">
        <v>0</v>
      </c>
      <c r="DD1317">
        <v>0</v>
      </c>
      <c r="DE1317">
        <v>0</v>
      </c>
      <c r="DF1317">
        <v>0</v>
      </c>
      <c r="DG1317">
        <v>0</v>
      </c>
      <c r="DH1317">
        <v>0</v>
      </c>
      <c r="DI1317">
        <v>0</v>
      </c>
    </row>
    <row r="1318" spans="1:113" x14ac:dyDescent="0.3">
      <c r="A1318" t="str">
        <f>"02/08/2021 20:19:40.256"</f>
        <v>02/08/2021 20:19:40.256</v>
      </c>
      <c r="C1318" t="str">
        <f t="shared" si="62"/>
        <v>FFDFD7C0</v>
      </c>
      <c r="D1318" t="s">
        <v>124</v>
      </c>
      <c r="E1318">
        <v>13</v>
      </c>
      <c r="F1318">
        <v>1013</v>
      </c>
      <c r="G1318" t="s">
        <v>114</v>
      </c>
      <c r="J1318" t="s">
        <v>125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>"20:19:42.602"</f>
        <v>20:19:42.602</v>
      </c>
      <c r="T1318" t="str">
        <f>"20:19:42.102"</f>
        <v>20:19:42.102</v>
      </c>
      <c r="U1318" t="str">
        <f t="shared" si="61"/>
        <v>AB01F4</v>
      </c>
      <c r="V1318">
        <v>0</v>
      </c>
      <c r="W1318">
        <v>0</v>
      </c>
      <c r="X1318">
        <v>2</v>
      </c>
      <c r="Z1318">
        <v>0</v>
      </c>
      <c r="AA1318">
        <v>9</v>
      </c>
      <c r="AB1318">
        <v>3</v>
      </c>
      <c r="AC1318">
        <v>0</v>
      </c>
      <c r="AD1318">
        <v>10</v>
      </c>
      <c r="AE1318">
        <v>0</v>
      </c>
      <c r="AF1318">
        <v>3</v>
      </c>
      <c r="AG1318">
        <v>2</v>
      </c>
      <c r="AH1318">
        <v>0</v>
      </c>
      <c r="AI1318" t="s">
        <v>924</v>
      </c>
      <c r="AJ1318">
        <v>39.778705000000002</v>
      </c>
      <c r="AK1318" t="s">
        <v>925</v>
      </c>
      <c r="AL1318">
        <v>-92.515096999999997</v>
      </c>
      <c r="AM1318">
        <v>100</v>
      </c>
      <c r="AN1318">
        <v>1700</v>
      </c>
      <c r="AO1318" t="s">
        <v>118</v>
      </c>
      <c r="AP1318">
        <v>-10</v>
      </c>
      <c r="AQ1318">
        <v>121</v>
      </c>
      <c r="AR1318">
        <v>0</v>
      </c>
      <c r="AZ1318">
        <v>1200</v>
      </c>
      <c r="BA1318">
        <v>1</v>
      </c>
      <c r="BB1318" t="str">
        <f t="shared" si="63"/>
        <v xml:space="preserve">N8080G  </v>
      </c>
      <c r="BC1318">
        <v>1</v>
      </c>
      <c r="BE1318">
        <v>0</v>
      </c>
      <c r="BF1318">
        <v>0</v>
      </c>
      <c r="BG1318">
        <v>0</v>
      </c>
      <c r="BH1318">
        <v>1675</v>
      </c>
      <c r="BI1318">
        <v>1</v>
      </c>
      <c r="BJ1318">
        <v>1</v>
      </c>
      <c r="BK1318">
        <v>1</v>
      </c>
      <c r="BL1318">
        <v>0</v>
      </c>
      <c r="BO1318">
        <v>0</v>
      </c>
      <c r="BP1318">
        <v>0</v>
      </c>
      <c r="BW1318" t="str">
        <f>"20:19:42.605"</f>
        <v>20:19:42.605</v>
      </c>
      <c r="BZ1318">
        <v>0</v>
      </c>
      <c r="CA1318">
        <v>2016</v>
      </c>
      <c r="CB1318">
        <v>224</v>
      </c>
      <c r="CD1318">
        <v>1</v>
      </c>
      <c r="CE1318">
        <v>0</v>
      </c>
      <c r="CF1318">
        <v>0</v>
      </c>
      <c r="CG1318">
        <v>1</v>
      </c>
      <c r="CH1318">
        <v>0</v>
      </c>
      <c r="CI1318">
        <v>0</v>
      </c>
      <c r="CJ1318">
        <v>0</v>
      </c>
      <c r="CK1318">
        <v>2</v>
      </c>
      <c r="CL1318">
        <v>0</v>
      </c>
      <c r="CM1318">
        <v>2</v>
      </c>
      <c r="CN1318">
        <v>0</v>
      </c>
      <c r="CO1318">
        <v>7</v>
      </c>
      <c r="CP1318" t="s">
        <v>119</v>
      </c>
      <c r="CQ1318">
        <v>180</v>
      </c>
      <c r="CR1318">
        <v>2</v>
      </c>
      <c r="CW1318">
        <v>8150057</v>
      </c>
      <c r="CY1318">
        <v>1</v>
      </c>
      <c r="CZ1318">
        <v>0</v>
      </c>
      <c r="DA1318">
        <v>1</v>
      </c>
      <c r="DB1318">
        <v>0</v>
      </c>
      <c r="DC1318">
        <v>0</v>
      </c>
      <c r="DD1318">
        <v>0</v>
      </c>
      <c r="DE1318">
        <v>0</v>
      </c>
      <c r="DF1318">
        <v>0</v>
      </c>
      <c r="DG1318">
        <v>0</v>
      </c>
      <c r="DH1318">
        <v>0</v>
      </c>
      <c r="DI1318">
        <v>0</v>
      </c>
    </row>
    <row r="1319" spans="1:113" x14ac:dyDescent="0.3">
      <c r="A1319" t="str">
        <f>"02/08/2021 20:19:44.162"</f>
        <v>02/08/2021 20:19:44.162</v>
      </c>
      <c r="C1319" t="str">
        <f t="shared" si="62"/>
        <v>FFDFD7C0</v>
      </c>
      <c r="D1319" t="s">
        <v>113</v>
      </c>
      <c r="E1319">
        <v>6</v>
      </c>
      <c r="H1319">
        <v>165</v>
      </c>
      <c r="I1319" t="s">
        <v>114</v>
      </c>
      <c r="J1319" t="s">
        <v>115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>"20:19:46.492"</f>
        <v>20:19:46.492</v>
      </c>
      <c r="T1319" t="str">
        <f>"20:19:46.092"</f>
        <v>20:19:46.092</v>
      </c>
      <c r="U1319" t="str">
        <f t="shared" si="61"/>
        <v>AB01F4</v>
      </c>
      <c r="V1319">
        <v>0</v>
      </c>
      <c r="W1319">
        <v>0</v>
      </c>
      <c r="X1319">
        <v>2</v>
      </c>
      <c r="Z1319">
        <v>0</v>
      </c>
      <c r="AA1319">
        <v>9</v>
      </c>
      <c r="AB1319">
        <v>3</v>
      </c>
      <c r="AC1319">
        <v>0</v>
      </c>
      <c r="AD1319">
        <v>10</v>
      </c>
      <c r="AE1319">
        <v>0</v>
      </c>
      <c r="AF1319">
        <v>3</v>
      </c>
      <c r="AG1319">
        <v>2</v>
      </c>
      <c r="AH1319">
        <v>0</v>
      </c>
      <c r="AI1319" t="s">
        <v>926</v>
      </c>
      <c r="AJ1319">
        <v>39.780850000000001</v>
      </c>
      <c r="AK1319" t="s">
        <v>927</v>
      </c>
      <c r="AL1319">
        <v>-92.515376000000003</v>
      </c>
      <c r="AM1319">
        <v>100</v>
      </c>
      <c r="AN1319">
        <v>1700</v>
      </c>
      <c r="AO1319" t="s">
        <v>118</v>
      </c>
      <c r="AP1319">
        <v>-14</v>
      </c>
      <c r="AQ1319">
        <v>120</v>
      </c>
      <c r="AR1319">
        <v>0</v>
      </c>
      <c r="AZ1319">
        <v>1200</v>
      </c>
      <c r="BA1319">
        <v>1</v>
      </c>
      <c r="BB1319" t="str">
        <f t="shared" si="63"/>
        <v xml:space="preserve">N8080G  </v>
      </c>
      <c r="BC1319">
        <v>1</v>
      </c>
      <c r="BE1319">
        <v>0</v>
      </c>
      <c r="BF1319">
        <v>0</v>
      </c>
      <c r="BG1319">
        <v>0</v>
      </c>
      <c r="BH1319">
        <v>1675</v>
      </c>
      <c r="BI1319">
        <v>1</v>
      </c>
      <c r="BJ1319">
        <v>1</v>
      </c>
      <c r="BK1319">
        <v>1</v>
      </c>
      <c r="BL1319">
        <v>0</v>
      </c>
      <c r="BO1319">
        <v>0</v>
      </c>
      <c r="BP1319">
        <v>0</v>
      </c>
      <c r="BW1319" t="str">
        <f>"20:19:46.497"</f>
        <v>20:19:46.497</v>
      </c>
      <c r="BZ1319">
        <v>0</v>
      </c>
      <c r="CA1319">
        <v>2016</v>
      </c>
      <c r="CB1319">
        <v>224</v>
      </c>
      <c r="CD1319">
        <v>1</v>
      </c>
      <c r="CE1319">
        <v>0</v>
      </c>
      <c r="CF1319">
        <v>0</v>
      </c>
      <c r="CG1319">
        <v>1</v>
      </c>
      <c r="CH1319">
        <v>0</v>
      </c>
      <c r="CI1319">
        <v>0</v>
      </c>
      <c r="CJ1319">
        <v>0</v>
      </c>
      <c r="CK1319">
        <v>2</v>
      </c>
      <c r="CL1319">
        <v>0</v>
      </c>
      <c r="CM1319">
        <v>2</v>
      </c>
      <c r="CN1319">
        <v>0</v>
      </c>
      <c r="CO1319">
        <v>7</v>
      </c>
      <c r="CP1319" t="s">
        <v>119</v>
      </c>
      <c r="CQ1319">
        <v>180</v>
      </c>
      <c r="CR1319">
        <v>2</v>
      </c>
      <c r="CW1319">
        <v>8153264</v>
      </c>
      <c r="CY1319">
        <v>1</v>
      </c>
      <c r="CZ1319">
        <v>0</v>
      </c>
      <c r="DA1319">
        <v>0</v>
      </c>
      <c r="DB1319">
        <v>0</v>
      </c>
      <c r="DC1319">
        <v>0</v>
      </c>
      <c r="DD1319">
        <v>0</v>
      </c>
      <c r="DE1319">
        <v>0</v>
      </c>
      <c r="DF1319">
        <v>0</v>
      </c>
      <c r="DG1319">
        <v>0</v>
      </c>
      <c r="DH1319">
        <v>0</v>
      </c>
      <c r="DI1319">
        <v>0</v>
      </c>
    </row>
    <row r="1320" spans="1:113" x14ac:dyDescent="0.3">
      <c r="A1320" t="str">
        <f>"02/08/2021 20:19:44.162"</f>
        <v>02/08/2021 20:19:44.162</v>
      </c>
      <c r="C1320" t="str">
        <f t="shared" si="62"/>
        <v>FFDFD7C0</v>
      </c>
      <c r="D1320" t="s">
        <v>124</v>
      </c>
      <c r="E1320">
        <v>12</v>
      </c>
      <c r="F1320">
        <v>1012</v>
      </c>
      <c r="G1320" t="s">
        <v>675</v>
      </c>
      <c r="J1320" t="s">
        <v>125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>"20:19:46.492"</f>
        <v>20:19:46.492</v>
      </c>
      <c r="T1320" t="str">
        <f>"20:19:46.092"</f>
        <v>20:19:46.092</v>
      </c>
      <c r="U1320" t="str">
        <f t="shared" si="61"/>
        <v>AB01F4</v>
      </c>
      <c r="V1320">
        <v>0</v>
      </c>
      <c r="W1320">
        <v>0</v>
      </c>
      <c r="X1320">
        <v>2</v>
      </c>
      <c r="Z1320">
        <v>0</v>
      </c>
      <c r="AA1320">
        <v>9</v>
      </c>
      <c r="AB1320">
        <v>3</v>
      </c>
      <c r="AC1320">
        <v>0</v>
      </c>
      <c r="AD1320">
        <v>10</v>
      </c>
      <c r="AE1320">
        <v>0</v>
      </c>
      <c r="AF1320">
        <v>3</v>
      </c>
      <c r="AG1320">
        <v>2</v>
      </c>
      <c r="AH1320">
        <v>0</v>
      </c>
      <c r="AI1320" t="s">
        <v>926</v>
      </c>
      <c r="AJ1320">
        <v>39.780850000000001</v>
      </c>
      <c r="AK1320" t="s">
        <v>927</v>
      </c>
      <c r="AL1320">
        <v>-92.515376000000003</v>
      </c>
      <c r="AM1320">
        <v>100</v>
      </c>
      <c r="AN1320">
        <v>1700</v>
      </c>
      <c r="AO1320" t="s">
        <v>118</v>
      </c>
      <c r="AP1320">
        <v>-14</v>
      </c>
      <c r="AQ1320">
        <v>120</v>
      </c>
      <c r="AR1320">
        <v>0</v>
      </c>
      <c r="AZ1320">
        <v>1200</v>
      </c>
      <c r="BA1320">
        <v>1</v>
      </c>
      <c r="BB1320" t="str">
        <f t="shared" si="63"/>
        <v xml:space="preserve">N8080G  </v>
      </c>
      <c r="BC1320">
        <v>1</v>
      </c>
      <c r="BE1320">
        <v>0</v>
      </c>
      <c r="BF1320">
        <v>0</v>
      </c>
      <c r="BG1320">
        <v>0</v>
      </c>
      <c r="BH1320">
        <v>1675</v>
      </c>
      <c r="BI1320">
        <v>1</v>
      </c>
      <c r="BJ1320">
        <v>1</v>
      </c>
      <c r="BK1320">
        <v>1</v>
      </c>
      <c r="BL1320">
        <v>0</v>
      </c>
      <c r="BO1320">
        <v>0</v>
      </c>
      <c r="BP1320">
        <v>0</v>
      </c>
      <c r="BW1320" t="str">
        <f>"20:19:46.497"</f>
        <v>20:19:46.497</v>
      </c>
      <c r="BZ1320">
        <v>0</v>
      </c>
      <c r="CA1320">
        <v>2016</v>
      </c>
      <c r="CB1320">
        <v>224</v>
      </c>
      <c r="CD1320">
        <v>1</v>
      </c>
      <c r="CE1320">
        <v>0</v>
      </c>
      <c r="CF1320">
        <v>0</v>
      </c>
      <c r="CG1320">
        <v>1</v>
      </c>
      <c r="CH1320">
        <v>0</v>
      </c>
      <c r="CI1320">
        <v>0</v>
      </c>
      <c r="CJ1320">
        <v>0</v>
      </c>
      <c r="CK1320">
        <v>2</v>
      </c>
      <c r="CL1320">
        <v>0</v>
      </c>
      <c r="CM1320">
        <v>2</v>
      </c>
      <c r="CN1320">
        <v>0</v>
      </c>
      <c r="CO1320">
        <v>7</v>
      </c>
      <c r="CP1320" t="s">
        <v>119</v>
      </c>
      <c r="CQ1320">
        <v>180</v>
      </c>
      <c r="CR1320">
        <v>2</v>
      </c>
      <c r="CW1320">
        <v>8153264</v>
      </c>
      <c r="CY1320">
        <v>1</v>
      </c>
      <c r="CZ1320">
        <v>0</v>
      </c>
      <c r="DA1320">
        <v>1</v>
      </c>
      <c r="DB1320">
        <v>0</v>
      </c>
      <c r="DC1320">
        <v>0</v>
      </c>
      <c r="DD1320">
        <v>0</v>
      </c>
      <c r="DE1320">
        <v>0</v>
      </c>
      <c r="DF1320">
        <v>0</v>
      </c>
      <c r="DG1320">
        <v>0</v>
      </c>
      <c r="DH1320">
        <v>0</v>
      </c>
      <c r="DI1320">
        <v>0</v>
      </c>
    </row>
    <row r="1321" spans="1:113" x14ac:dyDescent="0.3">
      <c r="A1321" t="str">
        <f>"02/08/2021 20:19:44.162"</f>
        <v>02/08/2021 20:19:44.162</v>
      </c>
      <c r="C1321" t="str">
        <f t="shared" si="62"/>
        <v>FFDFD7C0</v>
      </c>
      <c r="D1321" t="s">
        <v>124</v>
      </c>
      <c r="E1321">
        <v>11</v>
      </c>
      <c r="F1321">
        <v>1011</v>
      </c>
      <c r="G1321" t="s">
        <v>590</v>
      </c>
      <c r="J1321" t="s">
        <v>125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>"20:19:46.492"</f>
        <v>20:19:46.492</v>
      </c>
      <c r="T1321" t="str">
        <f>"20:19:46.092"</f>
        <v>20:19:46.092</v>
      </c>
      <c r="U1321" t="str">
        <f t="shared" si="61"/>
        <v>AB01F4</v>
      </c>
      <c r="V1321">
        <v>0</v>
      </c>
      <c r="W1321">
        <v>0</v>
      </c>
      <c r="X1321">
        <v>2</v>
      </c>
      <c r="Z1321">
        <v>0</v>
      </c>
      <c r="AA1321">
        <v>9</v>
      </c>
      <c r="AB1321">
        <v>3</v>
      </c>
      <c r="AC1321">
        <v>0</v>
      </c>
      <c r="AD1321">
        <v>10</v>
      </c>
      <c r="AE1321">
        <v>0</v>
      </c>
      <c r="AF1321">
        <v>3</v>
      </c>
      <c r="AG1321">
        <v>2</v>
      </c>
      <c r="AH1321">
        <v>0</v>
      </c>
      <c r="AI1321" t="s">
        <v>926</v>
      </c>
      <c r="AJ1321">
        <v>39.780850000000001</v>
      </c>
      <c r="AK1321" t="s">
        <v>927</v>
      </c>
      <c r="AL1321">
        <v>-92.515376000000003</v>
      </c>
      <c r="AM1321">
        <v>100</v>
      </c>
      <c r="AN1321">
        <v>1700</v>
      </c>
      <c r="AO1321" t="s">
        <v>118</v>
      </c>
      <c r="AP1321">
        <v>-14</v>
      </c>
      <c r="AQ1321">
        <v>120</v>
      </c>
      <c r="AR1321">
        <v>0</v>
      </c>
      <c r="AZ1321">
        <v>1200</v>
      </c>
      <c r="BA1321">
        <v>1</v>
      </c>
      <c r="BB1321" t="str">
        <f t="shared" si="63"/>
        <v xml:space="preserve">N8080G  </v>
      </c>
      <c r="BC1321">
        <v>1</v>
      </c>
      <c r="BE1321">
        <v>0</v>
      </c>
      <c r="BF1321">
        <v>0</v>
      </c>
      <c r="BG1321">
        <v>0</v>
      </c>
      <c r="BH1321">
        <v>1675</v>
      </c>
      <c r="BI1321">
        <v>1</v>
      </c>
      <c r="BJ1321">
        <v>1</v>
      </c>
      <c r="BK1321">
        <v>1</v>
      </c>
      <c r="BL1321">
        <v>0</v>
      </c>
      <c r="BO1321">
        <v>0</v>
      </c>
      <c r="BP1321">
        <v>0</v>
      </c>
      <c r="BW1321" t="str">
        <f>"20:19:46.497"</f>
        <v>20:19:46.497</v>
      </c>
      <c r="BZ1321">
        <v>0</v>
      </c>
      <c r="CA1321">
        <v>2016</v>
      </c>
      <c r="CB1321">
        <v>224</v>
      </c>
      <c r="CD1321">
        <v>1</v>
      </c>
      <c r="CE1321">
        <v>0</v>
      </c>
      <c r="CF1321">
        <v>0</v>
      </c>
      <c r="CG1321">
        <v>1</v>
      </c>
      <c r="CH1321">
        <v>0</v>
      </c>
      <c r="CI1321">
        <v>0</v>
      </c>
      <c r="CJ1321">
        <v>0</v>
      </c>
      <c r="CK1321">
        <v>2</v>
      </c>
      <c r="CL1321">
        <v>0</v>
      </c>
      <c r="CM1321">
        <v>2</v>
      </c>
      <c r="CN1321">
        <v>0</v>
      </c>
      <c r="CO1321">
        <v>7</v>
      </c>
      <c r="CP1321" t="s">
        <v>119</v>
      </c>
      <c r="CQ1321">
        <v>180</v>
      </c>
      <c r="CR1321">
        <v>2</v>
      </c>
      <c r="CW1321">
        <v>8153264</v>
      </c>
      <c r="CY1321">
        <v>1</v>
      </c>
      <c r="CZ1321">
        <v>0</v>
      </c>
      <c r="DA1321">
        <v>1</v>
      </c>
      <c r="DB1321">
        <v>0</v>
      </c>
      <c r="DC1321">
        <v>0</v>
      </c>
      <c r="DD1321">
        <v>0</v>
      </c>
      <c r="DE1321">
        <v>0</v>
      </c>
      <c r="DF1321">
        <v>0</v>
      </c>
      <c r="DG1321">
        <v>0</v>
      </c>
      <c r="DH1321">
        <v>0</v>
      </c>
      <c r="DI1321">
        <v>0</v>
      </c>
    </row>
    <row r="1322" spans="1:113" x14ac:dyDescent="0.3">
      <c r="A1322" t="str">
        <f>"02/08/2021 20:19:44.162"</f>
        <v>02/08/2021 20:19:44.162</v>
      </c>
      <c r="C1322" t="str">
        <f t="shared" si="62"/>
        <v>FFDFD7C0</v>
      </c>
      <c r="D1322" t="s">
        <v>124</v>
      </c>
      <c r="E1322">
        <v>13</v>
      </c>
      <c r="F1322">
        <v>1013</v>
      </c>
      <c r="G1322" t="s">
        <v>114</v>
      </c>
      <c r="J1322" t="s">
        <v>125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>"20:19:46.492"</f>
        <v>20:19:46.492</v>
      </c>
      <c r="T1322" t="str">
        <f>"20:19:46.092"</f>
        <v>20:19:46.092</v>
      </c>
      <c r="U1322" t="str">
        <f t="shared" si="61"/>
        <v>AB01F4</v>
      </c>
      <c r="V1322">
        <v>0</v>
      </c>
      <c r="W1322">
        <v>0</v>
      </c>
      <c r="X1322">
        <v>2</v>
      </c>
      <c r="Z1322">
        <v>0</v>
      </c>
      <c r="AA1322">
        <v>9</v>
      </c>
      <c r="AB1322">
        <v>3</v>
      </c>
      <c r="AC1322">
        <v>0</v>
      </c>
      <c r="AD1322">
        <v>10</v>
      </c>
      <c r="AE1322">
        <v>0</v>
      </c>
      <c r="AF1322">
        <v>3</v>
      </c>
      <c r="AG1322">
        <v>2</v>
      </c>
      <c r="AH1322">
        <v>0</v>
      </c>
      <c r="AI1322" t="s">
        <v>926</v>
      </c>
      <c r="AJ1322">
        <v>39.780850000000001</v>
      </c>
      <c r="AK1322" t="s">
        <v>927</v>
      </c>
      <c r="AL1322">
        <v>-92.515376000000003</v>
      </c>
      <c r="AM1322">
        <v>100</v>
      </c>
      <c r="AN1322">
        <v>1700</v>
      </c>
      <c r="AO1322" t="s">
        <v>118</v>
      </c>
      <c r="AP1322">
        <v>-14</v>
      </c>
      <c r="AQ1322">
        <v>120</v>
      </c>
      <c r="AR1322">
        <v>0</v>
      </c>
      <c r="AZ1322">
        <v>1200</v>
      </c>
      <c r="BA1322">
        <v>1</v>
      </c>
      <c r="BB1322" t="str">
        <f t="shared" si="63"/>
        <v xml:space="preserve">N8080G  </v>
      </c>
      <c r="BC1322">
        <v>1</v>
      </c>
      <c r="BE1322">
        <v>0</v>
      </c>
      <c r="BF1322">
        <v>0</v>
      </c>
      <c r="BG1322">
        <v>0</v>
      </c>
      <c r="BH1322">
        <v>1675</v>
      </c>
      <c r="BI1322">
        <v>1</v>
      </c>
      <c r="BJ1322">
        <v>1</v>
      </c>
      <c r="BK1322">
        <v>1</v>
      </c>
      <c r="BL1322">
        <v>0</v>
      </c>
      <c r="BO1322">
        <v>0</v>
      </c>
      <c r="BP1322">
        <v>0</v>
      </c>
      <c r="BW1322" t="str">
        <f>"20:19:46.497"</f>
        <v>20:19:46.497</v>
      </c>
      <c r="BZ1322">
        <v>0</v>
      </c>
      <c r="CA1322">
        <v>2016</v>
      </c>
      <c r="CB1322">
        <v>224</v>
      </c>
      <c r="CD1322">
        <v>1</v>
      </c>
      <c r="CE1322">
        <v>0</v>
      </c>
      <c r="CF1322">
        <v>0</v>
      </c>
      <c r="CG1322">
        <v>1</v>
      </c>
      <c r="CH1322">
        <v>0</v>
      </c>
      <c r="CI1322">
        <v>0</v>
      </c>
      <c r="CJ1322">
        <v>0</v>
      </c>
      <c r="CK1322">
        <v>2</v>
      </c>
      <c r="CL1322">
        <v>0</v>
      </c>
      <c r="CM1322">
        <v>2</v>
      </c>
      <c r="CN1322">
        <v>0</v>
      </c>
      <c r="CO1322">
        <v>7</v>
      </c>
      <c r="CP1322" t="s">
        <v>119</v>
      </c>
      <c r="CQ1322">
        <v>180</v>
      </c>
      <c r="CR1322">
        <v>2</v>
      </c>
      <c r="CW1322">
        <v>8153264</v>
      </c>
      <c r="CY1322">
        <v>1</v>
      </c>
      <c r="CZ1322">
        <v>0</v>
      </c>
      <c r="DA1322">
        <v>1</v>
      </c>
      <c r="DB1322">
        <v>0</v>
      </c>
      <c r="DC1322">
        <v>0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0</v>
      </c>
    </row>
    <row r="1323" spans="1:113" x14ac:dyDescent="0.3">
      <c r="A1323" t="str">
        <f>"02/08/2021 20:19:45.706"</f>
        <v>02/08/2021 20:19:45.706</v>
      </c>
      <c r="C1323" t="str">
        <f t="shared" si="62"/>
        <v>FFDFD7C0</v>
      </c>
      <c r="D1323" t="s">
        <v>124</v>
      </c>
      <c r="E1323">
        <v>13</v>
      </c>
      <c r="F1323">
        <v>1013</v>
      </c>
      <c r="G1323" t="s">
        <v>114</v>
      </c>
      <c r="J1323" t="s">
        <v>125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>"20:19:48.047"</f>
        <v>20:19:48.047</v>
      </c>
      <c r="T1323" t="str">
        <f>"20:19:47.547"</f>
        <v>20:19:47.547</v>
      </c>
      <c r="U1323" t="str">
        <f t="shared" si="61"/>
        <v>AB01F4</v>
      </c>
      <c r="V1323">
        <v>0</v>
      </c>
      <c r="W1323">
        <v>0</v>
      </c>
      <c r="X1323">
        <v>2</v>
      </c>
      <c r="Z1323">
        <v>0</v>
      </c>
      <c r="AA1323">
        <v>9</v>
      </c>
      <c r="AB1323">
        <v>3</v>
      </c>
      <c r="AC1323">
        <v>0</v>
      </c>
      <c r="AD1323">
        <v>10</v>
      </c>
      <c r="AE1323">
        <v>0</v>
      </c>
      <c r="AF1323">
        <v>3</v>
      </c>
      <c r="AG1323">
        <v>2</v>
      </c>
      <c r="AH1323">
        <v>0</v>
      </c>
      <c r="AI1323" t="s">
        <v>928</v>
      </c>
      <c r="AJ1323">
        <v>39.781773000000001</v>
      </c>
      <c r="AK1323" t="s">
        <v>699</v>
      </c>
      <c r="AL1323">
        <v>-92.515568999999999</v>
      </c>
      <c r="AM1323">
        <v>100</v>
      </c>
      <c r="AN1323">
        <v>1700</v>
      </c>
      <c r="AO1323" t="s">
        <v>118</v>
      </c>
      <c r="AP1323">
        <v>-14</v>
      </c>
      <c r="AQ1323">
        <v>120</v>
      </c>
      <c r="AR1323">
        <v>0</v>
      </c>
      <c r="AZ1323">
        <v>1200</v>
      </c>
      <c r="BA1323">
        <v>1</v>
      </c>
      <c r="BB1323" t="str">
        <f t="shared" si="63"/>
        <v xml:space="preserve">N8080G  </v>
      </c>
      <c r="BC1323">
        <v>1</v>
      </c>
      <c r="BE1323">
        <v>0</v>
      </c>
      <c r="BF1323">
        <v>0</v>
      </c>
      <c r="BG1323">
        <v>0</v>
      </c>
      <c r="BH1323">
        <v>1675</v>
      </c>
      <c r="BI1323">
        <v>1</v>
      </c>
      <c r="BJ1323">
        <v>1</v>
      </c>
      <c r="BK1323">
        <v>1</v>
      </c>
      <c r="BL1323">
        <v>0</v>
      </c>
      <c r="BO1323">
        <v>0</v>
      </c>
      <c r="BP1323">
        <v>0</v>
      </c>
      <c r="BW1323" t="str">
        <f>"20:19:48.048"</f>
        <v>20:19:48.048</v>
      </c>
      <c r="BZ1323">
        <v>0</v>
      </c>
      <c r="CA1323">
        <v>2016</v>
      </c>
      <c r="CB1323">
        <v>224</v>
      </c>
      <c r="CD1323">
        <v>1</v>
      </c>
      <c r="CE1323">
        <v>0</v>
      </c>
      <c r="CF1323">
        <v>0</v>
      </c>
      <c r="CG1323">
        <v>1</v>
      </c>
      <c r="CH1323">
        <v>0</v>
      </c>
      <c r="CI1323">
        <v>0</v>
      </c>
      <c r="CJ1323">
        <v>0</v>
      </c>
      <c r="CK1323">
        <v>2</v>
      </c>
      <c r="CL1323">
        <v>0</v>
      </c>
      <c r="CM1323">
        <v>2</v>
      </c>
      <c r="CN1323">
        <v>0</v>
      </c>
      <c r="CO1323">
        <v>7</v>
      </c>
      <c r="CP1323" t="s">
        <v>119</v>
      </c>
      <c r="CQ1323">
        <v>180</v>
      </c>
      <c r="CR1323">
        <v>2</v>
      </c>
      <c r="CW1323">
        <v>8154567</v>
      </c>
      <c r="CY1323">
        <v>1</v>
      </c>
      <c r="CZ1323">
        <v>0</v>
      </c>
      <c r="DA1323">
        <v>0</v>
      </c>
      <c r="DB1323">
        <v>0</v>
      </c>
      <c r="DC1323">
        <v>0</v>
      </c>
      <c r="DD1323">
        <v>0</v>
      </c>
      <c r="DE1323">
        <v>0</v>
      </c>
      <c r="DF1323">
        <v>0</v>
      </c>
      <c r="DG1323">
        <v>0</v>
      </c>
      <c r="DH1323">
        <v>0</v>
      </c>
      <c r="DI1323">
        <v>0</v>
      </c>
    </row>
    <row r="1324" spans="1:113" x14ac:dyDescent="0.3">
      <c r="A1324" t="str">
        <f>"02/08/2021 20:19:45.706"</f>
        <v>02/08/2021 20:19:45.706</v>
      </c>
      <c r="C1324" t="str">
        <f t="shared" si="62"/>
        <v>FFDFD7C0</v>
      </c>
      <c r="D1324" t="s">
        <v>124</v>
      </c>
      <c r="E1324">
        <v>11</v>
      </c>
      <c r="F1324">
        <v>1011</v>
      </c>
      <c r="G1324" t="s">
        <v>590</v>
      </c>
      <c r="J1324" t="s">
        <v>125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>"20:19:48.047"</f>
        <v>20:19:48.047</v>
      </c>
      <c r="T1324" t="str">
        <f>"20:19:47.547"</f>
        <v>20:19:47.547</v>
      </c>
      <c r="U1324" t="str">
        <f t="shared" si="61"/>
        <v>AB01F4</v>
      </c>
      <c r="V1324">
        <v>0</v>
      </c>
      <c r="W1324">
        <v>0</v>
      </c>
      <c r="X1324">
        <v>2</v>
      </c>
      <c r="Z1324">
        <v>0</v>
      </c>
      <c r="AA1324">
        <v>9</v>
      </c>
      <c r="AB1324">
        <v>3</v>
      </c>
      <c r="AC1324">
        <v>0</v>
      </c>
      <c r="AD1324">
        <v>10</v>
      </c>
      <c r="AE1324">
        <v>0</v>
      </c>
      <c r="AF1324">
        <v>3</v>
      </c>
      <c r="AG1324">
        <v>2</v>
      </c>
      <c r="AH1324">
        <v>0</v>
      </c>
      <c r="AI1324" t="s">
        <v>928</v>
      </c>
      <c r="AJ1324">
        <v>39.781773000000001</v>
      </c>
      <c r="AK1324" t="s">
        <v>699</v>
      </c>
      <c r="AL1324">
        <v>-92.515568999999999</v>
      </c>
      <c r="AM1324">
        <v>100</v>
      </c>
      <c r="AN1324">
        <v>1700</v>
      </c>
      <c r="AO1324" t="s">
        <v>118</v>
      </c>
      <c r="AP1324">
        <v>-14</v>
      </c>
      <c r="AQ1324">
        <v>120</v>
      </c>
      <c r="AR1324">
        <v>0</v>
      </c>
      <c r="AZ1324">
        <v>1200</v>
      </c>
      <c r="BA1324">
        <v>1</v>
      </c>
      <c r="BB1324" t="str">
        <f t="shared" si="63"/>
        <v xml:space="preserve">N8080G  </v>
      </c>
      <c r="BC1324">
        <v>1</v>
      </c>
      <c r="BE1324">
        <v>0</v>
      </c>
      <c r="BF1324">
        <v>0</v>
      </c>
      <c r="BG1324">
        <v>0</v>
      </c>
      <c r="BH1324">
        <v>1675</v>
      </c>
      <c r="BI1324">
        <v>1</v>
      </c>
      <c r="BJ1324">
        <v>1</v>
      </c>
      <c r="BK1324">
        <v>1</v>
      </c>
      <c r="BL1324">
        <v>0</v>
      </c>
      <c r="BO1324">
        <v>0</v>
      </c>
      <c r="BP1324">
        <v>0</v>
      </c>
      <c r="BW1324" t="str">
        <f>"20:19:48.048"</f>
        <v>20:19:48.048</v>
      </c>
      <c r="BZ1324">
        <v>0</v>
      </c>
      <c r="CA1324">
        <v>2016</v>
      </c>
      <c r="CB1324">
        <v>224</v>
      </c>
      <c r="CD1324">
        <v>1</v>
      </c>
      <c r="CE1324">
        <v>0</v>
      </c>
      <c r="CF1324">
        <v>0</v>
      </c>
      <c r="CG1324">
        <v>1</v>
      </c>
      <c r="CH1324">
        <v>0</v>
      </c>
      <c r="CI1324">
        <v>0</v>
      </c>
      <c r="CJ1324">
        <v>0</v>
      </c>
      <c r="CK1324">
        <v>2</v>
      </c>
      <c r="CL1324">
        <v>0</v>
      </c>
      <c r="CM1324">
        <v>2</v>
      </c>
      <c r="CN1324">
        <v>0</v>
      </c>
      <c r="CO1324">
        <v>7</v>
      </c>
      <c r="CP1324" t="s">
        <v>119</v>
      </c>
      <c r="CQ1324">
        <v>180</v>
      </c>
      <c r="CR1324">
        <v>2</v>
      </c>
      <c r="CW1324">
        <v>8154567</v>
      </c>
      <c r="CY1324">
        <v>1</v>
      </c>
      <c r="CZ1324">
        <v>0</v>
      </c>
      <c r="DA1324">
        <v>1</v>
      </c>
      <c r="DB1324">
        <v>0</v>
      </c>
      <c r="DC1324">
        <v>0</v>
      </c>
      <c r="DD1324">
        <v>0</v>
      </c>
      <c r="DE1324">
        <v>0</v>
      </c>
      <c r="DF1324">
        <v>0</v>
      </c>
      <c r="DG1324">
        <v>0</v>
      </c>
      <c r="DH1324">
        <v>0</v>
      </c>
      <c r="DI1324">
        <v>0</v>
      </c>
    </row>
    <row r="1325" spans="1:113" x14ac:dyDescent="0.3">
      <c r="A1325" t="str">
        <f>"02/08/2021 20:19:45.706"</f>
        <v>02/08/2021 20:19:45.706</v>
      </c>
      <c r="C1325" t="str">
        <f t="shared" si="62"/>
        <v>FFDFD7C0</v>
      </c>
      <c r="D1325" t="s">
        <v>113</v>
      </c>
      <c r="E1325">
        <v>6</v>
      </c>
      <c r="H1325">
        <v>165</v>
      </c>
      <c r="I1325" t="s">
        <v>114</v>
      </c>
      <c r="J1325" t="s">
        <v>115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>"20:19:48.047"</f>
        <v>20:19:48.047</v>
      </c>
      <c r="T1325" t="str">
        <f>"20:19:47.547"</f>
        <v>20:19:47.547</v>
      </c>
      <c r="U1325" t="str">
        <f t="shared" si="61"/>
        <v>AB01F4</v>
      </c>
      <c r="V1325">
        <v>0</v>
      </c>
      <c r="W1325">
        <v>0</v>
      </c>
      <c r="X1325">
        <v>2</v>
      </c>
      <c r="Z1325">
        <v>0</v>
      </c>
      <c r="AA1325">
        <v>9</v>
      </c>
      <c r="AB1325">
        <v>3</v>
      </c>
      <c r="AC1325">
        <v>0</v>
      </c>
      <c r="AD1325">
        <v>10</v>
      </c>
      <c r="AE1325">
        <v>0</v>
      </c>
      <c r="AF1325">
        <v>3</v>
      </c>
      <c r="AG1325">
        <v>2</v>
      </c>
      <c r="AH1325">
        <v>0</v>
      </c>
      <c r="AI1325" t="s">
        <v>928</v>
      </c>
      <c r="AJ1325">
        <v>39.781773000000001</v>
      </c>
      <c r="AK1325" t="s">
        <v>699</v>
      </c>
      <c r="AL1325">
        <v>-92.515568999999999</v>
      </c>
      <c r="AM1325">
        <v>100</v>
      </c>
      <c r="AN1325">
        <v>1700</v>
      </c>
      <c r="AO1325" t="s">
        <v>118</v>
      </c>
      <c r="AP1325">
        <v>-14</v>
      </c>
      <c r="AQ1325">
        <v>120</v>
      </c>
      <c r="AR1325">
        <v>0</v>
      </c>
      <c r="AZ1325">
        <v>1200</v>
      </c>
      <c r="BA1325">
        <v>1</v>
      </c>
      <c r="BB1325" t="str">
        <f t="shared" si="63"/>
        <v xml:space="preserve">N8080G  </v>
      </c>
      <c r="BC1325">
        <v>1</v>
      </c>
      <c r="BE1325">
        <v>0</v>
      </c>
      <c r="BF1325">
        <v>0</v>
      </c>
      <c r="BG1325">
        <v>0</v>
      </c>
      <c r="BH1325">
        <v>1675</v>
      </c>
      <c r="BI1325">
        <v>1</v>
      </c>
      <c r="BJ1325">
        <v>1</v>
      </c>
      <c r="BK1325">
        <v>1</v>
      </c>
      <c r="BL1325">
        <v>0</v>
      </c>
      <c r="BO1325">
        <v>0</v>
      </c>
      <c r="BP1325">
        <v>0</v>
      </c>
      <c r="BW1325" t="str">
        <f>"20:19:48.048"</f>
        <v>20:19:48.048</v>
      </c>
      <c r="BZ1325">
        <v>0</v>
      </c>
      <c r="CA1325">
        <v>2016</v>
      </c>
      <c r="CB1325">
        <v>224</v>
      </c>
      <c r="CD1325">
        <v>1</v>
      </c>
      <c r="CE1325">
        <v>0</v>
      </c>
      <c r="CF1325">
        <v>0</v>
      </c>
      <c r="CG1325">
        <v>1</v>
      </c>
      <c r="CH1325">
        <v>0</v>
      </c>
      <c r="CI1325">
        <v>0</v>
      </c>
      <c r="CJ1325">
        <v>0</v>
      </c>
      <c r="CK1325">
        <v>2</v>
      </c>
      <c r="CL1325">
        <v>0</v>
      </c>
      <c r="CM1325">
        <v>2</v>
      </c>
      <c r="CN1325">
        <v>0</v>
      </c>
      <c r="CO1325">
        <v>7</v>
      </c>
      <c r="CP1325" t="s">
        <v>119</v>
      </c>
      <c r="CQ1325">
        <v>180</v>
      </c>
      <c r="CR1325">
        <v>2</v>
      </c>
      <c r="CW1325">
        <v>8154567</v>
      </c>
      <c r="CY1325">
        <v>1</v>
      </c>
      <c r="CZ1325">
        <v>0</v>
      </c>
      <c r="DA1325">
        <v>1</v>
      </c>
      <c r="DB1325">
        <v>0</v>
      </c>
      <c r="DC1325">
        <v>0</v>
      </c>
      <c r="DD1325">
        <v>0</v>
      </c>
      <c r="DE1325">
        <v>0</v>
      </c>
      <c r="DF1325">
        <v>0</v>
      </c>
      <c r="DG1325">
        <v>0</v>
      </c>
      <c r="DH1325">
        <v>0</v>
      </c>
      <c r="DI1325">
        <v>0</v>
      </c>
    </row>
    <row r="1326" spans="1:113" x14ac:dyDescent="0.3">
      <c r="A1326" t="str">
        <f>"02/08/2021 20:19:45.706"</f>
        <v>02/08/2021 20:19:45.706</v>
      </c>
      <c r="C1326" t="str">
        <f t="shared" si="62"/>
        <v>FFDFD7C0</v>
      </c>
      <c r="D1326" t="s">
        <v>124</v>
      </c>
      <c r="E1326">
        <v>12</v>
      </c>
      <c r="F1326">
        <v>1012</v>
      </c>
      <c r="G1326" t="s">
        <v>675</v>
      </c>
      <c r="J1326" t="s">
        <v>125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>"20:19:48.047"</f>
        <v>20:19:48.047</v>
      </c>
      <c r="T1326" t="str">
        <f>"20:19:47.547"</f>
        <v>20:19:47.547</v>
      </c>
      <c r="U1326" t="str">
        <f t="shared" si="61"/>
        <v>AB01F4</v>
      </c>
      <c r="V1326">
        <v>0</v>
      </c>
      <c r="W1326">
        <v>0</v>
      </c>
      <c r="X1326">
        <v>2</v>
      </c>
      <c r="Z1326">
        <v>0</v>
      </c>
      <c r="AA1326">
        <v>9</v>
      </c>
      <c r="AB1326">
        <v>3</v>
      </c>
      <c r="AC1326">
        <v>0</v>
      </c>
      <c r="AD1326">
        <v>10</v>
      </c>
      <c r="AE1326">
        <v>0</v>
      </c>
      <c r="AF1326">
        <v>3</v>
      </c>
      <c r="AG1326">
        <v>2</v>
      </c>
      <c r="AH1326">
        <v>0</v>
      </c>
      <c r="AI1326" t="s">
        <v>928</v>
      </c>
      <c r="AJ1326">
        <v>39.781773000000001</v>
      </c>
      <c r="AK1326" t="s">
        <v>699</v>
      </c>
      <c r="AL1326">
        <v>-92.515568999999999</v>
      </c>
      <c r="AM1326">
        <v>100</v>
      </c>
      <c r="AN1326">
        <v>1700</v>
      </c>
      <c r="AO1326" t="s">
        <v>118</v>
      </c>
      <c r="AP1326">
        <v>-14</v>
      </c>
      <c r="AQ1326">
        <v>120</v>
      </c>
      <c r="AR1326">
        <v>0</v>
      </c>
      <c r="AZ1326">
        <v>1200</v>
      </c>
      <c r="BA1326">
        <v>1</v>
      </c>
      <c r="BB1326" t="str">
        <f t="shared" si="63"/>
        <v xml:space="preserve">N8080G  </v>
      </c>
      <c r="BC1326">
        <v>1</v>
      </c>
      <c r="BE1326">
        <v>0</v>
      </c>
      <c r="BF1326">
        <v>0</v>
      </c>
      <c r="BG1326">
        <v>0</v>
      </c>
      <c r="BH1326">
        <v>1675</v>
      </c>
      <c r="BI1326">
        <v>1</v>
      </c>
      <c r="BJ1326">
        <v>1</v>
      </c>
      <c r="BK1326">
        <v>1</v>
      </c>
      <c r="BL1326">
        <v>0</v>
      </c>
      <c r="BO1326">
        <v>0</v>
      </c>
      <c r="BP1326">
        <v>0</v>
      </c>
      <c r="BW1326" t="str">
        <f>"20:19:48.048"</f>
        <v>20:19:48.048</v>
      </c>
      <c r="BZ1326">
        <v>0</v>
      </c>
      <c r="CA1326">
        <v>2016</v>
      </c>
      <c r="CB1326">
        <v>224</v>
      </c>
      <c r="CD1326">
        <v>1</v>
      </c>
      <c r="CE1326">
        <v>0</v>
      </c>
      <c r="CF1326">
        <v>0</v>
      </c>
      <c r="CG1326">
        <v>1</v>
      </c>
      <c r="CH1326">
        <v>0</v>
      </c>
      <c r="CI1326">
        <v>0</v>
      </c>
      <c r="CJ1326">
        <v>0</v>
      </c>
      <c r="CK1326">
        <v>2</v>
      </c>
      <c r="CL1326">
        <v>0</v>
      </c>
      <c r="CM1326">
        <v>2</v>
      </c>
      <c r="CN1326">
        <v>0</v>
      </c>
      <c r="CO1326">
        <v>7</v>
      </c>
      <c r="CP1326" t="s">
        <v>119</v>
      </c>
      <c r="CQ1326">
        <v>180</v>
      </c>
      <c r="CR1326">
        <v>2</v>
      </c>
      <c r="CW1326">
        <v>8154567</v>
      </c>
      <c r="CY1326">
        <v>1</v>
      </c>
      <c r="CZ1326">
        <v>0</v>
      </c>
      <c r="DA1326">
        <v>1</v>
      </c>
      <c r="DB1326">
        <v>0</v>
      </c>
      <c r="DC1326">
        <v>0</v>
      </c>
      <c r="DD1326">
        <v>0</v>
      </c>
      <c r="DE1326">
        <v>0</v>
      </c>
      <c r="DF1326">
        <v>0</v>
      </c>
      <c r="DG1326">
        <v>0</v>
      </c>
      <c r="DH1326">
        <v>0</v>
      </c>
      <c r="DI1326">
        <v>0</v>
      </c>
    </row>
    <row r="1327" spans="1:113" x14ac:dyDescent="0.3">
      <c r="A1327" t="str">
        <f>"02/08/2021 20:19:47.345"</f>
        <v>02/08/2021 20:19:47.345</v>
      </c>
      <c r="C1327" t="str">
        <f t="shared" si="62"/>
        <v>FFDFD7C0</v>
      </c>
      <c r="D1327" t="s">
        <v>113</v>
      </c>
      <c r="E1327">
        <v>6</v>
      </c>
      <c r="H1327">
        <v>165</v>
      </c>
      <c r="I1327" t="s">
        <v>114</v>
      </c>
      <c r="J1327" t="s">
        <v>115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>"20:19:49.656"</f>
        <v>20:19:49.656</v>
      </c>
      <c r="T1327" t="str">
        <f>"20:19:49.156"</f>
        <v>20:19:49.156</v>
      </c>
      <c r="U1327" t="str">
        <f t="shared" si="61"/>
        <v>AB01F4</v>
      </c>
      <c r="V1327">
        <v>0</v>
      </c>
      <c r="W1327">
        <v>0</v>
      </c>
      <c r="X1327">
        <v>2</v>
      </c>
      <c r="Z1327">
        <v>0</v>
      </c>
      <c r="AA1327">
        <v>9</v>
      </c>
      <c r="AB1327">
        <v>3</v>
      </c>
      <c r="AC1327">
        <v>0</v>
      </c>
      <c r="AD1327">
        <v>10</v>
      </c>
      <c r="AE1327">
        <v>0</v>
      </c>
      <c r="AF1327">
        <v>3</v>
      </c>
      <c r="AG1327">
        <v>2</v>
      </c>
      <c r="AH1327">
        <v>0</v>
      </c>
      <c r="AI1327" t="s">
        <v>929</v>
      </c>
      <c r="AJ1327">
        <v>39.782653000000003</v>
      </c>
      <c r="AK1327" t="s">
        <v>930</v>
      </c>
      <c r="AL1327">
        <v>-92.515675999999999</v>
      </c>
      <c r="AM1327">
        <v>100</v>
      </c>
      <c r="AN1327">
        <v>1700</v>
      </c>
      <c r="AO1327" t="s">
        <v>118</v>
      </c>
      <c r="AP1327">
        <v>-15</v>
      </c>
      <c r="AQ1327">
        <v>120</v>
      </c>
      <c r="AR1327">
        <v>-64</v>
      </c>
      <c r="AZ1327">
        <v>1200</v>
      </c>
      <c r="BA1327">
        <v>1</v>
      </c>
      <c r="BB1327" t="str">
        <f t="shared" si="63"/>
        <v xml:space="preserve">N8080G  </v>
      </c>
      <c r="BC1327">
        <v>1</v>
      </c>
      <c r="BE1327">
        <v>0</v>
      </c>
      <c r="BF1327">
        <v>0</v>
      </c>
      <c r="BG1327">
        <v>0</v>
      </c>
      <c r="BH1327">
        <v>1675</v>
      </c>
      <c r="BI1327">
        <v>1</v>
      </c>
      <c r="BJ1327">
        <v>1</v>
      </c>
      <c r="BK1327">
        <v>1</v>
      </c>
      <c r="BL1327">
        <v>0</v>
      </c>
      <c r="BO1327">
        <v>0</v>
      </c>
      <c r="BP1327">
        <v>0</v>
      </c>
      <c r="BW1327" t="str">
        <f>"20:19:49.664"</f>
        <v>20:19:49.664</v>
      </c>
      <c r="BZ1327">
        <v>0</v>
      </c>
      <c r="CA1327">
        <v>2016</v>
      </c>
      <c r="CB1327">
        <v>224</v>
      </c>
      <c r="CD1327">
        <v>1</v>
      </c>
      <c r="CE1327">
        <v>0</v>
      </c>
      <c r="CF1327">
        <v>0</v>
      </c>
      <c r="CG1327">
        <v>1</v>
      </c>
      <c r="CH1327">
        <v>0</v>
      </c>
      <c r="CI1327">
        <v>0</v>
      </c>
      <c r="CJ1327">
        <v>0</v>
      </c>
      <c r="CK1327">
        <v>2</v>
      </c>
      <c r="CL1327">
        <v>0</v>
      </c>
      <c r="CM1327">
        <v>2</v>
      </c>
      <c r="CN1327">
        <v>0</v>
      </c>
      <c r="CO1327">
        <v>7</v>
      </c>
      <c r="CP1327" t="s">
        <v>119</v>
      </c>
      <c r="CQ1327">
        <v>180</v>
      </c>
      <c r="CR1327">
        <v>2</v>
      </c>
      <c r="CW1327">
        <v>8155811</v>
      </c>
      <c r="CY1327">
        <v>1</v>
      </c>
      <c r="CZ1327">
        <v>0</v>
      </c>
      <c r="DA1327">
        <v>0</v>
      </c>
      <c r="DB1327">
        <v>0</v>
      </c>
      <c r="DC1327">
        <v>0</v>
      </c>
      <c r="DD1327">
        <v>0</v>
      </c>
      <c r="DE1327">
        <v>0</v>
      </c>
      <c r="DF1327">
        <v>0</v>
      </c>
      <c r="DG1327">
        <v>0</v>
      </c>
      <c r="DH1327">
        <v>0</v>
      </c>
      <c r="DI1327">
        <v>0</v>
      </c>
    </row>
    <row r="1328" spans="1:113" x14ac:dyDescent="0.3">
      <c r="A1328" t="str">
        <f>"02/08/2021 20:19:47.345"</f>
        <v>02/08/2021 20:19:47.345</v>
      </c>
      <c r="C1328" t="str">
        <f t="shared" si="62"/>
        <v>FFDFD7C0</v>
      </c>
      <c r="D1328" t="s">
        <v>124</v>
      </c>
      <c r="E1328">
        <v>12</v>
      </c>
      <c r="F1328">
        <v>1012</v>
      </c>
      <c r="G1328" t="s">
        <v>675</v>
      </c>
      <c r="J1328" t="s">
        <v>125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>"20:19:49.656"</f>
        <v>20:19:49.656</v>
      </c>
      <c r="T1328" t="str">
        <f>"20:19:49.156"</f>
        <v>20:19:49.156</v>
      </c>
      <c r="U1328" t="str">
        <f t="shared" si="61"/>
        <v>AB01F4</v>
      </c>
      <c r="V1328">
        <v>0</v>
      </c>
      <c r="W1328">
        <v>0</v>
      </c>
      <c r="X1328">
        <v>2</v>
      </c>
      <c r="Z1328">
        <v>0</v>
      </c>
      <c r="AA1328">
        <v>9</v>
      </c>
      <c r="AB1328">
        <v>3</v>
      </c>
      <c r="AC1328">
        <v>0</v>
      </c>
      <c r="AD1328">
        <v>10</v>
      </c>
      <c r="AE1328">
        <v>0</v>
      </c>
      <c r="AF1328">
        <v>3</v>
      </c>
      <c r="AG1328">
        <v>2</v>
      </c>
      <c r="AH1328">
        <v>0</v>
      </c>
      <c r="AI1328" t="s">
        <v>929</v>
      </c>
      <c r="AJ1328">
        <v>39.782653000000003</v>
      </c>
      <c r="AK1328" t="s">
        <v>930</v>
      </c>
      <c r="AL1328">
        <v>-92.515675999999999</v>
      </c>
      <c r="AM1328">
        <v>100</v>
      </c>
      <c r="AN1328">
        <v>1700</v>
      </c>
      <c r="AO1328" t="s">
        <v>118</v>
      </c>
      <c r="AP1328">
        <v>-15</v>
      </c>
      <c r="AQ1328">
        <v>120</v>
      </c>
      <c r="AR1328">
        <v>-64</v>
      </c>
      <c r="AZ1328">
        <v>1200</v>
      </c>
      <c r="BA1328">
        <v>1</v>
      </c>
      <c r="BB1328" t="str">
        <f t="shared" si="63"/>
        <v xml:space="preserve">N8080G  </v>
      </c>
      <c r="BC1328">
        <v>1</v>
      </c>
      <c r="BE1328">
        <v>0</v>
      </c>
      <c r="BF1328">
        <v>0</v>
      </c>
      <c r="BG1328">
        <v>0</v>
      </c>
      <c r="BH1328">
        <v>1675</v>
      </c>
      <c r="BI1328">
        <v>1</v>
      </c>
      <c r="BJ1328">
        <v>1</v>
      </c>
      <c r="BK1328">
        <v>1</v>
      </c>
      <c r="BL1328">
        <v>0</v>
      </c>
      <c r="BO1328">
        <v>0</v>
      </c>
      <c r="BP1328">
        <v>0</v>
      </c>
      <c r="BW1328" t="str">
        <f>"20:19:49.664"</f>
        <v>20:19:49.664</v>
      </c>
      <c r="BZ1328">
        <v>0</v>
      </c>
      <c r="CA1328">
        <v>2016</v>
      </c>
      <c r="CB1328">
        <v>224</v>
      </c>
      <c r="CD1328">
        <v>1</v>
      </c>
      <c r="CE1328">
        <v>0</v>
      </c>
      <c r="CF1328">
        <v>0</v>
      </c>
      <c r="CG1328">
        <v>1</v>
      </c>
      <c r="CH1328">
        <v>0</v>
      </c>
      <c r="CI1328">
        <v>0</v>
      </c>
      <c r="CJ1328">
        <v>0</v>
      </c>
      <c r="CK1328">
        <v>2</v>
      </c>
      <c r="CL1328">
        <v>0</v>
      </c>
      <c r="CM1328">
        <v>2</v>
      </c>
      <c r="CN1328">
        <v>0</v>
      </c>
      <c r="CO1328">
        <v>7</v>
      </c>
      <c r="CP1328" t="s">
        <v>119</v>
      </c>
      <c r="CQ1328">
        <v>180</v>
      </c>
      <c r="CR1328">
        <v>2</v>
      </c>
      <c r="CW1328">
        <v>8155811</v>
      </c>
      <c r="CY1328">
        <v>1</v>
      </c>
      <c r="CZ1328">
        <v>0</v>
      </c>
      <c r="DA1328">
        <v>1</v>
      </c>
      <c r="DB1328">
        <v>0</v>
      </c>
      <c r="DC1328">
        <v>0</v>
      </c>
      <c r="DD1328">
        <v>0</v>
      </c>
      <c r="DE1328">
        <v>0</v>
      </c>
      <c r="DF1328">
        <v>0</v>
      </c>
      <c r="DG1328">
        <v>0</v>
      </c>
      <c r="DH1328">
        <v>0</v>
      </c>
      <c r="DI1328">
        <v>0</v>
      </c>
    </row>
    <row r="1329" spans="1:113" x14ac:dyDescent="0.3">
      <c r="A1329" t="str">
        <f>"02/08/2021 20:19:47.345"</f>
        <v>02/08/2021 20:19:47.345</v>
      </c>
      <c r="C1329" t="str">
        <f t="shared" si="62"/>
        <v>FFDFD7C0</v>
      </c>
      <c r="D1329" t="s">
        <v>124</v>
      </c>
      <c r="E1329">
        <v>13</v>
      </c>
      <c r="F1329">
        <v>1013</v>
      </c>
      <c r="G1329" t="s">
        <v>114</v>
      </c>
      <c r="J1329" t="s">
        <v>125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>"20:19:49.656"</f>
        <v>20:19:49.656</v>
      </c>
      <c r="T1329" t="str">
        <f>"20:19:49.156"</f>
        <v>20:19:49.156</v>
      </c>
      <c r="U1329" t="str">
        <f t="shared" si="61"/>
        <v>AB01F4</v>
      </c>
      <c r="V1329">
        <v>0</v>
      </c>
      <c r="W1329">
        <v>0</v>
      </c>
      <c r="X1329">
        <v>2</v>
      </c>
      <c r="Z1329">
        <v>0</v>
      </c>
      <c r="AA1329">
        <v>9</v>
      </c>
      <c r="AB1329">
        <v>3</v>
      </c>
      <c r="AC1329">
        <v>0</v>
      </c>
      <c r="AD1329">
        <v>10</v>
      </c>
      <c r="AE1329">
        <v>0</v>
      </c>
      <c r="AF1329">
        <v>3</v>
      </c>
      <c r="AG1329">
        <v>2</v>
      </c>
      <c r="AH1329">
        <v>0</v>
      </c>
      <c r="AI1329" t="s">
        <v>929</v>
      </c>
      <c r="AJ1329">
        <v>39.782653000000003</v>
      </c>
      <c r="AK1329" t="s">
        <v>930</v>
      </c>
      <c r="AL1329">
        <v>-92.515675999999999</v>
      </c>
      <c r="AM1329">
        <v>100</v>
      </c>
      <c r="AN1329">
        <v>1700</v>
      </c>
      <c r="AO1329" t="s">
        <v>118</v>
      </c>
      <c r="AP1329">
        <v>-15</v>
      </c>
      <c r="AQ1329">
        <v>120</v>
      </c>
      <c r="AR1329">
        <v>-64</v>
      </c>
      <c r="AZ1329">
        <v>1200</v>
      </c>
      <c r="BA1329">
        <v>1</v>
      </c>
      <c r="BB1329" t="str">
        <f t="shared" si="63"/>
        <v xml:space="preserve">N8080G  </v>
      </c>
      <c r="BC1329">
        <v>1</v>
      </c>
      <c r="BE1329">
        <v>0</v>
      </c>
      <c r="BF1329">
        <v>0</v>
      </c>
      <c r="BG1329">
        <v>0</v>
      </c>
      <c r="BH1329">
        <v>1675</v>
      </c>
      <c r="BI1329">
        <v>1</v>
      </c>
      <c r="BJ1329">
        <v>1</v>
      </c>
      <c r="BK1329">
        <v>1</v>
      </c>
      <c r="BL1329">
        <v>0</v>
      </c>
      <c r="BO1329">
        <v>0</v>
      </c>
      <c r="BP1329">
        <v>0</v>
      </c>
      <c r="BW1329" t="str">
        <f>"20:19:49.664"</f>
        <v>20:19:49.664</v>
      </c>
      <c r="BZ1329">
        <v>0</v>
      </c>
      <c r="CA1329">
        <v>2016</v>
      </c>
      <c r="CB1329">
        <v>224</v>
      </c>
      <c r="CD1329">
        <v>1</v>
      </c>
      <c r="CE1329">
        <v>0</v>
      </c>
      <c r="CF1329">
        <v>0</v>
      </c>
      <c r="CG1329">
        <v>1</v>
      </c>
      <c r="CH1329">
        <v>0</v>
      </c>
      <c r="CI1329">
        <v>0</v>
      </c>
      <c r="CJ1329">
        <v>0</v>
      </c>
      <c r="CK1329">
        <v>2</v>
      </c>
      <c r="CL1329">
        <v>0</v>
      </c>
      <c r="CM1329">
        <v>2</v>
      </c>
      <c r="CN1329">
        <v>0</v>
      </c>
      <c r="CO1329">
        <v>7</v>
      </c>
      <c r="CP1329" t="s">
        <v>119</v>
      </c>
      <c r="CQ1329">
        <v>180</v>
      </c>
      <c r="CR1329">
        <v>2</v>
      </c>
      <c r="CW1329">
        <v>8155811</v>
      </c>
      <c r="CY1329">
        <v>1</v>
      </c>
      <c r="CZ1329">
        <v>0</v>
      </c>
      <c r="DA1329">
        <v>1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>
        <v>0</v>
      </c>
      <c r="DH1329">
        <v>0</v>
      </c>
      <c r="DI1329">
        <v>0</v>
      </c>
    </row>
    <row r="1330" spans="1:113" x14ac:dyDescent="0.3">
      <c r="A1330" t="str">
        <f>"02/08/2021 20:19:47.345"</f>
        <v>02/08/2021 20:19:47.345</v>
      </c>
      <c r="C1330" t="str">
        <f t="shared" si="62"/>
        <v>FFDFD7C0</v>
      </c>
      <c r="D1330" t="s">
        <v>124</v>
      </c>
      <c r="E1330">
        <v>11</v>
      </c>
      <c r="F1330">
        <v>1011</v>
      </c>
      <c r="G1330" t="s">
        <v>590</v>
      </c>
      <c r="J1330" t="s">
        <v>125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>"20:19:49.656"</f>
        <v>20:19:49.656</v>
      </c>
      <c r="T1330" t="str">
        <f>"20:19:49.156"</f>
        <v>20:19:49.156</v>
      </c>
      <c r="U1330" t="str">
        <f t="shared" si="61"/>
        <v>AB01F4</v>
      </c>
      <c r="V1330">
        <v>0</v>
      </c>
      <c r="W1330">
        <v>0</v>
      </c>
      <c r="X1330">
        <v>2</v>
      </c>
      <c r="Z1330">
        <v>0</v>
      </c>
      <c r="AA1330">
        <v>9</v>
      </c>
      <c r="AB1330">
        <v>3</v>
      </c>
      <c r="AC1330">
        <v>0</v>
      </c>
      <c r="AD1330">
        <v>10</v>
      </c>
      <c r="AE1330">
        <v>0</v>
      </c>
      <c r="AF1330">
        <v>3</v>
      </c>
      <c r="AG1330">
        <v>2</v>
      </c>
      <c r="AH1330">
        <v>0</v>
      </c>
      <c r="AI1330" t="s">
        <v>929</v>
      </c>
      <c r="AJ1330">
        <v>39.782653000000003</v>
      </c>
      <c r="AK1330" t="s">
        <v>930</v>
      </c>
      <c r="AL1330">
        <v>-92.515675999999999</v>
      </c>
      <c r="AM1330">
        <v>100</v>
      </c>
      <c r="AN1330">
        <v>1700</v>
      </c>
      <c r="AO1330" t="s">
        <v>118</v>
      </c>
      <c r="AP1330">
        <v>-15</v>
      </c>
      <c r="AQ1330">
        <v>120</v>
      </c>
      <c r="AR1330">
        <v>-64</v>
      </c>
      <c r="AZ1330">
        <v>1200</v>
      </c>
      <c r="BA1330">
        <v>1</v>
      </c>
      <c r="BB1330" t="str">
        <f t="shared" si="63"/>
        <v xml:space="preserve">N8080G  </v>
      </c>
      <c r="BC1330">
        <v>1</v>
      </c>
      <c r="BE1330">
        <v>0</v>
      </c>
      <c r="BF1330">
        <v>0</v>
      </c>
      <c r="BG1330">
        <v>0</v>
      </c>
      <c r="BH1330">
        <v>1675</v>
      </c>
      <c r="BI1330">
        <v>1</v>
      </c>
      <c r="BJ1330">
        <v>1</v>
      </c>
      <c r="BK1330">
        <v>1</v>
      </c>
      <c r="BL1330">
        <v>0</v>
      </c>
      <c r="BO1330">
        <v>0</v>
      </c>
      <c r="BP1330">
        <v>0</v>
      </c>
      <c r="BW1330" t="str">
        <f>"20:19:49.664"</f>
        <v>20:19:49.664</v>
      </c>
      <c r="BZ1330">
        <v>0</v>
      </c>
      <c r="CA1330">
        <v>2016</v>
      </c>
      <c r="CB1330">
        <v>224</v>
      </c>
      <c r="CD1330">
        <v>1</v>
      </c>
      <c r="CE1330">
        <v>0</v>
      </c>
      <c r="CF1330">
        <v>0</v>
      </c>
      <c r="CG1330">
        <v>1</v>
      </c>
      <c r="CH1330">
        <v>0</v>
      </c>
      <c r="CI1330">
        <v>0</v>
      </c>
      <c r="CJ1330">
        <v>0</v>
      </c>
      <c r="CK1330">
        <v>2</v>
      </c>
      <c r="CL1330">
        <v>0</v>
      </c>
      <c r="CM1330">
        <v>2</v>
      </c>
      <c r="CN1330">
        <v>0</v>
      </c>
      <c r="CO1330">
        <v>7</v>
      </c>
      <c r="CP1330" t="s">
        <v>119</v>
      </c>
      <c r="CQ1330">
        <v>180</v>
      </c>
      <c r="CR1330">
        <v>2</v>
      </c>
      <c r="CW1330">
        <v>8155811</v>
      </c>
      <c r="CY1330">
        <v>1</v>
      </c>
      <c r="CZ1330">
        <v>0</v>
      </c>
      <c r="DA1330">
        <v>1</v>
      </c>
      <c r="DB1330">
        <v>0</v>
      </c>
      <c r="DC1330">
        <v>0</v>
      </c>
      <c r="DD1330">
        <v>0</v>
      </c>
      <c r="DE1330">
        <v>0</v>
      </c>
      <c r="DF1330">
        <v>0</v>
      </c>
      <c r="DG1330">
        <v>0</v>
      </c>
      <c r="DH1330">
        <v>0</v>
      </c>
      <c r="DI1330">
        <v>0</v>
      </c>
    </row>
    <row r="1331" spans="1:113" x14ac:dyDescent="0.3">
      <c r="A1331" t="str">
        <f>"02/08/2021 20:19:49.164"</f>
        <v>02/08/2021 20:19:49.164</v>
      </c>
      <c r="C1331" t="str">
        <f t="shared" si="62"/>
        <v>FFDFD7C0</v>
      </c>
      <c r="D1331" t="s">
        <v>113</v>
      </c>
      <c r="E1331">
        <v>6</v>
      </c>
      <c r="H1331">
        <v>165</v>
      </c>
      <c r="I1331" t="s">
        <v>114</v>
      </c>
      <c r="J1331" t="s">
        <v>115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>"20:19:51.469"</f>
        <v>20:19:51.469</v>
      </c>
      <c r="T1331" t="str">
        <f>"20:19:50.569"</f>
        <v>20:19:50.569</v>
      </c>
      <c r="U1331" t="str">
        <f t="shared" si="61"/>
        <v>AB01F4</v>
      </c>
      <c r="V1331">
        <v>0</v>
      </c>
      <c r="W1331">
        <v>0</v>
      </c>
      <c r="X1331">
        <v>2</v>
      </c>
      <c r="Z1331">
        <v>0</v>
      </c>
      <c r="AA1331">
        <v>9</v>
      </c>
      <c r="AB1331">
        <v>3</v>
      </c>
      <c r="AC1331">
        <v>0</v>
      </c>
      <c r="AD1331">
        <v>10</v>
      </c>
      <c r="AE1331">
        <v>0</v>
      </c>
      <c r="AF1331">
        <v>3</v>
      </c>
      <c r="AG1331">
        <v>2</v>
      </c>
      <c r="AH1331">
        <v>0</v>
      </c>
      <c r="AI1331" t="s">
        <v>931</v>
      </c>
      <c r="AJ1331">
        <v>39.783639999999998</v>
      </c>
      <c r="AK1331" t="s">
        <v>896</v>
      </c>
      <c r="AL1331">
        <v>-92.515868999999995</v>
      </c>
      <c r="AM1331">
        <v>100</v>
      </c>
      <c r="AN1331">
        <v>1700</v>
      </c>
      <c r="AO1331" t="s">
        <v>118</v>
      </c>
      <c r="AP1331">
        <v>-15</v>
      </c>
      <c r="AQ1331">
        <v>120</v>
      </c>
      <c r="AR1331">
        <v>-64</v>
      </c>
      <c r="AZ1331">
        <v>1200</v>
      </c>
      <c r="BA1331">
        <v>1</v>
      </c>
      <c r="BB1331" t="str">
        <f t="shared" si="63"/>
        <v xml:space="preserve">N8080G  </v>
      </c>
      <c r="BC1331">
        <v>1</v>
      </c>
      <c r="BE1331">
        <v>0</v>
      </c>
      <c r="BF1331">
        <v>0</v>
      </c>
      <c r="BG1331">
        <v>0</v>
      </c>
      <c r="BH1331">
        <v>1675</v>
      </c>
      <c r="BI1331">
        <v>1</v>
      </c>
      <c r="BJ1331">
        <v>1</v>
      </c>
      <c r="BK1331">
        <v>1</v>
      </c>
      <c r="BL1331">
        <v>0</v>
      </c>
      <c r="BO1331">
        <v>0</v>
      </c>
      <c r="BP1331">
        <v>0</v>
      </c>
      <c r="BW1331" t="str">
        <f>"20:19:51.474"</f>
        <v>20:19:51.474</v>
      </c>
      <c r="BZ1331">
        <v>0</v>
      </c>
      <c r="CA1331">
        <v>2016</v>
      </c>
      <c r="CB1331">
        <v>224</v>
      </c>
      <c r="CD1331">
        <v>1</v>
      </c>
      <c r="CE1331">
        <v>0</v>
      </c>
      <c r="CF1331">
        <v>0</v>
      </c>
      <c r="CG1331">
        <v>1</v>
      </c>
      <c r="CH1331">
        <v>0</v>
      </c>
      <c r="CI1331">
        <v>0</v>
      </c>
      <c r="CJ1331">
        <v>0</v>
      </c>
      <c r="CK1331">
        <v>2</v>
      </c>
      <c r="CL1331">
        <v>0</v>
      </c>
      <c r="CM1331">
        <v>2</v>
      </c>
      <c r="CN1331">
        <v>0</v>
      </c>
      <c r="CO1331">
        <v>7</v>
      </c>
      <c r="CP1331" t="s">
        <v>119</v>
      </c>
      <c r="CQ1331">
        <v>180</v>
      </c>
      <c r="CR1331">
        <v>2</v>
      </c>
      <c r="CW1331">
        <v>8157303</v>
      </c>
      <c r="CY1331">
        <v>1</v>
      </c>
      <c r="CZ1331">
        <v>0</v>
      </c>
      <c r="DA1331">
        <v>0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0</v>
      </c>
      <c r="DH1331">
        <v>0</v>
      </c>
      <c r="DI1331">
        <v>0</v>
      </c>
    </row>
    <row r="1332" spans="1:113" x14ac:dyDescent="0.3">
      <c r="A1332" t="str">
        <f>"02/08/2021 20:19:49.164"</f>
        <v>02/08/2021 20:19:49.164</v>
      </c>
      <c r="C1332" t="str">
        <f t="shared" si="62"/>
        <v>FFDFD7C0</v>
      </c>
      <c r="D1332" t="s">
        <v>124</v>
      </c>
      <c r="E1332">
        <v>12</v>
      </c>
      <c r="F1332">
        <v>1012</v>
      </c>
      <c r="G1332" t="s">
        <v>675</v>
      </c>
      <c r="J1332" t="s">
        <v>125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>"20:19:51.469"</f>
        <v>20:19:51.469</v>
      </c>
      <c r="T1332" t="str">
        <f>"20:19:50.569"</f>
        <v>20:19:50.569</v>
      </c>
      <c r="U1332" t="str">
        <f t="shared" si="61"/>
        <v>AB01F4</v>
      </c>
      <c r="V1332">
        <v>0</v>
      </c>
      <c r="W1332">
        <v>0</v>
      </c>
      <c r="X1332">
        <v>2</v>
      </c>
      <c r="Z1332">
        <v>0</v>
      </c>
      <c r="AA1332">
        <v>9</v>
      </c>
      <c r="AB1332">
        <v>3</v>
      </c>
      <c r="AC1332">
        <v>0</v>
      </c>
      <c r="AD1332">
        <v>10</v>
      </c>
      <c r="AE1332">
        <v>0</v>
      </c>
      <c r="AF1332">
        <v>3</v>
      </c>
      <c r="AG1332">
        <v>2</v>
      </c>
      <c r="AH1332">
        <v>0</v>
      </c>
      <c r="AI1332" t="s">
        <v>931</v>
      </c>
      <c r="AJ1332">
        <v>39.783639999999998</v>
      </c>
      <c r="AK1332" t="s">
        <v>896</v>
      </c>
      <c r="AL1332">
        <v>-92.515868999999995</v>
      </c>
      <c r="AM1332">
        <v>100</v>
      </c>
      <c r="AN1332">
        <v>1700</v>
      </c>
      <c r="AO1332" t="s">
        <v>118</v>
      </c>
      <c r="AP1332">
        <v>-15</v>
      </c>
      <c r="AQ1332">
        <v>120</v>
      </c>
      <c r="AR1332">
        <v>-64</v>
      </c>
      <c r="AZ1332">
        <v>1200</v>
      </c>
      <c r="BA1332">
        <v>1</v>
      </c>
      <c r="BB1332" t="str">
        <f t="shared" si="63"/>
        <v xml:space="preserve">N8080G  </v>
      </c>
      <c r="BC1332">
        <v>1</v>
      </c>
      <c r="BE1332">
        <v>0</v>
      </c>
      <c r="BF1332">
        <v>0</v>
      </c>
      <c r="BG1332">
        <v>0</v>
      </c>
      <c r="BH1332">
        <v>1675</v>
      </c>
      <c r="BI1332">
        <v>1</v>
      </c>
      <c r="BJ1332">
        <v>1</v>
      </c>
      <c r="BK1332">
        <v>1</v>
      </c>
      <c r="BL1332">
        <v>0</v>
      </c>
      <c r="BO1332">
        <v>0</v>
      </c>
      <c r="BP1332">
        <v>0</v>
      </c>
      <c r="BW1332" t="str">
        <f>"20:19:51.474"</f>
        <v>20:19:51.474</v>
      </c>
      <c r="BZ1332">
        <v>0</v>
      </c>
      <c r="CA1332">
        <v>2016</v>
      </c>
      <c r="CB1332">
        <v>224</v>
      </c>
      <c r="CD1332">
        <v>1</v>
      </c>
      <c r="CE1332">
        <v>0</v>
      </c>
      <c r="CF1332">
        <v>0</v>
      </c>
      <c r="CG1332">
        <v>1</v>
      </c>
      <c r="CH1332">
        <v>0</v>
      </c>
      <c r="CI1332">
        <v>0</v>
      </c>
      <c r="CJ1332">
        <v>0</v>
      </c>
      <c r="CK1332">
        <v>2</v>
      </c>
      <c r="CL1332">
        <v>0</v>
      </c>
      <c r="CM1332">
        <v>2</v>
      </c>
      <c r="CN1332">
        <v>0</v>
      </c>
      <c r="CO1332">
        <v>7</v>
      </c>
      <c r="CP1332" t="s">
        <v>119</v>
      </c>
      <c r="CQ1332">
        <v>180</v>
      </c>
      <c r="CR1332">
        <v>2</v>
      </c>
      <c r="CW1332">
        <v>8157303</v>
      </c>
      <c r="CY1332">
        <v>1</v>
      </c>
      <c r="CZ1332">
        <v>0</v>
      </c>
      <c r="DA1332">
        <v>1</v>
      </c>
      <c r="DB1332">
        <v>0</v>
      </c>
      <c r="DC1332">
        <v>0</v>
      </c>
      <c r="DD1332">
        <v>0</v>
      </c>
      <c r="DE1332">
        <v>0</v>
      </c>
      <c r="DF1332">
        <v>0</v>
      </c>
      <c r="DG1332">
        <v>0</v>
      </c>
      <c r="DH1332">
        <v>0</v>
      </c>
      <c r="DI1332">
        <v>0</v>
      </c>
    </row>
    <row r="1333" spans="1:113" x14ac:dyDescent="0.3">
      <c r="A1333" t="str">
        <f>"02/08/2021 20:19:49.164"</f>
        <v>02/08/2021 20:19:49.164</v>
      </c>
      <c r="C1333" t="str">
        <f t="shared" si="62"/>
        <v>FFDFD7C0</v>
      </c>
      <c r="D1333" t="s">
        <v>124</v>
      </c>
      <c r="E1333">
        <v>13</v>
      </c>
      <c r="F1333">
        <v>1013</v>
      </c>
      <c r="G1333" t="s">
        <v>114</v>
      </c>
      <c r="J1333" t="s">
        <v>125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>"20:19:51.469"</f>
        <v>20:19:51.469</v>
      </c>
      <c r="T1333" t="str">
        <f>"20:19:50.569"</f>
        <v>20:19:50.569</v>
      </c>
      <c r="U1333" t="str">
        <f t="shared" si="61"/>
        <v>AB01F4</v>
      </c>
      <c r="V1333">
        <v>0</v>
      </c>
      <c r="W1333">
        <v>0</v>
      </c>
      <c r="X1333">
        <v>2</v>
      </c>
      <c r="Z1333">
        <v>0</v>
      </c>
      <c r="AA1333">
        <v>9</v>
      </c>
      <c r="AB1333">
        <v>3</v>
      </c>
      <c r="AC1333">
        <v>0</v>
      </c>
      <c r="AD1333">
        <v>10</v>
      </c>
      <c r="AE1333">
        <v>0</v>
      </c>
      <c r="AF1333">
        <v>3</v>
      </c>
      <c r="AG1333">
        <v>2</v>
      </c>
      <c r="AH1333">
        <v>0</v>
      </c>
      <c r="AI1333" t="s">
        <v>931</v>
      </c>
      <c r="AJ1333">
        <v>39.783639999999998</v>
      </c>
      <c r="AK1333" t="s">
        <v>896</v>
      </c>
      <c r="AL1333">
        <v>-92.515868999999995</v>
      </c>
      <c r="AM1333">
        <v>100</v>
      </c>
      <c r="AN1333">
        <v>1700</v>
      </c>
      <c r="AO1333" t="s">
        <v>118</v>
      </c>
      <c r="AP1333">
        <v>-15</v>
      </c>
      <c r="AQ1333">
        <v>120</v>
      </c>
      <c r="AR1333">
        <v>-64</v>
      </c>
      <c r="AZ1333">
        <v>1200</v>
      </c>
      <c r="BA1333">
        <v>1</v>
      </c>
      <c r="BB1333" t="str">
        <f t="shared" si="63"/>
        <v xml:space="preserve">N8080G  </v>
      </c>
      <c r="BC1333">
        <v>1</v>
      </c>
      <c r="BE1333">
        <v>0</v>
      </c>
      <c r="BF1333">
        <v>0</v>
      </c>
      <c r="BG1333">
        <v>0</v>
      </c>
      <c r="BH1333">
        <v>1675</v>
      </c>
      <c r="BI1333">
        <v>1</v>
      </c>
      <c r="BJ1333">
        <v>1</v>
      </c>
      <c r="BK1333">
        <v>1</v>
      </c>
      <c r="BL1333">
        <v>0</v>
      </c>
      <c r="BO1333">
        <v>0</v>
      </c>
      <c r="BP1333">
        <v>0</v>
      </c>
      <c r="BW1333" t="str">
        <f>"20:19:51.474"</f>
        <v>20:19:51.474</v>
      </c>
      <c r="BZ1333">
        <v>0</v>
      </c>
      <c r="CA1333">
        <v>2016</v>
      </c>
      <c r="CB1333">
        <v>224</v>
      </c>
      <c r="CD1333">
        <v>1</v>
      </c>
      <c r="CE1333">
        <v>0</v>
      </c>
      <c r="CF1333">
        <v>0</v>
      </c>
      <c r="CG1333">
        <v>1</v>
      </c>
      <c r="CH1333">
        <v>0</v>
      </c>
      <c r="CI1333">
        <v>0</v>
      </c>
      <c r="CJ1333">
        <v>0</v>
      </c>
      <c r="CK1333">
        <v>2</v>
      </c>
      <c r="CL1333">
        <v>0</v>
      </c>
      <c r="CM1333">
        <v>2</v>
      </c>
      <c r="CN1333">
        <v>0</v>
      </c>
      <c r="CO1333">
        <v>7</v>
      </c>
      <c r="CP1333" t="s">
        <v>119</v>
      </c>
      <c r="CQ1333">
        <v>180</v>
      </c>
      <c r="CR1333">
        <v>2</v>
      </c>
      <c r="CW1333">
        <v>8157303</v>
      </c>
      <c r="CY1333">
        <v>1</v>
      </c>
      <c r="CZ1333">
        <v>0</v>
      </c>
      <c r="DA1333">
        <v>1</v>
      </c>
      <c r="DB1333">
        <v>0</v>
      </c>
      <c r="DC1333">
        <v>0</v>
      </c>
      <c r="DD1333">
        <v>0</v>
      </c>
      <c r="DE1333">
        <v>0</v>
      </c>
      <c r="DF1333">
        <v>0</v>
      </c>
      <c r="DG1333">
        <v>0</v>
      </c>
      <c r="DH1333">
        <v>0</v>
      </c>
      <c r="DI1333">
        <v>0</v>
      </c>
    </row>
    <row r="1334" spans="1:113" x14ac:dyDescent="0.3">
      <c r="A1334" t="str">
        <f>"02/08/2021 20:19:49.164"</f>
        <v>02/08/2021 20:19:49.164</v>
      </c>
      <c r="C1334" t="str">
        <f t="shared" si="62"/>
        <v>FFDFD7C0</v>
      </c>
      <c r="D1334" t="s">
        <v>124</v>
      </c>
      <c r="E1334">
        <v>11</v>
      </c>
      <c r="F1334">
        <v>1011</v>
      </c>
      <c r="G1334" t="s">
        <v>590</v>
      </c>
      <c r="J1334" t="s">
        <v>125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>"20:19:51.469"</f>
        <v>20:19:51.469</v>
      </c>
      <c r="T1334" t="str">
        <f>"20:19:50.569"</f>
        <v>20:19:50.569</v>
      </c>
      <c r="U1334" t="str">
        <f t="shared" si="61"/>
        <v>AB01F4</v>
      </c>
      <c r="V1334">
        <v>0</v>
      </c>
      <c r="W1334">
        <v>0</v>
      </c>
      <c r="X1334">
        <v>2</v>
      </c>
      <c r="Z1334">
        <v>0</v>
      </c>
      <c r="AA1334">
        <v>9</v>
      </c>
      <c r="AB1334">
        <v>3</v>
      </c>
      <c r="AC1334">
        <v>0</v>
      </c>
      <c r="AD1334">
        <v>10</v>
      </c>
      <c r="AE1334">
        <v>0</v>
      </c>
      <c r="AF1334">
        <v>3</v>
      </c>
      <c r="AG1334">
        <v>2</v>
      </c>
      <c r="AH1334">
        <v>0</v>
      </c>
      <c r="AI1334" t="s">
        <v>931</v>
      </c>
      <c r="AJ1334">
        <v>39.783639999999998</v>
      </c>
      <c r="AK1334" t="s">
        <v>896</v>
      </c>
      <c r="AL1334">
        <v>-92.515868999999995</v>
      </c>
      <c r="AM1334">
        <v>100</v>
      </c>
      <c r="AN1334">
        <v>1700</v>
      </c>
      <c r="AO1334" t="s">
        <v>118</v>
      </c>
      <c r="AP1334">
        <v>-15</v>
      </c>
      <c r="AQ1334">
        <v>120</v>
      </c>
      <c r="AR1334">
        <v>-64</v>
      </c>
      <c r="AZ1334">
        <v>1200</v>
      </c>
      <c r="BA1334">
        <v>1</v>
      </c>
      <c r="BB1334" t="str">
        <f t="shared" si="63"/>
        <v xml:space="preserve">N8080G  </v>
      </c>
      <c r="BC1334">
        <v>1</v>
      </c>
      <c r="BE1334">
        <v>0</v>
      </c>
      <c r="BF1334">
        <v>0</v>
      </c>
      <c r="BG1334">
        <v>0</v>
      </c>
      <c r="BH1334">
        <v>1675</v>
      </c>
      <c r="BI1334">
        <v>1</v>
      </c>
      <c r="BJ1334">
        <v>1</v>
      </c>
      <c r="BK1334">
        <v>1</v>
      </c>
      <c r="BL1334">
        <v>0</v>
      </c>
      <c r="BO1334">
        <v>0</v>
      </c>
      <c r="BP1334">
        <v>0</v>
      </c>
      <c r="BW1334" t="str">
        <f>"20:19:51.474"</f>
        <v>20:19:51.474</v>
      </c>
      <c r="BZ1334">
        <v>0</v>
      </c>
      <c r="CA1334">
        <v>2016</v>
      </c>
      <c r="CB1334">
        <v>224</v>
      </c>
      <c r="CD1334">
        <v>1</v>
      </c>
      <c r="CE1334">
        <v>0</v>
      </c>
      <c r="CF1334">
        <v>0</v>
      </c>
      <c r="CG1334">
        <v>1</v>
      </c>
      <c r="CH1334">
        <v>0</v>
      </c>
      <c r="CI1334">
        <v>0</v>
      </c>
      <c r="CJ1334">
        <v>0</v>
      </c>
      <c r="CK1334">
        <v>2</v>
      </c>
      <c r="CL1334">
        <v>0</v>
      </c>
      <c r="CM1334">
        <v>2</v>
      </c>
      <c r="CN1334">
        <v>0</v>
      </c>
      <c r="CO1334">
        <v>7</v>
      </c>
      <c r="CP1334" t="s">
        <v>119</v>
      </c>
      <c r="CQ1334">
        <v>180</v>
      </c>
      <c r="CR1334">
        <v>2</v>
      </c>
      <c r="CW1334">
        <v>8157303</v>
      </c>
      <c r="CY1334">
        <v>1</v>
      </c>
      <c r="CZ1334">
        <v>0</v>
      </c>
      <c r="DA1334">
        <v>1</v>
      </c>
      <c r="DB1334">
        <v>0</v>
      </c>
      <c r="DC1334">
        <v>0</v>
      </c>
      <c r="DD1334">
        <v>0</v>
      </c>
      <c r="DE1334">
        <v>0</v>
      </c>
      <c r="DF1334">
        <v>0</v>
      </c>
      <c r="DG1334">
        <v>0</v>
      </c>
      <c r="DH1334">
        <v>0</v>
      </c>
      <c r="DI1334">
        <v>0</v>
      </c>
    </row>
    <row r="1335" spans="1:113" x14ac:dyDescent="0.3">
      <c r="A1335" t="str">
        <f>"02/08/2021 20:19:52.251"</f>
        <v>02/08/2021 20:19:52.251</v>
      </c>
      <c r="C1335" t="str">
        <f t="shared" si="62"/>
        <v>FFDFD7C0</v>
      </c>
      <c r="D1335" t="s">
        <v>113</v>
      </c>
      <c r="E1335">
        <v>6</v>
      </c>
      <c r="H1335">
        <v>165</v>
      </c>
      <c r="I1335" t="s">
        <v>114</v>
      </c>
      <c r="J1335" t="s">
        <v>115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>"20:19:54.563"</f>
        <v>20:19:54.563</v>
      </c>
      <c r="T1335" t="str">
        <f>"20:19:54.163"</f>
        <v>20:19:54.163</v>
      </c>
      <c r="U1335" t="str">
        <f t="shared" si="61"/>
        <v>AB01F4</v>
      </c>
      <c r="V1335">
        <v>0</v>
      </c>
      <c r="W1335">
        <v>0</v>
      </c>
      <c r="X1335">
        <v>2</v>
      </c>
      <c r="Z1335">
        <v>0</v>
      </c>
      <c r="AA1335">
        <v>9</v>
      </c>
      <c r="AB1335">
        <v>3</v>
      </c>
      <c r="AC1335">
        <v>0</v>
      </c>
      <c r="AD1335">
        <v>10</v>
      </c>
      <c r="AE1335">
        <v>0</v>
      </c>
      <c r="AF1335">
        <v>3</v>
      </c>
      <c r="AG1335">
        <v>2</v>
      </c>
      <c r="AH1335">
        <v>0</v>
      </c>
      <c r="AI1335" t="s">
        <v>932</v>
      </c>
      <c r="AJ1335">
        <v>39.785335000000003</v>
      </c>
      <c r="AK1335" t="s">
        <v>933</v>
      </c>
      <c r="AL1335">
        <v>-92.516170000000002</v>
      </c>
      <c r="AM1335">
        <v>100</v>
      </c>
      <c r="AN1335">
        <v>1700</v>
      </c>
      <c r="AO1335" t="s">
        <v>118</v>
      </c>
      <c r="AP1335">
        <v>-16</v>
      </c>
      <c r="AQ1335">
        <v>119</v>
      </c>
      <c r="AR1335">
        <v>64</v>
      </c>
      <c r="AZ1335">
        <v>1200</v>
      </c>
      <c r="BA1335">
        <v>1</v>
      </c>
      <c r="BB1335" t="str">
        <f t="shared" si="63"/>
        <v xml:space="preserve">N8080G  </v>
      </c>
      <c r="BC1335">
        <v>1</v>
      </c>
      <c r="BE1335">
        <v>0</v>
      </c>
      <c r="BF1335">
        <v>0</v>
      </c>
      <c r="BG1335">
        <v>0</v>
      </c>
      <c r="BH1335">
        <v>1675</v>
      </c>
      <c r="BI1335">
        <v>1</v>
      </c>
      <c r="BJ1335">
        <v>1</v>
      </c>
      <c r="BK1335">
        <v>1</v>
      </c>
      <c r="BL1335">
        <v>0</v>
      </c>
      <c r="BO1335">
        <v>0</v>
      </c>
      <c r="BP1335">
        <v>0</v>
      </c>
      <c r="BW1335" t="str">
        <f>"20:19:54.566"</f>
        <v>20:19:54.566</v>
      </c>
      <c r="BZ1335">
        <v>0</v>
      </c>
      <c r="CA1335">
        <v>2016</v>
      </c>
      <c r="CB1335">
        <v>224</v>
      </c>
      <c r="CD1335">
        <v>1</v>
      </c>
      <c r="CE1335">
        <v>0</v>
      </c>
      <c r="CF1335">
        <v>0</v>
      </c>
      <c r="CG1335">
        <v>1</v>
      </c>
      <c r="CH1335">
        <v>0</v>
      </c>
      <c r="CI1335">
        <v>0</v>
      </c>
      <c r="CJ1335">
        <v>0</v>
      </c>
      <c r="CK1335">
        <v>2</v>
      </c>
      <c r="CL1335">
        <v>0</v>
      </c>
      <c r="CM1335">
        <v>2</v>
      </c>
      <c r="CN1335">
        <v>0</v>
      </c>
      <c r="CO1335">
        <v>7</v>
      </c>
      <c r="CP1335" t="s">
        <v>119</v>
      </c>
      <c r="CQ1335">
        <v>180</v>
      </c>
      <c r="CR1335">
        <v>1</v>
      </c>
      <c r="CW1335">
        <v>10724109</v>
      </c>
      <c r="CY1335">
        <v>1</v>
      </c>
      <c r="CZ1335">
        <v>0</v>
      </c>
      <c r="DA1335">
        <v>0</v>
      </c>
      <c r="DB1335">
        <v>0</v>
      </c>
      <c r="DC1335">
        <v>0</v>
      </c>
      <c r="DD1335">
        <v>0</v>
      </c>
      <c r="DE1335">
        <v>0</v>
      </c>
      <c r="DF1335">
        <v>0</v>
      </c>
      <c r="DG1335">
        <v>0</v>
      </c>
      <c r="DH1335">
        <v>0</v>
      </c>
      <c r="DI1335">
        <v>0</v>
      </c>
    </row>
    <row r="1336" spans="1:113" x14ac:dyDescent="0.3">
      <c r="A1336" t="str">
        <f>"02/08/2021 20:19:52.251"</f>
        <v>02/08/2021 20:19:52.251</v>
      </c>
      <c r="C1336" t="str">
        <f t="shared" si="62"/>
        <v>FFDFD7C0</v>
      </c>
      <c r="D1336" t="s">
        <v>124</v>
      </c>
      <c r="E1336">
        <v>13</v>
      </c>
      <c r="F1336">
        <v>1013</v>
      </c>
      <c r="G1336" t="s">
        <v>114</v>
      </c>
      <c r="J1336" t="s">
        <v>125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>"20:19:54.563"</f>
        <v>20:19:54.563</v>
      </c>
      <c r="T1336" t="str">
        <f>"20:19:54.163"</f>
        <v>20:19:54.163</v>
      </c>
      <c r="U1336" t="str">
        <f t="shared" si="61"/>
        <v>AB01F4</v>
      </c>
      <c r="V1336">
        <v>0</v>
      </c>
      <c r="W1336">
        <v>0</v>
      </c>
      <c r="X1336">
        <v>2</v>
      </c>
      <c r="Z1336">
        <v>0</v>
      </c>
      <c r="AA1336">
        <v>9</v>
      </c>
      <c r="AB1336">
        <v>3</v>
      </c>
      <c r="AC1336">
        <v>0</v>
      </c>
      <c r="AD1336">
        <v>10</v>
      </c>
      <c r="AE1336">
        <v>0</v>
      </c>
      <c r="AF1336">
        <v>3</v>
      </c>
      <c r="AG1336">
        <v>2</v>
      </c>
      <c r="AH1336">
        <v>0</v>
      </c>
      <c r="AI1336" t="s">
        <v>932</v>
      </c>
      <c r="AJ1336">
        <v>39.785335000000003</v>
      </c>
      <c r="AK1336" t="s">
        <v>933</v>
      </c>
      <c r="AL1336">
        <v>-92.516170000000002</v>
      </c>
      <c r="AM1336">
        <v>100</v>
      </c>
      <c r="AN1336">
        <v>1700</v>
      </c>
      <c r="AO1336" t="s">
        <v>118</v>
      </c>
      <c r="AP1336">
        <v>-16</v>
      </c>
      <c r="AQ1336">
        <v>119</v>
      </c>
      <c r="AR1336">
        <v>64</v>
      </c>
      <c r="AZ1336">
        <v>1200</v>
      </c>
      <c r="BA1336">
        <v>1</v>
      </c>
      <c r="BB1336" t="str">
        <f t="shared" si="63"/>
        <v xml:space="preserve">N8080G  </v>
      </c>
      <c r="BC1336">
        <v>1</v>
      </c>
      <c r="BE1336">
        <v>0</v>
      </c>
      <c r="BF1336">
        <v>0</v>
      </c>
      <c r="BG1336">
        <v>0</v>
      </c>
      <c r="BH1336">
        <v>1675</v>
      </c>
      <c r="BI1336">
        <v>1</v>
      </c>
      <c r="BJ1336">
        <v>1</v>
      </c>
      <c r="BK1336">
        <v>1</v>
      </c>
      <c r="BL1336">
        <v>0</v>
      </c>
      <c r="BO1336">
        <v>0</v>
      </c>
      <c r="BP1336">
        <v>0</v>
      </c>
      <c r="BW1336" t="str">
        <f>"20:19:54.566"</f>
        <v>20:19:54.566</v>
      </c>
      <c r="BZ1336">
        <v>0</v>
      </c>
      <c r="CA1336">
        <v>2016</v>
      </c>
      <c r="CB1336">
        <v>224</v>
      </c>
      <c r="CD1336">
        <v>1</v>
      </c>
      <c r="CE1336">
        <v>0</v>
      </c>
      <c r="CF1336">
        <v>0</v>
      </c>
      <c r="CG1336">
        <v>1</v>
      </c>
      <c r="CH1336">
        <v>0</v>
      </c>
      <c r="CI1336">
        <v>0</v>
      </c>
      <c r="CJ1336">
        <v>0</v>
      </c>
      <c r="CK1336">
        <v>2</v>
      </c>
      <c r="CL1336">
        <v>0</v>
      </c>
      <c r="CM1336">
        <v>2</v>
      </c>
      <c r="CN1336">
        <v>0</v>
      </c>
      <c r="CO1336">
        <v>7</v>
      </c>
      <c r="CP1336" t="s">
        <v>119</v>
      </c>
      <c r="CQ1336">
        <v>180</v>
      </c>
      <c r="CR1336">
        <v>1</v>
      </c>
      <c r="CW1336">
        <v>10724109</v>
      </c>
      <c r="CY1336">
        <v>1</v>
      </c>
      <c r="CZ1336">
        <v>0</v>
      </c>
      <c r="DA1336">
        <v>1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>
        <v>0</v>
      </c>
      <c r="DH1336">
        <v>0</v>
      </c>
      <c r="DI1336">
        <v>0</v>
      </c>
    </row>
    <row r="1337" spans="1:113" x14ac:dyDescent="0.3">
      <c r="A1337" t="str">
        <f>"02/08/2021 20:19:52.251"</f>
        <v>02/08/2021 20:19:52.251</v>
      </c>
      <c r="C1337" t="str">
        <f t="shared" si="62"/>
        <v>FFDFD7C0</v>
      </c>
      <c r="D1337" t="s">
        <v>124</v>
      </c>
      <c r="E1337">
        <v>11</v>
      </c>
      <c r="F1337">
        <v>1011</v>
      </c>
      <c r="G1337" t="s">
        <v>590</v>
      </c>
      <c r="J1337" t="s">
        <v>125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>"20:19:54.563"</f>
        <v>20:19:54.563</v>
      </c>
      <c r="T1337" t="str">
        <f>"20:19:54.163"</f>
        <v>20:19:54.163</v>
      </c>
      <c r="U1337" t="str">
        <f t="shared" si="61"/>
        <v>AB01F4</v>
      </c>
      <c r="V1337">
        <v>0</v>
      </c>
      <c r="W1337">
        <v>0</v>
      </c>
      <c r="X1337">
        <v>2</v>
      </c>
      <c r="Z1337">
        <v>0</v>
      </c>
      <c r="AA1337">
        <v>9</v>
      </c>
      <c r="AB1337">
        <v>3</v>
      </c>
      <c r="AC1337">
        <v>0</v>
      </c>
      <c r="AD1337">
        <v>10</v>
      </c>
      <c r="AE1337">
        <v>0</v>
      </c>
      <c r="AF1337">
        <v>3</v>
      </c>
      <c r="AG1337">
        <v>2</v>
      </c>
      <c r="AH1337">
        <v>0</v>
      </c>
      <c r="AI1337" t="s">
        <v>932</v>
      </c>
      <c r="AJ1337">
        <v>39.785335000000003</v>
      </c>
      <c r="AK1337" t="s">
        <v>933</v>
      </c>
      <c r="AL1337">
        <v>-92.516170000000002</v>
      </c>
      <c r="AM1337">
        <v>100</v>
      </c>
      <c r="AN1337">
        <v>1700</v>
      </c>
      <c r="AO1337" t="s">
        <v>118</v>
      </c>
      <c r="AP1337">
        <v>-16</v>
      </c>
      <c r="AQ1337">
        <v>119</v>
      </c>
      <c r="AR1337">
        <v>64</v>
      </c>
      <c r="AZ1337">
        <v>1200</v>
      </c>
      <c r="BA1337">
        <v>1</v>
      </c>
      <c r="BB1337" t="str">
        <f t="shared" si="63"/>
        <v xml:space="preserve">N8080G  </v>
      </c>
      <c r="BC1337">
        <v>1</v>
      </c>
      <c r="BE1337">
        <v>0</v>
      </c>
      <c r="BF1337">
        <v>0</v>
      </c>
      <c r="BG1337">
        <v>0</v>
      </c>
      <c r="BH1337">
        <v>1675</v>
      </c>
      <c r="BI1337">
        <v>1</v>
      </c>
      <c r="BJ1337">
        <v>1</v>
      </c>
      <c r="BK1337">
        <v>1</v>
      </c>
      <c r="BL1337">
        <v>0</v>
      </c>
      <c r="BO1337">
        <v>0</v>
      </c>
      <c r="BP1337">
        <v>0</v>
      </c>
      <c r="BW1337" t="str">
        <f>"20:19:54.566"</f>
        <v>20:19:54.566</v>
      </c>
      <c r="BZ1337">
        <v>0</v>
      </c>
      <c r="CA1337">
        <v>2016</v>
      </c>
      <c r="CB1337">
        <v>224</v>
      </c>
      <c r="CD1337">
        <v>1</v>
      </c>
      <c r="CE1337">
        <v>0</v>
      </c>
      <c r="CF1337">
        <v>0</v>
      </c>
      <c r="CG1337">
        <v>1</v>
      </c>
      <c r="CH1337">
        <v>0</v>
      </c>
      <c r="CI1337">
        <v>0</v>
      </c>
      <c r="CJ1337">
        <v>0</v>
      </c>
      <c r="CK1337">
        <v>2</v>
      </c>
      <c r="CL1337">
        <v>0</v>
      </c>
      <c r="CM1337">
        <v>2</v>
      </c>
      <c r="CN1337">
        <v>0</v>
      </c>
      <c r="CO1337">
        <v>7</v>
      </c>
      <c r="CP1337" t="s">
        <v>119</v>
      </c>
      <c r="CQ1337">
        <v>180</v>
      </c>
      <c r="CR1337">
        <v>1</v>
      </c>
      <c r="CW1337">
        <v>10724109</v>
      </c>
      <c r="CY1337">
        <v>1</v>
      </c>
      <c r="CZ1337">
        <v>0</v>
      </c>
      <c r="DA1337">
        <v>1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>
        <v>0</v>
      </c>
      <c r="DH1337">
        <v>0</v>
      </c>
      <c r="DI1337">
        <v>0</v>
      </c>
    </row>
    <row r="1338" spans="1:113" x14ac:dyDescent="0.3">
      <c r="A1338" t="str">
        <f>"02/08/2021 20:19:52.251"</f>
        <v>02/08/2021 20:19:52.251</v>
      </c>
      <c r="C1338" t="str">
        <f t="shared" si="62"/>
        <v>FFDFD7C0</v>
      </c>
      <c r="D1338" t="s">
        <v>124</v>
      </c>
      <c r="E1338">
        <v>12</v>
      </c>
      <c r="F1338">
        <v>1012</v>
      </c>
      <c r="G1338" t="s">
        <v>675</v>
      </c>
      <c r="J1338" t="s">
        <v>125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>"20:19:54.563"</f>
        <v>20:19:54.563</v>
      </c>
      <c r="T1338" t="str">
        <f>"20:19:54.163"</f>
        <v>20:19:54.163</v>
      </c>
      <c r="U1338" t="str">
        <f t="shared" si="61"/>
        <v>AB01F4</v>
      </c>
      <c r="V1338">
        <v>0</v>
      </c>
      <c r="W1338">
        <v>0</v>
      </c>
      <c r="X1338">
        <v>2</v>
      </c>
      <c r="Z1338">
        <v>0</v>
      </c>
      <c r="AA1338">
        <v>9</v>
      </c>
      <c r="AB1338">
        <v>3</v>
      </c>
      <c r="AC1338">
        <v>0</v>
      </c>
      <c r="AD1338">
        <v>10</v>
      </c>
      <c r="AE1338">
        <v>0</v>
      </c>
      <c r="AF1338">
        <v>3</v>
      </c>
      <c r="AG1338">
        <v>2</v>
      </c>
      <c r="AH1338">
        <v>0</v>
      </c>
      <c r="AI1338" t="s">
        <v>932</v>
      </c>
      <c r="AJ1338">
        <v>39.785335000000003</v>
      </c>
      <c r="AK1338" t="s">
        <v>933</v>
      </c>
      <c r="AL1338">
        <v>-92.516170000000002</v>
      </c>
      <c r="AM1338">
        <v>100</v>
      </c>
      <c r="AN1338">
        <v>1700</v>
      </c>
      <c r="AO1338" t="s">
        <v>118</v>
      </c>
      <c r="AP1338">
        <v>-16</v>
      </c>
      <c r="AQ1338">
        <v>119</v>
      </c>
      <c r="AR1338">
        <v>64</v>
      </c>
      <c r="AZ1338">
        <v>1200</v>
      </c>
      <c r="BA1338">
        <v>1</v>
      </c>
      <c r="BB1338" t="str">
        <f t="shared" si="63"/>
        <v xml:space="preserve">N8080G  </v>
      </c>
      <c r="BC1338">
        <v>1</v>
      </c>
      <c r="BE1338">
        <v>0</v>
      </c>
      <c r="BF1338">
        <v>0</v>
      </c>
      <c r="BG1338">
        <v>0</v>
      </c>
      <c r="BH1338">
        <v>1675</v>
      </c>
      <c r="BI1338">
        <v>1</v>
      </c>
      <c r="BJ1338">
        <v>1</v>
      </c>
      <c r="BK1338">
        <v>1</v>
      </c>
      <c r="BL1338">
        <v>0</v>
      </c>
      <c r="BO1338">
        <v>0</v>
      </c>
      <c r="BP1338">
        <v>0</v>
      </c>
      <c r="BW1338" t="str">
        <f>"20:19:54.566"</f>
        <v>20:19:54.566</v>
      </c>
      <c r="BZ1338">
        <v>0</v>
      </c>
      <c r="CA1338">
        <v>2016</v>
      </c>
      <c r="CB1338">
        <v>224</v>
      </c>
      <c r="CD1338">
        <v>1</v>
      </c>
      <c r="CE1338">
        <v>0</v>
      </c>
      <c r="CF1338">
        <v>0</v>
      </c>
      <c r="CG1338">
        <v>1</v>
      </c>
      <c r="CH1338">
        <v>0</v>
      </c>
      <c r="CI1338">
        <v>0</v>
      </c>
      <c r="CJ1338">
        <v>0</v>
      </c>
      <c r="CK1338">
        <v>2</v>
      </c>
      <c r="CL1338">
        <v>0</v>
      </c>
      <c r="CM1338">
        <v>2</v>
      </c>
      <c r="CN1338">
        <v>0</v>
      </c>
      <c r="CO1338">
        <v>7</v>
      </c>
      <c r="CP1338" t="s">
        <v>119</v>
      </c>
      <c r="CQ1338">
        <v>180</v>
      </c>
      <c r="CR1338">
        <v>1</v>
      </c>
      <c r="CW1338">
        <v>10724109</v>
      </c>
      <c r="CY1338">
        <v>1</v>
      </c>
      <c r="CZ1338">
        <v>0</v>
      </c>
      <c r="DA1338">
        <v>1</v>
      </c>
      <c r="DB1338">
        <v>0</v>
      </c>
      <c r="DC1338">
        <v>0</v>
      </c>
      <c r="DD1338">
        <v>0</v>
      </c>
      <c r="DE1338">
        <v>0</v>
      </c>
      <c r="DF1338">
        <v>0</v>
      </c>
      <c r="DG1338">
        <v>0</v>
      </c>
      <c r="DH1338">
        <v>0</v>
      </c>
      <c r="DI1338">
        <v>0</v>
      </c>
    </row>
    <row r="1339" spans="1:113" x14ac:dyDescent="0.3">
      <c r="A1339" t="str">
        <f>"02/08/2021 20:19:53.759"</f>
        <v>02/08/2021 20:19:53.759</v>
      </c>
      <c r="C1339" t="str">
        <f t="shared" si="62"/>
        <v>FFDFD7C0</v>
      </c>
      <c r="D1339" t="s">
        <v>124</v>
      </c>
      <c r="E1339">
        <v>13</v>
      </c>
      <c r="F1339">
        <v>1013</v>
      </c>
      <c r="G1339" t="s">
        <v>114</v>
      </c>
      <c r="J1339" t="s">
        <v>125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>"20:19:56.070"</f>
        <v>20:19:56.070</v>
      </c>
      <c r="T1339" t="str">
        <f>"20:19:55.570"</f>
        <v>20:19:55.570</v>
      </c>
      <c r="U1339" t="str">
        <f t="shared" si="61"/>
        <v>AB01F4</v>
      </c>
      <c r="V1339">
        <v>0</v>
      </c>
      <c r="W1339">
        <v>0</v>
      </c>
      <c r="X1339">
        <v>2</v>
      </c>
      <c r="Z1339">
        <v>0</v>
      </c>
      <c r="AA1339">
        <v>9</v>
      </c>
      <c r="AB1339">
        <v>3</v>
      </c>
      <c r="AC1339">
        <v>0</v>
      </c>
      <c r="AD1339">
        <v>10</v>
      </c>
      <c r="AE1339">
        <v>0</v>
      </c>
      <c r="AF1339">
        <v>3</v>
      </c>
      <c r="AG1339">
        <v>2</v>
      </c>
      <c r="AH1339">
        <v>0</v>
      </c>
      <c r="AI1339" t="s">
        <v>934</v>
      </c>
      <c r="AJ1339">
        <v>39.786192999999997</v>
      </c>
      <c r="AK1339" t="s">
        <v>935</v>
      </c>
      <c r="AL1339">
        <v>-92.516298000000006</v>
      </c>
      <c r="AM1339">
        <v>100</v>
      </c>
      <c r="AN1339">
        <v>1700</v>
      </c>
      <c r="AO1339" t="s">
        <v>118</v>
      </c>
      <c r="AP1339">
        <v>-17</v>
      </c>
      <c r="AQ1339">
        <v>119</v>
      </c>
      <c r="AR1339">
        <v>64</v>
      </c>
      <c r="AZ1339">
        <v>1200</v>
      </c>
      <c r="BA1339">
        <v>1</v>
      </c>
      <c r="BB1339" t="str">
        <f t="shared" si="63"/>
        <v xml:space="preserve">N8080G  </v>
      </c>
      <c r="BC1339">
        <v>1</v>
      </c>
      <c r="BE1339">
        <v>0</v>
      </c>
      <c r="BF1339">
        <v>0</v>
      </c>
      <c r="BG1339">
        <v>0</v>
      </c>
      <c r="BH1339">
        <v>1700</v>
      </c>
      <c r="BI1339">
        <v>1</v>
      </c>
      <c r="BJ1339">
        <v>1</v>
      </c>
      <c r="BK1339">
        <v>1</v>
      </c>
      <c r="BL1339">
        <v>0</v>
      </c>
      <c r="BO1339">
        <v>0</v>
      </c>
      <c r="BP1339">
        <v>0</v>
      </c>
      <c r="BW1339" t="str">
        <f>"20:19:56.075"</f>
        <v>20:19:56.075</v>
      </c>
      <c r="BZ1339">
        <v>0</v>
      </c>
      <c r="CA1339">
        <v>2016</v>
      </c>
      <c r="CB1339">
        <v>224</v>
      </c>
      <c r="CD1339">
        <v>1</v>
      </c>
      <c r="CE1339">
        <v>0</v>
      </c>
      <c r="CF1339">
        <v>0</v>
      </c>
      <c r="CG1339">
        <v>1</v>
      </c>
      <c r="CH1339">
        <v>0</v>
      </c>
      <c r="CI1339">
        <v>0</v>
      </c>
      <c r="CJ1339">
        <v>0</v>
      </c>
      <c r="CK1339">
        <v>2</v>
      </c>
      <c r="CL1339">
        <v>0</v>
      </c>
      <c r="CM1339">
        <v>2</v>
      </c>
      <c r="CN1339">
        <v>0</v>
      </c>
      <c r="CO1339">
        <v>7</v>
      </c>
      <c r="CP1339" t="s">
        <v>119</v>
      </c>
      <c r="CQ1339">
        <v>180</v>
      </c>
      <c r="CR1339">
        <v>2</v>
      </c>
      <c r="CW1339">
        <v>8161190</v>
      </c>
      <c r="CY1339">
        <v>1</v>
      </c>
      <c r="CZ1339">
        <v>0</v>
      </c>
      <c r="DA1339">
        <v>0</v>
      </c>
      <c r="DB1339">
        <v>0</v>
      </c>
      <c r="DC1339">
        <v>0</v>
      </c>
      <c r="DD1339">
        <v>0</v>
      </c>
      <c r="DE1339">
        <v>0</v>
      </c>
      <c r="DF1339">
        <v>0</v>
      </c>
      <c r="DG1339">
        <v>0</v>
      </c>
      <c r="DH1339">
        <v>0</v>
      </c>
      <c r="DI1339">
        <v>0</v>
      </c>
    </row>
    <row r="1340" spans="1:113" x14ac:dyDescent="0.3">
      <c r="A1340" t="str">
        <f>"02/08/2021 20:19:53.759"</f>
        <v>02/08/2021 20:19:53.759</v>
      </c>
      <c r="C1340" t="str">
        <f t="shared" si="62"/>
        <v>FFDFD7C0</v>
      </c>
      <c r="D1340" t="s">
        <v>113</v>
      </c>
      <c r="E1340">
        <v>6</v>
      </c>
      <c r="H1340">
        <v>165</v>
      </c>
      <c r="I1340" t="s">
        <v>114</v>
      </c>
      <c r="J1340" t="s">
        <v>115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>"20:19:56.070"</f>
        <v>20:19:56.070</v>
      </c>
      <c r="T1340" t="str">
        <f>"20:19:55.570"</f>
        <v>20:19:55.570</v>
      </c>
      <c r="U1340" t="str">
        <f t="shared" si="61"/>
        <v>AB01F4</v>
      </c>
      <c r="V1340">
        <v>0</v>
      </c>
      <c r="W1340">
        <v>0</v>
      </c>
      <c r="X1340">
        <v>2</v>
      </c>
      <c r="Z1340">
        <v>0</v>
      </c>
      <c r="AA1340">
        <v>9</v>
      </c>
      <c r="AB1340">
        <v>3</v>
      </c>
      <c r="AC1340">
        <v>0</v>
      </c>
      <c r="AD1340">
        <v>10</v>
      </c>
      <c r="AE1340">
        <v>0</v>
      </c>
      <c r="AF1340">
        <v>3</v>
      </c>
      <c r="AG1340">
        <v>2</v>
      </c>
      <c r="AH1340">
        <v>0</v>
      </c>
      <c r="AI1340" t="s">
        <v>934</v>
      </c>
      <c r="AJ1340">
        <v>39.786192999999997</v>
      </c>
      <c r="AK1340" t="s">
        <v>935</v>
      </c>
      <c r="AL1340">
        <v>-92.516298000000006</v>
      </c>
      <c r="AM1340">
        <v>100</v>
      </c>
      <c r="AN1340">
        <v>1700</v>
      </c>
      <c r="AO1340" t="s">
        <v>118</v>
      </c>
      <c r="AP1340">
        <v>-17</v>
      </c>
      <c r="AQ1340">
        <v>119</v>
      </c>
      <c r="AR1340">
        <v>64</v>
      </c>
      <c r="AZ1340">
        <v>1200</v>
      </c>
      <c r="BA1340">
        <v>1</v>
      </c>
      <c r="BB1340" t="str">
        <f t="shared" si="63"/>
        <v xml:space="preserve">N8080G  </v>
      </c>
      <c r="BC1340">
        <v>1</v>
      </c>
      <c r="BE1340">
        <v>0</v>
      </c>
      <c r="BF1340">
        <v>0</v>
      </c>
      <c r="BG1340">
        <v>0</v>
      </c>
      <c r="BH1340">
        <v>1700</v>
      </c>
      <c r="BI1340">
        <v>1</v>
      </c>
      <c r="BJ1340">
        <v>1</v>
      </c>
      <c r="BK1340">
        <v>1</v>
      </c>
      <c r="BL1340">
        <v>0</v>
      </c>
      <c r="BO1340">
        <v>0</v>
      </c>
      <c r="BP1340">
        <v>0</v>
      </c>
      <c r="BW1340" t="str">
        <f>"20:19:56.075"</f>
        <v>20:19:56.075</v>
      </c>
      <c r="BZ1340">
        <v>0</v>
      </c>
      <c r="CA1340">
        <v>2016</v>
      </c>
      <c r="CB1340">
        <v>224</v>
      </c>
      <c r="CD1340">
        <v>1</v>
      </c>
      <c r="CE1340">
        <v>0</v>
      </c>
      <c r="CF1340">
        <v>0</v>
      </c>
      <c r="CG1340">
        <v>1</v>
      </c>
      <c r="CH1340">
        <v>0</v>
      </c>
      <c r="CI1340">
        <v>0</v>
      </c>
      <c r="CJ1340">
        <v>0</v>
      </c>
      <c r="CK1340">
        <v>2</v>
      </c>
      <c r="CL1340">
        <v>0</v>
      </c>
      <c r="CM1340">
        <v>2</v>
      </c>
      <c r="CN1340">
        <v>0</v>
      </c>
      <c r="CO1340">
        <v>7</v>
      </c>
      <c r="CP1340" t="s">
        <v>119</v>
      </c>
      <c r="CQ1340">
        <v>180</v>
      </c>
      <c r="CR1340">
        <v>2</v>
      </c>
      <c r="CW1340">
        <v>8161190</v>
      </c>
      <c r="CY1340">
        <v>1</v>
      </c>
      <c r="CZ1340">
        <v>0</v>
      </c>
      <c r="DA1340">
        <v>1</v>
      </c>
      <c r="DB1340">
        <v>0</v>
      </c>
      <c r="DC1340">
        <v>0</v>
      </c>
      <c r="DD1340">
        <v>0</v>
      </c>
      <c r="DE1340">
        <v>0</v>
      </c>
      <c r="DF1340">
        <v>0</v>
      </c>
      <c r="DG1340">
        <v>0</v>
      </c>
      <c r="DH1340">
        <v>0</v>
      </c>
      <c r="DI1340">
        <v>0</v>
      </c>
    </row>
    <row r="1341" spans="1:113" x14ac:dyDescent="0.3">
      <c r="A1341" t="str">
        <f>"02/08/2021 20:19:53.759"</f>
        <v>02/08/2021 20:19:53.759</v>
      </c>
      <c r="C1341" t="str">
        <f t="shared" si="62"/>
        <v>FFDFD7C0</v>
      </c>
      <c r="D1341" t="s">
        <v>124</v>
      </c>
      <c r="E1341">
        <v>11</v>
      </c>
      <c r="F1341">
        <v>1011</v>
      </c>
      <c r="G1341" t="s">
        <v>590</v>
      </c>
      <c r="J1341" t="s">
        <v>125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>"20:19:56.070"</f>
        <v>20:19:56.070</v>
      </c>
      <c r="T1341" t="str">
        <f>"20:19:55.570"</f>
        <v>20:19:55.570</v>
      </c>
      <c r="U1341" t="str">
        <f t="shared" si="61"/>
        <v>AB01F4</v>
      </c>
      <c r="V1341">
        <v>0</v>
      </c>
      <c r="W1341">
        <v>0</v>
      </c>
      <c r="X1341">
        <v>2</v>
      </c>
      <c r="Z1341">
        <v>0</v>
      </c>
      <c r="AA1341">
        <v>9</v>
      </c>
      <c r="AB1341">
        <v>3</v>
      </c>
      <c r="AC1341">
        <v>0</v>
      </c>
      <c r="AD1341">
        <v>10</v>
      </c>
      <c r="AE1341">
        <v>0</v>
      </c>
      <c r="AF1341">
        <v>3</v>
      </c>
      <c r="AG1341">
        <v>2</v>
      </c>
      <c r="AH1341">
        <v>0</v>
      </c>
      <c r="AI1341" t="s">
        <v>934</v>
      </c>
      <c r="AJ1341">
        <v>39.786192999999997</v>
      </c>
      <c r="AK1341" t="s">
        <v>935</v>
      </c>
      <c r="AL1341">
        <v>-92.516298000000006</v>
      </c>
      <c r="AM1341">
        <v>100</v>
      </c>
      <c r="AN1341">
        <v>1700</v>
      </c>
      <c r="AO1341" t="s">
        <v>118</v>
      </c>
      <c r="AP1341">
        <v>-17</v>
      </c>
      <c r="AQ1341">
        <v>119</v>
      </c>
      <c r="AR1341">
        <v>64</v>
      </c>
      <c r="AZ1341">
        <v>1200</v>
      </c>
      <c r="BA1341">
        <v>1</v>
      </c>
      <c r="BB1341" t="str">
        <f t="shared" si="63"/>
        <v xml:space="preserve">N8080G  </v>
      </c>
      <c r="BC1341">
        <v>1</v>
      </c>
      <c r="BE1341">
        <v>0</v>
      </c>
      <c r="BF1341">
        <v>0</v>
      </c>
      <c r="BG1341">
        <v>0</v>
      </c>
      <c r="BH1341">
        <v>1700</v>
      </c>
      <c r="BI1341">
        <v>1</v>
      </c>
      <c r="BJ1341">
        <v>1</v>
      </c>
      <c r="BK1341">
        <v>1</v>
      </c>
      <c r="BL1341">
        <v>0</v>
      </c>
      <c r="BO1341">
        <v>0</v>
      </c>
      <c r="BP1341">
        <v>0</v>
      </c>
      <c r="BW1341" t="str">
        <f>"20:19:56.075"</f>
        <v>20:19:56.075</v>
      </c>
      <c r="BZ1341">
        <v>0</v>
      </c>
      <c r="CA1341">
        <v>2016</v>
      </c>
      <c r="CB1341">
        <v>224</v>
      </c>
      <c r="CD1341">
        <v>1</v>
      </c>
      <c r="CE1341">
        <v>0</v>
      </c>
      <c r="CF1341">
        <v>0</v>
      </c>
      <c r="CG1341">
        <v>1</v>
      </c>
      <c r="CH1341">
        <v>0</v>
      </c>
      <c r="CI1341">
        <v>0</v>
      </c>
      <c r="CJ1341">
        <v>0</v>
      </c>
      <c r="CK1341">
        <v>2</v>
      </c>
      <c r="CL1341">
        <v>0</v>
      </c>
      <c r="CM1341">
        <v>2</v>
      </c>
      <c r="CN1341">
        <v>0</v>
      </c>
      <c r="CO1341">
        <v>7</v>
      </c>
      <c r="CP1341" t="s">
        <v>119</v>
      </c>
      <c r="CQ1341">
        <v>180</v>
      </c>
      <c r="CR1341">
        <v>2</v>
      </c>
      <c r="CW1341">
        <v>8161190</v>
      </c>
      <c r="CY1341">
        <v>1</v>
      </c>
      <c r="CZ1341">
        <v>0</v>
      </c>
      <c r="DA1341">
        <v>1</v>
      </c>
      <c r="DB1341">
        <v>0</v>
      </c>
      <c r="DC1341">
        <v>0</v>
      </c>
      <c r="DD1341">
        <v>0</v>
      </c>
      <c r="DE1341">
        <v>0</v>
      </c>
      <c r="DF1341">
        <v>0</v>
      </c>
      <c r="DG1341">
        <v>0</v>
      </c>
      <c r="DH1341">
        <v>0</v>
      </c>
      <c r="DI1341">
        <v>0</v>
      </c>
    </row>
    <row r="1342" spans="1:113" x14ac:dyDescent="0.3">
      <c r="A1342" t="str">
        <f>"02/08/2021 20:19:53.759"</f>
        <v>02/08/2021 20:19:53.759</v>
      </c>
      <c r="C1342" t="str">
        <f t="shared" si="62"/>
        <v>FFDFD7C0</v>
      </c>
      <c r="D1342" t="s">
        <v>124</v>
      </c>
      <c r="E1342">
        <v>12</v>
      </c>
      <c r="F1342">
        <v>1012</v>
      </c>
      <c r="G1342" t="s">
        <v>675</v>
      </c>
      <c r="J1342" t="s">
        <v>125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>"20:19:56.070"</f>
        <v>20:19:56.070</v>
      </c>
      <c r="T1342" t="str">
        <f>"20:19:55.570"</f>
        <v>20:19:55.570</v>
      </c>
      <c r="U1342" t="str">
        <f t="shared" si="61"/>
        <v>AB01F4</v>
      </c>
      <c r="V1342">
        <v>0</v>
      </c>
      <c r="W1342">
        <v>0</v>
      </c>
      <c r="X1342">
        <v>2</v>
      </c>
      <c r="Z1342">
        <v>0</v>
      </c>
      <c r="AA1342">
        <v>9</v>
      </c>
      <c r="AB1342">
        <v>3</v>
      </c>
      <c r="AC1342">
        <v>0</v>
      </c>
      <c r="AD1342">
        <v>10</v>
      </c>
      <c r="AE1342">
        <v>0</v>
      </c>
      <c r="AF1342">
        <v>3</v>
      </c>
      <c r="AG1342">
        <v>2</v>
      </c>
      <c r="AH1342">
        <v>0</v>
      </c>
      <c r="AI1342" t="s">
        <v>934</v>
      </c>
      <c r="AJ1342">
        <v>39.786192999999997</v>
      </c>
      <c r="AK1342" t="s">
        <v>935</v>
      </c>
      <c r="AL1342">
        <v>-92.516298000000006</v>
      </c>
      <c r="AM1342">
        <v>100</v>
      </c>
      <c r="AN1342">
        <v>1700</v>
      </c>
      <c r="AO1342" t="s">
        <v>118</v>
      </c>
      <c r="AP1342">
        <v>-17</v>
      </c>
      <c r="AQ1342">
        <v>119</v>
      </c>
      <c r="AR1342">
        <v>64</v>
      </c>
      <c r="AZ1342">
        <v>1200</v>
      </c>
      <c r="BA1342">
        <v>1</v>
      </c>
      <c r="BB1342" t="str">
        <f t="shared" si="63"/>
        <v xml:space="preserve">N8080G  </v>
      </c>
      <c r="BC1342">
        <v>1</v>
      </c>
      <c r="BE1342">
        <v>0</v>
      </c>
      <c r="BF1342">
        <v>0</v>
      </c>
      <c r="BG1342">
        <v>0</v>
      </c>
      <c r="BH1342">
        <v>1700</v>
      </c>
      <c r="BI1342">
        <v>1</v>
      </c>
      <c r="BJ1342">
        <v>1</v>
      </c>
      <c r="BK1342">
        <v>1</v>
      </c>
      <c r="BL1342">
        <v>0</v>
      </c>
      <c r="BO1342">
        <v>0</v>
      </c>
      <c r="BP1342">
        <v>0</v>
      </c>
      <c r="BW1342" t="str">
        <f>"20:19:56.075"</f>
        <v>20:19:56.075</v>
      </c>
      <c r="BZ1342">
        <v>0</v>
      </c>
      <c r="CA1342">
        <v>2016</v>
      </c>
      <c r="CB1342">
        <v>224</v>
      </c>
      <c r="CD1342">
        <v>1</v>
      </c>
      <c r="CE1342">
        <v>0</v>
      </c>
      <c r="CF1342">
        <v>0</v>
      </c>
      <c r="CG1342">
        <v>1</v>
      </c>
      <c r="CH1342">
        <v>0</v>
      </c>
      <c r="CI1342">
        <v>0</v>
      </c>
      <c r="CJ1342">
        <v>0</v>
      </c>
      <c r="CK1342">
        <v>2</v>
      </c>
      <c r="CL1342">
        <v>0</v>
      </c>
      <c r="CM1342">
        <v>2</v>
      </c>
      <c r="CN1342">
        <v>0</v>
      </c>
      <c r="CO1342">
        <v>7</v>
      </c>
      <c r="CP1342" t="s">
        <v>119</v>
      </c>
      <c r="CQ1342">
        <v>180</v>
      </c>
      <c r="CR1342">
        <v>2</v>
      </c>
      <c r="CW1342">
        <v>8161190</v>
      </c>
      <c r="CY1342">
        <v>1</v>
      </c>
      <c r="CZ1342">
        <v>0</v>
      </c>
      <c r="DA1342">
        <v>1</v>
      </c>
      <c r="DB1342">
        <v>0</v>
      </c>
      <c r="DC1342">
        <v>0</v>
      </c>
      <c r="DD1342">
        <v>0</v>
      </c>
      <c r="DE1342">
        <v>0</v>
      </c>
      <c r="DF1342">
        <v>0</v>
      </c>
      <c r="DG1342">
        <v>0</v>
      </c>
      <c r="DH1342">
        <v>0</v>
      </c>
      <c r="DI1342">
        <v>0</v>
      </c>
    </row>
    <row r="1343" spans="1:113" x14ac:dyDescent="0.3">
      <c r="A1343" t="str">
        <f>"02/08/2021 20:19:55.186"</f>
        <v>02/08/2021 20:19:55.186</v>
      </c>
      <c r="C1343" t="str">
        <f t="shared" si="62"/>
        <v>FFDFD7C0</v>
      </c>
      <c r="D1343" t="s">
        <v>113</v>
      </c>
      <c r="E1343">
        <v>6</v>
      </c>
      <c r="H1343">
        <v>165</v>
      </c>
      <c r="I1343" t="s">
        <v>114</v>
      </c>
      <c r="J1343" t="s">
        <v>115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>"20:19:57.484"</f>
        <v>20:19:57.484</v>
      </c>
      <c r="T1343" t="str">
        <f>"20:19:56.984"</f>
        <v>20:19:56.984</v>
      </c>
      <c r="U1343" t="str">
        <f t="shared" si="61"/>
        <v>AB01F4</v>
      </c>
      <c r="V1343">
        <v>0</v>
      </c>
      <c r="W1343">
        <v>0</v>
      </c>
      <c r="X1343">
        <v>2</v>
      </c>
      <c r="Z1343">
        <v>0</v>
      </c>
      <c r="AA1343">
        <v>9</v>
      </c>
      <c r="AB1343">
        <v>3</v>
      </c>
      <c r="AC1343">
        <v>0</v>
      </c>
      <c r="AD1343">
        <v>10</v>
      </c>
      <c r="AE1343">
        <v>0</v>
      </c>
      <c r="AF1343">
        <v>3</v>
      </c>
      <c r="AG1343">
        <v>2</v>
      </c>
      <c r="AH1343">
        <v>0</v>
      </c>
      <c r="AI1343" t="s">
        <v>936</v>
      </c>
      <c r="AJ1343">
        <v>39.786943999999998</v>
      </c>
      <c r="AK1343" t="s">
        <v>937</v>
      </c>
      <c r="AL1343">
        <v>-92.516426999999993</v>
      </c>
      <c r="AM1343">
        <v>100</v>
      </c>
      <c r="AN1343">
        <v>1700</v>
      </c>
      <c r="AO1343" t="s">
        <v>118</v>
      </c>
      <c r="AP1343">
        <v>-17</v>
      </c>
      <c r="AQ1343">
        <v>119</v>
      </c>
      <c r="AR1343">
        <v>64</v>
      </c>
      <c r="AZ1343">
        <v>1200</v>
      </c>
      <c r="BA1343">
        <v>1</v>
      </c>
      <c r="BB1343" t="str">
        <f t="shared" si="63"/>
        <v xml:space="preserve">N8080G  </v>
      </c>
      <c r="BC1343">
        <v>1</v>
      </c>
      <c r="BE1343">
        <v>0</v>
      </c>
      <c r="BF1343">
        <v>0</v>
      </c>
      <c r="BG1343">
        <v>0</v>
      </c>
      <c r="BH1343">
        <v>1700</v>
      </c>
      <c r="BI1343">
        <v>1</v>
      </c>
      <c r="BJ1343">
        <v>1</v>
      </c>
      <c r="BK1343">
        <v>1</v>
      </c>
      <c r="BL1343">
        <v>0</v>
      </c>
      <c r="BO1343">
        <v>0</v>
      </c>
      <c r="BP1343">
        <v>0</v>
      </c>
      <c r="BW1343" t="str">
        <f>"20:19:57.492"</f>
        <v>20:19:57.492</v>
      </c>
      <c r="BZ1343">
        <v>0</v>
      </c>
      <c r="CA1343">
        <v>2016</v>
      </c>
      <c r="CB1343">
        <v>224</v>
      </c>
      <c r="CD1343">
        <v>1</v>
      </c>
      <c r="CE1343">
        <v>0</v>
      </c>
      <c r="CF1343">
        <v>0</v>
      </c>
      <c r="CG1343">
        <v>1</v>
      </c>
      <c r="CH1343">
        <v>0</v>
      </c>
      <c r="CI1343">
        <v>0</v>
      </c>
      <c r="CJ1343">
        <v>0</v>
      </c>
      <c r="CK1343">
        <v>2</v>
      </c>
      <c r="CL1343">
        <v>0</v>
      </c>
      <c r="CM1343">
        <v>2</v>
      </c>
      <c r="CN1343">
        <v>0</v>
      </c>
      <c r="CO1343">
        <v>7</v>
      </c>
      <c r="CP1343" t="s">
        <v>119</v>
      </c>
      <c r="CQ1343">
        <v>180</v>
      </c>
      <c r="CR1343">
        <v>1</v>
      </c>
      <c r="CW1343">
        <v>10726744</v>
      </c>
      <c r="CY1343">
        <v>1</v>
      </c>
      <c r="CZ1343">
        <v>0</v>
      </c>
      <c r="DA1343">
        <v>0</v>
      </c>
      <c r="DB1343">
        <v>0</v>
      </c>
      <c r="DC1343">
        <v>0</v>
      </c>
      <c r="DD1343">
        <v>0</v>
      </c>
      <c r="DE1343">
        <v>0</v>
      </c>
      <c r="DF1343">
        <v>0</v>
      </c>
      <c r="DG1343">
        <v>0</v>
      </c>
      <c r="DH1343">
        <v>0</v>
      </c>
      <c r="DI1343">
        <v>0</v>
      </c>
    </row>
    <row r="1344" spans="1:113" x14ac:dyDescent="0.3">
      <c r="A1344" t="str">
        <f>"02/08/2021 20:19:55.186"</f>
        <v>02/08/2021 20:19:55.186</v>
      </c>
      <c r="C1344" t="str">
        <f t="shared" si="62"/>
        <v>FFDFD7C0</v>
      </c>
      <c r="D1344" t="s">
        <v>124</v>
      </c>
      <c r="E1344">
        <v>11</v>
      </c>
      <c r="F1344">
        <v>1011</v>
      </c>
      <c r="G1344" t="s">
        <v>590</v>
      </c>
      <c r="J1344" t="s">
        <v>125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>"20:19:57.484"</f>
        <v>20:19:57.484</v>
      </c>
      <c r="T1344" t="str">
        <f>"20:19:56.984"</f>
        <v>20:19:56.984</v>
      </c>
      <c r="U1344" t="str">
        <f t="shared" si="61"/>
        <v>AB01F4</v>
      </c>
      <c r="V1344">
        <v>0</v>
      </c>
      <c r="W1344">
        <v>0</v>
      </c>
      <c r="X1344">
        <v>2</v>
      </c>
      <c r="Z1344">
        <v>0</v>
      </c>
      <c r="AA1344">
        <v>9</v>
      </c>
      <c r="AB1344">
        <v>3</v>
      </c>
      <c r="AC1344">
        <v>0</v>
      </c>
      <c r="AD1344">
        <v>10</v>
      </c>
      <c r="AE1344">
        <v>0</v>
      </c>
      <c r="AF1344">
        <v>3</v>
      </c>
      <c r="AG1344">
        <v>2</v>
      </c>
      <c r="AH1344">
        <v>0</v>
      </c>
      <c r="AI1344" t="s">
        <v>936</v>
      </c>
      <c r="AJ1344">
        <v>39.786943999999998</v>
      </c>
      <c r="AK1344" t="s">
        <v>937</v>
      </c>
      <c r="AL1344">
        <v>-92.516426999999993</v>
      </c>
      <c r="AM1344">
        <v>100</v>
      </c>
      <c r="AN1344">
        <v>1700</v>
      </c>
      <c r="AO1344" t="s">
        <v>118</v>
      </c>
      <c r="AP1344">
        <v>-17</v>
      </c>
      <c r="AQ1344">
        <v>119</v>
      </c>
      <c r="AR1344">
        <v>64</v>
      </c>
      <c r="AZ1344">
        <v>1200</v>
      </c>
      <c r="BA1344">
        <v>1</v>
      </c>
      <c r="BB1344" t="str">
        <f t="shared" si="63"/>
        <v xml:space="preserve">N8080G  </v>
      </c>
      <c r="BC1344">
        <v>1</v>
      </c>
      <c r="BE1344">
        <v>0</v>
      </c>
      <c r="BF1344">
        <v>0</v>
      </c>
      <c r="BG1344">
        <v>0</v>
      </c>
      <c r="BH1344">
        <v>1700</v>
      </c>
      <c r="BI1344">
        <v>1</v>
      </c>
      <c r="BJ1344">
        <v>1</v>
      </c>
      <c r="BK1344">
        <v>1</v>
      </c>
      <c r="BL1344">
        <v>0</v>
      </c>
      <c r="BO1344">
        <v>0</v>
      </c>
      <c r="BP1344">
        <v>0</v>
      </c>
      <c r="BW1344" t="str">
        <f>"20:19:57.492"</f>
        <v>20:19:57.492</v>
      </c>
      <c r="BZ1344">
        <v>0</v>
      </c>
      <c r="CA1344">
        <v>2016</v>
      </c>
      <c r="CB1344">
        <v>224</v>
      </c>
      <c r="CD1344">
        <v>1</v>
      </c>
      <c r="CE1344">
        <v>0</v>
      </c>
      <c r="CF1344">
        <v>0</v>
      </c>
      <c r="CG1344">
        <v>1</v>
      </c>
      <c r="CH1344">
        <v>0</v>
      </c>
      <c r="CI1344">
        <v>0</v>
      </c>
      <c r="CJ1344">
        <v>0</v>
      </c>
      <c r="CK1344">
        <v>2</v>
      </c>
      <c r="CL1344">
        <v>0</v>
      </c>
      <c r="CM1344">
        <v>2</v>
      </c>
      <c r="CN1344">
        <v>0</v>
      </c>
      <c r="CO1344">
        <v>7</v>
      </c>
      <c r="CP1344" t="s">
        <v>119</v>
      </c>
      <c r="CQ1344">
        <v>180</v>
      </c>
      <c r="CR1344">
        <v>1</v>
      </c>
      <c r="CW1344">
        <v>10726744</v>
      </c>
      <c r="CY1344">
        <v>1</v>
      </c>
      <c r="CZ1344">
        <v>0</v>
      </c>
      <c r="DA1344">
        <v>1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0</v>
      </c>
      <c r="DI1344">
        <v>0</v>
      </c>
    </row>
    <row r="1345" spans="1:113" x14ac:dyDescent="0.3">
      <c r="A1345" t="str">
        <f>"02/08/2021 20:19:55.186"</f>
        <v>02/08/2021 20:19:55.186</v>
      </c>
      <c r="C1345" t="str">
        <f t="shared" si="62"/>
        <v>FFDFD7C0</v>
      </c>
      <c r="D1345" t="s">
        <v>124</v>
      </c>
      <c r="E1345">
        <v>12</v>
      </c>
      <c r="F1345">
        <v>1012</v>
      </c>
      <c r="G1345" t="s">
        <v>675</v>
      </c>
      <c r="J1345" t="s">
        <v>125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>"20:19:57.484"</f>
        <v>20:19:57.484</v>
      </c>
      <c r="T1345" t="str">
        <f>"20:19:56.984"</f>
        <v>20:19:56.984</v>
      </c>
      <c r="U1345" t="str">
        <f t="shared" si="61"/>
        <v>AB01F4</v>
      </c>
      <c r="V1345">
        <v>0</v>
      </c>
      <c r="W1345">
        <v>0</v>
      </c>
      <c r="X1345">
        <v>2</v>
      </c>
      <c r="Z1345">
        <v>0</v>
      </c>
      <c r="AA1345">
        <v>9</v>
      </c>
      <c r="AB1345">
        <v>3</v>
      </c>
      <c r="AC1345">
        <v>0</v>
      </c>
      <c r="AD1345">
        <v>10</v>
      </c>
      <c r="AE1345">
        <v>0</v>
      </c>
      <c r="AF1345">
        <v>3</v>
      </c>
      <c r="AG1345">
        <v>2</v>
      </c>
      <c r="AH1345">
        <v>0</v>
      </c>
      <c r="AI1345" t="s">
        <v>936</v>
      </c>
      <c r="AJ1345">
        <v>39.786943999999998</v>
      </c>
      <c r="AK1345" t="s">
        <v>937</v>
      </c>
      <c r="AL1345">
        <v>-92.516426999999993</v>
      </c>
      <c r="AM1345">
        <v>100</v>
      </c>
      <c r="AN1345">
        <v>1700</v>
      </c>
      <c r="AO1345" t="s">
        <v>118</v>
      </c>
      <c r="AP1345">
        <v>-17</v>
      </c>
      <c r="AQ1345">
        <v>119</v>
      </c>
      <c r="AR1345">
        <v>64</v>
      </c>
      <c r="AZ1345">
        <v>1200</v>
      </c>
      <c r="BA1345">
        <v>1</v>
      </c>
      <c r="BB1345" t="str">
        <f t="shared" si="63"/>
        <v xml:space="preserve">N8080G  </v>
      </c>
      <c r="BC1345">
        <v>1</v>
      </c>
      <c r="BE1345">
        <v>0</v>
      </c>
      <c r="BF1345">
        <v>0</v>
      </c>
      <c r="BG1345">
        <v>0</v>
      </c>
      <c r="BH1345">
        <v>1700</v>
      </c>
      <c r="BI1345">
        <v>1</v>
      </c>
      <c r="BJ1345">
        <v>1</v>
      </c>
      <c r="BK1345">
        <v>1</v>
      </c>
      <c r="BL1345">
        <v>0</v>
      </c>
      <c r="BO1345">
        <v>0</v>
      </c>
      <c r="BP1345">
        <v>0</v>
      </c>
      <c r="BW1345" t="str">
        <f>"20:19:57.492"</f>
        <v>20:19:57.492</v>
      </c>
      <c r="BZ1345">
        <v>0</v>
      </c>
      <c r="CA1345">
        <v>2016</v>
      </c>
      <c r="CB1345">
        <v>224</v>
      </c>
      <c r="CD1345">
        <v>1</v>
      </c>
      <c r="CE1345">
        <v>0</v>
      </c>
      <c r="CF1345">
        <v>0</v>
      </c>
      <c r="CG1345">
        <v>1</v>
      </c>
      <c r="CH1345">
        <v>0</v>
      </c>
      <c r="CI1345">
        <v>0</v>
      </c>
      <c r="CJ1345">
        <v>0</v>
      </c>
      <c r="CK1345">
        <v>2</v>
      </c>
      <c r="CL1345">
        <v>0</v>
      </c>
      <c r="CM1345">
        <v>2</v>
      </c>
      <c r="CN1345">
        <v>0</v>
      </c>
      <c r="CO1345">
        <v>7</v>
      </c>
      <c r="CP1345" t="s">
        <v>119</v>
      </c>
      <c r="CQ1345">
        <v>180</v>
      </c>
      <c r="CR1345">
        <v>1</v>
      </c>
      <c r="CW1345">
        <v>10726744</v>
      </c>
      <c r="CY1345">
        <v>1</v>
      </c>
      <c r="CZ1345">
        <v>0</v>
      </c>
      <c r="DA1345">
        <v>1</v>
      </c>
      <c r="DB1345">
        <v>0</v>
      </c>
      <c r="DC1345">
        <v>0</v>
      </c>
      <c r="DD1345">
        <v>0</v>
      </c>
      <c r="DE1345">
        <v>0</v>
      </c>
      <c r="DF1345">
        <v>0</v>
      </c>
      <c r="DG1345">
        <v>0</v>
      </c>
      <c r="DH1345">
        <v>0</v>
      </c>
      <c r="DI1345">
        <v>0</v>
      </c>
    </row>
    <row r="1346" spans="1:113" x14ac:dyDescent="0.3">
      <c r="A1346" t="str">
        <f>"02/08/2021 20:19:55.186"</f>
        <v>02/08/2021 20:19:55.186</v>
      </c>
      <c r="C1346" t="str">
        <f t="shared" si="62"/>
        <v>FFDFD7C0</v>
      </c>
      <c r="D1346" t="s">
        <v>124</v>
      </c>
      <c r="E1346">
        <v>13</v>
      </c>
      <c r="F1346">
        <v>1013</v>
      </c>
      <c r="G1346" t="s">
        <v>114</v>
      </c>
      <c r="J1346" t="s">
        <v>125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t="str">
        <f>"20:19:57.484"</f>
        <v>20:19:57.484</v>
      </c>
      <c r="T1346" t="str">
        <f>"20:19:56.984"</f>
        <v>20:19:56.984</v>
      </c>
      <c r="U1346" t="str">
        <f t="shared" ref="U1346:U1409" si="64">"AB01F4"</f>
        <v>AB01F4</v>
      </c>
      <c r="V1346">
        <v>0</v>
      </c>
      <c r="W1346">
        <v>0</v>
      </c>
      <c r="X1346">
        <v>2</v>
      </c>
      <c r="Z1346">
        <v>0</v>
      </c>
      <c r="AA1346">
        <v>9</v>
      </c>
      <c r="AB1346">
        <v>3</v>
      </c>
      <c r="AC1346">
        <v>0</v>
      </c>
      <c r="AD1346">
        <v>10</v>
      </c>
      <c r="AE1346">
        <v>0</v>
      </c>
      <c r="AF1346">
        <v>3</v>
      </c>
      <c r="AG1346">
        <v>2</v>
      </c>
      <c r="AH1346">
        <v>0</v>
      </c>
      <c r="AI1346" t="s">
        <v>936</v>
      </c>
      <c r="AJ1346">
        <v>39.786943999999998</v>
      </c>
      <c r="AK1346" t="s">
        <v>937</v>
      </c>
      <c r="AL1346">
        <v>-92.516426999999993</v>
      </c>
      <c r="AM1346">
        <v>100</v>
      </c>
      <c r="AN1346">
        <v>1700</v>
      </c>
      <c r="AO1346" t="s">
        <v>118</v>
      </c>
      <c r="AP1346">
        <v>-17</v>
      </c>
      <c r="AQ1346">
        <v>119</v>
      </c>
      <c r="AR1346">
        <v>64</v>
      </c>
      <c r="AZ1346">
        <v>1200</v>
      </c>
      <c r="BA1346">
        <v>1</v>
      </c>
      <c r="BB1346" t="str">
        <f t="shared" si="63"/>
        <v xml:space="preserve">N8080G  </v>
      </c>
      <c r="BC1346">
        <v>1</v>
      </c>
      <c r="BE1346">
        <v>0</v>
      </c>
      <c r="BF1346">
        <v>0</v>
      </c>
      <c r="BG1346">
        <v>0</v>
      </c>
      <c r="BH1346">
        <v>1700</v>
      </c>
      <c r="BI1346">
        <v>1</v>
      </c>
      <c r="BJ1346">
        <v>1</v>
      </c>
      <c r="BK1346">
        <v>1</v>
      </c>
      <c r="BL1346">
        <v>0</v>
      </c>
      <c r="BO1346">
        <v>0</v>
      </c>
      <c r="BP1346">
        <v>0</v>
      </c>
      <c r="BW1346" t="str">
        <f>"20:19:57.492"</f>
        <v>20:19:57.492</v>
      </c>
      <c r="BZ1346">
        <v>0</v>
      </c>
      <c r="CA1346">
        <v>2016</v>
      </c>
      <c r="CB1346">
        <v>224</v>
      </c>
      <c r="CD1346">
        <v>1</v>
      </c>
      <c r="CE1346">
        <v>0</v>
      </c>
      <c r="CF1346">
        <v>0</v>
      </c>
      <c r="CG1346">
        <v>1</v>
      </c>
      <c r="CH1346">
        <v>0</v>
      </c>
      <c r="CI1346">
        <v>0</v>
      </c>
      <c r="CJ1346">
        <v>0</v>
      </c>
      <c r="CK1346">
        <v>2</v>
      </c>
      <c r="CL1346">
        <v>0</v>
      </c>
      <c r="CM1346">
        <v>2</v>
      </c>
      <c r="CN1346">
        <v>0</v>
      </c>
      <c r="CO1346">
        <v>7</v>
      </c>
      <c r="CP1346" t="s">
        <v>119</v>
      </c>
      <c r="CQ1346">
        <v>180</v>
      </c>
      <c r="CR1346">
        <v>1</v>
      </c>
      <c r="CW1346">
        <v>10726744</v>
      </c>
      <c r="CY1346">
        <v>1</v>
      </c>
      <c r="CZ1346">
        <v>0</v>
      </c>
      <c r="DA1346">
        <v>1</v>
      </c>
      <c r="DB1346">
        <v>0</v>
      </c>
      <c r="DC1346">
        <v>0</v>
      </c>
      <c r="DD1346">
        <v>0</v>
      </c>
      <c r="DE1346">
        <v>0</v>
      </c>
      <c r="DF1346">
        <v>0</v>
      </c>
      <c r="DG1346">
        <v>0</v>
      </c>
      <c r="DH1346">
        <v>0</v>
      </c>
      <c r="DI1346">
        <v>0</v>
      </c>
    </row>
    <row r="1347" spans="1:113" x14ac:dyDescent="0.3">
      <c r="A1347" t="str">
        <f>"02/08/2021 20:19:56.650"</f>
        <v>02/08/2021 20:19:56.650</v>
      </c>
      <c r="C1347" t="str">
        <f t="shared" si="62"/>
        <v>FFDFD7C0</v>
      </c>
      <c r="D1347" t="s">
        <v>124</v>
      </c>
      <c r="E1347">
        <v>11</v>
      </c>
      <c r="F1347">
        <v>1011</v>
      </c>
      <c r="G1347" t="s">
        <v>590</v>
      </c>
      <c r="J1347" t="s">
        <v>125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t="str">
        <f>"20:19:58.953"</f>
        <v>20:19:58.953</v>
      </c>
      <c r="T1347" t="str">
        <f>"20:19:58.453"</f>
        <v>20:19:58.453</v>
      </c>
      <c r="U1347" t="str">
        <f t="shared" si="64"/>
        <v>AB01F4</v>
      </c>
      <c r="V1347">
        <v>0</v>
      </c>
      <c r="W1347">
        <v>0</v>
      </c>
      <c r="X1347">
        <v>2</v>
      </c>
      <c r="Z1347">
        <v>0</v>
      </c>
      <c r="AA1347">
        <v>9</v>
      </c>
      <c r="AB1347">
        <v>3</v>
      </c>
      <c r="AC1347">
        <v>0</v>
      </c>
      <c r="AD1347">
        <v>10</v>
      </c>
      <c r="AE1347">
        <v>0</v>
      </c>
      <c r="AF1347">
        <v>3</v>
      </c>
      <c r="AG1347">
        <v>2</v>
      </c>
      <c r="AH1347">
        <v>0</v>
      </c>
      <c r="AI1347" t="s">
        <v>938</v>
      </c>
      <c r="AJ1347">
        <v>39.787759999999999</v>
      </c>
      <c r="AK1347" t="s">
        <v>939</v>
      </c>
      <c r="AL1347">
        <v>-92.516576999999998</v>
      </c>
      <c r="AM1347">
        <v>100</v>
      </c>
      <c r="AN1347">
        <v>1700</v>
      </c>
      <c r="AO1347" t="s">
        <v>118</v>
      </c>
      <c r="AP1347">
        <v>-17</v>
      </c>
      <c r="AQ1347">
        <v>119</v>
      </c>
      <c r="AR1347">
        <v>0</v>
      </c>
      <c r="AZ1347">
        <v>1200</v>
      </c>
      <c r="BA1347">
        <v>1</v>
      </c>
      <c r="BB1347" t="str">
        <f t="shared" si="63"/>
        <v xml:space="preserve">N8080G  </v>
      </c>
      <c r="BC1347">
        <v>1</v>
      </c>
      <c r="BE1347">
        <v>0</v>
      </c>
      <c r="BF1347">
        <v>0</v>
      </c>
      <c r="BG1347">
        <v>0</v>
      </c>
      <c r="BH1347">
        <v>1700</v>
      </c>
      <c r="BI1347">
        <v>1</v>
      </c>
      <c r="BJ1347">
        <v>1</v>
      </c>
      <c r="BK1347">
        <v>1</v>
      </c>
      <c r="BL1347">
        <v>0</v>
      </c>
      <c r="BO1347">
        <v>0</v>
      </c>
      <c r="BP1347">
        <v>0</v>
      </c>
      <c r="BW1347" t="str">
        <f>"20:19:58.957"</f>
        <v>20:19:58.957</v>
      </c>
      <c r="BZ1347">
        <v>0</v>
      </c>
      <c r="CA1347">
        <v>2016</v>
      </c>
      <c r="CB1347">
        <v>224</v>
      </c>
      <c r="CD1347">
        <v>1</v>
      </c>
      <c r="CE1347">
        <v>0</v>
      </c>
      <c r="CF1347">
        <v>0</v>
      </c>
      <c r="CG1347">
        <v>1</v>
      </c>
      <c r="CH1347">
        <v>0</v>
      </c>
      <c r="CI1347">
        <v>0</v>
      </c>
      <c r="CJ1347">
        <v>0</v>
      </c>
      <c r="CK1347">
        <v>2</v>
      </c>
      <c r="CL1347">
        <v>0</v>
      </c>
      <c r="CM1347">
        <v>2</v>
      </c>
      <c r="CN1347">
        <v>0</v>
      </c>
      <c r="CO1347">
        <v>7</v>
      </c>
      <c r="CP1347" t="s">
        <v>119</v>
      </c>
      <c r="CQ1347">
        <v>180</v>
      </c>
      <c r="CR1347">
        <v>1</v>
      </c>
      <c r="CW1347">
        <v>10727815</v>
      </c>
      <c r="CY1347">
        <v>1</v>
      </c>
      <c r="CZ1347">
        <v>0</v>
      </c>
      <c r="DA1347">
        <v>0</v>
      </c>
      <c r="DB1347">
        <v>0</v>
      </c>
      <c r="DC1347">
        <v>0</v>
      </c>
      <c r="DD1347">
        <v>0</v>
      </c>
      <c r="DE1347">
        <v>0</v>
      </c>
      <c r="DF1347">
        <v>0</v>
      </c>
      <c r="DG1347">
        <v>0</v>
      </c>
      <c r="DH1347">
        <v>0</v>
      </c>
      <c r="DI1347">
        <v>0</v>
      </c>
    </row>
    <row r="1348" spans="1:113" x14ac:dyDescent="0.3">
      <c r="A1348" t="str">
        <f>"02/08/2021 20:19:56.650"</f>
        <v>02/08/2021 20:19:56.650</v>
      </c>
      <c r="C1348" t="str">
        <f t="shared" si="62"/>
        <v>FFDFD7C0</v>
      </c>
      <c r="D1348" t="s">
        <v>113</v>
      </c>
      <c r="E1348">
        <v>6</v>
      </c>
      <c r="H1348">
        <v>165</v>
      </c>
      <c r="I1348" t="s">
        <v>114</v>
      </c>
      <c r="J1348" t="s">
        <v>115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t="str">
        <f>"20:19:58.953"</f>
        <v>20:19:58.953</v>
      </c>
      <c r="T1348" t="str">
        <f>"20:19:58.453"</f>
        <v>20:19:58.453</v>
      </c>
      <c r="U1348" t="str">
        <f t="shared" si="64"/>
        <v>AB01F4</v>
      </c>
      <c r="V1348">
        <v>0</v>
      </c>
      <c r="W1348">
        <v>0</v>
      </c>
      <c r="X1348">
        <v>2</v>
      </c>
      <c r="Z1348">
        <v>0</v>
      </c>
      <c r="AA1348">
        <v>9</v>
      </c>
      <c r="AB1348">
        <v>3</v>
      </c>
      <c r="AC1348">
        <v>0</v>
      </c>
      <c r="AD1348">
        <v>10</v>
      </c>
      <c r="AE1348">
        <v>0</v>
      </c>
      <c r="AF1348">
        <v>3</v>
      </c>
      <c r="AG1348">
        <v>2</v>
      </c>
      <c r="AH1348">
        <v>0</v>
      </c>
      <c r="AI1348" t="s">
        <v>938</v>
      </c>
      <c r="AJ1348">
        <v>39.787759999999999</v>
      </c>
      <c r="AK1348" t="s">
        <v>939</v>
      </c>
      <c r="AL1348">
        <v>-92.516576999999998</v>
      </c>
      <c r="AM1348">
        <v>100</v>
      </c>
      <c r="AN1348">
        <v>1700</v>
      </c>
      <c r="AO1348" t="s">
        <v>118</v>
      </c>
      <c r="AP1348">
        <v>-17</v>
      </c>
      <c r="AQ1348">
        <v>119</v>
      </c>
      <c r="AR1348">
        <v>0</v>
      </c>
      <c r="AZ1348">
        <v>1200</v>
      </c>
      <c r="BA1348">
        <v>1</v>
      </c>
      <c r="BB1348" t="str">
        <f t="shared" si="63"/>
        <v xml:space="preserve">N8080G  </v>
      </c>
      <c r="BC1348">
        <v>1</v>
      </c>
      <c r="BE1348">
        <v>0</v>
      </c>
      <c r="BF1348">
        <v>0</v>
      </c>
      <c r="BG1348">
        <v>0</v>
      </c>
      <c r="BH1348">
        <v>1700</v>
      </c>
      <c r="BI1348">
        <v>1</v>
      </c>
      <c r="BJ1348">
        <v>1</v>
      </c>
      <c r="BK1348">
        <v>1</v>
      </c>
      <c r="BL1348">
        <v>0</v>
      </c>
      <c r="BO1348">
        <v>0</v>
      </c>
      <c r="BP1348">
        <v>0</v>
      </c>
      <c r="BW1348" t="str">
        <f>"20:19:58.957"</f>
        <v>20:19:58.957</v>
      </c>
      <c r="BZ1348">
        <v>0</v>
      </c>
      <c r="CA1348">
        <v>2016</v>
      </c>
      <c r="CB1348">
        <v>224</v>
      </c>
      <c r="CD1348">
        <v>1</v>
      </c>
      <c r="CE1348">
        <v>0</v>
      </c>
      <c r="CF1348">
        <v>0</v>
      </c>
      <c r="CG1348">
        <v>1</v>
      </c>
      <c r="CH1348">
        <v>0</v>
      </c>
      <c r="CI1348">
        <v>0</v>
      </c>
      <c r="CJ1348">
        <v>0</v>
      </c>
      <c r="CK1348">
        <v>2</v>
      </c>
      <c r="CL1348">
        <v>0</v>
      </c>
      <c r="CM1348">
        <v>2</v>
      </c>
      <c r="CN1348">
        <v>0</v>
      </c>
      <c r="CO1348">
        <v>7</v>
      </c>
      <c r="CP1348" t="s">
        <v>119</v>
      </c>
      <c r="CQ1348">
        <v>180</v>
      </c>
      <c r="CR1348">
        <v>1</v>
      </c>
      <c r="CW1348">
        <v>10727815</v>
      </c>
      <c r="CY1348">
        <v>1</v>
      </c>
      <c r="CZ1348">
        <v>0</v>
      </c>
      <c r="DA1348">
        <v>1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>
        <v>0</v>
      </c>
      <c r="DH1348">
        <v>0</v>
      </c>
      <c r="DI1348">
        <v>0</v>
      </c>
    </row>
    <row r="1349" spans="1:113" x14ac:dyDescent="0.3">
      <c r="A1349" t="str">
        <f>"02/08/2021 20:19:56.650"</f>
        <v>02/08/2021 20:19:56.650</v>
      </c>
      <c r="C1349" t="str">
        <f t="shared" si="62"/>
        <v>FFDFD7C0</v>
      </c>
      <c r="D1349" t="s">
        <v>124</v>
      </c>
      <c r="E1349">
        <v>12</v>
      </c>
      <c r="F1349">
        <v>1012</v>
      </c>
      <c r="G1349" t="s">
        <v>675</v>
      </c>
      <c r="J1349" t="s">
        <v>125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t="str">
        <f>"20:19:58.953"</f>
        <v>20:19:58.953</v>
      </c>
      <c r="T1349" t="str">
        <f>"20:19:58.453"</f>
        <v>20:19:58.453</v>
      </c>
      <c r="U1349" t="str">
        <f t="shared" si="64"/>
        <v>AB01F4</v>
      </c>
      <c r="V1349">
        <v>0</v>
      </c>
      <c r="W1349">
        <v>0</v>
      </c>
      <c r="X1349">
        <v>2</v>
      </c>
      <c r="Z1349">
        <v>0</v>
      </c>
      <c r="AA1349">
        <v>9</v>
      </c>
      <c r="AB1349">
        <v>3</v>
      </c>
      <c r="AC1349">
        <v>0</v>
      </c>
      <c r="AD1349">
        <v>10</v>
      </c>
      <c r="AE1349">
        <v>0</v>
      </c>
      <c r="AF1349">
        <v>3</v>
      </c>
      <c r="AG1349">
        <v>2</v>
      </c>
      <c r="AH1349">
        <v>0</v>
      </c>
      <c r="AI1349" t="s">
        <v>938</v>
      </c>
      <c r="AJ1349">
        <v>39.787759999999999</v>
      </c>
      <c r="AK1349" t="s">
        <v>939</v>
      </c>
      <c r="AL1349">
        <v>-92.516576999999998</v>
      </c>
      <c r="AM1349">
        <v>100</v>
      </c>
      <c r="AN1349">
        <v>1700</v>
      </c>
      <c r="AO1349" t="s">
        <v>118</v>
      </c>
      <c r="AP1349">
        <v>-17</v>
      </c>
      <c r="AQ1349">
        <v>119</v>
      </c>
      <c r="AR1349">
        <v>0</v>
      </c>
      <c r="AZ1349">
        <v>1200</v>
      </c>
      <c r="BA1349">
        <v>1</v>
      </c>
      <c r="BB1349" t="str">
        <f t="shared" si="63"/>
        <v xml:space="preserve">N8080G  </v>
      </c>
      <c r="BC1349">
        <v>1</v>
      </c>
      <c r="BE1349">
        <v>0</v>
      </c>
      <c r="BF1349">
        <v>0</v>
      </c>
      <c r="BG1349">
        <v>0</v>
      </c>
      <c r="BH1349">
        <v>1700</v>
      </c>
      <c r="BI1349">
        <v>1</v>
      </c>
      <c r="BJ1349">
        <v>1</v>
      </c>
      <c r="BK1349">
        <v>1</v>
      </c>
      <c r="BL1349">
        <v>0</v>
      </c>
      <c r="BO1349">
        <v>0</v>
      </c>
      <c r="BP1349">
        <v>0</v>
      </c>
      <c r="BW1349" t="str">
        <f>"20:19:58.957"</f>
        <v>20:19:58.957</v>
      </c>
      <c r="BZ1349">
        <v>0</v>
      </c>
      <c r="CA1349">
        <v>2016</v>
      </c>
      <c r="CB1349">
        <v>224</v>
      </c>
      <c r="CD1349">
        <v>1</v>
      </c>
      <c r="CE1349">
        <v>0</v>
      </c>
      <c r="CF1349">
        <v>0</v>
      </c>
      <c r="CG1349">
        <v>1</v>
      </c>
      <c r="CH1349">
        <v>0</v>
      </c>
      <c r="CI1349">
        <v>0</v>
      </c>
      <c r="CJ1349">
        <v>0</v>
      </c>
      <c r="CK1349">
        <v>2</v>
      </c>
      <c r="CL1349">
        <v>0</v>
      </c>
      <c r="CM1349">
        <v>2</v>
      </c>
      <c r="CN1349">
        <v>0</v>
      </c>
      <c r="CO1349">
        <v>7</v>
      </c>
      <c r="CP1349" t="s">
        <v>119</v>
      </c>
      <c r="CQ1349">
        <v>180</v>
      </c>
      <c r="CR1349">
        <v>1</v>
      </c>
      <c r="CW1349">
        <v>10727815</v>
      </c>
      <c r="CY1349">
        <v>1</v>
      </c>
      <c r="CZ1349">
        <v>0</v>
      </c>
      <c r="DA1349">
        <v>1</v>
      </c>
      <c r="DB1349">
        <v>0</v>
      </c>
      <c r="DC1349">
        <v>0</v>
      </c>
      <c r="DD1349">
        <v>0</v>
      </c>
      <c r="DE1349">
        <v>0</v>
      </c>
      <c r="DF1349">
        <v>0</v>
      </c>
      <c r="DG1349">
        <v>0</v>
      </c>
      <c r="DH1349">
        <v>0</v>
      </c>
      <c r="DI1349">
        <v>0</v>
      </c>
    </row>
    <row r="1350" spans="1:113" x14ac:dyDescent="0.3">
      <c r="A1350" t="str">
        <f>"02/08/2021 20:19:56.650"</f>
        <v>02/08/2021 20:19:56.650</v>
      </c>
      <c r="C1350" t="str">
        <f t="shared" si="62"/>
        <v>FFDFD7C0</v>
      </c>
      <c r="D1350" t="s">
        <v>124</v>
      </c>
      <c r="E1350">
        <v>13</v>
      </c>
      <c r="F1350">
        <v>1013</v>
      </c>
      <c r="G1350" t="s">
        <v>114</v>
      </c>
      <c r="J1350" t="s">
        <v>125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t="str">
        <f>"20:19:58.953"</f>
        <v>20:19:58.953</v>
      </c>
      <c r="T1350" t="str">
        <f>"20:19:58.453"</f>
        <v>20:19:58.453</v>
      </c>
      <c r="U1350" t="str">
        <f t="shared" si="64"/>
        <v>AB01F4</v>
      </c>
      <c r="V1350">
        <v>0</v>
      </c>
      <c r="W1350">
        <v>0</v>
      </c>
      <c r="X1350">
        <v>2</v>
      </c>
      <c r="Z1350">
        <v>0</v>
      </c>
      <c r="AA1350">
        <v>9</v>
      </c>
      <c r="AB1350">
        <v>3</v>
      </c>
      <c r="AC1350">
        <v>0</v>
      </c>
      <c r="AD1350">
        <v>10</v>
      </c>
      <c r="AE1350">
        <v>0</v>
      </c>
      <c r="AF1350">
        <v>3</v>
      </c>
      <c r="AG1350">
        <v>2</v>
      </c>
      <c r="AH1350">
        <v>0</v>
      </c>
      <c r="AI1350" t="s">
        <v>938</v>
      </c>
      <c r="AJ1350">
        <v>39.787759999999999</v>
      </c>
      <c r="AK1350" t="s">
        <v>939</v>
      </c>
      <c r="AL1350">
        <v>-92.516576999999998</v>
      </c>
      <c r="AM1350">
        <v>100</v>
      </c>
      <c r="AN1350">
        <v>1700</v>
      </c>
      <c r="AO1350" t="s">
        <v>118</v>
      </c>
      <c r="AP1350">
        <v>-17</v>
      </c>
      <c r="AQ1350">
        <v>119</v>
      </c>
      <c r="AR1350">
        <v>0</v>
      </c>
      <c r="AZ1350">
        <v>1200</v>
      </c>
      <c r="BA1350">
        <v>1</v>
      </c>
      <c r="BB1350" t="str">
        <f t="shared" si="63"/>
        <v xml:space="preserve">N8080G  </v>
      </c>
      <c r="BC1350">
        <v>1</v>
      </c>
      <c r="BE1350">
        <v>0</v>
      </c>
      <c r="BF1350">
        <v>0</v>
      </c>
      <c r="BG1350">
        <v>0</v>
      </c>
      <c r="BH1350">
        <v>1700</v>
      </c>
      <c r="BI1350">
        <v>1</v>
      </c>
      <c r="BJ1350">
        <v>1</v>
      </c>
      <c r="BK1350">
        <v>1</v>
      </c>
      <c r="BL1350">
        <v>0</v>
      </c>
      <c r="BO1350">
        <v>0</v>
      </c>
      <c r="BP1350">
        <v>0</v>
      </c>
      <c r="BW1350" t="str">
        <f>"20:19:58.957"</f>
        <v>20:19:58.957</v>
      </c>
      <c r="BZ1350">
        <v>0</v>
      </c>
      <c r="CA1350">
        <v>2016</v>
      </c>
      <c r="CB1350">
        <v>224</v>
      </c>
      <c r="CD1350">
        <v>1</v>
      </c>
      <c r="CE1350">
        <v>0</v>
      </c>
      <c r="CF1350">
        <v>0</v>
      </c>
      <c r="CG1350">
        <v>1</v>
      </c>
      <c r="CH1350">
        <v>0</v>
      </c>
      <c r="CI1350">
        <v>0</v>
      </c>
      <c r="CJ1350">
        <v>0</v>
      </c>
      <c r="CK1350">
        <v>2</v>
      </c>
      <c r="CL1350">
        <v>0</v>
      </c>
      <c r="CM1350">
        <v>2</v>
      </c>
      <c r="CN1350">
        <v>0</v>
      </c>
      <c r="CO1350">
        <v>7</v>
      </c>
      <c r="CP1350" t="s">
        <v>119</v>
      </c>
      <c r="CQ1350">
        <v>180</v>
      </c>
      <c r="CR1350">
        <v>1</v>
      </c>
      <c r="CW1350">
        <v>10727815</v>
      </c>
      <c r="CY1350">
        <v>1</v>
      </c>
      <c r="CZ1350">
        <v>0</v>
      </c>
      <c r="DA1350">
        <v>1</v>
      </c>
      <c r="DB1350">
        <v>0</v>
      </c>
      <c r="DC1350">
        <v>0</v>
      </c>
      <c r="DD1350">
        <v>0</v>
      </c>
      <c r="DE1350">
        <v>0</v>
      </c>
      <c r="DF1350">
        <v>0</v>
      </c>
      <c r="DG1350">
        <v>0</v>
      </c>
      <c r="DH1350">
        <v>0</v>
      </c>
      <c r="DI1350">
        <v>0</v>
      </c>
    </row>
    <row r="1351" spans="1:113" x14ac:dyDescent="0.3">
      <c r="A1351" t="str">
        <f>"02/08/2021 20:19:58.163"</f>
        <v>02/08/2021 20:19:58.163</v>
      </c>
      <c r="C1351" t="str">
        <f t="shared" si="62"/>
        <v>FFDFD7C0</v>
      </c>
      <c r="D1351" t="s">
        <v>124</v>
      </c>
      <c r="E1351">
        <v>11</v>
      </c>
      <c r="F1351">
        <v>1011</v>
      </c>
      <c r="G1351" t="s">
        <v>590</v>
      </c>
      <c r="J1351" t="s">
        <v>125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t="str">
        <f>"20:20:00.461"</f>
        <v>20:20:00.461</v>
      </c>
      <c r="T1351" t="str">
        <f>"20:20:00.061"</f>
        <v>20:20:00.061</v>
      </c>
      <c r="U1351" t="str">
        <f t="shared" si="64"/>
        <v>AB01F4</v>
      </c>
      <c r="V1351">
        <v>0</v>
      </c>
      <c r="W1351">
        <v>0</v>
      </c>
      <c r="X1351">
        <v>2</v>
      </c>
      <c r="Z1351">
        <v>0</v>
      </c>
      <c r="AA1351">
        <v>9</v>
      </c>
      <c r="AB1351">
        <v>3</v>
      </c>
      <c r="AC1351">
        <v>0</v>
      </c>
      <c r="AD1351">
        <v>10</v>
      </c>
      <c r="AE1351">
        <v>0</v>
      </c>
      <c r="AF1351">
        <v>3</v>
      </c>
      <c r="AG1351">
        <v>2</v>
      </c>
      <c r="AH1351">
        <v>0</v>
      </c>
      <c r="AI1351" t="s">
        <v>940</v>
      </c>
      <c r="AJ1351">
        <v>39.788618</v>
      </c>
      <c r="AK1351" t="s">
        <v>941</v>
      </c>
      <c r="AL1351">
        <v>-92.516727000000003</v>
      </c>
      <c r="AM1351">
        <v>100</v>
      </c>
      <c r="AN1351">
        <v>1700</v>
      </c>
      <c r="AO1351" t="s">
        <v>118</v>
      </c>
      <c r="AP1351">
        <v>-17</v>
      </c>
      <c r="AQ1351">
        <v>119</v>
      </c>
      <c r="AR1351">
        <v>-64</v>
      </c>
      <c r="AZ1351">
        <v>1200</v>
      </c>
      <c r="BA1351">
        <v>1</v>
      </c>
      <c r="BB1351" t="str">
        <f t="shared" si="63"/>
        <v xml:space="preserve">N8080G  </v>
      </c>
      <c r="BC1351">
        <v>1</v>
      </c>
      <c r="BE1351">
        <v>0</v>
      </c>
      <c r="BF1351">
        <v>0</v>
      </c>
      <c r="BG1351">
        <v>0</v>
      </c>
      <c r="BH1351">
        <v>1700</v>
      </c>
      <c r="BI1351">
        <v>1</v>
      </c>
      <c r="BJ1351">
        <v>1</v>
      </c>
      <c r="BK1351">
        <v>1</v>
      </c>
      <c r="BL1351">
        <v>0</v>
      </c>
      <c r="BO1351">
        <v>0</v>
      </c>
      <c r="BP1351">
        <v>0</v>
      </c>
      <c r="BW1351" t="str">
        <f>"20:20:00.463"</f>
        <v>20:20:00.463</v>
      </c>
      <c r="BZ1351">
        <v>0</v>
      </c>
      <c r="CA1351">
        <v>2016</v>
      </c>
      <c r="CB1351">
        <v>224</v>
      </c>
      <c r="CD1351">
        <v>1</v>
      </c>
      <c r="CE1351">
        <v>0</v>
      </c>
      <c r="CF1351">
        <v>0</v>
      </c>
      <c r="CG1351">
        <v>1</v>
      </c>
      <c r="CH1351">
        <v>0</v>
      </c>
      <c r="CI1351">
        <v>0</v>
      </c>
      <c r="CJ1351">
        <v>0</v>
      </c>
      <c r="CK1351">
        <v>2</v>
      </c>
      <c r="CL1351">
        <v>0</v>
      </c>
      <c r="CM1351">
        <v>2</v>
      </c>
      <c r="CN1351">
        <v>0</v>
      </c>
      <c r="CO1351">
        <v>7</v>
      </c>
      <c r="CP1351" t="s">
        <v>119</v>
      </c>
      <c r="CQ1351">
        <v>180</v>
      </c>
      <c r="CR1351">
        <v>2</v>
      </c>
      <c r="CW1351">
        <v>8164714</v>
      </c>
      <c r="CY1351">
        <v>1</v>
      </c>
      <c r="CZ1351">
        <v>0</v>
      </c>
      <c r="DA1351">
        <v>0</v>
      </c>
      <c r="DB1351">
        <v>0</v>
      </c>
      <c r="DC1351">
        <v>0</v>
      </c>
      <c r="DD1351">
        <v>0</v>
      </c>
      <c r="DE1351">
        <v>0</v>
      </c>
      <c r="DF1351">
        <v>0</v>
      </c>
      <c r="DG1351">
        <v>0</v>
      </c>
      <c r="DH1351">
        <v>0</v>
      </c>
      <c r="DI1351">
        <v>0</v>
      </c>
    </row>
    <row r="1352" spans="1:113" x14ac:dyDescent="0.3">
      <c r="A1352" t="str">
        <f>"02/08/2021 20:19:58.163"</f>
        <v>02/08/2021 20:19:58.163</v>
      </c>
      <c r="C1352" t="str">
        <f t="shared" si="62"/>
        <v>FFDFD7C0</v>
      </c>
      <c r="D1352" t="s">
        <v>124</v>
      </c>
      <c r="E1352">
        <v>12</v>
      </c>
      <c r="F1352">
        <v>1012</v>
      </c>
      <c r="G1352" t="s">
        <v>675</v>
      </c>
      <c r="J1352" t="s">
        <v>125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t="str">
        <f>"20:20:00.461"</f>
        <v>20:20:00.461</v>
      </c>
      <c r="T1352" t="str">
        <f>"20:20:00.061"</f>
        <v>20:20:00.061</v>
      </c>
      <c r="U1352" t="str">
        <f t="shared" si="64"/>
        <v>AB01F4</v>
      </c>
      <c r="V1352">
        <v>0</v>
      </c>
      <c r="W1352">
        <v>0</v>
      </c>
      <c r="X1352">
        <v>2</v>
      </c>
      <c r="Z1352">
        <v>0</v>
      </c>
      <c r="AA1352">
        <v>9</v>
      </c>
      <c r="AB1352">
        <v>3</v>
      </c>
      <c r="AC1352">
        <v>0</v>
      </c>
      <c r="AD1352">
        <v>10</v>
      </c>
      <c r="AE1352">
        <v>0</v>
      </c>
      <c r="AF1352">
        <v>3</v>
      </c>
      <c r="AG1352">
        <v>2</v>
      </c>
      <c r="AH1352">
        <v>0</v>
      </c>
      <c r="AI1352" t="s">
        <v>940</v>
      </c>
      <c r="AJ1352">
        <v>39.788618</v>
      </c>
      <c r="AK1352" t="s">
        <v>941</v>
      </c>
      <c r="AL1352">
        <v>-92.516727000000003</v>
      </c>
      <c r="AM1352">
        <v>100</v>
      </c>
      <c r="AN1352">
        <v>1700</v>
      </c>
      <c r="AO1352" t="s">
        <v>118</v>
      </c>
      <c r="AP1352">
        <v>-17</v>
      </c>
      <c r="AQ1352">
        <v>119</v>
      </c>
      <c r="AR1352">
        <v>-64</v>
      </c>
      <c r="AZ1352">
        <v>1200</v>
      </c>
      <c r="BA1352">
        <v>1</v>
      </c>
      <c r="BB1352" t="str">
        <f t="shared" si="63"/>
        <v xml:space="preserve">N8080G  </v>
      </c>
      <c r="BC1352">
        <v>1</v>
      </c>
      <c r="BE1352">
        <v>0</v>
      </c>
      <c r="BF1352">
        <v>0</v>
      </c>
      <c r="BG1352">
        <v>0</v>
      </c>
      <c r="BH1352">
        <v>1700</v>
      </c>
      <c r="BI1352">
        <v>1</v>
      </c>
      <c r="BJ1352">
        <v>1</v>
      </c>
      <c r="BK1352">
        <v>1</v>
      </c>
      <c r="BL1352">
        <v>0</v>
      </c>
      <c r="BO1352">
        <v>0</v>
      </c>
      <c r="BP1352">
        <v>0</v>
      </c>
      <c r="BW1352" t="str">
        <f>"20:20:00.463"</f>
        <v>20:20:00.463</v>
      </c>
      <c r="BZ1352">
        <v>0</v>
      </c>
      <c r="CA1352">
        <v>2016</v>
      </c>
      <c r="CB1352">
        <v>224</v>
      </c>
      <c r="CD1352">
        <v>1</v>
      </c>
      <c r="CE1352">
        <v>0</v>
      </c>
      <c r="CF1352">
        <v>0</v>
      </c>
      <c r="CG1352">
        <v>1</v>
      </c>
      <c r="CH1352">
        <v>0</v>
      </c>
      <c r="CI1352">
        <v>0</v>
      </c>
      <c r="CJ1352">
        <v>0</v>
      </c>
      <c r="CK1352">
        <v>2</v>
      </c>
      <c r="CL1352">
        <v>0</v>
      </c>
      <c r="CM1352">
        <v>2</v>
      </c>
      <c r="CN1352">
        <v>0</v>
      </c>
      <c r="CO1352">
        <v>7</v>
      </c>
      <c r="CP1352" t="s">
        <v>119</v>
      </c>
      <c r="CQ1352">
        <v>180</v>
      </c>
      <c r="CR1352">
        <v>2</v>
      </c>
      <c r="CW1352">
        <v>8164714</v>
      </c>
      <c r="CY1352">
        <v>1</v>
      </c>
      <c r="CZ1352">
        <v>0</v>
      </c>
      <c r="DA1352">
        <v>1</v>
      </c>
      <c r="DB1352">
        <v>0</v>
      </c>
      <c r="DC1352">
        <v>0</v>
      </c>
      <c r="DD1352">
        <v>0</v>
      </c>
      <c r="DE1352">
        <v>0</v>
      </c>
      <c r="DF1352">
        <v>0</v>
      </c>
      <c r="DG1352">
        <v>0</v>
      </c>
      <c r="DH1352">
        <v>0</v>
      </c>
      <c r="DI1352">
        <v>0</v>
      </c>
    </row>
    <row r="1353" spans="1:113" x14ac:dyDescent="0.3">
      <c r="A1353" t="str">
        <f>"02/08/2021 20:19:58.163"</f>
        <v>02/08/2021 20:19:58.163</v>
      </c>
      <c r="C1353" t="str">
        <f t="shared" ref="C1353:C1416" si="65">"FFDFD7C0"</f>
        <v>FFDFD7C0</v>
      </c>
      <c r="D1353" t="s">
        <v>113</v>
      </c>
      <c r="E1353">
        <v>6</v>
      </c>
      <c r="H1353">
        <v>165</v>
      </c>
      <c r="I1353" t="s">
        <v>114</v>
      </c>
      <c r="J1353" t="s">
        <v>115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t="str">
        <f>"20:20:00.461"</f>
        <v>20:20:00.461</v>
      </c>
      <c r="T1353" t="str">
        <f>"20:20:00.061"</f>
        <v>20:20:00.061</v>
      </c>
      <c r="U1353" t="str">
        <f t="shared" si="64"/>
        <v>AB01F4</v>
      </c>
      <c r="V1353">
        <v>0</v>
      </c>
      <c r="W1353">
        <v>0</v>
      </c>
      <c r="X1353">
        <v>2</v>
      </c>
      <c r="Z1353">
        <v>0</v>
      </c>
      <c r="AA1353">
        <v>9</v>
      </c>
      <c r="AB1353">
        <v>3</v>
      </c>
      <c r="AC1353">
        <v>0</v>
      </c>
      <c r="AD1353">
        <v>10</v>
      </c>
      <c r="AE1353">
        <v>0</v>
      </c>
      <c r="AF1353">
        <v>3</v>
      </c>
      <c r="AG1353">
        <v>2</v>
      </c>
      <c r="AH1353">
        <v>0</v>
      </c>
      <c r="AI1353" t="s">
        <v>940</v>
      </c>
      <c r="AJ1353">
        <v>39.788618</v>
      </c>
      <c r="AK1353" t="s">
        <v>941</v>
      </c>
      <c r="AL1353">
        <v>-92.516727000000003</v>
      </c>
      <c r="AM1353">
        <v>100</v>
      </c>
      <c r="AN1353">
        <v>1700</v>
      </c>
      <c r="AO1353" t="s">
        <v>118</v>
      </c>
      <c r="AP1353">
        <v>-17</v>
      </c>
      <c r="AQ1353">
        <v>119</v>
      </c>
      <c r="AR1353">
        <v>-64</v>
      </c>
      <c r="AZ1353">
        <v>1200</v>
      </c>
      <c r="BA1353">
        <v>1</v>
      </c>
      <c r="BB1353" t="str">
        <f t="shared" si="63"/>
        <v xml:space="preserve">N8080G  </v>
      </c>
      <c r="BC1353">
        <v>1</v>
      </c>
      <c r="BE1353">
        <v>0</v>
      </c>
      <c r="BF1353">
        <v>0</v>
      </c>
      <c r="BG1353">
        <v>0</v>
      </c>
      <c r="BH1353">
        <v>1700</v>
      </c>
      <c r="BI1353">
        <v>1</v>
      </c>
      <c r="BJ1353">
        <v>1</v>
      </c>
      <c r="BK1353">
        <v>1</v>
      </c>
      <c r="BL1353">
        <v>0</v>
      </c>
      <c r="BO1353">
        <v>0</v>
      </c>
      <c r="BP1353">
        <v>0</v>
      </c>
      <c r="BW1353" t="str">
        <f>"20:20:00.463"</f>
        <v>20:20:00.463</v>
      </c>
      <c r="BZ1353">
        <v>0</v>
      </c>
      <c r="CA1353">
        <v>2016</v>
      </c>
      <c r="CB1353">
        <v>224</v>
      </c>
      <c r="CD1353">
        <v>1</v>
      </c>
      <c r="CE1353">
        <v>0</v>
      </c>
      <c r="CF1353">
        <v>0</v>
      </c>
      <c r="CG1353">
        <v>1</v>
      </c>
      <c r="CH1353">
        <v>0</v>
      </c>
      <c r="CI1353">
        <v>0</v>
      </c>
      <c r="CJ1353">
        <v>0</v>
      </c>
      <c r="CK1353">
        <v>2</v>
      </c>
      <c r="CL1353">
        <v>0</v>
      </c>
      <c r="CM1353">
        <v>2</v>
      </c>
      <c r="CN1353">
        <v>0</v>
      </c>
      <c r="CO1353">
        <v>7</v>
      </c>
      <c r="CP1353" t="s">
        <v>119</v>
      </c>
      <c r="CQ1353">
        <v>180</v>
      </c>
      <c r="CR1353">
        <v>2</v>
      </c>
      <c r="CW1353">
        <v>8164714</v>
      </c>
      <c r="CY1353">
        <v>1</v>
      </c>
      <c r="CZ1353">
        <v>0</v>
      </c>
      <c r="DA1353">
        <v>1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0</v>
      </c>
    </row>
    <row r="1354" spans="1:113" x14ac:dyDescent="0.3">
      <c r="A1354" t="str">
        <f>"02/08/2021 20:19:58.163"</f>
        <v>02/08/2021 20:19:58.163</v>
      </c>
      <c r="C1354" t="str">
        <f t="shared" si="65"/>
        <v>FFDFD7C0</v>
      </c>
      <c r="D1354" t="s">
        <v>124</v>
      </c>
      <c r="E1354">
        <v>13</v>
      </c>
      <c r="F1354">
        <v>1013</v>
      </c>
      <c r="G1354" t="s">
        <v>114</v>
      </c>
      <c r="J1354" t="s">
        <v>125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t="str">
        <f>"20:20:00.461"</f>
        <v>20:20:00.461</v>
      </c>
      <c r="T1354" t="str">
        <f>"20:20:00.061"</f>
        <v>20:20:00.061</v>
      </c>
      <c r="U1354" t="str">
        <f t="shared" si="64"/>
        <v>AB01F4</v>
      </c>
      <c r="V1354">
        <v>0</v>
      </c>
      <c r="W1354">
        <v>0</v>
      </c>
      <c r="X1354">
        <v>2</v>
      </c>
      <c r="Z1354">
        <v>0</v>
      </c>
      <c r="AA1354">
        <v>9</v>
      </c>
      <c r="AB1354">
        <v>3</v>
      </c>
      <c r="AC1354">
        <v>0</v>
      </c>
      <c r="AD1354">
        <v>10</v>
      </c>
      <c r="AE1354">
        <v>0</v>
      </c>
      <c r="AF1354">
        <v>3</v>
      </c>
      <c r="AG1354">
        <v>2</v>
      </c>
      <c r="AH1354">
        <v>0</v>
      </c>
      <c r="AI1354" t="s">
        <v>940</v>
      </c>
      <c r="AJ1354">
        <v>39.788618</v>
      </c>
      <c r="AK1354" t="s">
        <v>941</v>
      </c>
      <c r="AL1354">
        <v>-92.516727000000003</v>
      </c>
      <c r="AM1354">
        <v>100</v>
      </c>
      <c r="AN1354">
        <v>1700</v>
      </c>
      <c r="AO1354" t="s">
        <v>118</v>
      </c>
      <c r="AP1354">
        <v>-17</v>
      </c>
      <c r="AQ1354">
        <v>119</v>
      </c>
      <c r="AR1354">
        <v>-64</v>
      </c>
      <c r="AZ1354">
        <v>1200</v>
      </c>
      <c r="BA1354">
        <v>1</v>
      </c>
      <c r="BB1354" t="str">
        <f t="shared" si="63"/>
        <v xml:space="preserve">N8080G  </v>
      </c>
      <c r="BC1354">
        <v>1</v>
      </c>
      <c r="BE1354">
        <v>0</v>
      </c>
      <c r="BF1354">
        <v>0</v>
      </c>
      <c r="BG1354">
        <v>0</v>
      </c>
      <c r="BH1354">
        <v>1700</v>
      </c>
      <c r="BI1354">
        <v>1</v>
      </c>
      <c r="BJ1354">
        <v>1</v>
      </c>
      <c r="BK1354">
        <v>1</v>
      </c>
      <c r="BL1354">
        <v>0</v>
      </c>
      <c r="BO1354">
        <v>0</v>
      </c>
      <c r="BP1354">
        <v>0</v>
      </c>
      <c r="BW1354" t="str">
        <f>"20:20:00.463"</f>
        <v>20:20:00.463</v>
      </c>
      <c r="BZ1354">
        <v>0</v>
      </c>
      <c r="CA1354">
        <v>2016</v>
      </c>
      <c r="CB1354">
        <v>224</v>
      </c>
      <c r="CD1354">
        <v>1</v>
      </c>
      <c r="CE1354">
        <v>0</v>
      </c>
      <c r="CF1354">
        <v>0</v>
      </c>
      <c r="CG1354">
        <v>1</v>
      </c>
      <c r="CH1354">
        <v>0</v>
      </c>
      <c r="CI1354">
        <v>0</v>
      </c>
      <c r="CJ1354">
        <v>0</v>
      </c>
      <c r="CK1354">
        <v>2</v>
      </c>
      <c r="CL1354">
        <v>0</v>
      </c>
      <c r="CM1354">
        <v>2</v>
      </c>
      <c r="CN1354">
        <v>0</v>
      </c>
      <c r="CO1354">
        <v>7</v>
      </c>
      <c r="CP1354" t="s">
        <v>119</v>
      </c>
      <c r="CQ1354">
        <v>180</v>
      </c>
      <c r="CR1354">
        <v>2</v>
      </c>
      <c r="CW1354">
        <v>8164714</v>
      </c>
      <c r="CY1354">
        <v>1</v>
      </c>
      <c r="CZ1354">
        <v>0</v>
      </c>
      <c r="DA1354">
        <v>1</v>
      </c>
      <c r="DB1354">
        <v>0</v>
      </c>
      <c r="DC1354">
        <v>0</v>
      </c>
      <c r="DD1354">
        <v>0</v>
      </c>
      <c r="DE1354">
        <v>0</v>
      </c>
      <c r="DF1354">
        <v>0</v>
      </c>
      <c r="DG1354">
        <v>0</v>
      </c>
      <c r="DH1354">
        <v>0</v>
      </c>
      <c r="DI1354">
        <v>0</v>
      </c>
    </row>
    <row r="1355" spans="1:113" x14ac:dyDescent="0.3">
      <c r="A1355" t="str">
        <f>"02/08/2021 20:20:01.484"</f>
        <v>02/08/2021 20:20:01.484</v>
      </c>
      <c r="C1355" t="str">
        <f t="shared" si="65"/>
        <v>FFDFD7C0</v>
      </c>
      <c r="D1355" t="s">
        <v>124</v>
      </c>
      <c r="E1355">
        <v>12</v>
      </c>
      <c r="F1355">
        <v>1012</v>
      </c>
      <c r="G1355" t="s">
        <v>675</v>
      </c>
      <c r="J1355" t="s">
        <v>125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t="str">
        <f>"20:20:03.805"</f>
        <v>20:20:03.805</v>
      </c>
      <c r="T1355" t="str">
        <f>"20:20:03.305"</f>
        <v>20:20:03.305</v>
      </c>
      <c r="U1355" t="str">
        <f t="shared" si="64"/>
        <v>AB01F4</v>
      </c>
      <c r="V1355">
        <v>0</v>
      </c>
      <c r="W1355">
        <v>0</v>
      </c>
      <c r="X1355">
        <v>2</v>
      </c>
      <c r="Z1355">
        <v>0</v>
      </c>
      <c r="AA1355">
        <v>9</v>
      </c>
      <c r="AB1355">
        <v>3</v>
      </c>
      <c r="AC1355">
        <v>0</v>
      </c>
      <c r="AD1355">
        <v>10</v>
      </c>
      <c r="AE1355">
        <v>0</v>
      </c>
      <c r="AF1355">
        <v>3</v>
      </c>
      <c r="AG1355">
        <v>2</v>
      </c>
      <c r="AH1355">
        <v>0</v>
      </c>
      <c r="AI1355" t="s">
        <v>942</v>
      </c>
      <c r="AJ1355">
        <v>39.790421000000002</v>
      </c>
      <c r="AK1355" t="s">
        <v>886</v>
      </c>
      <c r="AL1355">
        <v>-92.517071000000001</v>
      </c>
      <c r="AM1355">
        <v>100</v>
      </c>
      <c r="AN1355">
        <v>1700</v>
      </c>
      <c r="AO1355" t="s">
        <v>118</v>
      </c>
      <c r="AP1355">
        <v>-17</v>
      </c>
      <c r="AQ1355">
        <v>119</v>
      </c>
      <c r="AR1355">
        <v>0</v>
      </c>
      <c r="AZ1355">
        <v>1200</v>
      </c>
      <c r="BA1355">
        <v>1</v>
      </c>
      <c r="BB1355" t="str">
        <f t="shared" si="63"/>
        <v xml:space="preserve">N8080G  </v>
      </c>
      <c r="BC1355">
        <v>1</v>
      </c>
      <c r="BE1355">
        <v>0</v>
      </c>
      <c r="BF1355">
        <v>0</v>
      </c>
      <c r="BG1355">
        <v>0</v>
      </c>
      <c r="BH1355">
        <v>1700</v>
      </c>
      <c r="BI1355">
        <v>1</v>
      </c>
      <c r="BJ1355">
        <v>1</v>
      </c>
      <c r="BK1355">
        <v>1</v>
      </c>
      <c r="BL1355">
        <v>0</v>
      </c>
      <c r="BO1355">
        <v>0</v>
      </c>
      <c r="BP1355">
        <v>0</v>
      </c>
      <c r="BW1355" t="str">
        <f>"20:20:03.807"</f>
        <v>20:20:03.807</v>
      </c>
      <c r="BZ1355">
        <v>0</v>
      </c>
      <c r="CA1355">
        <v>2016</v>
      </c>
      <c r="CB1355">
        <v>224</v>
      </c>
      <c r="CD1355">
        <v>1</v>
      </c>
      <c r="CE1355">
        <v>0</v>
      </c>
      <c r="CF1355">
        <v>0</v>
      </c>
      <c r="CG1355">
        <v>1</v>
      </c>
      <c r="CH1355">
        <v>0</v>
      </c>
      <c r="CI1355">
        <v>0</v>
      </c>
      <c r="CJ1355">
        <v>0</v>
      </c>
      <c r="CK1355">
        <v>2</v>
      </c>
      <c r="CL1355">
        <v>0</v>
      </c>
      <c r="CM1355">
        <v>2</v>
      </c>
      <c r="CN1355">
        <v>0</v>
      </c>
      <c r="CO1355">
        <v>7</v>
      </c>
      <c r="CP1355" t="s">
        <v>119</v>
      </c>
      <c r="CQ1355">
        <v>180</v>
      </c>
      <c r="CR1355">
        <v>2</v>
      </c>
      <c r="CW1355">
        <v>8167544</v>
      </c>
      <c r="CY1355">
        <v>1</v>
      </c>
      <c r="CZ1355">
        <v>0</v>
      </c>
      <c r="DA1355">
        <v>0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</row>
    <row r="1356" spans="1:113" x14ac:dyDescent="0.3">
      <c r="A1356" t="str">
        <f>"02/08/2021 20:20:01.484"</f>
        <v>02/08/2021 20:20:01.484</v>
      </c>
      <c r="C1356" t="str">
        <f t="shared" si="65"/>
        <v>FFDFD7C0</v>
      </c>
      <c r="D1356" t="s">
        <v>124</v>
      </c>
      <c r="E1356">
        <v>11</v>
      </c>
      <c r="F1356">
        <v>1011</v>
      </c>
      <c r="G1356" t="s">
        <v>590</v>
      </c>
      <c r="J1356" t="s">
        <v>125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t="str">
        <f>"20:20:03.805"</f>
        <v>20:20:03.805</v>
      </c>
      <c r="T1356" t="str">
        <f>"20:20:03.305"</f>
        <v>20:20:03.305</v>
      </c>
      <c r="U1356" t="str">
        <f t="shared" si="64"/>
        <v>AB01F4</v>
      </c>
      <c r="V1356">
        <v>0</v>
      </c>
      <c r="W1356">
        <v>0</v>
      </c>
      <c r="X1356">
        <v>2</v>
      </c>
      <c r="Z1356">
        <v>0</v>
      </c>
      <c r="AA1356">
        <v>9</v>
      </c>
      <c r="AB1356">
        <v>3</v>
      </c>
      <c r="AC1356">
        <v>0</v>
      </c>
      <c r="AD1356">
        <v>10</v>
      </c>
      <c r="AE1356">
        <v>0</v>
      </c>
      <c r="AF1356">
        <v>3</v>
      </c>
      <c r="AG1356">
        <v>2</v>
      </c>
      <c r="AH1356">
        <v>0</v>
      </c>
      <c r="AI1356" t="s">
        <v>942</v>
      </c>
      <c r="AJ1356">
        <v>39.790421000000002</v>
      </c>
      <c r="AK1356" t="s">
        <v>886</v>
      </c>
      <c r="AL1356">
        <v>-92.517071000000001</v>
      </c>
      <c r="AM1356">
        <v>100</v>
      </c>
      <c r="AN1356">
        <v>1700</v>
      </c>
      <c r="AO1356" t="s">
        <v>118</v>
      </c>
      <c r="AP1356">
        <v>-17</v>
      </c>
      <c r="AQ1356">
        <v>119</v>
      </c>
      <c r="AR1356">
        <v>0</v>
      </c>
      <c r="AZ1356">
        <v>1200</v>
      </c>
      <c r="BA1356">
        <v>1</v>
      </c>
      <c r="BB1356" t="str">
        <f t="shared" si="63"/>
        <v xml:space="preserve">N8080G  </v>
      </c>
      <c r="BC1356">
        <v>1</v>
      </c>
      <c r="BE1356">
        <v>0</v>
      </c>
      <c r="BF1356">
        <v>0</v>
      </c>
      <c r="BG1356">
        <v>0</v>
      </c>
      <c r="BH1356">
        <v>1700</v>
      </c>
      <c r="BI1356">
        <v>1</v>
      </c>
      <c r="BJ1356">
        <v>1</v>
      </c>
      <c r="BK1356">
        <v>1</v>
      </c>
      <c r="BL1356">
        <v>0</v>
      </c>
      <c r="BO1356">
        <v>0</v>
      </c>
      <c r="BP1356">
        <v>0</v>
      </c>
      <c r="BW1356" t="str">
        <f>"20:20:03.807"</f>
        <v>20:20:03.807</v>
      </c>
      <c r="BZ1356">
        <v>0</v>
      </c>
      <c r="CA1356">
        <v>2016</v>
      </c>
      <c r="CB1356">
        <v>224</v>
      </c>
      <c r="CD1356">
        <v>1</v>
      </c>
      <c r="CE1356">
        <v>0</v>
      </c>
      <c r="CF1356">
        <v>0</v>
      </c>
      <c r="CG1356">
        <v>1</v>
      </c>
      <c r="CH1356">
        <v>0</v>
      </c>
      <c r="CI1356">
        <v>0</v>
      </c>
      <c r="CJ1356">
        <v>0</v>
      </c>
      <c r="CK1356">
        <v>2</v>
      </c>
      <c r="CL1356">
        <v>0</v>
      </c>
      <c r="CM1356">
        <v>2</v>
      </c>
      <c r="CN1356">
        <v>0</v>
      </c>
      <c r="CO1356">
        <v>7</v>
      </c>
      <c r="CP1356" t="s">
        <v>119</v>
      </c>
      <c r="CQ1356">
        <v>180</v>
      </c>
      <c r="CR1356">
        <v>2</v>
      </c>
      <c r="CW1356">
        <v>8167544</v>
      </c>
      <c r="CY1356">
        <v>1</v>
      </c>
      <c r="CZ1356">
        <v>0</v>
      </c>
      <c r="DA1356">
        <v>1</v>
      </c>
      <c r="DB1356">
        <v>0</v>
      </c>
      <c r="DC1356">
        <v>0</v>
      </c>
      <c r="DD1356">
        <v>0</v>
      </c>
      <c r="DE1356">
        <v>0</v>
      </c>
      <c r="DF1356">
        <v>0</v>
      </c>
      <c r="DG1356">
        <v>0</v>
      </c>
      <c r="DH1356">
        <v>0</v>
      </c>
      <c r="DI1356">
        <v>0</v>
      </c>
    </row>
    <row r="1357" spans="1:113" x14ac:dyDescent="0.3">
      <c r="A1357" t="str">
        <f>"02/08/2021 20:20:01.484"</f>
        <v>02/08/2021 20:20:01.484</v>
      </c>
      <c r="C1357" t="str">
        <f t="shared" si="65"/>
        <v>FFDFD7C0</v>
      </c>
      <c r="D1357" t="s">
        <v>124</v>
      </c>
      <c r="E1357">
        <v>13</v>
      </c>
      <c r="F1357">
        <v>1013</v>
      </c>
      <c r="G1357" t="s">
        <v>114</v>
      </c>
      <c r="J1357" t="s">
        <v>125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t="str">
        <f>"20:20:03.805"</f>
        <v>20:20:03.805</v>
      </c>
      <c r="T1357" t="str">
        <f>"20:20:03.305"</f>
        <v>20:20:03.305</v>
      </c>
      <c r="U1357" t="str">
        <f t="shared" si="64"/>
        <v>AB01F4</v>
      </c>
      <c r="V1357">
        <v>0</v>
      </c>
      <c r="W1357">
        <v>0</v>
      </c>
      <c r="X1357">
        <v>2</v>
      </c>
      <c r="Z1357">
        <v>0</v>
      </c>
      <c r="AA1357">
        <v>9</v>
      </c>
      <c r="AB1357">
        <v>3</v>
      </c>
      <c r="AC1357">
        <v>0</v>
      </c>
      <c r="AD1357">
        <v>10</v>
      </c>
      <c r="AE1357">
        <v>0</v>
      </c>
      <c r="AF1357">
        <v>3</v>
      </c>
      <c r="AG1357">
        <v>2</v>
      </c>
      <c r="AH1357">
        <v>0</v>
      </c>
      <c r="AI1357" t="s">
        <v>942</v>
      </c>
      <c r="AJ1357">
        <v>39.790421000000002</v>
      </c>
      <c r="AK1357" t="s">
        <v>886</v>
      </c>
      <c r="AL1357">
        <v>-92.517071000000001</v>
      </c>
      <c r="AM1357">
        <v>100</v>
      </c>
      <c r="AN1357">
        <v>1700</v>
      </c>
      <c r="AO1357" t="s">
        <v>118</v>
      </c>
      <c r="AP1357">
        <v>-17</v>
      </c>
      <c r="AQ1357">
        <v>119</v>
      </c>
      <c r="AR1357">
        <v>0</v>
      </c>
      <c r="AZ1357">
        <v>1200</v>
      </c>
      <c r="BA1357">
        <v>1</v>
      </c>
      <c r="BB1357" t="str">
        <f t="shared" si="63"/>
        <v xml:space="preserve">N8080G  </v>
      </c>
      <c r="BC1357">
        <v>1</v>
      </c>
      <c r="BE1357">
        <v>0</v>
      </c>
      <c r="BF1357">
        <v>0</v>
      </c>
      <c r="BG1357">
        <v>0</v>
      </c>
      <c r="BH1357">
        <v>1700</v>
      </c>
      <c r="BI1357">
        <v>1</v>
      </c>
      <c r="BJ1357">
        <v>1</v>
      </c>
      <c r="BK1357">
        <v>1</v>
      </c>
      <c r="BL1357">
        <v>0</v>
      </c>
      <c r="BO1357">
        <v>0</v>
      </c>
      <c r="BP1357">
        <v>0</v>
      </c>
      <c r="BW1357" t="str">
        <f>"20:20:03.807"</f>
        <v>20:20:03.807</v>
      </c>
      <c r="BZ1357">
        <v>0</v>
      </c>
      <c r="CA1357">
        <v>2016</v>
      </c>
      <c r="CB1357">
        <v>224</v>
      </c>
      <c r="CD1357">
        <v>1</v>
      </c>
      <c r="CE1357">
        <v>0</v>
      </c>
      <c r="CF1357">
        <v>0</v>
      </c>
      <c r="CG1357">
        <v>1</v>
      </c>
      <c r="CH1357">
        <v>0</v>
      </c>
      <c r="CI1357">
        <v>0</v>
      </c>
      <c r="CJ1357">
        <v>0</v>
      </c>
      <c r="CK1357">
        <v>2</v>
      </c>
      <c r="CL1357">
        <v>0</v>
      </c>
      <c r="CM1357">
        <v>2</v>
      </c>
      <c r="CN1357">
        <v>0</v>
      </c>
      <c r="CO1357">
        <v>7</v>
      </c>
      <c r="CP1357" t="s">
        <v>119</v>
      </c>
      <c r="CQ1357">
        <v>180</v>
      </c>
      <c r="CR1357">
        <v>2</v>
      </c>
      <c r="CW1357">
        <v>8167544</v>
      </c>
      <c r="CY1357">
        <v>1</v>
      </c>
      <c r="CZ1357">
        <v>0</v>
      </c>
      <c r="DA1357">
        <v>1</v>
      </c>
      <c r="DB1357">
        <v>0</v>
      </c>
      <c r="DC1357">
        <v>0</v>
      </c>
      <c r="DD1357">
        <v>0</v>
      </c>
      <c r="DE1357">
        <v>0</v>
      </c>
      <c r="DF1357">
        <v>0</v>
      </c>
      <c r="DG1357">
        <v>0</v>
      </c>
      <c r="DH1357">
        <v>0</v>
      </c>
      <c r="DI1357">
        <v>0</v>
      </c>
    </row>
    <row r="1358" spans="1:113" x14ac:dyDescent="0.3">
      <c r="A1358" t="str">
        <f>"02/08/2021 20:20:01.484"</f>
        <v>02/08/2021 20:20:01.484</v>
      </c>
      <c r="C1358" t="str">
        <f t="shared" si="65"/>
        <v>FFDFD7C0</v>
      </c>
      <c r="D1358" t="s">
        <v>113</v>
      </c>
      <c r="E1358">
        <v>6</v>
      </c>
      <c r="H1358">
        <v>165</v>
      </c>
      <c r="I1358" t="s">
        <v>114</v>
      </c>
      <c r="J1358" t="s">
        <v>115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t="str">
        <f>"20:20:03.805"</f>
        <v>20:20:03.805</v>
      </c>
      <c r="T1358" t="str">
        <f>"20:20:03.305"</f>
        <v>20:20:03.305</v>
      </c>
      <c r="U1358" t="str">
        <f t="shared" si="64"/>
        <v>AB01F4</v>
      </c>
      <c r="V1358">
        <v>0</v>
      </c>
      <c r="W1358">
        <v>0</v>
      </c>
      <c r="X1358">
        <v>2</v>
      </c>
      <c r="Z1358">
        <v>0</v>
      </c>
      <c r="AA1358">
        <v>9</v>
      </c>
      <c r="AB1358">
        <v>3</v>
      </c>
      <c r="AC1358">
        <v>0</v>
      </c>
      <c r="AD1358">
        <v>10</v>
      </c>
      <c r="AE1358">
        <v>0</v>
      </c>
      <c r="AF1358">
        <v>3</v>
      </c>
      <c r="AG1358">
        <v>2</v>
      </c>
      <c r="AH1358">
        <v>0</v>
      </c>
      <c r="AI1358" t="s">
        <v>942</v>
      </c>
      <c r="AJ1358">
        <v>39.790421000000002</v>
      </c>
      <c r="AK1358" t="s">
        <v>886</v>
      </c>
      <c r="AL1358">
        <v>-92.517071000000001</v>
      </c>
      <c r="AM1358">
        <v>100</v>
      </c>
      <c r="AN1358">
        <v>1700</v>
      </c>
      <c r="AO1358" t="s">
        <v>118</v>
      </c>
      <c r="AP1358">
        <v>-17</v>
      </c>
      <c r="AQ1358">
        <v>119</v>
      </c>
      <c r="AR1358">
        <v>0</v>
      </c>
      <c r="AZ1358">
        <v>1200</v>
      </c>
      <c r="BA1358">
        <v>1</v>
      </c>
      <c r="BB1358" t="str">
        <f t="shared" si="63"/>
        <v xml:space="preserve">N8080G  </v>
      </c>
      <c r="BC1358">
        <v>1</v>
      </c>
      <c r="BE1358">
        <v>0</v>
      </c>
      <c r="BF1358">
        <v>0</v>
      </c>
      <c r="BG1358">
        <v>0</v>
      </c>
      <c r="BH1358">
        <v>1700</v>
      </c>
      <c r="BI1358">
        <v>1</v>
      </c>
      <c r="BJ1358">
        <v>1</v>
      </c>
      <c r="BK1358">
        <v>1</v>
      </c>
      <c r="BL1358">
        <v>0</v>
      </c>
      <c r="BO1358">
        <v>0</v>
      </c>
      <c r="BP1358">
        <v>0</v>
      </c>
      <c r="BW1358" t="str">
        <f>"20:20:03.807"</f>
        <v>20:20:03.807</v>
      </c>
      <c r="BZ1358">
        <v>0</v>
      </c>
      <c r="CA1358">
        <v>2016</v>
      </c>
      <c r="CB1358">
        <v>224</v>
      </c>
      <c r="CD1358">
        <v>1</v>
      </c>
      <c r="CE1358">
        <v>0</v>
      </c>
      <c r="CF1358">
        <v>0</v>
      </c>
      <c r="CG1358">
        <v>1</v>
      </c>
      <c r="CH1358">
        <v>0</v>
      </c>
      <c r="CI1358">
        <v>0</v>
      </c>
      <c r="CJ1358">
        <v>0</v>
      </c>
      <c r="CK1358">
        <v>2</v>
      </c>
      <c r="CL1358">
        <v>0</v>
      </c>
      <c r="CM1358">
        <v>2</v>
      </c>
      <c r="CN1358">
        <v>0</v>
      </c>
      <c r="CO1358">
        <v>7</v>
      </c>
      <c r="CP1358" t="s">
        <v>119</v>
      </c>
      <c r="CQ1358">
        <v>180</v>
      </c>
      <c r="CR1358">
        <v>2</v>
      </c>
      <c r="CW1358">
        <v>8167544</v>
      </c>
      <c r="CY1358">
        <v>1</v>
      </c>
      <c r="CZ1358">
        <v>0</v>
      </c>
      <c r="DA1358">
        <v>1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0</v>
      </c>
      <c r="DH1358">
        <v>0</v>
      </c>
      <c r="DI1358">
        <v>0</v>
      </c>
    </row>
    <row r="1359" spans="1:113" x14ac:dyDescent="0.3">
      <c r="A1359" t="str">
        <f>"02/08/2021 20:20:02.904"</f>
        <v>02/08/2021 20:20:02.904</v>
      </c>
      <c r="C1359" t="str">
        <f t="shared" si="65"/>
        <v>FFDFD7C0</v>
      </c>
      <c r="D1359" t="s">
        <v>124</v>
      </c>
      <c r="E1359">
        <v>13</v>
      </c>
      <c r="F1359">
        <v>1013</v>
      </c>
      <c r="G1359" t="s">
        <v>114</v>
      </c>
      <c r="J1359" t="s">
        <v>125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t="str">
        <f>"20:20:05.242"</f>
        <v>20:20:05.242</v>
      </c>
      <c r="T1359" t="str">
        <f>"20:20:04.842"</f>
        <v>20:20:04.842</v>
      </c>
      <c r="U1359" t="str">
        <f t="shared" si="64"/>
        <v>AB01F4</v>
      </c>
      <c r="V1359">
        <v>0</v>
      </c>
      <c r="W1359">
        <v>0</v>
      </c>
      <c r="X1359">
        <v>2</v>
      </c>
      <c r="Z1359">
        <v>0</v>
      </c>
      <c r="AA1359">
        <v>9</v>
      </c>
      <c r="AB1359">
        <v>3</v>
      </c>
      <c r="AC1359">
        <v>0</v>
      </c>
      <c r="AD1359">
        <v>10</v>
      </c>
      <c r="AE1359">
        <v>0</v>
      </c>
      <c r="AF1359">
        <v>3</v>
      </c>
      <c r="AG1359">
        <v>2</v>
      </c>
      <c r="AH1359">
        <v>0</v>
      </c>
      <c r="AI1359" t="s">
        <v>943</v>
      </c>
      <c r="AJ1359">
        <v>39.791213999999997</v>
      </c>
      <c r="AK1359" t="s">
        <v>944</v>
      </c>
      <c r="AL1359">
        <v>-92.517263999999997</v>
      </c>
      <c r="AM1359">
        <v>100</v>
      </c>
      <c r="AN1359">
        <v>1700</v>
      </c>
      <c r="AO1359" t="s">
        <v>118</v>
      </c>
      <c r="AP1359">
        <v>-17</v>
      </c>
      <c r="AQ1359">
        <v>119</v>
      </c>
      <c r="AR1359">
        <v>-64</v>
      </c>
      <c r="AZ1359">
        <v>1200</v>
      </c>
      <c r="BA1359">
        <v>1</v>
      </c>
      <c r="BB1359" t="str">
        <f t="shared" ref="BB1359:BB1422" si="66">"N8080G  "</f>
        <v xml:space="preserve">N8080G  </v>
      </c>
      <c r="BC1359">
        <v>1</v>
      </c>
      <c r="BE1359">
        <v>0</v>
      </c>
      <c r="BF1359">
        <v>0</v>
      </c>
      <c r="BG1359">
        <v>0</v>
      </c>
      <c r="BH1359">
        <v>1700</v>
      </c>
      <c r="BI1359">
        <v>1</v>
      </c>
      <c r="BJ1359">
        <v>1</v>
      </c>
      <c r="BK1359">
        <v>1</v>
      </c>
      <c r="BL1359">
        <v>0</v>
      </c>
      <c r="BO1359">
        <v>0</v>
      </c>
      <c r="BP1359">
        <v>0</v>
      </c>
      <c r="BW1359" t="str">
        <f>"20:20:05.248"</f>
        <v>20:20:05.248</v>
      </c>
      <c r="BZ1359">
        <v>0</v>
      </c>
      <c r="CA1359">
        <v>2016</v>
      </c>
      <c r="CB1359">
        <v>224</v>
      </c>
      <c r="CD1359">
        <v>1</v>
      </c>
      <c r="CE1359">
        <v>0</v>
      </c>
      <c r="CF1359">
        <v>0</v>
      </c>
      <c r="CG1359">
        <v>1</v>
      </c>
      <c r="CH1359">
        <v>0</v>
      </c>
      <c r="CI1359">
        <v>0</v>
      </c>
      <c r="CJ1359">
        <v>0</v>
      </c>
      <c r="CK1359">
        <v>2</v>
      </c>
      <c r="CL1359">
        <v>0</v>
      </c>
      <c r="CM1359">
        <v>2</v>
      </c>
      <c r="CN1359">
        <v>0</v>
      </c>
      <c r="CO1359">
        <v>7</v>
      </c>
      <c r="CP1359" t="s">
        <v>119</v>
      </c>
      <c r="CQ1359">
        <v>180</v>
      </c>
      <c r="CR1359">
        <v>2</v>
      </c>
      <c r="CW1359">
        <v>8168806</v>
      </c>
      <c r="CY1359">
        <v>1</v>
      </c>
      <c r="CZ1359">
        <v>0</v>
      </c>
      <c r="DA1359">
        <v>0</v>
      </c>
      <c r="DB1359">
        <v>0</v>
      </c>
      <c r="DC1359">
        <v>0</v>
      </c>
      <c r="DD1359">
        <v>0</v>
      </c>
      <c r="DE1359">
        <v>0</v>
      </c>
      <c r="DF1359">
        <v>0</v>
      </c>
      <c r="DG1359">
        <v>0</v>
      </c>
      <c r="DH1359">
        <v>0</v>
      </c>
      <c r="DI1359">
        <v>0</v>
      </c>
    </row>
    <row r="1360" spans="1:113" x14ac:dyDescent="0.3">
      <c r="A1360" t="str">
        <f>"02/08/2021 20:20:02.904"</f>
        <v>02/08/2021 20:20:02.904</v>
      </c>
      <c r="C1360" t="str">
        <f t="shared" si="65"/>
        <v>FFDFD7C0</v>
      </c>
      <c r="D1360" t="s">
        <v>124</v>
      </c>
      <c r="E1360">
        <v>11</v>
      </c>
      <c r="F1360">
        <v>1011</v>
      </c>
      <c r="G1360" t="s">
        <v>590</v>
      </c>
      <c r="J1360" t="s">
        <v>125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t="str">
        <f>"20:20:05.242"</f>
        <v>20:20:05.242</v>
      </c>
      <c r="T1360" t="str">
        <f>"20:20:04.842"</f>
        <v>20:20:04.842</v>
      </c>
      <c r="U1360" t="str">
        <f t="shared" si="64"/>
        <v>AB01F4</v>
      </c>
      <c r="V1360">
        <v>0</v>
      </c>
      <c r="W1360">
        <v>0</v>
      </c>
      <c r="X1360">
        <v>2</v>
      </c>
      <c r="Z1360">
        <v>0</v>
      </c>
      <c r="AA1360">
        <v>9</v>
      </c>
      <c r="AB1360">
        <v>3</v>
      </c>
      <c r="AC1360">
        <v>0</v>
      </c>
      <c r="AD1360">
        <v>10</v>
      </c>
      <c r="AE1360">
        <v>0</v>
      </c>
      <c r="AF1360">
        <v>3</v>
      </c>
      <c r="AG1360">
        <v>2</v>
      </c>
      <c r="AH1360">
        <v>0</v>
      </c>
      <c r="AI1360" t="s">
        <v>943</v>
      </c>
      <c r="AJ1360">
        <v>39.791213999999997</v>
      </c>
      <c r="AK1360" t="s">
        <v>944</v>
      </c>
      <c r="AL1360">
        <v>-92.517263999999997</v>
      </c>
      <c r="AM1360">
        <v>100</v>
      </c>
      <c r="AN1360">
        <v>1700</v>
      </c>
      <c r="AO1360" t="s">
        <v>118</v>
      </c>
      <c r="AP1360">
        <v>-17</v>
      </c>
      <c r="AQ1360">
        <v>119</v>
      </c>
      <c r="AR1360">
        <v>-64</v>
      </c>
      <c r="AZ1360">
        <v>1200</v>
      </c>
      <c r="BA1360">
        <v>1</v>
      </c>
      <c r="BB1360" t="str">
        <f t="shared" si="66"/>
        <v xml:space="preserve">N8080G  </v>
      </c>
      <c r="BC1360">
        <v>1</v>
      </c>
      <c r="BE1360">
        <v>0</v>
      </c>
      <c r="BF1360">
        <v>0</v>
      </c>
      <c r="BG1360">
        <v>0</v>
      </c>
      <c r="BH1360">
        <v>1700</v>
      </c>
      <c r="BI1360">
        <v>1</v>
      </c>
      <c r="BJ1360">
        <v>1</v>
      </c>
      <c r="BK1360">
        <v>1</v>
      </c>
      <c r="BL1360">
        <v>0</v>
      </c>
      <c r="BO1360">
        <v>0</v>
      </c>
      <c r="BP1360">
        <v>0</v>
      </c>
      <c r="BW1360" t="str">
        <f>"20:20:05.248"</f>
        <v>20:20:05.248</v>
      </c>
      <c r="BZ1360">
        <v>0</v>
      </c>
      <c r="CA1360">
        <v>2016</v>
      </c>
      <c r="CB1360">
        <v>224</v>
      </c>
      <c r="CD1360">
        <v>1</v>
      </c>
      <c r="CE1360">
        <v>0</v>
      </c>
      <c r="CF1360">
        <v>0</v>
      </c>
      <c r="CG1360">
        <v>1</v>
      </c>
      <c r="CH1360">
        <v>0</v>
      </c>
      <c r="CI1360">
        <v>0</v>
      </c>
      <c r="CJ1360">
        <v>0</v>
      </c>
      <c r="CK1360">
        <v>2</v>
      </c>
      <c r="CL1360">
        <v>0</v>
      </c>
      <c r="CM1360">
        <v>2</v>
      </c>
      <c r="CN1360">
        <v>0</v>
      </c>
      <c r="CO1360">
        <v>7</v>
      </c>
      <c r="CP1360" t="s">
        <v>119</v>
      </c>
      <c r="CQ1360">
        <v>180</v>
      </c>
      <c r="CR1360">
        <v>2</v>
      </c>
      <c r="CW1360">
        <v>8168806</v>
      </c>
      <c r="CY1360">
        <v>1</v>
      </c>
      <c r="CZ1360">
        <v>0</v>
      </c>
      <c r="DA1360">
        <v>1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0</v>
      </c>
      <c r="DI1360">
        <v>0</v>
      </c>
    </row>
    <row r="1361" spans="1:113" x14ac:dyDescent="0.3">
      <c r="A1361" t="str">
        <f>"02/08/2021 20:20:02.904"</f>
        <v>02/08/2021 20:20:02.904</v>
      </c>
      <c r="C1361" t="str">
        <f t="shared" si="65"/>
        <v>FFDFD7C0</v>
      </c>
      <c r="D1361" t="s">
        <v>113</v>
      </c>
      <c r="E1361">
        <v>6</v>
      </c>
      <c r="H1361">
        <v>165</v>
      </c>
      <c r="I1361" t="s">
        <v>114</v>
      </c>
      <c r="J1361" t="s">
        <v>115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S1361" t="str">
        <f>"20:20:05.242"</f>
        <v>20:20:05.242</v>
      </c>
      <c r="T1361" t="str">
        <f>"20:20:04.842"</f>
        <v>20:20:04.842</v>
      </c>
      <c r="U1361" t="str">
        <f t="shared" si="64"/>
        <v>AB01F4</v>
      </c>
      <c r="V1361">
        <v>0</v>
      </c>
      <c r="W1361">
        <v>0</v>
      </c>
      <c r="X1361">
        <v>2</v>
      </c>
      <c r="Z1361">
        <v>0</v>
      </c>
      <c r="AA1361">
        <v>9</v>
      </c>
      <c r="AB1361">
        <v>3</v>
      </c>
      <c r="AC1361">
        <v>0</v>
      </c>
      <c r="AD1361">
        <v>10</v>
      </c>
      <c r="AE1361">
        <v>0</v>
      </c>
      <c r="AF1361">
        <v>3</v>
      </c>
      <c r="AG1361">
        <v>2</v>
      </c>
      <c r="AH1361">
        <v>0</v>
      </c>
      <c r="AI1361" t="s">
        <v>943</v>
      </c>
      <c r="AJ1361">
        <v>39.791213999999997</v>
      </c>
      <c r="AK1361" t="s">
        <v>944</v>
      </c>
      <c r="AL1361">
        <v>-92.517263999999997</v>
      </c>
      <c r="AM1361">
        <v>100</v>
      </c>
      <c r="AN1361">
        <v>1700</v>
      </c>
      <c r="AO1361" t="s">
        <v>118</v>
      </c>
      <c r="AP1361">
        <v>-17</v>
      </c>
      <c r="AQ1361">
        <v>119</v>
      </c>
      <c r="AR1361">
        <v>-64</v>
      </c>
      <c r="AZ1361">
        <v>1200</v>
      </c>
      <c r="BA1361">
        <v>1</v>
      </c>
      <c r="BB1361" t="str">
        <f t="shared" si="66"/>
        <v xml:space="preserve">N8080G  </v>
      </c>
      <c r="BC1361">
        <v>1</v>
      </c>
      <c r="BE1361">
        <v>0</v>
      </c>
      <c r="BF1361">
        <v>0</v>
      </c>
      <c r="BG1361">
        <v>0</v>
      </c>
      <c r="BH1361">
        <v>1700</v>
      </c>
      <c r="BI1361">
        <v>1</v>
      </c>
      <c r="BJ1361">
        <v>1</v>
      </c>
      <c r="BK1361">
        <v>1</v>
      </c>
      <c r="BL1361">
        <v>0</v>
      </c>
      <c r="BO1361">
        <v>0</v>
      </c>
      <c r="BP1361">
        <v>0</v>
      </c>
      <c r="BW1361" t="str">
        <f>"20:20:05.248"</f>
        <v>20:20:05.248</v>
      </c>
      <c r="BZ1361">
        <v>0</v>
      </c>
      <c r="CA1361">
        <v>2016</v>
      </c>
      <c r="CB1361">
        <v>224</v>
      </c>
      <c r="CD1361">
        <v>1</v>
      </c>
      <c r="CE1361">
        <v>0</v>
      </c>
      <c r="CF1361">
        <v>0</v>
      </c>
      <c r="CG1361">
        <v>1</v>
      </c>
      <c r="CH1361">
        <v>0</v>
      </c>
      <c r="CI1361">
        <v>0</v>
      </c>
      <c r="CJ1361">
        <v>0</v>
      </c>
      <c r="CK1361">
        <v>2</v>
      </c>
      <c r="CL1361">
        <v>0</v>
      </c>
      <c r="CM1361">
        <v>2</v>
      </c>
      <c r="CN1361">
        <v>0</v>
      </c>
      <c r="CO1361">
        <v>7</v>
      </c>
      <c r="CP1361" t="s">
        <v>119</v>
      </c>
      <c r="CQ1361">
        <v>180</v>
      </c>
      <c r="CR1361">
        <v>2</v>
      </c>
      <c r="CW1361">
        <v>8168806</v>
      </c>
      <c r="CY1361">
        <v>1</v>
      </c>
      <c r="CZ1361">
        <v>0</v>
      </c>
      <c r="DA1361">
        <v>1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0</v>
      </c>
      <c r="DI1361">
        <v>0</v>
      </c>
    </row>
    <row r="1362" spans="1:113" x14ac:dyDescent="0.3">
      <c r="A1362" t="str">
        <f>"02/08/2021 20:20:02.904"</f>
        <v>02/08/2021 20:20:02.904</v>
      </c>
      <c r="C1362" t="str">
        <f t="shared" si="65"/>
        <v>FFDFD7C0</v>
      </c>
      <c r="D1362" t="s">
        <v>124</v>
      </c>
      <c r="E1362">
        <v>12</v>
      </c>
      <c r="F1362">
        <v>1012</v>
      </c>
      <c r="G1362" t="s">
        <v>675</v>
      </c>
      <c r="J1362" t="s">
        <v>125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S1362" t="str">
        <f>"20:20:05.242"</f>
        <v>20:20:05.242</v>
      </c>
      <c r="T1362" t="str">
        <f>"20:20:04.842"</f>
        <v>20:20:04.842</v>
      </c>
      <c r="U1362" t="str">
        <f t="shared" si="64"/>
        <v>AB01F4</v>
      </c>
      <c r="V1362">
        <v>0</v>
      </c>
      <c r="W1362">
        <v>0</v>
      </c>
      <c r="X1362">
        <v>2</v>
      </c>
      <c r="Z1362">
        <v>0</v>
      </c>
      <c r="AA1362">
        <v>9</v>
      </c>
      <c r="AB1362">
        <v>3</v>
      </c>
      <c r="AC1362">
        <v>0</v>
      </c>
      <c r="AD1362">
        <v>10</v>
      </c>
      <c r="AE1362">
        <v>0</v>
      </c>
      <c r="AF1362">
        <v>3</v>
      </c>
      <c r="AG1362">
        <v>2</v>
      </c>
      <c r="AH1362">
        <v>0</v>
      </c>
      <c r="AI1362" t="s">
        <v>943</v>
      </c>
      <c r="AJ1362">
        <v>39.791213999999997</v>
      </c>
      <c r="AK1362" t="s">
        <v>944</v>
      </c>
      <c r="AL1362">
        <v>-92.517263999999997</v>
      </c>
      <c r="AM1362">
        <v>100</v>
      </c>
      <c r="AN1362">
        <v>1700</v>
      </c>
      <c r="AO1362" t="s">
        <v>118</v>
      </c>
      <c r="AP1362">
        <v>-17</v>
      </c>
      <c r="AQ1362">
        <v>119</v>
      </c>
      <c r="AR1362">
        <v>-64</v>
      </c>
      <c r="AZ1362">
        <v>1200</v>
      </c>
      <c r="BA1362">
        <v>1</v>
      </c>
      <c r="BB1362" t="str">
        <f t="shared" si="66"/>
        <v xml:space="preserve">N8080G  </v>
      </c>
      <c r="BC1362">
        <v>1</v>
      </c>
      <c r="BE1362">
        <v>0</v>
      </c>
      <c r="BF1362">
        <v>0</v>
      </c>
      <c r="BG1362">
        <v>0</v>
      </c>
      <c r="BH1362">
        <v>1700</v>
      </c>
      <c r="BI1362">
        <v>1</v>
      </c>
      <c r="BJ1362">
        <v>1</v>
      </c>
      <c r="BK1362">
        <v>1</v>
      </c>
      <c r="BL1362">
        <v>0</v>
      </c>
      <c r="BO1362">
        <v>0</v>
      </c>
      <c r="BP1362">
        <v>0</v>
      </c>
      <c r="BW1362" t="str">
        <f>"20:20:05.248"</f>
        <v>20:20:05.248</v>
      </c>
      <c r="BZ1362">
        <v>0</v>
      </c>
      <c r="CA1362">
        <v>2016</v>
      </c>
      <c r="CB1362">
        <v>224</v>
      </c>
      <c r="CD1362">
        <v>1</v>
      </c>
      <c r="CE1362">
        <v>0</v>
      </c>
      <c r="CF1362">
        <v>0</v>
      </c>
      <c r="CG1362">
        <v>1</v>
      </c>
      <c r="CH1362">
        <v>0</v>
      </c>
      <c r="CI1362">
        <v>0</v>
      </c>
      <c r="CJ1362">
        <v>0</v>
      </c>
      <c r="CK1362">
        <v>2</v>
      </c>
      <c r="CL1362">
        <v>0</v>
      </c>
      <c r="CM1362">
        <v>2</v>
      </c>
      <c r="CN1362">
        <v>0</v>
      </c>
      <c r="CO1362">
        <v>7</v>
      </c>
      <c r="CP1362" t="s">
        <v>119</v>
      </c>
      <c r="CQ1362">
        <v>180</v>
      </c>
      <c r="CR1362">
        <v>2</v>
      </c>
      <c r="CW1362">
        <v>8168806</v>
      </c>
      <c r="CY1362">
        <v>1</v>
      </c>
      <c r="CZ1362">
        <v>0</v>
      </c>
      <c r="DA1362">
        <v>1</v>
      </c>
      <c r="DB1362">
        <v>0</v>
      </c>
      <c r="DC1362">
        <v>0</v>
      </c>
      <c r="DD1362">
        <v>0</v>
      </c>
      <c r="DE1362">
        <v>0</v>
      </c>
      <c r="DF1362">
        <v>0</v>
      </c>
      <c r="DG1362">
        <v>0</v>
      </c>
      <c r="DH1362">
        <v>0</v>
      </c>
      <c r="DI1362">
        <v>0</v>
      </c>
    </row>
    <row r="1363" spans="1:113" x14ac:dyDescent="0.3">
      <c r="A1363" t="str">
        <f>"02/08/2021 20:20:04.665"</f>
        <v>02/08/2021 20:20:04.665</v>
      </c>
      <c r="C1363" t="str">
        <f t="shared" si="65"/>
        <v>FFDFD7C0</v>
      </c>
      <c r="D1363" t="s">
        <v>124</v>
      </c>
      <c r="E1363">
        <v>13</v>
      </c>
      <c r="F1363">
        <v>1013</v>
      </c>
      <c r="G1363" t="s">
        <v>114</v>
      </c>
      <c r="J1363" t="s">
        <v>125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S1363" t="str">
        <f>"20:20:06.992"</f>
        <v>20:20:06.992</v>
      </c>
      <c r="T1363" t="str">
        <f>"20:20:06.592"</f>
        <v>20:20:06.592</v>
      </c>
      <c r="U1363" t="str">
        <f t="shared" si="64"/>
        <v>AB01F4</v>
      </c>
      <c r="V1363">
        <v>0</v>
      </c>
      <c r="W1363">
        <v>0</v>
      </c>
      <c r="X1363">
        <v>2</v>
      </c>
      <c r="Z1363">
        <v>0</v>
      </c>
      <c r="AA1363">
        <v>9</v>
      </c>
      <c r="AB1363">
        <v>3</v>
      </c>
      <c r="AC1363">
        <v>0</v>
      </c>
      <c r="AD1363">
        <v>10</v>
      </c>
      <c r="AE1363">
        <v>0</v>
      </c>
      <c r="AF1363">
        <v>3</v>
      </c>
      <c r="AG1363">
        <v>2</v>
      </c>
      <c r="AH1363">
        <v>0</v>
      </c>
      <c r="AI1363" t="s">
        <v>945</v>
      </c>
      <c r="AJ1363">
        <v>39.792158999999998</v>
      </c>
      <c r="AK1363" t="s">
        <v>946</v>
      </c>
      <c r="AL1363">
        <v>-92.517414000000002</v>
      </c>
      <c r="AM1363">
        <v>100</v>
      </c>
      <c r="AN1363">
        <v>1700</v>
      </c>
      <c r="AO1363" t="s">
        <v>118</v>
      </c>
      <c r="AP1363">
        <v>-17</v>
      </c>
      <c r="AQ1363">
        <v>119</v>
      </c>
      <c r="AR1363">
        <v>0</v>
      </c>
      <c r="AZ1363">
        <v>1200</v>
      </c>
      <c r="BA1363">
        <v>1</v>
      </c>
      <c r="BB1363" t="str">
        <f t="shared" si="66"/>
        <v xml:space="preserve">N8080G  </v>
      </c>
      <c r="BC1363">
        <v>1</v>
      </c>
      <c r="BE1363">
        <v>0</v>
      </c>
      <c r="BF1363">
        <v>0</v>
      </c>
      <c r="BG1363">
        <v>0</v>
      </c>
      <c r="BH1363">
        <v>1700</v>
      </c>
      <c r="BI1363">
        <v>1</v>
      </c>
      <c r="BJ1363">
        <v>1</v>
      </c>
      <c r="BK1363">
        <v>1</v>
      </c>
      <c r="BL1363">
        <v>0</v>
      </c>
      <c r="BO1363">
        <v>0</v>
      </c>
      <c r="BP1363">
        <v>0</v>
      </c>
      <c r="BW1363" t="str">
        <f>"20:20:06.998"</f>
        <v>20:20:06.998</v>
      </c>
      <c r="BZ1363">
        <v>0</v>
      </c>
      <c r="CA1363">
        <v>2016</v>
      </c>
      <c r="CB1363">
        <v>224</v>
      </c>
      <c r="CD1363">
        <v>1</v>
      </c>
      <c r="CE1363">
        <v>0</v>
      </c>
      <c r="CF1363">
        <v>0</v>
      </c>
      <c r="CG1363">
        <v>1</v>
      </c>
      <c r="CH1363">
        <v>0</v>
      </c>
      <c r="CI1363">
        <v>0</v>
      </c>
      <c r="CJ1363">
        <v>0</v>
      </c>
      <c r="CK1363">
        <v>2</v>
      </c>
      <c r="CL1363">
        <v>0</v>
      </c>
      <c r="CM1363">
        <v>2</v>
      </c>
      <c r="CN1363">
        <v>0</v>
      </c>
      <c r="CO1363">
        <v>7</v>
      </c>
      <c r="CP1363" t="s">
        <v>119</v>
      </c>
      <c r="CQ1363">
        <v>180</v>
      </c>
      <c r="CR1363">
        <v>2</v>
      </c>
      <c r="CW1363">
        <v>8170307</v>
      </c>
      <c r="CY1363">
        <v>1</v>
      </c>
      <c r="CZ1363">
        <v>0</v>
      </c>
      <c r="DA1363">
        <v>0</v>
      </c>
      <c r="DB1363">
        <v>0</v>
      </c>
      <c r="DC1363">
        <v>0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0</v>
      </c>
    </row>
    <row r="1364" spans="1:113" x14ac:dyDescent="0.3">
      <c r="A1364" t="str">
        <f>"02/08/2021 20:20:04.665"</f>
        <v>02/08/2021 20:20:04.665</v>
      </c>
      <c r="C1364" t="str">
        <f t="shared" si="65"/>
        <v>FFDFD7C0</v>
      </c>
      <c r="D1364" t="s">
        <v>124</v>
      </c>
      <c r="E1364">
        <v>11</v>
      </c>
      <c r="F1364">
        <v>1011</v>
      </c>
      <c r="G1364" t="s">
        <v>590</v>
      </c>
      <c r="J1364" t="s">
        <v>125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S1364" t="str">
        <f>"20:20:06.992"</f>
        <v>20:20:06.992</v>
      </c>
      <c r="T1364" t="str">
        <f>"20:20:06.592"</f>
        <v>20:20:06.592</v>
      </c>
      <c r="U1364" t="str">
        <f t="shared" si="64"/>
        <v>AB01F4</v>
      </c>
      <c r="V1364">
        <v>0</v>
      </c>
      <c r="W1364">
        <v>0</v>
      </c>
      <c r="X1364">
        <v>2</v>
      </c>
      <c r="Z1364">
        <v>0</v>
      </c>
      <c r="AA1364">
        <v>9</v>
      </c>
      <c r="AB1364">
        <v>3</v>
      </c>
      <c r="AC1364">
        <v>0</v>
      </c>
      <c r="AD1364">
        <v>10</v>
      </c>
      <c r="AE1364">
        <v>0</v>
      </c>
      <c r="AF1364">
        <v>3</v>
      </c>
      <c r="AG1364">
        <v>2</v>
      </c>
      <c r="AH1364">
        <v>0</v>
      </c>
      <c r="AI1364" t="s">
        <v>945</v>
      </c>
      <c r="AJ1364">
        <v>39.792158999999998</v>
      </c>
      <c r="AK1364" t="s">
        <v>946</v>
      </c>
      <c r="AL1364">
        <v>-92.517414000000002</v>
      </c>
      <c r="AM1364">
        <v>100</v>
      </c>
      <c r="AN1364">
        <v>1700</v>
      </c>
      <c r="AO1364" t="s">
        <v>118</v>
      </c>
      <c r="AP1364">
        <v>-17</v>
      </c>
      <c r="AQ1364">
        <v>119</v>
      </c>
      <c r="AR1364">
        <v>0</v>
      </c>
      <c r="AZ1364">
        <v>1200</v>
      </c>
      <c r="BA1364">
        <v>1</v>
      </c>
      <c r="BB1364" t="str">
        <f t="shared" si="66"/>
        <v xml:space="preserve">N8080G  </v>
      </c>
      <c r="BC1364">
        <v>1</v>
      </c>
      <c r="BE1364">
        <v>0</v>
      </c>
      <c r="BF1364">
        <v>0</v>
      </c>
      <c r="BG1364">
        <v>0</v>
      </c>
      <c r="BH1364">
        <v>1700</v>
      </c>
      <c r="BI1364">
        <v>1</v>
      </c>
      <c r="BJ1364">
        <v>1</v>
      </c>
      <c r="BK1364">
        <v>1</v>
      </c>
      <c r="BL1364">
        <v>0</v>
      </c>
      <c r="BO1364">
        <v>0</v>
      </c>
      <c r="BP1364">
        <v>0</v>
      </c>
      <c r="BW1364" t="str">
        <f>"20:20:06.998"</f>
        <v>20:20:06.998</v>
      </c>
      <c r="BZ1364">
        <v>0</v>
      </c>
      <c r="CA1364">
        <v>2016</v>
      </c>
      <c r="CB1364">
        <v>224</v>
      </c>
      <c r="CD1364">
        <v>1</v>
      </c>
      <c r="CE1364">
        <v>0</v>
      </c>
      <c r="CF1364">
        <v>0</v>
      </c>
      <c r="CG1364">
        <v>1</v>
      </c>
      <c r="CH1364">
        <v>0</v>
      </c>
      <c r="CI1364">
        <v>0</v>
      </c>
      <c r="CJ1364">
        <v>0</v>
      </c>
      <c r="CK1364">
        <v>2</v>
      </c>
      <c r="CL1364">
        <v>0</v>
      </c>
      <c r="CM1364">
        <v>2</v>
      </c>
      <c r="CN1364">
        <v>0</v>
      </c>
      <c r="CO1364">
        <v>7</v>
      </c>
      <c r="CP1364" t="s">
        <v>119</v>
      </c>
      <c r="CQ1364">
        <v>180</v>
      </c>
      <c r="CR1364">
        <v>2</v>
      </c>
      <c r="CW1364">
        <v>8170307</v>
      </c>
      <c r="CY1364">
        <v>1</v>
      </c>
      <c r="CZ1364">
        <v>0</v>
      </c>
      <c r="DA1364">
        <v>1</v>
      </c>
      <c r="DB1364">
        <v>0</v>
      </c>
      <c r="DC1364">
        <v>0</v>
      </c>
      <c r="DD1364">
        <v>0</v>
      </c>
      <c r="DE1364">
        <v>0</v>
      </c>
      <c r="DF1364">
        <v>0</v>
      </c>
      <c r="DG1364">
        <v>0</v>
      </c>
      <c r="DH1364">
        <v>0</v>
      </c>
      <c r="DI1364">
        <v>0</v>
      </c>
    </row>
    <row r="1365" spans="1:113" x14ac:dyDescent="0.3">
      <c r="A1365" t="str">
        <f>"02/08/2021 20:20:04.665"</f>
        <v>02/08/2021 20:20:04.665</v>
      </c>
      <c r="C1365" t="str">
        <f t="shared" si="65"/>
        <v>FFDFD7C0</v>
      </c>
      <c r="D1365" t="s">
        <v>113</v>
      </c>
      <c r="E1365">
        <v>6</v>
      </c>
      <c r="H1365">
        <v>165</v>
      </c>
      <c r="I1365" t="s">
        <v>114</v>
      </c>
      <c r="J1365" t="s">
        <v>115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S1365" t="str">
        <f>"20:20:06.992"</f>
        <v>20:20:06.992</v>
      </c>
      <c r="T1365" t="str">
        <f>"20:20:06.592"</f>
        <v>20:20:06.592</v>
      </c>
      <c r="U1365" t="str">
        <f t="shared" si="64"/>
        <v>AB01F4</v>
      </c>
      <c r="V1365">
        <v>0</v>
      </c>
      <c r="W1365">
        <v>0</v>
      </c>
      <c r="X1365">
        <v>2</v>
      </c>
      <c r="Z1365">
        <v>0</v>
      </c>
      <c r="AA1365">
        <v>9</v>
      </c>
      <c r="AB1365">
        <v>3</v>
      </c>
      <c r="AC1365">
        <v>0</v>
      </c>
      <c r="AD1365">
        <v>10</v>
      </c>
      <c r="AE1365">
        <v>0</v>
      </c>
      <c r="AF1365">
        <v>3</v>
      </c>
      <c r="AG1365">
        <v>2</v>
      </c>
      <c r="AH1365">
        <v>0</v>
      </c>
      <c r="AI1365" t="s">
        <v>945</v>
      </c>
      <c r="AJ1365">
        <v>39.792158999999998</v>
      </c>
      <c r="AK1365" t="s">
        <v>946</v>
      </c>
      <c r="AL1365">
        <v>-92.517414000000002</v>
      </c>
      <c r="AM1365">
        <v>100</v>
      </c>
      <c r="AN1365">
        <v>1700</v>
      </c>
      <c r="AO1365" t="s">
        <v>118</v>
      </c>
      <c r="AP1365">
        <v>-17</v>
      </c>
      <c r="AQ1365">
        <v>119</v>
      </c>
      <c r="AR1365">
        <v>0</v>
      </c>
      <c r="AZ1365">
        <v>1200</v>
      </c>
      <c r="BA1365">
        <v>1</v>
      </c>
      <c r="BB1365" t="str">
        <f t="shared" si="66"/>
        <v xml:space="preserve">N8080G  </v>
      </c>
      <c r="BC1365">
        <v>1</v>
      </c>
      <c r="BE1365">
        <v>0</v>
      </c>
      <c r="BF1365">
        <v>0</v>
      </c>
      <c r="BG1365">
        <v>0</v>
      </c>
      <c r="BH1365">
        <v>1700</v>
      </c>
      <c r="BI1365">
        <v>1</v>
      </c>
      <c r="BJ1365">
        <v>1</v>
      </c>
      <c r="BK1365">
        <v>1</v>
      </c>
      <c r="BL1365">
        <v>0</v>
      </c>
      <c r="BO1365">
        <v>0</v>
      </c>
      <c r="BP1365">
        <v>0</v>
      </c>
      <c r="BW1365" t="str">
        <f>"20:20:06.998"</f>
        <v>20:20:06.998</v>
      </c>
      <c r="BZ1365">
        <v>0</v>
      </c>
      <c r="CA1365">
        <v>2016</v>
      </c>
      <c r="CB1365">
        <v>224</v>
      </c>
      <c r="CD1365">
        <v>1</v>
      </c>
      <c r="CE1365">
        <v>0</v>
      </c>
      <c r="CF1365">
        <v>0</v>
      </c>
      <c r="CG1365">
        <v>1</v>
      </c>
      <c r="CH1365">
        <v>0</v>
      </c>
      <c r="CI1365">
        <v>0</v>
      </c>
      <c r="CJ1365">
        <v>0</v>
      </c>
      <c r="CK1365">
        <v>2</v>
      </c>
      <c r="CL1365">
        <v>0</v>
      </c>
      <c r="CM1365">
        <v>2</v>
      </c>
      <c r="CN1365">
        <v>0</v>
      </c>
      <c r="CO1365">
        <v>7</v>
      </c>
      <c r="CP1365" t="s">
        <v>119</v>
      </c>
      <c r="CQ1365">
        <v>180</v>
      </c>
      <c r="CR1365">
        <v>2</v>
      </c>
      <c r="CW1365">
        <v>8170307</v>
      </c>
      <c r="CY1365">
        <v>1</v>
      </c>
      <c r="CZ1365">
        <v>0</v>
      </c>
      <c r="DA1365">
        <v>1</v>
      </c>
      <c r="DB1365">
        <v>0</v>
      </c>
      <c r="DC1365">
        <v>0</v>
      </c>
      <c r="DD1365">
        <v>0</v>
      </c>
      <c r="DE1365">
        <v>0</v>
      </c>
      <c r="DF1365">
        <v>0</v>
      </c>
      <c r="DG1365">
        <v>0</v>
      </c>
      <c r="DH1365">
        <v>0</v>
      </c>
      <c r="DI1365">
        <v>0</v>
      </c>
    </row>
    <row r="1366" spans="1:113" x14ac:dyDescent="0.3">
      <c r="A1366" t="str">
        <f>"02/08/2021 20:20:04.665"</f>
        <v>02/08/2021 20:20:04.665</v>
      </c>
      <c r="C1366" t="str">
        <f t="shared" si="65"/>
        <v>FFDFD7C0</v>
      </c>
      <c r="D1366" t="s">
        <v>124</v>
      </c>
      <c r="E1366">
        <v>12</v>
      </c>
      <c r="F1366">
        <v>1012</v>
      </c>
      <c r="G1366" t="s">
        <v>675</v>
      </c>
      <c r="J1366" t="s">
        <v>125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S1366" t="str">
        <f>"20:20:06.992"</f>
        <v>20:20:06.992</v>
      </c>
      <c r="T1366" t="str">
        <f>"20:20:06.592"</f>
        <v>20:20:06.592</v>
      </c>
      <c r="U1366" t="str">
        <f t="shared" si="64"/>
        <v>AB01F4</v>
      </c>
      <c r="V1366">
        <v>0</v>
      </c>
      <c r="W1366">
        <v>0</v>
      </c>
      <c r="X1366">
        <v>2</v>
      </c>
      <c r="Z1366">
        <v>0</v>
      </c>
      <c r="AA1366">
        <v>9</v>
      </c>
      <c r="AB1366">
        <v>3</v>
      </c>
      <c r="AC1366">
        <v>0</v>
      </c>
      <c r="AD1366">
        <v>10</v>
      </c>
      <c r="AE1366">
        <v>0</v>
      </c>
      <c r="AF1366">
        <v>3</v>
      </c>
      <c r="AG1366">
        <v>2</v>
      </c>
      <c r="AH1366">
        <v>0</v>
      </c>
      <c r="AI1366" t="s">
        <v>945</v>
      </c>
      <c r="AJ1366">
        <v>39.792158999999998</v>
      </c>
      <c r="AK1366" t="s">
        <v>946</v>
      </c>
      <c r="AL1366">
        <v>-92.517414000000002</v>
      </c>
      <c r="AM1366">
        <v>100</v>
      </c>
      <c r="AN1366">
        <v>1700</v>
      </c>
      <c r="AO1366" t="s">
        <v>118</v>
      </c>
      <c r="AP1366">
        <v>-17</v>
      </c>
      <c r="AQ1366">
        <v>119</v>
      </c>
      <c r="AR1366">
        <v>0</v>
      </c>
      <c r="AZ1366">
        <v>1200</v>
      </c>
      <c r="BA1366">
        <v>1</v>
      </c>
      <c r="BB1366" t="str">
        <f t="shared" si="66"/>
        <v xml:space="preserve">N8080G  </v>
      </c>
      <c r="BC1366">
        <v>1</v>
      </c>
      <c r="BE1366">
        <v>0</v>
      </c>
      <c r="BF1366">
        <v>0</v>
      </c>
      <c r="BG1366">
        <v>0</v>
      </c>
      <c r="BH1366">
        <v>1700</v>
      </c>
      <c r="BI1366">
        <v>1</v>
      </c>
      <c r="BJ1366">
        <v>1</v>
      </c>
      <c r="BK1366">
        <v>1</v>
      </c>
      <c r="BL1366">
        <v>0</v>
      </c>
      <c r="BO1366">
        <v>0</v>
      </c>
      <c r="BP1366">
        <v>0</v>
      </c>
      <c r="BW1366" t="str">
        <f>"20:20:06.998"</f>
        <v>20:20:06.998</v>
      </c>
      <c r="BZ1366">
        <v>0</v>
      </c>
      <c r="CA1366">
        <v>2016</v>
      </c>
      <c r="CB1366">
        <v>224</v>
      </c>
      <c r="CD1366">
        <v>1</v>
      </c>
      <c r="CE1366">
        <v>0</v>
      </c>
      <c r="CF1366">
        <v>0</v>
      </c>
      <c r="CG1366">
        <v>1</v>
      </c>
      <c r="CH1366">
        <v>0</v>
      </c>
      <c r="CI1366">
        <v>0</v>
      </c>
      <c r="CJ1366">
        <v>0</v>
      </c>
      <c r="CK1366">
        <v>2</v>
      </c>
      <c r="CL1366">
        <v>0</v>
      </c>
      <c r="CM1366">
        <v>2</v>
      </c>
      <c r="CN1366">
        <v>0</v>
      </c>
      <c r="CO1366">
        <v>7</v>
      </c>
      <c r="CP1366" t="s">
        <v>119</v>
      </c>
      <c r="CQ1366">
        <v>180</v>
      </c>
      <c r="CR1366">
        <v>2</v>
      </c>
      <c r="CW1366">
        <v>8170307</v>
      </c>
      <c r="CY1366">
        <v>1</v>
      </c>
      <c r="CZ1366">
        <v>0</v>
      </c>
      <c r="DA1366">
        <v>1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>
        <v>0</v>
      </c>
      <c r="DH1366">
        <v>0</v>
      </c>
      <c r="DI1366">
        <v>0</v>
      </c>
    </row>
    <row r="1367" spans="1:113" x14ac:dyDescent="0.3">
      <c r="A1367" t="str">
        <f>"02/08/2021 20:20:06.131"</f>
        <v>02/08/2021 20:20:06.131</v>
      </c>
      <c r="C1367" t="str">
        <f t="shared" si="65"/>
        <v>FFDFD7C0</v>
      </c>
      <c r="D1367" t="s">
        <v>124</v>
      </c>
      <c r="E1367">
        <v>11</v>
      </c>
      <c r="F1367">
        <v>1011</v>
      </c>
      <c r="G1367" t="s">
        <v>590</v>
      </c>
      <c r="J1367" t="s">
        <v>125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S1367" t="str">
        <f>"20:20:08.469"</f>
        <v>20:20:08.469</v>
      </c>
      <c r="T1367" t="str">
        <f>"20:20:07.969"</f>
        <v>20:20:07.969</v>
      </c>
      <c r="U1367" t="str">
        <f t="shared" si="64"/>
        <v>AB01F4</v>
      </c>
      <c r="V1367">
        <v>0</v>
      </c>
      <c r="W1367">
        <v>0</v>
      </c>
      <c r="X1367">
        <v>2</v>
      </c>
      <c r="Z1367">
        <v>0</v>
      </c>
      <c r="AA1367">
        <v>9</v>
      </c>
      <c r="AB1367">
        <v>3</v>
      </c>
      <c r="AC1367">
        <v>0</v>
      </c>
      <c r="AD1367">
        <v>10</v>
      </c>
      <c r="AE1367">
        <v>0</v>
      </c>
      <c r="AF1367">
        <v>3</v>
      </c>
      <c r="AG1367">
        <v>2</v>
      </c>
      <c r="AH1367">
        <v>0</v>
      </c>
      <c r="AI1367" t="s">
        <v>947</v>
      </c>
      <c r="AJ1367">
        <v>39.792994999999998</v>
      </c>
      <c r="AK1367" t="s">
        <v>948</v>
      </c>
      <c r="AL1367">
        <v>-92.517585999999994</v>
      </c>
      <c r="AM1367">
        <v>100</v>
      </c>
      <c r="AN1367">
        <v>1700</v>
      </c>
      <c r="AO1367" t="s">
        <v>118</v>
      </c>
      <c r="AP1367">
        <v>-18</v>
      </c>
      <c r="AQ1367">
        <v>119</v>
      </c>
      <c r="AR1367">
        <v>-64</v>
      </c>
      <c r="AZ1367">
        <v>1200</v>
      </c>
      <c r="BA1367">
        <v>1</v>
      </c>
      <c r="BB1367" t="str">
        <f t="shared" si="66"/>
        <v xml:space="preserve">N8080G  </v>
      </c>
      <c r="BC1367">
        <v>1</v>
      </c>
      <c r="BE1367">
        <v>0</v>
      </c>
      <c r="BF1367">
        <v>0</v>
      </c>
      <c r="BG1367">
        <v>0</v>
      </c>
      <c r="BH1367">
        <v>1700</v>
      </c>
      <c r="BI1367">
        <v>1</v>
      </c>
      <c r="BJ1367">
        <v>1</v>
      </c>
      <c r="BK1367">
        <v>1</v>
      </c>
      <c r="BL1367">
        <v>0</v>
      </c>
      <c r="BO1367">
        <v>0</v>
      </c>
      <c r="BP1367">
        <v>0</v>
      </c>
      <c r="BW1367" t="str">
        <f>"20:20:08.471"</f>
        <v>20:20:08.471</v>
      </c>
      <c r="BZ1367">
        <v>0</v>
      </c>
      <c r="CA1367">
        <v>2016</v>
      </c>
      <c r="CB1367">
        <v>224</v>
      </c>
      <c r="CD1367">
        <v>1</v>
      </c>
      <c r="CE1367">
        <v>0</v>
      </c>
      <c r="CF1367">
        <v>0</v>
      </c>
      <c r="CG1367">
        <v>1</v>
      </c>
      <c r="CH1367">
        <v>0</v>
      </c>
      <c r="CI1367">
        <v>0</v>
      </c>
      <c r="CJ1367">
        <v>0</v>
      </c>
      <c r="CK1367">
        <v>2</v>
      </c>
      <c r="CL1367">
        <v>0</v>
      </c>
      <c r="CM1367">
        <v>2</v>
      </c>
      <c r="CN1367">
        <v>0</v>
      </c>
      <c r="CO1367">
        <v>7</v>
      </c>
      <c r="CP1367" t="s">
        <v>119</v>
      </c>
      <c r="CQ1367">
        <v>180</v>
      </c>
      <c r="CR1367">
        <v>1</v>
      </c>
      <c r="CW1367">
        <v>10735936</v>
      </c>
      <c r="CY1367">
        <v>1</v>
      </c>
      <c r="CZ1367">
        <v>0</v>
      </c>
      <c r="DA1367">
        <v>0</v>
      </c>
      <c r="DB1367">
        <v>0</v>
      </c>
      <c r="DC1367">
        <v>0</v>
      </c>
      <c r="DD1367">
        <v>0</v>
      </c>
      <c r="DE1367">
        <v>0</v>
      </c>
      <c r="DF1367">
        <v>0</v>
      </c>
      <c r="DG1367">
        <v>0</v>
      </c>
      <c r="DH1367">
        <v>0</v>
      </c>
      <c r="DI1367">
        <v>0</v>
      </c>
    </row>
    <row r="1368" spans="1:113" x14ac:dyDescent="0.3">
      <c r="A1368" t="str">
        <f>"02/08/2021 20:20:06.131"</f>
        <v>02/08/2021 20:20:06.131</v>
      </c>
      <c r="C1368" t="str">
        <f t="shared" si="65"/>
        <v>FFDFD7C0</v>
      </c>
      <c r="D1368" t="s">
        <v>113</v>
      </c>
      <c r="E1368">
        <v>6</v>
      </c>
      <c r="H1368">
        <v>165</v>
      </c>
      <c r="I1368" t="s">
        <v>114</v>
      </c>
      <c r="J1368" t="s">
        <v>115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S1368" t="str">
        <f>"20:20:08.469"</f>
        <v>20:20:08.469</v>
      </c>
      <c r="T1368" t="str">
        <f>"20:20:07.969"</f>
        <v>20:20:07.969</v>
      </c>
      <c r="U1368" t="str">
        <f t="shared" si="64"/>
        <v>AB01F4</v>
      </c>
      <c r="V1368">
        <v>0</v>
      </c>
      <c r="W1368">
        <v>0</v>
      </c>
      <c r="X1368">
        <v>2</v>
      </c>
      <c r="Z1368">
        <v>0</v>
      </c>
      <c r="AA1368">
        <v>9</v>
      </c>
      <c r="AB1368">
        <v>3</v>
      </c>
      <c r="AC1368">
        <v>0</v>
      </c>
      <c r="AD1368">
        <v>10</v>
      </c>
      <c r="AE1368">
        <v>0</v>
      </c>
      <c r="AF1368">
        <v>3</v>
      </c>
      <c r="AG1368">
        <v>2</v>
      </c>
      <c r="AH1368">
        <v>0</v>
      </c>
      <c r="AI1368" t="s">
        <v>947</v>
      </c>
      <c r="AJ1368">
        <v>39.792994999999998</v>
      </c>
      <c r="AK1368" t="s">
        <v>948</v>
      </c>
      <c r="AL1368">
        <v>-92.517585999999994</v>
      </c>
      <c r="AM1368">
        <v>100</v>
      </c>
      <c r="AN1368">
        <v>1700</v>
      </c>
      <c r="AO1368" t="s">
        <v>118</v>
      </c>
      <c r="AP1368">
        <v>-18</v>
      </c>
      <c r="AQ1368">
        <v>119</v>
      </c>
      <c r="AR1368">
        <v>-64</v>
      </c>
      <c r="AZ1368">
        <v>1200</v>
      </c>
      <c r="BA1368">
        <v>1</v>
      </c>
      <c r="BB1368" t="str">
        <f t="shared" si="66"/>
        <v xml:space="preserve">N8080G  </v>
      </c>
      <c r="BC1368">
        <v>1</v>
      </c>
      <c r="BE1368">
        <v>0</v>
      </c>
      <c r="BF1368">
        <v>0</v>
      </c>
      <c r="BG1368">
        <v>0</v>
      </c>
      <c r="BH1368">
        <v>1700</v>
      </c>
      <c r="BI1368">
        <v>1</v>
      </c>
      <c r="BJ1368">
        <v>1</v>
      </c>
      <c r="BK1368">
        <v>1</v>
      </c>
      <c r="BL1368">
        <v>0</v>
      </c>
      <c r="BO1368">
        <v>0</v>
      </c>
      <c r="BP1368">
        <v>0</v>
      </c>
      <c r="BW1368" t="str">
        <f>"20:20:08.471"</f>
        <v>20:20:08.471</v>
      </c>
      <c r="BZ1368">
        <v>0</v>
      </c>
      <c r="CA1368">
        <v>2016</v>
      </c>
      <c r="CB1368">
        <v>224</v>
      </c>
      <c r="CD1368">
        <v>1</v>
      </c>
      <c r="CE1368">
        <v>0</v>
      </c>
      <c r="CF1368">
        <v>0</v>
      </c>
      <c r="CG1368">
        <v>1</v>
      </c>
      <c r="CH1368">
        <v>0</v>
      </c>
      <c r="CI1368">
        <v>0</v>
      </c>
      <c r="CJ1368">
        <v>0</v>
      </c>
      <c r="CK1368">
        <v>2</v>
      </c>
      <c r="CL1368">
        <v>0</v>
      </c>
      <c r="CM1368">
        <v>2</v>
      </c>
      <c r="CN1368">
        <v>0</v>
      </c>
      <c r="CO1368">
        <v>7</v>
      </c>
      <c r="CP1368" t="s">
        <v>119</v>
      </c>
      <c r="CQ1368">
        <v>180</v>
      </c>
      <c r="CR1368">
        <v>1</v>
      </c>
      <c r="CW1368">
        <v>10735936</v>
      </c>
      <c r="CY1368">
        <v>1</v>
      </c>
      <c r="CZ1368">
        <v>0</v>
      </c>
      <c r="DA1368">
        <v>1</v>
      </c>
      <c r="DB1368">
        <v>0</v>
      </c>
      <c r="DC1368">
        <v>0</v>
      </c>
      <c r="DD1368">
        <v>0</v>
      </c>
      <c r="DE1368">
        <v>0</v>
      </c>
      <c r="DF1368">
        <v>0</v>
      </c>
      <c r="DG1368">
        <v>0</v>
      </c>
      <c r="DH1368">
        <v>0</v>
      </c>
      <c r="DI1368">
        <v>0</v>
      </c>
    </row>
    <row r="1369" spans="1:113" x14ac:dyDescent="0.3">
      <c r="A1369" t="str">
        <f>"02/08/2021 20:20:06.131"</f>
        <v>02/08/2021 20:20:06.131</v>
      </c>
      <c r="C1369" t="str">
        <f t="shared" si="65"/>
        <v>FFDFD7C0</v>
      </c>
      <c r="D1369" t="s">
        <v>124</v>
      </c>
      <c r="E1369">
        <v>12</v>
      </c>
      <c r="F1369">
        <v>1012</v>
      </c>
      <c r="G1369" t="s">
        <v>675</v>
      </c>
      <c r="J1369" t="s">
        <v>125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S1369" t="str">
        <f>"20:20:08.469"</f>
        <v>20:20:08.469</v>
      </c>
      <c r="T1369" t="str">
        <f>"20:20:07.969"</f>
        <v>20:20:07.969</v>
      </c>
      <c r="U1369" t="str">
        <f t="shared" si="64"/>
        <v>AB01F4</v>
      </c>
      <c r="V1369">
        <v>0</v>
      </c>
      <c r="W1369">
        <v>0</v>
      </c>
      <c r="X1369">
        <v>2</v>
      </c>
      <c r="Z1369">
        <v>0</v>
      </c>
      <c r="AA1369">
        <v>9</v>
      </c>
      <c r="AB1369">
        <v>3</v>
      </c>
      <c r="AC1369">
        <v>0</v>
      </c>
      <c r="AD1369">
        <v>10</v>
      </c>
      <c r="AE1369">
        <v>0</v>
      </c>
      <c r="AF1369">
        <v>3</v>
      </c>
      <c r="AG1369">
        <v>2</v>
      </c>
      <c r="AH1369">
        <v>0</v>
      </c>
      <c r="AI1369" t="s">
        <v>947</v>
      </c>
      <c r="AJ1369">
        <v>39.792994999999998</v>
      </c>
      <c r="AK1369" t="s">
        <v>948</v>
      </c>
      <c r="AL1369">
        <v>-92.517585999999994</v>
      </c>
      <c r="AM1369">
        <v>100</v>
      </c>
      <c r="AN1369">
        <v>1700</v>
      </c>
      <c r="AO1369" t="s">
        <v>118</v>
      </c>
      <c r="AP1369">
        <v>-18</v>
      </c>
      <c r="AQ1369">
        <v>119</v>
      </c>
      <c r="AR1369">
        <v>-64</v>
      </c>
      <c r="AZ1369">
        <v>1200</v>
      </c>
      <c r="BA1369">
        <v>1</v>
      </c>
      <c r="BB1369" t="str">
        <f t="shared" si="66"/>
        <v xml:space="preserve">N8080G  </v>
      </c>
      <c r="BC1369">
        <v>1</v>
      </c>
      <c r="BE1369">
        <v>0</v>
      </c>
      <c r="BF1369">
        <v>0</v>
      </c>
      <c r="BG1369">
        <v>0</v>
      </c>
      <c r="BH1369">
        <v>1700</v>
      </c>
      <c r="BI1369">
        <v>1</v>
      </c>
      <c r="BJ1369">
        <v>1</v>
      </c>
      <c r="BK1369">
        <v>1</v>
      </c>
      <c r="BL1369">
        <v>0</v>
      </c>
      <c r="BO1369">
        <v>0</v>
      </c>
      <c r="BP1369">
        <v>0</v>
      </c>
      <c r="BW1369" t="str">
        <f>"20:20:08.471"</f>
        <v>20:20:08.471</v>
      </c>
      <c r="BZ1369">
        <v>0</v>
      </c>
      <c r="CA1369">
        <v>2016</v>
      </c>
      <c r="CB1369">
        <v>224</v>
      </c>
      <c r="CD1369">
        <v>1</v>
      </c>
      <c r="CE1369">
        <v>0</v>
      </c>
      <c r="CF1369">
        <v>0</v>
      </c>
      <c r="CG1369">
        <v>1</v>
      </c>
      <c r="CH1369">
        <v>0</v>
      </c>
      <c r="CI1369">
        <v>0</v>
      </c>
      <c r="CJ1369">
        <v>0</v>
      </c>
      <c r="CK1369">
        <v>2</v>
      </c>
      <c r="CL1369">
        <v>0</v>
      </c>
      <c r="CM1369">
        <v>2</v>
      </c>
      <c r="CN1369">
        <v>0</v>
      </c>
      <c r="CO1369">
        <v>7</v>
      </c>
      <c r="CP1369" t="s">
        <v>119</v>
      </c>
      <c r="CQ1369">
        <v>180</v>
      </c>
      <c r="CR1369">
        <v>1</v>
      </c>
      <c r="CW1369">
        <v>10735936</v>
      </c>
      <c r="CY1369">
        <v>1</v>
      </c>
      <c r="CZ1369">
        <v>0</v>
      </c>
      <c r="DA1369">
        <v>1</v>
      </c>
      <c r="DB1369">
        <v>0</v>
      </c>
      <c r="DC1369">
        <v>0</v>
      </c>
      <c r="DD1369">
        <v>0</v>
      </c>
      <c r="DE1369">
        <v>0</v>
      </c>
      <c r="DF1369">
        <v>0</v>
      </c>
      <c r="DG1369">
        <v>0</v>
      </c>
      <c r="DH1369">
        <v>0</v>
      </c>
      <c r="DI1369">
        <v>0</v>
      </c>
    </row>
    <row r="1370" spans="1:113" x14ac:dyDescent="0.3">
      <c r="A1370" t="str">
        <f>"02/08/2021 20:20:06.131"</f>
        <v>02/08/2021 20:20:06.131</v>
      </c>
      <c r="C1370" t="str">
        <f t="shared" si="65"/>
        <v>FFDFD7C0</v>
      </c>
      <c r="D1370" t="s">
        <v>124</v>
      </c>
      <c r="E1370">
        <v>13</v>
      </c>
      <c r="F1370">
        <v>1013</v>
      </c>
      <c r="G1370" t="s">
        <v>114</v>
      </c>
      <c r="J1370" t="s">
        <v>125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S1370" t="str">
        <f>"20:20:08.469"</f>
        <v>20:20:08.469</v>
      </c>
      <c r="T1370" t="str">
        <f>"20:20:07.969"</f>
        <v>20:20:07.969</v>
      </c>
      <c r="U1370" t="str">
        <f t="shared" si="64"/>
        <v>AB01F4</v>
      </c>
      <c r="V1370">
        <v>0</v>
      </c>
      <c r="W1370">
        <v>0</v>
      </c>
      <c r="X1370">
        <v>2</v>
      </c>
      <c r="Z1370">
        <v>0</v>
      </c>
      <c r="AA1370">
        <v>9</v>
      </c>
      <c r="AB1370">
        <v>3</v>
      </c>
      <c r="AC1370">
        <v>0</v>
      </c>
      <c r="AD1370">
        <v>10</v>
      </c>
      <c r="AE1370">
        <v>0</v>
      </c>
      <c r="AF1370">
        <v>3</v>
      </c>
      <c r="AG1370">
        <v>2</v>
      </c>
      <c r="AH1370">
        <v>0</v>
      </c>
      <c r="AI1370" t="s">
        <v>947</v>
      </c>
      <c r="AJ1370">
        <v>39.792994999999998</v>
      </c>
      <c r="AK1370" t="s">
        <v>948</v>
      </c>
      <c r="AL1370">
        <v>-92.517585999999994</v>
      </c>
      <c r="AM1370">
        <v>100</v>
      </c>
      <c r="AN1370">
        <v>1700</v>
      </c>
      <c r="AO1370" t="s">
        <v>118</v>
      </c>
      <c r="AP1370">
        <v>-18</v>
      </c>
      <c r="AQ1370">
        <v>119</v>
      </c>
      <c r="AR1370">
        <v>-64</v>
      </c>
      <c r="AZ1370">
        <v>1200</v>
      </c>
      <c r="BA1370">
        <v>1</v>
      </c>
      <c r="BB1370" t="str">
        <f t="shared" si="66"/>
        <v xml:space="preserve">N8080G  </v>
      </c>
      <c r="BC1370">
        <v>1</v>
      </c>
      <c r="BE1370">
        <v>0</v>
      </c>
      <c r="BF1370">
        <v>0</v>
      </c>
      <c r="BG1370">
        <v>0</v>
      </c>
      <c r="BH1370">
        <v>1700</v>
      </c>
      <c r="BI1370">
        <v>1</v>
      </c>
      <c r="BJ1370">
        <v>1</v>
      </c>
      <c r="BK1370">
        <v>1</v>
      </c>
      <c r="BL1370">
        <v>0</v>
      </c>
      <c r="BO1370">
        <v>0</v>
      </c>
      <c r="BP1370">
        <v>0</v>
      </c>
      <c r="BW1370" t="str">
        <f>"20:20:08.471"</f>
        <v>20:20:08.471</v>
      </c>
      <c r="BZ1370">
        <v>0</v>
      </c>
      <c r="CA1370">
        <v>2016</v>
      </c>
      <c r="CB1370">
        <v>224</v>
      </c>
      <c r="CD1370">
        <v>1</v>
      </c>
      <c r="CE1370">
        <v>0</v>
      </c>
      <c r="CF1370">
        <v>0</v>
      </c>
      <c r="CG1370">
        <v>1</v>
      </c>
      <c r="CH1370">
        <v>0</v>
      </c>
      <c r="CI1370">
        <v>0</v>
      </c>
      <c r="CJ1370">
        <v>0</v>
      </c>
      <c r="CK1370">
        <v>2</v>
      </c>
      <c r="CL1370">
        <v>0</v>
      </c>
      <c r="CM1370">
        <v>2</v>
      </c>
      <c r="CN1370">
        <v>0</v>
      </c>
      <c r="CO1370">
        <v>7</v>
      </c>
      <c r="CP1370" t="s">
        <v>119</v>
      </c>
      <c r="CQ1370">
        <v>180</v>
      </c>
      <c r="CR1370">
        <v>1</v>
      </c>
      <c r="CW1370">
        <v>10735936</v>
      </c>
      <c r="CY1370">
        <v>1</v>
      </c>
      <c r="CZ1370">
        <v>0</v>
      </c>
      <c r="DA1370">
        <v>1</v>
      </c>
      <c r="DB1370">
        <v>0</v>
      </c>
      <c r="DC1370">
        <v>0</v>
      </c>
      <c r="DD1370">
        <v>0</v>
      </c>
      <c r="DE1370">
        <v>0</v>
      </c>
      <c r="DF1370">
        <v>0</v>
      </c>
      <c r="DG1370">
        <v>0</v>
      </c>
      <c r="DH1370">
        <v>0</v>
      </c>
      <c r="DI1370">
        <v>0</v>
      </c>
    </row>
    <row r="1371" spans="1:113" x14ac:dyDescent="0.3">
      <c r="A1371" t="str">
        <f>"02/08/2021 20:20:09.427"</f>
        <v>02/08/2021 20:20:09.427</v>
      </c>
      <c r="C1371" t="str">
        <f t="shared" si="65"/>
        <v>FFDFD7C0</v>
      </c>
      <c r="D1371" t="s">
        <v>124</v>
      </c>
      <c r="E1371">
        <v>12</v>
      </c>
      <c r="F1371">
        <v>1012</v>
      </c>
      <c r="G1371" t="s">
        <v>675</v>
      </c>
      <c r="J1371" t="s">
        <v>125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S1371" t="str">
        <f>"20:20:11.773"</f>
        <v>20:20:11.773</v>
      </c>
      <c r="T1371" t="str">
        <f>"20:20:11.373"</f>
        <v>20:20:11.373</v>
      </c>
      <c r="U1371" t="str">
        <f t="shared" si="64"/>
        <v>AB01F4</v>
      </c>
      <c r="V1371">
        <v>0</v>
      </c>
      <c r="W1371">
        <v>0</v>
      </c>
      <c r="X1371">
        <v>2</v>
      </c>
      <c r="Z1371">
        <v>0</v>
      </c>
      <c r="AA1371">
        <v>9</v>
      </c>
      <c r="AB1371">
        <v>3</v>
      </c>
      <c r="AC1371">
        <v>0</v>
      </c>
      <c r="AD1371">
        <v>10</v>
      </c>
      <c r="AE1371">
        <v>0</v>
      </c>
      <c r="AF1371">
        <v>3</v>
      </c>
      <c r="AG1371">
        <v>2</v>
      </c>
      <c r="AH1371">
        <v>0</v>
      </c>
      <c r="AI1371" t="s">
        <v>949</v>
      </c>
      <c r="AJ1371">
        <v>39.794818999999997</v>
      </c>
      <c r="AK1371" t="s">
        <v>879</v>
      </c>
      <c r="AL1371">
        <v>-92.517950999999996</v>
      </c>
      <c r="AM1371">
        <v>100</v>
      </c>
      <c r="AN1371">
        <v>1700</v>
      </c>
      <c r="AO1371" t="s">
        <v>118</v>
      </c>
      <c r="AP1371">
        <v>-20</v>
      </c>
      <c r="AQ1371">
        <v>119</v>
      </c>
      <c r="AR1371">
        <v>64</v>
      </c>
      <c r="AZ1371">
        <v>1200</v>
      </c>
      <c r="BA1371">
        <v>1</v>
      </c>
      <c r="BB1371" t="str">
        <f t="shared" si="66"/>
        <v xml:space="preserve">N8080G  </v>
      </c>
      <c r="BC1371">
        <v>1</v>
      </c>
      <c r="BE1371">
        <v>0</v>
      </c>
      <c r="BF1371">
        <v>0</v>
      </c>
      <c r="BG1371">
        <v>0</v>
      </c>
      <c r="BH1371">
        <v>1700</v>
      </c>
      <c r="BI1371">
        <v>1</v>
      </c>
      <c r="BJ1371">
        <v>1</v>
      </c>
      <c r="BK1371">
        <v>1</v>
      </c>
      <c r="BL1371">
        <v>0</v>
      </c>
      <c r="BO1371">
        <v>0</v>
      </c>
      <c r="BP1371">
        <v>0</v>
      </c>
      <c r="BW1371" t="str">
        <f>"20:20:11.776"</f>
        <v>20:20:11.776</v>
      </c>
      <c r="BZ1371">
        <v>0</v>
      </c>
      <c r="CA1371">
        <v>2016</v>
      </c>
      <c r="CB1371">
        <v>224</v>
      </c>
      <c r="CD1371">
        <v>1</v>
      </c>
      <c r="CE1371">
        <v>0</v>
      </c>
      <c r="CF1371">
        <v>0</v>
      </c>
      <c r="CG1371">
        <v>1</v>
      </c>
      <c r="CH1371">
        <v>0</v>
      </c>
      <c r="CI1371">
        <v>0</v>
      </c>
      <c r="CJ1371">
        <v>0</v>
      </c>
      <c r="CK1371">
        <v>2</v>
      </c>
      <c r="CL1371">
        <v>0</v>
      </c>
      <c r="CM1371">
        <v>2</v>
      </c>
      <c r="CN1371">
        <v>0</v>
      </c>
      <c r="CO1371">
        <v>7</v>
      </c>
      <c r="CP1371" t="s">
        <v>119</v>
      </c>
      <c r="CQ1371">
        <v>180</v>
      </c>
      <c r="CR1371">
        <v>1</v>
      </c>
      <c r="CW1371">
        <v>10738812</v>
      </c>
      <c r="CY1371">
        <v>1</v>
      </c>
      <c r="CZ1371">
        <v>0</v>
      </c>
      <c r="DA1371">
        <v>0</v>
      </c>
      <c r="DB1371">
        <v>0</v>
      </c>
      <c r="DC1371">
        <v>0</v>
      </c>
      <c r="DD1371">
        <v>0</v>
      </c>
      <c r="DE1371">
        <v>0</v>
      </c>
      <c r="DF1371">
        <v>0</v>
      </c>
      <c r="DG1371">
        <v>0</v>
      </c>
      <c r="DH1371">
        <v>0</v>
      </c>
      <c r="DI1371">
        <v>0</v>
      </c>
    </row>
    <row r="1372" spans="1:113" x14ac:dyDescent="0.3">
      <c r="A1372" t="str">
        <f>"02/08/2021 20:20:09.427"</f>
        <v>02/08/2021 20:20:09.427</v>
      </c>
      <c r="C1372" t="str">
        <f t="shared" si="65"/>
        <v>FFDFD7C0</v>
      </c>
      <c r="D1372" t="s">
        <v>124</v>
      </c>
      <c r="E1372">
        <v>13</v>
      </c>
      <c r="F1372">
        <v>1013</v>
      </c>
      <c r="G1372" t="s">
        <v>114</v>
      </c>
      <c r="J1372" t="s">
        <v>125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S1372" t="str">
        <f>"20:20:11.773"</f>
        <v>20:20:11.773</v>
      </c>
      <c r="T1372" t="str">
        <f>"20:20:11.373"</f>
        <v>20:20:11.373</v>
      </c>
      <c r="U1372" t="str">
        <f t="shared" si="64"/>
        <v>AB01F4</v>
      </c>
      <c r="V1372">
        <v>0</v>
      </c>
      <c r="W1372">
        <v>0</v>
      </c>
      <c r="X1372">
        <v>2</v>
      </c>
      <c r="Z1372">
        <v>0</v>
      </c>
      <c r="AA1372">
        <v>9</v>
      </c>
      <c r="AB1372">
        <v>3</v>
      </c>
      <c r="AC1372">
        <v>0</v>
      </c>
      <c r="AD1372">
        <v>10</v>
      </c>
      <c r="AE1372">
        <v>0</v>
      </c>
      <c r="AF1372">
        <v>3</v>
      </c>
      <c r="AG1372">
        <v>2</v>
      </c>
      <c r="AH1372">
        <v>0</v>
      </c>
      <c r="AI1372" t="s">
        <v>949</v>
      </c>
      <c r="AJ1372">
        <v>39.794818999999997</v>
      </c>
      <c r="AK1372" t="s">
        <v>879</v>
      </c>
      <c r="AL1372">
        <v>-92.517950999999996</v>
      </c>
      <c r="AM1372">
        <v>100</v>
      </c>
      <c r="AN1372">
        <v>1700</v>
      </c>
      <c r="AO1372" t="s">
        <v>118</v>
      </c>
      <c r="AP1372">
        <v>-20</v>
      </c>
      <c r="AQ1372">
        <v>119</v>
      </c>
      <c r="AR1372">
        <v>64</v>
      </c>
      <c r="AZ1372">
        <v>1200</v>
      </c>
      <c r="BA1372">
        <v>1</v>
      </c>
      <c r="BB1372" t="str">
        <f t="shared" si="66"/>
        <v xml:space="preserve">N8080G  </v>
      </c>
      <c r="BC1372">
        <v>1</v>
      </c>
      <c r="BE1372">
        <v>0</v>
      </c>
      <c r="BF1372">
        <v>0</v>
      </c>
      <c r="BG1372">
        <v>0</v>
      </c>
      <c r="BH1372">
        <v>1700</v>
      </c>
      <c r="BI1372">
        <v>1</v>
      </c>
      <c r="BJ1372">
        <v>1</v>
      </c>
      <c r="BK1372">
        <v>1</v>
      </c>
      <c r="BL1372">
        <v>0</v>
      </c>
      <c r="BO1372">
        <v>0</v>
      </c>
      <c r="BP1372">
        <v>0</v>
      </c>
      <c r="BW1372" t="str">
        <f>"20:20:11.776"</f>
        <v>20:20:11.776</v>
      </c>
      <c r="BZ1372">
        <v>0</v>
      </c>
      <c r="CA1372">
        <v>2016</v>
      </c>
      <c r="CB1372">
        <v>224</v>
      </c>
      <c r="CD1372">
        <v>1</v>
      </c>
      <c r="CE1372">
        <v>0</v>
      </c>
      <c r="CF1372">
        <v>0</v>
      </c>
      <c r="CG1372">
        <v>1</v>
      </c>
      <c r="CH1372">
        <v>0</v>
      </c>
      <c r="CI1372">
        <v>0</v>
      </c>
      <c r="CJ1372">
        <v>0</v>
      </c>
      <c r="CK1372">
        <v>2</v>
      </c>
      <c r="CL1372">
        <v>0</v>
      </c>
      <c r="CM1372">
        <v>2</v>
      </c>
      <c r="CN1372">
        <v>0</v>
      </c>
      <c r="CO1372">
        <v>7</v>
      </c>
      <c r="CP1372" t="s">
        <v>119</v>
      </c>
      <c r="CQ1372">
        <v>180</v>
      </c>
      <c r="CR1372">
        <v>1</v>
      </c>
      <c r="CW1372">
        <v>10738812</v>
      </c>
      <c r="CY1372">
        <v>1</v>
      </c>
      <c r="CZ1372">
        <v>0</v>
      </c>
      <c r="DA1372">
        <v>1</v>
      </c>
      <c r="DB1372">
        <v>0</v>
      </c>
      <c r="DC1372">
        <v>0</v>
      </c>
      <c r="DD1372">
        <v>0</v>
      </c>
      <c r="DE1372">
        <v>0</v>
      </c>
      <c r="DF1372">
        <v>0</v>
      </c>
      <c r="DG1372">
        <v>0</v>
      </c>
      <c r="DH1372">
        <v>0</v>
      </c>
      <c r="DI1372">
        <v>0</v>
      </c>
    </row>
    <row r="1373" spans="1:113" x14ac:dyDescent="0.3">
      <c r="A1373" t="str">
        <f>"02/08/2021 20:20:09.427"</f>
        <v>02/08/2021 20:20:09.427</v>
      </c>
      <c r="C1373" t="str">
        <f t="shared" si="65"/>
        <v>FFDFD7C0</v>
      </c>
      <c r="D1373" t="s">
        <v>113</v>
      </c>
      <c r="E1373">
        <v>6</v>
      </c>
      <c r="H1373">
        <v>165</v>
      </c>
      <c r="I1373" t="s">
        <v>114</v>
      </c>
      <c r="J1373" t="s">
        <v>115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S1373" t="str">
        <f>"20:20:11.773"</f>
        <v>20:20:11.773</v>
      </c>
      <c r="T1373" t="str">
        <f>"20:20:11.373"</f>
        <v>20:20:11.373</v>
      </c>
      <c r="U1373" t="str">
        <f t="shared" si="64"/>
        <v>AB01F4</v>
      </c>
      <c r="V1373">
        <v>0</v>
      </c>
      <c r="W1373">
        <v>0</v>
      </c>
      <c r="X1373">
        <v>2</v>
      </c>
      <c r="Z1373">
        <v>0</v>
      </c>
      <c r="AA1373">
        <v>9</v>
      </c>
      <c r="AB1373">
        <v>3</v>
      </c>
      <c r="AC1373">
        <v>0</v>
      </c>
      <c r="AD1373">
        <v>10</v>
      </c>
      <c r="AE1373">
        <v>0</v>
      </c>
      <c r="AF1373">
        <v>3</v>
      </c>
      <c r="AG1373">
        <v>2</v>
      </c>
      <c r="AH1373">
        <v>0</v>
      </c>
      <c r="AI1373" t="s">
        <v>949</v>
      </c>
      <c r="AJ1373">
        <v>39.794818999999997</v>
      </c>
      <c r="AK1373" t="s">
        <v>879</v>
      </c>
      <c r="AL1373">
        <v>-92.517950999999996</v>
      </c>
      <c r="AM1373">
        <v>100</v>
      </c>
      <c r="AN1373">
        <v>1700</v>
      </c>
      <c r="AO1373" t="s">
        <v>118</v>
      </c>
      <c r="AP1373">
        <v>-20</v>
      </c>
      <c r="AQ1373">
        <v>119</v>
      </c>
      <c r="AR1373">
        <v>64</v>
      </c>
      <c r="AZ1373">
        <v>1200</v>
      </c>
      <c r="BA1373">
        <v>1</v>
      </c>
      <c r="BB1373" t="str">
        <f t="shared" si="66"/>
        <v xml:space="preserve">N8080G  </v>
      </c>
      <c r="BC1373">
        <v>1</v>
      </c>
      <c r="BE1373">
        <v>0</v>
      </c>
      <c r="BF1373">
        <v>0</v>
      </c>
      <c r="BG1373">
        <v>0</v>
      </c>
      <c r="BH1373">
        <v>1700</v>
      </c>
      <c r="BI1373">
        <v>1</v>
      </c>
      <c r="BJ1373">
        <v>1</v>
      </c>
      <c r="BK1373">
        <v>1</v>
      </c>
      <c r="BL1373">
        <v>0</v>
      </c>
      <c r="BO1373">
        <v>0</v>
      </c>
      <c r="BP1373">
        <v>0</v>
      </c>
      <c r="BW1373" t="str">
        <f>"20:20:11.776"</f>
        <v>20:20:11.776</v>
      </c>
      <c r="BZ1373">
        <v>0</v>
      </c>
      <c r="CA1373">
        <v>2016</v>
      </c>
      <c r="CB1373">
        <v>224</v>
      </c>
      <c r="CD1373">
        <v>1</v>
      </c>
      <c r="CE1373">
        <v>0</v>
      </c>
      <c r="CF1373">
        <v>0</v>
      </c>
      <c r="CG1373">
        <v>1</v>
      </c>
      <c r="CH1373">
        <v>0</v>
      </c>
      <c r="CI1373">
        <v>0</v>
      </c>
      <c r="CJ1373">
        <v>0</v>
      </c>
      <c r="CK1373">
        <v>2</v>
      </c>
      <c r="CL1373">
        <v>0</v>
      </c>
      <c r="CM1373">
        <v>2</v>
      </c>
      <c r="CN1373">
        <v>0</v>
      </c>
      <c r="CO1373">
        <v>7</v>
      </c>
      <c r="CP1373" t="s">
        <v>119</v>
      </c>
      <c r="CQ1373">
        <v>180</v>
      </c>
      <c r="CR1373">
        <v>1</v>
      </c>
      <c r="CW1373">
        <v>10738812</v>
      </c>
      <c r="CY1373">
        <v>1</v>
      </c>
      <c r="CZ1373">
        <v>0</v>
      </c>
      <c r="DA1373">
        <v>1</v>
      </c>
      <c r="DB1373">
        <v>0</v>
      </c>
      <c r="DC1373">
        <v>0</v>
      </c>
      <c r="DD1373">
        <v>0</v>
      </c>
      <c r="DE1373">
        <v>0</v>
      </c>
      <c r="DF1373">
        <v>0</v>
      </c>
      <c r="DG1373">
        <v>0</v>
      </c>
      <c r="DH1373">
        <v>0</v>
      </c>
      <c r="DI1373">
        <v>0</v>
      </c>
    </row>
    <row r="1374" spans="1:113" x14ac:dyDescent="0.3">
      <c r="A1374" t="str">
        <f>"02/08/2021 20:20:09.427"</f>
        <v>02/08/2021 20:20:09.427</v>
      </c>
      <c r="C1374" t="str">
        <f t="shared" si="65"/>
        <v>FFDFD7C0</v>
      </c>
      <c r="D1374" t="s">
        <v>124</v>
      </c>
      <c r="E1374">
        <v>11</v>
      </c>
      <c r="F1374">
        <v>1011</v>
      </c>
      <c r="G1374" t="s">
        <v>590</v>
      </c>
      <c r="J1374" t="s">
        <v>125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S1374" t="str">
        <f>"20:20:11.773"</f>
        <v>20:20:11.773</v>
      </c>
      <c r="T1374" t="str">
        <f>"20:20:11.373"</f>
        <v>20:20:11.373</v>
      </c>
      <c r="U1374" t="str">
        <f t="shared" si="64"/>
        <v>AB01F4</v>
      </c>
      <c r="V1374">
        <v>0</v>
      </c>
      <c r="W1374">
        <v>0</v>
      </c>
      <c r="X1374">
        <v>2</v>
      </c>
      <c r="Z1374">
        <v>0</v>
      </c>
      <c r="AA1374">
        <v>9</v>
      </c>
      <c r="AB1374">
        <v>3</v>
      </c>
      <c r="AC1374">
        <v>0</v>
      </c>
      <c r="AD1374">
        <v>10</v>
      </c>
      <c r="AE1374">
        <v>0</v>
      </c>
      <c r="AF1374">
        <v>3</v>
      </c>
      <c r="AG1374">
        <v>2</v>
      </c>
      <c r="AH1374">
        <v>0</v>
      </c>
      <c r="AI1374" t="s">
        <v>949</v>
      </c>
      <c r="AJ1374">
        <v>39.794818999999997</v>
      </c>
      <c r="AK1374" t="s">
        <v>879</v>
      </c>
      <c r="AL1374">
        <v>-92.517950999999996</v>
      </c>
      <c r="AM1374">
        <v>100</v>
      </c>
      <c r="AN1374">
        <v>1700</v>
      </c>
      <c r="AO1374" t="s">
        <v>118</v>
      </c>
      <c r="AP1374">
        <v>-20</v>
      </c>
      <c r="AQ1374">
        <v>119</v>
      </c>
      <c r="AR1374">
        <v>64</v>
      </c>
      <c r="AZ1374">
        <v>1200</v>
      </c>
      <c r="BA1374">
        <v>1</v>
      </c>
      <c r="BB1374" t="str">
        <f t="shared" si="66"/>
        <v xml:space="preserve">N8080G  </v>
      </c>
      <c r="BC1374">
        <v>1</v>
      </c>
      <c r="BE1374">
        <v>0</v>
      </c>
      <c r="BF1374">
        <v>0</v>
      </c>
      <c r="BG1374">
        <v>0</v>
      </c>
      <c r="BH1374">
        <v>1700</v>
      </c>
      <c r="BI1374">
        <v>1</v>
      </c>
      <c r="BJ1374">
        <v>1</v>
      </c>
      <c r="BK1374">
        <v>1</v>
      </c>
      <c r="BL1374">
        <v>0</v>
      </c>
      <c r="BO1374">
        <v>0</v>
      </c>
      <c r="BP1374">
        <v>0</v>
      </c>
      <c r="BW1374" t="str">
        <f>"20:20:11.776"</f>
        <v>20:20:11.776</v>
      </c>
      <c r="BZ1374">
        <v>0</v>
      </c>
      <c r="CA1374">
        <v>2016</v>
      </c>
      <c r="CB1374">
        <v>224</v>
      </c>
      <c r="CD1374">
        <v>1</v>
      </c>
      <c r="CE1374">
        <v>0</v>
      </c>
      <c r="CF1374">
        <v>0</v>
      </c>
      <c r="CG1374">
        <v>1</v>
      </c>
      <c r="CH1374">
        <v>0</v>
      </c>
      <c r="CI1374">
        <v>0</v>
      </c>
      <c r="CJ1374">
        <v>0</v>
      </c>
      <c r="CK1374">
        <v>2</v>
      </c>
      <c r="CL1374">
        <v>0</v>
      </c>
      <c r="CM1374">
        <v>2</v>
      </c>
      <c r="CN1374">
        <v>0</v>
      </c>
      <c r="CO1374">
        <v>7</v>
      </c>
      <c r="CP1374" t="s">
        <v>119</v>
      </c>
      <c r="CQ1374">
        <v>180</v>
      </c>
      <c r="CR1374">
        <v>1</v>
      </c>
      <c r="CW1374">
        <v>10738812</v>
      </c>
      <c r="CY1374">
        <v>1</v>
      </c>
      <c r="CZ1374">
        <v>0</v>
      </c>
      <c r="DA1374">
        <v>1</v>
      </c>
      <c r="DB1374">
        <v>0</v>
      </c>
      <c r="DC1374">
        <v>0</v>
      </c>
      <c r="DD1374">
        <v>0</v>
      </c>
      <c r="DE1374">
        <v>0</v>
      </c>
      <c r="DF1374">
        <v>0</v>
      </c>
      <c r="DG1374">
        <v>0</v>
      </c>
      <c r="DH1374">
        <v>0</v>
      </c>
      <c r="DI1374">
        <v>0</v>
      </c>
    </row>
    <row r="1375" spans="1:113" x14ac:dyDescent="0.3">
      <c r="A1375" t="str">
        <f>"02/08/2021 20:20:10.894"</f>
        <v>02/08/2021 20:20:10.894</v>
      </c>
      <c r="C1375" t="str">
        <f t="shared" si="65"/>
        <v>FFDFD7C0</v>
      </c>
      <c r="D1375" t="s">
        <v>124</v>
      </c>
      <c r="E1375">
        <v>13</v>
      </c>
      <c r="F1375">
        <v>1013</v>
      </c>
      <c r="G1375" t="s">
        <v>114</v>
      </c>
      <c r="J1375" t="s">
        <v>125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S1375" t="str">
        <f>"20:20:13.242"</f>
        <v>20:20:13.242</v>
      </c>
      <c r="T1375" t="str">
        <f>"20:20:12.842"</f>
        <v>20:20:12.842</v>
      </c>
      <c r="U1375" t="str">
        <f t="shared" si="64"/>
        <v>AB01F4</v>
      </c>
      <c r="V1375">
        <v>0</v>
      </c>
      <c r="W1375">
        <v>0</v>
      </c>
      <c r="X1375">
        <v>2</v>
      </c>
      <c r="Z1375">
        <v>0</v>
      </c>
      <c r="AA1375">
        <v>9</v>
      </c>
      <c r="AB1375">
        <v>3</v>
      </c>
      <c r="AC1375">
        <v>0</v>
      </c>
      <c r="AD1375">
        <v>10</v>
      </c>
      <c r="AE1375">
        <v>0</v>
      </c>
      <c r="AF1375">
        <v>3</v>
      </c>
      <c r="AG1375">
        <v>2</v>
      </c>
      <c r="AH1375">
        <v>0</v>
      </c>
      <c r="AI1375" t="s">
        <v>950</v>
      </c>
      <c r="AJ1375">
        <v>39.795656000000001</v>
      </c>
      <c r="AK1375" t="s">
        <v>951</v>
      </c>
      <c r="AL1375">
        <v>-92.518186999999998</v>
      </c>
      <c r="AM1375">
        <v>100</v>
      </c>
      <c r="AN1375">
        <v>1700</v>
      </c>
      <c r="AO1375" t="s">
        <v>118</v>
      </c>
      <c r="AP1375">
        <v>-21</v>
      </c>
      <c r="AQ1375">
        <v>119</v>
      </c>
      <c r="AR1375">
        <v>64</v>
      </c>
      <c r="AZ1375">
        <v>1200</v>
      </c>
      <c r="BA1375">
        <v>1</v>
      </c>
      <c r="BB1375" t="str">
        <f t="shared" si="66"/>
        <v xml:space="preserve">N8080G  </v>
      </c>
      <c r="BC1375">
        <v>1</v>
      </c>
      <c r="BE1375">
        <v>0</v>
      </c>
      <c r="BF1375">
        <v>0</v>
      </c>
      <c r="BG1375">
        <v>0</v>
      </c>
      <c r="BH1375">
        <v>1700</v>
      </c>
      <c r="BI1375">
        <v>1</v>
      </c>
      <c r="BJ1375">
        <v>1</v>
      </c>
      <c r="BK1375">
        <v>1</v>
      </c>
      <c r="BL1375">
        <v>0</v>
      </c>
      <c r="BO1375">
        <v>0</v>
      </c>
      <c r="BP1375">
        <v>0</v>
      </c>
      <c r="BW1375" t="str">
        <f>"20:20:13.244"</f>
        <v>20:20:13.244</v>
      </c>
      <c r="BZ1375">
        <v>0</v>
      </c>
      <c r="CA1375">
        <v>2016</v>
      </c>
      <c r="CB1375">
        <v>224</v>
      </c>
      <c r="CD1375">
        <v>1</v>
      </c>
      <c r="CE1375">
        <v>0</v>
      </c>
      <c r="CF1375">
        <v>0</v>
      </c>
      <c r="CG1375">
        <v>1</v>
      </c>
      <c r="CH1375">
        <v>0</v>
      </c>
      <c r="CI1375">
        <v>0</v>
      </c>
      <c r="CJ1375">
        <v>0</v>
      </c>
      <c r="CK1375">
        <v>2</v>
      </c>
      <c r="CL1375">
        <v>0</v>
      </c>
      <c r="CM1375">
        <v>2</v>
      </c>
      <c r="CN1375">
        <v>0</v>
      </c>
      <c r="CO1375">
        <v>7</v>
      </c>
      <c r="CP1375" t="s">
        <v>119</v>
      </c>
      <c r="CQ1375">
        <v>180</v>
      </c>
      <c r="CR1375">
        <v>2</v>
      </c>
      <c r="CW1375">
        <v>8175368</v>
      </c>
      <c r="CY1375">
        <v>1</v>
      </c>
      <c r="CZ1375">
        <v>0</v>
      </c>
      <c r="DA1375">
        <v>0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0</v>
      </c>
      <c r="DH1375">
        <v>0</v>
      </c>
      <c r="DI1375">
        <v>0</v>
      </c>
    </row>
    <row r="1376" spans="1:113" x14ac:dyDescent="0.3">
      <c r="A1376" t="str">
        <f>"02/08/2021 20:20:10.894"</f>
        <v>02/08/2021 20:20:10.894</v>
      </c>
      <c r="C1376" t="str">
        <f t="shared" si="65"/>
        <v>FFDFD7C0</v>
      </c>
      <c r="D1376" t="s">
        <v>113</v>
      </c>
      <c r="E1376">
        <v>6</v>
      </c>
      <c r="H1376">
        <v>165</v>
      </c>
      <c r="I1376" t="s">
        <v>114</v>
      </c>
      <c r="J1376" t="s">
        <v>115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S1376" t="str">
        <f>"20:20:13.242"</f>
        <v>20:20:13.242</v>
      </c>
      <c r="T1376" t="str">
        <f>"20:20:12.842"</f>
        <v>20:20:12.842</v>
      </c>
      <c r="U1376" t="str">
        <f t="shared" si="64"/>
        <v>AB01F4</v>
      </c>
      <c r="V1376">
        <v>0</v>
      </c>
      <c r="W1376">
        <v>0</v>
      </c>
      <c r="X1376">
        <v>2</v>
      </c>
      <c r="Z1376">
        <v>0</v>
      </c>
      <c r="AA1376">
        <v>9</v>
      </c>
      <c r="AB1376">
        <v>3</v>
      </c>
      <c r="AC1376">
        <v>0</v>
      </c>
      <c r="AD1376">
        <v>10</v>
      </c>
      <c r="AE1376">
        <v>0</v>
      </c>
      <c r="AF1376">
        <v>3</v>
      </c>
      <c r="AG1376">
        <v>2</v>
      </c>
      <c r="AH1376">
        <v>0</v>
      </c>
      <c r="AI1376" t="s">
        <v>950</v>
      </c>
      <c r="AJ1376">
        <v>39.795656000000001</v>
      </c>
      <c r="AK1376" t="s">
        <v>951</v>
      </c>
      <c r="AL1376">
        <v>-92.518186999999998</v>
      </c>
      <c r="AM1376">
        <v>100</v>
      </c>
      <c r="AN1376">
        <v>1700</v>
      </c>
      <c r="AO1376" t="s">
        <v>118</v>
      </c>
      <c r="AP1376">
        <v>-21</v>
      </c>
      <c r="AQ1376">
        <v>119</v>
      </c>
      <c r="AR1376">
        <v>64</v>
      </c>
      <c r="AZ1376">
        <v>1200</v>
      </c>
      <c r="BA1376">
        <v>1</v>
      </c>
      <c r="BB1376" t="str">
        <f t="shared" si="66"/>
        <v xml:space="preserve">N8080G  </v>
      </c>
      <c r="BC1376">
        <v>1</v>
      </c>
      <c r="BE1376">
        <v>0</v>
      </c>
      <c r="BF1376">
        <v>0</v>
      </c>
      <c r="BG1376">
        <v>0</v>
      </c>
      <c r="BH1376">
        <v>1700</v>
      </c>
      <c r="BI1376">
        <v>1</v>
      </c>
      <c r="BJ1376">
        <v>1</v>
      </c>
      <c r="BK1376">
        <v>1</v>
      </c>
      <c r="BL1376">
        <v>0</v>
      </c>
      <c r="BO1376">
        <v>0</v>
      </c>
      <c r="BP1376">
        <v>0</v>
      </c>
      <c r="BW1376" t="str">
        <f>"20:20:13.244"</f>
        <v>20:20:13.244</v>
      </c>
      <c r="BZ1376">
        <v>0</v>
      </c>
      <c r="CA1376">
        <v>2016</v>
      </c>
      <c r="CB1376">
        <v>224</v>
      </c>
      <c r="CD1376">
        <v>1</v>
      </c>
      <c r="CE1376">
        <v>0</v>
      </c>
      <c r="CF1376">
        <v>0</v>
      </c>
      <c r="CG1376">
        <v>1</v>
      </c>
      <c r="CH1376">
        <v>0</v>
      </c>
      <c r="CI1376">
        <v>0</v>
      </c>
      <c r="CJ1376">
        <v>0</v>
      </c>
      <c r="CK1376">
        <v>2</v>
      </c>
      <c r="CL1376">
        <v>0</v>
      </c>
      <c r="CM1376">
        <v>2</v>
      </c>
      <c r="CN1376">
        <v>0</v>
      </c>
      <c r="CO1376">
        <v>7</v>
      </c>
      <c r="CP1376" t="s">
        <v>119</v>
      </c>
      <c r="CQ1376">
        <v>180</v>
      </c>
      <c r="CR1376">
        <v>2</v>
      </c>
      <c r="CW1376">
        <v>8175368</v>
      </c>
      <c r="CY1376">
        <v>1</v>
      </c>
      <c r="CZ1376">
        <v>0</v>
      </c>
      <c r="DA1376">
        <v>1</v>
      </c>
      <c r="DB1376">
        <v>0</v>
      </c>
      <c r="DC1376">
        <v>0</v>
      </c>
      <c r="DD1376">
        <v>0</v>
      </c>
      <c r="DE1376">
        <v>0</v>
      </c>
      <c r="DF1376">
        <v>0</v>
      </c>
      <c r="DG1376">
        <v>0</v>
      </c>
      <c r="DH1376">
        <v>0</v>
      </c>
      <c r="DI1376">
        <v>0</v>
      </c>
    </row>
    <row r="1377" spans="1:113" x14ac:dyDescent="0.3">
      <c r="A1377" t="str">
        <f>"02/08/2021 20:20:10.894"</f>
        <v>02/08/2021 20:20:10.894</v>
      </c>
      <c r="C1377" t="str">
        <f t="shared" si="65"/>
        <v>FFDFD7C0</v>
      </c>
      <c r="D1377" t="s">
        <v>124</v>
      </c>
      <c r="E1377">
        <v>11</v>
      </c>
      <c r="F1377">
        <v>1011</v>
      </c>
      <c r="G1377" t="s">
        <v>590</v>
      </c>
      <c r="J1377" t="s">
        <v>125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S1377" t="str">
        <f>"20:20:13.242"</f>
        <v>20:20:13.242</v>
      </c>
      <c r="T1377" t="str">
        <f>"20:20:12.842"</f>
        <v>20:20:12.842</v>
      </c>
      <c r="U1377" t="str">
        <f t="shared" si="64"/>
        <v>AB01F4</v>
      </c>
      <c r="V1377">
        <v>0</v>
      </c>
      <c r="W1377">
        <v>0</v>
      </c>
      <c r="X1377">
        <v>2</v>
      </c>
      <c r="Z1377">
        <v>0</v>
      </c>
      <c r="AA1377">
        <v>9</v>
      </c>
      <c r="AB1377">
        <v>3</v>
      </c>
      <c r="AC1377">
        <v>0</v>
      </c>
      <c r="AD1377">
        <v>10</v>
      </c>
      <c r="AE1377">
        <v>0</v>
      </c>
      <c r="AF1377">
        <v>3</v>
      </c>
      <c r="AG1377">
        <v>2</v>
      </c>
      <c r="AH1377">
        <v>0</v>
      </c>
      <c r="AI1377" t="s">
        <v>950</v>
      </c>
      <c r="AJ1377">
        <v>39.795656000000001</v>
      </c>
      <c r="AK1377" t="s">
        <v>951</v>
      </c>
      <c r="AL1377">
        <v>-92.518186999999998</v>
      </c>
      <c r="AM1377">
        <v>100</v>
      </c>
      <c r="AN1377">
        <v>1700</v>
      </c>
      <c r="AO1377" t="s">
        <v>118</v>
      </c>
      <c r="AP1377">
        <v>-21</v>
      </c>
      <c r="AQ1377">
        <v>119</v>
      </c>
      <c r="AR1377">
        <v>64</v>
      </c>
      <c r="AZ1377">
        <v>1200</v>
      </c>
      <c r="BA1377">
        <v>1</v>
      </c>
      <c r="BB1377" t="str">
        <f t="shared" si="66"/>
        <v xml:space="preserve">N8080G  </v>
      </c>
      <c r="BC1377">
        <v>1</v>
      </c>
      <c r="BE1377">
        <v>0</v>
      </c>
      <c r="BF1377">
        <v>0</v>
      </c>
      <c r="BG1377">
        <v>0</v>
      </c>
      <c r="BH1377">
        <v>1700</v>
      </c>
      <c r="BI1377">
        <v>1</v>
      </c>
      <c r="BJ1377">
        <v>1</v>
      </c>
      <c r="BK1377">
        <v>1</v>
      </c>
      <c r="BL1377">
        <v>0</v>
      </c>
      <c r="BO1377">
        <v>0</v>
      </c>
      <c r="BP1377">
        <v>0</v>
      </c>
      <c r="BW1377" t="str">
        <f>"20:20:13.244"</f>
        <v>20:20:13.244</v>
      </c>
      <c r="BZ1377">
        <v>0</v>
      </c>
      <c r="CA1377">
        <v>2016</v>
      </c>
      <c r="CB1377">
        <v>224</v>
      </c>
      <c r="CD1377">
        <v>1</v>
      </c>
      <c r="CE1377">
        <v>0</v>
      </c>
      <c r="CF1377">
        <v>0</v>
      </c>
      <c r="CG1377">
        <v>1</v>
      </c>
      <c r="CH1377">
        <v>0</v>
      </c>
      <c r="CI1377">
        <v>0</v>
      </c>
      <c r="CJ1377">
        <v>0</v>
      </c>
      <c r="CK1377">
        <v>2</v>
      </c>
      <c r="CL1377">
        <v>0</v>
      </c>
      <c r="CM1377">
        <v>2</v>
      </c>
      <c r="CN1377">
        <v>0</v>
      </c>
      <c r="CO1377">
        <v>7</v>
      </c>
      <c r="CP1377" t="s">
        <v>119</v>
      </c>
      <c r="CQ1377">
        <v>180</v>
      </c>
      <c r="CR1377">
        <v>2</v>
      </c>
      <c r="CW1377">
        <v>8175368</v>
      </c>
      <c r="CY1377">
        <v>1</v>
      </c>
      <c r="CZ1377">
        <v>0</v>
      </c>
      <c r="DA1377">
        <v>1</v>
      </c>
      <c r="DB1377">
        <v>0</v>
      </c>
      <c r="DC1377">
        <v>0</v>
      </c>
      <c r="DD1377">
        <v>0</v>
      </c>
      <c r="DE1377">
        <v>0</v>
      </c>
      <c r="DF1377">
        <v>0</v>
      </c>
      <c r="DG1377">
        <v>0</v>
      </c>
      <c r="DH1377">
        <v>0</v>
      </c>
      <c r="DI1377">
        <v>0</v>
      </c>
    </row>
    <row r="1378" spans="1:113" x14ac:dyDescent="0.3">
      <c r="A1378" t="str">
        <f>"02/08/2021 20:20:10.894"</f>
        <v>02/08/2021 20:20:10.894</v>
      </c>
      <c r="C1378" t="str">
        <f t="shared" si="65"/>
        <v>FFDFD7C0</v>
      </c>
      <c r="D1378" t="s">
        <v>124</v>
      </c>
      <c r="E1378">
        <v>12</v>
      </c>
      <c r="F1378">
        <v>1012</v>
      </c>
      <c r="G1378" t="s">
        <v>675</v>
      </c>
      <c r="J1378" t="s">
        <v>125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S1378" t="str">
        <f>"20:20:13.242"</f>
        <v>20:20:13.242</v>
      </c>
      <c r="T1378" t="str">
        <f>"20:20:12.842"</f>
        <v>20:20:12.842</v>
      </c>
      <c r="U1378" t="str">
        <f t="shared" si="64"/>
        <v>AB01F4</v>
      </c>
      <c r="V1378">
        <v>0</v>
      </c>
      <c r="W1378">
        <v>0</v>
      </c>
      <c r="X1378">
        <v>2</v>
      </c>
      <c r="Z1378">
        <v>0</v>
      </c>
      <c r="AA1378">
        <v>9</v>
      </c>
      <c r="AB1378">
        <v>3</v>
      </c>
      <c r="AC1378">
        <v>0</v>
      </c>
      <c r="AD1378">
        <v>10</v>
      </c>
      <c r="AE1378">
        <v>0</v>
      </c>
      <c r="AF1378">
        <v>3</v>
      </c>
      <c r="AG1378">
        <v>2</v>
      </c>
      <c r="AH1378">
        <v>0</v>
      </c>
      <c r="AI1378" t="s">
        <v>950</v>
      </c>
      <c r="AJ1378">
        <v>39.795656000000001</v>
      </c>
      <c r="AK1378" t="s">
        <v>951</v>
      </c>
      <c r="AL1378">
        <v>-92.518186999999998</v>
      </c>
      <c r="AM1378">
        <v>100</v>
      </c>
      <c r="AN1378">
        <v>1700</v>
      </c>
      <c r="AO1378" t="s">
        <v>118</v>
      </c>
      <c r="AP1378">
        <v>-21</v>
      </c>
      <c r="AQ1378">
        <v>119</v>
      </c>
      <c r="AR1378">
        <v>64</v>
      </c>
      <c r="AZ1378">
        <v>1200</v>
      </c>
      <c r="BA1378">
        <v>1</v>
      </c>
      <c r="BB1378" t="str">
        <f t="shared" si="66"/>
        <v xml:space="preserve">N8080G  </v>
      </c>
      <c r="BC1378">
        <v>1</v>
      </c>
      <c r="BE1378">
        <v>0</v>
      </c>
      <c r="BF1378">
        <v>0</v>
      </c>
      <c r="BG1378">
        <v>0</v>
      </c>
      <c r="BH1378">
        <v>1700</v>
      </c>
      <c r="BI1378">
        <v>1</v>
      </c>
      <c r="BJ1378">
        <v>1</v>
      </c>
      <c r="BK1378">
        <v>1</v>
      </c>
      <c r="BL1378">
        <v>0</v>
      </c>
      <c r="BO1378">
        <v>0</v>
      </c>
      <c r="BP1378">
        <v>0</v>
      </c>
      <c r="BW1378" t="str">
        <f>"20:20:13.244"</f>
        <v>20:20:13.244</v>
      </c>
      <c r="BZ1378">
        <v>0</v>
      </c>
      <c r="CA1378">
        <v>2016</v>
      </c>
      <c r="CB1378">
        <v>224</v>
      </c>
      <c r="CD1378">
        <v>1</v>
      </c>
      <c r="CE1378">
        <v>0</v>
      </c>
      <c r="CF1378">
        <v>0</v>
      </c>
      <c r="CG1378">
        <v>1</v>
      </c>
      <c r="CH1378">
        <v>0</v>
      </c>
      <c r="CI1378">
        <v>0</v>
      </c>
      <c r="CJ1378">
        <v>0</v>
      </c>
      <c r="CK1378">
        <v>2</v>
      </c>
      <c r="CL1378">
        <v>0</v>
      </c>
      <c r="CM1378">
        <v>2</v>
      </c>
      <c r="CN1378">
        <v>0</v>
      </c>
      <c r="CO1378">
        <v>7</v>
      </c>
      <c r="CP1378" t="s">
        <v>119</v>
      </c>
      <c r="CQ1378">
        <v>180</v>
      </c>
      <c r="CR1378">
        <v>2</v>
      </c>
      <c r="CW1378">
        <v>8175368</v>
      </c>
      <c r="CY1378">
        <v>1</v>
      </c>
      <c r="CZ1378">
        <v>0</v>
      </c>
      <c r="DA1378">
        <v>1</v>
      </c>
      <c r="DB1378">
        <v>0</v>
      </c>
      <c r="DC1378">
        <v>0</v>
      </c>
      <c r="DD1378">
        <v>0</v>
      </c>
      <c r="DE1378">
        <v>0</v>
      </c>
      <c r="DF1378">
        <v>0</v>
      </c>
      <c r="DG1378">
        <v>0</v>
      </c>
      <c r="DH1378">
        <v>0</v>
      </c>
      <c r="DI1378">
        <v>0</v>
      </c>
    </row>
    <row r="1379" spans="1:113" x14ac:dyDescent="0.3">
      <c r="A1379" t="str">
        <f>"02/08/2021 20:20:12.801"</f>
        <v>02/08/2021 20:20:12.801</v>
      </c>
      <c r="C1379" t="str">
        <f t="shared" si="65"/>
        <v>FFDFD7C0</v>
      </c>
      <c r="D1379" t="s">
        <v>124</v>
      </c>
      <c r="E1379">
        <v>13</v>
      </c>
      <c r="F1379">
        <v>1013</v>
      </c>
      <c r="G1379" t="s">
        <v>114</v>
      </c>
      <c r="J1379" t="s">
        <v>125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S1379" t="str">
        <f>"20:20:15.109"</f>
        <v>20:20:15.109</v>
      </c>
      <c r="T1379" t="str">
        <f>"20:20:14.609"</f>
        <v>20:20:14.609</v>
      </c>
      <c r="U1379" t="str">
        <f t="shared" si="64"/>
        <v>AB01F4</v>
      </c>
      <c r="V1379">
        <v>0</v>
      </c>
      <c r="W1379">
        <v>0</v>
      </c>
      <c r="X1379">
        <v>2</v>
      </c>
      <c r="Z1379">
        <v>0</v>
      </c>
      <c r="AA1379">
        <v>9</v>
      </c>
      <c r="AB1379">
        <v>3</v>
      </c>
      <c r="AC1379">
        <v>0</v>
      </c>
      <c r="AD1379">
        <v>10</v>
      </c>
      <c r="AE1379">
        <v>0</v>
      </c>
      <c r="AF1379">
        <v>3</v>
      </c>
      <c r="AG1379">
        <v>2</v>
      </c>
      <c r="AH1379">
        <v>0</v>
      </c>
      <c r="AI1379" t="s">
        <v>952</v>
      </c>
      <c r="AJ1379">
        <v>39.796686000000001</v>
      </c>
      <c r="AK1379" t="s">
        <v>953</v>
      </c>
      <c r="AL1379">
        <v>-92.518444000000002</v>
      </c>
      <c r="AM1379">
        <v>100</v>
      </c>
      <c r="AN1379">
        <v>1700</v>
      </c>
      <c r="AO1379" t="s">
        <v>118</v>
      </c>
      <c r="AP1379">
        <v>-23</v>
      </c>
      <c r="AQ1379">
        <v>119</v>
      </c>
      <c r="AR1379">
        <v>64</v>
      </c>
      <c r="AZ1379">
        <v>1200</v>
      </c>
      <c r="BA1379">
        <v>1</v>
      </c>
      <c r="BB1379" t="str">
        <f t="shared" si="66"/>
        <v xml:space="preserve">N8080G  </v>
      </c>
      <c r="BC1379">
        <v>1</v>
      </c>
      <c r="BE1379">
        <v>0</v>
      </c>
      <c r="BF1379">
        <v>0</v>
      </c>
      <c r="BG1379">
        <v>0</v>
      </c>
      <c r="BH1379">
        <v>1700</v>
      </c>
      <c r="BI1379">
        <v>1</v>
      </c>
      <c r="BJ1379">
        <v>1</v>
      </c>
      <c r="BK1379">
        <v>1</v>
      </c>
      <c r="BL1379">
        <v>0</v>
      </c>
      <c r="BO1379">
        <v>0</v>
      </c>
      <c r="BP1379">
        <v>0</v>
      </c>
      <c r="BW1379" t="str">
        <f>"20:20:15.117"</f>
        <v>20:20:15.117</v>
      </c>
      <c r="BZ1379">
        <v>0</v>
      </c>
      <c r="CA1379">
        <v>2016</v>
      </c>
      <c r="CB1379">
        <v>224</v>
      </c>
      <c r="CD1379">
        <v>1</v>
      </c>
      <c r="CE1379">
        <v>0</v>
      </c>
      <c r="CF1379">
        <v>0</v>
      </c>
      <c r="CG1379">
        <v>1</v>
      </c>
      <c r="CH1379">
        <v>0</v>
      </c>
      <c r="CI1379">
        <v>0</v>
      </c>
      <c r="CJ1379">
        <v>0</v>
      </c>
      <c r="CK1379">
        <v>2</v>
      </c>
      <c r="CL1379">
        <v>0</v>
      </c>
      <c r="CM1379">
        <v>2</v>
      </c>
      <c r="CN1379">
        <v>0</v>
      </c>
      <c r="CO1379">
        <v>7</v>
      </c>
      <c r="CP1379" t="s">
        <v>119</v>
      </c>
      <c r="CQ1379">
        <v>180</v>
      </c>
      <c r="CR1379">
        <v>2</v>
      </c>
      <c r="CW1379">
        <v>8176978</v>
      </c>
      <c r="CY1379">
        <v>1</v>
      </c>
      <c r="CZ1379">
        <v>0</v>
      </c>
      <c r="DA1379">
        <v>0</v>
      </c>
      <c r="DB1379">
        <v>0</v>
      </c>
      <c r="DC1379">
        <v>0</v>
      </c>
      <c r="DD1379">
        <v>0</v>
      </c>
      <c r="DE1379">
        <v>0</v>
      </c>
      <c r="DF1379">
        <v>0</v>
      </c>
      <c r="DG1379">
        <v>0</v>
      </c>
      <c r="DH1379">
        <v>0</v>
      </c>
      <c r="DI1379">
        <v>0</v>
      </c>
    </row>
    <row r="1380" spans="1:113" x14ac:dyDescent="0.3">
      <c r="A1380" t="str">
        <f>"02/08/2021 20:20:12.801"</f>
        <v>02/08/2021 20:20:12.801</v>
      </c>
      <c r="C1380" t="str">
        <f t="shared" si="65"/>
        <v>FFDFD7C0</v>
      </c>
      <c r="D1380" t="s">
        <v>113</v>
      </c>
      <c r="E1380">
        <v>6</v>
      </c>
      <c r="H1380">
        <v>165</v>
      </c>
      <c r="I1380" t="s">
        <v>114</v>
      </c>
      <c r="J1380" t="s">
        <v>115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S1380" t="str">
        <f>"20:20:15.109"</f>
        <v>20:20:15.109</v>
      </c>
      <c r="T1380" t="str">
        <f>"20:20:14.609"</f>
        <v>20:20:14.609</v>
      </c>
      <c r="U1380" t="str">
        <f t="shared" si="64"/>
        <v>AB01F4</v>
      </c>
      <c r="V1380">
        <v>0</v>
      </c>
      <c r="W1380">
        <v>0</v>
      </c>
      <c r="X1380">
        <v>2</v>
      </c>
      <c r="Z1380">
        <v>0</v>
      </c>
      <c r="AA1380">
        <v>9</v>
      </c>
      <c r="AB1380">
        <v>3</v>
      </c>
      <c r="AC1380">
        <v>0</v>
      </c>
      <c r="AD1380">
        <v>10</v>
      </c>
      <c r="AE1380">
        <v>0</v>
      </c>
      <c r="AF1380">
        <v>3</v>
      </c>
      <c r="AG1380">
        <v>2</v>
      </c>
      <c r="AH1380">
        <v>0</v>
      </c>
      <c r="AI1380" t="s">
        <v>952</v>
      </c>
      <c r="AJ1380">
        <v>39.796686000000001</v>
      </c>
      <c r="AK1380" t="s">
        <v>953</v>
      </c>
      <c r="AL1380">
        <v>-92.518444000000002</v>
      </c>
      <c r="AM1380">
        <v>100</v>
      </c>
      <c r="AN1380">
        <v>1700</v>
      </c>
      <c r="AO1380" t="s">
        <v>118</v>
      </c>
      <c r="AP1380">
        <v>-23</v>
      </c>
      <c r="AQ1380">
        <v>119</v>
      </c>
      <c r="AR1380">
        <v>64</v>
      </c>
      <c r="AZ1380">
        <v>1200</v>
      </c>
      <c r="BA1380">
        <v>1</v>
      </c>
      <c r="BB1380" t="str">
        <f t="shared" si="66"/>
        <v xml:space="preserve">N8080G  </v>
      </c>
      <c r="BC1380">
        <v>1</v>
      </c>
      <c r="BE1380">
        <v>0</v>
      </c>
      <c r="BF1380">
        <v>0</v>
      </c>
      <c r="BG1380">
        <v>0</v>
      </c>
      <c r="BH1380">
        <v>1700</v>
      </c>
      <c r="BI1380">
        <v>1</v>
      </c>
      <c r="BJ1380">
        <v>1</v>
      </c>
      <c r="BK1380">
        <v>1</v>
      </c>
      <c r="BL1380">
        <v>0</v>
      </c>
      <c r="BO1380">
        <v>0</v>
      </c>
      <c r="BP1380">
        <v>0</v>
      </c>
      <c r="BW1380" t="str">
        <f>"20:20:15.117"</f>
        <v>20:20:15.117</v>
      </c>
      <c r="BZ1380">
        <v>0</v>
      </c>
      <c r="CA1380">
        <v>2016</v>
      </c>
      <c r="CB1380">
        <v>224</v>
      </c>
      <c r="CD1380">
        <v>1</v>
      </c>
      <c r="CE1380">
        <v>0</v>
      </c>
      <c r="CF1380">
        <v>0</v>
      </c>
      <c r="CG1380">
        <v>1</v>
      </c>
      <c r="CH1380">
        <v>0</v>
      </c>
      <c r="CI1380">
        <v>0</v>
      </c>
      <c r="CJ1380">
        <v>0</v>
      </c>
      <c r="CK1380">
        <v>2</v>
      </c>
      <c r="CL1380">
        <v>0</v>
      </c>
      <c r="CM1380">
        <v>2</v>
      </c>
      <c r="CN1380">
        <v>0</v>
      </c>
      <c r="CO1380">
        <v>7</v>
      </c>
      <c r="CP1380" t="s">
        <v>119</v>
      </c>
      <c r="CQ1380">
        <v>180</v>
      </c>
      <c r="CR1380">
        <v>2</v>
      </c>
      <c r="CW1380">
        <v>8176978</v>
      </c>
      <c r="CY1380">
        <v>1</v>
      </c>
      <c r="CZ1380">
        <v>0</v>
      </c>
      <c r="DA1380">
        <v>1</v>
      </c>
      <c r="DB1380">
        <v>0</v>
      </c>
      <c r="DC1380">
        <v>0</v>
      </c>
      <c r="DD1380">
        <v>0</v>
      </c>
      <c r="DE1380">
        <v>0</v>
      </c>
      <c r="DF1380">
        <v>0</v>
      </c>
      <c r="DG1380">
        <v>0</v>
      </c>
      <c r="DH1380">
        <v>0</v>
      </c>
      <c r="DI1380">
        <v>0</v>
      </c>
    </row>
    <row r="1381" spans="1:113" x14ac:dyDescent="0.3">
      <c r="A1381" t="str">
        <f>"02/08/2021 20:20:12.801"</f>
        <v>02/08/2021 20:20:12.801</v>
      </c>
      <c r="C1381" t="str">
        <f t="shared" si="65"/>
        <v>FFDFD7C0</v>
      </c>
      <c r="D1381" t="s">
        <v>124</v>
      </c>
      <c r="E1381">
        <v>11</v>
      </c>
      <c r="F1381">
        <v>1011</v>
      </c>
      <c r="G1381" t="s">
        <v>590</v>
      </c>
      <c r="J1381" t="s">
        <v>125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S1381" t="str">
        <f>"20:20:15.109"</f>
        <v>20:20:15.109</v>
      </c>
      <c r="T1381" t="str">
        <f>"20:20:14.609"</f>
        <v>20:20:14.609</v>
      </c>
      <c r="U1381" t="str">
        <f t="shared" si="64"/>
        <v>AB01F4</v>
      </c>
      <c r="V1381">
        <v>0</v>
      </c>
      <c r="W1381">
        <v>0</v>
      </c>
      <c r="X1381">
        <v>2</v>
      </c>
      <c r="Z1381">
        <v>0</v>
      </c>
      <c r="AA1381">
        <v>9</v>
      </c>
      <c r="AB1381">
        <v>3</v>
      </c>
      <c r="AC1381">
        <v>0</v>
      </c>
      <c r="AD1381">
        <v>10</v>
      </c>
      <c r="AE1381">
        <v>0</v>
      </c>
      <c r="AF1381">
        <v>3</v>
      </c>
      <c r="AG1381">
        <v>2</v>
      </c>
      <c r="AH1381">
        <v>0</v>
      </c>
      <c r="AI1381" t="s">
        <v>952</v>
      </c>
      <c r="AJ1381">
        <v>39.796686000000001</v>
      </c>
      <c r="AK1381" t="s">
        <v>953</v>
      </c>
      <c r="AL1381">
        <v>-92.518444000000002</v>
      </c>
      <c r="AM1381">
        <v>100</v>
      </c>
      <c r="AN1381">
        <v>1700</v>
      </c>
      <c r="AO1381" t="s">
        <v>118</v>
      </c>
      <c r="AP1381">
        <v>-23</v>
      </c>
      <c r="AQ1381">
        <v>119</v>
      </c>
      <c r="AR1381">
        <v>64</v>
      </c>
      <c r="AZ1381">
        <v>1200</v>
      </c>
      <c r="BA1381">
        <v>1</v>
      </c>
      <c r="BB1381" t="str">
        <f t="shared" si="66"/>
        <v xml:space="preserve">N8080G  </v>
      </c>
      <c r="BC1381">
        <v>1</v>
      </c>
      <c r="BE1381">
        <v>0</v>
      </c>
      <c r="BF1381">
        <v>0</v>
      </c>
      <c r="BG1381">
        <v>0</v>
      </c>
      <c r="BH1381">
        <v>1700</v>
      </c>
      <c r="BI1381">
        <v>1</v>
      </c>
      <c r="BJ1381">
        <v>1</v>
      </c>
      <c r="BK1381">
        <v>1</v>
      </c>
      <c r="BL1381">
        <v>0</v>
      </c>
      <c r="BO1381">
        <v>0</v>
      </c>
      <c r="BP1381">
        <v>0</v>
      </c>
      <c r="BW1381" t="str">
        <f>"20:20:15.117"</f>
        <v>20:20:15.117</v>
      </c>
      <c r="BZ1381">
        <v>0</v>
      </c>
      <c r="CA1381">
        <v>2016</v>
      </c>
      <c r="CB1381">
        <v>224</v>
      </c>
      <c r="CD1381">
        <v>1</v>
      </c>
      <c r="CE1381">
        <v>0</v>
      </c>
      <c r="CF1381">
        <v>0</v>
      </c>
      <c r="CG1381">
        <v>1</v>
      </c>
      <c r="CH1381">
        <v>0</v>
      </c>
      <c r="CI1381">
        <v>0</v>
      </c>
      <c r="CJ1381">
        <v>0</v>
      </c>
      <c r="CK1381">
        <v>2</v>
      </c>
      <c r="CL1381">
        <v>0</v>
      </c>
      <c r="CM1381">
        <v>2</v>
      </c>
      <c r="CN1381">
        <v>0</v>
      </c>
      <c r="CO1381">
        <v>7</v>
      </c>
      <c r="CP1381" t="s">
        <v>119</v>
      </c>
      <c r="CQ1381">
        <v>180</v>
      </c>
      <c r="CR1381">
        <v>2</v>
      </c>
      <c r="CW1381">
        <v>8176978</v>
      </c>
      <c r="CY1381">
        <v>1</v>
      </c>
      <c r="CZ1381">
        <v>0</v>
      </c>
      <c r="DA1381">
        <v>1</v>
      </c>
      <c r="DB1381">
        <v>0</v>
      </c>
      <c r="DC1381">
        <v>0</v>
      </c>
      <c r="DD1381">
        <v>0</v>
      </c>
      <c r="DE1381">
        <v>0</v>
      </c>
      <c r="DF1381">
        <v>0</v>
      </c>
      <c r="DG1381">
        <v>0</v>
      </c>
      <c r="DH1381">
        <v>0</v>
      </c>
      <c r="DI1381">
        <v>0</v>
      </c>
    </row>
    <row r="1382" spans="1:113" x14ac:dyDescent="0.3">
      <c r="A1382" t="str">
        <f>"02/08/2021 20:20:12.801"</f>
        <v>02/08/2021 20:20:12.801</v>
      </c>
      <c r="C1382" t="str">
        <f t="shared" si="65"/>
        <v>FFDFD7C0</v>
      </c>
      <c r="D1382" t="s">
        <v>124</v>
      </c>
      <c r="E1382">
        <v>12</v>
      </c>
      <c r="F1382">
        <v>1012</v>
      </c>
      <c r="G1382" t="s">
        <v>675</v>
      </c>
      <c r="J1382" t="s">
        <v>125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S1382" t="str">
        <f>"20:20:15.109"</f>
        <v>20:20:15.109</v>
      </c>
      <c r="T1382" t="str">
        <f>"20:20:14.609"</f>
        <v>20:20:14.609</v>
      </c>
      <c r="U1382" t="str">
        <f t="shared" si="64"/>
        <v>AB01F4</v>
      </c>
      <c r="V1382">
        <v>0</v>
      </c>
      <c r="W1382">
        <v>0</v>
      </c>
      <c r="X1382">
        <v>2</v>
      </c>
      <c r="Z1382">
        <v>0</v>
      </c>
      <c r="AA1382">
        <v>9</v>
      </c>
      <c r="AB1382">
        <v>3</v>
      </c>
      <c r="AC1382">
        <v>0</v>
      </c>
      <c r="AD1382">
        <v>10</v>
      </c>
      <c r="AE1382">
        <v>0</v>
      </c>
      <c r="AF1382">
        <v>3</v>
      </c>
      <c r="AG1382">
        <v>2</v>
      </c>
      <c r="AH1382">
        <v>0</v>
      </c>
      <c r="AI1382" t="s">
        <v>952</v>
      </c>
      <c r="AJ1382">
        <v>39.796686000000001</v>
      </c>
      <c r="AK1382" t="s">
        <v>953</v>
      </c>
      <c r="AL1382">
        <v>-92.518444000000002</v>
      </c>
      <c r="AM1382">
        <v>100</v>
      </c>
      <c r="AN1382">
        <v>1700</v>
      </c>
      <c r="AO1382" t="s">
        <v>118</v>
      </c>
      <c r="AP1382">
        <v>-23</v>
      </c>
      <c r="AQ1382">
        <v>119</v>
      </c>
      <c r="AR1382">
        <v>64</v>
      </c>
      <c r="AZ1382">
        <v>1200</v>
      </c>
      <c r="BA1382">
        <v>1</v>
      </c>
      <c r="BB1382" t="str">
        <f t="shared" si="66"/>
        <v xml:space="preserve">N8080G  </v>
      </c>
      <c r="BC1382">
        <v>1</v>
      </c>
      <c r="BE1382">
        <v>0</v>
      </c>
      <c r="BF1382">
        <v>0</v>
      </c>
      <c r="BG1382">
        <v>0</v>
      </c>
      <c r="BH1382">
        <v>1700</v>
      </c>
      <c r="BI1382">
        <v>1</v>
      </c>
      <c r="BJ1382">
        <v>1</v>
      </c>
      <c r="BK1382">
        <v>1</v>
      </c>
      <c r="BL1382">
        <v>0</v>
      </c>
      <c r="BO1382">
        <v>0</v>
      </c>
      <c r="BP1382">
        <v>0</v>
      </c>
      <c r="BW1382" t="str">
        <f>"20:20:15.117"</f>
        <v>20:20:15.117</v>
      </c>
      <c r="BZ1382">
        <v>0</v>
      </c>
      <c r="CA1382">
        <v>2016</v>
      </c>
      <c r="CB1382">
        <v>224</v>
      </c>
      <c r="CD1382">
        <v>1</v>
      </c>
      <c r="CE1382">
        <v>0</v>
      </c>
      <c r="CF1382">
        <v>0</v>
      </c>
      <c r="CG1382">
        <v>1</v>
      </c>
      <c r="CH1382">
        <v>0</v>
      </c>
      <c r="CI1382">
        <v>0</v>
      </c>
      <c r="CJ1382">
        <v>0</v>
      </c>
      <c r="CK1382">
        <v>2</v>
      </c>
      <c r="CL1382">
        <v>0</v>
      </c>
      <c r="CM1382">
        <v>2</v>
      </c>
      <c r="CN1382">
        <v>0</v>
      </c>
      <c r="CO1382">
        <v>7</v>
      </c>
      <c r="CP1382" t="s">
        <v>119</v>
      </c>
      <c r="CQ1382">
        <v>180</v>
      </c>
      <c r="CR1382">
        <v>2</v>
      </c>
      <c r="CW1382">
        <v>8176978</v>
      </c>
      <c r="CY1382">
        <v>1</v>
      </c>
      <c r="CZ1382">
        <v>0</v>
      </c>
      <c r="DA1382">
        <v>1</v>
      </c>
      <c r="DB1382">
        <v>0</v>
      </c>
      <c r="DC1382">
        <v>0</v>
      </c>
      <c r="DD1382">
        <v>0</v>
      </c>
      <c r="DE1382">
        <v>0</v>
      </c>
      <c r="DF1382">
        <v>0</v>
      </c>
      <c r="DG1382">
        <v>0</v>
      </c>
      <c r="DH1382">
        <v>0</v>
      </c>
      <c r="DI1382">
        <v>0</v>
      </c>
    </row>
    <row r="1383" spans="1:113" x14ac:dyDescent="0.3">
      <c r="A1383" t="str">
        <f>"02/08/2021 20:20:14.446"</f>
        <v>02/08/2021 20:20:14.446</v>
      </c>
      <c r="C1383" t="str">
        <f t="shared" si="65"/>
        <v>FFDFD7C0</v>
      </c>
      <c r="D1383" t="s">
        <v>113</v>
      </c>
      <c r="E1383">
        <v>6</v>
      </c>
      <c r="H1383">
        <v>165</v>
      </c>
      <c r="I1383" t="s">
        <v>114</v>
      </c>
      <c r="J1383" t="s">
        <v>115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S1383" t="str">
        <f>"20:20:16.742"</f>
        <v>20:20:16.742</v>
      </c>
      <c r="T1383" t="str">
        <f>"20:20:16.242"</f>
        <v>20:20:16.242</v>
      </c>
      <c r="U1383" t="str">
        <f t="shared" si="64"/>
        <v>AB01F4</v>
      </c>
      <c r="V1383">
        <v>0</v>
      </c>
      <c r="W1383">
        <v>0</v>
      </c>
      <c r="X1383">
        <v>2</v>
      </c>
      <c r="Z1383">
        <v>0</v>
      </c>
      <c r="AA1383">
        <v>9</v>
      </c>
      <c r="AB1383">
        <v>3</v>
      </c>
      <c r="AC1383">
        <v>0</v>
      </c>
      <c r="AD1383">
        <v>10</v>
      </c>
      <c r="AE1383">
        <v>0</v>
      </c>
      <c r="AF1383">
        <v>3</v>
      </c>
      <c r="AG1383">
        <v>2</v>
      </c>
      <c r="AH1383">
        <v>0</v>
      </c>
      <c r="AI1383" t="s">
        <v>954</v>
      </c>
      <c r="AJ1383">
        <v>39.797566000000003</v>
      </c>
      <c r="AK1383" t="s">
        <v>955</v>
      </c>
      <c r="AL1383">
        <v>-92.518615999999994</v>
      </c>
      <c r="AM1383">
        <v>100</v>
      </c>
      <c r="AN1383">
        <v>1700</v>
      </c>
      <c r="AO1383" t="s">
        <v>118</v>
      </c>
      <c r="AP1383">
        <v>-23</v>
      </c>
      <c r="AQ1383">
        <v>119</v>
      </c>
      <c r="AR1383">
        <v>192</v>
      </c>
      <c r="AZ1383">
        <v>1200</v>
      </c>
      <c r="BA1383">
        <v>1</v>
      </c>
      <c r="BB1383" t="str">
        <f t="shared" si="66"/>
        <v xml:space="preserve">N8080G  </v>
      </c>
      <c r="BC1383">
        <v>1</v>
      </c>
      <c r="BE1383">
        <v>0</v>
      </c>
      <c r="BF1383">
        <v>0</v>
      </c>
      <c r="BG1383">
        <v>0</v>
      </c>
      <c r="BH1383">
        <v>1700</v>
      </c>
      <c r="BI1383">
        <v>1</v>
      </c>
      <c r="BJ1383">
        <v>1</v>
      </c>
      <c r="BK1383">
        <v>1</v>
      </c>
      <c r="BL1383">
        <v>0</v>
      </c>
      <c r="BO1383">
        <v>0</v>
      </c>
      <c r="BP1383">
        <v>0</v>
      </c>
      <c r="BW1383" t="str">
        <f>"20:20:16.745"</f>
        <v>20:20:16.745</v>
      </c>
      <c r="BZ1383">
        <v>0</v>
      </c>
      <c r="CA1383">
        <v>2016</v>
      </c>
      <c r="CB1383">
        <v>224</v>
      </c>
      <c r="CD1383">
        <v>1</v>
      </c>
      <c r="CE1383">
        <v>0</v>
      </c>
      <c r="CF1383">
        <v>0</v>
      </c>
      <c r="CG1383">
        <v>1</v>
      </c>
      <c r="CH1383">
        <v>0</v>
      </c>
      <c r="CI1383">
        <v>0</v>
      </c>
      <c r="CJ1383">
        <v>0</v>
      </c>
      <c r="CK1383">
        <v>2</v>
      </c>
      <c r="CL1383">
        <v>0</v>
      </c>
      <c r="CM1383">
        <v>2</v>
      </c>
      <c r="CN1383">
        <v>0</v>
      </c>
      <c r="CO1383">
        <v>7</v>
      </c>
      <c r="CP1383" t="s">
        <v>119</v>
      </c>
      <c r="CQ1383">
        <v>180</v>
      </c>
      <c r="CR1383">
        <v>1</v>
      </c>
      <c r="CW1383">
        <v>10742967</v>
      </c>
      <c r="CY1383">
        <v>1</v>
      </c>
      <c r="CZ1383">
        <v>0</v>
      </c>
      <c r="DA1383">
        <v>0</v>
      </c>
      <c r="DB1383">
        <v>0</v>
      </c>
      <c r="DC1383">
        <v>0</v>
      </c>
      <c r="DD1383">
        <v>0</v>
      </c>
      <c r="DE1383">
        <v>0</v>
      </c>
      <c r="DF1383">
        <v>0</v>
      </c>
      <c r="DG1383">
        <v>0</v>
      </c>
      <c r="DH1383">
        <v>0</v>
      </c>
      <c r="DI1383">
        <v>0</v>
      </c>
    </row>
    <row r="1384" spans="1:113" x14ac:dyDescent="0.3">
      <c r="A1384" t="str">
        <f>"02/08/2021 20:20:14.446"</f>
        <v>02/08/2021 20:20:14.446</v>
      </c>
      <c r="C1384" t="str">
        <f t="shared" si="65"/>
        <v>FFDFD7C0</v>
      </c>
      <c r="D1384" t="s">
        <v>124</v>
      </c>
      <c r="E1384">
        <v>11</v>
      </c>
      <c r="F1384">
        <v>1011</v>
      </c>
      <c r="G1384" t="s">
        <v>590</v>
      </c>
      <c r="J1384" t="s">
        <v>125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S1384" t="str">
        <f>"20:20:16.742"</f>
        <v>20:20:16.742</v>
      </c>
      <c r="T1384" t="str">
        <f>"20:20:16.242"</f>
        <v>20:20:16.242</v>
      </c>
      <c r="U1384" t="str">
        <f t="shared" si="64"/>
        <v>AB01F4</v>
      </c>
      <c r="V1384">
        <v>0</v>
      </c>
      <c r="W1384">
        <v>0</v>
      </c>
      <c r="X1384">
        <v>2</v>
      </c>
      <c r="Z1384">
        <v>0</v>
      </c>
      <c r="AA1384">
        <v>9</v>
      </c>
      <c r="AB1384">
        <v>3</v>
      </c>
      <c r="AC1384">
        <v>0</v>
      </c>
      <c r="AD1384">
        <v>10</v>
      </c>
      <c r="AE1384">
        <v>0</v>
      </c>
      <c r="AF1384">
        <v>3</v>
      </c>
      <c r="AG1384">
        <v>2</v>
      </c>
      <c r="AH1384">
        <v>0</v>
      </c>
      <c r="AI1384" t="s">
        <v>954</v>
      </c>
      <c r="AJ1384">
        <v>39.797566000000003</v>
      </c>
      <c r="AK1384" t="s">
        <v>955</v>
      </c>
      <c r="AL1384">
        <v>-92.518615999999994</v>
      </c>
      <c r="AM1384">
        <v>100</v>
      </c>
      <c r="AN1384">
        <v>1700</v>
      </c>
      <c r="AO1384" t="s">
        <v>118</v>
      </c>
      <c r="AP1384">
        <v>-23</v>
      </c>
      <c r="AQ1384">
        <v>119</v>
      </c>
      <c r="AR1384">
        <v>192</v>
      </c>
      <c r="AZ1384">
        <v>1200</v>
      </c>
      <c r="BA1384">
        <v>1</v>
      </c>
      <c r="BB1384" t="str">
        <f t="shared" si="66"/>
        <v xml:space="preserve">N8080G  </v>
      </c>
      <c r="BC1384">
        <v>1</v>
      </c>
      <c r="BE1384">
        <v>0</v>
      </c>
      <c r="BF1384">
        <v>0</v>
      </c>
      <c r="BG1384">
        <v>0</v>
      </c>
      <c r="BH1384">
        <v>1700</v>
      </c>
      <c r="BI1384">
        <v>1</v>
      </c>
      <c r="BJ1384">
        <v>1</v>
      </c>
      <c r="BK1384">
        <v>1</v>
      </c>
      <c r="BL1384">
        <v>0</v>
      </c>
      <c r="BO1384">
        <v>0</v>
      </c>
      <c r="BP1384">
        <v>0</v>
      </c>
      <c r="BW1384" t="str">
        <f>"20:20:16.745"</f>
        <v>20:20:16.745</v>
      </c>
      <c r="BZ1384">
        <v>0</v>
      </c>
      <c r="CA1384">
        <v>2016</v>
      </c>
      <c r="CB1384">
        <v>224</v>
      </c>
      <c r="CD1384">
        <v>1</v>
      </c>
      <c r="CE1384">
        <v>0</v>
      </c>
      <c r="CF1384">
        <v>0</v>
      </c>
      <c r="CG1384">
        <v>1</v>
      </c>
      <c r="CH1384">
        <v>0</v>
      </c>
      <c r="CI1384">
        <v>0</v>
      </c>
      <c r="CJ1384">
        <v>0</v>
      </c>
      <c r="CK1384">
        <v>2</v>
      </c>
      <c r="CL1384">
        <v>0</v>
      </c>
      <c r="CM1384">
        <v>2</v>
      </c>
      <c r="CN1384">
        <v>0</v>
      </c>
      <c r="CO1384">
        <v>7</v>
      </c>
      <c r="CP1384" t="s">
        <v>119</v>
      </c>
      <c r="CQ1384">
        <v>180</v>
      </c>
      <c r="CR1384">
        <v>1</v>
      </c>
      <c r="CW1384">
        <v>10742967</v>
      </c>
      <c r="CY1384">
        <v>1</v>
      </c>
      <c r="CZ1384">
        <v>0</v>
      </c>
      <c r="DA1384">
        <v>1</v>
      </c>
      <c r="DB1384">
        <v>0</v>
      </c>
      <c r="DC1384">
        <v>0</v>
      </c>
      <c r="DD1384">
        <v>0</v>
      </c>
      <c r="DE1384">
        <v>0</v>
      </c>
      <c r="DF1384">
        <v>0</v>
      </c>
      <c r="DG1384">
        <v>0</v>
      </c>
      <c r="DH1384">
        <v>0</v>
      </c>
      <c r="DI1384">
        <v>0</v>
      </c>
    </row>
    <row r="1385" spans="1:113" x14ac:dyDescent="0.3">
      <c r="A1385" t="str">
        <f>"02/08/2021 20:20:14.446"</f>
        <v>02/08/2021 20:20:14.446</v>
      </c>
      <c r="C1385" t="str">
        <f t="shared" si="65"/>
        <v>FFDFD7C0</v>
      </c>
      <c r="D1385" t="s">
        <v>124</v>
      </c>
      <c r="E1385">
        <v>12</v>
      </c>
      <c r="F1385">
        <v>1012</v>
      </c>
      <c r="G1385" t="s">
        <v>675</v>
      </c>
      <c r="J1385" t="s">
        <v>125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S1385" t="str">
        <f>"20:20:16.742"</f>
        <v>20:20:16.742</v>
      </c>
      <c r="T1385" t="str">
        <f>"20:20:16.242"</f>
        <v>20:20:16.242</v>
      </c>
      <c r="U1385" t="str">
        <f t="shared" si="64"/>
        <v>AB01F4</v>
      </c>
      <c r="V1385">
        <v>0</v>
      </c>
      <c r="W1385">
        <v>0</v>
      </c>
      <c r="X1385">
        <v>2</v>
      </c>
      <c r="Z1385">
        <v>0</v>
      </c>
      <c r="AA1385">
        <v>9</v>
      </c>
      <c r="AB1385">
        <v>3</v>
      </c>
      <c r="AC1385">
        <v>0</v>
      </c>
      <c r="AD1385">
        <v>10</v>
      </c>
      <c r="AE1385">
        <v>0</v>
      </c>
      <c r="AF1385">
        <v>3</v>
      </c>
      <c r="AG1385">
        <v>2</v>
      </c>
      <c r="AH1385">
        <v>0</v>
      </c>
      <c r="AI1385" t="s">
        <v>954</v>
      </c>
      <c r="AJ1385">
        <v>39.797566000000003</v>
      </c>
      <c r="AK1385" t="s">
        <v>955</v>
      </c>
      <c r="AL1385">
        <v>-92.518615999999994</v>
      </c>
      <c r="AM1385">
        <v>100</v>
      </c>
      <c r="AN1385">
        <v>1700</v>
      </c>
      <c r="AO1385" t="s">
        <v>118</v>
      </c>
      <c r="AP1385">
        <v>-23</v>
      </c>
      <c r="AQ1385">
        <v>119</v>
      </c>
      <c r="AR1385">
        <v>192</v>
      </c>
      <c r="AZ1385">
        <v>1200</v>
      </c>
      <c r="BA1385">
        <v>1</v>
      </c>
      <c r="BB1385" t="str">
        <f t="shared" si="66"/>
        <v xml:space="preserve">N8080G  </v>
      </c>
      <c r="BC1385">
        <v>1</v>
      </c>
      <c r="BE1385">
        <v>0</v>
      </c>
      <c r="BF1385">
        <v>0</v>
      </c>
      <c r="BG1385">
        <v>0</v>
      </c>
      <c r="BH1385">
        <v>1700</v>
      </c>
      <c r="BI1385">
        <v>1</v>
      </c>
      <c r="BJ1385">
        <v>1</v>
      </c>
      <c r="BK1385">
        <v>1</v>
      </c>
      <c r="BL1385">
        <v>0</v>
      </c>
      <c r="BO1385">
        <v>0</v>
      </c>
      <c r="BP1385">
        <v>0</v>
      </c>
      <c r="BW1385" t="str">
        <f>"20:20:16.745"</f>
        <v>20:20:16.745</v>
      </c>
      <c r="BZ1385">
        <v>0</v>
      </c>
      <c r="CA1385">
        <v>2016</v>
      </c>
      <c r="CB1385">
        <v>224</v>
      </c>
      <c r="CD1385">
        <v>1</v>
      </c>
      <c r="CE1385">
        <v>0</v>
      </c>
      <c r="CF1385">
        <v>0</v>
      </c>
      <c r="CG1385">
        <v>1</v>
      </c>
      <c r="CH1385">
        <v>0</v>
      </c>
      <c r="CI1385">
        <v>0</v>
      </c>
      <c r="CJ1385">
        <v>0</v>
      </c>
      <c r="CK1385">
        <v>2</v>
      </c>
      <c r="CL1385">
        <v>0</v>
      </c>
      <c r="CM1385">
        <v>2</v>
      </c>
      <c r="CN1385">
        <v>0</v>
      </c>
      <c r="CO1385">
        <v>7</v>
      </c>
      <c r="CP1385" t="s">
        <v>119</v>
      </c>
      <c r="CQ1385">
        <v>180</v>
      </c>
      <c r="CR1385">
        <v>1</v>
      </c>
      <c r="CW1385">
        <v>10742967</v>
      </c>
      <c r="CY1385">
        <v>1</v>
      </c>
      <c r="CZ1385">
        <v>0</v>
      </c>
      <c r="DA1385">
        <v>1</v>
      </c>
      <c r="DB1385">
        <v>0</v>
      </c>
      <c r="DC1385">
        <v>0</v>
      </c>
      <c r="DD1385">
        <v>0</v>
      </c>
      <c r="DE1385">
        <v>0</v>
      </c>
      <c r="DF1385">
        <v>0</v>
      </c>
      <c r="DG1385">
        <v>0</v>
      </c>
      <c r="DH1385">
        <v>0</v>
      </c>
      <c r="DI1385">
        <v>0</v>
      </c>
    </row>
    <row r="1386" spans="1:113" x14ac:dyDescent="0.3">
      <c r="A1386" t="str">
        <f>"02/08/2021 20:20:14.446"</f>
        <v>02/08/2021 20:20:14.446</v>
      </c>
      <c r="C1386" t="str">
        <f t="shared" si="65"/>
        <v>FFDFD7C0</v>
      </c>
      <c r="D1386" t="s">
        <v>124</v>
      </c>
      <c r="E1386">
        <v>13</v>
      </c>
      <c r="F1386">
        <v>1013</v>
      </c>
      <c r="G1386" t="s">
        <v>114</v>
      </c>
      <c r="J1386" t="s">
        <v>125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S1386" t="str">
        <f>"20:20:16.742"</f>
        <v>20:20:16.742</v>
      </c>
      <c r="T1386" t="str">
        <f>"20:20:16.242"</f>
        <v>20:20:16.242</v>
      </c>
      <c r="U1386" t="str">
        <f t="shared" si="64"/>
        <v>AB01F4</v>
      </c>
      <c r="V1386">
        <v>0</v>
      </c>
      <c r="W1386">
        <v>0</v>
      </c>
      <c r="X1386">
        <v>2</v>
      </c>
      <c r="Z1386">
        <v>0</v>
      </c>
      <c r="AA1386">
        <v>9</v>
      </c>
      <c r="AB1386">
        <v>3</v>
      </c>
      <c r="AC1386">
        <v>0</v>
      </c>
      <c r="AD1386">
        <v>10</v>
      </c>
      <c r="AE1386">
        <v>0</v>
      </c>
      <c r="AF1386">
        <v>3</v>
      </c>
      <c r="AG1386">
        <v>2</v>
      </c>
      <c r="AH1386">
        <v>0</v>
      </c>
      <c r="AI1386" t="s">
        <v>954</v>
      </c>
      <c r="AJ1386">
        <v>39.797566000000003</v>
      </c>
      <c r="AK1386" t="s">
        <v>955</v>
      </c>
      <c r="AL1386">
        <v>-92.518615999999994</v>
      </c>
      <c r="AM1386">
        <v>100</v>
      </c>
      <c r="AN1386">
        <v>1700</v>
      </c>
      <c r="AO1386" t="s">
        <v>118</v>
      </c>
      <c r="AP1386">
        <v>-23</v>
      </c>
      <c r="AQ1386">
        <v>119</v>
      </c>
      <c r="AR1386">
        <v>192</v>
      </c>
      <c r="AZ1386">
        <v>1200</v>
      </c>
      <c r="BA1386">
        <v>1</v>
      </c>
      <c r="BB1386" t="str">
        <f t="shared" si="66"/>
        <v xml:space="preserve">N8080G  </v>
      </c>
      <c r="BC1386">
        <v>1</v>
      </c>
      <c r="BE1386">
        <v>0</v>
      </c>
      <c r="BF1386">
        <v>0</v>
      </c>
      <c r="BG1386">
        <v>0</v>
      </c>
      <c r="BH1386">
        <v>1700</v>
      </c>
      <c r="BI1386">
        <v>1</v>
      </c>
      <c r="BJ1386">
        <v>1</v>
      </c>
      <c r="BK1386">
        <v>1</v>
      </c>
      <c r="BL1386">
        <v>0</v>
      </c>
      <c r="BO1386">
        <v>0</v>
      </c>
      <c r="BP1386">
        <v>0</v>
      </c>
      <c r="BW1386" t="str">
        <f>"20:20:16.745"</f>
        <v>20:20:16.745</v>
      </c>
      <c r="BZ1386">
        <v>0</v>
      </c>
      <c r="CA1386">
        <v>2016</v>
      </c>
      <c r="CB1386">
        <v>224</v>
      </c>
      <c r="CD1386">
        <v>1</v>
      </c>
      <c r="CE1386">
        <v>0</v>
      </c>
      <c r="CF1386">
        <v>0</v>
      </c>
      <c r="CG1386">
        <v>1</v>
      </c>
      <c r="CH1386">
        <v>0</v>
      </c>
      <c r="CI1386">
        <v>0</v>
      </c>
      <c r="CJ1386">
        <v>0</v>
      </c>
      <c r="CK1386">
        <v>2</v>
      </c>
      <c r="CL1386">
        <v>0</v>
      </c>
      <c r="CM1386">
        <v>2</v>
      </c>
      <c r="CN1386">
        <v>0</v>
      </c>
      <c r="CO1386">
        <v>7</v>
      </c>
      <c r="CP1386" t="s">
        <v>119</v>
      </c>
      <c r="CQ1386">
        <v>180</v>
      </c>
      <c r="CR1386">
        <v>1</v>
      </c>
      <c r="CW1386">
        <v>10742967</v>
      </c>
      <c r="CY1386">
        <v>1</v>
      </c>
      <c r="CZ1386">
        <v>0</v>
      </c>
      <c r="DA1386">
        <v>1</v>
      </c>
      <c r="DB1386">
        <v>0</v>
      </c>
      <c r="DC1386">
        <v>0</v>
      </c>
      <c r="DD1386">
        <v>0</v>
      </c>
      <c r="DE1386">
        <v>0</v>
      </c>
      <c r="DF1386">
        <v>0</v>
      </c>
      <c r="DG1386">
        <v>0</v>
      </c>
      <c r="DH1386">
        <v>0</v>
      </c>
      <c r="DI1386">
        <v>0</v>
      </c>
    </row>
    <row r="1387" spans="1:113" x14ac:dyDescent="0.3">
      <c r="A1387" t="str">
        <f>"02/08/2021 20:20:15.955"</f>
        <v>02/08/2021 20:20:15.955</v>
      </c>
      <c r="C1387" t="str">
        <f t="shared" si="65"/>
        <v>FFDFD7C0</v>
      </c>
      <c r="D1387" t="s">
        <v>124</v>
      </c>
      <c r="E1387">
        <v>12</v>
      </c>
      <c r="F1387">
        <v>1012</v>
      </c>
      <c r="G1387" t="s">
        <v>675</v>
      </c>
      <c r="J1387" t="s">
        <v>125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S1387" t="str">
        <f>"20:20:18.266"</f>
        <v>20:20:18.266</v>
      </c>
      <c r="T1387" t="str">
        <f>"20:20:17.866"</f>
        <v>20:20:17.866</v>
      </c>
      <c r="U1387" t="str">
        <f t="shared" si="64"/>
        <v>AB01F4</v>
      </c>
      <c r="V1387">
        <v>0</v>
      </c>
      <c r="W1387">
        <v>0</v>
      </c>
      <c r="X1387">
        <v>2</v>
      </c>
      <c r="Z1387">
        <v>0</v>
      </c>
      <c r="AA1387">
        <v>9</v>
      </c>
      <c r="AB1387">
        <v>3</v>
      </c>
      <c r="AC1387">
        <v>0</v>
      </c>
      <c r="AD1387">
        <v>10</v>
      </c>
      <c r="AE1387">
        <v>0</v>
      </c>
      <c r="AF1387">
        <v>3</v>
      </c>
      <c r="AG1387">
        <v>2</v>
      </c>
      <c r="AH1387">
        <v>0</v>
      </c>
      <c r="AI1387" t="s">
        <v>956</v>
      </c>
      <c r="AJ1387">
        <v>39.798403</v>
      </c>
      <c r="AK1387" t="s">
        <v>957</v>
      </c>
      <c r="AL1387">
        <v>-92.518851999999995</v>
      </c>
      <c r="AM1387">
        <v>100</v>
      </c>
      <c r="AN1387">
        <v>1700</v>
      </c>
      <c r="AO1387" t="s">
        <v>118</v>
      </c>
      <c r="AP1387">
        <v>-24</v>
      </c>
      <c r="AQ1387">
        <v>119</v>
      </c>
      <c r="AR1387">
        <v>128</v>
      </c>
      <c r="AZ1387">
        <v>1200</v>
      </c>
      <c r="BA1387">
        <v>1</v>
      </c>
      <c r="BB1387" t="str">
        <f t="shared" si="66"/>
        <v xml:space="preserve">N8080G  </v>
      </c>
      <c r="BC1387">
        <v>1</v>
      </c>
      <c r="BE1387">
        <v>0</v>
      </c>
      <c r="BF1387">
        <v>0</v>
      </c>
      <c r="BG1387">
        <v>0</v>
      </c>
      <c r="BH1387">
        <v>1700</v>
      </c>
      <c r="BI1387">
        <v>1</v>
      </c>
      <c r="BJ1387">
        <v>1</v>
      </c>
      <c r="BK1387">
        <v>1</v>
      </c>
      <c r="BL1387">
        <v>0</v>
      </c>
      <c r="BO1387">
        <v>0</v>
      </c>
      <c r="BP1387">
        <v>0</v>
      </c>
      <c r="BW1387" t="str">
        <f>"20:20:18.266"</f>
        <v>20:20:18.266</v>
      </c>
      <c r="BZ1387">
        <v>0</v>
      </c>
      <c r="CA1387">
        <v>2016</v>
      </c>
      <c r="CB1387">
        <v>224</v>
      </c>
      <c r="CD1387">
        <v>1</v>
      </c>
      <c r="CE1387">
        <v>0</v>
      </c>
      <c r="CF1387">
        <v>0</v>
      </c>
      <c r="CG1387">
        <v>1</v>
      </c>
      <c r="CH1387">
        <v>0</v>
      </c>
      <c r="CI1387">
        <v>0</v>
      </c>
      <c r="CJ1387">
        <v>0</v>
      </c>
      <c r="CK1387">
        <v>2</v>
      </c>
      <c r="CL1387">
        <v>0</v>
      </c>
      <c r="CM1387">
        <v>2</v>
      </c>
      <c r="CN1387">
        <v>0</v>
      </c>
      <c r="CO1387">
        <v>7</v>
      </c>
      <c r="CP1387" t="s">
        <v>119</v>
      </c>
      <c r="CQ1387">
        <v>180</v>
      </c>
      <c r="CR1387">
        <v>2</v>
      </c>
      <c r="CW1387">
        <v>8179577</v>
      </c>
      <c r="CY1387">
        <v>1</v>
      </c>
      <c r="CZ1387">
        <v>0</v>
      </c>
      <c r="DA1387">
        <v>0</v>
      </c>
      <c r="DB1387">
        <v>0</v>
      </c>
      <c r="DC1387">
        <v>0</v>
      </c>
      <c r="DD1387">
        <v>0</v>
      </c>
      <c r="DE1387">
        <v>0</v>
      </c>
      <c r="DF1387">
        <v>0</v>
      </c>
      <c r="DG1387">
        <v>0</v>
      </c>
      <c r="DH1387">
        <v>0</v>
      </c>
      <c r="DI1387">
        <v>0</v>
      </c>
    </row>
    <row r="1388" spans="1:113" x14ac:dyDescent="0.3">
      <c r="A1388" t="str">
        <f>"02/08/2021 20:20:15.955"</f>
        <v>02/08/2021 20:20:15.955</v>
      </c>
      <c r="C1388" t="str">
        <f t="shared" si="65"/>
        <v>FFDFD7C0</v>
      </c>
      <c r="D1388" t="s">
        <v>124</v>
      </c>
      <c r="E1388">
        <v>11</v>
      </c>
      <c r="F1388">
        <v>1011</v>
      </c>
      <c r="G1388" t="s">
        <v>590</v>
      </c>
      <c r="J1388" t="s">
        <v>125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S1388" t="str">
        <f>"20:20:18.266"</f>
        <v>20:20:18.266</v>
      </c>
      <c r="T1388" t="str">
        <f>"20:20:17.866"</f>
        <v>20:20:17.866</v>
      </c>
      <c r="U1388" t="str">
        <f t="shared" si="64"/>
        <v>AB01F4</v>
      </c>
      <c r="V1388">
        <v>0</v>
      </c>
      <c r="W1388">
        <v>0</v>
      </c>
      <c r="X1388">
        <v>2</v>
      </c>
      <c r="Z1388">
        <v>0</v>
      </c>
      <c r="AA1388">
        <v>9</v>
      </c>
      <c r="AB1388">
        <v>3</v>
      </c>
      <c r="AC1388">
        <v>0</v>
      </c>
      <c r="AD1388">
        <v>10</v>
      </c>
      <c r="AE1388">
        <v>0</v>
      </c>
      <c r="AF1388">
        <v>3</v>
      </c>
      <c r="AG1388">
        <v>2</v>
      </c>
      <c r="AH1388">
        <v>0</v>
      </c>
      <c r="AI1388" t="s">
        <v>956</v>
      </c>
      <c r="AJ1388">
        <v>39.798403</v>
      </c>
      <c r="AK1388" t="s">
        <v>957</v>
      </c>
      <c r="AL1388">
        <v>-92.518851999999995</v>
      </c>
      <c r="AM1388">
        <v>100</v>
      </c>
      <c r="AN1388">
        <v>1700</v>
      </c>
      <c r="AO1388" t="s">
        <v>118</v>
      </c>
      <c r="AP1388">
        <v>-24</v>
      </c>
      <c r="AQ1388">
        <v>119</v>
      </c>
      <c r="AR1388">
        <v>128</v>
      </c>
      <c r="AZ1388">
        <v>1200</v>
      </c>
      <c r="BA1388">
        <v>1</v>
      </c>
      <c r="BB1388" t="str">
        <f t="shared" si="66"/>
        <v xml:space="preserve">N8080G  </v>
      </c>
      <c r="BC1388">
        <v>1</v>
      </c>
      <c r="BE1388">
        <v>0</v>
      </c>
      <c r="BF1388">
        <v>0</v>
      </c>
      <c r="BG1388">
        <v>0</v>
      </c>
      <c r="BH1388">
        <v>1700</v>
      </c>
      <c r="BI1388">
        <v>1</v>
      </c>
      <c r="BJ1388">
        <v>1</v>
      </c>
      <c r="BK1388">
        <v>1</v>
      </c>
      <c r="BL1388">
        <v>0</v>
      </c>
      <c r="BO1388">
        <v>0</v>
      </c>
      <c r="BP1388">
        <v>0</v>
      </c>
      <c r="BW1388" t="str">
        <f>"20:20:18.266"</f>
        <v>20:20:18.266</v>
      </c>
      <c r="BZ1388">
        <v>0</v>
      </c>
      <c r="CA1388">
        <v>2016</v>
      </c>
      <c r="CB1388">
        <v>224</v>
      </c>
      <c r="CD1388">
        <v>1</v>
      </c>
      <c r="CE1388">
        <v>0</v>
      </c>
      <c r="CF1388">
        <v>0</v>
      </c>
      <c r="CG1388">
        <v>1</v>
      </c>
      <c r="CH1388">
        <v>0</v>
      </c>
      <c r="CI1388">
        <v>0</v>
      </c>
      <c r="CJ1388">
        <v>0</v>
      </c>
      <c r="CK1388">
        <v>2</v>
      </c>
      <c r="CL1388">
        <v>0</v>
      </c>
      <c r="CM1388">
        <v>2</v>
      </c>
      <c r="CN1388">
        <v>0</v>
      </c>
      <c r="CO1388">
        <v>7</v>
      </c>
      <c r="CP1388" t="s">
        <v>119</v>
      </c>
      <c r="CQ1388">
        <v>180</v>
      </c>
      <c r="CR1388">
        <v>2</v>
      </c>
      <c r="CW1388">
        <v>8179577</v>
      </c>
      <c r="CY1388">
        <v>1</v>
      </c>
      <c r="CZ1388">
        <v>0</v>
      </c>
      <c r="DA1388">
        <v>1</v>
      </c>
      <c r="DB1388">
        <v>0</v>
      </c>
      <c r="DC1388">
        <v>0</v>
      </c>
      <c r="DD1388">
        <v>0</v>
      </c>
      <c r="DE1388">
        <v>0</v>
      </c>
      <c r="DF1388">
        <v>0</v>
      </c>
      <c r="DG1388">
        <v>0</v>
      </c>
      <c r="DH1388">
        <v>0</v>
      </c>
      <c r="DI1388">
        <v>0</v>
      </c>
    </row>
    <row r="1389" spans="1:113" x14ac:dyDescent="0.3">
      <c r="A1389" t="str">
        <f>"02/08/2021 20:20:15.955"</f>
        <v>02/08/2021 20:20:15.955</v>
      </c>
      <c r="C1389" t="str">
        <f t="shared" si="65"/>
        <v>FFDFD7C0</v>
      </c>
      <c r="D1389" t="s">
        <v>113</v>
      </c>
      <c r="E1389">
        <v>6</v>
      </c>
      <c r="H1389">
        <v>165</v>
      </c>
      <c r="I1389" t="s">
        <v>114</v>
      </c>
      <c r="J1389" t="s">
        <v>115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S1389" t="str">
        <f>"20:20:18.266"</f>
        <v>20:20:18.266</v>
      </c>
      <c r="T1389" t="str">
        <f>"20:20:17.866"</f>
        <v>20:20:17.866</v>
      </c>
      <c r="U1389" t="str">
        <f t="shared" si="64"/>
        <v>AB01F4</v>
      </c>
      <c r="V1389">
        <v>0</v>
      </c>
      <c r="W1389">
        <v>0</v>
      </c>
      <c r="X1389">
        <v>2</v>
      </c>
      <c r="Z1389">
        <v>0</v>
      </c>
      <c r="AA1389">
        <v>9</v>
      </c>
      <c r="AB1389">
        <v>3</v>
      </c>
      <c r="AC1389">
        <v>0</v>
      </c>
      <c r="AD1389">
        <v>10</v>
      </c>
      <c r="AE1389">
        <v>0</v>
      </c>
      <c r="AF1389">
        <v>3</v>
      </c>
      <c r="AG1389">
        <v>2</v>
      </c>
      <c r="AH1389">
        <v>0</v>
      </c>
      <c r="AI1389" t="s">
        <v>956</v>
      </c>
      <c r="AJ1389">
        <v>39.798403</v>
      </c>
      <c r="AK1389" t="s">
        <v>957</v>
      </c>
      <c r="AL1389">
        <v>-92.518851999999995</v>
      </c>
      <c r="AM1389">
        <v>100</v>
      </c>
      <c r="AN1389">
        <v>1700</v>
      </c>
      <c r="AO1389" t="s">
        <v>118</v>
      </c>
      <c r="AP1389">
        <v>-24</v>
      </c>
      <c r="AQ1389">
        <v>119</v>
      </c>
      <c r="AR1389">
        <v>128</v>
      </c>
      <c r="AZ1389">
        <v>1200</v>
      </c>
      <c r="BA1389">
        <v>1</v>
      </c>
      <c r="BB1389" t="str">
        <f t="shared" si="66"/>
        <v xml:space="preserve">N8080G  </v>
      </c>
      <c r="BC1389">
        <v>1</v>
      </c>
      <c r="BE1389">
        <v>0</v>
      </c>
      <c r="BF1389">
        <v>0</v>
      </c>
      <c r="BG1389">
        <v>0</v>
      </c>
      <c r="BH1389">
        <v>1700</v>
      </c>
      <c r="BI1389">
        <v>1</v>
      </c>
      <c r="BJ1389">
        <v>1</v>
      </c>
      <c r="BK1389">
        <v>1</v>
      </c>
      <c r="BL1389">
        <v>0</v>
      </c>
      <c r="BO1389">
        <v>0</v>
      </c>
      <c r="BP1389">
        <v>0</v>
      </c>
      <c r="BW1389" t="str">
        <f>"20:20:18.266"</f>
        <v>20:20:18.266</v>
      </c>
      <c r="BZ1389">
        <v>0</v>
      </c>
      <c r="CA1389">
        <v>2016</v>
      </c>
      <c r="CB1389">
        <v>224</v>
      </c>
      <c r="CD1389">
        <v>1</v>
      </c>
      <c r="CE1389">
        <v>0</v>
      </c>
      <c r="CF1389">
        <v>0</v>
      </c>
      <c r="CG1389">
        <v>1</v>
      </c>
      <c r="CH1389">
        <v>0</v>
      </c>
      <c r="CI1389">
        <v>0</v>
      </c>
      <c r="CJ1389">
        <v>0</v>
      </c>
      <c r="CK1389">
        <v>2</v>
      </c>
      <c r="CL1389">
        <v>0</v>
      </c>
      <c r="CM1389">
        <v>2</v>
      </c>
      <c r="CN1389">
        <v>0</v>
      </c>
      <c r="CO1389">
        <v>7</v>
      </c>
      <c r="CP1389" t="s">
        <v>119</v>
      </c>
      <c r="CQ1389">
        <v>180</v>
      </c>
      <c r="CR1389">
        <v>2</v>
      </c>
      <c r="CW1389">
        <v>8179577</v>
      </c>
      <c r="CY1389">
        <v>1</v>
      </c>
      <c r="CZ1389">
        <v>0</v>
      </c>
      <c r="DA1389">
        <v>1</v>
      </c>
      <c r="DB1389">
        <v>0</v>
      </c>
      <c r="DC1389">
        <v>0</v>
      </c>
      <c r="DD1389">
        <v>0</v>
      </c>
      <c r="DE1389">
        <v>0</v>
      </c>
      <c r="DF1389">
        <v>0</v>
      </c>
      <c r="DG1389">
        <v>0</v>
      </c>
      <c r="DH1389">
        <v>0</v>
      </c>
      <c r="DI1389">
        <v>0</v>
      </c>
    </row>
    <row r="1390" spans="1:113" x14ac:dyDescent="0.3">
      <c r="A1390" t="str">
        <f>"02/08/2021 20:20:15.955"</f>
        <v>02/08/2021 20:20:15.955</v>
      </c>
      <c r="C1390" t="str">
        <f t="shared" si="65"/>
        <v>FFDFD7C0</v>
      </c>
      <c r="D1390" t="s">
        <v>124</v>
      </c>
      <c r="E1390">
        <v>13</v>
      </c>
      <c r="F1390">
        <v>1013</v>
      </c>
      <c r="G1390" t="s">
        <v>114</v>
      </c>
      <c r="J1390" t="s">
        <v>125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S1390" t="str">
        <f>"20:20:18.266"</f>
        <v>20:20:18.266</v>
      </c>
      <c r="T1390" t="str">
        <f>"20:20:17.866"</f>
        <v>20:20:17.866</v>
      </c>
      <c r="U1390" t="str">
        <f t="shared" si="64"/>
        <v>AB01F4</v>
      </c>
      <c r="V1390">
        <v>0</v>
      </c>
      <c r="W1390">
        <v>0</v>
      </c>
      <c r="X1390">
        <v>2</v>
      </c>
      <c r="Z1390">
        <v>0</v>
      </c>
      <c r="AA1390">
        <v>9</v>
      </c>
      <c r="AB1390">
        <v>3</v>
      </c>
      <c r="AC1390">
        <v>0</v>
      </c>
      <c r="AD1390">
        <v>10</v>
      </c>
      <c r="AE1390">
        <v>0</v>
      </c>
      <c r="AF1390">
        <v>3</v>
      </c>
      <c r="AG1390">
        <v>2</v>
      </c>
      <c r="AH1390">
        <v>0</v>
      </c>
      <c r="AI1390" t="s">
        <v>956</v>
      </c>
      <c r="AJ1390">
        <v>39.798403</v>
      </c>
      <c r="AK1390" t="s">
        <v>957</v>
      </c>
      <c r="AL1390">
        <v>-92.518851999999995</v>
      </c>
      <c r="AM1390">
        <v>100</v>
      </c>
      <c r="AN1390">
        <v>1700</v>
      </c>
      <c r="AO1390" t="s">
        <v>118</v>
      </c>
      <c r="AP1390">
        <v>-24</v>
      </c>
      <c r="AQ1390">
        <v>119</v>
      </c>
      <c r="AR1390">
        <v>128</v>
      </c>
      <c r="AZ1390">
        <v>1200</v>
      </c>
      <c r="BA1390">
        <v>1</v>
      </c>
      <c r="BB1390" t="str">
        <f t="shared" si="66"/>
        <v xml:space="preserve">N8080G  </v>
      </c>
      <c r="BC1390">
        <v>1</v>
      </c>
      <c r="BE1390">
        <v>0</v>
      </c>
      <c r="BF1390">
        <v>0</v>
      </c>
      <c r="BG1390">
        <v>0</v>
      </c>
      <c r="BH1390">
        <v>1700</v>
      </c>
      <c r="BI1390">
        <v>1</v>
      </c>
      <c r="BJ1390">
        <v>1</v>
      </c>
      <c r="BK1390">
        <v>1</v>
      </c>
      <c r="BL1390">
        <v>0</v>
      </c>
      <c r="BO1390">
        <v>0</v>
      </c>
      <c r="BP1390">
        <v>0</v>
      </c>
      <c r="BW1390" t="str">
        <f>"20:20:18.266"</f>
        <v>20:20:18.266</v>
      </c>
      <c r="BZ1390">
        <v>0</v>
      </c>
      <c r="CA1390">
        <v>2016</v>
      </c>
      <c r="CB1390">
        <v>224</v>
      </c>
      <c r="CD1390">
        <v>1</v>
      </c>
      <c r="CE1390">
        <v>0</v>
      </c>
      <c r="CF1390">
        <v>0</v>
      </c>
      <c r="CG1390">
        <v>1</v>
      </c>
      <c r="CH1390">
        <v>0</v>
      </c>
      <c r="CI1390">
        <v>0</v>
      </c>
      <c r="CJ1390">
        <v>0</v>
      </c>
      <c r="CK1390">
        <v>2</v>
      </c>
      <c r="CL1390">
        <v>0</v>
      </c>
      <c r="CM1390">
        <v>2</v>
      </c>
      <c r="CN1390">
        <v>0</v>
      </c>
      <c r="CO1390">
        <v>7</v>
      </c>
      <c r="CP1390" t="s">
        <v>119</v>
      </c>
      <c r="CQ1390">
        <v>180</v>
      </c>
      <c r="CR1390">
        <v>2</v>
      </c>
      <c r="CW1390">
        <v>8179577</v>
      </c>
      <c r="CY1390">
        <v>1</v>
      </c>
      <c r="CZ1390">
        <v>0</v>
      </c>
      <c r="DA1390">
        <v>1</v>
      </c>
      <c r="DB1390">
        <v>0</v>
      </c>
      <c r="DC1390">
        <v>0</v>
      </c>
      <c r="DD1390">
        <v>0</v>
      </c>
      <c r="DE1390">
        <v>0</v>
      </c>
      <c r="DF1390">
        <v>0</v>
      </c>
      <c r="DG1390">
        <v>0</v>
      </c>
      <c r="DH1390">
        <v>0</v>
      </c>
      <c r="DI1390">
        <v>0</v>
      </c>
    </row>
    <row r="1391" spans="1:113" x14ac:dyDescent="0.3">
      <c r="A1391" t="str">
        <f>"02/08/2021 20:20:18.968"</f>
        <v>02/08/2021 20:20:18.968</v>
      </c>
      <c r="C1391" t="str">
        <f t="shared" si="65"/>
        <v>FFDFD7C0</v>
      </c>
      <c r="D1391" t="s">
        <v>124</v>
      </c>
      <c r="E1391">
        <v>12</v>
      </c>
      <c r="F1391">
        <v>1012</v>
      </c>
      <c r="G1391" t="s">
        <v>675</v>
      </c>
      <c r="J1391" t="s">
        <v>125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S1391" t="str">
        <f>"20:20:21.266"</f>
        <v>20:20:21.266</v>
      </c>
      <c r="T1391" t="str">
        <f>"20:20:20.766"</f>
        <v>20:20:20.766</v>
      </c>
      <c r="U1391" t="str">
        <f t="shared" si="64"/>
        <v>AB01F4</v>
      </c>
      <c r="V1391">
        <v>0</v>
      </c>
      <c r="W1391">
        <v>0</v>
      </c>
      <c r="X1391">
        <v>2</v>
      </c>
      <c r="Z1391">
        <v>0</v>
      </c>
      <c r="AA1391">
        <v>9</v>
      </c>
      <c r="AB1391">
        <v>3</v>
      </c>
      <c r="AC1391">
        <v>0</v>
      </c>
      <c r="AD1391">
        <v>10</v>
      </c>
      <c r="AE1391">
        <v>0</v>
      </c>
      <c r="AF1391">
        <v>3</v>
      </c>
      <c r="AG1391">
        <v>2</v>
      </c>
      <c r="AH1391">
        <v>0</v>
      </c>
      <c r="AI1391" t="s">
        <v>958</v>
      </c>
      <c r="AJ1391">
        <v>39.800075999999997</v>
      </c>
      <c r="AK1391" t="s">
        <v>867</v>
      </c>
      <c r="AL1391">
        <v>-92.519281000000007</v>
      </c>
      <c r="AM1391">
        <v>100</v>
      </c>
      <c r="AN1391">
        <v>1700</v>
      </c>
      <c r="AO1391" t="s">
        <v>118</v>
      </c>
      <c r="AP1391">
        <v>-25</v>
      </c>
      <c r="AQ1391">
        <v>119</v>
      </c>
      <c r="AR1391">
        <v>128</v>
      </c>
      <c r="AZ1391">
        <v>1200</v>
      </c>
      <c r="BA1391">
        <v>1</v>
      </c>
      <c r="BB1391" t="str">
        <f t="shared" si="66"/>
        <v xml:space="preserve">N8080G  </v>
      </c>
      <c r="BC1391">
        <v>1</v>
      </c>
      <c r="BE1391">
        <v>0</v>
      </c>
      <c r="BF1391">
        <v>0</v>
      </c>
      <c r="BG1391">
        <v>0</v>
      </c>
      <c r="BH1391">
        <v>1700</v>
      </c>
      <c r="BI1391">
        <v>1</v>
      </c>
      <c r="BJ1391">
        <v>1</v>
      </c>
      <c r="BK1391">
        <v>1</v>
      </c>
      <c r="BL1391">
        <v>0</v>
      </c>
      <c r="BO1391">
        <v>0</v>
      </c>
      <c r="BP1391">
        <v>0</v>
      </c>
      <c r="BW1391" t="str">
        <f>"20:20:21.267"</f>
        <v>20:20:21.267</v>
      </c>
      <c r="BZ1391">
        <v>0</v>
      </c>
      <c r="CA1391">
        <v>2016</v>
      </c>
      <c r="CB1391">
        <v>224</v>
      </c>
      <c r="CD1391">
        <v>1</v>
      </c>
      <c r="CE1391">
        <v>0</v>
      </c>
      <c r="CF1391">
        <v>0</v>
      </c>
      <c r="CG1391">
        <v>1</v>
      </c>
      <c r="CH1391">
        <v>0</v>
      </c>
      <c r="CI1391">
        <v>0</v>
      </c>
      <c r="CJ1391">
        <v>0</v>
      </c>
      <c r="CK1391">
        <v>2</v>
      </c>
      <c r="CL1391">
        <v>0</v>
      </c>
      <c r="CM1391">
        <v>2</v>
      </c>
      <c r="CN1391">
        <v>0</v>
      </c>
      <c r="CO1391">
        <v>7</v>
      </c>
      <c r="CP1391" t="s">
        <v>119</v>
      </c>
      <c r="CQ1391">
        <v>180</v>
      </c>
      <c r="CR1391">
        <v>2</v>
      </c>
      <c r="CW1391">
        <v>8182087</v>
      </c>
      <c r="CY1391">
        <v>1</v>
      </c>
      <c r="CZ1391">
        <v>0</v>
      </c>
      <c r="DA1391">
        <v>0</v>
      </c>
      <c r="DB1391">
        <v>0</v>
      </c>
      <c r="DC1391">
        <v>0</v>
      </c>
      <c r="DD1391">
        <v>0</v>
      </c>
      <c r="DE1391">
        <v>0</v>
      </c>
      <c r="DF1391">
        <v>0</v>
      </c>
      <c r="DG1391">
        <v>0</v>
      </c>
      <c r="DH1391">
        <v>0</v>
      </c>
      <c r="DI1391">
        <v>0</v>
      </c>
    </row>
    <row r="1392" spans="1:113" x14ac:dyDescent="0.3">
      <c r="A1392" t="str">
        <f>"02/08/2021 20:20:18.968"</f>
        <v>02/08/2021 20:20:18.968</v>
      </c>
      <c r="C1392" t="str">
        <f t="shared" si="65"/>
        <v>FFDFD7C0</v>
      </c>
      <c r="D1392" t="s">
        <v>124</v>
      </c>
      <c r="E1392">
        <v>13</v>
      </c>
      <c r="F1392">
        <v>1013</v>
      </c>
      <c r="G1392" t="s">
        <v>114</v>
      </c>
      <c r="J1392" t="s">
        <v>125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S1392" t="str">
        <f>"20:20:21.266"</f>
        <v>20:20:21.266</v>
      </c>
      <c r="T1392" t="str">
        <f>"20:20:20.766"</f>
        <v>20:20:20.766</v>
      </c>
      <c r="U1392" t="str">
        <f t="shared" si="64"/>
        <v>AB01F4</v>
      </c>
      <c r="V1392">
        <v>0</v>
      </c>
      <c r="W1392">
        <v>0</v>
      </c>
      <c r="X1392">
        <v>2</v>
      </c>
      <c r="Z1392">
        <v>0</v>
      </c>
      <c r="AA1392">
        <v>9</v>
      </c>
      <c r="AB1392">
        <v>3</v>
      </c>
      <c r="AC1392">
        <v>0</v>
      </c>
      <c r="AD1392">
        <v>10</v>
      </c>
      <c r="AE1392">
        <v>0</v>
      </c>
      <c r="AF1392">
        <v>3</v>
      </c>
      <c r="AG1392">
        <v>2</v>
      </c>
      <c r="AH1392">
        <v>0</v>
      </c>
      <c r="AI1392" t="s">
        <v>958</v>
      </c>
      <c r="AJ1392">
        <v>39.800075999999997</v>
      </c>
      <c r="AK1392" t="s">
        <v>867</v>
      </c>
      <c r="AL1392">
        <v>-92.519281000000007</v>
      </c>
      <c r="AM1392">
        <v>100</v>
      </c>
      <c r="AN1392">
        <v>1700</v>
      </c>
      <c r="AO1392" t="s">
        <v>118</v>
      </c>
      <c r="AP1392">
        <v>-25</v>
      </c>
      <c r="AQ1392">
        <v>119</v>
      </c>
      <c r="AR1392">
        <v>128</v>
      </c>
      <c r="AZ1392">
        <v>1200</v>
      </c>
      <c r="BA1392">
        <v>1</v>
      </c>
      <c r="BB1392" t="str">
        <f t="shared" si="66"/>
        <v xml:space="preserve">N8080G  </v>
      </c>
      <c r="BC1392">
        <v>1</v>
      </c>
      <c r="BE1392">
        <v>0</v>
      </c>
      <c r="BF1392">
        <v>0</v>
      </c>
      <c r="BG1392">
        <v>0</v>
      </c>
      <c r="BH1392">
        <v>1700</v>
      </c>
      <c r="BI1392">
        <v>1</v>
      </c>
      <c r="BJ1392">
        <v>1</v>
      </c>
      <c r="BK1392">
        <v>1</v>
      </c>
      <c r="BL1392">
        <v>0</v>
      </c>
      <c r="BO1392">
        <v>0</v>
      </c>
      <c r="BP1392">
        <v>0</v>
      </c>
      <c r="BW1392" t="str">
        <f>"20:20:21.267"</f>
        <v>20:20:21.267</v>
      </c>
      <c r="BZ1392">
        <v>0</v>
      </c>
      <c r="CA1392">
        <v>2016</v>
      </c>
      <c r="CB1392">
        <v>224</v>
      </c>
      <c r="CD1392">
        <v>1</v>
      </c>
      <c r="CE1392">
        <v>0</v>
      </c>
      <c r="CF1392">
        <v>0</v>
      </c>
      <c r="CG1392">
        <v>1</v>
      </c>
      <c r="CH1392">
        <v>0</v>
      </c>
      <c r="CI1392">
        <v>0</v>
      </c>
      <c r="CJ1392">
        <v>0</v>
      </c>
      <c r="CK1392">
        <v>2</v>
      </c>
      <c r="CL1392">
        <v>0</v>
      </c>
      <c r="CM1392">
        <v>2</v>
      </c>
      <c r="CN1392">
        <v>0</v>
      </c>
      <c r="CO1392">
        <v>7</v>
      </c>
      <c r="CP1392" t="s">
        <v>119</v>
      </c>
      <c r="CQ1392">
        <v>180</v>
      </c>
      <c r="CR1392">
        <v>2</v>
      </c>
      <c r="CW1392">
        <v>8182087</v>
      </c>
      <c r="CY1392">
        <v>1</v>
      </c>
      <c r="CZ1392">
        <v>0</v>
      </c>
      <c r="DA1392">
        <v>1</v>
      </c>
      <c r="DB1392">
        <v>0</v>
      </c>
      <c r="DC1392">
        <v>0</v>
      </c>
      <c r="DD1392">
        <v>0</v>
      </c>
      <c r="DE1392">
        <v>0</v>
      </c>
      <c r="DF1392">
        <v>0</v>
      </c>
      <c r="DG1392">
        <v>0</v>
      </c>
      <c r="DH1392">
        <v>0</v>
      </c>
      <c r="DI1392">
        <v>0</v>
      </c>
    </row>
    <row r="1393" spans="1:113" x14ac:dyDescent="0.3">
      <c r="A1393" t="str">
        <f>"02/08/2021 20:20:18.968"</f>
        <v>02/08/2021 20:20:18.968</v>
      </c>
      <c r="C1393" t="str">
        <f t="shared" si="65"/>
        <v>FFDFD7C0</v>
      </c>
      <c r="D1393" t="s">
        <v>124</v>
      </c>
      <c r="E1393">
        <v>11</v>
      </c>
      <c r="F1393">
        <v>1011</v>
      </c>
      <c r="G1393" t="s">
        <v>590</v>
      </c>
      <c r="J1393" t="s">
        <v>125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S1393" t="str">
        <f>"20:20:21.266"</f>
        <v>20:20:21.266</v>
      </c>
      <c r="T1393" t="str">
        <f>"20:20:20.766"</f>
        <v>20:20:20.766</v>
      </c>
      <c r="U1393" t="str">
        <f t="shared" si="64"/>
        <v>AB01F4</v>
      </c>
      <c r="V1393">
        <v>0</v>
      </c>
      <c r="W1393">
        <v>0</v>
      </c>
      <c r="X1393">
        <v>2</v>
      </c>
      <c r="Z1393">
        <v>0</v>
      </c>
      <c r="AA1393">
        <v>9</v>
      </c>
      <c r="AB1393">
        <v>3</v>
      </c>
      <c r="AC1393">
        <v>0</v>
      </c>
      <c r="AD1393">
        <v>10</v>
      </c>
      <c r="AE1393">
        <v>0</v>
      </c>
      <c r="AF1393">
        <v>3</v>
      </c>
      <c r="AG1393">
        <v>2</v>
      </c>
      <c r="AH1393">
        <v>0</v>
      </c>
      <c r="AI1393" t="s">
        <v>958</v>
      </c>
      <c r="AJ1393">
        <v>39.800075999999997</v>
      </c>
      <c r="AK1393" t="s">
        <v>867</v>
      </c>
      <c r="AL1393">
        <v>-92.519281000000007</v>
      </c>
      <c r="AM1393">
        <v>100</v>
      </c>
      <c r="AN1393">
        <v>1700</v>
      </c>
      <c r="AO1393" t="s">
        <v>118</v>
      </c>
      <c r="AP1393">
        <v>-25</v>
      </c>
      <c r="AQ1393">
        <v>119</v>
      </c>
      <c r="AR1393">
        <v>128</v>
      </c>
      <c r="AZ1393">
        <v>1200</v>
      </c>
      <c r="BA1393">
        <v>1</v>
      </c>
      <c r="BB1393" t="str">
        <f t="shared" si="66"/>
        <v xml:space="preserve">N8080G  </v>
      </c>
      <c r="BC1393">
        <v>1</v>
      </c>
      <c r="BE1393">
        <v>0</v>
      </c>
      <c r="BF1393">
        <v>0</v>
      </c>
      <c r="BG1393">
        <v>0</v>
      </c>
      <c r="BH1393">
        <v>1700</v>
      </c>
      <c r="BI1393">
        <v>1</v>
      </c>
      <c r="BJ1393">
        <v>1</v>
      </c>
      <c r="BK1393">
        <v>1</v>
      </c>
      <c r="BL1393">
        <v>0</v>
      </c>
      <c r="BO1393">
        <v>0</v>
      </c>
      <c r="BP1393">
        <v>0</v>
      </c>
      <c r="BW1393" t="str">
        <f>"20:20:21.267"</f>
        <v>20:20:21.267</v>
      </c>
      <c r="BZ1393">
        <v>0</v>
      </c>
      <c r="CA1393">
        <v>2016</v>
      </c>
      <c r="CB1393">
        <v>224</v>
      </c>
      <c r="CD1393">
        <v>1</v>
      </c>
      <c r="CE1393">
        <v>0</v>
      </c>
      <c r="CF1393">
        <v>0</v>
      </c>
      <c r="CG1393">
        <v>1</v>
      </c>
      <c r="CH1393">
        <v>0</v>
      </c>
      <c r="CI1393">
        <v>0</v>
      </c>
      <c r="CJ1393">
        <v>0</v>
      </c>
      <c r="CK1393">
        <v>2</v>
      </c>
      <c r="CL1393">
        <v>0</v>
      </c>
      <c r="CM1393">
        <v>2</v>
      </c>
      <c r="CN1393">
        <v>0</v>
      </c>
      <c r="CO1393">
        <v>7</v>
      </c>
      <c r="CP1393" t="s">
        <v>119</v>
      </c>
      <c r="CQ1393">
        <v>180</v>
      </c>
      <c r="CR1393">
        <v>2</v>
      </c>
      <c r="CW1393">
        <v>8182087</v>
      </c>
      <c r="CY1393">
        <v>1</v>
      </c>
      <c r="CZ1393">
        <v>0</v>
      </c>
      <c r="DA1393">
        <v>1</v>
      </c>
      <c r="DB1393">
        <v>0</v>
      </c>
      <c r="DC1393">
        <v>0</v>
      </c>
      <c r="DD1393">
        <v>0</v>
      </c>
      <c r="DE1393">
        <v>0</v>
      </c>
      <c r="DF1393">
        <v>0</v>
      </c>
      <c r="DG1393">
        <v>0</v>
      </c>
      <c r="DH1393">
        <v>0</v>
      </c>
      <c r="DI1393">
        <v>0</v>
      </c>
    </row>
    <row r="1394" spans="1:113" x14ac:dyDescent="0.3">
      <c r="A1394" t="str">
        <f>"02/08/2021 20:20:18.968"</f>
        <v>02/08/2021 20:20:18.968</v>
      </c>
      <c r="C1394" t="str">
        <f t="shared" si="65"/>
        <v>FFDFD7C0</v>
      </c>
      <c r="D1394" t="s">
        <v>113</v>
      </c>
      <c r="E1394">
        <v>6</v>
      </c>
      <c r="H1394">
        <v>165</v>
      </c>
      <c r="I1394" t="s">
        <v>114</v>
      </c>
      <c r="J1394" t="s">
        <v>115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S1394" t="str">
        <f>"20:20:21.266"</f>
        <v>20:20:21.266</v>
      </c>
      <c r="T1394" t="str">
        <f>"20:20:20.766"</f>
        <v>20:20:20.766</v>
      </c>
      <c r="U1394" t="str">
        <f t="shared" si="64"/>
        <v>AB01F4</v>
      </c>
      <c r="V1394">
        <v>0</v>
      </c>
      <c r="W1394">
        <v>0</v>
      </c>
      <c r="X1394">
        <v>2</v>
      </c>
      <c r="Z1394">
        <v>0</v>
      </c>
      <c r="AA1394">
        <v>9</v>
      </c>
      <c r="AB1394">
        <v>3</v>
      </c>
      <c r="AC1394">
        <v>0</v>
      </c>
      <c r="AD1394">
        <v>10</v>
      </c>
      <c r="AE1394">
        <v>0</v>
      </c>
      <c r="AF1394">
        <v>3</v>
      </c>
      <c r="AG1394">
        <v>2</v>
      </c>
      <c r="AH1394">
        <v>0</v>
      </c>
      <c r="AI1394" t="s">
        <v>958</v>
      </c>
      <c r="AJ1394">
        <v>39.800075999999997</v>
      </c>
      <c r="AK1394" t="s">
        <v>867</v>
      </c>
      <c r="AL1394">
        <v>-92.519281000000007</v>
      </c>
      <c r="AM1394">
        <v>100</v>
      </c>
      <c r="AN1394">
        <v>1700</v>
      </c>
      <c r="AO1394" t="s">
        <v>118</v>
      </c>
      <c r="AP1394">
        <v>-25</v>
      </c>
      <c r="AQ1394">
        <v>119</v>
      </c>
      <c r="AR1394">
        <v>128</v>
      </c>
      <c r="AZ1394">
        <v>1200</v>
      </c>
      <c r="BA1394">
        <v>1</v>
      </c>
      <c r="BB1394" t="str">
        <f t="shared" si="66"/>
        <v xml:space="preserve">N8080G  </v>
      </c>
      <c r="BC1394">
        <v>1</v>
      </c>
      <c r="BE1394">
        <v>0</v>
      </c>
      <c r="BF1394">
        <v>0</v>
      </c>
      <c r="BG1394">
        <v>0</v>
      </c>
      <c r="BH1394">
        <v>1700</v>
      </c>
      <c r="BI1394">
        <v>1</v>
      </c>
      <c r="BJ1394">
        <v>1</v>
      </c>
      <c r="BK1394">
        <v>1</v>
      </c>
      <c r="BL1394">
        <v>0</v>
      </c>
      <c r="BO1394">
        <v>0</v>
      </c>
      <c r="BP1394">
        <v>0</v>
      </c>
      <c r="BW1394" t="str">
        <f>"20:20:21.267"</f>
        <v>20:20:21.267</v>
      </c>
      <c r="BZ1394">
        <v>0</v>
      </c>
      <c r="CA1394">
        <v>2016</v>
      </c>
      <c r="CB1394">
        <v>224</v>
      </c>
      <c r="CD1394">
        <v>1</v>
      </c>
      <c r="CE1394">
        <v>0</v>
      </c>
      <c r="CF1394">
        <v>0</v>
      </c>
      <c r="CG1394">
        <v>1</v>
      </c>
      <c r="CH1394">
        <v>0</v>
      </c>
      <c r="CI1394">
        <v>0</v>
      </c>
      <c r="CJ1394">
        <v>0</v>
      </c>
      <c r="CK1394">
        <v>2</v>
      </c>
      <c r="CL1394">
        <v>0</v>
      </c>
      <c r="CM1394">
        <v>2</v>
      </c>
      <c r="CN1394">
        <v>0</v>
      </c>
      <c r="CO1394">
        <v>7</v>
      </c>
      <c r="CP1394" t="s">
        <v>119</v>
      </c>
      <c r="CQ1394">
        <v>180</v>
      </c>
      <c r="CR1394">
        <v>2</v>
      </c>
      <c r="CW1394">
        <v>8182087</v>
      </c>
      <c r="CY1394">
        <v>1</v>
      </c>
      <c r="CZ1394">
        <v>0</v>
      </c>
      <c r="DA1394">
        <v>1</v>
      </c>
      <c r="DB1394">
        <v>0</v>
      </c>
      <c r="DC1394">
        <v>0</v>
      </c>
      <c r="DD1394">
        <v>0</v>
      </c>
      <c r="DE1394">
        <v>0</v>
      </c>
      <c r="DF1394">
        <v>0</v>
      </c>
      <c r="DG1394">
        <v>0</v>
      </c>
      <c r="DH1394">
        <v>0</v>
      </c>
      <c r="DI1394">
        <v>0</v>
      </c>
    </row>
    <row r="1395" spans="1:113" x14ac:dyDescent="0.3">
      <c r="A1395" t="str">
        <f>"02/08/2021 20:20:20.524"</f>
        <v>02/08/2021 20:20:20.524</v>
      </c>
      <c r="C1395" t="str">
        <f t="shared" si="65"/>
        <v>FFDFD7C0</v>
      </c>
      <c r="D1395" t="s">
        <v>124</v>
      </c>
      <c r="E1395">
        <v>12</v>
      </c>
      <c r="F1395">
        <v>1012</v>
      </c>
      <c r="G1395" t="s">
        <v>675</v>
      </c>
      <c r="J1395" t="s">
        <v>125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S1395" t="str">
        <f>"20:20:22.836"</f>
        <v>20:20:22.836</v>
      </c>
      <c r="T1395" t="str">
        <f>"20:20:22.336"</f>
        <v>20:20:22.336</v>
      </c>
      <c r="U1395" t="str">
        <f t="shared" si="64"/>
        <v>AB01F4</v>
      </c>
      <c r="V1395">
        <v>0</v>
      </c>
      <c r="W1395">
        <v>0</v>
      </c>
      <c r="X1395">
        <v>2</v>
      </c>
      <c r="Z1395">
        <v>0</v>
      </c>
      <c r="AA1395">
        <v>9</v>
      </c>
      <c r="AB1395">
        <v>3</v>
      </c>
      <c r="AC1395">
        <v>0</v>
      </c>
      <c r="AD1395">
        <v>10</v>
      </c>
      <c r="AE1395">
        <v>0</v>
      </c>
      <c r="AF1395">
        <v>3</v>
      </c>
      <c r="AG1395">
        <v>2</v>
      </c>
      <c r="AH1395">
        <v>0</v>
      </c>
      <c r="AI1395" t="s">
        <v>959</v>
      </c>
      <c r="AJ1395">
        <v>39.800955999999999</v>
      </c>
      <c r="AK1395" t="s">
        <v>729</v>
      </c>
      <c r="AL1395">
        <v>-92.519537999999997</v>
      </c>
      <c r="AM1395">
        <v>100</v>
      </c>
      <c r="AN1395">
        <v>1700</v>
      </c>
      <c r="AO1395" t="s">
        <v>118</v>
      </c>
      <c r="AP1395">
        <v>-26</v>
      </c>
      <c r="AQ1395">
        <v>119</v>
      </c>
      <c r="AR1395">
        <v>0</v>
      </c>
      <c r="AZ1395">
        <v>1200</v>
      </c>
      <c r="BA1395">
        <v>1</v>
      </c>
      <c r="BB1395" t="str">
        <f t="shared" si="66"/>
        <v xml:space="preserve">N8080G  </v>
      </c>
      <c r="BC1395">
        <v>1</v>
      </c>
      <c r="BE1395">
        <v>0</v>
      </c>
      <c r="BF1395">
        <v>0</v>
      </c>
      <c r="BG1395">
        <v>0</v>
      </c>
      <c r="BH1395">
        <v>1700</v>
      </c>
      <c r="BI1395">
        <v>1</v>
      </c>
      <c r="BJ1395">
        <v>1</v>
      </c>
      <c r="BK1395">
        <v>1</v>
      </c>
      <c r="BL1395">
        <v>0</v>
      </c>
      <c r="BO1395">
        <v>0</v>
      </c>
      <c r="BP1395">
        <v>0</v>
      </c>
      <c r="BW1395" t="str">
        <f>"20:20:22.842"</f>
        <v>20:20:22.842</v>
      </c>
      <c r="BZ1395">
        <v>0</v>
      </c>
      <c r="CA1395">
        <v>2016</v>
      </c>
      <c r="CB1395">
        <v>224</v>
      </c>
      <c r="CD1395">
        <v>1</v>
      </c>
      <c r="CE1395">
        <v>0</v>
      </c>
      <c r="CF1395">
        <v>0</v>
      </c>
      <c r="CG1395">
        <v>1</v>
      </c>
      <c r="CH1395">
        <v>0</v>
      </c>
      <c r="CI1395">
        <v>0</v>
      </c>
      <c r="CJ1395">
        <v>0</v>
      </c>
      <c r="CK1395">
        <v>2</v>
      </c>
      <c r="CL1395">
        <v>0</v>
      </c>
      <c r="CM1395">
        <v>2</v>
      </c>
      <c r="CN1395">
        <v>0</v>
      </c>
      <c r="CO1395">
        <v>7</v>
      </c>
      <c r="CP1395" t="s">
        <v>119</v>
      </c>
      <c r="CQ1395">
        <v>180</v>
      </c>
      <c r="CR1395">
        <v>2</v>
      </c>
      <c r="CW1395">
        <v>8183330</v>
      </c>
      <c r="CY1395">
        <v>1</v>
      </c>
      <c r="CZ1395">
        <v>0</v>
      </c>
      <c r="DA1395">
        <v>0</v>
      </c>
      <c r="DB1395">
        <v>0</v>
      </c>
      <c r="DC1395">
        <v>0</v>
      </c>
      <c r="DD1395">
        <v>0</v>
      </c>
      <c r="DE1395">
        <v>0</v>
      </c>
      <c r="DF1395">
        <v>0</v>
      </c>
      <c r="DG1395">
        <v>0</v>
      </c>
      <c r="DH1395">
        <v>0</v>
      </c>
      <c r="DI1395">
        <v>0</v>
      </c>
    </row>
    <row r="1396" spans="1:113" x14ac:dyDescent="0.3">
      <c r="A1396" t="str">
        <f>"02/08/2021 20:20:20.524"</f>
        <v>02/08/2021 20:20:20.524</v>
      </c>
      <c r="C1396" t="str">
        <f t="shared" si="65"/>
        <v>FFDFD7C0</v>
      </c>
      <c r="D1396" t="s">
        <v>124</v>
      </c>
      <c r="E1396">
        <v>13</v>
      </c>
      <c r="F1396">
        <v>1013</v>
      </c>
      <c r="G1396" t="s">
        <v>114</v>
      </c>
      <c r="J1396" t="s">
        <v>125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S1396" t="str">
        <f>"20:20:22.836"</f>
        <v>20:20:22.836</v>
      </c>
      <c r="T1396" t="str">
        <f>"20:20:22.336"</f>
        <v>20:20:22.336</v>
      </c>
      <c r="U1396" t="str">
        <f t="shared" si="64"/>
        <v>AB01F4</v>
      </c>
      <c r="V1396">
        <v>0</v>
      </c>
      <c r="W1396">
        <v>0</v>
      </c>
      <c r="X1396">
        <v>2</v>
      </c>
      <c r="Z1396">
        <v>0</v>
      </c>
      <c r="AA1396">
        <v>9</v>
      </c>
      <c r="AB1396">
        <v>3</v>
      </c>
      <c r="AC1396">
        <v>0</v>
      </c>
      <c r="AD1396">
        <v>10</v>
      </c>
      <c r="AE1396">
        <v>0</v>
      </c>
      <c r="AF1396">
        <v>3</v>
      </c>
      <c r="AG1396">
        <v>2</v>
      </c>
      <c r="AH1396">
        <v>0</v>
      </c>
      <c r="AI1396" t="s">
        <v>959</v>
      </c>
      <c r="AJ1396">
        <v>39.800955999999999</v>
      </c>
      <c r="AK1396" t="s">
        <v>729</v>
      </c>
      <c r="AL1396">
        <v>-92.519537999999997</v>
      </c>
      <c r="AM1396">
        <v>100</v>
      </c>
      <c r="AN1396">
        <v>1700</v>
      </c>
      <c r="AO1396" t="s">
        <v>118</v>
      </c>
      <c r="AP1396">
        <v>-26</v>
      </c>
      <c r="AQ1396">
        <v>119</v>
      </c>
      <c r="AR1396">
        <v>0</v>
      </c>
      <c r="AZ1396">
        <v>1200</v>
      </c>
      <c r="BA1396">
        <v>1</v>
      </c>
      <c r="BB1396" t="str">
        <f t="shared" si="66"/>
        <v xml:space="preserve">N8080G  </v>
      </c>
      <c r="BC1396">
        <v>1</v>
      </c>
      <c r="BE1396">
        <v>0</v>
      </c>
      <c r="BF1396">
        <v>0</v>
      </c>
      <c r="BG1396">
        <v>0</v>
      </c>
      <c r="BH1396">
        <v>1700</v>
      </c>
      <c r="BI1396">
        <v>1</v>
      </c>
      <c r="BJ1396">
        <v>1</v>
      </c>
      <c r="BK1396">
        <v>1</v>
      </c>
      <c r="BL1396">
        <v>0</v>
      </c>
      <c r="BO1396">
        <v>0</v>
      </c>
      <c r="BP1396">
        <v>0</v>
      </c>
      <c r="BW1396" t="str">
        <f>"20:20:22.842"</f>
        <v>20:20:22.842</v>
      </c>
      <c r="BZ1396">
        <v>0</v>
      </c>
      <c r="CA1396">
        <v>2016</v>
      </c>
      <c r="CB1396">
        <v>224</v>
      </c>
      <c r="CD1396">
        <v>1</v>
      </c>
      <c r="CE1396">
        <v>0</v>
      </c>
      <c r="CF1396">
        <v>0</v>
      </c>
      <c r="CG1396">
        <v>1</v>
      </c>
      <c r="CH1396">
        <v>0</v>
      </c>
      <c r="CI1396">
        <v>0</v>
      </c>
      <c r="CJ1396">
        <v>0</v>
      </c>
      <c r="CK1396">
        <v>2</v>
      </c>
      <c r="CL1396">
        <v>0</v>
      </c>
      <c r="CM1396">
        <v>2</v>
      </c>
      <c r="CN1396">
        <v>0</v>
      </c>
      <c r="CO1396">
        <v>7</v>
      </c>
      <c r="CP1396" t="s">
        <v>119</v>
      </c>
      <c r="CQ1396">
        <v>180</v>
      </c>
      <c r="CR1396">
        <v>2</v>
      </c>
      <c r="CW1396">
        <v>8183330</v>
      </c>
      <c r="CY1396">
        <v>1</v>
      </c>
      <c r="CZ1396">
        <v>0</v>
      </c>
      <c r="DA1396">
        <v>1</v>
      </c>
      <c r="DB1396">
        <v>0</v>
      </c>
      <c r="DC1396">
        <v>0</v>
      </c>
      <c r="DD1396">
        <v>0</v>
      </c>
      <c r="DE1396">
        <v>0</v>
      </c>
      <c r="DF1396">
        <v>0</v>
      </c>
      <c r="DG1396">
        <v>0</v>
      </c>
      <c r="DH1396">
        <v>0</v>
      </c>
      <c r="DI1396">
        <v>0</v>
      </c>
    </row>
    <row r="1397" spans="1:113" x14ac:dyDescent="0.3">
      <c r="A1397" t="str">
        <f>"02/08/2021 20:20:20.524"</f>
        <v>02/08/2021 20:20:20.524</v>
      </c>
      <c r="C1397" t="str">
        <f t="shared" si="65"/>
        <v>FFDFD7C0</v>
      </c>
      <c r="D1397" t="s">
        <v>124</v>
      </c>
      <c r="E1397">
        <v>11</v>
      </c>
      <c r="F1397">
        <v>1011</v>
      </c>
      <c r="G1397" t="s">
        <v>590</v>
      </c>
      <c r="J1397" t="s">
        <v>125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S1397" t="str">
        <f>"20:20:22.836"</f>
        <v>20:20:22.836</v>
      </c>
      <c r="T1397" t="str">
        <f>"20:20:22.336"</f>
        <v>20:20:22.336</v>
      </c>
      <c r="U1397" t="str">
        <f t="shared" si="64"/>
        <v>AB01F4</v>
      </c>
      <c r="V1397">
        <v>0</v>
      </c>
      <c r="W1397">
        <v>0</v>
      </c>
      <c r="X1397">
        <v>2</v>
      </c>
      <c r="Z1397">
        <v>0</v>
      </c>
      <c r="AA1397">
        <v>9</v>
      </c>
      <c r="AB1397">
        <v>3</v>
      </c>
      <c r="AC1397">
        <v>0</v>
      </c>
      <c r="AD1397">
        <v>10</v>
      </c>
      <c r="AE1397">
        <v>0</v>
      </c>
      <c r="AF1397">
        <v>3</v>
      </c>
      <c r="AG1397">
        <v>2</v>
      </c>
      <c r="AH1397">
        <v>0</v>
      </c>
      <c r="AI1397" t="s">
        <v>959</v>
      </c>
      <c r="AJ1397">
        <v>39.800955999999999</v>
      </c>
      <c r="AK1397" t="s">
        <v>729</v>
      </c>
      <c r="AL1397">
        <v>-92.519537999999997</v>
      </c>
      <c r="AM1397">
        <v>100</v>
      </c>
      <c r="AN1397">
        <v>1700</v>
      </c>
      <c r="AO1397" t="s">
        <v>118</v>
      </c>
      <c r="AP1397">
        <v>-26</v>
      </c>
      <c r="AQ1397">
        <v>119</v>
      </c>
      <c r="AR1397">
        <v>0</v>
      </c>
      <c r="AZ1397">
        <v>1200</v>
      </c>
      <c r="BA1397">
        <v>1</v>
      </c>
      <c r="BB1397" t="str">
        <f t="shared" si="66"/>
        <v xml:space="preserve">N8080G  </v>
      </c>
      <c r="BC1397">
        <v>1</v>
      </c>
      <c r="BE1397">
        <v>0</v>
      </c>
      <c r="BF1397">
        <v>0</v>
      </c>
      <c r="BG1397">
        <v>0</v>
      </c>
      <c r="BH1397">
        <v>1700</v>
      </c>
      <c r="BI1397">
        <v>1</v>
      </c>
      <c r="BJ1397">
        <v>1</v>
      </c>
      <c r="BK1397">
        <v>1</v>
      </c>
      <c r="BL1397">
        <v>0</v>
      </c>
      <c r="BO1397">
        <v>0</v>
      </c>
      <c r="BP1397">
        <v>0</v>
      </c>
      <c r="BW1397" t="str">
        <f>"20:20:22.842"</f>
        <v>20:20:22.842</v>
      </c>
      <c r="BZ1397">
        <v>0</v>
      </c>
      <c r="CA1397">
        <v>2016</v>
      </c>
      <c r="CB1397">
        <v>224</v>
      </c>
      <c r="CD1397">
        <v>1</v>
      </c>
      <c r="CE1397">
        <v>0</v>
      </c>
      <c r="CF1397">
        <v>0</v>
      </c>
      <c r="CG1397">
        <v>1</v>
      </c>
      <c r="CH1397">
        <v>0</v>
      </c>
      <c r="CI1397">
        <v>0</v>
      </c>
      <c r="CJ1397">
        <v>0</v>
      </c>
      <c r="CK1397">
        <v>2</v>
      </c>
      <c r="CL1397">
        <v>0</v>
      </c>
      <c r="CM1397">
        <v>2</v>
      </c>
      <c r="CN1397">
        <v>0</v>
      </c>
      <c r="CO1397">
        <v>7</v>
      </c>
      <c r="CP1397" t="s">
        <v>119</v>
      </c>
      <c r="CQ1397">
        <v>180</v>
      </c>
      <c r="CR1397">
        <v>2</v>
      </c>
      <c r="CW1397">
        <v>8183330</v>
      </c>
      <c r="CY1397">
        <v>1</v>
      </c>
      <c r="CZ1397">
        <v>0</v>
      </c>
      <c r="DA1397">
        <v>1</v>
      </c>
      <c r="DB1397">
        <v>0</v>
      </c>
      <c r="DC1397">
        <v>0</v>
      </c>
      <c r="DD1397">
        <v>0</v>
      </c>
      <c r="DE1397">
        <v>0</v>
      </c>
      <c r="DF1397">
        <v>0</v>
      </c>
      <c r="DG1397">
        <v>0</v>
      </c>
      <c r="DH1397">
        <v>0</v>
      </c>
      <c r="DI1397">
        <v>0</v>
      </c>
    </row>
    <row r="1398" spans="1:113" x14ac:dyDescent="0.3">
      <c r="A1398" t="str">
        <f>"02/08/2021 20:20:20.524"</f>
        <v>02/08/2021 20:20:20.524</v>
      </c>
      <c r="C1398" t="str">
        <f t="shared" si="65"/>
        <v>FFDFD7C0</v>
      </c>
      <c r="D1398" t="s">
        <v>113</v>
      </c>
      <c r="E1398">
        <v>6</v>
      </c>
      <c r="H1398">
        <v>165</v>
      </c>
      <c r="I1398" t="s">
        <v>114</v>
      </c>
      <c r="J1398" t="s">
        <v>115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S1398" t="str">
        <f>"20:20:22.836"</f>
        <v>20:20:22.836</v>
      </c>
      <c r="T1398" t="str">
        <f>"20:20:22.336"</f>
        <v>20:20:22.336</v>
      </c>
      <c r="U1398" t="str">
        <f t="shared" si="64"/>
        <v>AB01F4</v>
      </c>
      <c r="V1398">
        <v>0</v>
      </c>
      <c r="W1398">
        <v>0</v>
      </c>
      <c r="X1398">
        <v>2</v>
      </c>
      <c r="Z1398">
        <v>0</v>
      </c>
      <c r="AA1398">
        <v>9</v>
      </c>
      <c r="AB1398">
        <v>3</v>
      </c>
      <c r="AC1398">
        <v>0</v>
      </c>
      <c r="AD1398">
        <v>10</v>
      </c>
      <c r="AE1398">
        <v>0</v>
      </c>
      <c r="AF1398">
        <v>3</v>
      </c>
      <c r="AG1398">
        <v>2</v>
      </c>
      <c r="AH1398">
        <v>0</v>
      </c>
      <c r="AI1398" t="s">
        <v>959</v>
      </c>
      <c r="AJ1398">
        <v>39.800955999999999</v>
      </c>
      <c r="AK1398" t="s">
        <v>729</v>
      </c>
      <c r="AL1398">
        <v>-92.519537999999997</v>
      </c>
      <c r="AM1398">
        <v>100</v>
      </c>
      <c r="AN1398">
        <v>1700</v>
      </c>
      <c r="AO1398" t="s">
        <v>118</v>
      </c>
      <c r="AP1398">
        <v>-26</v>
      </c>
      <c r="AQ1398">
        <v>119</v>
      </c>
      <c r="AR1398">
        <v>0</v>
      </c>
      <c r="AZ1398">
        <v>1200</v>
      </c>
      <c r="BA1398">
        <v>1</v>
      </c>
      <c r="BB1398" t="str">
        <f t="shared" si="66"/>
        <v xml:space="preserve">N8080G  </v>
      </c>
      <c r="BC1398">
        <v>1</v>
      </c>
      <c r="BE1398">
        <v>0</v>
      </c>
      <c r="BF1398">
        <v>0</v>
      </c>
      <c r="BG1398">
        <v>0</v>
      </c>
      <c r="BH1398">
        <v>1700</v>
      </c>
      <c r="BI1398">
        <v>1</v>
      </c>
      <c r="BJ1398">
        <v>1</v>
      </c>
      <c r="BK1398">
        <v>1</v>
      </c>
      <c r="BL1398">
        <v>0</v>
      </c>
      <c r="BO1398">
        <v>0</v>
      </c>
      <c r="BP1398">
        <v>0</v>
      </c>
      <c r="BW1398" t="str">
        <f>"20:20:22.842"</f>
        <v>20:20:22.842</v>
      </c>
      <c r="BZ1398">
        <v>0</v>
      </c>
      <c r="CA1398">
        <v>2016</v>
      </c>
      <c r="CB1398">
        <v>224</v>
      </c>
      <c r="CD1398">
        <v>1</v>
      </c>
      <c r="CE1398">
        <v>0</v>
      </c>
      <c r="CF1398">
        <v>0</v>
      </c>
      <c r="CG1398">
        <v>1</v>
      </c>
      <c r="CH1398">
        <v>0</v>
      </c>
      <c r="CI1398">
        <v>0</v>
      </c>
      <c r="CJ1398">
        <v>0</v>
      </c>
      <c r="CK1398">
        <v>2</v>
      </c>
      <c r="CL1398">
        <v>0</v>
      </c>
      <c r="CM1398">
        <v>2</v>
      </c>
      <c r="CN1398">
        <v>0</v>
      </c>
      <c r="CO1398">
        <v>7</v>
      </c>
      <c r="CP1398" t="s">
        <v>119</v>
      </c>
      <c r="CQ1398">
        <v>180</v>
      </c>
      <c r="CR1398">
        <v>2</v>
      </c>
      <c r="CW1398">
        <v>8183330</v>
      </c>
      <c r="CY1398">
        <v>1</v>
      </c>
      <c r="CZ1398">
        <v>0</v>
      </c>
      <c r="DA1398">
        <v>1</v>
      </c>
      <c r="DB1398">
        <v>0</v>
      </c>
      <c r="DC1398">
        <v>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0</v>
      </c>
    </row>
    <row r="1399" spans="1:113" x14ac:dyDescent="0.3">
      <c r="A1399" t="str">
        <f>"02/08/2021 20:20:21.949"</f>
        <v>02/08/2021 20:20:21.949</v>
      </c>
      <c r="C1399" t="str">
        <f t="shared" si="65"/>
        <v>FFDFD7C0</v>
      </c>
      <c r="D1399" t="s">
        <v>124</v>
      </c>
      <c r="E1399">
        <v>13</v>
      </c>
      <c r="F1399">
        <v>1013</v>
      </c>
      <c r="G1399" t="s">
        <v>114</v>
      </c>
      <c r="J1399" t="s">
        <v>125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S1399" t="str">
        <f>"20:20:24.250"</f>
        <v>20:20:24.250</v>
      </c>
      <c r="T1399" t="str">
        <f>"20:20:23.850"</f>
        <v>20:20:23.850</v>
      </c>
      <c r="U1399" t="str">
        <f t="shared" si="64"/>
        <v>AB01F4</v>
      </c>
      <c r="V1399">
        <v>0</v>
      </c>
      <c r="W1399">
        <v>0</v>
      </c>
      <c r="X1399">
        <v>2</v>
      </c>
      <c r="Z1399">
        <v>0</v>
      </c>
      <c r="AA1399">
        <v>9</v>
      </c>
      <c r="AB1399">
        <v>3</v>
      </c>
      <c r="AC1399">
        <v>0</v>
      </c>
      <c r="AD1399">
        <v>10</v>
      </c>
      <c r="AE1399">
        <v>0</v>
      </c>
      <c r="AF1399">
        <v>3</v>
      </c>
      <c r="AG1399">
        <v>2</v>
      </c>
      <c r="AH1399">
        <v>0</v>
      </c>
      <c r="AI1399" t="s">
        <v>960</v>
      </c>
      <c r="AJ1399">
        <v>39.801749999999998</v>
      </c>
      <c r="AK1399" t="s">
        <v>961</v>
      </c>
      <c r="AL1399">
        <v>-92.519773999999998</v>
      </c>
      <c r="AM1399">
        <v>100</v>
      </c>
      <c r="AN1399">
        <v>1700</v>
      </c>
      <c r="AO1399" t="s">
        <v>118</v>
      </c>
      <c r="AP1399">
        <v>-26</v>
      </c>
      <c r="AQ1399">
        <v>119</v>
      </c>
      <c r="AR1399">
        <v>64</v>
      </c>
      <c r="AZ1399">
        <v>1200</v>
      </c>
      <c r="BA1399">
        <v>1</v>
      </c>
      <c r="BB1399" t="str">
        <f t="shared" si="66"/>
        <v xml:space="preserve">N8080G  </v>
      </c>
      <c r="BC1399">
        <v>1</v>
      </c>
      <c r="BE1399">
        <v>0</v>
      </c>
      <c r="BF1399">
        <v>0</v>
      </c>
      <c r="BG1399">
        <v>0</v>
      </c>
      <c r="BH1399">
        <v>1700</v>
      </c>
      <c r="BI1399">
        <v>1</v>
      </c>
      <c r="BJ1399">
        <v>1</v>
      </c>
      <c r="BK1399">
        <v>1</v>
      </c>
      <c r="BL1399">
        <v>0</v>
      </c>
      <c r="BO1399">
        <v>0</v>
      </c>
      <c r="BP1399">
        <v>0</v>
      </c>
      <c r="BW1399" t="str">
        <f>"20:20:24.257"</f>
        <v>20:20:24.257</v>
      </c>
      <c r="BZ1399">
        <v>0</v>
      </c>
      <c r="CA1399">
        <v>2016</v>
      </c>
      <c r="CB1399">
        <v>224</v>
      </c>
      <c r="CD1399">
        <v>1</v>
      </c>
      <c r="CE1399">
        <v>0</v>
      </c>
      <c r="CF1399">
        <v>0</v>
      </c>
      <c r="CG1399">
        <v>1</v>
      </c>
      <c r="CH1399">
        <v>0</v>
      </c>
      <c r="CI1399">
        <v>0</v>
      </c>
      <c r="CJ1399">
        <v>0</v>
      </c>
      <c r="CK1399">
        <v>2</v>
      </c>
      <c r="CL1399">
        <v>0</v>
      </c>
      <c r="CM1399">
        <v>2</v>
      </c>
      <c r="CN1399">
        <v>0</v>
      </c>
      <c r="CO1399">
        <v>7</v>
      </c>
      <c r="CP1399" t="s">
        <v>119</v>
      </c>
      <c r="CQ1399">
        <v>180</v>
      </c>
      <c r="CR1399">
        <v>2</v>
      </c>
      <c r="CW1399">
        <v>8184538</v>
      </c>
      <c r="CY1399">
        <v>1</v>
      </c>
      <c r="CZ1399">
        <v>0</v>
      </c>
      <c r="DA1399">
        <v>0</v>
      </c>
      <c r="DB1399">
        <v>0</v>
      </c>
      <c r="DC1399">
        <v>0</v>
      </c>
      <c r="DD1399">
        <v>0</v>
      </c>
      <c r="DE1399">
        <v>0</v>
      </c>
      <c r="DF1399">
        <v>0</v>
      </c>
      <c r="DG1399">
        <v>0</v>
      </c>
      <c r="DH1399">
        <v>0</v>
      </c>
      <c r="DI1399">
        <v>0</v>
      </c>
    </row>
    <row r="1400" spans="1:113" x14ac:dyDescent="0.3">
      <c r="A1400" t="str">
        <f>"02/08/2021 20:20:21.949"</f>
        <v>02/08/2021 20:20:21.949</v>
      </c>
      <c r="C1400" t="str">
        <f t="shared" si="65"/>
        <v>FFDFD7C0</v>
      </c>
      <c r="D1400" t="s">
        <v>124</v>
      </c>
      <c r="E1400">
        <v>11</v>
      </c>
      <c r="F1400">
        <v>1011</v>
      </c>
      <c r="G1400" t="s">
        <v>590</v>
      </c>
      <c r="J1400" t="s">
        <v>125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S1400" t="str">
        <f>"20:20:24.250"</f>
        <v>20:20:24.250</v>
      </c>
      <c r="T1400" t="str">
        <f>"20:20:23.850"</f>
        <v>20:20:23.850</v>
      </c>
      <c r="U1400" t="str">
        <f t="shared" si="64"/>
        <v>AB01F4</v>
      </c>
      <c r="V1400">
        <v>0</v>
      </c>
      <c r="W1400">
        <v>0</v>
      </c>
      <c r="X1400">
        <v>2</v>
      </c>
      <c r="Z1400">
        <v>0</v>
      </c>
      <c r="AA1400">
        <v>9</v>
      </c>
      <c r="AB1400">
        <v>3</v>
      </c>
      <c r="AC1400">
        <v>0</v>
      </c>
      <c r="AD1400">
        <v>10</v>
      </c>
      <c r="AE1400">
        <v>0</v>
      </c>
      <c r="AF1400">
        <v>3</v>
      </c>
      <c r="AG1400">
        <v>2</v>
      </c>
      <c r="AH1400">
        <v>0</v>
      </c>
      <c r="AI1400" t="s">
        <v>960</v>
      </c>
      <c r="AJ1400">
        <v>39.801749999999998</v>
      </c>
      <c r="AK1400" t="s">
        <v>961</v>
      </c>
      <c r="AL1400">
        <v>-92.519773999999998</v>
      </c>
      <c r="AM1400">
        <v>100</v>
      </c>
      <c r="AN1400">
        <v>1700</v>
      </c>
      <c r="AO1400" t="s">
        <v>118</v>
      </c>
      <c r="AP1400">
        <v>-26</v>
      </c>
      <c r="AQ1400">
        <v>119</v>
      </c>
      <c r="AR1400">
        <v>64</v>
      </c>
      <c r="AZ1400">
        <v>1200</v>
      </c>
      <c r="BA1400">
        <v>1</v>
      </c>
      <c r="BB1400" t="str">
        <f t="shared" si="66"/>
        <v xml:space="preserve">N8080G  </v>
      </c>
      <c r="BC1400">
        <v>1</v>
      </c>
      <c r="BE1400">
        <v>0</v>
      </c>
      <c r="BF1400">
        <v>0</v>
      </c>
      <c r="BG1400">
        <v>0</v>
      </c>
      <c r="BH1400">
        <v>1700</v>
      </c>
      <c r="BI1400">
        <v>1</v>
      </c>
      <c r="BJ1400">
        <v>1</v>
      </c>
      <c r="BK1400">
        <v>1</v>
      </c>
      <c r="BL1400">
        <v>0</v>
      </c>
      <c r="BO1400">
        <v>0</v>
      </c>
      <c r="BP1400">
        <v>0</v>
      </c>
      <c r="BW1400" t="str">
        <f>"20:20:24.257"</f>
        <v>20:20:24.257</v>
      </c>
      <c r="BZ1400">
        <v>0</v>
      </c>
      <c r="CA1400">
        <v>2016</v>
      </c>
      <c r="CB1400">
        <v>224</v>
      </c>
      <c r="CD1400">
        <v>1</v>
      </c>
      <c r="CE1400">
        <v>0</v>
      </c>
      <c r="CF1400">
        <v>0</v>
      </c>
      <c r="CG1400">
        <v>1</v>
      </c>
      <c r="CH1400">
        <v>0</v>
      </c>
      <c r="CI1400">
        <v>0</v>
      </c>
      <c r="CJ1400">
        <v>0</v>
      </c>
      <c r="CK1400">
        <v>2</v>
      </c>
      <c r="CL1400">
        <v>0</v>
      </c>
      <c r="CM1400">
        <v>2</v>
      </c>
      <c r="CN1400">
        <v>0</v>
      </c>
      <c r="CO1400">
        <v>7</v>
      </c>
      <c r="CP1400" t="s">
        <v>119</v>
      </c>
      <c r="CQ1400">
        <v>180</v>
      </c>
      <c r="CR1400">
        <v>2</v>
      </c>
      <c r="CW1400">
        <v>8184538</v>
      </c>
      <c r="CY1400">
        <v>1</v>
      </c>
      <c r="CZ1400">
        <v>0</v>
      </c>
      <c r="DA1400">
        <v>1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0</v>
      </c>
    </row>
    <row r="1401" spans="1:113" x14ac:dyDescent="0.3">
      <c r="A1401" t="str">
        <f>"02/08/2021 20:20:21.949"</f>
        <v>02/08/2021 20:20:21.949</v>
      </c>
      <c r="C1401" t="str">
        <f t="shared" si="65"/>
        <v>FFDFD7C0</v>
      </c>
      <c r="D1401" t="s">
        <v>124</v>
      </c>
      <c r="E1401">
        <v>12</v>
      </c>
      <c r="F1401">
        <v>1012</v>
      </c>
      <c r="G1401" t="s">
        <v>675</v>
      </c>
      <c r="J1401" t="s">
        <v>125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S1401" t="str">
        <f>"20:20:24.250"</f>
        <v>20:20:24.250</v>
      </c>
      <c r="T1401" t="str">
        <f>"20:20:23.850"</f>
        <v>20:20:23.850</v>
      </c>
      <c r="U1401" t="str">
        <f t="shared" si="64"/>
        <v>AB01F4</v>
      </c>
      <c r="V1401">
        <v>0</v>
      </c>
      <c r="W1401">
        <v>0</v>
      </c>
      <c r="X1401">
        <v>2</v>
      </c>
      <c r="Z1401">
        <v>0</v>
      </c>
      <c r="AA1401">
        <v>9</v>
      </c>
      <c r="AB1401">
        <v>3</v>
      </c>
      <c r="AC1401">
        <v>0</v>
      </c>
      <c r="AD1401">
        <v>10</v>
      </c>
      <c r="AE1401">
        <v>0</v>
      </c>
      <c r="AF1401">
        <v>3</v>
      </c>
      <c r="AG1401">
        <v>2</v>
      </c>
      <c r="AH1401">
        <v>0</v>
      </c>
      <c r="AI1401" t="s">
        <v>960</v>
      </c>
      <c r="AJ1401">
        <v>39.801749999999998</v>
      </c>
      <c r="AK1401" t="s">
        <v>961</v>
      </c>
      <c r="AL1401">
        <v>-92.519773999999998</v>
      </c>
      <c r="AM1401">
        <v>100</v>
      </c>
      <c r="AN1401">
        <v>1700</v>
      </c>
      <c r="AO1401" t="s">
        <v>118</v>
      </c>
      <c r="AP1401">
        <v>-26</v>
      </c>
      <c r="AQ1401">
        <v>119</v>
      </c>
      <c r="AR1401">
        <v>64</v>
      </c>
      <c r="AZ1401">
        <v>1200</v>
      </c>
      <c r="BA1401">
        <v>1</v>
      </c>
      <c r="BB1401" t="str">
        <f t="shared" si="66"/>
        <v xml:space="preserve">N8080G  </v>
      </c>
      <c r="BC1401">
        <v>1</v>
      </c>
      <c r="BE1401">
        <v>0</v>
      </c>
      <c r="BF1401">
        <v>0</v>
      </c>
      <c r="BG1401">
        <v>0</v>
      </c>
      <c r="BH1401">
        <v>1700</v>
      </c>
      <c r="BI1401">
        <v>1</v>
      </c>
      <c r="BJ1401">
        <v>1</v>
      </c>
      <c r="BK1401">
        <v>1</v>
      </c>
      <c r="BL1401">
        <v>0</v>
      </c>
      <c r="BO1401">
        <v>0</v>
      </c>
      <c r="BP1401">
        <v>0</v>
      </c>
      <c r="BW1401" t="str">
        <f>"20:20:24.257"</f>
        <v>20:20:24.257</v>
      </c>
      <c r="BZ1401">
        <v>0</v>
      </c>
      <c r="CA1401">
        <v>2016</v>
      </c>
      <c r="CB1401">
        <v>224</v>
      </c>
      <c r="CD1401">
        <v>1</v>
      </c>
      <c r="CE1401">
        <v>0</v>
      </c>
      <c r="CF1401">
        <v>0</v>
      </c>
      <c r="CG1401">
        <v>1</v>
      </c>
      <c r="CH1401">
        <v>0</v>
      </c>
      <c r="CI1401">
        <v>0</v>
      </c>
      <c r="CJ1401">
        <v>0</v>
      </c>
      <c r="CK1401">
        <v>2</v>
      </c>
      <c r="CL1401">
        <v>0</v>
      </c>
      <c r="CM1401">
        <v>2</v>
      </c>
      <c r="CN1401">
        <v>0</v>
      </c>
      <c r="CO1401">
        <v>7</v>
      </c>
      <c r="CP1401" t="s">
        <v>119</v>
      </c>
      <c r="CQ1401">
        <v>180</v>
      </c>
      <c r="CR1401">
        <v>2</v>
      </c>
      <c r="CW1401">
        <v>8184538</v>
      </c>
      <c r="CY1401">
        <v>1</v>
      </c>
      <c r="CZ1401">
        <v>0</v>
      </c>
      <c r="DA1401">
        <v>1</v>
      </c>
      <c r="DB1401">
        <v>0</v>
      </c>
      <c r="DC1401">
        <v>0</v>
      </c>
      <c r="DD1401">
        <v>0</v>
      </c>
      <c r="DE1401">
        <v>0</v>
      </c>
      <c r="DF1401">
        <v>0</v>
      </c>
      <c r="DG1401">
        <v>0</v>
      </c>
      <c r="DH1401">
        <v>0</v>
      </c>
      <c r="DI1401">
        <v>0</v>
      </c>
    </row>
    <row r="1402" spans="1:113" x14ac:dyDescent="0.3">
      <c r="A1402" t="str">
        <f>"02/08/2021 20:20:21.949"</f>
        <v>02/08/2021 20:20:21.949</v>
      </c>
      <c r="C1402" t="str">
        <f t="shared" si="65"/>
        <v>FFDFD7C0</v>
      </c>
      <c r="D1402" t="s">
        <v>113</v>
      </c>
      <c r="E1402">
        <v>6</v>
      </c>
      <c r="H1402">
        <v>165</v>
      </c>
      <c r="I1402" t="s">
        <v>114</v>
      </c>
      <c r="J1402" t="s">
        <v>115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S1402" t="str">
        <f>"20:20:24.250"</f>
        <v>20:20:24.250</v>
      </c>
      <c r="T1402" t="str">
        <f>"20:20:23.850"</f>
        <v>20:20:23.850</v>
      </c>
      <c r="U1402" t="str">
        <f t="shared" si="64"/>
        <v>AB01F4</v>
      </c>
      <c r="V1402">
        <v>0</v>
      </c>
      <c r="W1402">
        <v>0</v>
      </c>
      <c r="X1402">
        <v>2</v>
      </c>
      <c r="Z1402">
        <v>0</v>
      </c>
      <c r="AA1402">
        <v>9</v>
      </c>
      <c r="AB1402">
        <v>3</v>
      </c>
      <c r="AC1402">
        <v>0</v>
      </c>
      <c r="AD1402">
        <v>10</v>
      </c>
      <c r="AE1402">
        <v>0</v>
      </c>
      <c r="AF1402">
        <v>3</v>
      </c>
      <c r="AG1402">
        <v>2</v>
      </c>
      <c r="AH1402">
        <v>0</v>
      </c>
      <c r="AI1402" t="s">
        <v>960</v>
      </c>
      <c r="AJ1402">
        <v>39.801749999999998</v>
      </c>
      <c r="AK1402" t="s">
        <v>961</v>
      </c>
      <c r="AL1402">
        <v>-92.519773999999998</v>
      </c>
      <c r="AM1402">
        <v>100</v>
      </c>
      <c r="AN1402">
        <v>1700</v>
      </c>
      <c r="AO1402" t="s">
        <v>118</v>
      </c>
      <c r="AP1402">
        <v>-26</v>
      </c>
      <c r="AQ1402">
        <v>119</v>
      </c>
      <c r="AR1402">
        <v>64</v>
      </c>
      <c r="AZ1402">
        <v>1200</v>
      </c>
      <c r="BA1402">
        <v>1</v>
      </c>
      <c r="BB1402" t="str">
        <f t="shared" si="66"/>
        <v xml:space="preserve">N8080G  </v>
      </c>
      <c r="BC1402">
        <v>1</v>
      </c>
      <c r="BE1402">
        <v>0</v>
      </c>
      <c r="BF1402">
        <v>0</v>
      </c>
      <c r="BG1402">
        <v>0</v>
      </c>
      <c r="BH1402">
        <v>1700</v>
      </c>
      <c r="BI1402">
        <v>1</v>
      </c>
      <c r="BJ1402">
        <v>1</v>
      </c>
      <c r="BK1402">
        <v>1</v>
      </c>
      <c r="BL1402">
        <v>0</v>
      </c>
      <c r="BO1402">
        <v>0</v>
      </c>
      <c r="BP1402">
        <v>0</v>
      </c>
      <c r="BW1402" t="str">
        <f>"20:20:24.257"</f>
        <v>20:20:24.257</v>
      </c>
      <c r="BZ1402">
        <v>0</v>
      </c>
      <c r="CA1402">
        <v>2016</v>
      </c>
      <c r="CB1402">
        <v>224</v>
      </c>
      <c r="CD1402">
        <v>1</v>
      </c>
      <c r="CE1402">
        <v>0</v>
      </c>
      <c r="CF1402">
        <v>0</v>
      </c>
      <c r="CG1402">
        <v>1</v>
      </c>
      <c r="CH1402">
        <v>0</v>
      </c>
      <c r="CI1402">
        <v>0</v>
      </c>
      <c r="CJ1402">
        <v>0</v>
      </c>
      <c r="CK1402">
        <v>2</v>
      </c>
      <c r="CL1402">
        <v>0</v>
      </c>
      <c r="CM1402">
        <v>2</v>
      </c>
      <c r="CN1402">
        <v>0</v>
      </c>
      <c r="CO1402">
        <v>7</v>
      </c>
      <c r="CP1402" t="s">
        <v>119</v>
      </c>
      <c r="CQ1402">
        <v>180</v>
      </c>
      <c r="CR1402">
        <v>2</v>
      </c>
      <c r="CW1402">
        <v>8184538</v>
      </c>
      <c r="CY1402">
        <v>1</v>
      </c>
      <c r="CZ1402">
        <v>0</v>
      </c>
      <c r="DA1402">
        <v>1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0</v>
      </c>
      <c r="DI1402">
        <v>0</v>
      </c>
    </row>
    <row r="1403" spans="1:113" x14ac:dyDescent="0.3">
      <c r="A1403" t="str">
        <f>"02/08/2021 20:20:23.519"</f>
        <v>02/08/2021 20:20:23.519</v>
      </c>
      <c r="C1403" t="str">
        <f t="shared" si="65"/>
        <v>FFDFD7C0</v>
      </c>
      <c r="D1403" t="s">
        <v>124</v>
      </c>
      <c r="E1403">
        <v>11</v>
      </c>
      <c r="F1403">
        <v>1011</v>
      </c>
      <c r="G1403" t="s">
        <v>590</v>
      </c>
      <c r="J1403" t="s">
        <v>125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S1403" t="str">
        <f>"20:20:25.875"</f>
        <v>20:20:25.875</v>
      </c>
      <c r="T1403" t="str">
        <f>"20:20:25.375"</f>
        <v>20:20:25.375</v>
      </c>
      <c r="U1403" t="str">
        <f t="shared" si="64"/>
        <v>AB01F4</v>
      </c>
      <c r="V1403">
        <v>0</v>
      </c>
      <c r="W1403">
        <v>0</v>
      </c>
      <c r="X1403">
        <v>2</v>
      </c>
      <c r="Z1403">
        <v>0</v>
      </c>
      <c r="AA1403">
        <v>9</v>
      </c>
      <c r="AB1403">
        <v>3</v>
      </c>
      <c r="AC1403">
        <v>0</v>
      </c>
      <c r="AD1403">
        <v>10</v>
      </c>
      <c r="AE1403">
        <v>0</v>
      </c>
      <c r="AF1403">
        <v>3</v>
      </c>
      <c r="AG1403">
        <v>2</v>
      </c>
      <c r="AH1403">
        <v>0</v>
      </c>
      <c r="AI1403" t="s">
        <v>962</v>
      </c>
      <c r="AJ1403">
        <v>39.802630000000001</v>
      </c>
      <c r="AK1403" t="s">
        <v>963</v>
      </c>
      <c r="AL1403">
        <v>-92.520009999999999</v>
      </c>
      <c r="AM1403">
        <v>100</v>
      </c>
      <c r="AN1403">
        <v>1700</v>
      </c>
      <c r="AO1403" t="s">
        <v>118</v>
      </c>
      <c r="AP1403">
        <v>-27</v>
      </c>
      <c r="AQ1403">
        <v>119</v>
      </c>
      <c r="AR1403">
        <v>0</v>
      </c>
      <c r="AZ1403">
        <v>1200</v>
      </c>
      <c r="BA1403">
        <v>1</v>
      </c>
      <c r="BB1403" t="str">
        <f t="shared" si="66"/>
        <v xml:space="preserve">N8080G  </v>
      </c>
      <c r="BC1403">
        <v>1</v>
      </c>
      <c r="BE1403">
        <v>0</v>
      </c>
      <c r="BF1403">
        <v>0</v>
      </c>
      <c r="BG1403">
        <v>0</v>
      </c>
      <c r="BH1403">
        <v>1700</v>
      </c>
      <c r="BI1403">
        <v>1</v>
      </c>
      <c r="BJ1403">
        <v>1</v>
      </c>
      <c r="BK1403">
        <v>1</v>
      </c>
      <c r="BL1403">
        <v>0</v>
      </c>
      <c r="BO1403">
        <v>0</v>
      </c>
      <c r="BP1403">
        <v>0</v>
      </c>
      <c r="BW1403" t="str">
        <f>"20:20:25.876"</f>
        <v>20:20:25.876</v>
      </c>
      <c r="BZ1403">
        <v>0</v>
      </c>
      <c r="CA1403">
        <v>2016</v>
      </c>
      <c r="CB1403">
        <v>224</v>
      </c>
      <c r="CD1403">
        <v>1</v>
      </c>
      <c r="CE1403">
        <v>0</v>
      </c>
      <c r="CF1403">
        <v>0</v>
      </c>
      <c r="CG1403">
        <v>1</v>
      </c>
      <c r="CH1403">
        <v>0</v>
      </c>
      <c r="CI1403">
        <v>0</v>
      </c>
      <c r="CJ1403">
        <v>0</v>
      </c>
      <c r="CK1403">
        <v>2</v>
      </c>
      <c r="CL1403">
        <v>0</v>
      </c>
      <c r="CM1403">
        <v>2</v>
      </c>
      <c r="CN1403">
        <v>0</v>
      </c>
      <c r="CO1403">
        <v>7</v>
      </c>
      <c r="CP1403" t="s">
        <v>119</v>
      </c>
      <c r="CQ1403">
        <v>180</v>
      </c>
      <c r="CR1403">
        <v>1</v>
      </c>
      <c r="CW1403">
        <v>10750687</v>
      </c>
      <c r="CY1403">
        <v>1</v>
      </c>
      <c r="CZ1403">
        <v>0</v>
      </c>
      <c r="DA1403">
        <v>0</v>
      </c>
      <c r="DB1403">
        <v>0</v>
      </c>
      <c r="DC1403">
        <v>0</v>
      </c>
      <c r="DD1403">
        <v>0</v>
      </c>
      <c r="DE1403">
        <v>0</v>
      </c>
      <c r="DF1403">
        <v>0</v>
      </c>
      <c r="DG1403">
        <v>0</v>
      </c>
      <c r="DH1403">
        <v>0</v>
      </c>
      <c r="DI1403">
        <v>0</v>
      </c>
    </row>
    <row r="1404" spans="1:113" x14ac:dyDescent="0.3">
      <c r="A1404" t="str">
        <f>"02/08/2021 20:20:23.519"</f>
        <v>02/08/2021 20:20:23.519</v>
      </c>
      <c r="C1404" t="str">
        <f t="shared" si="65"/>
        <v>FFDFD7C0</v>
      </c>
      <c r="D1404" t="s">
        <v>124</v>
      </c>
      <c r="E1404">
        <v>12</v>
      </c>
      <c r="F1404">
        <v>1012</v>
      </c>
      <c r="G1404" t="s">
        <v>675</v>
      </c>
      <c r="J1404" t="s">
        <v>125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S1404" t="str">
        <f>"20:20:25.875"</f>
        <v>20:20:25.875</v>
      </c>
      <c r="T1404" t="str">
        <f>"20:20:25.375"</f>
        <v>20:20:25.375</v>
      </c>
      <c r="U1404" t="str">
        <f t="shared" si="64"/>
        <v>AB01F4</v>
      </c>
      <c r="V1404">
        <v>0</v>
      </c>
      <c r="W1404">
        <v>0</v>
      </c>
      <c r="X1404">
        <v>2</v>
      </c>
      <c r="Z1404">
        <v>0</v>
      </c>
      <c r="AA1404">
        <v>9</v>
      </c>
      <c r="AB1404">
        <v>3</v>
      </c>
      <c r="AC1404">
        <v>0</v>
      </c>
      <c r="AD1404">
        <v>10</v>
      </c>
      <c r="AE1404">
        <v>0</v>
      </c>
      <c r="AF1404">
        <v>3</v>
      </c>
      <c r="AG1404">
        <v>2</v>
      </c>
      <c r="AH1404">
        <v>0</v>
      </c>
      <c r="AI1404" t="s">
        <v>962</v>
      </c>
      <c r="AJ1404">
        <v>39.802630000000001</v>
      </c>
      <c r="AK1404" t="s">
        <v>963</v>
      </c>
      <c r="AL1404">
        <v>-92.520009999999999</v>
      </c>
      <c r="AM1404">
        <v>100</v>
      </c>
      <c r="AN1404">
        <v>1700</v>
      </c>
      <c r="AO1404" t="s">
        <v>118</v>
      </c>
      <c r="AP1404">
        <v>-27</v>
      </c>
      <c r="AQ1404">
        <v>119</v>
      </c>
      <c r="AR1404">
        <v>0</v>
      </c>
      <c r="AZ1404">
        <v>1200</v>
      </c>
      <c r="BA1404">
        <v>1</v>
      </c>
      <c r="BB1404" t="str">
        <f t="shared" si="66"/>
        <v xml:space="preserve">N8080G  </v>
      </c>
      <c r="BC1404">
        <v>1</v>
      </c>
      <c r="BE1404">
        <v>0</v>
      </c>
      <c r="BF1404">
        <v>0</v>
      </c>
      <c r="BG1404">
        <v>0</v>
      </c>
      <c r="BH1404">
        <v>1700</v>
      </c>
      <c r="BI1404">
        <v>1</v>
      </c>
      <c r="BJ1404">
        <v>1</v>
      </c>
      <c r="BK1404">
        <v>1</v>
      </c>
      <c r="BL1404">
        <v>0</v>
      </c>
      <c r="BO1404">
        <v>0</v>
      </c>
      <c r="BP1404">
        <v>0</v>
      </c>
      <c r="BW1404" t="str">
        <f>"20:20:25.876"</f>
        <v>20:20:25.876</v>
      </c>
      <c r="BZ1404">
        <v>0</v>
      </c>
      <c r="CA1404">
        <v>2016</v>
      </c>
      <c r="CB1404">
        <v>224</v>
      </c>
      <c r="CD1404">
        <v>1</v>
      </c>
      <c r="CE1404">
        <v>0</v>
      </c>
      <c r="CF1404">
        <v>0</v>
      </c>
      <c r="CG1404">
        <v>1</v>
      </c>
      <c r="CH1404">
        <v>0</v>
      </c>
      <c r="CI1404">
        <v>0</v>
      </c>
      <c r="CJ1404">
        <v>0</v>
      </c>
      <c r="CK1404">
        <v>2</v>
      </c>
      <c r="CL1404">
        <v>0</v>
      </c>
      <c r="CM1404">
        <v>2</v>
      </c>
      <c r="CN1404">
        <v>0</v>
      </c>
      <c r="CO1404">
        <v>7</v>
      </c>
      <c r="CP1404" t="s">
        <v>119</v>
      </c>
      <c r="CQ1404">
        <v>180</v>
      </c>
      <c r="CR1404">
        <v>1</v>
      </c>
      <c r="CW1404">
        <v>10750687</v>
      </c>
      <c r="CY1404">
        <v>1</v>
      </c>
      <c r="CZ1404">
        <v>0</v>
      </c>
      <c r="DA1404">
        <v>1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</row>
    <row r="1405" spans="1:113" x14ac:dyDescent="0.3">
      <c r="A1405" t="str">
        <f>"02/08/2021 20:20:23.519"</f>
        <v>02/08/2021 20:20:23.519</v>
      </c>
      <c r="C1405" t="str">
        <f t="shared" si="65"/>
        <v>FFDFD7C0</v>
      </c>
      <c r="D1405" t="s">
        <v>113</v>
      </c>
      <c r="E1405">
        <v>6</v>
      </c>
      <c r="H1405">
        <v>165</v>
      </c>
      <c r="I1405" t="s">
        <v>114</v>
      </c>
      <c r="J1405" t="s">
        <v>115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S1405" t="str">
        <f>"20:20:25.875"</f>
        <v>20:20:25.875</v>
      </c>
      <c r="T1405" t="str">
        <f>"20:20:25.375"</f>
        <v>20:20:25.375</v>
      </c>
      <c r="U1405" t="str">
        <f t="shared" si="64"/>
        <v>AB01F4</v>
      </c>
      <c r="V1405">
        <v>0</v>
      </c>
      <c r="W1405">
        <v>0</v>
      </c>
      <c r="X1405">
        <v>2</v>
      </c>
      <c r="Z1405">
        <v>0</v>
      </c>
      <c r="AA1405">
        <v>9</v>
      </c>
      <c r="AB1405">
        <v>3</v>
      </c>
      <c r="AC1405">
        <v>0</v>
      </c>
      <c r="AD1405">
        <v>10</v>
      </c>
      <c r="AE1405">
        <v>0</v>
      </c>
      <c r="AF1405">
        <v>3</v>
      </c>
      <c r="AG1405">
        <v>2</v>
      </c>
      <c r="AH1405">
        <v>0</v>
      </c>
      <c r="AI1405" t="s">
        <v>962</v>
      </c>
      <c r="AJ1405">
        <v>39.802630000000001</v>
      </c>
      <c r="AK1405" t="s">
        <v>963</v>
      </c>
      <c r="AL1405">
        <v>-92.520009999999999</v>
      </c>
      <c r="AM1405">
        <v>100</v>
      </c>
      <c r="AN1405">
        <v>1700</v>
      </c>
      <c r="AO1405" t="s">
        <v>118</v>
      </c>
      <c r="AP1405">
        <v>-27</v>
      </c>
      <c r="AQ1405">
        <v>119</v>
      </c>
      <c r="AR1405">
        <v>0</v>
      </c>
      <c r="AZ1405">
        <v>1200</v>
      </c>
      <c r="BA1405">
        <v>1</v>
      </c>
      <c r="BB1405" t="str">
        <f t="shared" si="66"/>
        <v xml:space="preserve">N8080G  </v>
      </c>
      <c r="BC1405">
        <v>1</v>
      </c>
      <c r="BE1405">
        <v>0</v>
      </c>
      <c r="BF1405">
        <v>0</v>
      </c>
      <c r="BG1405">
        <v>0</v>
      </c>
      <c r="BH1405">
        <v>1700</v>
      </c>
      <c r="BI1405">
        <v>1</v>
      </c>
      <c r="BJ1405">
        <v>1</v>
      </c>
      <c r="BK1405">
        <v>1</v>
      </c>
      <c r="BL1405">
        <v>0</v>
      </c>
      <c r="BO1405">
        <v>0</v>
      </c>
      <c r="BP1405">
        <v>0</v>
      </c>
      <c r="BW1405" t="str">
        <f>"20:20:25.876"</f>
        <v>20:20:25.876</v>
      </c>
      <c r="BZ1405">
        <v>0</v>
      </c>
      <c r="CA1405">
        <v>2016</v>
      </c>
      <c r="CB1405">
        <v>224</v>
      </c>
      <c r="CD1405">
        <v>1</v>
      </c>
      <c r="CE1405">
        <v>0</v>
      </c>
      <c r="CF1405">
        <v>0</v>
      </c>
      <c r="CG1405">
        <v>1</v>
      </c>
      <c r="CH1405">
        <v>0</v>
      </c>
      <c r="CI1405">
        <v>0</v>
      </c>
      <c r="CJ1405">
        <v>0</v>
      </c>
      <c r="CK1405">
        <v>2</v>
      </c>
      <c r="CL1405">
        <v>0</v>
      </c>
      <c r="CM1405">
        <v>2</v>
      </c>
      <c r="CN1405">
        <v>0</v>
      </c>
      <c r="CO1405">
        <v>7</v>
      </c>
      <c r="CP1405" t="s">
        <v>119</v>
      </c>
      <c r="CQ1405">
        <v>180</v>
      </c>
      <c r="CR1405">
        <v>1</v>
      </c>
      <c r="CW1405">
        <v>10750687</v>
      </c>
      <c r="CY1405">
        <v>1</v>
      </c>
      <c r="CZ1405">
        <v>0</v>
      </c>
      <c r="DA1405">
        <v>1</v>
      </c>
      <c r="DB1405">
        <v>0</v>
      </c>
      <c r="DC1405">
        <v>0</v>
      </c>
      <c r="DD1405">
        <v>0</v>
      </c>
      <c r="DE1405">
        <v>0</v>
      </c>
      <c r="DF1405">
        <v>0</v>
      </c>
      <c r="DG1405">
        <v>0</v>
      </c>
      <c r="DH1405">
        <v>0</v>
      </c>
      <c r="DI1405">
        <v>0</v>
      </c>
    </row>
    <row r="1406" spans="1:113" x14ac:dyDescent="0.3">
      <c r="A1406" t="str">
        <f>"02/08/2021 20:20:23.519"</f>
        <v>02/08/2021 20:20:23.519</v>
      </c>
      <c r="C1406" t="str">
        <f t="shared" si="65"/>
        <v>FFDFD7C0</v>
      </c>
      <c r="D1406" t="s">
        <v>124</v>
      </c>
      <c r="E1406">
        <v>13</v>
      </c>
      <c r="F1406">
        <v>1013</v>
      </c>
      <c r="G1406" t="s">
        <v>114</v>
      </c>
      <c r="J1406" t="s">
        <v>125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S1406" t="str">
        <f>"20:20:25.875"</f>
        <v>20:20:25.875</v>
      </c>
      <c r="T1406" t="str">
        <f>"20:20:25.375"</f>
        <v>20:20:25.375</v>
      </c>
      <c r="U1406" t="str">
        <f t="shared" si="64"/>
        <v>AB01F4</v>
      </c>
      <c r="V1406">
        <v>0</v>
      </c>
      <c r="W1406">
        <v>0</v>
      </c>
      <c r="X1406">
        <v>2</v>
      </c>
      <c r="Z1406">
        <v>0</v>
      </c>
      <c r="AA1406">
        <v>9</v>
      </c>
      <c r="AB1406">
        <v>3</v>
      </c>
      <c r="AC1406">
        <v>0</v>
      </c>
      <c r="AD1406">
        <v>10</v>
      </c>
      <c r="AE1406">
        <v>0</v>
      </c>
      <c r="AF1406">
        <v>3</v>
      </c>
      <c r="AG1406">
        <v>2</v>
      </c>
      <c r="AH1406">
        <v>0</v>
      </c>
      <c r="AI1406" t="s">
        <v>962</v>
      </c>
      <c r="AJ1406">
        <v>39.802630000000001</v>
      </c>
      <c r="AK1406" t="s">
        <v>963</v>
      </c>
      <c r="AL1406">
        <v>-92.520009999999999</v>
      </c>
      <c r="AM1406">
        <v>100</v>
      </c>
      <c r="AN1406">
        <v>1700</v>
      </c>
      <c r="AO1406" t="s">
        <v>118</v>
      </c>
      <c r="AP1406">
        <v>-27</v>
      </c>
      <c r="AQ1406">
        <v>119</v>
      </c>
      <c r="AR1406">
        <v>0</v>
      </c>
      <c r="AZ1406">
        <v>1200</v>
      </c>
      <c r="BA1406">
        <v>1</v>
      </c>
      <c r="BB1406" t="str">
        <f t="shared" si="66"/>
        <v xml:space="preserve">N8080G  </v>
      </c>
      <c r="BC1406">
        <v>1</v>
      </c>
      <c r="BE1406">
        <v>0</v>
      </c>
      <c r="BF1406">
        <v>0</v>
      </c>
      <c r="BG1406">
        <v>0</v>
      </c>
      <c r="BH1406">
        <v>1700</v>
      </c>
      <c r="BI1406">
        <v>1</v>
      </c>
      <c r="BJ1406">
        <v>1</v>
      </c>
      <c r="BK1406">
        <v>1</v>
      </c>
      <c r="BL1406">
        <v>0</v>
      </c>
      <c r="BO1406">
        <v>0</v>
      </c>
      <c r="BP1406">
        <v>0</v>
      </c>
      <c r="BW1406" t="str">
        <f>"20:20:25.876"</f>
        <v>20:20:25.876</v>
      </c>
      <c r="BZ1406">
        <v>0</v>
      </c>
      <c r="CA1406">
        <v>2016</v>
      </c>
      <c r="CB1406">
        <v>224</v>
      </c>
      <c r="CD1406">
        <v>1</v>
      </c>
      <c r="CE1406">
        <v>0</v>
      </c>
      <c r="CF1406">
        <v>0</v>
      </c>
      <c r="CG1406">
        <v>1</v>
      </c>
      <c r="CH1406">
        <v>0</v>
      </c>
      <c r="CI1406">
        <v>0</v>
      </c>
      <c r="CJ1406">
        <v>0</v>
      </c>
      <c r="CK1406">
        <v>2</v>
      </c>
      <c r="CL1406">
        <v>0</v>
      </c>
      <c r="CM1406">
        <v>2</v>
      </c>
      <c r="CN1406">
        <v>0</v>
      </c>
      <c r="CO1406">
        <v>7</v>
      </c>
      <c r="CP1406" t="s">
        <v>119</v>
      </c>
      <c r="CQ1406">
        <v>180</v>
      </c>
      <c r="CR1406">
        <v>1</v>
      </c>
      <c r="CW1406">
        <v>10750687</v>
      </c>
      <c r="CY1406">
        <v>1</v>
      </c>
      <c r="CZ1406">
        <v>0</v>
      </c>
      <c r="DA1406">
        <v>1</v>
      </c>
      <c r="DB1406">
        <v>0</v>
      </c>
      <c r="DC1406">
        <v>0</v>
      </c>
      <c r="DD1406">
        <v>0</v>
      </c>
      <c r="DE1406">
        <v>0</v>
      </c>
      <c r="DF1406">
        <v>0</v>
      </c>
      <c r="DG1406">
        <v>0</v>
      </c>
      <c r="DH1406">
        <v>0</v>
      </c>
      <c r="DI1406">
        <v>0</v>
      </c>
    </row>
    <row r="1407" spans="1:113" x14ac:dyDescent="0.3">
      <c r="A1407" t="str">
        <f>"02/08/2021 20:20:26.789"</f>
        <v>02/08/2021 20:20:26.789</v>
      </c>
      <c r="C1407" t="str">
        <f t="shared" si="65"/>
        <v>FFDFD7C0</v>
      </c>
      <c r="D1407" t="s">
        <v>113</v>
      </c>
      <c r="E1407">
        <v>6</v>
      </c>
      <c r="H1407">
        <v>165</v>
      </c>
      <c r="I1407" t="s">
        <v>114</v>
      </c>
      <c r="J1407" t="s">
        <v>115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S1407" t="str">
        <f>"20:20:29.109"</f>
        <v>20:20:29.109</v>
      </c>
      <c r="T1407" t="str">
        <f>"20:20:28.609"</f>
        <v>20:20:28.609</v>
      </c>
      <c r="U1407" t="str">
        <f t="shared" si="64"/>
        <v>AB01F4</v>
      </c>
      <c r="V1407">
        <v>0</v>
      </c>
      <c r="W1407">
        <v>0</v>
      </c>
      <c r="X1407">
        <v>2</v>
      </c>
      <c r="Z1407">
        <v>0</v>
      </c>
      <c r="AA1407">
        <v>9</v>
      </c>
      <c r="AB1407">
        <v>3</v>
      </c>
      <c r="AC1407">
        <v>0</v>
      </c>
      <c r="AD1407">
        <v>10</v>
      </c>
      <c r="AE1407">
        <v>0</v>
      </c>
      <c r="AF1407">
        <v>3</v>
      </c>
      <c r="AG1407">
        <v>2</v>
      </c>
      <c r="AH1407">
        <v>0</v>
      </c>
      <c r="AI1407" t="s">
        <v>964</v>
      </c>
      <c r="AJ1407">
        <v>39.804431999999998</v>
      </c>
      <c r="AK1407" t="s">
        <v>965</v>
      </c>
      <c r="AL1407">
        <v>-92.520525000000006</v>
      </c>
      <c r="AM1407">
        <v>100</v>
      </c>
      <c r="AN1407">
        <v>1700</v>
      </c>
      <c r="AO1407" t="s">
        <v>118</v>
      </c>
      <c r="AP1407">
        <v>-27</v>
      </c>
      <c r="AQ1407">
        <v>120</v>
      </c>
      <c r="AR1407">
        <v>-192</v>
      </c>
      <c r="AZ1407">
        <v>1200</v>
      </c>
      <c r="BA1407">
        <v>1</v>
      </c>
      <c r="BB1407" t="str">
        <f t="shared" si="66"/>
        <v xml:space="preserve">N8080G  </v>
      </c>
      <c r="BC1407">
        <v>1</v>
      </c>
      <c r="BE1407">
        <v>0</v>
      </c>
      <c r="BF1407">
        <v>0</v>
      </c>
      <c r="BG1407">
        <v>0</v>
      </c>
      <c r="BH1407">
        <v>1700</v>
      </c>
      <c r="BI1407">
        <v>1</v>
      </c>
      <c r="BJ1407">
        <v>1</v>
      </c>
      <c r="BK1407">
        <v>1</v>
      </c>
      <c r="BL1407">
        <v>0</v>
      </c>
      <c r="BO1407">
        <v>0</v>
      </c>
      <c r="BP1407">
        <v>0</v>
      </c>
      <c r="BW1407" t="str">
        <f>"20:20:29.115"</f>
        <v>20:20:29.115</v>
      </c>
      <c r="BZ1407">
        <v>0</v>
      </c>
      <c r="CA1407">
        <v>2016</v>
      </c>
      <c r="CB1407">
        <v>224</v>
      </c>
      <c r="CD1407">
        <v>1</v>
      </c>
      <c r="CE1407">
        <v>0</v>
      </c>
      <c r="CF1407">
        <v>0</v>
      </c>
      <c r="CG1407">
        <v>1</v>
      </c>
      <c r="CH1407">
        <v>0</v>
      </c>
      <c r="CI1407">
        <v>0</v>
      </c>
      <c r="CJ1407">
        <v>0</v>
      </c>
      <c r="CK1407">
        <v>2</v>
      </c>
      <c r="CL1407">
        <v>0</v>
      </c>
      <c r="CM1407">
        <v>2</v>
      </c>
      <c r="CN1407">
        <v>0</v>
      </c>
      <c r="CO1407">
        <v>7</v>
      </c>
      <c r="CP1407" t="s">
        <v>119</v>
      </c>
      <c r="CQ1407">
        <v>180</v>
      </c>
      <c r="CR1407">
        <v>2</v>
      </c>
      <c r="CW1407">
        <v>8188631</v>
      </c>
      <c r="CY1407">
        <v>1</v>
      </c>
      <c r="CZ1407">
        <v>0</v>
      </c>
      <c r="DA1407">
        <v>0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>
        <v>0</v>
      </c>
      <c r="DH1407">
        <v>0</v>
      </c>
      <c r="DI1407">
        <v>0</v>
      </c>
    </row>
    <row r="1408" spans="1:113" x14ac:dyDescent="0.3">
      <c r="A1408" t="str">
        <f>"02/08/2021 20:20:26.789"</f>
        <v>02/08/2021 20:20:26.789</v>
      </c>
      <c r="C1408" t="str">
        <f t="shared" si="65"/>
        <v>FFDFD7C0</v>
      </c>
      <c r="D1408" t="s">
        <v>124</v>
      </c>
      <c r="E1408">
        <v>11</v>
      </c>
      <c r="F1408">
        <v>1011</v>
      </c>
      <c r="G1408" t="s">
        <v>590</v>
      </c>
      <c r="J1408" t="s">
        <v>125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S1408" t="str">
        <f>"20:20:29.109"</f>
        <v>20:20:29.109</v>
      </c>
      <c r="T1408" t="str">
        <f>"20:20:28.609"</f>
        <v>20:20:28.609</v>
      </c>
      <c r="U1408" t="str">
        <f t="shared" si="64"/>
        <v>AB01F4</v>
      </c>
      <c r="V1408">
        <v>0</v>
      </c>
      <c r="W1408">
        <v>0</v>
      </c>
      <c r="X1408">
        <v>2</v>
      </c>
      <c r="Z1408">
        <v>0</v>
      </c>
      <c r="AA1408">
        <v>9</v>
      </c>
      <c r="AB1408">
        <v>3</v>
      </c>
      <c r="AC1408">
        <v>0</v>
      </c>
      <c r="AD1408">
        <v>10</v>
      </c>
      <c r="AE1408">
        <v>0</v>
      </c>
      <c r="AF1408">
        <v>3</v>
      </c>
      <c r="AG1408">
        <v>2</v>
      </c>
      <c r="AH1408">
        <v>0</v>
      </c>
      <c r="AI1408" t="s">
        <v>964</v>
      </c>
      <c r="AJ1408">
        <v>39.804431999999998</v>
      </c>
      <c r="AK1408" t="s">
        <v>965</v>
      </c>
      <c r="AL1408">
        <v>-92.520525000000006</v>
      </c>
      <c r="AM1408">
        <v>100</v>
      </c>
      <c r="AN1408">
        <v>1700</v>
      </c>
      <c r="AO1408" t="s">
        <v>118</v>
      </c>
      <c r="AP1408">
        <v>-27</v>
      </c>
      <c r="AQ1408">
        <v>120</v>
      </c>
      <c r="AR1408">
        <v>-192</v>
      </c>
      <c r="AZ1408">
        <v>1200</v>
      </c>
      <c r="BA1408">
        <v>1</v>
      </c>
      <c r="BB1408" t="str">
        <f t="shared" si="66"/>
        <v xml:space="preserve">N8080G  </v>
      </c>
      <c r="BC1408">
        <v>1</v>
      </c>
      <c r="BE1408">
        <v>0</v>
      </c>
      <c r="BF1408">
        <v>0</v>
      </c>
      <c r="BG1408">
        <v>0</v>
      </c>
      <c r="BH1408">
        <v>1700</v>
      </c>
      <c r="BI1408">
        <v>1</v>
      </c>
      <c r="BJ1408">
        <v>1</v>
      </c>
      <c r="BK1408">
        <v>1</v>
      </c>
      <c r="BL1408">
        <v>0</v>
      </c>
      <c r="BO1408">
        <v>0</v>
      </c>
      <c r="BP1408">
        <v>0</v>
      </c>
      <c r="BW1408" t="str">
        <f>"20:20:29.115"</f>
        <v>20:20:29.115</v>
      </c>
      <c r="BZ1408">
        <v>0</v>
      </c>
      <c r="CA1408">
        <v>2016</v>
      </c>
      <c r="CB1408">
        <v>224</v>
      </c>
      <c r="CD1408">
        <v>1</v>
      </c>
      <c r="CE1408">
        <v>0</v>
      </c>
      <c r="CF1408">
        <v>0</v>
      </c>
      <c r="CG1408">
        <v>1</v>
      </c>
      <c r="CH1408">
        <v>0</v>
      </c>
      <c r="CI1408">
        <v>0</v>
      </c>
      <c r="CJ1408">
        <v>0</v>
      </c>
      <c r="CK1408">
        <v>2</v>
      </c>
      <c r="CL1408">
        <v>0</v>
      </c>
      <c r="CM1408">
        <v>2</v>
      </c>
      <c r="CN1408">
        <v>0</v>
      </c>
      <c r="CO1408">
        <v>7</v>
      </c>
      <c r="CP1408" t="s">
        <v>119</v>
      </c>
      <c r="CQ1408">
        <v>180</v>
      </c>
      <c r="CR1408">
        <v>2</v>
      </c>
      <c r="CW1408">
        <v>8188631</v>
      </c>
      <c r="CY1408">
        <v>1</v>
      </c>
      <c r="CZ1408">
        <v>0</v>
      </c>
      <c r="DA1408">
        <v>1</v>
      </c>
      <c r="DB1408">
        <v>0</v>
      </c>
      <c r="DC1408">
        <v>0</v>
      </c>
      <c r="DD1408">
        <v>0</v>
      </c>
      <c r="DE1408">
        <v>0</v>
      </c>
      <c r="DF1408">
        <v>0</v>
      </c>
      <c r="DG1408">
        <v>0</v>
      </c>
      <c r="DH1408">
        <v>0</v>
      </c>
      <c r="DI1408">
        <v>0</v>
      </c>
    </row>
    <row r="1409" spans="1:113" x14ac:dyDescent="0.3">
      <c r="A1409" t="str">
        <f>"02/08/2021 20:20:26.789"</f>
        <v>02/08/2021 20:20:26.789</v>
      </c>
      <c r="C1409" t="str">
        <f t="shared" si="65"/>
        <v>FFDFD7C0</v>
      </c>
      <c r="D1409" t="s">
        <v>124</v>
      </c>
      <c r="E1409">
        <v>12</v>
      </c>
      <c r="F1409">
        <v>1012</v>
      </c>
      <c r="G1409" t="s">
        <v>675</v>
      </c>
      <c r="J1409" t="s">
        <v>125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S1409" t="str">
        <f>"20:20:29.109"</f>
        <v>20:20:29.109</v>
      </c>
      <c r="T1409" t="str">
        <f>"20:20:28.609"</f>
        <v>20:20:28.609</v>
      </c>
      <c r="U1409" t="str">
        <f t="shared" si="64"/>
        <v>AB01F4</v>
      </c>
      <c r="V1409">
        <v>0</v>
      </c>
      <c r="W1409">
        <v>0</v>
      </c>
      <c r="X1409">
        <v>2</v>
      </c>
      <c r="Z1409">
        <v>0</v>
      </c>
      <c r="AA1409">
        <v>9</v>
      </c>
      <c r="AB1409">
        <v>3</v>
      </c>
      <c r="AC1409">
        <v>0</v>
      </c>
      <c r="AD1409">
        <v>10</v>
      </c>
      <c r="AE1409">
        <v>0</v>
      </c>
      <c r="AF1409">
        <v>3</v>
      </c>
      <c r="AG1409">
        <v>2</v>
      </c>
      <c r="AH1409">
        <v>0</v>
      </c>
      <c r="AI1409" t="s">
        <v>964</v>
      </c>
      <c r="AJ1409">
        <v>39.804431999999998</v>
      </c>
      <c r="AK1409" t="s">
        <v>965</v>
      </c>
      <c r="AL1409">
        <v>-92.520525000000006</v>
      </c>
      <c r="AM1409">
        <v>100</v>
      </c>
      <c r="AN1409">
        <v>1700</v>
      </c>
      <c r="AO1409" t="s">
        <v>118</v>
      </c>
      <c r="AP1409">
        <v>-27</v>
      </c>
      <c r="AQ1409">
        <v>120</v>
      </c>
      <c r="AR1409">
        <v>-192</v>
      </c>
      <c r="AZ1409">
        <v>1200</v>
      </c>
      <c r="BA1409">
        <v>1</v>
      </c>
      <c r="BB1409" t="str">
        <f t="shared" si="66"/>
        <v xml:space="preserve">N8080G  </v>
      </c>
      <c r="BC1409">
        <v>1</v>
      </c>
      <c r="BE1409">
        <v>0</v>
      </c>
      <c r="BF1409">
        <v>0</v>
      </c>
      <c r="BG1409">
        <v>0</v>
      </c>
      <c r="BH1409">
        <v>1700</v>
      </c>
      <c r="BI1409">
        <v>1</v>
      </c>
      <c r="BJ1409">
        <v>1</v>
      </c>
      <c r="BK1409">
        <v>1</v>
      </c>
      <c r="BL1409">
        <v>0</v>
      </c>
      <c r="BO1409">
        <v>0</v>
      </c>
      <c r="BP1409">
        <v>0</v>
      </c>
      <c r="BW1409" t="str">
        <f>"20:20:29.115"</f>
        <v>20:20:29.115</v>
      </c>
      <c r="BZ1409">
        <v>0</v>
      </c>
      <c r="CA1409">
        <v>2016</v>
      </c>
      <c r="CB1409">
        <v>224</v>
      </c>
      <c r="CD1409">
        <v>1</v>
      </c>
      <c r="CE1409">
        <v>0</v>
      </c>
      <c r="CF1409">
        <v>0</v>
      </c>
      <c r="CG1409">
        <v>1</v>
      </c>
      <c r="CH1409">
        <v>0</v>
      </c>
      <c r="CI1409">
        <v>0</v>
      </c>
      <c r="CJ1409">
        <v>0</v>
      </c>
      <c r="CK1409">
        <v>2</v>
      </c>
      <c r="CL1409">
        <v>0</v>
      </c>
      <c r="CM1409">
        <v>2</v>
      </c>
      <c r="CN1409">
        <v>0</v>
      </c>
      <c r="CO1409">
        <v>7</v>
      </c>
      <c r="CP1409" t="s">
        <v>119</v>
      </c>
      <c r="CQ1409">
        <v>180</v>
      </c>
      <c r="CR1409">
        <v>2</v>
      </c>
      <c r="CW1409">
        <v>8188631</v>
      </c>
      <c r="CY1409">
        <v>1</v>
      </c>
      <c r="CZ1409">
        <v>0</v>
      </c>
      <c r="DA1409">
        <v>1</v>
      </c>
      <c r="DB1409">
        <v>0</v>
      </c>
      <c r="DC1409">
        <v>0</v>
      </c>
      <c r="DD1409">
        <v>0</v>
      </c>
      <c r="DE1409">
        <v>0</v>
      </c>
      <c r="DF1409">
        <v>0</v>
      </c>
      <c r="DG1409">
        <v>0</v>
      </c>
      <c r="DH1409">
        <v>0</v>
      </c>
      <c r="DI1409">
        <v>0</v>
      </c>
    </row>
    <row r="1410" spans="1:113" x14ac:dyDescent="0.3">
      <c r="A1410" t="str">
        <f>"02/08/2021 20:20:26.789"</f>
        <v>02/08/2021 20:20:26.789</v>
      </c>
      <c r="C1410" t="str">
        <f t="shared" si="65"/>
        <v>FFDFD7C0</v>
      </c>
      <c r="D1410" t="s">
        <v>124</v>
      </c>
      <c r="E1410">
        <v>13</v>
      </c>
      <c r="F1410">
        <v>1013</v>
      </c>
      <c r="G1410" t="s">
        <v>114</v>
      </c>
      <c r="J1410" t="s">
        <v>125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S1410" t="str">
        <f>"20:20:29.109"</f>
        <v>20:20:29.109</v>
      </c>
      <c r="T1410" t="str">
        <f>"20:20:28.609"</f>
        <v>20:20:28.609</v>
      </c>
      <c r="U1410" t="str">
        <f t="shared" ref="U1410:U1473" si="67">"AB01F4"</f>
        <v>AB01F4</v>
      </c>
      <c r="V1410">
        <v>0</v>
      </c>
      <c r="W1410">
        <v>0</v>
      </c>
      <c r="X1410">
        <v>2</v>
      </c>
      <c r="Z1410">
        <v>0</v>
      </c>
      <c r="AA1410">
        <v>9</v>
      </c>
      <c r="AB1410">
        <v>3</v>
      </c>
      <c r="AC1410">
        <v>0</v>
      </c>
      <c r="AD1410">
        <v>10</v>
      </c>
      <c r="AE1410">
        <v>0</v>
      </c>
      <c r="AF1410">
        <v>3</v>
      </c>
      <c r="AG1410">
        <v>2</v>
      </c>
      <c r="AH1410">
        <v>0</v>
      </c>
      <c r="AI1410" t="s">
        <v>964</v>
      </c>
      <c r="AJ1410">
        <v>39.804431999999998</v>
      </c>
      <c r="AK1410" t="s">
        <v>965</v>
      </c>
      <c r="AL1410">
        <v>-92.520525000000006</v>
      </c>
      <c r="AM1410">
        <v>100</v>
      </c>
      <c r="AN1410">
        <v>1700</v>
      </c>
      <c r="AO1410" t="s">
        <v>118</v>
      </c>
      <c r="AP1410">
        <v>-27</v>
      </c>
      <c r="AQ1410">
        <v>120</v>
      </c>
      <c r="AR1410">
        <v>-192</v>
      </c>
      <c r="AZ1410">
        <v>1200</v>
      </c>
      <c r="BA1410">
        <v>1</v>
      </c>
      <c r="BB1410" t="str">
        <f t="shared" si="66"/>
        <v xml:space="preserve">N8080G  </v>
      </c>
      <c r="BC1410">
        <v>1</v>
      </c>
      <c r="BE1410">
        <v>0</v>
      </c>
      <c r="BF1410">
        <v>0</v>
      </c>
      <c r="BG1410">
        <v>0</v>
      </c>
      <c r="BH1410">
        <v>1700</v>
      </c>
      <c r="BI1410">
        <v>1</v>
      </c>
      <c r="BJ1410">
        <v>1</v>
      </c>
      <c r="BK1410">
        <v>1</v>
      </c>
      <c r="BL1410">
        <v>0</v>
      </c>
      <c r="BO1410">
        <v>0</v>
      </c>
      <c r="BP1410">
        <v>0</v>
      </c>
      <c r="BW1410" t="str">
        <f>"20:20:29.115"</f>
        <v>20:20:29.115</v>
      </c>
      <c r="BZ1410">
        <v>0</v>
      </c>
      <c r="CA1410">
        <v>2016</v>
      </c>
      <c r="CB1410">
        <v>224</v>
      </c>
      <c r="CD1410">
        <v>1</v>
      </c>
      <c r="CE1410">
        <v>0</v>
      </c>
      <c r="CF1410">
        <v>0</v>
      </c>
      <c r="CG1410">
        <v>1</v>
      </c>
      <c r="CH1410">
        <v>0</v>
      </c>
      <c r="CI1410">
        <v>0</v>
      </c>
      <c r="CJ1410">
        <v>0</v>
      </c>
      <c r="CK1410">
        <v>2</v>
      </c>
      <c r="CL1410">
        <v>0</v>
      </c>
      <c r="CM1410">
        <v>2</v>
      </c>
      <c r="CN1410">
        <v>0</v>
      </c>
      <c r="CO1410">
        <v>7</v>
      </c>
      <c r="CP1410" t="s">
        <v>119</v>
      </c>
      <c r="CQ1410">
        <v>180</v>
      </c>
      <c r="CR1410">
        <v>2</v>
      </c>
      <c r="CW1410">
        <v>8188631</v>
      </c>
      <c r="CY1410">
        <v>1</v>
      </c>
      <c r="CZ1410">
        <v>0</v>
      </c>
      <c r="DA1410">
        <v>1</v>
      </c>
      <c r="DB1410">
        <v>0</v>
      </c>
      <c r="DC1410">
        <v>0</v>
      </c>
      <c r="DD1410">
        <v>0</v>
      </c>
      <c r="DE1410">
        <v>0</v>
      </c>
      <c r="DF1410">
        <v>0</v>
      </c>
      <c r="DG1410">
        <v>0</v>
      </c>
      <c r="DH1410">
        <v>0</v>
      </c>
      <c r="DI1410">
        <v>0</v>
      </c>
    </row>
    <row r="1411" spans="1:113" x14ac:dyDescent="0.3">
      <c r="A1411" t="str">
        <f>"02/08/2021 20:20:28.508"</f>
        <v>02/08/2021 20:20:28.508</v>
      </c>
      <c r="C1411" t="str">
        <f t="shared" si="65"/>
        <v>FFDFD7C0</v>
      </c>
      <c r="D1411" t="s">
        <v>113</v>
      </c>
      <c r="E1411">
        <v>6</v>
      </c>
      <c r="H1411">
        <v>165</v>
      </c>
      <c r="I1411" t="s">
        <v>114</v>
      </c>
      <c r="J1411" t="s">
        <v>115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S1411" t="str">
        <f>"20:20:30.813"</f>
        <v>20:20:30.813</v>
      </c>
      <c r="T1411" t="str">
        <f>"20:20:30.313"</f>
        <v>20:20:30.313</v>
      </c>
      <c r="U1411" t="str">
        <f t="shared" si="67"/>
        <v>AB01F4</v>
      </c>
      <c r="V1411">
        <v>0</v>
      </c>
      <c r="W1411">
        <v>0</v>
      </c>
      <c r="X1411">
        <v>2</v>
      </c>
      <c r="Z1411">
        <v>0</v>
      </c>
      <c r="AA1411">
        <v>9</v>
      </c>
      <c r="AB1411">
        <v>3</v>
      </c>
      <c r="AC1411">
        <v>0</v>
      </c>
      <c r="AD1411">
        <v>10</v>
      </c>
      <c r="AE1411">
        <v>0</v>
      </c>
      <c r="AF1411">
        <v>3</v>
      </c>
      <c r="AG1411">
        <v>2</v>
      </c>
      <c r="AH1411">
        <v>0</v>
      </c>
      <c r="AI1411" t="s">
        <v>966</v>
      </c>
      <c r="AJ1411">
        <v>39.805377</v>
      </c>
      <c r="AK1411" t="s">
        <v>967</v>
      </c>
      <c r="AL1411">
        <v>-92.520803999999998</v>
      </c>
      <c r="AM1411">
        <v>100</v>
      </c>
      <c r="AN1411">
        <v>1700</v>
      </c>
      <c r="AO1411" t="s">
        <v>118</v>
      </c>
      <c r="AP1411">
        <v>-27</v>
      </c>
      <c r="AQ1411">
        <v>120</v>
      </c>
      <c r="AR1411">
        <v>-128</v>
      </c>
      <c r="AZ1411">
        <v>1200</v>
      </c>
      <c r="BA1411">
        <v>1</v>
      </c>
      <c r="BB1411" t="str">
        <f t="shared" si="66"/>
        <v xml:space="preserve">N8080G  </v>
      </c>
      <c r="BC1411">
        <v>1</v>
      </c>
      <c r="BE1411">
        <v>0</v>
      </c>
      <c r="BF1411">
        <v>0</v>
      </c>
      <c r="BG1411">
        <v>0</v>
      </c>
      <c r="BH1411">
        <v>1700</v>
      </c>
      <c r="BI1411">
        <v>1</v>
      </c>
      <c r="BJ1411">
        <v>1</v>
      </c>
      <c r="BK1411">
        <v>1</v>
      </c>
      <c r="BL1411">
        <v>0</v>
      </c>
      <c r="BO1411">
        <v>0</v>
      </c>
      <c r="BP1411">
        <v>0</v>
      </c>
      <c r="BW1411" t="str">
        <f>"20:20:30.818"</f>
        <v>20:20:30.818</v>
      </c>
      <c r="BZ1411">
        <v>0</v>
      </c>
      <c r="CA1411">
        <v>2016</v>
      </c>
      <c r="CB1411">
        <v>224</v>
      </c>
      <c r="CD1411">
        <v>1</v>
      </c>
      <c r="CE1411">
        <v>0</v>
      </c>
      <c r="CF1411">
        <v>0</v>
      </c>
      <c r="CG1411">
        <v>1</v>
      </c>
      <c r="CH1411">
        <v>0</v>
      </c>
      <c r="CI1411">
        <v>0</v>
      </c>
      <c r="CJ1411">
        <v>0</v>
      </c>
      <c r="CK1411">
        <v>2</v>
      </c>
      <c r="CL1411">
        <v>0</v>
      </c>
      <c r="CM1411">
        <v>2</v>
      </c>
      <c r="CN1411">
        <v>0</v>
      </c>
      <c r="CO1411">
        <v>7</v>
      </c>
      <c r="CP1411" t="s">
        <v>119</v>
      </c>
      <c r="CQ1411">
        <v>180</v>
      </c>
      <c r="CR1411">
        <v>2</v>
      </c>
      <c r="CW1411">
        <v>8189965</v>
      </c>
      <c r="CY1411">
        <v>1</v>
      </c>
      <c r="CZ1411">
        <v>0</v>
      </c>
      <c r="DA1411">
        <v>0</v>
      </c>
      <c r="DB1411">
        <v>0</v>
      </c>
      <c r="DC1411">
        <v>0</v>
      </c>
      <c r="DD1411">
        <v>0</v>
      </c>
      <c r="DE1411">
        <v>0</v>
      </c>
      <c r="DF1411">
        <v>0</v>
      </c>
      <c r="DG1411">
        <v>0</v>
      </c>
      <c r="DH1411">
        <v>0</v>
      </c>
      <c r="DI1411">
        <v>0</v>
      </c>
    </row>
    <row r="1412" spans="1:113" x14ac:dyDescent="0.3">
      <c r="A1412" t="str">
        <f>"02/08/2021 20:20:28.508"</f>
        <v>02/08/2021 20:20:28.508</v>
      </c>
      <c r="C1412" t="str">
        <f t="shared" si="65"/>
        <v>FFDFD7C0</v>
      </c>
      <c r="D1412" t="s">
        <v>124</v>
      </c>
      <c r="E1412">
        <v>11</v>
      </c>
      <c r="F1412">
        <v>1011</v>
      </c>
      <c r="G1412" t="s">
        <v>590</v>
      </c>
      <c r="J1412" t="s">
        <v>125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S1412" t="str">
        <f>"20:20:30.813"</f>
        <v>20:20:30.813</v>
      </c>
      <c r="T1412" t="str">
        <f>"20:20:30.313"</f>
        <v>20:20:30.313</v>
      </c>
      <c r="U1412" t="str">
        <f t="shared" si="67"/>
        <v>AB01F4</v>
      </c>
      <c r="V1412">
        <v>0</v>
      </c>
      <c r="W1412">
        <v>0</v>
      </c>
      <c r="X1412">
        <v>2</v>
      </c>
      <c r="Z1412">
        <v>0</v>
      </c>
      <c r="AA1412">
        <v>9</v>
      </c>
      <c r="AB1412">
        <v>3</v>
      </c>
      <c r="AC1412">
        <v>0</v>
      </c>
      <c r="AD1412">
        <v>10</v>
      </c>
      <c r="AE1412">
        <v>0</v>
      </c>
      <c r="AF1412">
        <v>3</v>
      </c>
      <c r="AG1412">
        <v>2</v>
      </c>
      <c r="AH1412">
        <v>0</v>
      </c>
      <c r="AI1412" t="s">
        <v>966</v>
      </c>
      <c r="AJ1412">
        <v>39.805377</v>
      </c>
      <c r="AK1412" t="s">
        <v>967</v>
      </c>
      <c r="AL1412">
        <v>-92.520803999999998</v>
      </c>
      <c r="AM1412">
        <v>100</v>
      </c>
      <c r="AN1412">
        <v>1700</v>
      </c>
      <c r="AO1412" t="s">
        <v>118</v>
      </c>
      <c r="AP1412">
        <v>-27</v>
      </c>
      <c r="AQ1412">
        <v>120</v>
      </c>
      <c r="AR1412">
        <v>-128</v>
      </c>
      <c r="AZ1412">
        <v>1200</v>
      </c>
      <c r="BA1412">
        <v>1</v>
      </c>
      <c r="BB1412" t="str">
        <f t="shared" si="66"/>
        <v xml:space="preserve">N8080G  </v>
      </c>
      <c r="BC1412">
        <v>1</v>
      </c>
      <c r="BE1412">
        <v>0</v>
      </c>
      <c r="BF1412">
        <v>0</v>
      </c>
      <c r="BG1412">
        <v>0</v>
      </c>
      <c r="BH1412">
        <v>1700</v>
      </c>
      <c r="BI1412">
        <v>1</v>
      </c>
      <c r="BJ1412">
        <v>1</v>
      </c>
      <c r="BK1412">
        <v>1</v>
      </c>
      <c r="BL1412">
        <v>0</v>
      </c>
      <c r="BO1412">
        <v>0</v>
      </c>
      <c r="BP1412">
        <v>0</v>
      </c>
      <c r="BW1412" t="str">
        <f>"20:20:30.818"</f>
        <v>20:20:30.818</v>
      </c>
      <c r="BZ1412">
        <v>0</v>
      </c>
      <c r="CA1412">
        <v>2016</v>
      </c>
      <c r="CB1412">
        <v>224</v>
      </c>
      <c r="CD1412">
        <v>1</v>
      </c>
      <c r="CE1412">
        <v>0</v>
      </c>
      <c r="CF1412">
        <v>0</v>
      </c>
      <c r="CG1412">
        <v>1</v>
      </c>
      <c r="CH1412">
        <v>0</v>
      </c>
      <c r="CI1412">
        <v>0</v>
      </c>
      <c r="CJ1412">
        <v>0</v>
      </c>
      <c r="CK1412">
        <v>2</v>
      </c>
      <c r="CL1412">
        <v>0</v>
      </c>
      <c r="CM1412">
        <v>2</v>
      </c>
      <c r="CN1412">
        <v>0</v>
      </c>
      <c r="CO1412">
        <v>7</v>
      </c>
      <c r="CP1412" t="s">
        <v>119</v>
      </c>
      <c r="CQ1412">
        <v>180</v>
      </c>
      <c r="CR1412">
        <v>2</v>
      </c>
      <c r="CW1412">
        <v>8189965</v>
      </c>
      <c r="CY1412">
        <v>1</v>
      </c>
      <c r="CZ1412">
        <v>0</v>
      </c>
      <c r="DA1412">
        <v>1</v>
      </c>
      <c r="DB1412">
        <v>0</v>
      </c>
      <c r="DC1412">
        <v>0</v>
      </c>
      <c r="DD1412">
        <v>0</v>
      </c>
      <c r="DE1412">
        <v>0</v>
      </c>
      <c r="DF1412">
        <v>0</v>
      </c>
      <c r="DG1412">
        <v>0</v>
      </c>
      <c r="DH1412">
        <v>0</v>
      </c>
      <c r="DI1412">
        <v>0</v>
      </c>
    </row>
    <row r="1413" spans="1:113" x14ac:dyDescent="0.3">
      <c r="A1413" t="str">
        <f>"02/08/2021 20:20:28.508"</f>
        <v>02/08/2021 20:20:28.508</v>
      </c>
      <c r="C1413" t="str">
        <f t="shared" si="65"/>
        <v>FFDFD7C0</v>
      </c>
      <c r="D1413" t="s">
        <v>124</v>
      </c>
      <c r="E1413">
        <v>12</v>
      </c>
      <c r="F1413">
        <v>1012</v>
      </c>
      <c r="G1413" t="s">
        <v>675</v>
      </c>
      <c r="J1413" t="s">
        <v>125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S1413" t="str">
        <f>"20:20:30.813"</f>
        <v>20:20:30.813</v>
      </c>
      <c r="T1413" t="str">
        <f>"20:20:30.313"</f>
        <v>20:20:30.313</v>
      </c>
      <c r="U1413" t="str">
        <f t="shared" si="67"/>
        <v>AB01F4</v>
      </c>
      <c r="V1413">
        <v>0</v>
      </c>
      <c r="W1413">
        <v>0</v>
      </c>
      <c r="X1413">
        <v>2</v>
      </c>
      <c r="Z1413">
        <v>0</v>
      </c>
      <c r="AA1413">
        <v>9</v>
      </c>
      <c r="AB1413">
        <v>3</v>
      </c>
      <c r="AC1413">
        <v>0</v>
      </c>
      <c r="AD1413">
        <v>10</v>
      </c>
      <c r="AE1413">
        <v>0</v>
      </c>
      <c r="AF1413">
        <v>3</v>
      </c>
      <c r="AG1413">
        <v>2</v>
      </c>
      <c r="AH1413">
        <v>0</v>
      </c>
      <c r="AI1413" t="s">
        <v>966</v>
      </c>
      <c r="AJ1413">
        <v>39.805377</v>
      </c>
      <c r="AK1413" t="s">
        <v>967</v>
      </c>
      <c r="AL1413">
        <v>-92.520803999999998</v>
      </c>
      <c r="AM1413">
        <v>100</v>
      </c>
      <c r="AN1413">
        <v>1700</v>
      </c>
      <c r="AO1413" t="s">
        <v>118</v>
      </c>
      <c r="AP1413">
        <v>-27</v>
      </c>
      <c r="AQ1413">
        <v>120</v>
      </c>
      <c r="AR1413">
        <v>-128</v>
      </c>
      <c r="AZ1413">
        <v>1200</v>
      </c>
      <c r="BA1413">
        <v>1</v>
      </c>
      <c r="BB1413" t="str">
        <f t="shared" si="66"/>
        <v xml:space="preserve">N8080G  </v>
      </c>
      <c r="BC1413">
        <v>1</v>
      </c>
      <c r="BE1413">
        <v>0</v>
      </c>
      <c r="BF1413">
        <v>0</v>
      </c>
      <c r="BG1413">
        <v>0</v>
      </c>
      <c r="BH1413">
        <v>1700</v>
      </c>
      <c r="BI1413">
        <v>1</v>
      </c>
      <c r="BJ1413">
        <v>1</v>
      </c>
      <c r="BK1413">
        <v>1</v>
      </c>
      <c r="BL1413">
        <v>0</v>
      </c>
      <c r="BO1413">
        <v>0</v>
      </c>
      <c r="BP1413">
        <v>0</v>
      </c>
      <c r="BW1413" t="str">
        <f>"20:20:30.818"</f>
        <v>20:20:30.818</v>
      </c>
      <c r="BZ1413">
        <v>0</v>
      </c>
      <c r="CA1413">
        <v>2016</v>
      </c>
      <c r="CB1413">
        <v>224</v>
      </c>
      <c r="CD1413">
        <v>1</v>
      </c>
      <c r="CE1413">
        <v>0</v>
      </c>
      <c r="CF1413">
        <v>0</v>
      </c>
      <c r="CG1413">
        <v>1</v>
      </c>
      <c r="CH1413">
        <v>0</v>
      </c>
      <c r="CI1413">
        <v>0</v>
      </c>
      <c r="CJ1413">
        <v>0</v>
      </c>
      <c r="CK1413">
        <v>2</v>
      </c>
      <c r="CL1413">
        <v>0</v>
      </c>
      <c r="CM1413">
        <v>2</v>
      </c>
      <c r="CN1413">
        <v>0</v>
      </c>
      <c r="CO1413">
        <v>7</v>
      </c>
      <c r="CP1413" t="s">
        <v>119</v>
      </c>
      <c r="CQ1413">
        <v>180</v>
      </c>
      <c r="CR1413">
        <v>2</v>
      </c>
      <c r="CW1413">
        <v>8189965</v>
      </c>
      <c r="CY1413">
        <v>1</v>
      </c>
      <c r="CZ1413">
        <v>0</v>
      </c>
      <c r="DA1413">
        <v>1</v>
      </c>
      <c r="DB1413">
        <v>0</v>
      </c>
      <c r="DC1413">
        <v>0</v>
      </c>
      <c r="DD1413">
        <v>0</v>
      </c>
      <c r="DE1413">
        <v>0</v>
      </c>
      <c r="DF1413">
        <v>0</v>
      </c>
      <c r="DG1413">
        <v>0</v>
      </c>
      <c r="DH1413">
        <v>0</v>
      </c>
      <c r="DI1413">
        <v>0</v>
      </c>
    </row>
    <row r="1414" spans="1:113" x14ac:dyDescent="0.3">
      <c r="A1414" t="str">
        <f>"02/08/2021 20:20:28.508"</f>
        <v>02/08/2021 20:20:28.508</v>
      </c>
      <c r="C1414" t="str">
        <f t="shared" si="65"/>
        <v>FFDFD7C0</v>
      </c>
      <c r="D1414" t="s">
        <v>124</v>
      </c>
      <c r="E1414">
        <v>13</v>
      </c>
      <c r="F1414">
        <v>1013</v>
      </c>
      <c r="G1414" t="s">
        <v>114</v>
      </c>
      <c r="J1414" t="s">
        <v>125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S1414" t="str">
        <f>"20:20:30.813"</f>
        <v>20:20:30.813</v>
      </c>
      <c r="T1414" t="str">
        <f>"20:20:30.313"</f>
        <v>20:20:30.313</v>
      </c>
      <c r="U1414" t="str">
        <f t="shared" si="67"/>
        <v>AB01F4</v>
      </c>
      <c r="V1414">
        <v>0</v>
      </c>
      <c r="W1414">
        <v>0</v>
      </c>
      <c r="X1414">
        <v>2</v>
      </c>
      <c r="Z1414">
        <v>0</v>
      </c>
      <c r="AA1414">
        <v>9</v>
      </c>
      <c r="AB1414">
        <v>3</v>
      </c>
      <c r="AC1414">
        <v>0</v>
      </c>
      <c r="AD1414">
        <v>10</v>
      </c>
      <c r="AE1414">
        <v>0</v>
      </c>
      <c r="AF1414">
        <v>3</v>
      </c>
      <c r="AG1414">
        <v>2</v>
      </c>
      <c r="AH1414">
        <v>0</v>
      </c>
      <c r="AI1414" t="s">
        <v>966</v>
      </c>
      <c r="AJ1414">
        <v>39.805377</v>
      </c>
      <c r="AK1414" t="s">
        <v>967</v>
      </c>
      <c r="AL1414">
        <v>-92.520803999999998</v>
      </c>
      <c r="AM1414">
        <v>100</v>
      </c>
      <c r="AN1414">
        <v>1700</v>
      </c>
      <c r="AO1414" t="s">
        <v>118</v>
      </c>
      <c r="AP1414">
        <v>-27</v>
      </c>
      <c r="AQ1414">
        <v>120</v>
      </c>
      <c r="AR1414">
        <v>-128</v>
      </c>
      <c r="AZ1414">
        <v>1200</v>
      </c>
      <c r="BA1414">
        <v>1</v>
      </c>
      <c r="BB1414" t="str">
        <f t="shared" si="66"/>
        <v xml:space="preserve">N8080G  </v>
      </c>
      <c r="BC1414">
        <v>1</v>
      </c>
      <c r="BE1414">
        <v>0</v>
      </c>
      <c r="BF1414">
        <v>0</v>
      </c>
      <c r="BG1414">
        <v>0</v>
      </c>
      <c r="BH1414">
        <v>1700</v>
      </c>
      <c r="BI1414">
        <v>1</v>
      </c>
      <c r="BJ1414">
        <v>1</v>
      </c>
      <c r="BK1414">
        <v>1</v>
      </c>
      <c r="BL1414">
        <v>0</v>
      </c>
      <c r="BO1414">
        <v>0</v>
      </c>
      <c r="BP1414">
        <v>0</v>
      </c>
      <c r="BW1414" t="str">
        <f>"20:20:30.818"</f>
        <v>20:20:30.818</v>
      </c>
      <c r="BZ1414">
        <v>0</v>
      </c>
      <c r="CA1414">
        <v>2016</v>
      </c>
      <c r="CB1414">
        <v>224</v>
      </c>
      <c r="CD1414">
        <v>1</v>
      </c>
      <c r="CE1414">
        <v>0</v>
      </c>
      <c r="CF1414">
        <v>0</v>
      </c>
      <c r="CG1414">
        <v>1</v>
      </c>
      <c r="CH1414">
        <v>0</v>
      </c>
      <c r="CI1414">
        <v>0</v>
      </c>
      <c r="CJ1414">
        <v>0</v>
      </c>
      <c r="CK1414">
        <v>2</v>
      </c>
      <c r="CL1414">
        <v>0</v>
      </c>
      <c r="CM1414">
        <v>2</v>
      </c>
      <c r="CN1414">
        <v>0</v>
      </c>
      <c r="CO1414">
        <v>7</v>
      </c>
      <c r="CP1414" t="s">
        <v>119</v>
      </c>
      <c r="CQ1414">
        <v>180</v>
      </c>
      <c r="CR1414">
        <v>2</v>
      </c>
      <c r="CW1414">
        <v>8189965</v>
      </c>
      <c r="CY1414">
        <v>1</v>
      </c>
      <c r="CZ1414">
        <v>0</v>
      </c>
      <c r="DA1414">
        <v>1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>
        <v>0</v>
      </c>
      <c r="DH1414">
        <v>0</v>
      </c>
      <c r="DI1414">
        <v>0</v>
      </c>
    </row>
    <row r="1415" spans="1:113" x14ac:dyDescent="0.3">
      <c r="A1415" t="str">
        <f>"02/08/2021 20:20:29.871"</f>
        <v>02/08/2021 20:20:29.871</v>
      </c>
      <c r="C1415" t="str">
        <f t="shared" si="65"/>
        <v>FFDFD7C0</v>
      </c>
      <c r="D1415" t="s">
        <v>124</v>
      </c>
      <c r="E1415">
        <v>11</v>
      </c>
      <c r="F1415">
        <v>1011</v>
      </c>
      <c r="G1415" t="s">
        <v>590</v>
      </c>
      <c r="J1415" t="s">
        <v>125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S1415" t="str">
        <f>"20:20:32.180"</f>
        <v>20:20:32.180</v>
      </c>
      <c r="T1415" t="str">
        <f>"20:20:31.780"</f>
        <v>20:20:31.780</v>
      </c>
      <c r="U1415" t="str">
        <f t="shared" si="67"/>
        <v>AB01F4</v>
      </c>
      <c r="V1415">
        <v>0</v>
      </c>
      <c r="W1415">
        <v>0</v>
      </c>
      <c r="X1415">
        <v>2</v>
      </c>
      <c r="Z1415">
        <v>0</v>
      </c>
      <c r="AA1415">
        <v>9</v>
      </c>
      <c r="AB1415">
        <v>3</v>
      </c>
      <c r="AC1415">
        <v>0</v>
      </c>
      <c r="AD1415">
        <v>10</v>
      </c>
      <c r="AE1415">
        <v>0</v>
      </c>
      <c r="AF1415">
        <v>3</v>
      </c>
      <c r="AG1415">
        <v>2</v>
      </c>
      <c r="AH1415">
        <v>0</v>
      </c>
      <c r="AI1415" t="s">
        <v>968</v>
      </c>
      <c r="AJ1415">
        <v>39.806128000000001</v>
      </c>
      <c r="AK1415" t="s">
        <v>741</v>
      </c>
      <c r="AL1415">
        <v>-92.521062000000001</v>
      </c>
      <c r="AM1415">
        <v>100</v>
      </c>
      <c r="AN1415">
        <v>1700</v>
      </c>
      <c r="AO1415" t="s">
        <v>118</v>
      </c>
      <c r="AP1415">
        <v>-27</v>
      </c>
      <c r="AQ1415">
        <v>120</v>
      </c>
      <c r="AR1415">
        <v>0</v>
      </c>
      <c r="AZ1415">
        <v>1200</v>
      </c>
      <c r="BA1415">
        <v>1</v>
      </c>
      <c r="BB1415" t="str">
        <f t="shared" si="66"/>
        <v xml:space="preserve">N8080G  </v>
      </c>
      <c r="BC1415">
        <v>1</v>
      </c>
      <c r="BE1415">
        <v>0</v>
      </c>
      <c r="BF1415">
        <v>0</v>
      </c>
      <c r="BG1415">
        <v>0</v>
      </c>
      <c r="BH1415">
        <v>1700</v>
      </c>
      <c r="BI1415">
        <v>1</v>
      </c>
      <c r="BJ1415">
        <v>1</v>
      </c>
      <c r="BK1415">
        <v>1</v>
      </c>
      <c r="BL1415">
        <v>0</v>
      </c>
      <c r="BO1415">
        <v>0</v>
      </c>
      <c r="BP1415">
        <v>0</v>
      </c>
      <c r="BW1415" t="str">
        <f>"20:20:32.186"</f>
        <v>20:20:32.186</v>
      </c>
      <c r="BZ1415">
        <v>0</v>
      </c>
      <c r="CA1415">
        <v>2016</v>
      </c>
      <c r="CB1415">
        <v>224</v>
      </c>
      <c r="CD1415">
        <v>1</v>
      </c>
      <c r="CE1415">
        <v>0</v>
      </c>
      <c r="CF1415">
        <v>0</v>
      </c>
      <c r="CG1415">
        <v>1</v>
      </c>
      <c r="CH1415">
        <v>0</v>
      </c>
      <c r="CI1415">
        <v>0</v>
      </c>
      <c r="CJ1415">
        <v>0</v>
      </c>
      <c r="CK1415">
        <v>2</v>
      </c>
      <c r="CL1415">
        <v>0</v>
      </c>
      <c r="CM1415">
        <v>2</v>
      </c>
      <c r="CN1415">
        <v>0</v>
      </c>
      <c r="CO1415">
        <v>7</v>
      </c>
      <c r="CP1415" t="s">
        <v>119</v>
      </c>
      <c r="CQ1415">
        <v>180</v>
      </c>
      <c r="CR1415">
        <v>2</v>
      </c>
      <c r="CW1415">
        <v>8191089</v>
      </c>
      <c r="CY1415">
        <v>1</v>
      </c>
      <c r="CZ1415">
        <v>0</v>
      </c>
      <c r="DA1415">
        <v>0</v>
      </c>
      <c r="DB1415">
        <v>0</v>
      </c>
      <c r="DC1415">
        <v>0</v>
      </c>
      <c r="DD1415">
        <v>0</v>
      </c>
      <c r="DE1415">
        <v>0</v>
      </c>
      <c r="DF1415">
        <v>0</v>
      </c>
      <c r="DG1415">
        <v>0</v>
      </c>
      <c r="DH1415">
        <v>0</v>
      </c>
      <c r="DI1415">
        <v>0</v>
      </c>
    </row>
    <row r="1416" spans="1:113" x14ac:dyDescent="0.3">
      <c r="A1416" t="str">
        <f>"02/08/2021 20:20:29.871"</f>
        <v>02/08/2021 20:20:29.871</v>
      </c>
      <c r="C1416" t="str">
        <f t="shared" si="65"/>
        <v>FFDFD7C0</v>
      </c>
      <c r="D1416" t="s">
        <v>113</v>
      </c>
      <c r="E1416">
        <v>6</v>
      </c>
      <c r="H1416">
        <v>165</v>
      </c>
      <c r="I1416" t="s">
        <v>114</v>
      </c>
      <c r="J1416" t="s">
        <v>115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S1416" t="str">
        <f>"20:20:32.180"</f>
        <v>20:20:32.180</v>
      </c>
      <c r="T1416" t="str">
        <f>"20:20:31.780"</f>
        <v>20:20:31.780</v>
      </c>
      <c r="U1416" t="str">
        <f t="shared" si="67"/>
        <v>AB01F4</v>
      </c>
      <c r="V1416">
        <v>0</v>
      </c>
      <c r="W1416">
        <v>0</v>
      </c>
      <c r="X1416">
        <v>2</v>
      </c>
      <c r="Z1416">
        <v>0</v>
      </c>
      <c r="AA1416">
        <v>9</v>
      </c>
      <c r="AB1416">
        <v>3</v>
      </c>
      <c r="AC1416">
        <v>0</v>
      </c>
      <c r="AD1416">
        <v>10</v>
      </c>
      <c r="AE1416">
        <v>0</v>
      </c>
      <c r="AF1416">
        <v>3</v>
      </c>
      <c r="AG1416">
        <v>2</v>
      </c>
      <c r="AH1416">
        <v>0</v>
      </c>
      <c r="AI1416" t="s">
        <v>968</v>
      </c>
      <c r="AJ1416">
        <v>39.806128000000001</v>
      </c>
      <c r="AK1416" t="s">
        <v>741</v>
      </c>
      <c r="AL1416">
        <v>-92.521062000000001</v>
      </c>
      <c r="AM1416">
        <v>100</v>
      </c>
      <c r="AN1416">
        <v>1700</v>
      </c>
      <c r="AO1416" t="s">
        <v>118</v>
      </c>
      <c r="AP1416">
        <v>-27</v>
      </c>
      <c r="AQ1416">
        <v>120</v>
      </c>
      <c r="AR1416">
        <v>0</v>
      </c>
      <c r="AZ1416">
        <v>1200</v>
      </c>
      <c r="BA1416">
        <v>1</v>
      </c>
      <c r="BB1416" t="str">
        <f t="shared" si="66"/>
        <v xml:space="preserve">N8080G  </v>
      </c>
      <c r="BC1416">
        <v>1</v>
      </c>
      <c r="BE1416">
        <v>0</v>
      </c>
      <c r="BF1416">
        <v>0</v>
      </c>
      <c r="BG1416">
        <v>0</v>
      </c>
      <c r="BH1416">
        <v>1700</v>
      </c>
      <c r="BI1416">
        <v>1</v>
      </c>
      <c r="BJ1416">
        <v>1</v>
      </c>
      <c r="BK1416">
        <v>1</v>
      </c>
      <c r="BL1416">
        <v>0</v>
      </c>
      <c r="BO1416">
        <v>0</v>
      </c>
      <c r="BP1416">
        <v>0</v>
      </c>
      <c r="BW1416" t="str">
        <f>"20:20:32.186"</f>
        <v>20:20:32.186</v>
      </c>
      <c r="BZ1416">
        <v>0</v>
      </c>
      <c r="CA1416">
        <v>2016</v>
      </c>
      <c r="CB1416">
        <v>224</v>
      </c>
      <c r="CD1416">
        <v>1</v>
      </c>
      <c r="CE1416">
        <v>0</v>
      </c>
      <c r="CF1416">
        <v>0</v>
      </c>
      <c r="CG1416">
        <v>1</v>
      </c>
      <c r="CH1416">
        <v>0</v>
      </c>
      <c r="CI1416">
        <v>0</v>
      </c>
      <c r="CJ1416">
        <v>0</v>
      </c>
      <c r="CK1416">
        <v>2</v>
      </c>
      <c r="CL1416">
        <v>0</v>
      </c>
      <c r="CM1416">
        <v>2</v>
      </c>
      <c r="CN1416">
        <v>0</v>
      </c>
      <c r="CO1416">
        <v>7</v>
      </c>
      <c r="CP1416" t="s">
        <v>119</v>
      </c>
      <c r="CQ1416">
        <v>180</v>
      </c>
      <c r="CR1416">
        <v>2</v>
      </c>
      <c r="CW1416">
        <v>8191089</v>
      </c>
      <c r="CY1416">
        <v>1</v>
      </c>
      <c r="CZ1416">
        <v>0</v>
      </c>
      <c r="DA1416">
        <v>1</v>
      </c>
      <c r="DB1416">
        <v>0</v>
      </c>
      <c r="DC1416">
        <v>0</v>
      </c>
      <c r="DD1416">
        <v>0</v>
      </c>
      <c r="DE1416">
        <v>0</v>
      </c>
      <c r="DF1416">
        <v>0</v>
      </c>
      <c r="DG1416">
        <v>0</v>
      </c>
      <c r="DH1416">
        <v>0</v>
      </c>
      <c r="DI1416">
        <v>0</v>
      </c>
    </row>
    <row r="1417" spans="1:113" x14ac:dyDescent="0.3">
      <c r="A1417" t="str">
        <f>"02/08/2021 20:20:29.871"</f>
        <v>02/08/2021 20:20:29.871</v>
      </c>
      <c r="C1417" t="str">
        <f t="shared" ref="C1417:C1480" si="68">"FFDFD7C0"</f>
        <v>FFDFD7C0</v>
      </c>
      <c r="D1417" t="s">
        <v>124</v>
      </c>
      <c r="E1417">
        <v>12</v>
      </c>
      <c r="F1417">
        <v>1012</v>
      </c>
      <c r="G1417" t="s">
        <v>675</v>
      </c>
      <c r="J1417" t="s">
        <v>125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S1417" t="str">
        <f>"20:20:32.180"</f>
        <v>20:20:32.180</v>
      </c>
      <c r="T1417" t="str">
        <f>"20:20:31.780"</f>
        <v>20:20:31.780</v>
      </c>
      <c r="U1417" t="str">
        <f t="shared" si="67"/>
        <v>AB01F4</v>
      </c>
      <c r="V1417">
        <v>0</v>
      </c>
      <c r="W1417">
        <v>0</v>
      </c>
      <c r="X1417">
        <v>2</v>
      </c>
      <c r="Z1417">
        <v>0</v>
      </c>
      <c r="AA1417">
        <v>9</v>
      </c>
      <c r="AB1417">
        <v>3</v>
      </c>
      <c r="AC1417">
        <v>0</v>
      </c>
      <c r="AD1417">
        <v>10</v>
      </c>
      <c r="AE1417">
        <v>0</v>
      </c>
      <c r="AF1417">
        <v>3</v>
      </c>
      <c r="AG1417">
        <v>2</v>
      </c>
      <c r="AH1417">
        <v>0</v>
      </c>
      <c r="AI1417" t="s">
        <v>968</v>
      </c>
      <c r="AJ1417">
        <v>39.806128000000001</v>
      </c>
      <c r="AK1417" t="s">
        <v>741</v>
      </c>
      <c r="AL1417">
        <v>-92.521062000000001</v>
      </c>
      <c r="AM1417">
        <v>100</v>
      </c>
      <c r="AN1417">
        <v>1700</v>
      </c>
      <c r="AO1417" t="s">
        <v>118</v>
      </c>
      <c r="AP1417">
        <v>-27</v>
      </c>
      <c r="AQ1417">
        <v>120</v>
      </c>
      <c r="AR1417">
        <v>0</v>
      </c>
      <c r="AZ1417">
        <v>1200</v>
      </c>
      <c r="BA1417">
        <v>1</v>
      </c>
      <c r="BB1417" t="str">
        <f t="shared" si="66"/>
        <v xml:space="preserve">N8080G  </v>
      </c>
      <c r="BC1417">
        <v>1</v>
      </c>
      <c r="BE1417">
        <v>0</v>
      </c>
      <c r="BF1417">
        <v>0</v>
      </c>
      <c r="BG1417">
        <v>0</v>
      </c>
      <c r="BH1417">
        <v>1700</v>
      </c>
      <c r="BI1417">
        <v>1</v>
      </c>
      <c r="BJ1417">
        <v>1</v>
      </c>
      <c r="BK1417">
        <v>1</v>
      </c>
      <c r="BL1417">
        <v>0</v>
      </c>
      <c r="BO1417">
        <v>0</v>
      </c>
      <c r="BP1417">
        <v>0</v>
      </c>
      <c r="BW1417" t="str">
        <f>"20:20:32.186"</f>
        <v>20:20:32.186</v>
      </c>
      <c r="BZ1417">
        <v>0</v>
      </c>
      <c r="CA1417">
        <v>2016</v>
      </c>
      <c r="CB1417">
        <v>224</v>
      </c>
      <c r="CD1417">
        <v>1</v>
      </c>
      <c r="CE1417">
        <v>0</v>
      </c>
      <c r="CF1417">
        <v>0</v>
      </c>
      <c r="CG1417">
        <v>1</v>
      </c>
      <c r="CH1417">
        <v>0</v>
      </c>
      <c r="CI1417">
        <v>0</v>
      </c>
      <c r="CJ1417">
        <v>0</v>
      </c>
      <c r="CK1417">
        <v>2</v>
      </c>
      <c r="CL1417">
        <v>0</v>
      </c>
      <c r="CM1417">
        <v>2</v>
      </c>
      <c r="CN1417">
        <v>0</v>
      </c>
      <c r="CO1417">
        <v>7</v>
      </c>
      <c r="CP1417" t="s">
        <v>119</v>
      </c>
      <c r="CQ1417">
        <v>180</v>
      </c>
      <c r="CR1417">
        <v>2</v>
      </c>
      <c r="CW1417">
        <v>8191089</v>
      </c>
      <c r="CY1417">
        <v>1</v>
      </c>
      <c r="CZ1417">
        <v>0</v>
      </c>
      <c r="DA1417">
        <v>1</v>
      </c>
      <c r="DB1417">
        <v>0</v>
      </c>
      <c r="DC1417">
        <v>0</v>
      </c>
      <c r="DD1417">
        <v>0</v>
      </c>
      <c r="DE1417">
        <v>0</v>
      </c>
      <c r="DF1417">
        <v>0</v>
      </c>
      <c r="DG1417">
        <v>0</v>
      </c>
      <c r="DH1417">
        <v>0</v>
      </c>
      <c r="DI1417">
        <v>0</v>
      </c>
    </row>
    <row r="1418" spans="1:113" x14ac:dyDescent="0.3">
      <c r="A1418" t="str">
        <f>"02/08/2021 20:20:29.871"</f>
        <v>02/08/2021 20:20:29.871</v>
      </c>
      <c r="C1418" t="str">
        <f t="shared" si="68"/>
        <v>FFDFD7C0</v>
      </c>
      <c r="D1418" t="s">
        <v>124</v>
      </c>
      <c r="E1418">
        <v>13</v>
      </c>
      <c r="F1418">
        <v>1013</v>
      </c>
      <c r="G1418" t="s">
        <v>114</v>
      </c>
      <c r="J1418" t="s">
        <v>125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S1418" t="str">
        <f>"20:20:32.180"</f>
        <v>20:20:32.180</v>
      </c>
      <c r="T1418" t="str">
        <f>"20:20:31.780"</f>
        <v>20:20:31.780</v>
      </c>
      <c r="U1418" t="str">
        <f t="shared" si="67"/>
        <v>AB01F4</v>
      </c>
      <c r="V1418">
        <v>0</v>
      </c>
      <c r="W1418">
        <v>0</v>
      </c>
      <c r="X1418">
        <v>2</v>
      </c>
      <c r="Z1418">
        <v>0</v>
      </c>
      <c r="AA1418">
        <v>9</v>
      </c>
      <c r="AB1418">
        <v>3</v>
      </c>
      <c r="AC1418">
        <v>0</v>
      </c>
      <c r="AD1418">
        <v>10</v>
      </c>
      <c r="AE1418">
        <v>0</v>
      </c>
      <c r="AF1418">
        <v>3</v>
      </c>
      <c r="AG1418">
        <v>2</v>
      </c>
      <c r="AH1418">
        <v>0</v>
      </c>
      <c r="AI1418" t="s">
        <v>968</v>
      </c>
      <c r="AJ1418">
        <v>39.806128000000001</v>
      </c>
      <c r="AK1418" t="s">
        <v>741</v>
      </c>
      <c r="AL1418">
        <v>-92.521062000000001</v>
      </c>
      <c r="AM1418">
        <v>100</v>
      </c>
      <c r="AN1418">
        <v>1700</v>
      </c>
      <c r="AO1418" t="s">
        <v>118</v>
      </c>
      <c r="AP1418">
        <v>-27</v>
      </c>
      <c r="AQ1418">
        <v>120</v>
      </c>
      <c r="AR1418">
        <v>0</v>
      </c>
      <c r="AZ1418">
        <v>1200</v>
      </c>
      <c r="BA1418">
        <v>1</v>
      </c>
      <c r="BB1418" t="str">
        <f t="shared" si="66"/>
        <v xml:space="preserve">N8080G  </v>
      </c>
      <c r="BC1418">
        <v>1</v>
      </c>
      <c r="BE1418">
        <v>0</v>
      </c>
      <c r="BF1418">
        <v>0</v>
      </c>
      <c r="BG1418">
        <v>0</v>
      </c>
      <c r="BH1418">
        <v>1700</v>
      </c>
      <c r="BI1418">
        <v>1</v>
      </c>
      <c r="BJ1418">
        <v>1</v>
      </c>
      <c r="BK1418">
        <v>1</v>
      </c>
      <c r="BL1418">
        <v>0</v>
      </c>
      <c r="BO1418">
        <v>0</v>
      </c>
      <c r="BP1418">
        <v>0</v>
      </c>
      <c r="BW1418" t="str">
        <f>"20:20:32.186"</f>
        <v>20:20:32.186</v>
      </c>
      <c r="BZ1418">
        <v>0</v>
      </c>
      <c r="CA1418">
        <v>2016</v>
      </c>
      <c r="CB1418">
        <v>224</v>
      </c>
      <c r="CD1418">
        <v>1</v>
      </c>
      <c r="CE1418">
        <v>0</v>
      </c>
      <c r="CF1418">
        <v>0</v>
      </c>
      <c r="CG1418">
        <v>1</v>
      </c>
      <c r="CH1418">
        <v>0</v>
      </c>
      <c r="CI1418">
        <v>0</v>
      </c>
      <c r="CJ1418">
        <v>0</v>
      </c>
      <c r="CK1418">
        <v>2</v>
      </c>
      <c r="CL1418">
        <v>0</v>
      </c>
      <c r="CM1418">
        <v>2</v>
      </c>
      <c r="CN1418">
        <v>0</v>
      </c>
      <c r="CO1418">
        <v>7</v>
      </c>
      <c r="CP1418" t="s">
        <v>119</v>
      </c>
      <c r="CQ1418">
        <v>180</v>
      </c>
      <c r="CR1418">
        <v>2</v>
      </c>
      <c r="CW1418">
        <v>8191089</v>
      </c>
      <c r="CY1418">
        <v>1</v>
      </c>
      <c r="CZ1418">
        <v>0</v>
      </c>
      <c r="DA1418">
        <v>1</v>
      </c>
      <c r="DB1418">
        <v>0</v>
      </c>
      <c r="DC1418">
        <v>0</v>
      </c>
      <c r="DD1418">
        <v>0</v>
      </c>
      <c r="DE1418">
        <v>0</v>
      </c>
      <c r="DF1418">
        <v>0</v>
      </c>
      <c r="DG1418">
        <v>0</v>
      </c>
      <c r="DH1418">
        <v>0</v>
      </c>
      <c r="DI1418">
        <v>0</v>
      </c>
    </row>
    <row r="1419" spans="1:113" x14ac:dyDescent="0.3">
      <c r="A1419" t="str">
        <f>"02/08/2021 20:20:31.281"</f>
        <v>02/08/2021 20:20:31.281</v>
      </c>
      <c r="C1419" t="str">
        <f t="shared" si="68"/>
        <v>FFDFD7C0</v>
      </c>
      <c r="D1419" t="s">
        <v>124</v>
      </c>
      <c r="E1419">
        <v>11</v>
      </c>
      <c r="F1419">
        <v>1011</v>
      </c>
      <c r="G1419" t="s">
        <v>590</v>
      </c>
      <c r="J1419" t="s">
        <v>125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S1419" t="str">
        <f>"20:20:33.555"</f>
        <v>20:20:33.555</v>
      </c>
      <c r="T1419" t="str">
        <f>"20:20:33.155"</f>
        <v>20:20:33.155</v>
      </c>
      <c r="U1419" t="str">
        <f t="shared" si="67"/>
        <v>AB01F4</v>
      </c>
      <c r="V1419">
        <v>0</v>
      </c>
      <c r="W1419">
        <v>0</v>
      </c>
      <c r="X1419">
        <v>2</v>
      </c>
      <c r="Z1419">
        <v>0</v>
      </c>
      <c r="AA1419">
        <v>9</v>
      </c>
      <c r="AB1419">
        <v>3</v>
      </c>
      <c r="AC1419">
        <v>0</v>
      </c>
      <c r="AD1419">
        <v>10</v>
      </c>
      <c r="AE1419">
        <v>0</v>
      </c>
      <c r="AF1419">
        <v>3</v>
      </c>
      <c r="AG1419">
        <v>2</v>
      </c>
      <c r="AH1419">
        <v>0</v>
      </c>
      <c r="AI1419" t="s">
        <v>969</v>
      </c>
      <c r="AJ1419">
        <v>39.806899999999999</v>
      </c>
      <c r="AK1419" t="s">
        <v>970</v>
      </c>
      <c r="AL1419">
        <v>-92.521298000000002</v>
      </c>
      <c r="AM1419">
        <v>100</v>
      </c>
      <c r="AN1419">
        <v>1700</v>
      </c>
      <c r="AO1419" t="s">
        <v>118</v>
      </c>
      <c r="AP1419">
        <v>-27</v>
      </c>
      <c r="AQ1419">
        <v>120</v>
      </c>
      <c r="AR1419">
        <v>64</v>
      </c>
      <c r="AZ1419">
        <v>1200</v>
      </c>
      <c r="BA1419">
        <v>1</v>
      </c>
      <c r="BB1419" t="str">
        <f t="shared" si="66"/>
        <v xml:space="preserve">N8080G  </v>
      </c>
      <c r="BC1419">
        <v>1</v>
      </c>
      <c r="BE1419">
        <v>0</v>
      </c>
      <c r="BF1419">
        <v>0</v>
      </c>
      <c r="BG1419">
        <v>0</v>
      </c>
      <c r="BH1419">
        <v>1700</v>
      </c>
      <c r="BI1419">
        <v>1</v>
      </c>
      <c r="BJ1419">
        <v>1</v>
      </c>
      <c r="BK1419">
        <v>1</v>
      </c>
      <c r="BL1419">
        <v>0</v>
      </c>
      <c r="BO1419">
        <v>0</v>
      </c>
      <c r="BP1419">
        <v>0</v>
      </c>
      <c r="BW1419" t="str">
        <f>"20:20:33.562"</f>
        <v>20:20:33.562</v>
      </c>
      <c r="BZ1419">
        <v>0</v>
      </c>
      <c r="CA1419">
        <v>2016</v>
      </c>
      <c r="CB1419">
        <v>224</v>
      </c>
      <c r="CD1419">
        <v>1</v>
      </c>
      <c r="CE1419">
        <v>0</v>
      </c>
      <c r="CF1419">
        <v>0</v>
      </c>
      <c r="CG1419">
        <v>1</v>
      </c>
      <c r="CH1419">
        <v>0</v>
      </c>
      <c r="CI1419">
        <v>0</v>
      </c>
      <c r="CJ1419">
        <v>0</v>
      </c>
      <c r="CK1419">
        <v>2</v>
      </c>
      <c r="CL1419">
        <v>0</v>
      </c>
      <c r="CM1419">
        <v>2</v>
      </c>
      <c r="CN1419">
        <v>0</v>
      </c>
      <c r="CO1419">
        <v>7</v>
      </c>
      <c r="CP1419" t="s">
        <v>119</v>
      </c>
      <c r="CQ1419">
        <v>180</v>
      </c>
      <c r="CR1419">
        <v>2</v>
      </c>
      <c r="CW1419">
        <v>8192256</v>
      </c>
      <c r="CY1419">
        <v>1</v>
      </c>
      <c r="CZ1419">
        <v>0</v>
      </c>
      <c r="DA1419">
        <v>0</v>
      </c>
      <c r="DB1419">
        <v>0</v>
      </c>
      <c r="DC1419">
        <v>0</v>
      </c>
      <c r="DD1419">
        <v>0</v>
      </c>
      <c r="DE1419">
        <v>0</v>
      </c>
      <c r="DF1419">
        <v>0</v>
      </c>
      <c r="DG1419">
        <v>0</v>
      </c>
      <c r="DH1419">
        <v>0</v>
      </c>
      <c r="DI1419">
        <v>0</v>
      </c>
    </row>
    <row r="1420" spans="1:113" x14ac:dyDescent="0.3">
      <c r="A1420" t="str">
        <f>"02/08/2021 20:20:31.281"</f>
        <v>02/08/2021 20:20:31.281</v>
      </c>
      <c r="C1420" t="str">
        <f t="shared" si="68"/>
        <v>FFDFD7C0</v>
      </c>
      <c r="D1420" t="s">
        <v>124</v>
      </c>
      <c r="E1420">
        <v>12</v>
      </c>
      <c r="F1420">
        <v>1012</v>
      </c>
      <c r="G1420" t="s">
        <v>675</v>
      </c>
      <c r="J1420" t="s">
        <v>125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S1420" t="str">
        <f>"20:20:33.555"</f>
        <v>20:20:33.555</v>
      </c>
      <c r="T1420" t="str">
        <f>"20:20:33.155"</f>
        <v>20:20:33.155</v>
      </c>
      <c r="U1420" t="str">
        <f t="shared" si="67"/>
        <v>AB01F4</v>
      </c>
      <c r="V1420">
        <v>0</v>
      </c>
      <c r="W1420">
        <v>0</v>
      </c>
      <c r="X1420">
        <v>2</v>
      </c>
      <c r="Z1420">
        <v>0</v>
      </c>
      <c r="AA1420">
        <v>9</v>
      </c>
      <c r="AB1420">
        <v>3</v>
      </c>
      <c r="AC1420">
        <v>0</v>
      </c>
      <c r="AD1420">
        <v>10</v>
      </c>
      <c r="AE1420">
        <v>0</v>
      </c>
      <c r="AF1420">
        <v>3</v>
      </c>
      <c r="AG1420">
        <v>2</v>
      </c>
      <c r="AH1420">
        <v>0</v>
      </c>
      <c r="AI1420" t="s">
        <v>969</v>
      </c>
      <c r="AJ1420">
        <v>39.806899999999999</v>
      </c>
      <c r="AK1420" t="s">
        <v>970</v>
      </c>
      <c r="AL1420">
        <v>-92.521298000000002</v>
      </c>
      <c r="AM1420">
        <v>100</v>
      </c>
      <c r="AN1420">
        <v>1700</v>
      </c>
      <c r="AO1420" t="s">
        <v>118</v>
      </c>
      <c r="AP1420">
        <v>-27</v>
      </c>
      <c r="AQ1420">
        <v>120</v>
      </c>
      <c r="AR1420">
        <v>64</v>
      </c>
      <c r="AZ1420">
        <v>1200</v>
      </c>
      <c r="BA1420">
        <v>1</v>
      </c>
      <c r="BB1420" t="str">
        <f t="shared" si="66"/>
        <v xml:space="preserve">N8080G  </v>
      </c>
      <c r="BC1420">
        <v>1</v>
      </c>
      <c r="BE1420">
        <v>0</v>
      </c>
      <c r="BF1420">
        <v>0</v>
      </c>
      <c r="BG1420">
        <v>0</v>
      </c>
      <c r="BH1420">
        <v>1700</v>
      </c>
      <c r="BI1420">
        <v>1</v>
      </c>
      <c r="BJ1420">
        <v>1</v>
      </c>
      <c r="BK1420">
        <v>1</v>
      </c>
      <c r="BL1420">
        <v>0</v>
      </c>
      <c r="BO1420">
        <v>0</v>
      </c>
      <c r="BP1420">
        <v>0</v>
      </c>
      <c r="BW1420" t="str">
        <f>"20:20:33.562"</f>
        <v>20:20:33.562</v>
      </c>
      <c r="BZ1420">
        <v>0</v>
      </c>
      <c r="CA1420">
        <v>2016</v>
      </c>
      <c r="CB1420">
        <v>224</v>
      </c>
      <c r="CD1420">
        <v>1</v>
      </c>
      <c r="CE1420">
        <v>0</v>
      </c>
      <c r="CF1420">
        <v>0</v>
      </c>
      <c r="CG1420">
        <v>1</v>
      </c>
      <c r="CH1420">
        <v>0</v>
      </c>
      <c r="CI1420">
        <v>0</v>
      </c>
      <c r="CJ1420">
        <v>0</v>
      </c>
      <c r="CK1420">
        <v>2</v>
      </c>
      <c r="CL1420">
        <v>0</v>
      </c>
      <c r="CM1420">
        <v>2</v>
      </c>
      <c r="CN1420">
        <v>0</v>
      </c>
      <c r="CO1420">
        <v>7</v>
      </c>
      <c r="CP1420" t="s">
        <v>119</v>
      </c>
      <c r="CQ1420">
        <v>180</v>
      </c>
      <c r="CR1420">
        <v>2</v>
      </c>
      <c r="CW1420">
        <v>8192256</v>
      </c>
      <c r="CY1420">
        <v>1</v>
      </c>
      <c r="CZ1420">
        <v>0</v>
      </c>
      <c r="DA1420">
        <v>1</v>
      </c>
      <c r="DB1420">
        <v>0</v>
      </c>
      <c r="DC1420">
        <v>0</v>
      </c>
      <c r="DD1420">
        <v>0</v>
      </c>
      <c r="DE1420">
        <v>0</v>
      </c>
      <c r="DF1420">
        <v>0</v>
      </c>
      <c r="DG1420">
        <v>0</v>
      </c>
      <c r="DH1420">
        <v>0</v>
      </c>
      <c r="DI1420">
        <v>0</v>
      </c>
    </row>
    <row r="1421" spans="1:113" x14ac:dyDescent="0.3">
      <c r="A1421" t="str">
        <f>"02/08/2021 20:20:31.281"</f>
        <v>02/08/2021 20:20:31.281</v>
      </c>
      <c r="C1421" t="str">
        <f t="shared" si="68"/>
        <v>FFDFD7C0</v>
      </c>
      <c r="D1421" t="s">
        <v>113</v>
      </c>
      <c r="E1421">
        <v>6</v>
      </c>
      <c r="H1421">
        <v>165</v>
      </c>
      <c r="I1421" t="s">
        <v>114</v>
      </c>
      <c r="J1421" t="s">
        <v>115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S1421" t="str">
        <f>"20:20:33.555"</f>
        <v>20:20:33.555</v>
      </c>
      <c r="T1421" t="str">
        <f>"20:20:33.155"</f>
        <v>20:20:33.155</v>
      </c>
      <c r="U1421" t="str">
        <f t="shared" si="67"/>
        <v>AB01F4</v>
      </c>
      <c r="V1421">
        <v>0</v>
      </c>
      <c r="W1421">
        <v>0</v>
      </c>
      <c r="X1421">
        <v>2</v>
      </c>
      <c r="Z1421">
        <v>0</v>
      </c>
      <c r="AA1421">
        <v>9</v>
      </c>
      <c r="AB1421">
        <v>3</v>
      </c>
      <c r="AC1421">
        <v>0</v>
      </c>
      <c r="AD1421">
        <v>10</v>
      </c>
      <c r="AE1421">
        <v>0</v>
      </c>
      <c r="AF1421">
        <v>3</v>
      </c>
      <c r="AG1421">
        <v>2</v>
      </c>
      <c r="AH1421">
        <v>0</v>
      </c>
      <c r="AI1421" t="s">
        <v>969</v>
      </c>
      <c r="AJ1421">
        <v>39.806899999999999</v>
      </c>
      <c r="AK1421" t="s">
        <v>970</v>
      </c>
      <c r="AL1421">
        <v>-92.521298000000002</v>
      </c>
      <c r="AM1421">
        <v>100</v>
      </c>
      <c r="AN1421">
        <v>1700</v>
      </c>
      <c r="AO1421" t="s">
        <v>118</v>
      </c>
      <c r="AP1421">
        <v>-27</v>
      </c>
      <c r="AQ1421">
        <v>120</v>
      </c>
      <c r="AR1421">
        <v>64</v>
      </c>
      <c r="AZ1421">
        <v>1200</v>
      </c>
      <c r="BA1421">
        <v>1</v>
      </c>
      <c r="BB1421" t="str">
        <f t="shared" si="66"/>
        <v xml:space="preserve">N8080G  </v>
      </c>
      <c r="BC1421">
        <v>1</v>
      </c>
      <c r="BE1421">
        <v>0</v>
      </c>
      <c r="BF1421">
        <v>0</v>
      </c>
      <c r="BG1421">
        <v>0</v>
      </c>
      <c r="BH1421">
        <v>1700</v>
      </c>
      <c r="BI1421">
        <v>1</v>
      </c>
      <c r="BJ1421">
        <v>1</v>
      </c>
      <c r="BK1421">
        <v>1</v>
      </c>
      <c r="BL1421">
        <v>0</v>
      </c>
      <c r="BO1421">
        <v>0</v>
      </c>
      <c r="BP1421">
        <v>0</v>
      </c>
      <c r="BW1421" t="str">
        <f>"20:20:33.562"</f>
        <v>20:20:33.562</v>
      </c>
      <c r="BZ1421">
        <v>0</v>
      </c>
      <c r="CA1421">
        <v>2016</v>
      </c>
      <c r="CB1421">
        <v>224</v>
      </c>
      <c r="CD1421">
        <v>1</v>
      </c>
      <c r="CE1421">
        <v>0</v>
      </c>
      <c r="CF1421">
        <v>0</v>
      </c>
      <c r="CG1421">
        <v>1</v>
      </c>
      <c r="CH1421">
        <v>0</v>
      </c>
      <c r="CI1421">
        <v>0</v>
      </c>
      <c r="CJ1421">
        <v>0</v>
      </c>
      <c r="CK1421">
        <v>2</v>
      </c>
      <c r="CL1421">
        <v>0</v>
      </c>
      <c r="CM1421">
        <v>2</v>
      </c>
      <c r="CN1421">
        <v>0</v>
      </c>
      <c r="CO1421">
        <v>7</v>
      </c>
      <c r="CP1421" t="s">
        <v>119</v>
      </c>
      <c r="CQ1421">
        <v>180</v>
      </c>
      <c r="CR1421">
        <v>2</v>
      </c>
      <c r="CW1421">
        <v>8192256</v>
      </c>
      <c r="CY1421">
        <v>1</v>
      </c>
      <c r="CZ1421">
        <v>0</v>
      </c>
      <c r="DA1421">
        <v>1</v>
      </c>
      <c r="DB1421">
        <v>0</v>
      </c>
      <c r="DC1421">
        <v>0</v>
      </c>
      <c r="DD1421">
        <v>0</v>
      </c>
      <c r="DE1421">
        <v>0</v>
      </c>
      <c r="DF1421">
        <v>0</v>
      </c>
      <c r="DG1421">
        <v>0</v>
      </c>
      <c r="DH1421">
        <v>0</v>
      </c>
      <c r="DI1421">
        <v>0</v>
      </c>
    </row>
    <row r="1422" spans="1:113" x14ac:dyDescent="0.3">
      <c r="A1422" t="str">
        <f>"02/08/2021 20:20:31.281"</f>
        <v>02/08/2021 20:20:31.281</v>
      </c>
      <c r="C1422" t="str">
        <f t="shared" si="68"/>
        <v>FFDFD7C0</v>
      </c>
      <c r="D1422" t="s">
        <v>124</v>
      </c>
      <c r="E1422">
        <v>13</v>
      </c>
      <c r="F1422">
        <v>1013</v>
      </c>
      <c r="G1422" t="s">
        <v>114</v>
      </c>
      <c r="J1422" t="s">
        <v>125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S1422" t="str">
        <f>"20:20:33.555"</f>
        <v>20:20:33.555</v>
      </c>
      <c r="T1422" t="str">
        <f>"20:20:33.155"</f>
        <v>20:20:33.155</v>
      </c>
      <c r="U1422" t="str">
        <f t="shared" si="67"/>
        <v>AB01F4</v>
      </c>
      <c r="V1422">
        <v>0</v>
      </c>
      <c r="W1422">
        <v>0</v>
      </c>
      <c r="X1422">
        <v>2</v>
      </c>
      <c r="Z1422">
        <v>0</v>
      </c>
      <c r="AA1422">
        <v>9</v>
      </c>
      <c r="AB1422">
        <v>3</v>
      </c>
      <c r="AC1422">
        <v>0</v>
      </c>
      <c r="AD1422">
        <v>10</v>
      </c>
      <c r="AE1422">
        <v>0</v>
      </c>
      <c r="AF1422">
        <v>3</v>
      </c>
      <c r="AG1422">
        <v>2</v>
      </c>
      <c r="AH1422">
        <v>0</v>
      </c>
      <c r="AI1422" t="s">
        <v>969</v>
      </c>
      <c r="AJ1422">
        <v>39.806899999999999</v>
      </c>
      <c r="AK1422" t="s">
        <v>970</v>
      </c>
      <c r="AL1422">
        <v>-92.521298000000002</v>
      </c>
      <c r="AM1422">
        <v>100</v>
      </c>
      <c r="AN1422">
        <v>1700</v>
      </c>
      <c r="AO1422" t="s">
        <v>118</v>
      </c>
      <c r="AP1422">
        <v>-27</v>
      </c>
      <c r="AQ1422">
        <v>120</v>
      </c>
      <c r="AR1422">
        <v>64</v>
      </c>
      <c r="AZ1422">
        <v>1200</v>
      </c>
      <c r="BA1422">
        <v>1</v>
      </c>
      <c r="BB1422" t="str">
        <f t="shared" si="66"/>
        <v xml:space="preserve">N8080G  </v>
      </c>
      <c r="BC1422">
        <v>1</v>
      </c>
      <c r="BE1422">
        <v>0</v>
      </c>
      <c r="BF1422">
        <v>0</v>
      </c>
      <c r="BG1422">
        <v>0</v>
      </c>
      <c r="BH1422">
        <v>1700</v>
      </c>
      <c r="BI1422">
        <v>1</v>
      </c>
      <c r="BJ1422">
        <v>1</v>
      </c>
      <c r="BK1422">
        <v>1</v>
      </c>
      <c r="BL1422">
        <v>0</v>
      </c>
      <c r="BO1422">
        <v>0</v>
      </c>
      <c r="BP1422">
        <v>0</v>
      </c>
      <c r="BW1422" t="str">
        <f>"20:20:33.562"</f>
        <v>20:20:33.562</v>
      </c>
      <c r="BZ1422">
        <v>0</v>
      </c>
      <c r="CA1422">
        <v>2016</v>
      </c>
      <c r="CB1422">
        <v>224</v>
      </c>
      <c r="CD1422">
        <v>1</v>
      </c>
      <c r="CE1422">
        <v>0</v>
      </c>
      <c r="CF1422">
        <v>0</v>
      </c>
      <c r="CG1422">
        <v>1</v>
      </c>
      <c r="CH1422">
        <v>0</v>
      </c>
      <c r="CI1422">
        <v>0</v>
      </c>
      <c r="CJ1422">
        <v>0</v>
      </c>
      <c r="CK1422">
        <v>2</v>
      </c>
      <c r="CL1422">
        <v>0</v>
      </c>
      <c r="CM1422">
        <v>2</v>
      </c>
      <c r="CN1422">
        <v>0</v>
      </c>
      <c r="CO1422">
        <v>7</v>
      </c>
      <c r="CP1422" t="s">
        <v>119</v>
      </c>
      <c r="CQ1422">
        <v>180</v>
      </c>
      <c r="CR1422">
        <v>2</v>
      </c>
      <c r="CW1422">
        <v>8192256</v>
      </c>
      <c r="CY1422">
        <v>1</v>
      </c>
      <c r="CZ1422">
        <v>0</v>
      </c>
      <c r="DA1422">
        <v>1</v>
      </c>
      <c r="DB1422">
        <v>0</v>
      </c>
      <c r="DC1422">
        <v>0</v>
      </c>
      <c r="DD1422">
        <v>0</v>
      </c>
      <c r="DE1422">
        <v>0</v>
      </c>
      <c r="DF1422">
        <v>0</v>
      </c>
      <c r="DG1422">
        <v>0</v>
      </c>
      <c r="DH1422">
        <v>0</v>
      </c>
      <c r="DI1422">
        <v>0</v>
      </c>
    </row>
    <row r="1423" spans="1:113" x14ac:dyDescent="0.3">
      <c r="A1423" t="str">
        <f>"02/08/2021 20:20:34.216"</f>
        <v>02/08/2021 20:20:34.216</v>
      </c>
      <c r="C1423" t="str">
        <f t="shared" si="68"/>
        <v>FFDFD7C0</v>
      </c>
      <c r="D1423" t="s">
        <v>113</v>
      </c>
      <c r="E1423">
        <v>6</v>
      </c>
      <c r="H1423">
        <v>165</v>
      </c>
      <c r="I1423" t="s">
        <v>114</v>
      </c>
      <c r="J1423" t="s">
        <v>115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S1423" t="str">
        <f>"20:20:36.570"</f>
        <v>20:20:36.570</v>
      </c>
      <c r="T1423" t="str">
        <f>"20:20:36.170"</f>
        <v>20:20:36.170</v>
      </c>
      <c r="U1423" t="str">
        <f t="shared" si="67"/>
        <v>AB01F4</v>
      </c>
      <c r="V1423">
        <v>0</v>
      </c>
      <c r="W1423">
        <v>0</v>
      </c>
      <c r="X1423">
        <v>2</v>
      </c>
      <c r="Z1423">
        <v>0</v>
      </c>
      <c r="AA1423">
        <v>9</v>
      </c>
      <c r="AB1423">
        <v>3</v>
      </c>
      <c r="AC1423">
        <v>0</v>
      </c>
      <c r="AD1423">
        <v>10</v>
      </c>
      <c r="AE1423">
        <v>0</v>
      </c>
      <c r="AF1423">
        <v>3</v>
      </c>
      <c r="AG1423">
        <v>2</v>
      </c>
      <c r="AH1423">
        <v>0</v>
      </c>
      <c r="AI1423" t="s">
        <v>971</v>
      </c>
      <c r="AJ1423">
        <v>39.808551999999999</v>
      </c>
      <c r="AK1423" t="s">
        <v>972</v>
      </c>
      <c r="AL1423">
        <v>-92.521770000000004</v>
      </c>
      <c r="AM1423">
        <v>100</v>
      </c>
      <c r="AN1423">
        <v>1700</v>
      </c>
      <c r="AO1423" t="s">
        <v>118</v>
      </c>
      <c r="AP1423">
        <v>-28</v>
      </c>
      <c r="AQ1423">
        <v>119</v>
      </c>
      <c r="AR1423">
        <v>64</v>
      </c>
      <c r="AZ1423">
        <v>1200</v>
      </c>
      <c r="BA1423">
        <v>1</v>
      </c>
      <c r="BB1423" t="str">
        <f t="shared" ref="BB1423:BB1486" si="69">"N8080G  "</f>
        <v xml:space="preserve">N8080G  </v>
      </c>
      <c r="BC1423">
        <v>1</v>
      </c>
      <c r="BE1423">
        <v>0</v>
      </c>
      <c r="BF1423">
        <v>0</v>
      </c>
      <c r="BG1423">
        <v>0</v>
      </c>
      <c r="BH1423">
        <v>1700</v>
      </c>
      <c r="BI1423">
        <v>1</v>
      </c>
      <c r="BJ1423">
        <v>1</v>
      </c>
      <c r="BK1423">
        <v>1</v>
      </c>
      <c r="BL1423">
        <v>0</v>
      </c>
      <c r="BO1423">
        <v>0</v>
      </c>
      <c r="BP1423">
        <v>0</v>
      </c>
      <c r="BW1423" t="str">
        <f>"20:20:36.573"</f>
        <v>20:20:36.573</v>
      </c>
      <c r="BZ1423">
        <v>0</v>
      </c>
      <c r="CA1423">
        <v>2016</v>
      </c>
      <c r="CB1423">
        <v>224</v>
      </c>
      <c r="CD1423">
        <v>1</v>
      </c>
      <c r="CE1423">
        <v>0</v>
      </c>
      <c r="CF1423">
        <v>0</v>
      </c>
      <c r="CG1423">
        <v>1</v>
      </c>
      <c r="CH1423">
        <v>0</v>
      </c>
      <c r="CI1423">
        <v>0</v>
      </c>
      <c r="CJ1423">
        <v>0</v>
      </c>
      <c r="CK1423">
        <v>2</v>
      </c>
      <c r="CL1423">
        <v>0</v>
      </c>
      <c r="CM1423">
        <v>2</v>
      </c>
      <c r="CN1423">
        <v>0</v>
      </c>
      <c r="CO1423">
        <v>7</v>
      </c>
      <c r="CP1423" t="s">
        <v>119</v>
      </c>
      <c r="CQ1423">
        <v>180</v>
      </c>
      <c r="CR1423">
        <v>2</v>
      </c>
      <c r="CW1423">
        <v>8194621</v>
      </c>
      <c r="CY1423">
        <v>1</v>
      </c>
      <c r="CZ1423">
        <v>0</v>
      </c>
      <c r="DA1423">
        <v>0</v>
      </c>
      <c r="DB1423">
        <v>0</v>
      </c>
      <c r="DC1423">
        <v>0</v>
      </c>
      <c r="DD1423">
        <v>0</v>
      </c>
      <c r="DE1423">
        <v>0</v>
      </c>
      <c r="DF1423">
        <v>0</v>
      </c>
      <c r="DG1423">
        <v>0</v>
      </c>
      <c r="DH1423">
        <v>0</v>
      </c>
      <c r="DI1423">
        <v>0</v>
      </c>
    </row>
    <row r="1424" spans="1:113" x14ac:dyDescent="0.3">
      <c r="A1424" t="str">
        <f>"02/08/2021 20:20:34.216"</f>
        <v>02/08/2021 20:20:34.216</v>
      </c>
      <c r="C1424" t="str">
        <f t="shared" si="68"/>
        <v>FFDFD7C0</v>
      </c>
      <c r="D1424" t="s">
        <v>124</v>
      </c>
      <c r="E1424">
        <v>13</v>
      </c>
      <c r="F1424">
        <v>1013</v>
      </c>
      <c r="G1424" t="s">
        <v>114</v>
      </c>
      <c r="J1424" t="s">
        <v>125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S1424" t="str">
        <f>"20:20:36.570"</f>
        <v>20:20:36.570</v>
      </c>
      <c r="T1424" t="str">
        <f>"20:20:36.170"</f>
        <v>20:20:36.170</v>
      </c>
      <c r="U1424" t="str">
        <f t="shared" si="67"/>
        <v>AB01F4</v>
      </c>
      <c r="V1424">
        <v>0</v>
      </c>
      <c r="W1424">
        <v>0</v>
      </c>
      <c r="X1424">
        <v>2</v>
      </c>
      <c r="Z1424">
        <v>0</v>
      </c>
      <c r="AA1424">
        <v>9</v>
      </c>
      <c r="AB1424">
        <v>3</v>
      </c>
      <c r="AC1424">
        <v>0</v>
      </c>
      <c r="AD1424">
        <v>10</v>
      </c>
      <c r="AE1424">
        <v>0</v>
      </c>
      <c r="AF1424">
        <v>3</v>
      </c>
      <c r="AG1424">
        <v>2</v>
      </c>
      <c r="AH1424">
        <v>0</v>
      </c>
      <c r="AI1424" t="s">
        <v>971</v>
      </c>
      <c r="AJ1424">
        <v>39.808551999999999</v>
      </c>
      <c r="AK1424" t="s">
        <v>972</v>
      </c>
      <c r="AL1424">
        <v>-92.521770000000004</v>
      </c>
      <c r="AM1424">
        <v>100</v>
      </c>
      <c r="AN1424">
        <v>1700</v>
      </c>
      <c r="AO1424" t="s">
        <v>118</v>
      </c>
      <c r="AP1424">
        <v>-28</v>
      </c>
      <c r="AQ1424">
        <v>119</v>
      </c>
      <c r="AR1424">
        <v>64</v>
      </c>
      <c r="AZ1424">
        <v>1200</v>
      </c>
      <c r="BA1424">
        <v>1</v>
      </c>
      <c r="BB1424" t="str">
        <f t="shared" si="69"/>
        <v xml:space="preserve">N8080G  </v>
      </c>
      <c r="BC1424">
        <v>1</v>
      </c>
      <c r="BE1424">
        <v>0</v>
      </c>
      <c r="BF1424">
        <v>0</v>
      </c>
      <c r="BG1424">
        <v>0</v>
      </c>
      <c r="BH1424">
        <v>1700</v>
      </c>
      <c r="BI1424">
        <v>1</v>
      </c>
      <c r="BJ1424">
        <v>1</v>
      </c>
      <c r="BK1424">
        <v>1</v>
      </c>
      <c r="BL1424">
        <v>0</v>
      </c>
      <c r="BO1424">
        <v>0</v>
      </c>
      <c r="BP1424">
        <v>0</v>
      </c>
      <c r="BW1424" t="str">
        <f>"20:20:36.573"</f>
        <v>20:20:36.573</v>
      </c>
      <c r="BZ1424">
        <v>0</v>
      </c>
      <c r="CA1424">
        <v>2016</v>
      </c>
      <c r="CB1424">
        <v>224</v>
      </c>
      <c r="CD1424">
        <v>1</v>
      </c>
      <c r="CE1424">
        <v>0</v>
      </c>
      <c r="CF1424">
        <v>0</v>
      </c>
      <c r="CG1424">
        <v>1</v>
      </c>
      <c r="CH1424">
        <v>0</v>
      </c>
      <c r="CI1424">
        <v>0</v>
      </c>
      <c r="CJ1424">
        <v>0</v>
      </c>
      <c r="CK1424">
        <v>2</v>
      </c>
      <c r="CL1424">
        <v>0</v>
      </c>
      <c r="CM1424">
        <v>2</v>
      </c>
      <c r="CN1424">
        <v>0</v>
      </c>
      <c r="CO1424">
        <v>7</v>
      </c>
      <c r="CP1424" t="s">
        <v>119</v>
      </c>
      <c r="CQ1424">
        <v>180</v>
      </c>
      <c r="CR1424">
        <v>2</v>
      </c>
      <c r="CW1424">
        <v>8194621</v>
      </c>
      <c r="CY1424">
        <v>1</v>
      </c>
      <c r="CZ1424">
        <v>0</v>
      </c>
      <c r="DA1424">
        <v>1</v>
      </c>
      <c r="DB1424">
        <v>0</v>
      </c>
      <c r="DC1424">
        <v>0</v>
      </c>
      <c r="DD1424">
        <v>0</v>
      </c>
      <c r="DE1424">
        <v>0</v>
      </c>
      <c r="DF1424">
        <v>0</v>
      </c>
      <c r="DG1424">
        <v>0</v>
      </c>
      <c r="DH1424">
        <v>0</v>
      </c>
      <c r="DI1424">
        <v>0</v>
      </c>
    </row>
    <row r="1425" spans="1:113" x14ac:dyDescent="0.3">
      <c r="A1425" t="str">
        <f>"02/08/2021 20:20:34.216"</f>
        <v>02/08/2021 20:20:34.216</v>
      </c>
      <c r="C1425" t="str">
        <f t="shared" si="68"/>
        <v>FFDFD7C0</v>
      </c>
      <c r="D1425" t="s">
        <v>124</v>
      </c>
      <c r="E1425">
        <v>12</v>
      </c>
      <c r="F1425">
        <v>1012</v>
      </c>
      <c r="G1425" t="s">
        <v>675</v>
      </c>
      <c r="J1425" t="s">
        <v>125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S1425" t="str">
        <f>"20:20:36.570"</f>
        <v>20:20:36.570</v>
      </c>
      <c r="T1425" t="str">
        <f>"20:20:36.170"</f>
        <v>20:20:36.170</v>
      </c>
      <c r="U1425" t="str">
        <f t="shared" si="67"/>
        <v>AB01F4</v>
      </c>
      <c r="V1425">
        <v>0</v>
      </c>
      <c r="W1425">
        <v>0</v>
      </c>
      <c r="X1425">
        <v>2</v>
      </c>
      <c r="Z1425">
        <v>0</v>
      </c>
      <c r="AA1425">
        <v>9</v>
      </c>
      <c r="AB1425">
        <v>3</v>
      </c>
      <c r="AC1425">
        <v>0</v>
      </c>
      <c r="AD1425">
        <v>10</v>
      </c>
      <c r="AE1425">
        <v>0</v>
      </c>
      <c r="AF1425">
        <v>3</v>
      </c>
      <c r="AG1425">
        <v>2</v>
      </c>
      <c r="AH1425">
        <v>0</v>
      </c>
      <c r="AI1425" t="s">
        <v>971</v>
      </c>
      <c r="AJ1425">
        <v>39.808551999999999</v>
      </c>
      <c r="AK1425" t="s">
        <v>972</v>
      </c>
      <c r="AL1425">
        <v>-92.521770000000004</v>
      </c>
      <c r="AM1425">
        <v>100</v>
      </c>
      <c r="AN1425">
        <v>1700</v>
      </c>
      <c r="AO1425" t="s">
        <v>118</v>
      </c>
      <c r="AP1425">
        <v>-28</v>
      </c>
      <c r="AQ1425">
        <v>119</v>
      </c>
      <c r="AR1425">
        <v>64</v>
      </c>
      <c r="AZ1425">
        <v>1200</v>
      </c>
      <c r="BA1425">
        <v>1</v>
      </c>
      <c r="BB1425" t="str">
        <f t="shared" si="69"/>
        <v xml:space="preserve">N8080G  </v>
      </c>
      <c r="BC1425">
        <v>1</v>
      </c>
      <c r="BE1425">
        <v>0</v>
      </c>
      <c r="BF1425">
        <v>0</v>
      </c>
      <c r="BG1425">
        <v>0</v>
      </c>
      <c r="BH1425">
        <v>1700</v>
      </c>
      <c r="BI1425">
        <v>1</v>
      </c>
      <c r="BJ1425">
        <v>1</v>
      </c>
      <c r="BK1425">
        <v>1</v>
      </c>
      <c r="BL1425">
        <v>0</v>
      </c>
      <c r="BO1425">
        <v>0</v>
      </c>
      <c r="BP1425">
        <v>0</v>
      </c>
      <c r="BW1425" t="str">
        <f>"20:20:36.573"</f>
        <v>20:20:36.573</v>
      </c>
      <c r="BZ1425">
        <v>0</v>
      </c>
      <c r="CA1425">
        <v>2016</v>
      </c>
      <c r="CB1425">
        <v>224</v>
      </c>
      <c r="CD1425">
        <v>1</v>
      </c>
      <c r="CE1425">
        <v>0</v>
      </c>
      <c r="CF1425">
        <v>0</v>
      </c>
      <c r="CG1425">
        <v>1</v>
      </c>
      <c r="CH1425">
        <v>0</v>
      </c>
      <c r="CI1425">
        <v>0</v>
      </c>
      <c r="CJ1425">
        <v>0</v>
      </c>
      <c r="CK1425">
        <v>2</v>
      </c>
      <c r="CL1425">
        <v>0</v>
      </c>
      <c r="CM1425">
        <v>2</v>
      </c>
      <c r="CN1425">
        <v>0</v>
      </c>
      <c r="CO1425">
        <v>7</v>
      </c>
      <c r="CP1425" t="s">
        <v>119</v>
      </c>
      <c r="CQ1425">
        <v>180</v>
      </c>
      <c r="CR1425">
        <v>2</v>
      </c>
      <c r="CW1425">
        <v>8194621</v>
      </c>
      <c r="CY1425">
        <v>1</v>
      </c>
      <c r="CZ1425">
        <v>0</v>
      </c>
      <c r="DA1425">
        <v>1</v>
      </c>
      <c r="DB1425">
        <v>0</v>
      </c>
      <c r="DC1425">
        <v>0</v>
      </c>
      <c r="DD1425">
        <v>0</v>
      </c>
      <c r="DE1425">
        <v>0</v>
      </c>
      <c r="DF1425">
        <v>0</v>
      </c>
      <c r="DG1425">
        <v>0</v>
      </c>
      <c r="DH1425">
        <v>0</v>
      </c>
      <c r="DI1425">
        <v>0</v>
      </c>
    </row>
    <row r="1426" spans="1:113" x14ac:dyDescent="0.3">
      <c r="A1426" t="str">
        <f>"02/08/2021 20:20:34.216"</f>
        <v>02/08/2021 20:20:34.216</v>
      </c>
      <c r="C1426" t="str">
        <f t="shared" si="68"/>
        <v>FFDFD7C0</v>
      </c>
      <c r="D1426" t="s">
        <v>124</v>
      </c>
      <c r="E1426">
        <v>11</v>
      </c>
      <c r="F1426">
        <v>1011</v>
      </c>
      <c r="G1426" t="s">
        <v>590</v>
      </c>
      <c r="J1426" t="s">
        <v>125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S1426" t="str">
        <f>"20:20:36.570"</f>
        <v>20:20:36.570</v>
      </c>
      <c r="T1426" t="str">
        <f>"20:20:36.170"</f>
        <v>20:20:36.170</v>
      </c>
      <c r="U1426" t="str">
        <f t="shared" si="67"/>
        <v>AB01F4</v>
      </c>
      <c r="V1426">
        <v>0</v>
      </c>
      <c r="W1426">
        <v>0</v>
      </c>
      <c r="X1426">
        <v>2</v>
      </c>
      <c r="Z1426">
        <v>0</v>
      </c>
      <c r="AA1426">
        <v>9</v>
      </c>
      <c r="AB1426">
        <v>3</v>
      </c>
      <c r="AC1426">
        <v>0</v>
      </c>
      <c r="AD1426">
        <v>10</v>
      </c>
      <c r="AE1426">
        <v>0</v>
      </c>
      <c r="AF1426">
        <v>3</v>
      </c>
      <c r="AG1426">
        <v>2</v>
      </c>
      <c r="AH1426">
        <v>0</v>
      </c>
      <c r="AI1426" t="s">
        <v>971</v>
      </c>
      <c r="AJ1426">
        <v>39.808551999999999</v>
      </c>
      <c r="AK1426" t="s">
        <v>972</v>
      </c>
      <c r="AL1426">
        <v>-92.521770000000004</v>
      </c>
      <c r="AM1426">
        <v>100</v>
      </c>
      <c r="AN1426">
        <v>1700</v>
      </c>
      <c r="AO1426" t="s">
        <v>118</v>
      </c>
      <c r="AP1426">
        <v>-28</v>
      </c>
      <c r="AQ1426">
        <v>119</v>
      </c>
      <c r="AR1426">
        <v>64</v>
      </c>
      <c r="AZ1426">
        <v>1200</v>
      </c>
      <c r="BA1426">
        <v>1</v>
      </c>
      <c r="BB1426" t="str">
        <f t="shared" si="69"/>
        <v xml:space="preserve">N8080G  </v>
      </c>
      <c r="BC1426">
        <v>1</v>
      </c>
      <c r="BE1426">
        <v>0</v>
      </c>
      <c r="BF1426">
        <v>0</v>
      </c>
      <c r="BG1426">
        <v>0</v>
      </c>
      <c r="BH1426">
        <v>1700</v>
      </c>
      <c r="BI1426">
        <v>1</v>
      </c>
      <c r="BJ1426">
        <v>1</v>
      </c>
      <c r="BK1426">
        <v>1</v>
      </c>
      <c r="BL1426">
        <v>0</v>
      </c>
      <c r="BO1426">
        <v>0</v>
      </c>
      <c r="BP1426">
        <v>0</v>
      </c>
      <c r="BW1426" t="str">
        <f>"20:20:36.573"</f>
        <v>20:20:36.573</v>
      </c>
      <c r="BZ1426">
        <v>0</v>
      </c>
      <c r="CA1426">
        <v>2016</v>
      </c>
      <c r="CB1426">
        <v>224</v>
      </c>
      <c r="CD1426">
        <v>1</v>
      </c>
      <c r="CE1426">
        <v>0</v>
      </c>
      <c r="CF1426">
        <v>0</v>
      </c>
      <c r="CG1426">
        <v>1</v>
      </c>
      <c r="CH1426">
        <v>0</v>
      </c>
      <c r="CI1426">
        <v>0</v>
      </c>
      <c r="CJ1426">
        <v>0</v>
      </c>
      <c r="CK1426">
        <v>2</v>
      </c>
      <c r="CL1426">
        <v>0</v>
      </c>
      <c r="CM1426">
        <v>2</v>
      </c>
      <c r="CN1426">
        <v>0</v>
      </c>
      <c r="CO1426">
        <v>7</v>
      </c>
      <c r="CP1426" t="s">
        <v>119</v>
      </c>
      <c r="CQ1426">
        <v>180</v>
      </c>
      <c r="CR1426">
        <v>2</v>
      </c>
      <c r="CW1426">
        <v>8194621</v>
      </c>
      <c r="CY1426">
        <v>1</v>
      </c>
      <c r="CZ1426">
        <v>0</v>
      </c>
      <c r="DA1426">
        <v>1</v>
      </c>
      <c r="DB1426">
        <v>0</v>
      </c>
      <c r="DC1426">
        <v>0</v>
      </c>
      <c r="DD1426">
        <v>0</v>
      </c>
      <c r="DE1426">
        <v>0</v>
      </c>
      <c r="DF1426">
        <v>0</v>
      </c>
      <c r="DG1426">
        <v>0</v>
      </c>
      <c r="DH1426">
        <v>0</v>
      </c>
      <c r="DI1426">
        <v>0</v>
      </c>
    </row>
    <row r="1427" spans="1:113" x14ac:dyDescent="0.3">
      <c r="A1427" t="str">
        <f>"02/08/2021 20:20:35.932"</f>
        <v>02/08/2021 20:20:35.932</v>
      </c>
      <c r="C1427" t="str">
        <f t="shared" si="68"/>
        <v>FFDFD7C0</v>
      </c>
      <c r="D1427" t="s">
        <v>124</v>
      </c>
      <c r="E1427">
        <v>13</v>
      </c>
      <c r="F1427">
        <v>1013</v>
      </c>
      <c r="G1427" t="s">
        <v>114</v>
      </c>
      <c r="J1427" t="s">
        <v>125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S1427" t="str">
        <f>"20:20:38.234"</f>
        <v>20:20:38.234</v>
      </c>
      <c r="T1427" t="str">
        <f>"20:20:37.734"</f>
        <v>20:20:37.734</v>
      </c>
      <c r="U1427" t="str">
        <f t="shared" si="67"/>
        <v>AB01F4</v>
      </c>
      <c r="V1427">
        <v>0</v>
      </c>
      <c r="W1427">
        <v>0</v>
      </c>
      <c r="X1427">
        <v>2</v>
      </c>
      <c r="Z1427">
        <v>0</v>
      </c>
      <c r="AA1427">
        <v>9</v>
      </c>
      <c r="AB1427">
        <v>3</v>
      </c>
      <c r="AC1427">
        <v>0</v>
      </c>
      <c r="AD1427">
        <v>10</v>
      </c>
      <c r="AE1427">
        <v>0</v>
      </c>
      <c r="AF1427">
        <v>3</v>
      </c>
      <c r="AG1427">
        <v>2</v>
      </c>
      <c r="AH1427">
        <v>0</v>
      </c>
      <c r="AI1427" t="s">
        <v>973</v>
      </c>
      <c r="AJ1427">
        <v>39.809474999999999</v>
      </c>
      <c r="AK1427" t="s">
        <v>974</v>
      </c>
      <c r="AL1427">
        <v>-92.522092000000001</v>
      </c>
      <c r="AM1427">
        <v>100</v>
      </c>
      <c r="AN1427">
        <v>1700</v>
      </c>
      <c r="AO1427" t="s">
        <v>118</v>
      </c>
      <c r="AP1427">
        <v>-28</v>
      </c>
      <c r="AQ1427">
        <v>119</v>
      </c>
      <c r="AR1427">
        <v>128</v>
      </c>
      <c r="AZ1427">
        <v>1200</v>
      </c>
      <c r="BA1427">
        <v>1</v>
      </c>
      <c r="BB1427" t="str">
        <f t="shared" si="69"/>
        <v xml:space="preserve">N8080G  </v>
      </c>
      <c r="BC1427">
        <v>1</v>
      </c>
      <c r="BE1427">
        <v>0</v>
      </c>
      <c r="BF1427">
        <v>0</v>
      </c>
      <c r="BG1427">
        <v>0</v>
      </c>
      <c r="BH1427">
        <v>1700</v>
      </c>
      <c r="BI1427">
        <v>1</v>
      </c>
      <c r="BJ1427">
        <v>1</v>
      </c>
      <c r="BK1427">
        <v>1</v>
      </c>
      <c r="BL1427">
        <v>0</v>
      </c>
      <c r="BO1427">
        <v>0</v>
      </c>
      <c r="BP1427">
        <v>0</v>
      </c>
      <c r="BW1427" t="str">
        <f>"20:20:38.235"</f>
        <v>20:20:38.235</v>
      </c>
      <c r="BZ1427">
        <v>0</v>
      </c>
      <c r="CA1427">
        <v>2016</v>
      </c>
      <c r="CB1427">
        <v>224</v>
      </c>
      <c r="CD1427">
        <v>1</v>
      </c>
      <c r="CE1427">
        <v>0</v>
      </c>
      <c r="CF1427">
        <v>0</v>
      </c>
      <c r="CG1427">
        <v>1</v>
      </c>
      <c r="CH1427">
        <v>0</v>
      </c>
      <c r="CI1427">
        <v>0</v>
      </c>
      <c r="CJ1427">
        <v>0</v>
      </c>
      <c r="CK1427">
        <v>2</v>
      </c>
      <c r="CL1427">
        <v>0</v>
      </c>
      <c r="CM1427">
        <v>2</v>
      </c>
      <c r="CN1427">
        <v>0</v>
      </c>
      <c r="CO1427">
        <v>7</v>
      </c>
      <c r="CP1427" t="s">
        <v>119</v>
      </c>
      <c r="CQ1427">
        <v>180</v>
      </c>
      <c r="CR1427">
        <v>1</v>
      </c>
      <c r="CW1427">
        <v>10761141</v>
      </c>
      <c r="CY1427">
        <v>1</v>
      </c>
      <c r="CZ1427">
        <v>0</v>
      </c>
      <c r="DA1427">
        <v>0</v>
      </c>
      <c r="DB1427">
        <v>0</v>
      </c>
      <c r="DC1427">
        <v>0</v>
      </c>
      <c r="DD1427">
        <v>0</v>
      </c>
      <c r="DE1427">
        <v>0</v>
      </c>
      <c r="DF1427">
        <v>0</v>
      </c>
      <c r="DG1427">
        <v>0</v>
      </c>
      <c r="DH1427">
        <v>0</v>
      </c>
      <c r="DI1427">
        <v>0</v>
      </c>
    </row>
    <row r="1428" spans="1:113" x14ac:dyDescent="0.3">
      <c r="A1428" t="str">
        <f>"02/08/2021 20:20:35.932"</f>
        <v>02/08/2021 20:20:35.932</v>
      </c>
      <c r="C1428" t="str">
        <f t="shared" si="68"/>
        <v>FFDFD7C0</v>
      </c>
      <c r="D1428" t="s">
        <v>113</v>
      </c>
      <c r="E1428">
        <v>6</v>
      </c>
      <c r="H1428">
        <v>165</v>
      </c>
      <c r="I1428" t="s">
        <v>114</v>
      </c>
      <c r="J1428" t="s">
        <v>115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S1428" t="str">
        <f>"20:20:38.234"</f>
        <v>20:20:38.234</v>
      </c>
      <c r="T1428" t="str">
        <f>"20:20:37.734"</f>
        <v>20:20:37.734</v>
      </c>
      <c r="U1428" t="str">
        <f t="shared" si="67"/>
        <v>AB01F4</v>
      </c>
      <c r="V1428">
        <v>0</v>
      </c>
      <c r="W1428">
        <v>0</v>
      </c>
      <c r="X1428">
        <v>2</v>
      </c>
      <c r="Z1428">
        <v>0</v>
      </c>
      <c r="AA1428">
        <v>9</v>
      </c>
      <c r="AB1428">
        <v>3</v>
      </c>
      <c r="AC1428">
        <v>0</v>
      </c>
      <c r="AD1428">
        <v>10</v>
      </c>
      <c r="AE1428">
        <v>0</v>
      </c>
      <c r="AF1428">
        <v>3</v>
      </c>
      <c r="AG1428">
        <v>2</v>
      </c>
      <c r="AH1428">
        <v>0</v>
      </c>
      <c r="AI1428" t="s">
        <v>973</v>
      </c>
      <c r="AJ1428">
        <v>39.809474999999999</v>
      </c>
      <c r="AK1428" t="s">
        <v>974</v>
      </c>
      <c r="AL1428">
        <v>-92.522092000000001</v>
      </c>
      <c r="AM1428">
        <v>100</v>
      </c>
      <c r="AN1428">
        <v>1700</v>
      </c>
      <c r="AO1428" t="s">
        <v>118</v>
      </c>
      <c r="AP1428">
        <v>-28</v>
      </c>
      <c r="AQ1428">
        <v>119</v>
      </c>
      <c r="AR1428">
        <v>128</v>
      </c>
      <c r="AZ1428">
        <v>1200</v>
      </c>
      <c r="BA1428">
        <v>1</v>
      </c>
      <c r="BB1428" t="str">
        <f t="shared" si="69"/>
        <v xml:space="preserve">N8080G  </v>
      </c>
      <c r="BC1428">
        <v>1</v>
      </c>
      <c r="BE1428">
        <v>0</v>
      </c>
      <c r="BF1428">
        <v>0</v>
      </c>
      <c r="BG1428">
        <v>0</v>
      </c>
      <c r="BH1428">
        <v>1700</v>
      </c>
      <c r="BI1428">
        <v>1</v>
      </c>
      <c r="BJ1428">
        <v>1</v>
      </c>
      <c r="BK1428">
        <v>1</v>
      </c>
      <c r="BL1428">
        <v>0</v>
      </c>
      <c r="BO1428">
        <v>0</v>
      </c>
      <c r="BP1428">
        <v>0</v>
      </c>
      <c r="BW1428" t="str">
        <f>"20:20:38.235"</f>
        <v>20:20:38.235</v>
      </c>
      <c r="BZ1428">
        <v>0</v>
      </c>
      <c r="CA1428">
        <v>2016</v>
      </c>
      <c r="CB1428">
        <v>224</v>
      </c>
      <c r="CD1428">
        <v>1</v>
      </c>
      <c r="CE1428">
        <v>0</v>
      </c>
      <c r="CF1428">
        <v>0</v>
      </c>
      <c r="CG1428">
        <v>1</v>
      </c>
      <c r="CH1428">
        <v>0</v>
      </c>
      <c r="CI1428">
        <v>0</v>
      </c>
      <c r="CJ1428">
        <v>0</v>
      </c>
      <c r="CK1428">
        <v>2</v>
      </c>
      <c r="CL1428">
        <v>0</v>
      </c>
      <c r="CM1428">
        <v>2</v>
      </c>
      <c r="CN1428">
        <v>0</v>
      </c>
      <c r="CO1428">
        <v>7</v>
      </c>
      <c r="CP1428" t="s">
        <v>119</v>
      </c>
      <c r="CQ1428">
        <v>180</v>
      </c>
      <c r="CR1428">
        <v>1</v>
      </c>
      <c r="CW1428">
        <v>10761141</v>
      </c>
      <c r="CY1428">
        <v>1</v>
      </c>
      <c r="CZ1428">
        <v>0</v>
      </c>
      <c r="DA1428">
        <v>1</v>
      </c>
      <c r="DB1428">
        <v>0</v>
      </c>
      <c r="DC1428">
        <v>0</v>
      </c>
      <c r="DD1428">
        <v>0</v>
      </c>
      <c r="DE1428">
        <v>0</v>
      </c>
      <c r="DF1428">
        <v>0</v>
      </c>
      <c r="DG1428">
        <v>0</v>
      </c>
      <c r="DH1428">
        <v>0</v>
      </c>
      <c r="DI1428">
        <v>0</v>
      </c>
    </row>
    <row r="1429" spans="1:113" x14ac:dyDescent="0.3">
      <c r="A1429" t="str">
        <f>"02/08/2021 20:20:35.932"</f>
        <v>02/08/2021 20:20:35.932</v>
      </c>
      <c r="C1429" t="str">
        <f t="shared" si="68"/>
        <v>FFDFD7C0</v>
      </c>
      <c r="D1429" t="s">
        <v>124</v>
      </c>
      <c r="E1429">
        <v>12</v>
      </c>
      <c r="F1429">
        <v>1012</v>
      </c>
      <c r="G1429" t="s">
        <v>675</v>
      </c>
      <c r="J1429" t="s">
        <v>125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S1429" t="str">
        <f>"20:20:38.234"</f>
        <v>20:20:38.234</v>
      </c>
      <c r="T1429" t="str">
        <f>"20:20:37.734"</f>
        <v>20:20:37.734</v>
      </c>
      <c r="U1429" t="str">
        <f t="shared" si="67"/>
        <v>AB01F4</v>
      </c>
      <c r="V1429">
        <v>0</v>
      </c>
      <c r="W1429">
        <v>0</v>
      </c>
      <c r="X1429">
        <v>2</v>
      </c>
      <c r="Z1429">
        <v>0</v>
      </c>
      <c r="AA1429">
        <v>9</v>
      </c>
      <c r="AB1429">
        <v>3</v>
      </c>
      <c r="AC1429">
        <v>0</v>
      </c>
      <c r="AD1429">
        <v>10</v>
      </c>
      <c r="AE1429">
        <v>0</v>
      </c>
      <c r="AF1429">
        <v>3</v>
      </c>
      <c r="AG1429">
        <v>2</v>
      </c>
      <c r="AH1429">
        <v>0</v>
      </c>
      <c r="AI1429" t="s">
        <v>973</v>
      </c>
      <c r="AJ1429">
        <v>39.809474999999999</v>
      </c>
      <c r="AK1429" t="s">
        <v>974</v>
      </c>
      <c r="AL1429">
        <v>-92.522092000000001</v>
      </c>
      <c r="AM1429">
        <v>100</v>
      </c>
      <c r="AN1429">
        <v>1700</v>
      </c>
      <c r="AO1429" t="s">
        <v>118</v>
      </c>
      <c r="AP1429">
        <v>-28</v>
      </c>
      <c r="AQ1429">
        <v>119</v>
      </c>
      <c r="AR1429">
        <v>128</v>
      </c>
      <c r="AZ1429">
        <v>1200</v>
      </c>
      <c r="BA1429">
        <v>1</v>
      </c>
      <c r="BB1429" t="str">
        <f t="shared" si="69"/>
        <v xml:space="preserve">N8080G  </v>
      </c>
      <c r="BC1429">
        <v>1</v>
      </c>
      <c r="BE1429">
        <v>0</v>
      </c>
      <c r="BF1429">
        <v>0</v>
      </c>
      <c r="BG1429">
        <v>0</v>
      </c>
      <c r="BH1429">
        <v>1700</v>
      </c>
      <c r="BI1429">
        <v>1</v>
      </c>
      <c r="BJ1429">
        <v>1</v>
      </c>
      <c r="BK1429">
        <v>1</v>
      </c>
      <c r="BL1429">
        <v>0</v>
      </c>
      <c r="BO1429">
        <v>0</v>
      </c>
      <c r="BP1429">
        <v>0</v>
      </c>
      <c r="BW1429" t="str">
        <f>"20:20:38.235"</f>
        <v>20:20:38.235</v>
      </c>
      <c r="BZ1429">
        <v>0</v>
      </c>
      <c r="CA1429">
        <v>2016</v>
      </c>
      <c r="CB1429">
        <v>224</v>
      </c>
      <c r="CD1429">
        <v>1</v>
      </c>
      <c r="CE1429">
        <v>0</v>
      </c>
      <c r="CF1429">
        <v>0</v>
      </c>
      <c r="CG1429">
        <v>1</v>
      </c>
      <c r="CH1429">
        <v>0</v>
      </c>
      <c r="CI1429">
        <v>0</v>
      </c>
      <c r="CJ1429">
        <v>0</v>
      </c>
      <c r="CK1429">
        <v>2</v>
      </c>
      <c r="CL1429">
        <v>0</v>
      </c>
      <c r="CM1429">
        <v>2</v>
      </c>
      <c r="CN1429">
        <v>0</v>
      </c>
      <c r="CO1429">
        <v>7</v>
      </c>
      <c r="CP1429" t="s">
        <v>119</v>
      </c>
      <c r="CQ1429">
        <v>180</v>
      </c>
      <c r="CR1429">
        <v>1</v>
      </c>
      <c r="CW1429">
        <v>10761141</v>
      </c>
      <c r="CY1429">
        <v>1</v>
      </c>
      <c r="CZ1429">
        <v>0</v>
      </c>
      <c r="DA1429">
        <v>1</v>
      </c>
      <c r="DB1429">
        <v>0</v>
      </c>
      <c r="DC1429">
        <v>0</v>
      </c>
      <c r="DD1429">
        <v>0</v>
      </c>
      <c r="DE1429">
        <v>0</v>
      </c>
      <c r="DF1429">
        <v>0</v>
      </c>
      <c r="DG1429">
        <v>0</v>
      </c>
      <c r="DH1429">
        <v>0</v>
      </c>
      <c r="DI1429">
        <v>0</v>
      </c>
    </row>
    <row r="1430" spans="1:113" x14ac:dyDescent="0.3">
      <c r="A1430" t="str">
        <f>"02/08/2021 20:20:35.932"</f>
        <v>02/08/2021 20:20:35.932</v>
      </c>
      <c r="C1430" t="str">
        <f t="shared" si="68"/>
        <v>FFDFD7C0</v>
      </c>
      <c r="D1430" t="s">
        <v>124</v>
      </c>
      <c r="E1430">
        <v>11</v>
      </c>
      <c r="F1430">
        <v>1011</v>
      </c>
      <c r="G1430" t="s">
        <v>590</v>
      </c>
      <c r="J1430" t="s">
        <v>125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S1430" t="str">
        <f>"20:20:38.234"</f>
        <v>20:20:38.234</v>
      </c>
      <c r="T1430" t="str">
        <f>"20:20:37.734"</f>
        <v>20:20:37.734</v>
      </c>
      <c r="U1430" t="str">
        <f t="shared" si="67"/>
        <v>AB01F4</v>
      </c>
      <c r="V1430">
        <v>0</v>
      </c>
      <c r="W1430">
        <v>0</v>
      </c>
      <c r="X1430">
        <v>2</v>
      </c>
      <c r="Z1430">
        <v>0</v>
      </c>
      <c r="AA1430">
        <v>9</v>
      </c>
      <c r="AB1430">
        <v>3</v>
      </c>
      <c r="AC1430">
        <v>0</v>
      </c>
      <c r="AD1430">
        <v>10</v>
      </c>
      <c r="AE1430">
        <v>0</v>
      </c>
      <c r="AF1430">
        <v>3</v>
      </c>
      <c r="AG1430">
        <v>2</v>
      </c>
      <c r="AH1430">
        <v>0</v>
      </c>
      <c r="AI1430" t="s">
        <v>973</v>
      </c>
      <c r="AJ1430">
        <v>39.809474999999999</v>
      </c>
      <c r="AK1430" t="s">
        <v>974</v>
      </c>
      <c r="AL1430">
        <v>-92.522092000000001</v>
      </c>
      <c r="AM1430">
        <v>100</v>
      </c>
      <c r="AN1430">
        <v>1700</v>
      </c>
      <c r="AO1430" t="s">
        <v>118</v>
      </c>
      <c r="AP1430">
        <v>-28</v>
      </c>
      <c r="AQ1430">
        <v>119</v>
      </c>
      <c r="AR1430">
        <v>128</v>
      </c>
      <c r="AZ1430">
        <v>1200</v>
      </c>
      <c r="BA1430">
        <v>1</v>
      </c>
      <c r="BB1430" t="str">
        <f t="shared" si="69"/>
        <v xml:space="preserve">N8080G  </v>
      </c>
      <c r="BC1430">
        <v>1</v>
      </c>
      <c r="BE1430">
        <v>0</v>
      </c>
      <c r="BF1430">
        <v>0</v>
      </c>
      <c r="BG1430">
        <v>0</v>
      </c>
      <c r="BH1430">
        <v>1700</v>
      </c>
      <c r="BI1430">
        <v>1</v>
      </c>
      <c r="BJ1430">
        <v>1</v>
      </c>
      <c r="BK1430">
        <v>1</v>
      </c>
      <c r="BL1430">
        <v>0</v>
      </c>
      <c r="BO1430">
        <v>0</v>
      </c>
      <c r="BP1430">
        <v>0</v>
      </c>
      <c r="BW1430" t="str">
        <f>"20:20:38.235"</f>
        <v>20:20:38.235</v>
      </c>
      <c r="BZ1430">
        <v>0</v>
      </c>
      <c r="CA1430">
        <v>2016</v>
      </c>
      <c r="CB1430">
        <v>224</v>
      </c>
      <c r="CD1430">
        <v>1</v>
      </c>
      <c r="CE1430">
        <v>0</v>
      </c>
      <c r="CF1430">
        <v>0</v>
      </c>
      <c r="CG1430">
        <v>1</v>
      </c>
      <c r="CH1430">
        <v>0</v>
      </c>
      <c r="CI1430">
        <v>0</v>
      </c>
      <c r="CJ1430">
        <v>0</v>
      </c>
      <c r="CK1430">
        <v>2</v>
      </c>
      <c r="CL1430">
        <v>0</v>
      </c>
      <c r="CM1430">
        <v>2</v>
      </c>
      <c r="CN1430">
        <v>0</v>
      </c>
      <c r="CO1430">
        <v>7</v>
      </c>
      <c r="CP1430" t="s">
        <v>119</v>
      </c>
      <c r="CQ1430">
        <v>180</v>
      </c>
      <c r="CR1430">
        <v>1</v>
      </c>
      <c r="CW1430">
        <v>10761141</v>
      </c>
      <c r="CY1430">
        <v>1</v>
      </c>
      <c r="CZ1430">
        <v>0</v>
      </c>
      <c r="DA1430">
        <v>1</v>
      </c>
      <c r="DB1430">
        <v>0</v>
      </c>
      <c r="DC1430">
        <v>0</v>
      </c>
      <c r="DD1430">
        <v>0</v>
      </c>
      <c r="DE1430">
        <v>0</v>
      </c>
      <c r="DF1430">
        <v>0</v>
      </c>
      <c r="DG1430">
        <v>0</v>
      </c>
      <c r="DH1430">
        <v>0</v>
      </c>
      <c r="DI1430">
        <v>0</v>
      </c>
    </row>
    <row r="1431" spans="1:113" x14ac:dyDescent="0.3">
      <c r="A1431" t="str">
        <f>"02/08/2021 20:20:37.275"</f>
        <v>02/08/2021 20:20:37.275</v>
      </c>
      <c r="C1431" t="str">
        <f t="shared" si="68"/>
        <v>FFDFD7C0</v>
      </c>
      <c r="D1431" t="s">
        <v>124</v>
      </c>
      <c r="E1431">
        <v>11</v>
      </c>
      <c r="F1431">
        <v>1011</v>
      </c>
      <c r="G1431" t="s">
        <v>590</v>
      </c>
      <c r="J1431" t="s">
        <v>125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S1431" t="str">
        <f>"20:20:39.602"</f>
        <v>20:20:39.602</v>
      </c>
      <c r="T1431" t="str">
        <f>"20:20:38.702"</f>
        <v>20:20:38.702</v>
      </c>
      <c r="U1431" t="str">
        <f t="shared" si="67"/>
        <v>AB01F4</v>
      </c>
      <c r="V1431">
        <v>0</v>
      </c>
      <c r="W1431">
        <v>0</v>
      </c>
      <c r="X1431">
        <v>2</v>
      </c>
      <c r="Z1431">
        <v>0</v>
      </c>
      <c r="AA1431">
        <v>9</v>
      </c>
      <c r="AB1431">
        <v>3</v>
      </c>
      <c r="AC1431">
        <v>0</v>
      </c>
      <c r="AD1431">
        <v>10</v>
      </c>
      <c r="AE1431">
        <v>0</v>
      </c>
      <c r="AF1431">
        <v>3</v>
      </c>
      <c r="AG1431">
        <v>2</v>
      </c>
      <c r="AH1431">
        <v>0</v>
      </c>
      <c r="AI1431" t="s">
        <v>975</v>
      </c>
      <c r="AJ1431">
        <v>39.810205000000003</v>
      </c>
      <c r="AK1431" t="s">
        <v>976</v>
      </c>
      <c r="AL1431">
        <v>-92.522328000000002</v>
      </c>
      <c r="AM1431">
        <v>100</v>
      </c>
      <c r="AN1431">
        <v>1700</v>
      </c>
      <c r="AO1431" t="s">
        <v>118</v>
      </c>
      <c r="AP1431">
        <v>-28</v>
      </c>
      <c r="AQ1431">
        <v>119</v>
      </c>
      <c r="AR1431">
        <v>0</v>
      </c>
      <c r="AZ1431">
        <v>1200</v>
      </c>
      <c r="BA1431">
        <v>1</v>
      </c>
      <c r="BB1431" t="str">
        <f t="shared" si="69"/>
        <v xml:space="preserve">N8080G  </v>
      </c>
      <c r="BC1431">
        <v>1</v>
      </c>
      <c r="BE1431">
        <v>0</v>
      </c>
      <c r="BF1431">
        <v>0</v>
      </c>
      <c r="BG1431">
        <v>0</v>
      </c>
      <c r="BH1431">
        <v>1700</v>
      </c>
      <c r="BI1431">
        <v>1</v>
      </c>
      <c r="BJ1431">
        <v>1</v>
      </c>
      <c r="BK1431">
        <v>1</v>
      </c>
      <c r="BL1431">
        <v>0</v>
      </c>
      <c r="BO1431">
        <v>0</v>
      </c>
      <c r="BP1431">
        <v>0</v>
      </c>
      <c r="BW1431" t="str">
        <f>"20:20:39.603"</f>
        <v>20:20:39.603</v>
      </c>
      <c r="BZ1431">
        <v>0</v>
      </c>
      <c r="CA1431">
        <v>2016</v>
      </c>
      <c r="CB1431">
        <v>224</v>
      </c>
      <c r="CD1431">
        <v>1</v>
      </c>
      <c r="CE1431">
        <v>0</v>
      </c>
      <c r="CF1431">
        <v>0</v>
      </c>
      <c r="CG1431">
        <v>1</v>
      </c>
      <c r="CH1431">
        <v>0</v>
      </c>
      <c r="CI1431">
        <v>0</v>
      </c>
      <c r="CJ1431">
        <v>0</v>
      </c>
      <c r="CK1431">
        <v>2</v>
      </c>
      <c r="CL1431">
        <v>0</v>
      </c>
      <c r="CM1431">
        <v>2</v>
      </c>
      <c r="CN1431">
        <v>0</v>
      </c>
      <c r="CO1431">
        <v>7</v>
      </c>
      <c r="CP1431" t="s">
        <v>119</v>
      </c>
      <c r="CQ1431">
        <v>180</v>
      </c>
      <c r="CR1431">
        <v>1</v>
      </c>
      <c r="CW1431">
        <v>10762199</v>
      </c>
      <c r="CY1431">
        <v>1</v>
      </c>
      <c r="CZ1431">
        <v>0</v>
      </c>
      <c r="DA1431">
        <v>0</v>
      </c>
      <c r="DB1431">
        <v>0</v>
      </c>
      <c r="DC1431">
        <v>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</row>
    <row r="1432" spans="1:113" x14ac:dyDescent="0.3">
      <c r="A1432" t="str">
        <f>"02/08/2021 20:20:37.275"</f>
        <v>02/08/2021 20:20:37.275</v>
      </c>
      <c r="C1432" t="str">
        <f t="shared" si="68"/>
        <v>FFDFD7C0</v>
      </c>
      <c r="D1432" t="s">
        <v>124</v>
      </c>
      <c r="E1432">
        <v>13</v>
      </c>
      <c r="F1432">
        <v>1013</v>
      </c>
      <c r="G1432" t="s">
        <v>114</v>
      </c>
      <c r="J1432" t="s">
        <v>125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S1432" t="str">
        <f>"20:20:39.602"</f>
        <v>20:20:39.602</v>
      </c>
      <c r="T1432" t="str">
        <f>"20:20:38.702"</f>
        <v>20:20:38.702</v>
      </c>
      <c r="U1432" t="str">
        <f t="shared" si="67"/>
        <v>AB01F4</v>
      </c>
      <c r="V1432">
        <v>0</v>
      </c>
      <c r="W1432">
        <v>0</v>
      </c>
      <c r="X1432">
        <v>2</v>
      </c>
      <c r="Z1432">
        <v>0</v>
      </c>
      <c r="AA1432">
        <v>9</v>
      </c>
      <c r="AB1432">
        <v>3</v>
      </c>
      <c r="AC1432">
        <v>0</v>
      </c>
      <c r="AD1432">
        <v>10</v>
      </c>
      <c r="AE1432">
        <v>0</v>
      </c>
      <c r="AF1432">
        <v>3</v>
      </c>
      <c r="AG1432">
        <v>2</v>
      </c>
      <c r="AH1432">
        <v>0</v>
      </c>
      <c r="AI1432" t="s">
        <v>975</v>
      </c>
      <c r="AJ1432">
        <v>39.810205000000003</v>
      </c>
      <c r="AK1432" t="s">
        <v>976</v>
      </c>
      <c r="AL1432">
        <v>-92.522328000000002</v>
      </c>
      <c r="AM1432">
        <v>100</v>
      </c>
      <c r="AN1432">
        <v>1700</v>
      </c>
      <c r="AO1432" t="s">
        <v>118</v>
      </c>
      <c r="AP1432">
        <v>-28</v>
      </c>
      <c r="AQ1432">
        <v>119</v>
      </c>
      <c r="AR1432">
        <v>0</v>
      </c>
      <c r="AZ1432">
        <v>1200</v>
      </c>
      <c r="BA1432">
        <v>1</v>
      </c>
      <c r="BB1432" t="str">
        <f t="shared" si="69"/>
        <v xml:space="preserve">N8080G  </v>
      </c>
      <c r="BC1432">
        <v>1</v>
      </c>
      <c r="BE1432">
        <v>0</v>
      </c>
      <c r="BF1432">
        <v>0</v>
      </c>
      <c r="BG1432">
        <v>0</v>
      </c>
      <c r="BH1432">
        <v>1700</v>
      </c>
      <c r="BI1432">
        <v>1</v>
      </c>
      <c r="BJ1432">
        <v>1</v>
      </c>
      <c r="BK1432">
        <v>1</v>
      </c>
      <c r="BL1432">
        <v>0</v>
      </c>
      <c r="BO1432">
        <v>0</v>
      </c>
      <c r="BP1432">
        <v>0</v>
      </c>
      <c r="BW1432" t="str">
        <f>"20:20:39.603"</f>
        <v>20:20:39.603</v>
      </c>
      <c r="BZ1432">
        <v>0</v>
      </c>
      <c r="CA1432">
        <v>2016</v>
      </c>
      <c r="CB1432">
        <v>224</v>
      </c>
      <c r="CD1432">
        <v>1</v>
      </c>
      <c r="CE1432">
        <v>0</v>
      </c>
      <c r="CF1432">
        <v>0</v>
      </c>
      <c r="CG1432">
        <v>1</v>
      </c>
      <c r="CH1432">
        <v>0</v>
      </c>
      <c r="CI1432">
        <v>0</v>
      </c>
      <c r="CJ1432">
        <v>0</v>
      </c>
      <c r="CK1432">
        <v>2</v>
      </c>
      <c r="CL1432">
        <v>0</v>
      </c>
      <c r="CM1432">
        <v>2</v>
      </c>
      <c r="CN1432">
        <v>0</v>
      </c>
      <c r="CO1432">
        <v>7</v>
      </c>
      <c r="CP1432" t="s">
        <v>119</v>
      </c>
      <c r="CQ1432">
        <v>180</v>
      </c>
      <c r="CR1432">
        <v>1</v>
      </c>
      <c r="CW1432">
        <v>10762199</v>
      </c>
      <c r="CY1432">
        <v>1</v>
      </c>
      <c r="CZ1432">
        <v>0</v>
      </c>
      <c r="DA1432">
        <v>1</v>
      </c>
      <c r="DB1432">
        <v>0</v>
      </c>
      <c r="DC1432">
        <v>0</v>
      </c>
      <c r="DD1432">
        <v>0</v>
      </c>
      <c r="DE1432">
        <v>0</v>
      </c>
      <c r="DF1432">
        <v>0</v>
      </c>
      <c r="DG1432">
        <v>0</v>
      </c>
      <c r="DH1432">
        <v>0</v>
      </c>
      <c r="DI1432">
        <v>0</v>
      </c>
    </row>
    <row r="1433" spans="1:113" x14ac:dyDescent="0.3">
      <c r="A1433" t="str">
        <f>"02/08/2021 20:20:37.275"</f>
        <v>02/08/2021 20:20:37.275</v>
      </c>
      <c r="C1433" t="str">
        <f t="shared" si="68"/>
        <v>FFDFD7C0</v>
      </c>
      <c r="D1433" t="s">
        <v>113</v>
      </c>
      <c r="E1433">
        <v>6</v>
      </c>
      <c r="H1433">
        <v>165</v>
      </c>
      <c r="I1433" t="s">
        <v>114</v>
      </c>
      <c r="J1433" t="s">
        <v>115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S1433" t="str">
        <f>"20:20:39.602"</f>
        <v>20:20:39.602</v>
      </c>
      <c r="T1433" t="str">
        <f>"20:20:38.702"</f>
        <v>20:20:38.702</v>
      </c>
      <c r="U1433" t="str">
        <f t="shared" si="67"/>
        <v>AB01F4</v>
      </c>
      <c r="V1433">
        <v>0</v>
      </c>
      <c r="W1433">
        <v>0</v>
      </c>
      <c r="X1433">
        <v>2</v>
      </c>
      <c r="Z1433">
        <v>0</v>
      </c>
      <c r="AA1433">
        <v>9</v>
      </c>
      <c r="AB1433">
        <v>3</v>
      </c>
      <c r="AC1433">
        <v>0</v>
      </c>
      <c r="AD1433">
        <v>10</v>
      </c>
      <c r="AE1433">
        <v>0</v>
      </c>
      <c r="AF1433">
        <v>3</v>
      </c>
      <c r="AG1433">
        <v>2</v>
      </c>
      <c r="AH1433">
        <v>0</v>
      </c>
      <c r="AI1433" t="s">
        <v>975</v>
      </c>
      <c r="AJ1433">
        <v>39.810205000000003</v>
      </c>
      <c r="AK1433" t="s">
        <v>976</v>
      </c>
      <c r="AL1433">
        <v>-92.522328000000002</v>
      </c>
      <c r="AM1433">
        <v>100</v>
      </c>
      <c r="AN1433">
        <v>1700</v>
      </c>
      <c r="AO1433" t="s">
        <v>118</v>
      </c>
      <c r="AP1433">
        <v>-28</v>
      </c>
      <c r="AQ1433">
        <v>119</v>
      </c>
      <c r="AR1433">
        <v>0</v>
      </c>
      <c r="AZ1433">
        <v>1200</v>
      </c>
      <c r="BA1433">
        <v>1</v>
      </c>
      <c r="BB1433" t="str">
        <f t="shared" si="69"/>
        <v xml:space="preserve">N8080G  </v>
      </c>
      <c r="BC1433">
        <v>1</v>
      </c>
      <c r="BE1433">
        <v>0</v>
      </c>
      <c r="BF1433">
        <v>0</v>
      </c>
      <c r="BG1433">
        <v>0</v>
      </c>
      <c r="BH1433">
        <v>1700</v>
      </c>
      <c r="BI1433">
        <v>1</v>
      </c>
      <c r="BJ1433">
        <v>1</v>
      </c>
      <c r="BK1433">
        <v>1</v>
      </c>
      <c r="BL1433">
        <v>0</v>
      </c>
      <c r="BO1433">
        <v>0</v>
      </c>
      <c r="BP1433">
        <v>0</v>
      </c>
      <c r="BW1433" t="str">
        <f>"20:20:39.603"</f>
        <v>20:20:39.603</v>
      </c>
      <c r="BZ1433">
        <v>0</v>
      </c>
      <c r="CA1433">
        <v>2016</v>
      </c>
      <c r="CB1433">
        <v>224</v>
      </c>
      <c r="CD1433">
        <v>1</v>
      </c>
      <c r="CE1433">
        <v>0</v>
      </c>
      <c r="CF1433">
        <v>0</v>
      </c>
      <c r="CG1433">
        <v>1</v>
      </c>
      <c r="CH1433">
        <v>0</v>
      </c>
      <c r="CI1433">
        <v>0</v>
      </c>
      <c r="CJ1433">
        <v>0</v>
      </c>
      <c r="CK1433">
        <v>2</v>
      </c>
      <c r="CL1433">
        <v>0</v>
      </c>
      <c r="CM1433">
        <v>2</v>
      </c>
      <c r="CN1433">
        <v>0</v>
      </c>
      <c r="CO1433">
        <v>7</v>
      </c>
      <c r="CP1433" t="s">
        <v>119</v>
      </c>
      <c r="CQ1433">
        <v>180</v>
      </c>
      <c r="CR1433">
        <v>1</v>
      </c>
      <c r="CW1433">
        <v>10762199</v>
      </c>
      <c r="CY1433">
        <v>1</v>
      </c>
      <c r="CZ1433">
        <v>0</v>
      </c>
      <c r="DA1433">
        <v>1</v>
      </c>
      <c r="DB1433">
        <v>0</v>
      </c>
      <c r="DC1433">
        <v>0</v>
      </c>
      <c r="DD1433">
        <v>0</v>
      </c>
      <c r="DE1433">
        <v>0</v>
      </c>
      <c r="DF1433">
        <v>0</v>
      </c>
      <c r="DG1433">
        <v>0</v>
      </c>
      <c r="DH1433">
        <v>0</v>
      </c>
      <c r="DI1433">
        <v>0</v>
      </c>
    </row>
    <row r="1434" spans="1:113" x14ac:dyDescent="0.3">
      <c r="A1434" t="str">
        <f>"02/08/2021 20:20:37.275"</f>
        <v>02/08/2021 20:20:37.275</v>
      </c>
      <c r="C1434" t="str">
        <f t="shared" si="68"/>
        <v>FFDFD7C0</v>
      </c>
      <c r="D1434" t="s">
        <v>124</v>
      </c>
      <c r="E1434">
        <v>12</v>
      </c>
      <c r="F1434">
        <v>1012</v>
      </c>
      <c r="G1434" t="s">
        <v>675</v>
      </c>
      <c r="J1434" t="s">
        <v>125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S1434" t="str">
        <f>"20:20:39.602"</f>
        <v>20:20:39.602</v>
      </c>
      <c r="T1434" t="str">
        <f>"20:20:38.702"</f>
        <v>20:20:38.702</v>
      </c>
      <c r="U1434" t="str">
        <f t="shared" si="67"/>
        <v>AB01F4</v>
      </c>
      <c r="V1434">
        <v>0</v>
      </c>
      <c r="W1434">
        <v>0</v>
      </c>
      <c r="X1434">
        <v>2</v>
      </c>
      <c r="Z1434">
        <v>0</v>
      </c>
      <c r="AA1434">
        <v>9</v>
      </c>
      <c r="AB1434">
        <v>3</v>
      </c>
      <c r="AC1434">
        <v>0</v>
      </c>
      <c r="AD1434">
        <v>10</v>
      </c>
      <c r="AE1434">
        <v>0</v>
      </c>
      <c r="AF1434">
        <v>3</v>
      </c>
      <c r="AG1434">
        <v>2</v>
      </c>
      <c r="AH1434">
        <v>0</v>
      </c>
      <c r="AI1434" t="s">
        <v>975</v>
      </c>
      <c r="AJ1434">
        <v>39.810205000000003</v>
      </c>
      <c r="AK1434" t="s">
        <v>976</v>
      </c>
      <c r="AL1434">
        <v>-92.522328000000002</v>
      </c>
      <c r="AM1434">
        <v>100</v>
      </c>
      <c r="AN1434">
        <v>1700</v>
      </c>
      <c r="AO1434" t="s">
        <v>118</v>
      </c>
      <c r="AP1434">
        <v>-28</v>
      </c>
      <c r="AQ1434">
        <v>119</v>
      </c>
      <c r="AR1434">
        <v>0</v>
      </c>
      <c r="AZ1434">
        <v>1200</v>
      </c>
      <c r="BA1434">
        <v>1</v>
      </c>
      <c r="BB1434" t="str">
        <f t="shared" si="69"/>
        <v xml:space="preserve">N8080G  </v>
      </c>
      <c r="BC1434">
        <v>1</v>
      </c>
      <c r="BE1434">
        <v>0</v>
      </c>
      <c r="BF1434">
        <v>0</v>
      </c>
      <c r="BG1434">
        <v>0</v>
      </c>
      <c r="BH1434">
        <v>1700</v>
      </c>
      <c r="BI1434">
        <v>1</v>
      </c>
      <c r="BJ1434">
        <v>1</v>
      </c>
      <c r="BK1434">
        <v>1</v>
      </c>
      <c r="BL1434">
        <v>0</v>
      </c>
      <c r="BO1434">
        <v>0</v>
      </c>
      <c r="BP1434">
        <v>0</v>
      </c>
      <c r="BW1434" t="str">
        <f>"20:20:39.603"</f>
        <v>20:20:39.603</v>
      </c>
      <c r="BZ1434">
        <v>0</v>
      </c>
      <c r="CA1434">
        <v>2016</v>
      </c>
      <c r="CB1434">
        <v>224</v>
      </c>
      <c r="CD1434">
        <v>1</v>
      </c>
      <c r="CE1434">
        <v>0</v>
      </c>
      <c r="CF1434">
        <v>0</v>
      </c>
      <c r="CG1434">
        <v>1</v>
      </c>
      <c r="CH1434">
        <v>0</v>
      </c>
      <c r="CI1434">
        <v>0</v>
      </c>
      <c r="CJ1434">
        <v>0</v>
      </c>
      <c r="CK1434">
        <v>2</v>
      </c>
      <c r="CL1434">
        <v>0</v>
      </c>
      <c r="CM1434">
        <v>2</v>
      </c>
      <c r="CN1434">
        <v>0</v>
      </c>
      <c r="CO1434">
        <v>7</v>
      </c>
      <c r="CP1434" t="s">
        <v>119</v>
      </c>
      <c r="CQ1434">
        <v>180</v>
      </c>
      <c r="CR1434">
        <v>1</v>
      </c>
      <c r="CW1434">
        <v>10762199</v>
      </c>
      <c r="CY1434">
        <v>1</v>
      </c>
      <c r="CZ1434">
        <v>0</v>
      </c>
      <c r="DA1434">
        <v>1</v>
      </c>
      <c r="DB1434">
        <v>0</v>
      </c>
      <c r="DC1434">
        <v>0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0</v>
      </c>
    </row>
    <row r="1435" spans="1:113" x14ac:dyDescent="0.3">
      <c r="A1435" t="str">
        <f>"02/08/2021 20:20:38.918"</f>
        <v>02/08/2021 20:20:38.918</v>
      </c>
      <c r="C1435" t="str">
        <f t="shared" si="68"/>
        <v>FFDFD7C0</v>
      </c>
      <c r="D1435" t="s">
        <v>113</v>
      </c>
      <c r="E1435">
        <v>6</v>
      </c>
      <c r="H1435">
        <v>165</v>
      </c>
      <c r="I1435" t="s">
        <v>114</v>
      </c>
      <c r="J1435" t="s">
        <v>115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S1435" t="str">
        <f>"20:20:41.250"</f>
        <v>20:20:41.250</v>
      </c>
      <c r="T1435" t="str">
        <f>"20:20:40.750"</f>
        <v>20:20:40.750</v>
      </c>
      <c r="U1435" t="str">
        <f t="shared" si="67"/>
        <v>AB01F4</v>
      </c>
      <c r="V1435">
        <v>0</v>
      </c>
      <c r="W1435">
        <v>0</v>
      </c>
      <c r="X1435">
        <v>2</v>
      </c>
      <c r="Z1435">
        <v>0</v>
      </c>
      <c r="AA1435">
        <v>9</v>
      </c>
      <c r="AB1435">
        <v>3</v>
      </c>
      <c r="AC1435">
        <v>0</v>
      </c>
      <c r="AD1435">
        <v>10</v>
      </c>
      <c r="AE1435">
        <v>0</v>
      </c>
      <c r="AF1435">
        <v>3</v>
      </c>
      <c r="AG1435">
        <v>2</v>
      </c>
      <c r="AH1435">
        <v>0</v>
      </c>
      <c r="AI1435" t="s">
        <v>977</v>
      </c>
      <c r="AJ1435">
        <v>39.811149</v>
      </c>
      <c r="AK1435" t="s">
        <v>751</v>
      </c>
      <c r="AL1435">
        <v>-92.522585000000007</v>
      </c>
      <c r="AM1435">
        <v>100</v>
      </c>
      <c r="AN1435">
        <v>1700</v>
      </c>
      <c r="AO1435" t="s">
        <v>118</v>
      </c>
      <c r="AP1435">
        <v>-29</v>
      </c>
      <c r="AQ1435">
        <v>119</v>
      </c>
      <c r="AR1435">
        <v>0</v>
      </c>
      <c r="AZ1435">
        <v>1200</v>
      </c>
      <c r="BA1435">
        <v>1</v>
      </c>
      <c r="BB1435" t="str">
        <f t="shared" si="69"/>
        <v xml:space="preserve">N8080G  </v>
      </c>
      <c r="BC1435">
        <v>1</v>
      </c>
      <c r="BE1435">
        <v>0</v>
      </c>
      <c r="BF1435">
        <v>0</v>
      </c>
      <c r="BG1435">
        <v>0</v>
      </c>
      <c r="BH1435">
        <v>1700</v>
      </c>
      <c r="BI1435">
        <v>1</v>
      </c>
      <c r="BJ1435">
        <v>1</v>
      </c>
      <c r="BK1435">
        <v>1</v>
      </c>
      <c r="BL1435">
        <v>0</v>
      </c>
      <c r="BO1435">
        <v>0</v>
      </c>
      <c r="BP1435">
        <v>0</v>
      </c>
      <c r="BW1435" t="str">
        <f>"20:20:41.253"</f>
        <v>20:20:41.253</v>
      </c>
      <c r="BZ1435">
        <v>0</v>
      </c>
      <c r="CA1435">
        <v>2016</v>
      </c>
      <c r="CB1435">
        <v>224</v>
      </c>
      <c r="CD1435">
        <v>1</v>
      </c>
      <c r="CE1435">
        <v>0</v>
      </c>
      <c r="CF1435">
        <v>0</v>
      </c>
      <c r="CG1435">
        <v>1</v>
      </c>
      <c r="CH1435">
        <v>0</v>
      </c>
      <c r="CI1435">
        <v>0</v>
      </c>
      <c r="CJ1435">
        <v>0</v>
      </c>
      <c r="CK1435">
        <v>2</v>
      </c>
      <c r="CL1435">
        <v>0</v>
      </c>
      <c r="CM1435">
        <v>2</v>
      </c>
      <c r="CN1435">
        <v>0</v>
      </c>
      <c r="CO1435">
        <v>7</v>
      </c>
      <c r="CP1435" t="s">
        <v>119</v>
      </c>
      <c r="CQ1435">
        <v>180</v>
      </c>
      <c r="CR1435">
        <v>1</v>
      </c>
      <c r="CW1435">
        <v>10763504</v>
      </c>
      <c r="CY1435">
        <v>1</v>
      </c>
      <c r="CZ1435">
        <v>0</v>
      </c>
      <c r="DA1435">
        <v>0</v>
      </c>
      <c r="DB1435">
        <v>0</v>
      </c>
      <c r="DC1435">
        <v>0</v>
      </c>
      <c r="DD1435">
        <v>0</v>
      </c>
      <c r="DE1435">
        <v>0</v>
      </c>
      <c r="DF1435">
        <v>0</v>
      </c>
      <c r="DG1435">
        <v>0</v>
      </c>
      <c r="DH1435">
        <v>0</v>
      </c>
      <c r="DI1435">
        <v>0</v>
      </c>
    </row>
    <row r="1436" spans="1:113" x14ac:dyDescent="0.3">
      <c r="A1436" t="str">
        <f>"02/08/2021 20:20:38.918"</f>
        <v>02/08/2021 20:20:38.918</v>
      </c>
      <c r="C1436" t="str">
        <f t="shared" si="68"/>
        <v>FFDFD7C0</v>
      </c>
      <c r="D1436" t="s">
        <v>124</v>
      </c>
      <c r="E1436">
        <v>12</v>
      </c>
      <c r="F1436">
        <v>1012</v>
      </c>
      <c r="G1436" t="s">
        <v>675</v>
      </c>
      <c r="J1436" t="s">
        <v>125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S1436" t="str">
        <f>"20:20:41.250"</f>
        <v>20:20:41.250</v>
      </c>
      <c r="T1436" t="str">
        <f>"20:20:40.750"</f>
        <v>20:20:40.750</v>
      </c>
      <c r="U1436" t="str">
        <f t="shared" si="67"/>
        <v>AB01F4</v>
      </c>
      <c r="V1436">
        <v>0</v>
      </c>
      <c r="W1436">
        <v>0</v>
      </c>
      <c r="X1436">
        <v>2</v>
      </c>
      <c r="Z1436">
        <v>0</v>
      </c>
      <c r="AA1436">
        <v>9</v>
      </c>
      <c r="AB1436">
        <v>3</v>
      </c>
      <c r="AC1436">
        <v>0</v>
      </c>
      <c r="AD1436">
        <v>10</v>
      </c>
      <c r="AE1436">
        <v>0</v>
      </c>
      <c r="AF1436">
        <v>3</v>
      </c>
      <c r="AG1436">
        <v>2</v>
      </c>
      <c r="AH1436">
        <v>0</v>
      </c>
      <c r="AI1436" t="s">
        <v>977</v>
      </c>
      <c r="AJ1436">
        <v>39.811149</v>
      </c>
      <c r="AK1436" t="s">
        <v>751</v>
      </c>
      <c r="AL1436">
        <v>-92.522585000000007</v>
      </c>
      <c r="AM1436">
        <v>100</v>
      </c>
      <c r="AN1436">
        <v>1700</v>
      </c>
      <c r="AO1436" t="s">
        <v>118</v>
      </c>
      <c r="AP1436">
        <v>-29</v>
      </c>
      <c r="AQ1436">
        <v>119</v>
      </c>
      <c r="AR1436">
        <v>0</v>
      </c>
      <c r="AZ1436">
        <v>1200</v>
      </c>
      <c r="BA1436">
        <v>1</v>
      </c>
      <c r="BB1436" t="str">
        <f t="shared" si="69"/>
        <v xml:space="preserve">N8080G  </v>
      </c>
      <c r="BC1436">
        <v>1</v>
      </c>
      <c r="BE1436">
        <v>0</v>
      </c>
      <c r="BF1436">
        <v>0</v>
      </c>
      <c r="BG1436">
        <v>0</v>
      </c>
      <c r="BH1436">
        <v>1700</v>
      </c>
      <c r="BI1436">
        <v>1</v>
      </c>
      <c r="BJ1436">
        <v>1</v>
      </c>
      <c r="BK1436">
        <v>1</v>
      </c>
      <c r="BL1436">
        <v>0</v>
      </c>
      <c r="BO1436">
        <v>0</v>
      </c>
      <c r="BP1436">
        <v>0</v>
      </c>
      <c r="BW1436" t="str">
        <f>"20:20:41.253"</f>
        <v>20:20:41.253</v>
      </c>
      <c r="BZ1436">
        <v>0</v>
      </c>
      <c r="CA1436">
        <v>2016</v>
      </c>
      <c r="CB1436">
        <v>224</v>
      </c>
      <c r="CD1436">
        <v>1</v>
      </c>
      <c r="CE1436">
        <v>0</v>
      </c>
      <c r="CF1436">
        <v>0</v>
      </c>
      <c r="CG1436">
        <v>1</v>
      </c>
      <c r="CH1436">
        <v>0</v>
      </c>
      <c r="CI1436">
        <v>0</v>
      </c>
      <c r="CJ1436">
        <v>0</v>
      </c>
      <c r="CK1436">
        <v>2</v>
      </c>
      <c r="CL1436">
        <v>0</v>
      </c>
      <c r="CM1436">
        <v>2</v>
      </c>
      <c r="CN1436">
        <v>0</v>
      </c>
      <c r="CO1436">
        <v>7</v>
      </c>
      <c r="CP1436" t="s">
        <v>119</v>
      </c>
      <c r="CQ1436">
        <v>180</v>
      </c>
      <c r="CR1436">
        <v>1</v>
      </c>
      <c r="CW1436">
        <v>10763504</v>
      </c>
      <c r="CY1436">
        <v>1</v>
      </c>
      <c r="CZ1436">
        <v>0</v>
      </c>
      <c r="DA1436">
        <v>1</v>
      </c>
      <c r="DB1436">
        <v>0</v>
      </c>
      <c r="DC1436">
        <v>0</v>
      </c>
      <c r="DD1436">
        <v>0</v>
      </c>
      <c r="DE1436">
        <v>0</v>
      </c>
      <c r="DF1436">
        <v>0</v>
      </c>
      <c r="DG1436">
        <v>0</v>
      </c>
      <c r="DH1436">
        <v>0</v>
      </c>
      <c r="DI1436">
        <v>0</v>
      </c>
    </row>
    <row r="1437" spans="1:113" x14ac:dyDescent="0.3">
      <c r="A1437" t="str">
        <f>"02/08/2021 20:20:38.918"</f>
        <v>02/08/2021 20:20:38.918</v>
      </c>
      <c r="C1437" t="str">
        <f t="shared" si="68"/>
        <v>FFDFD7C0</v>
      </c>
      <c r="D1437" t="s">
        <v>124</v>
      </c>
      <c r="E1437">
        <v>11</v>
      </c>
      <c r="F1437">
        <v>1011</v>
      </c>
      <c r="G1437" t="s">
        <v>590</v>
      </c>
      <c r="J1437" t="s">
        <v>125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S1437" t="str">
        <f>"20:20:41.250"</f>
        <v>20:20:41.250</v>
      </c>
      <c r="T1437" t="str">
        <f>"20:20:40.750"</f>
        <v>20:20:40.750</v>
      </c>
      <c r="U1437" t="str">
        <f t="shared" si="67"/>
        <v>AB01F4</v>
      </c>
      <c r="V1437">
        <v>0</v>
      </c>
      <c r="W1437">
        <v>0</v>
      </c>
      <c r="X1437">
        <v>2</v>
      </c>
      <c r="Z1437">
        <v>0</v>
      </c>
      <c r="AA1437">
        <v>9</v>
      </c>
      <c r="AB1437">
        <v>3</v>
      </c>
      <c r="AC1437">
        <v>0</v>
      </c>
      <c r="AD1437">
        <v>10</v>
      </c>
      <c r="AE1437">
        <v>0</v>
      </c>
      <c r="AF1437">
        <v>3</v>
      </c>
      <c r="AG1437">
        <v>2</v>
      </c>
      <c r="AH1437">
        <v>0</v>
      </c>
      <c r="AI1437" t="s">
        <v>977</v>
      </c>
      <c r="AJ1437">
        <v>39.811149</v>
      </c>
      <c r="AK1437" t="s">
        <v>751</v>
      </c>
      <c r="AL1437">
        <v>-92.522585000000007</v>
      </c>
      <c r="AM1437">
        <v>100</v>
      </c>
      <c r="AN1437">
        <v>1700</v>
      </c>
      <c r="AO1437" t="s">
        <v>118</v>
      </c>
      <c r="AP1437">
        <v>-29</v>
      </c>
      <c r="AQ1437">
        <v>119</v>
      </c>
      <c r="AR1437">
        <v>0</v>
      </c>
      <c r="AZ1437">
        <v>1200</v>
      </c>
      <c r="BA1437">
        <v>1</v>
      </c>
      <c r="BB1437" t="str">
        <f t="shared" si="69"/>
        <v xml:space="preserve">N8080G  </v>
      </c>
      <c r="BC1437">
        <v>1</v>
      </c>
      <c r="BE1437">
        <v>0</v>
      </c>
      <c r="BF1437">
        <v>0</v>
      </c>
      <c r="BG1437">
        <v>0</v>
      </c>
      <c r="BH1437">
        <v>1700</v>
      </c>
      <c r="BI1437">
        <v>1</v>
      </c>
      <c r="BJ1437">
        <v>1</v>
      </c>
      <c r="BK1437">
        <v>1</v>
      </c>
      <c r="BL1437">
        <v>0</v>
      </c>
      <c r="BO1437">
        <v>0</v>
      </c>
      <c r="BP1437">
        <v>0</v>
      </c>
      <c r="BW1437" t="str">
        <f>"20:20:41.253"</f>
        <v>20:20:41.253</v>
      </c>
      <c r="BZ1437">
        <v>0</v>
      </c>
      <c r="CA1437">
        <v>2016</v>
      </c>
      <c r="CB1437">
        <v>224</v>
      </c>
      <c r="CD1437">
        <v>1</v>
      </c>
      <c r="CE1437">
        <v>0</v>
      </c>
      <c r="CF1437">
        <v>0</v>
      </c>
      <c r="CG1437">
        <v>1</v>
      </c>
      <c r="CH1437">
        <v>0</v>
      </c>
      <c r="CI1437">
        <v>0</v>
      </c>
      <c r="CJ1437">
        <v>0</v>
      </c>
      <c r="CK1437">
        <v>2</v>
      </c>
      <c r="CL1437">
        <v>0</v>
      </c>
      <c r="CM1437">
        <v>2</v>
      </c>
      <c r="CN1437">
        <v>0</v>
      </c>
      <c r="CO1437">
        <v>7</v>
      </c>
      <c r="CP1437" t="s">
        <v>119</v>
      </c>
      <c r="CQ1437">
        <v>180</v>
      </c>
      <c r="CR1437">
        <v>1</v>
      </c>
      <c r="CW1437">
        <v>10763504</v>
      </c>
      <c r="CY1437">
        <v>1</v>
      </c>
      <c r="CZ1437">
        <v>0</v>
      </c>
      <c r="DA1437">
        <v>1</v>
      </c>
      <c r="DB1437">
        <v>0</v>
      </c>
      <c r="DC1437">
        <v>0</v>
      </c>
      <c r="DD1437">
        <v>0</v>
      </c>
      <c r="DE1437">
        <v>0</v>
      </c>
      <c r="DF1437">
        <v>0</v>
      </c>
      <c r="DG1437">
        <v>0</v>
      </c>
      <c r="DH1437">
        <v>0</v>
      </c>
      <c r="DI1437">
        <v>0</v>
      </c>
    </row>
    <row r="1438" spans="1:113" x14ac:dyDescent="0.3">
      <c r="A1438" t="str">
        <f>"02/08/2021 20:20:38.918"</f>
        <v>02/08/2021 20:20:38.918</v>
      </c>
      <c r="C1438" t="str">
        <f t="shared" si="68"/>
        <v>FFDFD7C0</v>
      </c>
      <c r="D1438" t="s">
        <v>124</v>
      </c>
      <c r="E1438">
        <v>13</v>
      </c>
      <c r="F1438">
        <v>1013</v>
      </c>
      <c r="G1438" t="s">
        <v>114</v>
      </c>
      <c r="J1438" t="s">
        <v>125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S1438" t="str">
        <f>"20:20:41.250"</f>
        <v>20:20:41.250</v>
      </c>
      <c r="T1438" t="str">
        <f>"20:20:40.750"</f>
        <v>20:20:40.750</v>
      </c>
      <c r="U1438" t="str">
        <f t="shared" si="67"/>
        <v>AB01F4</v>
      </c>
      <c r="V1438">
        <v>0</v>
      </c>
      <c r="W1438">
        <v>0</v>
      </c>
      <c r="X1438">
        <v>2</v>
      </c>
      <c r="Z1438">
        <v>0</v>
      </c>
      <c r="AA1438">
        <v>9</v>
      </c>
      <c r="AB1438">
        <v>3</v>
      </c>
      <c r="AC1438">
        <v>0</v>
      </c>
      <c r="AD1438">
        <v>10</v>
      </c>
      <c r="AE1438">
        <v>0</v>
      </c>
      <c r="AF1438">
        <v>3</v>
      </c>
      <c r="AG1438">
        <v>2</v>
      </c>
      <c r="AH1438">
        <v>0</v>
      </c>
      <c r="AI1438" t="s">
        <v>977</v>
      </c>
      <c r="AJ1438">
        <v>39.811149</v>
      </c>
      <c r="AK1438" t="s">
        <v>751</v>
      </c>
      <c r="AL1438">
        <v>-92.522585000000007</v>
      </c>
      <c r="AM1438">
        <v>100</v>
      </c>
      <c r="AN1438">
        <v>1700</v>
      </c>
      <c r="AO1438" t="s">
        <v>118</v>
      </c>
      <c r="AP1438">
        <v>-29</v>
      </c>
      <c r="AQ1438">
        <v>119</v>
      </c>
      <c r="AR1438">
        <v>0</v>
      </c>
      <c r="AZ1438">
        <v>1200</v>
      </c>
      <c r="BA1438">
        <v>1</v>
      </c>
      <c r="BB1438" t="str">
        <f t="shared" si="69"/>
        <v xml:space="preserve">N8080G  </v>
      </c>
      <c r="BC1438">
        <v>1</v>
      </c>
      <c r="BE1438">
        <v>0</v>
      </c>
      <c r="BF1438">
        <v>0</v>
      </c>
      <c r="BG1438">
        <v>0</v>
      </c>
      <c r="BH1438">
        <v>1700</v>
      </c>
      <c r="BI1438">
        <v>1</v>
      </c>
      <c r="BJ1438">
        <v>1</v>
      </c>
      <c r="BK1438">
        <v>1</v>
      </c>
      <c r="BL1438">
        <v>0</v>
      </c>
      <c r="BO1438">
        <v>0</v>
      </c>
      <c r="BP1438">
        <v>0</v>
      </c>
      <c r="BW1438" t="str">
        <f>"20:20:41.253"</f>
        <v>20:20:41.253</v>
      </c>
      <c r="BZ1438">
        <v>0</v>
      </c>
      <c r="CA1438">
        <v>2016</v>
      </c>
      <c r="CB1438">
        <v>224</v>
      </c>
      <c r="CD1438">
        <v>1</v>
      </c>
      <c r="CE1438">
        <v>0</v>
      </c>
      <c r="CF1438">
        <v>0</v>
      </c>
      <c r="CG1438">
        <v>1</v>
      </c>
      <c r="CH1438">
        <v>0</v>
      </c>
      <c r="CI1438">
        <v>0</v>
      </c>
      <c r="CJ1438">
        <v>0</v>
      </c>
      <c r="CK1438">
        <v>2</v>
      </c>
      <c r="CL1438">
        <v>0</v>
      </c>
      <c r="CM1438">
        <v>2</v>
      </c>
      <c r="CN1438">
        <v>0</v>
      </c>
      <c r="CO1438">
        <v>7</v>
      </c>
      <c r="CP1438" t="s">
        <v>119</v>
      </c>
      <c r="CQ1438">
        <v>180</v>
      </c>
      <c r="CR1438">
        <v>1</v>
      </c>
      <c r="CW1438">
        <v>10763504</v>
      </c>
      <c r="CY1438">
        <v>1</v>
      </c>
      <c r="CZ1438">
        <v>0</v>
      </c>
      <c r="DA1438">
        <v>1</v>
      </c>
      <c r="DB1438">
        <v>0</v>
      </c>
      <c r="DC1438">
        <v>0</v>
      </c>
      <c r="DD1438">
        <v>0</v>
      </c>
      <c r="DE1438">
        <v>0</v>
      </c>
      <c r="DF1438">
        <v>0</v>
      </c>
      <c r="DG1438">
        <v>0</v>
      </c>
      <c r="DH1438">
        <v>0</v>
      </c>
      <c r="DI1438">
        <v>0</v>
      </c>
    </row>
    <row r="1439" spans="1:113" x14ac:dyDescent="0.3">
      <c r="A1439" t="str">
        <f>"02/08/2021 20:20:40.488"</f>
        <v>02/08/2021 20:20:40.488</v>
      </c>
      <c r="C1439" t="str">
        <f t="shared" si="68"/>
        <v>FFDFD7C0</v>
      </c>
      <c r="D1439" t="s">
        <v>124</v>
      </c>
      <c r="E1439">
        <v>12</v>
      </c>
      <c r="F1439">
        <v>1012</v>
      </c>
      <c r="G1439" t="s">
        <v>675</v>
      </c>
      <c r="J1439" t="s">
        <v>125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S1439" t="str">
        <f>"20:20:42.789"</f>
        <v>20:20:42.789</v>
      </c>
      <c r="T1439" t="str">
        <f>"20:20:42.389"</f>
        <v>20:20:42.389</v>
      </c>
      <c r="U1439" t="str">
        <f t="shared" si="67"/>
        <v>AB01F4</v>
      </c>
      <c r="V1439">
        <v>0</v>
      </c>
      <c r="W1439">
        <v>0</v>
      </c>
      <c r="X1439">
        <v>2</v>
      </c>
      <c r="Z1439">
        <v>0</v>
      </c>
      <c r="AA1439">
        <v>9</v>
      </c>
      <c r="AB1439">
        <v>3</v>
      </c>
      <c r="AC1439">
        <v>0</v>
      </c>
      <c r="AD1439">
        <v>10</v>
      </c>
      <c r="AE1439">
        <v>0</v>
      </c>
      <c r="AF1439">
        <v>3</v>
      </c>
      <c r="AG1439">
        <v>2</v>
      </c>
      <c r="AH1439">
        <v>0</v>
      </c>
      <c r="AI1439" t="s">
        <v>978</v>
      </c>
      <c r="AJ1439">
        <v>39.811985</v>
      </c>
      <c r="AK1439" t="s">
        <v>979</v>
      </c>
      <c r="AL1439">
        <v>-92.522863999999998</v>
      </c>
      <c r="AM1439">
        <v>100</v>
      </c>
      <c r="AN1439">
        <v>1700</v>
      </c>
      <c r="AO1439" t="s">
        <v>118</v>
      </c>
      <c r="AP1439">
        <v>-28</v>
      </c>
      <c r="AQ1439">
        <v>120</v>
      </c>
      <c r="AR1439">
        <v>0</v>
      </c>
      <c r="AZ1439">
        <v>1200</v>
      </c>
      <c r="BA1439">
        <v>1</v>
      </c>
      <c r="BB1439" t="str">
        <f t="shared" si="69"/>
        <v xml:space="preserve">N8080G  </v>
      </c>
      <c r="BC1439">
        <v>1</v>
      </c>
      <c r="BE1439">
        <v>0</v>
      </c>
      <c r="BF1439">
        <v>0</v>
      </c>
      <c r="BG1439">
        <v>0</v>
      </c>
      <c r="BH1439">
        <v>1700</v>
      </c>
      <c r="BI1439">
        <v>1</v>
      </c>
      <c r="BJ1439">
        <v>1</v>
      </c>
      <c r="BK1439">
        <v>1</v>
      </c>
      <c r="BL1439">
        <v>0</v>
      </c>
      <c r="BO1439">
        <v>0</v>
      </c>
      <c r="BP1439">
        <v>0</v>
      </c>
      <c r="BW1439" t="str">
        <f>"20:20:42.793"</f>
        <v>20:20:42.793</v>
      </c>
      <c r="BZ1439">
        <v>0</v>
      </c>
      <c r="CA1439">
        <v>2016</v>
      </c>
      <c r="CB1439">
        <v>224</v>
      </c>
      <c r="CD1439">
        <v>1</v>
      </c>
      <c r="CE1439">
        <v>0</v>
      </c>
      <c r="CF1439">
        <v>0</v>
      </c>
      <c r="CG1439">
        <v>1</v>
      </c>
      <c r="CH1439">
        <v>0</v>
      </c>
      <c r="CI1439">
        <v>0</v>
      </c>
      <c r="CJ1439">
        <v>0</v>
      </c>
      <c r="CK1439">
        <v>2</v>
      </c>
      <c r="CL1439">
        <v>0</v>
      </c>
      <c r="CM1439">
        <v>2</v>
      </c>
      <c r="CN1439">
        <v>0</v>
      </c>
      <c r="CO1439">
        <v>7</v>
      </c>
      <c r="CP1439" t="s">
        <v>119</v>
      </c>
      <c r="CQ1439">
        <v>180</v>
      </c>
      <c r="CR1439">
        <v>1</v>
      </c>
      <c r="CW1439">
        <v>10764886</v>
      </c>
      <c r="CY1439">
        <v>1</v>
      </c>
      <c r="CZ1439">
        <v>0</v>
      </c>
      <c r="DA1439">
        <v>0</v>
      </c>
      <c r="DB1439">
        <v>0</v>
      </c>
      <c r="DC1439">
        <v>0</v>
      </c>
      <c r="DD1439">
        <v>0</v>
      </c>
      <c r="DE1439">
        <v>0</v>
      </c>
      <c r="DF1439">
        <v>0</v>
      </c>
      <c r="DG1439">
        <v>0</v>
      </c>
      <c r="DH1439">
        <v>0</v>
      </c>
      <c r="DI1439">
        <v>0</v>
      </c>
    </row>
    <row r="1440" spans="1:113" x14ac:dyDescent="0.3">
      <c r="A1440" t="str">
        <f>"02/08/2021 20:20:40.488"</f>
        <v>02/08/2021 20:20:40.488</v>
      </c>
      <c r="C1440" t="str">
        <f t="shared" si="68"/>
        <v>FFDFD7C0</v>
      </c>
      <c r="D1440" t="s">
        <v>113</v>
      </c>
      <c r="E1440">
        <v>6</v>
      </c>
      <c r="H1440">
        <v>165</v>
      </c>
      <c r="I1440" t="s">
        <v>114</v>
      </c>
      <c r="J1440" t="s">
        <v>115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S1440" t="str">
        <f>"20:20:42.789"</f>
        <v>20:20:42.789</v>
      </c>
      <c r="T1440" t="str">
        <f>"20:20:42.389"</f>
        <v>20:20:42.389</v>
      </c>
      <c r="U1440" t="str">
        <f t="shared" si="67"/>
        <v>AB01F4</v>
      </c>
      <c r="V1440">
        <v>0</v>
      </c>
      <c r="W1440">
        <v>0</v>
      </c>
      <c r="X1440">
        <v>2</v>
      </c>
      <c r="Z1440">
        <v>0</v>
      </c>
      <c r="AA1440">
        <v>9</v>
      </c>
      <c r="AB1440">
        <v>3</v>
      </c>
      <c r="AC1440">
        <v>0</v>
      </c>
      <c r="AD1440">
        <v>10</v>
      </c>
      <c r="AE1440">
        <v>0</v>
      </c>
      <c r="AF1440">
        <v>3</v>
      </c>
      <c r="AG1440">
        <v>2</v>
      </c>
      <c r="AH1440">
        <v>0</v>
      </c>
      <c r="AI1440" t="s">
        <v>978</v>
      </c>
      <c r="AJ1440">
        <v>39.811985</v>
      </c>
      <c r="AK1440" t="s">
        <v>979</v>
      </c>
      <c r="AL1440">
        <v>-92.522863999999998</v>
      </c>
      <c r="AM1440">
        <v>100</v>
      </c>
      <c r="AN1440">
        <v>1700</v>
      </c>
      <c r="AO1440" t="s">
        <v>118</v>
      </c>
      <c r="AP1440">
        <v>-28</v>
      </c>
      <c r="AQ1440">
        <v>120</v>
      </c>
      <c r="AR1440">
        <v>0</v>
      </c>
      <c r="AZ1440">
        <v>1200</v>
      </c>
      <c r="BA1440">
        <v>1</v>
      </c>
      <c r="BB1440" t="str">
        <f t="shared" si="69"/>
        <v xml:space="preserve">N8080G  </v>
      </c>
      <c r="BC1440">
        <v>1</v>
      </c>
      <c r="BE1440">
        <v>0</v>
      </c>
      <c r="BF1440">
        <v>0</v>
      </c>
      <c r="BG1440">
        <v>0</v>
      </c>
      <c r="BH1440">
        <v>1700</v>
      </c>
      <c r="BI1440">
        <v>1</v>
      </c>
      <c r="BJ1440">
        <v>1</v>
      </c>
      <c r="BK1440">
        <v>1</v>
      </c>
      <c r="BL1440">
        <v>0</v>
      </c>
      <c r="BO1440">
        <v>0</v>
      </c>
      <c r="BP1440">
        <v>0</v>
      </c>
      <c r="BW1440" t="str">
        <f>"20:20:42.793"</f>
        <v>20:20:42.793</v>
      </c>
      <c r="BZ1440">
        <v>0</v>
      </c>
      <c r="CA1440">
        <v>2016</v>
      </c>
      <c r="CB1440">
        <v>224</v>
      </c>
      <c r="CD1440">
        <v>1</v>
      </c>
      <c r="CE1440">
        <v>0</v>
      </c>
      <c r="CF1440">
        <v>0</v>
      </c>
      <c r="CG1440">
        <v>1</v>
      </c>
      <c r="CH1440">
        <v>0</v>
      </c>
      <c r="CI1440">
        <v>0</v>
      </c>
      <c r="CJ1440">
        <v>0</v>
      </c>
      <c r="CK1440">
        <v>2</v>
      </c>
      <c r="CL1440">
        <v>0</v>
      </c>
      <c r="CM1440">
        <v>2</v>
      </c>
      <c r="CN1440">
        <v>0</v>
      </c>
      <c r="CO1440">
        <v>7</v>
      </c>
      <c r="CP1440" t="s">
        <v>119</v>
      </c>
      <c r="CQ1440">
        <v>180</v>
      </c>
      <c r="CR1440">
        <v>1</v>
      </c>
      <c r="CW1440">
        <v>10764886</v>
      </c>
      <c r="CY1440">
        <v>1</v>
      </c>
      <c r="CZ1440">
        <v>0</v>
      </c>
      <c r="DA1440">
        <v>1</v>
      </c>
      <c r="DB1440">
        <v>0</v>
      </c>
      <c r="DC1440">
        <v>0</v>
      </c>
      <c r="DD1440">
        <v>0</v>
      </c>
      <c r="DE1440">
        <v>0</v>
      </c>
      <c r="DF1440">
        <v>0</v>
      </c>
      <c r="DG1440">
        <v>0</v>
      </c>
      <c r="DH1440">
        <v>0</v>
      </c>
      <c r="DI1440">
        <v>0</v>
      </c>
    </row>
    <row r="1441" spans="1:113" x14ac:dyDescent="0.3">
      <c r="A1441" t="str">
        <f>"02/08/2021 20:20:40.488"</f>
        <v>02/08/2021 20:20:40.488</v>
      </c>
      <c r="C1441" t="str">
        <f t="shared" si="68"/>
        <v>FFDFD7C0</v>
      </c>
      <c r="D1441" t="s">
        <v>124</v>
      </c>
      <c r="E1441">
        <v>11</v>
      </c>
      <c r="F1441">
        <v>1011</v>
      </c>
      <c r="G1441" t="s">
        <v>590</v>
      </c>
      <c r="J1441" t="s">
        <v>125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S1441" t="str">
        <f>"20:20:42.789"</f>
        <v>20:20:42.789</v>
      </c>
      <c r="T1441" t="str">
        <f>"20:20:42.389"</f>
        <v>20:20:42.389</v>
      </c>
      <c r="U1441" t="str">
        <f t="shared" si="67"/>
        <v>AB01F4</v>
      </c>
      <c r="V1441">
        <v>0</v>
      </c>
      <c r="W1441">
        <v>0</v>
      </c>
      <c r="X1441">
        <v>2</v>
      </c>
      <c r="Z1441">
        <v>0</v>
      </c>
      <c r="AA1441">
        <v>9</v>
      </c>
      <c r="AB1441">
        <v>3</v>
      </c>
      <c r="AC1441">
        <v>0</v>
      </c>
      <c r="AD1441">
        <v>10</v>
      </c>
      <c r="AE1441">
        <v>0</v>
      </c>
      <c r="AF1441">
        <v>3</v>
      </c>
      <c r="AG1441">
        <v>2</v>
      </c>
      <c r="AH1441">
        <v>0</v>
      </c>
      <c r="AI1441" t="s">
        <v>978</v>
      </c>
      <c r="AJ1441">
        <v>39.811985</v>
      </c>
      <c r="AK1441" t="s">
        <v>979</v>
      </c>
      <c r="AL1441">
        <v>-92.522863999999998</v>
      </c>
      <c r="AM1441">
        <v>100</v>
      </c>
      <c r="AN1441">
        <v>1700</v>
      </c>
      <c r="AO1441" t="s">
        <v>118</v>
      </c>
      <c r="AP1441">
        <v>-28</v>
      </c>
      <c r="AQ1441">
        <v>120</v>
      </c>
      <c r="AR1441">
        <v>0</v>
      </c>
      <c r="AZ1441">
        <v>1200</v>
      </c>
      <c r="BA1441">
        <v>1</v>
      </c>
      <c r="BB1441" t="str">
        <f t="shared" si="69"/>
        <v xml:space="preserve">N8080G  </v>
      </c>
      <c r="BC1441">
        <v>1</v>
      </c>
      <c r="BE1441">
        <v>0</v>
      </c>
      <c r="BF1441">
        <v>0</v>
      </c>
      <c r="BG1441">
        <v>0</v>
      </c>
      <c r="BH1441">
        <v>1700</v>
      </c>
      <c r="BI1441">
        <v>1</v>
      </c>
      <c r="BJ1441">
        <v>1</v>
      </c>
      <c r="BK1441">
        <v>1</v>
      </c>
      <c r="BL1441">
        <v>0</v>
      </c>
      <c r="BO1441">
        <v>0</v>
      </c>
      <c r="BP1441">
        <v>0</v>
      </c>
      <c r="BW1441" t="str">
        <f>"20:20:42.793"</f>
        <v>20:20:42.793</v>
      </c>
      <c r="BZ1441">
        <v>0</v>
      </c>
      <c r="CA1441">
        <v>2016</v>
      </c>
      <c r="CB1441">
        <v>224</v>
      </c>
      <c r="CD1441">
        <v>1</v>
      </c>
      <c r="CE1441">
        <v>0</v>
      </c>
      <c r="CF1441">
        <v>0</v>
      </c>
      <c r="CG1441">
        <v>1</v>
      </c>
      <c r="CH1441">
        <v>0</v>
      </c>
      <c r="CI1441">
        <v>0</v>
      </c>
      <c r="CJ1441">
        <v>0</v>
      </c>
      <c r="CK1441">
        <v>2</v>
      </c>
      <c r="CL1441">
        <v>0</v>
      </c>
      <c r="CM1441">
        <v>2</v>
      </c>
      <c r="CN1441">
        <v>0</v>
      </c>
      <c r="CO1441">
        <v>7</v>
      </c>
      <c r="CP1441" t="s">
        <v>119</v>
      </c>
      <c r="CQ1441">
        <v>180</v>
      </c>
      <c r="CR1441">
        <v>1</v>
      </c>
      <c r="CW1441">
        <v>10764886</v>
      </c>
      <c r="CY1441">
        <v>1</v>
      </c>
      <c r="CZ1441">
        <v>0</v>
      </c>
      <c r="DA1441">
        <v>1</v>
      </c>
      <c r="DB1441">
        <v>0</v>
      </c>
      <c r="DC1441">
        <v>0</v>
      </c>
      <c r="DD1441">
        <v>0</v>
      </c>
      <c r="DE1441">
        <v>0</v>
      </c>
      <c r="DF1441">
        <v>0</v>
      </c>
      <c r="DG1441">
        <v>0</v>
      </c>
      <c r="DH1441">
        <v>0</v>
      </c>
      <c r="DI1441">
        <v>0</v>
      </c>
    </row>
    <row r="1442" spans="1:113" x14ac:dyDescent="0.3">
      <c r="A1442" t="str">
        <f>"02/08/2021 20:20:40.488"</f>
        <v>02/08/2021 20:20:40.488</v>
      </c>
      <c r="C1442" t="str">
        <f t="shared" si="68"/>
        <v>FFDFD7C0</v>
      </c>
      <c r="D1442" t="s">
        <v>124</v>
      </c>
      <c r="E1442">
        <v>13</v>
      </c>
      <c r="F1442">
        <v>1013</v>
      </c>
      <c r="G1442" t="s">
        <v>114</v>
      </c>
      <c r="J1442" t="s">
        <v>125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S1442" t="str">
        <f>"20:20:42.789"</f>
        <v>20:20:42.789</v>
      </c>
      <c r="T1442" t="str">
        <f>"20:20:42.389"</f>
        <v>20:20:42.389</v>
      </c>
      <c r="U1442" t="str">
        <f t="shared" si="67"/>
        <v>AB01F4</v>
      </c>
      <c r="V1442">
        <v>0</v>
      </c>
      <c r="W1442">
        <v>0</v>
      </c>
      <c r="X1442">
        <v>2</v>
      </c>
      <c r="Z1442">
        <v>0</v>
      </c>
      <c r="AA1442">
        <v>9</v>
      </c>
      <c r="AB1442">
        <v>3</v>
      </c>
      <c r="AC1442">
        <v>0</v>
      </c>
      <c r="AD1442">
        <v>10</v>
      </c>
      <c r="AE1442">
        <v>0</v>
      </c>
      <c r="AF1442">
        <v>3</v>
      </c>
      <c r="AG1442">
        <v>2</v>
      </c>
      <c r="AH1442">
        <v>0</v>
      </c>
      <c r="AI1442" t="s">
        <v>978</v>
      </c>
      <c r="AJ1442">
        <v>39.811985</v>
      </c>
      <c r="AK1442" t="s">
        <v>979</v>
      </c>
      <c r="AL1442">
        <v>-92.522863999999998</v>
      </c>
      <c r="AM1442">
        <v>100</v>
      </c>
      <c r="AN1442">
        <v>1700</v>
      </c>
      <c r="AO1442" t="s">
        <v>118</v>
      </c>
      <c r="AP1442">
        <v>-28</v>
      </c>
      <c r="AQ1442">
        <v>120</v>
      </c>
      <c r="AR1442">
        <v>0</v>
      </c>
      <c r="AZ1442">
        <v>1200</v>
      </c>
      <c r="BA1442">
        <v>1</v>
      </c>
      <c r="BB1442" t="str">
        <f t="shared" si="69"/>
        <v xml:space="preserve">N8080G  </v>
      </c>
      <c r="BC1442">
        <v>1</v>
      </c>
      <c r="BE1442">
        <v>0</v>
      </c>
      <c r="BF1442">
        <v>0</v>
      </c>
      <c r="BG1442">
        <v>0</v>
      </c>
      <c r="BH1442">
        <v>1700</v>
      </c>
      <c r="BI1442">
        <v>1</v>
      </c>
      <c r="BJ1442">
        <v>1</v>
      </c>
      <c r="BK1442">
        <v>1</v>
      </c>
      <c r="BL1442">
        <v>0</v>
      </c>
      <c r="BO1442">
        <v>0</v>
      </c>
      <c r="BP1442">
        <v>0</v>
      </c>
      <c r="BW1442" t="str">
        <f>"20:20:42.793"</f>
        <v>20:20:42.793</v>
      </c>
      <c r="BZ1442">
        <v>0</v>
      </c>
      <c r="CA1442">
        <v>2016</v>
      </c>
      <c r="CB1442">
        <v>224</v>
      </c>
      <c r="CD1442">
        <v>1</v>
      </c>
      <c r="CE1442">
        <v>0</v>
      </c>
      <c r="CF1442">
        <v>0</v>
      </c>
      <c r="CG1442">
        <v>1</v>
      </c>
      <c r="CH1442">
        <v>0</v>
      </c>
      <c r="CI1442">
        <v>0</v>
      </c>
      <c r="CJ1442">
        <v>0</v>
      </c>
      <c r="CK1442">
        <v>2</v>
      </c>
      <c r="CL1442">
        <v>0</v>
      </c>
      <c r="CM1442">
        <v>2</v>
      </c>
      <c r="CN1442">
        <v>0</v>
      </c>
      <c r="CO1442">
        <v>7</v>
      </c>
      <c r="CP1442" t="s">
        <v>119</v>
      </c>
      <c r="CQ1442">
        <v>180</v>
      </c>
      <c r="CR1442">
        <v>1</v>
      </c>
      <c r="CW1442">
        <v>10764886</v>
      </c>
      <c r="CY1442">
        <v>1</v>
      </c>
      <c r="CZ1442">
        <v>0</v>
      </c>
      <c r="DA1442">
        <v>1</v>
      </c>
      <c r="DB1442">
        <v>0</v>
      </c>
      <c r="DC1442">
        <v>0</v>
      </c>
      <c r="DD1442">
        <v>0</v>
      </c>
      <c r="DE1442">
        <v>0</v>
      </c>
      <c r="DF1442">
        <v>0</v>
      </c>
      <c r="DG1442">
        <v>0</v>
      </c>
      <c r="DH1442">
        <v>0</v>
      </c>
      <c r="DI1442">
        <v>0</v>
      </c>
    </row>
    <row r="1443" spans="1:113" x14ac:dyDescent="0.3">
      <c r="A1443" t="str">
        <f>"02/08/2021 20:20:43.455"</f>
        <v>02/08/2021 20:20:43.455</v>
      </c>
      <c r="C1443" t="str">
        <f t="shared" si="68"/>
        <v>FFDFD7C0</v>
      </c>
      <c r="D1443" t="s">
        <v>124</v>
      </c>
      <c r="E1443">
        <v>12</v>
      </c>
      <c r="F1443">
        <v>1012</v>
      </c>
      <c r="G1443" t="s">
        <v>675</v>
      </c>
      <c r="J1443" t="s">
        <v>125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S1443" t="str">
        <f>"20:20:45.773"</f>
        <v>20:20:45.773</v>
      </c>
      <c r="T1443" t="str">
        <f>"20:20:45.373"</f>
        <v>20:20:45.373</v>
      </c>
      <c r="U1443" t="str">
        <f t="shared" si="67"/>
        <v>AB01F4</v>
      </c>
      <c r="V1443">
        <v>0</v>
      </c>
      <c r="W1443">
        <v>0</v>
      </c>
      <c r="X1443">
        <v>2</v>
      </c>
      <c r="Z1443">
        <v>0</v>
      </c>
      <c r="AA1443">
        <v>9</v>
      </c>
      <c r="AB1443">
        <v>3</v>
      </c>
      <c r="AC1443">
        <v>0</v>
      </c>
      <c r="AD1443">
        <v>10</v>
      </c>
      <c r="AE1443">
        <v>0</v>
      </c>
      <c r="AF1443">
        <v>3</v>
      </c>
      <c r="AG1443">
        <v>2</v>
      </c>
      <c r="AH1443">
        <v>0</v>
      </c>
      <c r="AI1443" t="s">
        <v>980</v>
      </c>
      <c r="AJ1443">
        <v>39.813637999999997</v>
      </c>
      <c r="AK1443" t="s">
        <v>843</v>
      </c>
      <c r="AL1443">
        <v>-92.523336</v>
      </c>
      <c r="AM1443">
        <v>100</v>
      </c>
      <c r="AN1443">
        <v>1700</v>
      </c>
      <c r="AO1443" t="s">
        <v>118</v>
      </c>
      <c r="AP1443">
        <v>-29</v>
      </c>
      <c r="AQ1443">
        <v>120</v>
      </c>
      <c r="AR1443">
        <v>-64</v>
      </c>
      <c r="AZ1443">
        <v>1200</v>
      </c>
      <c r="BA1443">
        <v>1</v>
      </c>
      <c r="BB1443" t="str">
        <f t="shared" si="69"/>
        <v xml:space="preserve">N8080G  </v>
      </c>
      <c r="BC1443">
        <v>1</v>
      </c>
      <c r="BE1443">
        <v>0</v>
      </c>
      <c r="BF1443">
        <v>0</v>
      </c>
      <c r="BG1443">
        <v>0</v>
      </c>
      <c r="BH1443">
        <v>1700</v>
      </c>
      <c r="BI1443">
        <v>1</v>
      </c>
      <c r="BJ1443">
        <v>1</v>
      </c>
      <c r="BK1443">
        <v>1</v>
      </c>
      <c r="BL1443">
        <v>0</v>
      </c>
      <c r="BO1443">
        <v>0</v>
      </c>
      <c r="BP1443">
        <v>0</v>
      </c>
      <c r="BW1443" t="str">
        <f>"20:20:45.777"</f>
        <v>20:20:45.777</v>
      </c>
      <c r="BZ1443">
        <v>0</v>
      </c>
      <c r="CA1443">
        <v>2016</v>
      </c>
      <c r="CB1443">
        <v>224</v>
      </c>
      <c r="CD1443">
        <v>1</v>
      </c>
      <c r="CE1443">
        <v>0</v>
      </c>
      <c r="CF1443">
        <v>0</v>
      </c>
      <c r="CG1443">
        <v>1</v>
      </c>
      <c r="CH1443">
        <v>0</v>
      </c>
      <c r="CI1443">
        <v>0</v>
      </c>
      <c r="CJ1443">
        <v>0</v>
      </c>
      <c r="CK1443">
        <v>2</v>
      </c>
      <c r="CL1443">
        <v>0</v>
      </c>
      <c r="CM1443">
        <v>2</v>
      </c>
      <c r="CN1443">
        <v>0</v>
      </c>
      <c r="CO1443">
        <v>7</v>
      </c>
      <c r="CP1443" t="s">
        <v>119</v>
      </c>
      <c r="CQ1443">
        <v>180</v>
      </c>
      <c r="CR1443">
        <v>1</v>
      </c>
      <c r="CW1443">
        <v>10767214</v>
      </c>
      <c r="CY1443">
        <v>1</v>
      </c>
      <c r="CZ1443">
        <v>0</v>
      </c>
      <c r="DA1443">
        <v>0</v>
      </c>
      <c r="DB1443">
        <v>0</v>
      </c>
      <c r="DC1443">
        <v>0</v>
      </c>
      <c r="DD1443">
        <v>0</v>
      </c>
      <c r="DE1443">
        <v>0</v>
      </c>
      <c r="DF1443">
        <v>0</v>
      </c>
      <c r="DG1443">
        <v>0</v>
      </c>
      <c r="DH1443">
        <v>0</v>
      </c>
      <c r="DI1443">
        <v>0</v>
      </c>
    </row>
    <row r="1444" spans="1:113" x14ac:dyDescent="0.3">
      <c r="A1444" t="str">
        <f>"02/08/2021 20:20:43.455"</f>
        <v>02/08/2021 20:20:43.455</v>
      </c>
      <c r="C1444" t="str">
        <f t="shared" si="68"/>
        <v>FFDFD7C0</v>
      </c>
      <c r="D1444" t="s">
        <v>124</v>
      </c>
      <c r="E1444">
        <v>13</v>
      </c>
      <c r="F1444">
        <v>1013</v>
      </c>
      <c r="G1444" t="s">
        <v>114</v>
      </c>
      <c r="J1444" t="s">
        <v>125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S1444" t="str">
        <f>"20:20:45.773"</f>
        <v>20:20:45.773</v>
      </c>
      <c r="T1444" t="str">
        <f>"20:20:45.373"</f>
        <v>20:20:45.373</v>
      </c>
      <c r="U1444" t="str">
        <f t="shared" si="67"/>
        <v>AB01F4</v>
      </c>
      <c r="V1444">
        <v>0</v>
      </c>
      <c r="W1444">
        <v>0</v>
      </c>
      <c r="X1444">
        <v>2</v>
      </c>
      <c r="Z1444">
        <v>0</v>
      </c>
      <c r="AA1444">
        <v>9</v>
      </c>
      <c r="AB1444">
        <v>3</v>
      </c>
      <c r="AC1444">
        <v>0</v>
      </c>
      <c r="AD1444">
        <v>10</v>
      </c>
      <c r="AE1444">
        <v>0</v>
      </c>
      <c r="AF1444">
        <v>3</v>
      </c>
      <c r="AG1444">
        <v>2</v>
      </c>
      <c r="AH1444">
        <v>0</v>
      </c>
      <c r="AI1444" t="s">
        <v>980</v>
      </c>
      <c r="AJ1444">
        <v>39.813637999999997</v>
      </c>
      <c r="AK1444" t="s">
        <v>843</v>
      </c>
      <c r="AL1444">
        <v>-92.523336</v>
      </c>
      <c r="AM1444">
        <v>100</v>
      </c>
      <c r="AN1444">
        <v>1700</v>
      </c>
      <c r="AO1444" t="s">
        <v>118</v>
      </c>
      <c r="AP1444">
        <v>-29</v>
      </c>
      <c r="AQ1444">
        <v>120</v>
      </c>
      <c r="AR1444">
        <v>-64</v>
      </c>
      <c r="AZ1444">
        <v>1200</v>
      </c>
      <c r="BA1444">
        <v>1</v>
      </c>
      <c r="BB1444" t="str">
        <f t="shared" si="69"/>
        <v xml:space="preserve">N8080G  </v>
      </c>
      <c r="BC1444">
        <v>1</v>
      </c>
      <c r="BE1444">
        <v>0</v>
      </c>
      <c r="BF1444">
        <v>0</v>
      </c>
      <c r="BG1444">
        <v>0</v>
      </c>
      <c r="BH1444">
        <v>1700</v>
      </c>
      <c r="BI1444">
        <v>1</v>
      </c>
      <c r="BJ1444">
        <v>1</v>
      </c>
      <c r="BK1444">
        <v>1</v>
      </c>
      <c r="BL1444">
        <v>0</v>
      </c>
      <c r="BO1444">
        <v>0</v>
      </c>
      <c r="BP1444">
        <v>0</v>
      </c>
      <c r="BW1444" t="str">
        <f>"20:20:45.777"</f>
        <v>20:20:45.777</v>
      </c>
      <c r="BZ1444">
        <v>0</v>
      </c>
      <c r="CA1444">
        <v>2016</v>
      </c>
      <c r="CB1444">
        <v>224</v>
      </c>
      <c r="CD1444">
        <v>1</v>
      </c>
      <c r="CE1444">
        <v>0</v>
      </c>
      <c r="CF1444">
        <v>0</v>
      </c>
      <c r="CG1444">
        <v>1</v>
      </c>
      <c r="CH1444">
        <v>0</v>
      </c>
      <c r="CI1444">
        <v>0</v>
      </c>
      <c r="CJ1444">
        <v>0</v>
      </c>
      <c r="CK1444">
        <v>2</v>
      </c>
      <c r="CL1444">
        <v>0</v>
      </c>
      <c r="CM1444">
        <v>2</v>
      </c>
      <c r="CN1444">
        <v>0</v>
      </c>
      <c r="CO1444">
        <v>7</v>
      </c>
      <c r="CP1444" t="s">
        <v>119</v>
      </c>
      <c r="CQ1444">
        <v>180</v>
      </c>
      <c r="CR1444">
        <v>1</v>
      </c>
      <c r="CW1444">
        <v>10767214</v>
      </c>
      <c r="CY1444">
        <v>1</v>
      </c>
      <c r="CZ1444">
        <v>0</v>
      </c>
      <c r="DA1444">
        <v>1</v>
      </c>
      <c r="DB1444">
        <v>0</v>
      </c>
      <c r="DC1444">
        <v>0</v>
      </c>
      <c r="DD1444">
        <v>0</v>
      </c>
      <c r="DE1444">
        <v>0</v>
      </c>
      <c r="DF1444">
        <v>0</v>
      </c>
      <c r="DG1444">
        <v>0</v>
      </c>
      <c r="DH1444">
        <v>0</v>
      </c>
      <c r="DI1444">
        <v>0</v>
      </c>
    </row>
    <row r="1445" spans="1:113" x14ac:dyDescent="0.3">
      <c r="A1445" t="str">
        <f>"02/08/2021 20:20:43.455"</f>
        <v>02/08/2021 20:20:43.455</v>
      </c>
      <c r="C1445" t="str">
        <f t="shared" si="68"/>
        <v>FFDFD7C0</v>
      </c>
      <c r="D1445" t="s">
        <v>113</v>
      </c>
      <c r="E1445">
        <v>6</v>
      </c>
      <c r="H1445">
        <v>165</v>
      </c>
      <c r="I1445" t="s">
        <v>114</v>
      </c>
      <c r="J1445" t="s">
        <v>115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S1445" t="str">
        <f>"20:20:45.773"</f>
        <v>20:20:45.773</v>
      </c>
      <c r="T1445" t="str">
        <f>"20:20:45.373"</f>
        <v>20:20:45.373</v>
      </c>
      <c r="U1445" t="str">
        <f t="shared" si="67"/>
        <v>AB01F4</v>
      </c>
      <c r="V1445">
        <v>0</v>
      </c>
      <c r="W1445">
        <v>0</v>
      </c>
      <c r="X1445">
        <v>2</v>
      </c>
      <c r="Z1445">
        <v>0</v>
      </c>
      <c r="AA1445">
        <v>9</v>
      </c>
      <c r="AB1445">
        <v>3</v>
      </c>
      <c r="AC1445">
        <v>0</v>
      </c>
      <c r="AD1445">
        <v>10</v>
      </c>
      <c r="AE1445">
        <v>0</v>
      </c>
      <c r="AF1445">
        <v>3</v>
      </c>
      <c r="AG1445">
        <v>2</v>
      </c>
      <c r="AH1445">
        <v>0</v>
      </c>
      <c r="AI1445" t="s">
        <v>980</v>
      </c>
      <c r="AJ1445">
        <v>39.813637999999997</v>
      </c>
      <c r="AK1445" t="s">
        <v>843</v>
      </c>
      <c r="AL1445">
        <v>-92.523336</v>
      </c>
      <c r="AM1445">
        <v>100</v>
      </c>
      <c r="AN1445">
        <v>1700</v>
      </c>
      <c r="AO1445" t="s">
        <v>118</v>
      </c>
      <c r="AP1445">
        <v>-29</v>
      </c>
      <c r="AQ1445">
        <v>120</v>
      </c>
      <c r="AR1445">
        <v>-64</v>
      </c>
      <c r="AZ1445">
        <v>1200</v>
      </c>
      <c r="BA1445">
        <v>1</v>
      </c>
      <c r="BB1445" t="str">
        <f t="shared" si="69"/>
        <v xml:space="preserve">N8080G  </v>
      </c>
      <c r="BC1445">
        <v>1</v>
      </c>
      <c r="BE1445">
        <v>0</v>
      </c>
      <c r="BF1445">
        <v>0</v>
      </c>
      <c r="BG1445">
        <v>0</v>
      </c>
      <c r="BH1445">
        <v>1700</v>
      </c>
      <c r="BI1445">
        <v>1</v>
      </c>
      <c r="BJ1445">
        <v>1</v>
      </c>
      <c r="BK1445">
        <v>1</v>
      </c>
      <c r="BL1445">
        <v>0</v>
      </c>
      <c r="BO1445">
        <v>0</v>
      </c>
      <c r="BP1445">
        <v>0</v>
      </c>
      <c r="BW1445" t="str">
        <f>"20:20:45.777"</f>
        <v>20:20:45.777</v>
      </c>
      <c r="BZ1445">
        <v>0</v>
      </c>
      <c r="CA1445">
        <v>2016</v>
      </c>
      <c r="CB1445">
        <v>224</v>
      </c>
      <c r="CD1445">
        <v>1</v>
      </c>
      <c r="CE1445">
        <v>0</v>
      </c>
      <c r="CF1445">
        <v>0</v>
      </c>
      <c r="CG1445">
        <v>1</v>
      </c>
      <c r="CH1445">
        <v>0</v>
      </c>
      <c r="CI1445">
        <v>0</v>
      </c>
      <c r="CJ1445">
        <v>0</v>
      </c>
      <c r="CK1445">
        <v>2</v>
      </c>
      <c r="CL1445">
        <v>0</v>
      </c>
      <c r="CM1445">
        <v>2</v>
      </c>
      <c r="CN1445">
        <v>0</v>
      </c>
      <c r="CO1445">
        <v>7</v>
      </c>
      <c r="CP1445" t="s">
        <v>119</v>
      </c>
      <c r="CQ1445">
        <v>180</v>
      </c>
      <c r="CR1445">
        <v>1</v>
      </c>
      <c r="CW1445">
        <v>10767214</v>
      </c>
      <c r="CY1445">
        <v>1</v>
      </c>
      <c r="CZ1445">
        <v>0</v>
      </c>
      <c r="DA1445">
        <v>1</v>
      </c>
      <c r="DB1445">
        <v>0</v>
      </c>
      <c r="DC1445">
        <v>0</v>
      </c>
      <c r="DD1445">
        <v>0</v>
      </c>
      <c r="DE1445">
        <v>0</v>
      </c>
      <c r="DF1445">
        <v>0</v>
      </c>
      <c r="DG1445">
        <v>0</v>
      </c>
      <c r="DH1445">
        <v>0</v>
      </c>
      <c r="DI1445">
        <v>0</v>
      </c>
    </row>
    <row r="1446" spans="1:113" x14ac:dyDescent="0.3">
      <c r="A1446" t="str">
        <f>"02/08/2021 20:20:43.455"</f>
        <v>02/08/2021 20:20:43.455</v>
      </c>
      <c r="C1446" t="str">
        <f t="shared" si="68"/>
        <v>FFDFD7C0</v>
      </c>
      <c r="D1446" t="s">
        <v>124</v>
      </c>
      <c r="E1446">
        <v>11</v>
      </c>
      <c r="F1446">
        <v>1011</v>
      </c>
      <c r="G1446" t="s">
        <v>590</v>
      </c>
      <c r="J1446" t="s">
        <v>125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S1446" t="str">
        <f>"20:20:45.773"</f>
        <v>20:20:45.773</v>
      </c>
      <c r="T1446" t="str">
        <f>"20:20:45.373"</f>
        <v>20:20:45.373</v>
      </c>
      <c r="U1446" t="str">
        <f t="shared" si="67"/>
        <v>AB01F4</v>
      </c>
      <c r="V1446">
        <v>0</v>
      </c>
      <c r="W1446">
        <v>0</v>
      </c>
      <c r="X1446">
        <v>2</v>
      </c>
      <c r="Z1446">
        <v>0</v>
      </c>
      <c r="AA1446">
        <v>9</v>
      </c>
      <c r="AB1446">
        <v>3</v>
      </c>
      <c r="AC1446">
        <v>0</v>
      </c>
      <c r="AD1446">
        <v>10</v>
      </c>
      <c r="AE1446">
        <v>0</v>
      </c>
      <c r="AF1446">
        <v>3</v>
      </c>
      <c r="AG1446">
        <v>2</v>
      </c>
      <c r="AH1446">
        <v>0</v>
      </c>
      <c r="AI1446" t="s">
        <v>980</v>
      </c>
      <c r="AJ1446">
        <v>39.813637999999997</v>
      </c>
      <c r="AK1446" t="s">
        <v>843</v>
      </c>
      <c r="AL1446">
        <v>-92.523336</v>
      </c>
      <c r="AM1446">
        <v>100</v>
      </c>
      <c r="AN1446">
        <v>1700</v>
      </c>
      <c r="AO1446" t="s">
        <v>118</v>
      </c>
      <c r="AP1446">
        <v>-29</v>
      </c>
      <c r="AQ1446">
        <v>120</v>
      </c>
      <c r="AR1446">
        <v>-64</v>
      </c>
      <c r="AZ1446">
        <v>1200</v>
      </c>
      <c r="BA1446">
        <v>1</v>
      </c>
      <c r="BB1446" t="str">
        <f t="shared" si="69"/>
        <v xml:space="preserve">N8080G  </v>
      </c>
      <c r="BC1446">
        <v>1</v>
      </c>
      <c r="BE1446">
        <v>0</v>
      </c>
      <c r="BF1446">
        <v>0</v>
      </c>
      <c r="BG1446">
        <v>0</v>
      </c>
      <c r="BH1446">
        <v>1700</v>
      </c>
      <c r="BI1446">
        <v>1</v>
      </c>
      <c r="BJ1446">
        <v>1</v>
      </c>
      <c r="BK1446">
        <v>1</v>
      </c>
      <c r="BL1446">
        <v>0</v>
      </c>
      <c r="BO1446">
        <v>0</v>
      </c>
      <c r="BP1446">
        <v>0</v>
      </c>
      <c r="BW1446" t="str">
        <f>"20:20:45.777"</f>
        <v>20:20:45.777</v>
      </c>
      <c r="BZ1446">
        <v>0</v>
      </c>
      <c r="CA1446">
        <v>2016</v>
      </c>
      <c r="CB1446">
        <v>224</v>
      </c>
      <c r="CD1446">
        <v>1</v>
      </c>
      <c r="CE1446">
        <v>0</v>
      </c>
      <c r="CF1446">
        <v>0</v>
      </c>
      <c r="CG1446">
        <v>1</v>
      </c>
      <c r="CH1446">
        <v>0</v>
      </c>
      <c r="CI1446">
        <v>0</v>
      </c>
      <c r="CJ1446">
        <v>0</v>
      </c>
      <c r="CK1446">
        <v>2</v>
      </c>
      <c r="CL1446">
        <v>0</v>
      </c>
      <c r="CM1446">
        <v>2</v>
      </c>
      <c r="CN1446">
        <v>0</v>
      </c>
      <c r="CO1446">
        <v>7</v>
      </c>
      <c r="CP1446" t="s">
        <v>119</v>
      </c>
      <c r="CQ1446">
        <v>180</v>
      </c>
      <c r="CR1446">
        <v>1</v>
      </c>
      <c r="CW1446">
        <v>10767214</v>
      </c>
      <c r="CY1446">
        <v>1</v>
      </c>
      <c r="CZ1446">
        <v>0</v>
      </c>
      <c r="DA1446">
        <v>1</v>
      </c>
      <c r="DB1446">
        <v>0</v>
      </c>
      <c r="DC1446">
        <v>0</v>
      </c>
      <c r="DD1446">
        <v>0</v>
      </c>
      <c r="DE1446">
        <v>0</v>
      </c>
      <c r="DF1446">
        <v>0</v>
      </c>
      <c r="DG1446">
        <v>0</v>
      </c>
      <c r="DH1446">
        <v>0</v>
      </c>
      <c r="DI1446">
        <v>0</v>
      </c>
    </row>
    <row r="1447" spans="1:113" x14ac:dyDescent="0.3">
      <c r="A1447" t="str">
        <f>"02/08/2021 20:20:44.964"</f>
        <v>02/08/2021 20:20:44.964</v>
      </c>
      <c r="C1447" t="str">
        <f t="shared" si="68"/>
        <v>FFDFD7C0</v>
      </c>
      <c r="D1447" t="s">
        <v>124</v>
      </c>
      <c r="E1447">
        <v>12</v>
      </c>
      <c r="F1447">
        <v>1012</v>
      </c>
      <c r="G1447" t="s">
        <v>675</v>
      </c>
      <c r="J1447" t="s">
        <v>125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S1447" t="str">
        <f>"20:20:47.250"</f>
        <v>20:20:47.250</v>
      </c>
      <c r="T1447" t="str">
        <f>"20:20:46.850"</f>
        <v>20:20:46.850</v>
      </c>
      <c r="U1447" t="str">
        <f t="shared" si="67"/>
        <v>AB01F4</v>
      </c>
      <c r="V1447">
        <v>0</v>
      </c>
      <c r="W1447">
        <v>0</v>
      </c>
      <c r="X1447">
        <v>2</v>
      </c>
      <c r="Z1447">
        <v>0</v>
      </c>
      <c r="AA1447">
        <v>9</v>
      </c>
      <c r="AB1447">
        <v>3</v>
      </c>
      <c r="AC1447">
        <v>0</v>
      </c>
      <c r="AD1447">
        <v>10</v>
      </c>
      <c r="AE1447">
        <v>0</v>
      </c>
      <c r="AF1447">
        <v>3</v>
      </c>
      <c r="AG1447">
        <v>2</v>
      </c>
      <c r="AH1447">
        <v>0</v>
      </c>
      <c r="AI1447" t="s">
        <v>981</v>
      </c>
      <c r="AJ1447">
        <v>39.814453</v>
      </c>
      <c r="AK1447" t="s">
        <v>841</v>
      </c>
      <c r="AL1447">
        <v>-92.523615000000007</v>
      </c>
      <c r="AM1447">
        <v>100</v>
      </c>
      <c r="AN1447">
        <v>1700</v>
      </c>
      <c r="AO1447" t="s">
        <v>118</v>
      </c>
      <c r="AP1447">
        <v>-29</v>
      </c>
      <c r="AQ1447">
        <v>120</v>
      </c>
      <c r="AR1447">
        <v>-128</v>
      </c>
      <c r="AZ1447">
        <v>1200</v>
      </c>
      <c r="BA1447">
        <v>1</v>
      </c>
      <c r="BB1447" t="str">
        <f t="shared" si="69"/>
        <v xml:space="preserve">N8080G  </v>
      </c>
      <c r="BC1447">
        <v>1</v>
      </c>
      <c r="BE1447">
        <v>0</v>
      </c>
      <c r="BF1447">
        <v>0</v>
      </c>
      <c r="BG1447">
        <v>0</v>
      </c>
      <c r="BH1447">
        <v>1700</v>
      </c>
      <c r="BI1447">
        <v>1</v>
      </c>
      <c r="BJ1447">
        <v>1</v>
      </c>
      <c r="BK1447">
        <v>1</v>
      </c>
      <c r="BL1447">
        <v>0</v>
      </c>
      <c r="BO1447">
        <v>0</v>
      </c>
      <c r="BP1447">
        <v>0</v>
      </c>
      <c r="BW1447" t="str">
        <f>"20:20:47.251"</f>
        <v>20:20:47.251</v>
      </c>
      <c r="BZ1447">
        <v>0</v>
      </c>
      <c r="CA1447">
        <v>2016</v>
      </c>
      <c r="CB1447">
        <v>224</v>
      </c>
      <c r="CD1447">
        <v>1</v>
      </c>
      <c r="CE1447">
        <v>0</v>
      </c>
      <c r="CF1447">
        <v>0</v>
      </c>
      <c r="CG1447">
        <v>1</v>
      </c>
      <c r="CH1447">
        <v>0</v>
      </c>
      <c r="CI1447">
        <v>0</v>
      </c>
      <c r="CJ1447">
        <v>0</v>
      </c>
      <c r="CK1447">
        <v>2</v>
      </c>
      <c r="CL1447">
        <v>0</v>
      </c>
      <c r="CM1447">
        <v>2</v>
      </c>
      <c r="CN1447">
        <v>0</v>
      </c>
      <c r="CO1447">
        <v>7</v>
      </c>
      <c r="CP1447" t="s">
        <v>119</v>
      </c>
      <c r="CQ1447">
        <v>180</v>
      </c>
      <c r="CR1447">
        <v>2</v>
      </c>
      <c r="CW1447">
        <v>8203612</v>
      </c>
      <c r="CY1447">
        <v>1</v>
      </c>
      <c r="CZ1447">
        <v>0</v>
      </c>
      <c r="DA1447">
        <v>0</v>
      </c>
      <c r="DB1447">
        <v>0</v>
      </c>
      <c r="DC1447">
        <v>0</v>
      </c>
      <c r="DD1447">
        <v>0</v>
      </c>
      <c r="DE1447">
        <v>0</v>
      </c>
      <c r="DF1447">
        <v>0</v>
      </c>
      <c r="DG1447">
        <v>0</v>
      </c>
      <c r="DH1447">
        <v>0</v>
      </c>
      <c r="DI1447">
        <v>0</v>
      </c>
    </row>
    <row r="1448" spans="1:113" x14ac:dyDescent="0.3">
      <c r="A1448" t="str">
        <f>"02/08/2021 20:20:44.964"</f>
        <v>02/08/2021 20:20:44.964</v>
      </c>
      <c r="C1448" t="str">
        <f t="shared" si="68"/>
        <v>FFDFD7C0</v>
      </c>
      <c r="D1448" t="s">
        <v>124</v>
      </c>
      <c r="E1448">
        <v>13</v>
      </c>
      <c r="F1448">
        <v>1013</v>
      </c>
      <c r="G1448" t="s">
        <v>114</v>
      </c>
      <c r="J1448" t="s">
        <v>125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S1448" t="str">
        <f>"20:20:47.250"</f>
        <v>20:20:47.250</v>
      </c>
      <c r="T1448" t="str">
        <f>"20:20:46.850"</f>
        <v>20:20:46.850</v>
      </c>
      <c r="U1448" t="str">
        <f t="shared" si="67"/>
        <v>AB01F4</v>
      </c>
      <c r="V1448">
        <v>0</v>
      </c>
      <c r="W1448">
        <v>0</v>
      </c>
      <c r="X1448">
        <v>2</v>
      </c>
      <c r="Z1448">
        <v>0</v>
      </c>
      <c r="AA1448">
        <v>9</v>
      </c>
      <c r="AB1448">
        <v>3</v>
      </c>
      <c r="AC1448">
        <v>0</v>
      </c>
      <c r="AD1448">
        <v>10</v>
      </c>
      <c r="AE1448">
        <v>0</v>
      </c>
      <c r="AF1448">
        <v>3</v>
      </c>
      <c r="AG1448">
        <v>2</v>
      </c>
      <c r="AH1448">
        <v>0</v>
      </c>
      <c r="AI1448" t="s">
        <v>981</v>
      </c>
      <c r="AJ1448">
        <v>39.814453</v>
      </c>
      <c r="AK1448" t="s">
        <v>841</v>
      </c>
      <c r="AL1448">
        <v>-92.523615000000007</v>
      </c>
      <c r="AM1448">
        <v>100</v>
      </c>
      <c r="AN1448">
        <v>1700</v>
      </c>
      <c r="AO1448" t="s">
        <v>118</v>
      </c>
      <c r="AP1448">
        <v>-29</v>
      </c>
      <c r="AQ1448">
        <v>120</v>
      </c>
      <c r="AR1448">
        <v>-128</v>
      </c>
      <c r="AZ1448">
        <v>1200</v>
      </c>
      <c r="BA1448">
        <v>1</v>
      </c>
      <c r="BB1448" t="str">
        <f t="shared" si="69"/>
        <v xml:space="preserve">N8080G  </v>
      </c>
      <c r="BC1448">
        <v>1</v>
      </c>
      <c r="BE1448">
        <v>0</v>
      </c>
      <c r="BF1448">
        <v>0</v>
      </c>
      <c r="BG1448">
        <v>0</v>
      </c>
      <c r="BH1448">
        <v>1700</v>
      </c>
      <c r="BI1448">
        <v>1</v>
      </c>
      <c r="BJ1448">
        <v>1</v>
      </c>
      <c r="BK1448">
        <v>1</v>
      </c>
      <c r="BL1448">
        <v>0</v>
      </c>
      <c r="BO1448">
        <v>0</v>
      </c>
      <c r="BP1448">
        <v>0</v>
      </c>
      <c r="BW1448" t="str">
        <f>"20:20:47.251"</f>
        <v>20:20:47.251</v>
      </c>
      <c r="BZ1448">
        <v>0</v>
      </c>
      <c r="CA1448">
        <v>2016</v>
      </c>
      <c r="CB1448">
        <v>224</v>
      </c>
      <c r="CD1448">
        <v>1</v>
      </c>
      <c r="CE1448">
        <v>0</v>
      </c>
      <c r="CF1448">
        <v>0</v>
      </c>
      <c r="CG1448">
        <v>1</v>
      </c>
      <c r="CH1448">
        <v>0</v>
      </c>
      <c r="CI1448">
        <v>0</v>
      </c>
      <c r="CJ1448">
        <v>0</v>
      </c>
      <c r="CK1448">
        <v>2</v>
      </c>
      <c r="CL1448">
        <v>0</v>
      </c>
      <c r="CM1448">
        <v>2</v>
      </c>
      <c r="CN1448">
        <v>0</v>
      </c>
      <c r="CO1448">
        <v>7</v>
      </c>
      <c r="CP1448" t="s">
        <v>119</v>
      </c>
      <c r="CQ1448">
        <v>180</v>
      </c>
      <c r="CR1448">
        <v>2</v>
      </c>
      <c r="CW1448">
        <v>8203612</v>
      </c>
      <c r="CY1448">
        <v>1</v>
      </c>
      <c r="CZ1448">
        <v>0</v>
      </c>
      <c r="DA1448">
        <v>1</v>
      </c>
      <c r="DB1448">
        <v>0</v>
      </c>
      <c r="DC1448">
        <v>0</v>
      </c>
      <c r="DD1448">
        <v>0</v>
      </c>
      <c r="DE1448">
        <v>0</v>
      </c>
      <c r="DF1448">
        <v>0</v>
      </c>
      <c r="DG1448">
        <v>0</v>
      </c>
      <c r="DH1448">
        <v>0</v>
      </c>
      <c r="DI1448">
        <v>0</v>
      </c>
    </row>
    <row r="1449" spans="1:113" x14ac:dyDescent="0.3">
      <c r="A1449" t="str">
        <f>"02/08/2021 20:20:44.964"</f>
        <v>02/08/2021 20:20:44.964</v>
      </c>
      <c r="C1449" t="str">
        <f t="shared" si="68"/>
        <v>FFDFD7C0</v>
      </c>
      <c r="D1449" t="s">
        <v>124</v>
      </c>
      <c r="E1449">
        <v>11</v>
      </c>
      <c r="F1449">
        <v>1011</v>
      </c>
      <c r="G1449" t="s">
        <v>590</v>
      </c>
      <c r="J1449" t="s">
        <v>125</v>
      </c>
      <c r="K1449">
        <v>0</v>
      </c>
      <c r="L1449">
        <v>3</v>
      </c>
      <c r="M1449">
        <v>0</v>
      </c>
      <c r="N1449">
        <v>2</v>
      </c>
      <c r="O1449">
        <v>1</v>
      </c>
      <c r="P1449">
        <v>0</v>
      </c>
      <c r="Q1449">
        <v>0</v>
      </c>
      <c r="S1449" t="str">
        <f>"20:20:47.250"</f>
        <v>20:20:47.250</v>
      </c>
      <c r="T1449" t="str">
        <f>"20:20:46.850"</f>
        <v>20:20:46.850</v>
      </c>
      <c r="U1449" t="str">
        <f t="shared" si="67"/>
        <v>AB01F4</v>
      </c>
      <c r="V1449">
        <v>0</v>
      </c>
      <c r="W1449">
        <v>0</v>
      </c>
      <c r="X1449">
        <v>2</v>
      </c>
      <c r="Z1449">
        <v>0</v>
      </c>
      <c r="AA1449">
        <v>9</v>
      </c>
      <c r="AB1449">
        <v>3</v>
      </c>
      <c r="AC1449">
        <v>0</v>
      </c>
      <c r="AD1449">
        <v>10</v>
      </c>
      <c r="AE1449">
        <v>0</v>
      </c>
      <c r="AF1449">
        <v>3</v>
      </c>
      <c r="AG1449">
        <v>2</v>
      </c>
      <c r="AH1449">
        <v>0</v>
      </c>
      <c r="AI1449" t="s">
        <v>981</v>
      </c>
      <c r="AJ1449">
        <v>39.814453</v>
      </c>
      <c r="AK1449" t="s">
        <v>841</v>
      </c>
      <c r="AL1449">
        <v>-92.523615000000007</v>
      </c>
      <c r="AM1449">
        <v>100</v>
      </c>
      <c r="AN1449">
        <v>1700</v>
      </c>
      <c r="AO1449" t="s">
        <v>118</v>
      </c>
      <c r="AP1449">
        <v>-29</v>
      </c>
      <c r="AQ1449">
        <v>120</v>
      </c>
      <c r="AR1449">
        <v>-128</v>
      </c>
      <c r="AZ1449">
        <v>1200</v>
      </c>
      <c r="BA1449">
        <v>1</v>
      </c>
      <c r="BB1449" t="str">
        <f t="shared" si="69"/>
        <v xml:space="preserve">N8080G  </v>
      </c>
      <c r="BC1449">
        <v>1</v>
      </c>
      <c r="BE1449">
        <v>0</v>
      </c>
      <c r="BF1449">
        <v>0</v>
      </c>
      <c r="BG1449">
        <v>0</v>
      </c>
      <c r="BH1449">
        <v>1700</v>
      </c>
      <c r="BI1449">
        <v>1</v>
      </c>
      <c r="BJ1449">
        <v>1</v>
      </c>
      <c r="BK1449">
        <v>1</v>
      </c>
      <c r="BL1449">
        <v>0</v>
      </c>
      <c r="BO1449">
        <v>0</v>
      </c>
      <c r="BP1449">
        <v>0</v>
      </c>
      <c r="BW1449" t="str">
        <f>"20:20:47.251"</f>
        <v>20:20:47.251</v>
      </c>
      <c r="BZ1449">
        <v>0</v>
      </c>
      <c r="CA1449">
        <v>2016</v>
      </c>
      <c r="CB1449">
        <v>224</v>
      </c>
      <c r="CD1449">
        <v>1</v>
      </c>
      <c r="CE1449">
        <v>0</v>
      </c>
      <c r="CF1449">
        <v>0</v>
      </c>
      <c r="CG1449">
        <v>1</v>
      </c>
      <c r="CH1449">
        <v>0</v>
      </c>
      <c r="CI1449">
        <v>0</v>
      </c>
      <c r="CJ1449">
        <v>0</v>
      </c>
      <c r="CK1449">
        <v>2</v>
      </c>
      <c r="CL1449">
        <v>0</v>
      </c>
      <c r="CM1449">
        <v>2</v>
      </c>
      <c r="CN1449">
        <v>0</v>
      </c>
      <c r="CO1449">
        <v>7</v>
      </c>
      <c r="CP1449" t="s">
        <v>119</v>
      </c>
      <c r="CQ1449">
        <v>180</v>
      </c>
      <c r="CR1449">
        <v>2</v>
      </c>
      <c r="CW1449">
        <v>8203612</v>
      </c>
      <c r="CY1449">
        <v>1</v>
      </c>
      <c r="CZ1449">
        <v>0</v>
      </c>
      <c r="DA1449">
        <v>1</v>
      </c>
      <c r="DB1449">
        <v>0</v>
      </c>
      <c r="DC1449">
        <v>0</v>
      </c>
      <c r="DD1449">
        <v>0</v>
      </c>
      <c r="DE1449">
        <v>0</v>
      </c>
      <c r="DF1449">
        <v>0</v>
      </c>
      <c r="DG1449">
        <v>0</v>
      </c>
      <c r="DH1449">
        <v>0</v>
      </c>
      <c r="DI1449">
        <v>0</v>
      </c>
    </row>
    <row r="1450" spans="1:113" x14ac:dyDescent="0.3">
      <c r="A1450" t="str">
        <f>"02/08/2021 20:20:44.964"</f>
        <v>02/08/2021 20:20:44.964</v>
      </c>
      <c r="C1450" t="str">
        <f t="shared" si="68"/>
        <v>FFDFD7C0</v>
      </c>
      <c r="D1450" t="s">
        <v>113</v>
      </c>
      <c r="E1450">
        <v>6</v>
      </c>
      <c r="H1450">
        <v>165</v>
      </c>
      <c r="I1450" t="s">
        <v>114</v>
      </c>
      <c r="J1450" t="s">
        <v>115</v>
      </c>
      <c r="K1450">
        <v>0</v>
      </c>
      <c r="L1450">
        <v>3</v>
      </c>
      <c r="M1450">
        <v>0</v>
      </c>
      <c r="N1450">
        <v>2</v>
      </c>
      <c r="O1450">
        <v>1</v>
      </c>
      <c r="P1450">
        <v>0</v>
      </c>
      <c r="Q1450">
        <v>0</v>
      </c>
      <c r="S1450" t="str">
        <f>"20:20:47.250"</f>
        <v>20:20:47.250</v>
      </c>
      <c r="T1450" t="str">
        <f>"20:20:46.850"</f>
        <v>20:20:46.850</v>
      </c>
      <c r="U1450" t="str">
        <f t="shared" si="67"/>
        <v>AB01F4</v>
      </c>
      <c r="V1450">
        <v>0</v>
      </c>
      <c r="W1450">
        <v>0</v>
      </c>
      <c r="X1450">
        <v>2</v>
      </c>
      <c r="Z1450">
        <v>0</v>
      </c>
      <c r="AA1450">
        <v>9</v>
      </c>
      <c r="AB1450">
        <v>3</v>
      </c>
      <c r="AC1450">
        <v>0</v>
      </c>
      <c r="AD1450">
        <v>10</v>
      </c>
      <c r="AE1450">
        <v>0</v>
      </c>
      <c r="AF1450">
        <v>3</v>
      </c>
      <c r="AG1450">
        <v>2</v>
      </c>
      <c r="AH1450">
        <v>0</v>
      </c>
      <c r="AI1450" t="s">
        <v>981</v>
      </c>
      <c r="AJ1450">
        <v>39.814453</v>
      </c>
      <c r="AK1450" t="s">
        <v>841</v>
      </c>
      <c r="AL1450">
        <v>-92.523615000000007</v>
      </c>
      <c r="AM1450">
        <v>100</v>
      </c>
      <c r="AN1450">
        <v>1700</v>
      </c>
      <c r="AO1450" t="s">
        <v>118</v>
      </c>
      <c r="AP1450">
        <v>-29</v>
      </c>
      <c r="AQ1450">
        <v>120</v>
      </c>
      <c r="AR1450">
        <v>-128</v>
      </c>
      <c r="AZ1450">
        <v>1200</v>
      </c>
      <c r="BA1450">
        <v>1</v>
      </c>
      <c r="BB1450" t="str">
        <f t="shared" si="69"/>
        <v xml:space="preserve">N8080G  </v>
      </c>
      <c r="BC1450">
        <v>1</v>
      </c>
      <c r="BE1450">
        <v>0</v>
      </c>
      <c r="BF1450">
        <v>0</v>
      </c>
      <c r="BG1450">
        <v>0</v>
      </c>
      <c r="BH1450">
        <v>1700</v>
      </c>
      <c r="BI1450">
        <v>1</v>
      </c>
      <c r="BJ1450">
        <v>1</v>
      </c>
      <c r="BK1450">
        <v>1</v>
      </c>
      <c r="BL1450">
        <v>0</v>
      </c>
      <c r="BO1450">
        <v>0</v>
      </c>
      <c r="BP1450">
        <v>0</v>
      </c>
      <c r="BW1450" t="str">
        <f>"20:20:47.251"</f>
        <v>20:20:47.251</v>
      </c>
      <c r="BZ1450">
        <v>0</v>
      </c>
      <c r="CA1450">
        <v>2016</v>
      </c>
      <c r="CB1450">
        <v>224</v>
      </c>
      <c r="CD1450">
        <v>1</v>
      </c>
      <c r="CE1450">
        <v>0</v>
      </c>
      <c r="CF1450">
        <v>0</v>
      </c>
      <c r="CG1450">
        <v>1</v>
      </c>
      <c r="CH1450">
        <v>0</v>
      </c>
      <c r="CI1450">
        <v>0</v>
      </c>
      <c r="CJ1450">
        <v>0</v>
      </c>
      <c r="CK1450">
        <v>2</v>
      </c>
      <c r="CL1450">
        <v>0</v>
      </c>
      <c r="CM1450">
        <v>2</v>
      </c>
      <c r="CN1450">
        <v>0</v>
      </c>
      <c r="CO1450">
        <v>7</v>
      </c>
      <c r="CP1450" t="s">
        <v>119</v>
      </c>
      <c r="CQ1450">
        <v>180</v>
      </c>
      <c r="CR1450">
        <v>2</v>
      </c>
      <c r="CW1450">
        <v>8203612</v>
      </c>
      <c r="CY1450">
        <v>1</v>
      </c>
      <c r="CZ1450">
        <v>0</v>
      </c>
      <c r="DA1450">
        <v>1</v>
      </c>
      <c r="DB1450">
        <v>0</v>
      </c>
      <c r="DC1450">
        <v>0</v>
      </c>
      <c r="DD1450">
        <v>0</v>
      </c>
      <c r="DE1450">
        <v>0</v>
      </c>
      <c r="DF1450">
        <v>0</v>
      </c>
      <c r="DG1450">
        <v>0</v>
      </c>
      <c r="DH1450">
        <v>0</v>
      </c>
      <c r="DI1450">
        <v>0</v>
      </c>
    </row>
    <row r="1451" spans="1:113" x14ac:dyDescent="0.3">
      <c r="A1451" t="str">
        <f>"02/08/2021 20:20:46.420"</f>
        <v>02/08/2021 20:20:46.420</v>
      </c>
      <c r="C1451" t="str">
        <f t="shared" si="68"/>
        <v>FFDFD7C0</v>
      </c>
      <c r="D1451" t="s">
        <v>124</v>
      </c>
      <c r="E1451">
        <v>12</v>
      </c>
      <c r="F1451">
        <v>1012</v>
      </c>
      <c r="G1451" t="s">
        <v>675</v>
      </c>
      <c r="J1451" t="s">
        <v>125</v>
      </c>
      <c r="K1451">
        <v>0</v>
      </c>
      <c r="L1451">
        <v>3</v>
      </c>
      <c r="M1451">
        <v>0</v>
      </c>
      <c r="N1451">
        <v>2</v>
      </c>
      <c r="O1451">
        <v>1</v>
      </c>
      <c r="P1451">
        <v>0</v>
      </c>
      <c r="Q1451">
        <v>0</v>
      </c>
      <c r="S1451" t="str">
        <f>"20:20:48.742"</f>
        <v>20:20:48.742</v>
      </c>
      <c r="T1451" t="str">
        <f>"20:20:48.342"</f>
        <v>20:20:48.342</v>
      </c>
      <c r="U1451" t="str">
        <f t="shared" si="67"/>
        <v>AB01F4</v>
      </c>
      <c r="V1451">
        <v>0</v>
      </c>
      <c r="W1451">
        <v>0</v>
      </c>
      <c r="X1451">
        <v>2</v>
      </c>
      <c r="Z1451">
        <v>0</v>
      </c>
      <c r="AA1451">
        <v>9</v>
      </c>
      <c r="AB1451">
        <v>3</v>
      </c>
      <c r="AC1451">
        <v>0</v>
      </c>
      <c r="AD1451">
        <v>10</v>
      </c>
      <c r="AE1451">
        <v>0</v>
      </c>
      <c r="AF1451">
        <v>3</v>
      </c>
      <c r="AG1451">
        <v>2</v>
      </c>
      <c r="AH1451">
        <v>0</v>
      </c>
      <c r="AI1451" t="s">
        <v>982</v>
      </c>
      <c r="AJ1451">
        <v>39.815333000000003</v>
      </c>
      <c r="AK1451" t="s">
        <v>983</v>
      </c>
      <c r="AL1451">
        <v>-92.523872999999995</v>
      </c>
      <c r="AM1451">
        <v>100</v>
      </c>
      <c r="AN1451">
        <v>1700</v>
      </c>
      <c r="AO1451" t="s">
        <v>118</v>
      </c>
      <c r="AP1451">
        <v>-29</v>
      </c>
      <c r="AQ1451">
        <v>120</v>
      </c>
      <c r="AR1451">
        <v>-64</v>
      </c>
      <c r="AZ1451">
        <v>1200</v>
      </c>
      <c r="BA1451">
        <v>1</v>
      </c>
      <c r="BB1451" t="str">
        <f t="shared" si="69"/>
        <v xml:space="preserve">N8080G  </v>
      </c>
      <c r="BC1451">
        <v>1</v>
      </c>
      <c r="BE1451">
        <v>0</v>
      </c>
      <c r="BF1451">
        <v>0</v>
      </c>
      <c r="BG1451">
        <v>0</v>
      </c>
      <c r="BH1451">
        <v>1675</v>
      </c>
      <c r="BI1451">
        <v>1</v>
      </c>
      <c r="BJ1451">
        <v>1</v>
      </c>
      <c r="BK1451">
        <v>1</v>
      </c>
      <c r="BL1451">
        <v>0</v>
      </c>
      <c r="BO1451">
        <v>0</v>
      </c>
      <c r="BP1451">
        <v>0</v>
      </c>
      <c r="BW1451" t="str">
        <f>"20:20:48.749"</f>
        <v>20:20:48.749</v>
      </c>
      <c r="BZ1451">
        <v>0</v>
      </c>
      <c r="CA1451">
        <v>2016</v>
      </c>
      <c r="CB1451">
        <v>224</v>
      </c>
      <c r="CD1451">
        <v>1</v>
      </c>
      <c r="CE1451">
        <v>0</v>
      </c>
      <c r="CF1451">
        <v>0</v>
      </c>
      <c r="CG1451">
        <v>1</v>
      </c>
      <c r="CH1451">
        <v>0</v>
      </c>
      <c r="CI1451">
        <v>0</v>
      </c>
      <c r="CJ1451">
        <v>0</v>
      </c>
      <c r="CK1451">
        <v>2</v>
      </c>
      <c r="CL1451">
        <v>0</v>
      </c>
      <c r="CM1451">
        <v>2</v>
      </c>
      <c r="CN1451">
        <v>0</v>
      </c>
      <c r="CO1451">
        <v>7</v>
      </c>
      <c r="CP1451" t="s">
        <v>119</v>
      </c>
      <c r="CQ1451">
        <v>180</v>
      </c>
      <c r="CR1451">
        <v>2</v>
      </c>
      <c r="CW1451">
        <v>8204822</v>
      </c>
      <c r="CY1451">
        <v>1</v>
      </c>
      <c r="CZ1451">
        <v>0</v>
      </c>
      <c r="DA1451">
        <v>0</v>
      </c>
      <c r="DB1451">
        <v>0</v>
      </c>
      <c r="DC1451">
        <v>0</v>
      </c>
      <c r="DD1451">
        <v>0</v>
      </c>
      <c r="DE1451">
        <v>0</v>
      </c>
      <c r="DF1451">
        <v>0</v>
      </c>
      <c r="DG1451">
        <v>0</v>
      </c>
      <c r="DH1451">
        <v>0</v>
      </c>
      <c r="DI1451">
        <v>0</v>
      </c>
    </row>
    <row r="1452" spans="1:113" x14ac:dyDescent="0.3">
      <c r="A1452" t="str">
        <f>"02/08/2021 20:20:46.420"</f>
        <v>02/08/2021 20:20:46.420</v>
      </c>
      <c r="C1452" t="str">
        <f t="shared" si="68"/>
        <v>FFDFD7C0</v>
      </c>
      <c r="D1452" t="s">
        <v>124</v>
      </c>
      <c r="E1452">
        <v>13</v>
      </c>
      <c r="F1452">
        <v>1013</v>
      </c>
      <c r="G1452" t="s">
        <v>114</v>
      </c>
      <c r="J1452" t="s">
        <v>125</v>
      </c>
      <c r="K1452">
        <v>0</v>
      </c>
      <c r="L1452">
        <v>3</v>
      </c>
      <c r="M1452">
        <v>0</v>
      </c>
      <c r="N1452">
        <v>2</v>
      </c>
      <c r="O1452">
        <v>1</v>
      </c>
      <c r="P1452">
        <v>0</v>
      </c>
      <c r="Q1452">
        <v>0</v>
      </c>
      <c r="S1452" t="str">
        <f>"20:20:48.742"</f>
        <v>20:20:48.742</v>
      </c>
      <c r="T1452" t="str">
        <f>"20:20:48.342"</f>
        <v>20:20:48.342</v>
      </c>
      <c r="U1452" t="str">
        <f t="shared" si="67"/>
        <v>AB01F4</v>
      </c>
      <c r="V1452">
        <v>0</v>
      </c>
      <c r="W1452">
        <v>0</v>
      </c>
      <c r="X1452">
        <v>2</v>
      </c>
      <c r="Z1452">
        <v>0</v>
      </c>
      <c r="AA1452">
        <v>9</v>
      </c>
      <c r="AB1452">
        <v>3</v>
      </c>
      <c r="AC1452">
        <v>0</v>
      </c>
      <c r="AD1452">
        <v>10</v>
      </c>
      <c r="AE1452">
        <v>0</v>
      </c>
      <c r="AF1452">
        <v>3</v>
      </c>
      <c r="AG1452">
        <v>2</v>
      </c>
      <c r="AH1452">
        <v>0</v>
      </c>
      <c r="AI1452" t="s">
        <v>982</v>
      </c>
      <c r="AJ1452">
        <v>39.815333000000003</v>
      </c>
      <c r="AK1452" t="s">
        <v>983</v>
      </c>
      <c r="AL1452">
        <v>-92.523872999999995</v>
      </c>
      <c r="AM1452">
        <v>100</v>
      </c>
      <c r="AN1452">
        <v>1700</v>
      </c>
      <c r="AO1452" t="s">
        <v>118</v>
      </c>
      <c r="AP1452">
        <v>-29</v>
      </c>
      <c r="AQ1452">
        <v>120</v>
      </c>
      <c r="AR1452">
        <v>-64</v>
      </c>
      <c r="AZ1452">
        <v>1200</v>
      </c>
      <c r="BA1452">
        <v>1</v>
      </c>
      <c r="BB1452" t="str">
        <f t="shared" si="69"/>
        <v xml:space="preserve">N8080G  </v>
      </c>
      <c r="BC1452">
        <v>1</v>
      </c>
      <c r="BE1452">
        <v>0</v>
      </c>
      <c r="BF1452">
        <v>0</v>
      </c>
      <c r="BG1452">
        <v>0</v>
      </c>
      <c r="BH1452">
        <v>1675</v>
      </c>
      <c r="BI1452">
        <v>1</v>
      </c>
      <c r="BJ1452">
        <v>1</v>
      </c>
      <c r="BK1452">
        <v>1</v>
      </c>
      <c r="BL1452">
        <v>0</v>
      </c>
      <c r="BO1452">
        <v>0</v>
      </c>
      <c r="BP1452">
        <v>0</v>
      </c>
      <c r="BW1452" t="str">
        <f>"20:20:48.749"</f>
        <v>20:20:48.749</v>
      </c>
      <c r="BZ1452">
        <v>0</v>
      </c>
      <c r="CA1452">
        <v>2016</v>
      </c>
      <c r="CB1452">
        <v>224</v>
      </c>
      <c r="CD1452">
        <v>1</v>
      </c>
      <c r="CE1452">
        <v>0</v>
      </c>
      <c r="CF1452">
        <v>0</v>
      </c>
      <c r="CG1452">
        <v>1</v>
      </c>
      <c r="CH1452">
        <v>0</v>
      </c>
      <c r="CI1452">
        <v>0</v>
      </c>
      <c r="CJ1452">
        <v>0</v>
      </c>
      <c r="CK1452">
        <v>2</v>
      </c>
      <c r="CL1452">
        <v>0</v>
      </c>
      <c r="CM1452">
        <v>2</v>
      </c>
      <c r="CN1452">
        <v>0</v>
      </c>
      <c r="CO1452">
        <v>7</v>
      </c>
      <c r="CP1452" t="s">
        <v>119</v>
      </c>
      <c r="CQ1452">
        <v>180</v>
      </c>
      <c r="CR1452">
        <v>2</v>
      </c>
      <c r="CW1452">
        <v>8204822</v>
      </c>
      <c r="CY1452">
        <v>1</v>
      </c>
      <c r="CZ1452">
        <v>0</v>
      </c>
      <c r="DA1452">
        <v>1</v>
      </c>
      <c r="DB1452">
        <v>0</v>
      </c>
      <c r="DC1452">
        <v>0</v>
      </c>
      <c r="DD1452">
        <v>0</v>
      </c>
      <c r="DE1452">
        <v>0</v>
      </c>
      <c r="DF1452">
        <v>0</v>
      </c>
      <c r="DG1452">
        <v>0</v>
      </c>
      <c r="DH1452">
        <v>0</v>
      </c>
      <c r="DI1452">
        <v>0</v>
      </c>
    </row>
    <row r="1453" spans="1:113" x14ac:dyDescent="0.3">
      <c r="A1453" t="str">
        <f>"02/08/2021 20:20:46.420"</f>
        <v>02/08/2021 20:20:46.420</v>
      </c>
      <c r="C1453" t="str">
        <f t="shared" si="68"/>
        <v>FFDFD7C0</v>
      </c>
      <c r="D1453" t="s">
        <v>124</v>
      </c>
      <c r="E1453">
        <v>11</v>
      </c>
      <c r="F1453">
        <v>1011</v>
      </c>
      <c r="G1453" t="s">
        <v>590</v>
      </c>
      <c r="J1453" t="s">
        <v>125</v>
      </c>
      <c r="K1453">
        <v>0</v>
      </c>
      <c r="L1453">
        <v>3</v>
      </c>
      <c r="M1453">
        <v>0</v>
      </c>
      <c r="N1453">
        <v>2</v>
      </c>
      <c r="O1453">
        <v>1</v>
      </c>
      <c r="P1453">
        <v>0</v>
      </c>
      <c r="Q1453">
        <v>0</v>
      </c>
      <c r="S1453" t="str">
        <f>"20:20:48.742"</f>
        <v>20:20:48.742</v>
      </c>
      <c r="T1453" t="str">
        <f>"20:20:48.342"</f>
        <v>20:20:48.342</v>
      </c>
      <c r="U1453" t="str">
        <f t="shared" si="67"/>
        <v>AB01F4</v>
      </c>
      <c r="V1453">
        <v>0</v>
      </c>
      <c r="W1453">
        <v>0</v>
      </c>
      <c r="X1453">
        <v>2</v>
      </c>
      <c r="Z1453">
        <v>0</v>
      </c>
      <c r="AA1453">
        <v>9</v>
      </c>
      <c r="AB1453">
        <v>3</v>
      </c>
      <c r="AC1453">
        <v>0</v>
      </c>
      <c r="AD1453">
        <v>10</v>
      </c>
      <c r="AE1453">
        <v>0</v>
      </c>
      <c r="AF1453">
        <v>3</v>
      </c>
      <c r="AG1453">
        <v>2</v>
      </c>
      <c r="AH1453">
        <v>0</v>
      </c>
      <c r="AI1453" t="s">
        <v>982</v>
      </c>
      <c r="AJ1453">
        <v>39.815333000000003</v>
      </c>
      <c r="AK1453" t="s">
        <v>983</v>
      </c>
      <c r="AL1453">
        <v>-92.523872999999995</v>
      </c>
      <c r="AM1453">
        <v>100</v>
      </c>
      <c r="AN1453">
        <v>1700</v>
      </c>
      <c r="AO1453" t="s">
        <v>118</v>
      </c>
      <c r="AP1453">
        <v>-29</v>
      </c>
      <c r="AQ1453">
        <v>120</v>
      </c>
      <c r="AR1453">
        <v>-64</v>
      </c>
      <c r="AZ1453">
        <v>1200</v>
      </c>
      <c r="BA1453">
        <v>1</v>
      </c>
      <c r="BB1453" t="str">
        <f t="shared" si="69"/>
        <v xml:space="preserve">N8080G  </v>
      </c>
      <c r="BC1453">
        <v>1</v>
      </c>
      <c r="BE1453">
        <v>0</v>
      </c>
      <c r="BF1453">
        <v>0</v>
      </c>
      <c r="BG1453">
        <v>0</v>
      </c>
      <c r="BH1453">
        <v>1675</v>
      </c>
      <c r="BI1453">
        <v>1</v>
      </c>
      <c r="BJ1453">
        <v>1</v>
      </c>
      <c r="BK1453">
        <v>1</v>
      </c>
      <c r="BL1453">
        <v>0</v>
      </c>
      <c r="BO1453">
        <v>0</v>
      </c>
      <c r="BP1453">
        <v>0</v>
      </c>
      <c r="BW1453" t="str">
        <f>"20:20:48.749"</f>
        <v>20:20:48.749</v>
      </c>
      <c r="BZ1453">
        <v>0</v>
      </c>
      <c r="CA1453">
        <v>2016</v>
      </c>
      <c r="CB1453">
        <v>224</v>
      </c>
      <c r="CD1453">
        <v>1</v>
      </c>
      <c r="CE1453">
        <v>0</v>
      </c>
      <c r="CF1453">
        <v>0</v>
      </c>
      <c r="CG1453">
        <v>1</v>
      </c>
      <c r="CH1453">
        <v>0</v>
      </c>
      <c r="CI1453">
        <v>0</v>
      </c>
      <c r="CJ1453">
        <v>0</v>
      </c>
      <c r="CK1453">
        <v>2</v>
      </c>
      <c r="CL1453">
        <v>0</v>
      </c>
      <c r="CM1453">
        <v>2</v>
      </c>
      <c r="CN1453">
        <v>0</v>
      </c>
      <c r="CO1453">
        <v>7</v>
      </c>
      <c r="CP1453" t="s">
        <v>119</v>
      </c>
      <c r="CQ1453">
        <v>180</v>
      </c>
      <c r="CR1453">
        <v>2</v>
      </c>
      <c r="CW1453">
        <v>8204822</v>
      </c>
      <c r="CY1453">
        <v>1</v>
      </c>
      <c r="CZ1453">
        <v>0</v>
      </c>
      <c r="DA1453">
        <v>1</v>
      </c>
      <c r="DB1453">
        <v>0</v>
      </c>
      <c r="DC1453">
        <v>0</v>
      </c>
      <c r="DD1453">
        <v>0</v>
      </c>
      <c r="DE1453">
        <v>0</v>
      </c>
      <c r="DF1453">
        <v>0</v>
      </c>
      <c r="DG1453">
        <v>0</v>
      </c>
      <c r="DH1453">
        <v>0</v>
      </c>
      <c r="DI1453">
        <v>0</v>
      </c>
    </row>
    <row r="1454" spans="1:113" x14ac:dyDescent="0.3">
      <c r="A1454" t="str">
        <f>"02/08/2021 20:20:46.420"</f>
        <v>02/08/2021 20:20:46.420</v>
      </c>
      <c r="C1454" t="str">
        <f t="shared" si="68"/>
        <v>FFDFD7C0</v>
      </c>
      <c r="D1454" t="s">
        <v>113</v>
      </c>
      <c r="E1454">
        <v>6</v>
      </c>
      <c r="H1454">
        <v>165</v>
      </c>
      <c r="I1454" t="s">
        <v>114</v>
      </c>
      <c r="J1454" t="s">
        <v>115</v>
      </c>
      <c r="K1454">
        <v>0</v>
      </c>
      <c r="L1454">
        <v>3</v>
      </c>
      <c r="M1454">
        <v>0</v>
      </c>
      <c r="N1454">
        <v>2</v>
      </c>
      <c r="O1454">
        <v>1</v>
      </c>
      <c r="P1454">
        <v>0</v>
      </c>
      <c r="Q1454">
        <v>0</v>
      </c>
      <c r="S1454" t="str">
        <f>"20:20:48.742"</f>
        <v>20:20:48.742</v>
      </c>
      <c r="T1454" t="str">
        <f>"20:20:48.342"</f>
        <v>20:20:48.342</v>
      </c>
      <c r="U1454" t="str">
        <f t="shared" si="67"/>
        <v>AB01F4</v>
      </c>
      <c r="V1454">
        <v>0</v>
      </c>
      <c r="W1454">
        <v>0</v>
      </c>
      <c r="X1454">
        <v>2</v>
      </c>
      <c r="Z1454">
        <v>0</v>
      </c>
      <c r="AA1454">
        <v>9</v>
      </c>
      <c r="AB1454">
        <v>3</v>
      </c>
      <c r="AC1454">
        <v>0</v>
      </c>
      <c r="AD1454">
        <v>10</v>
      </c>
      <c r="AE1454">
        <v>0</v>
      </c>
      <c r="AF1454">
        <v>3</v>
      </c>
      <c r="AG1454">
        <v>2</v>
      </c>
      <c r="AH1454">
        <v>0</v>
      </c>
      <c r="AI1454" t="s">
        <v>982</v>
      </c>
      <c r="AJ1454">
        <v>39.815333000000003</v>
      </c>
      <c r="AK1454" t="s">
        <v>983</v>
      </c>
      <c r="AL1454">
        <v>-92.523872999999995</v>
      </c>
      <c r="AM1454">
        <v>100</v>
      </c>
      <c r="AN1454">
        <v>1700</v>
      </c>
      <c r="AO1454" t="s">
        <v>118</v>
      </c>
      <c r="AP1454">
        <v>-29</v>
      </c>
      <c r="AQ1454">
        <v>120</v>
      </c>
      <c r="AR1454">
        <v>-64</v>
      </c>
      <c r="AZ1454">
        <v>1200</v>
      </c>
      <c r="BA1454">
        <v>1</v>
      </c>
      <c r="BB1454" t="str">
        <f t="shared" si="69"/>
        <v xml:space="preserve">N8080G  </v>
      </c>
      <c r="BC1454">
        <v>1</v>
      </c>
      <c r="BE1454">
        <v>0</v>
      </c>
      <c r="BF1454">
        <v>0</v>
      </c>
      <c r="BG1454">
        <v>0</v>
      </c>
      <c r="BH1454">
        <v>1675</v>
      </c>
      <c r="BI1454">
        <v>1</v>
      </c>
      <c r="BJ1454">
        <v>1</v>
      </c>
      <c r="BK1454">
        <v>1</v>
      </c>
      <c r="BL1454">
        <v>0</v>
      </c>
      <c r="BO1454">
        <v>0</v>
      </c>
      <c r="BP1454">
        <v>0</v>
      </c>
      <c r="BW1454" t="str">
        <f>"20:20:48.749"</f>
        <v>20:20:48.749</v>
      </c>
      <c r="BZ1454">
        <v>0</v>
      </c>
      <c r="CA1454">
        <v>2016</v>
      </c>
      <c r="CB1454">
        <v>224</v>
      </c>
      <c r="CD1454">
        <v>1</v>
      </c>
      <c r="CE1454">
        <v>0</v>
      </c>
      <c r="CF1454">
        <v>0</v>
      </c>
      <c r="CG1454">
        <v>1</v>
      </c>
      <c r="CH1454">
        <v>0</v>
      </c>
      <c r="CI1454">
        <v>0</v>
      </c>
      <c r="CJ1454">
        <v>0</v>
      </c>
      <c r="CK1454">
        <v>2</v>
      </c>
      <c r="CL1454">
        <v>0</v>
      </c>
      <c r="CM1454">
        <v>2</v>
      </c>
      <c r="CN1454">
        <v>0</v>
      </c>
      <c r="CO1454">
        <v>7</v>
      </c>
      <c r="CP1454" t="s">
        <v>119</v>
      </c>
      <c r="CQ1454">
        <v>180</v>
      </c>
      <c r="CR1454">
        <v>2</v>
      </c>
      <c r="CW1454">
        <v>8204822</v>
      </c>
      <c r="CY1454">
        <v>1</v>
      </c>
      <c r="CZ1454">
        <v>0</v>
      </c>
      <c r="DA1454">
        <v>1</v>
      </c>
      <c r="DB1454">
        <v>0</v>
      </c>
      <c r="DC1454">
        <v>0</v>
      </c>
      <c r="DD1454">
        <v>0</v>
      </c>
      <c r="DE1454">
        <v>0</v>
      </c>
      <c r="DF1454">
        <v>0</v>
      </c>
      <c r="DG1454">
        <v>0</v>
      </c>
      <c r="DH1454">
        <v>0</v>
      </c>
      <c r="DI1454">
        <v>0</v>
      </c>
    </row>
    <row r="1455" spans="1:113" x14ac:dyDescent="0.3">
      <c r="A1455" t="str">
        <f>"02/08/2021 20:20:47.894"</f>
        <v>02/08/2021 20:20:47.894</v>
      </c>
      <c r="C1455" t="str">
        <f t="shared" si="68"/>
        <v>FFDFD7C0</v>
      </c>
      <c r="D1455" t="s">
        <v>124</v>
      </c>
      <c r="E1455">
        <v>13</v>
      </c>
      <c r="F1455">
        <v>1013</v>
      </c>
      <c r="G1455" t="s">
        <v>114</v>
      </c>
      <c r="J1455" t="s">
        <v>125</v>
      </c>
      <c r="K1455">
        <v>0</v>
      </c>
      <c r="L1455">
        <v>3</v>
      </c>
      <c r="M1455">
        <v>0</v>
      </c>
      <c r="N1455">
        <v>2</v>
      </c>
      <c r="O1455">
        <v>1</v>
      </c>
      <c r="P1455">
        <v>0</v>
      </c>
      <c r="Q1455">
        <v>0</v>
      </c>
      <c r="S1455" t="str">
        <f>"20:20:50.188"</f>
        <v>20:20:50.188</v>
      </c>
      <c r="T1455" t="str">
        <f>"20:20:49.788"</f>
        <v>20:20:49.788</v>
      </c>
      <c r="U1455" t="str">
        <f t="shared" si="67"/>
        <v>AB01F4</v>
      </c>
      <c r="V1455">
        <v>0</v>
      </c>
      <c r="W1455">
        <v>0</v>
      </c>
      <c r="X1455">
        <v>2</v>
      </c>
      <c r="Z1455">
        <v>0</v>
      </c>
      <c r="AA1455">
        <v>9</v>
      </c>
      <c r="AB1455">
        <v>3</v>
      </c>
      <c r="AC1455">
        <v>0</v>
      </c>
      <c r="AD1455">
        <v>10</v>
      </c>
      <c r="AE1455">
        <v>0</v>
      </c>
      <c r="AF1455">
        <v>3</v>
      </c>
      <c r="AG1455">
        <v>2</v>
      </c>
      <c r="AH1455">
        <v>0</v>
      </c>
      <c r="AI1455" t="s">
        <v>984</v>
      </c>
      <c r="AJ1455">
        <v>39.816062000000002</v>
      </c>
      <c r="AK1455" t="s">
        <v>985</v>
      </c>
      <c r="AL1455">
        <v>-92.524108999999996</v>
      </c>
      <c r="AM1455">
        <v>100</v>
      </c>
      <c r="AN1455">
        <v>1700</v>
      </c>
      <c r="AO1455" t="s">
        <v>118</v>
      </c>
      <c r="AP1455">
        <v>-29</v>
      </c>
      <c r="AQ1455">
        <v>120</v>
      </c>
      <c r="AR1455">
        <v>-64</v>
      </c>
      <c r="AZ1455">
        <v>1200</v>
      </c>
      <c r="BA1455">
        <v>1</v>
      </c>
      <c r="BB1455" t="str">
        <f t="shared" si="69"/>
        <v xml:space="preserve">N8080G  </v>
      </c>
      <c r="BC1455">
        <v>1</v>
      </c>
      <c r="BE1455">
        <v>0</v>
      </c>
      <c r="BF1455">
        <v>0</v>
      </c>
      <c r="BG1455">
        <v>0</v>
      </c>
      <c r="BH1455">
        <v>1675</v>
      </c>
      <c r="BI1455">
        <v>1</v>
      </c>
      <c r="BJ1455">
        <v>1</v>
      </c>
      <c r="BK1455">
        <v>1</v>
      </c>
      <c r="BL1455">
        <v>0</v>
      </c>
      <c r="BO1455">
        <v>0</v>
      </c>
      <c r="BP1455">
        <v>0</v>
      </c>
      <c r="BW1455" t="str">
        <f>"20:20:50.189"</f>
        <v>20:20:50.189</v>
      </c>
      <c r="BZ1455">
        <v>0</v>
      </c>
      <c r="CA1455">
        <v>2016</v>
      </c>
      <c r="CB1455">
        <v>224</v>
      </c>
      <c r="CD1455">
        <v>1</v>
      </c>
      <c r="CE1455">
        <v>0</v>
      </c>
      <c r="CF1455">
        <v>0</v>
      </c>
      <c r="CG1455">
        <v>1</v>
      </c>
      <c r="CH1455">
        <v>0</v>
      </c>
      <c r="CI1455">
        <v>0</v>
      </c>
      <c r="CJ1455">
        <v>0</v>
      </c>
      <c r="CK1455">
        <v>2</v>
      </c>
      <c r="CL1455">
        <v>0</v>
      </c>
      <c r="CM1455">
        <v>2</v>
      </c>
      <c r="CN1455">
        <v>0</v>
      </c>
      <c r="CO1455">
        <v>7</v>
      </c>
      <c r="CP1455" t="s">
        <v>119</v>
      </c>
      <c r="CQ1455">
        <v>180</v>
      </c>
      <c r="CR1455">
        <v>1</v>
      </c>
      <c r="CW1455">
        <v>10770889</v>
      </c>
      <c r="CY1455">
        <v>1</v>
      </c>
      <c r="CZ1455">
        <v>0</v>
      </c>
      <c r="DA1455">
        <v>0</v>
      </c>
      <c r="DB1455">
        <v>0</v>
      </c>
      <c r="DC1455">
        <v>0</v>
      </c>
      <c r="DD1455">
        <v>0</v>
      </c>
      <c r="DE1455">
        <v>0</v>
      </c>
      <c r="DF1455">
        <v>0</v>
      </c>
      <c r="DG1455">
        <v>0</v>
      </c>
      <c r="DH1455">
        <v>0</v>
      </c>
      <c r="DI1455">
        <v>0</v>
      </c>
    </row>
    <row r="1456" spans="1:113" x14ac:dyDescent="0.3">
      <c r="A1456" t="str">
        <f>"02/08/2021 20:20:47.894"</f>
        <v>02/08/2021 20:20:47.894</v>
      </c>
      <c r="C1456" t="str">
        <f t="shared" si="68"/>
        <v>FFDFD7C0</v>
      </c>
      <c r="D1456" t="s">
        <v>124</v>
      </c>
      <c r="E1456">
        <v>11</v>
      </c>
      <c r="F1456">
        <v>1011</v>
      </c>
      <c r="G1456" t="s">
        <v>590</v>
      </c>
      <c r="J1456" t="s">
        <v>125</v>
      </c>
      <c r="K1456">
        <v>0</v>
      </c>
      <c r="L1456">
        <v>3</v>
      </c>
      <c r="M1456">
        <v>0</v>
      </c>
      <c r="N1456">
        <v>2</v>
      </c>
      <c r="O1456">
        <v>1</v>
      </c>
      <c r="P1456">
        <v>0</v>
      </c>
      <c r="Q1456">
        <v>0</v>
      </c>
      <c r="S1456" t="str">
        <f>"20:20:50.188"</f>
        <v>20:20:50.188</v>
      </c>
      <c r="T1456" t="str">
        <f>"20:20:49.788"</f>
        <v>20:20:49.788</v>
      </c>
      <c r="U1456" t="str">
        <f t="shared" si="67"/>
        <v>AB01F4</v>
      </c>
      <c r="V1456">
        <v>0</v>
      </c>
      <c r="W1456">
        <v>0</v>
      </c>
      <c r="X1456">
        <v>2</v>
      </c>
      <c r="Z1456">
        <v>0</v>
      </c>
      <c r="AA1456">
        <v>9</v>
      </c>
      <c r="AB1456">
        <v>3</v>
      </c>
      <c r="AC1456">
        <v>0</v>
      </c>
      <c r="AD1456">
        <v>10</v>
      </c>
      <c r="AE1456">
        <v>0</v>
      </c>
      <c r="AF1456">
        <v>3</v>
      </c>
      <c r="AG1456">
        <v>2</v>
      </c>
      <c r="AH1456">
        <v>0</v>
      </c>
      <c r="AI1456" t="s">
        <v>984</v>
      </c>
      <c r="AJ1456">
        <v>39.816062000000002</v>
      </c>
      <c r="AK1456" t="s">
        <v>985</v>
      </c>
      <c r="AL1456">
        <v>-92.524108999999996</v>
      </c>
      <c r="AM1456">
        <v>100</v>
      </c>
      <c r="AN1456">
        <v>1700</v>
      </c>
      <c r="AO1456" t="s">
        <v>118</v>
      </c>
      <c r="AP1456">
        <v>-29</v>
      </c>
      <c r="AQ1456">
        <v>120</v>
      </c>
      <c r="AR1456">
        <v>-64</v>
      </c>
      <c r="AZ1456">
        <v>1200</v>
      </c>
      <c r="BA1456">
        <v>1</v>
      </c>
      <c r="BB1456" t="str">
        <f t="shared" si="69"/>
        <v xml:space="preserve">N8080G  </v>
      </c>
      <c r="BC1456">
        <v>1</v>
      </c>
      <c r="BE1456">
        <v>0</v>
      </c>
      <c r="BF1456">
        <v>0</v>
      </c>
      <c r="BG1456">
        <v>0</v>
      </c>
      <c r="BH1456">
        <v>1675</v>
      </c>
      <c r="BI1456">
        <v>1</v>
      </c>
      <c r="BJ1456">
        <v>1</v>
      </c>
      <c r="BK1456">
        <v>1</v>
      </c>
      <c r="BL1456">
        <v>0</v>
      </c>
      <c r="BO1456">
        <v>0</v>
      </c>
      <c r="BP1456">
        <v>0</v>
      </c>
      <c r="BW1456" t="str">
        <f>"20:20:50.189"</f>
        <v>20:20:50.189</v>
      </c>
      <c r="BZ1456">
        <v>0</v>
      </c>
      <c r="CA1456">
        <v>2016</v>
      </c>
      <c r="CB1456">
        <v>224</v>
      </c>
      <c r="CD1456">
        <v>1</v>
      </c>
      <c r="CE1456">
        <v>0</v>
      </c>
      <c r="CF1456">
        <v>0</v>
      </c>
      <c r="CG1456">
        <v>1</v>
      </c>
      <c r="CH1456">
        <v>0</v>
      </c>
      <c r="CI1456">
        <v>0</v>
      </c>
      <c r="CJ1456">
        <v>0</v>
      </c>
      <c r="CK1456">
        <v>2</v>
      </c>
      <c r="CL1456">
        <v>0</v>
      </c>
      <c r="CM1456">
        <v>2</v>
      </c>
      <c r="CN1456">
        <v>0</v>
      </c>
      <c r="CO1456">
        <v>7</v>
      </c>
      <c r="CP1456" t="s">
        <v>119</v>
      </c>
      <c r="CQ1456">
        <v>180</v>
      </c>
      <c r="CR1456">
        <v>1</v>
      </c>
      <c r="CW1456">
        <v>10770889</v>
      </c>
      <c r="CY1456">
        <v>1</v>
      </c>
      <c r="CZ1456">
        <v>0</v>
      </c>
      <c r="DA1456">
        <v>1</v>
      </c>
      <c r="DB1456">
        <v>0</v>
      </c>
      <c r="DC1456">
        <v>0</v>
      </c>
      <c r="DD1456">
        <v>0</v>
      </c>
      <c r="DE1456">
        <v>0</v>
      </c>
      <c r="DF1456">
        <v>0</v>
      </c>
      <c r="DG1456">
        <v>0</v>
      </c>
      <c r="DH1456">
        <v>0</v>
      </c>
      <c r="DI1456">
        <v>0</v>
      </c>
    </row>
    <row r="1457" spans="1:113" x14ac:dyDescent="0.3">
      <c r="A1457" t="str">
        <f>"02/08/2021 20:20:47.894"</f>
        <v>02/08/2021 20:20:47.894</v>
      </c>
      <c r="C1457" t="str">
        <f t="shared" si="68"/>
        <v>FFDFD7C0</v>
      </c>
      <c r="D1457" t="s">
        <v>113</v>
      </c>
      <c r="E1457">
        <v>6</v>
      </c>
      <c r="H1457">
        <v>165</v>
      </c>
      <c r="I1457" t="s">
        <v>114</v>
      </c>
      <c r="J1457" t="s">
        <v>115</v>
      </c>
      <c r="K1457">
        <v>0</v>
      </c>
      <c r="L1457">
        <v>3</v>
      </c>
      <c r="M1457">
        <v>0</v>
      </c>
      <c r="N1457">
        <v>2</v>
      </c>
      <c r="O1457">
        <v>1</v>
      </c>
      <c r="P1457">
        <v>0</v>
      </c>
      <c r="Q1457">
        <v>0</v>
      </c>
      <c r="S1457" t="str">
        <f>"20:20:50.188"</f>
        <v>20:20:50.188</v>
      </c>
      <c r="T1457" t="str">
        <f>"20:20:49.788"</f>
        <v>20:20:49.788</v>
      </c>
      <c r="U1457" t="str">
        <f t="shared" si="67"/>
        <v>AB01F4</v>
      </c>
      <c r="V1457">
        <v>0</v>
      </c>
      <c r="W1457">
        <v>0</v>
      </c>
      <c r="X1457">
        <v>2</v>
      </c>
      <c r="Z1457">
        <v>0</v>
      </c>
      <c r="AA1457">
        <v>9</v>
      </c>
      <c r="AB1457">
        <v>3</v>
      </c>
      <c r="AC1457">
        <v>0</v>
      </c>
      <c r="AD1457">
        <v>10</v>
      </c>
      <c r="AE1457">
        <v>0</v>
      </c>
      <c r="AF1457">
        <v>3</v>
      </c>
      <c r="AG1457">
        <v>2</v>
      </c>
      <c r="AH1457">
        <v>0</v>
      </c>
      <c r="AI1457" t="s">
        <v>984</v>
      </c>
      <c r="AJ1457">
        <v>39.816062000000002</v>
      </c>
      <c r="AK1457" t="s">
        <v>985</v>
      </c>
      <c r="AL1457">
        <v>-92.524108999999996</v>
      </c>
      <c r="AM1457">
        <v>100</v>
      </c>
      <c r="AN1457">
        <v>1700</v>
      </c>
      <c r="AO1457" t="s">
        <v>118</v>
      </c>
      <c r="AP1457">
        <v>-29</v>
      </c>
      <c r="AQ1457">
        <v>120</v>
      </c>
      <c r="AR1457">
        <v>-64</v>
      </c>
      <c r="AZ1457">
        <v>1200</v>
      </c>
      <c r="BA1457">
        <v>1</v>
      </c>
      <c r="BB1457" t="str">
        <f t="shared" si="69"/>
        <v xml:space="preserve">N8080G  </v>
      </c>
      <c r="BC1457">
        <v>1</v>
      </c>
      <c r="BE1457">
        <v>0</v>
      </c>
      <c r="BF1457">
        <v>0</v>
      </c>
      <c r="BG1457">
        <v>0</v>
      </c>
      <c r="BH1457">
        <v>1675</v>
      </c>
      <c r="BI1457">
        <v>1</v>
      </c>
      <c r="BJ1457">
        <v>1</v>
      </c>
      <c r="BK1457">
        <v>1</v>
      </c>
      <c r="BL1457">
        <v>0</v>
      </c>
      <c r="BO1457">
        <v>0</v>
      </c>
      <c r="BP1457">
        <v>0</v>
      </c>
      <c r="BW1457" t="str">
        <f>"20:20:50.189"</f>
        <v>20:20:50.189</v>
      </c>
      <c r="BZ1457">
        <v>0</v>
      </c>
      <c r="CA1457">
        <v>2016</v>
      </c>
      <c r="CB1457">
        <v>224</v>
      </c>
      <c r="CD1457">
        <v>1</v>
      </c>
      <c r="CE1457">
        <v>0</v>
      </c>
      <c r="CF1457">
        <v>0</v>
      </c>
      <c r="CG1457">
        <v>1</v>
      </c>
      <c r="CH1457">
        <v>0</v>
      </c>
      <c r="CI1457">
        <v>0</v>
      </c>
      <c r="CJ1457">
        <v>0</v>
      </c>
      <c r="CK1457">
        <v>2</v>
      </c>
      <c r="CL1457">
        <v>0</v>
      </c>
      <c r="CM1457">
        <v>2</v>
      </c>
      <c r="CN1457">
        <v>0</v>
      </c>
      <c r="CO1457">
        <v>7</v>
      </c>
      <c r="CP1457" t="s">
        <v>119</v>
      </c>
      <c r="CQ1457">
        <v>180</v>
      </c>
      <c r="CR1457">
        <v>1</v>
      </c>
      <c r="CW1457">
        <v>10770889</v>
      </c>
      <c r="CY1457">
        <v>1</v>
      </c>
      <c r="CZ1457">
        <v>0</v>
      </c>
      <c r="DA1457">
        <v>1</v>
      </c>
      <c r="DB1457">
        <v>0</v>
      </c>
      <c r="DC1457">
        <v>0</v>
      </c>
      <c r="DD1457">
        <v>0</v>
      </c>
      <c r="DE1457">
        <v>0</v>
      </c>
      <c r="DF1457">
        <v>0</v>
      </c>
      <c r="DG1457">
        <v>0</v>
      </c>
      <c r="DH1457">
        <v>0</v>
      </c>
      <c r="DI1457">
        <v>0</v>
      </c>
    </row>
    <row r="1458" spans="1:113" x14ac:dyDescent="0.3">
      <c r="A1458" t="str">
        <f>"02/08/2021 20:20:47.894"</f>
        <v>02/08/2021 20:20:47.894</v>
      </c>
      <c r="C1458" t="str">
        <f t="shared" si="68"/>
        <v>FFDFD7C0</v>
      </c>
      <c r="D1458" t="s">
        <v>124</v>
      </c>
      <c r="E1458">
        <v>12</v>
      </c>
      <c r="F1458">
        <v>1012</v>
      </c>
      <c r="G1458" t="s">
        <v>675</v>
      </c>
      <c r="J1458" t="s">
        <v>125</v>
      </c>
      <c r="K1458">
        <v>0</v>
      </c>
      <c r="L1458">
        <v>3</v>
      </c>
      <c r="M1458">
        <v>0</v>
      </c>
      <c r="N1458">
        <v>2</v>
      </c>
      <c r="O1458">
        <v>1</v>
      </c>
      <c r="P1458">
        <v>0</v>
      </c>
      <c r="Q1458">
        <v>0</v>
      </c>
      <c r="S1458" t="str">
        <f>"20:20:50.188"</f>
        <v>20:20:50.188</v>
      </c>
      <c r="T1458" t="str">
        <f>"20:20:49.788"</f>
        <v>20:20:49.788</v>
      </c>
      <c r="U1458" t="str">
        <f t="shared" si="67"/>
        <v>AB01F4</v>
      </c>
      <c r="V1458">
        <v>0</v>
      </c>
      <c r="W1458">
        <v>0</v>
      </c>
      <c r="X1458">
        <v>2</v>
      </c>
      <c r="Z1458">
        <v>0</v>
      </c>
      <c r="AA1458">
        <v>9</v>
      </c>
      <c r="AB1458">
        <v>3</v>
      </c>
      <c r="AC1458">
        <v>0</v>
      </c>
      <c r="AD1458">
        <v>10</v>
      </c>
      <c r="AE1458">
        <v>0</v>
      </c>
      <c r="AF1458">
        <v>3</v>
      </c>
      <c r="AG1458">
        <v>2</v>
      </c>
      <c r="AH1458">
        <v>0</v>
      </c>
      <c r="AI1458" t="s">
        <v>984</v>
      </c>
      <c r="AJ1458">
        <v>39.816062000000002</v>
      </c>
      <c r="AK1458" t="s">
        <v>985</v>
      </c>
      <c r="AL1458">
        <v>-92.524108999999996</v>
      </c>
      <c r="AM1458">
        <v>100</v>
      </c>
      <c r="AN1458">
        <v>1700</v>
      </c>
      <c r="AO1458" t="s">
        <v>118</v>
      </c>
      <c r="AP1458">
        <v>-29</v>
      </c>
      <c r="AQ1458">
        <v>120</v>
      </c>
      <c r="AR1458">
        <v>-64</v>
      </c>
      <c r="AZ1458">
        <v>1200</v>
      </c>
      <c r="BA1458">
        <v>1</v>
      </c>
      <c r="BB1458" t="str">
        <f t="shared" si="69"/>
        <v xml:space="preserve">N8080G  </v>
      </c>
      <c r="BC1458">
        <v>1</v>
      </c>
      <c r="BE1458">
        <v>0</v>
      </c>
      <c r="BF1458">
        <v>0</v>
      </c>
      <c r="BG1458">
        <v>0</v>
      </c>
      <c r="BH1458">
        <v>1675</v>
      </c>
      <c r="BI1458">
        <v>1</v>
      </c>
      <c r="BJ1458">
        <v>1</v>
      </c>
      <c r="BK1458">
        <v>1</v>
      </c>
      <c r="BL1458">
        <v>0</v>
      </c>
      <c r="BO1458">
        <v>0</v>
      </c>
      <c r="BP1458">
        <v>0</v>
      </c>
      <c r="BW1458" t="str">
        <f>"20:20:50.189"</f>
        <v>20:20:50.189</v>
      </c>
      <c r="BZ1458">
        <v>0</v>
      </c>
      <c r="CA1458">
        <v>2016</v>
      </c>
      <c r="CB1458">
        <v>224</v>
      </c>
      <c r="CD1458">
        <v>1</v>
      </c>
      <c r="CE1458">
        <v>0</v>
      </c>
      <c r="CF1458">
        <v>0</v>
      </c>
      <c r="CG1458">
        <v>1</v>
      </c>
      <c r="CH1458">
        <v>0</v>
      </c>
      <c r="CI1458">
        <v>0</v>
      </c>
      <c r="CJ1458">
        <v>0</v>
      </c>
      <c r="CK1458">
        <v>2</v>
      </c>
      <c r="CL1458">
        <v>0</v>
      </c>
      <c r="CM1458">
        <v>2</v>
      </c>
      <c r="CN1458">
        <v>0</v>
      </c>
      <c r="CO1458">
        <v>7</v>
      </c>
      <c r="CP1458" t="s">
        <v>119</v>
      </c>
      <c r="CQ1458">
        <v>180</v>
      </c>
      <c r="CR1458">
        <v>1</v>
      </c>
      <c r="CW1458">
        <v>10770889</v>
      </c>
      <c r="CY1458">
        <v>1</v>
      </c>
      <c r="CZ1458">
        <v>0</v>
      </c>
      <c r="DA1458">
        <v>1</v>
      </c>
      <c r="DB1458">
        <v>0</v>
      </c>
      <c r="DC1458">
        <v>0</v>
      </c>
      <c r="DD1458">
        <v>0</v>
      </c>
      <c r="DE1458">
        <v>0</v>
      </c>
      <c r="DF1458">
        <v>0</v>
      </c>
      <c r="DG1458">
        <v>0</v>
      </c>
      <c r="DH1458">
        <v>0</v>
      </c>
      <c r="DI1458">
        <v>0</v>
      </c>
    </row>
    <row r="1459" spans="1:113" x14ac:dyDescent="0.3">
      <c r="A1459" t="str">
        <f>"02/08/2021 20:20:49.520"</f>
        <v>02/08/2021 20:20:49.520</v>
      </c>
      <c r="C1459" t="str">
        <f t="shared" si="68"/>
        <v>FFDFD7C0</v>
      </c>
      <c r="D1459" t="s">
        <v>124</v>
      </c>
      <c r="E1459">
        <v>11</v>
      </c>
      <c r="F1459">
        <v>1011</v>
      </c>
      <c r="G1459" t="s">
        <v>590</v>
      </c>
      <c r="J1459" t="s">
        <v>125</v>
      </c>
      <c r="K1459">
        <v>0</v>
      </c>
      <c r="L1459">
        <v>3</v>
      </c>
      <c r="M1459">
        <v>0</v>
      </c>
      <c r="N1459">
        <v>2</v>
      </c>
      <c r="O1459">
        <v>1</v>
      </c>
      <c r="P1459">
        <v>0</v>
      </c>
      <c r="Q1459">
        <v>0</v>
      </c>
      <c r="S1459" t="str">
        <f>"20:20:51.828"</f>
        <v>20:20:51.828</v>
      </c>
      <c r="T1459" t="str">
        <f>"20:20:51.328"</f>
        <v>20:20:51.328</v>
      </c>
      <c r="U1459" t="str">
        <f t="shared" si="67"/>
        <v>AB01F4</v>
      </c>
      <c r="V1459">
        <v>0</v>
      </c>
      <c r="W1459">
        <v>0</v>
      </c>
      <c r="X1459">
        <v>2</v>
      </c>
      <c r="Z1459">
        <v>0</v>
      </c>
      <c r="AA1459">
        <v>9</v>
      </c>
      <c r="AB1459">
        <v>3</v>
      </c>
      <c r="AC1459">
        <v>0</v>
      </c>
      <c r="AD1459">
        <v>10</v>
      </c>
      <c r="AE1459">
        <v>0</v>
      </c>
      <c r="AF1459">
        <v>3</v>
      </c>
      <c r="AG1459">
        <v>2</v>
      </c>
      <c r="AH1459">
        <v>0</v>
      </c>
      <c r="AI1459" t="s">
        <v>986</v>
      </c>
      <c r="AJ1459">
        <v>39.817006999999997</v>
      </c>
      <c r="AK1459" t="s">
        <v>765</v>
      </c>
      <c r="AL1459">
        <v>-92.524409000000006</v>
      </c>
      <c r="AM1459">
        <v>100</v>
      </c>
      <c r="AN1459">
        <v>1700</v>
      </c>
      <c r="AO1459" t="s">
        <v>118</v>
      </c>
      <c r="AP1459">
        <v>-29</v>
      </c>
      <c r="AQ1459">
        <v>119</v>
      </c>
      <c r="AR1459">
        <v>-64</v>
      </c>
      <c r="AZ1459">
        <v>1200</v>
      </c>
      <c r="BA1459">
        <v>1</v>
      </c>
      <c r="BB1459" t="str">
        <f t="shared" si="69"/>
        <v xml:space="preserve">N8080G  </v>
      </c>
      <c r="BC1459">
        <v>1</v>
      </c>
      <c r="BE1459">
        <v>0</v>
      </c>
      <c r="BF1459">
        <v>0</v>
      </c>
      <c r="BG1459">
        <v>0</v>
      </c>
      <c r="BH1459">
        <v>1675</v>
      </c>
      <c r="BI1459">
        <v>1</v>
      </c>
      <c r="BJ1459">
        <v>1</v>
      </c>
      <c r="BK1459">
        <v>1</v>
      </c>
      <c r="BL1459">
        <v>0</v>
      </c>
      <c r="BO1459">
        <v>0</v>
      </c>
      <c r="BP1459">
        <v>0</v>
      </c>
      <c r="BW1459" t="str">
        <f>"20:20:51.832"</f>
        <v>20:20:51.832</v>
      </c>
      <c r="BZ1459">
        <v>0</v>
      </c>
      <c r="CA1459">
        <v>2016</v>
      </c>
      <c r="CB1459">
        <v>224</v>
      </c>
      <c r="CD1459">
        <v>1</v>
      </c>
      <c r="CE1459">
        <v>0</v>
      </c>
      <c r="CF1459">
        <v>0</v>
      </c>
      <c r="CG1459">
        <v>1</v>
      </c>
      <c r="CH1459">
        <v>0</v>
      </c>
      <c r="CI1459">
        <v>0</v>
      </c>
      <c r="CJ1459">
        <v>0</v>
      </c>
      <c r="CK1459">
        <v>2</v>
      </c>
      <c r="CL1459">
        <v>0</v>
      </c>
      <c r="CM1459">
        <v>2</v>
      </c>
      <c r="CN1459">
        <v>0</v>
      </c>
      <c r="CO1459">
        <v>7</v>
      </c>
      <c r="CP1459" t="s">
        <v>119</v>
      </c>
      <c r="CQ1459">
        <v>180</v>
      </c>
      <c r="CR1459">
        <v>1</v>
      </c>
      <c r="CW1459">
        <v>10772435</v>
      </c>
      <c r="CY1459">
        <v>1</v>
      </c>
      <c r="CZ1459">
        <v>0</v>
      </c>
      <c r="DA1459">
        <v>0</v>
      </c>
      <c r="DB1459">
        <v>0</v>
      </c>
      <c r="DC1459">
        <v>0</v>
      </c>
      <c r="DD1459">
        <v>0</v>
      </c>
      <c r="DE1459">
        <v>0</v>
      </c>
      <c r="DF1459">
        <v>0</v>
      </c>
      <c r="DG1459">
        <v>0</v>
      </c>
      <c r="DH1459">
        <v>0</v>
      </c>
      <c r="DI1459">
        <v>0</v>
      </c>
    </row>
    <row r="1460" spans="1:113" x14ac:dyDescent="0.3">
      <c r="A1460" t="str">
        <f>"02/08/2021 20:20:49.520"</f>
        <v>02/08/2021 20:20:49.520</v>
      </c>
      <c r="C1460" t="str">
        <f t="shared" si="68"/>
        <v>FFDFD7C0</v>
      </c>
      <c r="D1460" t="s">
        <v>124</v>
      </c>
      <c r="E1460">
        <v>12</v>
      </c>
      <c r="F1460">
        <v>1012</v>
      </c>
      <c r="G1460" t="s">
        <v>675</v>
      </c>
      <c r="J1460" t="s">
        <v>125</v>
      </c>
      <c r="K1460">
        <v>0</v>
      </c>
      <c r="L1460">
        <v>3</v>
      </c>
      <c r="M1460">
        <v>0</v>
      </c>
      <c r="N1460">
        <v>2</v>
      </c>
      <c r="O1460">
        <v>1</v>
      </c>
      <c r="P1460">
        <v>0</v>
      </c>
      <c r="Q1460">
        <v>0</v>
      </c>
      <c r="S1460" t="str">
        <f>"20:20:51.828"</f>
        <v>20:20:51.828</v>
      </c>
      <c r="T1460" t="str">
        <f>"20:20:51.328"</f>
        <v>20:20:51.328</v>
      </c>
      <c r="U1460" t="str">
        <f t="shared" si="67"/>
        <v>AB01F4</v>
      </c>
      <c r="V1460">
        <v>0</v>
      </c>
      <c r="W1460">
        <v>0</v>
      </c>
      <c r="X1460">
        <v>2</v>
      </c>
      <c r="Z1460">
        <v>0</v>
      </c>
      <c r="AA1460">
        <v>9</v>
      </c>
      <c r="AB1460">
        <v>3</v>
      </c>
      <c r="AC1460">
        <v>0</v>
      </c>
      <c r="AD1460">
        <v>10</v>
      </c>
      <c r="AE1460">
        <v>0</v>
      </c>
      <c r="AF1460">
        <v>3</v>
      </c>
      <c r="AG1460">
        <v>2</v>
      </c>
      <c r="AH1460">
        <v>0</v>
      </c>
      <c r="AI1460" t="s">
        <v>986</v>
      </c>
      <c r="AJ1460">
        <v>39.817006999999997</v>
      </c>
      <c r="AK1460" t="s">
        <v>765</v>
      </c>
      <c r="AL1460">
        <v>-92.524409000000006</v>
      </c>
      <c r="AM1460">
        <v>100</v>
      </c>
      <c r="AN1460">
        <v>1700</v>
      </c>
      <c r="AO1460" t="s">
        <v>118</v>
      </c>
      <c r="AP1460">
        <v>-29</v>
      </c>
      <c r="AQ1460">
        <v>119</v>
      </c>
      <c r="AR1460">
        <v>-64</v>
      </c>
      <c r="AZ1460">
        <v>1200</v>
      </c>
      <c r="BA1460">
        <v>1</v>
      </c>
      <c r="BB1460" t="str">
        <f t="shared" si="69"/>
        <v xml:space="preserve">N8080G  </v>
      </c>
      <c r="BC1460">
        <v>1</v>
      </c>
      <c r="BE1460">
        <v>0</v>
      </c>
      <c r="BF1460">
        <v>0</v>
      </c>
      <c r="BG1460">
        <v>0</v>
      </c>
      <c r="BH1460">
        <v>1675</v>
      </c>
      <c r="BI1460">
        <v>1</v>
      </c>
      <c r="BJ1460">
        <v>1</v>
      </c>
      <c r="BK1460">
        <v>1</v>
      </c>
      <c r="BL1460">
        <v>0</v>
      </c>
      <c r="BO1460">
        <v>0</v>
      </c>
      <c r="BP1460">
        <v>0</v>
      </c>
      <c r="BW1460" t="str">
        <f>"20:20:51.832"</f>
        <v>20:20:51.832</v>
      </c>
      <c r="BZ1460">
        <v>0</v>
      </c>
      <c r="CA1460">
        <v>2016</v>
      </c>
      <c r="CB1460">
        <v>224</v>
      </c>
      <c r="CD1460">
        <v>1</v>
      </c>
      <c r="CE1460">
        <v>0</v>
      </c>
      <c r="CF1460">
        <v>0</v>
      </c>
      <c r="CG1460">
        <v>1</v>
      </c>
      <c r="CH1460">
        <v>0</v>
      </c>
      <c r="CI1460">
        <v>0</v>
      </c>
      <c r="CJ1460">
        <v>0</v>
      </c>
      <c r="CK1460">
        <v>2</v>
      </c>
      <c r="CL1460">
        <v>0</v>
      </c>
      <c r="CM1460">
        <v>2</v>
      </c>
      <c r="CN1460">
        <v>0</v>
      </c>
      <c r="CO1460">
        <v>7</v>
      </c>
      <c r="CP1460" t="s">
        <v>119</v>
      </c>
      <c r="CQ1460">
        <v>180</v>
      </c>
      <c r="CR1460">
        <v>1</v>
      </c>
      <c r="CW1460">
        <v>10772435</v>
      </c>
      <c r="CY1460">
        <v>1</v>
      </c>
      <c r="CZ1460">
        <v>0</v>
      </c>
      <c r="DA1460">
        <v>1</v>
      </c>
      <c r="DB1460">
        <v>0</v>
      </c>
      <c r="DC1460">
        <v>0</v>
      </c>
      <c r="DD1460">
        <v>0</v>
      </c>
      <c r="DE1460">
        <v>0</v>
      </c>
      <c r="DF1460">
        <v>0</v>
      </c>
      <c r="DG1460">
        <v>0</v>
      </c>
      <c r="DH1460">
        <v>0</v>
      </c>
      <c r="DI1460">
        <v>0</v>
      </c>
    </row>
    <row r="1461" spans="1:113" x14ac:dyDescent="0.3">
      <c r="A1461" t="str">
        <f>"02/08/2021 20:20:49.520"</f>
        <v>02/08/2021 20:20:49.520</v>
      </c>
      <c r="C1461" t="str">
        <f t="shared" si="68"/>
        <v>FFDFD7C0</v>
      </c>
      <c r="D1461" t="s">
        <v>113</v>
      </c>
      <c r="E1461">
        <v>6</v>
      </c>
      <c r="H1461">
        <v>165</v>
      </c>
      <c r="I1461" t="s">
        <v>114</v>
      </c>
      <c r="J1461" t="s">
        <v>115</v>
      </c>
      <c r="K1461">
        <v>0</v>
      </c>
      <c r="L1461">
        <v>3</v>
      </c>
      <c r="M1461">
        <v>0</v>
      </c>
      <c r="N1461">
        <v>2</v>
      </c>
      <c r="O1461">
        <v>1</v>
      </c>
      <c r="P1461">
        <v>0</v>
      </c>
      <c r="Q1461">
        <v>0</v>
      </c>
      <c r="S1461" t="str">
        <f>"20:20:51.828"</f>
        <v>20:20:51.828</v>
      </c>
      <c r="T1461" t="str">
        <f>"20:20:51.328"</f>
        <v>20:20:51.328</v>
      </c>
      <c r="U1461" t="str">
        <f t="shared" si="67"/>
        <v>AB01F4</v>
      </c>
      <c r="V1461">
        <v>0</v>
      </c>
      <c r="W1461">
        <v>0</v>
      </c>
      <c r="X1461">
        <v>2</v>
      </c>
      <c r="Z1461">
        <v>0</v>
      </c>
      <c r="AA1461">
        <v>9</v>
      </c>
      <c r="AB1461">
        <v>3</v>
      </c>
      <c r="AC1461">
        <v>0</v>
      </c>
      <c r="AD1461">
        <v>10</v>
      </c>
      <c r="AE1461">
        <v>0</v>
      </c>
      <c r="AF1461">
        <v>3</v>
      </c>
      <c r="AG1461">
        <v>2</v>
      </c>
      <c r="AH1461">
        <v>0</v>
      </c>
      <c r="AI1461" t="s">
        <v>986</v>
      </c>
      <c r="AJ1461">
        <v>39.817006999999997</v>
      </c>
      <c r="AK1461" t="s">
        <v>765</v>
      </c>
      <c r="AL1461">
        <v>-92.524409000000006</v>
      </c>
      <c r="AM1461">
        <v>100</v>
      </c>
      <c r="AN1461">
        <v>1700</v>
      </c>
      <c r="AO1461" t="s">
        <v>118</v>
      </c>
      <c r="AP1461">
        <v>-29</v>
      </c>
      <c r="AQ1461">
        <v>119</v>
      </c>
      <c r="AR1461">
        <v>-64</v>
      </c>
      <c r="AZ1461">
        <v>1200</v>
      </c>
      <c r="BA1461">
        <v>1</v>
      </c>
      <c r="BB1461" t="str">
        <f t="shared" si="69"/>
        <v xml:space="preserve">N8080G  </v>
      </c>
      <c r="BC1461">
        <v>1</v>
      </c>
      <c r="BE1461">
        <v>0</v>
      </c>
      <c r="BF1461">
        <v>0</v>
      </c>
      <c r="BG1461">
        <v>0</v>
      </c>
      <c r="BH1461">
        <v>1675</v>
      </c>
      <c r="BI1461">
        <v>1</v>
      </c>
      <c r="BJ1461">
        <v>1</v>
      </c>
      <c r="BK1461">
        <v>1</v>
      </c>
      <c r="BL1461">
        <v>0</v>
      </c>
      <c r="BO1461">
        <v>0</v>
      </c>
      <c r="BP1461">
        <v>0</v>
      </c>
      <c r="BW1461" t="str">
        <f>"20:20:51.832"</f>
        <v>20:20:51.832</v>
      </c>
      <c r="BZ1461">
        <v>0</v>
      </c>
      <c r="CA1461">
        <v>2016</v>
      </c>
      <c r="CB1461">
        <v>224</v>
      </c>
      <c r="CD1461">
        <v>1</v>
      </c>
      <c r="CE1461">
        <v>0</v>
      </c>
      <c r="CF1461">
        <v>0</v>
      </c>
      <c r="CG1461">
        <v>1</v>
      </c>
      <c r="CH1461">
        <v>0</v>
      </c>
      <c r="CI1461">
        <v>0</v>
      </c>
      <c r="CJ1461">
        <v>0</v>
      </c>
      <c r="CK1461">
        <v>2</v>
      </c>
      <c r="CL1461">
        <v>0</v>
      </c>
      <c r="CM1461">
        <v>2</v>
      </c>
      <c r="CN1461">
        <v>0</v>
      </c>
      <c r="CO1461">
        <v>7</v>
      </c>
      <c r="CP1461" t="s">
        <v>119</v>
      </c>
      <c r="CQ1461">
        <v>180</v>
      </c>
      <c r="CR1461">
        <v>1</v>
      </c>
      <c r="CW1461">
        <v>10772435</v>
      </c>
      <c r="CY1461">
        <v>1</v>
      </c>
      <c r="CZ1461">
        <v>0</v>
      </c>
      <c r="DA1461">
        <v>1</v>
      </c>
      <c r="DB1461">
        <v>0</v>
      </c>
      <c r="DC1461">
        <v>0</v>
      </c>
      <c r="DD1461">
        <v>0</v>
      </c>
      <c r="DE1461">
        <v>0</v>
      </c>
      <c r="DF1461">
        <v>0</v>
      </c>
      <c r="DG1461">
        <v>0</v>
      </c>
      <c r="DH1461">
        <v>0</v>
      </c>
      <c r="DI1461">
        <v>0</v>
      </c>
    </row>
    <row r="1462" spans="1:113" x14ac:dyDescent="0.3">
      <c r="A1462" t="str">
        <f>"02/08/2021 20:20:49.520"</f>
        <v>02/08/2021 20:20:49.520</v>
      </c>
      <c r="C1462" t="str">
        <f t="shared" si="68"/>
        <v>FFDFD7C0</v>
      </c>
      <c r="D1462" t="s">
        <v>124</v>
      </c>
      <c r="E1462">
        <v>13</v>
      </c>
      <c r="F1462">
        <v>1013</v>
      </c>
      <c r="G1462" t="s">
        <v>114</v>
      </c>
      <c r="J1462" t="s">
        <v>125</v>
      </c>
      <c r="K1462">
        <v>0</v>
      </c>
      <c r="L1462">
        <v>3</v>
      </c>
      <c r="M1462">
        <v>0</v>
      </c>
      <c r="N1462">
        <v>2</v>
      </c>
      <c r="O1462">
        <v>1</v>
      </c>
      <c r="P1462">
        <v>0</v>
      </c>
      <c r="Q1462">
        <v>0</v>
      </c>
      <c r="S1462" t="str">
        <f>"20:20:51.828"</f>
        <v>20:20:51.828</v>
      </c>
      <c r="T1462" t="str">
        <f>"20:20:51.328"</f>
        <v>20:20:51.328</v>
      </c>
      <c r="U1462" t="str">
        <f t="shared" si="67"/>
        <v>AB01F4</v>
      </c>
      <c r="V1462">
        <v>0</v>
      </c>
      <c r="W1462">
        <v>0</v>
      </c>
      <c r="X1462">
        <v>2</v>
      </c>
      <c r="Z1462">
        <v>0</v>
      </c>
      <c r="AA1462">
        <v>9</v>
      </c>
      <c r="AB1462">
        <v>3</v>
      </c>
      <c r="AC1462">
        <v>0</v>
      </c>
      <c r="AD1462">
        <v>10</v>
      </c>
      <c r="AE1462">
        <v>0</v>
      </c>
      <c r="AF1462">
        <v>3</v>
      </c>
      <c r="AG1462">
        <v>2</v>
      </c>
      <c r="AH1462">
        <v>0</v>
      </c>
      <c r="AI1462" t="s">
        <v>986</v>
      </c>
      <c r="AJ1462">
        <v>39.817006999999997</v>
      </c>
      <c r="AK1462" t="s">
        <v>765</v>
      </c>
      <c r="AL1462">
        <v>-92.524409000000006</v>
      </c>
      <c r="AM1462">
        <v>100</v>
      </c>
      <c r="AN1462">
        <v>1700</v>
      </c>
      <c r="AO1462" t="s">
        <v>118</v>
      </c>
      <c r="AP1462">
        <v>-29</v>
      </c>
      <c r="AQ1462">
        <v>119</v>
      </c>
      <c r="AR1462">
        <v>-64</v>
      </c>
      <c r="AZ1462">
        <v>1200</v>
      </c>
      <c r="BA1462">
        <v>1</v>
      </c>
      <c r="BB1462" t="str">
        <f t="shared" si="69"/>
        <v xml:space="preserve">N8080G  </v>
      </c>
      <c r="BC1462">
        <v>1</v>
      </c>
      <c r="BE1462">
        <v>0</v>
      </c>
      <c r="BF1462">
        <v>0</v>
      </c>
      <c r="BG1462">
        <v>0</v>
      </c>
      <c r="BH1462">
        <v>1675</v>
      </c>
      <c r="BI1462">
        <v>1</v>
      </c>
      <c r="BJ1462">
        <v>1</v>
      </c>
      <c r="BK1462">
        <v>1</v>
      </c>
      <c r="BL1462">
        <v>0</v>
      </c>
      <c r="BO1462">
        <v>0</v>
      </c>
      <c r="BP1462">
        <v>0</v>
      </c>
      <c r="BW1462" t="str">
        <f>"20:20:51.832"</f>
        <v>20:20:51.832</v>
      </c>
      <c r="BZ1462">
        <v>0</v>
      </c>
      <c r="CA1462">
        <v>2016</v>
      </c>
      <c r="CB1462">
        <v>224</v>
      </c>
      <c r="CD1462">
        <v>1</v>
      </c>
      <c r="CE1462">
        <v>0</v>
      </c>
      <c r="CF1462">
        <v>0</v>
      </c>
      <c r="CG1462">
        <v>1</v>
      </c>
      <c r="CH1462">
        <v>0</v>
      </c>
      <c r="CI1462">
        <v>0</v>
      </c>
      <c r="CJ1462">
        <v>0</v>
      </c>
      <c r="CK1462">
        <v>2</v>
      </c>
      <c r="CL1462">
        <v>0</v>
      </c>
      <c r="CM1462">
        <v>2</v>
      </c>
      <c r="CN1462">
        <v>0</v>
      </c>
      <c r="CO1462">
        <v>7</v>
      </c>
      <c r="CP1462" t="s">
        <v>119</v>
      </c>
      <c r="CQ1462">
        <v>180</v>
      </c>
      <c r="CR1462">
        <v>1</v>
      </c>
      <c r="CW1462">
        <v>10772435</v>
      </c>
      <c r="CY1462">
        <v>1</v>
      </c>
      <c r="CZ1462">
        <v>0</v>
      </c>
      <c r="DA1462">
        <v>1</v>
      </c>
      <c r="DB1462">
        <v>0</v>
      </c>
      <c r="DC1462">
        <v>0</v>
      </c>
      <c r="DD1462">
        <v>0</v>
      </c>
      <c r="DE1462">
        <v>0</v>
      </c>
      <c r="DF1462">
        <v>0</v>
      </c>
      <c r="DG1462">
        <v>0</v>
      </c>
      <c r="DH1462">
        <v>0</v>
      </c>
      <c r="DI1462">
        <v>0</v>
      </c>
    </row>
    <row r="1463" spans="1:113" x14ac:dyDescent="0.3">
      <c r="A1463" t="str">
        <f>"02/08/2021 20:20:52.420"</f>
        <v>02/08/2021 20:20:52.420</v>
      </c>
      <c r="C1463" t="str">
        <f t="shared" si="68"/>
        <v>FFDFD7C0</v>
      </c>
      <c r="D1463" t="s">
        <v>113</v>
      </c>
      <c r="E1463">
        <v>6</v>
      </c>
      <c r="H1463">
        <v>165</v>
      </c>
      <c r="I1463" t="s">
        <v>114</v>
      </c>
      <c r="J1463" t="s">
        <v>115</v>
      </c>
      <c r="K1463">
        <v>0</v>
      </c>
      <c r="L1463">
        <v>3</v>
      </c>
      <c r="M1463">
        <v>0</v>
      </c>
      <c r="N1463">
        <v>2</v>
      </c>
      <c r="O1463">
        <v>1</v>
      </c>
      <c r="P1463">
        <v>0</v>
      </c>
      <c r="Q1463">
        <v>0</v>
      </c>
      <c r="S1463" t="str">
        <f>"20:20:54.719"</f>
        <v>20:20:54.719</v>
      </c>
      <c r="T1463" t="str">
        <f>"20:20:54.219"</f>
        <v>20:20:54.219</v>
      </c>
      <c r="U1463" t="str">
        <f t="shared" si="67"/>
        <v>AB01F4</v>
      </c>
      <c r="V1463">
        <v>0</v>
      </c>
      <c r="W1463">
        <v>0</v>
      </c>
      <c r="X1463">
        <v>2</v>
      </c>
      <c r="Z1463">
        <v>0</v>
      </c>
      <c r="AA1463">
        <v>9</v>
      </c>
      <c r="AB1463">
        <v>3</v>
      </c>
      <c r="AC1463">
        <v>0</v>
      </c>
      <c r="AD1463">
        <v>10</v>
      </c>
      <c r="AE1463">
        <v>0</v>
      </c>
      <c r="AF1463">
        <v>3</v>
      </c>
      <c r="AG1463">
        <v>2</v>
      </c>
      <c r="AH1463">
        <v>0</v>
      </c>
      <c r="AI1463" t="s">
        <v>987</v>
      </c>
      <c r="AJ1463">
        <v>39.818615999999999</v>
      </c>
      <c r="AK1463" t="s">
        <v>988</v>
      </c>
      <c r="AL1463">
        <v>-92.524946</v>
      </c>
      <c r="AM1463">
        <v>100</v>
      </c>
      <c r="AN1463">
        <v>1700</v>
      </c>
      <c r="AO1463" t="s">
        <v>118</v>
      </c>
      <c r="AP1463">
        <v>-29</v>
      </c>
      <c r="AQ1463">
        <v>119</v>
      </c>
      <c r="AR1463">
        <v>0</v>
      </c>
      <c r="AZ1463">
        <v>1200</v>
      </c>
      <c r="BA1463">
        <v>1</v>
      </c>
      <c r="BB1463" t="str">
        <f t="shared" si="69"/>
        <v xml:space="preserve">N8080G  </v>
      </c>
      <c r="BC1463">
        <v>1</v>
      </c>
      <c r="BE1463">
        <v>0</v>
      </c>
      <c r="BF1463">
        <v>0</v>
      </c>
      <c r="BG1463">
        <v>0</v>
      </c>
      <c r="BH1463">
        <v>1675</v>
      </c>
      <c r="BI1463">
        <v>1</v>
      </c>
      <c r="BJ1463">
        <v>1</v>
      </c>
      <c r="BK1463">
        <v>1</v>
      </c>
      <c r="BL1463">
        <v>0</v>
      </c>
      <c r="BO1463">
        <v>0</v>
      </c>
      <c r="BP1463">
        <v>0</v>
      </c>
      <c r="BW1463" t="str">
        <f>"20:20:54.726"</f>
        <v>20:20:54.726</v>
      </c>
      <c r="BZ1463">
        <v>0</v>
      </c>
      <c r="CA1463">
        <v>2016</v>
      </c>
      <c r="CB1463">
        <v>224</v>
      </c>
      <c r="CD1463">
        <v>1</v>
      </c>
      <c r="CE1463">
        <v>0</v>
      </c>
      <c r="CF1463">
        <v>0</v>
      </c>
      <c r="CG1463">
        <v>1</v>
      </c>
      <c r="CH1463">
        <v>0</v>
      </c>
      <c r="CI1463">
        <v>0</v>
      </c>
      <c r="CJ1463">
        <v>0</v>
      </c>
      <c r="CK1463">
        <v>2</v>
      </c>
      <c r="CL1463">
        <v>0</v>
      </c>
      <c r="CM1463">
        <v>2</v>
      </c>
      <c r="CN1463">
        <v>0</v>
      </c>
      <c r="CO1463">
        <v>7</v>
      </c>
      <c r="CP1463" t="s">
        <v>119</v>
      </c>
      <c r="CQ1463">
        <v>180</v>
      </c>
      <c r="CR1463">
        <v>1</v>
      </c>
      <c r="CW1463">
        <v>10774687</v>
      </c>
      <c r="CY1463">
        <v>1</v>
      </c>
      <c r="CZ1463">
        <v>0</v>
      </c>
      <c r="DA1463">
        <v>0</v>
      </c>
      <c r="DB1463">
        <v>0</v>
      </c>
      <c r="DC1463">
        <v>0</v>
      </c>
      <c r="DD1463">
        <v>0</v>
      </c>
      <c r="DE1463">
        <v>0</v>
      </c>
      <c r="DF1463">
        <v>0</v>
      </c>
      <c r="DG1463">
        <v>0</v>
      </c>
      <c r="DH1463">
        <v>0</v>
      </c>
      <c r="DI1463">
        <v>0</v>
      </c>
    </row>
    <row r="1464" spans="1:113" x14ac:dyDescent="0.3">
      <c r="A1464" t="str">
        <f>"02/08/2021 20:20:52.420"</f>
        <v>02/08/2021 20:20:52.420</v>
      </c>
      <c r="C1464" t="str">
        <f t="shared" si="68"/>
        <v>FFDFD7C0</v>
      </c>
      <c r="D1464" t="s">
        <v>124</v>
      </c>
      <c r="E1464">
        <v>13</v>
      </c>
      <c r="F1464">
        <v>1013</v>
      </c>
      <c r="G1464" t="s">
        <v>114</v>
      </c>
      <c r="J1464" t="s">
        <v>125</v>
      </c>
      <c r="K1464">
        <v>0</v>
      </c>
      <c r="L1464">
        <v>3</v>
      </c>
      <c r="M1464">
        <v>0</v>
      </c>
      <c r="N1464">
        <v>2</v>
      </c>
      <c r="O1464">
        <v>1</v>
      </c>
      <c r="P1464">
        <v>0</v>
      </c>
      <c r="Q1464">
        <v>0</v>
      </c>
      <c r="S1464" t="str">
        <f>"20:20:54.719"</f>
        <v>20:20:54.719</v>
      </c>
      <c r="T1464" t="str">
        <f>"20:20:54.219"</f>
        <v>20:20:54.219</v>
      </c>
      <c r="U1464" t="str">
        <f t="shared" si="67"/>
        <v>AB01F4</v>
      </c>
      <c r="V1464">
        <v>0</v>
      </c>
      <c r="W1464">
        <v>0</v>
      </c>
      <c r="X1464">
        <v>2</v>
      </c>
      <c r="Z1464">
        <v>0</v>
      </c>
      <c r="AA1464">
        <v>9</v>
      </c>
      <c r="AB1464">
        <v>3</v>
      </c>
      <c r="AC1464">
        <v>0</v>
      </c>
      <c r="AD1464">
        <v>10</v>
      </c>
      <c r="AE1464">
        <v>0</v>
      </c>
      <c r="AF1464">
        <v>3</v>
      </c>
      <c r="AG1464">
        <v>2</v>
      </c>
      <c r="AH1464">
        <v>0</v>
      </c>
      <c r="AI1464" t="s">
        <v>987</v>
      </c>
      <c r="AJ1464">
        <v>39.818615999999999</v>
      </c>
      <c r="AK1464" t="s">
        <v>988</v>
      </c>
      <c r="AL1464">
        <v>-92.524946</v>
      </c>
      <c r="AM1464">
        <v>100</v>
      </c>
      <c r="AN1464">
        <v>1700</v>
      </c>
      <c r="AO1464" t="s">
        <v>118</v>
      </c>
      <c r="AP1464">
        <v>-29</v>
      </c>
      <c r="AQ1464">
        <v>119</v>
      </c>
      <c r="AR1464">
        <v>0</v>
      </c>
      <c r="AZ1464">
        <v>1200</v>
      </c>
      <c r="BA1464">
        <v>1</v>
      </c>
      <c r="BB1464" t="str">
        <f t="shared" si="69"/>
        <v xml:space="preserve">N8080G  </v>
      </c>
      <c r="BC1464">
        <v>1</v>
      </c>
      <c r="BE1464">
        <v>0</v>
      </c>
      <c r="BF1464">
        <v>0</v>
      </c>
      <c r="BG1464">
        <v>0</v>
      </c>
      <c r="BH1464">
        <v>1675</v>
      </c>
      <c r="BI1464">
        <v>1</v>
      </c>
      <c r="BJ1464">
        <v>1</v>
      </c>
      <c r="BK1464">
        <v>1</v>
      </c>
      <c r="BL1464">
        <v>0</v>
      </c>
      <c r="BO1464">
        <v>0</v>
      </c>
      <c r="BP1464">
        <v>0</v>
      </c>
      <c r="BW1464" t="str">
        <f>"20:20:54.726"</f>
        <v>20:20:54.726</v>
      </c>
      <c r="BZ1464">
        <v>0</v>
      </c>
      <c r="CA1464">
        <v>2016</v>
      </c>
      <c r="CB1464">
        <v>224</v>
      </c>
      <c r="CD1464">
        <v>1</v>
      </c>
      <c r="CE1464">
        <v>0</v>
      </c>
      <c r="CF1464">
        <v>0</v>
      </c>
      <c r="CG1464">
        <v>1</v>
      </c>
      <c r="CH1464">
        <v>0</v>
      </c>
      <c r="CI1464">
        <v>0</v>
      </c>
      <c r="CJ1464">
        <v>0</v>
      </c>
      <c r="CK1464">
        <v>2</v>
      </c>
      <c r="CL1464">
        <v>0</v>
      </c>
      <c r="CM1464">
        <v>2</v>
      </c>
      <c r="CN1464">
        <v>0</v>
      </c>
      <c r="CO1464">
        <v>7</v>
      </c>
      <c r="CP1464" t="s">
        <v>119</v>
      </c>
      <c r="CQ1464">
        <v>180</v>
      </c>
      <c r="CR1464">
        <v>1</v>
      </c>
      <c r="CW1464">
        <v>10774687</v>
      </c>
      <c r="CY1464">
        <v>1</v>
      </c>
      <c r="CZ1464">
        <v>0</v>
      </c>
      <c r="DA1464">
        <v>1</v>
      </c>
      <c r="DB1464">
        <v>0</v>
      </c>
      <c r="DC1464">
        <v>0</v>
      </c>
      <c r="DD1464">
        <v>0</v>
      </c>
      <c r="DE1464">
        <v>0</v>
      </c>
      <c r="DF1464">
        <v>0</v>
      </c>
      <c r="DG1464">
        <v>0</v>
      </c>
      <c r="DH1464">
        <v>0</v>
      </c>
      <c r="DI1464">
        <v>0</v>
      </c>
    </row>
    <row r="1465" spans="1:113" x14ac:dyDescent="0.3">
      <c r="A1465" t="str">
        <f>"02/08/2021 20:20:52.420"</f>
        <v>02/08/2021 20:20:52.420</v>
      </c>
      <c r="C1465" t="str">
        <f t="shared" si="68"/>
        <v>FFDFD7C0</v>
      </c>
      <c r="D1465" t="s">
        <v>124</v>
      </c>
      <c r="E1465">
        <v>11</v>
      </c>
      <c r="F1465">
        <v>1011</v>
      </c>
      <c r="G1465" t="s">
        <v>590</v>
      </c>
      <c r="J1465" t="s">
        <v>125</v>
      </c>
      <c r="K1465">
        <v>0</v>
      </c>
      <c r="L1465">
        <v>3</v>
      </c>
      <c r="M1465">
        <v>0</v>
      </c>
      <c r="N1465">
        <v>2</v>
      </c>
      <c r="O1465">
        <v>1</v>
      </c>
      <c r="P1465">
        <v>0</v>
      </c>
      <c r="Q1465">
        <v>0</v>
      </c>
      <c r="S1465" t="str">
        <f>"20:20:54.719"</f>
        <v>20:20:54.719</v>
      </c>
      <c r="T1465" t="str">
        <f>"20:20:54.219"</f>
        <v>20:20:54.219</v>
      </c>
      <c r="U1465" t="str">
        <f t="shared" si="67"/>
        <v>AB01F4</v>
      </c>
      <c r="V1465">
        <v>0</v>
      </c>
      <c r="W1465">
        <v>0</v>
      </c>
      <c r="X1465">
        <v>2</v>
      </c>
      <c r="Z1465">
        <v>0</v>
      </c>
      <c r="AA1465">
        <v>9</v>
      </c>
      <c r="AB1465">
        <v>3</v>
      </c>
      <c r="AC1465">
        <v>0</v>
      </c>
      <c r="AD1465">
        <v>10</v>
      </c>
      <c r="AE1465">
        <v>0</v>
      </c>
      <c r="AF1465">
        <v>3</v>
      </c>
      <c r="AG1465">
        <v>2</v>
      </c>
      <c r="AH1465">
        <v>0</v>
      </c>
      <c r="AI1465" t="s">
        <v>987</v>
      </c>
      <c r="AJ1465">
        <v>39.818615999999999</v>
      </c>
      <c r="AK1465" t="s">
        <v>988</v>
      </c>
      <c r="AL1465">
        <v>-92.524946</v>
      </c>
      <c r="AM1465">
        <v>100</v>
      </c>
      <c r="AN1465">
        <v>1700</v>
      </c>
      <c r="AO1465" t="s">
        <v>118</v>
      </c>
      <c r="AP1465">
        <v>-29</v>
      </c>
      <c r="AQ1465">
        <v>119</v>
      </c>
      <c r="AR1465">
        <v>0</v>
      </c>
      <c r="AZ1465">
        <v>1200</v>
      </c>
      <c r="BA1465">
        <v>1</v>
      </c>
      <c r="BB1465" t="str">
        <f t="shared" si="69"/>
        <v xml:space="preserve">N8080G  </v>
      </c>
      <c r="BC1465">
        <v>1</v>
      </c>
      <c r="BE1465">
        <v>0</v>
      </c>
      <c r="BF1465">
        <v>0</v>
      </c>
      <c r="BG1465">
        <v>0</v>
      </c>
      <c r="BH1465">
        <v>1675</v>
      </c>
      <c r="BI1465">
        <v>1</v>
      </c>
      <c r="BJ1465">
        <v>1</v>
      </c>
      <c r="BK1465">
        <v>1</v>
      </c>
      <c r="BL1465">
        <v>0</v>
      </c>
      <c r="BO1465">
        <v>0</v>
      </c>
      <c r="BP1465">
        <v>0</v>
      </c>
      <c r="BW1465" t="str">
        <f>"20:20:54.726"</f>
        <v>20:20:54.726</v>
      </c>
      <c r="BZ1465">
        <v>0</v>
      </c>
      <c r="CA1465">
        <v>2016</v>
      </c>
      <c r="CB1465">
        <v>224</v>
      </c>
      <c r="CD1465">
        <v>1</v>
      </c>
      <c r="CE1465">
        <v>0</v>
      </c>
      <c r="CF1465">
        <v>0</v>
      </c>
      <c r="CG1465">
        <v>1</v>
      </c>
      <c r="CH1465">
        <v>0</v>
      </c>
      <c r="CI1465">
        <v>0</v>
      </c>
      <c r="CJ1465">
        <v>0</v>
      </c>
      <c r="CK1465">
        <v>2</v>
      </c>
      <c r="CL1465">
        <v>0</v>
      </c>
      <c r="CM1465">
        <v>2</v>
      </c>
      <c r="CN1465">
        <v>0</v>
      </c>
      <c r="CO1465">
        <v>7</v>
      </c>
      <c r="CP1465" t="s">
        <v>119</v>
      </c>
      <c r="CQ1465">
        <v>180</v>
      </c>
      <c r="CR1465">
        <v>1</v>
      </c>
      <c r="CW1465">
        <v>10774687</v>
      </c>
      <c r="CY1465">
        <v>1</v>
      </c>
      <c r="CZ1465">
        <v>0</v>
      </c>
      <c r="DA1465">
        <v>1</v>
      </c>
      <c r="DB1465">
        <v>0</v>
      </c>
      <c r="DC1465">
        <v>0</v>
      </c>
      <c r="DD1465">
        <v>0</v>
      </c>
      <c r="DE1465">
        <v>0</v>
      </c>
      <c r="DF1465">
        <v>0</v>
      </c>
      <c r="DG1465">
        <v>0</v>
      </c>
      <c r="DH1465">
        <v>0</v>
      </c>
      <c r="DI1465">
        <v>0</v>
      </c>
    </row>
    <row r="1466" spans="1:113" x14ac:dyDescent="0.3">
      <c r="A1466" t="str">
        <f>"02/08/2021 20:20:52.420"</f>
        <v>02/08/2021 20:20:52.420</v>
      </c>
      <c r="C1466" t="str">
        <f t="shared" si="68"/>
        <v>FFDFD7C0</v>
      </c>
      <c r="D1466" t="s">
        <v>124</v>
      </c>
      <c r="E1466">
        <v>12</v>
      </c>
      <c r="F1466">
        <v>1012</v>
      </c>
      <c r="G1466" t="s">
        <v>675</v>
      </c>
      <c r="J1466" t="s">
        <v>125</v>
      </c>
      <c r="K1466">
        <v>0</v>
      </c>
      <c r="L1466">
        <v>3</v>
      </c>
      <c r="M1466">
        <v>0</v>
      </c>
      <c r="N1466">
        <v>2</v>
      </c>
      <c r="O1466">
        <v>1</v>
      </c>
      <c r="P1466">
        <v>0</v>
      </c>
      <c r="Q1466">
        <v>0</v>
      </c>
      <c r="S1466" t="str">
        <f>"20:20:54.719"</f>
        <v>20:20:54.719</v>
      </c>
      <c r="T1466" t="str">
        <f>"20:20:54.219"</f>
        <v>20:20:54.219</v>
      </c>
      <c r="U1466" t="str">
        <f t="shared" si="67"/>
        <v>AB01F4</v>
      </c>
      <c r="V1466">
        <v>0</v>
      </c>
      <c r="W1466">
        <v>0</v>
      </c>
      <c r="X1466">
        <v>2</v>
      </c>
      <c r="Z1466">
        <v>0</v>
      </c>
      <c r="AA1466">
        <v>9</v>
      </c>
      <c r="AB1466">
        <v>3</v>
      </c>
      <c r="AC1466">
        <v>0</v>
      </c>
      <c r="AD1466">
        <v>10</v>
      </c>
      <c r="AE1466">
        <v>0</v>
      </c>
      <c r="AF1466">
        <v>3</v>
      </c>
      <c r="AG1466">
        <v>2</v>
      </c>
      <c r="AH1466">
        <v>0</v>
      </c>
      <c r="AI1466" t="s">
        <v>987</v>
      </c>
      <c r="AJ1466">
        <v>39.818615999999999</v>
      </c>
      <c r="AK1466" t="s">
        <v>988</v>
      </c>
      <c r="AL1466">
        <v>-92.524946</v>
      </c>
      <c r="AM1466">
        <v>100</v>
      </c>
      <c r="AN1466">
        <v>1700</v>
      </c>
      <c r="AO1466" t="s">
        <v>118</v>
      </c>
      <c r="AP1466">
        <v>-29</v>
      </c>
      <c r="AQ1466">
        <v>119</v>
      </c>
      <c r="AR1466">
        <v>0</v>
      </c>
      <c r="AZ1466">
        <v>1200</v>
      </c>
      <c r="BA1466">
        <v>1</v>
      </c>
      <c r="BB1466" t="str">
        <f t="shared" si="69"/>
        <v xml:space="preserve">N8080G  </v>
      </c>
      <c r="BC1466">
        <v>1</v>
      </c>
      <c r="BE1466">
        <v>0</v>
      </c>
      <c r="BF1466">
        <v>0</v>
      </c>
      <c r="BG1466">
        <v>0</v>
      </c>
      <c r="BH1466">
        <v>1675</v>
      </c>
      <c r="BI1466">
        <v>1</v>
      </c>
      <c r="BJ1466">
        <v>1</v>
      </c>
      <c r="BK1466">
        <v>1</v>
      </c>
      <c r="BL1466">
        <v>0</v>
      </c>
      <c r="BO1466">
        <v>0</v>
      </c>
      <c r="BP1466">
        <v>0</v>
      </c>
      <c r="BW1466" t="str">
        <f>"20:20:54.726"</f>
        <v>20:20:54.726</v>
      </c>
      <c r="BZ1466">
        <v>0</v>
      </c>
      <c r="CA1466">
        <v>2016</v>
      </c>
      <c r="CB1466">
        <v>224</v>
      </c>
      <c r="CD1466">
        <v>1</v>
      </c>
      <c r="CE1466">
        <v>0</v>
      </c>
      <c r="CF1466">
        <v>0</v>
      </c>
      <c r="CG1466">
        <v>1</v>
      </c>
      <c r="CH1466">
        <v>0</v>
      </c>
      <c r="CI1466">
        <v>0</v>
      </c>
      <c r="CJ1466">
        <v>0</v>
      </c>
      <c r="CK1466">
        <v>2</v>
      </c>
      <c r="CL1466">
        <v>0</v>
      </c>
      <c r="CM1466">
        <v>2</v>
      </c>
      <c r="CN1466">
        <v>0</v>
      </c>
      <c r="CO1466">
        <v>7</v>
      </c>
      <c r="CP1466" t="s">
        <v>119</v>
      </c>
      <c r="CQ1466">
        <v>180</v>
      </c>
      <c r="CR1466">
        <v>1</v>
      </c>
      <c r="CW1466">
        <v>10774687</v>
      </c>
      <c r="CY1466">
        <v>1</v>
      </c>
      <c r="CZ1466">
        <v>0</v>
      </c>
      <c r="DA1466">
        <v>1</v>
      </c>
      <c r="DB1466">
        <v>0</v>
      </c>
      <c r="DC1466">
        <v>0</v>
      </c>
      <c r="DD1466">
        <v>0</v>
      </c>
      <c r="DE1466">
        <v>0</v>
      </c>
      <c r="DF1466">
        <v>0</v>
      </c>
      <c r="DG1466">
        <v>0</v>
      </c>
      <c r="DH1466">
        <v>0</v>
      </c>
      <c r="DI1466">
        <v>0</v>
      </c>
    </row>
    <row r="1467" spans="1:113" x14ac:dyDescent="0.3">
      <c r="A1467" t="str">
        <f>"02/08/2021 20:20:54.106"</f>
        <v>02/08/2021 20:20:54.106</v>
      </c>
      <c r="C1467" t="str">
        <f t="shared" si="68"/>
        <v>FFDFD7C0</v>
      </c>
      <c r="D1467" t="s">
        <v>124</v>
      </c>
      <c r="E1467">
        <v>11</v>
      </c>
      <c r="F1467">
        <v>1011</v>
      </c>
      <c r="G1467" t="s">
        <v>590</v>
      </c>
      <c r="J1467" t="s">
        <v>125</v>
      </c>
      <c r="K1467">
        <v>0</v>
      </c>
      <c r="L1467">
        <v>3</v>
      </c>
      <c r="M1467">
        <v>0</v>
      </c>
      <c r="N1467">
        <v>2</v>
      </c>
      <c r="O1467">
        <v>1</v>
      </c>
      <c r="P1467">
        <v>0</v>
      </c>
      <c r="Q1467">
        <v>0</v>
      </c>
      <c r="S1467" t="str">
        <f>"20:20:56.414"</f>
        <v>20:20:56.414</v>
      </c>
      <c r="T1467" t="str">
        <f>"20:20:55.914"</f>
        <v>20:20:55.914</v>
      </c>
      <c r="U1467" t="str">
        <f t="shared" si="67"/>
        <v>AB01F4</v>
      </c>
      <c r="V1467">
        <v>0</v>
      </c>
      <c r="W1467">
        <v>0</v>
      </c>
      <c r="X1467">
        <v>2</v>
      </c>
      <c r="Z1467">
        <v>0</v>
      </c>
      <c r="AA1467">
        <v>9</v>
      </c>
      <c r="AB1467">
        <v>3</v>
      </c>
      <c r="AC1467">
        <v>0</v>
      </c>
      <c r="AD1467">
        <v>10</v>
      </c>
      <c r="AE1467">
        <v>0</v>
      </c>
      <c r="AF1467">
        <v>3</v>
      </c>
      <c r="AG1467">
        <v>2</v>
      </c>
      <c r="AH1467">
        <v>0</v>
      </c>
      <c r="AI1467" t="s">
        <v>989</v>
      </c>
      <c r="AJ1467">
        <v>39.819581999999997</v>
      </c>
      <c r="AK1467" t="s">
        <v>771</v>
      </c>
      <c r="AL1467">
        <v>-92.525203000000005</v>
      </c>
      <c r="AM1467">
        <v>100</v>
      </c>
      <c r="AN1467">
        <v>1700</v>
      </c>
      <c r="AO1467" t="s">
        <v>118</v>
      </c>
      <c r="AP1467">
        <v>-29</v>
      </c>
      <c r="AQ1467">
        <v>119</v>
      </c>
      <c r="AR1467">
        <v>0</v>
      </c>
      <c r="AZ1467">
        <v>1200</v>
      </c>
      <c r="BA1467">
        <v>1</v>
      </c>
      <c r="BB1467" t="str">
        <f t="shared" si="69"/>
        <v xml:space="preserve">N8080G  </v>
      </c>
      <c r="BC1467">
        <v>1</v>
      </c>
      <c r="BE1467">
        <v>0</v>
      </c>
      <c r="BF1467">
        <v>0</v>
      </c>
      <c r="BG1467">
        <v>0</v>
      </c>
      <c r="BH1467">
        <v>1675</v>
      </c>
      <c r="BI1467">
        <v>1</v>
      </c>
      <c r="BJ1467">
        <v>1</v>
      </c>
      <c r="BK1467">
        <v>1</v>
      </c>
      <c r="BL1467">
        <v>0</v>
      </c>
      <c r="BO1467">
        <v>0</v>
      </c>
      <c r="BP1467">
        <v>0</v>
      </c>
      <c r="BW1467" t="str">
        <f>"20:20:56.416"</f>
        <v>20:20:56.416</v>
      </c>
      <c r="BZ1467">
        <v>0</v>
      </c>
      <c r="CA1467">
        <v>2016</v>
      </c>
      <c r="CB1467">
        <v>224</v>
      </c>
      <c r="CD1467">
        <v>1</v>
      </c>
      <c r="CE1467">
        <v>0</v>
      </c>
      <c r="CF1467">
        <v>0</v>
      </c>
      <c r="CG1467">
        <v>1</v>
      </c>
      <c r="CH1467">
        <v>0</v>
      </c>
      <c r="CI1467">
        <v>0</v>
      </c>
      <c r="CJ1467">
        <v>0</v>
      </c>
      <c r="CK1467">
        <v>2</v>
      </c>
      <c r="CL1467">
        <v>0</v>
      </c>
      <c r="CM1467">
        <v>2</v>
      </c>
      <c r="CN1467">
        <v>0</v>
      </c>
      <c r="CO1467">
        <v>7</v>
      </c>
      <c r="CP1467" t="s">
        <v>119</v>
      </c>
      <c r="CQ1467">
        <v>180</v>
      </c>
      <c r="CR1467">
        <v>1</v>
      </c>
      <c r="CW1467">
        <v>10776312</v>
      </c>
      <c r="CY1467">
        <v>1</v>
      </c>
      <c r="CZ1467">
        <v>0</v>
      </c>
      <c r="DA1467">
        <v>0</v>
      </c>
      <c r="DB1467">
        <v>0</v>
      </c>
      <c r="DC1467">
        <v>0</v>
      </c>
      <c r="DD1467">
        <v>0</v>
      </c>
      <c r="DE1467">
        <v>0</v>
      </c>
      <c r="DF1467">
        <v>0</v>
      </c>
      <c r="DG1467">
        <v>0</v>
      </c>
      <c r="DH1467">
        <v>0</v>
      </c>
      <c r="DI1467">
        <v>0</v>
      </c>
    </row>
    <row r="1468" spans="1:113" x14ac:dyDescent="0.3">
      <c r="A1468" t="str">
        <f>"02/08/2021 20:20:54.106"</f>
        <v>02/08/2021 20:20:54.106</v>
      </c>
      <c r="C1468" t="str">
        <f t="shared" si="68"/>
        <v>FFDFD7C0</v>
      </c>
      <c r="D1468" t="s">
        <v>124</v>
      </c>
      <c r="E1468">
        <v>12</v>
      </c>
      <c r="F1468">
        <v>1012</v>
      </c>
      <c r="G1468" t="s">
        <v>675</v>
      </c>
      <c r="J1468" t="s">
        <v>125</v>
      </c>
      <c r="K1468">
        <v>0</v>
      </c>
      <c r="L1468">
        <v>3</v>
      </c>
      <c r="M1468">
        <v>0</v>
      </c>
      <c r="N1468">
        <v>2</v>
      </c>
      <c r="O1468">
        <v>1</v>
      </c>
      <c r="P1468">
        <v>0</v>
      </c>
      <c r="Q1468">
        <v>0</v>
      </c>
      <c r="S1468" t="str">
        <f>"20:20:56.414"</f>
        <v>20:20:56.414</v>
      </c>
      <c r="T1468" t="str">
        <f>"20:20:55.914"</f>
        <v>20:20:55.914</v>
      </c>
      <c r="U1468" t="str">
        <f t="shared" si="67"/>
        <v>AB01F4</v>
      </c>
      <c r="V1468">
        <v>0</v>
      </c>
      <c r="W1468">
        <v>0</v>
      </c>
      <c r="X1468">
        <v>2</v>
      </c>
      <c r="Z1468">
        <v>0</v>
      </c>
      <c r="AA1468">
        <v>9</v>
      </c>
      <c r="AB1468">
        <v>3</v>
      </c>
      <c r="AC1468">
        <v>0</v>
      </c>
      <c r="AD1468">
        <v>10</v>
      </c>
      <c r="AE1468">
        <v>0</v>
      </c>
      <c r="AF1468">
        <v>3</v>
      </c>
      <c r="AG1468">
        <v>2</v>
      </c>
      <c r="AH1468">
        <v>0</v>
      </c>
      <c r="AI1468" t="s">
        <v>989</v>
      </c>
      <c r="AJ1468">
        <v>39.819581999999997</v>
      </c>
      <c r="AK1468" t="s">
        <v>771</v>
      </c>
      <c r="AL1468">
        <v>-92.525203000000005</v>
      </c>
      <c r="AM1468">
        <v>100</v>
      </c>
      <c r="AN1468">
        <v>1700</v>
      </c>
      <c r="AO1468" t="s">
        <v>118</v>
      </c>
      <c r="AP1468">
        <v>-29</v>
      </c>
      <c r="AQ1468">
        <v>119</v>
      </c>
      <c r="AR1468">
        <v>0</v>
      </c>
      <c r="AZ1468">
        <v>1200</v>
      </c>
      <c r="BA1468">
        <v>1</v>
      </c>
      <c r="BB1468" t="str">
        <f t="shared" si="69"/>
        <v xml:space="preserve">N8080G  </v>
      </c>
      <c r="BC1468">
        <v>1</v>
      </c>
      <c r="BE1468">
        <v>0</v>
      </c>
      <c r="BF1468">
        <v>0</v>
      </c>
      <c r="BG1468">
        <v>0</v>
      </c>
      <c r="BH1468">
        <v>1675</v>
      </c>
      <c r="BI1468">
        <v>1</v>
      </c>
      <c r="BJ1468">
        <v>1</v>
      </c>
      <c r="BK1468">
        <v>1</v>
      </c>
      <c r="BL1468">
        <v>0</v>
      </c>
      <c r="BO1468">
        <v>0</v>
      </c>
      <c r="BP1468">
        <v>0</v>
      </c>
      <c r="BW1468" t="str">
        <f>"20:20:56.416"</f>
        <v>20:20:56.416</v>
      </c>
      <c r="BZ1468">
        <v>0</v>
      </c>
      <c r="CA1468">
        <v>2016</v>
      </c>
      <c r="CB1468">
        <v>224</v>
      </c>
      <c r="CD1468">
        <v>1</v>
      </c>
      <c r="CE1468">
        <v>0</v>
      </c>
      <c r="CF1468">
        <v>0</v>
      </c>
      <c r="CG1468">
        <v>1</v>
      </c>
      <c r="CH1468">
        <v>0</v>
      </c>
      <c r="CI1468">
        <v>0</v>
      </c>
      <c r="CJ1468">
        <v>0</v>
      </c>
      <c r="CK1468">
        <v>2</v>
      </c>
      <c r="CL1468">
        <v>0</v>
      </c>
      <c r="CM1468">
        <v>2</v>
      </c>
      <c r="CN1468">
        <v>0</v>
      </c>
      <c r="CO1468">
        <v>7</v>
      </c>
      <c r="CP1468" t="s">
        <v>119</v>
      </c>
      <c r="CQ1468">
        <v>180</v>
      </c>
      <c r="CR1468">
        <v>1</v>
      </c>
      <c r="CW1468">
        <v>10776312</v>
      </c>
      <c r="CY1468">
        <v>1</v>
      </c>
      <c r="CZ1468">
        <v>0</v>
      </c>
      <c r="DA1468">
        <v>1</v>
      </c>
      <c r="DB1468">
        <v>0</v>
      </c>
      <c r="DC1468">
        <v>0</v>
      </c>
      <c r="DD1468">
        <v>0</v>
      </c>
      <c r="DE1468">
        <v>0</v>
      </c>
      <c r="DF1468">
        <v>0</v>
      </c>
      <c r="DG1468">
        <v>0</v>
      </c>
      <c r="DH1468">
        <v>0</v>
      </c>
      <c r="DI1468">
        <v>0</v>
      </c>
    </row>
    <row r="1469" spans="1:113" x14ac:dyDescent="0.3">
      <c r="A1469" t="str">
        <f>"02/08/2021 20:20:54.106"</f>
        <v>02/08/2021 20:20:54.106</v>
      </c>
      <c r="C1469" t="str">
        <f t="shared" si="68"/>
        <v>FFDFD7C0</v>
      </c>
      <c r="D1469" t="s">
        <v>124</v>
      </c>
      <c r="E1469">
        <v>13</v>
      </c>
      <c r="F1469">
        <v>1013</v>
      </c>
      <c r="G1469" t="s">
        <v>114</v>
      </c>
      <c r="J1469" t="s">
        <v>125</v>
      </c>
      <c r="K1469">
        <v>0</v>
      </c>
      <c r="L1469">
        <v>3</v>
      </c>
      <c r="M1469">
        <v>0</v>
      </c>
      <c r="N1469">
        <v>2</v>
      </c>
      <c r="O1469">
        <v>1</v>
      </c>
      <c r="P1469">
        <v>0</v>
      </c>
      <c r="Q1469">
        <v>0</v>
      </c>
      <c r="S1469" t="str">
        <f>"20:20:56.414"</f>
        <v>20:20:56.414</v>
      </c>
      <c r="T1469" t="str">
        <f>"20:20:55.914"</f>
        <v>20:20:55.914</v>
      </c>
      <c r="U1469" t="str">
        <f t="shared" si="67"/>
        <v>AB01F4</v>
      </c>
      <c r="V1469">
        <v>0</v>
      </c>
      <c r="W1469">
        <v>0</v>
      </c>
      <c r="X1469">
        <v>2</v>
      </c>
      <c r="Z1469">
        <v>0</v>
      </c>
      <c r="AA1469">
        <v>9</v>
      </c>
      <c r="AB1469">
        <v>3</v>
      </c>
      <c r="AC1469">
        <v>0</v>
      </c>
      <c r="AD1469">
        <v>10</v>
      </c>
      <c r="AE1469">
        <v>0</v>
      </c>
      <c r="AF1469">
        <v>3</v>
      </c>
      <c r="AG1469">
        <v>2</v>
      </c>
      <c r="AH1469">
        <v>0</v>
      </c>
      <c r="AI1469" t="s">
        <v>989</v>
      </c>
      <c r="AJ1469">
        <v>39.819581999999997</v>
      </c>
      <c r="AK1469" t="s">
        <v>771</v>
      </c>
      <c r="AL1469">
        <v>-92.525203000000005</v>
      </c>
      <c r="AM1469">
        <v>100</v>
      </c>
      <c r="AN1469">
        <v>1700</v>
      </c>
      <c r="AO1469" t="s">
        <v>118</v>
      </c>
      <c r="AP1469">
        <v>-29</v>
      </c>
      <c r="AQ1469">
        <v>119</v>
      </c>
      <c r="AR1469">
        <v>0</v>
      </c>
      <c r="AZ1469">
        <v>1200</v>
      </c>
      <c r="BA1469">
        <v>1</v>
      </c>
      <c r="BB1469" t="str">
        <f t="shared" si="69"/>
        <v xml:space="preserve">N8080G  </v>
      </c>
      <c r="BC1469">
        <v>1</v>
      </c>
      <c r="BE1469">
        <v>0</v>
      </c>
      <c r="BF1469">
        <v>0</v>
      </c>
      <c r="BG1469">
        <v>0</v>
      </c>
      <c r="BH1469">
        <v>1675</v>
      </c>
      <c r="BI1469">
        <v>1</v>
      </c>
      <c r="BJ1469">
        <v>1</v>
      </c>
      <c r="BK1469">
        <v>1</v>
      </c>
      <c r="BL1469">
        <v>0</v>
      </c>
      <c r="BO1469">
        <v>0</v>
      </c>
      <c r="BP1469">
        <v>0</v>
      </c>
      <c r="BW1469" t="str">
        <f>"20:20:56.416"</f>
        <v>20:20:56.416</v>
      </c>
      <c r="BZ1469">
        <v>0</v>
      </c>
      <c r="CA1469">
        <v>2016</v>
      </c>
      <c r="CB1469">
        <v>224</v>
      </c>
      <c r="CD1469">
        <v>1</v>
      </c>
      <c r="CE1469">
        <v>0</v>
      </c>
      <c r="CF1469">
        <v>0</v>
      </c>
      <c r="CG1469">
        <v>1</v>
      </c>
      <c r="CH1469">
        <v>0</v>
      </c>
      <c r="CI1469">
        <v>0</v>
      </c>
      <c r="CJ1469">
        <v>0</v>
      </c>
      <c r="CK1469">
        <v>2</v>
      </c>
      <c r="CL1469">
        <v>0</v>
      </c>
      <c r="CM1469">
        <v>2</v>
      </c>
      <c r="CN1469">
        <v>0</v>
      </c>
      <c r="CO1469">
        <v>7</v>
      </c>
      <c r="CP1469" t="s">
        <v>119</v>
      </c>
      <c r="CQ1469">
        <v>180</v>
      </c>
      <c r="CR1469">
        <v>1</v>
      </c>
      <c r="CW1469">
        <v>10776312</v>
      </c>
      <c r="CY1469">
        <v>1</v>
      </c>
      <c r="CZ1469">
        <v>0</v>
      </c>
      <c r="DA1469">
        <v>1</v>
      </c>
      <c r="DB1469">
        <v>0</v>
      </c>
      <c r="DC1469">
        <v>0</v>
      </c>
      <c r="DD1469">
        <v>0</v>
      </c>
      <c r="DE1469">
        <v>0</v>
      </c>
      <c r="DF1469">
        <v>0</v>
      </c>
      <c r="DG1469">
        <v>0</v>
      </c>
      <c r="DH1469">
        <v>0</v>
      </c>
      <c r="DI1469">
        <v>0</v>
      </c>
    </row>
    <row r="1470" spans="1:113" x14ac:dyDescent="0.3">
      <c r="A1470" t="str">
        <f>"02/08/2021 20:20:54.106"</f>
        <v>02/08/2021 20:20:54.106</v>
      </c>
      <c r="C1470" t="str">
        <f t="shared" si="68"/>
        <v>FFDFD7C0</v>
      </c>
      <c r="D1470" t="s">
        <v>113</v>
      </c>
      <c r="E1470">
        <v>6</v>
      </c>
      <c r="H1470">
        <v>165</v>
      </c>
      <c r="I1470" t="s">
        <v>114</v>
      </c>
      <c r="J1470" t="s">
        <v>115</v>
      </c>
      <c r="K1470">
        <v>0</v>
      </c>
      <c r="L1470">
        <v>3</v>
      </c>
      <c r="M1470">
        <v>0</v>
      </c>
      <c r="N1470">
        <v>2</v>
      </c>
      <c r="O1470">
        <v>1</v>
      </c>
      <c r="P1470">
        <v>0</v>
      </c>
      <c r="Q1470">
        <v>0</v>
      </c>
      <c r="S1470" t="str">
        <f>"20:20:56.414"</f>
        <v>20:20:56.414</v>
      </c>
      <c r="T1470" t="str">
        <f>"20:20:55.914"</f>
        <v>20:20:55.914</v>
      </c>
      <c r="U1470" t="str">
        <f t="shared" si="67"/>
        <v>AB01F4</v>
      </c>
      <c r="V1470">
        <v>0</v>
      </c>
      <c r="W1470">
        <v>0</v>
      </c>
      <c r="X1470">
        <v>2</v>
      </c>
      <c r="Z1470">
        <v>0</v>
      </c>
      <c r="AA1470">
        <v>9</v>
      </c>
      <c r="AB1470">
        <v>3</v>
      </c>
      <c r="AC1470">
        <v>0</v>
      </c>
      <c r="AD1470">
        <v>10</v>
      </c>
      <c r="AE1470">
        <v>0</v>
      </c>
      <c r="AF1470">
        <v>3</v>
      </c>
      <c r="AG1470">
        <v>2</v>
      </c>
      <c r="AH1470">
        <v>0</v>
      </c>
      <c r="AI1470" t="s">
        <v>989</v>
      </c>
      <c r="AJ1470">
        <v>39.819581999999997</v>
      </c>
      <c r="AK1470" t="s">
        <v>771</v>
      </c>
      <c r="AL1470">
        <v>-92.525203000000005</v>
      </c>
      <c r="AM1470">
        <v>100</v>
      </c>
      <c r="AN1470">
        <v>1700</v>
      </c>
      <c r="AO1470" t="s">
        <v>118</v>
      </c>
      <c r="AP1470">
        <v>-29</v>
      </c>
      <c r="AQ1470">
        <v>119</v>
      </c>
      <c r="AR1470">
        <v>0</v>
      </c>
      <c r="AZ1470">
        <v>1200</v>
      </c>
      <c r="BA1470">
        <v>1</v>
      </c>
      <c r="BB1470" t="str">
        <f t="shared" si="69"/>
        <v xml:space="preserve">N8080G  </v>
      </c>
      <c r="BC1470">
        <v>1</v>
      </c>
      <c r="BE1470">
        <v>0</v>
      </c>
      <c r="BF1470">
        <v>0</v>
      </c>
      <c r="BG1470">
        <v>0</v>
      </c>
      <c r="BH1470">
        <v>1675</v>
      </c>
      <c r="BI1470">
        <v>1</v>
      </c>
      <c r="BJ1470">
        <v>1</v>
      </c>
      <c r="BK1470">
        <v>1</v>
      </c>
      <c r="BL1470">
        <v>0</v>
      </c>
      <c r="BO1470">
        <v>0</v>
      </c>
      <c r="BP1470">
        <v>0</v>
      </c>
      <c r="BW1470" t="str">
        <f>"20:20:56.416"</f>
        <v>20:20:56.416</v>
      </c>
      <c r="BZ1470">
        <v>0</v>
      </c>
      <c r="CA1470">
        <v>2016</v>
      </c>
      <c r="CB1470">
        <v>224</v>
      </c>
      <c r="CD1470">
        <v>1</v>
      </c>
      <c r="CE1470">
        <v>0</v>
      </c>
      <c r="CF1470">
        <v>0</v>
      </c>
      <c r="CG1470">
        <v>1</v>
      </c>
      <c r="CH1470">
        <v>0</v>
      </c>
      <c r="CI1470">
        <v>0</v>
      </c>
      <c r="CJ1470">
        <v>0</v>
      </c>
      <c r="CK1470">
        <v>2</v>
      </c>
      <c r="CL1470">
        <v>0</v>
      </c>
      <c r="CM1470">
        <v>2</v>
      </c>
      <c r="CN1470">
        <v>0</v>
      </c>
      <c r="CO1470">
        <v>7</v>
      </c>
      <c r="CP1470" t="s">
        <v>119</v>
      </c>
      <c r="CQ1470">
        <v>180</v>
      </c>
      <c r="CR1470">
        <v>1</v>
      </c>
      <c r="CW1470">
        <v>10776312</v>
      </c>
      <c r="CY1470">
        <v>1</v>
      </c>
      <c r="CZ1470">
        <v>0</v>
      </c>
      <c r="DA1470">
        <v>1</v>
      </c>
      <c r="DB1470">
        <v>0</v>
      </c>
      <c r="DC1470">
        <v>0</v>
      </c>
      <c r="DD1470">
        <v>0</v>
      </c>
      <c r="DE1470">
        <v>0</v>
      </c>
      <c r="DF1470">
        <v>0</v>
      </c>
      <c r="DG1470">
        <v>0</v>
      </c>
      <c r="DH1470">
        <v>0</v>
      </c>
      <c r="DI1470">
        <v>0</v>
      </c>
    </row>
    <row r="1471" spans="1:113" x14ac:dyDescent="0.3">
      <c r="A1471" t="str">
        <f>"02/08/2021 20:20:55.707"</f>
        <v>02/08/2021 20:20:55.707</v>
      </c>
      <c r="C1471" t="str">
        <f t="shared" si="68"/>
        <v>FFDFD7C0</v>
      </c>
      <c r="D1471" t="s">
        <v>113</v>
      </c>
      <c r="E1471">
        <v>6</v>
      </c>
      <c r="H1471">
        <v>165</v>
      </c>
      <c r="I1471" t="s">
        <v>114</v>
      </c>
      <c r="J1471" t="s">
        <v>115</v>
      </c>
      <c r="K1471">
        <v>0</v>
      </c>
      <c r="L1471">
        <v>3</v>
      </c>
      <c r="M1471">
        <v>0</v>
      </c>
      <c r="N1471">
        <v>2</v>
      </c>
      <c r="O1471">
        <v>1</v>
      </c>
      <c r="P1471">
        <v>0</v>
      </c>
      <c r="Q1471">
        <v>0</v>
      </c>
      <c r="S1471" t="str">
        <f>"20:20:58.000"</f>
        <v>20:20:58.000</v>
      </c>
      <c r="T1471" t="str">
        <f>"20:20:57.600"</f>
        <v>20:20:57.600</v>
      </c>
      <c r="U1471" t="str">
        <f t="shared" si="67"/>
        <v>AB01F4</v>
      </c>
      <c r="V1471">
        <v>0</v>
      </c>
      <c r="W1471">
        <v>0</v>
      </c>
      <c r="X1471">
        <v>2</v>
      </c>
      <c r="Z1471">
        <v>0</v>
      </c>
      <c r="AA1471">
        <v>9</v>
      </c>
      <c r="AB1471">
        <v>3</v>
      </c>
      <c r="AC1471">
        <v>0</v>
      </c>
      <c r="AD1471">
        <v>10</v>
      </c>
      <c r="AE1471">
        <v>0</v>
      </c>
      <c r="AF1471">
        <v>3</v>
      </c>
      <c r="AG1471">
        <v>2</v>
      </c>
      <c r="AH1471">
        <v>0</v>
      </c>
      <c r="AI1471" t="s">
        <v>990</v>
      </c>
      <c r="AJ1471">
        <v>39.820354000000002</v>
      </c>
      <c r="AK1471" t="s">
        <v>991</v>
      </c>
      <c r="AL1471">
        <v>-92.525481999999997</v>
      </c>
      <c r="AM1471">
        <v>100</v>
      </c>
      <c r="AN1471">
        <v>1700</v>
      </c>
      <c r="AO1471" t="s">
        <v>118</v>
      </c>
      <c r="AP1471">
        <v>-29</v>
      </c>
      <c r="AQ1471">
        <v>118</v>
      </c>
      <c r="AR1471">
        <v>64</v>
      </c>
      <c r="AZ1471">
        <v>1200</v>
      </c>
      <c r="BA1471">
        <v>1</v>
      </c>
      <c r="BB1471" t="str">
        <f t="shared" si="69"/>
        <v xml:space="preserve">N8080G  </v>
      </c>
      <c r="BC1471">
        <v>1</v>
      </c>
      <c r="BE1471">
        <v>0</v>
      </c>
      <c r="BF1471">
        <v>0</v>
      </c>
      <c r="BG1471">
        <v>0</v>
      </c>
      <c r="BH1471">
        <v>1700</v>
      </c>
      <c r="BI1471">
        <v>1</v>
      </c>
      <c r="BJ1471">
        <v>1</v>
      </c>
      <c r="BK1471">
        <v>1</v>
      </c>
      <c r="BL1471">
        <v>0</v>
      </c>
      <c r="BO1471">
        <v>0</v>
      </c>
      <c r="BP1471">
        <v>0</v>
      </c>
      <c r="BW1471" t="str">
        <f>"20:20:58.004"</f>
        <v>20:20:58.004</v>
      </c>
      <c r="BZ1471">
        <v>0</v>
      </c>
      <c r="CA1471">
        <v>2016</v>
      </c>
      <c r="CB1471">
        <v>224</v>
      </c>
      <c r="CD1471">
        <v>1</v>
      </c>
      <c r="CE1471">
        <v>0</v>
      </c>
      <c r="CF1471">
        <v>0</v>
      </c>
      <c r="CG1471">
        <v>1</v>
      </c>
      <c r="CH1471">
        <v>0</v>
      </c>
      <c r="CI1471">
        <v>0</v>
      </c>
      <c r="CJ1471">
        <v>0</v>
      </c>
      <c r="CK1471">
        <v>2</v>
      </c>
      <c r="CL1471">
        <v>0</v>
      </c>
      <c r="CM1471">
        <v>2</v>
      </c>
      <c r="CN1471">
        <v>0</v>
      </c>
      <c r="CO1471">
        <v>7</v>
      </c>
      <c r="CP1471" t="s">
        <v>119</v>
      </c>
      <c r="CQ1471">
        <v>180</v>
      </c>
      <c r="CR1471">
        <v>1</v>
      </c>
      <c r="CW1471">
        <v>10777535</v>
      </c>
      <c r="CY1471">
        <v>1</v>
      </c>
      <c r="CZ1471">
        <v>0</v>
      </c>
      <c r="DA1471">
        <v>0</v>
      </c>
      <c r="DB1471">
        <v>0</v>
      </c>
      <c r="DC1471">
        <v>0</v>
      </c>
      <c r="DD1471">
        <v>0</v>
      </c>
      <c r="DE1471">
        <v>0</v>
      </c>
      <c r="DF1471">
        <v>0</v>
      </c>
      <c r="DG1471">
        <v>0</v>
      </c>
      <c r="DH1471">
        <v>0</v>
      </c>
      <c r="DI1471">
        <v>0</v>
      </c>
    </row>
    <row r="1472" spans="1:113" x14ac:dyDescent="0.3">
      <c r="A1472" t="str">
        <f>"02/08/2021 20:20:55.707"</f>
        <v>02/08/2021 20:20:55.707</v>
      </c>
      <c r="C1472" t="str">
        <f t="shared" si="68"/>
        <v>FFDFD7C0</v>
      </c>
      <c r="D1472" t="s">
        <v>124</v>
      </c>
      <c r="E1472">
        <v>12</v>
      </c>
      <c r="F1472">
        <v>1012</v>
      </c>
      <c r="G1472" t="s">
        <v>675</v>
      </c>
      <c r="J1472" t="s">
        <v>125</v>
      </c>
      <c r="K1472">
        <v>0</v>
      </c>
      <c r="L1472">
        <v>3</v>
      </c>
      <c r="M1472">
        <v>0</v>
      </c>
      <c r="N1472">
        <v>2</v>
      </c>
      <c r="O1472">
        <v>1</v>
      </c>
      <c r="P1472">
        <v>0</v>
      </c>
      <c r="Q1472">
        <v>0</v>
      </c>
      <c r="S1472" t="str">
        <f>"20:20:58.000"</f>
        <v>20:20:58.000</v>
      </c>
      <c r="T1472" t="str">
        <f>"20:20:57.600"</f>
        <v>20:20:57.600</v>
      </c>
      <c r="U1472" t="str">
        <f t="shared" si="67"/>
        <v>AB01F4</v>
      </c>
      <c r="V1472">
        <v>0</v>
      </c>
      <c r="W1472">
        <v>0</v>
      </c>
      <c r="X1472">
        <v>2</v>
      </c>
      <c r="Z1472">
        <v>0</v>
      </c>
      <c r="AA1472">
        <v>9</v>
      </c>
      <c r="AB1472">
        <v>3</v>
      </c>
      <c r="AC1472">
        <v>0</v>
      </c>
      <c r="AD1472">
        <v>10</v>
      </c>
      <c r="AE1472">
        <v>0</v>
      </c>
      <c r="AF1472">
        <v>3</v>
      </c>
      <c r="AG1472">
        <v>2</v>
      </c>
      <c r="AH1472">
        <v>0</v>
      </c>
      <c r="AI1472" t="s">
        <v>990</v>
      </c>
      <c r="AJ1472">
        <v>39.820354000000002</v>
      </c>
      <c r="AK1472" t="s">
        <v>991</v>
      </c>
      <c r="AL1472">
        <v>-92.525481999999997</v>
      </c>
      <c r="AM1472">
        <v>100</v>
      </c>
      <c r="AN1472">
        <v>1700</v>
      </c>
      <c r="AO1472" t="s">
        <v>118</v>
      </c>
      <c r="AP1472">
        <v>-29</v>
      </c>
      <c r="AQ1472">
        <v>118</v>
      </c>
      <c r="AR1472">
        <v>64</v>
      </c>
      <c r="AZ1472">
        <v>1200</v>
      </c>
      <c r="BA1472">
        <v>1</v>
      </c>
      <c r="BB1472" t="str">
        <f t="shared" si="69"/>
        <v xml:space="preserve">N8080G  </v>
      </c>
      <c r="BC1472">
        <v>1</v>
      </c>
      <c r="BE1472">
        <v>0</v>
      </c>
      <c r="BF1472">
        <v>0</v>
      </c>
      <c r="BG1472">
        <v>0</v>
      </c>
      <c r="BH1472">
        <v>1700</v>
      </c>
      <c r="BI1472">
        <v>1</v>
      </c>
      <c r="BJ1472">
        <v>1</v>
      </c>
      <c r="BK1472">
        <v>1</v>
      </c>
      <c r="BL1472">
        <v>0</v>
      </c>
      <c r="BO1472">
        <v>0</v>
      </c>
      <c r="BP1472">
        <v>0</v>
      </c>
      <c r="BW1472" t="str">
        <f>"20:20:58.004"</f>
        <v>20:20:58.004</v>
      </c>
      <c r="BZ1472">
        <v>0</v>
      </c>
      <c r="CA1472">
        <v>2016</v>
      </c>
      <c r="CB1472">
        <v>224</v>
      </c>
      <c r="CD1472">
        <v>1</v>
      </c>
      <c r="CE1472">
        <v>0</v>
      </c>
      <c r="CF1472">
        <v>0</v>
      </c>
      <c r="CG1472">
        <v>1</v>
      </c>
      <c r="CH1472">
        <v>0</v>
      </c>
      <c r="CI1472">
        <v>0</v>
      </c>
      <c r="CJ1472">
        <v>0</v>
      </c>
      <c r="CK1472">
        <v>2</v>
      </c>
      <c r="CL1472">
        <v>0</v>
      </c>
      <c r="CM1472">
        <v>2</v>
      </c>
      <c r="CN1472">
        <v>0</v>
      </c>
      <c r="CO1472">
        <v>7</v>
      </c>
      <c r="CP1472" t="s">
        <v>119</v>
      </c>
      <c r="CQ1472">
        <v>180</v>
      </c>
      <c r="CR1472">
        <v>1</v>
      </c>
      <c r="CW1472">
        <v>10777535</v>
      </c>
      <c r="CY1472">
        <v>1</v>
      </c>
      <c r="CZ1472">
        <v>0</v>
      </c>
      <c r="DA1472">
        <v>1</v>
      </c>
      <c r="DB1472">
        <v>0</v>
      </c>
      <c r="DC1472">
        <v>0</v>
      </c>
      <c r="DD1472">
        <v>0</v>
      </c>
      <c r="DE1472">
        <v>0</v>
      </c>
      <c r="DF1472">
        <v>0</v>
      </c>
      <c r="DG1472">
        <v>0</v>
      </c>
      <c r="DH1472">
        <v>0</v>
      </c>
      <c r="DI1472">
        <v>0</v>
      </c>
    </row>
    <row r="1473" spans="1:113" x14ac:dyDescent="0.3">
      <c r="A1473" t="str">
        <f>"02/08/2021 20:20:55.707"</f>
        <v>02/08/2021 20:20:55.707</v>
      </c>
      <c r="C1473" t="str">
        <f t="shared" si="68"/>
        <v>FFDFD7C0</v>
      </c>
      <c r="D1473" t="s">
        <v>124</v>
      </c>
      <c r="E1473">
        <v>11</v>
      </c>
      <c r="F1473">
        <v>1011</v>
      </c>
      <c r="G1473" t="s">
        <v>590</v>
      </c>
      <c r="J1473" t="s">
        <v>125</v>
      </c>
      <c r="K1473">
        <v>0</v>
      </c>
      <c r="L1473">
        <v>3</v>
      </c>
      <c r="M1473">
        <v>0</v>
      </c>
      <c r="N1473">
        <v>2</v>
      </c>
      <c r="O1473">
        <v>1</v>
      </c>
      <c r="P1473">
        <v>0</v>
      </c>
      <c r="Q1473">
        <v>0</v>
      </c>
      <c r="S1473" t="str">
        <f>"20:20:58.000"</f>
        <v>20:20:58.000</v>
      </c>
      <c r="T1473" t="str">
        <f>"20:20:57.600"</f>
        <v>20:20:57.600</v>
      </c>
      <c r="U1473" t="str">
        <f t="shared" si="67"/>
        <v>AB01F4</v>
      </c>
      <c r="V1473">
        <v>0</v>
      </c>
      <c r="W1473">
        <v>0</v>
      </c>
      <c r="X1473">
        <v>2</v>
      </c>
      <c r="Z1473">
        <v>0</v>
      </c>
      <c r="AA1473">
        <v>9</v>
      </c>
      <c r="AB1473">
        <v>3</v>
      </c>
      <c r="AC1473">
        <v>0</v>
      </c>
      <c r="AD1473">
        <v>10</v>
      </c>
      <c r="AE1473">
        <v>0</v>
      </c>
      <c r="AF1473">
        <v>3</v>
      </c>
      <c r="AG1473">
        <v>2</v>
      </c>
      <c r="AH1473">
        <v>0</v>
      </c>
      <c r="AI1473" t="s">
        <v>990</v>
      </c>
      <c r="AJ1473">
        <v>39.820354000000002</v>
      </c>
      <c r="AK1473" t="s">
        <v>991</v>
      </c>
      <c r="AL1473">
        <v>-92.525481999999997</v>
      </c>
      <c r="AM1473">
        <v>100</v>
      </c>
      <c r="AN1473">
        <v>1700</v>
      </c>
      <c r="AO1473" t="s">
        <v>118</v>
      </c>
      <c r="AP1473">
        <v>-29</v>
      </c>
      <c r="AQ1473">
        <v>118</v>
      </c>
      <c r="AR1473">
        <v>64</v>
      </c>
      <c r="AZ1473">
        <v>1200</v>
      </c>
      <c r="BA1473">
        <v>1</v>
      </c>
      <c r="BB1473" t="str">
        <f t="shared" si="69"/>
        <v xml:space="preserve">N8080G  </v>
      </c>
      <c r="BC1473">
        <v>1</v>
      </c>
      <c r="BE1473">
        <v>0</v>
      </c>
      <c r="BF1473">
        <v>0</v>
      </c>
      <c r="BG1473">
        <v>0</v>
      </c>
      <c r="BH1473">
        <v>1700</v>
      </c>
      <c r="BI1473">
        <v>1</v>
      </c>
      <c r="BJ1473">
        <v>1</v>
      </c>
      <c r="BK1473">
        <v>1</v>
      </c>
      <c r="BL1473">
        <v>0</v>
      </c>
      <c r="BO1473">
        <v>0</v>
      </c>
      <c r="BP1473">
        <v>0</v>
      </c>
      <c r="BW1473" t="str">
        <f>"20:20:58.004"</f>
        <v>20:20:58.004</v>
      </c>
      <c r="BZ1473">
        <v>0</v>
      </c>
      <c r="CA1473">
        <v>2016</v>
      </c>
      <c r="CB1473">
        <v>224</v>
      </c>
      <c r="CD1473">
        <v>1</v>
      </c>
      <c r="CE1473">
        <v>0</v>
      </c>
      <c r="CF1473">
        <v>0</v>
      </c>
      <c r="CG1473">
        <v>1</v>
      </c>
      <c r="CH1473">
        <v>0</v>
      </c>
      <c r="CI1473">
        <v>0</v>
      </c>
      <c r="CJ1473">
        <v>0</v>
      </c>
      <c r="CK1473">
        <v>2</v>
      </c>
      <c r="CL1473">
        <v>0</v>
      </c>
      <c r="CM1473">
        <v>2</v>
      </c>
      <c r="CN1473">
        <v>0</v>
      </c>
      <c r="CO1473">
        <v>7</v>
      </c>
      <c r="CP1473" t="s">
        <v>119</v>
      </c>
      <c r="CQ1473">
        <v>180</v>
      </c>
      <c r="CR1473">
        <v>1</v>
      </c>
      <c r="CW1473">
        <v>10777535</v>
      </c>
      <c r="CY1473">
        <v>1</v>
      </c>
      <c r="CZ1473">
        <v>0</v>
      </c>
      <c r="DA1473">
        <v>1</v>
      </c>
      <c r="DB1473">
        <v>0</v>
      </c>
      <c r="DC1473">
        <v>0</v>
      </c>
      <c r="DD1473">
        <v>0</v>
      </c>
      <c r="DE1473">
        <v>0</v>
      </c>
      <c r="DF1473">
        <v>0</v>
      </c>
      <c r="DG1473">
        <v>0</v>
      </c>
      <c r="DH1473">
        <v>0</v>
      </c>
      <c r="DI1473">
        <v>0</v>
      </c>
    </row>
    <row r="1474" spans="1:113" x14ac:dyDescent="0.3">
      <c r="A1474" t="str">
        <f>"02/08/2021 20:20:55.707"</f>
        <v>02/08/2021 20:20:55.707</v>
      </c>
      <c r="C1474" t="str">
        <f t="shared" si="68"/>
        <v>FFDFD7C0</v>
      </c>
      <c r="D1474" t="s">
        <v>124</v>
      </c>
      <c r="E1474">
        <v>13</v>
      </c>
      <c r="F1474">
        <v>1013</v>
      </c>
      <c r="G1474" t="s">
        <v>114</v>
      </c>
      <c r="J1474" t="s">
        <v>125</v>
      </c>
      <c r="K1474">
        <v>0</v>
      </c>
      <c r="L1474">
        <v>3</v>
      </c>
      <c r="M1474">
        <v>0</v>
      </c>
      <c r="N1474">
        <v>2</v>
      </c>
      <c r="O1474">
        <v>1</v>
      </c>
      <c r="P1474">
        <v>0</v>
      </c>
      <c r="Q1474">
        <v>0</v>
      </c>
      <c r="S1474" t="str">
        <f>"20:20:58.000"</f>
        <v>20:20:58.000</v>
      </c>
      <c r="T1474" t="str">
        <f>"20:20:57.600"</f>
        <v>20:20:57.600</v>
      </c>
      <c r="U1474" t="str">
        <f t="shared" ref="U1474:U1537" si="70">"AB01F4"</f>
        <v>AB01F4</v>
      </c>
      <c r="V1474">
        <v>0</v>
      </c>
      <c r="W1474">
        <v>0</v>
      </c>
      <c r="X1474">
        <v>2</v>
      </c>
      <c r="Z1474">
        <v>0</v>
      </c>
      <c r="AA1474">
        <v>9</v>
      </c>
      <c r="AB1474">
        <v>3</v>
      </c>
      <c r="AC1474">
        <v>0</v>
      </c>
      <c r="AD1474">
        <v>10</v>
      </c>
      <c r="AE1474">
        <v>0</v>
      </c>
      <c r="AF1474">
        <v>3</v>
      </c>
      <c r="AG1474">
        <v>2</v>
      </c>
      <c r="AH1474">
        <v>0</v>
      </c>
      <c r="AI1474" t="s">
        <v>990</v>
      </c>
      <c r="AJ1474">
        <v>39.820354000000002</v>
      </c>
      <c r="AK1474" t="s">
        <v>991</v>
      </c>
      <c r="AL1474">
        <v>-92.525481999999997</v>
      </c>
      <c r="AM1474">
        <v>100</v>
      </c>
      <c r="AN1474">
        <v>1700</v>
      </c>
      <c r="AO1474" t="s">
        <v>118</v>
      </c>
      <c r="AP1474">
        <v>-29</v>
      </c>
      <c r="AQ1474">
        <v>118</v>
      </c>
      <c r="AR1474">
        <v>64</v>
      </c>
      <c r="AZ1474">
        <v>1200</v>
      </c>
      <c r="BA1474">
        <v>1</v>
      </c>
      <c r="BB1474" t="str">
        <f t="shared" si="69"/>
        <v xml:space="preserve">N8080G  </v>
      </c>
      <c r="BC1474">
        <v>1</v>
      </c>
      <c r="BE1474">
        <v>0</v>
      </c>
      <c r="BF1474">
        <v>0</v>
      </c>
      <c r="BG1474">
        <v>0</v>
      </c>
      <c r="BH1474">
        <v>1700</v>
      </c>
      <c r="BI1474">
        <v>1</v>
      </c>
      <c r="BJ1474">
        <v>1</v>
      </c>
      <c r="BK1474">
        <v>1</v>
      </c>
      <c r="BL1474">
        <v>0</v>
      </c>
      <c r="BO1474">
        <v>0</v>
      </c>
      <c r="BP1474">
        <v>0</v>
      </c>
      <c r="BW1474" t="str">
        <f>"20:20:58.004"</f>
        <v>20:20:58.004</v>
      </c>
      <c r="BZ1474">
        <v>0</v>
      </c>
      <c r="CA1474">
        <v>2016</v>
      </c>
      <c r="CB1474">
        <v>224</v>
      </c>
      <c r="CD1474">
        <v>1</v>
      </c>
      <c r="CE1474">
        <v>0</v>
      </c>
      <c r="CF1474">
        <v>0</v>
      </c>
      <c r="CG1474">
        <v>1</v>
      </c>
      <c r="CH1474">
        <v>0</v>
      </c>
      <c r="CI1474">
        <v>0</v>
      </c>
      <c r="CJ1474">
        <v>0</v>
      </c>
      <c r="CK1474">
        <v>2</v>
      </c>
      <c r="CL1474">
        <v>0</v>
      </c>
      <c r="CM1474">
        <v>2</v>
      </c>
      <c r="CN1474">
        <v>0</v>
      </c>
      <c r="CO1474">
        <v>7</v>
      </c>
      <c r="CP1474" t="s">
        <v>119</v>
      </c>
      <c r="CQ1474">
        <v>180</v>
      </c>
      <c r="CR1474">
        <v>1</v>
      </c>
      <c r="CW1474">
        <v>10777535</v>
      </c>
      <c r="CY1474">
        <v>1</v>
      </c>
      <c r="CZ1474">
        <v>0</v>
      </c>
      <c r="DA1474">
        <v>1</v>
      </c>
      <c r="DB1474">
        <v>0</v>
      </c>
      <c r="DC1474">
        <v>0</v>
      </c>
      <c r="DD1474">
        <v>0</v>
      </c>
      <c r="DE1474">
        <v>0</v>
      </c>
      <c r="DF1474">
        <v>0</v>
      </c>
      <c r="DG1474">
        <v>0</v>
      </c>
      <c r="DH1474">
        <v>0</v>
      </c>
      <c r="DI1474">
        <v>0</v>
      </c>
    </row>
    <row r="1475" spans="1:113" x14ac:dyDescent="0.3">
      <c r="A1475" t="str">
        <f>"02/08/2021 20:20:57.276"</f>
        <v>02/08/2021 20:20:57.276</v>
      </c>
      <c r="C1475" t="str">
        <f t="shared" si="68"/>
        <v>FFDFD7C0</v>
      </c>
      <c r="D1475" t="s">
        <v>113</v>
      </c>
      <c r="E1475">
        <v>6</v>
      </c>
      <c r="H1475">
        <v>165</v>
      </c>
      <c r="I1475" t="s">
        <v>114</v>
      </c>
      <c r="J1475" t="s">
        <v>115</v>
      </c>
      <c r="K1475">
        <v>0</v>
      </c>
      <c r="L1475">
        <v>3</v>
      </c>
      <c r="M1475">
        <v>0</v>
      </c>
      <c r="N1475">
        <v>2</v>
      </c>
      <c r="O1475">
        <v>1</v>
      </c>
      <c r="P1475">
        <v>0</v>
      </c>
      <c r="Q1475">
        <v>0</v>
      </c>
      <c r="S1475" t="str">
        <f>"20:20:59.602"</f>
        <v>20:20:59.602</v>
      </c>
      <c r="T1475" t="str">
        <f>"20:20:59.102"</f>
        <v>20:20:59.102</v>
      </c>
      <c r="U1475" t="str">
        <f t="shared" si="70"/>
        <v>AB01F4</v>
      </c>
      <c r="V1475">
        <v>0</v>
      </c>
      <c r="W1475">
        <v>0</v>
      </c>
      <c r="X1475">
        <v>2</v>
      </c>
      <c r="Z1475">
        <v>0</v>
      </c>
      <c r="AA1475">
        <v>9</v>
      </c>
      <c r="AB1475">
        <v>3</v>
      </c>
      <c r="AC1475">
        <v>0</v>
      </c>
      <c r="AD1475">
        <v>10</v>
      </c>
      <c r="AE1475">
        <v>0</v>
      </c>
      <c r="AF1475">
        <v>3</v>
      </c>
      <c r="AG1475">
        <v>2</v>
      </c>
      <c r="AH1475">
        <v>0</v>
      </c>
      <c r="AI1475" t="s">
        <v>992</v>
      </c>
      <c r="AJ1475">
        <v>39.821233999999997</v>
      </c>
      <c r="AK1475" t="s">
        <v>822</v>
      </c>
      <c r="AL1475">
        <v>-92.525783000000004</v>
      </c>
      <c r="AM1475">
        <v>100</v>
      </c>
      <c r="AN1475">
        <v>1700</v>
      </c>
      <c r="AO1475" t="s">
        <v>118</v>
      </c>
      <c r="AP1475">
        <v>-29</v>
      </c>
      <c r="AQ1475">
        <v>118</v>
      </c>
      <c r="AR1475">
        <v>128</v>
      </c>
      <c r="AZ1475">
        <v>1200</v>
      </c>
      <c r="BA1475">
        <v>1</v>
      </c>
      <c r="BB1475" t="str">
        <f t="shared" si="69"/>
        <v xml:space="preserve">N8080G  </v>
      </c>
      <c r="BC1475">
        <v>1</v>
      </c>
      <c r="BE1475">
        <v>0</v>
      </c>
      <c r="BF1475">
        <v>0</v>
      </c>
      <c r="BG1475">
        <v>0</v>
      </c>
      <c r="BH1475">
        <v>1700</v>
      </c>
      <c r="BI1475">
        <v>1</v>
      </c>
      <c r="BJ1475">
        <v>1</v>
      </c>
      <c r="BK1475">
        <v>1</v>
      </c>
      <c r="BL1475">
        <v>0</v>
      </c>
      <c r="BO1475">
        <v>0</v>
      </c>
      <c r="BP1475">
        <v>0</v>
      </c>
      <c r="BW1475" t="str">
        <f>"20:20:59.606"</f>
        <v>20:20:59.606</v>
      </c>
      <c r="BZ1475">
        <v>0</v>
      </c>
      <c r="CA1475">
        <v>2016</v>
      </c>
      <c r="CB1475">
        <v>224</v>
      </c>
      <c r="CD1475">
        <v>1</v>
      </c>
      <c r="CE1475">
        <v>0</v>
      </c>
      <c r="CF1475">
        <v>0</v>
      </c>
      <c r="CG1475">
        <v>1</v>
      </c>
      <c r="CH1475">
        <v>0</v>
      </c>
      <c r="CI1475">
        <v>0</v>
      </c>
      <c r="CJ1475">
        <v>0</v>
      </c>
      <c r="CK1475">
        <v>2</v>
      </c>
      <c r="CL1475">
        <v>0</v>
      </c>
      <c r="CM1475">
        <v>2</v>
      </c>
      <c r="CN1475">
        <v>0</v>
      </c>
      <c r="CO1475">
        <v>7</v>
      </c>
      <c r="CP1475" t="s">
        <v>119</v>
      </c>
      <c r="CQ1475">
        <v>180</v>
      </c>
      <c r="CR1475">
        <v>1</v>
      </c>
      <c r="CW1475">
        <v>10778764</v>
      </c>
      <c r="CY1475">
        <v>1</v>
      </c>
      <c r="CZ1475">
        <v>0</v>
      </c>
      <c r="DA1475">
        <v>0</v>
      </c>
      <c r="DB1475">
        <v>0</v>
      </c>
      <c r="DC1475">
        <v>0</v>
      </c>
      <c r="DD1475">
        <v>0</v>
      </c>
      <c r="DE1475">
        <v>0</v>
      </c>
      <c r="DF1475">
        <v>0</v>
      </c>
      <c r="DG1475">
        <v>0</v>
      </c>
      <c r="DH1475">
        <v>0</v>
      </c>
      <c r="DI1475">
        <v>0</v>
      </c>
    </row>
    <row r="1476" spans="1:113" x14ac:dyDescent="0.3">
      <c r="A1476" t="str">
        <f>"02/08/2021 20:20:57.276"</f>
        <v>02/08/2021 20:20:57.276</v>
      </c>
      <c r="C1476" t="str">
        <f t="shared" si="68"/>
        <v>FFDFD7C0</v>
      </c>
      <c r="D1476" t="s">
        <v>124</v>
      </c>
      <c r="E1476">
        <v>12</v>
      </c>
      <c r="F1476">
        <v>1012</v>
      </c>
      <c r="G1476" t="s">
        <v>675</v>
      </c>
      <c r="J1476" t="s">
        <v>125</v>
      </c>
      <c r="K1476">
        <v>0</v>
      </c>
      <c r="L1476">
        <v>3</v>
      </c>
      <c r="M1476">
        <v>0</v>
      </c>
      <c r="N1476">
        <v>2</v>
      </c>
      <c r="O1476">
        <v>1</v>
      </c>
      <c r="P1476">
        <v>0</v>
      </c>
      <c r="Q1476">
        <v>0</v>
      </c>
      <c r="S1476" t="str">
        <f>"20:20:59.602"</f>
        <v>20:20:59.602</v>
      </c>
      <c r="T1476" t="str">
        <f>"20:20:59.102"</f>
        <v>20:20:59.102</v>
      </c>
      <c r="U1476" t="str">
        <f t="shared" si="70"/>
        <v>AB01F4</v>
      </c>
      <c r="V1476">
        <v>0</v>
      </c>
      <c r="W1476">
        <v>0</v>
      </c>
      <c r="X1476">
        <v>2</v>
      </c>
      <c r="Z1476">
        <v>0</v>
      </c>
      <c r="AA1476">
        <v>9</v>
      </c>
      <c r="AB1476">
        <v>3</v>
      </c>
      <c r="AC1476">
        <v>0</v>
      </c>
      <c r="AD1476">
        <v>10</v>
      </c>
      <c r="AE1476">
        <v>0</v>
      </c>
      <c r="AF1476">
        <v>3</v>
      </c>
      <c r="AG1476">
        <v>2</v>
      </c>
      <c r="AH1476">
        <v>0</v>
      </c>
      <c r="AI1476" t="s">
        <v>992</v>
      </c>
      <c r="AJ1476">
        <v>39.821233999999997</v>
      </c>
      <c r="AK1476" t="s">
        <v>822</v>
      </c>
      <c r="AL1476">
        <v>-92.525783000000004</v>
      </c>
      <c r="AM1476">
        <v>100</v>
      </c>
      <c r="AN1476">
        <v>1700</v>
      </c>
      <c r="AO1476" t="s">
        <v>118</v>
      </c>
      <c r="AP1476">
        <v>-29</v>
      </c>
      <c r="AQ1476">
        <v>118</v>
      </c>
      <c r="AR1476">
        <v>128</v>
      </c>
      <c r="AZ1476">
        <v>1200</v>
      </c>
      <c r="BA1476">
        <v>1</v>
      </c>
      <c r="BB1476" t="str">
        <f t="shared" si="69"/>
        <v xml:space="preserve">N8080G  </v>
      </c>
      <c r="BC1476">
        <v>1</v>
      </c>
      <c r="BE1476">
        <v>0</v>
      </c>
      <c r="BF1476">
        <v>0</v>
      </c>
      <c r="BG1476">
        <v>0</v>
      </c>
      <c r="BH1476">
        <v>1700</v>
      </c>
      <c r="BI1476">
        <v>1</v>
      </c>
      <c r="BJ1476">
        <v>1</v>
      </c>
      <c r="BK1476">
        <v>1</v>
      </c>
      <c r="BL1476">
        <v>0</v>
      </c>
      <c r="BO1476">
        <v>0</v>
      </c>
      <c r="BP1476">
        <v>0</v>
      </c>
      <c r="BW1476" t="str">
        <f>"20:20:59.606"</f>
        <v>20:20:59.606</v>
      </c>
      <c r="BZ1476">
        <v>0</v>
      </c>
      <c r="CA1476">
        <v>2016</v>
      </c>
      <c r="CB1476">
        <v>224</v>
      </c>
      <c r="CD1476">
        <v>1</v>
      </c>
      <c r="CE1476">
        <v>0</v>
      </c>
      <c r="CF1476">
        <v>0</v>
      </c>
      <c r="CG1476">
        <v>1</v>
      </c>
      <c r="CH1476">
        <v>0</v>
      </c>
      <c r="CI1476">
        <v>0</v>
      </c>
      <c r="CJ1476">
        <v>0</v>
      </c>
      <c r="CK1476">
        <v>2</v>
      </c>
      <c r="CL1476">
        <v>0</v>
      </c>
      <c r="CM1476">
        <v>2</v>
      </c>
      <c r="CN1476">
        <v>0</v>
      </c>
      <c r="CO1476">
        <v>7</v>
      </c>
      <c r="CP1476" t="s">
        <v>119</v>
      </c>
      <c r="CQ1476">
        <v>180</v>
      </c>
      <c r="CR1476">
        <v>1</v>
      </c>
      <c r="CW1476">
        <v>10778764</v>
      </c>
      <c r="CY1476">
        <v>1</v>
      </c>
      <c r="CZ1476">
        <v>0</v>
      </c>
      <c r="DA1476">
        <v>1</v>
      </c>
      <c r="DB1476">
        <v>0</v>
      </c>
      <c r="DC1476">
        <v>0</v>
      </c>
      <c r="DD1476">
        <v>0</v>
      </c>
      <c r="DE1476">
        <v>0</v>
      </c>
      <c r="DF1476">
        <v>0</v>
      </c>
      <c r="DG1476">
        <v>0</v>
      </c>
      <c r="DH1476">
        <v>0</v>
      </c>
      <c r="DI1476">
        <v>0</v>
      </c>
    </row>
    <row r="1477" spans="1:113" x14ac:dyDescent="0.3">
      <c r="A1477" t="str">
        <f>"02/08/2021 20:20:57.276"</f>
        <v>02/08/2021 20:20:57.276</v>
      </c>
      <c r="C1477" t="str">
        <f t="shared" si="68"/>
        <v>FFDFD7C0</v>
      </c>
      <c r="D1477" t="s">
        <v>124</v>
      </c>
      <c r="E1477">
        <v>11</v>
      </c>
      <c r="F1477">
        <v>1011</v>
      </c>
      <c r="G1477" t="s">
        <v>590</v>
      </c>
      <c r="J1477" t="s">
        <v>125</v>
      </c>
      <c r="K1477">
        <v>0</v>
      </c>
      <c r="L1477">
        <v>3</v>
      </c>
      <c r="M1477">
        <v>0</v>
      </c>
      <c r="N1477">
        <v>2</v>
      </c>
      <c r="O1477">
        <v>1</v>
      </c>
      <c r="P1477">
        <v>0</v>
      </c>
      <c r="Q1477">
        <v>0</v>
      </c>
      <c r="S1477" t="str">
        <f>"20:20:59.602"</f>
        <v>20:20:59.602</v>
      </c>
      <c r="T1477" t="str">
        <f>"20:20:59.102"</f>
        <v>20:20:59.102</v>
      </c>
      <c r="U1477" t="str">
        <f t="shared" si="70"/>
        <v>AB01F4</v>
      </c>
      <c r="V1477">
        <v>0</v>
      </c>
      <c r="W1477">
        <v>0</v>
      </c>
      <c r="X1477">
        <v>2</v>
      </c>
      <c r="Z1477">
        <v>0</v>
      </c>
      <c r="AA1477">
        <v>9</v>
      </c>
      <c r="AB1477">
        <v>3</v>
      </c>
      <c r="AC1477">
        <v>0</v>
      </c>
      <c r="AD1477">
        <v>10</v>
      </c>
      <c r="AE1477">
        <v>0</v>
      </c>
      <c r="AF1477">
        <v>3</v>
      </c>
      <c r="AG1477">
        <v>2</v>
      </c>
      <c r="AH1477">
        <v>0</v>
      </c>
      <c r="AI1477" t="s">
        <v>992</v>
      </c>
      <c r="AJ1477">
        <v>39.821233999999997</v>
      </c>
      <c r="AK1477" t="s">
        <v>822</v>
      </c>
      <c r="AL1477">
        <v>-92.525783000000004</v>
      </c>
      <c r="AM1477">
        <v>100</v>
      </c>
      <c r="AN1477">
        <v>1700</v>
      </c>
      <c r="AO1477" t="s">
        <v>118</v>
      </c>
      <c r="AP1477">
        <v>-29</v>
      </c>
      <c r="AQ1477">
        <v>118</v>
      </c>
      <c r="AR1477">
        <v>128</v>
      </c>
      <c r="AZ1477">
        <v>1200</v>
      </c>
      <c r="BA1477">
        <v>1</v>
      </c>
      <c r="BB1477" t="str">
        <f t="shared" si="69"/>
        <v xml:space="preserve">N8080G  </v>
      </c>
      <c r="BC1477">
        <v>1</v>
      </c>
      <c r="BE1477">
        <v>0</v>
      </c>
      <c r="BF1477">
        <v>0</v>
      </c>
      <c r="BG1477">
        <v>0</v>
      </c>
      <c r="BH1477">
        <v>1700</v>
      </c>
      <c r="BI1477">
        <v>1</v>
      </c>
      <c r="BJ1477">
        <v>1</v>
      </c>
      <c r="BK1477">
        <v>1</v>
      </c>
      <c r="BL1477">
        <v>0</v>
      </c>
      <c r="BO1477">
        <v>0</v>
      </c>
      <c r="BP1477">
        <v>0</v>
      </c>
      <c r="BW1477" t="str">
        <f>"20:20:59.606"</f>
        <v>20:20:59.606</v>
      </c>
      <c r="BZ1477">
        <v>0</v>
      </c>
      <c r="CA1477">
        <v>2016</v>
      </c>
      <c r="CB1477">
        <v>224</v>
      </c>
      <c r="CD1477">
        <v>1</v>
      </c>
      <c r="CE1477">
        <v>0</v>
      </c>
      <c r="CF1477">
        <v>0</v>
      </c>
      <c r="CG1477">
        <v>1</v>
      </c>
      <c r="CH1477">
        <v>0</v>
      </c>
      <c r="CI1477">
        <v>0</v>
      </c>
      <c r="CJ1477">
        <v>0</v>
      </c>
      <c r="CK1477">
        <v>2</v>
      </c>
      <c r="CL1477">
        <v>0</v>
      </c>
      <c r="CM1477">
        <v>2</v>
      </c>
      <c r="CN1477">
        <v>0</v>
      </c>
      <c r="CO1477">
        <v>7</v>
      </c>
      <c r="CP1477" t="s">
        <v>119</v>
      </c>
      <c r="CQ1477">
        <v>180</v>
      </c>
      <c r="CR1477">
        <v>1</v>
      </c>
      <c r="CW1477">
        <v>10778764</v>
      </c>
      <c r="CY1477">
        <v>1</v>
      </c>
      <c r="CZ1477">
        <v>0</v>
      </c>
      <c r="DA1477">
        <v>1</v>
      </c>
      <c r="DB1477">
        <v>0</v>
      </c>
      <c r="DC1477">
        <v>0</v>
      </c>
      <c r="DD1477">
        <v>0</v>
      </c>
      <c r="DE1477">
        <v>0</v>
      </c>
      <c r="DF1477">
        <v>0</v>
      </c>
      <c r="DG1477">
        <v>0</v>
      </c>
      <c r="DH1477">
        <v>0</v>
      </c>
      <c r="DI1477">
        <v>0</v>
      </c>
    </row>
    <row r="1478" spans="1:113" x14ac:dyDescent="0.3">
      <c r="A1478" t="str">
        <f>"02/08/2021 20:20:57.276"</f>
        <v>02/08/2021 20:20:57.276</v>
      </c>
      <c r="C1478" t="str">
        <f t="shared" si="68"/>
        <v>FFDFD7C0</v>
      </c>
      <c r="D1478" t="s">
        <v>124</v>
      </c>
      <c r="E1478">
        <v>13</v>
      </c>
      <c r="F1478">
        <v>1013</v>
      </c>
      <c r="G1478" t="s">
        <v>114</v>
      </c>
      <c r="J1478" t="s">
        <v>125</v>
      </c>
      <c r="K1478">
        <v>0</v>
      </c>
      <c r="L1478">
        <v>3</v>
      </c>
      <c r="M1478">
        <v>0</v>
      </c>
      <c r="N1478">
        <v>2</v>
      </c>
      <c r="O1478">
        <v>1</v>
      </c>
      <c r="P1478">
        <v>0</v>
      </c>
      <c r="Q1478">
        <v>0</v>
      </c>
      <c r="S1478" t="str">
        <f>"20:20:59.602"</f>
        <v>20:20:59.602</v>
      </c>
      <c r="T1478" t="str">
        <f>"20:20:59.102"</f>
        <v>20:20:59.102</v>
      </c>
      <c r="U1478" t="str">
        <f t="shared" si="70"/>
        <v>AB01F4</v>
      </c>
      <c r="V1478">
        <v>0</v>
      </c>
      <c r="W1478">
        <v>0</v>
      </c>
      <c r="X1478">
        <v>2</v>
      </c>
      <c r="Z1478">
        <v>0</v>
      </c>
      <c r="AA1478">
        <v>9</v>
      </c>
      <c r="AB1478">
        <v>3</v>
      </c>
      <c r="AC1478">
        <v>0</v>
      </c>
      <c r="AD1478">
        <v>10</v>
      </c>
      <c r="AE1478">
        <v>0</v>
      </c>
      <c r="AF1478">
        <v>3</v>
      </c>
      <c r="AG1478">
        <v>2</v>
      </c>
      <c r="AH1478">
        <v>0</v>
      </c>
      <c r="AI1478" t="s">
        <v>992</v>
      </c>
      <c r="AJ1478">
        <v>39.821233999999997</v>
      </c>
      <c r="AK1478" t="s">
        <v>822</v>
      </c>
      <c r="AL1478">
        <v>-92.525783000000004</v>
      </c>
      <c r="AM1478">
        <v>100</v>
      </c>
      <c r="AN1478">
        <v>1700</v>
      </c>
      <c r="AO1478" t="s">
        <v>118</v>
      </c>
      <c r="AP1478">
        <v>-29</v>
      </c>
      <c r="AQ1478">
        <v>118</v>
      </c>
      <c r="AR1478">
        <v>128</v>
      </c>
      <c r="AZ1478">
        <v>1200</v>
      </c>
      <c r="BA1478">
        <v>1</v>
      </c>
      <c r="BB1478" t="str">
        <f t="shared" si="69"/>
        <v xml:space="preserve">N8080G  </v>
      </c>
      <c r="BC1478">
        <v>1</v>
      </c>
      <c r="BE1478">
        <v>0</v>
      </c>
      <c r="BF1478">
        <v>0</v>
      </c>
      <c r="BG1478">
        <v>0</v>
      </c>
      <c r="BH1478">
        <v>1700</v>
      </c>
      <c r="BI1478">
        <v>1</v>
      </c>
      <c r="BJ1478">
        <v>1</v>
      </c>
      <c r="BK1478">
        <v>1</v>
      </c>
      <c r="BL1478">
        <v>0</v>
      </c>
      <c r="BO1478">
        <v>0</v>
      </c>
      <c r="BP1478">
        <v>0</v>
      </c>
      <c r="BW1478" t="str">
        <f>"20:20:59.606"</f>
        <v>20:20:59.606</v>
      </c>
      <c r="BZ1478">
        <v>0</v>
      </c>
      <c r="CA1478">
        <v>2016</v>
      </c>
      <c r="CB1478">
        <v>224</v>
      </c>
      <c r="CD1478">
        <v>1</v>
      </c>
      <c r="CE1478">
        <v>0</v>
      </c>
      <c r="CF1478">
        <v>0</v>
      </c>
      <c r="CG1478">
        <v>1</v>
      </c>
      <c r="CH1478">
        <v>0</v>
      </c>
      <c r="CI1478">
        <v>0</v>
      </c>
      <c r="CJ1478">
        <v>0</v>
      </c>
      <c r="CK1478">
        <v>2</v>
      </c>
      <c r="CL1478">
        <v>0</v>
      </c>
      <c r="CM1478">
        <v>2</v>
      </c>
      <c r="CN1478">
        <v>0</v>
      </c>
      <c r="CO1478">
        <v>7</v>
      </c>
      <c r="CP1478" t="s">
        <v>119</v>
      </c>
      <c r="CQ1478">
        <v>180</v>
      </c>
      <c r="CR1478">
        <v>1</v>
      </c>
      <c r="CW1478">
        <v>10778764</v>
      </c>
      <c r="CY1478">
        <v>1</v>
      </c>
      <c r="CZ1478">
        <v>0</v>
      </c>
      <c r="DA1478">
        <v>1</v>
      </c>
      <c r="DB1478">
        <v>0</v>
      </c>
      <c r="DC1478">
        <v>0</v>
      </c>
      <c r="DD1478">
        <v>0</v>
      </c>
      <c r="DE1478">
        <v>0</v>
      </c>
      <c r="DF1478">
        <v>0</v>
      </c>
      <c r="DG1478">
        <v>0</v>
      </c>
      <c r="DH1478">
        <v>0</v>
      </c>
      <c r="DI1478">
        <v>0</v>
      </c>
    </row>
    <row r="1479" spans="1:113" x14ac:dyDescent="0.3">
      <c r="A1479" t="str">
        <f>"02/08/2021 20:20:59.034"</f>
        <v>02/08/2021 20:20:59.034</v>
      </c>
      <c r="C1479" t="str">
        <f t="shared" si="68"/>
        <v>FFDFD7C0</v>
      </c>
      <c r="D1479" t="s">
        <v>124</v>
      </c>
      <c r="E1479">
        <v>12</v>
      </c>
      <c r="F1479">
        <v>1012</v>
      </c>
      <c r="G1479" t="s">
        <v>675</v>
      </c>
      <c r="J1479" t="s">
        <v>125</v>
      </c>
      <c r="K1479">
        <v>0</v>
      </c>
      <c r="L1479">
        <v>3</v>
      </c>
      <c r="M1479">
        <v>0</v>
      </c>
      <c r="N1479">
        <v>2</v>
      </c>
      <c r="O1479">
        <v>1</v>
      </c>
      <c r="P1479">
        <v>0</v>
      </c>
      <c r="Q1479">
        <v>0</v>
      </c>
      <c r="S1479" t="str">
        <f>"20:21:01.344"</f>
        <v>20:21:01.344</v>
      </c>
      <c r="T1479" t="str">
        <f>"20:21:00.444"</f>
        <v>20:21:00.444</v>
      </c>
      <c r="U1479" t="str">
        <f t="shared" si="70"/>
        <v>AB01F4</v>
      </c>
      <c r="V1479">
        <v>0</v>
      </c>
      <c r="W1479">
        <v>0</v>
      </c>
      <c r="X1479">
        <v>2</v>
      </c>
      <c r="Z1479">
        <v>0</v>
      </c>
      <c r="AA1479">
        <v>9</v>
      </c>
      <c r="AB1479">
        <v>3</v>
      </c>
      <c r="AC1479">
        <v>0</v>
      </c>
      <c r="AD1479">
        <v>10</v>
      </c>
      <c r="AE1479">
        <v>0</v>
      </c>
      <c r="AF1479">
        <v>3</v>
      </c>
      <c r="AG1479">
        <v>2</v>
      </c>
      <c r="AH1479">
        <v>0</v>
      </c>
      <c r="AI1479" t="s">
        <v>993</v>
      </c>
      <c r="AJ1479">
        <v>39.822242000000003</v>
      </c>
      <c r="AK1479" t="s">
        <v>994</v>
      </c>
      <c r="AL1479">
        <v>-92.526083</v>
      </c>
      <c r="AM1479">
        <v>100</v>
      </c>
      <c r="AN1479">
        <v>1700</v>
      </c>
      <c r="AO1479" t="s">
        <v>118</v>
      </c>
      <c r="AP1479">
        <v>-29</v>
      </c>
      <c r="AQ1479">
        <v>118</v>
      </c>
      <c r="AR1479">
        <v>128</v>
      </c>
      <c r="AZ1479">
        <v>1200</v>
      </c>
      <c r="BA1479">
        <v>1</v>
      </c>
      <c r="BB1479" t="str">
        <f t="shared" si="69"/>
        <v xml:space="preserve">N8080G  </v>
      </c>
      <c r="BC1479">
        <v>1</v>
      </c>
      <c r="BE1479">
        <v>0</v>
      </c>
      <c r="BF1479">
        <v>0</v>
      </c>
      <c r="BG1479">
        <v>0</v>
      </c>
      <c r="BH1479">
        <v>1700</v>
      </c>
      <c r="BI1479">
        <v>1</v>
      </c>
      <c r="BJ1479">
        <v>1</v>
      </c>
      <c r="BK1479">
        <v>1</v>
      </c>
      <c r="BL1479">
        <v>0</v>
      </c>
      <c r="BO1479">
        <v>0</v>
      </c>
      <c r="BP1479">
        <v>0</v>
      </c>
      <c r="BW1479" t="str">
        <f>"20:21:01.350"</f>
        <v>20:21:01.350</v>
      </c>
      <c r="BZ1479">
        <v>0</v>
      </c>
      <c r="CA1479">
        <v>2016</v>
      </c>
      <c r="CB1479">
        <v>224</v>
      </c>
      <c r="CD1479">
        <v>1</v>
      </c>
      <c r="CE1479">
        <v>0</v>
      </c>
      <c r="CF1479">
        <v>0</v>
      </c>
      <c r="CG1479">
        <v>1</v>
      </c>
      <c r="CH1479">
        <v>0</v>
      </c>
      <c r="CI1479">
        <v>0</v>
      </c>
      <c r="CJ1479">
        <v>0</v>
      </c>
      <c r="CK1479">
        <v>2</v>
      </c>
      <c r="CL1479">
        <v>0</v>
      </c>
      <c r="CM1479">
        <v>2</v>
      </c>
      <c r="CN1479">
        <v>0</v>
      </c>
      <c r="CO1479">
        <v>7</v>
      </c>
      <c r="CP1479" t="s">
        <v>119</v>
      </c>
      <c r="CQ1479">
        <v>180</v>
      </c>
      <c r="CR1479">
        <v>1</v>
      </c>
      <c r="CW1479">
        <v>10780376</v>
      </c>
      <c r="CY1479">
        <v>1</v>
      </c>
      <c r="CZ1479">
        <v>0</v>
      </c>
      <c r="DA1479">
        <v>0</v>
      </c>
      <c r="DB1479">
        <v>0</v>
      </c>
      <c r="DC1479">
        <v>0</v>
      </c>
      <c r="DD1479">
        <v>0</v>
      </c>
      <c r="DE1479">
        <v>0</v>
      </c>
      <c r="DF1479">
        <v>0</v>
      </c>
      <c r="DG1479">
        <v>0</v>
      </c>
      <c r="DH1479">
        <v>0</v>
      </c>
      <c r="DI1479">
        <v>0</v>
      </c>
    </row>
    <row r="1480" spans="1:113" x14ac:dyDescent="0.3">
      <c r="A1480" t="str">
        <f>"02/08/2021 20:20:59.034"</f>
        <v>02/08/2021 20:20:59.034</v>
      </c>
      <c r="C1480" t="str">
        <f t="shared" si="68"/>
        <v>FFDFD7C0</v>
      </c>
      <c r="D1480" t="s">
        <v>113</v>
      </c>
      <c r="E1480">
        <v>6</v>
      </c>
      <c r="H1480">
        <v>165</v>
      </c>
      <c r="I1480" t="s">
        <v>114</v>
      </c>
      <c r="J1480" t="s">
        <v>115</v>
      </c>
      <c r="K1480">
        <v>0</v>
      </c>
      <c r="L1480">
        <v>3</v>
      </c>
      <c r="M1480">
        <v>0</v>
      </c>
      <c r="N1480">
        <v>2</v>
      </c>
      <c r="O1480">
        <v>1</v>
      </c>
      <c r="P1480">
        <v>0</v>
      </c>
      <c r="Q1480">
        <v>0</v>
      </c>
      <c r="S1480" t="str">
        <f>"20:21:01.344"</f>
        <v>20:21:01.344</v>
      </c>
      <c r="T1480" t="str">
        <f>"20:21:00.444"</f>
        <v>20:21:00.444</v>
      </c>
      <c r="U1480" t="str">
        <f t="shared" si="70"/>
        <v>AB01F4</v>
      </c>
      <c r="V1480">
        <v>0</v>
      </c>
      <c r="W1480">
        <v>0</v>
      </c>
      <c r="X1480">
        <v>2</v>
      </c>
      <c r="Z1480">
        <v>0</v>
      </c>
      <c r="AA1480">
        <v>9</v>
      </c>
      <c r="AB1480">
        <v>3</v>
      </c>
      <c r="AC1480">
        <v>0</v>
      </c>
      <c r="AD1480">
        <v>10</v>
      </c>
      <c r="AE1480">
        <v>0</v>
      </c>
      <c r="AF1480">
        <v>3</v>
      </c>
      <c r="AG1480">
        <v>2</v>
      </c>
      <c r="AH1480">
        <v>0</v>
      </c>
      <c r="AI1480" t="s">
        <v>993</v>
      </c>
      <c r="AJ1480">
        <v>39.822242000000003</v>
      </c>
      <c r="AK1480" t="s">
        <v>994</v>
      </c>
      <c r="AL1480">
        <v>-92.526083</v>
      </c>
      <c r="AM1480">
        <v>100</v>
      </c>
      <c r="AN1480">
        <v>1700</v>
      </c>
      <c r="AO1480" t="s">
        <v>118</v>
      </c>
      <c r="AP1480">
        <v>-29</v>
      </c>
      <c r="AQ1480">
        <v>118</v>
      </c>
      <c r="AR1480">
        <v>128</v>
      </c>
      <c r="AZ1480">
        <v>1200</v>
      </c>
      <c r="BA1480">
        <v>1</v>
      </c>
      <c r="BB1480" t="str">
        <f t="shared" si="69"/>
        <v xml:space="preserve">N8080G  </v>
      </c>
      <c r="BC1480">
        <v>1</v>
      </c>
      <c r="BE1480">
        <v>0</v>
      </c>
      <c r="BF1480">
        <v>0</v>
      </c>
      <c r="BG1480">
        <v>0</v>
      </c>
      <c r="BH1480">
        <v>1700</v>
      </c>
      <c r="BI1480">
        <v>1</v>
      </c>
      <c r="BJ1480">
        <v>1</v>
      </c>
      <c r="BK1480">
        <v>1</v>
      </c>
      <c r="BL1480">
        <v>0</v>
      </c>
      <c r="BO1480">
        <v>0</v>
      </c>
      <c r="BP1480">
        <v>0</v>
      </c>
      <c r="BW1480" t="str">
        <f>"20:21:01.350"</f>
        <v>20:21:01.350</v>
      </c>
      <c r="BZ1480">
        <v>0</v>
      </c>
      <c r="CA1480">
        <v>2016</v>
      </c>
      <c r="CB1480">
        <v>224</v>
      </c>
      <c r="CD1480">
        <v>1</v>
      </c>
      <c r="CE1480">
        <v>0</v>
      </c>
      <c r="CF1480">
        <v>0</v>
      </c>
      <c r="CG1480">
        <v>1</v>
      </c>
      <c r="CH1480">
        <v>0</v>
      </c>
      <c r="CI1480">
        <v>0</v>
      </c>
      <c r="CJ1480">
        <v>0</v>
      </c>
      <c r="CK1480">
        <v>2</v>
      </c>
      <c r="CL1480">
        <v>0</v>
      </c>
      <c r="CM1480">
        <v>2</v>
      </c>
      <c r="CN1480">
        <v>0</v>
      </c>
      <c r="CO1480">
        <v>7</v>
      </c>
      <c r="CP1480" t="s">
        <v>119</v>
      </c>
      <c r="CQ1480">
        <v>180</v>
      </c>
      <c r="CR1480">
        <v>1</v>
      </c>
      <c r="CW1480">
        <v>10780376</v>
      </c>
      <c r="CY1480">
        <v>1</v>
      </c>
      <c r="CZ1480">
        <v>0</v>
      </c>
      <c r="DA1480">
        <v>1</v>
      </c>
      <c r="DB1480">
        <v>0</v>
      </c>
      <c r="DC1480">
        <v>0</v>
      </c>
      <c r="DD1480">
        <v>0</v>
      </c>
      <c r="DE1480">
        <v>0</v>
      </c>
      <c r="DF1480">
        <v>0</v>
      </c>
      <c r="DG1480">
        <v>0</v>
      </c>
      <c r="DH1480">
        <v>0</v>
      </c>
      <c r="DI1480">
        <v>0</v>
      </c>
    </row>
    <row r="1481" spans="1:113" x14ac:dyDescent="0.3">
      <c r="A1481" t="str">
        <f>"02/08/2021 20:20:59.034"</f>
        <v>02/08/2021 20:20:59.034</v>
      </c>
      <c r="C1481" t="str">
        <f t="shared" ref="C1481:C1544" si="71">"FFDFD7C0"</f>
        <v>FFDFD7C0</v>
      </c>
      <c r="D1481" t="s">
        <v>124</v>
      </c>
      <c r="E1481">
        <v>11</v>
      </c>
      <c r="F1481">
        <v>1011</v>
      </c>
      <c r="G1481" t="s">
        <v>590</v>
      </c>
      <c r="J1481" t="s">
        <v>125</v>
      </c>
      <c r="K1481">
        <v>0</v>
      </c>
      <c r="L1481">
        <v>3</v>
      </c>
      <c r="M1481">
        <v>0</v>
      </c>
      <c r="N1481">
        <v>2</v>
      </c>
      <c r="O1481">
        <v>1</v>
      </c>
      <c r="P1481">
        <v>0</v>
      </c>
      <c r="Q1481">
        <v>0</v>
      </c>
      <c r="S1481" t="str">
        <f>"20:21:01.344"</f>
        <v>20:21:01.344</v>
      </c>
      <c r="T1481" t="str">
        <f>"20:21:00.444"</f>
        <v>20:21:00.444</v>
      </c>
      <c r="U1481" t="str">
        <f t="shared" si="70"/>
        <v>AB01F4</v>
      </c>
      <c r="V1481">
        <v>0</v>
      </c>
      <c r="W1481">
        <v>0</v>
      </c>
      <c r="X1481">
        <v>2</v>
      </c>
      <c r="Z1481">
        <v>0</v>
      </c>
      <c r="AA1481">
        <v>9</v>
      </c>
      <c r="AB1481">
        <v>3</v>
      </c>
      <c r="AC1481">
        <v>0</v>
      </c>
      <c r="AD1481">
        <v>10</v>
      </c>
      <c r="AE1481">
        <v>0</v>
      </c>
      <c r="AF1481">
        <v>3</v>
      </c>
      <c r="AG1481">
        <v>2</v>
      </c>
      <c r="AH1481">
        <v>0</v>
      </c>
      <c r="AI1481" t="s">
        <v>993</v>
      </c>
      <c r="AJ1481">
        <v>39.822242000000003</v>
      </c>
      <c r="AK1481" t="s">
        <v>994</v>
      </c>
      <c r="AL1481">
        <v>-92.526083</v>
      </c>
      <c r="AM1481">
        <v>100</v>
      </c>
      <c r="AN1481">
        <v>1700</v>
      </c>
      <c r="AO1481" t="s">
        <v>118</v>
      </c>
      <c r="AP1481">
        <v>-29</v>
      </c>
      <c r="AQ1481">
        <v>118</v>
      </c>
      <c r="AR1481">
        <v>128</v>
      </c>
      <c r="AZ1481">
        <v>1200</v>
      </c>
      <c r="BA1481">
        <v>1</v>
      </c>
      <c r="BB1481" t="str">
        <f t="shared" si="69"/>
        <v xml:space="preserve">N8080G  </v>
      </c>
      <c r="BC1481">
        <v>1</v>
      </c>
      <c r="BE1481">
        <v>0</v>
      </c>
      <c r="BF1481">
        <v>0</v>
      </c>
      <c r="BG1481">
        <v>0</v>
      </c>
      <c r="BH1481">
        <v>1700</v>
      </c>
      <c r="BI1481">
        <v>1</v>
      </c>
      <c r="BJ1481">
        <v>1</v>
      </c>
      <c r="BK1481">
        <v>1</v>
      </c>
      <c r="BL1481">
        <v>0</v>
      </c>
      <c r="BO1481">
        <v>0</v>
      </c>
      <c r="BP1481">
        <v>0</v>
      </c>
      <c r="BW1481" t="str">
        <f>"20:21:01.350"</f>
        <v>20:21:01.350</v>
      </c>
      <c r="BZ1481">
        <v>0</v>
      </c>
      <c r="CA1481">
        <v>2016</v>
      </c>
      <c r="CB1481">
        <v>224</v>
      </c>
      <c r="CD1481">
        <v>1</v>
      </c>
      <c r="CE1481">
        <v>0</v>
      </c>
      <c r="CF1481">
        <v>0</v>
      </c>
      <c r="CG1481">
        <v>1</v>
      </c>
      <c r="CH1481">
        <v>0</v>
      </c>
      <c r="CI1481">
        <v>0</v>
      </c>
      <c r="CJ1481">
        <v>0</v>
      </c>
      <c r="CK1481">
        <v>2</v>
      </c>
      <c r="CL1481">
        <v>0</v>
      </c>
      <c r="CM1481">
        <v>2</v>
      </c>
      <c r="CN1481">
        <v>0</v>
      </c>
      <c r="CO1481">
        <v>7</v>
      </c>
      <c r="CP1481" t="s">
        <v>119</v>
      </c>
      <c r="CQ1481">
        <v>180</v>
      </c>
      <c r="CR1481">
        <v>1</v>
      </c>
      <c r="CW1481">
        <v>10780376</v>
      </c>
      <c r="CY1481">
        <v>1</v>
      </c>
      <c r="CZ1481">
        <v>0</v>
      </c>
      <c r="DA1481">
        <v>1</v>
      </c>
      <c r="DB1481">
        <v>0</v>
      </c>
      <c r="DC1481">
        <v>0</v>
      </c>
      <c r="DD1481">
        <v>0</v>
      </c>
      <c r="DE1481">
        <v>0</v>
      </c>
      <c r="DF1481">
        <v>0</v>
      </c>
      <c r="DG1481">
        <v>0</v>
      </c>
      <c r="DH1481">
        <v>0</v>
      </c>
      <c r="DI1481">
        <v>0</v>
      </c>
    </row>
    <row r="1482" spans="1:113" x14ac:dyDescent="0.3">
      <c r="A1482" t="str">
        <f>"02/08/2021 20:20:59.034"</f>
        <v>02/08/2021 20:20:59.034</v>
      </c>
      <c r="C1482" t="str">
        <f t="shared" si="71"/>
        <v>FFDFD7C0</v>
      </c>
      <c r="D1482" t="s">
        <v>124</v>
      </c>
      <c r="E1482">
        <v>13</v>
      </c>
      <c r="F1482">
        <v>1013</v>
      </c>
      <c r="G1482" t="s">
        <v>114</v>
      </c>
      <c r="J1482" t="s">
        <v>125</v>
      </c>
      <c r="K1482">
        <v>0</v>
      </c>
      <c r="L1482">
        <v>3</v>
      </c>
      <c r="M1482">
        <v>0</v>
      </c>
      <c r="N1482">
        <v>2</v>
      </c>
      <c r="O1482">
        <v>1</v>
      </c>
      <c r="P1482">
        <v>0</v>
      </c>
      <c r="Q1482">
        <v>0</v>
      </c>
      <c r="S1482" t="str">
        <f>"20:21:01.344"</f>
        <v>20:21:01.344</v>
      </c>
      <c r="T1482" t="str">
        <f>"20:21:00.444"</f>
        <v>20:21:00.444</v>
      </c>
      <c r="U1482" t="str">
        <f t="shared" si="70"/>
        <v>AB01F4</v>
      </c>
      <c r="V1482">
        <v>0</v>
      </c>
      <c r="W1482">
        <v>0</v>
      </c>
      <c r="X1482">
        <v>2</v>
      </c>
      <c r="Z1482">
        <v>0</v>
      </c>
      <c r="AA1482">
        <v>9</v>
      </c>
      <c r="AB1482">
        <v>3</v>
      </c>
      <c r="AC1482">
        <v>0</v>
      </c>
      <c r="AD1482">
        <v>10</v>
      </c>
      <c r="AE1482">
        <v>0</v>
      </c>
      <c r="AF1482">
        <v>3</v>
      </c>
      <c r="AG1482">
        <v>2</v>
      </c>
      <c r="AH1482">
        <v>0</v>
      </c>
      <c r="AI1482" t="s">
        <v>993</v>
      </c>
      <c r="AJ1482">
        <v>39.822242000000003</v>
      </c>
      <c r="AK1482" t="s">
        <v>994</v>
      </c>
      <c r="AL1482">
        <v>-92.526083</v>
      </c>
      <c r="AM1482">
        <v>100</v>
      </c>
      <c r="AN1482">
        <v>1700</v>
      </c>
      <c r="AO1482" t="s">
        <v>118</v>
      </c>
      <c r="AP1482">
        <v>-29</v>
      </c>
      <c r="AQ1482">
        <v>118</v>
      </c>
      <c r="AR1482">
        <v>128</v>
      </c>
      <c r="AZ1482">
        <v>1200</v>
      </c>
      <c r="BA1482">
        <v>1</v>
      </c>
      <c r="BB1482" t="str">
        <f t="shared" si="69"/>
        <v xml:space="preserve">N8080G  </v>
      </c>
      <c r="BC1482">
        <v>1</v>
      </c>
      <c r="BE1482">
        <v>0</v>
      </c>
      <c r="BF1482">
        <v>0</v>
      </c>
      <c r="BG1482">
        <v>0</v>
      </c>
      <c r="BH1482">
        <v>1700</v>
      </c>
      <c r="BI1482">
        <v>1</v>
      </c>
      <c r="BJ1482">
        <v>1</v>
      </c>
      <c r="BK1482">
        <v>1</v>
      </c>
      <c r="BL1482">
        <v>0</v>
      </c>
      <c r="BO1482">
        <v>0</v>
      </c>
      <c r="BP1482">
        <v>0</v>
      </c>
      <c r="BW1482" t="str">
        <f>"20:21:01.350"</f>
        <v>20:21:01.350</v>
      </c>
      <c r="BZ1482">
        <v>0</v>
      </c>
      <c r="CA1482">
        <v>2016</v>
      </c>
      <c r="CB1482">
        <v>224</v>
      </c>
      <c r="CD1482">
        <v>1</v>
      </c>
      <c r="CE1482">
        <v>0</v>
      </c>
      <c r="CF1482">
        <v>0</v>
      </c>
      <c r="CG1482">
        <v>1</v>
      </c>
      <c r="CH1482">
        <v>0</v>
      </c>
      <c r="CI1482">
        <v>0</v>
      </c>
      <c r="CJ1482">
        <v>0</v>
      </c>
      <c r="CK1482">
        <v>2</v>
      </c>
      <c r="CL1482">
        <v>0</v>
      </c>
      <c r="CM1482">
        <v>2</v>
      </c>
      <c r="CN1482">
        <v>0</v>
      </c>
      <c r="CO1482">
        <v>7</v>
      </c>
      <c r="CP1482" t="s">
        <v>119</v>
      </c>
      <c r="CQ1482">
        <v>180</v>
      </c>
      <c r="CR1482">
        <v>1</v>
      </c>
      <c r="CW1482">
        <v>10780376</v>
      </c>
      <c r="CY1482">
        <v>1</v>
      </c>
      <c r="CZ1482">
        <v>0</v>
      </c>
      <c r="DA1482">
        <v>1</v>
      </c>
      <c r="DB1482">
        <v>0</v>
      </c>
      <c r="DC1482">
        <v>0</v>
      </c>
      <c r="DD1482">
        <v>0</v>
      </c>
      <c r="DE1482">
        <v>0</v>
      </c>
      <c r="DF1482">
        <v>0</v>
      </c>
      <c r="DG1482">
        <v>0</v>
      </c>
      <c r="DH1482">
        <v>0</v>
      </c>
      <c r="DI1482">
        <v>0</v>
      </c>
    </row>
    <row r="1483" spans="1:113" x14ac:dyDescent="0.3">
      <c r="A1483" t="str">
        <f>"02/08/2021 20:21:02.122"</f>
        <v>02/08/2021 20:21:02.122</v>
      </c>
      <c r="C1483" t="str">
        <f t="shared" si="71"/>
        <v>FFDFD7C0</v>
      </c>
      <c r="D1483" t="s">
        <v>124</v>
      </c>
      <c r="E1483">
        <v>13</v>
      </c>
      <c r="F1483">
        <v>1013</v>
      </c>
      <c r="G1483" t="s">
        <v>114</v>
      </c>
      <c r="J1483" t="s">
        <v>125</v>
      </c>
      <c r="K1483">
        <v>0</v>
      </c>
      <c r="L1483">
        <v>3</v>
      </c>
      <c r="M1483">
        <v>0</v>
      </c>
      <c r="N1483">
        <v>2</v>
      </c>
      <c r="O1483">
        <v>1</v>
      </c>
      <c r="P1483">
        <v>0</v>
      </c>
      <c r="Q1483">
        <v>0</v>
      </c>
      <c r="S1483" t="str">
        <f>"20:21:04.438"</f>
        <v>20:21:04.438</v>
      </c>
      <c r="T1483" t="str">
        <f>"20:21:04.038"</f>
        <v>20:21:04.038</v>
      </c>
      <c r="U1483" t="str">
        <f t="shared" si="70"/>
        <v>AB01F4</v>
      </c>
      <c r="V1483">
        <v>0</v>
      </c>
      <c r="W1483">
        <v>0</v>
      </c>
      <c r="X1483">
        <v>2</v>
      </c>
      <c r="Z1483">
        <v>0</v>
      </c>
      <c r="AA1483">
        <v>9</v>
      </c>
      <c r="AB1483">
        <v>3</v>
      </c>
      <c r="AC1483">
        <v>0</v>
      </c>
      <c r="AD1483">
        <v>10</v>
      </c>
      <c r="AE1483">
        <v>0</v>
      </c>
      <c r="AF1483">
        <v>3</v>
      </c>
      <c r="AG1483">
        <v>2</v>
      </c>
      <c r="AH1483">
        <v>0</v>
      </c>
      <c r="AI1483" t="s">
        <v>995</v>
      </c>
      <c r="AJ1483">
        <v>39.823895</v>
      </c>
      <c r="AK1483" t="s">
        <v>996</v>
      </c>
      <c r="AL1483">
        <v>-92.526618999999997</v>
      </c>
      <c r="AM1483">
        <v>100</v>
      </c>
      <c r="AN1483">
        <v>1700</v>
      </c>
      <c r="AO1483" t="s">
        <v>118</v>
      </c>
      <c r="AP1483">
        <v>-29</v>
      </c>
      <c r="AQ1483">
        <v>117</v>
      </c>
      <c r="AR1483">
        <v>64</v>
      </c>
      <c r="AZ1483">
        <v>1200</v>
      </c>
      <c r="BA1483">
        <v>1</v>
      </c>
      <c r="BB1483" t="str">
        <f t="shared" si="69"/>
        <v xml:space="preserve">N8080G  </v>
      </c>
      <c r="BC1483">
        <v>1</v>
      </c>
      <c r="BE1483">
        <v>0</v>
      </c>
      <c r="BF1483">
        <v>0</v>
      </c>
      <c r="BG1483">
        <v>0</v>
      </c>
      <c r="BH1483">
        <v>1700</v>
      </c>
      <c r="BI1483">
        <v>1</v>
      </c>
      <c r="BJ1483">
        <v>1</v>
      </c>
      <c r="BK1483">
        <v>1</v>
      </c>
      <c r="BL1483">
        <v>0</v>
      </c>
      <c r="BO1483">
        <v>0</v>
      </c>
      <c r="BP1483">
        <v>0</v>
      </c>
      <c r="BW1483" t="str">
        <f>"20:21:04.438"</f>
        <v>20:21:04.438</v>
      </c>
      <c r="BZ1483">
        <v>0</v>
      </c>
      <c r="CA1483">
        <v>2016</v>
      </c>
      <c r="CB1483">
        <v>224</v>
      </c>
      <c r="CD1483">
        <v>1</v>
      </c>
      <c r="CE1483">
        <v>0</v>
      </c>
      <c r="CF1483">
        <v>0</v>
      </c>
      <c r="CG1483">
        <v>1</v>
      </c>
      <c r="CH1483">
        <v>0</v>
      </c>
      <c r="CI1483">
        <v>0</v>
      </c>
      <c r="CJ1483">
        <v>0</v>
      </c>
      <c r="CK1483">
        <v>2</v>
      </c>
      <c r="CL1483">
        <v>0</v>
      </c>
      <c r="CM1483">
        <v>2</v>
      </c>
      <c r="CN1483">
        <v>0</v>
      </c>
      <c r="CO1483">
        <v>7</v>
      </c>
      <c r="CP1483" t="s">
        <v>119</v>
      </c>
      <c r="CQ1483">
        <v>180</v>
      </c>
      <c r="CR1483">
        <v>2</v>
      </c>
      <c r="CW1483">
        <v>8218087</v>
      </c>
      <c r="CY1483">
        <v>1</v>
      </c>
      <c r="CZ1483">
        <v>0</v>
      </c>
      <c r="DA1483">
        <v>0</v>
      </c>
      <c r="DB1483">
        <v>0</v>
      </c>
      <c r="DC1483">
        <v>0</v>
      </c>
      <c r="DD1483">
        <v>0</v>
      </c>
      <c r="DE1483">
        <v>0</v>
      </c>
      <c r="DF1483">
        <v>0</v>
      </c>
      <c r="DG1483">
        <v>0</v>
      </c>
      <c r="DH1483">
        <v>0</v>
      </c>
      <c r="DI1483">
        <v>0</v>
      </c>
    </row>
    <row r="1484" spans="1:113" x14ac:dyDescent="0.3">
      <c r="A1484" t="str">
        <f>"02/08/2021 20:21:02.122"</f>
        <v>02/08/2021 20:21:02.122</v>
      </c>
      <c r="C1484" t="str">
        <f t="shared" si="71"/>
        <v>FFDFD7C0</v>
      </c>
      <c r="D1484" t="s">
        <v>113</v>
      </c>
      <c r="E1484">
        <v>6</v>
      </c>
      <c r="H1484">
        <v>165</v>
      </c>
      <c r="I1484" t="s">
        <v>114</v>
      </c>
      <c r="J1484" t="s">
        <v>115</v>
      </c>
      <c r="K1484">
        <v>0</v>
      </c>
      <c r="L1484">
        <v>3</v>
      </c>
      <c r="M1484">
        <v>0</v>
      </c>
      <c r="N1484">
        <v>2</v>
      </c>
      <c r="O1484">
        <v>1</v>
      </c>
      <c r="P1484">
        <v>0</v>
      </c>
      <c r="Q1484">
        <v>0</v>
      </c>
      <c r="S1484" t="str">
        <f>"20:21:04.438"</f>
        <v>20:21:04.438</v>
      </c>
      <c r="T1484" t="str">
        <f>"20:21:04.038"</f>
        <v>20:21:04.038</v>
      </c>
      <c r="U1484" t="str">
        <f t="shared" si="70"/>
        <v>AB01F4</v>
      </c>
      <c r="V1484">
        <v>0</v>
      </c>
      <c r="W1484">
        <v>0</v>
      </c>
      <c r="X1484">
        <v>2</v>
      </c>
      <c r="Z1484">
        <v>0</v>
      </c>
      <c r="AA1484">
        <v>9</v>
      </c>
      <c r="AB1484">
        <v>3</v>
      </c>
      <c r="AC1484">
        <v>0</v>
      </c>
      <c r="AD1484">
        <v>10</v>
      </c>
      <c r="AE1484">
        <v>0</v>
      </c>
      <c r="AF1484">
        <v>3</v>
      </c>
      <c r="AG1484">
        <v>2</v>
      </c>
      <c r="AH1484">
        <v>0</v>
      </c>
      <c r="AI1484" t="s">
        <v>995</v>
      </c>
      <c r="AJ1484">
        <v>39.823895</v>
      </c>
      <c r="AK1484" t="s">
        <v>996</v>
      </c>
      <c r="AL1484">
        <v>-92.526618999999997</v>
      </c>
      <c r="AM1484">
        <v>100</v>
      </c>
      <c r="AN1484">
        <v>1700</v>
      </c>
      <c r="AO1484" t="s">
        <v>118</v>
      </c>
      <c r="AP1484">
        <v>-29</v>
      </c>
      <c r="AQ1484">
        <v>117</v>
      </c>
      <c r="AR1484">
        <v>64</v>
      </c>
      <c r="AZ1484">
        <v>1200</v>
      </c>
      <c r="BA1484">
        <v>1</v>
      </c>
      <c r="BB1484" t="str">
        <f t="shared" si="69"/>
        <v xml:space="preserve">N8080G  </v>
      </c>
      <c r="BC1484">
        <v>1</v>
      </c>
      <c r="BE1484">
        <v>0</v>
      </c>
      <c r="BF1484">
        <v>0</v>
      </c>
      <c r="BG1484">
        <v>0</v>
      </c>
      <c r="BH1484">
        <v>1700</v>
      </c>
      <c r="BI1484">
        <v>1</v>
      </c>
      <c r="BJ1484">
        <v>1</v>
      </c>
      <c r="BK1484">
        <v>1</v>
      </c>
      <c r="BL1484">
        <v>0</v>
      </c>
      <c r="BO1484">
        <v>0</v>
      </c>
      <c r="BP1484">
        <v>0</v>
      </c>
      <c r="BW1484" t="str">
        <f>"20:21:04.438"</f>
        <v>20:21:04.438</v>
      </c>
      <c r="BZ1484">
        <v>0</v>
      </c>
      <c r="CA1484">
        <v>2016</v>
      </c>
      <c r="CB1484">
        <v>224</v>
      </c>
      <c r="CD1484">
        <v>1</v>
      </c>
      <c r="CE1484">
        <v>0</v>
      </c>
      <c r="CF1484">
        <v>0</v>
      </c>
      <c r="CG1484">
        <v>1</v>
      </c>
      <c r="CH1484">
        <v>0</v>
      </c>
      <c r="CI1484">
        <v>0</v>
      </c>
      <c r="CJ1484">
        <v>0</v>
      </c>
      <c r="CK1484">
        <v>2</v>
      </c>
      <c r="CL1484">
        <v>0</v>
      </c>
      <c r="CM1484">
        <v>2</v>
      </c>
      <c r="CN1484">
        <v>0</v>
      </c>
      <c r="CO1484">
        <v>7</v>
      </c>
      <c r="CP1484" t="s">
        <v>119</v>
      </c>
      <c r="CQ1484">
        <v>180</v>
      </c>
      <c r="CR1484">
        <v>2</v>
      </c>
      <c r="CW1484">
        <v>8218087</v>
      </c>
      <c r="CY1484">
        <v>1</v>
      </c>
      <c r="CZ1484">
        <v>0</v>
      </c>
      <c r="DA1484">
        <v>1</v>
      </c>
      <c r="DB1484">
        <v>0</v>
      </c>
      <c r="DC1484">
        <v>0</v>
      </c>
      <c r="DD1484">
        <v>0</v>
      </c>
      <c r="DE1484">
        <v>0</v>
      </c>
      <c r="DF1484">
        <v>0</v>
      </c>
      <c r="DG1484">
        <v>0</v>
      </c>
      <c r="DH1484">
        <v>0</v>
      </c>
      <c r="DI1484">
        <v>0</v>
      </c>
    </row>
    <row r="1485" spans="1:113" x14ac:dyDescent="0.3">
      <c r="A1485" t="str">
        <f>"02/08/2021 20:21:02.122"</f>
        <v>02/08/2021 20:21:02.122</v>
      </c>
      <c r="C1485" t="str">
        <f t="shared" si="71"/>
        <v>FFDFD7C0</v>
      </c>
      <c r="D1485" t="s">
        <v>124</v>
      </c>
      <c r="E1485">
        <v>12</v>
      </c>
      <c r="F1485">
        <v>1012</v>
      </c>
      <c r="G1485" t="s">
        <v>675</v>
      </c>
      <c r="J1485" t="s">
        <v>125</v>
      </c>
      <c r="K1485">
        <v>0</v>
      </c>
      <c r="L1485">
        <v>3</v>
      </c>
      <c r="M1485">
        <v>0</v>
      </c>
      <c r="N1485">
        <v>2</v>
      </c>
      <c r="O1485">
        <v>1</v>
      </c>
      <c r="P1485">
        <v>0</v>
      </c>
      <c r="Q1485">
        <v>0</v>
      </c>
      <c r="S1485" t="str">
        <f>"20:21:04.438"</f>
        <v>20:21:04.438</v>
      </c>
      <c r="T1485" t="str">
        <f>"20:21:04.038"</f>
        <v>20:21:04.038</v>
      </c>
      <c r="U1485" t="str">
        <f t="shared" si="70"/>
        <v>AB01F4</v>
      </c>
      <c r="V1485">
        <v>0</v>
      </c>
      <c r="W1485">
        <v>0</v>
      </c>
      <c r="X1485">
        <v>2</v>
      </c>
      <c r="Z1485">
        <v>0</v>
      </c>
      <c r="AA1485">
        <v>9</v>
      </c>
      <c r="AB1485">
        <v>3</v>
      </c>
      <c r="AC1485">
        <v>0</v>
      </c>
      <c r="AD1485">
        <v>10</v>
      </c>
      <c r="AE1485">
        <v>0</v>
      </c>
      <c r="AF1485">
        <v>3</v>
      </c>
      <c r="AG1485">
        <v>2</v>
      </c>
      <c r="AH1485">
        <v>0</v>
      </c>
      <c r="AI1485" t="s">
        <v>995</v>
      </c>
      <c r="AJ1485">
        <v>39.823895</v>
      </c>
      <c r="AK1485" t="s">
        <v>996</v>
      </c>
      <c r="AL1485">
        <v>-92.526618999999997</v>
      </c>
      <c r="AM1485">
        <v>100</v>
      </c>
      <c r="AN1485">
        <v>1700</v>
      </c>
      <c r="AO1485" t="s">
        <v>118</v>
      </c>
      <c r="AP1485">
        <v>-29</v>
      </c>
      <c r="AQ1485">
        <v>117</v>
      </c>
      <c r="AR1485">
        <v>64</v>
      </c>
      <c r="AZ1485">
        <v>1200</v>
      </c>
      <c r="BA1485">
        <v>1</v>
      </c>
      <c r="BB1485" t="str">
        <f t="shared" si="69"/>
        <v xml:space="preserve">N8080G  </v>
      </c>
      <c r="BC1485">
        <v>1</v>
      </c>
      <c r="BE1485">
        <v>0</v>
      </c>
      <c r="BF1485">
        <v>0</v>
      </c>
      <c r="BG1485">
        <v>0</v>
      </c>
      <c r="BH1485">
        <v>1700</v>
      </c>
      <c r="BI1485">
        <v>1</v>
      </c>
      <c r="BJ1485">
        <v>1</v>
      </c>
      <c r="BK1485">
        <v>1</v>
      </c>
      <c r="BL1485">
        <v>0</v>
      </c>
      <c r="BO1485">
        <v>0</v>
      </c>
      <c r="BP1485">
        <v>0</v>
      </c>
      <c r="BW1485" t="str">
        <f>"20:21:04.438"</f>
        <v>20:21:04.438</v>
      </c>
      <c r="BZ1485">
        <v>0</v>
      </c>
      <c r="CA1485">
        <v>2016</v>
      </c>
      <c r="CB1485">
        <v>224</v>
      </c>
      <c r="CD1485">
        <v>1</v>
      </c>
      <c r="CE1485">
        <v>0</v>
      </c>
      <c r="CF1485">
        <v>0</v>
      </c>
      <c r="CG1485">
        <v>1</v>
      </c>
      <c r="CH1485">
        <v>0</v>
      </c>
      <c r="CI1485">
        <v>0</v>
      </c>
      <c r="CJ1485">
        <v>0</v>
      </c>
      <c r="CK1485">
        <v>2</v>
      </c>
      <c r="CL1485">
        <v>0</v>
      </c>
      <c r="CM1485">
        <v>2</v>
      </c>
      <c r="CN1485">
        <v>0</v>
      </c>
      <c r="CO1485">
        <v>7</v>
      </c>
      <c r="CP1485" t="s">
        <v>119</v>
      </c>
      <c r="CQ1485">
        <v>180</v>
      </c>
      <c r="CR1485">
        <v>2</v>
      </c>
      <c r="CW1485">
        <v>8218087</v>
      </c>
      <c r="CY1485">
        <v>1</v>
      </c>
      <c r="CZ1485">
        <v>0</v>
      </c>
      <c r="DA1485">
        <v>1</v>
      </c>
      <c r="DB1485">
        <v>0</v>
      </c>
      <c r="DC1485">
        <v>0</v>
      </c>
      <c r="DD1485">
        <v>0</v>
      </c>
      <c r="DE1485">
        <v>0</v>
      </c>
      <c r="DF1485">
        <v>0</v>
      </c>
      <c r="DG1485">
        <v>0</v>
      </c>
      <c r="DH1485">
        <v>0</v>
      </c>
      <c r="DI1485">
        <v>0</v>
      </c>
    </row>
    <row r="1486" spans="1:113" x14ac:dyDescent="0.3">
      <c r="A1486" t="str">
        <f>"02/08/2021 20:21:02.122"</f>
        <v>02/08/2021 20:21:02.122</v>
      </c>
      <c r="C1486" t="str">
        <f t="shared" si="71"/>
        <v>FFDFD7C0</v>
      </c>
      <c r="D1486" t="s">
        <v>124</v>
      </c>
      <c r="E1486">
        <v>11</v>
      </c>
      <c r="F1486">
        <v>1011</v>
      </c>
      <c r="G1486" t="s">
        <v>590</v>
      </c>
      <c r="J1486" t="s">
        <v>125</v>
      </c>
      <c r="K1486">
        <v>0</v>
      </c>
      <c r="L1486">
        <v>3</v>
      </c>
      <c r="M1486">
        <v>0</v>
      </c>
      <c r="N1486">
        <v>2</v>
      </c>
      <c r="O1486">
        <v>1</v>
      </c>
      <c r="P1486">
        <v>0</v>
      </c>
      <c r="Q1486">
        <v>0</v>
      </c>
      <c r="S1486" t="str">
        <f>"20:21:04.438"</f>
        <v>20:21:04.438</v>
      </c>
      <c r="T1486" t="str">
        <f>"20:21:04.038"</f>
        <v>20:21:04.038</v>
      </c>
      <c r="U1486" t="str">
        <f t="shared" si="70"/>
        <v>AB01F4</v>
      </c>
      <c r="V1486">
        <v>0</v>
      </c>
      <c r="W1486">
        <v>0</v>
      </c>
      <c r="X1486">
        <v>2</v>
      </c>
      <c r="Z1486">
        <v>0</v>
      </c>
      <c r="AA1486">
        <v>9</v>
      </c>
      <c r="AB1486">
        <v>3</v>
      </c>
      <c r="AC1486">
        <v>0</v>
      </c>
      <c r="AD1486">
        <v>10</v>
      </c>
      <c r="AE1486">
        <v>0</v>
      </c>
      <c r="AF1486">
        <v>3</v>
      </c>
      <c r="AG1486">
        <v>2</v>
      </c>
      <c r="AH1486">
        <v>0</v>
      </c>
      <c r="AI1486" t="s">
        <v>995</v>
      </c>
      <c r="AJ1486">
        <v>39.823895</v>
      </c>
      <c r="AK1486" t="s">
        <v>996</v>
      </c>
      <c r="AL1486">
        <v>-92.526618999999997</v>
      </c>
      <c r="AM1486">
        <v>100</v>
      </c>
      <c r="AN1486">
        <v>1700</v>
      </c>
      <c r="AO1486" t="s">
        <v>118</v>
      </c>
      <c r="AP1486">
        <v>-29</v>
      </c>
      <c r="AQ1486">
        <v>117</v>
      </c>
      <c r="AR1486">
        <v>64</v>
      </c>
      <c r="AZ1486">
        <v>1200</v>
      </c>
      <c r="BA1486">
        <v>1</v>
      </c>
      <c r="BB1486" t="str">
        <f t="shared" si="69"/>
        <v xml:space="preserve">N8080G  </v>
      </c>
      <c r="BC1486">
        <v>1</v>
      </c>
      <c r="BE1486">
        <v>0</v>
      </c>
      <c r="BF1486">
        <v>0</v>
      </c>
      <c r="BG1486">
        <v>0</v>
      </c>
      <c r="BH1486">
        <v>1700</v>
      </c>
      <c r="BI1486">
        <v>1</v>
      </c>
      <c r="BJ1486">
        <v>1</v>
      </c>
      <c r="BK1486">
        <v>1</v>
      </c>
      <c r="BL1486">
        <v>0</v>
      </c>
      <c r="BO1486">
        <v>0</v>
      </c>
      <c r="BP1486">
        <v>0</v>
      </c>
      <c r="BW1486" t="str">
        <f>"20:21:04.438"</f>
        <v>20:21:04.438</v>
      </c>
      <c r="BZ1486">
        <v>0</v>
      </c>
      <c r="CA1486">
        <v>2016</v>
      </c>
      <c r="CB1486">
        <v>224</v>
      </c>
      <c r="CD1486">
        <v>1</v>
      </c>
      <c r="CE1486">
        <v>0</v>
      </c>
      <c r="CF1486">
        <v>0</v>
      </c>
      <c r="CG1486">
        <v>1</v>
      </c>
      <c r="CH1486">
        <v>0</v>
      </c>
      <c r="CI1486">
        <v>0</v>
      </c>
      <c r="CJ1486">
        <v>0</v>
      </c>
      <c r="CK1486">
        <v>2</v>
      </c>
      <c r="CL1486">
        <v>0</v>
      </c>
      <c r="CM1486">
        <v>2</v>
      </c>
      <c r="CN1486">
        <v>0</v>
      </c>
      <c r="CO1486">
        <v>7</v>
      </c>
      <c r="CP1486" t="s">
        <v>119</v>
      </c>
      <c r="CQ1486">
        <v>180</v>
      </c>
      <c r="CR1486">
        <v>2</v>
      </c>
      <c r="CW1486">
        <v>8218087</v>
      </c>
      <c r="CY1486">
        <v>1</v>
      </c>
      <c r="CZ1486">
        <v>0</v>
      </c>
      <c r="DA1486">
        <v>1</v>
      </c>
      <c r="DB1486">
        <v>0</v>
      </c>
      <c r="DC1486">
        <v>0</v>
      </c>
      <c r="DD1486">
        <v>0</v>
      </c>
      <c r="DE1486">
        <v>0</v>
      </c>
      <c r="DF1486">
        <v>0</v>
      </c>
      <c r="DG1486">
        <v>0</v>
      </c>
      <c r="DH1486">
        <v>0</v>
      </c>
      <c r="DI1486">
        <v>0</v>
      </c>
    </row>
    <row r="1487" spans="1:113" x14ac:dyDescent="0.3">
      <c r="A1487" t="str">
        <f>"02/08/2021 20:21:03.678"</f>
        <v>02/08/2021 20:21:03.678</v>
      </c>
      <c r="C1487" t="str">
        <f t="shared" si="71"/>
        <v>FFDFD7C0</v>
      </c>
      <c r="D1487" t="s">
        <v>124</v>
      </c>
      <c r="E1487">
        <v>11</v>
      </c>
      <c r="F1487">
        <v>1011</v>
      </c>
      <c r="G1487" t="s">
        <v>590</v>
      </c>
      <c r="J1487" t="s">
        <v>125</v>
      </c>
      <c r="K1487">
        <v>0</v>
      </c>
      <c r="L1487">
        <v>3</v>
      </c>
      <c r="M1487">
        <v>0</v>
      </c>
      <c r="N1487">
        <v>2</v>
      </c>
      <c r="O1487">
        <v>1</v>
      </c>
      <c r="P1487">
        <v>0</v>
      </c>
      <c r="Q1487">
        <v>0</v>
      </c>
      <c r="S1487" t="str">
        <f>"20:21:06.008"</f>
        <v>20:21:06.008</v>
      </c>
      <c r="T1487" t="str">
        <f>"20:21:05.608"</f>
        <v>20:21:05.608</v>
      </c>
      <c r="U1487" t="str">
        <f t="shared" si="70"/>
        <v>AB01F4</v>
      </c>
      <c r="V1487">
        <v>0</v>
      </c>
      <c r="W1487">
        <v>0</v>
      </c>
      <c r="X1487">
        <v>2</v>
      </c>
      <c r="Z1487">
        <v>0</v>
      </c>
      <c r="AA1487">
        <v>9</v>
      </c>
      <c r="AB1487">
        <v>3</v>
      </c>
      <c r="AC1487">
        <v>0</v>
      </c>
      <c r="AD1487">
        <v>10</v>
      </c>
      <c r="AE1487">
        <v>0</v>
      </c>
      <c r="AF1487">
        <v>3</v>
      </c>
      <c r="AG1487">
        <v>2</v>
      </c>
      <c r="AH1487">
        <v>0</v>
      </c>
      <c r="AI1487" t="s">
        <v>997</v>
      </c>
      <c r="AJ1487">
        <v>39.824753000000001</v>
      </c>
      <c r="AK1487" t="s">
        <v>998</v>
      </c>
      <c r="AL1487">
        <v>-92.526920000000004</v>
      </c>
      <c r="AM1487">
        <v>100</v>
      </c>
      <c r="AN1487">
        <v>1700</v>
      </c>
      <c r="AO1487" t="s">
        <v>118</v>
      </c>
      <c r="AP1487">
        <v>-29</v>
      </c>
      <c r="AQ1487">
        <v>118</v>
      </c>
      <c r="AR1487">
        <v>0</v>
      </c>
      <c r="AZ1487">
        <v>1200</v>
      </c>
      <c r="BA1487">
        <v>1</v>
      </c>
      <c r="BB1487" t="str">
        <f t="shared" ref="BB1487:BB1550" si="72">"N8080G  "</f>
        <v xml:space="preserve">N8080G  </v>
      </c>
      <c r="BC1487">
        <v>1</v>
      </c>
      <c r="BE1487">
        <v>0</v>
      </c>
      <c r="BF1487">
        <v>0</v>
      </c>
      <c r="BG1487">
        <v>0</v>
      </c>
      <c r="BH1487">
        <v>1700</v>
      </c>
      <c r="BI1487">
        <v>1</v>
      </c>
      <c r="BJ1487">
        <v>1</v>
      </c>
      <c r="BK1487">
        <v>1</v>
      </c>
      <c r="BL1487">
        <v>0</v>
      </c>
      <c r="BO1487">
        <v>0</v>
      </c>
      <c r="BP1487">
        <v>0</v>
      </c>
      <c r="BW1487" t="str">
        <f>"20:21:06.009"</f>
        <v>20:21:06.009</v>
      </c>
      <c r="BZ1487">
        <v>0</v>
      </c>
      <c r="CA1487">
        <v>2016</v>
      </c>
      <c r="CB1487">
        <v>224</v>
      </c>
      <c r="CD1487">
        <v>1</v>
      </c>
      <c r="CE1487">
        <v>0</v>
      </c>
      <c r="CF1487">
        <v>0</v>
      </c>
      <c r="CG1487">
        <v>1</v>
      </c>
      <c r="CH1487">
        <v>0</v>
      </c>
      <c r="CI1487">
        <v>0</v>
      </c>
      <c r="CJ1487">
        <v>0</v>
      </c>
      <c r="CK1487">
        <v>2</v>
      </c>
      <c r="CL1487">
        <v>0</v>
      </c>
      <c r="CM1487">
        <v>2</v>
      </c>
      <c r="CN1487">
        <v>0</v>
      </c>
      <c r="CO1487">
        <v>7</v>
      </c>
      <c r="CP1487" t="s">
        <v>119</v>
      </c>
      <c r="CQ1487">
        <v>180</v>
      </c>
      <c r="CR1487">
        <v>1</v>
      </c>
      <c r="CW1487">
        <v>10784199</v>
      </c>
      <c r="CY1487">
        <v>1</v>
      </c>
      <c r="CZ1487">
        <v>0</v>
      </c>
      <c r="DA1487">
        <v>0</v>
      </c>
      <c r="DB1487">
        <v>0</v>
      </c>
      <c r="DC1487">
        <v>0</v>
      </c>
      <c r="DD1487">
        <v>0</v>
      </c>
      <c r="DE1487">
        <v>0</v>
      </c>
      <c r="DF1487">
        <v>0</v>
      </c>
      <c r="DG1487">
        <v>0</v>
      </c>
      <c r="DH1487">
        <v>0</v>
      </c>
      <c r="DI1487">
        <v>0</v>
      </c>
    </row>
    <row r="1488" spans="1:113" x14ac:dyDescent="0.3">
      <c r="A1488" t="str">
        <f>"02/08/2021 20:21:03.678"</f>
        <v>02/08/2021 20:21:03.678</v>
      </c>
      <c r="C1488" t="str">
        <f t="shared" si="71"/>
        <v>FFDFD7C0</v>
      </c>
      <c r="D1488" t="s">
        <v>124</v>
      </c>
      <c r="E1488">
        <v>13</v>
      </c>
      <c r="F1488">
        <v>1013</v>
      </c>
      <c r="G1488" t="s">
        <v>114</v>
      </c>
      <c r="J1488" t="s">
        <v>125</v>
      </c>
      <c r="K1488">
        <v>0</v>
      </c>
      <c r="L1488">
        <v>3</v>
      </c>
      <c r="M1488">
        <v>0</v>
      </c>
      <c r="N1488">
        <v>2</v>
      </c>
      <c r="O1488">
        <v>1</v>
      </c>
      <c r="P1488">
        <v>0</v>
      </c>
      <c r="Q1488">
        <v>0</v>
      </c>
      <c r="S1488" t="str">
        <f>"20:21:06.008"</f>
        <v>20:21:06.008</v>
      </c>
      <c r="T1488" t="str">
        <f>"20:21:05.608"</f>
        <v>20:21:05.608</v>
      </c>
      <c r="U1488" t="str">
        <f t="shared" si="70"/>
        <v>AB01F4</v>
      </c>
      <c r="V1488">
        <v>0</v>
      </c>
      <c r="W1488">
        <v>0</v>
      </c>
      <c r="X1488">
        <v>2</v>
      </c>
      <c r="Z1488">
        <v>0</v>
      </c>
      <c r="AA1488">
        <v>9</v>
      </c>
      <c r="AB1488">
        <v>3</v>
      </c>
      <c r="AC1488">
        <v>0</v>
      </c>
      <c r="AD1488">
        <v>10</v>
      </c>
      <c r="AE1488">
        <v>0</v>
      </c>
      <c r="AF1488">
        <v>3</v>
      </c>
      <c r="AG1488">
        <v>2</v>
      </c>
      <c r="AH1488">
        <v>0</v>
      </c>
      <c r="AI1488" t="s">
        <v>997</v>
      </c>
      <c r="AJ1488">
        <v>39.824753000000001</v>
      </c>
      <c r="AK1488" t="s">
        <v>998</v>
      </c>
      <c r="AL1488">
        <v>-92.526920000000004</v>
      </c>
      <c r="AM1488">
        <v>100</v>
      </c>
      <c r="AN1488">
        <v>1700</v>
      </c>
      <c r="AO1488" t="s">
        <v>118</v>
      </c>
      <c r="AP1488">
        <v>-29</v>
      </c>
      <c r="AQ1488">
        <v>118</v>
      </c>
      <c r="AR1488">
        <v>0</v>
      </c>
      <c r="AZ1488">
        <v>1200</v>
      </c>
      <c r="BA1488">
        <v>1</v>
      </c>
      <c r="BB1488" t="str">
        <f t="shared" si="72"/>
        <v xml:space="preserve">N8080G  </v>
      </c>
      <c r="BC1488">
        <v>1</v>
      </c>
      <c r="BE1488">
        <v>0</v>
      </c>
      <c r="BF1488">
        <v>0</v>
      </c>
      <c r="BG1488">
        <v>0</v>
      </c>
      <c r="BH1488">
        <v>1700</v>
      </c>
      <c r="BI1488">
        <v>1</v>
      </c>
      <c r="BJ1488">
        <v>1</v>
      </c>
      <c r="BK1488">
        <v>1</v>
      </c>
      <c r="BL1488">
        <v>0</v>
      </c>
      <c r="BO1488">
        <v>0</v>
      </c>
      <c r="BP1488">
        <v>0</v>
      </c>
      <c r="BW1488" t="str">
        <f>"20:21:06.009"</f>
        <v>20:21:06.009</v>
      </c>
      <c r="BZ1488">
        <v>0</v>
      </c>
      <c r="CA1488">
        <v>2016</v>
      </c>
      <c r="CB1488">
        <v>224</v>
      </c>
      <c r="CD1488">
        <v>1</v>
      </c>
      <c r="CE1488">
        <v>0</v>
      </c>
      <c r="CF1488">
        <v>0</v>
      </c>
      <c r="CG1488">
        <v>1</v>
      </c>
      <c r="CH1488">
        <v>0</v>
      </c>
      <c r="CI1488">
        <v>0</v>
      </c>
      <c r="CJ1488">
        <v>0</v>
      </c>
      <c r="CK1488">
        <v>2</v>
      </c>
      <c r="CL1488">
        <v>0</v>
      </c>
      <c r="CM1488">
        <v>2</v>
      </c>
      <c r="CN1488">
        <v>0</v>
      </c>
      <c r="CO1488">
        <v>7</v>
      </c>
      <c r="CP1488" t="s">
        <v>119</v>
      </c>
      <c r="CQ1488">
        <v>180</v>
      </c>
      <c r="CR1488">
        <v>1</v>
      </c>
      <c r="CW1488">
        <v>10784199</v>
      </c>
      <c r="CY1488">
        <v>1</v>
      </c>
      <c r="CZ1488">
        <v>0</v>
      </c>
      <c r="DA1488">
        <v>1</v>
      </c>
      <c r="DB1488">
        <v>0</v>
      </c>
      <c r="DC1488">
        <v>0</v>
      </c>
      <c r="DD1488">
        <v>0</v>
      </c>
      <c r="DE1488">
        <v>0</v>
      </c>
      <c r="DF1488">
        <v>0</v>
      </c>
      <c r="DG1488">
        <v>0</v>
      </c>
      <c r="DH1488">
        <v>0</v>
      </c>
      <c r="DI1488">
        <v>0</v>
      </c>
    </row>
    <row r="1489" spans="1:113" x14ac:dyDescent="0.3">
      <c r="A1489" t="str">
        <f>"02/08/2021 20:21:03.678"</f>
        <v>02/08/2021 20:21:03.678</v>
      </c>
      <c r="C1489" t="str">
        <f t="shared" si="71"/>
        <v>FFDFD7C0</v>
      </c>
      <c r="D1489" t="s">
        <v>113</v>
      </c>
      <c r="E1489">
        <v>6</v>
      </c>
      <c r="H1489">
        <v>165</v>
      </c>
      <c r="I1489" t="s">
        <v>114</v>
      </c>
      <c r="J1489" t="s">
        <v>115</v>
      </c>
      <c r="K1489">
        <v>0</v>
      </c>
      <c r="L1489">
        <v>3</v>
      </c>
      <c r="M1489">
        <v>0</v>
      </c>
      <c r="N1489">
        <v>2</v>
      </c>
      <c r="O1489">
        <v>1</v>
      </c>
      <c r="P1489">
        <v>0</v>
      </c>
      <c r="Q1489">
        <v>0</v>
      </c>
      <c r="S1489" t="str">
        <f>"20:21:06.008"</f>
        <v>20:21:06.008</v>
      </c>
      <c r="T1489" t="str">
        <f>"20:21:05.608"</f>
        <v>20:21:05.608</v>
      </c>
      <c r="U1489" t="str">
        <f t="shared" si="70"/>
        <v>AB01F4</v>
      </c>
      <c r="V1489">
        <v>0</v>
      </c>
      <c r="W1489">
        <v>0</v>
      </c>
      <c r="X1489">
        <v>2</v>
      </c>
      <c r="Z1489">
        <v>0</v>
      </c>
      <c r="AA1489">
        <v>9</v>
      </c>
      <c r="AB1489">
        <v>3</v>
      </c>
      <c r="AC1489">
        <v>0</v>
      </c>
      <c r="AD1489">
        <v>10</v>
      </c>
      <c r="AE1489">
        <v>0</v>
      </c>
      <c r="AF1489">
        <v>3</v>
      </c>
      <c r="AG1489">
        <v>2</v>
      </c>
      <c r="AH1489">
        <v>0</v>
      </c>
      <c r="AI1489" t="s">
        <v>997</v>
      </c>
      <c r="AJ1489">
        <v>39.824753000000001</v>
      </c>
      <c r="AK1489" t="s">
        <v>998</v>
      </c>
      <c r="AL1489">
        <v>-92.526920000000004</v>
      </c>
      <c r="AM1489">
        <v>100</v>
      </c>
      <c r="AN1489">
        <v>1700</v>
      </c>
      <c r="AO1489" t="s">
        <v>118</v>
      </c>
      <c r="AP1489">
        <v>-29</v>
      </c>
      <c r="AQ1489">
        <v>118</v>
      </c>
      <c r="AR1489">
        <v>0</v>
      </c>
      <c r="AZ1489">
        <v>1200</v>
      </c>
      <c r="BA1489">
        <v>1</v>
      </c>
      <c r="BB1489" t="str">
        <f t="shared" si="72"/>
        <v xml:space="preserve">N8080G  </v>
      </c>
      <c r="BC1489">
        <v>1</v>
      </c>
      <c r="BE1489">
        <v>0</v>
      </c>
      <c r="BF1489">
        <v>0</v>
      </c>
      <c r="BG1489">
        <v>0</v>
      </c>
      <c r="BH1489">
        <v>1700</v>
      </c>
      <c r="BI1489">
        <v>1</v>
      </c>
      <c r="BJ1489">
        <v>1</v>
      </c>
      <c r="BK1489">
        <v>1</v>
      </c>
      <c r="BL1489">
        <v>0</v>
      </c>
      <c r="BO1489">
        <v>0</v>
      </c>
      <c r="BP1489">
        <v>0</v>
      </c>
      <c r="BW1489" t="str">
        <f>"20:21:06.009"</f>
        <v>20:21:06.009</v>
      </c>
      <c r="BZ1489">
        <v>0</v>
      </c>
      <c r="CA1489">
        <v>2016</v>
      </c>
      <c r="CB1489">
        <v>224</v>
      </c>
      <c r="CD1489">
        <v>1</v>
      </c>
      <c r="CE1489">
        <v>0</v>
      </c>
      <c r="CF1489">
        <v>0</v>
      </c>
      <c r="CG1489">
        <v>1</v>
      </c>
      <c r="CH1489">
        <v>0</v>
      </c>
      <c r="CI1489">
        <v>0</v>
      </c>
      <c r="CJ1489">
        <v>0</v>
      </c>
      <c r="CK1489">
        <v>2</v>
      </c>
      <c r="CL1489">
        <v>0</v>
      </c>
      <c r="CM1489">
        <v>2</v>
      </c>
      <c r="CN1489">
        <v>0</v>
      </c>
      <c r="CO1489">
        <v>7</v>
      </c>
      <c r="CP1489" t="s">
        <v>119</v>
      </c>
      <c r="CQ1489">
        <v>180</v>
      </c>
      <c r="CR1489">
        <v>1</v>
      </c>
      <c r="CW1489">
        <v>10784199</v>
      </c>
      <c r="CY1489">
        <v>1</v>
      </c>
      <c r="CZ1489">
        <v>0</v>
      </c>
      <c r="DA1489">
        <v>1</v>
      </c>
      <c r="DB1489">
        <v>0</v>
      </c>
      <c r="DC1489">
        <v>0</v>
      </c>
      <c r="DD1489">
        <v>0</v>
      </c>
      <c r="DE1489">
        <v>0</v>
      </c>
      <c r="DF1489">
        <v>0</v>
      </c>
      <c r="DG1489">
        <v>0</v>
      </c>
      <c r="DH1489">
        <v>0</v>
      </c>
      <c r="DI1489">
        <v>0</v>
      </c>
    </row>
    <row r="1490" spans="1:113" x14ac:dyDescent="0.3">
      <c r="A1490" t="str">
        <f>"02/08/2021 20:21:03.678"</f>
        <v>02/08/2021 20:21:03.678</v>
      </c>
      <c r="C1490" t="str">
        <f t="shared" si="71"/>
        <v>FFDFD7C0</v>
      </c>
      <c r="D1490" t="s">
        <v>124</v>
      </c>
      <c r="E1490">
        <v>12</v>
      </c>
      <c r="F1490">
        <v>1012</v>
      </c>
      <c r="G1490" t="s">
        <v>675</v>
      </c>
      <c r="J1490" t="s">
        <v>125</v>
      </c>
      <c r="K1490">
        <v>0</v>
      </c>
      <c r="L1490">
        <v>3</v>
      </c>
      <c r="M1490">
        <v>0</v>
      </c>
      <c r="N1490">
        <v>2</v>
      </c>
      <c r="O1490">
        <v>1</v>
      </c>
      <c r="P1490">
        <v>0</v>
      </c>
      <c r="Q1490">
        <v>0</v>
      </c>
      <c r="S1490" t="str">
        <f>"20:21:06.008"</f>
        <v>20:21:06.008</v>
      </c>
      <c r="T1490" t="str">
        <f>"20:21:05.608"</f>
        <v>20:21:05.608</v>
      </c>
      <c r="U1490" t="str">
        <f t="shared" si="70"/>
        <v>AB01F4</v>
      </c>
      <c r="V1490">
        <v>0</v>
      </c>
      <c r="W1490">
        <v>0</v>
      </c>
      <c r="X1490">
        <v>2</v>
      </c>
      <c r="Z1490">
        <v>0</v>
      </c>
      <c r="AA1490">
        <v>9</v>
      </c>
      <c r="AB1490">
        <v>3</v>
      </c>
      <c r="AC1490">
        <v>0</v>
      </c>
      <c r="AD1490">
        <v>10</v>
      </c>
      <c r="AE1490">
        <v>0</v>
      </c>
      <c r="AF1490">
        <v>3</v>
      </c>
      <c r="AG1490">
        <v>2</v>
      </c>
      <c r="AH1490">
        <v>0</v>
      </c>
      <c r="AI1490" t="s">
        <v>997</v>
      </c>
      <c r="AJ1490">
        <v>39.824753000000001</v>
      </c>
      <c r="AK1490" t="s">
        <v>998</v>
      </c>
      <c r="AL1490">
        <v>-92.526920000000004</v>
      </c>
      <c r="AM1490">
        <v>100</v>
      </c>
      <c r="AN1490">
        <v>1700</v>
      </c>
      <c r="AO1490" t="s">
        <v>118</v>
      </c>
      <c r="AP1490">
        <v>-29</v>
      </c>
      <c r="AQ1490">
        <v>118</v>
      </c>
      <c r="AR1490">
        <v>0</v>
      </c>
      <c r="AZ1490">
        <v>1200</v>
      </c>
      <c r="BA1490">
        <v>1</v>
      </c>
      <c r="BB1490" t="str">
        <f t="shared" si="72"/>
        <v xml:space="preserve">N8080G  </v>
      </c>
      <c r="BC1490">
        <v>1</v>
      </c>
      <c r="BE1490">
        <v>0</v>
      </c>
      <c r="BF1490">
        <v>0</v>
      </c>
      <c r="BG1490">
        <v>0</v>
      </c>
      <c r="BH1490">
        <v>1700</v>
      </c>
      <c r="BI1490">
        <v>1</v>
      </c>
      <c r="BJ1490">
        <v>1</v>
      </c>
      <c r="BK1490">
        <v>1</v>
      </c>
      <c r="BL1490">
        <v>0</v>
      </c>
      <c r="BO1490">
        <v>0</v>
      </c>
      <c r="BP1490">
        <v>0</v>
      </c>
      <c r="BW1490" t="str">
        <f>"20:21:06.009"</f>
        <v>20:21:06.009</v>
      </c>
      <c r="BZ1490">
        <v>0</v>
      </c>
      <c r="CA1490">
        <v>2016</v>
      </c>
      <c r="CB1490">
        <v>224</v>
      </c>
      <c r="CD1490">
        <v>1</v>
      </c>
      <c r="CE1490">
        <v>0</v>
      </c>
      <c r="CF1490">
        <v>0</v>
      </c>
      <c r="CG1490">
        <v>1</v>
      </c>
      <c r="CH1490">
        <v>0</v>
      </c>
      <c r="CI1490">
        <v>0</v>
      </c>
      <c r="CJ1490">
        <v>0</v>
      </c>
      <c r="CK1490">
        <v>2</v>
      </c>
      <c r="CL1490">
        <v>0</v>
      </c>
      <c r="CM1490">
        <v>2</v>
      </c>
      <c r="CN1490">
        <v>0</v>
      </c>
      <c r="CO1490">
        <v>7</v>
      </c>
      <c r="CP1490" t="s">
        <v>119</v>
      </c>
      <c r="CQ1490">
        <v>180</v>
      </c>
      <c r="CR1490">
        <v>1</v>
      </c>
      <c r="CW1490">
        <v>10784199</v>
      </c>
      <c r="CY1490">
        <v>1</v>
      </c>
      <c r="CZ1490">
        <v>0</v>
      </c>
      <c r="DA1490">
        <v>1</v>
      </c>
      <c r="DB1490">
        <v>0</v>
      </c>
      <c r="DC1490">
        <v>0</v>
      </c>
      <c r="DD1490">
        <v>0</v>
      </c>
      <c r="DE1490">
        <v>0</v>
      </c>
      <c r="DF1490">
        <v>0</v>
      </c>
      <c r="DG1490">
        <v>0</v>
      </c>
      <c r="DH1490">
        <v>0</v>
      </c>
      <c r="DI1490">
        <v>0</v>
      </c>
    </row>
    <row r="1491" spans="1:113" x14ac:dyDescent="0.3">
      <c r="A1491" t="str">
        <f>"02/08/2021 20:21:05.140"</f>
        <v>02/08/2021 20:21:05.140</v>
      </c>
      <c r="C1491" t="str">
        <f t="shared" si="71"/>
        <v>FFDFD7C0</v>
      </c>
      <c r="D1491" t="s">
        <v>124</v>
      </c>
      <c r="E1491">
        <v>11</v>
      </c>
      <c r="F1491">
        <v>1011</v>
      </c>
      <c r="G1491" t="s">
        <v>590</v>
      </c>
      <c r="J1491" t="s">
        <v>125</v>
      </c>
      <c r="K1491">
        <v>0</v>
      </c>
      <c r="L1491">
        <v>3</v>
      </c>
      <c r="M1491">
        <v>0</v>
      </c>
      <c r="N1491">
        <v>2</v>
      </c>
      <c r="O1491">
        <v>1</v>
      </c>
      <c r="P1491">
        <v>0</v>
      </c>
      <c r="Q1491">
        <v>0</v>
      </c>
      <c r="S1491" t="str">
        <f>"20:21:07.445"</f>
        <v>20:21:07.445</v>
      </c>
      <c r="T1491" t="str">
        <f>"20:21:07.045"</f>
        <v>20:21:07.045</v>
      </c>
      <c r="U1491" t="str">
        <f t="shared" si="70"/>
        <v>AB01F4</v>
      </c>
      <c r="V1491">
        <v>0</v>
      </c>
      <c r="W1491">
        <v>0</v>
      </c>
      <c r="X1491">
        <v>2</v>
      </c>
      <c r="Z1491">
        <v>0</v>
      </c>
      <c r="AA1491">
        <v>9</v>
      </c>
      <c r="AB1491">
        <v>3</v>
      </c>
      <c r="AC1491">
        <v>0</v>
      </c>
      <c r="AD1491">
        <v>10</v>
      </c>
      <c r="AE1491">
        <v>0</v>
      </c>
      <c r="AF1491">
        <v>3</v>
      </c>
      <c r="AG1491">
        <v>2</v>
      </c>
      <c r="AH1491">
        <v>0</v>
      </c>
      <c r="AI1491" t="s">
        <v>999</v>
      </c>
      <c r="AJ1491">
        <v>39.825524999999999</v>
      </c>
      <c r="AK1491" t="s">
        <v>814</v>
      </c>
      <c r="AL1491">
        <v>-92.527156000000005</v>
      </c>
      <c r="AM1491">
        <v>100</v>
      </c>
      <c r="AN1491">
        <v>1700</v>
      </c>
      <c r="AO1491" t="s">
        <v>118</v>
      </c>
      <c r="AP1491">
        <v>-29</v>
      </c>
      <c r="AQ1491">
        <v>118</v>
      </c>
      <c r="AR1491">
        <v>-64</v>
      </c>
      <c r="AZ1491">
        <v>1200</v>
      </c>
      <c r="BA1491">
        <v>1</v>
      </c>
      <c r="BB1491" t="str">
        <f t="shared" si="72"/>
        <v xml:space="preserve">N8080G  </v>
      </c>
      <c r="BC1491">
        <v>1</v>
      </c>
      <c r="BE1491">
        <v>0</v>
      </c>
      <c r="BF1491">
        <v>0</v>
      </c>
      <c r="BG1491">
        <v>0</v>
      </c>
      <c r="BH1491">
        <v>1700</v>
      </c>
      <c r="BI1491">
        <v>1</v>
      </c>
      <c r="BJ1491">
        <v>1</v>
      </c>
      <c r="BK1491">
        <v>1</v>
      </c>
      <c r="BL1491">
        <v>0</v>
      </c>
      <c r="BO1491">
        <v>0</v>
      </c>
      <c r="BP1491">
        <v>0</v>
      </c>
      <c r="BW1491" t="str">
        <f>"20:21:07.446"</f>
        <v>20:21:07.446</v>
      </c>
      <c r="BZ1491">
        <v>0</v>
      </c>
      <c r="CA1491">
        <v>2016</v>
      </c>
      <c r="CB1491">
        <v>224</v>
      </c>
      <c r="CD1491">
        <v>1</v>
      </c>
      <c r="CE1491">
        <v>0</v>
      </c>
      <c r="CF1491">
        <v>0</v>
      </c>
      <c r="CG1491">
        <v>1</v>
      </c>
      <c r="CH1491">
        <v>0</v>
      </c>
      <c r="CI1491">
        <v>0</v>
      </c>
      <c r="CJ1491">
        <v>0</v>
      </c>
      <c r="CK1491">
        <v>2</v>
      </c>
      <c r="CL1491">
        <v>0</v>
      </c>
      <c r="CM1491">
        <v>2</v>
      </c>
      <c r="CN1491">
        <v>0</v>
      </c>
      <c r="CO1491">
        <v>7</v>
      </c>
      <c r="CP1491" t="s">
        <v>119</v>
      </c>
      <c r="CQ1491">
        <v>180</v>
      </c>
      <c r="CR1491">
        <v>1</v>
      </c>
      <c r="CW1491">
        <v>10785258</v>
      </c>
      <c r="CY1491">
        <v>1</v>
      </c>
      <c r="CZ1491">
        <v>0</v>
      </c>
      <c r="DA1491">
        <v>0</v>
      </c>
      <c r="DB1491">
        <v>0</v>
      </c>
      <c r="DC1491">
        <v>0</v>
      </c>
      <c r="DD1491">
        <v>0</v>
      </c>
      <c r="DE1491">
        <v>0</v>
      </c>
      <c r="DF1491">
        <v>0</v>
      </c>
      <c r="DG1491">
        <v>0</v>
      </c>
      <c r="DH1491">
        <v>0</v>
      </c>
      <c r="DI1491">
        <v>0</v>
      </c>
    </row>
    <row r="1492" spans="1:113" x14ac:dyDescent="0.3">
      <c r="A1492" t="str">
        <f>"02/08/2021 20:21:05.140"</f>
        <v>02/08/2021 20:21:05.140</v>
      </c>
      <c r="C1492" t="str">
        <f t="shared" si="71"/>
        <v>FFDFD7C0</v>
      </c>
      <c r="D1492" t="s">
        <v>124</v>
      </c>
      <c r="E1492">
        <v>13</v>
      </c>
      <c r="F1492">
        <v>1013</v>
      </c>
      <c r="G1492" t="s">
        <v>114</v>
      </c>
      <c r="J1492" t="s">
        <v>125</v>
      </c>
      <c r="K1492">
        <v>0</v>
      </c>
      <c r="L1492">
        <v>3</v>
      </c>
      <c r="M1492">
        <v>0</v>
      </c>
      <c r="N1492">
        <v>2</v>
      </c>
      <c r="O1492">
        <v>1</v>
      </c>
      <c r="P1492">
        <v>0</v>
      </c>
      <c r="Q1492">
        <v>0</v>
      </c>
      <c r="S1492" t="str">
        <f>"20:21:07.445"</f>
        <v>20:21:07.445</v>
      </c>
      <c r="T1492" t="str">
        <f>"20:21:07.045"</f>
        <v>20:21:07.045</v>
      </c>
      <c r="U1492" t="str">
        <f t="shared" si="70"/>
        <v>AB01F4</v>
      </c>
      <c r="V1492">
        <v>0</v>
      </c>
      <c r="W1492">
        <v>0</v>
      </c>
      <c r="X1492">
        <v>2</v>
      </c>
      <c r="Z1492">
        <v>0</v>
      </c>
      <c r="AA1492">
        <v>9</v>
      </c>
      <c r="AB1492">
        <v>3</v>
      </c>
      <c r="AC1492">
        <v>0</v>
      </c>
      <c r="AD1492">
        <v>10</v>
      </c>
      <c r="AE1492">
        <v>0</v>
      </c>
      <c r="AF1492">
        <v>3</v>
      </c>
      <c r="AG1492">
        <v>2</v>
      </c>
      <c r="AH1492">
        <v>0</v>
      </c>
      <c r="AI1492" t="s">
        <v>999</v>
      </c>
      <c r="AJ1492">
        <v>39.825524999999999</v>
      </c>
      <c r="AK1492" t="s">
        <v>814</v>
      </c>
      <c r="AL1492">
        <v>-92.527156000000005</v>
      </c>
      <c r="AM1492">
        <v>100</v>
      </c>
      <c r="AN1492">
        <v>1700</v>
      </c>
      <c r="AO1492" t="s">
        <v>118</v>
      </c>
      <c r="AP1492">
        <v>-29</v>
      </c>
      <c r="AQ1492">
        <v>118</v>
      </c>
      <c r="AR1492">
        <v>-64</v>
      </c>
      <c r="AZ1492">
        <v>1200</v>
      </c>
      <c r="BA1492">
        <v>1</v>
      </c>
      <c r="BB1492" t="str">
        <f t="shared" si="72"/>
        <v xml:space="preserve">N8080G  </v>
      </c>
      <c r="BC1492">
        <v>1</v>
      </c>
      <c r="BE1492">
        <v>0</v>
      </c>
      <c r="BF1492">
        <v>0</v>
      </c>
      <c r="BG1492">
        <v>0</v>
      </c>
      <c r="BH1492">
        <v>1700</v>
      </c>
      <c r="BI1492">
        <v>1</v>
      </c>
      <c r="BJ1492">
        <v>1</v>
      </c>
      <c r="BK1492">
        <v>1</v>
      </c>
      <c r="BL1492">
        <v>0</v>
      </c>
      <c r="BO1492">
        <v>0</v>
      </c>
      <c r="BP1492">
        <v>0</v>
      </c>
      <c r="BW1492" t="str">
        <f>"20:21:07.446"</f>
        <v>20:21:07.446</v>
      </c>
      <c r="BZ1492">
        <v>0</v>
      </c>
      <c r="CA1492">
        <v>2016</v>
      </c>
      <c r="CB1492">
        <v>224</v>
      </c>
      <c r="CD1492">
        <v>1</v>
      </c>
      <c r="CE1492">
        <v>0</v>
      </c>
      <c r="CF1492">
        <v>0</v>
      </c>
      <c r="CG1492">
        <v>1</v>
      </c>
      <c r="CH1492">
        <v>0</v>
      </c>
      <c r="CI1492">
        <v>0</v>
      </c>
      <c r="CJ1492">
        <v>0</v>
      </c>
      <c r="CK1492">
        <v>2</v>
      </c>
      <c r="CL1492">
        <v>0</v>
      </c>
      <c r="CM1492">
        <v>2</v>
      </c>
      <c r="CN1492">
        <v>0</v>
      </c>
      <c r="CO1492">
        <v>7</v>
      </c>
      <c r="CP1492" t="s">
        <v>119</v>
      </c>
      <c r="CQ1492">
        <v>180</v>
      </c>
      <c r="CR1492">
        <v>1</v>
      </c>
      <c r="CW1492">
        <v>10785258</v>
      </c>
      <c r="CY1492">
        <v>1</v>
      </c>
      <c r="CZ1492">
        <v>0</v>
      </c>
      <c r="DA1492">
        <v>1</v>
      </c>
      <c r="DB1492">
        <v>0</v>
      </c>
      <c r="DC1492">
        <v>0</v>
      </c>
      <c r="DD1492">
        <v>0</v>
      </c>
      <c r="DE1492">
        <v>0</v>
      </c>
      <c r="DF1492">
        <v>0</v>
      </c>
      <c r="DG1492">
        <v>0</v>
      </c>
      <c r="DH1492">
        <v>0</v>
      </c>
      <c r="DI1492">
        <v>0</v>
      </c>
    </row>
    <row r="1493" spans="1:113" x14ac:dyDescent="0.3">
      <c r="A1493" t="str">
        <f>"02/08/2021 20:21:05.140"</f>
        <v>02/08/2021 20:21:05.140</v>
      </c>
      <c r="C1493" t="str">
        <f t="shared" si="71"/>
        <v>FFDFD7C0</v>
      </c>
      <c r="D1493" t="s">
        <v>113</v>
      </c>
      <c r="E1493">
        <v>6</v>
      </c>
      <c r="H1493">
        <v>165</v>
      </c>
      <c r="I1493" t="s">
        <v>114</v>
      </c>
      <c r="J1493" t="s">
        <v>115</v>
      </c>
      <c r="K1493">
        <v>0</v>
      </c>
      <c r="L1493">
        <v>3</v>
      </c>
      <c r="M1493">
        <v>0</v>
      </c>
      <c r="N1493">
        <v>2</v>
      </c>
      <c r="O1493">
        <v>1</v>
      </c>
      <c r="P1493">
        <v>0</v>
      </c>
      <c r="Q1493">
        <v>0</v>
      </c>
      <c r="S1493" t="str">
        <f>"20:21:07.445"</f>
        <v>20:21:07.445</v>
      </c>
      <c r="T1493" t="str">
        <f>"20:21:07.045"</f>
        <v>20:21:07.045</v>
      </c>
      <c r="U1493" t="str">
        <f t="shared" si="70"/>
        <v>AB01F4</v>
      </c>
      <c r="V1493">
        <v>0</v>
      </c>
      <c r="W1493">
        <v>0</v>
      </c>
      <c r="X1493">
        <v>2</v>
      </c>
      <c r="Z1493">
        <v>0</v>
      </c>
      <c r="AA1493">
        <v>9</v>
      </c>
      <c r="AB1493">
        <v>3</v>
      </c>
      <c r="AC1493">
        <v>0</v>
      </c>
      <c r="AD1493">
        <v>10</v>
      </c>
      <c r="AE1493">
        <v>0</v>
      </c>
      <c r="AF1493">
        <v>3</v>
      </c>
      <c r="AG1493">
        <v>2</v>
      </c>
      <c r="AH1493">
        <v>0</v>
      </c>
      <c r="AI1493" t="s">
        <v>999</v>
      </c>
      <c r="AJ1493">
        <v>39.825524999999999</v>
      </c>
      <c r="AK1493" t="s">
        <v>814</v>
      </c>
      <c r="AL1493">
        <v>-92.527156000000005</v>
      </c>
      <c r="AM1493">
        <v>100</v>
      </c>
      <c r="AN1493">
        <v>1700</v>
      </c>
      <c r="AO1493" t="s">
        <v>118</v>
      </c>
      <c r="AP1493">
        <v>-29</v>
      </c>
      <c r="AQ1493">
        <v>118</v>
      </c>
      <c r="AR1493">
        <v>-64</v>
      </c>
      <c r="AZ1493">
        <v>1200</v>
      </c>
      <c r="BA1493">
        <v>1</v>
      </c>
      <c r="BB1493" t="str">
        <f t="shared" si="72"/>
        <v xml:space="preserve">N8080G  </v>
      </c>
      <c r="BC1493">
        <v>1</v>
      </c>
      <c r="BE1493">
        <v>0</v>
      </c>
      <c r="BF1493">
        <v>0</v>
      </c>
      <c r="BG1493">
        <v>0</v>
      </c>
      <c r="BH1493">
        <v>1700</v>
      </c>
      <c r="BI1493">
        <v>1</v>
      </c>
      <c r="BJ1493">
        <v>1</v>
      </c>
      <c r="BK1493">
        <v>1</v>
      </c>
      <c r="BL1493">
        <v>0</v>
      </c>
      <c r="BO1493">
        <v>0</v>
      </c>
      <c r="BP1493">
        <v>0</v>
      </c>
      <c r="BW1493" t="str">
        <f>"20:21:07.446"</f>
        <v>20:21:07.446</v>
      </c>
      <c r="BZ1493">
        <v>0</v>
      </c>
      <c r="CA1493">
        <v>2016</v>
      </c>
      <c r="CB1493">
        <v>224</v>
      </c>
      <c r="CD1493">
        <v>1</v>
      </c>
      <c r="CE1493">
        <v>0</v>
      </c>
      <c r="CF1493">
        <v>0</v>
      </c>
      <c r="CG1493">
        <v>1</v>
      </c>
      <c r="CH1493">
        <v>0</v>
      </c>
      <c r="CI1493">
        <v>0</v>
      </c>
      <c r="CJ1493">
        <v>0</v>
      </c>
      <c r="CK1493">
        <v>2</v>
      </c>
      <c r="CL1493">
        <v>0</v>
      </c>
      <c r="CM1493">
        <v>2</v>
      </c>
      <c r="CN1493">
        <v>0</v>
      </c>
      <c r="CO1493">
        <v>7</v>
      </c>
      <c r="CP1493" t="s">
        <v>119</v>
      </c>
      <c r="CQ1493">
        <v>180</v>
      </c>
      <c r="CR1493">
        <v>1</v>
      </c>
      <c r="CW1493">
        <v>10785258</v>
      </c>
      <c r="CY1493">
        <v>1</v>
      </c>
      <c r="CZ1493">
        <v>0</v>
      </c>
      <c r="DA1493">
        <v>1</v>
      </c>
      <c r="DB1493">
        <v>0</v>
      </c>
      <c r="DC1493">
        <v>0</v>
      </c>
      <c r="DD1493">
        <v>0</v>
      </c>
      <c r="DE1493">
        <v>0</v>
      </c>
      <c r="DF1493">
        <v>0</v>
      </c>
      <c r="DG1493">
        <v>0</v>
      </c>
      <c r="DH1493">
        <v>0</v>
      </c>
      <c r="DI1493">
        <v>0</v>
      </c>
    </row>
    <row r="1494" spans="1:113" x14ac:dyDescent="0.3">
      <c r="A1494" t="str">
        <f>"02/08/2021 20:21:05.140"</f>
        <v>02/08/2021 20:21:05.140</v>
      </c>
      <c r="C1494" t="str">
        <f t="shared" si="71"/>
        <v>FFDFD7C0</v>
      </c>
      <c r="D1494" t="s">
        <v>124</v>
      </c>
      <c r="E1494">
        <v>12</v>
      </c>
      <c r="F1494">
        <v>1012</v>
      </c>
      <c r="G1494" t="s">
        <v>675</v>
      </c>
      <c r="J1494" t="s">
        <v>125</v>
      </c>
      <c r="K1494">
        <v>0</v>
      </c>
      <c r="L1494">
        <v>3</v>
      </c>
      <c r="M1494">
        <v>0</v>
      </c>
      <c r="N1494">
        <v>2</v>
      </c>
      <c r="O1494">
        <v>1</v>
      </c>
      <c r="P1494">
        <v>0</v>
      </c>
      <c r="Q1494">
        <v>0</v>
      </c>
      <c r="S1494" t="str">
        <f>"20:21:07.445"</f>
        <v>20:21:07.445</v>
      </c>
      <c r="T1494" t="str">
        <f>"20:21:07.045"</f>
        <v>20:21:07.045</v>
      </c>
      <c r="U1494" t="str">
        <f t="shared" si="70"/>
        <v>AB01F4</v>
      </c>
      <c r="V1494">
        <v>0</v>
      </c>
      <c r="W1494">
        <v>0</v>
      </c>
      <c r="X1494">
        <v>2</v>
      </c>
      <c r="Z1494">
        <v>0</v>
      </c>
      <c r="AA1494">
        <v>9</v>
      </c>
      <c r="AB1494">
        <v>3</v>
      </c>
      <c r="AC1494">
        <v>0</v>
      </c>
      <c r="AD1494">
        <v>10</v>
      </c>
      <c r="AE1494">
        <v>0</v>
      </c>
      <c r="AF1494">
        <v>3</v>
      </c>
      <c r="AG1494">
        <v>2</v>
      </c>
      <c r="AH1494">
        <v>0</v>
      </c>
      <c r="AI1494" t="s">
        <v>999</v>
      </c>
      <c r="AJ1494">
        <v>39.825524999999999</v>
      </c>
      <c r="AK1494" t="s">
        <v>814</v>
      </c>
      <c r="AL1494">
        <v>-92.527156000000005</v>
      </c>
      <c r="AM1494">
        <v>100</v>
      </c>
      <c r="AN1494">
        <v>1700</v>
      </c>
      <c r="AO1494" t="s">
        <v>118</v>
      </c>
      <c r="AP1494">
        <v>-29</v>
      </c>
      <c r="AQ1494">
        <v>118</v>
      </c>
      <c r="AR1494">
        <v>-64</v>
      </c>
      <c r="AZ1494">
        <v>1200</v>
      </c>
      <c r="BA1494">
        <v>1</v>
      </c>
      <c r="BB1494" t="str">
        <f t="shared" si="72"/>
        <v xml:space="preserve">N8080G  </v>
      </c>
      <c r="BC1494">
        <v>1</v>
      </c>
      <c r="BE1494">
        <v>0</v>
      </c>
      <c r="BF1494">
        <v>0</v>
      </c>
      <c r="BG1494">
        <v>0</v>
      </c>
      <c r="BH1494">
        <v>1700</v>
      </c>
      <c r="BI1494">
        <v>1</v>
      </c>
      <c r="BJ1494">
        <v>1</v>
      </c>
      <c r="BK1494">
        <v>1</v>
      </c>
      <c r="BL1494">
        <v>0</v>
      </c>
      <c r="BO1494">
        <v>0</v>
      </c>
      <c r="BP1494">
        <v>0</v>
      </c>
      <c r="BW1494" t="str">
        <f>"20:21:07.446"</f>
        <v>20:21:07.446</v>
      </c>
      <c r="BZ1494">
        <v>0</v>
      </c>
      <c r="CA1494">
        <v>2016</v>
      </c>
      <c r="CB1494">
        <v>224</v>
      </c>
      <c r="CD1494">
        <v>1</v>
      </c>
      <c r="CE1494">
        <v>0</v>
      </c>
      <c r="CF1494">
        <v>0</v>
      </c>
      <c r="CG1494">
        <v>1</v>
      </c>
      <c r="CH1494">
        <v>0</v>
      </c>
      <c r="CI1494">
        <v>0</v>
      </c>
      <c r="CJ1494">
        <v>0</v>
      </c>
      <c r="CK1494">
        <v>2</v>
      </c>
      <c r="CL1494">
        <v>0</v>
      </c>
      <c r="CM1494">
        <v>2</v>
      </c>
      <c r="CN1494">
        <v>0</v>
      </c>
      <c r="CO1494">
        <v>7</v>
      </c>
      <c r="CP1494" t="s">
        <v>119</v>
      </c>
      <c r="CQ1494">
        <v>180</v>
      </c>
      <c r="CR1494">
        <v>1</v>
      </c>
      <c r="CW1494">
        <v>10785258</v>
      </c>
      <c r="CY1494">
        <v>1</v>
      </c>
      <c r="CZ1494">
        <v>0</v>
      </c>
      <c r="DA1494">
        <v>1</v>
      </c>
      <c r="DB1494">
        <v>0</v>
      </c>
      <c r="DC1494">
        <v>0</v>
      </c>
      <c r="DD1494">
        <v>0</v>
      </c>
      <c r="DE1494">
        <v>0</v>
      </c>
      <c r="DF1494">
        <v>0</v>
      </c>
      <c r="DG1494">
        <v>0</v>
      </c>
      <c r="DH1494">
        <v>0</v>
      </c>
      <c r="DI1494">
        <v>0</v>
      </c>
    </row>
    <row r="1495" spans="1:113" x14ac:dyDescent="0.3">
      <c r="A1495" t="str">
        <f>"02/08/2021 20:21:06.702"</f>
        <v>02/08/2021 20:21:06.702</v>
      </c>
      <c r="C1495" t="str">
        <f t="shared" si="71"/>
        <v>FFDFD7C0</v>
      </c>
      <c r="D1495" t="s">
        <v>124</v>
      </c>
      <c r="E1495">
        <v>11</v>
      </c>
      <c r="F1495">
        <v>1011</v>
      </c>
      <c r="G1495" t="s">
        <v>590</v>
      </c>
      <c r="J1495" t="s">
        <v>125</v>
      </c>
      <c r="K1495">
        <v>0</v>
      </c>
      <c r="L1495">
        <v>3</v>
      </c>
      <c r="M1495">
        <v>0</v>
      </c>
      <c r="N1495">
        <v>2</v>
      </c>
      <c r="O1495">
        <v>1</v>
      </c>
      <c r="P1495">
        <v>0</v>
      </c>
      <c r="Q1495">
        <v>0</v>
      </c>
      <c r="S1495" t="str">
        <f>"20:21:09.047"</f>
        <v>20:21:09.047</v>
      </c>
      <c r="T1495" t="str">
        <f>"20:21:08.547"</f>
        <v>20:21:08.547</v>
      </c>
      <c r="U1495" t="str">
        <f t="shared" si="70"/>
        <v>AB01F4</v>
      </c>
      <c r="V1495">
        <v>0</v>
      </c>
      <c r="W1495">
        <v>0</v>
      </c>
      <c r="X1495">
        <v>2</v>
      </c>
      <c r="Z1495">
        <v>0</v>
      </c>
      <c r="AA1495">
        <v>9</v>
      </c>
      <c r="AB1495">
        <v>3</v>
      </c>
      <c r="AC1495">
        <v>0</v>
      </c>
      <c r="AD1495">
        <v>10</v>
      </c>
      <c r="AE1495">
        <v>0</v>
      </c>
      <c r="AF1495">
        <v>3</v>
      </c>
      <c r="AG1495">
        <v>2</v>
      </c>
      <c r="AH1495">
        <v>0</v>
      </c>
      <c r="AI1495" t="s">
        <v>1000</v>
      </c>
      <c r="AJ1495">
        <v>39.826427000000002</v>
      </c>
      <c r="AK1495" t="s">
        <v>1001</v>
      </c>
      <c r="AL1495">
        <v>-92.527412999999996</v>
      </c>
      <c r="AM1495">
        <v>100</v>
      </c>
      <c r="AN1495">
        <v>1700</v>
      </c>
      <c r="AO1495" t="s">
        <v>118</v>
      </c>
      <c r="AP1495">
        <v>-29</v>
      </c>
      <c r="AQ1495">
        <v>118</v>
      </c>
      <c r="AR1495">
        <v>-128</v>
      </c>
      <c r="AZ1495">
        <v>1200</v>
      </c>
      <c r="BA1495">
        <v>1</v>
      </c>
      <c r="BB1495" t="str">
        <f t="shared" si="72"/>
        <v xml:space="preserve">N8080G  </v>
      </c>
      <c r="BC1495">
        <v>1</v>
      </c>
      <c r="BE1495">
        <v>0</v>
      </c>
      <c r="BF1495">
        <v>0</v>
      </c>
      <c r="BG1495">
        <v>0</v>
      </c>
      <c r="BH1495">
        <v>1700</v>
      </c>
      <c r="BI1495">
        <v>1</v>
      </c>
      <c r="BJ1495">
        <v>1</v>
      </c>
      <c r="BK1495">
        <v>1</v>
      </c>
      <c r="BL1495">
        <v>0</v>
      </c>
      <c r="BO1495">
        <v>0</v>
      </c>
      <c r="BP1495">
        <v>0</v>
      </c>
      <c r="BW1495" t="str">
        <f>"20:21:09.049"</f>
        <v>20:21:09.049</v>
      </c>
      <c r="BZ1495">
        <v>0</v>
      </c>
      <c r="CA1495">
        <v>2016</v>
      </c>
      <c r="CB1495">
        <v>224</v>
      </c>
      <c r="CD1495">
        <v>1</v>
      </c>
      <c r="CE1495">
        <v>0</v>
      </c>
      <c r="CF1495">
        <v>0</v>
      </c>
      <c r="CG1495">
        <v>1</v>
      </c>
      <c r="CH1495">
        <v>0</v>
      </c>
      <c r="CI1495">
        <v>0</v>
      </c>
      <c r="CJ1495">
        <v>0</v>
      </c>
      <c r="CK1495">
        <v>2</v>
      </c>
      <c r="CL1495">
        <v>0</v>
      </c>
      <c r="CM1495">
        <v>2</v>
      </c>
      <c r="CN1495">
        <v>0</v>
      </c>
      <c r="CO1495">
        <v>7</v>
      </c>
      <c r="CP1495" t="s">
        <v>119</v>
      </c>
      <c r="CQ1495">
        <v>180</v>
      </c>
      <c r="CR1495">
        <v>1</v>
      </c>
      <c r="CW1495">
        <v>10786537</v>
      </c>
      <c r="CY1495">
        <v>1</v>
      </c>
      <c r="CZ1495">
        <v>0</v>
      </c>
      <c r="DA1495">
        <v>0</v>
      </c>
      <c r="DB1495">
        <v>0</v>
      </c>
      <c r="DC1495">
        <v>0</v>
      </c>
      <c r="DD1495">
        <v>0</v>
      </c>
      <c r="DE1495">
        <v>0</v>
      </c>
      <c r="DF1495">
        <v>0</v>
      </c>
      <c r="DG1495">
        <v>0</v>
      </c>
      <c r="DH1495">
        <v>0</v>
      </c>
      <c r="DI1495">
        <v>0</v>
      </c>
    </row>
    <row r="1496" spans="1:113" x14ac:dyDescent="0.3">
      <c r="A1496" t="str">
        <f>"02/08/2021 20:21:06.702"</f>
        <v>02/08/2021 20:21:06.702</v>
      </c>
      <c r="C1496" t="str">
        <f t="shared" si="71"/>
        <v>FFDFD7C0</v>
      </c>
      <c r="D1496" t="s">
        <v>124</v>
      </c>
      <c r="E1496">
        <v>12</v>
      </c>
      <c r="F1496">
        <v>1012</v>
      </c>
      <c r="G1496" t="s">
        <v>675</v>
      </c>
      <c r="J1496" t="s">
        <v>125</v>
      </c>
      <c r="K1496">
        <v>0</v>
      </c>
      <c r="L1496">
        <v>3</v>
      </c>
      <c r="M1496">
        <v>0</v>
      </c>
      <c r="N1496">
        <v>2</v>
      </c>
      <c r="O1496">
        <v>1</v>
      </c>
      <c r="P1496">
        <v>0</v>
      </c>
      <c r="Q1496">
        <v>0</v>
      </c>
      <c r="S1496" t="str">
        <f>"20:21:09.047"</f>
        <v>20:21:09.047</v>
      </c>
      <c r="T1496" t="str">
        <f>"20:21:08.547"</f>
        <v>20:21:08.547</v>
      </c>
      <c r="U1496" t="str">
        <f t="shared" si="70"/>
        <v>AB01F4</v>
      </c>
      <c r="V1496">
        <v>0</v>
      </c>
      <c r="W1496">
        <v>0</v>
      </c>
      <c r="X1496">
        <v>2</v>
      </c>
      <c r="Z1496">
        <v>0</v>
      </c>
      <c r="AA1496">
        <v>9</v>
      </c>
      <c r="AB1496">
        <v>3</v>
      </c>
      <c r="AC1496">
        <v>0</v>
      </c>
      <c r="AD1496">
        <v>10</v>
      </c>
      <c r="AE1496">
        <v>0</v>
      </c>
      <c r="AF1496">
        <v>3</v>
      </c>
      <c r="AG1496">
        <v>2</v>
      </c>
      <c r="AH1496">
        <v>0</v>
      </c>
      <c r="AI1496" t="s">
        <v>1000</v>
      </c>
      <c r="AJ1496">
        <v>39.826427000000002</v>
      </c>
      <c r="AK1496" t="s">
        <v>1001</v>
      </c>
      <c r="AL1496">
        <v>-92.527412999999996</v>
      </c>
      <c r="AM1496">
        <v>100</v>
      </c>
      <c r="AN1496">
        <v>1700</v>
      </c>
      <c r="AO1496" t="s">
        <v>118</v>
      </c>
      <c r="AP1496">
        <v>-29</v>
      </c>
      <c r="AQ1496">
        <v>118</v>
      </c>
      <c r="AR1496">
        <v>-128</v>
      </c>
      <c r="AZ1496">
        <v>1200</v>
      </c>
      <c r="BA1496">
        <v>1</v>
      </c>
      <c r="BB1496" t="str">
        <f t="shared" si="72"/>
        <v xml:space="preserve">N8080G  </v>
      </c>
      <c r="BC1496">
        <v>1</v>
      </c>
      <c r="BE1496">
        <v>0</v>
      </c>
      <c r="BF1496">
        <v>0</v>
      </c>
      <c r="BG1496">
        <v>0</v>
      </c>
      <c r="BH1496">
        <v>1700</v>
      </c>
      <c r="BI1496">
        <v>1</v>
      </c>
      <c r="BJ1496">
        <v>1</v>
      </c>
      <c r="BK1496">
        <v>1</v>
      </c>
      <c r="BL1496">
        <v>0</v>
      </c>
      <c r="BO1496">
        <v>0</v>
      </c>
      <c r="BP1496">
        <v>0</v>
      </c>
      <c r="BW1496" t="str">
        <f>"20:21:09.049"</f>
        <v>20:21:09.049</v>
      </c>
      <c r="BZ1496">
        <v>0</v>
      </c>
      <c r="CA1496">
        <v>2016</v>
      </c>
      <c r="CB1496">
        <v>224</v>
      </c>
      <c r="CD1496">
        <v>1</v>
      </c>
      <c r="CE1496">
        <v>0</v>
      </c>
      <c r="CF1496">
        <v>0</v>
      </c>
      <c r="CG1496">
        <v>1</v>
      </c>
      <c r="CH1496">
        <v>0</v>
      </c>
      <c r="CI1496">
        <v>0</v>
      </c>
      <c r="CJ1496">
        <v>0</v>
      </c>
      <c r="CK1496">
        <v>2</v>
      </c>
      <c r="CL1496">
        <v>0</v>
      </c>
      <c r="CM1496">
        <v>2</v>
      </c>
      <c r="CN1496">
        <v>0</v>
      </c>
      <c r="CO1496">
        <v>7</v>
      </c>
      <c r="CP1496" t="s">
        <v>119</v>
      </c>
      <c r="CQ1496">
        <v>180</v>
      </c>
      <c r="CR1496">
        <v>1</v>
      </c>
      <c r="CW1496">
        <v>10786537</v>
      </c>
      <c r="CY1496">
        <v>1</v>
      </c>
      <c r="CZ1496">
        <v>0</v>
      </c>
      <c r="DA1496">
        <v>1</v>
      </c>
      <c r="DB1496">
        <v>0</v>
      </c>
      <c r="DC1496">
        <v>0</v>
      </c>
      <c r="DD1496">
        <v>0</v>
      </c>
      <c r="DE1496">
        <v>0</v>
      </c>
      <c r="DF1496">
        <v>0</v>
      </c>
      <c r="DG1496">
        <v>0</v>
      </c>
      <c r="DH1496">
        <v>0</v>
      </c>
      <c r="DI1496">
        <v>0</v>
      </c>
    </row>
    <row r="1497" spans="1:113" x14ac:dyDescent="0.3">
      <c r="A1497" t="str">
        <f>"02/08/2021 20:21:06.702"</f>
        <v>02/08/2021 20:21:06.702</v>
      </c>
      <c r="C1497" t="str">
        <f t="shared" si="71"/>
        <v>FFDFD7C0</v>
      </c>
      <c r="D1497" t="s">
        <v>113</v>
      </c>
      <c r="E1497">
        <v>6</v>
      </c>
      <c r="H1497">
        <v>165</v>
      </c>
      <c r="I1497" t="s">
        <v>114</v>
      </c>
      <c r="J1497" t="s">
        <v>115</v>
      </c>
      <c r="K1497">
        <v>0</v>
      </c>
      <c r="L1497">
        <v>3</v>
      </c>
      <c r="M1497">
        <v>0</v>
      </c>
      <c r="N1497">
        <v>2</v>
      </c>
      <c r="O1497">
        <v>1</v>
      </c>
      <c r="P1497">
        <v>0</v>
      </c>
      <c r="Q1497">
        <v>0</v>
      </c>
      <c r="S1497" t="str">
        <f>"20:21:09.047"</f>
        <v>20:21:09.047</v>
      </c>
      <c r="T1497" t="str">
        <f>"20:21:08.547"</f>
        <v>20:21:08.547</v>
      </c>
      <c r="U1497" t="str">
        <f t="shared" si="70"/>
        <v>AB01F4</v>
      </c>
      <c r="V1497">
        <v>0</v>
      </c>
      <c r="W1497">
        <v>0</v>
      </c>
      <c r="X1497">
        <v>2</v>
      </c>
      <c r="Z1497">
        <v>0</v>
      </c>
      <c r="AA1497">
        <v>9</v>
      </c>
      <c r="AB1497">
        <v>3</v>
      </c>
      <c r="AC1497">
        <v>0</v>
      </c>
      <c r="AD1497">
        <v>10</v>
      </c>
      <c r="AE1497">
        <v>0</v>
      </c>
      <c r="AF1497">
        <v>3</v>
      </c>
      <c r="AG1497">
        <v>2</v>
      </c>
      <c r="AH1497">
        <v>0</v>
      </c>
      <c r="AI1497" t="s">
        <v>1000</v>
      </c>
      <c r="AJ1497">
        <v>39.826427000000002</v>
      </c>
      <c r="AK1497" t="s">
        <v>1001</v>
      </c>
      <c r="AL1497">
        <v>-92.527412999999996</v>
      </c>
      <c r="AM1497">
        <v>100</v>
      </c>
      <c r="AN1497">
        <v>1700</v>
      </c>
      <c r="AO1497" t="s">
        <v>118</v>
      </c>
      <c r="AP1497">
        <v>-29</v>
      </c>
      <c r="AQ1497">
        <v>118</v>
      </c>
      <c r="AR1497">
        <v>-128</v>
      </c>
      <c r="AZ1497">
        <v>1200</v>
      </c>
      <c r="BA1497">
        <v>1</v>
      </c>
      <c r="BB1497" t="str">
        <f t="shared" si="72"/>
        <v xml:space="preserve">N8080G  </v>
      </c>
      <c r="BC1497">
        <v>1</v>
      </c>
      <c r="BE1497">
        <v>0</v>
      </c>
      <c r="BF1497">
        <v>0</v>
      </c>
      <c r="BG1497">
        <v>0</v>
      </c>
      <c r="BH1497">
        <v>1700</v>
      </c>
      <c r="BI1497">
        <v>1</v>
      </c>
      <c r="BJ1497">
        <v>1</v>
      </c>
      <c r="BK1497">
        <v>1</v>
      </c>
      <c r="BL1497">
        <v>0</v>
      </c>
      <c r="BO1497">
        <v>0</v>
      </c>
      <c r="BP1497">
        <v>0</v>
      </c>
      <c r="BW1497" t="str">
        <f>"20:21:09.049"</f>
        <v>20:21:09.049</v>
      </c>
      <c r="BZ1497">
        <v>0</v>
      </c>
      <c r="CA1497">
        <v>2016</v>
      </c>
      <c r="CB1497">
        <v>224</v>
      </c>
      <c r="CD1497">
        <v>1</v>
      </c>
      <c r="CE1497">
        <v>0</v>
      </c>
      <c r="CF1497">
        <v>0</v>
      </c>
      <c r="CG1497">
        <v>1</v>
      </c>
      <c r="CH1497">
        <v>0</v>
      </c>
      <c r="CI1497">
        <v>0</v>
      </c>
      <c r="CJ1497">
        <v>0</v>
      </c>
      <c r="CK1497">
        <v>2</v>
      </c>
      <c r="CL1497">
        <v>0</v>
      </c>
      <c r="CM1497">
        <v>2</v>
      </c>
      <c r="CN1497">
        <v>0</v>
      </c>
      <c r="CO1497">
        <v>7</v>
      </c>
      <c r="CP1497" t="s">
        <v>119</v>
      </c>
      <c r="CQ1497">
        <v>180</v>
      </c>
      <c r="CR1497">
        <v>1</v>
      </c>
      <c r="CW1497">
        <v>10786537</v>
      </c>
      <c r="CY1497">
        <v>1</v>
      </c>
      <c r="CZ1497">
        <v>0</v>
      </c>
      <c r="DA1497">
        <v>1</v>
      </c>
      <c r="DB1497">
        <v>0</v>
      </c>
      <c r="DC1497">
        <v>0</v>
      </c>
      <c r="DD1497">
        <v>0</v>
      </c>
      <c r="DE1497">
        <v>0</v>
      </c>
      <c r="DF1497">
        <v>0</v>
      </c>
      <c r="DG1497">
        <v>0</v>
      </c>
      <c r="DH1497">
        <v>0</v>
      </c>
      <c r="DI1497">
        <v>0</v>
      </c>
    </row>
    <row r="1498" spans="1:113" x14ac:dyDescent="0.3">
      <c r="A1498" t="str">
        <f>"02/08/2021 20:21:06.702"</f>
        <v>02/08/2021 20:21:06.702</v>
      </c>
      <c r="C1498" t="str">
        <f t="shared" si="71"/>
        <v>FFDFD7C0</v>
      </c>
      <c r="D1498" t="s">
        <v>124</v>
      </c>
      <c r="E1498">
        <v>13</v>
      </c>
      <c r="F1498">
        <v>1013</v>
      </c>
      <c r="G1498" t="s">
        <v>114</v>
      </c>
      <c r="J1498" t="s">
        <v>125</v>
      </c>
      <c r="K1498">
        <v>0</v>
      </c>
      <c r="L1498">
        <v>3</v>
      </c>
      <c r="M1498">
        <v>0</v>
      </c>
      <c r="N1498">
        <v>2</v>
      </c>
      <c r="O1498">
        <v>1</v>
      </c>
      <c r="P1498">
        <v>0</v>
      </c>
      <c r="Q1498">
        <v>0</v>
      </c>
      <c r="S1498" t="str">
        <f>"20:21:09.047"</f>
        <v>20:21:09.047</v>
      </c>
      <c r="T1498" t="str">
        <f>"20:21:08.547"</f>
        <v>20:21:08.547</v>
      </c>
      <c r="U1498" t="str">
        <f t="shared" si="70"/>
        <v>AB01F4</v>
      </c>
      <c r="V1498">
        <v>0</v>
      </c>
      <c r="W1498">
        <v>0</v>
      </c>
      <c r="X1498">
        <v>2</v>
      </c>
      <c r="Z1498">
        <v>0</v>
      </c>
      <c r="AA1498">
        <v>9</v>
      </c>
      <c r="AB1498">
        <v>3</v>
      </c>
      <c r="AC1498">
        <v>0</v>
      </c>
      <c r="AD1498">
        <v>10</v>
      </c>
      <c r="AE1498">
        <v>0</v>
      </c>
      <c r="AF1498">
        <v>3</v>
      </c>
      <c r="AG1498">
        <v>2</v>
      </c>
      <c r="AH1498">
        <v>0</v>
      </c>
      <c r="AI1498" t="s">
        <v>1000</v>
      </c>
      <c r="AJ1498">
        <v>39.826427000000002</v>
      </c>
      <c r="AK1498" t="s">
        <v>1001</v>
      </c>
      <c r="AL1498">
        <v>-92.527412999999996</v>
      </c>
      <c r="AM1498">
        <v>100</v>
      </c>
      <c r="AN1498">
        <v>1700</v>
      </c>
      <c r="AO1498" t="s">
        <v>118</v>
      </c>
      <c r="AP1498">
        <v>-29</v>
      </c>
      <c r="AQ1498">
        <v>118</v>
      </c>
      <c r="AR1498">
        <v>-128</v>
      </c>
      <c r="AZ1498">
        <v>1200</v>
      </c>
      <c r="BA1498">
        <v>1</v>
      </c>
      <c r="BB1498" t="str">
        <f t="shared" si="72"/>
        <v xml:space="preserve">N8080G  </v>
      </c>
      <c r="BC1498">
        <v>1</v>
      </c>
      <c r="BE1498">
        <v>0</v>
      </c>
      <c r="BF1498">
        <v>0</v>
      </c>
      <c r="BG1498">
        <v>0</v>
      </c>
      <c r="BH1498">
        <v>1700</v>
      </c>
      <c r="BI1498">
        <v>1</v>
      </c>
      <c r="BJ1498">
        <v>1</v>
      </c>
      <c r="BK1498">
        <v>1</v>
      </c>
      <c r="BL1498">
        <v>0</v>
      </c>
      <c r="BO1498">
        <v>0</v>
      </c>
      <c r="BP1498">
        <v>0</v>
      </c>
      <c r="BW1498" t="str">
        <f>"20:21:09.049"</f>
        <v>20:21:09.049</v>
      </c>
      <c r="BZ1498">
        <v>0</v>
      </c>
      <c r="CA1498">
        <v>2016</v>
      </c>
      <c r="CB1498">
        <v>224</v>
      </c>
      <c r="CD1498">
        <v>1</v>
      </c>
      <c r="CE1498">
        <v>0</v>
      </c>
      <c r="CF1498">
        <v>0</v>
      </c>
      <c r="CG1498">
        <v>1</v>
      </c>
      <c r="CH1498">
        <v>0</v>
      </c>
      <c r="CI1498">
        <v>0</v>
      </c>
      <c r="CJ1498">
        <v>0</v>
      </c>
      <c r="CK1498">
        <v>2</v>
      </c>
      <c r="CL1498">
        <v>0</v>
      </c>
      <c r="CM1498">
        <v>2</v>
      </c>
      <c r="CN1498">
        <v>0</v>
      </c>
      <c r="CO1498">
        <v>7</v>
      </c>
      <c r="CP1498" t="s">
        <v>119</v>
      </c>
      <c r="CQ1498">
        <v>180</v>
      </c>
      <c r="CR1498">
        <v>1</v>
      </c>
      <c r="CW1498">
        <v>10786537</v>
      </c>
      <c r="CY1498">
        <v>1</v>
      </c>
      <c r="CZ1498">
        <v>0</v>
      </c>
      <c r="DA1498">
        <v>1</v>
      </c>
      <c r="DB1498">
        <v>0</v>
      </c>
      <c r="DC1498">
        <v>0</v>
      </c>
      <c r="DD1498">
        <v>0</v>
      </c>
      <c r="DE1498">
        <v>0</v>
      </c>
      <c r="DF1498">
        <v>0</v>
      </c>
      <c r="DG1498">
        <v>0</v>
      </c>
      <c r="DH1498">
        <v>0</v>
      </c>
      <c r="DI1498">
        <v>0</v>
      </c>
    </row>
    <row r="1499" spans="1:113" x14ac:dyDescent="0.3">
      <c r="A1499" t="str">
        <f>"02/08/2021 20:21:08.494"</f>
        <v>02/08/2021 20:21:08.494</v>
      </c>
      <c r="C1499" t="str">
        <f t="shared" si="71"/>
        <v>FFDFD7C0</v>
      </c>
      <c r="D1499" t="s">
        <v>113</v>
      </c>
      <c r="E1499">
        <v>6</v>
      </c>
      <c r="H1499">
        <v>165</v>
      </c>
      <c r="I1499" t="s">
        <v>114</v>
      </c>
      <c r="J1499" t="s">
        <v>115</v>
      </c>
      <c r="K1499">
        <v>0</v>
      </c>
      <c r="L1499">
        <v>3</v>
      </c>
      <c r="M1499">
        <v>0</v>
      </c>
      <c r="N1499">
        <v>2</v>
      </c>
      <c r="O1499">
        <v>1</v>
      </c>
      <c r="P1499">
        <v>0</v>
      </c>
      <c r="Q1499">
        <v>0</v>
      </c>
      <c r="S1499" t="str">
        <f>"20:21:10.820"</f>
        <v>20:21:10.820</v>
      </c>
      <c r="T1499" t="str">
        <f>"20:21:10.420"</f>
        <v>20:21:10.420</v>
      </c>
      <c r="U1499" t="str">
        <f t="shared" si="70"/>
        <v>AB01F4</v>
      </c>
      <c r="V1499">
        <v>0</v>
      </c>
      <c r="W1499">
        <v>0</v>
      </c>
      <c r="X1499">
        <v>2</v>
      </c>
      <c r="Z1499">
        <v>0</v>
      </c>
      <c r="AA1499">
        <v>9</v>
      </c>
      <c r="AB1499">
        <v>3</v>
      </c>
      <c r="AC1499">
        <v>0</v>
      </c>
      <c r="AD1499">
        <v>10</v>
      </c>
      <c r="AE1499">
        <v>0</v>
      </c>
      <c r="AF1499">
        <v>3</v>
      </c>
      <c r="AG1499">
        <v>2</v>
      </c>
      <c r="AH1499">
        <v>0</v>
      </c>
      <c r="AI1499" t="s">
        <v>1002</v>
      </c>
      <c r="AJ1499">
        <v>39.827392000000003</v>
      </c>
      <c r="AK1499" t="s">
        <v>789</v>
      </c>
      <c r="AL1499">
        <v>-92.527777999999998</v>
      </c>
      <c r="AM1499">
        <v>100</v>
      </c>
      <c r="AN1499">
        <v>1700</v>
      </c>
      <c r="AO1499" t="s">
        <v>118</v>
      </c>
      <c r="AP1499">
        <v>-29</v>
      </c>
      <c r="AQ1499">
        <v>118</v>
      </c>
      <c r="AR1499">
        <v>-128</v>
      </c>
      <c r="AZ1499">
        <v>1200</v>
      </c>
      <c r="BA1499">
        <v>1</v>
      </c>
      <c r="BB1499" t="str">
        <f t="shared" si="72"/>
        <v xml:space="preserve">N8080G  </v>
      </c>
      <c r="BC1499">
        <v>1</v>
      </c>
      <c r="BE1499">
        <v>0</v>
      </c>
      <c r="BF1499">
        <v>0</v>
      </c>
      <c r="BG1499">
        <v>0</v>
      </c>
      <c r="BH1499">
        <v>1675</v>
      </c>
      <c r="BI1499">
        <v>1</v>
      </c>
      <c r="BJ1499">
        <v>1</v>
      </c>
      <c r="BK1499">
        <v>1</v>
      </c>
      <c r="BL1499">
        <v>0</v>
      </c>
      <c r="BO1499">
        <v>0</v>
      </c>
      <c r="BP1499">
        <v>0</v>
      </c>
      <c r="BW1499" t="str">
        <f>"20:21:10.823"</f>
        <v>20:21:10.823</v>
      </c>
      <c r="BZ1499">
        <v>0</v>
      </c>
      <c r="CA1499">
        <v>2016</v>
      </c>
      <c r="CB1499">
        <v>224</v>
      </c>
      <c r="CD1499">
        <v>1</v>
      </c>
      <c r="CE1499">
        <v>0</v>
      </c>
      <c r="CF1499">
        <v>0</v>
      </c>
      <c r="CG1499">
        <v>1</v>
      </c>
      <c r="CH1499">
        <v>0</v>
      </c>
      <c r="CI1499">
        <v>0</v>
      </c>
      <c r="CJ1499">
        <v>0</v>
      </c>
      <c r="CK1499">
        <v>2</v>
      </c>
      <c r="CL1499">
        <v>0</v>
      </c>
      <c r="CM1499">
        <v>2</v>
      </c>
      <c r="CN1499">
        <v>0</v>
      </c>
      <c r="CO1499">
        <v>7</v>
      </c>
      <c r="CP1499" t="s">
        <v>119</v>
      </c>
      <c r="CQ1499">
        <v>180</v>
      </c>
      <c r="CR1499">
        <v>1</v>
      </c>
      <c r="CW1499">
        <v>10788099</v>
      </c>
      <c r="CY1499">
        <v>1</v>
      </c>
      <c r="CZ1499">
        <v>0</v>
      </c>
      <c r="DA1499">
        <v>0</v>
      </c>
      <c r="DB1499">
        <v>0</v>
      </c>
      <c r="DC1499">
        <v>0</v>
      </c>
      <c r="DD1499">
        <v>0</v>
      </c>
      <c r="DE1499">
        <v>0</v>
      </c>
      <c r="DF1499">
        <v>0</v>
      </c>
      <c r="DG1499">
        <v>0</v>
      </c>
      <c r="DH1499">
        <v>0</v>
      </c>
      <c r="DI1499">
        <v>0</v>
      </c>
    </row>
    <row r="1500" spans="1:113" x14ac:dyDescent="0.3">
      <c r="A1500" t="str">
        <f>"02/08/2021 20:21:08.494"</f>
        <v>02/08/2021 20:21:08.494</v>
      </c>
      <c r="C1500" t="str">
        <f t="shared" si="71"/>
        <v>FFDFD7C0</v>
      </c>
      <c r="D1500" t="s">
        <v>124</v>
      </c>
      <c r="E1500">
        <v>12</v>
      </c>
      <c r="F1500">
        <v>1012</v>
      </c>
      <c r="G1500" t="s">
        <v>675</v>
      </c>
      <c r="J1500" t="s">
        <v>125</v>
      </c>
      <c r="K1500">
        <v>0</v>
      </c>
      <c r="L1500">
        <v>3</v>
      </c>
      <c r="M1500">
        <v>0</v>
      </c>
      <c r="N1500">
        <v>2</v>
      </c>
      <c r="O1500">
        <v>1</v>
      </c>
      <c r="P1500">
        <v>0</v>
      </c>
      <c r="Q1500">
        <v>0</v>
      </c>
      <c r="S1500" t="str">
        <f>"20:21:10.820"</f>
        <v>20:21:10.820</v>
      </c>
      <c r="T1500" t="str">
        <f>"20:21:10.420"</f>
        <v>20:21:10.420</v>
      </c>
      <c r="U1500" t="str">
        <f t="shared" si="70"/>
        <v>AB01F4</v>
      </c>
      <c r="V1500">
        <v>0</v>
      </c>
      <c r="W1500">
        <v>0</v>
      </c>
      <c r="X1500">
        <v>2</v>
      </c>
      <c r="Z1500">
        <v>0</v>
      </c>
      <c r="AA1500">
        <v>9</v>
      </c>
      <c r="AB1500">
        <v>3</v>
      </c>
      <c r="AC1500">
        <v>0</v>
      </c>
      <c r="AD1500">
        <v>10</v>
      </c>
      <c r="AE1500">
        <v>0</v>
      </c>
      <c r="AF1500">
        <v>3</v>
      </c>
      <c r="AG1500">
        <v>2</v>
      </c>
      <c r="AH1500">
        <v>0</v>
      </c>
      <c r="AI1500" t="s">
        <v>1002</v>
      </c>
      <c r="AJ1500">
        <v>39.827392000000003</v>
      </c>
      <c r="AK1500" t="s">
        <v>789</v>
      </c>
      <c r="AL1500">
        <v>-92.527777999999998</v>
      </c>
      <c r="AM1500">
        <v>100</v>
      </c>
      <c r="AN1500">
        <v>1700</v>
      </c>
      <c r="AO1500" t="s">
        <v>118</v>
      </c>
      <c r="AP1500">
        <v>-29</v>
      </c>
      <c r="AQ1500">
        <v>118</v>
      </c>
      <c r="AR1500">
        <v>-128</v>
      </c>
      <c r="AZ1500">
        <v>1200</v>
      </c>
      <c r="BA1500">
        <v>1</v>
      </c>
      <c r="BB1500" t="str">
        <f t="shared" si="72"/>
        <v xml:space="preserve">N8080G  </v>
      </c>
      <c r="BC1500">
        <v>1</v>
      </c>
      <c r="BE1500">
        <v>0</v>
      </c>
      <c r="BF1500">
        <v>0</v>
      </c>
      <c r="BG1500">
        <v>0</v>
      </c>
      <c r="BH1500">
        <v>1675</v>
      </c>
      <c r="BI1500">
        <v>1</v>
      </c>
      <c r="BJ1500">
        <v>1</v>
      </c>
      <c r="BK1500">
        <v>1</v>
      </c>
      <c r="BL1500">
        <v>0</v>
      </c>
      <c r="BO1500">
        <v>0</v>
      </c>
      <c r="BP1500">
        <v>0</v>
      </c>
      <c r="BW1500" t="str">
        <f>"20:21:10.823"</f>
        <v>20:21:10.823</v>
      </c>
      <c r="BZ1500">
        <v>0</v>
      </c>
      <c r="CA1500">
        <v>2016</v>
      </c>
      <c r="CB1500">
        <v>224</v>
      </c>
      <c r="CD1500">
        <v>1</v>
      </c>
      <c r="CE1500">
        <v>0</v>
      </c>
      <c r="CF1500">
        <v>0</v>
      </c>
      <c r="CG1500">
        <v>1</v>
      </c>
      <c r="CH1500">
        <v>0</v>
      </c>
      <c r="CI1500">
        <v>0</v>
      </c>
      <c r="CJ1500">
        <v>0</v>
      </c>
      <c r="CK1500">
        <v>2</v>
      </c>
      <c r="CL1500">
        <v>0</v>
      </c>
      <c r="CM1500">
        <v>2</v>
      </c>
      <c r="CN1500">
        <v>0</v>
      </c>
      <c r="CO1500">
        <v>7</v>
      </c>
      <c r="CP1500" t="s">
        <v>119</v>
      </c>
      <c r="CQ1500">
        <v>180</v>
      </c>
      <c r="CR1500">
        <v>1</v>
      </c>
      <c r="CW1500">
        <v>10788099</v>
      </c>
      <c r="CY1500">
        <v>1</v>
      </c>
      <c r="CZ1500">
        <v>0</v>
      </c>
      <c r="DA1500">
        <v>1</v>
      </c>
      <c r="DB1500">
        <v>0</v>
      </c>
      <c r="DC1500">
        <v>0</v>
      </c>
      <c r="DD1500">
        <v>0</v>
      </c>
      <c r="DE1500">
        <v>0</v>
      </c>
      <c r="DF1500">
        <v>0</v>
      </c>
      <c r="DG1500">
        <v>0</v>
      </c>
      <c r="DH1500">
        <v>0</v>
      </c>
      <c r="DI1500">
        <v>0</v>
      </c>
    </row>
    <row r="1501" spans="1:113" x14ac:dyDescent="0.3">
      <c r="A1501" t="str">
        <f>"02/08/2021 20:21:08.494"</f>
        <v>02/08/2021 20:21:08.494</v>
      </c>
      <c r="C1501" t="str">
        <f t="shared" si="71"/>
        <v>FFDFD7C0</v>
      </c>
      <c r="D1501" t="s">
        <v>124</v>
      </c>
      <c r="E1501">
        <v>13</v>
      </c>
      <c r="F1501">
        <v>1013</v>
      </c>
      <c r="G1501" t="s">
        <v>114</v>
      </c>
      <c r="J1501" t="s">
        <v>125</v>
      </c>
      <c r="K1501">
        <v>0</v>
      </c>
      <c r="L1501">
        <v>3</v>
      </c>
      <c r="M1501">
        <v>0</v>
      </c>
      <c r="N1501">
        <v>2</v>
      </c>
      <c r="O1501">
        <v>1</v>
      </c>
      <c r="P1501">
        <v>0</v>
      </c>
      <c r="Q1501">
        <v>0</v>
      </c>
      <c r="S1501" t="str">
        <f>"20:21:10.820"</f>
        <v>20:21:10.820</v>
      </c>
      <c r="T1501" t="str">
        <f>"20:21:10.420"</f>
        <v>20:21:10.420</v>
      </c>
      <c r="U1501" t="str">
        <f t="shared" si="70"/>
        <v>AB01F4</v>
      </c>
      <c r="V1501">
        <v>0</v>
      </c>
      <c r="W1501">
        <v>0</v>
      </c>
      <c r="X1501">
        <v>2</v>
      </c>
      <c r="Z1501">
        <v>0</v>
      </c>
      <c r="AA1501">
        <v>9</v>
      </c>
      <c r="AB1501">
        <v>3</v>
      </c>
      <c r="AC1501">
        <v>0</v>
      </c>
      <c r="AD1501">
        <v>10</v>
      </c>
      <c r="AE1501">
        <v>0</v>
      </c>
      <c r="AF1501">
        <v>3</v>
      </c>
      <c r="AG1501">
        <v>2</v>
      </c>
      <c r="AH1501">
        <v>0</v>
      </c>
      <c r="AI1501" t="s">
        <v>1002</v>
      </c>
      <c r="AJ1501">
        <v>39.827392000000003</v>
      </c>
      <c r="AK1501" t="s">
        <v>789</v>
      </c>
      <c r="AL1501">
        <v>-92.527777999999998</v>
      </c>
      <c r="AM1501">
        <v>100</v>
      </c>
      <c r="AN1501">
        <v>1700</v>
      </c>
      <c r="AO1501" t="s">
        <v>118</v>
      </c>
      <c r="AP1501">
        <v>-29</v>
      </c>
      <c r="AQ1501">
        <v>118</v>
      </c>
      <c r="AR1501">
        <v>-128</v>
      </c>
      <c r="AZ1501">
        <v>1200</v>
      </c>
      <c r="BA1501">
        <v>1</v>
      </c>
      <c r="BB1501" t="str">
        <f t="shared" si="72"/>
        <v xml:space="preserve">N8080G  </v>
      </c>
      <c r="BC1501">
        <v>1</v>
      </c>
      <c r="BE1501">
        <v>0</v>
      </c>
      <c r="BF1501">
        <v>0</v>
      </c>
      <c r="BG1501">
        <v>0</v>
      </c>
      <c r="BH1501">
        <v>1675</v>
      </c>
      <c r="BI1501">
        <v>1</v>
      </c>
      <c r="BJ1501">
        <v>1</v>
      </c>
      <c r="BK1501">
        <v>1</v>
      </c>
      <c r="BL1501">
        <v>0</v>
      </c>
      <c r="BO1501">
        <v>0</v>
      </c>
      <c r="BP1501">
        <v>0</v>
      </c>
      <c r="BW1501" t="str">
        <f>"20:21:10.823"</f>
        <v>20:21:10.823</v>
      </c>
      <c r="BZ1501">
        <v>0</v>
      </c>
      <c r="CA1501">
        <v>2016</v>
      </c>
      <c r="CB1501">
        <v>224</v>
      </c>
      <c r="CD1501">
        <v>1</v>
      </c>
      <c r="CE1501">
        <v>0</v>
      </c>
      <c r="CF1501">
        <v>0</v>
      </c>
      <c r="CG1501">
        <v>1</v>
      </c>
      <c r="CH1501">
        <v>0</v>
      </c>
      <c r="CI1501">
        <v>0</v>
      </c>
      <c r="CJ1501">
        <v>0</v>
      </c>
      <c r="CK1501">
        <v>2</v>
      </c>
      <c r="CL1501">
        <v>0</v>
      </c>
      <c r="CM1501">
        <v>2</v>
      </c>
      <c r="CN1501">
        <v>0</v>
      </c>
      <c r="CO1501">
        <v>7</v>
      </c>
      <c r="CP1501" t="s">
        <v>119</v>
      </c>
      <c r="CQ1501">
        <v>180</v>
      </c>
      <c r="CR1501">
        <v>1</v>
      </c>
      <c r="CW1501">
        <v>10788099</v>
      </c>
      <c r="CY1501">
        <v>1</v>
      </c>
      <c r="CZ1501">
        <v>0</v>
      </c>
      <c r="DA1501">
        <v>1</v>
      </c>
      <c r="DB1501">
        <v>0</v>
      </c>
      <c r="DC1501">
        <v>0</v>
      </c>
      <c r="DD1501">
        <v>0</v>
      </c>
      <c r="DE1501">
        <v>0</v>
      </c>
      <c r="DF1501">
        <v>0</v>
      </c>
      <c r="DG1501">
        <v>0</v>
      </c>
      <c r="DH1501">
        <v>0</v>
      </c>
      <c r="DI1501">
        <v>0</v>
      </c>
    </row>
    <row r="1502" spans="1:113" x14ac:dyDescent="0.3">
      <c r="A1502" t="str">
        <f>"02/08/2021 20:21:08.494"</f>
        <v>02/08/2021 20:21:08.494</v>
      </c>
      <c r="C1502" t="str">
        <f t="shared" si="71"/>
        <v>FFDFD7C0</v>
      </c>
      <c r="D1502" t="s">
        <v>124</v>
      </c>
      <c r="E1502">
        <v>11</v>
      </c>
      <c r="F1502">
        <v>1011</v>
      </c>
      <c r="G1502" t="s">
        <v>590</v>
      </c>
      <c r="J1502" t="s">
        <v>125</v>
      </c>
      <c r="K1502">
        <v>0</v>
      </c>
      <c r="L1502">
        <v>3</v>
      </c>
      <c r="M1502">
        <v>0</v>
      </c>
      <c r="N1502">
        <v>2</v>
      </c>
      <c r="O1502">
        <v>1</v>
      </c>
      <c r="P1502">
        <v>0</v>
      </c>
      <c r="Q1502">
        <v>0</v>
      </c>
      <c r="S1502" t="str">
        <f>"20:21:10.820"</f>
        <v>20:21:10.820</v>
      </c>
      <c r="T1502" t="str">
        <f>"20:21:10.420"</f>
        <v>20:21:10.420</v>
      </c>
      <c r="U1502" t="str">
        <f t="shared" si="70"/>
        <v>AB01F4</v>
      </c>
      <c r="V1502">
        <v>0</v>
      </c>
      <c r="W1502">
        <v>0</v>
      </c>
      <c r="X1502">
        <v>2</v>
      </c>
      <c r="Z1502">
        <v>0</v>
      </c>
      <c r="AA1502">
        <v>9</v>
      </c>
      <c r="AB1502">
        <v>3</v>
      </c>
      <c r="AC1502">
        <v>0</v>
      </c>
      <c r="AD1502">
        <v>10</v>
      </c>
      <c r="AE1502">
        <v>0</v>
      </c>
      <c r="AF1502">
        <v>3</v>
      </c>
      <c r="AG1502">
        <v>2</v>
      </c>
      <c r="AH1502">
        <v>0</v>
      </c>
      <c r="AI1502" t="s">
        <v>1002</v>
      </c>
      <c r="AJ1502">
        <v>39.827392000000003</v>
      </c>
      <c r="AK1502" t="s">
        <v>789</v>
      </c>
      <c r="AL1502">
        <v>-92.527777999999998</v>
      </c>
      <c r="AM1502">
        <v>100</v>
      </c>
      <c r="AN1502">
        <v>1700</v>
      </c>
      <c r="AO1502" t="s">
        <v>118</v>
      </c>
      <c r="AP1502">
        <v>-29</v>
      </c>
      <c r="AQ1502">
        <v>118</v>
      </c>
      <c r="AR1502">
        <v>-128</v>
      </c>
      <c r="AZ1502">
        <v>1200</v>
      </c>
      <c r="BA1502">
        <v>1</v>
      </c>
      <c r="BB1502" t="str">
        <f t="shared" si="72"/>
        <v xml:space="preserve">N8080G  </v>
      </c>
      <c r="BC1502">
        <v>1</v>
      </c>
      <c r="BE1502">
        <v>0</v>
      </c>
      <c r="BF1502">
        <v>0</v>
      </c>
      <c r="BG1502">
        <v>0</v>
      </c>
      <c r="BH1502">
        <v>1675</v>
      </c>
      <c r="BI1502">
        <v>1</v>
      </c>
      <c r="BJ1502">
        <v>1</v>
      </c>
      <c r="BK1502">
        <v>1</v>
      </c>
      <c r="BL1502">
        <v>0</v>
      </c>
      <c r="BO1502">
        <v>0</v>
      </c>
      <c r="BP1502">
        <v>0</v>
      </c>
      <c r="BW1502" t="str">
        <f>"20:21:10.823"</f>
        <v>20:21:10.823</v>
      </c>
      <c r="BZ1502">
        <v>0</v>
      </c>
      <c r="CA1502">
        <v>2016</v>
      </c>
      <c r="CB1502">
        <v>224</v>
      </c>
      <c r="CD1502">
        <v>1</v>
      </c>
      <c r="CE1502">
        <v>0</v>
      </c>
      <c r="CF1502">
        <v>0</v>
      </c>
      <c r="CG1502">
        <v>1</v>
      </c>
      <c r="CH1502">
        <v>0</v>
      </c>
      <c r="CI1502">
        <v>0</v>
      </c>
      <c r="CJ1502">
        <v>0</v>
      </c>
      <c r="CK1502">
        <v>2</v>
      </c>
      <c r="CL1502">
        <v>0</v>
      </c>
      <c r="CM1502">
        <v>2</v>
      </c>
      <c r="CN1502">
        <v>0</v>
      </c>
      <c r="CO1502">
        <v>7</v>
      </c>
      <c r="CP1502" t="s">
        <v>119</v>
      </c>
      <c r="CQ1502">
        <v>180</v>
      </c>
      <c r="CR1502">
        <v>1</v>
      </c>
      <c r="CW1502">
        <v>10788099</v>
      </c>
      <c r="CY1502">
        <v>1</v>
      </c>
      <c r="CZ1502">
        <v>0</v>
      </c>
      <c r="DA1502">
        <v>1</v>
      </c>
      <c r="DB1502">
        <v>0</v>
      </c>
      <c r="DC1502">
        <v>0</v>
      </c>
      <c r="DD1502">
        <v>0</v>
      </c>
      <c r="DE1502">
        <v>0</v>
      </c>
      <c r="DF1502">
        <v>0</v>
      </c>
      <c r="DG1502">
        <v>0</v>
      </c>
      <c r="DH1502">
        <v>0</v>
      </c>
      <c r="DI1502">
        <v>0</v>
      </c>
    </row>
    <row r="1503" spans="1:113" x14ac:dyDescent="0.3">
      <c r="A1503" t="str">
        <f>"02/08/2021 20:21:11.979"</f>
        <v>02/08/2021 20:21:11.979</v>
      </c>
      <c r="C1503" t="str">
        <f t="shared" si="71"/>
        <v>FFDFD7C0</v>
      </c>
      <c r="D1503" t="s">
        <v>124</v>
      </c>
      <c r="E1503">
        <v>13</v>
      </c>
      <c r="F1503">
        <v>1013</v>
      </c>
      <c r="G1503" t="s">
        <v>114</v>
      </c>
      <c r="J1503" t="s">
        <v>125</v>
      </c>
      <c r="K1503">
        <v>0</v>
      </c>
      <c r="L1503">
        <v>3</v>
      </c>
      <c r="M1503">
        <v>0</v>
      </c>
      <c r="N1503">
        <v>2</v>
      </c>
      <c r="O1503">
        <v>1</v>
      </c>
      <c r="P1503">
        <v>0</v>
      </c>
      <c r="Q1503">
        <v>0</v>
      </c>
      <c r="S1503" t="str">
        <f>"20:21:14.273"</f>
        <v>20:21:14.273</v>
      </c>
      <c r="T1503" t="str">
        <f>"20:21:13.773"</f>
        <v>20:21:13.773</v>
      </c>
      <c r="U1503" t="str">
        <f t="shared" si="70"/>
        <v>AB01F4</v>
      </c>
      <c r="V1503">
        <v>0</v>
      </c>
      <c r="W1503">
        <v>0</v>
      </c>
      <c r="X1503">
        <v>2</v>
      </c>
      <c r="Z1503">
        <v>0</v>
      </c>
      <c r="AA1503">
        <v>9</v>
      </c>
      <c r="AB1503">
        <v>3</v>
      </c>
      <c r="AC1503">
        <v>0</v>
      </c>
      <c r="AD1503">
        <v>10</v>
      </c>
      <c r="AE1503">
        <v>0</v>
      </c>
      <c r="AF1503">
        <v>3</v>
      </c>
      <c r="AG1503">
        <v>2</v>
      </c>
      <c r="AH1503">
        <v>0</v>
      </c>
      <c r="AI1503" t="s">
        <v>1003</v>
      </c>
      <c r="AJ1503">
        <v>39.829259</v>
      </c>
      <c r="AK1503" t="s">
        <v>795</v>
      </c>
      <c r="AL1503">
        <v>-92.528315000000006</v>
      </c>
      <c r="AM1503">
        <v>100</v>
      </c>
      <c r="AN1503">
        <v>1700</v>
      </c>
      <c r="AO1503" t="s">
        <v>118</v>
      </c>
      <c r="AP1503">
        <v>-29</v>
      </c>
      <c r="AQ1503">
        <v>118</v>
      </c>
      <c r="AR1503">
        <v>-64</v>
      </c>
      <c r="AZ1503">
        <v>1200</v>
      </c>
      <c r="BA1503">
        <v>1</v>
      </c>
      <c r="BB1503" t="str">
        <f t="shared" si="72"/>
        <v xml:space="preserve">N8080G  </v>
      </c>
      <c r="BC1503">
        <v>1</v>
      </c>
      <c r="BE1503">
        <v>0</v>
      </c>
      <c r="BF1503">
        <v>0</v>
      </c>
      <c r="BG1503">
        <v>0</v>
      </c>
      <c r="BH1503">
        <v>1675</v>
      </c>
      <c r="BI1503">
        <v>1</v>
      </c>
      <c r="BJ1503">
        <v>1</v>
      </c>
      <c r="BK1503">
        <v>1</v>
      </c>
      <c r="BL1503">
        <v>0</v>
      </c>
      <c r="BO1503">
        <v>0</v>
      </c>
      <c r="BP1503">
        <v>0</v>
      </c>
      <c r="BW1503" t="str">
        <f>"20:21:14.274"</f>
        <v>20:21:14.274</v>
      </c>
      <c r="BZ1503">
        <v>0</v>
      </c>
      <c r="CA1503">
        <v>2016</v>
      </c>
      <c r="CB1503">
        <v>224</v>
      </c>
      <c r="CD1503">
        <v>1</v>
      </c>
      <c r="CE1503">
        <v>0</v>
      </c>
      <c r="CF1503">
        <v>0</v>
      </c>
      <c r="CG1503">
        <v>1</v>
      </c>
      <c r="CH1503">
        <v>0</v>
      </c>
      <c r="CI1503">
        <v>0</v>
      </c>
      <c r="CJ1503">
        <v>0</v>
      </c>
      <c r="CK1503">
        <v>2</v>
      </c>
      <c r="CL1503">
        <v>0</v>
      </c>
      <c r="CM1503">
        <v>2</v>
      </c>
      <c r="CN1503">
        <v>0</v>
      </c>
      <c r="CO1503">
        <v>7</v>
      </c>
      <c r="CP1503" t="s">
        <v>119</v>
      </c>
      <c r="CQ1503">
        <v>180</v>
      </c>
      <c r="CR1503">
        <v>2</v>
      </c>
      <c r="CW1503">
        <v>8226407</v>
      </c>
      <c r="CY1503">
        <v>1</v>
      </c>
      <c r="CZ1503">
        <v>0</v>
      </c>
      <c r="DA1503">
        <v>0</v>
      </c>
      <c r="DB1503">
        <v>0</v>
      </c>
      <c r="DC1503">
        <v>0</v>
      </c>
      <c r="DD1503">
        <v>0</v>
      </c>
      <c r="DE1503">
        <v>0</v>
      </c>
      <c r="DF1503">
        <v>0</v>
      </c>
      <c r="DG1503">
        <v>0</v>
      </c>
      <c r="DH1503">
        <v>0</v>
      </c>
      <c r="DI1503">
        <v>0</v>
      </c>
    </row>
    <row r="1504" spans="1:113" x14ac:dyDescent="0.3">
      <c r="A1504" t="str">
        <f>"02/08/2021 20:21:11.979"</f>
        <v>02/08/2021 20:21:11.979</v>
      </c>
      <c r="C1504" t="str">
        <f t="shared" si="71"/>
        <v>FFDFD7C0</v>
      </c>
      <c r="D1504" t="s">
        <v>113</v>
      </c>
      <c r="E1504">
        <v>6</v>
      </c>
      <c r="H1504">
        <v>165</v>
      </c>
      <c r="I1504" t="s">
        <v>114</v>
      </c>
      <c r="J1504" t="s">
        <v>115</v>
      </c>
      <c r="K1504">
        <v>0</v>
      </c>
      <c r="L1504">
        <v>3</v>
      </c>
      <c r="M1504">
        <v>0</v>
      </c>
      <c r="N1504">
        <v>2</v>
      </c>
      <c r="O1504">
        <v>1</v>
      </c>
      <c r="P1504">
        <v>0</v>
      </c>
      <c r="Q1504">
        <v>0</v>
      </c>
      <c r="S1504" t="str">
        <f>"20:21:14.273"</f>
        <v>20:21:14.273</v>
      </c>
      <c r="T1504" t="str">
        <f>"20:21:13.773"</f>
        <v>20:21:13.773</v>
      </c>
      <c r="U1504" t="str">
        <f t="shared" si="70"/>
        <v>AB01F4</v>
      </c>
      <c r="V1504">
        <v>0</v>
      </c>
      <c r="W1504">
        <v>0</v>
      </c>
      <c r="X1504">
        <v>2</v>
      </c>
      <c r="Z1504">
        <v>0</v>
      </c>
      <c r="AA1504">
        <v>9</v>
      </c>
      <c r="AB1504">
        <v>3</v>
      </c>
      <c r="AC1504">
        <v>0</v>
      </c>
      <c r="AD1504">
        <v>10</v>
      </c>
      <c r="AE1504">
        <v>0</v>
      </c>
      <c r="AF1504">
        <v>3</v>
      </c>
      <c r="AG1504">
        <v>2</v>
      </c>
      <c r="AH1504">
        <v>0</v>
      </c>
      <c r="AI1504" t="s">
        <v>1003</v>
      </c>
      <c r="AJ1504">
        <v>39.829259</v>
      </c>
      <c r="AK1504" t="s">
        <v>795</v>
      </c>
      <c r="AL1504">
        <v>-92.528315000000006</v>
      </c>
      <c r="AM1504">
        <v>100</v>
      </c>
      <c r="AN1504">
        <v>1700</v>
      </c>
      <c r="AO1504" t="s">
        <v>118</v>
      </c>
      <c r="AP1504">
        <v>-29</v>
      </c>
      <c r="AQ1504">
        <v>118</v>
      </c>
      <c r="AR1504">
        <v>-64</v>
      </c>
      <c r="AZ1504">
        <v>1200</v>
      </c>
      <c r="BA1504">
        <v>1</v>
      </c>
      <c r="BB1504" t="str">
        <f t="shared" si="72"/>
        <v xml:space="preserve">N8080G  </v>
      </c>
      <c r="BC1504">
        <v>1</v>
      </c>
      <c r="BE1504">
        <v>0</v>
      </c>
      <c r="BF1504">
        <v>0</v>
      </c>
      <c r="BG1504">
        <v>0</v>
      </c>
      <c r="BH1504">
        <v>1675</v>
      </c>
      <c r="BI1504">
        <v>1</v>
      </c>
      <c r="BJ1504">
        <v>1</v>
      </c>
      <c r="BK1504">
        <v>1</v>
      </c>
      <c r="BL1504">
        <v>0</v>
      </c>
      <c r="BO1504">
        <v>0</v>
      </c>
      <c r="BP1504">
        <v>0</v>
      </c>
      <c r="BW1504" t="str">
        <f>"20:21:14.274"</f>
        <v>20:21:14.274</v>
      </c>
      <c r="BZ1504">
        <v>0</v>
      </c>
      <c r="CA1504">
        <v>2016</v>
      </c>
      <c r="CB1504">
        <v>224</v>
      </c>
      <c r="CD1504">
        <v>1</v>
      </c>
      <c r="CE1504">
        <v>0</v>
      </c>
      <c r="CF1504">
        <v>0</v>
      </c>
      <c r="CG1504">
        <v>1</v>
      </c>
      <c r="CH1504">
        <v>0</v>
      </c>
      <c r="CI1504">
        <v>0</v>
      </c>
      <c r="CJ1504">
        <v>0</v>
      </c>
      <c r="CK1504">
        <v>2</v>
      </c>
      <c r="CL1504">
        <v>0</v>
      </c>
      <c r="CM1504">
        <v>2</v>
      </c>
      <c r="CN1504">
        <v>0</v>
      </c>
      <c r="CO1504">
        <v>7</v>
      </c>
      <c r="CP1504" t="s">
        <v>119</v>
      </c>
      <c r="CQ1504">
        <v>180</v>
      </c>
      <c r="CR1504">
        <v>2</v>
      </c>
      <c r="CW1504">
        <v>8226407</v>
      </c>
      <c r="CY1504">
        <v>1</v>
      </c>
      <c r="CZ1504">
        <v>0</v>
      </c>
      <c r="DA1504">
        <v>1</v>
      </c>
      <c r="DB1504">
        <v>0</v>
      </c>
      <c r="DC1504">
        <v>0</v>
      </c>
      <c r="DD1504">
        <v>0</v>
      </c>
      <c r="DE1504">
        <v>0</v>
      </c>
      <c r="DF1504">
        <v>0</v>
      </c>
      <c r="DG1504">
        <v>0</v>
      </c>
      <c r="DH1504">
        <v>0</v>
      </c>
      <c r="DI1504">
        <v>0</v>
      </c>
    </row>
    <row r="1505" spans="1:113" x14ac:dyDescent="0.3">
      <c r="A1505" t="str">
        <f>"02/08/2021 20:21:11.979"</f>
        <v>02/08/2021 20:21:11.979</v>
      </c>
      <c r="C1505" t="str">
        <f t="shared" si="71"/>
        <v>FFDFD7C0</v>
      </c>
      <c r="D1505" t="s">
        <v>124</v>
      </c>
      <c r="E1505">
        <v>11</v>
      </c>
      <c r="F1505">
        <v>1011</v>
      </c>
      <c r="G1505" t="s">
        <v>590</v>
      </c>
      <c r="J1505" t="s">
        <v>125</v>
      </c>
      <c r="K1505">
        <v>0</v>
      </c>
      <c r="L1505">
        <v>3</v>
      </c>
      <c r="M1505">
        <v>0</v>
      </c>
      <c r="N1505">
        <v>2</v>
      </c>
      <c r="O1505">
        <v>1</v>
      </c>
      <c r="P1505">
        <v>0</v>
      </c>
      <c r="Q1505">
        <v>0</v>
      </c>
      <c r="S1505" t="str">
        <f>"20:21:14.273"</f>
        <v>20:21:14.273</v>
      </c>
      <c r="T1505" t="str">
        <f>"20:21:13.773"</f>
        <v>20:21:13.773</v>
      </c>
      <c r="U1505" t="str">
        <f t="shared" si="70"/>
        <v>AB01F4</v>
      </c>
      <c r="V1505">
        <v>0</v>
      </c>
      <c r="W1505">
        <v>0</v>
      </c>
      <c r="X1505">
        <v>2</v>
      </c>
      <c r="Z1505">
        <v>0</v>
      </c>
      <c r="AA1505">
        <v>9</v>
      </c>
      <c r="AB1505">
        <v>3</v>
      </c>
      <c r="AC1505">
        <v>0</v>
      </c>
      <c r="AD1505">
        <v>10</v>
      </c>
      <c r="AE1505">
        <v>0</v>
      </c>
      <c r="AF1505">
        <v>3</v>
      </c>
      <c r="AG1505">
        <v>2</v>
      </c>
      <c r="AH1505">
        <v>0</v>
      </c>
      <c r="AI1505" t="s">
        <v>1003</v>
      </c>
      <c r="AJ1505">
        <v>39.829259</v>
      </c>
      <c r="AK1505" t="s">
        <v>795</v>
      </c>
      <c r="AL1505">
        <v>-92.528315000000006</v>
      </c>
      <c r="AM1505">
        <v>100</v>
      </c>
      <c r="AN1505">
        <v>1700</v>
      </c>
      <c r="AO1505" t="s">
        <v>118</v>
      </c>
      <c r="AP1505">
        <v>-29</v>
      </c>
      <c r="AQ1505">
        <v>118</v>
      </c>
      <c r="AR1505">
        <v>-64</v>
      </c>
      <c r="AZ1505">
        <v>1200</v>
      </c>
      <c r="BA1505">
        <v>1</v>
      </c>
      <c r="BB1505" t="str">
        <f t="shared" si="72"/>
        <v xml:space="preserve">N8080G  </v>
      </c>
      <c r="BC1505">
        <v>1</v>
      </c>
      <c r="BE1505">
        <v>0</v>
      </c>
      <c r="BF1505">
        <v>0</v>
      </c>
      <c r="BG1505">
        <v>0</v>
      </c>
      <c r="BH1505">
        <v>1675</v>
      </c>
      <c r="BI1505">
        <v>1</v>
      </c>
      <c r="BJ1505">
        <v>1</v>
      </c>
      <c r="BK1505">
        <v>1</v>
      </c>
      <c r="BL1505">
        <v>0</v>
      </c>
      <c r="BO1505">
        <v>0</v>
      </c>
      <c r="BP1505">
        <v>0</v>
      </c>
      <c r="BW1505" t="str">
        <f>"20:21:14.274"</f>
        <v>20:21:14.274</v>
      </c>
      <c r="BZ1505">
        <v>0</v>
      </c>
      <c r="CA1505">
        <v>2016</v>
      </c>
      <c r="CB1505">
        <v>224</v>
      </c>
      <c r="CD1505">
        <v>1</v>
      </c>
      <c r="CE1505">
        <v>0</v>
      </c>
      <c r="CF1505">
        <v>0</v>
      </c>
      <c r="CG1505">
        <v>1</v>
      </c>
      <c r="CH1505">
        <v>0</v>
      </c>
      <c r="CI1505">
        <v>0</v>
      </c>
      <c r="CJ1505">
        <v>0</v>
      </c>
      <c r="CK1505">
        <v>2</v>
      </c>
      <c r="CL1505">
        <v>0</v>
      </c>
      <c r="CM1505">
        <v>2</v>
      </c>
      <c r="CN1505">
        <v>0</v>
      </c>
      <c r="CO1505">
        <v>7</v>
      </c>
      <c r="CP1505" t="s">
        <v>119</v>
      </c>
      <c r="CQ1505">
        <v>180</v>
      </c>
      <c r="CR1505">
        <v>2</v>
      </c>
      <c r="CW1505">
        <v>8226407</v>
      </c>
      <c r="CY1505">
        <v>1</v>
      </c>
      <c r="CZ1505">
        <v>0</v>
      </c>
      <c r="DA1505">
        <v>1</v>
      </c>
      <c r="DB1505">
        <v>0</v>
      </c>
      <c r="DC1505">
        <v>0</v>
      </c>
      <c r="DD1505">
        <v>0</v>
      </c>
      <c r="DE1505">
        <v>0</v>
      </c>
      <c r="DF1505">
        <v>0</v>
      </c>
      <c r="DG1505">
        <v>0</v>
      </c>
      <c r="DH1505">
        <v>0</v>
      </c>
      <c r="DI1505">
        <v>0</v>
      </c>
    </row>
    <row r="1506" spans="1:113" x14ac:dyDescent="0.3">
      <c r="A1506" t="str">
        <f>"02/08/2021 20:21:11.979"</f>
        <v>02/08/2021 20:21:11.979</v>
      </c>
      <c r="C1506" t="str">
        <f t="shared" si="71"/>
        <v>FFDFD7C0</v>
      </c>
      <c r="D1506" t="s">
        <v>124</v>
      </c>
      <c r="E1506">
        <v>12</v>
      </c>
      <c r="F1506">
        <v>1012</v>
      </c>
      <c r="G1506" t="s">
        <v>675</v>
      </c>
      <c r="J1506" t="s">
        <v>125</v>
      </c>
      <c r="K1506">
        <v>0</v>
      </c>
      <c r="L1506">
        <v>3</v>
      </c>
      <c r="M1506">
        <v>0</v>
      </c>
      <c r="N1506">
        <v>2</v>
      </c>
      <c r="O1506">
        <v>1</v>
      </c>
      <c r="P1506">
        <v>0</v>
      </c>
      <c r="Q1506">
        <v>0</v>
      </c>
      <c r="S1506" t="str">
        <f>"20:21:14.273"</f>
        <v>20:21:14.273</v>
      </c>
      <c r="T1506" t="str">
        <f>"20:21:13.773"</f>
        <v>20:21:13.773</v>
      </c>
      <c r="U1506" t="str">
        <f t="shared" si="70"/>
        <v>AB01F4</v>
      </c>
      <c r="V1506">
        <v>0</v>
      </c>
      <c r="W1506">
        <v>0</v>
      </c>
      <c r="X1506">
        <v>2</v>
      </c>
      <c r="Z1506">
        <v>0</v>
      </c>
      <c r="AA1506">
        <v>9</v>
      </c>
      <c r="AB1506">
        <v>3</v>
      </c>
      <c r="AC1506">
        <v>0</v>
      </c>
      <c r="AD1506">
        <v>10</v>
      </c>
      <c r="AE1506">
        <v>0</v>
      </c>
      <c r="AF1506">
        <v>3</v>
      </c>
      <c r="AG1506">
        <v>2</v>
      </c>
      <c r="AH1506">
        <v>0</v>
      </c>
      <c r="AI1506" t="s">
        <v>1003</v>
      </c>
      <c r="AJ1506">
        <v>39.829259</v>
      </c>
      <c r="AK1506" t="s">
        <v>795</v>
      </c>
      <c r="AL1506">
        <v>-92.528315000000006</v>
      </c>
      <c r="AM1506">
        <v>100</v>
      </c>
      <c r="AN1506">
        <v>1700</v>
      </c>
      <c r="AO1506" t="s">
        <v>118</v>
      </c>
      <c r="AP1506">
        <v>-29</v>
      </c>
      <c r="AQ1506">
        <v>118</v>
      </c>
      <c r="AR1506">
        <v>-64</v>
      </c>
      <c r="AZ1506">
        <v>1200</v>
      </c>
      <c r="BA1506">
        <v>1</v>
      </c>
      <c r="BB1506" t="str">
        <f t="shared" si="72"/>
        <v xml:space="preserve">N8080G  </v>
      </c>
      <c r="BC1506">
        <v>1</v>
      </c>
      <c r="BE1506">
        <v>0</v>
      </c>
      <c r="BF1506">
        <v>0</v>
      </c>
      <c r="BG1506">
        <v>0</v>
      </c>
      <c r="BH1506">
        <v>1675</v>
      </c>
      <c r="BI1506">
        <v>1</v>
      </c>
      <c r="BJ1506">
        <v>1</v>
      </c>
      <c r="BK1506">
        <v>1</v>
      </c>
      <c r="BL1506">
        <v>0</v>
      </c>
      <c r="BO1506">
        <v>0</v>
      </c>
      <c r="BP1506">
        <v>0</v>
      </c>
      <c r="BW1506" t="str">
        <f>"20:21:14.274"</f>
        <v>20:21:14.274</v>
      </c>
      <c r="BZ1506">
        <v>0</v>
      </c>
      <c r="CA1506">
        <v>2016</v>
      </c>
      <c r="CB1506">
        <v>224</v>
      </c>
      <c r="CD1506">
        <v>1</v>
      </c>
      <c r="CE1506">
        <v>0</v>
      </c>
      <c r="CF1506">
        <v>0</v>
      </c>
      <c r="CG1506">
        <v>1</v>
      </c>
      <c r="CH1506">
        <v>0</v>
      </c>
      <c r="CI1506">
        <v>0</v>
      </c>
      <c r="CJ1506">
        <v>0</v>
      </c>
      <c r="CK1506">
        <v>2</v>
      </c>
      <c r="CL1506">
        <v>0</v>
      </c>
      <c r="CM1506">
        <v>2</v>
      </c>
      <c r="CN1506">
        <v>0</v>
      </c>
      <c r="CO1506">
        <v>7</v>
      </c>
      <c r="CP1506" t="s">
        <v>119</v>
      </c>
      <c r="CQ1506">
        <v>180</v>
      </c>
      <c r="CR1506">
        <v>2</v>
      </c>
      <c r="CW1506">
        <v>8226407</v>
      </c>
      <c r="CY1506">
        <v>1</v>
      </c>
      <c r="CZ1506">
        <v>0</v>
      </c>
      <c r="DA1506">
        <v>1</v>
      </c>
      <c r="DB1506">
        <v>0</v>
      </c>
      <c r="DC1506">
        <v>0</v>
      </c>
      <c r="DD1506">
        <v>0</v>
      </c>
      <c r="DE1506">
        <v>0</v>
      </c>
      <c r="DF1506">
        <v>0</v>
      </c>
      <c r="DG1506">
        <v>0</v>
      </c>
      <c r="DH1506">
        <v>0</v>
      </c>
      <c r="DI1506">
        <v>0</v>
      </c>
    </row>
    <row r="1507" spans="1:113" x14ac:dyDescent="0.3">
      <c r="A1507" t="str">
        <f>"02/08/2021 20:21:13.458"</f>
        <v>02/08/2021 20:21:13.458</v>
      </c>
      <c r="C1507" t="str">
        <f t="shared" si="71"/>
        <v>FFDFD7C0</v>
      </c>
      <c r="D1507" t="s">
        <v>124</v>
      </c>
      <c r="E1507">
        <v>11</v>
      </c>
      <c r="F1507">
        <v>1011</v>
      </c>
      <c r="G1507" t="s">
        <v>590</v>
      </c>
      <c r="J1507" t="s">
        <v>125</v>
      </c>
      <c r="K1507">
        <v>0</v>
      </c>
      <c r="L1507">
        <v>3</v>
      </c>
      <c r="M1507">
        <v>0</v>
      </c>
      <c r="N1507">
        <v>2</v>
      </c>
      <c r="O1507">
        <v>1</v>
      </c>
      <c r="P1507">
        <v>0</v>
      </c>
      <c r="Q1507">
        <v>0</v>
      </c>
      <c r="S1507" t="str">
        <f>"20:21:15.789"</f>
        <v>20:21:15.789</v>
      </c>
      <c r="T1507" t="str">
        <f>"20:21:15.389"</f>
        <v>20:21:15.389</v>
      </c>
      <c r="U1507" t="str">
        <f t="shared" si="70"/>
        <v>AB01F4</v>
      </c>
      <c r="V1507">
        <v>0</v>
      </c>
      <c r="W1507">
        <v>0</v>
      </c>
      <c r="X1507">
        <v>2</v>
      </c>
      <c r="Z1507">
        <v>0</v>
      </c>
      <c r="AA1507">
        <v>9</v>
      </c>
      <c r="AB1507">
        <v>3</v>
      </c>
      <c r="AC1507">
        <v>0</v>
      </c>
      <c r="AD1507">
        <v>10</v>
      </c>
      <c r="AE1507">
        <v>0</v>
      </c>
      <c r="AF1507">
        <v>3</v>
      </c>
      <c r="AG1507">
        <v>2</v>
      </c>
      <c r="AH1507">
        <v>0</v>
      </c>
      <c r="AI1507" t="s">
        <v>1004</v>
      </c>
      <c r="AJ1507">
        <v>39.830052999999999</v>
      </c>
      <c r="AK1507" t="s">
        <v>802</v>
      </c>
      <c r="AL1507">
        <v>-92.528593999999998</v>
      </c>
      <c r="AM1507">
        <v>100</v>
      </c>
      <c r="AN1507">
        <v>1700</v>
      </c>
      <c r="AO1507" t="s">
        <v>118</v>
      </c>
      <c r="AP1507">
        <v>-29</v>
      </c>
      <c r="AQ1507">
        <v>118</v>
      </c>
      <c r="AR1507">
        <v>-64</v>
      </c>
      <c r="AZ1507">
        <v>1200</v>
      </c>
      <c r="BA1507">
        <v>1</v>
      </c>
      <c r="BB1507" t="str">
        <f t="shared" si="72"/>
        <v xml:space="preserve">N8080G  </v>
      </c>
      <c r="BC1507">
        <v>1</v>
      </c>
      <c r="BE1507">
        <v>0</v>
      </c>
      <c r="BF1507">
        <v>0</v>
      </c>
      <c r="BG1507">
        <v>0</v>
      </c>
      <c r="BH1507">
        <v>1700</v>
      </c>
      <c r="BI1507">
        <v>1</v>
      </c>
      <c r="BJ1507">
        <v>1</v>
      </c>
      <c r="BK1507">
        <v>1</v>
      </c>
      <c r="BL1507">
        <v>0</v>
      </c>
      <c r="BO1507">
        <v>0</v>
      </c>
      <c r="BP1507">
        <v>0</v>
      </c>
      <c r="BW1507" t="str">
        <f>"20:21:15.793"</f>
        <v>20:21:15.793</v>
      </c>
      <c r="BZ1507">
        <v>0</v>
      </c>
      <c r="CA1507">
        <v>2016</v>
      </c>
      <c r="CB1507">
        <v>224</v>
      </c>
      <c r="CD1507">
        <v>1</v>
      </c>
      <c r="CE1507">
        <v>0</v>
      </c>
      <c r="CF1507">
        <v>0</v>
      </c>
      <c r="CG1507">
        <v>1</v>
      </c>
      <c r="CH1507">
        <v>0</v>
      </c>
      <c r="CI1507">
        <v>0</v>
      </c>
      <c r="CJ1507">
        <v>0</v>
      </c>
      <c r="CK1507">
        <v>2</v>
      </c>
      <c r="CL1507">
        <v>0</v>
      </c>
      <c r="CM1507">
        <v>2</v>
      </c>
      <c r="CN1507">
        <v>0</v>
      </c>
      <c r="CO1507">
        <v>7</v>
      </c>
      <c r="CP1507" t="s">
        <v>119</v>
      </c>
      <c r="CQ1507">
        <v>180</v>
      </c>
      <c r="CR1507">
        <v>1</v>
      </c>
      <c r="CW1507">
        <v>10792089</v>
      </c>
      <c r="CY1507">
        <v>1</v>
      </c>
      <c r="CZ1507">
        <v>0</v>
      </c>
      <c r="DA1507">
        <v>0</v>
      </c>
      <c r="DB1507">
        <v>0</v>
      </c>
      <c r="DC1507">
        <v>0</v>
      </c>
      <c r="DD1507">
        <v>0</v>
      </c>
      <c r="DE1507">
        <v>0</v>
      </c>
      <c r="DF1507">
        <v>0</v>
      </c>
      <c r="DG1507">
        <v>0</v>
      </c>
      <c r="DH1507">
        <v>0</v>
      </c>
      <c r="DI1507">
        <v>0</v>
      </c>
    </row>
    <row r="1508" spans="1:113" x14ac:dyDescent="0.3">
      <c r="A1508" t="str">
        <f>"02/08/2021 20:21:13.458"</f>
        <v>02/08/2021 20:21:13.458</v>
      </c>
      <c r="C1508" t="str">
        <f t="shared" si="71"/>
        <v>FFDFD7C0</v>
      </c>
      <c r="D1508" t="s">
        <v>124</v>
      </c>
      <c r="E1508">
        <v>12</v>
      </c>
      <c r="F1508">
        <v>1012</v>
      </c>
      <c r="G1508" t="s">
        <v>675</v>
      </c>
      <c r="J1508" t="s">
        <v>125</v>
      </c>
      <c r="K1508">
        <v>0</v>
      </c>
      <c r="L1508">
        <v>3</v>
      </c>
      <c r="M1508">
        <v>0</v>
      </c>
      <c r="N1508">
        <v>2</v>
      </c>
      <c r="O1508">
        <v>1</v>
      </c>
      <c r="P1508">
        <v>0</v>
      </c>
      <c r="Q1508">
        <v>0</v>
      </c>
      <c r="S1508" t="str">
        <f>"20:21:15.789"</f>
        <v>20:21:15.789</v>
      </c>
      <c r="T1508" t="str">
        <f>"20:21:15.389"</f>
        <v>20:21:15.389</v>
      </c>
      <c r="U1508" t="str">
        <f t="shared" si="70"/>
        <v>AB01F4</v>
      </c>
      <c r="V1508">
        <v>0</v>
      </c>
      <c r="W1508">
        <v>0</v>
      </c>
      <c r="X1508">
        <v>2</v>
      </c>
      <c r="Z1508">
        <v>0</v>
      </c>
      <c r="AA1508">
        <v>9</v>
      </c>
      <c r="AB1508">
        <v>3</v>
      </c>
      <c r="AC1508">
        <v>0</v>
      </c>
      <c r="AD1508">
        <v>10</v>
      </c>
      <c r="AE1508">
        <v>0</v>
      </c>
      <c r="AF1508">
        <v>3</v>
      </c>
      <c r="AG1508">
        <v>2</v>
      </c>
      <c r="AH1508">
        <v>0</v>
      </c>
      <c r="AI1508" t="s">
        <v>1004</v>
      </c>
      <c r="AJ1508">
        <v>39.830052999999999</v>
      </c>
      <c r="AK1508" t="s">
        <v>802</v>
      </c>
      <c r="AL1508">
        <v>-92.528593999999998</v>
      </c>
      <c r="AM1508">
        <v>100</v>
      </c>
      <c r="AN1508">
        <v>1700</v>
      </c>
      <c r="AO1508" t="s">
        <v>118</v>
      </c>
      <c r="AP1508">
        <v>-29</v>
      </c>
      <c r="AQ1508">
        <v>118</v>
      </c>
      <c r="AR1508">
        <v>-64</v>
      </c>
      <c r="AZ1508">
        <v>1200</v>
      </c>
      <c r="BA1508">
        <v>1</v>
      </c>
      <c r="BB1508" t="str">
        <f t="shared" si="72"/>
        <v xml:space="preserve">N8080G  </v>
      </c>
      <c r="BC1508">
        <v>1</v>
      </c>
      <c r="BE1508">
        <v>0</v>
      </c>
      <c r="BF1508">
        <v>0</v>
      </c>
      <c r="BG1508">
        <v>0</v>
      </c>
      <c r="BH1508">
        <v>1700</v>
      </c>
      <c r="BI1508">
        <v>1</v>
      </c>
      <c r="BJ1508">
        <v>1</v>
      </c>
      <c r="BK1508">
        <v>1</v>
      </c>
      <c r="BL1508">
        <v>0</v>
      </c>
      <c r="BO1508">
        <v>0</v>
      </c>
      <c r="BP1508">
        <v>0</v>
      </c>
      <c r="BW1508" t="str">
        <f>"20:21:15.793"</f>
        <v>20:21:15.793</v>
      </c>
      <c r="BZ1508">
        <v>0</v>
      </c>
      <c r="CA1508">
        <v>2016</v>
      </c>
      <c r="CB1508">
        <v>224</v>
      </c>
      <c r="CD1508">
        <v>1</v>
      </c>
      <c r="CE1508">
        <v>0</v>
      </c>
      <c r="CF1508">
        <v>0</v>
      </c>
      <c r="CG1508">
        <v>1</v>
      </c>
      <c r="CH1508">
        <v>0</v>
      </c>
      <c r="CI1508">
        <v>0</v>
      </c>
      <c r="CJ1508">
        <v>0</v>
      </c>
      <c r="CK1508">
        <v>2</v>
      </c>
      <c r="CL1508">
        <v>0</v>
      </c>
      <c r="CM1508">
        <v>2</v>
      </c>
      <c r="CN1508">
        <v>0</v>
      </c>
      <c r="CO1508">
        <v>7</v>
      </c>
      <c r="CP1508" t="s">
        <v>119</v>
      </c>
      <c r="CQ1508">
        <v>180</v>
      </c>
      <c r="CR1508">
        <v>1</v>
      </c>
      <c r="CW1508">
        <v>10792089</v>
      </c>
      <c r="CY1508">
        <v>1</v>
      </c>
      <c r="CZ1508">
        <v>0</v>
      </c>
      <c r="DA1508">
        <v>1</v>
      </c>
      <c r="DB1508">
        <v>0</v>
      </c>
      <c r="DC1508">
        <v>0</v>
      </c>
      <c r="DD1508">
        <v>0</v>
      </c>
      <c r="DE1508">
        <v>0</v>
      </c>
      <c r="DF1508">
        <v>0</v>
      </c>
      <c r="DG1508">
        <v>0</v>
      </c>
      <c r="DH1508">
        <v>0</v>
      </c>
      <c r="DI1508">
        <v>0</v>
      </c>
    </row>
    <row r="1509" spans="1:113" x14ac:dyDescent="0.3">
      <c r="A1509" t="str">
        <f>"02/08/2021 20:21:13.458"</f>
        <v>02/08/2021 20:21:13.458</v>
      </c>
      <c r="C1509" t="str">
        <f t="shared" si="71"/>
        <v>FFDFD7C0</v>
      </c>
      <c r="D1509" t="s">
        <v>124</v>
      </c>
      <c r="E1509">
        <v>13</v>
      </c>
      <c r="F1509">
        <v>1013</v>
      </c>
      <c r="G1509" t="s">
        <v>114</v>
      </c>
      <c r="J1509" t="s">
        <v>125</v>
      </c>
      <c r="K1509">
        <v>0</v>
      </c>
      <c r="L1509">
        <v>3</v>
      </c>
      <c r="M1509">
        <v>0</v>
      </c>
      <c r="N1509">
        <v>2</v>
      </c>
      <c r="O1509">
        <v>1</v>
      </c>
      <c r="P1509">
        <v>0</v>
      </c>
      <c r="Q1509">
        <v>0</v>
      </c>
      <c r="S1509" t="str">
        <f>"20:21:15.789"</f>
        <v>20:21:15.789</v>
      </c>
      <c r="T1509" t="str">
        <f>"20:21:15.389"</f>
        <v>20:21:15.389</v>
      </c>
      <c r="U1509" t="str">
        <f t="shared" si="70"/>
        <v>AB01F4</v>
      </c>
      <c r="V1509">
        <v>0</v>
      </c>
      <c r="W1509">
        <v>0</v>
      </c>
      <c r="X1509">
        <v>2</v>
      </c>
      <c r="Z1509">
        <v>0</v>
      </c>
      <c r="AA1509">
        <v>9</v>
      </c>
      <c r="AB1509">
        <v>3</v>
      </c>
      <c r="AC1509">
        <v>0</v>
      </c>
      <c r="AD1509">
        <v>10</v>
      </c>
      <c r="AE1509">
        <v>0</v>
      </c>
      <c r="AF1509">
        <v>3</v>
      </c>
      <c r="AG1509">
        <v>2</v>
      </c>
      <c r="AH1509">
        <v>0</v>
      </c>
      <c r="AI1509" t="s">
        <v>1004</v>
      </c>
      <c r="AJ1509">
        <v>39.830052999999999</v>
      </c>
      <c r="AK1509" t="s">
        <v>802</v>
      </c>
      <c r="AL1509">
        <v>-92.528593999999998</v>
      </c>
      <c r="AM1509">
        <v>100</v>
      </c>
      <c r="AN1509">
        <v>1700</v>
      </c>
      <c r="AO1509" t="s">
        <v>118</v>
      </c>
      <c r="AP1509">
        <v>-29</v>
      </c>
      <c r="AQ1509">
        <v>118</v>
      </c>
      <c r="AR1509">
        <v>-64</v>
      </c>
      <c r="AZ1509">
        <v>1200</v>
      </c>
      <c r="BA1509">
        <v>1</v>
      </c>
      <c r="BB1509" t="str">
        <f t="shared" si="72"/>
        <v xml:space="preserve">N8080G  </v>
      </c>
      <c r="BC1509">
        <v>1</v>
      </c>
      <c r="BE1509">
        <v>0</v>
      </c>
      <c r="BF1509">
        <v>0</v>
      </c>
      <c r="BG1509">
        <v>0</v>
      </c>
      <c r="BH1509">
        <v>1700</v>
      </c>
      <c r="BI1509">
        <v>1</v>
      </c>
      <c r="BJ1509">
        <v>1</v>
      </c>
      <c r="BK1509">
        <v>1</v>
      </c>
      <c r="BL1509">
        <v>0</v>
      </c>
      <c r="BO1509">
        <v>0</v>
      </c>
      <c r="BP1509">
        <v>0</v>
      </c>
      <c r="BW1509" t="str">
        <f>"20:21:15.793"</f>
        <v>20:21:15.793</v>
      </c>
      <c r="BZ1509">
        <v>0</v>
      </c>
      <c r="CA1509">
        <v>2016</v>
      </c>
      <c r="CB1509">
        <v>224</v>
      </c>
      <c r="CD1509">
        <v>1</v>
      </c>
      <c r="CE1509">
        <v>0</v>
      </c>
      <c r="CF1509">
        <v>0</v>
      </c>
      <c r="CG1509">
        <v>1</v>
      </c>
      <c r="CH1509">
        <v>0</v>
      </c>
      <c r="CI1509">
        <v>0</v>
      </c>
      <c r="CJ1509">
        <v>0</v>
      </c>
      <c r="CK1509">
        <v>2</v>
      </c>
      <c r="CL1509">
        <v>0</v>
      </c>
      <c r="CM1509">
        <v>2</v>
      </c>
      <c r="CN1509">
        <v>0</v>
      </c>
      <c r="CO1509">
        <v>7</v>
      </c>
      <c r="CP1509" t="s">
        <v>119</v>
      </c>
      <c r="CQ1509">
        <v>180</v>
      </c>
      <c r="CR1509">
        <v>1</v>
      </c>
      <c r="CW1509">
        <v>10792089</v>
      </c>
      <c r="CY1509">
        <v>1</v>
      </c>
      <c r="CZ1509">
        <v>0</v>
      </c>
      <c r="DA1509">
        <v>1</v>
      </c>
      <c r="DB1509">
        <v>0</v>
      </c>
      <c r="DC1509">
        <v>0</v>
      </c>
      <c r="DD1509">
        <v>0</v>
      </c>
      <c r="DE1509">
        <v>0</v>
      </c>
      <c r="DF1509">
        <v>0</v>
      </c>
      <c r="DG1509">
        <v>0</v>
      </c>
      <c r="DH1509">
        <v>0</v>
      </c>
      <c r="DI1509">
        <v>0</v>
      </c>
    </row>
    <row r="1510" spans="1:113" x14ac:dyDescent="0.3">
      <c r="A1510" t="str">
        <f>"02/08/2021 20:21:13.458"</f>
        <v>02/08/2021 20:21:13.458</v>
      </c>
      <c r="C1510" t="str">
        <f t="shared" si="71"/>
        <v>FFDFD7C0</v>
      </c>
      <c r="D1510" t="s">
        <v>113</v>
      </c>
      <c r="E1510">
        <v>6</v>
      </c>
      <c r="H1510">
        <v>165</v>
      </c>
      <c r="I1510" t="s">
        <v>114</v>
      </c>
      <c r="J1510" t="s">
        <v>115</v>
      </c>
      <c r="K1510">
        <v>0</v>
      </c>
      <c r="L1510">
        <v>3</v>
      </c>
      <c r="M1510">
        <v>0</v>
      </c>
      <c r="N1510">
        <v>2</v>
      </c>
      <c r="O1510">
        <v>1</v>
      </c>
      <c r="P1510">
        <v>0</v>
      </c>
      <c r="Q1510">
        <v>0</v>
      </c>
      <c r="S1510" t="str">
        <f>"20:21:15.789"</f>
        <v>20:21:15.789</v>
      </c>
      <c r="T1510" t="str">
        <f>"20:21:15.389"</f>
        <v>20:21:15.389</v>
      </c>
      <c r="U1510" t="str">
        <f t="shared" si="70"/>
        <v>AB01F4</v>
      </c>
      <c r="V1510">
        <v>0</v>
      </c>
      <c r="W1510">
        <v>0</v>
      </c>
      <c r="X1510">
        <v>2</v>
      </c>
      <c r="Z1510">
        <v>0</v>
      </c>
      <c r="AA1510">
        <v>9</v>
      </c>
      <c r="AB1510">
        <v>3</v>
      </c>
      <c r="AC1510">
        <v>0</v>
      </c>
      <c r="AD1510">
        <v>10</v>
      </c>
      <c r="AE1510">
        <v>0</v>
      </c>
      <c r="AF1510">
        <v>3</v>
      </c>
      <c r="AG1510">
        <v>2</v>
      </c>
      <c r="AH1510">
        <v>0</v>
      </c>
      <c r="AI1510" t="s">
        <v>1004</v>
      </c>
      <c r="AJ1510">
        <v>39.830052999999999</v>
      </c>
      <c r="AK1510" t="s">
        <v>802</v>
      </c>
      <c r="AL1510">
        <v>-92.528593999999998</v>
      </c>
      <c r="AM1510">
        <v>100</v>
      </c>
      <c r="AN1510">
        <v>1700</v>
      </c>
      <c r="AO1510" t="s">
        <v>118</v>
      </c>
      <c r="AP1510">
        <v>-29</v>
      </c>
      <c r="AQ1510">
        <v>118</v>
      </c>
      <c r="AR1510">
        <v>-64</v>
      </c>
      <c r="AZ1510">
        <v>1200</v>
      </c>
      <c r="BA1510">
        <v>1</v>
      </c>
      <c r="BB1510" t="str">
        <f t="shared" si="72"/>
        <v xml:space="preserve">N8080G  </v>
      </c>
      <c r="BC1510">
        <v>1</v>
      </c>
      <c r="BE1510">
        <v>0</v>
      </c>
      <c r="BF1510">
        <v>0</v>
      </c>
      <c r="BG1510">
        <v>0</v>
      </c>
      <c r="BH1510">
        <v>1700</v>
      </c>
      <c r="BI1510">
        <v>1</v>
      </c>
      <c r="BJ1510">
        <v>1</v>
      </c>
      <c r="BK1510">
        <v>1</v>
      </c>
      <c r="BL1510">
        <v>0</v>
      </c>
      <c r="BO1510">
        <v>0</v>
      </c>
      <c r="BP1510">
        <v>0</v>
      </c>
      <c r="BW1510" t="str">
        <f>"20:21:15.793"</f>
        <v>20:21:15.793</v>
      </c>
      <c r="BZ1510">
        <v>0</v>
      </c>
      <c r="CA1510">
        <v>2016</v>
      </c>
      <c r="CB1510">
        <v>224</v>
      </c>
      <c r="CD1510">
        <v>1</v>
      </c>
      <c r="CE1510">
        <v>0</v>
      </c>
      <c r="CF1510">
        <v>0</v>
      </c>
      <c r="CG1510">
        <v>1</v>
      </c>
      <c r="CH1510">
        <v>0</v>
      </c>
      <c r="CI1510">
        <v>0</v>
      </c>
      <c r="CJ1510">
        <v>0</v>
      </c>
      <c r="CK1510">
        <v>2</v>
      </c>
      <c r="CL1510">
        <v>0</v>
      </c>
      <c r="CM1510">
        <v>2</v>
      </c>
      <c r="CN1510">
        <v>0</v>
      </c>
      <c r="CO1510">
        <v>7</v>
      </c>
      <c r="CP1510" t="s">
        <v>119</v>
      </c>
      <c r="CQ1510">
        <v>180</v>
      </c>
      <c r="CR1510">
        <v>1</v>
      </c>
      <c r="CW1510">
        <v>10792089</v>
      </c>
      <c r="CY1510">
        <v>1</v>
      </c>
      <c r="CZ1510">
        <v>0</v>
      </c>
      <c r="DA1510">
        <v>1</v>
      </c>
      <c r="DB1510">
        <v>0</v>
      </c>
      <c r="DC1510">
        <v>0</v>
      </c>
      <c r="DD1510">
        <v>0</v>
      </c>
      <c r="DE1510">
        <v>0</v>
      </c>
      <c r="DF1510">
        <v>0</v>
      </c>
      <c r="DG1510">
        <v>0</v>
      </c>
      <c r="DH1510">
        <v>0</v>
      </c>
      <c r="DI1510">
        <v>0</v>
      </c>
    </row>
    <row r="1511" spans="1:113" x14ac:dyDescent="0.3">
      <c r="A1511" t="str">
        <f>"02/08/2021 20:21:14.896"</f>
        <v>02/08/2021 20:21:14.896</v>
      </c>
      <c r="C1511" t="str">
        <f t="shared" si="71"/>
        <v>FFDFD7C0</v>
      </c>
      <c r="D1511" t="s">
        <v>124</v>
      </c>
      <c r="E1511">
        <v>13</v>
      </c>
      <c r="F1511">
        <v>1013</v>
      </c>
      <c r="G1511" t="s">
        <v>114</v>
      </c>
      <c r="J1511" t="s">
        <v>125</v>
      </c>
      <c r="K1511">
        <v>0</v>
      </c>
      <c r="L1511">
        <v>3</v>
      </c>
      <c r="M1511">
        <v>0</v>
      </c>
      <c r="N1511">
        <v>2</v>
      </c>
      <c r="O1511">
        <v>1</v>
      </c>
      <c r="P1511">
        <v>0</v>
      </c>
      <c r="Q1511">
        <v>0</v>
      </c>
      <c r="S1511" t="str">
        <f>"20:21:17.211"</f>
        <v>20:21:17.211</v>
      </c>
      <c r="T1511" t="str">
        <f>"20:21:16.711"</f>
        <v>20:21:16.711</v>
      </c>
      <c r="U1511" t="str">
        <f t="shared" si="70"/>
        <v>AB01F4</v>
      </c>
      <c r="V1511">
        <v>0</v>
      </c>
      <c r="W1511">
        <v>0</v>
      </c>
      <c r="X1511">
        <v>2</v>
      </c>
      <c r="Z1511">
        <v>0</v>
      </c>
      <c r="AA1511">
        <v>9</v>
      </c>
      <c r="AB1511">
        <v>3</v>
      </c>
      <c r="AC1511">
        <v>0</v>
      </c>
      <c r="AD1511">
        <v>10</v>
      </c>
      <c r="AE1511">
        <v>0</v>
      </c>
      <c r="AF1511">
        <v>3</v>
      </c>
      <c r="AG1511">
        <v>2</v>
      </c>
      <c r="AH1511">
        <v>0</v>
      </c>
      <c r="AI1511" t="s">
        <v>1005</v>
      </c>
      <c r="AJ1511">
        <v>39.830889999999997</v>
      </c>
      <c r="AK1511" t="s">
        <v>1006</v>
      </c>
      <c r="AL1511">
        <v>-92.528872000000007</v>
      </c>
      <c r="AM1511">
        <v>100</v>
      </c>
      <c r="AN1511">
        <v>1700</v>
      </c>
      <c r="AO1511" t="s">
        <v>118</v>
      </c>
      <c r="AP1511">
        <v>-29</v>
      </c>
      <c r="AQ1511">
        <v>117</v>
      </c>
      <c r="AR1511">
        <v>0</v>
      </c>
      <c r="AZ1511">
        <v>1200</v>
      </c>
      <c r="BA1511">
        <v>1</v>
      </c>
      <c r="BB1511" t="str">
        <f t="shared" si="72"/>
        <v xml:space="preserve">N8080G  </v>
      </c>
      <c r="BC1511">
        <v>1</v>
      </c>
      <c r="BE1511">
        <v>0</v>
      </c>
      <c r="BF1511">
        <v>0</v>
      </c>
      <c r="BG1511">
        <v>0</v>
      </c>
      <c r="BH1511">
        <v>1700</v>
      </c>
      <c r="BI1511">
        <v>1</v>
      </c>
      <c r="BJ1511">
        <v>1</v>
      </c>
      <c r="BK1511">
        <v>1</v>
      </c>
      <c r="BL1511">
        <v>0</v>
      </c>
      <c r="BO1511">
        <v>0</v>
      </c>
      <c r="BP1511">
        <v>0</v>
      </c>
      <c r="BW1511" t="str">
        <f>"20:21:17.215"</f>
        <v>20:21:17.215</v>
      </c>
      <c r="BZ1511">
        <v>0</v>
      </c>
      <c r="CA1511">
        <v>2016</v>
      </c>
      <c r="CB1511">
        <v>224</v>
      </c>
      <c r="CD1511">
        <v>1</v>
      </c>
      <c r="CE1511">
        <v>0</v>
      </c>
      <c r="CF1511">
        <v>0</v>
      </c>
      <c r="CG1511">
        <v>1</v>
      </c>
      <c r="CH1511">
        <v>0</v>
      </c>
      <c r="CI1511">
        <v>0</v>
      </c>
      <c r="CJ1511">
        <v>0</v>
      </c>
      <c r="CK1511">
        <v>2</v>
      </c>
      <c r="CL1511">
        <v>0</v>
      </c>
      <c r="CM1511">
        <v>2</v>
      </c>
      <c r="CN1511">
        <v>0</v>
      </c>
      <c r="CO1511">
        <v>7</v>
      </c>
      <c r="CP1511" t="s">
        <v>119</v>
      </c>
      <c r="CQ1511">
        <v>180</v>
      </c>
      <c r="CR1511">
        <v>2</v>
      </c>
      <c r="CW1511">
        <v>8228870</v>
      </c>
      <c r="CY1511">
        <v>1</v>
      </c>
      <c r="CZ1511">
        <v>0</v>
      </c>
      <c r="DA1511">
        <v>0</v>
      </c>
      <c r="DB1511">
        <v>0</v>
      </c>
      <c r="DC1511">
        <v>0</v>
      </c>
      <c r="DD1511">
        <v>0</v>
      </c>
      <c r="DE1511">
        <v>0</v>
      </c>
      <c r="DF1511">
        <v>0</v>
      </c>
      <c r="DG1511">
        <v>0</v>
      </c>
      <c r="DH1511">
        <v>0</v>
      </c>
      <c r="DI1511">
        <v>0</v>
      </c>
    </row>
    <row r="1512" spans="1:113" x14ac:dyDescent="0.3">
      <c r="A1512" t="str">
        <f>"02/08/2021 20:21:14.896"</f>
        <v>02/08/2021 20:21:14.896</v>
      </c>
      <c r="C1512" t="str">
        <f t="shared" si="71"/>
        <v>FFDFD7C0</v>
      </c>
      <c r="D1512" t="s">
        <v>113</v>
      </c>
      <c r="E1512">
        <v>6</v>
      </c>
      <c r="H1512">
        <v>165</v>
      </c>
      <c r="I1512" t="s">
        <v>114</v>
      </c>
      <c r="J1512" t="s">
        <v>115</v>
      </c>
      <c r="K1512">
        <v>0</v>
      </c>
      <c r="L1512">
        <v>3</v>
      </c>
      <c r="M1512">
        <v>0</v>
      </c>
      <c r="N1512">
        <v>2</v>
      </c>
      <c r="O1512">
        <v>1</v>
      </c>
      <c r="P1512">
        <v>0</v>
      </c>
      <c r="Q1512">
        <v>0</v>
      </c>
      <c r="S1512" t="str">
        <f>"20:21:17.211"</f>
        <v>20:21:17.211</v>
      </c>
      <c r="T1512" t="str">
        <f>"20:21:16.711"</f>
        <v>20:21:16.711</v>
      </c>
      <c r="U1512" t="str">
        <f t="shared" si="70"/>
        <v>AB01F4</v>
      </c>
      <c r="V1512">
        <v>0</v>
      </c>
      <c r="W1512">
        <v>0</v>
      </c>
      <c r="X1512">
        <v>2</v>
      </c>
      <c r="Z1512">
        <v>0</v>
      </c>
      <c r="AA1512">
        <v>9</v>
      </c>
      <c r="AB1512">
        <v>3</v>
      </c>
      <c r="AC1512">
        <v>0</v>
      </c>
      <c r="AD1512">
        <v>10</v>
      </c>
      <c r="AE1512">
        <v>0</v>
      </c>
      <c r="AF1512">
        <v>3</v>
      </c>
      <c r="AG1512">
        <v>2</v>
      </c>
      <c r="AH1512">
        <v>0</v>
      </c>
      <c r="AI1512" t="s">
        <v>1005</v>
      </c>
      <c r="AJ1512">
        <v>39.830889999999997</v>
      </c>
      <c r="AK1512" t="s">
        <v>1006</v>
      </c>
      <c r="AL1512">
        <v>-92.528872000000007</v>
      </c>
      <c r="AM1512">
        <v>100</v>
      </c>
      <c r="AN1512">
        <v>1700</v>
      </c>
      <c r="AO1512" t="s">
        <v>118</v>
      </c>
      <c r="AP1512">
        <v>-29</v>
      </c>
      <c r="AQ1512">
        <v>117</v>
      </c>
      <c r="AR1512">
        <v>0</v>
      </c>
      <c r="AZ1512">
        <v>1200</v>
      </c>
      <c r="BA1512">
        <v>1</v>
      </c>
      <c r="BB1512" t="str">
        <f t="shared" si="72"/>
        <v xml:space="preserve">N8080G  </v>
      </c>
      <c r="BC1512">
        <v>1</v>
      </c>
      <c r="BE1512">
        <v>0</v>
      </c>
      <c r="BF1512">
        <v>0</v>
      </c>
      <c r="BG1512">
        <v>0</v>
      </c>
      <c r="BH1512">
        <v>1700</v>
      </c>
      <c r="BI1512">
        <v>1</v>
      </c>
      <c r="BJ1512">
        <v>1</v>
      </c>
      <c r="BK1512">
        <v>1</v>
      </c>
      <c r="BL1512">
        <v>0</v>
      </c>
      <c r="BO1512">
        <v>0</v>
      </c>
      <c r="BP1512">
        <v>0</v>
      </c>
      <c r="BW1512" t="str">
        <f>"20:21:17.215"</f>
        <v>20:21:17.215</v>
      </c>
      <c r="BZ1512">
        <v>0</v>
      </c>
      <c r="CA1512">
        <v>2016</v>
      </c>
      <c r="CB1512">
        <v>224</v>
      </c>
      <c r="CD1512">
        <v>1</v>
      </c>
      <c r="CE1512">
        <v>0</v>
      </c>
      <c r="CF1512">
        <v>0</v>
      </c>
      <c r="CG1512">
        <v>1</v>
      </c>
      <c r="CH1512">
        <v>0</v>
      </c>
      <c r="CI1512">
        <v>0</v>
      </c>
      <c r="CJ1512">
        <v>0</v>
      </c>
      <c r="CK1512">
        <v>2</v>
      </c>
      <c r="CL1512">
        <v>0</v>
      </c>
      <c r="CM1512">
        <v>2</v>
      </c>
      <c r="CN1512">
        <v>0</v>
      </c>
      <c r="CO1512">
        <v>7</v>
      </c>
      <c r="CP1512" t="s">
        <v>119</v>
      </c>
      <c r="CQ1512">
        <v>180</v>
      </c>
      <c r="CR1512">
        <v>2</v>
      </c>
      <c r="CW1512">
        <v>8228870</v>
      </c>
      <c r="CY1512">
        <v>1</v>
      </c>
      <c r="CZ1512">
        <v>0</v>
      </c>
      <c r="DA1512">
        <v>1</v>
      </c>
      <c r="DB1512">
        <v>0</v>
      </c>
      <c r="DC1512">
        <v>0</v>
      </c>
      <c r="DD1512">
        <v>0</v>
      </c>
      <c r="DE1512">
        <v>0</v>
      </c>
      <c r="DF1512">
        <v>0</v>
      </c>
      <c r="DG1512">
        <v>0</v>
      </c>
      <c r="DH1512">
        <v>0</v>
      </c>
      <c r="DI1512">
        <v>0</v>
      </c>
    </row>
    <row r="1513" spans="1:113" x14ac:dyDescent="0.3">
      <c r="A1513" t="str">
        <f>"02/08/2021 20:21:14.896"</f>
        <v>02/08/2021 20:21:14.896</v>
      </c>
      <c r="C1513" t="str">
        <f t="shared" si="71"/>
        <v>FFDFD7C0</v>
      </c>
      <c r="D1513" t="s">
        <v>124</v>
      </c>
      <c r="E1513">
        <v>12</v>
      </c>
      <c r="F1513">
        <v>1012</v>
      </c>
      <c r="G1513" t="s">
        <v>675</v>
      </c>
      <c r="J1513" t="s">
        <v>125</v>
      </c>
      <c r="K1513">
        <v>0</v>
      </c>
      <c r="L1513">
        <v>3</v>
      </c>
      <c r="M1513">
        <v>0</v>
      </c>
      <c r="N1513">
        <v>2</v>
      </c>
      <c r="O1513">
        <v>1</v>
      </c>
      <c r="P1513">
        <v>0</v>
      </c>
      <c r="Q1513">
        <v>0</v>
      </c>
      <c r="S1513" t="str">
        <f>"20:21:17.211"</f>
        <v>20:21:17.211</v>
      </c>
      <c r="T1513" t="str">
        <f>"20:21:16.711"</f>
        <v>20:21:16.711</v>
      </c>
      <c r="U1513" t="str">
        <f t="shared" si="70"/>
        <v>AB01F4</v>
      </c>
      <c r="V1513">
        <v>0</v>
      </c>
      <c r="W1513">
        <v>0</v>
      </c>
      <c r="X1513">
        <v>2</v>
      </c>
      <c r="Z1513">
        <v>0</v>
      </c>
      <c r="AA1513">
        <v>9</v>
      </c>
      <c r="AB1513">
        <v>3</v>
      </c>
      <c r="AC1513">
        <v>0</v>
      </c>
      <c r="AD1513">
        <v>10</v>
      </c>
      <c r="AE1513">
        <v>0</v>
      </c>
      <c r="AF1513">
        <v>3</v>
      </c>
      <c r="AG1513">
        <v>2</v>
      </c>
      <c r="AH1513">
        <v>0</v>
      </c>
      <c r="AI1513" t="s">
        <v>1005</v>
      </c>
      <c r="AJ1513">
        <v>39.830889999999997</v>
      </c>
      <c r="AK1513" t="s">
        <v>1006</v>
      </c>
      <c r="AL1513">
        <v>-92.528872000000007</v>
      </c>
      <c r="AM1513">
        <v>100</v>
      </c>
      <c r="AN1513">
        <v>1700</v>
      </c>
      <c r="AO1513" t="s">
        <v>118</v>
      </c>
      <c r="AP1513">
        <v>-29</v>
      </c>
      <c r="AQ1513">
        <v>117</v>
      </c>
      <c r="AR1513">
        <v>0</v>
      </c>
      <c r="AZ1513">
        <v>1200</v>
      </c>
      <c r="BA1513">
        <v>1</v>
      </c>
      <c r="BB1513" t="str">
        <f t="shared" si="72"/>
        <v xml:space="preserve">N8080G  </v>
      </c>
      <c r="BC1513">
        <v>1</v>
      </c>
      <c r="BE1513">
        <v>0</v>
      </c>
      <c r="BF1513">
        <v>0</v>
      </c>
      <c r="BG1513">
        <v>0</v>
      </c>
      <c r="BH1513">
        <v>1700</v>
      </c>
      <c r="BI1513">
        <v>1</v>
      </c>
      <c r="BJ1513">
        <v>1</v>
      </c>
      <c r="BK1513">
        <v>1</v>
      </c>
      <c r="BL1513">
        <v>0</v>
      </c>
      <c r="BO1513">
        <v>0</v>
      </c>
      <c r="BP1513">
        <v>0</v>
      </c>
      <c r="BW1513" t="str">
        <f>"20:21:17.215"</f>
        <v>20:21:17.215</v>
      </c>
      <c r="BZ1513">
        <v>0</v>
      </c>
      <c r="CA1513">
        <v>2016</v>
      </c>
      <c r="CB1513">
        <v>224</v>
      </c>
      <c r="CD1513">
        <v>1</v>
      </c>
      <c r="CE1513">
        <v>0</v>
      </c>
      <c r="CF1513">
        <v>0</v>
      </c>
      <c r="CG1513">
        <v>1</v>
      </c>
      <c r="CH1513">
        <v>0</v>
      </c>
      <c r="CI1513">
        <v>0</v>
      </c>
      <c r="CJ1513">
        <v>0</v>
      </c>
      <c r="CK1513">
        <v>2</v>
      </c>
      <c r="CL1513">
        <v>0</v>
      </c>
      <c r="CM1513">
        <v>2</v>
      </c>
      <c r="CN1513">
        <v>0</v>
      </c>
      <c r="CO1513">
        <v>7</v>
      </c>
      <c r="CP1513" t="s">
        <v>119</v>
      </c>
      <c r="CQ1513">
        <v>180</v>
      </c>
      <c r="CR1513">
        <v>2</v>
      </c>
      <c r="CW1513">
        <v>8228870</v>
      </c>
      <c r="CY1513">
        <v>1</v>
      </c>
      <c r="CZ1513">
        <v>0</v>
      </c>
      <c r="DA1513">
        <v>1</v>
      </c>
      <c r="DB1513">
        <v>0</v>
      </c>
      <c r="DC1513">
        <v>0</v>
      </c>
      <c r="DD1513">
        <v>0</v>
      </c>
      <c r="DE1513">
        <v>0</v>
      </c>
      <c r="DF1513">
        <v>0</v>
      </c>
      <c r="DG1513">
        <v>0</v>
      </c>
      <c r="DH1513">
        <v>0</v>
      </c>
      <c r="DI1513">
        <v>0</v>
      </c>
    </row>
    <row r="1514" spans="1:113" x14ac:dyDescent="0.3">
      <c r="A1514" t="str">
        <f>"02/08/2021 20:21:14.896"</f>
        <v>02/08/2021 20:21:14.896</v>
      </c>
      <c r="C1514" t="str">
        <f t="shared" si="71"/>
        <v>FFDFD7C0</v>
      </c>
      <c r="D1514" t="s">
        <v>124</v>
      </c>
      <c r="E1514">
        <v>11</v>
      </c>
      <c r="F1514">
        <v>1011</v>
      </c>
      <c r="G1514" t="s">
        <v>590</v>
      </c>
      <c r="J1514" t="s">
        <v>125</v>
      </c>
      <c r="K1514">
        <v>0</v>
      </c>
      <c r="L1514">
        <v>3</v>
      </c>
      <c r="M1514">
        <v>0</v>
      </c>
      <c r="N1514">
        <v>2</v>
      </c>
      <c r="O1514">
        <v>1</v>
      </c>
      <c r="P1514">
        <v>0</v>
      </c>
      <c r="Q1514">
        <v>0</v>
      </c>
      <c r="S1514" t="str">
        <f>"20:21:17.211"</f>
        <v>20:21:17.211</v>
      </c>
      <c r="T1514" t="str">
        <f>"20:21:16.711"</f>
        <v>20:21:16.711</v>
      </c>
      <c r="U1514" t="str">
        <f t="shared" si="70"/>
        <v>AB01F4</v>
      </c>
      <c r="V1514">
        <v>0</v>
      </c>
      <c r="W1514">
        <v>0</v>
      </c>
      <c r="X1514">
        <v>2</v>
      </c>
      <c r="Z1514">
        <v>0</v>
      </c>
      <c r="AA1514">
        <v>9</v>
      </c>
      <c r="AB1514">
        <v>3</v>
      </c>
      <c r="AC1514">
        <v>0</v>
      </c>
      <c r="AD1514">
        <v>10</v>
      </c>
      <c r="AE1514">
        <v>0</v>
      </c>
      <c r="AF1514">
        <v>3</v>
      </c>
      <c r="AG1514">
        <v>2</v>
      </c>
      <c r="AH1514">
        <v>0</v>
      </c>
      <c r="AI1514" t="s">
        <v>1005</v>
      </c>
      <c r="AJ1514">
        <v>39.830889999999997</v>
      </c>
      <c r="AK1514" t="s">
        <v>1006</v>
      </c>
      <c r="AL1514">
        <v>-92.528872000000007</v>
      </c>
      <c r="AM1514">
        <v>100</v>
      </c>
      <c r="AN1514">
        <v>1700</v>
      </c>
      <c r="AO1514" t="s">
        <v>118</v>
      </c>
      <c r="AP1514">
        <v>-29</v>
      </c>
      <c r="AQ1514">
        <v>117</v>
      </c>
      <c r="AR1514">
        <v>0</v>
      </c>
      <c r="AZ1514">
        <v>1200</v>
      </c>
      <c r="BA1514">
        <v>1</v>
      </c>
      <c r="BB1514" t="str">
        <f t="shared" si="72"/>
        <v xml:space="preserve">N8080G  </v>
      </c>
      <c r="BC1514">
        <v>1</v>
      </c>
      <c r="BE1514">
        <v>0</v>
      </c>
      <c r="BF1514">
        <v>0</v>
      </c>
      <c r="BG1514">
        <v>0</v>
      </c>
      <c r="BH1514">
        <v>1700</v>
      </c>
      <c r="BI1514">
        <v>1</v>
      </c>
      <c r="BJ1514">
        <v>1</v>
      </c>
      <c r="BK1514">
        <v>1</v>
      </c>
      <c r="BL1514">
        <v>0</v>
      </c>
      <c r="BO1514">
        <v>0</v>
      </c>
      <c r="BP1514">
        <v>0</v>
      </c>
      <c r="BW1514" t="str">
        <f>"20:21:17.215"</f>
        <v>20:21:17.215</v>
      </c>
      <c r="BZ1514">
        <v>0</v>
      </c>
      <c r="CA1514">
        <v>2016</v>
      </c>
      <c r="CB1514">
        <v>224</v>
      </c>
      <c r="CD1514">
        <v>1</v>
      </c>
      <c r="CE1514">
        <v>0</v>
      </c>
      <c r="CF1514">
        <v>0</v>
      </c>
      <c r="CG1514">
        <v>1</v>
      </c>
      <c r="CH1514">
        <v>0</v>
      </c>
      <c r="CI1514">
        <v>0</v>
      </c>
      <c r="CJ1514">
        <v>0</v>
      </c>
      <c r="CK1514">
        <v>2</v>
      </c>
      <c r="CL1514">
        <v>0</v>
      </c>
      <c r="CM1514">
        <v>2</v>
      </c>
      <c r="CN1514">
        <v>0</v>
      </c>
      <c r="CO1514">
        <v>7</v>
      </c>
      <c r="CP1514" t="s">
        <v>119</v>
      </c>
      <c r="CQ1514">
        <v>180</v>
      </c>
      <c r="CR1514">
        <v>2</v>
      </c>
      <c r="CW1514">
        <v>8228870</v>
      </c>
      <c r="CY1514">
        <v>1</v>
      </c>
      <c r="CZ1514">
        <v>0</v>
      </c>
      <c r="DA1514">
        <v>1</v>
      </c>
      <c r="DB1514">
        <v>0</v>
      </c>
      <c r="DC1514">
        <v>0</v>
      </c>
      <c r="DD1514">
        <v>0</v>
      </c>
      <c r="DE1514">
        <v>0</v>
      </c>
      <c r="DF1514">
        <v>0</v>
      </c>
      <c r="DG1514">
        <v>0</v>
      </c>
      <c r="DH1514">
        <v>0</v>
      </c>
      <c r="DI1514">
        <v>0</v>
      </c>
    </row>
    <row r="1515" spans="1:113" x14ac:dyDescent="0.3">
      <c r="A1515" t="str">
        <f>"02/08/2021 20:21:17.993"</f>
        <v>02/08/2021 20:21:17.993</v>
      </c>
      <c r="C1515" t="str">
        <f t="shared" si="71"/>
        <v>FFDFD7C0</v>
      </c>
      <c r="D1515" t="s">
        <v>124</v>
      </c>
      <c r="E1515">
        <v>11</v>
      </c>
      <c r="F1515">
        <v>1011</v>
      </c>
      <c r="G1515" t="s">
        <v>590</v>
      </c>
      <c r="J1515" t="s">
        <v>125</v>
      </c>
      <c r="K1515">
        <v>0</v>
      </c>
      <c r="L1515">
        <v>3</v>
      </c>
      <c r="M1515">
        <v>0</v>
      </c>
      <c r="N1515">
        <v>2</v>
      </c>
      <c r="O1515">
        <v>1</v>
      </c>
      <c r="P1515">
        <v>0</v>
      </c>
      <c r="Q1515">
        <v>0</v>
      </c>
      <c r="S1515" t="str">
        <f>"20:21:20.305"</f>
        <v>20:21:20.305</v>
      </c>
      <c r="T1515" t="str">
        <f>"20:21:19.905"</f>
        <v>20:21:19.905</v>
      </c>
      <c r="U1515" t="str">
        <f t="shared" si="70"/>
        <v>AB01F4</v>
      </c>
      <c r="V1515">
        <v>0</v>
      </c>
      <c r="W1515">
        <v>0</v>
      </c>
      <c r="X1515">
        <v>2</v>
      </c>
      <c r="Z1515">
        <v>0</v>
      </c>
      <c r="AA1515">
        <v>9</v>
      </c>
      <c r="AB1515">
        <v>3</v>
      </c>
      <c r="AC1515">
        <v>0</v>
      </c>
      <c r="AD1515">
        <v>10</v>
      </c>
      <c r="AE1515">
        <v>0</v>
      </c>
      <c r="AF1515">
        <v>3</v>
      </c>
      <c r="AG1515">
        <v>2</v>
      </c>
      <c r="AH1515">
        <v>0</v>
      </c>
      <c r="AI1515" t="s">
        <v>1007</v>
      </c>
      <c r="AJ1515">
        <v>39.832520000000002</v>
      </c>
      <c r="AK1515" t="s">
        <v>1008</v>
      </c>
      <c r="AL1515">
        <v>-92.529365999999996</v>
      </c>
      <c r="AM1515">
        <v>100</v>
      </c>
      <c r="AN1515">
        <v>1700</v>
      </c>
      <c r="AO1515" t="s">
        <v>118</v>
      </c>
      <c r="AP1515">
        <v>-28</v>
      </c>
      <c r="AQ1515">
        <v>117</v>
      </c>
      <c r="AR1515">
        <v>-64</v>
      </c>
      <c r="AZ1515">
        <v>1200</v>
      </c>
      <c r="BA1515">
        <v>1</v>
      </c>
      <c r="BB1515" t="str">
        <f t="shared" si="72"/>
        <v xml:space="preserve">N8080G  </v>
      </c>
      <c r="BC1515">
        <v>1</v>
      </c>
      <c r="BE1515">
        <v>0</v>
      </c>
      <c r="BF1515">
        <v>0</v>
      </c>
      <c r="BG1515">
        <v>0</v>
      </c>
      <c r="BH1515">
        <v>1700</v>
      </c>
      <c r="BI1515">
        <v>1</v>
      </c>
      <c r="BJ1515">
        <v>1</v>
      </c>
      <c r="BK1515">
        <v>1</v>
      </c>
      <c r="BL1515">
        <v>0</v>
      </c>
      <c r="BO1515">
        <v>0</v>
      </c>
      <c r="BP1515">
        <v>0</v>
      </c>
      <c r="BW1515" t="str">
        <f>"20:21:20.311"</f>
        <v>20:21:20.311</v>
      </c>
      <c r="BZ1515">
        <v>0</v>
      </c>
      <c r="CA1515">
        <v>2016</v>
      </c>
      <c r="CB1515">
        <v>224</v>
      </c>
      <c r="CD1515">
        <v>1</v>
      </c>
      <c r="CE1515">
        <v>0</v>
      </c>
      <c r="CF1515">
        <v>0</v>
      </c>
      <c r="CG1515">
        <v>1</v>
      </c>
      <c r="CH1515">
        <v>0</v>
      </c>
      <c r="CI1515">
        <v>0</v>
      </c>
      <c r="CJ1515">
        <v>0</v>
      </c>
      <c r="CK1515">
        <v>2</v>
      </c>
      <c r="CL1515">
        <v>0</v>
      </c>
      <c r="CM1515">
        <v>2</v>
      </c>
      <c r="CN1515">
        <v>0</v>
      </c>
      <c r="CO1515">
        <v>7</v>
      </c>
      <c r="CP1515" t="s">
        <v>119</v>
      </c>
      <c r="CQ1515">
        <v>180</v>
      </c>
      <c r="CR1515">
        <v>2</v>
      </c>
      <c r="CW1515">
        <v>8231572</v>
      </c>
      <c r="CY1515">
        <v>1</v>
      </c>
      <c r="CZ1515">
        <v>0</v>
      </c>
      <c r="DA1515">
        <v>0</v>
      </c>
      <c r="DB1515">
        <v>0</v>
      </c>
      <c r="DC1515">
        <v>0</v>
      </c>
      <c r="DD1515">
        <v>0</v>
      </c>
      <c r="DE1515">
        <v>0</v>
      </c>
      <c r="DF1515">
        <v>0</v>
      </c>
      <c r="DG1515">
        <v>0</v>
      </c>
      <c r="DH1515">
        <v>0</v>
      </c>
      <c r="DI1515">
        <v>0</v>
      </c>
    </row>
    <row r="1516" spans="1:113" x14ac:dyDescent="0.3">
      <c r="A1516" t="str">
        <f>"02/08/2021 20:21:17.993"</f>
        <v>02/08/2021 20:21:17.993</v>
      </c>
      <c r="C1516" t="str">
        <f t="shared" si="71"/>
        <v>FFDFD7C0</v>
      </c>
      <c r="D1516" t="s">
        <v>113</v>
      </c>
      <c r="E1516">
        <v>6</v>
      </c>
      <c r="H1516">
        <v>165</v>
      </c>
      <c r="I1516" t="s">
        <v>114</v>
      </c>
      <c r="J1516" t="s">
        <v>115</v>
      </c>
      <c r="K1516">
        <v>0</v>
      </c>
      <c r="L1516">
        <v>3</v>
      </c>
      <c r="M1516">
        <v>0</v>
      </c>
      <c r="N1516">
        <v>2</v>
      </c>
      <c r="O1516">
        <v>1</v>
      </c>
      <c r="P1516">
        <v>0</v>
      </c>
      <c r="Q1516">
        <v>0</v>
      </c>
      <c r="S1516" t="str">
        <f>"20:21:20.305"</f>
        <v>20:21:20.305</v>
      </c>
      <c r="T1516" t="str">
        <f>"20:21:19.905"</f>
        <v>20:21:19.905</v>
      </c>
      <c r="U1516" t="str">
        <f t="shared" si="70"/>
        <v>AB01F4</v>
      </c>
      <c r="V1516">
        <v>0</v>
      </c>
      <c r="W1516">
        <v>0</v>
      </c>
      <c r="X1516">
        <v>2</v>
      </c>
      <c r="Z1516">
        <v>0</v>
      </c>
      <c r="AA1516">
        <v>9</v>
      </c>
      <c r="AB1516">
        <v>3</v>
      </c>
      <c r="AC1516">
        <v>0</v>
      </c>
      <c r="AD1516">
        <v>10</v>
      </c>
      <c r="AE1516">
        <v>0</v>
      </c>
      <c r="AF1516">
        <v>3</v>
      </c>
      <c r="AG1516">
        <v>2</v>
      </c>
      <c r="AH1516">
        <v>0</v>
      </c>
      <c r="AI1516" t="s">
        <v>1007</v>
      </c>
      <c r="AJ1516">
        <v>39.832520000000002</v>
      </c>
      <c r="AK1516" t="s">
        <v>1008</v>
      </c>
      <c r="AL1516">
        <v>-92.529365999999996</v>
      </c>
      <c r="AM1516">
        <v>100</v>
      </c>
      <c r="AN1516">
        <v>1700</v>
      </c>
      <c r="AO1516" t="s">
        <v>118</v>
      </c>
      <c r="AP1516">
        <v>-28</v>
      </c>
      <c r="AQ1516">
        <v>117</v>
      </c>
      <c r="AR1516">
        <v>-64</v>
      </c>
      <c r="AZ1516">
        <v>1200</v>
      </c>
      <c r="BA1516">
        <v>1</v>
      </c>
      <c r="BB1516" t="str">
        <f t="shared" si="72"/>
        <v xml:space="preserve">N8080G  </v>
      </c>
      <c r="BC1516">
        <v>1</v>
      </c>
      <c r="BE1516">
        <v>0</v>
      </c>
      <c r="BF1516">
        <v>0</v>
      </c>
      <c r="BG1516">
        <v>0</v>
      </c>
      <c r="BH1516">
        <v>1700</v>
      </c>
      <c r="BI1516">
        <v>1</v>
      </c>
      <c r="BJ1516">
        <v>1</v>
      </c>
      <c r="BK1516">
        <v>1</v>
      </c>
      <c r="BL1516">
        <v>0</v>
      </c>
      <c r="BO1516">
        <v>0</v>
      </c>
      <c r="BP1516">
        <v>0</v>
      </c>
      <c r="BW1516" t="str">
        <f>"20:21:20.311"</f>
        <v>20:21:20.311</v>
      </c>
      <c r="BZ1516">
        <v>0</v>
      </c>
      <c r="CA1516">
        <v>2016</v>
      </c>
      <c r="CB1516">
        <v>224</v>
      </c>
      <c r="CD1516">
        <v>1</v>
      </c>
      <c r="CE1516">
        <v>0</v>
      </c>
      <c r="CF1516">
        <v>0</v>
      </c>
      <c r="CG1516">
        <v>1</v>
      </c>
      <c r="CH1516">
        <v>0</v>
      </c>
      <c r="CI1516">
        <v>0</v>
      </c>
      <c r="CJ1516">
        <v>0</v>
      </c>
      <c r="CK1516">
        <v>2</v>
      </c>
      <c r="CL1516">
        <v>0</v>
      </c>
      <c r="CM1516">
        <v>2</v>
      </c>
      <c r="CN1516">
        <v>0</v>
      </c>
      <c r="CO1516">
        <v>7</v>
      </c>
      <c r="CP1516" t="s">
        <v>119</v>
      </c>
      <c r="CQ1516">
        <v>180</v>
      </c>
      <c r="CR1516">
        <v>2</v>
      </c>
      <c r="CW1516">
        <v>8231572</v>
      </c>
      <c r="CY1516">
        <v>1</v>
      </c>
      <c r="CZ1516">
        <v>0</v>
      </c>
      <c r="DA1516">
        <v>1</v>
      </c>
      <c r="DB1516">
        <v>0</v>
      </c>
      <c r="DC1516">
        <v>0</v>
      </c>
      <c r="DD1516">
        <v>0</v>
      </c>
      <c r="DE1516">
        <v>0</v>
      </c>
      <c r="DF1516">
        <v>0</v>
      </c>
      <c r="DG1516">
        <v>0</v>
      </c>
      <c r="DH1516">
        <v>0</v>
      </c>
      <c r="DI1516">
        <v>0</v>
      </c>
    </row>
    <row r="1517" spans="1:113" x14ac:dyDescent="0.3">
      <c r="A1517" t="str">
        <f>"02/08/2021 20:21:17.993"</f>
        <v>02/08/2021 20:21:17.993</v>
      </c>
      <c r="C1517" t="str">
        <f t="shared" si="71"/>
        <v>FFDFD7C0</v>
      </c>
      <c r="D1517" t="s">
        <v>124</v>
      </c>
      <c r="E1517">
        <v>13</v>
      </c>
      <c r="F1517">
        <v>1013</v>
      </c>
      <c r="G1517" t="s">
        <v>114</v>
      </c>
      <c r="J1517" t="s">
        <v>125</v>
      </c>
      <c r="K1517">
        <v>0</v>
      </c>
      <c r="L1517">
        <v>3</v>
      </c>
      <c r="M1517">
        <v>0</v>
      </c>
      <c r="N1517">
        <v>2</v>
      </c>
      <c r="O1517">
        <v>1</v>
      </c>
      <c r="P1517">
        <v>0</v>
      </c>
      <c r="Q1517">
        <v>0</v>
      </c>
      <c r="S1517" t="str">
        <f>"20:21:20.305"</f>
        <v>20:21:20.305</v>
      </c>
      <c r="T1517" t="str">
        <f>"20:21:19.905"</f>
        <v>20:21:19.905</v>
      </c>
      <c r="U1517" t="str">
        <f t="shared" si="70"/>
        <v>AB01F4</v>
      </c>
      <c r="V1517">
        <v>0</v>
      </c>
      <c r="W1517">
        <v>0</v>
      </c>
      <c r="X1517">
        <v>2</v>
      </c>
      <c r="Z1517">
        <v>0</v>
      </c>
      <c r="AA1517">
        <v>9</v>
      </c>
      <c r="AB1517">
        <v>3</v>
      </c>
      <c r="AC1517">
        <v>0</v>
      </c>
      <c r="AD1517">
        <v>10</v>
      </c>
      <c r="AE1517">
        <v>0</v>
      </c>
      <c r="AF1517">
        <v>3</v>
      </c>
      <c r="AG1517">
        <v>2</v>
      </c>
      <c r="AH1517">
        <v>0</v>
      </c>
      <c r="AI1517" t="s">
        <v>1007</v>
      </c>
      <c r="AJ1517">
        <v>39.832520000000002</v>
      </c>
      <c r="AK1517" t="s">
        <v>1008</v>
      </c>
      <c r="AL1517">
        <v>-92.529365999999996</v>
      </c>
      <c r="AM1517">
        <v>100</v>
      </c>
      <c r="AN1517">
        <v>1700</v>
      </c>
      <c r="AO1517" t="s">
        <v>118</v>
      </c>
      <c r="AP1517">
        <v>-28</v>
      </c>
      <c r="AQ1517">
        <v>117</v>
      </c>
      <c r="AR1517">
        <v>-64</v>
      </c>
      <c r="AZ1517">
        <v>1200</v>
      </c>
      <c r="BA1517">
        <v>1</v>
      </c>
      <c r="BB1517" t="str">
        <f t="shared" si="72"/>
        <v xml:space="preserve">N8080G  </v>
      </c>
      <c r="BC1517">
        <v>1</v>
      </c>
      <c r="BE1517">
        <v>0</v>
      </c>
      <c r="BF1517">
        <v>0</v>
      </c>
      <c r="BG1517">
        <v>0</v>
      </c>
      <c r="BH1517">
        <v>1700</v>
      </c>
      <c r="BI1517">
        <v>1</v>
      </c>
      <c r="BJ1517">
        <v>1</v>
      </c>
      <c r="BK1517">
        <v>1</v>
      </c>
      <c r="BL1517">
        <v>0</v>
      </c>
      <c r="BO1517">
        <v>0</v>
      </c>
      <c r="BP1517">
        <v>0</v>
      </c>
      <c r="BW1517" t="str">
        <f>"20:21:20.311"</f>
        <v>20:21:20.311</v>
      </c>
      <c r="BZ1517">
        <v>0</v>
      </c>
      <c r="CA1517">
        <v>2016</v>
      </c>
      <c r="CB1517">
        <v>224</v>
      </c>
      <c r="CD1517">
        <v>1</v>
      </c>
      <c r="CE1517">
        <v>0</v>
      </c>
      <c r="CF1517">
        <v>0</v>
      </c>
      <c r="CG1517">
        <v>1</v>
      </c>
      <c r="CH1517">
        <v>0</v>
      </c>
      <c r="CI1517">
        <v>0</v>
      </c>
      <c r="CJ1517">
        <v>0</v>
      </c>
      <c r="CK1517">
        <v>2</v>
      </c>
      <c r="CL1517">
        <v>0</v>
      </c>
      <c r="CM1517">
        <v>2</v>
      </c>
      <c r="CN1517">
        <v>0</v>
      </c>
      <c r="CO1517">
        <v>7</v>
      </c>
      <c r="CP1517" t="s">
        <v>119</v>
      </c>
      <c r="CQ1517">
        <v>180</v>
      </c>
      <c r="CR1517">
        <v>2</v>
      </c>
      <c r="CW1517">
        <v>8231572</v>
      </c>
      <c r="CY1517">
        <v>1</v>
      </c>
      <c r="CZ1517">
        <v>0</v>
      </c>
      <c r="DA1517">
        <v>1</v>
      </c>
      <c r="DB1517">
        <v>0</v>
      </c>
      <c r="DC1517">
        <v>0</v>
      </c>
      <c r="DD1517">
        <v>0</v>
      </c>
      <c r="DE1517">
        <v>0</v>
      </c>
      <c r="DF1517">
        <v>0</v>
      </c>
      <c r="DG1517">
        <v>0</v>
      </c>
      <c r="DH1517">
        <v>0</v>
      </c>
      <c r="DI1517">
        <v>0</v>
      </c>
    </row>
    <row r="1518" spans="1:113" x14ac:dyDescent="0.3">
      <c r="A1518" t="str">
        <f>"02/08/2021 20:21:17.993"</f>
        <v>02/08/2021 20:21:17.993</v>
      </c>
      <c r="C1518" t="str">
        <f t="shared" si="71"/>
        <v>FFDFD7C0</v>
      </c>
      <c r="D1518" t="s">
        <v>124</v>
      </c>
      <c r="E1518">
        <v>12</v>
      </c>
      <c r="F1518">
        <v>1012</v>
      </c>
      <c r="G1518" t="s">
        <v>675</v>
      </c>
      <c r="J1518" t="s">
        <v>125</v>
      </c>
      <c r="K1518">
        <v>0</v>
      </c>
      <c r="L1518">
        <v>3</v>
      </c>
      <c r="M1518">
        <v>0</v>
      </c>
      <c r="N1518">
        <v>2</v>
      </c>
      <c r="O1518">
        <v>1</v>
      </c>
      <c r="P1518">
        <v>0</v>
      </c>
      <c r="Q1518">
        <v>0</v>
      </c>
      <c r="S1518" t="str">
        <f>"20:21:20.305"</f>
        <v>20:21:20.305</v>
      </c>
      <c r="T1518" t="str">
        <f>"20:21:19.905"</f>
        <v>20:21:19.905</v>
      </c>
      <c r="U1518" t="str">
        <f t="shared" si="70"/>
        <v>AB01F4</v>
      </c>
      <c r="V1518">
        <v>0</v>
      </c>
      <c r="W1518">
        <v>0</v>
      </c>
      <c r="X1518">
        <v>2</v>
      </c>
      <c r="Z1518">
        <v>0</v>
      </c>
      <c r="AA1518">
        <v>9</v>
      </c>
      <c r="AB1518">
        <v>3</v>
      </c>
      <c r="AC1518">
        <v>0</v>
      </c>
      <c r="AD1518">
        <v>10</v>
      </c>
      <c r="AE1518">
        <v>0</v>
      </c>
      <c r="AF1518">
        <v>3</v>
      </c>
      <c r="AG1518">
        <v>2</v>
      </c>
      <c r="AH1518">
        <v>0</v>
      </c>
      <c r="AI1518" t="s">
        <v>1007</v>
      </c>
      <c r="AJ1518">
        <v>39.832520000000002</v>
      </c>
      <c r="AK1518" t="s">
        <v>1008</v>
      </c>
      <c r="AL1518">
        <v>-92.529365999999996</v>
      </c>
      <c r="AM1518">
        <v>100</v>
      </c>
      <c r="AN1518">
        <v>1700</v>
      </c>
      <c r="AO1518" t="s">
        <v>118</v>
      </c>
      <c r="AP1518">
        <v>-28</v>
      </c>
      <c r="AQ1518">
        <v>117</v>
      </c>
      <c r="AR1518">
        <v>-64</v>
      </c>
      <c r="AZ1518">
        <v>1200</v>
      </c>
      <c r="BA1518">
        <v>1</v>
      </c>
      <c r="BB1518" t="str">
        <f t="shared" si="72"/>
        <v xml:space="preserve">N8080G  </v>
      </c>
      <c r="BC1518">
        <v>1</v>
      </c>
      <c r="BE1518">
        <v>0</v>
      </c>
      <c r="BF1518">
        <v>0</v>
      </c>
      <c r="BG1518">
        <v>0</v>
      </c>
      <c r="BH1518">
        <v>1700</v>
      </c>
      <c r="BI1518">
        <v>1</v>
      </c>
      <c r="BJ1518">
        <v>1</v>
      </c>
      <c r="BK1518">
        <v>1</v>
      </c>
      <c r="BL1518">
        <v>0</v>
      </c>
      <c r="BO1518">
        <v>0</v>
      </c>
      <c r="BP1518">
        <v>0</v>
      </c>
      <c r="BW1518" t="str">
        <f>"20:21:20.311"</f>
        <v>20:21:20.311</v>
      </c>
      <c r="BZ1518">
        <v>0</v>
      </c>
      <c r="CA1518">
        <v>2016</v>
      </c>
      <c r="CB1518">
        <v>224</v>
      </c>
      <c r="CD1518">
        <v>1</v>
      </c>
      <c r="CE1518">
        <v>0</v>
      </c>
      <c r="CF1518">
        <v>0</v>
      </c>
      <c r="CG1518">
        <v>1</v>
      </c>
      <c r="CH1518">
        <v>0</v>
      </c>
      <c r="CI1518">
        <v>0</v>
      </c>
      <c r="CJ1518">
        <v>0</v>
      </c>
      <c r="CK1518">
        <v>2</v>
      </c>
      <c r="CL1518">
        <v>0</v>
      </c>
      <c r="CM1518">
        <v>2</v>
      </c>
      <c r="CN1518">
        <v>0</v>
      </c>
      <c r="CO1518">
        <v>7</v>
      </c>
      <c r="CP1518" t="s">
        <v>119</v>
      </c>
      <c r="CQ1518">
        <v>180</v>
      </c>
      <c r="CR1518">
        <v>2</v>
      </c>
      <c r="CW1518">
        <v>8231572</v>
      </c>
      <c r="CY1518">
        <v>1</v>
      </c>
      <c r="CZ1518">
        <v>0</v>
      </c>
      <c r="DA1518">
        <v>1</v>
      </c>
      <c r="DB1518">
        <v>0</v>
      </c>
      <c r="DC1518">
        <v>0</v>
      </c>
      <c r="DD1518">
        <v>0</v>
      </c>
      <c r="DE1518">
        <v>0</v>
      </c>
      <c r="DF1518">
        <v>0</v>
      </c>
      <c r="DG1518">
        <v>0</v>
      </c>
      <c r="DH1518">
        <v>0</v>
      </c>
      <c r="DI1518">
        <v>0</v>
      </c>
    </row>
    <row r="1519" spans="1:113" x14ac:dyDescent="0.3">
      <c r="A1519" t="str">
        <f>"02/08/2021 20:21:19.640"</f>
        <v>02/08/2021 20:21:19.640</v>
      </c>
      <c r="C1519" t="str">
        <f t="shared" si="71"/>
        <v>FFDFD7C0</v>
      </c>
      <c r="D1519" t="s">
        <v>124</v>
      </c>
      <c r="E1519">
        <v>12</v>
      </c>
      <c r="F1519">
        <v>1012</v>
      </c>
      <c r="G1519" t="s">
        <v>675</v>
      </c>
      <c r="J1519" t="s">
        <v>125</v>
      </c>
      <c r="K1519">
        <v>0</v>
      </c>
      <c r="L1519">
        <v>3</v>
      </c>
      <c r="M1519">
        <v>0</v>
      </c>
      <c r="N1519">
        <v>2</v>
      </c>
      <c r="O1519">
        <v>1</v>
      </c>
      <c r="P1519">
        <v>0</v>
      </c>
      <c r="Q1519">
        <v>0</v>
      </c>
      <c r="S1519" t="str">
        <f>"20:21:21.938"</f>
        <v>20:21:21.938</v>
      </c>
      <c r="T1519" t="str">
        <f>"20:21:21.438"</f>
        <v>20:21:21.438</v>
      </c>
      <c r="U1519" t="str">
        <f t="shared" si="70"/>
        <v>AB01F4</v>
      </c>
      <c r="V1519">
        <v>0</v>
      </c>
      <c r="W1519">
        <v>0</v>
      </c>
      <c r="X1519">
        <v>2</v>
      </c>
      <c r="Z1519">
        <v>0</v>
      </c>
      <c r="AA1519">
        <v>9</v>
      </c>
      <c r="AB1519">
        <v>3</v>
      </c>
      <c r="AC1519">
        <v>0</v>
      </c>
      <c r="AD1519">
        <v>10</v>
      </c>
      <c r="AE1519">
        <v>0</v>
      </c>
      <c r="AF1519">
        <v>3</v>
      </c>
      <c r="AG1519">
        <v>2</v>
      </c>
      <c r="AH1519">
        <v>0</v>
      </c>
      <c r="AI1519" t="s">
        <v>1009</v>
      </c>
      <c r="AJ1519">
        <v>39.833443000000003</v>
      </c>
      <c r="AK1519" t="s">
        <v>1010</v>
      </c>
      <c r="AL1519">
        <v>-92.529666000000006</v>
      </c>
      <c r="AM1519">
        <v>100</v>
      </c>
      <c r="AN1519">
        <v>1700</v>
      </c>
      <c r="AO1519" t="s">
        <v>118</v>
      </c>
      <c r="AP1519">
        <v>-28</v>
      </c>
      <c r="AQ1519">
        <v>117</v>
      </c>
      <c r="AR1519">
        <v>64</v>
      </c>
      <c r="AZ1519">
        <v>1200</v>
      </c>
      <c r="BA1519">
        <v>1</v>
      </c>
      <c r="BB1519" t="str">
        <f t="shared" si="72"/>
        <v xml:space="preserve">N8080G  </v>
      </c>
      <c r="BC1519">
        <v>1</v>
      </c>
      <c r="BE1519">
        <v>0</v>
      </c>
      <c r="BF1519">
        <v>0</v>
      </c>
      <c r="BG1519">
        <v>0</v>
      </c>
      <c r="BH1519">
        <v>1700</v>
      </c>
      <c r="BI1519">
        <v>1</v>
      </c>
      <c r="BJ1519">
        <v>1</v>
      </c>
      <c r="BK1519">
        <v>1</v>
      </c>
      <c r="BL1519">
        <v>0</v>
      </c>
      <c r="BO1519">
        <v>0</v>
      </c>
      <c r="BP1519">
        <v>0</v>
      </c>
      <c r="BW1519" t="str">
        <f>"20:21:21.945"</f>
        <v>20:21:21.945</v>
      </c>
      <c r="BZ1519">
        <v>0</v>
      </c>
      <c r="CA1519">
        <v>2016</v>
      </c>
      <c r="CB1519">
        <v>224</v>
      </c>
      <c r="CD1519">
        <v>1</v>
      </c>
      <c r="CE1519">
        <v>0</v>
      </c>
      <c r="CF1519">
        <v>0</v>
      </c>
      <c r="CG1519">
        <v>1</v>
      </c>
      <c r="CH1519">
        <v>0</v>
      </c>
      <c r="CI1519">
        <v>0</v>
      </c>
      <c r="CJ1519">
        <v>0</v>
      </c>
      <c r="CK1519">
        <v>2</v>
      </c>
      <c r="CL1519">
        <v>0</v>
      </c>
      <c r="CM1519">
        <v>2</v>
      </c>
      <c r="CN1519">
        <v>0</v>
      </c>
      <c r="CO1519">
        <v>7</v>
      </c>
      <c r="CP1519" t="s">
        <v>119</v>
      </c>
      <c r="CQ1519">
        <v>180</v>
      </c>
      <c r="CR1519">
        <v>1</v>
      </c>
      <c r="CW1519">
        <v>10796886</v>
      </c>
      <c r="CY1519">
        <v>1</v>
      </c>
      <c r="CZ1519">
        <v>0</v>
      </c>
      <c r="DA1519">
        <v>0</v>
      </c>
      <c r="DB1519">
        <v>0</v>
      </c>
      <c r="DC1519">
        <v>0</v>
      </c>
      <c r="DD1519">
        <v>0</v>
      </c>
      <c r="DE1519">
        <v>0</v>
      </c>
      <c r="DF1519">
        <v>0</v>
      </c>
      <c r="DG1519">
        <v>0</v>
      </c>
      <c r="DH1519">
        <v>0</v>
      </c>
      <c r="DI1519">
        <v>0</v>
      </c>
    </row>
    <row r="1520" spans="1:113" x14ac:dyDescent="0.3">
      <c r="A1520" t="str">
        <f>"02/08/2021 20:21:19.640"</f>
        <v>02/08/2021 20:21:19.640</v>
      </c>
      <c r="C1520" t="str">
        <f t="shared" si="71"/>
        <v>FFDFD7C0</v>
      </c>
      <c r="D1520" t="s">
        <v>124</v>
      </c>
      <c r="E1520">
        <v>11</v>
      </c>
      <c r="F1520">
        <v>1011</v>
      </c>
      <c r="G1520" t="s">
        <v>590</v>
      </c>
      <c r="J1520" t="s">
        <v>125</v>
      </c>
      <c r="K1520">
        <v>0</v>
      </c>
      <c r="L1520">
        <v>3</v>
      </c>
      <c r="M1520">
        <v>0</v>
      </c>
      <c r="N1520">
        <v>2</v>
      </c>
      <c r="O1520">
        <v>1</v>
      </c>
      <c r="P1520">
        <v>0</v>
      </c>
      <c r="Q1520">
        <v>0</v>
      </c>
      <c r="S1520" t="str">
        <f>"20:21:21.938"</f>
        <v>20:21:21.938</v>
      </c>
      <c r="T1520" t="str">
        <f>"20:21:21.438"</f>
        <v>20:21:21.438</v>
      </c>
      <c r="U1520" t="str">
        <f t="shared" si="70"/>
        <v>AB01F4</v>
      </c>
      <c r="V1520">
        <v>0</v>
      </c>
      <c r="W1520">
        <v>0</v>
      </c>
      <c r="X1520">
        <v>2</v>
      </c>
      <c r="Z1520">
        <v>0</v>
      </c>
      <c r="AA1520">
        <v>9</v>
      </c>
      <c r="AB1520">
        <v>3</v>
      </c>
      <c r="AC1520">
        <v>0</v>
      </c>
      <c r="AD1520">
        <v>10</v>
      </c>
      <c r="AE1520">
        <v>0</v>
      </c>
      <c r="AF1520">
        <v>3</v>
      </c>
      <c r="AG1520">
        <v>2</v>
      </c>
      <c r="AH1520">
        <v>0</v>
      </c>
      <c r="AI1520" t="s">
        <v>1009</v>
      </c>
      <c r="AJ1520">
        <v>39.833443000000003</v>
      </c>
      <c r="AK1520" t="s">
        <v>1010</v>
      </c>
      <c r="AL1520">
        <v>-92.529666000000006</v>
      </c>
      <c r="AM1520">
        <v>100</v>
      </c>
      <c r="AN1520">
        <v>1700</v>
      </c>
      <c r="AO1520" t="s">
        <v>118</v>
      </c>
      <c r="AP1520">
        <v>-28</v>
      </c>
      <c r="AQ1520">
        <v>117</v>
      </c>
      <c r="AR1520">
        <v>64</v>
      </c>
      <c r="AZ1520">
        <v>1200</v>
      </c>
      <c r="BA1520">
        <v>1</v>
      </c>
      <c r="BB1520" t="str">
        <f t="shared" si="72"/>
        <v xml:space="preserve">N8080G  </v>
      </c>
      <c r="BC1520">
        <v>1</v>
      </c>
      <c r="BE1520">
        <v>0</v>
      </c>
      <c r="BF1520">
        <v>0</v>
      </c>
      <c r="BG1520">
        <v>0</v>
      </c>
      <c r="BH1520">
        <v>1700</v>
      </c>
      <c r="BI1520">
        <v>1</v>
      </c>
      <c r="BJ1520">
        <v>1</v>
      </c>
      <c r="BK1520">
        <v>1</v>
      </c>
      <c r="BL1520">
        <v>0</v>
      </c>
      <c r="BO1520">
        <v>0</v>
      </c>
      <c r="BP1520">
        <v>0</v>
      </c>
      <c r="BW1520" t="str">
        <f>"20:21:21.945"</f>
        <v>20:21:21.945</v>
      </c>
      <c r="BZ1520">
        <v>0</v>
      </c>
      <c r="CA1520">
        <v>2016</v>
      </c>
      <c r="CB1520">
        <v>224</v>
      </c>
      <c r="CD1520">
        <v>1</v>
      </c>
      <c r="CE1520">
        <v>0</v>
      </c>
      <c r="CF1520">
        <v>0</v>
      </c>
      <c r="CG1520">
        <v>1</v>
      </c>
      <c r="CH1520">
        <v>0</v>
      </c>
      <c r="CI1520">
        <v>0</v>
      </c>
      <c r="CJ1520">
        <v>0</v>
      </c>
      <c r="CK1520">
        <v>2</v>
      </c>
      <c r="CL1520">
        <v>0</v>
      </c>
      <c r="CM1520">
        <v>2</v>
      </c>
      <c r="CN1520">
        <v>0</v>
      </c>
      <c r="CO1520">
        <v>7</v>
      </c>
      <c r="CP1520" t="s">
        <v>119</v>
      </c>
      <c r="CQ1520">
        <v>180</v>
      </c>
      <c r="CR1520">
        <v>1</v>
      </c>
      <c r="CW1520">
        <v>10796886</v>
      </c>
      <c r="CY1520">
        <v>1</v>
      </c>
      <c r="CZ1520">
        <v>0</v>
      </c>
      <c r="DA1520">
        <v>1</v>
      </c>
      <c r="DB1520">
        <v>0</v>
      </c>
      <c r="DC1520">
        <v>0</v>
      </c>
      <c r="DD1520">
        <v>0</v>
      </c>
      <c r="DE1520">
        <v>0</v>
      </c>
      <c r="DF1520">
        <v>0</v>
      </c>
      <c r="DG1520">
        <v>0</v>
      </c>
      <c r="DH1520">
        <v>0</v>
      </c>
      <c r="DI1520">
        <v>0</v>
      </c>
    </row>
    <row r="1521" spans="1:113" x14ac:dyDescent="0.3">
      <c r="A1521" t="str">
        <f>"02/08/2021 20:21:19.640"</f>
        <v>02/08/2021 20:21:19.640</v>
      </c>
      <c r="C1521" t="str">
        <f t="shared" si="71"/>
        <v>FFDFD7C0</v>
      </c>
      <c r="D1521" t="s">
        <v>113</v>
      </c>
      <c r="E1521">
        <v>6</v>
      </c>
      <c r="H1521">
        <v>165</v>
      </c>
      <c r="I1521" t="s">
        <v>114</v>
      </c>
      <c r="J1521" t="s">
        <v>115</v>
      </c>
      <c r="K1521">
        <v>0</v>
      </c>
      <c r="L1521">
        <v>3</v>
      </c>
      <c r="M1521">
        <v>0</v>
      </c>
      <c r="N1521">
        <v>2</v>
      </c>
      <c r="O1521">
        <v>1</v>
      </c>
      <c r="P1521">
        <v>0</v>
      </c>
      <c r="Q1521">
        <v>0</v>
      </c>
      <c r="S1521" t="str">
        <f>"20:21:21.938"</f>
        <v>20:21:21.938</v>
      </c>
      <c r="T1521" t="str">
        <f>"20:21:21.438"</f>
        <v>20:21:21.438</v>
      </c>
      <c r="U1521" t="str">
        <f t="shared" si="70"/>
        <v>AB01F4</v>
      </c>
      <c r="V1521">
        <v>0</v>
      </c>
      <c r="W1521">
        <v>0</v>
      </c>
      <c r="X1521">
        <v>2</v>
      </c>
      <c r="Z1521">
        <v>0</v>
      </c>
      <c r="AA1521">
        <v>9</v>
      </c>
      <c r="AB1521">
        <v>3</v>
      </c>
      <c r="AC1521">
        <v>0</v>
      </c>
      <c r="AD1521">
        <v>10</v>
      </c>
      <c r="AE1521">
        <v>0</v>
      </c>
      <c r="AF1521">
        <v>3</v>
      </c>
      <c r="AG1521">
        <v>2</v>
      </c>
      <c r="AH1521">
        <v>0</v>
      </c>
      <c r="AI1521" t="s">
        <v>1009</v>
      </c>
      <c r="AJ1521">
        <v>39.833443000000003</v>
      </c>
      <c r="AK1521" t="s">
        <v>1010</v>
      </c>
      <c r="AL1521">
        <v>-92.529666000000006</v>
      </c>
      <c r="AM1521">
        <v>100</v>
      </c>
      <c r="AN1521">
        <v>1700</v>
      </c>
      <c r="AO1521" t="s">
        <v>118</v>
      </c>
      <c r="AP1521">
        <v>-28</v>
      </c>
      <c r="AQ1521">
        <v>117</v>
      </c>
      <c r="AR1521">
        <v>64</v>
      </c>
      <c r="AZ1521">
        <v>1200</v>
      </c>
      <c r="BA1521">
        <v>1</v>
      </c>
      <c r="BB1521" t="str">
        <f t="shared" si="72"/>
        <v xml:space="preserve">N8080G  </v>
      </c>
      <c r="BC1521">
        <v>1</v>
      </c>
      <c r="BE1521">
        <v>0</v>
      </c>
      <c r="BF1521">
        <v>0</v>
      </c>
      <c r="BG1521">
        <v>0</v>
      </c>
      <c r="BH1521">
        <v>1700</v>
      </c>
      <c r="BI1521">
        <v>1</v>
      </c>
      <c r="BJ1521">
        <v>1</v>
      </c>
      <c r="BK1521">
        <v>1</v>
      </c>
      <c r="BL1521">
        <v>0</v>
      </c>
      <c r="BO1521">
        <v>0</v>
      </c>
      <c r="BP1521">
        <v>0</v>
      </c>
      <c r="BW1521" t="str">
        <f>"20:21:21.945"</f>
        <v>20:21:21.945</v>
      </c>
      <c r="BZ1521">
        <v>0</v>
      </c>
      <c r="CA1521">
        <v>2016</v>
      </c>
      <c r="CB1521">
        <v>224</v>
      </c>
      <c r="CD1521">
        <v>1</v>
      </c>
      <c r="CE1521">
        <v>0</v>
      </c>
      <c r="CF1521">
        <v>0</v>
      </c>
      <c r="CG1521">
        <v>1</v>
      </c>
      <c r="CH1521">
        <v>0</v>
      </c>
      <c r="CI1521">
        <v>0</v>
      </c>
      <c r="CJ1521">
        <v>0</v>
      </c>
      <c r="CK1521">
        <v>2</v>
      </c>
      <c r="CL1521">
        <v>0</v>
      </c>
      <c r="CM1521">
        <v>2</v>
      </c>
      <c r="CN1521">
        <v>0</v>
      </c>
      <c r="CO1521">
        <v>7</v>
      </c>
      <c r="CP1521" t="s">
        <v>119</v>
      </c>
      <c r="CQ1521">
        <v>180</v>
      </c>
      <c r="CR1521">
        <v>1</v>
      </c>
      <c r="CW1521">
        <v>10796886</v>
      </c>
      <c r="CY1521">
        <v>1</v>
      </c>
      <c r="CZ1521">
        <v>0</v>
      </c>
      <c r="DA1521">
        <v>1</v>
      </c>
      <c r="DB1521">
        <v>0</v>
      </c>
      <c r="DC1521">
        <v>0</v>
      </c>
      <c r="DD1521">
        <v>0</v>
      </c>
      <c r="DE1521">
        <v>0</v>
      </c>
      <c r="DF1521">
        <v>0</v>
      </c>
      <c r="DG1521">
        <v>0</v>
      </c>
      <c r="DH1521">
        <v>0</v>
      </c>
      <c r="DI1521">
        <v>0</v>
      </c>
    </row>
    <row r="1522" spans="1:113" x14ac:dyDescent="0.3">
      <c r="A1522" t="str">
        <f>"02/08/2021 20:21:19.640"</f>
        <v>02/08/2021 20:21:19.640</v>
      </c>
      <c r="C1522" t="str">
        <f t="shared" si="71"/>
        <v>FFDFD7C0</v>
      </c>
      <c r="D1522" t="s">
        <v>124</v>
      </c>
      <c r="E1522">
        <v>13</v>
      </c>
      <c r="F1522">
        <v>1013</v>
      </c>
      <c r="G1522" t="s">
        <v>114</v>
      </c>
      <c r="J1522" t="s">
        <v>125</v>
      </c>
      <c r="K1522">
        <v>0</v>
      </c>
      <c r="L1522">
        <v>3</v>
      </c>
      <c r="M1522">
        <v>0</v>
      </c>
      <c r="N1522">
        <v>2</v>
      </c>
      <c r="O1522">
        <v>1</v>
      </c>
      <c r="P1522">
        <v>0</v>
      </c>
      <c r="Q1522">
        <v>0</v>
      </c>
      <c r="S1522" t="str">
        <f>"20:21:21.938"</f>
        <v>20:21:21.938</v>
      </c>
      <c r="T1522" t="str">
        <f>"20:21:21.438"</f>
        <v>20:21:21.438</v>
      </c>
      <c r="U1522" t="str">
        <f t="shared" si="70"/>
        <v>AB01F4</v>
      </c>
      <c r="V1522">
        <v>0</v>
      </c>
      <c r="W1522">
        <v>0</v>
      </c>
      <c r="X1522">
        <v>2</v>
      </c>
      <c r="Z1522">
        <v>0</v>
      </c>
      <c r="AA1522">
        <v>9</v>
      </c>
      <c r="AB1522">
        <v>3</v>
      </c>
      <c r="AC1522">
        <v>0</v>
      </c>
      <c r="AD1522">
        <v>10</v>
      </c>
      <c r="AE1522">
        <v>0</v>
      </c>
      <c r="AF1522">
        <v>3</v>
      </c>
      <c r="AG1522">
        <v>2</v>
      </c>
      <c r="AH1522">
        <v>0</v>
      </c>
      <c r="AI1522" t="s">
        <v>1009</v>
      </c>
      <c r="AJ1522">
        <v>39.833443000000003</v>
      </c>
      <c r="AK1522" t="s">
        <v>1010</v>
      </c>
      <c r="AL1522">
        <v>-92.529666000000006</v>
      </c>
      <c r="AM1522">
        <v>100</v>
      </c>
      <c r="AN1522">
        <v>1700</v>
      </c>
      <c r="AO1522" t="s">
        <v>118</v>
      </c>
      <c r="AP1522">
        <v>-28</v>
      </c>
      <c r="AQ1522">
        <v>117</v>
      </c>
      <c r="AR1522">
        <v>64</v>
      </c>
      <c r="AZ1522">
        <v>1200</v>
      </c>
      <c r="BA1522">
        <v>1</v>
      </c>
      <c r="BB1522" t="str">
        <f t="shared" si="72"/>
        <v xml:space="preserve">N8080G  </v>
      </c>
      <c r="BC1522">
        <v>1</v>
      </c>
      <c r="BE1522">
        <v>0</v>
      </c>
      <c r="BF1522">
        <v>0</v>
      </c>
      <c r="BG1522">
        <v>0</v>
      </c>
      <c r="BH1522">
        <v>1700</v>
      </c>
      <c r="BI1522">
        <v>1</v>
      </c>
      <c r="BJ1522">
        <v>1</v>
      </c>
      <c r="BK1522">
        <v>1</v>
      </c>
      <c r="BL1522">
        <v>0</v>
      </c>
      <c r="BO1522">
        <v>0</v>
      </c>
      <c r="BP1522">
        <v>0</v>
      </c>
      <c r="BW1522" t="str">
        <f>"20:21:21.945"</f>
        <v>20:21:21.945</v>
      </c>
      <c r="BZ1522">
        <v>0</v>
      </c>
      <c r="CA1522">
        <v>2016</v>
      </c>
      <c r="CB1522">
        <v>224</v>
      </c>
      <c r="CD1522">
        <v>1</v>
      </c>
      <c r="CE1522">
        <v>0</v>
      </c>
      <c r="CF1522">
        <v>0</v>
      </c>
      <c r="CG1522">
        <v>1</v>
      </c>
      <c r="CH1522">
        <v>0</v>
      </c>
      <c r="CI1522">
        <v>0</v>
      </c>
      <c r="CJ1522">
        <v>0</v>
      </c>
      <c r="CK1522">
        <v>2</v>
      </c>
      <c r="CL1522">
        <v>0</v>
      </c>
      <c r="CM1522">
        <v>2</v>
      </c>
      <c r="CN1522">
        <v>0</v>
      </c>
      <c r="CO1522">
        <v>7</v>
      </c>
      <c r="CP1522" t="s">
        <v>119</v>
      </c>
      <c r="CQ1522">
        <v>180</v>
      </c>
      <c r="CR1522">
        <v>1</v>
      </c>
      <c r="CW1522">
        <v>10796886</v>
      </c>
      <c r="CY1522">
        <v>1</v>
      </c>
      <c r="CZ1522">
        <v>0</v>
      </c>
      <c r="DA1522">
        <v>1</v>
      </c>
      <c r="DB1522">
        <v>0</v>
      </c>
      <c r="DC1522">
        <v>0</v>
      </c>
      <c r="DD1522">
        <v>0</v>
      </c>
      <c r="DE1522">
        <v>0</v>
      </c>
      <c r="DF1522">
        <v>0</v>
      </c>
      <c r="DG1522">
        <v>0</v>
      </c>
      <c r="DH1522">
        <v>0</v>
      </c>
      <c r="DI1522">
        <v>0</v>
      </c>
    </row>
    <row r="1523" spans="1:113" x14ac:dyDescent="0.3">
      <c r="A1523" t="str">
        <f>"02/08/2021 20:21:21.029"</f>
        <v>02/08/2021 20:21:21.029</v>
      </c>
      <c r="C1523" t="str">
        <f t="shared" si="71"/>
        <v>FFDFD7C0</v>
      </c>
      <c r="D1523" t="s">
        <v>124</v>
      </c>
      <c r="E1523">
        <v>13</v>
      </c>
      <c r="F1523">
        <v>1013</v>
      </c>
      <c r="G1523" t="s">
        <v>114</v>
      </c>
      <c r="J1523" t="s">
        <v>125</v>
      </c>
      <c r="K1523">
        <v>0</v>
      </c>
      <c r="L1523">
        <v>3</v>
      </c>
      <c r="M1523">
        <v>0</v>
      </c>
      <c r="N1523">
        <v>2</v>
      </c>
      <c r="O1523">
        <v>1</v>
      </c>
      <c r="P1523">
        <v>0</v>
      </c>
      <c r="Q1523">
        <v>0</v>
      </c>
      <c r="S1523" t="str">
        <f>"20:21:23.328"</f>
        <v>20:21:23.328</v>
      </c>
      <c r="T1523" t="str">
        <f>"20:21:22.928"</f>
        <v>20:21:22.928</v>
      </c>
      <c r="U1523" t="str">
        <f t="shared" si="70"/>
        <v>AB01F4</v>
      </c>
      <c r="V1523">
        <v>0</v>
      </c>
      <c r="W1523">
        <v>0</v>
      </c>
      <c r="X1523">
        <v>2</v>
      </c>
      <c r="Z1523">
        <v>0</v>
      </c>
      <c r="AA1523">
        <v>9</v>
      </c>
      <c r="AB1523">
        <v>3</v>
      </c>
      <c r="AC1523">
        <v>0</v>
      </c>
      <c r="AD1523">
        <v>10</v>
      </c>
      <c r="AE1523">
        <v>0</v>
      </c>
      <c r="AF1523">
        <v>3</v>
      </c>
      <c r="AG1523">
        <v>2</v>
      </c>
      <c r="AH1523">
        <v>0</v>
      </c>
      <c r="AI1523" t="s">
        <v>1011</v>
      </c>
      <c r="AJ1523">
        <v>39.834237000000002</v>
      </c>
      <c r="AK1523" t="s">
        <v>1012</v>
      </c>
      <c r="AL1523">
        <v>-92.529902000000007</v>
      </c>
      <c r="AM1523">
        <v>100</v>
      </c>
      <c r="AN1523">
        <v>1700</v>
      </c>
      <c r="AO1523" t="s">
        <v>118</v>
      </c>
      <c r="AP1523">
        <v>-28</v>
      </c>
      <c r="AQ1523">
        <v>117</v>
      </c>
      <c r="AR1523">
        <v>64</v>
      </c>
      <c r="AZ1523">
        <v>1200</v>
      </c>
      <c r="BA1523">
        <v>1</v>
      </c>
      <c r="BB1523" t="str">
        <f t="shared" si="72"/>
        <v xml:space="preserve">N8080G  </v>
      </c>
      <c r="BC1523">
        <v>1</v>
      </c>
      <c r="BE1523">
        <v>0</v>
      </c>
      <c r="BF1523">
        <v>0</v>
      </c>
      <c r="BG1523">
        <v>0</v>
      </c>
      <c r="BH1523">
        <v>1700</v>
      </c>
      <c r="BI1523">
        <v>1</v>
      </c>
      <c r="BJ1523">
        <v>1</v>
      </c>
      <c r="BK1523">
        <v>1</v>
      </c>
      <c r="BL1523">
        <v>0</v>
      </c>
      <c r="BO1523">
        <v>0</v>
      </c>
      <c r="BP1523">
        <v>0</v>
      </c>
      <c r="BW1523" t="str">
        <f>"20:21:23.336"</f>
        <v>20:21:23.336</v>
      </c>
      <c r="BZ1523">
        <v>0</v>
      </c>
      <c r="CA1523">
        <v>2016</v>
      </c>
      <c r="CB1523">
        <v>224</v>
      </c>
      <c r="CD1523">
        <v>1</v>
      </c>
      <c r="CE1523">
        <v>0</v>
      </c>
      <c r="CF1523">
        <v>0</v>
      </c>
      <c r="CG1523">
        <v>1</v>
      </c>
      <c r="CH1523">
        <v>0</v>
      </c>
      <c r="CI1523">
        <v>0</v>
      </c>
      <c r="CJ1523">
        <v>0</v>
      </c>
      <c r="CK1523">
        <v>2</v>
      </c>
      <c r="CL1523">
        <v>0</v>
      </c>
      <c r="CM1523">
        <v>2</v>
      </c>
      <c r="CN1523">
        <v>0</v>
      </c>
      <c r="CO1523">
        <v>7</v>
      </c>
      <c r="CP1523" t="s">
        <v>119</v>
      </c>
      <c r="CQ1523">
        <v>180</v>
      </c>
      <c r="CR1523">
        <v>1</v>
      </c>
      <c r="CW1523">
        <v>10798051</v>
      </c>
      <c r="CY1523">
        <v>1</v>
      </c>
      <c r="CZ1523">
        <v>0</v>
      </c>
      <c r="DA1523">
        <v>0</v>
      </c>
      <c r="DB1523">
        <v>0</v>
      </c>
      <c r="DC1523">
        <v>0</v>
      </c>
      <c r="DD1523">
        <v>0</v>
      </c>
      <c r="DE1523">
        <v>0</v>
      </c>
      <c r="DF1523">
        <v>0</v>
      </c>
      <c r="DG1523">
        <v>0</v>
      </c>
      <c r="DH1523">
        <v>0</v>
      </c>
      <c r="DI1523">
        <v>0</v>
      </c>
    </row>
    <row r="1524" spans="1:113" x14ac:dyDescent="0.3">
      <c r="A1524" t="str">
        <f>"02/08/2021 20:21:21.029"</f>
        <v>02/08/2021 20:21:21.029</v>
      </c>
      <c r="C1524" t="str">
        <f t="shared" si="71"/>
        <v>FFDFD7C0</v>
      </c>
      <c r="D1524" t="s">
        <v>113</v>
      </c>
      <c r="E1524">
        <v>6</v>
      </c>
      <c r="H1524">
        <v>165</v>
      </c>
      <c r="I1524" t="s">
        <v>114</v>
      </c>
      <c r="J1524" t="s">
        <v>115</v>
      </c>
      <c r="K1524">
        <v>0</v>
      </c>
      <c r="L1524">
        <v>3</v>
      </c>
      <c r="M1524">
        <v>0</v>
      </c>
      <c r="N1524">
        <v>2</v>
      </c>
      <c r="O1524">
        <v>1</v>
      </c>
      <c r="P1524">
        <v>0</v>
      </c>
      <c r="Q1524">
        <v>0</v>
      </c>
      <c r="S1524" t="str">
        <f>"20:21:23.328"</f>
        <v>20:21:23.328</v>
      </c>
      <c r="T1524" t="str">
        <f>"20:21:22.928"</f>
        <v>20:21:22.928</v>
      </c>
      <c r="U1524" t="str">
        <f t="shared" si="70"/>
        <v>AB01F4</v>
      </c>
      <c r="V1524">
        <v>0</v>
      </c>
      <c r="W1524">
        <v>0</v>
      </c>
      <c r="X1524">
        <v>2</v>
      </c>
      <c r="Z1524">
        <v>0</v>
      </c>
      <c r="AA1524">
        <v>9</v>
      </c>
      <c r="AB1524">
        <v>3</v>
      </c>
      <c r="AC1524">
        <v>0</v>
      </c>
      <c r="AD1524">
        <v>10</v>
      </c>
      <c r="AE1524">
        <v>0</v>
      </c>
      <c r="AF1524">
        <v>3</v>
      </c>
      <c r="AG1524">
        <v>2</v>
      </c>
      <c r="AH1524">
        <v>0</v>
      </c>
      <c r="AI1524" t="s">
        <v>1011</v>
      </c>
      <c r="AJ1524">
        <v>39.834237000000002</v>
      </c>
      <c r="AK1524" t="s">
        <v>1012</v>
      </c>
      <c r="AL1524">
        <v>-92.529902000000007</v>
      </c>
      <c r="AM1524">
        <v>100</v>
      </c>
      <c r="AN1524">
        <v>1700</v>
      </c>
      <c r="AO1524" t="s">
        <v>118</v>
      </c>
      <c r="AP1524">
        <v>-28</v>
      </c>
      <c r="AQ1524">
        <v>117</v>
      </c>
      <c r="AR1524">
        <v>64</v>
      </c>
      <c r="AZ1524">
        <v>1200</v>
      </c>
      <c r="BA1524">
        <v>1</v>
      </c>
      <c r="BB1524" t="str">
        <f t="shared" si="72"/>
        <v xml:space="preserve">N8080G  </v>
      </c>
      <c r="BC1524">
        <v>1</v>
      </c>
      <c r="BE1524">
        <v>0</v>
      </c>
      <c r="BF1524">
        <v>0</v>
      </c>
      <c r="BG1524">
        <v>0</v>
      </c>
      <c r="BH1524">
        <v>1700</v>
      </c>
      <c r="BI1524">
        <v>1</v>
      </c>
      <c r="BJ1524">
        <v>1</v>
      </c>
      <c r="BK1524">
        <v>1</v>
      </c>
      <c r="BL1524">
        <v>0</v>
      </c>
      <c r="BO1524">
        <v>0</v>
      </c>
      <c r="BP1524">
        <v>0</v>
      </c>
      <c r="BW1524" t="str">
        <f>"20:21:23.336"</f>
        <v>20:21:23.336</v>
      </c>
      <c r="BZ1524">
        <v>0</v>
      </c>
      <c r="CA1524">
        <v>2016</v>
      </c>
      <c r="CB1524">
        <v>224</v>
      </c>
      <c r="CD1524">
        <v>1</v>
      </c>
      <c r="CE1524">
        <v>0</v>
      </c>
      <c r="CF1524">
        <v>0</v>
      </c>
      <c r="CG1524">
        <v>1</v>
      </c>
      <c r="CH1524">
        <v>0</v>
      </c>
      <c r="CI1524">
        <v>0</v>
      </c>
      <c r="CJ1524">
        <v>0</v>
      </c>
      <c r="CK1524">
        <v>2</v>
      </c>
      <c r="CL1524">
        <v>0</v>
      </c>
      <c r="CM1524">
        <v>2</v>
      </c>
      <c r="CN1524">
        <v>0</v>
      </c>
      <c r="CO1524">
        <v>7</v>
      </c>
      <c r="CP1524" t="s">
        <v>119</v>
      </c>
      <c r="CQ1524">
        <v>180</v>
      </c>
      <c r="CR1524">
        <v>1</v>
      </c>
      <c r="CW1524">
        <v>10798051</v>
      </c>
      <c r="CY1524">
        <v>1</v>
      </c>
      <c r="CZ1524">
        <v>0</v>
      </c>
      <c r="DA1524">
        <v>1</v>
      </c>
      <c r="DB1524">
        <v>0</v>
      </c>
      <c r="DC1524">
        <v>0</v>
      </c>
      <c r="DD1524">
        <v>0</v>
      </c>
      <c r="DE1524">
        <v>0</v>
      </c>
      <c r="DF1524">
        <v>0</v>
      </c>
      <c r="DG1524">
        <v>0</v>
      </c>
      <c r="DH1524">
        <v>0</v>
      </c>
      <c r="DI1524">
        <v>0</v>
      </c>
    </row>
    <row r="1525" spans="1:113" x14ac:dyDescent="0.3">
      <c r="A1525" t="str">
        <f>"02/08/2021 20:21:21.029"</f>
        <v>02/08/2021 20:21:21.029</v>
      </c>
      <c r="C1525" t="str">
        <f t="shared" si="71"/>
        <v>FFDFD7C0</v>
      </c>
      <c r="D1525" t="s">
        <v>124</v>
      </c>
      <c r="E1525">
        <v>12</v>
      </c>
      <c r="F1525">
        <v>1012</v>
      </c>
      <c r="G1525" t="s">
        <v>675</v>
      </c>
      <c r="J1525" t="s">
        <v>125</v>
      </c>
      <c r="K1525">
        <v>0</v>
      </c>
      <c r="L1525">
        <v>3</v>
      </c>
      <c r="M1525">
        <v>0</v>
      </c>
      <c r="N1525">
        <v>2</v>
      </c>
      <c r="O1525">
        <v>1</v>
      </c>
      <c r="P1525">
        <v>0</v>
      </c>
      <c r="Q1525">
        <v>0</v>
      </c>
      <c r="S1525" t="str">
        <f>"20:21:23.328"</f>
        <v>20:21:23.328</v>
      </c>
      <c r="T1525" t="str">
        <f>"20:21:22.928"</f>
        <v>20:21:22.928</v>
      </c>
      <c r="U1525" t="str">
        <f t="shared" si="70"/>
        <v>AB01F4</v>
      </c>
      <c r="V1525">
        <v>0</v>
      </c>
      <c r="W1525">
        <v>0</v>
      </c>
      <c r="X1525">
        <v>2</v>
      </c>
      <c r="Z1525">
        <v>0</v>
      </c>
      <c r="AA1525">
        <v>9</v>
      </c>
      <c r="AB1525">
        <v>3</v>
      </c>
      <c r="AC1525">
        <v>0</v>
      </c>
      <c r="AD1525">
        <v>10</v>
      </c>
      <c r="AE1525">
        <v>0</v>
      </c>
      <c r="AF1525">
        <v>3</v>
      </c>
      <c r="AG1525">
        <v>2</v>
      </c>
      <c r="AH1525">
        <v>0</v>
      </c>
      <c r="AI1525" t="s">
        <v>1011</v>
      </c>
      <c r="AJ1525">
        <v>39.834237000000002</v>
      </c>
      <c r="AK1525" t="s">
        <v>1012</v>
      </c>
      <c r="AL1525">
        <v>-92.529902000000007</v>
      </c>
      <c r="AM1525">
        <v>100</v>
      </c>
      <c r="AN1525">
        <v>1700</v>
      </c>
      <c r="AO1525" t="s">
        <v>118</v>
      </c>
      <c r="AP1525">
        <v>-28</v>
      </c>
      <c r="AQ1525">
        <v>117</v>
      </c>
      <c r="AR1525">
        <v>64</v>
      </c>
      <c r="AZ1525">
        <v>1200</v>
      </c>
      <c r="BA1525">
        <v>1</v>
      </c>
      <c r="BB1525" t="str">
        <f t="shared" si="72"/>
        <v xml:space="preserve">N8080G  </v>
      </c>
      <c r="BC1525">
        <v>1</v>
      </c>
      <c r="BE1525">
        <v>0</v>
      </c>
      <c r="BF1525">
        <v>0</v>
      </c>
      <c r="BG1525">
        <v>0</v>
      </c>
      <c r="BH1525">
        <v>1700</v>
      </c>
      <c r="BI1525">
        <v>1</v>
      </c>
      <c r="BJ1525">
        <v>1</v>
      </c>
      <c r="BK1525">
        <v>1</v>
      </c>
      <c r="BL1525">
        <v>0</v>
      </c>
      <c r="BO1525">
        <v>0</v>
      </c>
      <c r="BP1525">
        <v>0</v>
      </c>
      <c r="BW1525" t="str">
        <f>"20:21:23.336"</f>
        <v>20:21:23.336</v>
      </c>
      <c r="BZ1525">
        <v>0</v>
      </c>
      <c r="CA1525">
        <v>2016</v>
      </c>
      <c r="CB1525">
        <v>224</v>
      </c>
      <c r="CD1525">
        <v>1</v>
      </c>
      <c r="CE1525">
        <v>0</v>
      </c>
      <c r="CF1525">
        <v>0</v>
      </c>
      <c r="CG1525">
        <v>1</v>
      </c>
      <c r="CH1525">
        <v>0</v>
      </c>
      <c r="CI1525">
        <v>0</v>
      </c>
      <c r="CJ1525">
        <v>0</v>
      </c>
      <c r="CK1525">
        <v>2</v>
      </c>
      <c r="CL1525">
        <v>0</v>
      </c>
      <c r="CM1525">
        <v>2</v>
      </c>
      <c r="CN1525">
        <v>0</v>
      </c>
      <c r="CO1525">
        <v>7</v>
      </c>
      <c r="CP1525" t="s">
        <v>119</v>
      </c>
      <c r="CQ1525">
        <v>180</v>
      </c>
      <c r="CR1525">
        <v>1</v>
      </c>
      <c r="CW1525">
        <v>10798051</v>
      </c>
      <c r="CY1525">
        <v>1</v>
      </c>
      <c r="CZ1525">
        <v>0</v>
      </c>
      <c r="DA1525">
        <v>1</v>
      </c>
      <c r="DB1525">
        <v>0</v>
      </c>
      <c r="DC1525">
        <v>0</v>
      </c>
      <c r="DD1525">
        <v>0</v>
      </c>
      <c r="DE1525">
        <v>0</v>
      </c>
      <c r="DF1525">
        <v>0</v>
      </c>
      <c r="DG1525">
        <v>0</v>
      </c>
      <c r="DH1525">
        <v>0</v>
      </c>
      <c r="DI1525">
        <v>0</v>
      </c>
    </row>
    <row r="1526" spans="1:113" x14ac:dyDescent="0.3">
      <c r="A1526" t="str">
        <f>"02/08/2021 20:21:21.029"</f>
        <v>02/08/2021 20:21:21.029</v>
      </c>
      <c r="C1526" t="str">
        <f t="shared" si="71"/>
        <v>FFDFD7C0</v>
      </c>
      <c r="D1526" t="s">
        <v>124</v>
      </c>
      <c r="E1526">
        <v>11</v>
      </c>
      <c r="F1526">
        <v>1011</v>
      </c>
      <c r="G1526" t="s">
        <v>590</v>
      </c>
      <c r="J1526" t="s">
        <v>125</v>
      </c>
      <c r="K1526">
        <v>0</v>
      </c>
      <c r="L1526">
        <v>3</v>
      </c>
      <c r="M1526">
        <v>0</v>
      </c>
      <c r="N1526">
        <v>2</v>
      </c>
      <c r="O1526">
        <v>1</v>
      </c>
      <c r="P1526">
        <v>0</v>
      </c>
      <c r="Q1526">
        <v>0</v>
      </c>
      <c r="S1526" t="str">
        <f>"20:21:23.328"</f>
        <v>20:21:23.328</v>
      </c>
      <c r="T1526" t="str">
        <f>"20:21:22.928"</f>
        <v>20:21:22.928</v>
      </c>
      <c r="U1526" t="str">
        <f t="shared" si="70"/>
        <v>AB01F4</v>
      </c>
      <c r="V1526">
        <v>0</v>
      </c>
      <c r="W1526">
        <v>0</v>
      </c>
      <c r="X1526">
        <v>2</v>
      </c>
      <c r="Z1526">
        <v>0</v>
      </c>
      <c r="AA1526">
        <v>9</v>
      </c>
      <c r="AB1526">
        <v>3</v>
      </c>
      <c r="AC1526">
        <v>0</v>
      </c>
      <c r="AD1526">
        <v>10</v>
      </c>
      <c r="AE1526">
        <v>0</v>
      </c>
      <c r="AF1526">
        <v>3</v>
      </c>
      <c r="AG1526">
        <v>2</v>
      </c>
      <c r="AH1526">
        <v>0</v>
      </c>
      <c r="AI1526" t="s">
        <v>1011</v>
      </c>
      <c r="AJ1526">
        <v>39.834237000000002</v>
      </c>
      <c r="AK1526" t="s">
        <v>1012</v>
      </c>
      <c r="AL1526">
        <v>-92.529902000000007</v>
      </c>
      <c r="AM1526">
        <v>100</v>
      </c>
      <c r="AN1526">
        <v>1700</v>
      </c>
      <c r="AO1526" t="s">
        <v>118</v>
      </c>
      <c r="AP1526">
        <v>-28</v>
      </c>
      <c r="AQ1526">
        <v>117</v>
      </c>
      <c r="AR1526">
        <v>64</v>
      </c>
      <c r="AZ1526">
        <v>1200</v>
      </c>
      <c r="BA1526">
        <v>1</v>
      </c>
      <c r="BB1526" t="str">
        <f t="shared" si="72"/>
        <v xml:space="preserve">N8080G  </v>
      </c>
      <c r="BC1526">
        <v>1</v>
      </c>
      <c r="BE1526">
        <v>0</v>
      </c>
      <c r="BF1526">
        <v>0</v>
      </c>
      <c r="BG1526">
        <v>0</v>
      </c>
      <c r="BH1526">
        <v>1700</v>
      </c>
      <c r="BI1526">
        <v>1</v>
      </c>
      <c r="BJ1526">
        <v>1</v>
      </c>
      <c r="BK1526">
        <v>1</v>
      </c>
      <c r="BL1526">
        <v>0</v>
      </c>
      <c r="BO1526">
        <v>0</v>
      </c>
      <c r="BP1526">
        <v>0</v>
      </c>
      <c r="BW1526" t="str">
        <f>"20:21:23.336"</f>
        <v>20:21:23.336</v>
      </c>
      <c r="BZ1526">
        <v>0</v>
      </c>
      <c r="CA1526">
        <v>2016</v>
      </c>
      <c r="CB1526">
        <v>224</v>
      </c>
      <c r="CD1526">
        <v>1</v>
      </c>
      <c r="CE1526">
        <v>0</v>
      </c>
      <c r="CF1526">
        <v>0</v>
      </c>
      <c r="CG1526">
        <v>1</v>
      </c>
      <c r="CH1526">
        <v>0</v>
      </c>
      <c r="CI1526">
        <v>0</v>
      </c>
      <c r="CJ1526">
        <v>0</v>
      </c>
      <c r="CK1526">
        <v>2</v>
      </c>
      <c r="CL1526">
        <v>0</v>
      </c>
      <c r="CM1526">
        <v>2</v>
      </c>
      <c r="CN1526">
        <v>0</v>
      </c>
      <c r="CO1526">
        <v>7</v>
      </c>
      <c r="CP1526" t="s">
        <v>119</v>
      </c>
      <c r="CQ1526">
        <v>180</v>
      </c>
      <c r="CR1526">
        <v>1</v>
      </c>
      <c r="CW1526">
        <v>10798051</v>
      </c>
      <c r="CY1526">
        <v>1</v>
      </c>
      <c r="CZ1526">
        <v>0</v>
      </c>
      <c r="DA1526">
        <v>1</v>
      </c>
      <c r="DB1526">
        <v>0</v>
      </c>
      <c r="DC1526">
        <v>0</v>
      </c>
      <c r="DD1526">
        <v>0</v>
      </c>
      <c r="DE1526">
        <v>0</v>
      </c>
      <c r="DF1526">
        <v>0</v>
      </c>
      <c r="DG1526">
        <v>0</v>
      </c>
      <c r="DH1526">
        <v>0</v>
      </c>
      <c r="DI1526">
        <v>0</v>
      </c>
    </row>
    <row r="1527" spans="1:113" x14ac:dyDescent="0.3">
      <c r="A1527" t="str">
        <f>"02/08/2021 20:21:22.580"</f>
        <v>02/08/2021 20:21:22.580</v>
      </c>
      <c r="C1527" t="str">
        <f t="shared" si="71"/>
        <v>FFDFD7C0</v>
      </c>
      <c r="D1527" t="s">
        <v>124</v>
      </c>
      <c r="E1527">
        <v>11</v>
      </c>
      <c r="F1527">
        <v>1011</v>
      </c>
      <c r="G1527" t="s">
        <v>590</v>
      </c>
      <c r="J1527" t="s">
        <v>125</v>
      </c>
      <c r="K1527">
        <v>0</v>
      </c>
      <c r="L1527">
        <v>3</v>
      </c>
      <c r="M1527">
        <v>0</v>
      </c>
      <c r="N1527">
        <v>2</v>
      </c>
      <c r="O1527">
        <v>1</v>
      </c>
      <c r="P1527">
        <v>0</v>
      </c>
      <c r="Q1527">
        <v>0</v>
      </c>
      <c r="S1527" t="str">
        <f>"20:21:24.867"</f>
        <v>20:21:24.867</v>
      </c>
      <c r="T1527" t="str">
        <f>"20:21:24.467"</f>
        <v>20:21:24.467</v>
      </c>
      <c r="U1527" t="str">
        <f t="shared" si="70"/>
        <v>AB01F4</v>
      </c>
      <c r="V1527">
        <v>0</v>
      </c>
      <c r="W1527">
        <v>0</v>
      </c>
      <c r="X1527">
        <v>2</v>
      </c>
      <c r="Z1527">
        <v>0</v>
      </c>
      <c r="AA1527">
        <v>9</v>
      </c>
      <c r="AB1527">
        <v>3</v>
      </c>
      <c r="AC1527">
        <v>0</v>
      </c>
      <c r="AD1527">
        <v>10</v>
      </c>
      <c r="AE1527">
        <v>0</v>
      </c>
      <c r="AF1527">
        <v>3</v>
      </c>
      <c r="AG1527">
        <v>2</v>
      </c>
      <c r="AH1527">
        <v>0</v>
      </c>
      <c r="AI1527" t="s">
        <v>1013</v>
      </c>
      <c r="AJ1527">
        <v>39.835031000000001</v>
      </c>
      <c r="AK1527" t="s">
        <v>1014</v>
      </c>
      <c r="AL1527">
        <v>-92.530159999999995</v>
      </c>
      <c r="AM1527">
        <v>100</v>
      </c>
      <c r="AN1527">
        <v>1700</v>
      </c>
      <c r="AO1527" t="s">
        <v>118</v>
      </c>
      <c r="AP1527">
        <v>-28</v>
      </c>
      <c r="AQ1527">
        <v>117</v>
      </c>
      <c r="AR1527">
        <v>128</v>
      </c>
      <c r="AZ1527">
        <v>1200</v>
      </c>
      <c r="BA1527">
        <v>1</v>
      </c>
      <c r="BB1527" t="str">
        <f t="shared" si="72"/>
        <v xml:space="preserve">N8080G  </v>
      </c>
      <c r="BC1527">
        <v>1</v>
      </c>
      <c r="BE1527">
        <v>0</v>
      </c>
      <c r="BF1527">
        <v>0</v>
      </c>
      <c r="BG1527">
        <v>0</v>
      </c>
      <c r="BH1527">
        <v>1700</v>
      </c>
      <c r="BI1527">
        <v>1</v>
      </c>
      <c r="BJ1527">
        <v>1</v>
      </c>
      <c r="BK1527">
        <v>1</v>
      </c>
      <c r="BL1527">
        <v>0</v>
      </c>
      <c r="BO1527">
        <v>0</v>
      </c>
      <c r="BP1527">
        <v>0</v>
      </c>
      <c r="BW1527" t="str">
        <f>"20:21:24.869"</f>
        <v>20:21:24.869</v>
      </c>
      <c r="BZ1527">
        <v>0</v>
      </c>
      <c r="CA1527">
        <v>2016</v>
      </c>
      <c r="CB1527">
        <v>224</v>
      </c>
      <c r="CD1527">
        <v>1</v>
      </c>
      <c r="CE1527">
        <v>0</v>
      </c>
      <c r="CF1527">
        <v>0</v>
      </c>
      <c r="CG1527">
        <v>1</v>
      </c>
      <c r="CH1527">
        <v>0</v>
      </c>
      <c r="CI1527">
        <v>0</v>
      </c>
      <c r="CJ1527">
        <v>0</v>
      </c>
      <c r="CK1527">
        <v>2</v>
      </c>
      <c r="CL1527">
        <v>0</v>
      </c>
      <c r="CM1527">
        <v>2</v>
      </c>
      <c r="CN1527">
        <v>0</v>
      </c>
      <c r="CO1527">
        <v>7</v>
      </c>
      <c r="CP1527" t="s">
        <v>119</v>
      </c>
      <c r="CQ1527">
        <v>180</v>
      </c>
      <c r="CR1527">
        <v>2</v>
      </c>
      <c r="CW1527">
        <v>8235353</v>
      </c>
      <c r="CY1527">
        <v>1</v>
      </c>
      <c r="CZ1527">
        <v>0</v>
      </c>
      <c r="DA1527">
        <v>0</v>
      </c>
      <c r="DB1527">
        <v>0</v>
      </c>
      <c r="DC1527">
        <v>0</v>
      </c>
      <c r="DD1527">
        <v>0</v>
      </c>
      <c r="DE1527">
        <v>0</v>
      </c>
      <c r="DF1527">
        <v>0</v>
      </c>
      <c r="DG1527">
        <v>0</v>
      </c>
      <c r="DH1527">
        <v>0</v>
      </c>
      <c r="DI1527">
        <v>0</v>
      </c>
    </row>
    <row r="1528" spans="1:113" x14ac:dyDescent="0.3">
      <c r="A1528" t="str">
        <f>"02/08/2021 20:21:22.580"</f>
        <v>02/08/2021 20:21:22.580</v>
      </c>
      <c r="C1528" t="str">
        <f t="shared" si="71"/>
        <v>FFDFD7C0</v>
      </c>
      <c r="D1528" t="s">
        <v>124</v>
      </c>
      <c r="E1528">
        <v>13</v>
      </c>
      <c r="F1528">
        <v>1013</v>
      </c>
      <c r="G1528" t="s">
        <v>114</v>
      </c>
      <c r="J1528" t="s">
        <v>125</v>
      </c>
      <c r="K1528">
        <v>0</v>
      </c>
      <c r="L1528">
        <v>3</v>
      </c>
      <c r="M1528">
        <v>0</v>
      </c>
      <c r="N1528">
        <v>2</v>
      </c>
      <c r="O1528">
        <v>1</v>
      </c>
      <c r="P1528">
        <v>0</v>
      </c>
      <c r="Q1528">
        <v>0</v>
      </c>
      <c r="S1528" t="str">
        <f>"20:21:24.867"</f>
        <v>20:21:24.867</v>
      </c>
      <c r="T1528" t="str">
        <f>"20:21:24.467"</f>
        <v>20:21:24.467</v>
      </c>
      <c r="U1528" t="str">
        <f t="shared" si="70"/>
        <v>AB01F4</v>
      </c>
      <c r="V1528">
        <v>0</v>
      </c>
      <c r="W1528">
        <v>0</v>
      </c>
      <c r="X1528">
        <v>2</v>
      </c>
      <c r="Z1528">
        <v>0</v>
      </c>
      <c r="AA1528">
        <v>9</v>
      </c>
      <c r="AB1528">
        <v>3</v>
      </c>
      <c r="AC1528">
        <v>0</v>
      </c>
      <c r="AD1528">
        <v>10</v>
      </c>
      <c r="AE1528">
        <v>0</v>
      </c>
      <c r="AF1528">
        <v>3</v>
      </c>
      <c r="AG1528">
        <v>2</v>
      </c>
      <c r="AH1528">
        <v>0</v>
      </c>
      <c r="AI1528" t="s">
        <v>1013</v>
      </c>
      <c r="AJ1528">
        <v>39.835031000000001</v>
      </c>
      <c r="AK1528" t="s">
        <v>1014</v>
      </c>
      <c r="AL1528">
        <v>-92.530159999999995</v>
      </c>
      <c r="AM1528">
        <v>100</v>
      </c>
      <c r="AN1528">
        <v>1700</v>
      </c>
      <c r="AO1528" t="s">
        <v>118</v>
      </c>
      <c r="AP1528">
        <v>-28</v>
      </c>
      <c r="AQ1528">
        <v>117</v>
      </c>
      <c r="AR1528">
        <v>128</v>
      </c>
      <c r="AZ1528">
        <v>1200</v>
      </c>
      <c r="BA1528">
        <v>1</v>
      </c>
      <c r="BB1528" t="str">
        <f t="shared" si="72"/>
        <v xml:space="preserve">N8080G  </v>
      </c>
      <c r="BC1528">
        <v>1</v>
      </c>
      <c r="BE1528">
        <v>0</v>
      </c>
      <c r="BF1528">
        <v>0</v>
      </c>
      <c r="BG1528">
        <v>0</v>
      </c>
      <c r="BH1528">
        <v>1700</v>
      </c>
      <c r="BI1528">
        <v>1</v>
      </c>
      <c r="BJ1528">
        <v>1</v>
      </c>
      <c r="BK1528">
        <v>1</v>
      </c>
      <c r="BL1528">
        <v>0</v>
      </c>
      <c r="BO1528">
        <v>0</v>
      </c>
      <c r="BP1528">
        <v>0</v>
      </c>
      <c r="BW1528" t="str">
        <f>"20:21:24.869"</f>
        <v>20:21:24.869</v>
      </c>
      <c r="BZ1528">
        <v>0</v>
      </c>
      <c r="CA1528">
        <v>2016</v>
      </c>
      <c r="CB1528">
        <v>224</v>
      </c>
      <c r="CD1528">
        <v>1</v>
      </c>
      <c r="CE1528">
        <v>0</v>
      </c>
      <c r="CF1528">
        <v>0</v>
      </c>
      <c r="CG1528">
        <v>1</v>
      </c>
      <c r="CH1528">
        <v>0</v>
      </c>
      <c r="CI1528">
        <v>0</v>
      </c>
      <c r="CJ1528">
        <v>0</v>
      </c>
      <c r="CK1528">
        <v>2</v>
      </c>
      <c r="CL1528">
        <v>0</v>
      </c>
      <c r="CM1528">
        <v>2</v>
      </c>
      <c r="CN1528">
        <v>0</v>
      </c>
      <c r="CO1528">
        <v>7</v>
      </c>
      <c r="CP1528" t="s">
        <v>119</v>
      </c>
      <c r="CQ1528">
        <v>180</v>
      </c>
      <c r="CR1528">
        <v>2</v>
      </c>
      <c r="CW1528">
        <v>8235353</v>
      </c>
      <c r="CY1528">
        <v>1</v>
      </c>
      <c r="CZ1528">
        <v>0</v>
      </c>
      <c r="DA1528">
        <v>1</v>
      </c>
      <c r="DB1528">
        <v>0</v>
      </c>
      <c r="DC1528">
        <v>0</v>
      </c>
      <c r="DD1528">
        <v>0</v>
      </c>
      <c r="DE1528">
        <v>0</v>
      </c>
      <c r="DF1528">
        <v>0</v>
      </c>
      <c r="DG1528">
        <v>0</v>
      </c>
      <c r="DH1528">
        <v>0</v>
      </c>
      <c r="DI1528">
        <v>0</v>
      </c>
    </row>
    <row r="1529" spans="1:113" x14ac:dyDescent="0.3">
      <c r="A1529" t="str">
        <f>"02/08/2021 20:21:22.580"</f>
        <v>02/08/2021 20:21:22.580</v>
      </c>
      <c r="C1529" t="str">
        <f t="shared" si="71"/>
        <v>FFDFD7C0</v>
      </c>
      <c r="D1529" t="s">
        <v>113</v>
      </c>
      <c r="E1529">
        <v>6</v>
      </c>
      <c r="H1529">
        <v>165</v>
      </c>
      <c r="I1529" t="s">
        <v>114</v>
      </c>
      <c r="J1529" t="s">
        <v>115</v>
      </c>
      <c r="K1529">
        <v>0</v>
      </c>
      <c r="L1529">
        <v>3</v>
      </c>
      <c r="M1529">
        <v>0</v>
      </c>
      <c r="N1529">
        <v>2</v>
      </c>
      <c r="O1529">
        <v>1</v>
      </c>
      <c r="P1529">
        <v>0</v>
      </c>
      <c r="Q1529">
        <v>0</v>
      </c>
      <c r="S1529" t="str">
        <f>"20:21:24.867"</f>
        <v>20:21:24.867</v>
      </c>
      <c r="T1529" t="str">
        <f>"20:21:24.467"</f>
        <v>20:21:24.467</v>
      </c>
      <c r="U1529" t="str">
        <f t="shared" si="70"/>
        <v>AB01F4</v>
      </c>
      <c r="V1529">
        <v>0</v>
      </c>
      <c r="W1529">
        <v>0</v>
      </c>
      <c r="X1529">
        <v>2</v>
      </c>
      <c r="Z1529">
        <v>0</v>
      </c>
      <c r="AA1529">
        <v>9</v>
      </c>
      <c r="AB1529">
        <v>3</v>
      </c>
      <c r="AC1529">
        <v>0</v>
      </c>
      <c r="AD1529">
        <v>10</v>
      </c>
      <c r="AE1529">
        <v>0</v>
      </c>
      <c r="AF1529">
        <v>3</v>
      </c>
      <c r="AG1529">
        <v>2</v>
      </c>
      <c r="AH1529">
        <v>0</v>
      </c>
      <c r="AI1529" t="s">
        <v>1013</v>
      </c>
      <c r="AJ1529">
        <v>39.835031000000001</v>
      </c>
      <c r="AK1529" t="s">
        <v>1014</v>
      </c>
      <c r="AL1529">
        <v>-92.530159999999995</v>
      </c>
      <c r="AM1529">
        <v>100</v>
      </c>
      <c r="AN1529">
        <v>1700</v>
      </c>
      <c r="AO1529" t="s">
        <v>118</v>
      </c>
      <c r="AP1529">
        <v>-28</v>
      </c>
      <c r="AQ1529">
        <v>117</v>
      </c>
      <c r="AR1529">
        <v>128</v>
      </c>
      <c r="AZ1529">
        <v>1200</v>
      </c>
      <c r="BA1529">
        <v>1</v>
      </c>
      <c r="BB1529" t="str">
        <f t="shared" si="72"/>
        <v xml:space="preserve">N8080G  </v>
      </c>
      <c r="BC1529">
        <v>1</v>
      </c>
      <c r="BE1529">
        <v>0</v>
      </c>
      <c r="BF1529">
        <v>0</v>
      </c>
      <c r="BG1529">
        <v>0</v>
      </c>
      <c r="BH1529">
        <v>1700</v>
      </c>
      <c r="BI1529">
        <v>1</v>
      </c>
      <c r="BJ1529">
        <v>1</v>
      </c>
      <c r="BK1529">
        <v>1</v>
      </c>
      <c r="BL1529">
        <v>0</v>
      </c>
      <c r="BO1529">
        <v>0</v>
      </c>
      <c r="BP1529">
        <v>0</v>
      </c>
      <c r="BW1529" t="str">
        <f>"20:21:24.869"</f>
        <v>20:21:24.869</v>
      </c>
      <c r="BZ1529">
        <v>0</v>
      </c>
      <c r="CA1529">
        <v>2016</v>
      </c>
      <c r="CB1529">
        <v>224</v>
      </c>
      <c r="CD1529">
        <v>1</v>
      </c>
      <c r="CE1529">
        <v>0</v>
      </c>
      <c r="CF1529">
        <v>0</v>
      </c>
      <c r="CG1529">
        <v>1</v>
      </c>
      <c r="CH1529">
        <v>0</v>
      </c>
      <c r="CI1529">
        <v>0</v>
      </c>
      <c r="CJ1529">
        <v>0</v>
      </c>
      <c r="CK1529">
        <v>2</v>
      </c>
      <c r="CL1529">
        <v>0</v>
      </c>
      <c r="CM1529">
        <v>2</v>
      </c>
      <c r="CN1529">
        <v>0</v>
      </c>
      <c r="CO1529">
        <v>7</v>
      </c>
      <c r="CP1529" t="s">
        <v>119</v>
      </c>
      <c r="CQ1529">
        <v>180</v>
      </c>
      <c r="CR1529">
        <v>2</v>
      </c>
      <c r="CW1529">
        <v>8235353</v>
      </c>
      <c r="CY1529">
        <v>1</v>
      </c>
      <c r="CZ1529">
        <v>0</v>
      </c>
      <c r="DA1529">
        <v>1</v>
      </c>
      <c r="DB1529">
        <v>0</v>
      </c>
      <c r="DC1529">
        <v>0</v>
      </c>
      <c r="DD1529">
        <v>0</v>
      </c>
      <c r="DE1529">
        <v>0</v>
      </c>
      <c r="DF1529">
        <v>0</v>
      </c>
      <c r="DG1529">
        <v>0</v>
      </c>
      <c r="DH1529">
        <v>0</v>
      </c>
      <c r="DI1529">
        <v>0</v>
      </c>
    </row>
    <row r="1530" spans="1:113" x14ac:dyDescent="0.3">
      <c r="A1530" t="str">
        <f>"02/08/2021 20:21:22.580"</f>
        <v>02/08/2021 20:21:22.580</v>
      </c>
      <c r="C1530" t="str">
        <f t="shared" si="71"/>
        <v>FFDFD7C0</v>
      </c>
      <c r="D1530" t="s">
        <v>124</v>
      </c>
      <c r="E1530">
        <v>12</v>
      </c>
      <c r="F1530">
        <v>1012</v>
      </c>
      <c r="G1530" t="s">
        <v>675</v>
      </c>
      <c r="J1530" t="s">
        <v>125</v>
      </c>
      <c r="K1530">
        <v>0</v>
      </c>
      <c r="L1530">
        <v>3</v>
      </c>
      <c r="M1530">
        <v>0</v>
      </c>
      <c r="N1530">
        <v>2</v>
      </c>
      <c r="O1530">
        <v>1</v>
      </c>
      <c r="P1530">
        <v>0</v>
      </c>
      <c r="Q1530">
        <v>0</v>
      </c>
      <c r="S1530" t="str">
        <f>"20:21:24.867"</f>
        <v>20:21:24.867</v>
      </c>
      <c r="T1530" t="str">
        <f>"20:21:24.467"</f>
        <v>20:21:24.467</v>
      </c>
      <c r="U1530" t="str">
        <f t="shared" si="70"/>
        <v>AB01F4</v>
      </c>
      <c r="V1530">
        <v>0</v>
      </c>
      <c r="W1530">
        <v>0</v>
      </c>
      <c r="X1530">
        <v>2</v>
      </c>
      <c r="Z1530">
        <v>0</v>
      </c>
      <c r="AA1530">
        <v>9</v>
      </c>
      <c r="AB1530">
        <v>3</v>
      </c>
      <c r="AC1530">
        <v>0</v>
      </c>
      <c r="AD1530">
        <v>10</v>
      </c>
      <c r="AE1530">
        <v>0</v>
      </c>
      <c r="AF1530">
        <v>3</v>
      </c>
      <c r="AG1530">
        <v>2</v>
      </c>
      <c r="AH1530">
        <v>0</v>
      </c>
      <c r="AI1530" t="s">
        <v>1013</v>
      </c>
      <c r="AJ1530">
        <v>39.835031000000001</v>
      </c>
      <c r="AK1530" t="s">
        <v>1014</v>
      </c>
      <c r="AL1530">
        <v>-92.530159999999995</v>
      </c>
      <c r="AM1530">
        <v>100</v>
      </c>
      <c r="AN1530">
        <v>1700</v>
      </c>
      <c r="AO1530" t="s">
        <v>118</v>
      </c>
      <c r="AP1530">
        <v>-28</v>
      </c>
      <c r="AQ1530">
        <v>117</v>
      </c>
      <c r="AR1530">
        <v>128</v>
      </c>
      <c r="AZ1530">
        <v>1200</v>
      </c>
      <c r="BA1530">
        <v>1</v>
      </c>
      <c r="BB1530" t="str">
        <f t="shared" si="72"/>
        <v xml:space="preserve">N8080G  </v>
      </c>
      <c r="BC1530">
        <v>1</v>
      </c>
      <c r="BE1530">
        <v>0</v>
      </c>
      <c r="BF1530">
        <v>0</v>
      </c>
      <c r="BG1530">
        <v>0</v>
      </c>
      <c r="BH1530">
        <v>1700</v>
      </c>
      <c r="BI1530">
        <v>1</v>
      </c>
      <c r="BJ1530">
        <v>1</v>
      </c>
      <c r="BK1530">
        <v>1</v>
      </c>
      <c r="BL1530">
        <v>0</v>
      </c>
      <c r="BO1530">
        <v>0</v>
      </c>
      <c r="BP1530">
        <v>0</v>
      </c>
      <c r="BW1530" t="str">
        <f>"20:21:24.869"</f>
        <v>20:21:24.869</v>
      </c>
      <c r="BZ1530">
        <v>0</v>
      </c>
      <c r="CA1530">
        <v>2016</v>
      </c>
      <c r="CB1530">
        <v>224</v>
      </c>
      <c r="CD1530">
        <v>1</v>
      </c>
      <c r="CE1530">
        <v>0</v>
      </c>
      <c r="CF1530">
        <v>0</v>
      </c>
      <c r="CG1530">
        <v>1</v>
      </c>
      <c r="CH1530">
        <v>0</v>
      </c>
      <c r="CI1530">
        <v>0</v>
      </c>
      <c r="CJ1530">
        <v>0</v>
      </c>
      <c r="CK1530">
        <v>2</v>
      </c>
      <c r="CL1530">
        <v>0</v>
      </c>
      <c r="CM1530">
        <v>2</v>
      </c>
      <c r="CN1530">
        <v>0</v>
      </c>
      <c r="CO1530">
        <v>7</v>
      </c>
      <c r="CP1530" t="s">
        <v>119</v>
      </c>
      <c r="CQ1530">
        <v>180</v>
      </c>
      <c r="CR1530">
        <v>2</v>
      </c>
      <c r="CW1530">
        <v>8235353</v>
      </c>
      <c r="CY1530">
        <v>1</v>
      </c>
      <c r="CZ1530">
        <v>0</v>
      </c>
      <c r="DA1530">
        <v>1</v>
      </c>
      <c r="DB1530">
        <v>0</v>
      </c>
      <c r="DC1530">
        <v>0</v>
      </c>
      <c r="DD1530">
        <v>0</v>
      </c>
      <c r="DE1530">
        <v>0</v>
      </c>
      <c r="DF1530">
        <v>0</v>
      </c>
      <c r="DG1530">
        <v>0</v>
      </c>
      <c r="DH1530">
        <v>0</v>
      </c>
      <c r="DI1530">
        <v>0</v>
      </c>
    </row>
    <row r="1531" spans="1:113" x14ac:dyDescent="0.3">
      <c r="A1531" t="str">
        <f>"02/08/2021 20:21:24.010"</f>
        <v>02/08/2021 20:21:24.010</v>
      </c>
      <c r="C1531" t="str">
        <f t="shared" si="71"/>
        <v>FFDFD7C0</v>
      </c>
      <c r="D1531" t="s">
        <v>124</v>
      </c>
      <c r="E1531">
        <v>12</v>
      </c>
      <c r="F1531">
        <v>1012</v>
      </c>
      <c r="G1531" t="s">
        <v>675</v>
      </c>
      <c r="J1531" t="s">
        <v>125</v>
      </c>
      <c r="K1531">
        <v>0</v>
      </c>
      <c r="L1531">
        <v>3</v>
      </c>
      <c r="M1531">
        <v>0</v>
      </c>
      <c r="N1531">
        <v>2</v>
      </c>
      <c r="O1531">
        <v>1</v>
      </c>
      <c r="P1531">
        <v>0</v>
      </c>
      <c r="Q1531">
        <v>0</v>
      </c>
      <c r="S1531" t="str">
        <f>"20:21:26.313"</f>
        <v>20:21:26.313</v>
      </c>
      <c r="T1531" t="str">
        <f>"20:21:25.913"</f>
        <v>20:21:25.913</v>
      </c>
      <c r="U1531" t="str">
        <f t="shared" si="70"/>
        <v>AB01F4</v>
      </c>
      <c r="V1531">
        <v>0</v>
      </c>
      <c r="W1531">
        <v>0</v>
      </c>
      <c r="X1531">
        <v>2</v>
      </c>
      <c r="Z1531">
        <v>0</v>
      </c>
      <c r="AA1531">
        <v>9</v>
      </c>
      <c r="AB1531">
        <v>3</v>
      </c>
      <c r="AC1531">
        <v>0</v>
      </c>
      <c r="AD1531">
        <v>10</v>
      </c>
      <c r="AE1531">
        <v>0</v>
      </c>
      <c r="AF1531">
        <v>3</v>
      </c>
      <c r="AG1531">
        <v>2</v>
      </c>
      <c r="AH1531">
        <v>0</v>
      </c>
      <c r="AI1531" t="s">
        <v>1015</v>
      </c>
      <c r="AJ1531">
        <v>39.835825</v>
      </c>
      <c r="AK1531" t="s">
        <v>1016</v>
      </c>
      <c r="AL1531">
        <v>-92.530375000000006</v>
      </c>
      <c r="AM1531">
        <v>100</v>
      </c>
      <c r="AN1531">
        <v>1700</v>
      </c>
      <c r="AO1531" t="s">
        <v>118</v>
      </c>
      <c r="AP1531">
        <v>-27</v>
      </c>
      <c r="AQ1531">
        <v>117</v>
      </c>
      <c r="AR1531">
        <v>128</v>
      </c>
      <c r="AZ1531">
        <v>1200</v>
      </c>
      <c r="BA1531">
        <v>1</v>
      </c>
      <c r="BB1531" t="str">
        <f t="shared" si="72"/>
        <v xml:space="preserve">N8080G  </v>
      </c>
      <c r="BC1531">
        <v>1</v>
      </c>
      <c r="BE1531">
        <v>0</v>
      </c>
      <c r="BF1531">
        <v>0</v>
      </c>
      <c r="BG1531">
        <v>0</v>
      </c>
      <c r="BH1531">
        <v>1700</v>
      </c>
      <c r="BI1531">
        <v>1</v>
      </c>
      <c r="BJ1531">
        <v>1</v>
      </c>
      <c r="BK1531">
        <v>1</v>
      </c>
      <c r="BL1531">
        <v>0</v>
      </c>
      <c r="BO1531">
        <v>0</v>
      </c>
      <c r="BP1531">
        <v>0</v>
      </c>
      <c r="BW1531" t="str">
        <f>"20:21:26.318"</f>
        <v>20:21:26.318</v>
      </c>
      <c r="BZ1531">
        <v>0</v>
      </c>
      <c r="CA1531">
        <v>2016</v>
      </c>
      <c r="CB1531">
        <v>224</v>
      </c>
      <c r="CD1531">
        <v>1</v>
      </c>
      <c r="CE1531">
        <v>0</v>
      </c>
      <c r="CF1531">
        <v>0</v>
      </c>
      <c r="CG1531">
        <v>1</v>
      </c>
      <c r="CH1531">
        <v>0</v>
      </c>
      <c r="CI1531">
        <v>0</v>
      </c>
      <c r="CJ1531">
        <v>0</v>
      </c>
      <c r="CK1531">
        <v>2</v>
      </c>
      <c r="CL1531">
        <v>0</v>
      </c>
      <c r="CM1531">
        <v>2</v>
      </c>
      <c r="CN1531">
        <v>0</v>
      </c>
      <c r="CO1531">
        <v>7</v>
      </c>
      <c r="CP1531" t="s">
        <v>119</v>
      </c>
      <c r="CQ1531">
        <v>180</v>
      </c>
      <c r="CR1531">
        <v>1</v>
      </c>
      <c r="CW1531">
        <v>10800476</v>
      </c>
      <c r="CY1531">
        <v>1</v>
      </c>
      <c r="CZ1531">
        <v>0</v>
      </c>
      <c r="DA1531">
        <v>0</v>
      </c>
      <c r="DB1531">
        <v>0</v>
      </c>
      <c r="DC1531">
        <v>0</v>
      </c>
      <c r="DD1531">
        <v>0</v>
      </c>
      <c r="DE1531">
        <v>0</v>
      </c>
      <c r="DF1531">
        <v>0</v>
      </c>
      <c r="DG1531">
        <v>0</v>
      </c>
      <c r="DH1531">
        <v>0</v>
      </c>
      <c r="DI1531">
        <v>0</v>
      </c>
    </row>
    <row r="1532" spans="1:113" x14ac:dyDescent="0.3">
      <c r="A1532" t="str">
        <f>"02/08/2021 20:21:24.010"</f>
        <v>02/08/2021 20:21:24.010</v>
      </c>
      <c r="C1532" t="str">
        <f t="shared" si="71"/>
        <v>FFDFD7C0</v>
      </c>
      <c r="D1532" t="s">
        <v>113</v>
      </c>
      <c r="E1532">
        <v>6</v>
      </c>
      <c r="H1532">
        <v>165</v>
      </c>
      <c r="I1532" t="s">
        <v>114</v>
      </c>
      <c r="J1532" t="s">
        <v>115</v>
      </c>
      <c r="K1532">
        <v>0</v>
      </c>
      <c r="L1532">
        <v>3</v>
      </c>
      <c r="M1532">
        <v>0</v>
      </c>
      <c r="N1532">
        <v>2</v>
      </c>
      <c r="O1532">
        <v>1</v>
      </c>
      <c r="P1532">
        <v>0</v>
      </c>
      <c r="Q1532">
        <v>0</v>
      </c>
      <c r="S1532" t="str">
        <f>"20:21:26.313"</f>
        <v>20:21:26.313</v>
      </c>
      <c r="T1532" t="str">
        <f>"20:21:25.913"</f>
        <v>20:21:25.913</v>
      </c>
      <c r="U1532" t="str">
        <f t="shared" si="70"/>
        <v>AB01F4</v>
      </c>
      <c r="V1532">
        <v>0</v>
      </c>
      <c r="W1532">
        <v>0</v>
      </c>
      <c r="X1532">
        <v>2</v>
      </c>
      <c r="Z1532">
        <v>0</v>
      </c>
      <c r="AA1532">
        <v>9</v>
      </c>
      <c r="AB1532">
        <v>3</v>
      </c>
      <c r="AC1532">
        <v>0</v>
      </c>
      <c r="AD1532">
        <v>10</v>
      </c>
      <c r="AE1532">
        <v>0</v>
      </c>
      <c r="AF1532">
        <v>3</v>
      </c>
      <c r="AG1532">
        <v>2</v>
      </c>
      <c r="AH1532">
        <v>0</v>
      </c>
      <c r="AI1532" t="s">
        <v>1015</v>
      </c>
      <c r="AJ1532">
        <v>39.835825</v>
      </c>
      <c r="AK1532" t="s">
        <v>1016</v>
      </c>
      <c r="AL1532">
        <v>-92.530375000000006</v>
      </c>
      <c r="AM1532">
        <v>100</v>
      </c>
      <c r="AN1532">
        <v>1700</v>
      </c>
      <c r="AO1532" t="s">
        <v>118</v>
      </c>
      <c r="AP1532">
        <v>-27</v>
      </c>
      <c r="AQ1532">
        <v>117</v>
      </c>
      <c r="AR1532">
        <v>128</v>
      </c>
      <c r="AZ1532">
        <v>1200</v>
      </c>
      <c r="BA1532">
        <v>1</v>
      </c>
      <c r="BB1532" t="str">
        <f t="shared" si="72"/>
        <v xml:space="preserve">N8080G  </v>
      </c>
      <c r="BC1532">
        <v>1</v>
      </c>
      <c r="BE1532">
        <v>0</v>
      </c>
      <c r="BF1532">
        <v>0</v>
      </c>
      <c r="BG1532">
        <v>0</v>
      </c>
      <c r="BH1532">
        <v>1700</v>
      </c>
      <c r="BI1532">
        <v>1</v>
      </c>
      <c r="BJ1532">
        <v>1</v>
      </c>
      <c r="BK1532">
        <v>1</v>
      </c>
      <c r="BL1532">
        <v>0</v>
      </c>
      <c r="BO1532">
        <v>0</v>
      </c>
      <c r="BP1532">
        <v>0</v>
      </c>
      <c r="BW1532" t="str">
        <f>"20:21:26.318"</f>
        <v>20:21:26.318</v>
      </c>
      <c r="BZ1532">
        <v>0</v>
      </c>
      <c r="CA1532">
        <v>2016</v>
      </c>
      <c r="CB1532">
        <v>224</v>
      </c>
      <c r="CD1532">
        <v>1</v>
      </c>
      <c r="CE1532">
        <v>0</v>
      </c>
      <c r="CF1532">
        <v>0</v>
      </c>
      <c r="CG1532">
        <v>1</v>
      </c>
      <c r="CH1532">
        <v>0</v>
      </c>
      <c r="CI1532">
        <v>0</v>
      </c>
      <c r="CJ1532">
        <v>0</v>
      </c>
      <c r="CK1532">
        <v>2</v>
      </c>
      <c r="CL1532">
        <v>0</v>
      </c>
      <c r="CM1532">
        <v>2</v>
      </c>
      <c r="CN1532">
        <v>0</v>
      </c>
      <c r="CO1532">
        <v>7</v>
      </c>
      <c r="CP1532" t="s">
        <v>119</v>
      </c>
      <c r="CQ1532">
        <v>180</v>
      </c>
      <c r="CR1532">
        <v>1</v>
      </c>
      <c r="CW1532">
        <v>10800476</v>
      </c>
      <c r="CY1532">
        <v>1</v>
      </c>
      <c r="CZ1532">
        <v>0</v>
      </c>
      <c r="DA1532">
        <v>1</v>
      </c>
      <c r="DB1532">
        <v>0</v>
      </c>
      <c r="DC1532">
        <v>0</v>
      </c>
      <c r="DD1532">
        <v>0</v>
      </c>
      <c r="DE1532">
        <v>0</v>
      </c>
      <c r="DF1532">
        <v>0</v>
      </c>
      <c r="DG1532">
        <v>0</v>
      </c>
      <c r="DH1532">
        <v>0</v>
      </c>
      <c r="DI1532">
        <v>0</v>
      </c>
    </row>
    <row r="1533" spans="1:113" x14ac:dyDescent="0.3">
      <c r="A1533" t="str">
        <f>"02/08/2021 20:21:24.010"</f>
        <v>02/08/2021 20:21:24.010</v>
      </c>
      <c r="C1533" t="str">
        <f t="shared" si="71"/>
        <v>FFDFD7C0</v>
      </c>
      <c r="D1533" t="s">
        <v>124</v>
      </c>
      <c r="E1533">
        <v>13</v>
      </c>
      <c r="F1533">
        <v>1013</v>
      </c>
      <c r="G1533" t="s">
        <v>114</v>
      </c>
      <c r="J1533" t="s">
        <v>125</v>
      </c>
      <c r="K1533">
        <v>0</v>
      </c>
      <c r="L1533">
        <v>3</v>
      </c>
      <c r="M1533">
        <v>0</v>
      </c>
      <c r="N1533">
        <v>2</v>
      </c>
      <c r="O1533">
        <v>1</v>
      </c>
      <c r="P1533">
        <v>0</v>
      </c>
      <c r="Q1533">
        <v>0</v>
      </c>
      <c r="S1533" t="str">
        <f>"20:21:26.313"</f>
        <v>20:21:26.313</v>
      </c>
      <c r="T1533" t="str">
        <f>"20:21:25.913"</f>
        <v>20:21:25.913</v>
      </c>
      <c r="U1533" t="str">
        <f t="shared" si="70"/>
        <v>AB01F4</v>
      </c>
      <c r="V1533">
        <v>0</v>
      </c>
      <c r="W1533">
        <v>0</v>
      </c>
      <c r="X1533">
        <v>2</v>
      </c>
      <c r="Z1533">
        <v>0</v>
      </c>
      <c r="AA1533">
        <v>9</v>
      </c>
      <c r="AB1533">
        <v>3</v>
      </c>
      <c r="AC1533">
        <v>0</v>
      </c>
      <c r="AD1533">
        <v>10</v>
      </c>
      <c r="AE1533">
        <v>0</v>
      </c>
      <c r="AF1533">
        <v>3</v>
      </c>
      <c r="AG1533">
        <v>2</v>
      </c>
      <c r="AH1533">
        <v>0</v>
      </c>
      <c r="AI1533" t="s">
        <v>1015</v>
      </c>
      <c r="AJ1533">
        <v>39.835825</v>
      </c>
      <c r="AK1533" t="s">
        <v>1016</v>
      </c>
      <c r="AL1533">
        <v>-92.530375000000006</v>
      </c>
      <c r="AM1533">
        <v>100</v>
      </c>
      <c r="AN1533">
        <v>1700</v>
      </c>
      <c r="AO1533" t="s">
        <v>118</v>
      </c>
      <c r="AP1533">
        <v>-27</v>
      </c>
      <c r="AQ1533">
        <v>117</v>
      </c>
      <c r="AR1533">
        <v>128</v>
      </c>
      <c r="AZ1533">
        <v>1200</v>
      </c>
      <c r="BA1533">
        <v>1</v>
      </c>
      <c r="BB1533" t="str">
        <f t="shared" si="72"/>
        <v xml:space="preserve">N8080G  </v>
      </c>
      <c r="BC1533">
        <v>1</v>
      </c>
      <c r="BE1533">
        <v>0</v>
      </c>
      <c r="BF1533">
        <v>0</v>
      </c>
      <c r="BG1533">
        <v>0</v>
      </c>
      <c r="BH1533">
        <v>1700</v>
      </c>
      <c r="BI1533">
        <v>1</v>
      </c>
      <c r="BJ1533">
        <v>1</v>
      </c>
      <c r="BK1533">
        <v>1</v>
      </c>
      <c r="BL1533">
        <v>0</v>
      </c>
      <c r="BO1533">
        <v>0</v>
      </c>
      <c r="BP1533">
        <v>0</v>
      </c>
      <c r="BW1533" t="str">
        <f>"20:21:26.318"</f>
        <v>20:21:26.318</v>
      </c>
      <c r="BZ1533">
        <v>0</v>
      </c>
      <c r="CA1533">
        <v>2016</v>
      </c>
      <c r="CB1533">
        <v>224</v>
      </c>
      <c r="CD1533">
        <v>1</v>
      </c>
      <c r="CE1533">
        <v>0</v>
      </c>
      <c r="CF1533">
        <v>0</v>
      </c>
      <c r="CG1533">
        <v>1</v>
      </c>
      <c r="CH1533">
        <v>0</v>
      </c>
      <c r="CI1533">
        <v>0</v>
      </c>
      <c r="CJ1533">
        <v>0</v>
      </c>
      <c r="CK1533">
        <v>2</v>
      </c>
      <c r="CL1533">
        <v>0</v>
      </c>
      <c r="CM1533">
        <v>2</v>
      </c>
      <c r="CN1533">
        <v>0</v>
      </c>
      <c r="CO1533">
        <v>7</v>
      </c>
      <c r="CP1533" t="s">
        <v>119</v>
      </c>
      <c r="CQ1533">
        <v>180</v>
      </c>
      <c r="CR1533">
        <v>1</v>
      </c>
      <c r="CW1533">
        <v>10800476</v>
      </c>
      <c r="CY1533">
        <v>1</v>
      </c>
      <c r="CZ1533">
        <v>0</v>
      </c>
      <c r="DA1533">
        <v>1</v>
      </c>
      <c r="DB1533">
        <v>0</v>
      </c>
      <c r="DC1533">
        <v>0</v>
      </c>
      <c r="DD1533">
        <v>0</v>
      </c>
      <c r="DE1533">
        <v>0</v>
      </c>
      <c r="DF1533">
        <v>0</v>
      </c>
      <c r="DG1533">
        <v>0</v>
      </c>
      <c r="DH1533">
        <v>0</v>
      </c>
      <c r="DI1533">
        <v>0</v>
      </c>
    </row>
    <row r="1534" spans="1:113" x14ac:dyDescent="0.3">
      <c r="A1534" t="str">
        <f>"02/08/2021 20:21:24.010"</f>
        <v>02/08/2021 20:21:24.010</v>
      </c>
      <c r="C1534" t="str">
        <f t="shared" si="71"/>
        <v>FFDFD7C0</v>
      </c>
      <c r="D1534" t="s">
        <v>124</v>
      </c>
      <c r="E1534">
        <v>11</v>
      </c>
      <c r="F1534">
        <v>1011</v>
      </c>
      <c r="G1534" t="s">
        <v>590</v>
      </c>
      <c r="J1534" t="s">
        <v>125</v>
      </c>
      <c r="K1534">
        <v>0</v>
      </c>
      <c r="L1534">
        <v>3</v>
      </c>
      <c r="M1534">
        <v>0</v>
      </c>
      <c r="N1534">
        <v>2</v>
      </c>
      <c r="O1534">
        <v>1</v>
      </c>
      <c r="P1534">
        <v>0</v>
      </c>
      <c r="Q1534">
        <v>0</v>
      </c>
      <c r="S1534" t="str">
        <f>"20:21:26.313"</f>
        <v>20:21:26.313</v>
      </c>
      <c r="T1534" t="str">
        <f>"20:21:25.913"</f>
        <v>20:21:25.913</v>
      </c>
      <c r="U1534" t="str">
        <f t="shared" si="70"/>
        <v>AB01F4</v>
      </c>
      <c r="V1534">
        <v>0</v>
      </c>
      <c r="W1534">
        <v>0</v>
      </c>
      <c r="X1534">
        <v>2</v>
      </c>
      <c r="Z1534">
        <v>0</v>
      </c>
      <c r="AA1534">
        <v>9</v>
      </c>
      <c r="AB1534">
        <v>3</v>
      </c>
      <c r="AC1534">
        <v>0</v>
      </c>
      <c r="AD1534">
        <v>10</v>
      </c>
      <c r="AE1534">
        <v>0</v>
      </c>
      <c r="AF1534">
        <v>3</v>
      </c>
      <c r="AG1534">
        <v>2</v>
      </c>
      <c r="AH1534">
        <v>0</v>
      </c>
      <c r="AI1534" t="s">
        <v>1015</v>
      </c>
      <c r="AJ1534">
        <v>39.835825</v>
      </c>
      <c r="AK1534" t="s">
        <v>1016</v>
      </c>
      <c r="AL1534">
        <v>-92.530375000000006</v>
      </c>
      <c r="AM1534">
        <v>100</v>
      </c>
      <c r="AN1534">
        <v>1700</v>
      </c>
      <c r="AO1534" t="s">
        <v>118</v>
      </c>
      <c r="AP1534">
        <v>-27</v>
      </c>
      <c r="AQ1534">
        <v>117</v>
      </c>
      <c r="AR1534">
        <v>128</v>
      </c>
      <c r="AZ1534">
        <v>1200</v>
      </c>
      <c r="BA1534">
        <v>1</v>
      </c>
      <c r="BB1534" t="str">
        <f t="shared" si="72"/>
        <v xml:space="preserve">N8080G  </v>
      </c>
      <c r="BC1534">
        <v>1</v>
      </c>
      <c r="BE1534">
        <v>0</v>
      </c>
      <c r="BF1534">
        <v>0</v>
      </c>
      <c r="BG1534">
        <v>0</v>
      </c>
      <c r="BH1534">
        <v>1700</v>
      </c>
      <c r="BI1534">
        <v>1</v>
      </c>
      <c r="BJ1534">
        <v>1</v>
      </c>
      <c r="BK1534">
        <v>1</v>
      </c>
      <c r="BL1534">
        <v>0</v>
      </c>
      <c r="BO1534">
        <v>0</v>
      </c>
      <c r="BP1534">
        <v>0</v>
      </c>
      <c r="BW1534" t="str">
        <f>"20:21:26.318"</f>
        <v>20:21:26.318</v>
      </c>
      <c r="BZ1534">
        <v>0</v>
      </c>
      <c r="CA1534">
        <v>2016</v>
      </c>
      <c r="CB1534">
        <v>224</v>
      </c>
      <c r="CD1534">
        <v>1</v>
      </c>
      <c r="CE1534">
        <v>0</v>
      </c>
      <c r="CF1534">
        <v>0</v>
      </c>
      <c r="CG1534">
        <v>1</v>
      </c>
      <c r="CH1534">
        <v>0</v>
      </c>
      <c r="CI1534">
        <v>0</v>
      </c>
      <c r="CJ1534">
        <v>0</v>
      </c>
      <c r="CK1534">
        <v>2</v>
      </c>
      <c r="CL1534">
        <v>0</v>
      </c>
      <c r="CM1534">
        <v>2</v>
      </c>
      <c r="CN1534">
        <v>0</v>
      </c>
      <c r="CO1534">
        <v>7</v>
      </c>
      <c r="CP1534" t="s">
        <v>119</v>
      </c>
      <c r="CQ1534">
        <v>180</v>
      </c>
      <c r="CR1534">
        <v>1</v>
      </c>
      <c r="CW1534">
        <v>10800476</v>
      </c>
      <c r="CY1534">
        <v>1</v>
      </c>
      <c r="CZ1534">
        <v>0</v>
      </c>
      <c r="DA1534">
        <v>1</v>
      </c>
      <c r="DB1534">
        <v>0</v>
      </c>
      <c r="DC1534">
        <v>0</v>
      </c>
      <c r="DD1534">
        <v>0</v>
      </c>
      <c r="DE1534">
        <v>0</v>
      </c>
      <c r="DF1534">
        <v>0</v>
      </c>
      <c r="DG1534">
        <v>0</v>
      </c>
      <c r="DH1534">
        <v>0</v>
      </c>
      <c r="DI1534">
        <v>0</v>
      </c>
    </row>
    <row r="1535" spans="1:113" x14ac:dyDescent="0.3">
      <c r="A1535" t="str">
        <f>"02/08/2021 20:21:27.078"</f>
        <v>02/08/2021 20:21:27.078</v>
      </c>
      <c r="C1535" t="str">
        <f t="shared" si="71"/>
        <v>FFDFD7C0</v>
      </c>
      <c r="D1535" t="s">
        <v>124</v>
      </c>
      <c r="E1535">
        <v>12</v>
      </c>
      <c r="F1535">
        <v>1012</v>
      </c>
      <c r="G1535" t="s">
        <v>675</v>
      </c>
      <c r="J1535" t="s">
        <v>125</v>
      </c>
      <c r="K1535">
        <v>0</v>
      </c>
      <c r="L1535">
        <v>3</v>
      </c>
      <c r="M1535">
        <v>0</v>
      </c>
      <c r="N1535">
        <v>2</v>
      </c>
      <c r="O1535">
        <v>1</v>
      </c>
      <c r="P1535">
        <v>0</v>
      </c>
      <c r="Q1535">
        <v>0</v>
      </c>
      <c r="S1535" t="str">
        <f>"20:21:29.422"</f>
        <v>20:21:29.422</v>
      </c>
      <c r="T1535" t="str">
        <f>"20:21:29.022"</f>
        <v>20:21:29.022</v>
      </c>
      <c r="U1535" t="str">
        <f t="shared" si="70"/>
        <v>AB01F4</v>
      </c>
      <c r="V1535">
        <v>0</v>
      </c>
      <c r="W1535">
        <v>0</v>
      </c>
      <c r="X1535">
        <v>2</v>
      </c>
      <c r="Z1535">
        <v>0</v>
      </c>
      <c r="AA1535">
        <v>9</v>
      </c>
      <c r="AB1535">
        <v>3</v>
      </c>
      <c r="AC1535">
        <v>0</v>
      </c>
      <c r="AD1535">
        <v>10</v>
      </c>
      <c r="AE1535">
        <v>0</v>
      </c>
      <c r="AF1535">
        <v>3</v>
      </c>
      <c r="AG1535">
        <v>2</v>
      </c>
      <c r="AH1535">
        <v>0</v>
      </c>
      <c r="AI1535" t="s">
        <v>1017</v>
      </c>
      <c r="AJ1535">
        <v>39.837499000000001</v>
      </c>
      <c r="AK1535" t="s">
        <v>1018</v>
      </c>
      <c r="AL1535">
        <v>-92.530889999999999</v>
      </c>
      <c r="AM1535">
        <v>100</v>
      </c>
      <c r="AN1535">
        <v>1700</v>
      </c>
      <c r="AO1535" t="s">
        <v>118</v>
      </c>
      <c r="AP1535">
        <v>-27</v>
      </c>
      <c r="AQ1535">
        <v>117</v>
      </c>
      <c r="AR1535">
        <v>64</v>
      </c>
      <c r="AZ1535">
        <v>1200</v>
      </c>
      <c r="BA1535">
        <v>1</v>
      </c>
      <c r="BB1535" t="str">
        <f t="shared" si="72"/>
        <v xml:space="preserve">N8080G  </v>
      </c>
      <c r="BC1535">
        <v>1</v>
      </c>
      <c r="BE1535">
        <v>0</v>
      </c>
      <c r="BF1535">
        <v>0</v>
      </c>
      <c r="BG1535">
        <v>0</v>
      </c>
      <c r="BH1535">
        <v>1700</v>
      </c>
      <c r="BI1535">
        <v>1</v>
      </c>
      <c r="BJ1535">
        <v>1</v>
      </c>
      <c r="BK1535">
        <v>1</v>
      </c>
      <c r="BL1535">
        <v>0</v>
      </c>
      <c r="BO1535">
        <v>0</v>
      </c>
      <c r="BP1535">
        <v>0</v>
      </c>
      <c r="BW1535" t="str">
        <f>"20:21:29.424"</f>
        <v>20:21:29.424</v>
      </c>
      <c r="BZ1535">
        <v>0</v>
      </c>
      <c r="CA1535">
        <v>2016</v>
      </c>
      <c r="CB1535">
        <v>224</v>
      </c>
      <c r="CD1535">
        <v>1</v>
      </c>
      <c r="CE1535">
        <v>0</v>
      </c>
      <c r="CF1535">
        <v>0</v>
      </c>
      <c r="CG1535">
        <v>1</v>
      </c>
      <c r="CH1535">
        <v>0</v>
      </c>
      <c r="CI1535">
        <v>0</v>
      </c>
      <c r="CJ1535">
        <v>0</v>
      </c>
      <c r="CK1535">
        <v>2</v>
      </c>
      <c r="CL1535">
        <v>0</v>
      </c>
      <c r="CM1535">
        <v>2</v>
      </c>
      <c r="CN1535">
        <v>0</v>
      </c>
      <c r="CO1535">
        <v>7</v>
      </c>
      <c r="CP1535" t="s">
        <v>119</v>
      </c>
      <c r="CQ1535">
        <v>180</v>
      </c>
      <c r="CR1535">
        <v>1</v>
      </c>
      <c r="CW1535">
        <v>10803162</v>
      </c>
      <c r="CY1535">
        <v>1</v>
      </c>
      <c r="CZ1535">
        <v>0</v>
      </c>
      <c r="DA1535">
        <v>0</v>
      </c>
      <c r="DB1535">
        <v>0</v>
      </c>
      <c r="DC1535">
        <v>0</v>
      </c>
      <c r="DD1535">
        <v>0</v>
      </c>
      <c r="DE1535">
        <v>0</v>
      </c>
      <c r="DF1535">
        <v>0</v>
      </c>
      <c r="DG1535">
        <v>0</v>
      </c>
      <c r="DH1535">
        <v>0</v>
      </c>
      <c r="DI1535">
        <v>0</v>
      </c>
    </row>
    <row r="1536" spans="1:113" x14ac:dyDescent="0.3">
      <c r="A1536" t="str">
        <f>"02/08/2021 20:21:27.078"</f>
        <v>02/08/2021 20:21:27.078</v>
      </c>
      <c r="C1536" t="str">
        <f t="shared" si="71"/>
        <v>FFDFD7C0</v>
      </c>
      <c r="D1536" t="s">
        <v>113</v>
      </c>
      <c r="E1536">
        <v>6</v>
      </c>
      <c r="H1536">
        <v>165</v>
      </c>
      <c r="I1536" t="s">
        <v>114</v>
      </c>
      <c r="J1536" t="s">
        <v>115</v>
      </c>
      <c r="K1536">
        <v>0</v>
      </c>
      <c r="L1536">
        <v>3</v>
      </c>
      <c r="M1536">
        <v>0</v>
      </c>
      <c r="N1536">
        <v>2</v>
      </c>
      <c r="O1536">
        <v>1</v>
      </c>
      <c r="P1536">
        <v>0</v>
      </c>
      <c r="Q1536">
        <v>0</v>
      </c>
      <c r="S1536" t="str">
        <f>"20:21:29.422"</f>
        <v>20:21:29.422</v>
      </c>
      <c r="T1536" t="str">
        <f>"20:21:29.022"</f>
        <v>20:21:29.022</v>
      </c>
      <c r="U1536" t="str">
        <f t="shared" si="70"/>
        <v>AB01F4</v>
      </c>
      <c r="V1536">
        <v>0</v>
      </c>
      <c r="W1536">
        <v>0</v>
      </c>
      <c r="X1536">
        <v>2</v>
      </c>
      <c r="Z1536">
        <v>0</v>
      </c>
      <c r="AA1536">
        <v>9</v>
      </c>
      <c r="AB1536">
        <v>3</v>
      </c>
      <c r="AC1536">
        <v>0</v>
      </c>
      <c r="AD1536">
        <v>10</v>
      </c>
      <c r="AE1536">
        <v>0</v>
      </c>
      <c r="AF1536">
        <v>3</v>
      </c>
      <c r="AG1536">
        <v>2</v>
      </c>
      <c r="AH1536">
        <v>0</v>
      </c>
      <c r="AI1536" t="s">
        <v>1017</v>
      </c>
      <c r="AJ1536">
        <v>39.837499000000001</v>
      </c>
      <c r="AK1536" t="s">
        <v>1018</v>
      </c>
      <c r="AL1536">
        <v>-92.530889999999999</v>
      </c>
      <c r="AM1536">
        <v>100</v>
      </c>
      <c r="AN1536">
        <v>1700</v>
      </c>
      <c r="AO1536" t="s">
        <v>118</v>
      </c>
      <c r="AP1536">
        <v>-27</v>
      </c>
      <c r="AQ1536">
        <v>117</v>
      </c>
      <c r="AR1536">
        <v>64</v>
      </c>
      <c r="AZ1536">
        <v>1200</v>
      </c>
      <c r="BA1536">
        <v>1</v>
      </c>
      <c r="BB1536" t="str">
        <f t="shared" si="72"/>
        <v xml:space="preserve">N8080G  </v>
      </c>
      <c r="BC1536">
        <v>1</v>
      </c>
      <c r="BE1536">
        <v>0</v>
      </c>
      <c r="BF1536">
        <v>0</v>
      </c>
      <c r="BG1536">
        <v>0</v>
      </c>
      <c r="BH1536">
        <v>1700</v>
      </c>
      <c r="BI1536">
        <v>1</v>
      </c>
      <c r="BJ1536">
        <v>1</v>
      </c>
      <c r="BK1536">
        <v>1</v>
      </c>
      <c r="BL1536">
        <v>0</v>
      </c>
      <c r="BO1536">
        <v>0</v>
      </c>
      <c r="BP1536">
        <v>0</v>
      </c>
      <c r="BW1536" t="str">
        <f>"20:21:29.424"</f>
        <v>20:21:29.424</v>
      </c>
      <c r="BZ1536">
        <v>0</v>
      </c>
      <c r="CA1536">
        <v>2016</v>
      </c>
      <c r="CB1536">
        <v>224</v>
      </c>
      <c r="CD1536">
        <v>1</v>
      </c>
      <c r="CE1536">
        <v>0</v>
      </c>
      <c r="CF1536">
        <v>0</v>
      </c>
      <c r="CG1536">
        <v>1</v>
      </c>
      <c r="CH1536">
        <v>0</v>
      </c>
      <c r="CI1536">
        <v>0</v>
      </c>
      <c r="CJ1536">
        <v>0</v>
      </c>
      <c r="CK1536">
        <v>2</v>
      </c>
      <c r="CL1536">
        <v>0</v>
      </c>
      <c r="CM1536">
        <v>2</v>
      </c>
      <c r="CN1536">
        <v>0</v>
      </c>
      <c r="CO1536">
        <v>7</v>
      </c>
      <c r="CP1536" t="s">
        <v>119</v>
      </c>
      <c r="CQ1536">
        <v>180</v>
      </c>
      <c r="CR1536">
        <v>1</v>
      </c>
      <c r="CW1536">
        <v>10803162</v>
      </c>
      <c r="CY1536">
        <v>1</v>
      </c>
      <c r="CZ1536">
        <v>0</v>
      </c>
      <c r="DA1536">
        <v>1</v>
      </c>
      <c r="DB1536">
        <v>0</v>
      </c>
      <c r="DC1536">
        <v>0</v>
      </c>
      <c r="DD1536">
        <v>0</v>
      </c>
      <c r="DE1536">
        <v>0</v>
      </c>
      <c r="DF1536">
        <v>0</v>
      </c>
      <c r="DG1536">
        <v>0</v>
      </c>
      <c r="DH1536">
        <v>0</v>
      </c>
      <c r="DI1536">
        <v>0</v>
      </c>
    </row>
    <row r="1537" spans="1:113" x14ac:dyDescent="0.3">
      <c r="A1537" t="str">
        <f>"02/08/2021 20:21:27.078"</f>
        <v>02/08/2021 20:21:27.078</v>
      </c>
      <c r="C1537" t="str">
        <f t="shared" si="71"/>
        <v>FFDFD7C0</v>
      </c>
      <c r="D1537" t="s">
        <v>124</v>
      </c>
      <c r="E1537">
        <v>11</v>
      </c>
      <c r="F1537">
        <v>1011</v>
      </c>
      <c r="G1537" t="s">
        <v>590</v>
      </c>
      <c r="J1537" t="s">
        <v>125</v>
      </c>
      <c r="K1537">
        <v>0</v>
      </c>
      <c r="L1537">
        <v>3</v>
      </c>
      <c r="M1537">
        <v>0</v>
      </c>
      <c r="N1537">
        <v>2</v>
      </c>
      <c r="O1537">
        <v>1</v>
      </c>
      <c r="P1537">
        <v>0</v>
      </c>
      <c r="Q1537">
        <v>0</v>
      </c>
      <c r="S1537" t="str">
        <f>"20:21:29.422"</f>
        <v>20:21:29.422</v>
      </c>
      <c r="T1537" t="str">
        <f>"20:21:29.022"</f>
        <v>20:21:29.022</v>
      </c>
      <c r="U1537" t="str">
        <f t="shared" si="70"/>
        <v>AB01F4</v>
      </c>
      <c r="V1537">
        <v>0</v>
      </c>
      <c r="W1537">
        <v>0</v>
      </c>
      <c r="X1537">
        <v>2</v>
      </c>
      <c r="Z1537">
        <v>0</v>
      </c>
      <c r="AA1537">
        <v>9</v>
      </c>
      <c r="AB1537">
        <v>3</v>
      </c>
      <c r="AC1537">
        <v>0</v>
      </c>
      <c r="AD1537">
        <v>10</v>
      </c>
      <c r="AE1537">
        <v>0</v>
      </c>
      <c r="AF1537">
        <v>3</v>
      </c>
      <c r="AG1537">
        <v>2</v>
      </c>
      <c r="AH1537">
        <v>0</v>
      </c>
      <c r="AI1537" t="s">
        <v>1017</v>
      </c>
      <c r="AJ1537">
        <v>39.837499000000001</v>
      </c>
      <c r="AK1537" t="s">
        <v>1018</v>
      </c>
      <c r="AL1537">
        <v>-92.530889999999999</v>
      </c>
      <c r="AM1537">
        <v>100</v>
      </c>
      <c r="AN1537">
        <v>1700</v>
      </c>
      <c r="AO1537" t="s">
        <v>118</v>
      </c>
      <c r="AP1537">
        <v>-27</v>
      </c>
      <c r="AQ1537">
        <v>117</v>
      </c>
      <c r="AR1537">
        <v>64</v>
      </c>
      <c r="AZ1537">
        <v>1200</v>
      </c>
      <c r="BA1537">
        <v>1</v>
      </c>
      <c r="BB1537" t="str">
        <f t="shared" si="72"/>
        <v xml:space="preserve">N8080G  </v>
      </c>
      <c r="BC1537">
        <v>1</v>
      </c>
      <c r="BE1537">
        <v>0</v>
      </c>
      <c r="BF1537">
        <v>0</v>
      </c>
      <c r="BG1537">
        <v>0</v>
      </c>
      <c r="BH1537">
        <v>1700</v>
      </c>
      <c r="BI1537">
        <v>1</v>
      </c>
      <c r="BJ1537">
        <v>1</v>
      </c>
      <c r="BK1537">
        <v>1</v>
      </c>
      <c r="BL1537">
        <v>0</v>
      </c>
      <c r="BO1537">
        <v>0</v>
      </c>
      <c r="BP1537">
        <v>0</v>
      </c>
      <c r="BW1537" t="str">
        <f>"20:21:29.424"</f>
        <v>20:21:29.424</v>
      </c>
      <c r="BZ1537">
        <v>0</v>
      </c>
      <c r="CA1537">
        <v>2016</v>
      </c>
      <c r="CB1537">
        <v>224</v>
      </c>
      <c r="CD1537">
        <v>1</v>
      </c>
      <c r="CE1537">
        <v>0</v>
      </c>
      <c r="CF1537">
        <v>0</v>
      </c>
      <c r="CG1537">
        <v>1</v>
      </c>
      <c r="CH1537">
        <v>0</v>
      </c>
      <c r="CI1537">
        <v>0</v>
      </c>
      <c r="CJ1537">
        <v>0</v>
      </c>
      <c r="CK1537">
        <v>2</v>
      </c>
      <c r="CL1537">
        <v>0</v>
      </c>
      <c r="CM1537">
        <v>2</v>
      </c>
      <c r="CN1537">
        <v>0</v>
      </c>
      <c r="CO1537">
        <v>7</v>
      </c>
      <c r="CP1537" t="s">
        <v>119</v>
      </c>
      <c r="CQ1537">
        <v>180</v>
      </c>
      <c r="CR1537">
        <v>1</v>
      </c>
      <c r="CW1537">
        <v>10803162</v>
      </c>
      <c r="CY1537">
        <v>1</v>
      </c>
      <c r="CZ1537">
        <v>0</v>
      </c>
      <c r="DA1537">
        <v>1</v>
      </c>
      <c r="DB1537">
        <v>0</v>
      </c>
      <c r="DC1537">
        <v>0</v>
      </c>
      <c r="DD1537">
        <v>0</v>
      </c>
      <c r="DE1537">
        <v>0</v>
      </c>
      <c r="DF1537">
        <v>0</v>
      </c>
      <c r="DG1537">
        <v>0</v>
      </c>
      <c r="DH1537">
        <v>0</v>
      </c>
      <c r="DI1537">
        <v>0</v>
      </c>
    </row>
    <row r="1538" spans="1:113" x14ac:dyDescent="0.3">
      <c r="A1538" t="str">
        <f>"02/08/2021 20:21:27.078"</f>
        <v>02/08/2021 20:21:27.078</v>
      </c>
      <c r="C1538" t="str">
        <f t="shared" si="71"/>
        <v>FFDFD7C0</v>
      </c>
      <c r="D1538" t="s">
        <v>124</v>
      </c>
      <c r="E1538">
        <v>13</v>
      </c>
      <c r="F1538">
        <v>1013</v>
      </c>
      <c r="G1538" t="s">
        <v>114</v>
      </c>
      <c r="J1538" t="s">
        <v>125</v>
      </c>
      <c r="K1538">
        <v>0</v>
      </c>
      <c r="L1538">
        <v>3</v>
      </c>
      <c r="M1538">
        <v>0</v>
      </c>
      <c r="N1538">
        <v>2</v>
      </c>
      <c r="O1538">
        <v>1</v>
      </c>
      <c r="P1538">
        <v>0</v>
      </c>
      <c r="Q1538">
        <v>0</v>
      </c>
      <c r="S1538" t="str">
        <f>"20:21:29.422"</f>
        <v>20:21:29.422</v>
      </c>
      <c r="T1538" t="str">
        <f>"20:21:29.022"</f>
        <v>20:21:29.022</v>
      </c>
      <c r="U1538" t="str">
        <f t="shared" ref="U1538:U1601" si="73">"AB01F4"</f>
        <v>AB01F4</v>
      </c>
      <c r="V1538">
        <v>0</v>
      </c>
      <c r="W1538">
        <v>0</v>
      </c>
      <c r="X1538">
        <v>2</v>
      </c>
      <c r="Z1538">
        <v>0</v>
      </c>
      <c r="AA1538">
        <v>9</v>
      </c>
      <c r="AB1538">
        <v>3</v>
      </c>
      <c r="AC1538">
        <v>0</v>
      </c>
      <c r="AD1538">
        <v>10</v>
      </c>
      <c r="AE1538">
        <v>0</v>
      </c>
      <c r="AF1538">
        <v>3</v>
      </c>
      <c r="AG1538">
        <v>2</v>
      </c>
      <c r="AH1538">
        <v>0</v>
      </c>
      <c r="AI1538" t="s">
        <v>1017</v>
      </c>
      <c r="AJ1538">
        <v>39.837499000000001</v>
      </c>
      <c r="AK1538" t="s">
        <v>1018</v>
      </c>
      <c r="AL1538">
        <v>-92.530889999999999</v>
      </c>
      <c r="AM1538">
        <v>100</v>
      </c>
      <c r="AN1538">
        <v>1700</v>
      </c>
      <c r="AO1538" t="s">
        <v>118</v>
      </c>
      <c r="AP1538">
        <v>-27</v>
      </c>
      <c r="AQ1538">
        <v>117</v>
      </c>
      <c r="AR1538">
        <v>64</v>
      </c>
      <c r="AZ1538">
        <v>1200</v>
      </c>
      <c r="BA1538">
        <v>1</v>
      </c>
      <c r="BB1538" t="str">
        <f t="shared" si="72"/>
        <v xml:space="preserve">N8080G  </v>
      </c>
      <c r="BC1538">
        <v>1</v>
      </c>
      <c r="BE1538">
        <v>0</v>
      </c>
      <c r="BF1538">
        <v>0</v>
      </c>
      <c r="BG1538">
        <v>0</v>
      </c>
      <c r="BH1538">
        <v>1700</v>
      </c>
      <c r="BI1538">
        <v>1</v>
      </c>
      <c r="BJ1538">
        <v>1</v>
      </c>
      <c r="BK1538">
        <v>1</v>
      </c>
      <c r="BL1538">
        <v>0</v>
      </c>
      <c r="BO1538">
        <v>0</v>
      </c>
      <c r="BP1538">
        <v>0</v>
      </c>
      <c r="BW1538" t="str">
        <f>"20:21:29.424"</f>
        <v>20:21:29.424</v>
      </c>
      <c r="BZ1538">
        <v>0</v>
      </c>
      <c r="CA1538">
        <v>2016</v>
      </c>
      <c r="CB1538">
        <v>224</v>
      </c>
      <c r="CD1538">
        <v>1</v>
      </c>
      <c r="CE1538">
        <v>0</v>
      </c>
      <c r="CF1538">
        <v>0</v>
      </c>
      <c r="CG1538">
        <v>1</v>
      </c>
      <c r="CH1538">
        <v>0</v>
      </c>
      <c r="CI1538">
        <v>0</v>
      </c>
      <c r="CJ1538">
        <v>0</v>
      </c>
      <c r="CK1538">
        <v>2</v>
      </c>
      <c r="CL1538">
        <v>0</v>
      </c>
      <c r="CM1538">
        <v>2</v>
      </c>
      <c r="CN1538">
        <v>0</v>
      </c>
      <c r="CO1538">
        <v>7</v>
      </c>
      <c r="CP1538" t="s">
        <v>119</v>
      </c>
      <c r="CQ1538">
        <v>180</v>
      </c>
      <c r="CR1538">
        <v>1</v>
      </c>
      <c r="CW1538">
        <v>10803162</v>
      </c>
      <c r="CY1538">
        <v>1</v>
      </c>
      <c r="CZ1538">
        <v>0</v>
      </c>
      <c r="DA1538">
        <v>1</v>
      </c>
      <c r="DB1538">
        <v>0</v>
      </c>
      <c r="DC1538">
        <v>0</v>
      </c>
      <c r="DD1538">
        <v>0</v>
      </c>
      <c r="DE1538">
        <v>0</v>
      </c>
      <c r="DF1538">
        <v>0</v>
      </c>
      <c r="DG1538">
        <v>0</v>
      </c>
      <c r="DH1538">
        <v>0</v>
      </c>
      <c r="DI1538">
        <v>0</v>
      </c>
    </row>
    <row r="1539" spans="1:113" x14ac:dyDescent="0.3">
      <c r="A1539" t="str">
        <f>"02/08/2021 20:21:28.618"</f>
        <v>02/08/2021 20:21:28.618</v>
      </c>
      <c r="C1539" t="str">
        <f t="shared" si="71"/>
        <v>FFDFD7C0</v>
      </c>
      <c r="D1539" t="s">
        <v>113</v>
      </c>
      <c r="E1539">
        <v>6</v>
      </c>
      <c r="H1539">
        <v>165</v>
      </c>
      <c r="I1539" t="s">
        <v>114</v>
      </c>
      <c r="J1539" t="s">
        <v>115</v>
      </c>
      <c r="K1539">
        <v>0</v>
      </c>
      <c r="L1539">
        <v>3</v>
      </c>
      <c r="M1539">
        <v>0</v>
      </c>
      <c r="N1539">
        <v>2</v>
      </c>
      <c r="O1539">
        <v>1</v>
      </c>
      <c r="P1539">
        <v>0</v>
      </c>
      <c r="Q1539">
        <v>0</v>
      </c>
      <c r="S1539" t="str">
        <f>"20:21:30.953"</f>
        <v>20:21:30.953</v>
      </c>
      <c r="T1539" t="str">
        <f>"20:21:30.553"</f>
        <v>20:21:30.553</v>
      </c>
      <c r="U1539" t="str">
        <f t="shared" si="73"/>
        <v>AB01F4</v>
      </c>
      <c r="V1539">
        <v>0</v>
      </c>
      <c r="W1539">
        <v>0</v>
      </c>
      <c r="X1539">
        <v>2</v>
      </c>
      <c r="Z1539">
        <v>0</v>
      </c>
      <c r="AA1539">
        <v>9</v>
      </c>
      <c r="AB1539">
        <v>3</v>
      </c>
      <c r="AC1539">
        <v>0</v>
      </c>
      <c r="AD1539">
        <v>10</v>
      </c>
      <c r="AE1539">
        <v>0</v>
      </c>
      <c r="AF1539">
        <v>3</v>
      </c>
      <c r="AG1539">
        <v>2</v>
      </c>
      <c r="AH1539">
        <v>0</v>
      </c>
      <c r="AI1539" t="s">
        <v>1019</v>
      </c>
      <c r="AJ1539">
        <v>39.838357000000002</v>
      </c>
      <c r="AK1539" t="s">
        <v>1020</v>
      </c>
      <c r="AL1539">
        <v>-92.531147000000004</v>
      </c>
      <c r="AM1539">
        <v>100</v>
      </c>
      <c r="AN1539">
        <v>1700</v>
      </c>
      <c r="AO1539" t="s">
        <v>118</v>
      </c>
      <c r="AP1539">
        <v>-28</v>
      </c>
      <c r="AQ1539">
        <v>117</v>
      </c>
      <c r="AR1539">
        <v>64</v>
      </c>
      <c r="AZ1539">
        <v>1200</v>
      </c>
      <c r="BA1539">
        <v>1</v>
      </c>
      <c r="BB1539" t="str">
        <f t="shared" si="72"/>
        <v xml:space="preserve">N8080G  </v>
      </c>
      <c r="BC1539">
        <v>1</v>
      </c>
      <c r="BE1539">
        <v>0</v>
      </c>
      <c r="BF1539">
        <v>0</v>
      </c>
      <c r="BG1539">
        <v>0</v>
      </c>
      <c r="BH1539">
        <v>1700</v>
      </c>
      <c r="BI1539">
        <v>1</v>
      </c>
      <c r="BJ1539">
        <v>1</v>
      </c>
      <c r="BK1539">
        <v>1</v>
      </c>
      <c r="BL1539">
        <v>0</v>
      </c>
      <c r="BO1539">
        <v>0</v>
      </c>
      <c r="BP1539">
        <v>0</v>
      </c>
      <c r="BW1539" t="str">
        <f>"20:21:30.959"</f>
        <v>20:21:30.959</v>
      </c>
      <c r="BZ1539">
        <v>0</v>
      </c>
      <c r="CA1539">
        <v>2016</v>
      </c>
      <c r="CB1539">
        <v>224</v>
      </c>
      <c r="CD1539">
        <v>1</v>
      </c>
      <c r="CE1539">
        <v>0</v>
      </c>
      <c r="CF1539">
        <v>0</v>
      </c>
      <c r="CG1539">
        <v>1</v>
      </c>
      <c r="CH1539">
        <v>0</v>
      </c>
      <c r="CI1539">
        <v>0</v>
      </c>
      <c r="CJ1539">
        <v>0</v>
      </c>
      <c r="CK1539">
        <v>2</v>
      </c>
      <c r="CL1539">
        <v>0</v>
      </c>
      <c r="CM1539">
        <v>2</v>
      </c>
      <c r="CN1539">
        <v>0</v>
      </c>
      <c r="CO1539">
        <v>7</v>
      </c>
      <c r="CP1539" t="s">
        <v>119</v>
      </c>
      <c r="CQ1539">
        <v>180</v>
      </c>
      <c r="CR1539">
        <v>1</v>
      </c>
      <c r="CW1539">
        <v>10804263</v>
      </c>
      <c r="CY1539">
        <v>1</v>
      </c>
      <c r="CZ1539">
        <v>0</v>
      </c>
      <c r="DA1539">
        <v>0</v>
      </c>
      <c r="DB1539">
        <v>0</v>
      </c>
      <c r="DC1539">
        <v>0</v>
      </c>
      <c r="DD1539">
        <v>0</v>
      </c>
      <c r="DE1539">
        <v>0</v>
      </c>
      <c r="DF1539">
        <v>0</v>
      </c>
      <c r="DG1539">
        <v>0</v>
      </c>
      <c r="DH1539">
        <v>0</v>
      </c>
      <c r="DI1539">
        <v>0</v>
      </c>
    </row>
    <row r="1540" spans="1:113" x14ac:dyDescent="0.3">
      <c r="A1540" t="str">
        <f>"02/08/2021 20:21:28.618"</f>
        <v>02/08/2021 20:21:28.618</v>
      </c>
      <c r="C1540" t="str">
        <f t="shared" si="71"/>
        <v>FFDFD7C0</v>
      </c>
      <c r="D1540" t="s">
        <v>124</v>
      </c>
      <c r="E1540">
        <v>13</v>
      </c>
      <c r="F1540">
        <v>1013</v>
      </c>
      <c r="G1540" t="s">
        <v>114</v>
      </c>
      <c r="J1540" t="s">
        <v>125</v>
      </c>
      <c r="K1540">
        <v>0</v>
      </c>
      <c r="L1540">
        <v>3</v>
      </c>
      <c r="M1540">
        <v>0</v>
      </c>
      <c r="N1540">
        <v>2</v>
      </c>
      <c r="O1540">
        <v>1</v>
      </c>
      <c r="P1540">
        <v>0</v>
      </c>
      <c r="Q1540">
        <v>0</v>
      </c>
      <c r="S1540" t="str">
        <f>"20:21:30.953"</f>
        <v>20:21:30.953</v>
      </c>
      <c r="T1540" t="str">
        <f>"20:21:30.553"</f>
        <v>20:21:30.553</v>
      </c>
      <c r="U1540" t="str">
        <f t="shared" si="73"/>
        <v>AB01F4</v>
      </c>
      <c r="V1540">
        <v>0</v>
      </c>
      <c r="W1540">
        <v>0</v>
      </c>
      <c r="X1540">
        <v>2</v>
      </c>
      <c r="Z1540">
        <v>0</v>
      </c>
      <c r="AA1540">
        <v>9</v>
      </c>
      <c r="AB1540">
        <v>3</v>
      </c>
      <c r="AC1540">
        <v>0</v>
      </c>
      <c r="AD1540">
        <v>10</v>
      </c>
      <c r="AE1540">
        <v>0</v>
      </c>
      <c r="AF1540">
        <v>3</v>
      </c>
      <c r="AG1540">
        <v>2</v>
      </c>
      <c r="AH1540">
        <v>0</v>
      </c>
      <c r="AI1540" t="s">
        <v>1019</v>
      </c>
      <c r="AJ1540">
        <v>39.838357000000002</v>
      </c>
      <c r="AK1540" t="s">
        <v>1020</v>
      </c>
      <c r="AL1540">
        <v>-92.531147000000004</v>
      </c>
      <c r="AM1540">
        <v>100</v>
      </c>
      <c r="AN1540">
        <v>1700</v>
      </c>
      <c r="AO1540" t="s">
        <v>118</v>
      </c>
      <c r="AP1540">
        <v>-28</v>
      </c>
      <c r="AQ1540">
        <v>117</v>
      </c>
      <c r="AR1540">
        <v>64</v>
      </c>
      <c r="AZ1540">
        <v>1200</v>
      </c>
      <c r="BA1540">
        <v>1</v>
      </c>
      <c r="BB1540" t="str">
        <f t="shared" si="72"/>
        <v xml:space="preserve">N8080G  </v>
      </c>
      <c r="BC1540">
        <v>1</v>
      </c>
      <c r="BE1540">
        <v>0</v>
      </c>
      <c r="BF1540">
        <v>0</v>
      </c>
      <c r="BG1540">
        <v>0</v>
      </c>
      <c r="BH1540">
        <v>1700</v>
      </c>
      <c r="BI1540">
        <v>1</v>
      </c>
      <c r="BJ1540">
        <v>1</v>
      </c>
      <c r="BK1540">
        <v>1</v>
      </c>
      <c r="BL1540">
        <v>0</v>
      </c>
      <c r="BO1540">
        <v>0</v>
      </c>
      <c r="BP1540">
        <v>0</v>
      </c>
      <c r="BW1540" t="str">
        <f>"20:21:30.959"</f>
        <v>20:21:30.959</v>
      </c>
      <c r="BZ1540">
        <v>0</v>
      </c>
      <c r="CA1540">
        <v>2016</v>
      </c>
      <c r="CB1540">
        <v>224</v>
      </c>
      <c r="CD1540">
        <v>1</v>
      </c>
      <c r="CE1540">
        <v>0</v>
      </c>
      <c r="CF1540">
        <v>0</v>
      </c>
      <c r="CG1540">
        <v>1</v>
      </c>
      <c r="CH1540">
        <v>0</v>
      </c>
      <c r="CI1540">
        <v>0</v>
      </c>
      <c r="CJ1540">
        <v>0</v>
      </c>
      <c r="CK1540">
        <v>2</v>
      </c>
      <c r="CL1540">
        <v>0</v>
      </c>
      <c r="CM1540">
        <v>2</v>
      </c>
      <c r="CN1540">
        <v>0</v>
      </c>
      <c r="CO1540">
        <v>7</v>
      </c>
      <c r="CP1540" t="s">
        <v>119</v>
      </c>
      <c r="CQ1540">
        <v>180</v>
      </c>
      <c r="CR1540">
        <v>1</v>
      </c>
      <c r="CW1540">
        <v>10804263</v>
      </c>
      <c r="CY1540">
        <v>1</v>
      </c>
      <c r="CZ1540">
        <v>0</v>
      </c>
      <c r="DA1540">
        <v>1</v>
      </c>
      <c r="DB1540">
        <v>0</v>
      </c>
      <c r="DC1540">
        <v>0</v>
      </c>
      <c r="DD1540">
        <v>0</v>
      </c>
      <c r="DE1540">
        <v>0</v>
      </c>
      <c r="DF1540">
        <v>0</v>
      </c>
      <c r="DG1540">
        <v>0</v>
      </c>
      <c r="DH1540">
        <v>0</v>
      </c>
      <c r="DI1540">
        <v>0</v>
      </c>
    </row>
    <row r="1541" spans="1:113" x14ac:dyDescent="0.3">
      <c r="A1541" t="str">
        <f>"02/08/2021 20:21:28.618"</f>
        <v>02/08/2021 20:21:28.618</v>
      </c>
      <c r="C1541" t="str">
        <f t="shared" si="71"/>
        <v>FFDFD7C0</v>
      </c>
      <c r="D1541" t="s">
        <v>124</v>
      </c>
      <c r="E1541">
        <v>11</v>
      </c>
      <c r="F1541">
        <v>1011</v>
      </c>
      <c r="G1541" t="s">
        <v>590</v>
      </c>
      <c r="J1541" t="s">
        <v>125</v>
      </c>
      <c r="K1541">
        <v>0</v>
      </c>
      <c r="L1541">
        <v>3</v>
      </c>
      <c r="M1541">
        <v>0</v>
      </c>
      <c r="N1541">
        <v>2</v>
      </c>
      <c r="O1541">
        <v>1</v>
      </c>
      <c r="P1541">
        <v>0</v>
      </c>
      <c r="Q1541">
        <v>0</v>
      </c>
      <c r="S1541" t="str">
        <f>"20:21:30.953"</f>
        <v>20:21:30.953</v>
      </c>
      <c r="T1541" t="str">
        <f>"20:21:30.553"</f>
        <v>20:21:30.553</v>
      </c>
      <c r="U1541" t="str">
        <f t="shared" si="73"/>
        <v>AB01F4</v>
      </c>
      <c r="V1541">
        <v>0</v>
      </c>
      <c r="W1541">
        <v>0</v>
      </c>
      <c r="X1541">
        <v>2</v>
      </c>
      <c r="Z1541">
        <v>0</v>
      </c>
      <c r="AA1541">
        <v>9</v>
      </c>
      <c r="AB1541">
        <v>3</v>
      </c>
      <c r="AC1541">
        <v>0</v>
      </c>
      <c r="AD1541">
        <v>10</v>
      </c>
      <c r="AE1541">
        <v>0</v>
      </c>
      <c r="AF1541">
        <v>3</v>
      </c>
      <c r="AG1541">
        <v>2</v>
      </c>
      <c r="AH1541">
        <v>0</v>
      </c>
      <c r="AI1541" t="s">
        <v>1019</v>
      </c>
      <c r="AJ1541">
        <v>39.838357000000002</v>
      </c>
      <c r="AK1541" t="s">
        <v>1020</v>
      </c>
      <c r="AL1541">
        <v>-92.531147000000004</v>
      </c>
      <c r="AM1541">
        <v>100</v>
      </c>
      <c r="AN1541">
        <v>1700</v>
      </c>
      <c r="AO1541" t="s">
        <v>118</v>
      </c>
      <c r="AP1541">
        <v>-28</v>
      </c>
      <c r="AQ1541">
        <v>117</v>
      </c>
      <c r="AR1541">
        <v>64</v>
      </c>
      <c r="AZ1541">
        <v>1200</v>
      </c>
      <c r="BA1541">
        <v>1</v>
      </c>
      <c r="BB1541" t="str">
        <f t="shared" si="72"/>
        <v xml:space="preserve">N8080G  </v>
      </c>
      <c r="BC1541">
        <v>1</v>
      </c>
      <c r="BE1541">
        <v>0</v>
      </c>
      <c r="BF1541">
        <v>0</v>
      </c>
      <c r="BG1541">
        <v>0</v>
      </c>
      <c r="BH1541">
        <v>1700</v>
      </c>
      <c r="BI1541">
        <v>1</v>
      </c>
      <c r="BJ1541">
        <v>1</v>
      </c>
      <c r="BK1541">
        <v>1</v>
      </c>
      <c r="BL1541">
        <v>0</v>
      </c>
      <c r="BO1541">
        <v>0</v>
      </c>
      <c r="BP1541">
        <v>0</v>
      </c>
      <c r="BW1541" t="str">
        <f>"20:21:30.959"</f>
        <v>20:21:30.959</v>
      </c>
      <c r="BZ1541">
        <v>0</v>
      </c>
      <c r="CA1541">
        <v>2016</v>
      </c>
      <c r="CB1541">
        <v>224</v>
      </c>
      <c r="CD1541">
        <v>1</v>
      </c>
      <c r="CE1541">
        <v>0</v>
      </c>
      <c r="CF1541">
        <v>0</v>
      </c>
      <c r="CG1541">
        <v>1</v>
      </c>
      <c r="CH1541">
        <v>0</v>
      </c>
      <c r="CI1541">
        <v>0</v>
      </c>
      <c r="CJ1541">
        <v>0</v>
      </c>
      <c r="CK1541">
        <v>2</v>
      </c>
      <c r="CL1541">
        <v>0</v>
      </c>
      <c r="CM1541">
        <v>2</v>
      </c>
      <c r="CN1541">
        <v>0</v>
      </c>
      <c r="CO1541">
        <v>7</v>
      </c>
      <c r="CP1541" t="s">
        <v>119</v>
      </c>
      <c r="CQ1541">
        <v>180</v>
      </c>
      <c r="CR1541">
        <v>1</v>
      </c>
      <c r="CW1541">
        <v>10804263</v>
      </c>
      <c r="CY1541">
        <v>1</v>
      </c>
      <c r="CZ1541">
        <v>0</v>
      </c>
      <c r="DA1541">
        <v>1</v>
      </c>
      <c r="DB1541">
        <v>0</v>
      </c>
      <c r="DC1541">
        <v>0</v>
      </c>
      <c r="DD1541">
        <v>0</v>
      </c>
      <c r="DE1541">
        <v>0</v>
      </c>
      <c r="DF1541">
        <v>0</v>
      </c>
      <c r="DG1541">
        <v>0</v>
      </c>
      <c r="DH1541">
        <v>0</v>
      </c>
      <c r="DI1541">
        <v>0</v>
      </c>
    </row>
    <row r="1542" spans="1:113" x14ac:dyDescent="0.3">
      <c r="A1542" t="str">
        <f>"02/08/2021 20:21:28.618"</f>
        <v>02/08/2021 20:21:28.618</v>
      </c>
      <c r="C1542" t="str">
        <f t="shared" si="71"/>
        <v>FFDFD7C0</v>
      </c>
      <c r="D1542" t="s">
        <v>124</v>
      </c>
      <c r="E1542">
        <v>12</v>
      </c>
      <c r="F1542">
        <v>1012</v>
      </c>
      <c r="G1542" t="s">
        <v>675</v>
      </c>
      <c r="J1542" t="s">
        <v>125</v>
      </c>
      <c r="K1542">
        <v>0</v>
      </c>
      <c r="L1542">
        <v>3</v>
      </c>
      <c r="M1542">
        <v>0</v>
      </c>
      <c r="N1542">
        <v>2</v>
      </c>
      <c r="O1542">
        <v>1</v>
      </c>
      <c r="P1542">
        <v>0</v>
      </c>
      <c r="Q1542">
        <v>0</v>
      </c>
      <c r="S1542" t="str">
        <f>"20:21:30.953"</f>
        <v>20:21:30.953</v>
      </c>
      <c r="T1542" t="str">
        <f>"20:21:30.553"</f>
        <v>20:21:30.553</v>
      </c>
      <c r="U1542" t="str">
        <f t="shared" si="73"/>
        <v>AB01F4</v>
      </c>
      <c r="V1542">
        <v>0</v>
      </c>
      <c r="W1542">
        <v>0</v>
      </c>
      <c r="X1542">
        <v>2</v>
      </c>
      <c r="Z1542">
        <v>0</v>
      </c>
      <c r="AA1542">
        <v>9</v>
      </c>
      <c r="AB1542">
        <v>3</v>
      </c>
      <c r="AC1542">
        <v>0</v>
      </c>
      <c r="AD1542">
        <v>10</v>
      </c>
      <c r="AE1542">
        <v>0</v>
      </c>
      <c r="AF1542">
        <v>3</v>
      </c>
      <c r="AG1542">
        <v>2</v>
      </c>
      <c r="AH1542">
        <v>0</v>
      </c>
      <c r="AI1542" t="s">
        <v>1019</v>
      </c>
      <c r="AJ1542">
        <v>39.838357000000002</v>
      </c>
      <c r="AK1542" t="s">
        <v>1020</v>
      </c>
      <c r="AL1542">
        <v>-92.531147000000004</v>
      </c>
      <c r="AM1542">
        <v>100</v>
      </c>
      <c r="AN1542">
        <v>1700</v>
      </c>
      <c r="AO1542" t="s">
        <v>118</v>
      </c>
      <c r="AP1542">
        <v>-28</v>
      </c>
      <c r="AQ1542">
        <v>117</v>
      </c>
      <c r="AR1542">
        <v>64</v>
      </c>
      <c r="AZ1542">
        <v>1200</v>
      </c>
      <c r="BA1542">
        <v>1</v>
      </c>
      <c r="BB1542" t="str">
        <f t="shared" si="72"/>
        <v xml:space="preserve">N8080G  </v>
      </c>
      <c r="BC1542">
        <v>1</v>
      </c>
      <c r="BE1542">
        <v>0</v>
      </c>
      <c r="BF1542">
        <v>0</v>
      </c>
      <c r="BG1542">
        <v>0</v>
      </c>
      <c r="BH1542">
        <v>1700</v>
      </c>
      <c r="BI1542">
        <v>1</v>
      </c>
      <c r="BJ1542">
        <v>1</v>
      </c>
      <c r="BK1542">
        <v>1</v>
      </c>
      <c r="BL1542">
        <v>0</v>
      </c>
      <c r="BO1542">
        <v>0</v>
      </c>
      <c r="BP1542">
        <v>0</v>
      </c>
      <c r="BW1542" t="str">
        <f>"20:21:30.959"</f>
        <v>20:21:30.959</v>
      </c>
      <c r="BZ1542">
        <v>0</v>
      </c>
      <c r="CA1542">
        <v>2016</v>
      </c>
      <c r="CB1542">
        <v>224</v>
      </c>
      <c r="CD1542">
        <v>1</v>
      </c>
      <c r="CE1542">
        <v>0</v>
      </c>
      <c r="CF1542">
        <v>0</v>
      </c>
      <c r="CG1542">
        <v>1</v>
      </c>
      <c r="CH1542">
        <v>0</v>
      </c>
      <c r="CI1542">
        <v>0</v>
      </c>
      <c r="CJ1542">
        <v>0</v>
      </c>
      <c r="CK1542">
        <v>2</v>
      </c>
      <c r="CL1542">
        <v>0</v>
      </c>
      <c r="CM1542">
        <v>2</v>
      </c>
      <c r="CN1542">
        <v>0</v>
      </c>
      <c r="CO1542">
        <v>7</v>
      </c>
      <c r="CP1542" t="s">
        <v>119</v>
      </c>
      <c r="CQ1542">
        <v>180</v>
      </c>
      <c r="CR1542">
        <v>1</v>
      </c>
      <c r="CW1542">
        <v>10804263</v>
      </c>
      <c r="CY1542">
        <v>1</v>
      </c>
      <c r="CZ1542">
        <v>0</v>
      </c>
      <c r="DA1542">
        <v>1</v>
      </c>
      <c r="DB1542">
        <v>0</v>
      </c>
      <c r="DC1542">
        <v>0</v>
      </c>
      <c r="DD1542">
        <v>0</v>
      </c>
      <c r="DE1542">
        <v>0</v>
      </c>
      <c r="DF1542">
        <v>0</v>
      </c>
      <c r="DG1542">
        <v>0</v>
      </c>
      <c r="DH1542">
        <v>0</v>
      </c>
      <c r="DI1542">
        <v>0</v>
      </c>
    </row>
    <row r="1543" spans="1:113" x14ac:dyDescent="0.3">
      <c r="A1543" t="str">
        <f>"02/08/2021 20:21:29.993"</f>
        <v>02/08/2021 20:21:29.993</v>
      </c>
      <c r="C1543" t="str">
        <f t="shared" si="71"/>
        <v>FFDFD7C0</v>
      </c>
      <c r="D1543" t="s">
        <v>124</v>
      </c>
      <c r="E1543">
        <v>11</v>
      </c>
      <c r="F1543">
        <v>1011</v>
      </c>
      <c r="G1543" t="s">
        <v>590</v>
      </c>
      <c r="J1543" t="s">
        <v>125</v>
      </c>
      <c r="K1543">
        <v>0</v>
      </c>
      <c r="L1543">
        <v>3</v>
      </c>
      <c r="M1543">
        <v>0</v>
      </c>
      <c r="N1543">
        <v>2</v>
      </c>
      <c r="O1543">
        <v>1</v>
      </c>
      <c r="P1543">
        <v>0</v>
      </c>
      <c r="Q1543">
        <v>0</v>
      </c>
      <c r="S1543" t="str">
        <f>"20:21:32.344"</f>
        <v>20:21:32.344</v>
      </c>
      <c r="T1543" t="str">
        <f>"20:21:31.844"</f>
        <v>20:21:31.844</v>
      </c>
      <c r="U1543" t="str">
        <f t="shared" si="73"/>
        <v>AB01F4</v>
      </c>
      <c r="V1543">
        <v>0</v>
      </c>
      <c r="W1543">
        <v>0</v>
      </c>
      <c r="X1543">
        <v>2</v>
      </c>
      <c r="Z1543">
        <v>0</v>
      </c>
      <c r="AA1543">
        <v>9</v>
      </c>
      <c r="AB1543">
        <v>3</v>
      </c>
      <c r="AC1543">
        <v>0</v>
      </c>
      <c r="AD1543">
        <v>10</v>
      </c>
      <c r="AE1543">
        <v>0</v>
      </c>
      <c r="AF1543">
        <v>3</v>
      </c>
      <c r="AG1543">
        <v>2</v>
      </c>
      <c r="AH1543">
        <v>0</v>
      </c>
      <c r="AI1543" t="s">
        <v>1021</v>
      </c>
      <c r="AJ1543">
        <v>39.839086999999999</v>
      </c>
      <c r="AK1543" t="s">
        <v>1022</v>
      </c>
      <c r="AL1543">
        <v>-92.531383000000005</v>
      </c>
      <c r="AM1543">
        <v>100</v>
      </c>
      <c r="AN1543">
        <v>1700</v>
      </c>
      <c r="AO1543" t="s">
        <v>118</v>
      </c>
      <c r="AP1543">
        <v>-27</v>
      </c>
      <c r="AQ1543">
        <v>117</v>
      </c>
      <c r="AR1543">
        <v>64</v>
      </c>
      <c r="AZ1543">
        <v>1200</v>
      </c>
      <c r="BA1543">
        <v>1</v>
      </c>
      <c r="BB1543" t="str">
        <f t="shared" si="72"/>
        <v xml:space="preserve">N8080G  </v>
      </c>
      <c r="BC1543">
        <v>1</v>
      </c>
      <c r="BE1543">
        <v>0</v>
      </c>
      <c r="BF1543">
        <v>0</v>
      </c>
      <c r="BG1543">
        <v>0</v>
      </c>
      <c r="BH1543">
        <v>1700</v>
      </c>
      <c r="BI1543">
        <v>1</v>
      </c>
      <c r="BJ1543">
        <v>1</v>
      </c>
      <c r="BK1543">
        <v>1</v>
      </c>
      <c r="BL1543">
        <v>0</v>
      </c>
      <c r="BO1543">
        <v>0</v>
      </c>
      <c r="BP1543">
        <v>0</v>
      </c>
      <c r="BW1543" t="str">
        <f>"20:21:32.347"</f>
        <v>20:21:32.347</v>
      </c>
      <c r="BZ1543">
        <v>0</v>
      </c>
      <c r="CA1543">
        <v>2016</v>
      </c>
      <c r="CB1543">
        <v>224</v>
      </c>
      <c r="CD1543">
        <v>1</v>
      </c>
      <c r="CE1543">
        <v>0</v>
      </c>
      <c r="CF1543">
        <v>0</v>
      </c>
      <c r="CG1543">
        <v>1</v>
      </c>
      <c r="CH1543">
        <v>0</v>
      </c>
      <c r="CI1543">
        <v>0</v>
      </c>
      <c r="CJ1543">
        <v>0</v>
      </c>
      <c r="CK1543">
        <v>2</v>
      </c>
      <c r="CL1543">
        <v>0</v>
      </c>
      <c r="CM1543">
        <v>2</v>
      </c>
      <c r="CN1543">
        <v>0</v>
      </c>
      <c r="CO1543">
        <v>7</v>
      </c>
      <c r="CP1543" t="s">
        <v>119</v>
      </c>
      <c r="CQ1543">
        <v>180</v>
      </c>
      <c r="CR1543">
        <v>2</v>
      </c>
      <c r="CW1543">
        <v>8241491</v>
      </c>
      <c r="CY1543">
        <v>1</v>
      </c>
      <c r="CZ1543">
        <v>0</v>
      </c>
      <c r="DA1543">
        <v>0</v>
      </c>
      <c r="DB1543">
        <v>0</v>
      </c>
      <c r="DC1543">
        <v>0</v>
      </c>
      <c r="DD1543">
        <v>0</v>
      </c>
      <c r="DE1543">
        <v>0</v>
      </c>
      <c r="DF1543">
        <v>0</v>
      </c>
      <c r="DG1543">
        <v>0</v>
      </c>
      <c r="DH1543">
        <v>0</v>
      </c>
      <c r="DI1543">
        <v>0</v>
      </c>
    </row>
    <row r="1544" spans="1:113" x14ac:dyDescent="0.3">
      <c r="A1544" t="str">
        <f>"02/08/2021 20:21:29.993"</f>
        <v>02/08/2021 20:21:29.993</v>
      </c>
      <c r="C1544" t="str">
        <f t="shared" si="71"/>
        <v>FFDFD7C0</v>
      </c>
      <c r="D1544" t="s">
        <v>124</v>
      </c>
      <c r="E1544">
        <v>12</v>
      </c>
      <c r="F1544">
        <v>1012</v>
      </c>
      <c r="G1544" t="s">
        <v>675</v>
      </c>
      <c r="J1544" t="s">
        <v>125</v>
      </c>
      <c r="K1544">
        <v>0</v>
      </c>
      <c r="L1544">
        <v>3</v>
      </c>
      <c r="M1544">
        <v>0</v>
      </c>
      <c r="N1544">
        <v>2</v>
      </c>
      <c r="O1544">
        <v>1</v>
      </c>
      <c r="P1544">
        <v>0</v>
      </c>
      <c r="Q1544">
        <v>0</v>
      </c>
      <c r="S1544" t="str">
        <f>"20:21:32.344"</f>
        <v>20:21:32.344</v>
      </c>
      <c r="T1544" t="str">
        <f>"20:21:31.844"</f>
        <v>20:21:31.844</v>
      </c>
      <c r="U1544" t="str">
        <f t="shared" si="73"/>
        <v>AB01F4</v>
      </c>
      <c r="V1544">
        <v>0</v>
      </c>
      <c r="W1544">
        <v>0</v>
      </c>
      <c r="X1544">
        <v>2</v>
      </c>
      <c r="Z1544">
        <v>0</v>
      </c>
      <c r="AA1544">
        <v>9</v>
      </c>
      <c r="AB1544">
        <v>3</v>
      </c>
      <c r="AC1544">
        <v>0</v>
      </c>
      <c r="AD1544">
        <v>10</v>
      </c>
      <c r="AE1544">
        <v>0</v>
      </c>
      <c r="AF1544">
        <v>3</v>
      </c>
      <c r="AG1544">
        <v>2</v>
      </c>
      <c r="AH1544">
        <v>0</v>
      </c>
      <c r="AI1544" t="s">
        <v>1021</v>
      </c>
      <c r="AJ1544">
        <v>39.839086999999999</v>
      </c>
      <c r="AK1544" t="s">
        <v>1022</v>
      </c>
      <c r="AL1544">
        <v>-92.531383000000005</v>
      </c>
      <c r="AM1544">
        <v>100</v>
      </c>
      <c r="AN1544">
        <v>1700</v>
      </c>
      <c r="AO1544" t="s">
        <v>118</v>
      </c>
      <c r="AP1544">
        <v>-27</v>
      </c>
      <c r="AQ1544">
        <v>117</v>
      </c>
      <c r="AR1544">
        <v>64</v>
      </c>
      <c r="AZ1544">
        <v>1200</v>
      </c>
      <c r="BA1544">
        <v>1</v>
      </c>
      <c r="BB1544" t="str">
        <f t="shared" si="72"/>
        <v xml:space="preserve">N8080G  </v>
      </c>
      <c r="BC1544">
        <v>1</v>
      </c>
      <c r="BE1544">
        <v>0</v>
      </c>
      <c r="BF1544">
        <v>0</v>
      </c>
      <c r="BG1544">
        <v>0</v>
      </c>
      <c r="BH1544">
        <v>1700</v>
      </c>
      <c r="BI1544">
        <v>1</v>
      </c>
      <c r="BJ1544">
        <v>1</v>
      </c>
      <c r="BK1544">
        <v>1</v>
      </c>
      <c r="BL1544">
        <v>0</v>
      </c>
      <c r="BO1544">
        <v>0</v>
      </c>
      <c r="BP1544">
        <v>0</v>
      </c>
      <c r="BW1544" t="str">
        <f>"20:21:32.347"</f>
        <v>20:21:32.347</v>
      </c>
      <c r="BZ1544">
        <v>0</v>
      </c>
      <c r="CA1544">
        <v>2016</v>
      </c>
      <c r="CB1544">
        <v>224</v>
      </c>
      <c r="CD1544">
        <v>1</v>
      </c>
      <c r="CE1544">
        <v>0</v>
      </c>
      <c r="CF1544">
        <v>0</v>
      </c>
      <c r="CG1544">
        <v>1</v>
      </c>
      <c r="CH1544">
        <v>0</v>
      </c>
      <c r="CI1544">
        <v>0</v>
      </c>
      <c r="CJ1544">
        <v>0</v>
      </c>
      <c r="CK1544">
        <v>2</v>
      </c>
      <c r="CL1544">
        <v>0</v>
      </c>
      <c r="CM1544">
        <v>2</v>
      </c>
      <c r="CN1544">
        <v>0</v>
      </c>
      <c r="CO1544">
        <v>7</v>
      </c>
      <c r="CP1544" t="s">
        <v>119</v>
      </c>
      <c r="CQ1544">
        <v>180</v>
      </c>
      <c r="CR1544">
        <v>2</v>
      </c>
      <c r="CW1544">
        <v>8241491</v>
      </c>
      <c r="CY1544">
        <v>1</v>
      </c>
      <c r="CZ1544">
        <v>0</v>
      </c>
      <c r="DA1544">
        <v>1</v>
      </c>
      <c r="DB1544">
        <v>0</v>
      </c>
      <c r="DC1544">
        <v>0</v>
      </c>
      <c r="DD1544">
        <v>0</v>
      </c>
      <c r="DE1544">
        <v>0</v>
      </c>
      <c r="DF1544">
        <v>0</v>
      </c>
      <c r="DG1544">
        <v>0</v>
      </c>
      <c r="DH1544">
        <v>0</v>
      </c>
      <c r="DI1544">
        <v>0</v>
      </c>
    </row>
    <row r="1545" spans="1:113" x14ac:dyDescent="0.3">
      <c r="A1545" t="str">
        <f>"02/08/2021 20:21:29.993"</f>
        <v>02/08/2021 20:21:29.993</v>
      </c>
      <c r="C1545" t="str">
        <f t="shared" ref="C1545:C1608" si="74">"FFDFD7C0"</f>
        <v>FFDFD7C0</v>
      </c>
      <c r="D1545" t="s">
        <v>124</v>
      </c>
      <c r="E1545">
        <v>13</v>
      </c>
      <c r="F1545">
        <v>1013</v>
      </c>
      <c r="G1545" t="s">
        <v>114</v>
      </c>
      <c r="J1545" t="s">
        <v>125</v>
      </c>
      <c r="K1545">
        <v>0</v>
      </c>
      <c r="L1545">
        <v>3</v>
      </c>
      <c r="M1545">
        <v>0</v>
      </c>
      <c r="N1545">
        <v>2</v>
      </c>
      <c r="O1545">
        <v>1</v>
      </c>
      <c r="P1545">
        <v>0</v>
      </c>
      <c r="Q1545">
        <v>0</v>
      </c>
      <c r="S1545" t="str">
        <f>"20:21:32.344"</f>
        <v>20:21:32.344</v>
      </c>
      <c r="T1545" t="str">
        <f>"20:21:31.844"</f>
        <v>20:21:31.844</v>
      </c>
      <c r="U1545" t="str">
        <f t="shared" si="73"/>
        <v>AB01F4</v>
      </c>
      <c r="V1545">
        <v>0</v>
      </c>
      <c r="W1545">
        <v>0</v>
      </c>
      <c r="X1545">
        <v>2</v>
      </c>
      <c r="Z1545">
        <v>0</v>
      </c>
      <c r="AA1545">
        <v>9</v>
      </c>
      <c r="AB1545">
        <v>3</v>
      </c>
      <c r="AC1545">
        <v>0</v>
      </c>
      <c r="AD1545">
        <v>10</v>
      </c>
      <c r="AE1545">
        <v>0</v>
      </c>
      <c r="AF1545">
        <v>3</v>
      </c>
      <c r="AG1545">
        <v>2</v>
      </c>
      <c r="AH1545">
        <v>0</v>
      </c>
      <c r="AI1545" t="s">
        <v>1021</v>
      </c>
      <c r="AJ1545">
        <v>39.839086999999999</v>
      </c>
      <c r="AK1545" t="s">
        <v>1022</v>
      </c>
      <c r="AL1545">
        <v>-92.531383000000005</v>
      </c>
      <c r="AM1545">
        <v>100</v>
      </c>
      <c r="AN1545">
        <v>1700</v>
      </c>
      <c r="AO1545" t="s">
        <v>118</v>
      </c>
      <c r="AP1545">
        <v>-27</v>
      </c>
      <c r="AQ1545">
        <v>117</v>
      </c>
      <c r="AR1545">
        <v>64</v>
      </c>
      <c r="AZ1545">
        <v>1200</v>
      </c>
      <c r="BA1545">
        <v>1</v>
      </c>
      <c r="BB1545" t="str">
        <f t="shared" si="72"/>
        <v xml:space="preserve">N8080G  </v>
      </c>
      <c r="BC1545">
        <v>1</v>
      </c>
      <c r="BE1545">
        <v>0</v>
      </c>
      <c r="BF1545">
        <v>0</v>
      </c>
      <c r="BG1545">
        <v>0</v>
      </c>
      <c r="BH1545">
        <v>1700</v>
      </c>
      <c r="BI1545">
        <v>1</v>
      </c>
      <c r="BJ1545">
        <v>1</v>
      </c>
      <c r="BK1545">
        <v>1</v>
      </c>
      <c r="BL1545">
        <v>0</v>
      </c>
      <c r="BO1545">
        <v>0</v>
      </c>
      <c r="BP1545">
        <v>0</v>
      </c>
      <c r="BW1545" t="str">
        <f>"20:21:32.347"</f>
        <v>20:21:32.347</v>
      </c>
      <c r="BZ1545">
        <v>0</v>
      </c>
      <c r="CA1545">
        <v>2016</v>
      </c>
      <c r="CB1545">
        <v>224</v>
      </c>
      <c r="CD1545">
        <v>1</v>
      </c>
      <c r="CE1545">
        <v>0</v>
      </c>
      <c r="CF1545">
        <v>0</v>
      </c>
      <c r="CG1545">
        <v>1</v>
      </c>
      <c r="CH1545">
        <v>0</v>
      </c>
      <c r="CI1545">
        <v>0</v>
      </c>
      <c r="CJ1545">
        <v>0</v>
      </c>
      <c r="CK1545">
        <v>2</v>
      </c>
      <c r="CL1545">
        <v>0</v>
      </c>
      <c r="CM1545">
        <v>2</v>
      </c>
      <c r="CN1545">
        <v>0</v>
      </c>
      <c r="CO1545">
        <v>7</v>
      </c>
      <c r="CP1545" t="s">
        <v>119</v>
      </c>
      <c r="CQ1545">
        <v>180</v>
      </c>
      <c r="CR1545">
        <v>2</v>
      </c>
      <c r="CW1545">
        <v>8241491</v>
      </c>
      <c r="CY1545">
        <v>1</v>
      </c>
      <c r="CZ1545">
        <v>0</v>
      </c>
      <c r="DA1545">
        <v>1</v>
      </c>
      <c r="DB1545">
        <v>0</v>
      </c>
      <c r="DC1545">
        <v>0</v>
      </c>
      <c r="DD1545">
        <v>0</v>
      </c>
      <c r="DE1545">
        <v>0</v>
      </c>
      <c r="DF1545">
        <v>0</v>
      </c>
      <c r="DG1545">
        <v>0</v>
      </c>
      <c r="DH1545">
        <v>0</v>
      </c>
      <c r="DI1545">
        <v>0</v>
      </c>
    </row>
    <row r="1546" spans="1:113" x14ac:dyDescent="0.3">
      <c r="A1546" t="str">
        <f>"02/08/2021 20:21:29.993"</f>
        <v>02/08/2021 20:21:29.993</v>
      </c>
      <c r="C1546" t="str">
        <f t="shared" si="74"/>
        <v>FFDFD7C0</v>
      </c>
      <c r="D1546" t="s">
        <v>113</v>
      </c>
      <c r="E1546">
        <v>6</v>
      </c>
      <c r="H1546">
        <v>165</v>
      </c>
      <c r="I1546" t="s">
        <v>114</v>
      </c>
      <c r="J1546" t="s">
        <v>115</v>
      </c>
      <c r="K1546">
        <v>0</v>
      </c>
      <c r="L1546">
        <v>3</v>
      </c>
      <c r="M1546">
        <v>0</v>
      </c>
      <c r="N1546">
        <v>2</v>
      </c>
      <c r="O1546">
        <v>1</v>
      </c>
      <c r="P1546">
        <v>0</v>
      </c>
      <c r="Q1546">
        <v>0</v>
      </c>
      <c r="S1546" t="str">
        <f>"20:21:32.344"</f>
        <v>20:21:32.344</v>
      </c>
      <c r="T1546" t="str">
        <f>"20:21:31.844"</f>
        <v>20:21:31.844</v>
      </c>
      <c r="U1546" t="str">
        <f t="shared" si="73"/>
        <v>AB01F4</v>
      </c>
      <c r="V1546">
        <v>0</v>
      </c>
      <c r="W1546">
        <v>0</v>
      </c>
      <c r="X1546">
        <v>2</v>
      </c>
      <c r="Z1546">
        <v>0</v>
      </c>
      <c r="AA1546">
        <v>9</v>
      </c>
      <c r="AB1546">
        <v>3</v>
      </c>
      <c r="AC1546">
        <v>0</v>
      </c>
      <c r="AD1546">
        <v>10</v>
      </c>
      <c r="AE1546">
        <v>0</v>
      </c>
      <c r="AF1546">
        <v>3</v>
      </c>
      <c r="AG1546">
        <v>2</v>
      </c>
      <c r="AH1546">
        <v>0</v>
      </c>
      <c r="AI1546" t="s">
        <v>1021</v>
      </c>
      <c r="AJ1546">
        <v>39.839086999999999</v>
      </c>
      <c r="AK1546" t="s">
        <v>1022</v>
      </c>
      <c r="AL1546">
        <v>-92.531383000000005</v>
      </c>
      <c r="AM1546">
        <v>100</v>
      </c>
      <c r="AN1546">
        <v>1700</v>
      </c>
      <c r="AO1546" t="s">
        <v>118</v>
      </c>
      <c r="AP1546">
        <v>-27</v>
      </c>
      <c r="AQ1546">
        <v>117</v>
      </c>
      <c r="AR1546">
        <v>64</v>
      </c>
      <c r="AZ1546">
        <v>1200</v>
      </c>
      <c r="BA1546">
        <v>1</v>
      </c>
      <c r="BB1546" t="str">
        <f t="shared" si="72"/>
        <v xml:space="preserve">N8080G  </v>
      </c>
      <c r="BC1546">
        <v>1</v>
      </c>
      <c r="BE1546">
        <v>0</v>
      </c>
      <c r="BF1546">
        <v>0</v>
      </c>
      <c r="BG1546">
        <v>0</v>
      </c>
      <c r="BH1546">
        <v>1700</v>
      </c>
      <c r="BI1546">
        <v>1</v>
      </c>
      <c r="BJ1546">
        <v>1</v>
      </c>
      <c r="BK1546">
        <v>1</v>
      </c>
      <c r="BL1546">
        <v>0</v>
      </c>
      <c r="BO1546">
        <v>0</v>
      </c>
      <c r="BP1546">
        <v>0</v>
      </c>
      <c r="BW1546" t="str">
        <f>"20:21:32.347"</f>
        <v>20:21:32.347</v>
      </c>
      <c r="BZ1546">
        <v>0</v>
      </c>
      <c r="CA1546">
        <v>2016</v>
      </c>
      <c r="CB1546">
        <v>224</v>
      </c>
      <c r="CD1546">
        <v>1</v>
      </c>
      <c r="CE1546">
        <v>0</v>
      </c>
      <c r="CF1546">
        <v>0</v>
      </c>
      <c r="CG1546">
        <v>1</v>
      </c>
      <c r="CH1546">
        <v>0</v>
      </c>
      <c r="CI1546">
        <v>0</v>
      </c>
      <c r="CJ1546">
        <v>0</v>
      </c>
      <c r="CK1546">
        <v>2</v>
      </c>
      <c r="CL1546">
        <v>0</v>
      </c>
      <c r="CM1546">
        <v>2</v>
      </c>
      <c r="CN1546">
        <v>0</v>
      </c>
      <c r="CO1546">
        <v>7</v>
      </c>
      <c r="CP1546" t="s">
        <v>119</v>
      </c>
      <c r="CQ1546">
        <v>180</v>
      </c>
      <c r="CR1546">
        <v>2</v>
      </c>
      <c r="CW1546">
        <v>8241491</v>
      </c>
      <c r="CY1546">
        <v>1</v>
      </c>
      <c r="CZ1546">
        <v>0</v>
      </c>
      <c r="DA1546">
        <v>1</v>
      </c>
      <c r="DB1546">
        <v>0</v>
      </c>
      <c r="DC1546">
        <v>0</v>
      </c>
      <c r="DD1546">
        <v>0</v>
      </c>
      <c r="DE1546">
        <v>0</v>
      </c>
      <c r="DF1546">
        <v>0</v>
      </c>
      <c r="DG1546">
        <v>0</v>
      </c>
      <c r="DH1546">
        <v>0</v>
      </c>
      <c r="DI1546">
        <v>0</v>
      </c>
    </row>
    <row r="1547" spans="1:113" x14ac:dyDescent="0.3">
      <c r="A1547" t="str">
        <f>"02/08/2021 20:21:31.537"</f>
        <v>02/08/2021 20:21:31.537</v>
      </c>
      <c r="C1547" t="str">
        <f t="shared" si="74"/>
        <v>FFDFD7C0</v>
      </c>
      <c r="D1547" t="s">
        <v>124</v>
      </c>
      <c r="E1547">
        <v>13</v>
      </c>
      <c r="F1547">
        <v>1013</v>
      </c>
      <c r="G1547" t="s">
        <v>114</v>
      </c>
      <c r="J1547" t="s">
        <v>125</v>
      </c>
      <c r="K1547">
        <v>0</v>
      </c>
      <c r="L1547">
        <v>3</v>
      </c>
      <c r="M1547">
        <v>0</v>
      </c>
      <c r="N1547">
        <v>2</v>
      </c>
      <c r="O1547">
        <v>1</v>
      </c>
      <c r="P1547">
        <v>0</v>
      </c>
      <c r="Q1547">
        <v>0</v>
      </c>
      <c r="S1547" t="str">
        <f>"20:21:33.836"</f>
        <v>20:21:33.836</v>
      </c>
      <c r="T1547" t="str">
        <f>"20:21:33.436"</f>
        <v>20:21:33.436</v>
      </c>
      <c r="U1547" t="str">
        <f t="shared" si="73"/>
        <v>AB01F4</v>
      </c>
      <c r="V1547">
        <v>0</v>
      </c>
      <c r="W1547">
        <v>0</v>
      </c>
      <c r="X1547">
        <v>2</v>
      </c>
      <c r="Z1547">
        <v>0</v>
      </c>
      <c r="AA1547">
        <v>9</v>
      </c>
      <c r="AB1547">
        <v>3</v>
      </c>
      <c r="AC1547">
        <v>0</v>
      </c>
      <c r="AD1547">
        <v>10</v>
      </c>
      <c r="AE1547">
        <v>0</v>
      </c>
      <c r="AF1547">
        <v>3</v>
      </c>
      <c r="AG1547">
        <v>2</v>
      </c>
      <c r="AH1547">
        <v>0</v>
      </c>
      <c r="AI1547" t="s">
        <v>1023</v>
      </c>
      <c r="AJ1547">
        <v>39.839922999999999</v>
      </c>
      <c r="AK1547" t="s">
        <v>1024</v>
      </c>
      <c r="AL1547">
        <v>-92.531619000000006</v>
      </c>
      <c r="AM1547">
        <v>100</v>
      </c>
      <c r="AN1547">
        <v>1700</v>
      </c>
      <c r="AO1547" t="s">
        <v>118</v>
      </c>
      <c r="AP1547">
        <v>-28</v>
      </c>
      <c r="AQ1547">
        <v>117</v>
      </c>
      <c r="AR1547">
        <v>-64</v>
      </c>
      <c r="AZ1547">
        <v>1200</v>
      </c>
      <c r="BA1547">
        <v>1</v>
      </c>
      <c r="BB1547" t="str">
        <f t="shared" si="72"/>
        <v xml:space="preserve">N8080G  </v>
      </c>
      <c r="BC1547">
        <v>1</v>
      </c>
      <c r="BE1547">
        <v>0</v>
      </c>
      <c r="BF1547">
        <v>0</v>
      </c>
      <c r="BG1547">
        <v>0</v>
      </c>
      <c r="BH1547">
        <v>1700</v>
      </c>
      <c r="BI1547">
        <v>1</v>
      </c>
      <c r="BJ1547">
        <v>1</v>
      </c>
      <c r="BK1547">
        <v>1</v>
      </c>
      <c r="BL1547">
        <v>0</v>
      </c>
      <c r="BO1547">
        <v>0</v>
      </c>
      <c r="BP1547">
        <v>0</v>
      </c>
      <c r="BW1547" t="str">
        <f>"20:21:33.838"</f>
        <v>20:21:33.838</v>
      </c>
      <c r="BZ1547">
        <v>0</v>
      </c>
      <c r="CA1547">
        <v>2016</v>
      </c>
      <c r="CB1547">
        <v>224</v>
      </c>
      <c r="CD1547">
        <v>1</v>
      </c>
      <c r="CE1547">
        <v>0</v>
      </c>
      <c r="CF1547">
        <v>0</v>
      </c>
      <c r="CG1547">
        <v>1</v>
      </c>
      <c r="CH1547">
        <v>0</v>
      </c>
      <c r="CI1547">
        <v>0</v>
      </c>
      <c r="CJ1547">
        <v>0</v>
      </c>
      <c r="CK1547">
        <v>2</v>
      </c>
      <c r="CL1547">
        <v>0</v>
      </c>
      <c r="CM1547">
        <v>2</v>
      </c>
      <c r="CN1547">
        <v>0</v>
      </c>
      <c r="CO1547">
        <v>7</v>
      </c>
      <c r="CP1547" t="s">
        <v>119</v>
      </c>
      <c r="CQ1547">
        <v>180</v>
      </c>
      <c r="CR1547">
        <v>2</v>
      </c>
      <c r="CW1547">
        <v>8242796</v>
      </c>
      <c r="CY1547">
        <v>1</v>
      </c>
      <c r="CZ1547">
        <v>0</v>
      </c>
      <c r="DA1547">
        <v>0</v>
      </c>
      <c r="DB1547">
        <v>0</v>
      </c>
      <c r="DC1547">
        <v>0</v>
      </c>
      <c r="DD1547">
        <v>0</v>
      </c>
      <c r="DE1547">
        <v>0</v>
      </c>
      <c r="DF1547">
        <v>0</v>
      </c>
      <c r="DG1547">
        <v>0</v>
      </c>
      <c r="DH1547">
        <v>0</v>
      </c>
      <c r="DI1547">
        <v>0</v>
      </c>
    </row>
    <row r="1548" spans="1:113" x14ac:dyDescent="0.3">
      <c r="A1548" t="str">
        <f>"02/08/2021 20:21:31.537"</f>
        <v>02/08/2021 20:21:31.537</v>
      </c>
      <c r="C1548" t="str">
        <f t="shared" si="74"/>
        <v>FFDFD7C0</v>
      </c>
      <c r="D1548" t="s">
        <v>113</v>
      </c>
      <c r="E1548">
        <v>6</v>
      </c>
      <c r="H1548">
        <v>165</v>
      </c>
      <c r="I1548" t="s">
        <v>114</v>
      </c>
      <c r="J1548" t="s">
        <v>115</v>
      </c>
      <c r="K1548">
        <v>0</v>
      </c>
      <c r="L1548">
        <v>3</v>
      </c>
      <c r="M1548">
        <v>0</v>
      </c>
      <c r="N1548">
        <v>2</v>
      </c>
      <c r="O1548">
        <v>1</v>
      </c>
      <c r="P1548">
        <v>0</v>
      </c>
      <c r="Q1548">
        <v>0</v>
      </c>
      <c r="S1548" t="str">
        <f>"20:21:33.836"</f>
        <v>20:21:33.836</v>
      </c>
      <c r="T1548" t="str">
        <f>"20:21:33.436"</f>
        <v>20:21:33.436</v>
      </c>
      <c r="U1548" t="str">
        <f t="shared" si="73"/>
        <v>AB01F4</v>
      </c>
      <c r="V1548">
        <v>0</v>
      </c>
      <c r="W1548">
        <v>0</v>
      </c>
      <c r="X1548">
        <v>2</v>
      </c>
      <c r="Z1548">
        <v>0</v>
      </c>
      <c r="AA1548">
        <v>9</v>
      </c>
      <c r="AB1548">
        <v>3</v>
      </c>
      <c r="AC1548">
        <v>0</v>
      </c>
      <c r="AD1548">
        <v>10</v>
      </c>
      <c r="AE1548">
        <v>0</v>
      </c>
      <c r="AF1548">
        <v>3</v>
      </c>
      <c r="AG1548">
        <v>2</v>
      </c>
      <c r="AH1548">
        <v>0</v>
      </c>
      <c r="AI1548" t="s">
        <v>1023</v>
      </c>
      <c r="AJ1548">
        <v>39.839922999999999</v>
      </c>
      <c r="AK1548" t="s">
        <v>1024</v>
      </c>
      <c r="AL1548">
        <v>-92.531619000000006</v>
      </c>
      <c r="AM1548">
        <v>100</v>
      </c>
      <c r="AN1548">
        <v>1700</v>
      </c>
      <c r="AO1548" t="s">
        <v>118</v>
      </c>
      <c r="AP1548">
        <v>-28</v>
      </c>
      <c r="AQ1548">
        <v>117</v>
      </c>
      <c r="AR1548">
        <v>-64</v>
      </c>
      <c r="AZ1548">
        <v>1200</v>
      </c>
      <c r="BA1548">
        <v>1</v>
      </c>
      <c r="BB1548" t="str">
        <f t="shared" si="72"/>
        <v xml:space="preserve">N8080G  </v>
      </c>
      <c r="BC1548">
        <v>1</v>
      </c>
      <c r="BE1548">
        <v>0</v>
      </c>
      <c r="BF1548">
        <v>0</v>
      </c>
      <c r="BG1548">
        <v>0</v>
      </c>
      <c r="BH1548">
        <v>1700</v>
      </c>
      <c r="BI1548">
        <v>1</v>
      </c>
      <c r="BJ1548">
        <v>1</v>
      </c>
      <c r="BK1548">
        <v>1</v>
      </c>
      <c r="BL1548">
        <v>0</v>
      </c>
      <c r="BO1548">
        <v>0</v>
      </c>
      <c r="BP1548">
        <v>0</v>
      </c>
      <c r="BW1548" t="str">
        <f>"20:21:33.838"</f>
        <v>20:21:33.838</v>
      </c>
      <c r="BZ1548">
        <v>0</v>
      </c>
      <c r="CA1548">
        <v>2016</v>
      </c>
      <c r="CB1548">
        <v>224</v>
      </c>
      <c r="CD1548">
        <v>1</v>
      </c>
      <c r="CE1548">
        <v>0</v>
      </c>
      <c r="CF1548">
        <v>0</v>
      </c>
      <c r="CG1548">
        <v>1</v>
      </c>
      <c r="CH1548">
        <v>0</v>
      </c>
      <c r="CI1548">
        <v>0</v>
      </c>
      <c r="CJ1548">
        <v>0</v>
      </c>
      <c r="CK1548">
        <v>2</v>
      </c>
      <c r="CL1548">
        <v>0</v>
      </c>
      <c r="CM1548">
        <v>2</v>
      </c>
      <c r="CN1548">
        <v>0</v>
      </c>
      <c r="CO1548">
        <v>7</v>
      </c>
      <c r="CP1548" t="s">
        <v>119</v>
      </c>
      <c r="CQ1548">
        <v>180</v>
      </c>
      <c r="CR1548">
        <v>2</v>
      </c>
      <c r="CW1548">
        <v>8242796</v>
      </c>
      <c r="CY1548">
        <v>1</v>
      </c>
      <c r="CZ1548">
        <v>0</v>
      </c>
      <c r="DA1548">
        <v>1</v>
      </c>
      <c r="DB1548">
        <v>0</v>
      </c>
      <c r="DC1548">
        <v>0</v>
      </c>
      <c r="DD1548">
        <v>0</v>
      </c>
      <c r="DE1548">
        <v>0</v>
      </c>
      <c r="DF1548">
        <v>0</v>
      </c>
      <c r="DG1548">
        <v>0</v>
      </c>
      <c r="DH1548">
        <v>0</v>
      </c>
      <c r="DI1548">
        <v>0</v>
      </c>
    </row>
    <row r="1549" spans="1:113" x14ac:dyDescent="0.3">
      <c r="A1549" t="str">
        <f>"02/08/2021 20:21:31.537"</f>
        <v>02/08/2021 20:21:31.537</v>
      </c>
      <c r="C1549" t="str">
        <f t="shared" si="74"/>
        <v>FFDFD7C0</v>
      </c>
      <c r="D1549" t="s">
        <v>124</v>
      </c>
      <c r="E1549">
        <v>12</v>
      </c>
      <c r="F1549">
        <v>1012</v>
      </c>
      <c r="G1549" t="s">
        <v>675</v>
      </c>
      <c r="J1549" t="s">
        <v>125</v>
      </c>
      <c r="K1549">
        <v>0</v>
      </c>
      <c r="L1549">
        <v>3</v>
      </c>
      <c r="M1549">
        <v>0</v>
      </c>
      <c r="N1549">
        <v>2</v>
      </c>
      <c r="O1549">
        <v>1</v>
      </c>
      <c r="P1549">
        <v>0</v>
      </c>
      <c r="Q1549">
        <v>0</v>
      </c>
      <c r="S1549" t="str">
        <f>"20:21:33.836"</f>
        <v>20:21:33.836</v>
      </c>
      <c r="T1549" t="str">
        <f>"20:21:33.436"</f>
        <v>20:21:33.436</v>
      </c>
      <c r="U1549" t="str">
        <f t="shared" si="73"/>
        <v>AB01F4</v>
      </c>
      <c r="V1549">
        <v>0</v>
      </c>
      <c r="W1549">
        <v>0</v>
      </c>
      <c r="X1549">
        <v>2</v>
      </c>
      <c r="Z1549">
        <v>0</v>
      </c>
      <c r="AA1549">
        <v>9</v>
      </c>
      <c r="AB1549">
        <v>3</v>
      </c>
      <c r="AC1549">
        <v>0</v>
      </c>
      <c r="AD1549">
        <v>10</v>
      </c>
      <c r="AE1549">
        <v>0</v>
      </c>
      <c r="AF1549">
        <v>3</v>
      </c>
      <c r="AG1549">
        <v>2</v>
      </c>
      <c r="AH1549">
        <v>0</v>
      </c>
      <c r="AI1549" t="s">
        <v>1023</v>
      </c>
      <c r="AJ1549">
        <v>39.839922999999999</v>
      </c>
      <c r="AK1549" t="s">
        <v>1024</v>
      </c>
      <c r="AL1549">
        <v>-92.531619000000006</v>
      </c>
      <c r="AM1549">
        <v>100</v>
      </c>
      <c r="AN1549">
        <v>1700</v>
      </c>
      <c r="AO1549" t="s">
        <v>118</v>
      </c>
      <c r="AP1549">
        <v>-28</v>
      </c>
      <c r="AQ1549">
        <v>117</v>
      </c>
      <c r="AR1549">
        <v>-64</v>
      </c>
      <c r="AZ1549">
        <v>1200</v>
      </c>
      <c r="BA1549">
        <v>1</v>
      </c>
      <c r="BB1549" t="str">
        <f t="shared" si="72"/>
        <v xml:space="preserve">N8080G  </v>
      </c>
      <c r="BC1549">
        <v>1</v>
      </c>
      <c r="BE1549">
        <v>0</v>
      </c>
      <c r="BF1549">
        <v>0</v>
      </c>
      <c r="BG1549">
        <v>0</v>
      </c>
      <c r="BH1549">
        <v>1700</v>
      </c>
      <c r="BI1549">
        <v>1</v>
      </c>
      <c r="BJ1549">
        <v>1</v>
      </c>
      <c r="BK1549">
        <v>1</v>
      </c>
      <c r="BL1549">
        <v>0</v>
      </c>
      <c r="BO1549">
        <v>0</v>
      </c>
      <c r="BP1549">
        <v>0</v>
      </c>
      <c r="BW1549" t="str">
        <f>"20:21:33.838"</f>
        <v>20:21:33.838</v>
      </c>
      <c r="BZ1549">
        <v>0</v>
      </c>
      <c r="CA1549">
        <v>2016</v>
      </c>
      <c r="CB1549">
        <v>224</v>
      </c>
      <c r="CD1549">
        <v>1</v>
      </c>
      <c r="CE1549">
        <v>0</v>
      </c>
      <c r="CF1549">
        <v>0</v>
      </c>
      <c r="CG1549">
        <v>1</v>
      </c>
      <c r="CH1549">
        <v>0</v>
      </c>
      <c r="CI1549">
        <v>0</v>
      </c>
      <c r="CJ1549">
        <v>0</v>
      </c>
      <c r="CK1549">
        <v>2</v>
      </c>
      <c r="CL1549">
        <v>0</v>
      </c>
      <c r="CM1549">
        <v>2</v>
      </c>
      <c r="CN1549">
        <v>0</v>
      </c>
      <c r="CO1549">
        <v>7</v>
      </c>
      <c r="CP1549" t="s">
        <v>119</v>
      </c>
      <c r="CQ1549">
        <v>180</v>
      </c>
      <c r="CR1549">
        <v>2</v>
      </c>
      <c r="CW1549">
        <v>8242796</v>
      </c>
      <c r="CY1549">
        <v>1</v>
      </c>
      <c r="CZ1549">
        <v>0</v>
      </c>
      <c r="DA1549">
        <v>1</v>
      </c>
      <c r="DB1549">
        <v>0</v>
      </c>
      <c r="DC1549">
        <v>0</v>
      </c>
      <c r="DD1549">
        <v>0</v>
      </c>
      <c r="DE1549">
        <v>0</v>
      </c>
      <c r="DF1549">
        <v>0</v>
      </c>
      <c r="DG1549">
        <v>0</v>
      </c>
      <c r="DH1549">
        <v>0</v>
      </c>
      <c r="DI1549">
        <v>0</v>
      </c>
    </row>
    <row r="1550" spans="1:113" x14ac:dyDescent="0.3">
      <c r="A1550" t="str">
        <f>"02/08/2021 20:21:31.537"</f>
        <v>02/08/2021 20:21:31.537</v>
      </c>
      <c r="C1550" t="str">
        <f t="shared" si="74"/>
        <v>FFDFD7C0</v>
      </c>
      <c r="D1550" t="s">
        <v>124</v>
      </c>
      <c r="E1550">
        <v>11</v>
      </c>
      <c r="F1550">
        <v>1011</v>
      </c>
      <c r="G1550" t="s">
        <v>590</v>
      </c>
      <c r="J1550" t="s">
        <v>125</v>
      </c>
      <c r="K1550">
        <v>0</v>
      </c>
      <c r="L1550">
        <v>3</v>
      </c>
      <c r="M1550">
        <v>0</v>
      </c>
      <c r="N1550">
        <v>2</v>
      </c>
      <c r="O1550">
        <v>1</v>
      </c>
      <c r="P1550">
        <v>0</v>
      </c>
      <c r="Q1550">
        <v>0</v>
      </c>
      <c r="S1550" t="str">
        <f>"20:21:33.836"</f>
        <v>20:21:33.836</v>
      </c>
      <c r="T1550" t="str">
        <f>"20:21:33.436"</f>
        <v>20:21:33.436</v>
      </c>
      <c r="U1550" t="str">
        <f t="shared" si="73"/>
        <v>AB01F4</v>
      </c>
      <c r="V1550">
        <v>0</v>
      </c>
      <c r="W1550">
        <v>0</v>
      </c>
      <c r="X1550">
        <v>2</v>
      </c>
      <c r="Z1550">
        <v>0</v>
      </c>
      <c r="AA1550">
        <v>9</v>
      </c>
      <c r="AB1550">
        <v>3</v>
      </c>
      <c r="AC1550">
        <v>0</v>
      </c>
      <c r="AD1550">
        <v>10</v>
      </c>
      <c r="AE1550">
        <v>0</v>
      </c>
      <c r="AF1550">
        <v>3</v>
      </c>
      <c r="AG1550">
        <v>2</v>
      </c>
      <c r="AH1550">
        <v>0</v>
      </c>
      <c r="AI1550" t="s">
        <v>1023</v>
      </c>
      <c r="AJ1550">
        <v>39.839922999999999</v>
      </c>
      <c r="AK1550" t="s">
        <v>1024</v>
      </c>
      <c r="AL1550">
        <v>-92.531619000000006</v>
      </c>
      <c r="AM1550">
        <v>100</v>
      </c>
      <c r="AN1550">
        <v>1700</v>
      </c>
      <c r="AO1550" t="s">
        <v>118</v>
      </c>
      <c r="AP1550">
        <v>-28</v>
      </c>
      <c r="AQ1550">
        <v>117</v>
      </c>
      <c r="AR1550">
        <v>-64</v>
      </c>
      <c r="AZ1550">
        <v>1200</v>
      </c>
      <c r="BA1550">
        <v>1</v>
      </c>
      <c r="BB1550" t="str">
        <f t="shared" si="72"/>
        <v xml:space="preserve">N8080G  </v>
      </c>
      <c r="BC1550">
        <v>1</v>
      </c>
      <c r="BE1550">
        <v>0</v>
      </c>
      <c r="BF1550">
        <v>0</v>
      </c>
      <c r="BG1550">
        <v>0</v>
      </c>
      <c r="BH1550">
        <v>1700</v>
      </c>
      <c r="BI1550">
        <v>1</v>
      </c>
      <c r="BJ1550">
        <v>1</v>
      </c>
      <c r="BK1550">
        <v>1</v>
      </c>
      <c r="BL1550">
        <v>0</v>
      </c>
      <c r="BO1550">
        <v>0</v>
      </c>
      <c r="BP1550">
        <v>0</v>
      </c>
      <c r="BW1550" t="str">
        <f>"20:21:33.838"</f>
        <v>20:21:33.838</v>
      </c>
      <c r="BZ1550">
        <v>0</v>
      </c>
      <c r="CA1550">
        <v>2016</v>
      </c>
      <c r="CB1550">
        <v>224</v>
      </c>
      <c r="CD1550">
        <v>1</v>
      </c>
      <c r="CE1550">
        <v>0</v>
      </c>
      <c r="CF1550">
        <v>0</v>
      </c>
      <c r="CG1550">
        <v>1</v>
      </c>
      <c r="CH1550">
        <v>0</v>
      </c>
      <c r="CI1550">
        <v>0</v>
      </c>
      <c r="CJ1550">
        <v>0</v>
      </c>
      <c r="CK1550">
        <v>2</v>
      </c>
      <c r="CL1550">
        <v>0</v>
      </c>
      <c r="CM1550">
        <v>2</v>
      </c>
      <c r="CN1550">
        <v>0</v>
      </c>
      <c r="CO1550">
        <v>7</v>
      </c>
      <c r="CP1550" t="s">
        <v>119</v>
      </c>
      <c r="CQ1550">
        <v>180</v>
      </c>
      <c r="CR1550">
        <v>2</v>
      </c>
      <c r="CW1550">
        <v>8242796</v>
      </c>
      <c r="CY1550">
        <v>1</v>
      </c>
      <c r="CZ1550">
        <v>0</v>
      </c>
      <c r="DA1550">
        <v>1</v>
      </c>
      <c r="DB1550">
        <v>0</v>
      </c>
      <c r="DC1550">
        <v>0</v>
      </c>
      <c r="DD1550">
        <v>0</v>
      </c>
      <c r="DE1550">
        <v>0</v>
      </c>
      <c r="DF1550">
        <v>0</v>
      </c>
      <c r="DG1550">
        <v>0</v>
      </c>
      <c r="DH1550">
        <v>0</v>
      </c>
      <c r="DI1550">
        <v>0</v>
      </c>
    </row>
    <row r="1551" spans="1:113" x14ac:dyDescent="0.3">
      <c r="A1551" t="str">
        <f>"02/08/2021 20:21:33.147"</f>
        <v>02/08/2021 20:21:33.147</v>
      </c>
      <c r="C1551" t="str">
        <f t="shared" si="74"/>
        <v>FFDFD7C0</v>
      </c>
      <c r="D1551" t="s">
        <v>124</v>
      </c>
      <c r="E1551">
        <v>13</v>
      </c>
      <c r="F1551">
        <v>1013</v>
      </c>
      <c r="G1551" t="s">
        <v>114</v>
      </c>
      <c r="J1551" t="s">
        <v>125</v>
      </c>
      <c r="K1551">
        <v>0</v>
      </c>
      <c r="L1551">
        <v>3</v>
      </c>
      <c r="M1551">
        <v>0</v>
      </c>
      <c r="N1551">
        <v>2</v>
      </c>
      <c r="O1551">
        <v>1</v>
      </c>
      <c r="P1551">
        <v>0</v>
      </c>
      <c r="Q1551">
        <v>0</v>
      </c>
      <c r="S1551" t="str">
        <f>"20:21:35.461"</f>
        <v>20:21:35.461</v>
      </c>
      <c r="T1551" t="str">
        <f>"20:21:35.061"</f>
        <v>20:21:35.061</v>
      </c>
      <c r="U1551" t="str">
        <f t="shared" si="73"/>
        <v>AB01F4</v>
      </c>
      <c r="V1551">
        <v>0</v>
      </c>
      <c r="W1551">
        <v>0</v>
      </c>
      <c r="X1551">
        <v>2</v>
      </c>
      <c r="Z1551">
        <v>0</v>
      </c>
      <c r="AA1551">
        <v>9</v>
      </c>
      <c r="AB1551">
        <v>3</v>
      </c>
      <c r="AC1551">
        <v>0</v>
      </c>
      <c r="AD1551">
        <v>10</v>
      </c>
      <c r="AE1551">
        <v>0</v>
      </c>
      <c r="AF1551">
        <v>3</v>
      </c>
      <c r="AG1551">
        <v>2</v>
      </c>
      <c r="AH1551">
        <v>0</v>
      </c>
      <c r="AI1551" t="s">
        <v>1025</v>
      </c>
      <c r="AJ1551">
        <v>39.840760000000003</v>
      </c>
      <c r="AK1551" t="s">
        <v>1026</v>
      </c>
      <c r="AL1551">
        <v>-92.531919000000002</v>
      </c>
      <c r="AM1551">
        <v>100</v>
      </c>
      <c r="AN1551">
        <v>1700</v>
      </c>
      <c r="AO1551" t="s">
        <v>118</v>
      </c>
      <c r="AP1551">
        <v>-28</v>
      </c>
      <c r="AQ1551">
        <v>117</v>
      </c>
      <c r="AR1551">
        <v>-128</v>
      </c>
      <c r="AZ1551">
        <v>1200</v>
      </c>
      <c r="BA1551">
        <v>1</v>
      </c>
      <c r="BB1551" t="str">
        <f t="shared" ref="BB1551:BB1614" si="75">"N8080G  "</f>
        <v xml:space="preserve">N8080G  </v>
      </c>
      <c r="BC1551">
        <v>1</v>
      </c>
      <c r="BE1551">
        <v>0</v>
      </c>
      <c r="BF1551">
        <v>0</v>
      </c>
      <c r="BG1551">
        <v>0</v>
      </c>
      <c r="BH1551">
        <v>1700</v>
      </c>
      <c r="BI1551">
        <v>1</v>
      </c>
      <c r="BJ1551">
        <v>1</v>
      </c>
      <c r="BK1551">
        <v>1</v>
      </c>
      <c r="BL1551">
        <v>0</v>
      </c>
      <c r="BO1551">
        <v>0</v>
      </c>
      <c r="BP1551">
        <v>0</v>
      </c>
      <c r="BW1551" t="str">
        <f>"20:21:35.468"</f>
        <v>20:21:35.468</v>
      </c>
      <c r="BZ1551">
        <v>0</v>
      </c>
      <c r="CA1551">
        <v>2016</v>
      </c>
      <c r="CB1551">
        <v>224</v>
      </c>
      <c r="CD1551">
        <v>1</v>
      </c>
      <c r="CE1551">
        <v>0</v>
      </c>
      <c r="CF1551">
        <v>0</v>
      </c>
      <c r="CG1551">
        <v>1</v>
      </c>
      <c r="CH1551">
        <v>0</v>
      </c>
      <c r="CI1551">
        <v>0</v>
      </c>
      <c r="CJ1551">
        <v>0</v>
      </c>
      <c r="CK1551">
        <v>2</v>
      </c>
      <c r="CL1551">
        <v>0</v>
      </c>
      <c r="CM1551">
        <v>2</v>
      </c>
      <c r="CN1551">
        <v>0</v>
      </c>
      <c r="CO1551">
        <v>7</v>
      </c>
      <c r="CP1551" t="s">
        <v>119</v>
      </c>
      <c r="CQ1551">
        <v>180</v>
      </c>
      <c r="CR1551">
        <v>1</v>
      </c>
      <c r="CW1551">
        <v>10807901</v>
      </c>
      <c r="CY1551">
        <v>1</v>
      </c>
      <c r="CZ1551">
        <v>0</v>
      </c>
      <c r="DA1551">
        <v>0</v>
      </c>
      <c r="DB1551">
        <v>0</v>
      </c>
      <c r="DC1551">
        <v>0</v>
      </c>
      <c r="DD1551">
        <v>0</v>
      </c>
      <c r="DE1551">
        <v>0</v>
      </c>
      <c r="DF1551">
        <v>0</v>
      </c>
      <c r="DG1551">
        <v>0</v>
      </c>
      <c r="DH1551">
        <v>0</v>
      </c>
      <c r="DI1551">
        <v>0</v>
      </c>
    </row>
    <row r="1552" spans="1:113" x14ac:dyDescent="0.3">
      <c r="A1552" t="str">
        <f>"02/08/2021 20:21:33.147"</f>
        <v>02/08/2021 20:21:33.147</v>
      </c>
      <c r="C1552" t="str">
        <f t="shared" si="74"/>
        <v>FFDFD7C0</v>
      </c>
      <c r="D1552" t="s">
        <v>124</v>
      </c>
      <c r="E1552">
        <v>12</v>
      </c>
      <c r="F1552">
        <v>1012</v>
      </c>
      <c r="G1552" t="s">
        <v>675</v>
      </c>
      <c r="J1552" t="s">
        <v>125</v>
      </c>
      <c r="K1552">
        <v>0</v>
      </c>
      <c r="L1552">
        <v>3</v>
      </c>
      <c r="M1552">
        <v>0</v>
      </c>
      <c r="N1552">
        <v>2</v>
      </c>
      <c r="O1552">
        <v>1</v>
      </c>
      <c r="P1552">
        <v>0</v>
      </c>
      <c r="Q1552">
        <v>0</v>
      </c>
      <c r="S1552" t="str">
        <f>"20:21:35.461"</f>
        <v>20:21:35.461</v>
      </c>
      <c r="T1552" t="str">
        <f>"20:21:35.061"</f>
        <v>20:21:35.061</v>
      </c>
      <c r="U1552" t="str">
        <f t="shared" si="73"/>
        <v>AB01F4</v>
      </c>
      <c r="V1552">
        <v>0</v>
      </c>
      <c r="W1552">
        <v>0</v>
      </c>
      <c r="X1552">
        <v>2</v>
      </c>
      <c r="Z1552">
        <v>0</v>
      </c>
      <c r="AA1552">
        <v>9</v>
      </c>
      <c r="AB1552">
        <v>3</v>
      </c>
      <c r="AC1552">
        <v>0</v>
      </c>
      <c r="AD1552">
        <v>10</v>
      </c>
      <c r="AE1552">
        <v>0</v>
      </c>
      <c r="AF1552">
        <v>3</v>
      </c>
      <c r="AG1552">
        <v>2</v>
      </c>
      <c r="AH1552">
        <v>0</v>
      </c>
      <c r="AI1552" t="s">
        <v>1025</v>
      </c>
      <c r="AJ1552">
        <v>39.840760000000003</v>
      </c>
      <c r="AK1552" t="s">
        <v>1026</v>
      </c>
      <c r="AL1552">
        <v>-92.531919000000002</v>
      </c>
      <c r="AM1552">
        <v>100</v>
      </c>
      <c r="AN1552">
        <v>1700</v>
      </c>
      <c r="AO1552" t="s">
        <v>118</v>
      </c>
      <c r="AP1552">
        <v>-28</v>
      </c>
      <c r="AQ1552">
        <v>117</v>
      </c>
      <c r="AR1552">
        <v>-128</v>
      </c>
      <c r="AZ1552">
        <v>1200</v>
      </c>
      <c r="BA1552">
        <v>1</v>
      </c>
      <c r="BB1552" t="str">
        <f t="shared" si="75"/>
        <v xml:space="preserve">N8080G  </v>
      </c>
      <c r="BC1552">
        <v>1</v>
      </c>
      <c r="BE1552">
        <v>0</v>
      </c>
      <c r="BF1552">
        <v>0</v>
      </c>
      <c r="BG1552">
        <v>0</v>
      </c>
      <c r="BH1552">
        <v>1700</v>
      </c>
      <c r="BI1552">
        <v>1</v>
      </c>
      <c r="BJ1552">
        <v>1</v>
      </c>
      <c r="BK1552">
        <v>1</v>
      </c>
      <c r="BL1552">
        <v>0</v>
      </c>
      <c r="BO1552">
        <v>0</v>
      </c>
      <c r="BP1552">
        <v>0</v>
      </c>
      <c r="BW1552" t="str">
        <f>"20:21:35.468"</f>
        <v>20:21:35.468</v>
      </c>
      <c r="BZ1552">
        <v>0</v>
      </c>
      <c r="CA1552">
        <v>2016</v>
      </c>
      <c r="CB1552">
        <v>224</v>
      </c>
      <c r="CD1552">
        <v>1</v>
      </c>
      <c r="CE1552">
        <v>0</v>
      </c>
      <c r="CF1552">
        <v>0</v>
      </c>
      <c r="CG1552">
        <v>1</v>
      </c>
      <c r="CH1552">
        <v>0</v>
      </c>
      <c r="CI1552">
        <v>0</v>
      </c>
      <c r="CJ1552">
        <v>0</v>
      </c>
      <c r="CK1552">
        <v>2</v>
      </c>
      <c r="CL1552">
        <v>0</v>
      </c>
      <c r="CM1552">
        <v>2</v>
      </c>
      <c r="CN1552">
        <v>0</v>
      </c>
      <c r="CO1552">
        <v>7</v>
      </c>
      <c r="CP1552" t="s">
        <v>119</v>
      </c>
      <c r="CQ1552">
        <v>180</v>
      </c>
      <c r="CR1552">
        <v>1</v>
      </c>
      <c r="CW1552">
        <v>10807901</v>
      </c>
      <c r="CY1552">
        <v>1</v>
      </c>
      <c r="CZ1552">
        <v>0</v>
      </c>
      <c r="DA1552">
        <v>1</v>
      </c>
      <c r="DB1552">
        <v>0</v>
      </c>
      <c r="DC1552">
        <v>0</v>
      </c>
      <c r="DD1552">
        <v>0</v>
      </c>
      <c r="DE1552">
        <v>0</v>
      </c>
      <c r="DF1552">
        <v>0</v>
      </c>
      <c r="DG1552">
        <v>0</v>
      </c>
      <c r="DH1552">
        <v>0</v>
      </c>
      <c r="DI1552">
        <v>0</v>
      </c>
    </row>
    <row r="1553" spans="1:113" x14ac:dyDescent="0.3">
      <c r="A1553" t="str">
        <f>"02/08/2021 20:21:33.147"</f>
        <v>02/08/2021 20:21:33.147</v>
      </c>
      <c r="C1553" t="str">
        <f t="shared" si="74"/>
        <v>FFDFD7C0</v>
      </c>
      <c r="D1553" t="s">
        <v>124</v>
      </c>
      <c r="E1553">
        <v>11</v>
      </c>
      <c r="F1553">
        <v>1011</v>
      </c>
      <c r="G1553" t="s">
        <v>590</v>
      </c>
      <c r="J1553" t="s">
        <v>125</v>
      </c>
      <c r="K1553">
        <v>0</v>
      </c>
      <c r="L1553">
        <v>3</v>
      </c>
      <c r="M1553">
        <v>0</v>
      </c>
      <c r="N1553">
        <v>2</v>
      </c>
      <c r="O1553">
        <v>1</v>
      </c>
      <c r="P1553">
        <v>0</v>
      </c>
      <c r="Q1553">
        <v>0</v>
      </c>
      <c r="S1553" t="str">
        <f>"20:21:35.461"</f>
        <v>20:21:35.461</v>
      </c>
      <c r="T1553" t="str">
        <f>"20:21:35.061"</f>
        <v>20:21:35.061</v>
      </c>
      <c r="U1553" t="str">
        <f t="shared" si="73"/>
        <v>AB01F4</v>
      </c>
      <c r="V1553">
        <v>0</v>
      </c>
      <c r="W1553">
        <v>0</v>
      </c>
      <c r="X1553">
        <v>2</v>
      </c>
      <c r="Z1553">
        <v>0</v>
      </c>
      <c r="AA1553">
        <v>9</v>
      </c>
      <c r="AB1553">
        <v>3</v>
      </c>
      <c r="AC1553">
        <v>0</v>
      </c>
      <c r="AD1553">
        <v>10</v>
      </c>
      <c r="AE1553">
        <v>0</v>
      </c>
      <c r="AF1553">
        <v>3</v>
      </c>
      <c r="AG1553">
        <v>2</v>
      </c>
      <c r="AH1553">
        <v>0</v>
      </c>
      <c r="AI1553" t="s">
        <v>1025</v>
      </c>
      <c r="AJ1553">
        <v>39.840760000000003</v>
      </c>
      <c r="AK1553" t="s">
        <v>1026</v>
      </c>
      <c r="AL1553">
        <v>-92.531919000000002</v>
      </c>
      <c r="AM1553">
        <v>100</v>
      </c>
      <c r="AN1553">
        <v>1700</v>
      </c>
      <c r="AO1553" t="s">
        <v>118</v>
      </c>
      <c r="AP1553">
        <v>-28</v>
      </c>
      <c r="AQ1553">
        <v>117</v>
      </c>
      <c r="AR1553">
        <v>-128</v>
      </c>
      <c r="AZ1553">
        <v>1200</v>
      </c>
      <c r="BA1553">
        <v>1</v>
      </c>
      <c r="BB1553" t="str">
        <f t="shared" si="75"/>
        <v xml:space="preserve">N8080G  </v>
      </c>
      <c r="BC1553">
        <v>1</v>
      </c>
      <c r="BE1553">
        <v>0</v>
      </c>
      <c r="BF1553">
        <v>0</v>
      </c>
      <c r="BG1553">
        <v>0</v>
      </c>
      <c r="BH1553">
        <v>1700</v>
      </c>
      <c r="BI1553">
        <v>1</v>
      </c>
      <c r="BJ1553">
        <v>1</v>
      </c>
      <c r="BK1553">
        <v>1</v>
      </c>
      <c r="BL1553">
        <v>0</v>
      </c>
      <c r="BO1553">
        <v>0</v>
      </c>
      <c r="BP1553">
        <v>0</v>
      </c>
      <c r="BW1553" t="str">
        <f>"20:21:35.468"</f>
        <v>20:21:35.468</v>
      </c>
      <c r="BZ1553">
        <v>0</v>
      </c>
      <c r="CA1553">
        <v>2016</v>
      </c>
      <c r="CB1553">
        <v>224</v>
      </c>
      <c r="CD1553">
        <v>1</v>
      </c>
      <c r="CE1553">
        <v>0</v>
      </c>
      <c r="CF1553">
        <v>0</v>
      </c>
      <c r="CG1553">
        <v>1</v>
      </c>
      <c r="CH1553">
        <v>0</v>
      </c>
      <c r="CI1553">
        <v>0</v>
      </c>
      <c r="CJ1553">
        <v>0</v>
      </c>
      <c r="CK1553">
        <v>2</v>
      </c>
      <c r="CL1553">
        <v>0</v>
      </c>
      <c r="CM1553">
        <v>2</v>
      </c>
      <c r="CN1553">
        <v>0</v>
      </c>
      <c r="CO1553">
        <v>7</v>
      </c>
      <c r="CP1553" t="s">
        <v>119</v>
      </c>
      <c r="CQ1553">
        <v>180</v>
      </c>
      <c r="CR1553">
        <v>1</v>
      </c>
      <c r="CW1553">
        <v>10807901</v>
      </c>
      <c r="CY1553">
        <v>1</v>
      </c>
      <c r="CZ1553">
        <v>0</v>
      </c>
      <c r="DA1553">
        <v>1</v>
      </c>
      <c r="DB1553">
        <v>0</v>
      </c>
      <c r="DC1553">
        <v>0</v>
      </c>
      <c r="DD1553">
        <v>0</v>
      </c>
      <c r="DE1553">
        <v>0</v>
      </c>
      <c r="DF1553">
        <v>0</v>
      </c>
      <c r="DG1553">
        <v>0</v>
      </c>
      <c r="DH1553">
        <v>0</v>
      </c>
      <c r="DI1553">
        <v>0</v>
      </c>
    </row>
    <row r="1554" spans="1:113" x14ac:dyDescent="0.3">
      <c r="A1554" t="str">
        <f>"02/08/2021 20:21:33.147"</f>
        <v>02/08/2021 20:21:33.147</v>
      </c>
      <c r="C1554" t="str">
        <f t="shared" si="74"/>
        <v>FFDFD7C0</v>
      </c>
      <c r="D1554" t="s">
        <v>113</v>
      </c>
      <c r="E1554">
        <v>6</v>
      </c>
      <c r="H1554">
        <v>165</v>
      </c>
      <c r="I1554" t="s">
        <v>114</v>
      </c>
      <c r="J1554" t="s">
        <v>115</v>
      </c>
      <c r="K1554">
        <v>0</v>
      </c>
      <c r="L1554">
        <v>3</v>
      </c>
      <c r="M1554">
        <v>0</v>
      </c>
      <c r="N1554">
        <v>2</v>
      </c>
      <c r="O1554">
        <v>1</v>
      </c>
      <c r="P1554">
        <v>0</v>
      </c>
      <c r="Q1554">
        <v>0</v>
      </c>
      <c r="S1554" t="str">
        <f>"20:21:35.461"</f>
        <v>20:21:35.461</v>
      </c>
      <c r="T1554" t="str">
        <f>"20:21:35.061"</f>
        <v>20:21:35.061</v>
      </c>
      <c r="U1554" t="str">
        <f t="shared" si="73"/>
        <v>AB01F4</v>
      </c>
      <c r="V1554">
        <v>0</v>
      </c>
      <c r="W1554">
        <v>0</v>
      </c>
      <c r="X1554">
        <v>2</v>
      </c>
      <c r="Z1554">
        <v>0</v>
      </c>
      <c r="AA1554">
        <v>9</v>
      </c>
      <c r="AB1554">
        <v>3</v>
      </c>
      <c r="AC1554">
        <v>0</v>
      </c>
      <c r="AD1554">
        <v>10</v>
      </c>
      <c r="AE1554">
        <v>0</v>
      </c>
      <c r="AF1554">
        <v>3</v>
      </c>
      <c r="AG1554">
        <v>2</v>
      </c>
      <c r="AH1554">
        <v>0</v>
      </c>
      <c r="AI1554" t="s">
        <v>1025</v>
      </c>
      <c r="AJ1554">
        <v>39.840760000000003</v>
      </c>
      <c r="AK1554" t="s">
        <v>1026</v>
      </c>
      <c r="AL1554">
        <v>-92.531919000000002</v>
      </c>
      <c r="AM1554">
        <v>100</v>
      </c>
      <c r="AN1554">
        <v>1700</v>
      </c>
      <c r="AO1554" t="s">
        <v>118</v>
      </c>
      <c r="AP1554">
        <v>-28</v>
      </c>
      <c r="AQ1554">
        <v>117</v>
      </c>
      <c r="AR1554">
        <v>-128</v>
      </c>
      <c r="AZ1554">
        <v>1200</v>
      </c>
      <c r="BA1554">
        <v>1</v>
      </c>
      <c r="BB1554" t="str">
        <f t="shared" si="75"/>
        <v xml:space="preserve">N8080G  </v>
      </c>
      <c r="BC1554">
        <v>1</v>
      </c>
      <c r="BE1554">
        <v>0</v>
      </c>
      <c r="BF1554">
        <v>0</v>
      </c>
      <c r="BG1554">
        <v>0</v>
      </c>
      <c r="BH1554">
        <v>1700</v>
      </c>
      <c r="BI1554">
        <v>1</v>
      </c>
      <c r="BJ1554">
        <v>1</v>
      </c>
      <c r="BK1554">
        <v>1</v>
      </c>
      <c r="BL1554">
        <v>0</v>
      </c>
      <c r="BO1554">
        <v>0</v>
      </c>
      <c r="BP1554">
        <v>0</v>
      </c>
      <c r="BW1554" t="str">
        <f>"20:21:35.468"</f>
        <v>20:21:35.468</v>
      </c>
      <c r="BZ1554">
        <v>0</v>
      </c>
      <c r="CA1554">
        <v>2016</v>
      </c>
      <c r="CB1554">
        <v>224</v>
      </c>
      <c r="CD1554">
        <v>1</v>
      </c>
      <c r="CE1554">
        <v>0</v>
      </c>
      <c r="CF1554">
        <v>0</v>
      </c>
      <c r="CG1554">
        <v>1</v>
      </c>
      <c r="CH1554">
        <v>0</v>
      </c>
      <c r="CI1554">
        <v>0</v>
      </c>
      <c r="CJ1554">
        <v>0</v>
      </c>
      <c r="CK1554">
        <v>2</v>
      </c>
      <c r="CL1554">
        <v>0</v>
      </c>
      <c r="CM1554">
        <v>2</v>
      </c>
      <c r="CN1554">
        <v>0</v>
      </c>
      <c r="CO1554">
        <v>7</v>
      </c>
      <c r="CP1554" t="s">
        <v>119</v>
      </c>
      <c r="CQ1554">
        <v>180</v>
      </c>
      <c r="CR1554">
        <v>1</v>
      </c>
      <c r="CW1554">
        <v>10807901</v>
      </c>
      <c r="CY1554">
        <v>1</v>
      </c>
      <c r="CZ1554">
        <v>0</v>
      </c>
      <c r="DA1554">
        <v>1</v>
      </c>
      <c r="DB1554">
        <v>0</v>
      </c>
      <c r="DC1554">
        <v>0</v>
      </c>
      <c r="DD1554">
        <v>0</v>
      </c>
      <c r="DE1554">
        <v>0</v>
      </c>
      <c r="DF1554">
        <v>0</v>
      </c>
      <c r="DG1554">
        <v>0</v>
      </c>
      <c r="DH1554">
        <v>0</v>
      </c>
      <c r="DI1554">
        <v>0</v>
      </c>
    </row>
    <row r="1555" spans="1:113" x14ac:dyDescent="0.3">
      <c r="A1555" t="str">
        <f>"02/08/2021 20:21:36.044"</f>
        <v>02/08/2021 20:21:36.044</v>
      </c>
      <c r="C1555" t="str">
        <f t="shared" si="74"/>
        <v>FFDFD7C0</v>
      </c>
      <c r="D1555" t="s">
        <v>124</v>
      </c>
      <c r="E1555">
        <v>11</v>
      </c>
      <c r="F1555">
        <v>1011</v>
      </c>
      <c r="G1555" t="s">
        <v>590</v>
      </c>
      <c r="J1555" t="s">
        <v>125</v>
      </c>
      <c r="K1555">
        <v>0</v>
      </c>
      <c r="L1555">
        <v>3</v>
      </c>
      <c r="M1555">
        <v>0</v>
      </c>
      <c r="N1555">
        <v>2</v>
      </c>
      <c r="O1555">
        <v>1</v>
      </c>
      <c r="P1555">
        <v>0</v>
      </c>
      <c r="Q1555">
        <v>0</v>
      </c>
      <c r="S1555" t="str">
        <f>"20:21:38.398"</f>
        <v>20:21:38.398</v>
      </c>
      <c r="T1555" t="str">
        <f>"20:21:37.898"</f>
        <v>20:21:37.898</v>
      </c>
      <c r="U1555" t="str">
        <f t="shared" si="73"/>
        <v>AB01F4</v>
      </c>
      <c r="V1555">
        <v>0</v>
      </c>
      <c r="W1555">
        <v>0</v>
      </c>
      <c r="X1555">
        <v>2</v>
      </c>
      <c r="Z1555">
        <v>0</v>
      </c>
      <c r="AA1555">
        <v>9</v>
      </c>
      <c r="AB1555">
        <v>3</v>
      </c>
      <c r="AC1555">
        <v>0</v>
      </c>
      <c r="AD1555">
        <v>10</v>
      </c>
      <c r="AE1555">
        <v>0</v>
      </c>
      <c r="AF1555">
        <v>3</v>
      </c>
      <c r="AG1555">
        <v>2</v>
      </c>
      <c r="AH1555">
        <v>0</v>
      </c>
      <c r="AI1555" t="s">
        <v>1027</v>
      </c>
      <c r="AJ1555">
        <v>39.842326999999997</v>
      </c>
      <c r="AK1555" t="s">
        <v>1028</v>
      </c>
      <c r="AL1555">
        <v>-92.532413000000005</v>
      </c>
      <c r="AM1555">
        <v>100</v>
      </c>
      <c r="AN1555">
        <v>1700</v>
      </c>
      <c r="AO1555" t="s">
        <v>118</v>
      </c>
      <c r="AP1555">
        <v>-28</v>
      </c>
      <c r="AQ1555">
        <v>118</v>
      </c>
      <c r="AR1555">
        <v>-128</v>
      </c>
      <c r="AZ1555">
        <v>1200</v>
      </c>
      <c r="BA1555">
        <v>1</v>
      </c>
      <c r="BB1555" t="str">
        <f t="shared" si="75"/>
        <v xml:space="preserve">N8080G  </v>
      </c>
      <c r="BC1555">
        <v>1</v>
      </c>
      <c r="BE1555">
        <v>0</v>
      </c>
      <c r="BF1555">
        <v>0</v>
      </c>
      <c r="BG1555">
        <v>0</v>
      </c>
      <c r="BH1555">
        <v>1700</v>
      </c>
      <c r="BI1555">
        <v>1</v>
      </c>
      <c r="BJ1555">
        <v>1</v>
      </c>
      <c r="BK1555">
        <v>1</v>
      </c>
      <c r="BL1555">
        <v>0</v>
      </c>
      <c r="BO1555">
        <v>0</v>
      </c>
      <c r="BP1555">
        <v>0</v>
      </c>
      <c r="BW1555" t="str">
        <f>"20:21:38.399"</f>
        <v>20:21:38.399</v>
      </c>
      <c r="BZ1555">
        <v>0</v>
      </c>
      <c r="CA1555">
        <v>2016</v>
      </c>
      <c r="CB1555">
        <v>224</v>
      </c>
      <c r="CD1555">
        <v>1</v>
      </c>
      <c r="CE1555">
        <v>0</v>
      </c>
      <c r="CF1555">
        <v>0</v>
      </c>
      <c r="CG1555">
        <v>1</v>
      </c>
      <c r="CH1555">
        <v>0</v>
      </c>
      <c r="CI1555">
        <v>0</v>
      </c>
      <c r="CJ1555">
        <v>0</v>
      </c>
      <c r="CK1555">
        <v>2</v>
      </c>
      <c r="CL1555">
        <v>0</v>
      </c>
      <c r="CM1555">
        <v>2</v>
      </c>
      <c r="CN1555">
        <v>0</v>
      </c>
      <c r="CO1555">
        <v>7</v>
      </c>
      <c r="CP1555" t="s">
        <v>119</v>
      </c>
      <c r="CQ1555">
        <v>180</v>
      </c>
      <c r="CR1555">
        <v>2</v>
      </c>
      <c r="CW1555">
        <v>8246607</v>
      </c>
      <c r="CY1555">
        <v>1</v>
      </c>
      <c r="CZ1555">
        <v>0</v>
      </c>
      <c r="DA1555">
        <v>0</v>
      </c>
      <c r="DB1555">
        <v>0</v>
      </c>
      <c r="DC1555">
        <v>0</v>
      </c>
      <c r="DD1555">
        <v>0</v>
      </c>
      <c r="DE1555">
        <v>0</v>
      </c>
      <c r="DF1555">
        <v>0</v>
      </c>
      <c r="DG1555">
        <v>0</v>
      </c>
      <c r="DH1555">
        <v>0</v>
      </c>
      <c r="DI1555">
        <v>0</v>
      </c>
    </row>
    <row r="1556" spans="1:113" x14ac:dyDescent="0.3">
      <c r="A1556" t="str">
        <f>"02/08/2021 20:21:36.044"</f>
        <v>02/08/2021 20:21:36.044</v>
      </c>
      <c r="C1556" t="str">
        <f t="shared" si="74"/>
        <v>FFDFD7C0</v>
      </c>
      <c r="D1556" t="s">
        <v>113</v>
      </c>
      <c r="E1556">
        <v>6</v>
      </c>
      <c r="H1556">
        <v>165</v>
      </c>
      <c r="I1556" t="s">
        <v>114</v>
      </c>
      <c r="J1556" t="s">
        <v>115</v>
      </c>
      <c r="K1556">
        <v>0</v>
      </c>
      <c r="L1556">
        <v>3</v>
      </c>
      <c r="M1556">
        <v>0</v>
      </c>
      <c r="N1556">
        <v>2</v>
      </c>
      <c r="O1556">
        <v>1</v>
      </c>
      <c r="P1556">
        <v>0</v>
      </c>
      <c r="Q1556">
        <v>0</v>
      </c>
      <c r="S1556" t="str">
        <f>"20:21:38.398"</f>
        <v>20:21:38.398</v>
      </c>
      <c r="T1556" t="str">
        <f>"20:21:37.898"</f>
        <v>20:21:37.898</v>
      </c>
      <c r="U1556" t="str">
        <f t="shared" si="73"/>
        <v>AB01F4</v>
      </c>
      <c r="V1556">
        <v>0</v>
      </c>
      <c r="W1556">
        <v>0</v>
      </c>
      <c r="X1556">
        <v>2</v>
      </c>
      <c r="Z1556">
        <v>0</v>
      </c>
      <c r="AA1556">
        <v>9</v>
      </c>
      <c r="AB1556">
        <v>3</v>
      </c>
      <c r="AC1556">
        <v>0</v>
      </c>
      <c r="AD1556">
        <v>10</v>
      </c>
      <c r="AE1556">
        <v>0</v>
      </c>
      <c r="AF1556">
        <v>3</v>
      </c>
      <c r="AG1556">
        <v>2</v>
      </c>
      <c r="AH1556">
        <v>0</v>
      </c>
      <c r="AI1556" t="s">
        <v>1027</v>
      </c>
      <c r="AJ1556">
        <v>39.842326999999997</v>
      </c>
      <c r="AK1556" t="s">
        <v>1028</v>
      </c>
      <c r="AL1556">
        <v>-92.532413000000005</v>
      </c>
      <c r="AM1556">
        <v>100</v>
      </c>
      <c r="AN1556">
        <v>1700</v>
      </c>
      <c r="AO1556" t="s">
        <v>118</v>
      </c>
      <c r="AP1556">
        <v>-28</v>
      </c>
      <c r="AQ1556">
        <v>118</v>
      </c>
      <c r="AR1556">
        <v>-128</v>
      </c>
      <c r="AZ1556">
        <v>1200</v>
      </c>
      <c r="BA1556">
        <v>1</v>
      </c>
      <c r="BB1556" t="str">
        <f t="shared" si="75"/>
        <v xml:space="preserve">N8080G  </v>
      </c>
      <c r="BC1556">
        <v>1</v>
      </c>
      <c r="BE1556">
        <v>0</v>
      </c>
      <c r="BF1556">
        <v>0</v>
      </c>
      <c r="BG1556">
        <v>0</v>
      </c>
      <c r="BH1556">
        <v>1700</v>
      </c>
      <c r="BI1556">
        <v>1</v>
      </c>
      <c r="BJ1556">
        <v>1</v>
      </c>
      <c r="BK1556">
        <v>1</v>
      </c>
      <c r="BL1556">
        <v>0</v>
      </c>
      <c r="BO1556">
        <v>0</v>
      </c>
      <c r="BP1556">
        <v>0</v>
      </c>
      <c r="BW1556" t="str">
        <f>"20:21:38.399"</f>
        <v>20:21:38.399</v>
      </c>
      <c r="BZ1556">
        <v>0</v>
      </c>
      <c r="CA1556">
        <v>2016</v>
      </c>
      <c r="CB1556">
        <v>224</v>
      </c>
      <c r="CD1556">
        <v>1</v>
      </c>
      <c r="CE1556">
        <v>0</v>
      </c>
      <c r="CF1556">
        <v>0</v>
      </c>
      <c r="CG1556">
        <v>1</v>
      </c>
      <c r="CH1556">
        <v>0</v>
      </c>
      <c r="CI1556">
        <v>0</v>
      </c>
      <c r="CJ1556">
        <v>0</v>
      </c>
      <c r="CK1556">
        <v>2</v>
      </c>
      <c r="CL1556">
        <v>0</v>
      </c>
      <c r="CM1556">
        <v>2</v>
      </c>
      <c r="CN1556">
        <v>0</v>
      </c>
      <c r="CO1556">
        <v>7</v>
      </c>
      <c r="CP1556" t="s">
        <v>119</v>
      </c>
      <c r="CQ1556">
        <v>180</v>
      </c>
      <c r="CR1556">
        <v>2</v>
      </c>
      <c r="CW1556">
        <v>8246607</v>
      </c>
      <c r="CY1556">
        <v>1</v>
      </c>
      <c r="CZ1556">
        <v>0</v>
      </c>
      <c r="DA1556">
        <v>1</v>
      </c>
      <c r="DB1556">
        <v>0</v>
      </c>
      <c r="DC1556">
        <v>0</v>
      </c>
      <c r="DD1556">
        <v>0</v>
      </c>
      <c r="DE1556">
        <v>0</v>
      </c>
      <c r="DF1556">
        <v>0</v>
      </c>
      <c r="DG1556">
        <v>0</v>
      </c>
      <c r="DH1556">
        <v>0</v>
      </c>
      <c r="DI1556">
        <v>0</v>
      </c>
    </row>
    <row r="1557" spans="1:113" x14ac:dyDescent="0.3">
      <c r="A1557" t="str">
        <f>"02/08/2021 20:21:36.044"</f>
        <v>02/08/2021 20:21:36.044</v>
      </c>
      <c r="C1557" t="str">
        <f t="shared" si="74"/>
        <v>FFDFD7C0</v>
      </c>
      <c r="D1557" t="s">
        <v>124</v>
      </c>
      <c r="E1557">
        <v>13</v>
      </c>
      <c r="F1557">
        <v>1013</v>
      </c>
      <c r="G1557" t="s">
        <v>114</v>
      </c>
      <c r="J1557" t="s">
        <v>125</v>
      </c>
      <c r="K1557">
        <v>0</v>
      </c>
      <c r="L1557">
        <v>3</v>
      </c>
      <c r="M1557">
        <v>0</v>
      </c>
      <c r="N1557">
        <v>2</v>
      </c>
      <c r="O1557">
        <v>1</v>
      </c>
      <c r="P1557">
        <v>0</v>
      </c>
      <c r="Q1557">
        <v>0</v>
      </c>
      <c r="S1557" t="str">
        <f>"20:21:38.398"</f>
        <v>20:21:38.398</v>
      </c>
      <c r="T1557" t="str">
        <f>"20:21:37.898"</f>
        <v>20:21:37.898</v>
      </c>
      <c r="U1557" t="str">
        <f t="shared" si="73"/>
        <v>AB01F4</v>
      </c>
      <c r="V1557">
        <v>0</v>
      </c>
      <c r="W1557">
        <v>0</v>
      </c>
      <c r="X1557">
        <v>2</v>
      </c>
      <c r="Z1557">
        <v>0</v>
      </c>
      <c r="AA1557">
        <v>9</v>
      </c>
      <c r="AB1557">
        <v>3</v>
      </c>
      <c r="AC1557">
        <v>0</v>
      </c>
      <c r="AD1557">
        <v>10</v>
      </c>
      <c r="AE1557">
        <v>0</v>
      </c>
      <c r="AF1557">
        <v>3</v>
      </c>
      <c r="AG1557">
        <v>2</v>
      </c>
      <c r="AH1557">
        <v>0</v>
      </c>
      <c r="AI1557" t="s">
        <v>1027</v>
      </c>
      <c r="AJ1557">
        <v>39.842326999999997</v>
      </c>
      <c r="AK1557" t="s">
        <v>1028</v>
      </c>
      <c r="AL1557">
        <v>-92.532413000000005</v>
      </c>
      <c r="AM1557">
        <v>100</v>
      </c>
      <c r="AN1557">
        <v>1700</v>
      </c>
      <c r="AO1557" t="s">
        <v>118</v>
      </c>
      <c r="AP1557">
        <v>-28</v>
      </c>
      <c r="AQ1557">
        <v>118</v>
      </c>
      <c r="AR1557">
        <v>-128</v>
      </c>
      <c r="AZ1557">
        <v>1200</v>
      </c>
      <c r="BA1557">
        <v>1</v>
      </c>
      <c r="BB1557" t="str">
        <f t="shared" si="75"/>
        <v xml:space="preserve">N8080G  </v>
      </c>
      <c r="BC1557">
        <v>1</v>
      </c>
      <c r="BE1557">
        <v>0</v>
      </c>
      <c r="BF1557">
        <v>0</v>
      </c>
      <c r="BG1557">
        <v>0</v>
      </c>
      <c r="BH1557">
        <v>1700</v>
      </c>
      <c r="BI1557">
        <v>1</v>
      </c>
      <c r="BJ1557">
        <v>1</v>
      </c>
      <c r="BK1557">
        <v>1</v>
      </c>
      <c r="BL1557">
        <v>0</v>
      </c>
      <c r="BO1557">
        <v>0</v>
      </c>
      <c r="BP1557">
        <v>0</v>
      </c>
      <c r="BW1557" t="str">
        <f>"20:21:38.399"</f>
        <v>20:21:38.399</v>
      </c>
      <c r="BZ1557">
        <v>0</v>
      </c>
      <c r="CA1557">
        <v>2016</v>
      </c>
      <c r="CB1557">
        <v>224</v>
      </c>
      <c r="CD1557">
        <v>1</v>
      </c>
      <c r="CE1557">
        <v>0</v>
      </c>
      <c r="CF1557">
        <v>0</v>
      </c>
      <c r="CG1557">
        <v>1</v>
      </c>
      <c r="CH1557">
        <v>0</v>
      </c>
      <c r="CI1557">
        <v>0</v>
      </c>
      <c r="CJ1557">
        <v>0</v>
      </c>
      <c r="CK1557">
        <v>2</v>
      </c>
      <c r="CL1557">
        <v>0</v>
      </c>
      <c r="CM1557">
        <v>2</v>
      </c>
      <c r="CN1557">
        <v>0</v>
      </c>
      <c r="CO1557">
        <v>7</v>
      </c>
      <c r="CP1557" t="s">
        <v>119</v>
      </c>
      <c r="CQ1557">
        <v>180</v>
      </c>
      <c r="CR1557">
        <v>2</v>
      </c>
      <c r="CW1557">
        <v>8246607</v>
      </c>
      <c r="CY1557">
        <v>1</v>
      </c>
      <c r="CZ1557">
        <v>0</v>
      </c>
      <c r="DA1557">
        <v>1</v>
      </c>
      <c r="DB1557">
        <v>0</v>
      </c>
      <c r="DC1557">
        <v>0</v>
      </c>
      <c r="DD1557">
        <v>0</v>
      </c>
      <c r="DE1557">
        <v>0</v>
      </c>
      <c r="DF1557">
        <v>0</v>
      </c>
      <c r="DG1557">
        <v>0</v>
      </c>
      <c r="DH1557">
        <v>0</v>
      </c>
      <c r="DI1557">
        <v>0</v>
      </c>
    </row>
    <row r="1558" spans="1:113" x14ac:dyDescent="0.3">
      <c r="A1558" t="str">
        <f>"02/08/2021 20:21:36.044"</f>
        <v>02/08/2021 20:21:36.044</v>
      </c>
      <c r="C1558" t="str">
        <f t="shared" si="74"/>
        <v>FFDFD7C0</v>
      </c>
      <c r="D1558" t="s">
        <v>124</v>
      </c>
      <c r="E1558">
        <v>12</v>
      </c>
      <c r="F1558">
        <v>1012</v>
      </c>
      <c r="G1558" t="s">
        <v>675</v>
      </c>
      <c r="J1558" t="s">
        <v>125</v>
      </c>
      <c r="K1558">
        <v>0</v>
      </c>
      <c r="L1558">
        <v>3</v>
      </c>
      <c r="M1558">
        <v>0</v>
      </c>
      <c r="N1558">
        <v>2</v>
      </c>
      <c r="O1558">
        <v>1</v>
      </c>
      <c r="P1558">
        <v>0</v>
      </c>
      <c r="Q1558">
        <v>0</v>
      </c>
      <c r="S1558" t="str">
        <f>"20:21:38.398"</f>
        <v>20:21:38.398</v>
      </c>
      <c r="T1558" t="str">
        <f>"20:21:37.898"</f>
        <v>20:21:37.898</v>
      </c>
      <c r="U1558" t="str">
        <f t="shared" si="73"/>
        <v>AB01F4</v>
      </c>
      <c r="V1558">
        <v>0</v>
      </c>
      <c r="W1558">
        <v>0</v>
      </c>
      <c r="X1558">
        <v>2</v>
      </c>
      <c r="Z1558">
        <v>0</v>
      </c>
      <c r="AA1558">
        <v>9</v>
      </c>
      <c r="AB1558">
        <v>3</v>
      </c>
      <c r="AC1558">
        <v>0</v>
      </c>
      <c r="AD1558">
        <v>10</v>
      </c>
      <c r="AE1558">
        <v>0</v>
      </c>
      <c r="AF1558">
        <v>3</v>
      </c>
      <c r="AG1558">
        <v>2</v>
      </c>
      <c r="AH1558">
        <v>0</v>
      </c>
      <c r="AI1558" t="s">
        <v>1027</v>
      </c>
      <c r="AJ1558">
        <v>39.842326999999997</v>
      </c>
      <c r="AK1558" t="s">
        <v>1028</v>
      </c>
      <c r="AL1558">
        <v>-92.532413000000005</v>
      </c>
      <c r="AM1558">
        <v>100</v>
      </c>
      <c r="AN1558">
        <v>1700</v>
      </c>
      <c r="AO1558" t="s">
        <v>118</v>
      </c>
      <c r="AP1558">
        <v>-28</v>
      </c>
      <c r="AQ1558">
        <v>118</v>
      </c>
      <c r="AR1558">
        <v>-128</v>
      </c>
      <c r="AZ1558">
        <v>1200</v>
      </c>
      <c r="BA1558">
        <v>1</v>
      </c>
      <c r="BB1558" t="str">
        <f t="shared" si="75"/>
        <v xml:space="preserve">N8080G  </v>
      </c>
      <c r="BC1558">
        <v>1</v>
      </c>
      <c r="BE1558">
        <v>0</v>
      </c>
      <c r="BF1558">
        <v>0</v>
      </c>
      <c r="BG1558">
        <v>0</v>
      </c>
      <c r="BH1558">
        <v>1700</v>
      </c>
      <c r="BI1558">
        <v>1</v>
      </c>
      <c r="BJ1558">
        <v>1</v>
      </c>
      <c r="BK1558">
        <v>1</v>
      </c>
      <c r="BL1558">
        <v>0</v>
      </c>
      <c r="BO1558">
        <v>0</v>
      </c>
      <c r="BP1558">
        <v>0</v>
      </c>
      <c r="BW1558" t="str">
        <f>"20:21:38.399"</f>
        <v>20:21:38.399</v>
      </c>
      <c r="BZ1558">
        <v>0</v>
      </c>
      <c r="CA1558">
        <v>2016</v>
      </c>
      <c r="CB1558">
        <v>224</v>
      </c>
      <c r="CD1558">
        <v>1</v>
      </c>
      <c r="CE1558">
        <v>0</v>
      </c>
      <c r="CF1558">
        <v>0</v>
      </c>
      <c r="CG1558">
        <v>1</v>
      </c>
      <c r="CH1558">
        <v>0</v>
      </c>
      <c r="CI1558">
        <v>0</v>
      </c>
      <c r="CJ1558">
        <v>0</v>
      </c>
      <c r="CK1558">
        <v>2</v>
      </c>
      <c r="CL1558">
        <v>0</v>
      </c>
      <c r="CM1558">
        <v>2</v>
      </c>
      <c r="CN1558">
        <v>0</v>
      </c>
      <c r="CO1558">
        <v>7</v>
      </c>
      <c r="CP1558" t="s">
        <v>119</v>
      </c>
      <c r="CQ1558">
        <v>180</v>
      </c>
      <c r="CR1558">
        <v>2</v>
      </c>
      <c r="CW1558">
        <v>8246607</v>
      </c>
      <c r="CY1558">
        <v>1</v>
      </c>
      <c r="CZ1558">
        <v>0</v>
      </c>
      <c r="DA1558">
        <v>1</v>
      </c>
      <c r="DB1558">
        <v>0</v>
      </c>
      <c r="DC1558">
        <v>0</v>
      </c>
      <c r="DD1558">
        <v>0</v>
      </c>
      <c r="DE1558">
        <v>0</v>
      </c>
      <c r="DF1558">
        <v>0</v>
      </c>
      <c r="DG1558">
        <v>0</v>
      </c>
      <c r="DH1558">
        <v>0</v>
      </c>
      <c r="DI1558">
        <v>0</v>
      </c>
    </row>
    <row r="1559" spans="1:113" x14ac:dyDescent="0.3">
      <c r="A1559" t="str">
        <f>"02/08/2021 20:21:37.772"</f>
        <v>02/08/2021 20:21:37.772</v>
      </c>
      <c r="C1559" t="str">
        <f t="shared" si="74"/>
        <v>FFDFD7C0</v>
      </c>
      <c r="D1559" t="s">
        <v>124</v>
      </c>
      <c r="E1559">
        <v>13</v>
      </c>
      <c r="F1559">
        <v>1013</v>
      </c>
      <c r="G1559" t="s">
        <v>114</v>
      </c>
      <c r="J1559" t="s">
        <v>125</v>
      </c>
      <c r="K1559">
        <v>0</v>
      </c>
      <c r="L1559">
        <v>3</v>
      </c>
      <c r="M1559">
        <v>0</v>
      </c>
      <c r="N1559">
        <v>2</v>
      </c>
      <c r="O1559">
        <v>1</v>
      </c>
      <c r="P1559">
        <v>0</v>
      </c>
      <c r="Q1559">
        <v>0</v>
      </c>
      <c r="S1559" t="str">
        <f>"20:21:40.102"</f>
        <v>20:21:40.102</v>
      </c>
      <c r="T1559" t="str">
        <f>"20:21:39.602"</f>
        <v>20:21:39.602</v>
      </c>
      <c r="U1559" t="str">
        <f t="shared" si="73"/>
        <v>AB01F4</v>
      </c>
      <c r="V1559">
        <v>0</v>
      </c>
      <c r="W1559">
        <v>0</v>
      </c>
      <c r="X1559">
        <v>2</v>
      </c>
      <c r="Z1559">
        <v>0</v>
      </c>
      <c r="AA1559">
        <v>9</v>
      </c>
      <c r="AB1559">
        <v>3</v>
      </c>
      <c r="AC1559">
        <v>0</v>
      </c>
      <c r="AD1559">
        <v>10</v>
      </c>
      <c r="AE1559">
        <v>0</v>
      </c>
      <c r="AF1559">
        <v>3</v>
      </c>
      <c r="AG1559">
        <v>2</v>
      </c>
      <c r="AH1559">
        <v>0</v>
      </c>
      <c r="AI1559" t="s">
        <v>1029</v>
      </c>
      <c r="AJ1559">
        <v>39.843271000000001</v>
      </c>
      <c r="AK1559" t="s">
        <v>1030</v>
      </c>
      <c r="AL1559">
        <v>-92.532649000000006</v>
      </c>
      <c r="AM1559">
        <v>100</v>
      </c>
      <c r="AN1559">
        <v>1700</v>
      </c>
      <c r="AO1559" t="s">
        <v>118</v>
      </c>
      <c r="AP1559">
        <v>-28</v>
      </c>
      <c r="AQ1559">
        <v>118</v>
      </c>
      <c r="AR1559">
        <v>0</v>
      </c>
      <c r="AZ1559">
        <v>1200</v>
      </c>
      <c r="BA1559">
        <v>1</v>
      </c>
      <c r="BB1559" t="str">
        <f t="shared" si="75"/>
        <v xml:space="preserve">N8080G  </v>
      </c>
      <c r="BC1559">
        <v>1</v>
      </c>
      <c r="BE1559">
        <v>0</v>
      </c>
      <c r="BF1559">
        <v>0</v>
      </c>
      <c r="BG1559">
        <v>0</v>
      </c>
      <c r="BH1559">
        <v>1700</v>
      </c>
      <c r="BI1559">
        <v>1</v>
      </c>
      <c r="BJ1559">
        <v>1</v>
      </c>
      <c r="BK1559">
        <v>1</v>
      </c>
      <c r="BL1559">
        <v>0</v>
      </c>
      <c r="BO1559">
        <v>0</v>
      </c>
      <c r="BP1559">
        <v>0</v>
      </c>
      <c r="BW1559" t="str">
        <f>"20:21:40.107"</f>
        <v>20:21:40.107</v>
      </c>
      <c r="BZ1559">
        <v>0</v>
      </c>
      <c r="CA1559">
        <v>2016</v>
      </c>
      <c r="CB1559">
        <v>224</v>
      </c>
      <c r="CD1559">
        <v>1</v>
      </c>
      <c r="CE1559">
        <v>0</v>
      </c>
      <c r="CF1559">
        <v>0</v>
      </c>
      <c r="CG1559">
        <v>1</v>
      </c>
      <c r="CH1559">
        <v>0</v>
      </c>
      <c r="CI1559">
        <v>0</v>
      </c>
      <c r="CJ1559">
        <v>0</v>
      </c>
      <c r="CK1559">
        <v>2</v>
      </c>
      <c r="CL1559">
        <v>0</v>
      </c>
      <c r="CM1559">
        <v>2</v>
      </c>
      <c r="CN1559">
        <v>0</v>
      </c>
      <c r="CO1559">
        <v>7</v>
      </c>
      <c r="CP1559" t="s">
        <v>119</v>
      </c>
      <c r="CQ1559">
        <v>180</v>
      </c>
      <c r="CR1559">
        <v>1</v>
      </c>
      <c r="CW1559">
        <v>10811578</v>
      </c>
      <c r="CY1559">
        <v>1</v>
      </c>
      <c r="CZ1559">
        <v>0</v>
      </c>
      <c r="DA1559">
        <v>0</v>
      </c>
      <c r="DB1559">
        <v>0</v>
      </c>
      <c r="DC1559">
        <v>0</v>
      </c>
      <c r="DD1559">
        <v>0</v>
      </c>
      <c r="DE1559">
        <v>0</v>
      </c>
      <c r="DF1559">
        <v>0</v>
      </c>
      <c r="DG1559">
        <v>0</v>
      </c>
      <c r="DH1559">
        <v>0</v>
      </c>
      <c r="DI1559">
        <v>0</v>
      </c>
    </row>
    <row r="1560" spans="1:113" x14ac:dyDescent="0.3">
      <c r="A1560" t="str">
        <f>"02/08/2021 20:21:37.772"</f>
        <v>02/08/2021 20:21:37.772</v>
      </c>
      <c r="C1560" t="str">
        <f t="shared" si="74"/>
        <v>FFDFD7C0</v>
      </c>
      <c r="D1560" t="s">
        <v>113</v>
      </c>
      <c r="E1560">
        <v>6</v>
      </c>
      <c r="H1560">
        <v>165</v>
      </c>
      <c r="I1560" t="s">
        <v>114</v>
      </c>
      <c r="J1560" t="s">
        <v>115</v>
      </c>
      <c r="K1560">
        <v>0</v>
      </c>
      <c r="L1560">
        <v>3</v>
      </c>
      <c r="M1560">
        <v>0</v>
      </c>
      <c r="N1560">
        <v>2</v>
      </c>
      <c r="O1560">
        <v>1</v>
      </c>
      <c r="P1560">
        <v>0</v>
      </c>
      <c r="Q1560">
        <v>0</v>
      </c>
      <c r="S1560" t="str">
        <f>"20:21:40.102"</f>
        <v>20:21:40.102</v>
      </c>
      <c r="T1560" t="str">
        <f>"20:21:39.602"</f>
        <v>20:21:39.602</v>
      </c>
      <c r="U1560" t="str">
        <f t="shared" si="73"/>
        <v>AB01F4</v>
      </c>
      <c r="V1560">
        <v>0</v>
      </c>
      <c r="W1560">
        <v>0</v>
      </c>
      <c r="X1560">
        <v>2</v>
      </c>
      <c r="Z1560">
        <v>0</v>
      </c>
      <c r="AA1560">
        <v>9</v>
      </c>
      <c r="AB1560">
        <v>3</v>
      </c>
      <c r="AC1560">
        <v>0</v>
      </c>
      <c r="AD1560">
        <v>10</v>
      </c>
      <c r="AE1560">
        <v>0</v>
      </c>
      <c r="AF1560">
        <v>3</v>
      </c>
      <c r="AG1560">
        <v>2</v>
      </c>
      <c r="AH1560">
        <v>0</v>
      </c>
      <c r="AI1560" t="s">
        <v>1029</v>
      </c>
      <c r="AJ1560">
        <v>39.843271000000001</v>
      </c>
      <c r="AK1560" t="s">
        <v>1030</v>
      </c>
      <c r="AL1560">
        <v>-92.532649000000006</v>
      </c>
      <c r="AM1560">
        <v>100</v>
      </c>
      <c r="AN1560">
        <v>1700</v>
      </c>
      <c r="AO1560" t="s">
        <v>118</v>
      </c>
      <c r="AP1560">
        <v>-28</v>
      </c>
      <c r="AQ1560">
        <v>118</v>
      </c>
      <c r="AR1560">
        <v>0</v>
      </c>
      <c r="AZ1560">
        <v>1200</v>
      </c>
      <c r="BA1560">
        <v>1</v>
      </c>
      <c r="BB1560" t="str">
        <f t="shared" si="75"/>
        <v xml:space="preserve">N8080G  </v>
      </c>
      <c r="BC1560">
        <v>1</v>
      </c>
      <c r="BE1560">
        <v>0</v>
      </c>
      <c r="BF1560">
        <v>0</v>
      </c>
      <c r="BG1560">
        <v>0</v>
      </c>
      <c r="BH1560">
        <v>1700</v>
      </c>
      <c r="BI1560">
        <v>1</v>
      </c>
      <c r="BJ1560">
        <v>1</v>
      </c>
      <c r="BK1560">
        <v>1</v>
      </c>
      <c r="BL1560">
        <v>0</v>
      </c>
      <c r="BO1560">
        <v>0</v>
      </c>
      <c r="BP1560">
        <v>0</v>
      </c>
      <c r="BW1560" t="str">
        <f>"20:21:40.107"</f>
        <v>20:21:40.107</v>
      </c>
      <c r="BZ1560">
        <v>0</v>
      </c>
      <c r="CA1560">
        <v>2016</v>
      </c>
      <c r="CB1560">
        <v>224</v>
      </c>
      <c r="CD1560">
        <v>1</v>
      </c>
      <c r="CE1560">
        <v>0</v>
      </c>
      <c r="CF1560">
        <v>0</v>
      </c>
      <c r="CG1560">
        <v>1</v>
      </c>
      <c r="CH1560">
        <v>0</v>
      </c>
      <c r="CI1560">
        <v>0</v>
      </c>
      <c r="CJ1560">
        <v>0</v>
      </c>
      <c r="CK1560">
        <v>2</v>
      </c>
      <c r="CL1560">
        <v>0</v>
      </c>
      <c r="CM1560">
        <v>2</v>
      </c>
      <c r="CN1560">
        <v>0</v>
      </c>
      <c r="CO1560">
        <v>7</v>
      </c>
      <c r="CP1560" t="s">
        <v>119</v>
      </c>
      <c r="CQ1560">
        <v>180</v>
      </c>
      <c r="CR1560">
        <v>1</v>
      </c>
      <c r="CW1560">
        <v>10811578</v>
      </c>
      <c r="CY1560">
        <v>1</v>
      </c>
      <c r="CZ1560">
        <v>0</v>
      </c>
      <c r="DA1560">
        <v>1</v>
      </c>
      <c r="DB1560">
        <v>0</v>
      </c>
      <c r="DC1560">
        <v>0</v>
      </c>
      <c r="DD1560">
        <v>0</v>
      </c>
      <c r="DE1560">
        <v>0</v>
      </c>
      <c r="DF1560">
        <v>0</v>
      </c>
      <c r="DG1560">
        <v>0</v>
      </c>
      <c r="DH1560">
        <v>0</v>
      </c>
      <c r="DI1560">
        <v>0</v>
      </c>
    </row>
    <row r="1561" spans="1:113" x14ac:dyDescent="0.3">
      <c r="A1561" t="str">
        <f>"02/08/2021 20:21:37.772"</f>
        <v>02/08/2021 20:21:37.772</v>
      </c>
      <c r="C1561" t="str">
        <f t="shared" si="74"/>
        <v>FFDFD7C0</v>
      </c>
      <c r="D1561" t="s">
        <v>124</v>
      </c>
      <c r="E1561">
        <v>12</v>
      </c>
      <c r="F1561">
        <v>1012</v>
      </c>
      <c r="G1561" t="s">
        <v>675</v>
      </c>
      <c r="J1561" t="s">
        <v>125</v>
      </c>
      <c r="K1561">
        <v>0</v>
      </c>
      <c r="L1561">
        <v>3</v>
      </c>
      <c r="M1561">
        <v>0</v>
      </c>
      <c r="N1561">
        <v>2</v>
      </c>
      <c r="O1561">
        <v>1</v>
      </c>
      <c r="P1561">
        <v>0</v>
      </c>
      <c r="Q1561">
        <v>0</v>
      </c>
      <c r="S1561" t="str">
        <f>"20:21:40.102"</f>
        <v>20:21:40.102</v>
      </c>
      <c r="T1561" t="str">
        <f>"20:21:39.602"</f>
        <v>20:21:39.602</v>
      </c>
      <c r="U1561" t="str">
        <f t="shared" si="73"/>
        <v>AB01F4</v>
      </c>
      <c r="V1561">
        <v>0</v>
      </c>
      <c r="W1561">
        <v>0</v>
      </c>
      <c r="X1561">
        <v>2</v>
      </c>
      <c r="Z1561">
        <v>0</v>
      </c>
      <c r="AA1561">
        <v>9</v>
      </c>
      <c r="AB1561">
        <v>3</v>
      </c>
      <c r="AC1561">
        <v>0</v>
      </c>
      <c r="AD1561">
        <v>10</v>
      </c>
      <c r="AE1561">
        <v>0</v>
      </c>
      <c r="AF1561">
        <v>3</v>
      </c>
      <c r="AG1561">
        <v>2</v>
      </c>
      <c r="AH1561">
        <v>0</v>
      </c>
      <c r="AI1561" t="s">
        <v>1029</v>
      </c>
      <c r="AJ1561">
        <v>39.843271000000001</v>
      </c>
      <c r="AK1561" t="s">
        <v>1030</v>
      </c>
      <c r="AL1561">
        <v>-92.532649000000006</v>
      </c>
      <c r="AM1561">
        <v>100</v>
      </c>
      <c r="AN1561">
        <v>1700</v>
      </c>
      <c r="AO1561" t="s">
        <v>118</v>
      </c>
      <c r="AP1561">
        <v>-28</v>
      </c>
      <c r="AQ1561">
        <v>118</v>
      </c>
      <c r="AR1561">
        <v>0</v>
      </c>
      <c r="AZ1561">
        <v>1200</v>
      </c>
      <c r="BA1561">
        <v>1</v>
      </c>
      <c r="BB1561" t="str">
        <f t="shared" si="75"/>
        <v xml:space="preserve">N8080G  </v>
      </c>
      <c r="BC1561">
        <v>1</v>
      </c>
      <c r="BE1561">
        <v>0</v>
      </c>
      <c r="BF1561">
        <v>0</v>
      </c>
      <c r="BG1561">
        <v>0</v>
      </c>
      <c r="BH1561">
        <v>1700</v>
      </c>
      <c r="BI1561">
        <v>1</v>
      </c>
      <c r="BJ1561">
        <v>1</v>
      </c>
      <c r="BK1561">
        <v>1</v>
      </c>
      <c r="BL1561">
        <v>0</v>
      </c>
      <c r="BO1561">
        <v>0</v>
      </c>
      <c r="BP1561">
        <v>0</v>
      </c>
      <c r="BW1561" t="str">
        <f>"20:21:40.107"</f>
        <v>20:21:40.107</v>
      </c>
      <c r="BZ1561">
        <v>0</v>
      </c>
      <c r="CA1561">
        <v>2016</v>
      </c>
      <c r="CB1561">
        <v>224</v>
      </c>
      <c r="CD1561">
        <v>1</v>
      </c>
      <c r="CE1561">
        <v>0</v>
      </c>
      <c r="CF1561">
        <v>0</v>
      </c>
      <c r="CG1561">
        <v>1</v>
      </c>
      <c r="CH1561">
        <v>0</v>
      </c>
      <c r="CI1561">
        <v>0</v>
      </c>
      <c r="CJ1561">
        <v>0</v>
      </c>
      <c r="CK1561">
        <v>2</v>
      </c>
      <c r="CL1561">
        <v>0</v>
      </c>
      <c r="CM1561">
        <v>2</v>
      </c>
      <c r="CN1561">
        <v>0</v>
      </c>
      <c r="CO1561">
        <v>7</v>
      </c>
      <c r="CP1561" t="s">
        <v>119</v>
      </c>
      <c r="CQ1561">
        <v>180</v>
      </c>
      <c r="CR1561">
        <v>1</v>
      </c>
      <c r="CW1561">
        <v>10811578</v>
      </c>
      <c r="CY1561">
        <v>1</v>
      </c>
      <c r="CZ1561">
        <v>0</v>
      </c>
      <c r="DA1561">
        <v>1</v>
      </c>
      <c r="DB1561">
        <v>0</v>
      </c>
      <c r="DC1561">
        <v>0</v>
      </c>
      <c r="DD1561">
        <v>0</v>
      </c>
      <c r="DE1561">
        <v>0</v>
      </c>
      <c r="DF1561">
        <v>0</v>
      </c>
      <c r="DG1561">
        <v>0</v>
      </c>
      <c r="DH1561">
        <v>0</v>
      </c>
      <c r="DI1561">
        <v>0</v>
      </c>
    </row>
    <row r="1562" spans="1:113" x14ac:dyDescent="0.3">
      <c r="A1562" t="str">
        <f>"02/08/2021 20:21:37.772"</f>
        <v>02/08/2021 20:21:37.772</v>
      </c>
      <c r="C1562" t="str">
        <f t="shared" si="74"/>
        <v>FFDFD7C0</v>
      </c>
      <c r="D1562" t="s">
        <v>124</v>
      </c>
      <c r="E1562">
        <v>11</v>
      </c>
      <c r="F1562">
        <v>1011</v>
      </c>
      <c r="G1562" t="s">
        <v>590</v>
      </c>
      <c r="J1562" t="s">
        <v>125</v>
      </c>
      <c r="K1562">
        <v>0</v>
      </c>
      <c r="L1562">
        <v>3</v>
      </c>
      <c r="M1562">
        <v>0</v>
      </c>
      <c r="N1562">
        <v>2</v>
      </c>
      <c r="O1562">
        <v>1</v>
      </c>
      <c r="P1562">
        <v>0</v>
      </c>
      <c r="Q1562">
        <v>0</v>
      </c>
      <c r="S1562" t="str">
        <f>"20:21:40.102"</f>
        <v>20:21:40.102</v>
      </c>
      <c r="T1562" t="str">
        <f>"20:21:39.602"</f>
        <v>20:21:39.602</v>
      </c>
      <c r="U1562" t="str">
        <f t="shared" si="73"/>
        <v>AB01F4</v>
      </c>
      <c r="V1562">
        <v>0</v>
      </c>
      <c r="W1562">
        <v>0</v>
      </c>
      <c r="X1562">
        <v>2</v>
      </c>
      <c r="Z1562">
        <v>0</v>
      </c>
      <c r="AA1562">
        <v>9</v>
      </c>
      <c r="AB1562">
        <v>3</v>
      </c>
      <c r="AC1562">
        <v>0</v>
      </c>
      <c r="AD1562">
        <v>10</v>
      </c>
      <c r="AE1562">
        <v>0</v>
      </c>
      <c r="AF1562">
        <v>3</v>
      </c>
      <c r="AG1562">
        <v>2</v>
      </c>
      <c r="AH1562">
        <v>0</v>
      </c>
      <c r="AI1562" t="s">
        <v>1029</v>
      </c>
      <c r="AJ1562">
        <v>39.843271000000001</v>
      </c>
      <c r="AK1562" t="s">
        <v>1030</v>
      </c>
      <c r="AL1562">
        <v>-92.532649000000006</v>
      </c>
      <c r="AM1562">
        <v>100</v>
      </c>
      <c r="AN1562">
        <v>1700</v>
      </c>
      <c r="AO1562" t="s">
        <v>118</v>
      </c>
      <c r="AP1562">
        <v>-28</v>
      </c>
      <c r="AQ1562">
        <v>118</v>
      </c>
      <c r="AR1562">
        <v>0</v>
      </c>
      <c r="AZ1562">
        <v>1200</v>
      </c>
      <c r="BA1562">
        <v>1</v>
      </c>
      <c r="BB1562" t="str">
        <f t="shared" si="75"/>
        <v xml:space="preserve">N8080G  </v>
      </c>
      <c r="BC1562">
        <v>1</v>
      </c>
      <c r="BE1562">
        <v>0</v>
      </c>
      <c r="BF1562">
        <v>0</v>
      </c>
      <c r="BG1562">
        <v>0</v>
      </c>
      <c r="BH1562">
        <v>1700</v>
      </c>
      <c r="BI1562">
        <v>1</v>
      </c>
      <c r="BJ1562">
        <v>1</v>
      </c>
      <c r="BK1562">
        <v>1</v>
      </c>
      <c r="BL1562">
        <v>0</v>
      </c>
      <c r="BO1562">
        <v>0</v>
      </c>
      <c r="BP1562">
        <v>0</v>
      </c>
      <c r="BW1562" t="str">
        <f>"20:21:40.107"</f>
        <v>20:21:40.107</v>
      </c>
      <c r="BZ1562">
        <v>0</v>
      </c>
      <c r="CA1562">
        <v>2016</v>
      </c>
      <c r="CB1562">
        <v>224</v>
      </c>
      <c r="CD1562">
        <v>1</v>
      </c>
      <c r="CE1562">
        <v>0</v>
      </c>
      <c r="CF1562">
        <v>0</v>
      </c>
      <c r="CG1562">
        <v>1</v>
      </c>
      <c r="CH1562">
        <v>0</v>
      </c>
      <c r="CI1562">
        <v>0</v>
      </c>
      <c r="CJ1562">
        <v>0</v>
      </c>
      <c r="CK1562">
        <v>2</v>
      </c>
      <c r="CL1562">
        <v>0</v>
      </c>
      <c r="CM1562">
        <v>2</v>
      </c>
      <c r="CN1562">
        <v>0</v>
      </c>
      <c r="CO1562">
        <v>7</v>
      </c>
      <c r="CP1562" t="s">
        <v>119</v>
      </c>
      <c r="CQ1562">
        <v>180</v>
      </c>
      <c r="CR1562">
        <v>1</v>
      </c>
      <c r="CW1562">
        <v>10811578</v>
      </c>
      <c r="CY1562">
        <v>1</v>
      </c>
      <c r="CZ1562">
        <v>0</v>
      </c>
      <c r="DA1562">
        <v>1</v>
      </c>
      <c r="DB1562">
        <v>0</v>
      </c>
      <c r="DC1562">
        <v>0</v>
      </c>
      <c r="DD1562">
        <v>0</v>
      </c>
      <c r="DE1562">
        <v>0</v>
      </c>
      <c r="DF1562">
        <v>0</v>
      </c>
      <c r="DG1562">
        <v>0</v>
      </c>
      <c r="DH1562">
        <v>0</v>
      </c>
      <c r="DI1562">
        <v>0</v>
      </c>
    </row>
    <row r="1563" spans="1:113" x14ac:dyDescent="0.3">
      <c r="A1563" t="str">
        <f>"02/08/2021 20:21:39.289"</f>
        <v>02/08/2021 20:21:39.289</v>
      </c>
      <c r="C1563" t="str">
        <f t="shared" si="74"/>
        <v>FFDFD7C0</v>
      </c>
      <c r="D1563" t="s">
        <v>113</v>
      </c>
      <c r="E1563">
        <v>6</v>
      </c>
      <c r="H1563">
        <v>165</v>
      </c>
      <c r="I1563" t="s">
        <v>114</v>
      </c>
      <c r="J1563" t="s">
        <v>115</v>
      </c>
      <c r="K1563">
        <v>0</v>
      </c>
      <c r="L1563">
        <v>3</v>
      </c>
      <c r="M1563">
        <v>0</v>
      </c>
      <c r="N1563">
        <v>2</v>
      </c>
      <c r="O1563">
        <v>1</v>
      </c>
      <c r="P1563">
        <v>0</v>
      </c>
      <c r="Q1563">
        <v>0</v>
      </c>
      <c r="S1563" t="str">
        <f>"20:21:41.617"</f>
        <v>20:21:41.617</v>
      </c>
      <c r="T1563" t="str">
        <f>"20:21:41.117"</f>
        <v>20:21:41.117</v>
      </c>
      <c r="U1563" t="str">
        <f t="shared" si="73"/>
        <v>AB01F4</v>
      </c>
      <c r="V1563">
        <v>0</v>
      </c>
      <c r="W1563">
        <v>0</v>
      </c>
      <c r="X1563">
        <v>2</v>
      </c>
      <c r="Z1563">
        <v>0</v>
      </c>
      <c r="AA1563">
        <v>9</v>
      </c>
      <c r="AB1563">
        <v>3</v>
      </c>
      <c r="AC1563">
        <v>0</v>
      </c>
      <c r="AD1563">
        <v>10</v>
      </c>
      <c r="AE1563">
        <v>0</v>
      </c>
      <c r="AF1563">
        <v>3</v>
      </c>
      <c r="AG1563">
        <v>2</v>
      </c>
      <c r="AH1563">
        <v>0</v>
      </c>
      <c r="AI1563" t="s">
        <v>1031</v>
      </c>
      <c r="AJ1563">
        <v>39.844150999999997</v>
      </c>
      <c r="AK1563" t="s">
        <v>1032</v>
      </c>
      <c r="AL1563">
        <v>-92.532949000000002</v>
      </c>
      <c r="AM1563">
        <v>100</v>
      </c>
      <c r="AN1563">
        <v>1700</v>
      </c>
      <c r="AO1563" t="s">
        <v>118</v>
      </c>
      <c r="AP1563">
        <v>-28</v>
      </c>
      <c r="AQ1563">
        <v>118</v>
      </c>
      <c r="AR1563">
        <v>128</v>
      </c>
      <c r="AZ1563">
        <v>1200</v>
      </c>
      <c r="BA1563">
        <v>1</v>
      </c>
      <c r="BB1563" t="str">
        <f t="shared" si="75"/>
        <v xml:space="preserve">N8080G  </v>
      </c>
      <c r="BC1563">
        <v>1</v>
      </c>
      <c r="BE1563">
        <v>0</v>
      </c>
      <c r="BF1563">
        <v>0</v>
      </c>
      <c r="BG1563">
        <v>0</v>
      </c>
      <c r="BH1563">
        <v>1700</v>
      </c>
      <c r="BI1563">
        <v>1</v>
      </c>
      <c r="BJ1563">
        <v>1</v>
      </c>
      <c r="BK1563">
        <v>1</v>
      </c>
      <c r="BL1563">
        <v>0</v>
      </c>
      <c r="BO1563">
        <v>0</v>
      </c>
      <c r="BP1563">
        <v>0</v>
      </c>
      <c r="BW1563" t="str">
        <f>"20:21:41.617"</f>
        <v>20:21:41.617</v>
      </c>
      <c r="BZ1563">
        <v>0</v>
      </c>
      <c r="CA1563">
        <v>2016</v>
      </c>
      <c r="CB1563">
        <v>224</v>
      </c>
      <c r="CD1563">
        <v>1</v>
      </c>
      <c r="CE1563">
        <v>0</v>
      </c>
      <c r="CF1563">
        <v>0</v>
      </c>
      <c r="CG1563">
        <v>1</v>
      </c>
      <c r="CH1563">
        <v>0</v>
      </c>
      <c r="CI1563">
        <v>0</v>
      </c>
      <c r="CJ1563">
        <v>0</v>
      </c>
      <c r="CK1563">
        <v>2</v>
      </c>
      <c r="CL1563">
        <v>0</v>
      </c>
      <c r="CM1563">
        <v>2</v>
      </c>
      <c r="CN1563">
        <v>0</v>
      </c>
      <c r="CO1563">
        <v>7</v>
      </c>
      <c r="CP1563" t="s">
        <v>119</v>
      </c>
      <c r="CQ1563">
        <v>180</v>
      </c>
      <c r="CR1563">
        <v>1</v>
      </c>
      <c r="CW1563">
        <v>10812848</v>
      </c>
      <c r="CY1563">
        <v>1</v>
      </c>
      <c r="CZ1563">
        <v>0</v>
      </c>
      <c r="DA1563">
        <v>0</v>
      </c>
      <c r="DB1563">
        <v>0</v>
      </c>
      <c r="DC1563">
        <v>0</v>
      </c>
      <c r="DD1563">
        <v>0</v>
      </c>
      <c r="DE1563">
        <v>0</v>
      </c>
      <c r="DF1563">
        <v>0</v>
      </c>
      <c r="DG1563">
        <v>0</v>
      </c>
      <c r="DH1563">
        <v>0</v>
      </c>
      <c r="DI1563">
        <v>0</v>
      </c>
    </row>
    <row r="1564" spans="1:113" x14ac:dyDescent="0.3">
      <c r="A1564" t="str">
        <f>"02/08/2021 20:21:39.289"</f>
        <v>02/08/2021 20:21:39.289</v>
      </c>
      <c r="C1564" t="str">
        <f t="shared" si="74"/>
        <v>FFDFD7C0</v>
      </c>
      <c r="D1564" t="s">
        <v>124</v>
      </c>
      <c r="E1564">
        <v>12</v>
      </c>
      <c r="F1564">
        <v>1012</v>
      </c>
      <c r="G1564" t="s">
        <v>675</v>
      </c>
      <c r="J1564" t="s">
        <v>125</v>
      </c>
      <c r="K1564">
        <v>0</v>
      </c>
      <c r="L1564">
        <v>3</v>
      </c>
      <c r="M1564">
        <v>0</v>
      </c>
      <c r="N1564">
        <v>2</v>
      </c>
      <c r="O1564">
        <v>1</v>
      </c>
      <c r="P1564">
        <v>0</v>
      </c>
      <c r="Q1564">
        <v>0</v>
      </c>
      <c r="S1564" t="str">
        <f>"20:21:41.617"</f>
        <v>20:21:41.617</v>
      </c>
      <c r="T1564" t="str">
        <f>"20:21:41.117"</f>
        <v>20:21:41.117</v>
      </c>
      <c r="U1564" t="str">
        <f t="shared" si="73"/>
        <v>AB01F4</v>
      </c>
      <c r="V1564">
        <v>0</v>
      </c>
      <c r="W1564">
        <v>0</v>
      </c>
      <c r="X1564">
        <v>2</v>
      </c>
      <c r="Z1564">
        <v>0</v>
      </c>
      <c r="AA1564">
        <v>9</v>
      </c>
      <c r="AB1564">
        <v>3</v>
      </c>
      <c r="AC1564">
        <v>0</v>
      </c>
      <c r="AD1564">
        <v>10</v>
      </c>
      <c r="AE1564">
        <v>0</v>
      </c>
      <c r="AF1564">
        <v>3</v>
      </c>
      <c r="AG1564">
        <v>2</v>
      </c>
      <c r="AH1564">
        <v>0</v>
      </c>
      <c r="AI1564" t="s">
        <v>1031</v>
      </c>
      <c r="AJ1564">
        <v>39.844150999999997</v>
      </c>
      <c r="AK1564" t="s">
        <v>1032</v>
      </c>
      <c r="AL1564">
        <v>-92.532949000000002</v>
      </c>
      <c r="AM1564">
        <v>100</v>
      </c>
      <c r="AN1564">
        <v>1700</v>
      </c>
      <c r="AO1564" t="s">
        <v>118</v>
      </c>
      <c r="AP1564">
        <v>-28</v>
      </c>
      <c r="AQ1564">
        <v>118</v>
      </c>
      <c r="AR1564">
        <v>128</v>
      </c>
      <c r="AZ1564">
        <v>1200</v>
      </c>
      <c r="BA1564">
        <v>1</v>
      </c>
      <c r="BB1564" t="str">
        <f t="shared" si="75"/>
        <v xml:space="preserve">N8080G  </v>
      </c>
      <c r="BC1564">
        <v>1</v>
      </c>
      <c r="BE1564">
        <v>0</v>
      </c>
      <c r="BF1564">
        <v>0</v>
      </c>
      <c r="BG1564">
        <v>0</v>
      </c>
      <c r="BH1564">
        <v>1700</v>
      </c>
      <c r="BI1564">
        <v>1</v>
      </c>
      <c r="BJ1564">
        <v>1</v>
      </c>
      <c r="BK1564">
        <v>1</v>
      </c>
      <c r="BL1564">
        <v>0</v>
      </c>
      <c r="BO1564">
        <v>0</v>
      </c>
      <c r="BP1564">
        <v>0</v>
      </c>
      <c r="BW1564" t="str">
        <f>"20:21:41.617"</f>
        <v>20:21:41.617</v>
      </c>
      <c r="BZ1564">
        <v>0</v>
      </c>
      <c r="CA1564">
        <v>2016</v>
      </c>
      <c r="CB1564">
        <v>224</v>
      </c>
      <c r="CD1564">
        <v>1</v>
      </c>
      <c r="CE1564">
        <v>0</v>
      </c>
      <c r="CF1564">
        <v>0</v>
      </c>
      <c r="CG1564">
        <v>1</v>
      </c>
      <c r="CH1564">
        <v>0</v>
      </c>
      <c r="CI1564">
        <v>0</v>
      </c>
      <c r="CJ1564">
        <v>0</v>
      </c>
      <c r="CK1564">
        <v>2</v>
      </c>
      <c r="CL1564">
        <v>0</v>
      </c>
      <c r="CM1564">
        <v>2</v>
      </c>
      <c r="CN1564">
        <v>0</v>
      </c>
      <c r="CO1564">
        <v>7</v>
      </c>
      <c r="CP1564" t="s">
        <v>119</v>
      </c>
      <c r="CQ1564">
        <v>180</v>
      </c>
      <c r="CR1564">
        <v>1</v>
      </c>
      <c r="CW1564">
        <v>10812848</v>
      </c>
      <c r="CY1564">
        <v>1</v>
      </c>
      <c r="CZ1564">
        <v>0</v>
      </c>
      <c r="DA1564">
        <v>1</v>
      </c>
      <c r="DB1564">
        <v>0</v>
      </c>
      <c r="DC1564">
        <v>0</v>
      </c>
      <c r="DD1564">
        <v>0</v>
      </c>
      <c r="DE1564">
        <v>0</v>
      </c>
      <c r="DF1564">
        <v>0</v>
      </c>
      <c r="DG1564">
        <v>0</v>
      </c>
      <c r="DH1564">
        <v>0</v>
      </c>
      <c r="DI1564">
        <v>0</v>
      </c>
    </row>
    <row r="1565" spans="1:113" x14ac:dyDescent="0.3">
      <c r="A1565" t="str">
        <f>"02/08/2021 20:21:39.289"</f>
        <v>02/08/2021 20:21:39.289</v>
      </c>
      <c r="C1565" t="str">
        <f t="shared" si="74"/>
        <v>FFDFD7C0</v>
      </c>
      <c r="D1565" t="s">
        <v>124</v>
      </c>
      <c r="E1565">
        <v>11</v>
      </c>
      <c r="F1565">
        <v>1011</v>
      </c>
      <c r="G1565" t="s">
        <v>590</v>
      </c>
      <c r="J1565" t="s">
        <v>125</v>
      </c>
      <c r="K1565">
        <v>0</v>
      </c>
      <c r="L1565">
        <v>3</v>
      </c>
      <c r="M1565">
        <v>0</v>
      </c>
      <c r="N1565">
        <v>2</v>
      </c>
      <c r="O1565">
        <v>1</v>
      </c>
      <c r="P1565">
        <v>0</v>
      </c>
      <c r="Q1565">
        <v>0</v>
      </c>
      <c r="S1565" t="str">
        <f>"20:21:41.617"</f>
        <v>20:21:41.617</v>
      </c>
      <c r="T1565" t="str">
        <f>"20:21:41.117"</f>
        <v>20:21:41.117</v>
      </c>
      <c r="U1565" t="str">
        <f t="shared" si="73"/>
        <v>AB01F4</v>
      </c>
      <c r="V1565">
        <v>0</v>
      </c>
      <c r="W1565">
        <v>0</v>
      </c>
      <c r="X1565">
        <v>2</v>
      </c>
      <c r="Z1565">
        <v>0</v>
      </c>
      <c r="AA1565">
        <v>9</v>
      </c>
      <c r="AB1565">
        <v>3</v>
      </c>
      <c r="AC1565">
        <v>0</v>
      </c>
      <c r="AD1565">
        <v>10</v>
      </c>
      <c r="AE1565">
        <v>0</v>
      </c>
      <c r="AF1565">
        <v>3</v>
      </c>
      <c r="AG1565">
        <v>2</v>
      </c>
      <c r="AH1565">
        <v>0</v>
      </c>
      <c r="AI1565" t="s">
        <v>1031</v>
      </c>
      <c r="AJ1565">
        <v>39.844150999999997</v>
      </c>
      <c r="AK1565" t="s">
        <v>1032</v>
      </c>
      <c r="AL1565">
        <v>-92.532949000000002</v>
      </c>
      <c r="AM1565">
        <v>100</v>
      </c>
      <c r="AN1565">
        <v>1700</v>
      </c>
      <c r="AO1565" t="s">
        <v>118</v>
      </c>
      <c r="AP1565">
        <v>-28</v>
      </c>
      <c r="AQ1565">
        <v>118</v>
      </c>
      <c r="AR1565">
        <v>128</v>
      </c>
      <c r="AZ1565">
        <v>1200</v>
      </c>
      <c r="BA1565">
        <v>1</v>
      </c>
      <c r="BB1565" t="str">
        <f t="shared" si="75"/>
        <v xml:space="preserve">N8080G  </v>
      </c>
      <c r="BC1565">
        <v>1</v>
      </c>
      <c r="BE1565">
        <v>0</v>
      </c>
      <c r="BF1565">
        <v>0</v>
      </c>
      <c r="BG1565">
        <v>0</v>
      </c>
      <c r="BH1565">
        <v>1700</v>
      </c>
      <c r="BI1565">
        <v>1</v>
      </c>
      <c r="BJ1565">
        <v>1</v>
      </c>
      <c r="BK1565">
        <v>1</v>
      </c>
      <c r="BL1565">
        <v>0</v>
      </c>
      <c r="BO1565">
        <v>0</v>
      </c>
      <c r="BP1565">
        <v>0</v>
      </c>
      <c r="BW1565" t="str">
        <f>"20:21:41.617"</f>
        <v>20:21:41.617</v>
      </c>
      <c r="BZ1565">
        <v>0</v>
      </c>
      <c r="CA1565">
        <v>2016</v>
      </c>
      <c r="CB1565">
        <v>224</v>
      </c>
      <c r="CD1565">
        <v>1</v>
      </c>
      <c r="CE1565">
        <v>0</v>
      </c>
      <c r="CF1565">
        <v>0</v>
      </c>
      <c r="CG1565">
        <v>1</v>
      </c>
      <c r="CH1565">
        <v>0</v>
      </c>
      <c r="CI1565">
        <v>0</v>
      </c>
      <c r="CJ1565">
        <v>0</v>
      </c>
      <c r="CK1565">
        <v>2</v>
      </c>
      <c r="CL1565">
        <v>0</v>
      </c>
      <c r="CM1565">
        <v>2</v>
      </c>
      <c r="CN1565">
        <v>0</v>
      </c>
      <c r="CO1565">
        <v>7</v>
      </c>
      <c r="CP1565" t="s">
        <v>119</v>
      </c>
      <c r="CQ1565">
        <v>180</v>
      </c>
      <c r="CR1565">
        <v>1</v>
      </c>
      <c r="CW1565">
        <v>10812848</v>
      </c>
      <c r="CY1565">
        <v>1</v>
      </c>
      <c r="CZ1565">
        <v>0</v>
      </c>
      <c r="DA1565">
        <v>1</v>
      </c>
      <c r="DB1565">
        <v>0</v>
      </c>
      <c r="DC1565">
        <v>0</v>
      </c>
      <c r="DD1565">
        <v>0</v>
      </c>
      <c r="DE1565">
        <v>0</v>
      </c>
      <c r="DF1565">
        <v>0</v>
      </c>
      <c r="DG1565">
        <v>0</v>
      </c>
      <c r="DH1565">
        <v>0</v>
      </c>
      <c r="DI1565">
        <v>0</v>
      </c>
    </row>
    <row r="1566" spans="1:113" x14ac:dyDescent="0.3">
      <c r="A1566" t="str">
        <f>"02/08/2021 20:21:39.289"</f>
        <v>02/08/2021 20:21:39.289</v>
      </c>
      <c r="C1566" t="str">
        <f t="shared" si="74"/>
        <v>FFDFD7C0</v>
      </c>
      <c r="D1566" t="s">
        <v>124</v>
      </c>
      <c r="E1566">
        <v>13</v>
      </c>
      <c r="F1566">
        <v>1013</v>
      </c>
      <c r="G1566" t="s">
        <v>114</v>
      </c>
      <c r="J1566" t="s">
        <v>125</v>
      </c>
      <c r="K1566">
        <v>0</v>
      </c>
      <c r="L1566">
        <v>3</v>
      </c>
      <c r="M1566">
        <v>0</v>
      </c>
      <c r="N1566">
        <v>2</v>
      </c>
      <c r="O1566">
        <v>1</v>
      </c>
      <c r="P1566">
        <v>0</v>
      </c>
      <c r="Q1566">
        <v>0</v>
      </c>
      <c r="S1566" t="str">
        <f>"20:21:41.617"</f>
        <v>20:21:41.617</v>
      </c>
      <c r="T1566" t="str">
        <f>"20:21:41.117"</f>
        <v>20:21:41.117</v>
      </c>
      <c r="U1566" t="str">
        <f t="shared" si="73"/>
        <v>AB01F4</v>
      </c>
      <c r="V1566">
        <v>0</v>
      </c>
      <c r="W1566">
        <v>0</v>
      </c>
      <c r="X1566">
        <v>2</v>
      </c>
      <c r="Z1566">
        <v>0</v>
      </c>
      <c r="AA1566">
        <v>9</v>
      </c>
      <c r="AB1566">
        <v>3</v>
      </c>
      <c r="AC1566">
        <v>0</v>
      </c>
      <c r="AD1566">
        <v>10</v>
      </c>
      <c r="AE1566">
        <v>0</v>
      </c>
      <c r="AF1566">
        <v>3</v>
      </c>
      <c r="AG1566">
        <v>2</v>
      </c>
      <c r="AH1566">
        <v>0</v>
      </c>
      <c r="AI1566" t="s">
        <v>1031</v>
      </c>
      <c r="AJ1566">
        <v>39.844150999999997</v>
      </c>
      <c r="AK1566" t="s">
        <v>1032</v>
      </c>
      <c r="AL1566">
        <v>-92.532949000000002</v>
      </c>
      <c r="AM1566">
        <v>100</v>
      </c>
      <c r="AN1566">
        <v>1700</v>
      </c>
      <c r="AO1566" t="s">
        <v>118</v>
      </c>
      <c r="AP1566">
        <v>-28</v>
      </c>
      <c r="AQ1566">
        <v>118</v>
      </c>
      <c r="AR1566">
        <v>128</v>
      </c>
      <c r="AZ1566">
        <v>1200</v>
      </c>
      <c r="BA1566">
        <v>1</v>
      </c>
      <c r="BB1566" t="str">
        <f t="shared" si="75"/>
        <v xml:space="preserve">N8080G  </v>
      </c>
      <c r="BC1566">
        <v>1</v>
      </c>
      <c r="BE1566">
        <v>0</v>
      </c>
      <c r="BF1566">
        <v>0</v>
      </c>
      <c r="BG1566">
        <v>0</v>
      </c>
      <c r="BH1566">
        <v>1700</v>
      </c>
      <c r="BI1566">
        <v>1</v>
      </c>
      <c r="BJ1566">
        <v>1</v>
      </c>
      <c r="BK1566">
        <v>1</v>
      </c>
      <c r="BL1566">
        <v>0</v>
      </c>
      <c r="BO1566">
        <v>0</v>
      </c>
      <c r="BP1566">
        <v>0</v>
      </c>
      <c r="BW1566" t="str">
        <f>"20:21:41.617"</f>
        <v>20:21:41.617</v>
      </c>
      <c r="BZ1566">
        <v>0</v>
      </c>
      <c r="CA1566">
        <v>2016</v>
      </c>
      <c r="CB1566">
        <v>224</v>
      </c>
      <c r="CD1566">
        <v>1</v>
      </c>
      <c r="CE1566">
        <v>0</v>
      </c>
      <c r="CF1566">
        <v>0</v>
      </c>
      <c r="CG1566">
        <v>1</v>
      </c>
      <c r="CH1566">
        <v>0</v>
      </c>
      <c r="CI1566">
        <v>0</v>
      </c>
      <c r="CJ1566">
        <v>0</v>
      </c>
      <c r="CK1566">
        <v>2</v>
      </c>
      <c r="CL1566">
        <v>0</v>
      </c>
      <c r="CM1566">
        <v>2</v>
      </c>
      <c r="CN1566">
        <v>0</v>
      </c>
      <c r="CO1566">
        <v>7</v>
      </c>
      <c r="CP1566" t="s">
        <v>119</v>
      </c>
      <c r="CQ1566">
        <v>180</v>
      </c>
      <c r="CR1566">
        <v>1</v>
      </c>
      <c r="CW1566">
        <v>10812848</v>
      </c>
      <c r="CY1566">
        <v>1</v>
      </c>
      <c r="CZ1566">
        <v>0</v>
      </c>
      <c r="DA1566">
        <v>1</v>
      </c>
      <c r="DB1566">
        <v>0</v>
      </c>
      <c r="DC1566">
        <v>0</v>
      </c>
      <c r="DD1566">
        <v>0</v>
      </c>
      <c r="DE1566">
        <v>0</v>
      </c>
      <c r="DF1566">
        <v>0</v>
      </c>
      <c r="DG1566">
        <v>0</v>
      </c>
      <c r="DH1566">
        <v>0</v>
      </c>
      <c r="DI1566">
        <v>0</v>
      </c>
    </row>
    <row r="1567" spans="1:113" x14ac:dyDescent="0.3">
      <c r="A1567" t="str">
        <f>"02/08/2021 20:21:40.853"</f>
        <v>02/08/2021 20:21:40.853</v>
      </c>
      <c r="C1567" t="str">
        <f t="shared" si="74"/>
        <v>FFDFD7C0</v>
      </c>
      <c r="D1567" t="s">
        <v>113</v>
      </c>
      <c r="E1567">
        <v>6</v>
      </c>
      <c r="H1567">
        <v>165</v>
      </c>
      <c r="I1567" t="s">
        <v>114</v>
      </c>
      <c r="J1567" t="s">
        <v>115</v>
      </c>
      <c r="K1567">
        <v>0</v>
      </c>
      <c r="L1567">
        <v>3</v>
      </c>
      <c r="M1567">
        <v>0</v>
      </c>
      <c r="N1567">
        <v>2</v>
      </c>
      <c r="O1567">
        <v>1</v>
      </c>
      <c r="P1567">
        <v>0</v>
      </c>
      <c r="Q1567">
        <v>0</v>
      </c>
      <c r="S1567" t="str">
        <f>"20:21:43.180"</f>
        <v>20:21:43.180</v>
      </c>
      <c r="T1567" t="str">
        <f>"20:21:42.780"</f>
        <v>20:21:42.780</v>
      </c>
      <c r="U1567" t="str">
        <f t="shared" si="73"/>
        <v>AB01F4</v>
      </c>
      <c r="V1567">
        <v>0</v>
      </c>
      <c r="W1567">
        <v>0</v>
      </c>
      <c r="X1567">
        <v>2</v>
      </c>
      <c r="Z1567">
        <v>0</v>
      </c>
      <c r="AA1567">
        <v>9</v>
      </c>
      <c r="AB1567">
        <v>3</v>
      </c>
      <c r="AC1567">
        <v>0</v>
      </c>
      <c r="AD1567">
        <v>10</v>
      </c>
      <c r="AE1567">
        <v>0</v>
      </c>
      <c r="AF1567">
        <v>3</v>
      </c>
      <c r="AG1567">
        <v>2</v>
      </c>
      <c r="AH1567">
        <v>0</v>
      </c>
      <c r="AI1567" t="s">
        <v>1033</v>
      </c>
      <c r="AJ1567">
        <v>39.844943999999998</v>
      </c>
      <c r="AK1567" t="s">
        <v>1034</v>
      </c>
      <c r="AL1567">
        <v>-92.533185000000003</v>
      </c>
      <c r="AM1567">
        <v>100</v>
      </c>
      <c r="AN1567">
        <v>1700</v>
      </c>
      <c r="AO1567" t="s">
        <v>118</v>
      </c>
      <c r="AP1567">
        <v>-28</v>
      </c>
      <c r="AQ1567">
        <v>117</v>
      </c>
      <c r="AR1567">
        <v>0</v>
      </c>
      <c r="AZ1567">
        <v>1200</v>
      </c>
      <c r="BA1567">
        <v>1</v>
      </c>
      <c r="BB1567" t="str">
        <f t="shared" si="75"/>
        <v xml:space="preserve">N8080G  </v>
      </c>
      <c r="BC1567">
        <v>1</v>
      </c>
      <c r="BE1567">
        <v>0</v>
      </c>
      <c r="BF1567">
        <v>0</v>
      </c>
      <c r="BG1567">
        <v>0</v>
      </c>
      <c r="BH1567">
        <v>1700</v>
      </c>
      <c r="BI1567">
        <v>1</v>
      </c>
      <c r="BJ1567">
        <v>1</v>
      </c>
      <c r="BK1567">
        <v>1</v>
      </c>
      <c r="BL1567">
        <v>0</v>
      </c>
      <c r="BO1567">
        <v>0</v>
      </c>
      <c r="BP1567">
        <v>0</v>
      </c>
      <c r="BW1567" t="str">
        <f>"20:21:43.180"</f>
        <v>20:21:43.180</v>
      </c>
      <c r="BZ1567">
        <v>0</v>
      </c>
      <c r="CA1567">
        <v>2016</v>
      </c>
      <c r="CB1567">
        <v>224</v>
      </c>
      <c r="CD1567">
        <v>1</v>
      </c>
      <c r="CE1567">
        <v>0</v>
      </c>
      <c r="CF1567">
        <v>0</v>
      </c>
      <c r="CG1567">
        <v>1</v>
      </c>
      <c r="CH1567">
        <v>0</v>
      </c>
      <c r="CI1567">
        <v>0</v>
      </c>
      <c r="CJ1567">
        <v>0</v>
      </c>
      <c r="CK1567">
        <v>2</v>
      </c>
      <c r="CL1567">
        <v>0</v>
      </c>
      <c r="CM1567">
        <v>2</v>
      </c>
      <c r="CN1567">
        <v>0</v>
      </c>
      <c r="CO1567">
        <v>7</v>
      </c>
      <c r="CP1567" t="s">
        <v>119</v>
      </c>
      <c r="CQ1567">
        <v>180</v>
      </c>
      <c r="CR1567">
        <v>1</v>
      </c>
      <c r="CW1567">
        <v>10814132</v>
      </c>
      <c r="CY1567">
        <v>1</v>
      </c>
      <c r="CZ1567">
        <v>0</v>
      </c>
      <c r="DA1567">
        <v>0</v>
      </c>
      <c r="DB1567">
        <v>0</v>
      </c>
      <c r="DC1567">
        <v>0</v>
      </c>
      <c r="DD1567">
        <v>0</v>
      </c>
      <c r="DE1567">
        <v>0</v>
      </c>
      <c r="DF1567">
        <v>0</v>
      </c>
      <c r="DG1567">
        <v>0</v>
      </c>
      <c r="DH1567">
        <v>0</v>
      </c>
      <c r="DI1567">
        <v>0</v>
      </c>
    </row>
    <row r="1568" spans="1:113" x14ac:dyDescent="0.3">
      <c r="A1568" t="str">
        <f>"02/08/2021 20:21:40.853"</f>
        <v>02/08/2021 20:21:40.853</v>
      </c>
      <c r="C1568" t="str">
        <f t="shared" si="74"/>
        <v>FFDFD7C0</v>
      </c>
      <c r="D1568" t="s">
        <v>124</v>
      </c>
      <c r="E1568">
        <v>11</v>
      </c>
      <c r="F1568">
        <v>1011</v>
      </c>
      <c r="G1568" t="s">
        <v>590</v>
      </c>
      <c r="J1568" t="s">
        <v>125</v>
      </c>
      <c r="K1568">
        <v>0</v>
      </c>
      <c r="L1568">
        <v>3</v>
      </c>
      <c r="M1568">
        <v>0</v>
      </c>
      <c r="N1568">
        <v>2</v>
      </c>
      <c r="O1568">
        <v>1</v>
      </c>
      <c r="P1568">
        <v>0</v>
      </c>
      <c r="Q1568">
        <v>0</v>
      </c>
      <c r="S1568" t="str">
        <f>"20:21:43.180"</f>
        <v>20:21:43.180</v>
      </c>
      <c r="T1568" t="str">
        <f>"20:21:42.780"</f>
        <v>20:21:42.780</v>
      </c>
      <c r="U1568" t="str">
        <f t="shared" si="73"/>
        <v>AB01F4</v>
      </c>
      <c r="V1568">
        <v>0</v>
      </c>
      <c r="W1568">
        <v>0</v>
      </c>
      <c r="X1568">
        <v>2</v>
      </c>
      <c r="Z1568">
        <v>0</v>
      </c>
      <c r="AA1568">
        <v>9</v>
      </c>
      <c r="AB1568">
        <v>3</v>
      </c>
      <c r="AC1568">
        <v>0</v>
      </c>
      <c r="AD1568">
        <v>10</v>
      </c>
      <c r="AE1568">
        <v>0</v>
      </c>
      <c r="AF1568">
        <v>3</v>
      </c>
      <c r="AG1568">
        <v>2</v>
      </c>
      <c r="AH1568">
        <v>0</v>
      </c>
      <c r="AI1568" t="s">
        <v>1033</v>
      </c>
      <c r="AJ1568">
        <v>39.844943999999998</v>
      </c>
      <c r="AK1568" t="s">
        <v>1034</v>
      </c>
      <c r="AL1568">
        <v>-92.533185000000003</v>
      </c>
      <c r="AM1568">
        <v>100</v>
      </c>
      <c r="AN1568">
        <v>1700</v>
      </c>
      <c r="AO1568" t="s">
        <v>118</v>
      </c>
      <c r="AP1568">
        <v>-28</v>
      </c>
      <c r="AQ1568">
        <v>117</v>
      </c>
      <c r="AR1568">
        <v>0</v>
      </c>
      <c r="AZ1568">
        <v>1200</v>
      </c>
      <c r="BA1568">
        <v>1</v>
      </c>
      <c r="BB1568" t="str">
        <f t="shared" si="75"/>
        <v xml:space="preserve">N8080G  </v>
      </c>
      <c r="BC1568">
        <v>1</v>
      </c>
      <c r="BE1568">
        <v>0</v>
      </c>
      <c r="BF1568">
        <v>0</v>
      </c>
      <c r="BG1568">
        <v>0</v>
      </c>
      <c r="BH1568">
        <v>1700</v>
      </c>
      <c r="BI1568">
        <v>1</v>
      </c>
      <c r="BJ1568">
        <v>1</v>
      </c>
      <c r="BK1568">
        <v>1</v>
      </c>
      <c r="BL1568">
        <v>0</v>
      </c>
      <c r="BO1568">
        <v>0</v>
      </c>
      <c r="BP1568">
        <v>0</v>
      </c>
      <c r="BW1568" t="str">
        <f>"20:21:43.180"</f>
        <v>20:21:43.180</v>
      </c>
      <c r="BZ1568">
        <v>0</v>
      </c>
      <c r="CA1568">
        <v>2016</v>
      </c>
      <c r="CB1568">
        <v>224</v>
      </c>
      <c r="CD1568">
        <v>1</v>
      </c>
      <c r="CE1568">
        <v>0</v>
      </c>
      <c r="CF1568">
        <v>0</v>
      </c>
      <c r="CG1568">
        <v>1</v>
      </c>
      <c r="CH1568">
        <v>0</v>
      </c>
      <c r="CI1568">
        <v>0</v>
      </c>
      <c r="CJ1568">
        <v>0</v>
      </c>
      <c r="CK1568">
        <v>2</v>
      </c>
      <c r="CL1568">
        <v>0</v>
      </c>
      <c r="CM1568">
        <v>2</v>
      </c>
      <c r="CN1568">
        <v>0</v>
      </c>
      <c r="CO1568">
        <v>7</v>
      </c>
      <c r="CP1568" t="s">
        <v>119</v>
      </c>
      <c r="CQ1568">
        <v>180</v>
      </c>
      <c r="CR1568">
        <v>1</v>
      </c>
      <c r="CW1568">
        <v>10814132</v>
      </c>
      <c r="CY1568">
        <v>1</v>
      </c>
      <c r="CZ1568">
        <v>0</v>
      </c>
      <c r="DA1568">
        <v>1</v>
      </c>
      <c r="DB1568">
        <v>0</v>
      </c>
      <c r="DC1568">
        <v>0</v>
      </c>
      <c r="DD1568">
        <v>0</v>
      </c>
      <c r="DE1568">
        <v>0</v>
      </c>
      <c r="DF1568">
        <v>0</v>
      </c>
      <c r="DG1568">
        <v>0</v>
      </c>
      <c r="DH1568">
        <v>0</v>
      </c>
      <c r="DI1568">
        <v>0</v>
      </c>
    </row>
    <row r="1569" spans="1:113" x14ac:dyDescent="0.3">
      <c r="A1569" t="str">
        <f>"02/08/2021 20:21:40.853"</f>
        <v>02/08/2021 20:21:40.853</v>
      </c>
      <c r="C1569" t="str">
        <f t="shared" si="74"/>
        <v>FFDFD7C0</v>
      </c>
      <c r="D1569" t="s">
        <v>124</v>
      </c>
      <c r="E1569">
        <v>13</v>
      </c>
      <c r="F1569">
        <v>1013</v>
      </c>
      <c r="G1569" t="s">
        <v>114</v>
      </c>
      <c r="J1569" t="s">
        <v>125</v>
      </c>
      <c r="K1569">
        <v>0</v>
      </c>
      <c r="L1569">
        <v>3</v>
      </c>
      <c r="M1569">
        <v>0</v>
      </c>
      <c r="N1569">
        <v>2</v>
      </c>
      <c r="O1569">
        <v>1</v>
      </c>
      <c r="P1569">
        <v>0</v>
      </c>
      <c r="Q1569">
        <v>0</v>
      </c>
      <c r="S1569" t="str">
        <f>"20:21:43.180"</f>
        <v>20:21:43.180</v>
      </c>
      <c r="T1569" t="str">
        <f>"20:21:42.780"</f>
        <v>20:21:42.780</v>
      </c>
      <c r="U1569" t="str">
        <f t="shared" si="73"/>
        <v>AB01F4</v>
      </c>
      <c r="V1569">
        <v>0</v>
      </c>
      <c r="W1569">
        <v>0</v>
      </c>
      <c r="X1569">
        <v>2</v>
      </c>
      <c r="Z1569">
        <v>0</v>
      </c>
      <c r="AA1569">
        <v>9</v>
      </c>
      <c r="AB1569">
        <v>3</v>
      </c>
      <c r="AC1569">
        <v>0</v>
      </c>
      <c r="AD1569">
        <v>10</v>
      </c>
      <c r="AE1569">
        <v>0</v>
      </c>
      <c r="AF1569">
        <v>3</v>
      </c>
      <c r="AG1569">
        <v>2</v>
      </c>
      <c r="AH1569">
        <v>0</v>
      </c>
      <c r="AI1569" t="s">
        <v>1033</v>
      </c>
      <c r="AJ1569">
        <v>39.844943999999998</v>
      </c>
      <c r="AK1569" t="s">
        <v>1034</v>
      </c>
      <c r="AL1569">
        <v>-92.533185000000003</v>
      </c>
      <c r="AM1569">
        <v>100</v>
      </c>
      <c r="AN1569">
        <v>1700</v>
      </c>
      <c r="AO1569" t="s">
        <v>118</v>
      </c>
      <c r="AP1569">
        <v>-28</v>
      </c>
      <c r="AQ1569">
        <v>117</v>
      </c>
      <c r="AR1569">
        <v>0</v>
      </c>
      <c r="AZ1569">
        <v>1200</v>
      </c>
      <c r="BA1569">
        <v>1</v>
      </c>
      <c r="BB1569" t="str">
        <f t="shared" si="75"/>
        <v xml:space="preserve">N8080G  </v>
      </c>
      <c r="BC1569">
        <v>1</v>
      </c>
      <c r="BE1569">
        <v>0</v>
      </c>
      <c r="BF1569">
        <v>0</v>
      </c>
      <c r="BG1569">
        <v>0</v>
      </c>
      <c r="BH1569">
        <v>1700</v>
      </c>
      <c r="BI1569">
        <v>1</v>
      </c>
      <c r="BJ1569">
        <v>1</v>
      </c>
      <c r="BK1569">
        <v>1</v>
      </c>
      <c r="BL1569">
        <v>0</v>
      </c>
      <c r="BO1569">
        <v>0</v>
      </c>
      <c r="BP1569">
        <v>0</v>
      </c>
      <c r="BW1569" t="str">
        <f>"20:21:43.180"</f>
        <v>20:21:43.180</v>
      </c>
      <c r="BZ1569">
        <v>0</v>
      </c>
      <c r="CA1569">
        <v>2016</v>
      </c>
      <c r="CB1569">
        <v>224</v>
      </c>
      <c r="CD1569">
        <v>1</v>
      </c>
      <c r="CE1569">
        <v>0</v>
      </c>
      <c r="CF1569">
        <v>0</v>
      </c>
      <c r="CG1569">
        <v>1</v>
      </c>
      <c r="CH1569">
        <v>0</v>
      </c>
      <c r="CI1569">
        <v>0</v>
      </c>
      <c r="CJ1569">
        <v>0</v>
      </c>
      <c r="CK1569">
        <v>2</v>
      </c>
      <c r="CL1569">
        <v>0</v>
      </c>
      <c r="CM1569">
        <v>2</v>
      </c>
      <c r="CN1569">
        <v>0</v>
      </c>
      <c r="CO1569">
        <v>7</v>
      </c>
      <c r="CP1569" t="s">
        <v>119</v>
      </c>
      <c r="CQ1569">
        <v>180</v>
      </c>
      <c r="CR1569">
        <v>1</v>
      </c>
      <c r="CW1569">
        <v>10814132</v>
      </c>
      <c r="CY1569">
        <v>1</v>
      </c>
      <c r="CZ1569">
        <v>0</v>
      </c>
      <c r="DA1569">
        <v>1</v>
      </c>
      <c r="DB1569">
        <v>0</v>
      </c>
      <c r="DC1569">
        <v>0</v>
      </c>
      <c r="DD1569">
        <v>0</v>
      </c>
      <c r="DE1569">
        <v>0</v>
      </c>
      <c r="DF1569">
        <v>0</v>
      </c>
      <c r="DG1569">
        <v>0</v>
      </c>
      <c r="DH1569">
        <v>0</v>
      </c>
      <c r="DI1569">
        <v>0</v>
      </c>
    </row>
    <row r="1570" spans="1:113" x14ac:dyDescent="0.3">
      <c r="A1570" t="str">
        <f>"02/08/2021 20:21:40.853"</f>
        <v>02/08/2021 20:21:40.853</v>
      </c>
      <c r="C1570" t="str">
        <f t="shared" si="74"/>
        <v>FFDFD7C0</v>
      </c>
      <c r="D1570" t="s">
        <v>124</v>
      </c>
      <c r="E1570">
        <v>12</v>
      </c>
      <c r="F1570">
        <v>1012</v>
      </c>
      <c r="G1570" t="s">
        <v>675</v>
      </c>
      <c r="J1570" t="s">
        <v>125</v>
      </c>
      <c r="K1570">
        <v>0</v>
      </c>
      <c r="L1570">
        <v>3</v>
      </c>
      <c r="M1570">
        <v>0</v>
      </c>
      <c r="N1570">
        <v>2</v>
      </c>
      <c r="O1570">
        <v>1</v>
      </c>
      <c r="P1570">
        <v>0</v>
      </c>
      <c r="Q1570">
        <v>0</v>
      </c>
      <c r="S1570" t="str">
        <f>"20:21:43.180"</f>
        <v>20:21:43.180</v>
      </c>
      <c r="T1570" t="str">
        <f>"20:21:42.780"</f>
        <v>20:21:42.780</v>
      </c>
      <c r="U1570" t="str">
        <f t="shared" si="73"/>
        <v>AB01F4</v>
      </c>
      <c r="V1570">
        <v>0</v>
      </c>
      <c r="W1570">
        <v>0</v>
      </c>
      <c r="X1570">
        <v>2</v>
      </c>
      <c r="Z1570">
        <v>0</v>
      </c>
      <c r="AA1570">
        <v>9</v>
      </c>
      <c r="AB1570">
        <v>3</v>
      </c>
      <c r="AC1570">
        <v>0</v>
      </c>
      <c r="AD1570">
        <v>10</v>
      </c>
      <c r="AE1570">
        <v>0</v>
      </c>
      <c r="AF1570">
        <v>3</v>
      </c>
      <c r="AG1570">
        <v>2</v>
      </c>
      <c r="AH1570">
        <v>0</v>
      </c>
      <c r="AI1570" t="s">
        <v>1033</v>
      </c>
      <c r="AJ1570">
        <v>39.844943999999998</v>
      </c>
      <c r="AK1570" t="s">
        <v>1034</v>
      </c>
      <c r="AL1570">
        <v>-92.533185000000003</v>
      </c>
      <c r="AM1570">
        <v>100</v>
      </c>
      <c r="AN1570">
        <v>1700</v>
      </c>
      <c r="AO1570" t="s">
        <v>118</v>
      </c>
      <c r="AP1570">
        <v>-28</v>
      </c>
      <c r="AQ1570">
        <v>117</v>
      </c>
      <c r="AR1570">
        <v>0</v>
      </c>
      <c r="AZ1570">
        <v>1200</v>
      </c>
      <c r="BA1570">
        <v>1</v>
      </c>
      <c r="BB1570" t="str">
        <f t="shared" si="75"/>
        <v xml:space="preserve">N8080G  </v>
      </c>
      <c r="BC1570">
        <v>1</v>
      </c>
      <c r="BE1570">
        <v>0</v>
      </c>
      <c r="BF1570">
        <v>0</v>
      </c>
      <c r="BG1570">
        <v>0</v>
      </c>
      <c r="BH1570">
        <v>1700</v>
      </c>
      <c r="BI1570">
        <v>1</v>
      </c>
      <c r="BJ1570">
        <v>1</v>
      </c>
      <c r="BK1570">
        <v>1</v>
      </c>
      <c r="BL1570">
        <v>0</v>
      </c>
      <c r="BO1570">
        <v>0</v>
      </c>
      <c r="BP1570">
        <v>0</v>
      </c>
      <c r="BW1570" t="str">
        <f>"20:21:43.180"</f>
        <v>20:21:43.180</v>
      </c>
      <c r="BZ1570">
        <v>0</v>
      </c>
      <c r="CA1570">
        <v>2016</v>
      </c>
      <c r="CB1570">
        <v>224</v>
      </c>
      <c r="CD1570">
        <v>1</v>
      </c>
      <c r="CE1570">
        <v>0</v>
      </c>
      <c r="CF1570">
        <v>0</v>
      </c>
      <c r="CG1570">
        <v>1</v>
      </c>
      <c r="CH1570">
        <v>0</v>
      </c>
      <c r="CI1570">
        <v>0</v>
      </c>
      <c r="CJ1570">
        <v>0</v>
      </c>
      <c r="CK1570">
        <v>2</v>
      </c>
      <c r="CL1570">
        <v>0</v>
      </c>
      <c r="CM1570">
        <v>2</v>
      </c>
      <c r="CN1570">
        <v>0</v>
      </c>
      <c r="CO1570">
        <v>7</v>
      </c>
      <c r="CP1570" t="s">
        <v>119</v>
      </c>
      <c r="CQ1570">
        <v>180</v>
      </c>
      <c r="CR1570">
        <v>1</v>
      </c>
      <c r="CW1570">
        <v>10814132</v>
      </c>
      <c r="CY1570">
        <v>1</v>
      </c>
      <c r="CZ1570">
        <v>0</v>
      </c>
      <c r="DA1570">
        <v>1</v>
      </c>
      <c r="DB1570">
        <v>0</v>
      </c>
      <c r="DC1570">
        <v>0</v>
      </c>
      <c r="DD1570">
        <v>0</v>
      </c>
      <c r="DE1570">
        <v>0</v>
      </c>
      <c r="DF1570">
        <v>0</v>
      </c>
      <c r="DG1570">
        <v>0</v>
      </c>
      <c r="DH1570">
        <v>0</v>
      </c>
      <c r="DI1570">
        <v>0</v>
      </c>
    </row>
    <row r="1571" spans="1:113" x14ac:dyDescent="0.3">
      <c r="A1571" t="str">
        <f>"02/08/2021 20:21:45.605"</f>
        <v>02/08/2021 20:21:45.605</v>
      </c>
      <c r="C1571" t="str">
        <f t="shared" si="74"/>
        <v>FFDFD7C0</v>
      </c>
      <c r="D1571" t="s">
        <v>113</v>
      </c>
      <c r="E1571">
        <v>6</v>
      </c>
      <c r="H1571">
        <v>165</v>
      </c>
      <c r="I1571" t="s">
        <v>114</v>
      </c>
      <c r="J1571" t="s">
        <v>115</v>
      </c>
      <c r="K1571">
        <v>0</v>
      </c>
      <c r="L1571">
        <v>3</v>
      </c>
      <c r="M1571">
        <v>0</v>
      </c>
      <c r="N1571">
        <v>2</v>
      </c>
      <c r="O1571">
        <v>1</v>
      </c>
      <c r="P1571">
        <v>0</v>
      </c>
      <c r="Q1571">
        <v>0</v>
      </c>
      <c r="S1571" t="str">
        <f>"20:21:47.906"</f>
        <v>20:21:47.906</v>
      </c>
      <c r="T1571" t="str">
        <f>"20:21:47.406"</f>
        <v>20:21:47.406</v>
      </c>
      <c r="U1571" t="str">
        <f t="shared" si="73"/>
        <v>AB01F4</v>
      </c>
      <c r="V1571">
        <v>0</v>
      </c>
      <c r="W1571">
        <v>0</v>
      </c>
      <c r="X1571">
        <v>2</v>
      </c>
      <c r="Z1571">
        <v>0</v>
      </c>
      <c r="AA1571">
        <v>9</v>
      </c>
      <c r="AB1571">
        <v>3</v>
      </c>
      <c r="AC1571">
        <v>0</v>
      </c>
      <c r="AD1571">
        <v>10</v>
      </c>
      <c r="AE1571">
        <v>0</v>
      </c>
      <c r="AF1571">
        <v>3</v>
      </c>
      <c r="AG1571">
        <v>2</v>
      </c>
      <c r="AH1571">
        <v>0</v>
      </c>
      <c r="AI1571" t="s">
        <v>1035</v>
      </c>
      <c r="AJ1571">
        <v>39.847498000000002</v>
      </c>
      <c r="AK1571" t="s">
        <v>1036</v>
      </c>
      <c r="AL1571">
        <v>-92.534001000000004</v>
      </c>
      <c r="AM1571">
        <v>100</v>
      </c>
      <c r="AN1571">
        <v>1700</v>
      </c>
      <c r="AO1571" t="s">
        <v>118</v>
      </c>
      <c r="AP1571">
        <v>-28</v>
      </c>
      <c r="AQ1571">
        <v>117</v>
      </c>
      <c r="AR1571">
        <v>64</v>
      </c>
      <c r="AZ1571">
        <v>1200</v>
      </c>
      <c r="BA1571">
        <v>1</v>
      </c>
      <c r="BB1571" t="str">
        <f t="shared" si="75"/>
        <v xml:space="preserve">N8080G  </v>
      </c>
      <c r="BC1571">
        <v>1</v>
      </c>
      <c r="BE1571">
        <v>0</v>
      </c>
      <c r="BF1571">
        <v>0</v>
      </c>
      <c r="BG1571">
        <v>0</v>
      </c>
      <c r="BH1571">
        <v>1700</v>
      </c>
      <c r="BI1571">
        <v>1</v>
      </c>
      <c r="BJ1571">
        <v>1</v>
      </c>
      <c r="BK1571">
        <v>1</v>
      </c>
      <c r="BL1571">
        <v>0</v>
      </c>
      <c r="BO1571">
        <v>0</v>
      </c>
      <c r="BP1571">
        <v>0</v>
      </c>
      <c r="BW1571" t="str">
        <f>"20:21:47.909"</f>
        <v>20:21:47.909</v>
      </c>
      <c r="BZ1571">
        <v>0</v>
      </c>
      <c r="CA1571">
        <v>2016</v>
      </c>
      <c r="CB1571">
        <v>224</v>
      </c>
      <c r="CD1571">
        <v>1</v>
      </c>
      <c r="CE1571">
        <v>0</v>
      </c>
      <c r="CF1571">
        <v>0</v>
      </c>
      <c r="CG1571">
        <v>1</v>
      </c>
      <c r="CH1571">
        <v>0</v>
      </c>
      <c r="CI1571">
        <v>0</v>
      </c>
      <c r="CJ1571">
        <v>0</v>
      </c>
      <c r="CK1571">
        <v>2</v>
      </c>
      <c r="CL1571">
        <v>0</v>
      </c>
      <c r="CM1571">
        <v>2</v>
      </c>
      <c r="CN1571">
        <v>0</v>
      </c>
      <c r="CO1571">
        <v>7</v>
      </c>
      <c r="CP1571" t="s">
        <v>119</v>
      </c>
      <c r="CQ1571">
        <v>180</v>
      </c>
      <c r="CR1571">
        <v>1</v>
      </c>
      <c r="CW1571">
        <v>10817892</v>
      </c>
      <c r="CY1571">
        <v>1</v>
      </c>
      <c r="CZ1571">
        <v>0</v>
      </c>
      <c r="DA1571">
        <v>0</v>
      </c>
      <c r="DB1571">
        <v>0</v>
      </c>
      <c r="DC1571">
        <v>0</v>
      </c>
      <c r="DD1571">
        <v>0</v>
      </c>
      <c r="DE1571">
        <v>0</v>
      </c>
      <c r="DF1571">
        <v>0</v>
      </c>
      <c r="DG1571">
        <v>0</v>
      </c>
      <c r="DH1571">
        <v>0</v>
      </c>
      <c r="DI1571">
        <v>0</v>
      </c>
    </row>
    <row r="1572" spans="1:113" x14ac:dyDescent="0.3">
      <c r="A1572" t="str">
        <f>"02/08/2021 20:21:45.605"</f>
        <v>02/08/2021 20:21:45.605</v>
      </c>
      <c r="C1572" t="str">
        <f t="shared" si="74"/>
        <v>FFDFD7C0</v>
      </c>
      <c r="D1572" t="s">
        <v>124</v>
      </c>
      <c r="E1572">
        <v>13</v>
      </c>
      <c r="F1572">
        <v>1013</v>
      </c>
      <c r="G1572" t="s">
        <v>114</v>
      </c>
      <c r="J1572" t="s">
        <v>125</v>
      </c>
      <c r="K1572">
        <v>0</v>
      </c>
      <c r="L1572">
        <v>3</v>
      </c>
      <c r="M1572">
        <v>0</v>
      </c>
      <c r="N1572">
        <v>2</v>
      </c>
      <c r="O1572">
        <v>1</v>
      </c>
      <c r="P1572">
        <v>0</v>
      </c>
      <c r="Q1572">
        <v>0</v>
      </c>
      <c r="S1572" t="str">
        <f>"20:21:47.906"</f>
        <v>20:21:47.906</v>
      </c>
      <c r="T1572" t="str">
        <f>"20:21:47.406"</f>
        <v>20:21:47.406</v>
      </c>
      <c r="U1572" t="str">
        <f t="shared" si="73"/>
        <v>AB01F4</v>
      </c>
      <c r="V1572">
        <v>0</v>
      </c>
      <c r="W1572">
        <v>0</v>
      </c>
      <c r="X1572">
        <v>2</v>
      </c>
      <c r="Z1572">
        <v>0</v>
      </c>
      <c r="AA1572">
        <v>9</v>
      </c>
      <c r="AB1572">
        <v>3</v>
      </c>
      <c r="AC1572">
        <v>0</v>
      </c>
      <c r="AD1572">
        <v>10</v>
      </c>
      <c r="AE1572">
        <v>0</v>
      </c>
      <c r="AF1572">
        <v>3</v>
      </c>
      <c r="AG1572">
        <v>2</v>
      </c>
      <c r="AH1572">
        <v>0</v>
      </c>
      <c r="AI1572" t="s">
        <v>1035</v>
      </c>
      <c r="AJ1572">
        <v>39.847498000000002</v>
      </c>
      <c r="AK1572" t="s">
        <v>1036</v>
      </c>
      <c r="AL1572">
        <v>-92.534001000000004</v>
      </c>
      <c r="AM1572">
        <v>100</v>
      </c>
      <c r="AN1572">
        <v>1700</v>
      </c>
      <c r="AO1572" t="s">
        <v>118</v>
      </c>
      <c r="AP1572">
        <v>-28</v>
      </c>
      <c r="AQ1572">
        <v>117</v>
      </c>
      <c r="AR1572">
        <v>64</v>
      </c>
      <c r="AZ1572">
        <v>1200</v>
      </c>
      <c r="BA1572">
        <v>1</v>
      </c>
      <c r="BB1572" t="str">
        <f t="shared" si="75"/>
        <v xml:space="preserve">N8080G  </v>
      </c>
      <c r="BC1572">
        <v>1</v>
      </c>
      <c r="BE1572">
        <v>0</v>
      </c>
      <c r="BF1572">
        <v>0</v>
      </c>
      <c r="BG1572">
        <v>0</v>
      </c>
      <c r="BH1572">
        <v>1700</v>
      </c>
      <c r="BI1572">
        <v>1</v>
      </c>
      <c r="BJ1572">
        <v>1</v>
      </c>
      <c r="BK1572">
        <v>1</v>
      </c>
      <c r="BL1572">
        <v>0</v>
      </c>
      <c r="BO1572">
        <v>0</v>
      </c>
      <c r="BP1572">
        <v>0</v>
      </c>
      <c r="BW1572" t="str">
        <f>"20:21:47.909"</f>
        <v>20:21:47.909</v>
      </c>
      <c r="BZ1572">
        <v>0</v>
      </c>
      <c r="CA1572">
        <v>2016</v>
      </c>
      <c r="CB1572">
        <v>224</v>
      </c>
      <c r="CD1572">
        <v>1</v>
      </c>
      <c r="CE1572">
        <v>0</v>
      </c>
      <c r="CF1572">
        <v>0</v>
      </c>
      <c r="CG1572">
        <v>1</v>
      </c>
      <c r="CH1572">
        <v>0</v>
      </c>
      <c r="CI1572">
        <v>0</v>
      </c>
      <c r="CJ1572">
        <v>0</v>
      </c>
      <c r="CK1572">
        <v>2</v>
      </c>
      <c r="CL1572">
        <v>0</v>
      </c>
      <c r="CM1572">
        <v>2</v>
      </c>
      <c r="CN1572">
        <v>0</v>
      </c>
      <c r="CO1572">
        <v>7</v>
      </c>
      <c r="CP1572" t="s">
        <v>119</v>
      </c>
      <c r="CQ1572">
        <v>180</v>
      </c>
      <c r="CR1572">
        <v>1</v>
      </c>
      <c r="CW1572">
        <v>10817892</v>
      </c>
      <c r="CY1572">
        <v>1</v>
      </c>
      <c r="CZ1572">
        <v>0</v>
      </c>
      <c r="DA1572">
        <v>1</v>
      </c>
      <c r="DB1572">
        <v>0</v>
      </c>
      <c r="DC1572">
        <v>0</v>
      </c>
      <c r="DD1572">
        <v>0</v>
      </c>
      <c r="DE1572">
        <v>0</v>
      </c>
      <c r="DF1572">
        <v>0</v>
      </c>
      <c r="DG1572">
        <v>0</v>
      </c>
      <c r="DH1572">
        <v>0</v>
      </c>
      <c r="DI1572">
        <v>0</v>
      </c>
    </row>
    <row r="1573" spans="1:113" x14ac:dyDescent="0.3">
      <c r="A1573" t="str">
        <f>"02/08/2021 20:21:45.605"</f>
        <v>02/08/2021 20:21:45.605</v>
      </c>
      <c r="C1573" t="str">
        <f t="shared" si="74"/>
        <v>FFDFD7C0</v>
      </c>
      <c r="D1573" t="s">
        <v>124</v>
      </c>
      <c r="E1573">
        <v>11</v>
      </c>
      <c r="F1573">
        <v>1011</v>
      </c>
      <c r="G1573" t="s">
        <v>590</v>
      </c>
      <c r="J1573" t="s">
        <v>125</v>
      </c>
      <c r="K1573">
        <v>0</v>
      </c>
      <c r="L1573">
        <v>3</v>
      </c>
      <c r="M1573">
        <v>0</v>
      </c>
      <c r="N1573">
        <v>2</v>
      </c>
      <c r="O1573">
        <v>1</v>
      </c>
      <c r="P1573">
        <v>0</v>
      </c>
      <c r="Q1573">
        <v>0</v>
      </c>
      <c r="S1573" t="str">
        <f>"20:21:47.906"</f>
        <v>20:21:47.906</v>
      </c>
      <c r="T1573" t="str">
        <f>"20:21:47.406"</f>
        <v>20:21:47.406</v>
      </c>
      <c r="U1573" t="str">
        <f t="shared" si="73"/>
        <v>AB01F4</v>
      </c>
      <c r="V1573">
        <v>0</v>
      </c>
      <c r="W1573">
        <v>0</v>
      </c>
      <c r="X1573">
        <v>2</v>
      </c>
      <c r="Z1573">
        <v>0</v>
      </c>
      <c r="AA1573">
        <v>9</v>
      </c>
      <c r="AB1573">
        <v>3</v>
      </c>
      <c r="AC1573">
        <v>0</v>
      </c>
      <c r="AD1573">
        <v>10</v>
      </c>
      <c r="AE1573">
        <v>0</v>
      </c>
      <c r="AF1573">
        <v>3</v>
      </c>
      <c r="AG1573">
        <v>2</v>
      </c>
      <c r="AH1573">
        <v>0</v>
      </c>
      <c r="AI1573" t="s">
        <v>1035</v>
      </c>
      <c r="AJ1573">
        <v>39.847498000000002</v>
      </c>
      <c r="AK1573" t="s">
        <v>1036</v>
      </c>
      <c r="AL1573">
        <v>-92.534001000000004</v>
      </c>
      <c r="AM1573">
        <v>100</v>
      </c>
      <c r="AN1573">
        <v>1700</v>
      </c>
      <c r="AO1573" t="s">
        <v>118</v>
      </c>
      <c r="AP1573">
        <v>-28</v>
      </c>
      <c r="AQ1573">
        <v>117</v>
      </c>
      <c r="AR1573">
        <v>64</v>
      </c>
      <c r="AZ1573">
        <v>1200</v>
      </c>
      <c r="BA1573">
        <v>1</v>
      </c>
      <c r="BB1573" t="str">
        <f t="shared" si="75"/>
        <v xml:space="preserve">N8080G  </v>
      </c>
      <c r="BC1573">
        <v>1</v>
      </c>
      <c r="BE1573">
        <v>0</v>
      </c>
      <c r="BF1573">
        <v>0</v>
      </c>
      <c r="BG1573">
        <v>0</v>
      </c>
      <c r="BH1573">
        <v>1700</v>
      </c>
      <c r="BI1573">
        <v>1</v>
      </c>
      <c r="BJ1573">
        <v>1</v>
      </c>
      <c r="BK1573">
        <v>1</v>
      </c>
      <c r="BL1573">
        <v>0</v>
      </c>
      <c r="BO1573">
        <v>0</v>
      </c>
      <c r="BP1573">
        <v>0</v>
      </c>
      <c r="BW1573" t="str">
        <f>"20:21:47.909"</f>
        <v>20:21:47.909</v>
      </c>
      <c r="BZ1573">
        <v>0</v>
      </c>
      <c r="CA1573">
        <v>2016</v>
      </c>
      <c r="CB1573">
        <v>224</v>
      </c>
      <c r="CD1573">
        <v>1</v>
      </c>
      <c r="CE1573">
        <v>0</v>
      </c>
      <c r="CF1573">
        <v>0</v>
      </c>
      <c r="CG1573">
        <v>1</v>
      </c>
      <c r="CH1573">
        <v>0</v>
      </c>
      <c r="CI1573">
        <v>0</v>
      </c>
      <c r="CJ1573">
        <v>0</v>
      </c>
      <c r="CK1573">
        <v>2</v>
      </c>
      <c r="CL1573">
        <v>0</v>
      </c>
      <c r="CM1573">
        <v>2</v>
      </c>
      <c r="CN1573">
        <v>0</v>
      </c>
      <c r="CO1573">
        <v>7</v>
      </c>
      <c r="CP1573" t="s">
        <v>119</v>
      </c>
      <c r="CQ1573">
        <v>180</v>
      </c>
      <c r="CR1573">
        <v>1</v>
      </c>
      <c r="CW1573">
        <v>10817892</v>
      </c>
      <c r="CY1573">
        <v>1</v>
      </c>
      <c r="CZ1573">
        <v>0</v>
      </c>
      <c r="DA1573">
        <v>1</v>
      </c>
      <c r="DB1573">
        <v>0</v>
      </c>
      <c r="DC1573">
        <v>0</v>
      </c>
      <c r="DD1573">
        <v>0</v>
      </c>
      <c r="DE1573">
        <v>0</v>
      </c>
      <c r="DF1573">
        <v>0</v>
      </c>
      <c r="DG1573">
        <v>0</v>
      </c>
      <c r="DH1573">
        <v>0</v>
      </c>
      <c r="DI1573">
        <v>0</v>
      </c>
    </row>
    <row r="1574" spans="1:113" x14ac:dyDescent="0.3">
      <c r="A1574" t="str">
        <f>"02/08/2021 20:21:45.605"</f>
        <v>02/08/2021 20:21:45.605</v>
      </c>
      <c r="C1574" t="str">
        <f t="shared" si="74"/>
        <v>FFDFD7C0</v>
      </c>
      <c r="D1574" t="s">
        <v>124</v>
      </c>
      <c r="E1574">
        <v>12</v>
      </c>
      <c r="F1574">
        <v>1012</v>
      </c>
      <c r="G1574" t="s">
        <v>675</v>
      </c>
      <c r="J1574" t="s">
        <v>125</v>
      </c>
      <c r="K1574">
        <v>0</v>
      </c>
      <c r="L1574">
        <v>3</v>
      </c>
      <c r="M1574">
        <v>0</v>
      </c>
      <c r="N1574">
        <v>2</v>
      </c>
      <c r="O1574">
        <v>1</v>
      </c>
      <c r="P1574">
        <v>0</v>
      </c>
      <c r="Q1574">
        <v>0</v>
      </c>
      <c r="S1574" t="str">
        <f>"20:21:47.906"</f>
        <v>20:21:47.906</v>
      </c>
      <c r="T1574" t="str">
        <f>"20:21:47.406"</f>
        <v>20:21:47.406</v>
      </c>
      <c r="U1574" t="str">
        <f t="shared" si="73"/>
        <v>AB01F4</v>
      </c>
      <c r="V1574">
        <v>0</v>
      </c>
      <c r="W1574">
        <v>0</v>
      </c>
      <c r="X1574">
        <v>2</v>
      </c>
      <c r="Z1574">
        <v>0</v>
      </c>
      <c r="AA1574">
        <v>9</v>
      </c>
      <c r="AB1574">
        <v>3</v>
      </c>
      <c r="AC1574">
        <v>0</v>
      </c>
      <c r="AD1574">
        <v>10</v>
      </c>
      <c r="AE1574">
        <v>0</v>
      </c>
      <c r="AF1574">
        <v>3</v>
      </c>
      <c r="AG1574">
        <v>2</v>
      </c>
      <c r="AH1574">
        <v>0</v>
      </c>
      <c r="AI1574" t="s">
        <v>1035</v>
      </c>
      <c r="AJ1574">
        <v>39.847498000000002</v>
      </c>
      <c r="AK1574" t="s">
        <v>1036</v>
      </c>
      <c r="AL1574">
        <v>-92.534001000000004</v>
      </c>
      <c r="AM1574">
        <v>100</v>
      </c>
      <c r="AN1574">
        <v>1700</v>
      </c>
      <c r="AO1574" t="s">
        <v>118</v>
      </c>
      <c r="AP1574">
        <v>-28</v>
      </c>
      <c r="AQ1574">
        <v>117</v>
      </c>
      <c r="AR1574">
        <v>64</v>
      </c>
      <c r="AZ1574">
        <v>1200</v>
      </c>
      <c r="BA1574">
        <v>1</v>
      </c>
      <c r="BB1574" t="str">
        <f t="shared" si="75"/>
        <v xml:space="preserve">N8080G  </v>
      </c>
      <c r="BC1574">
        <v>1</v>
      </c>
      <c r="BE1574">
        <v>0</v>
      </c>
      <c r="BF1574">
        <v>0</v>
      </c>
      <c r="BG1574">
        <v>0</v>
      </c>
      <c r="BH1574">
        <v>1700</v>
      </c>
      <c r="BI1574">
        <v>1</v>
      </c>
      <c r="BJ1574">
        <v>1</v>
      </c>
      <c r="BK1574">
        <v>1</v>
      </c>
      <c r="BL1574">
        <v>0</v>
      </c>
      <c r="BO1574">
        <v>0</v>
      </c>
      <c r="BP1574">
        <v>0</v>
      </c>
      <c r="BW1574" t="str">
        <f>"20:21:47.909"</f>
        <v>20:21:47.909</v>
      </c>
      <c r="BZ1574">
        <v>0</v>
      </c>
      <c r="CA1574">
        <v>2016</v>
      </c>
      <c r="CB1574">
        <v>224</v>
      </c>
      <c r="CD1574">
        <v>1</v>
      </c>
      <c r="CE1574">
        <v>0</v>
      </c>
      <c r="CF1574">
        <v>0</v>
      </c>
      <c r="CG1574">
        <v>1</v>
      </c>
      <c r="CH1574">
        <v>0</v>
      </c>
      <c r="CI1574">
        <v>0</v>
      </c>
      <c r="CJ1574">
        <v>0</v>
      </c>
      <c r="CK1574">
        <v>2</v>
      </c>
      <c r="CL1574">
        <v>0</v>
      </c>
      <c r="CM1574">
        <v>2</v>
      </c>
      <c r="CN1574">
        <v>0</v>
      </c>
      <c r="CO1574">
        <v>7</v>
      </c>
      <c r="CP1574" t="s">
        <v>119</v>
      </c>
      <c r="CQ1574">
        <v>180</v>
      </c>
      <c r="CR1574">
        <v>1</v>
      </c>
      <c r="CW1574">
        <v>10817892</v>
      </c>
      <c r="CY1574">
        <v>1</v>
      </c>
      <c r="CZ1574">
        <v>0</v>
      </c>
      <c r="DA1574">
        <v>1</v>
      </c>
      <c r="DB1574">
        <v>0</v>
      </c>
      <c r="DC1574">
        <v>0</v>
      </c>
      <c r="DD1574">
        <v>0</v>
      </c>
      <c r="DE1574">
        <v>0</v>
      </c>
      <c r="DF1574">
        <v>0</v>
      </c>
      <c r="DG1574">
        <v>0</v>
      </c>
      <c r="DH1574">
        <v>0</v>
      </c>
      <c r="DI1574">
        <v>0</v>
      </c>
    </row>
    <row r="1575" spans="1:113" x14ac:dyDescent="0.3">
      <c r="A1575" t="str">
        <f>"02/08/2021 20:21:47.073"</f>
        <v>02/08/2021 20:21:47.073</v>
      </c>
      <c r="C1575" t="str">
        <f t="shared" si="74"/>
        <v>FFDFD7C0</v>
      </c>
      <c r="D1575" t="s">
        <v>113</v>
      </c>
      <c r="E1575">
        <v>6</v>
      </c>
      <c r="H1575">
        <v>165</v>
      </c>
      <c r="I1575" t="s">
        <v>114</v>
      </c>
      <c r="J1575" t="s">
        <v>115</v>
      </c>
      <c r="K1575">
        <v>0</v>
      </c>
      <c r="L1575">
        <v>3</v>
      </c>
      <c r="M1575">
        <v>0</v>
      </c>
      <c r="N1575">
        <v>2</v>
      </c>
      <c r="O1575">
        <v>1</v>
      </c>
      <c r="P1575">
        <v>0</v>
      </c>
      <c r="Q1575">
        <v>0</v>
      </c>
      <c r="S1575" t="str">
        <f>"20:21:49.398"</f>
        <v>20:21:49.398</v>
      </c>
      <c r="T1575" t="str">
        <f>"20:21:48.998"</f>
        <v>20:21:48.998</v>
      </c>
      <c r="U1575" t="str">
        <f t="shared" si="73"/>
        <v>AB01F4</v>
      </c>
      <c r="V1575">
        <v>0</v>
      </c>
      <c r="W1575">
        <v>0</v>
      </c>
      <c r="X1575">
        <v>2</v>
      </c>
      <c r="Z1575">
        <v>0</v>
      </c>
      <c r="AA1575">
        <v>9</v>
      </c>
      <c r="AB1575">
        <v>3</v>
      </c>
      <c r="AC1575">
        <v>0</v>
      </c>
      <c r="AD1575">
        <v>10</v>
      </c>
      <c r="AE1575">
        <v>0</v>
      </c>
      <c r="AF1575">
        <v>3</v>
      </c>
      <c r="AG1575">
        <v>2</v>
      </c>
      <c r="AH1575">
        <v>0</v>
      </c>
      <c r="AI1575" t="s">
        <v>1037</v>
      </c>
      <c r="AJ1575">
        <v>39.848334999999999</v>
      </c>
      <c r="AK1575" t="s">
        <v>1038</v>
      </c>
      <c r="AL1575">
        <v>-92.534193999999999</v>
      </c>
      <c r="AM1575">
        <v>100</v>
      </c>
      <c r="AN1575">
        <v>1700</v>
      </c>
      <c r="AO1575" t="s">
        <v>118</v>
      </c>
      <c r="AP1575">
        <v>-28</v>
      </c>
      <c r="AQ1575">
        <v>117</v>
      </c>
      <c r="AR1575">
        <v>0</v>
      </c>
      <c r="AZ1575">
        <v>1200</v>
      </c>
      <c r="BA1575">
        <v>1</v>
      </c>
      <c r="BB1575" t="str">
        <f t="shared" si="75"/>
        <v xml:space="preserve">N8080G  </v>
      </c>
      <c r="BC1575">
        <v>1</v>
      </c>
      <c r="BE1575">
        <v>0</v>
      </c>
      <c r="BF1575">
        <v>0</v>
      </c>
      <c r="BG1575">
        <v>0</v>
      </c>
      <c r="BH1575">
        <v>1700</v>
      </c>
      <c r="BI1575">
        <v>1</v>
      </c>
      <c r="BJ1575">
        <v>1</v>
      </c>
      <c r="BK1575">
        <v>1</v>
      </c>
      <c r="BL1575">
        <v>0</v>
      </c>
      <c r="BO1575">
        <v>0</v>
      </c>
      <c r="BP1575">
        <v>0</v>
      </c>
      <c r="BW1575" t="str">
        <f>"20:21:49.402"</f>
        <v>20:21:49.402</v>
      </c>
      <c r="BZ1575">
        <v>0</v>
      </c>
      <c r="CA1575">
        <v>2016</v>
      </c>
      <c r="CB1575">
        <v>224</v>
      </c>
      <c r="CD1575">
        <v>1</v>
      </c>
      <c r="CE1575">
        <v>0</v>
      </c>
      <c r="CF1575">
        <v>0</v>
      </c>
      <c r="CG1575">
        <v>1</v>
      </c>
      <c r="CH1575">
        <v>0</v>
      </c>
      <c r="CI1575">
        <v>0</v>
      </c>
      <c r="CJ1575">
        <v>0</v>
      </c>
      <c r="CK1575">
        <v>2</v>
      </c>
      <c r="CL1575">
        <v>0</v>
      </c>
      <c r="CM1575">
        <v>2</v>
      </c>
      <c r="CN1575">
        <v>0</v>
      </c>
      <c r="CO1575">
        <v>7</v>
      </c>
      <c r="CP1575" t="s">
        <v>119</v>
      </c>
      <c r="CQ1575">
        <v>180</v>
      </c>
      <c r="CR1575">
        <v>1</v>
      </c>
      <c r="CW1575">
        <v>10818970</v>
      </c>
      <c r="CY1575">
        <v>1</v>
      </c>
      <c r="CZ1575">
        <v>0</v>
      </c>
      <c r="DA1575">
        <v>0</v>
      </c>
      <c r="DB1575">
        <v>0</v>
      </c>
      <c r="DC1575">
        <v>0</v>
      </c>
      <c r="DD1575">
        <v>0</v>
      </c>
      <c r="DE1575">
        <v>0</v>
      </c>
      <c r="DF1575">
        <v>0</v>
      </c>
      <c r="DG1575">
        <v>0</v>
      </c>
      <c r="DH1575">
        <v>0</v>
      </c>
      <c r="DI1575">
        <v>0</v>
      </c>
    </row>
    <row r="1576" spans="1:113" x14ac:dyDescent="0.3">
      <c r="A1576" t="str">
        <f>"02/08/2021 20:21:47.073"</f>
        <v>02/08/2021 20:21:47.073</v>
      </c>
      <c r="C1576" t="str">
        <f t="shared" si="74"/>
        <v>FFDFD7C0</v>
      </c>
      <c r="D1576" t="s">
        <v>124</v>
      </c>
      <c r="E1576">
        <v>13</v>
      </c>
      <c r="F1576">
        <v>1013</v>
      </c>
      <c r="G1576" t="s">
        <v>114</v>
      </c>
      <c r="J1576" t="s">
        <v>125</v>
      </c>
      <c r="K1576">
        <v>0</v>
      </c>
      <c r="L1576">
        <v>3</v>
      </c>
      <c r="M1576">
        <v>0</v>
      </c>
      <c r="N1576">
        <v>2</v>
      </c>
      <c r="O1576">
        <v>1</v>
      </c>
      <c r="P1576">
        <v>0</v>
      </c>
      <c r="Q1576">
        <v>0</v>
      </c>
      <c r="S1576" t="str">
        <f>"20:21:49.398"</f>
        <v>20:21:49.398</v>
      </c>
      <c r="T1576" t="str">
        <f>"20:21:48.998"</f>
        <v>20:21:48.998</v>
      </c>
      <c r="U1576" t="str">
        <f t="shared" si="73"/>
        <v>AB01F4</v>
      </c>
      <c r="V1576">
        <v>0</v>
      </c>
      <c r="W1576">
        <v>0</v>
      </c>
      <c r="X1576">
        <v>2</v>
      </c>
      <c r="Z1576">
        <v>0</v>
      </c>
      <c r="AA1576">
        <v>9</v>
      </c>
      <c r="AB1576">
        <v>3</v>
      </c>
      <c r="AC1576">
        <v>0</v>
      </c>
      <c r="AD1576">
        <v>10</v>
      </c>
      <c r="AE1576">
        <v>0</v>
      </c>
      <c r="AF1576">
        <v>3</v>
      </c>
      <c r="AG1576">
        <v>2</v>
      </c>
      <c r="AH1576">
        <v>0</v>
      </c>
      <c r="AI1576" t="s">
        <v>1037</v>
      </c>
      <c r="AJ1576">
        <v>39.848334999999999</v>
      </c>
      <c r="AK1576" t="s">
        <v>1038</v>
      </c>
      <c r="AL1576">
        <v>-92.534193999999999</v>
      </c>
      <c r="AM1576">
        <v>100</v>
      </c>
      <c r="AN1576">
        <v>1700</v>
      </c>
      <c r="AO1576" t="s">
        <v>118</v>
      </c>
      <c r="AP1576">
        <v>-28</v>
      </c>
      <c r="AQ1576">
        <v>117</v>
      </c>
      <c r="AR1576">
        <v>0</v>
      </c>
      <c r="AZ1576">
        <v>1200</v>
      </c>
      <c r="BA1576">
        <v>1</v>
      </c>
      <c r="BB1576" t="str">
        <f t="shared" si="75"/>
        <v xml:space="preserve">N8080G  </v>
      </c>
      <c r="BC1576">
        <v>1</v>
      </c>
      <c r="BE1576">
        <v>0</v>
      </c>
      <c r="BF1576">
        <v>0</v>
      </c>
      <c r="BG1576">
        <v>0</v>
      </c>
      <c r="BH1576">
        <v>1700</v>
      </c>
      <c r="BI1576">
        <v>1</v>
      </c>
      <c r="BJ1576">
        <v>1</v>
      </c>
      <c r="BK1576">
        <v>1</v>
      </c>
      <c r="BL1576">
        <v>0</v>
      </c>
      <c r="BO1576">
        <v>0</v>
      </c>
      <c r="BP1576">
        <v>0</v>
      </c>
      <c r="BW1576" t="str">
        <f>"20:21:49.402"</f>
        <v>20:21:49.402</v>
      </c>
      <c r="BZ1576">
        <v>0</v>
      </c>
      <c r="CA1576">
        <v>2016</v>
      </c>
      <c r="CB1576">
        <v>224</v>
      </c>
      <c r="CD1576">
        <v>1</v>
      </c>
      <c r="CE1576">
        <v>0</v>
      </c>
      <c r="CF1576">
        <v>0</v>
      </c>
      <c r="CG1576">
        <v>1</v>
      </c>
      <c r="CH1576">
        <v>0</v>
      </c>
      <c r="CI1576">
        <v>0</v>
      </c>
      <c r="CJ1576">
        <v>0</v>
      </c>
      <c r="CK1576">
        <v>2</v>
      </c>
      <c r="CL1576">
        <v>0</v>
      </c>
      <c r="CM1576">
        <v>2</v>
      </c>
      <c r="CN1576">
        <v>0</v>
      </c>
      <c r="CO1576">
        <v>7</v>
      </c>
      <c r="CP1576" t="s">
        <v>119</v>
      </c>
      <c r="CQ1576">
        <v>180</v>
      </c>
      <c r="CR1576">
        <v>1</v>
      </c>
      <c r="CW1576">
        <v>10818970</v>
      </c>
      <c r="CY1576">
        <v>1</v>
      </c>
      <c r="CZ1576">
        <v>0</v>
      </c>
      <c r="DA1576">
        <v>1</v>
      </c>
      <c r="DB1576">
        <v>0</v>
      </c>
      <c r="DC1576">
        <v>0</v>
      </c>
      <c r="DD1576">
        <v>0</v>
      </c>
      <c r="DE1576">
        <v>0</v>
      </c>
      <c r="DF1576">
        <v>0</v>
      </c>
      <c r="DG1576">
        <v>0</v>
      </c>
      <c r="DH1576">
        <v>0</v>
      </c>
      <c r="DI1576">
        <v>0</v>
      </c>
    </row>
    <row r="1577" spans="1:113" x14ac:dyDescent="0.3">
      <c r="A1577" t="str">
        <f>"02/08/2021 20:21:47.073"</f>
        <v>02/08/2021 20:21:47.073</v>
      </c>
      <c r="C1577" t="str">
        <f t="shared" si="74"/>
        <v>FFDFD7C0</v>
      </c>
      <c r="D1577" t="s">
        <v>124</v>
      </c>
      <c r="E1577">
        <v>11</v>
      </c>
      <c r="F1577">
        <v>1011</v>
      </c>
      <c r="G1577" t="s">
        <v>590</v>
      </c>
      <c r="J1577" t="s">
        <v>125</v>
      </c>
      <c r="K1577">
        <v>0</v>
      </c>
      <c r="L1577">
        <v>3</v>
      </c>
      <c r="M1577">
        <v>0</v>
      </c>
      <c r="N1577">
        <v>2</v>
      </c>
      <c r="O1577">
        <v>1</v>
      </c>
      <c r="P1577">
        <v>0</v>
      </c>
      <c r="Q1577">
        <v>0</v>
      </c>
      <c r="S1577" t="str">
        <f>"20:21:49.398"</f>
        <v>20:21:49.398</v>
      </c>
      <c r="T1577" t="str">
        <f>"20:21:48.998"</f>
        <v>20:21:48.998</v>
      </c>
      <c r="U1577" t="str">
        <f t="shared" si="73"/>
        <v>AB01F4</v>
      </c>
      <c r="V1577">
        <v>0</v>
      </c>
      <c r="W1577">
        <v>0</v>
      </c>
      <c r="X1577">
        <v>2</v>
      </c>
      <c r="Z1577">
        <v>0</v>
      </c>
      <c r="AA1577">
        <v>9</v>
      </c>
      <c r="AB1577">
        <v>3</v>
      </c>
      <c r="AC1577">
        <v>0</v>
      </c>
      <c r="AD1577">
        <v>10</v>
      </c>
      <c r="AE1577">
        <v>0</v>
      </c>
      <c r="AF1577">
        <v>3</v>
      </c>
      <c r="AG1577">
        <v>2</v>
      </c>
      <c r="AH1577">
        <v>0</v>
      </c>
      <c r="AI1577" t="s">
        <v>1037</v>
      </c>
      <c r="AJ1577">
        <v>39.848334999999999</v>
      </c>
      <c r="AK1577" t="s">
        <v>1038</v>
      </c>
      <c r="AL1577">
        <v>-92.534193999999999</v>
      </c>
      <c r="AM1577">
        <v>100</v>
      </c>
      <c r="AN1577">
        <v>1700</v>
      </c>
      <c r="AO1577" t="s">
        <v>118</v>
      </c>
      <c r="AP1577">
        <v>-28</v>
      </c>
      <c r="AQ1577">
        <v>117</v>
      </c>
      <c r="AR1577">
        <v>0</v>
      </c>
      <c r="AZ1577">
        <v>1200</v>
      </c>
      <c r="BA1577">
        <v>1</v>
      </c>
      <c r="BB1577" t="str">
        <f t="shared" si="75"/>
        <v xml:space="preserve">N8080G  </v>
      </c>
      <c r="BC1577">
        <v>1</v>
      </c>
      <c r="BE1577">
        <v>0</v>
      </c>
      <c r="BF1577">
        <v>0</v>
      </c>
      <c r="BG1577">
        <v>0</v>
      </c>
      <c r="BH1577">
        <v>1700</v>
      </c>
      <c r="BI1577">
        <v>1</v>
      </c>
      <c r="BJ1577">
        <v>1</v>
      </c>
      <c r="BK1577">
        <v>1</v>
      </c>
      <c r="BL1577">
        <v>0</v>
      </c>
      <c r="BO1577">
        <v>0</v>
      </c>
      <c r="BP1577">
        <v>0</v>
      </c>
      <c r="BW1577" t="str">
        <f>"20:21:49.402"</f>
        <v>20:21:49.402</v>
      </c>
      <c r="BZ1577">
        <v>0</v>
      </c>
      <c r="CA1577">
        <v>2016</v>
      </c>
      <c r="CB1577">
        <v>224</v>
      </c>
      <c r="CD1577">
        <v>1</v>
      </c>
      <c r="CE1577">
        <v>0</v>
      </c>
      <c r="CF1577">
        <v>0</v>
      </c>
      <c r="CG1577">
        <v>1</v>
      </c>
      <c r="CH1577">
        <v>0</v>
      </c>
      <c r="CI1577">
        <v>0</v>
      </c>
      <c r="CJ1577">
        <v>0</v>
      </c>
      <c r="CK1577">
        <v>2</v>
      </c>
      <c r="CL1577">
        <v>0</v>
      </c>
      <c r="CM1577">
        <v>2</v>
      </c>
      <c r="CN1577">
        <v>0</v>
      </c>
      <c r="CO1577">
        <v>7</v>
      </c>
      <c r="CP1577" t="s">
        <v>119</v>
      </c>
      <c r="CQ1577">
        <v>180</v>
      </c>
      <c r="CR1577">
        <v>1</v>
      </c>
      <c r="CW1577">
        <v>10818970</v>
      </c>
      <c r="CY1577">
        <v>1</v>
      </c>
      <c r="CZ1577">
        <v>0</v>
      </c>
      <c r="DA1577">
        <v>1</v>
      </c>
      <c r="DB1577">
        <v>0</v>
      </c>
      <c r="DC1577">
        <v>0</v>
      </c>
      <c r="DD1577">
        <v>0</v>
      </c>
      <c r="DE1577">
        <v>0</v>
      </c>
      <c r="DF1577">
        <v>0</v>
      </c>
      <c r="DG1577">
        <v>0</v>
      </c>
      <c r="DH1577">
        <v>0</v>
      </c>
      <c r="DI1577">
        <v>0</v>
      </c>
    </row>
    <row r="1578" spans="1:113" x14ac:dyDescent="0.3">
      <c r="A1578" t="str">
        <f>"02/08/2021 20:21:47.073"</f>
        <v>02/08/2021 20:21:47.073</v>
      </c>
      <c r="C1578" t="str">
        <f t="shared" si="74"/>
        <v>FFDFD7C0</v>
      </c>
      <c r="D1578" t="s">
        <v>124</v>
      </c>
      <c r="E1578">
        <v>12</v>
      </c>
      <c r="F1578">
        <v>1012</v>
      </c>
      <c r="G1578" t="s">
        <v>675</v>
      </c>
      <c r="J1578" t="s">
        <v>125</v>
      </c>
      <c r="K1578">
        <v>0</v>
      </c>
      <c r="L1578">
        <v>3</v>
      </c>
      <c r="M1578">
        <v>0</v>
      </c>
      <c r="N1578">
        <v>2</v>
      </c>
      <c r="O1578">
        <v>1</v>
      </c>
      <c r="P1578">
        <v>0</v>
      </c>
      <c r="Q1578">
        <v>0</v>
      </c>
      <c r="S1578" t="str">
        <f>"20:21:49.398"</f>
        <v>20:21:49.398</v>
      </c>
      <c r="T1578" t="str">
        <f>"20:21:48.998"</f>
        <v>20:21:48.998</v>
      </c>
      <c r="U1578" t="str">
        <f t="shared" si="73"/>
        <v>AB01F4</v>
      </c>
      <c r="V1578">
        <v>0</v>
      </c>
      <c r="W1578">
        <v>0</v>
      </c>
      <c r="X1578">
        <v>2</v>
      </c>
      <c r="Z1578">
        <v>0</v>
      </c>
      <c r="AA1578">
        <v>9</v>
      </c>
      <c r="AB1578">
        <v>3</v>
      </c>
      <c r="AC1578">
        <v>0</v>
      </c>
      <c r="AD1578">
        <v>10</v>
      </c>
      <c r="AE1578">
        <v>0</v>
      </c>
      <c r="AF1578">
        <v>3</v>
      </c>
      <c r="AG1578">
        <v>2</v>
      </c>
      <c r="AH1578">
        <v>0</v>
      </c>
      <c r="AI1578" t="s">
        <v>1037</v>
      </c>
      <c r="AJ1578">
        <v>39.848334999999999</v>
      </c>
      <c r="AK1578" t="s">
        <v>1038</v>
      </c>
      <c r="AL1578">
        <v>-92.534193999999999</v>
      </c>
      <c r="AM1578">
        <v>100</v>
      </c>
      <c r="AN1578">
        <v>1700</v>
      </c>
      <c r="AO1578" t="s">
        <v>118</v>
      </c>
      <c r="AP1578">
        <v>-28</v>
      </c>
      <c r="AQ1578">
        <v>117</v>
      </c>
      <c r="AR1578">
        <v>0</v>
      </c>
      <c r="AZ1578">
        <v>1200</v>
      </c>
      <c r="BA1578">
        <v>1</v>
      </c>
      <c r="BB1578" t="str">
        <f t="shared" si="75"/>
        <v xml:space="preserve">N8080G  </v>
      </c>
      <c r="BC1578">
        <v>1</v>
      </c>
      <c r="BE1578">
        <v>0</v>
      </c>
      <c r="BF1578">
        <v>0</v>
      </c>
      <c r="BG1578">
        <v>0</v>
      </c>
      <c r="BH1578">
        <v>1700</v>
      </c>
      <c r="BI1578">
        <v>1</v>
      </c>
      <c r="BJ1578">
        <v>1</v>
      </c>
      <c r="BK1578">
        <v>1</v>
      </c>
      <c r="BL1578">
        <v>0</v>
      </c>
      <c r="BO1578">
        <v>0</v>
      </c>
      <c r="BP1578">
        <v>0</v>
      </c>
      <c r="BW1578" t="str">
        <f>"20:21:49.402"</f>
        <v>20:21:49.402</v>
      </c>
      <c r="BZ1578">
        <v>0</v>
      </c>
      <c r="CA1578">
        <v>2016</v>
      </c>
      <c r="CB1578">
        <v>224</v>
      </c>
      <c r="CD1578">
        <v>1</v>
      </c>
      <c r="CE1578">
        <v>0</v>
      </c>
      <c r="CF1578">
        <v>0</v>
      </c>
      <c r="CG1578">
        <v>1</v>
      </c>
      <c r="CH1578">
        <v>0</v>
      </c>
      <c r="CI1578">
        <v>0</v>
      </c>
      <c r="CJ1578">
        <v>0</v>
      </c>
      <c r="CK1578">
        <v>2</v>
      </c>
      <c r="CL1578">
        <v>0</v>
      </c>
      <c r="CM1578">
        <v>2</v>
      </c>
      <c r="CN1578">
        <v>0</v>
      </c>
      <c r="CO1578">
        <v>7</v>
      </c>
      <c r="CP1578" t="s">
        <v>119</v>
      </c>
      <c r="CQ1578">
        <v>180</v>
      </c>
      <c r="CR1578">
        <v>1</v>
      </c>
      <c r="CW1578">
        <v>10818970</v>
      </c>
      <c r="CY1578">
        <v>1</v>
      </c>
      <c r="CZ1578">
        <v>0</v>
      </c>
      <c r="DA1578">
        <v>1</v>
      </c>
      <c r="DB1578">
        <v>0</v>
      </c>
      <c r="DC1578">
        <v>0</v>
      </c>
      <c r="DD1578">
        <v>0</v>
      </c>
      <c r="DE1578">
        <v>0</v>
      </c>
      <c r="DF1578">
        <v>0</v>
      </c>
      <c r="DG1578">
        <v>0</v>
      </c>
      <c r="DH1578">
        <v>0</v>
      </c>
      <c r="DI1578">
        <v>0</v>
      </c>
    </row>
    <row r="1579" spans="1:113" x14ac:dyDescent="0.3">
      <c r="A1579" t="str">
        <f>"02/08/2021 20:21:48.584"</f>
        <v>02/08/2021 20:21:48.584</v>
      </c>
      <c r="C1579" t="str">
        <f t="shared" si="74"/>
        <v>FFDFD7C0</v>
      </c>
      <c r="D1579" t="s">
        <v>124</v>
      </c>
      <c r="E1579">
        <v>13</v>
      </c>
      <c r="F1579">
        <v>1013</v>
      </c>
      <c r="G1579" t="s">
        <v>114</v>
      </c>
      <c r="J1579" t="s">
        <v>125</v>
      </c>
      <c r="K1579">
        <v>0</v>
      </c>
      <c r="L1579">
        <v>3</v>
      </c>
      <c r="M1579">
        <v>0</v>
      </c>
      <c r="N1579">
        <v>2</v>
      </c>
      <c r="O1579">
        <v>1</v>
      </c>
      <c r="P1579">
        <v>0</v>
      </c>
      <c r="Q1579">
        <v>0</v>
      </c>
      <c r="S1579" t="str">
        <f>"20:21:50.891"</f>
        <v>20:21:50.891</v>
      </c>
      <c r="T1579" t="str">
        <f>"20:21:50.491"</f>
        <v>20:21:50.491</v>
      </c>
      <c r="U1579" t="str">
        <f t="shared" si="73"/>
        <v>AB01F4</v>
      </c>
      <c r="V1579">
        <v>0</v>
      </c>
      <c r="W1579">
        <v>0</v>
      </c>
      <c r="X1579">
        <v>2</v>
      </c>
      <c r="Z1579">
        <v>0</v>
      </c>
      <c r="AA1579">
        <v>9</v>
      </c>
      <c r="AB1579">
        <v>3</v>
      </c>
      <c r="AC1579">
        <v>0</v>
      </c>
      <c r="AD1579">
        <v>10</v>
      </c>
      <c r="AE1579">
        <v>0</v>
      </c>
      <c r="AF1579">
        <v>3</v>
      </c>
      <c r="AG1579">
        <v>2</v>
      </c>
      <c r="AH1579">
        <v>0</v>
      </c>
      <c r="AI1579" t="s">
        <v>1039</v>
      </c>
      <c r="AJ1579">
        <v>39.849128999999998</v>
      </c>
      <c r="AK1579" t="s">
        <v>1040</v>
      </c>
      <c r="AL1579">
        <v>-92.534493999999995</v>
      </c>
      <c r="AM1579">
        <v>100</v>
      </c>
      <c r="AN1579">
        <v>1700</v>
      </c>
      <c r="AO1579" t="s">
        <v>118</v>
      </c>
      <c r="AP1579">
        <v>-28</v>
      </c>
      <c r="AQ1579">
        <v>117</v>
      </c>
      <c r="AR1579">
        <v>64</v>
      </c>
      <c r="AZ1579">
        <v>1200</v>
      </c>
      <c r="BA1579">
        <v>1</v>
      </c>
      <c r="BB1579" t="str">
        <f t="shared" si="75"/>
        <v xml:space="preserve">N8080G  </v>
      </c>
      <c r="BC1579">
        <v>1</v>
      </c>
      <c r="BE1579">
        <v>0</v>
      </c>
      <c r="BF1579">
        <v>0</v>
      </c>
      <c r="BG1579">
        <v>0</v>
      </c>
      <c r="BH1579">
        <v>1700</v>
      </c>
      <c r="BI1579">
        <v>1</v>
      </c>
      <c r="BJ1579">
        <v>1</v>
      </c>
      <c r="BK1579">
        <v>1</v>
      </c>
      <c r="BL1579">
        <v>0</v>
      </c>
      <c r="BO1579">
        <v>0</v>
      </c>
      <c r="BP1579">
        <v>0</v>
      </c>
      <c r="BW1579" t="str">
        <f>"20:21:50.894"</f>
        <v>20:21:50.894</v>
      </c>
      <c r="BZ1579">
        <v>0</v>
      </c>
      <c r="CA1579">
        <v>2016</v>
      </c>
      <c r="CB1579">
        <v>224</v>
      </c>
      <c r="CD1579">
        <v>1</v>
      </c>
      <c r="CE1579">
        <v>0</v>
      </c>
      <c r="CF1579">
        <v>0</v>
      </c>
      <c r="CG1579">
        <v>1</v>
      </c>
      <c r="CH1579">
        <v>0</v>
      </c>
      <c r="CI1579">
        <v>0</v>
      </c>
      <c r="CJ1579">
        <v>0</v>
      </c>
      <c r="CK1579">
        <v>2</v>
      </c>
      <c r="CL1579">
        <v>0</v>
      </c>
      <c r="CM1579">
        <v>2</v>
      </c>
      <c r="CN1579">
        <v>0</v>
      </c>
      <c r="CO1579">
        <v>7</v>
      </c>
      <c r="CP1579" t="s">
        <v>119</v>
      </c>
      <c r="CQ1579">
        <v>180</v>
      </c>
      <c r="CR1579">
        <v>2</v>
      </c>
      <c r="CW1579">
        <v>8257052</v>
      </c>
      <c r="CY1579">
        <v>1</v>
      </c>
      <c r="CZ1579">
        <v>0</v>
      </c>
      <c r="DA1579">
        <v>0</v>
      </c>
      <c r="DB1579">
        <v>0</v>
      </c>
      <c r="DC1579">
        <v>0</v>
      </c>
      <c r="DD1579">
        <v>0</v>
      </c>
      <c r="DE1579">
        <v>0</v>
      </c>
      <c r="DF1579">
        <v>0</v>
      </c>
      <c r="DG1579">
        <v>0</v>
      </c>
      <c r="DH1579">
        <v>0</v>
      </c>
      <c r="DI1579">
        <v>0</v>
      </c>
    </row>
    <row r="1580" spans="1:113" x14ac:dyDescent="0.3">
      <c r="A1580" t="str">
        <f>"02/08/2021 20:21:48.584"</f>
        <v>02/08/2021 20:21:48.584</v>
      </c>
      <c r="C1580" t="str">
        <f t="shared" si="74"/>
        <v>FFDFD7C0</v>
      </c>
      <c r="D1580" t="s">
        <v>113</v>
      </c>
      <c r="E1580">
        <v>6</v>
      </c>
      <c r="H1580">
        <v>165</v>
      </c>
      <c r="I1580" t="s">
        <v>114</v>
      </c>
      <c r="J1580" t="s">
        <v>115</v>
      </c>
      <c r="K1580">
        <v>0</v>
      </c>
      <c r="L1580">
        <v>3</v>
      </c>
      <c r="M1580">
        <v>0</v>
      </c>
      <c r="N1580">
        <v>2</v>
      </c>
      <c r="O1580">
        <v>1</v>
      </c>
      <c r="P1580">
        <v>0</v>
      </c>
      <c r="Q1580">
        <v>0</v>
      </c>
      <c r="S1580" t="str">
        <f>"20:21:50.891"</f>
        <v>20:21:50.891</v>
      </c>
      <c r="T1580" t="str">
        <f>"20:21:50.491"</f>
        <v>20:21:50.491</v>
      </c>
      <c r="U1580" t="str">
        <f t="shared" si="73"/>
        <v>AB01F4</v>
      </c>
      <c r="V1580">
        <v>0</v>
      </c>
      <c r="W1580">
        <v>0</v>
      </c>
      <c r="X1580">
        <v>2</v>
      </c>
      <c r="Z1580">
        <v>0</v>
      </c>
      <c r="AA1580">
        <v>9</v>
      </c>
      <c r="AB1580">
        <v>3</v>
      </c>
      <c r="AC1580">
        <v>0</v>
      </c>
      <c r="AD1580">
        <v>10</v>
      </c>
      <c r="AE1580">
        <v>0</v>
      </c>
      <c r="AF1580">
        <v>3</v>
      </c>
      <c r="AG1580">
        <v>2</v>
      </c>
      <c r="AH1580">
        <v>0</v>
      </c>
      <c r="AI1580" t="s">
        <v>1039</v>
      </c>
      <c r="AJ1580">
        <v>39.849128999999998</v>
      </c>
      <c r="AK1580" t="s">
        <v>1040</v>
      </c>
      <c r="AL1580">
        <v>-92.534493999999995</v>
      </c>
      <c r="AM1580">
        <v>100</v>
      </c>
      <c r="AN1580">
        <v>1700</v>
      </c>
      <c r="AO1580" t="s">
        <v>118</v>
      </c>
      <c r="AP1580">
        <v>-28</v>
      </c>
      <c r="AQ1580">
        <v>117</v>
      </c>
      <c r="AR1580">
        <v>64</v>
      </c>
      <c r="AZ1580">
        <v>1200</v>
      </c>
      <c r="BA1580">
        <v>1</v>
      </c>
      <c r="BB1580" t="str">
        <f t="shared" si="75"/>
        <v xml:space="preserve">N8080G  </v>
      </c>
      <c r="BC1580">
        <v>1</v>
      </c>
      <c r="BE1580">
        <v>0</v>
      </c>
      <c r="BF1580">
        <v>0</v>
      </c>
      <c r="BG1580">
        <v>0</v>
      </c>
      <c r="BH1580">
        <v>1700</v>
      </c>
      <c r="BI1580">
        <v>1</v>
      </c>
      <c r="BJ1580">
        <v>1</v>
      </c>
      <c r="BK1580">
        <v>1</v>
      </c>
      <c r="BL1580">
        <v>0</v>
      </c>
      <c r="BO1580">
        <v>0</v>
      </c>
      <c r="BP1580">
        <v>0</v>
      </c>
      <c r="BW1580" t="str">
        <f>"20:21:50.894"</f>
        <v>20:21:50.894</v>
      </c>
      <c r="BZ1580">
        <v>0</v>
      </c>
      <c r="CA1580">
        <v>2016</v>
      </c>
      <c r="CB1580">
        <v>224</v>
      </c>
      <c r="CD1580">
        <v>1</v>
      </c>
      <c r="CE1580">
        <v>0</v>
      </c>
      <c r="CF1580">
        <v>0</v>
      </c>
      <c r="CG1580">
        <v>1</v>
      </c>
      <c r="CH1580">
        <v>0</v>
      </c>
      <c r="CI1580">
        <v>0</v>
      </c>
      <c r="CJ1580">
        <v>0</v>
      </c>
      <c r="CK1580">
        <v>2</v>
      </c>
      <c r="CL1580">
        <v>0</v>
      </c>
      <c r="CM1580">
        <v>2</v>
      </c>
      <c r="CN1580">
        <v>0</v>
      </c>
      <c r="CO1580">
        <v>7</v>
      </c>
      <c r="CP1580" t="s">
        <v>119</v>
      </c>
      <c r="CQ1580">
        <v>180</v>
      </c>
      <c r="CR1580">
        <v>2</v>
      </c>
      <c r="CW1580">
        <v>8257052</v>
      </c>
      <c r="CY1580">
        <v>1</v>
      </c>
      <c r="CZ1580">
        <v>0</v>
      </c>
      <c r="DA1580">
        <v>1</v>
      </c>
      <c r="DB1580">
        <v>0</v>
      </c>
      <c r="DC1580">
        <v>0</v>
      </c>
      <c r="DD1580">
        <v>0</v>
      </c>
      <c r="DE1580">
        <v>0</v>
      </c>
      <c r="DF1580">
        <v>0</v>
      </c>
      <c r="DG1580">
        <v>0</v>
      </c>
      <c r="DH1580">
        <v>0</v>
      </c>
      <c r="DI1580">
        <v>0</v>
      </c>
    </row>
    <row r="1581" spans="1:113" x14ac:dyDescent="0.3">
      <c r="A1581" t="str">
        <f>"02/08/2021 20:21:48.584"</f>
        <v>02/08/2021 20:21:48.584</v>
      </c>
      <c r="C1581" t="str">
        <f t="shared" si="74"/>
        <v>FFDFD7C0</v>
      </c>
      <c r="D1581" t="s">
        <v>124</v>
      </c>
      <c r="E1581">
        <v>11</v>
      </c>
      <c r="F1581">
        <v>1011</v>
      </c>
      <c r="G1581" t="s">
        <v>590</v>
      </c>
      <c r="J1581" t="s">
        <v>125</v>
      </c>
      <c r="K1581">
        <v>0</v>
      </c>
      <c r="L1581">
        <v>3</v>
      </c>
      <c r="M1581">
        <v>0</v>
      </c>
      <c r="N1581">
        <v>2</v>
      </c>
      <c r="O1581">
        <v>1</v>
      </c>
      <c r="P1581">
        <v>0</v>
      </c>
      <c r="Q1581">
        <v>0</v>
      </c>
      <c r="S1581" t="str">
        <f>"20:21:50.891"</f>
        <v>20:21:50.891</v>
      </c>
      <c r="T1581" t="str">
        <f>"20:21:50.491"</f>
        <v>20:21:50.491</v>
      </c>
      <c r="U1581" t="str">
        <f t="shared" si="73"/>
        <v>AB01F4</v>
      </c>
      <c r="V1581">
        <v>0</v>
      </c>
      <c r="W1581">
        <v>0</v>
      </c>
      <c r="X1581">
        <v>2</v>
      </c>
      <c r="Z1581">
        <v>0</v>
      </c>
      <c r="AA1581">
        <v>9</v>
      </c>
      <c r="AB1581">
        <v>3</v>
      </c>
      <c r="AC1581">
        <v>0</v>
      </c>
      <c r="AD1581">
        <v>10</v>
      </c>
      <c r="AE1581">
        <v>0</v>
      </c>
      <c r="AF1581">
        <v>3</v>
      </c>
      <c r="AG1581">
        <v>2</v>
      </c>
      <c r="AH1581">
        <v>0</v>
      </c>
      <c r="AI1581" t="s">
        <v>1039</v>
      </c>
      <c r="AJ1581">
        <v>39.849128999999998</v>
      </c>
      <c r="AK1581" t="s">
        <v>1040</v>
      </c>
      <c r="AL1581">
        <v>-92.534493999999995</v>
      </c>
      <c r="AM1581">
        <v>100</v>
      </c>
      <c r="AN1581">
        <v>1700</v>
      </c>
      <c r="AO1581" t="s">
        <v>118</v>
      </c>
      <c r="AP1581">
        <v>-28</v>
      </c>
      <c r="AQ1581">
        <v>117</v>
      </c>
      <c r="AR1581">
        <v>64</v>
      </c>
      <c r="AZ1581">
        <v>1200</v>
      </c>
      <c r="BA1581">
        <v>1</v>
      </c>
      <c r="BB1581" t="str">
        <f t="shared" si="75"/>
        <v xml:space="preserve">N8080G  </v>
      </c>
      <c r="BC1581">
        <v>1</v>
      </c>
      <c r="BE1581">
        <v>0</v>
      </c>
      <c r="BF1581">
        <v>0</v>
      </c>
      <c r="BG1581">
        <v>0</v>
      </c>
      <c r="BH1581">
        <v>1700</v>
      </c>
      <c r="BI1581">
        <v>1</v>
      </c>
      <c r="BJ1581">
        <v>1</v>
      </c>
      <c r="BK1581">
        <v>1</v>
      </c>
      <c r="BL1581">
        <v>0</v>
      </c>
      <c r="BO1581">
        <v>0</v>
      </c>
      <c r="BP1581">
        <v>0</v>
      </c>
      <c r="BW1581" t="str">
        <f>"20:21:50.894"</f>
        <v>20:21:50.894</v>
      </c>
      <c r="BZ1581">
        <v>0</v>
      </c>
      <c r="CA1581">
        <v>2016</v>
      </c>
      <c r="CB1581">
        <v>224</v>
      </c>
      <c r="CD1581">
        <v>1</v>
      </c>
      <c r="CE1581">
        <v>0</v>
      </c>
      <c r="CF1581">
        <v>0</v>
      </c>
      <c r="CG1581">
        <v>1</v>
      </c>
      <c r="CH1581">
        <v>0</v>
      </c>
      <c r="CI1581">
        <v>0</v>
      </c>
      <c r="CJ1581">
        <v>0</v>
      </c>
      <c r="CK1581">
        <v>2</v>
      </c>
      <c r="CL1581">
        <v>0</v>
      </c>
      <c r="CM1581">
        <v>2</v>
      </c>
      <c r="CN1581">
        <v>0</v>
      </c>
      <c r="CO1581">
        <v>7</v>
      </c>
      <c r="CP1581" t="s">
        <v>119</v>
      </c>
      <c r="CQ1581">
        <v>180</v>
      </c>
      <c r="CR1581">
        <v>2</v>
      </c>
      <c r="CW1581">
        <v>8257052</v>
      </c>
      <c r="CY1581">
        <v>1</v>
      </c>
      <c r="CZ1581">
        <v>0</v>
      </c>
      <c r="DA1581">
        <v>1</v>
      </c>
      <c r="DB1581">
        <v>0</v>
      </c>
      <c r="DC1581">
        <v>0</v>
      </c>
      <c r="DD1581">
        <v>0</v>
      </c>
      <c r="DE1581">
        <v>0</v>
      </c>
      <c r="DF1581">
        <v>0</v>
      </c>
      <c r="DG1581">
        <v>0</v>
      </c>
      <c r="DH1581">
        <v>0</v>
      </c>
      <c r="DI1581">
        <v>0</v>
      </c>
    </row>
    <row r="1582" spans="1:113" x14ac:dyDescent="0.3">
      <c r="A1582" t="str">
        <f>"02/08/2021 20:21:48.584"</f>
        <v>02/08/2021 20:21:48.584</v>
      </c>
      <c r="C1582" t="str">
        <f t="shared" si="74"/>
        <v>FFDFD7C0</v>
      </c>
      <c r="D1582" t="s">
        <v>124</v>
      </c>
      <c r="E1582">
        <v>12</v>
      </c>
      <c r="F1582">
        <v>1012</v>
      </c>
      <c r="G1582" t="s">
        <v>675</v>
      </c>
      <c r="J1582" t="s">
        <v>125</v>
      </c>
      <c r="K1582">
        <v>0</v>
      </c>
      <c r="L1582">
        <v>3</v>
      </c>
      <c r="M1582">
        <v>0</v>
      </c>
      <c r="N1582">
        <v>2</v>
      </c>
      <c r="O1582">
        <v>1</v>
      </c>
      <c r="P1582">
        <v>0</v>
      </c>
      <c r="Q1582">
        <v>0</v>
      </c>
      <c r="S1582" t="str">
        <f>"20:21:50.891"</f>
        <v>20:21:50.891</v>
      </c>
      <c r="T1582" t="str">
        <f>"20:21:50.491"</f>
        <v>20:21:50.491</v>
      </c>
      <c r="U1582" t="str">
        <f t="shared" si="73"/>
        <v>AB01F4</v>
      </c>
      <c r="V1582">
        <v>0</v>
      </c>
      <c r="W1582">
        <v>0</v>
      </c>
      <c r="X1582">
        <v>2</v>
      </c>
      <c r="Z1582">
        <v>0</v>
      </c>
      <c r="AA1582">
        <v>9</v>
      </c>
      <c r="AB1582">
        <v>3</v>
      </c>
      <c r="AC1582">
        <v>0</v>
      </c>
      <c r="AD1582">
        <v>10</v>
      </c>
      <c r="AE1582">
        <v>0</v>
      </c>
      <c r="AF1582">
        <v>3</v>
      </c>
      <c r="AG1582">
        <v>2</v>
      </c>
      <c r="AH1582">
        <v>0</v>
      </c>
      <c r="AI1582" t="s">
        <v>1039</v>
      </c>
      <c r="AJ1582">
        <v>39.849128999999998</v>
      </c>
      <c r="AK1582" t="s">
        <v>1040</v>
      </c>
      <c r="AL1582">
        <v>-92.534493999999995</v>
      </c>
      <c r="AM1582">
        <v>100</v>
      </c>
      <c r="AN1582">
        <v>1700</v>
      </c>
      <c r="AO1582" t="s">
        <v>118</v>
      </c>
      <c r="AP1582">
        <v>-28</v>
      </c>
      <c r="AQ1582">
        <v>117</v>
      </c>
      <c r="AR1582">
        <v>64</v>
      </c>
      <c r="AZ1582">
        <v>1200</v>
      </c>
      <c r="BA1582">
        <v>1</v>
      </c>
      <c r="BB1582" t="str">
        <f t="shared" si="75"/>
        <v xml:space="preserve">N8080G  </v>
      </c>
      <c r="BC1582">
        <v>1</v>
      </c>
      <c r="BE1582">
        <v>0</v>
      </c>
      <c r="BF1582">
        <v>0</v>
      </c>
      <c r="BG1582">
        <v>0</v>
      </c>
      <c r="BH1582">
        <v>1700</v>
      </c>
      <c r="BI1582">
        <v>1</v>
      </c>
      <c r="BJ1582">
        <v>1</v>
      </c>
      <c r="BK1582">
        <v>1</v>
      </c>
      <c r="BL1582">
        <v>0</v>
      </c>
      <c r="BO1582">
        <v>0</v>
      </c>
      <c r="BP1582">
        <v>0</v>
      </c>
      <c r="BW1582" t="str">
        <f>"20:21:50.894"</f>
        <v>20:21:50.894</v>
      </c>
      <c r="BZ1582">
        <v>0</v>
      </c>
      <c r="CA1582">
        <v>2016</v>
      </c>
      <c r="CB1582">
        <v>224</v>
      </c>
      <c r="CD1582">
        <v>1</v>
      </c>
      <c r="CE1582">
        <v>0</v>
      </c>
      <c r="CF1582">
        <v>0</v>
      </c>
      <c r="CG1582">
        <v>1</v>
      </c>
      <c r="CH1582">
        <v>0</v>
      </c>
      <c r="CI1582">
        <v>0</v>
      </c>
      <c r="CJ1582">
        <v>0</v>
      </c>
      <c r="CK1582">
        <v>2</v>
      </c>
      <c r="CL1582">
        <v>0</v>
      </c>
      <c r="CM1582">
        <v>2</v>
      </c>
      <c r="CN1582">
        <v>0</v>
      </c>
      <c r="CO1582">
        <v>7</v>
      </c>
      <c r="CP1582" t="s">
        <v>119</v>
      </c>
      <c r="CQ1582">
        <v>180</v>
      </c>
      <c r="CR1582">
        <v>2</v>
      </c>
      <c r="CW1582">
        <v>8257052</v>
      </c>
      <c r="CY1582">
        <v>1</v>
      </c>
      <c r="CZ1582">
        <v>0</v>
      </c>
      <c r="DA1582">
        <v>1</v>
      </c>
      <c r="DB1582">
        <v>0</v>
      </c>
      <c r="DC1582">
        <v>0</v>
      </c>
      <c r="DD1582">
        <v>0</v>
      </c>
      <c r="DE1582">
        <v>0</v>
      </c>
      <c r="DF1582">
        <v>0</v>
      </c>
      <c r="DG1582">
        <v>0</v>
      </c>
      <c r="DH1582">
        <v>0</v>
      </c>
      <c r="DI1582">
        <v>0</v>
      </c>
    </row>
    <row r="1583" spans="1:113" x14ac:dyDescent="0.3">
      <c r="A1583" t="str">
        <f>"02/08/2021 20:21:50.158"</f>
        <v>02/08/2021 20:21:50.158</v>
      </c>
      <c r="C1583" t="str">
        <f t="shared" si="74"/>
        <v>FFDFD7C0</v>
      </c>
      <c r="D1583" t="s">
        <v>124</v>
      </c>
      <c r="E1583">
        <v>12</v>
      </c>
      <c r="F1583">
        <v>1012</v>
      </c>
      <c r="G1583" t="s">
        <v>675</v>
      </c>
      <c r="J1583" t="s">
        <v>125</v>
      </c>
      <c r="K1583">
        <v>0</v>
      </c>
      <c r="L1583">
        <v>3</v>
      </c>
      <c r="M1583">
        <v>0</v>
      </c>
      <c r="N1583">
        <v>2</v>
      </c>
      <c r="O1583">
        <v>1</v>
      </c>
      <c r="P1583">
        <v>0</v>
      </c>
      <c r="Q1583">
        <v>0</v>
      </c>
      <c r="S1583" t="str">
        <f>"20:21:52.453"</f>
        <v>20:21:52.453</v>
      </c>
      <c r="T1583" t="str">
        <f>"20:21:52.053"</f>
        <v>20:21:52.053</v>
      </c>
      <c r="U1583" t="str">
        <f t="shared" si="73"/>
        <v>AB01F4</v>
      </c>
      <c r="V1583">
        <v>0</v>
      </c>
      <c r="W1583">
        <v>0</v>
      </c>
      <c r="X1583">
        <v>2</v>
      </c>
      <c r="Z1583">
        <v>0</v>
      </c>
      <c r="AA1583">
        <v>9</v>
      </c>
      <c r="AB1583">
        <v>3</v>
      </c>
      <c r="AC1583">
        <v>0</v>
      </c>
      <c r="AD1583">
        <v>10</v>
      </c>
      <c r="AE1583">
        <v>0</v>
      </c>
      <c r="AF1583">
        <v>3</v>
      </c>
      <c r="AG1583">
        <v>2</v>
      </c>
      <c r="AH1583">
        <v>0</v>
      </c>
      <c r="AI1583" t="s">
        <v>1041</v>
      </c>
      <c r="AJ1583">
        <v>39.850008000000003</v>
      </c>
      <c r="AK1583" t="s">
        <v>1042</v>
      </c>
      <c r="AL1583">
        <v>-92.534729999999996</v>
      </c>
      <c r="AM1583">
        <v>100</v>
      </c>
      <c r="AN1583">
        <v>1700</v>
      </c>
      <c r="AO1583" t="s">
        <v>118</v>
      </c>
      <c r="AP1583">
        <v>-29</v>
      </c>
      <c r="AQ1583">
        <v>117</v>
      </c>
      <c r="AR1583">
        <v>64</v>
      </c>
      <c r="AZ1583">
        <v>1200</v>
      </c>
      <c r="BA1583">
        <v>1</v>
      </c>
      <c r="BB1583" t="str">
        <f t="shared" si="75"/>
        <v xml:space="preserve">N8080G  </v>
      </c>
      <c r="BC1583">
        <v>1</v>
      </c>
      <c r="BE1583">
        <v>0</v>
      </c>
      <c r="BF1583">
        <v>0</v>
      </c>
      <c r="BG1583">
        <v>0</v>
      </c>
      <c r="BH1583">
        <v>1700</v>
      </c>
      <c r="BI1583">
        <v>1</v>
      </c>
      <c r="BJ1583">
        <v>1</v>
      </c>
      <c r="BK1583">
        <v>1</v>
      </c>
      <c r="BL1583">
        <v>0</v>
      </c>
      <c r="BO1583">
        <v>0</v>
      </c>
      <c r="BP1583">
        <v>0</v>
      </c>
      <c r="BW1583" t="str">
        <f>"20:21:52.454"</f>
        <v>20:21:52.454</v>
      </c>
      <c r="BZ1583">
        <v>0</v>
      </c>
      <c r="CA1583">
        <v>2016</v>
      </c>
      <c r="CB1583">
        <v>224</v>
      </c>
      <c r="CD1583">
        <v>1</v>
      </c>
      <c r="CE1583">
        <v>0</v>
      </c>
      <c r="CF1583">
        <v>0</v>
      </c>
      <c r="CG1583">
        <v>1</v>
      </c>
      <c r="CH1583">
        <v>0</v>
      </c>
      <c r="CI1583">
        <v>0</v>
      </c>
      <c r="CJ1583">
        <v>0</v>
      </c>
      <c r="CK1583">
        <v>2</v>
      </c>
      <c r="CL1583">
        <v>0</v>
      </c>
      <c r="CM1583">
        <v>2</v>
      </c>
      <c r="CN1583">
        <v>0</v>
      </c>
      <c r="CO1583">
        <v>7</v>
      </c>
      <c r="CP1583" t="s">
        <v>119</v>
      </c>
      <c r="CQ1583">
        <v>180</v>
      </c>
      <c r="CR1583">
        <v>2</v>
      </c>
      <c r="CW1583">
        <v>8258418</v>
      </c>
      <c r="CY1583">
        <v>1</v>
      </c>
      <c r="CZ1583">
        <v>0</v>
      </c>
      <c r="DA1583">
        <v>0</v>
      </c>
      <c r="DB1583">
        <v>0</v>
      </c>
      <c r="DC1583">
        <v>0</v>
      </c>
      <c r="DD1583">
        <v>0</v>
      </c>
      <c r="DE1583">
        <v>0</v>
      </c>
      <c r="DF1583">
        <v>0</v>
      </c>
      <c r="DG1583">
        <v>0</v>
      </c>
      <c r="DH1583">
        <v>0</v>
      </c>
      <c r="DI1583">
        <v>0</v>
      </c>
    </row>
    <row r="1584" spans="1:113" x14ac:dyDescent="0.3">
      <c r="A1584" t="str">
        <f>"02/08/2021 20:21:50.158"</f>
        <v>02/08/2021 20:21:50.158</v>
      </c>
      <c r="C1584" t="str">
        <f t="shared" si="74"/>
        <v>FFDFD7C0</v>
      </c>
      <c r="D1584" t="s">
        <v>113</v>
      </c>
      <c r="E1584">
        <v>6</v>
      </c>
      <c r="H1584">
        <v>165</v>
      </c>
      <c r="I1584" t="s">
        <v>114</v>
      </c>
      <c r="J1584" t="s">
        <v>115</v>
      </c>
      <c r="K1584">
        <v>0</v>
      </c>
      <c r="L1584">
        <v>3</v>
      </c>
      <c r="M1584">
        <v>0</v>
      </c>
      <c r="N1584">
        <v>2</v>
      </c>
      <c r="O1584">
        <v>1</v>
      </c>
      <c r="P1584">
        <v>0</v>
      </c>
      <c r="Q1584">
        <v>0</v>
      </c>
      <c r="S1584" t="str">
        <f>"20:21:52.453"</f>
        <v>20:21:52.453</v>
      </c>
      <c r="T1584" t="str">
        <f>"20:21:52.053"</f>
        <v>20:21:52.053</v>
      </c>
      <c r="U1584" t="str">
        <f t="shared" si="73"/>
        <v>AB01F4</v>
      </c>
      <c r="V1584">
        <v>0</v>
      </c>
      <c r="W1584">
        <v>0</v>
      </c>
      <c r="X1584">
        <v>2</v>
      </c>
      <c r="Z1584">
        <v>0</v>
      </c>
      <c r="AA1584">
        <v>9</v>
      </c>
      <c r="AB1584">
        <v>3</v>
      </c>
      <c r="AC1584">
        <v>0</v>
      </c>
      <c r="AD1584">
        <v>10</v>
      </c>
      <c r="AE1584">
        <v>0</v>
      </c>
      <c r="AF1584">
        <v>3</v>
      </c>
      <c r="AG1584">
        <v>2</v>
      </c>
      <c r="AH1584">
        <v>0</v>
      </c>
      <c r="AI1584" t="s">
        <v>1041</v>
      </c>
      <c r="AJ1584">
        <v>39.850008000000003</v>
      </c>
      <c r="AK1584" t="s">
        <v>1042</v>
      </c>
      <c r="AL1584">
        <v>-92.534729999999996</v>
      </c>
      <c r="AM1584">
        <v>100</v>
      </c>
      <c r="AN1584">
        <v>1700</v>
      </c>
      <c r="AO1584" t="s">
        <v>118</v>
      </c>
      <c r="AP1584">
        <v>-29</v>
      </c>
      <c r="AQ1584">
        <v>117</v>
      </c>
      <c r="AR1584">
        <v>64</v>
      </c>
      <c r="AZ1584">
        <v>1200</v>
      </c>
      <c r="BA1584">
        <v>1</v>
      </c>
      <c r="BB1584" t="str">
        <f t="shared" si="75"/>
        <v xml:space="preserve">N8080G  </v>
      </c>
      <c r="BC1584">
        <v>1</v>
      </c>
      <c r="BE1584">
        <v>0</v>
      </c>
      <c r="BF1584">
        <v>0</v>
      </c>
      <c r="BG1584">
        <v>0</v>
      </c>
      <c r="BH1584">
        <v>1700</v>
      </c>
      <c r="BI1584">
        <v>1</v>
      </c>
      <c r="BJ1584">
        <v>1</v>
      </c>
      <c r="BK1584">
        <v>1</v>
      </c>
      <c r="BL1584">
        <v>0</v>
      </c>
      <c r="BO1584">
        <v>0</v>
      </c>
      <c r="BP1584">
        <v>0</v>
      </c>
      <c r="BW1584" t="str">
        <f>"20:21:52.454"</f>
        <v>20:21:52.454</v>
      </c>
      <c r="BZ1584">
        <v>0</v>
      </c>
      <c r="CA1584">
        <v>2016</v>
      </c>
      <c r="CB1584">
        <v>224</v>
      </c>
      <c r="CD1584">
        <v>1</v>
      </c>
      <c r="CE1584">
        <v>0</v>
      </c>
      <c r="CF1584">
        <v>0</v>
      </c>
      <c r="CG1584">
        <v>1</v>
      </c>
      <c r="CH1584">
        <v>0</v>
      </c>
      <c r="CI1584">
        <v>0</v>
      </c>
      <c r="CJ1584">
        <v>0</v>
      </c>
      <c r="CK1584">
        <v>2</v>
      </c>
      <c r="CL1584">
        <v>0</v>
      </c>
      <c r="CM1584">
        <v>2</v>
      </c>
      <c r="CN1584">
        <v>0</v>
      </c>
      <c r="CO1584">
        <v>7</v>
      </c>
      <c r="CP1584" t="s">
        <v>119</v>
      </c>
      <c r="CQ1584">
        <v>180</v>
      </c>
      <c r="CR1584">
        <v>2</v>
      </c>
      <c r="CW1584">
        <v>8258418</v>
      </c>
      <c r="CY1584">
        <v>1</v>
      </c>
      <c r="CZ1584">
        <v>0</v>
      </c>
      <c r="DA1584">
        <v>1</v>
      </c>
      <c r="DB1584">
        <v>0</v>
      </c>
      <c r="DC1584">
        <v>0</v>
      </c>
      <c r="DD1584">
        <v>0</v>
      </c>
      <c r="DE1584">
        <v>0</v>
      </c>
      <c r="DF1584">
        <v>0</v>
      </c>
      <c r="DG1584">
        <v>0</v>
      </c>
      <c r="DH1584">
        <v>0</v>
      </c>
      <c r="DI1584">
        <v>0</v>
      </c>
    </row>
    <row r="1585" spans="1:113" x14ac:dyDescent="0.3">
      <c r="A1585" t="str">
        <f>"02/08/2021 20:21:50.158"</f>
        <v>02/08/2021 20:21:50.158</v>
      </c>
      <c r="C1585" t="str">
        <f t="shared" si="74"/>
        <v>FFDFD7C0</v>
      </c>
      <c r="D1585" t="s">
        <v>124</v>
      </c>
      <c r="E1585">
        <v>11</v>
      </c>
      <c r="F1585">
        <v>1011</v>
      </c>
      <c r="G1585" t="s">
        <v>590</v>
      </c>
      <c r="J1585" t="s">
        <v>125</v>
      </c>
      <c r="K1585">
        <v>0</v>
      </c>
      <c r="L1585">
        <v>3</v>
      </c>
      <c r="M1585">
        <v>0</v>
      </c>
      <c r="N1585">
        <v>2</v>
      </c>
      <c r="O1585">
        <v>1</v>
      </c>
      <c r="P1585">
        <v>0</v>
      </c>
      <c r="Q1585">
        <v>0</v>
      </c>
      <c r="S1585" t="str">
        <f>"20:21:52.453"</f>
        <v>20:21:52.453</v>
      </c>
      <c r="T1585" t="str">
        <f>"20:21:52.053"</f>
        <v>20:21:52.053</v>
      </c>
      <c r="U1585" t="str">
        <f t="shared" si="73"/>
        <v>AB01F4</v>
      </c>
      <c r="V1585">
        <v>0</v>
      </c>
      <c r="W1585">
        <v>0</v>
      </c>
      <c r="X1585">
        <v>2</v>
      </c>
      <c r="Z1585">
        <v>0</v>
      </c>
      <c r="AA1585">
        <v>9</v>
      </c>
      <c r="AB1585">
        <v>3</v>
      </c>
      <c r="AC1585">
        <v>0</v>
      </c>
      <c r="AD1585">
        <v>10</v>
      </c>
      <c r="AE1585">
        <v>0</v>
      </c>
      <c r="AF1585">
        <v>3</v>
      </c>
      <c r="AG1585">
        <v>2</v>
      </c>
      <c r="AH1585">
        <v>0</v>
      </c>
      <c r="AI1585" t="s">
        <v>1041</v>
      </c>
      <c r="AJ1585">
        <v>39.850008000000003</v>
      </c>
      <c r="AK1585" t="s">
        <v>1042</v>
      </c>
      <c r="AL1585">
        <v>-92.534729999999996</v>
      </c>
      <c r="AM1585">
        <v>100</v>
      </c>
      <c r="AN1585">
        <v>1700</v>
      </c>
      <c r="AO1585" t="s">
        <v>118</v>
      </c>
      <c r="AP1585">
        <v>-29</v>
      </c>
      <c r="AQ1585">
        <v>117</v>
      </c>
      <c r="AR1585">
        <v>64</v>
      </c>
      <c r="AZ1585">
        <v>1200</v>
      </c>
      <c r="BA1585">
        <v>1</v>
      </c>
      <c r="BB1585" t="str">
        <f t="shared" si="75"/>
        <v xml:space="preserve">N8080G  </v>
      </c>
      <c r="BC1585">
        <v>1</v>
      </c>
      <c r="BE1585">
        <v>0</v>
      </c>
      <c r="BF1585">
        <v>0</v>
      </c>
      <c r="BG1585">
        <v>0</v>
      </c>
      <c r="BH1585">
        <v>1700</v>
      </c>
      <c r="BI1585">
        <v>1</v>
      </c>
      <c r="BJ1585">
        <v>1</v>
      </c>
      <c r="BK1585">
        <v>1</v>
      </c>
      <c r="BL1585">
        <v>0</v>
      </c>
      <c r="BO1585">
        <v>0</v>
      </c>
      <c r="BP1585">
        <v>0</v>
      </c>
      <c r="BW1585" t="str">
        <f>"20:21:52.454"</f>
        <v>20:21:52.454</v>
      </c>
      <c r="BZ1585">
        <v>0</v>
      </c>
      <c r="CA1585">
        <v>2016</v>
      </c>
      <c r="CB1585">
        <v>224</v>
      </c>
      <c r="CD1585">
        <v>1</v>
      </c>
      <c r="CE1585">
        <v>0</v>
      </c>
      <c r="CF1585">
        <v>0</v>
      </c>
      <c r="CG1585">
        <v>1</v>
      </c>
      <c r="CH1585">
        <v>0</v>
      </c>
      <c r="CI1585">
        <v>0</v>
      </c>
      <c r="CJ1585">
        <v>0</v>
      </c>
      <c r="CK1585">
        <v>2</v>
      </c>
      <c r="CL1585">
        <v>0</v>
      </c>
      <c r="CM1585">
        <v>2</v>
      </c>
      <c r="CN1585">
        <v>0</v>
      </c>
      <c r="CO1585">
        <v>7</v>
      </c>
      <c r="CP1585" t="s">
        <v>119</v>
      </c>
      <c r="CQ1585">
        <v>180</v>
      </c>
      <c r="CR1585">
        <v>2</v>
      </c>
      <c r="CW1585">
        <v>8258418</v>
      </c>
      <c r="CY1585">
        <v>1</v>
      </c>
      <c r="CZ1585">
        <v>0</v>
      </c>
      <c r="DA1585">
        <v>1</v>
      </c>
      <c r="DB1585">
        <v>0</v>
      </c>
      <c r="DC1585">
        <v>0</v>
      </c>
      <c r="DD1585">
        <v>0</v>
      </c>
      <c r="DE1585">
        <v>0</v>
      </c>
      <c r="DF1585">
        <v>0</v>
      </c>
      <c r="DG1585">
        <v>0</v>
      </c>
      <c r="DH1585">
        <v>0</v>
      </c>
      <c r="DI1585">
        <v>0</v>
      </c>
    </row>
    <row r="1586" spans="1:113" x14ac:dyDescent="0.3">
      <c r="A1586" t="str">
        <f>"02/08/2021 20:21:50.158"</f>
        <v>02/08/2021 20:21:50.158</v>
      </c>
      <c r="C1586" t="str">
        <f t="shared" si="74"/>
        <v>FFDFD7C0</v>
      </c>
      <c r="D1586" t="s">
        <v>124</v>
      </c>
      <c r="E1586">
        <v>13</v>
      </c>
      <c r="F1586">
        <v>1013</v>
      </c>
      <c r="G1586" t="s">
        <v>114</v>
      </c>
      <c r="J1586" t="s">
        <v>125</v>
      </c>
      <c r="K1586">
        <v>0</v>
      </c>
      <c r="L1586">
        <v>3</v>
      </c>
      <c r="M1586">
        <v>0</v>
      </c>
      <c r="N1586">
        <v>2</v>
      </c>
      <c r="O1586">
        <v>1</v>
      </c>
      <c r="P1586">
        <v>0</v>
      </c>
      <c r="Q1586">
        <v>0</v>
      </c>
      <c r="S1586" t="str">
        <f>"20:21:52.453"</f>
        <v>20:21:52.453</v>
      </c>
      <c r="T1586" t="str">
        <f>"20:21:52.053"</f>
        <v>20:21:52.053</v>
      </c>
      <c r="U1586" t="str">
        <f t="shared" si="73"/>
        <v>AB01F4</v>
      </c>
      <c r="V1586">
        <v>0</v>
      </c>
      <c r="W1586">
        <v>0</v>
      </c>
      <c r="X1586">
        <v>2</v>
      </c>
      <c r="Z1586">
        <v>0</v>
      </c>
      <c r="AA1586">
        <v>9</v>
      </c>
      <c r="AB1586">
        <v>3</v>
      </c>
      <c r="AC1586">
        <v>0</v>
      </c>
      <c r="AD1586">
        <v>10</v>
      </c>
      <c r="AE1586">
        <v>0</v>
      </c>
      <c r="AF1586">
        <v>3</v>
      </c>
      <c r="AG1586">
        <v>2</v>
      </c>
      <c r="AH1586">
        <v>0</v>
      </c>
      <c r="AI1586" t="s">
        <v>1041</v>
      </c>
      <c r="AJ1586">
        <v>39.850008000000003</v>
      </c>
      <c r="AK1586" t="s">
        <v>1042</v>
      </c>
      <c r="AL1586">
        <v>-92.534729999999996</v>
      </c>
      <c r="AM1586">
        <v>100</v>
      </c>
      <c r="AN1586">
        <v>1700</v>
      </c>
      <c r="AO1586" t="s">
        <v>118</v>
      </c>
      <c r="AP1586">
        <v>-29</v>
      </c>
      <c r="AQ1586">
        <v>117</v>
      </c>
      <c r="AR1586">
        <v>64</v>
      </c>
      <c r="AZ1586">
        <v>1200</v>
      </c>
      <c r="BA1586">
        <v>1</v>
      </c>
      <c r="BB1586" t="str">
        <f t="shared" si="75"/>
        <v xml:space="preserve">N8080G  </v>
      </c>
      <c r="BC1586">
        <v>1</v>
      </c>
      <c r="BE1586">
        <v>0</v>
      </c>
      <c r="BF1586">
        <v>0</v>
      </c>
      <c r="BG1586">
        <v>0</v>
      </c>
      <c r="BH1586">
        <v>1700</v>
      </c>
      <c r="BI1586">
        <v>1</v>
      </c>
      <c r="BJ1586">
        <v>1</v>
      </c>
      <c r="BK1586">
        <v>1</v>
      </c>
      <c r="BL1586">
        <v>0</v>
      </c>
      <c r="BO1586">
        <v>0</v>
      </c>
      <c r="BP1586">
        <v>0</v>
      </c>
      <c r="BW1586" t="str">
        <f>"20:21:52.454"</f>
        <v>20:21:52.454</v>
      </c>
      <c r="BZ1586">
        <v>0</v>
      </c>
      <c r="CA1586">
        <v>2016</v>
      </c>
      <c r="CB1586">
        <v>224</v>
      </c>
      <c r="CD1586">
        <v>1</v>
      </c>
      <c r="CE1586">
        <v>0</v>
      </c>
      <c r="CF1586">
        <v>0</v>
      </c>
      <c r="CG1586">
        <v>1</v>
      </c>
      <c r="CH1586">
        <v>0</v>
      </c>
      <c r="CI1586">
        <v>0</v>
      </c>
      <c r="CJ1586">
        <v>0</v>
      </c>
      <c r="CK1586">
        <v>2</v>
      </c>
      <c r="CL1586">
        <v>0</v>
      </c>
      <c r="CM1586">
        <v>2</v>
      </c>
      <c r="CN1586">
        <v>0</v>
      </c>
      <c r="CO1586">
        <v>7</v>
      </c>
      <c r="CP1586" t="s">
        <v>119</v>
      </c>
      <c r="CQ1586">
        <v>180</v>
      </c>
      <c r="CR1586">
        <v>2</v>
      </c>
      <c r="CW1586">
        <v>8258418</v>
      </c>
      <c r="CY1586">
        <v>1</v>
      </c>
      <c r="CZ1586">
        <v>0</v>
      </c>
      <c r="DA1586">
        <v>1</v>
      </c>
      <c r="DB1586">
        <v>0</v>
      </c>
      <c r="DC1586">
        <v>0</v>
      </c>
      <c r="DD1586">
        <v>0</v>
      </c>
      <c r="DE1586">
        <v>0</v>
      </c>
      <c r="DF1586">
        <v>0</v>
      </c>
      <c r="DG1586">
        <v>0</v>
      </c>
      <c r="DH1586">
        <v>0</v>
      </c>
      <c r="DI1586">
        <v>0</v>
      </c>
    </row>
    <row r="1587" spans="1:113" x14ac:dyDescent="0.3">
      <c r="A1587" t="str">
        <f>"02/08/2021 20:21:53.241"</f>
        <v>02/08/2021 20:21:53.241</v>
      </c>
      <c r="C1587" t="str">
        <f t="shared" si="74"/>
        <v>FFDFD7C0</v>
      </c>
      <c r="D1587" t="s">
        <v>113</v>
      </c>
      <c r="E1587">
        <v>6</v>
      </c>
      <c r="H1587">
        <v>165</v>
      </c>
      <c r="I1587" t="s">
        <v>114</v>
      </c>
      <c r="J1587" t="s">
        <v>115</v>
      </c>
      <c r="K1587">
        <v>0</v>
      </c>
      <c r="L1587">
        <v>3</v>
      </c>
      <c r="M1587">
        <v>0</v>
      </c>
      <c r="N1587">
        <v>2</v>
      </c>
      <c r="O1587">
        <v>1</v>
      </c>
      <c r="P1587">
        <v>0</v>
      </c>
      <c r="Q1587">
        <v>0</v>
      </c>
      <c r="S1587" t="str">
        <f>"20:21:55.594"</f>
        <v>20:21:55.594</v>
      </c>
      <c r="T1587" t="str">
        <f>"20:21:55.094"</f>
        <v>20:21:55.094</v>
      </c>
      <c r="U1587" t="str">
        <f t="shared" si="73"/>
        <v>AB01F4</v>
      </c>
      <c r="V1587">
        <v>0</v>
      </c>
      <c r="W1587">
        <v>0</v>
      </c>
      <c r="X1587">
        <v>2</v>
      </c>
      <c r="Z1587">
        <v>0</v>
      </c>
      <c r="AA1587">
        <v>9</v>
      </c>
      <c r="AB1587">
        <v>3</v>
      </c>
      <c r="AC1587">
        <v>0</v>
      </c>
      <c r="AD1587">
        <v>10</v>
      </c>
      <c r="AE1587">
        <v>0</v>
      </c>
      <c r="AF1587">
        <v>3</v>
      </c>
      <c r="AG1587">
        <v>2</v>
      </c>
      <c r="AH1587">
        <v>0</v>
      </c>
      <c r="AI1587" t="s">
        <v>1043</v>
      </c>
      <c r="AJ1587">
        <v>39.851661</v>
      </c>
      <c r="AK1587" t="s">
        <v>1044</v>
      </c>
      <c r="AL1587">
        <v>-92.535396000000006</v>
      </c>
      <c r="AM1587">
        <v>100</v>
      </c>
      <c r="AN1587">
        <v>1700</v>
      </c>
      <c r="AO1587" t="s">
        <v>118</v>
      </c>
      <c r="AP1587">
        <v>-35</v>
      </c>
      <c r="AQ1587">
        <v>117</v>
      </c>
      <c r="AR1587">
        <v>0</v>
      </c>
      <c r="AZ1587">
        <v>1200</v>
      </c>
      <c r="BA1587">
        <v>1</v>
      </c>
      <c r="BB1587" t="str">
        <f t="shared" si="75"/>
        <v xml:space="preserve">N8080G  </v>
      </c>
      <c r="BC1587">
        <v>1</v>
      </c>
      <c r="BE1587">
        <v>0</v>
      </c>
      <c r="BF1587">
        <v>0</v>
      </c>
      <c r="BG1587">
        <v>0</v>
      </c>
      <c r="BH1587">
        <v>1700</v>
      </c>
      <c r="BI1587">
        <v>1</v>
      </c>
      <c r="BJ1587">
        <v>1</v>
      </c>
      <c r="BK1587">
        <v>1</v>
      </c>
      <c r="BL1587">
        <v>0</v>
      </c>
      <c r="BO1587">
        <v>0</v>
      </c>
      <c r="BP1587">
        <v>0</v>
      </c>
      <c r="BW1587" t="str">
        <f>"20:21:55.596"</f>
        <v>20:21:55.596</v>
      </c>
      <c r="BZ1587">
        <v>0</v>
      </c>
      <c r="CA1587">
        <v>2016</v>
      </c>
      <c r="CB1587">
        <v>224</v>
      </c>
      <c r="CD1587">
        <v>1</v>
      </c>
      <c r="CE1587">
        <v>0</v>
      </c>
      <c r="CF1587">
        <v>0</v>
      </c>
      <c r="CG1587">
        <v>1</v>
      </c>
      <c r="CH1587">
        <v>0</v>
      </c>
      <c r="CI1587">
        <v>0</v>
      </c>
      <c r="CJ1587">
        <v>0</v>
      </c>
      <c r="CK1587">
        <v>2</v>
      </c>
      <c r="CL1587">
        <v>0</v>
      </c>
      <c r="CM1587">
        <v>2</v>
      </c>
      <c r="CN1587">
        <v>0</v>
      </c>
      <c r="CO1587">
        <v>7</v>
      </c>
      <c r="CP1587" t="s">
        <v>119</v>
      </c>
      <c r="CQ1587">
        <v>180</v>
      </c>
      <c r="CR1587">
        <v>2</v>
      </c>
      <c r="CW1587">
        <v>8260974</v>
      </c>
      <c r="CY1587">
        <v>1</v>
      </c>
      <c r="CZ1587">
        <v>0</v>
      </c>
      <c r="DA1587">
        <v>0</v>
      </c>
      <c r="DB1587">
        <v>0</v>
      </c>
      <c r="DC1587">
        <v>0</v>
      </c>
      <c r="DD1587">
        <v>0</v>
      </c>
      <c r="DE1587">
        <v>0</v>
      </c>
      <c r="DF1587">
        <v>0</v>
      </c>
      <c r="DG1587">
        <v>0</v>
      </c>
      <c r="DH1587">
        <v>0</v>
      </c>
      <c r="DI1587">
        <v>0</v>
      </c>
    </row>
    <row r="1588" spans="1:113" x14ac:dyDescent="0.3">
      <c r="A1588" t="str">
        <f>"02/08/2021 20:21:53.241"</f>
        <v>02/08/2021 20:21:53.241</v>
      </c>
      <c r="C1588" t="str">
        <f t="shared" si="74"/>
        <v>FFDFD7C0</v>
      </c>
      <c r="D1588" t="s">
        <v>124</v>
      </c>
      <c r="E1588">
        <v>13</v>
      </c>
      <c r="F1588">
        <v>1013</v>
      </c>
      <c r="G1588" t="s">
        <v>114</v>
      </c>
      <c r="J1588" t="s">
        <v>125</v>
      </c>
      <c r="K1588">
        <v>0</v>
      </c>
      <c r="L1588">
        <v>3</v>
      </c>
      <c r="M1588">
        <v>0</v>
      </c>
      <c r="N1588">
        <v>2</v>
      </c>
      <c r="O1588">
        <v>1</v>
      </c>
      <c r="P1588">
        <v>0</v>
      </c>
      <c r="Q1588">
        <v>0</v>
      </c>
      <c r="S1588" t="str">
        <f>"20:21:55.594"</f>
        <v>20:21:55.594</v>
      </c>
      <c r="T1588" t="str">
        <f>"20:21:55.094"</f>
        <v>20:21:55.094</v>
      </c>
      <c r="U1588" t="str">
        <f t="shared" si="73"/>
        <v>AB01F4</v>
      </c>
      <c r="V1588">
        <v>0</v>
      </c>
      <c r="W1588">
        <v>0</v>
      </c>
      <c r="X1588">
        <v>2</v>
      </c>
      <c r="Z1588">
        <v>0</v>
      </c>
      <c r="AA1588">
        <v>9</v>
      </c>
      <c r="AB1588">
        <v>3</v>
      </c>
      <c r="AC1588">
        <v>0</v>
      </c>
      <c r="AD1588">
        <v>10</v>
      </c>
      <c r="AE1588">
        <v>0</v>
      </c>
      <c r="AF1588">
        <v>3</v>
      </c>
      <c r="AG1588">
        <v>2</v>
      </c>
      <c r="AH1588">
        <v>0</v>
      </c>
      <c r="AI1588" t="s">
        <v>1043</v>
      </c>
      <c r="AJ1588">
        <v>39.851661</v>
      </c>
      <c r="AK1588" t="s">
        <v>1044</v>
      </c>
      <c r="AL1588">
        <v>-92.535396000000006</v>
      </c>
      <c r="AM1588">
        <v>100</v>
      </c>
      <c r="AN1588">
        <v>1700</v>
      </c>
      <c r="AO1588" t="s">
        <v>118</v>
      </c>
      <c r="AP1588">
        <v>-35</v>
      </c>
      <c r="AQ1588">
        <v>117</v>
      </c>
      <c r="AR1588">
        <v>0</v>
      </c>
      <c r="AZ1588">
        <v>1200</v>
      </c>
      <c r="BA1588">
        <v>1</v>
      </c>
      <c r="BB1588" t="str">
        <f t="shared" si="75"/>
        <v xml:space="preserve">N8080G  </v>
      </c>
      <c r="BC1588">
        <v>1</v>
      </c>
      <c r="BE1588">
        <v>0</v>
      </c>
      <c r="BF1588">
        <v>0</v>
      </c>
      <c r="BG1588">
        <v>0</v>
      </c>
      <c r="BH1588">
        <v>1700</v>
      </c>
      <c r="BI1588">
        <v>1</v>
      </c>
      <c r="BJ1588">
        <v>1</v>
      </c>
      <c r="BK1588">
        <v>1</v>
      </c>
      <c r="BL1588">
        <v>0</v>
      </c>
      <c r="BO1588">
        <v>0</v>
      </c>
      <c r="BP1588">
        <v>0</v>
      </c>
      <c r="BW1588" t="str">
        <f>"20:21:55.596"</f>
        <v>20:21:55.596</v>
      </c>
      <c r="BZ1588">
        <v>0</v>
      </c>
      <c r="CA1588">
        <v>2016</v>
      </c>
      <c r="CB1588">
        <v>224</v>
      </c>
      <c r="CD1588">
        <v>1</v>
      </c>
      <c r="CE1588">
        <v>0</v>
      </c>
      <c r="CF1588">
        <v>0</v>
      </c>
      <c r="CG1588">
        <v>1</v>
      </c>
      <c r="CH1588">
        <v>0</v>
      </c>
      <c r="CI1588">
        <v>0</v>
      </c>
      <c r="CJ1588">
        <v>0</v>
      </c>
      <c r="CK1588">
        <v>2</v>
      </c>
      <c r="CL1588">
        <v>0</v>
      </c>
      <c r="CM1588">
        <v>2</v>
      </c>
      <c r="CN1588">
        <v>0</v>
      </c>
      <c r="CO1588">
        <v>7</v>
      </c>
      <c r="CP1588" t="s">
        <v>119</v>
      </c>
      <c r="CQ1588">
        <v>180</v>
      </c>
      <c r="CR1588">
        <v>2</v>
      </c>
      <c r="CW1588">
        <v>8260974</v>
      </c>
      <c r="CY1588">
        <v>1</v>
      </c>
      <c r="CZ1588">
        <v>0</v>
      </c>
      <c r="DA1588">
        <v>1</v>
      </c>
      <c r="DB1588">
        <v>0</v>
      </c>
      <c r="DC1588">
        <v>0</v>
      </c>
      <c r="DD1588">
        <v>0</v>
      </c>
      <c r="DE1588">
        <v>0</v>
      </c>
      <c r="DF1588">
        <v>0</v>
      </c>
      <c r="DG1588">
        <v>0</v>
      </c>
      <c r="DH1588">
        <v>0</v>
      </c>
      <c r="DI1588">
        <v>0</v>
      </c>
    </row>
    <row r="1589" spans="1:113" x14ac:dyDescent="0.3">
      <c r="A1589" t="str">
        <f>"02/08/2021 20:21:53.241"</f>
        <v>02/08/2021 20:21:53.241</v>
      </c>
      <c r="C1589" t="str">
        <f t="shared" si="74"/>
        <v>FFDFD7C0</v>
      </c>
      <c r="D1589" t="s">
        <v>124</v>
      </c>
      <c r="E1589">
        <v>12</v>
      </c>
      <c r="F1589">
        <v>1012</v>
      </c>
      <c r="G1589" t="s">
        <v>675</v>
      </c>
      <c r="J1589" t="s">
        <v>125</v>
      </c>
      <c r="K1589">
        <v>0</v>
      </c>
      <c r="L1589">
        <v>3</v>
      </c>
      <c r="M1589">
        <v>0</v>
      </c>
      <c r="N1589">
        <v>2</v>
      </c>
      <c r="O1589">
        <v>1</v>
      </c>
      <c r="P1589">
        <v>0</v>
      </c>
      <c r="Q1589">
        <v>0</v>
      </c>
      <c r="S1589" t="str">
        <f>"20:21:55.594"</f>
        <v>20:21:55.594</v>
      </c>
      <c r="T1589" t="str">
        <f>"20:21:55.094"</f>
        <v>20:21:55.094</v>
      </c>
      <c r="U1589" t="str">
        <f t="shared" si="73"/>
        <v>AB01F4</v>
      </c>
      <c r="V1589">
        <v>0</v>
      </c>
      <c r="W1589">
        <v>0</v>
      </c>
      <c r="X1589">
        <v>2</v>
      </c>
      <c r="Z1589">
        <v>0</v>
      </c>
      <c r="AA1589">
        <v>9</v>
      </c>
      <c r="AB1589">
        <v>3</v>
      </c>
      <c r="AC1589">
        <v>0</v>
      </c>
      <c r="AD1589">
        <v>10</v>
      </c>
      <c r="AE1589">
        <v>0</v>
      </c>
      <c r="AF1589">
        <v>3</v>
      </c>
      <c r="AG1589">
        <v>2</v>
      </c>
      <c r="AH1589">
        <v>0</v>
      </c>
      <c r="AI1589" t="s">
        <v>1043</v>
      </c>
      <c r="AJ1589">
        <v>39.851661</v>
      </c>
      <c r="AK1589" t="s">
        <v>1044</v>
      </c>
      <c r="AL1589">
        <v>-92.535396000000006</v>
      </c>
      <c r="AM1589">
        <v>100</v>
      </c>
      <c r="AN1589">
        <v>1700</v>
      </c>
      <c r="AO1589" t="s">
        <v>118</v>
      </c>
      <c r="AP1589">
        <v>-35</v>
      </c>
      <c r="AQ1589">
        <v>117</v>
      </c>
      <c r="AR1589">
        <v>0</v>
      </c>
      <c r="AZ1589">
        <v>1200</v>
      </c>
      <c r="BA1589">
        <v>1</v>
      </c>
      <c r="BB1589" t="str">
        <f t="shared" si="75"/>
        <v xml:space="preserve">N8080G  </v>
      </c>
      <c r="BC1589">
        <v>1</v>
      </c>
      <c r="BE1589">
        <v>0</v>
      </c>
      <c r="BF1589">
        <v>0</v>
      </c>
      <c r="BG1589">
        <v>0</v>
      </c>
      <c r="BH1589">
        <v>1700</v>
      </c>
      <c r="BI1589">
        <v>1</v>
      </c>
      <c r="BJ1589">
        <v>1</v>
      </c>
      <c r="BK1589">
        <v>1</v>
      </c>
      <c r="BL1589">
        <v>0</v>
      </c>
      <c r="BO1589">
        <v>0</v>
      </c>
      <c r="BP1589">
        <v>0</v>
      </c>
      <c r="BW1589" t="str">
        <f>"20:21:55.596"</f>
        <v>20:21:55.596</v>
      </c>
      <c r="BZ1589">
        <v>0</v>
      </c>
      <c r="CA1589">
        <v>2016</v>
      </c>
      <c r="CB1589">
        <v>224</v>
      </c>
      <c r="CD1589">
        <v>1</v>
      </c>
      <c r="CE1589">
        <v>0</v>
      </c>
      <c r="CF1589">
        <v>0</v>
      </c>
      <c r="CG1589">
        <v>1</v>
      </c>
      <c r="CH1589">
        <v>0</v>
      </c>
      <c r="CI1589">
        <v>0</v>
      </c>
      <c r="CJ1589">
        <v>0</v>
      </c>
      <c r="CK1589">
        <v>2</v>
      </c>
      <c r="CL1589">
        <v>0</v>
      </c>
      <c r="CM1589">
        <v>2</v>
      </c>
      <c r="CN1589">
        <v>0</v>
      </c>
      <c r="CO1589">
        <v>7</v>
      </c>
      <c r="CP1589" t="s">
        <v>119</v>
      </c>
      <c r="CQ1589">
        <v>180</v>
      </c>
      <c r="CR1589">
        <v>2</v>
      </c>
      <c r="CW1589">
        <v>8260974</v>
      </c>
      <c r="CY1589">
        <v>1</v>
      </c>
      <c r="CZ1589">
        <v>0</v>
      </c>
      <c r="DA1589">
        <v>1</v>
      </c>
      <c r="DB1589">
        <v>0</v>
      </c>
      <c r="DC1589">
        <v>0</v>
      </c>
      <c r="DD1589">
        <v>0</v>
      </c>
      <c r="DE1589">
        <v>0</v>
      </c>
      <c r="DF1589">
        <v>0</v>
      </c>
      <c r="DG1589">
        <v>0</v>
      </c>
      <c r="DH1589">
        <v>0</v>
      </c>
      <c r="DI1589">
        <v>0</v>
      </c>
    </row>
    <row r="1590" spans="1:113" x14ac:dyDescent="0.3">
      <c r="A1590" t="str">
        <f>"02/08/2021 20:21:53.241"</f>
        <v>02/08/2021 20:21:53.241</v>
      </c>
      <c r="C1590" t="str">
        <f t="shared" si="74"/>
        <v>FFDFD7C0</v>
      </c>
      <c r="D1590" t="s">
        <v>124</v>
      </c>
      <c r="E1590">
        <v>11</v>
      </c>
      <c r="F1590">
        <v>1011</v>
      </c>
      <c r="G1590" t="s">
        <v>590</v>
      </c>
      <c r="J1590" t="s">
        <v>125</v>
      </c>
      <c r="K1590">
        <v>0</v>
      </c>
      <c r="L1590">
        <v>3</v>
      </c>
      <c r="M1590">
        <v>0</v>
      </c>
      <c r="N1590">
        <v>2</v>
      </c>
      <c r="O1590">
        <v>1</v>
      </c>
      <c r="P1590">
        <v>0</v>
      </c>
      <c r="Q1590">
        <v>0</v>
      </c>
      <c r="S1590" t="str">
        <f>"20:21:55.594"</f>
        <v>20:21:55.594</v>
      </c>
      <c r="T1590" t="str">
        <f>"20:21:55.094"</f>
        <v>20:21:55.094</v>
      </c>
      <c r="U1590" t="str">
        <f t="shared" si="73"/>
        <v>AB01F4</v>
      </c>
      <c r="V1590">
        <v>0</v>
      </c>
      <c r="W1590">
        <v>0</v>
      </c>
      <c r="X1590">
        <v>2</v>
      </c>
      <c r="Z1590">
        <v>0</v>
      </c>
      <c r="AA1590">
        <v>9</v>
      </c>
      <c r="AB1590">
        <v>3</v>
      </c>
      <c r="AC1590">
        <v>0</v>
      </c>
      <c r="AD1590">
        <v>10</v>
      </c>
      <c r="AE1590">
        <v>0</v>
      </c>
      <c r="AF1590">
        <v>3</v>
      </c>
      <c r="AG1590">
        <v>2</v>
      </c>
      <c r="AH1590">
        <v>0</v>
      </c>
      <c r="AI1590" t="s">
        <v>1043</v>
      </c>
      <c r="AJ1590">
        <v>39.851661</v>
      </c>
      <c r="AK1590" t="s">
        <v>1044</v>
      </c>
      <c r="AL1590">
        <v>-92.535396000000006</v>
      </c>
      <c r="AM1590">
        <v>100</v>
      </c>
      <c r="AN1590">
        <v>1700</v>
      </c>
      <c r="AO1590" t="s">
        <v>118</v>
      </c>
      <c r="AP1590">
        <v>-35</v>
      </c>
      <c r="AQ1590">
        <v>117</v>
      </c>
      <c r="AR1590">
        <v>0</v>
      </c>
      <c r="AZ1590">
        <v>1200</v>
      </c>
      <c r="BA1590">
        <v>1</v>
      </c>
      <c r="BB1590" t="str">
        <f t="shared" si="75"/>
        <v xml:space="preserve">N8080G  </v>
      </c>
      <c r="BC1590">
        <v>1</v>
      </c>
      <c r="BE1590">
        <v>0</v>
      </c>
      <c r="BF1590">
        <v>0</v>
      </c>
      <c r="BG1590">
        <v>0</v>
      </c>
      <c r="BH1590">
        <v>1700</v>
      </c>
      <c r="BI1590">
        <v>1</v>
      </c>
      <c r="BJ1590">
        <v>1</v>
      </c>
      <c r="BK1590">
        <v>1</v>
      </c>
      <c r="BL1590">
        <v>0</v>
      </c>
      <c r="BO1590">
        <v>0</v>
      </c>
      <c r="BP1590">
        <v>0</v>
      </c>
      <c r="BW1590" t="str">
        <f>"20:21:55.596"</f>
        <v>20:21:55.596</v>
      </c>
      <c r="BZ1590">
        <v>0</v>
      </c>
      <c r="CA1590">
        <v>2016</v>
      </c>
      <c r="CB1590">
        <v>224</v>
      </c>
      <c r="CD1590">
        <v>1</v>
      </c>
      <c r="CE1590">
        <v>0</v>
      </c>
      <c r="CF1590">
        <v>0</v>
      </c>
      <c r="CG1590">
        <v>1</v>
      </c>
      <c r="CH1590">
        <v>0</v>
      </c>
      <c r="CI1590">
        <v>0</v>
      </c>
      <c r="CJ1590">
        <v>0</v>
      </c>
      <c r="CK1590">
        <v>2</v>
      </c>
      <c r="CL1590">
        <v>0</v>
      </c>
      <c r="CM1590">
        <v>2</v>
      </c>
      <c r="CN1590">
        <v>0</v>
      </c>
      <c r="CO1590">
        <v>7</v>
      </c>
      <c r="CP1590" t="s">
        <v>119</v>
      </c>
      <c r="CQ1590">
        <v>180</v>
      </c>
      <c r="CR1590">
        <v>2</v>
      </c>
      <c r="CW1590">
        <v>8260974</v>
      </c>
      <c r="CY1590">
        <v>1</v>
      </c>
      <c r="CZ1590">
        <v>0</v>
      </c>
      <c r="DA1590">
        <v>1</v>
      </c>
      <c r="DB1590">
        <v>0</v>
      </c>
      <c r="DC1590">
        <v>0</v>
      </c>
      <c r="DD1590">
        <v>0</v>
      </c>
      <c r="DE1590">
        <v>0</v>
      </c>
      <c r="DF1590">
        <v>0</v>
      </c>
      <c r="DG1590">
        <v>0</v>
      </c>
      <c r="DH1590">
        <v>0</v>
      </c>
      <c r="DI1590">
        <v>0</v>
      </c>
    </row>
    <row r="1591" spans="1:113" x14ac:dyDescent="0.3">
      <c r="A1591" t="str">
        <f>"02/08/2021 20:21:54.699"</f>
        <v>02/08/2021 20:21:54.699</v>
      </c>
      <c r="C1591" t="str">
        <f t="shared" si="74"/>
        <v>FFDFD7C0</v>
      </c>
      <c r="D1591" t="s">
        <v>124</v>
      </c>
      <c r="E1591">
        <v>11</v>
      </c>
      <c r="F1591">
        <v>1011</v>
      </c>
      <c r="G1591" t="s">
        <v>590</v>
      </c>
      <c r="J1591" t="s">
        <v>125</v>
      </c>
      <c r="K1591">
        <v>0</v>
      </c>
      <c r="L1591">
        <v>3</v>
      </c>
      <c r="M1591">
        <v>0</v>
      </c>
      <c r="N1591">
        <v>2</v>
      </c>
      <c r="O1591">
        <v>1</v>
      </c>
      <c r="P1591">
        <v>0</v>
      </c>
      <c r="Q1591">
        <v>0</v>
      </c>
      <c r="S1591" t="str">
        <f>"20:21:57.039"</f>
        <v>20:21:57.039</v>
      </c>
      <c r="T1591" t="str">
        <f>"20:21:56.539"</f>
        <v>20:21:56.539</v>
      </c>
      <c r="U1591" t="str">
        <f t="shared" si="73"/>
        <v>AB01F4</v>
      </c>
      <c r="V1591">
        <v>0</v>
      </c>
      <c r="W1591">
        <v>0</v>
      </c>
      <c r="X1591">
        <v>2</v>
      </c>
      <c r="Z1591">
        <v>0</v>
      </c>
      <c r="AA1591">
        <v>9</v>
      </c>
      <c r="AB1591">
        <v>3</v>
      </c>
      <c r="AC1591">
        <v>0</v>
      </c>
      <c r="AD1591">
        <v>10</v>
      </c>
      <c r="AE1591">
        <v>0</v>
      </c>
      <c r="AF1591">
        <v>3</v>
      </c>
      <c r="AG1591">
        <v>2</v>
      </c>
      <c r="AH1591">
        <v>0</v>
      </c>
      <c r="AI1591" t="s">
        <v>1045</v>
      </c>
      <c r="AJ1591">
        <v>39.852476000000003</v>
      </c>
      <c r="AK1591" t="s">
        <v>1046</v>
      </c>
      <c r="AL1591">
        <v>-92.535696000000002</v>
      </c>
      <c r="AM1591">
        <v>100</v>
      </c>
      <c r="AN1591">
        <v>1700</v>
      </c>
      <c r="AO1591" t="s">
        <v>118</v>
      </c>
      <c r="AP1591">
        <v>-38</v>
      </c>
      <c r="AQ1591">
        <v>116</v>
      </c>
      <c r="AR1591">
        <v>0</v>
      </c>
      <c r="AZ1591">
        <v>1200</v>
      </c>
      <c r="BA1591">
        <v>1</v>
      </c>
      <c r="BB1591" t="str">
        <f t="shared" si="75"/>
        <v xml:space="preserve">N8080G  </v>
      </c>
      <c r="BC1591">
        <v>1</v>
      </c>
      <c r="BE1591">
        <v>0</v>
      </c>
      <c r="BF1591">
        <v>0</v>
      </c>
      <c r="BG1591">
        <v>0</v>
      </c>
      <c r="BH1591">
        <v>1700</v>
      </c>
      <c r="BI1591">
        <v>1</v>
      </c>
      <c r="BJ1591">
        <v>1</v>
      </c>
      <c r="BK1591">
        <v>1</v>
      </c>
      <c r="BL1591">
        <v>0</v>
      </c>
      <c r="BO1591">
        <v>0</v>
      </c>
      <c r="BP1591">
        <v>0</v>
      </c>
      <c r="BW1591" t="str">
        <f>"20:21:57.042"</f>
        <v>20:21:57.042</v>
      </c>
      <c r="BZ1591">
        <v>0</v>
      </c>
      <c r="CA1591">
        <v>2016</v>
      </c>
      <c r="CB1591">
        <v>224</v>
      </c>
      <c r="CD1591">
        <v>1</v>
      </c>
      <c r="CE1591">
        <v>0</v>
      </c>
      <c r="CF1591">
        <v>0</v>
      </c>
      <c r="CG1591">
        <v>1</v>
      </c>
      <c r="CH1591">
        <v>0</v>
      </c>
      <c r="CI1591">
        <v>0</v>
      </c>
      <c r="CJ1591">
        <v>0</v>
      </c>
      <c r="CK1591">
        <v>2</v>
      </c>
      <c r="CL1591">
        <v>0</v>
      </c>
      <c r="CM1591">
        <v>2</v>
      </c>
      <c r="CN1591">
        <v>0</v>
      </c>
      <c r="CO1591">
        <v>7</v>
      </c>
      <c r="CP1591" t="s">
        <v>119</v>
      </c>
      <c r="CQ1591">
        <v>180</v>
      </c>
      <c r="CR1591">
        <v>2</v>
      </c>
      <c r="CW1591">
        <v>8262262</v>
      </c>
      <c r="CY1591">
        <v>1</v>
      </c>
      <c r="CZ1591">
        <v>0</v>
      </c>
      <c r="DA1591">
        <v>0</v>
      </c>
      <c r="DB1591">
        <v>0</v>
      </c>
      <c r="DC1591">
        <v>0</v>
      </c>
      <c r="DD1591">
        <v>0</v>
      </c>
      <c r="DE1591">
        <v>0</v>
      </c>
      <c r="DF1591">
        <v>0</v>
      </c>
      <c r="DG1591">
        <v>0</v>
      </c>
      <c r="DH1591">
        <v>0</v>
      </c>
      <c r="DI1591">
        <v>0</v>
      </c>
    </row>
    <row r="1592" spans="1:113" x14ac:dyDescent="0.3">
      <c r="A1592" t="str">
        <f>"02/08/2021 20:21:54.699"</f>
        <v>02/08/2021 20:21:54.699</v>
      </c>
      <c r="C1592" t="str">
        <f t="shared" si="74"/>
        <v>FFDFD7C0</v>
      </c>
      <c r="D1592" t="s">
        <v>113</v>
      </c>
      <c r="E1592">
        <v>6</v>
      </c>
      <c r="H1592">
        <v>165</v>
      </c>
      <c r="I1592" t="s">
        <v>114</v>
      </c>
      <c r="J1592" t="s">
        <v>115</v>
      </c>
      <c r="K1592">
        <v>0</v>
      </c>
      <c r="L1592">
        <v>3</v>
      </c>
      <c r="M1592">
        <v>0</v>
      </c>
      <c r="N1592">
        <v>2</v>
      </c>
      <c r="O1592">
        <v>1</v>
      </c>
      <c r="P1592">
        <v>0</v>
      </c>
      <c r="Q1592">
        <v>0</v>
      </c>
      <c r="S1592" t="str">
        <f>"20:21:57.039"</f>
        <v>20:21:57.039</v>
      </c>
      <c r="T1592" t="str">
        <f>"20:21:56.539"</f>
        <v>20:21:56.539</v>
      </c>
      <c r="U1592" t="str">
        <f t="shared" si="73"/>
        <v>AB01F4</v>
      </c>
      <c r="V1592">
        <v>0</v>
      </c>
      <c r="W1592">
        <v>0</v>
      </c>
      <c r="X1592">
        <v>2</v>
      </c>
      <c r="Z1592">
        <v>0</v>
      </c>
      <c r="AA1592">
        <v>9</v>
      </c>
      <c r="AB1592">
        <v>3</v>
      </c>
      <c r="AC1592">
        <v>0</v>
      </c>
      <c r="AD1592">
        <v>10</v>
      </c>
      <c r="AE1592">
        <v>0</v>
      </c>
      <c r="AF1592">
        <v>3</v>
      </c>
      <c r="AG1592">
        <v>2</v>
      </c>
      <c r="AH1592">
        <v>0</v>
      </c>
      <c r="AI1592" t="s">
        <v>1045</v>
      </c>
      <c r="AJ1592">
        <v>39.852476000000003</v>
      </c>
      <c r="AK1592" t="s">
        <v>1046</v>
      </c>
      <c r="AL1592">
        <v>-92.535696000000002</v>
      </c>
      <c r="AM1592">
        <v>100</v>
      </c>
      <c r="AN1592">
        <v>1700</v>
      </c>
      <c r="AO1592" t="s">
        <v>118</v>
      </c>
      <c r="AP1592">
        <v>-38</v>
      </c>
      <c r="AQ1592">
        <v>116</v>
      </c>
      <c r="AR1592">
        <v>0</v>
      </c>
      <c r="AZ1592">
        <v>1200</v>
      </c>
      <c r="BA1592">
        <v>1</v>
      </c>
      <c r="BB1592" t="str">
        <f t="shared" si="75"/>
        <v xml:space="preserve">N8080G  </v>
      </c>
      <c r="BC1592">
        <v>1</v>
      </c>
      <c r="BE1592">
        <v>0</v>
      </c>
      <c r="BF1592">
        <v>0</v>
      </c>
      <c r="BG1592">
        <v>0</v>
      </c>
      <c r="BH1592">
        <v>1700</v>
      </c>
      <c r="BI1592">
        <v>1</v>
      </c>
      <c r="BJ1592">
        <v>1</v>
      </c>
      <c r="BK1592">
        <v>1</v>
      </c>
      <c r="BL1592">
        <v>0</v>
      </c>
      <c r="BO1592">
        <v>0</v>
      </c>
      <c r="BP1592">
        <v>0</v>
      </c>
      <c r="BW1592" t="str">
        <f>"20:21:57.042"</f>
        <v>20:21:57.042</v>
      </c>
      <c r="BZ1592">
        <v>0</v>
      </c>
      <c r="CA1592">
        <v>2016</v>
      </c>
      <c r="CB1592">
        <v>224</v>
      </c>
      <c r="CD1592">
        <v>1</v>
      </c>
      <c r="CE1592">
        <v>0</v>
      </c>
      <c r="CF1592">
        <v>0</v>
      </c>
      <c r="CG1592">
        <v>1</v>
      </c>
      <c r="CH1592">
        <v>0</v>
      </c>
      <c r="CI1592">
        <v>0</v>
      </c>
      <c r="CJ1592">
        <v>0</v>
      </c>
      <c r="CK1592">
        <v>2</v>
      </c>
      <c r="CL1592">
        <v>0</v>
      </c>
      <c r="CM1592">
        <v>2</v>
      </c>
      <c r="CN1592">
        <v>0</v>
      </c>
      <c r="CO1592">
        <v>7</v>
      </c>
      <c r="CP1592" t="s">
        <v>119</v>
      </c>
      <c r="CQ1592">
        <v>180</v>
      </c>
      <c r="CR1592">
        <v>2</v>
      </c>
      <c r="CW1592">
        <v>8262262</v>
      </c>
      <c r="CY1592">
        <v>1</v>
      </c>
      <c r="CZ1592">
        <v>0</v>
      </c>
      <c r="DA1592">
        <v>1</v>
      </c>
      <c r="DB1592">
        <v>0</v>
      </c>
      <c r="DC1592">
        <v>0</v>
      </c>
      <c r="DD1592">
        <v>0</v>
      </c>
      <c r="DE1592">
        <v>0</v>
      </c>
      <c r="DF1592">
        <v>0</v>
      </c>
      <c r="DG1592">
        <v>0</v>
      </c>
      <c r="DH1592">
        <v>0</v>
      </c>
      <c r="DI1592">
        <v>0</v>
      </c>
    </row>
    <row r="1593" spans="1:113" x14ac:dyDescent="0.3">
      <c r="A1593" t="str">
        <f>"02/08/2021 20:21:54.699"</f>
        <v>02/08/2021 20:21:54.699</v>
      </c>
      <c r="C1593" t="str">
        <f t="shared" si="74"/>
        <v>FFDFD7C0</v>
      </c>
      <c r="D1593" t="s">
        <v>124</v>
      </c>
      <c r="E1593">
        <v>13</v>
      </c>
      <c r="F1593">
        <v>1013</v>
      </c>
      <c r="G1593" t="s">
        <v>114</v>
      </c>
      <c r="J1593" t="s">
        <v>125</v>
      </c>
      <c r="K1593">
        <v>0</v>
      </c>
      <c r="L1593">
        <v>3</v>
      </c>
      <c r="M1593">
        <v>0</v>
      </c>
      <c r="N1593">
        <v>2</v>
      </c>
      <c r="O1593">
        <v>1</v>
      </c>
      <c r="P1593">
        <v>0</v>
      </c>
      <c r="Q1593">
        <v>0</v>
      </c>
      <c r="S1593" t="str">
        <f>"20:21:57.039"</f>
        <v>20:21:57.039</v>
      </c>
      <c r="T1593" t="str">
        <f>"20:21:56.539"</f>
        <v>20:21:56.539</v>
      </c>
      <c r="U1593" t="str">
        <f t="shared" si="73"/>
        <v>AB01F4</v>
      </c>
      <c r="V1593">
        <v>0</v>
      </c>
      <c r="W1593">
        <v>0</v>
      </c>
      <c r="X1593">
        <v>2</v>
      </c>
      <c r="Z1593">
        <v>0</v>
      </c>
      <c r="AA1593">
        <v>9</v>
      </c>
      <c r="AB1593">
        <v>3</v>
      </c>
      <c r="AC1593">
        <v>0</v>
      </c>
      <c r="AD1593">
        <v>10</v>
      </c>
      <c r="AE1593">
        <v>0</v>
      </c>
      <c r="AF1593">
        <v>3</v>
      </c>
      <c r="AG1593">
        <v>2</v>
      </c>
      <c r="AH1593">
        <v>0</v>
      </c>
      <c r="AI1593" t="s">
        <v>1045</v>
      </c>
      <c r="AJ1593">
        <v>39.852476000000003</v>
      </c>
      <c r="AK1593" t="s">
        <v>1046</v>
      </c>
      <c r="AL1593">
        <v>-92.535696000000002</v>
      </c>
      <c r="AM1593">
        <v>100</v>
      </c>
      <c r="AN1593">
        <v>1700</v>
      </c>
      <c r="AO1593" t="s">
        <v>118</v>
      </c>
      <c r="AP1593">
        <v>-38</v>
      </c>
      <c r="AQ1593">
        <v>116</v>
      </c>
      <c r="AR1593">
        <v>0</v>
      </c>
      <c r="AZ1593">
        <v>1200</v>
      </c>
      <c r="BA1593">
        <v>1</v>
      </c>
      <c r="BB1593" t="str">
        <f t="shared" si="75"/>
        <v xml:space="preserve">N8080G  </v>
      </c>
      <c r="BC1593">
        <v>1</v>
      </c>
      <c r="BE1593">
        <v>0</v>
      </c>
      <c r="BF1593">
        <v>0</v>
      </c>
      <c r="BG1593">
        <v>0</v>
      </c>
      <c r="BH1593">
        <v>1700</v>
      </c>
      <c r="BI1593">
        <v>1</v>
      </c>
      <c r="BJ1593">
        <v>1</v>
      </c>
      <c r="BK1593">
        <v>1</v>
      </c>
      <c r="BL1593">
        <v>0</v>
      </c>
      <c r="BO1593">
        <v>0</v>
      </c>
      <c r="BP1593">
        <v>0</v>
      </c>
      <c r="BW1593" t="str">
        <f>"20:21:57.042"</f>
        <v>20:21:57.042</v>
      </c>
      <c r="BZ1593">
        <v>0</v>
      </c>
      <c r="CA1593">
        <v>2016</v>
      </c>
      <c r="CB1593">
        <v>224</v>
      </c>
      <c r="CD1593">
        <v>1</v>
      </c>
      <c r="CE1593">
        <v>0</v>
      </c>
      <c r="CF1593">
        <v>0</v>
      </c>
      <c r="CG1593">
        <v>1</v>
      </c>
      <c r="CH1593">
        <v>0</v>
      </c>
      <c r="CI1593">
        <v>0</v>
      </c>
      <c r="CJ1593">
        <v>0</v>
      </c>
      <c r="CK1593">
        <v>2</v>
      </c>
      <c r="CL1593">
        <v>0</v>
      </c>
      <c r="CM1593">
        <v>2</v>
      </c>
      <c r="CN1593">
        <v>0</v>
      </c>
      <c r="CO1593">
        <v>7</v>
      </c>
      <c r="CP1593" t="s">
        <v>119</v>
      </c>
      <c r="CQ1593">
        <v>180</v>
      </c>
      <c r="CR1593">
        <v>2</v>
      </c>
      <c r="CW1593">
        <v>8262262</v>
      </c>
      <c r="CY1593">
        <v>1</v>
      </c>
      <c r="CZ1593">
        <v>0</v>
      </c>
      <c r="DA1593">
        <v>1</v>
      </c>
      <c r="DB1593">
        <v>0</v>
      </c>
      <c r="DC1593">
        <v>0</v>
      </c>
      <c r="DD1593">
        <v>0</v>
      </c>
      <c r="DE1593">
        <v>0</v>
      </c>
      <c r="DF1593">
        <v>0</v>
      </c>
      <c r="DG1593">
        <v>0</v>
      </c>
      <c r="DH1593">
        <v>0</v>
      </c>
      <c r="DI1593">
        <v>0</v>
      </c>
    </row>
    <row r="1594" spans="1:113" x14ac:dyDescent="0.3">
      <c r="A1594" t="str">
        <f>"02/08/2021 20:21:54.699"</f>
        <v>02/08/2021 20:21:54.699</v>
      </c>
      <c r="C1594" t="str">
        <f t="shared" si="74"/>
        <v>FFDFD7C0</v>
      </c>
      <c r="D1594" t="s">
        <v>124</v>
      </c>
      <c r="E1594">
        <v>12</v>
      </c>
      <c r="F1594">
        <v>1012</v>
      </c>
      <c r="G1594" t="s">
        <v>675</v>
      </c>
      <c r="J1594" t="s">
        <v>125</v>
      </c>
      <c r="K1594">
        <v>0</v>
      </c>
      <c r="L1594">
        <v>3</v>
      </c>
      <c r="M1594">
        <v>0</v>
      </c>
      <c r="N1594">
        <v>2</v>
      </c>
      <c r="O1594">
        <v>1</v>
      </c>
      <c r="P1594">
        <v>0</v>
      </c>
      <c r="Q1594">
        <v>0</v>
      </c>
      <c r="S1594" t="str">
        <f>"20:21:57.039"</f>
        <v>20:21:57.039</v>
      </c>
      <c r="T1594" t="str">
        <f>"20:21:56.539"</f>
        <v>20:21:56.539</v>
      </c>
      <c r="U1594" t="str">
        <f t="shared" si="73"/>
        <v>AB01F4</v>
      </c>
      <c r="V1594">
        <v>0</v>
      </c>
      <c r="W1594">
        <v>0</v>
      </c>
      <c r="X1594">
        <v>2</v>
      </c>
      <c r="Z1594">
        <v>0</v>
      </c>
      <c r="AA1594">
        <v>9</v>
      </c>
      <c r="AB1594">
        <v>3</v>
      </c>
      <c r="AC1594">
        <v>0</v>
      </c>
      <c r="AD1594">
        <v>10</v>
      </c>
      <c r="AE1594">
        <v>0</v>
      </c>
      <c r="AF1594">
        <v>3</v>
      </c>
      <c r="AG1594">
        <v>2</v>
      </c>
      <c r="AH1594">
        <v>0</v>
      </c>
      <c r="AI1594" t="s">
        <v>1045</v>
      </c>
      <c r="AJ1594">
        <v>39.852476000000003</v>
      </c>
      <c r="AK1594" t="s">
        <v>1046</v>
      </c>
      <c r="AL1594">
        <v>-92.535696000000002</v>
      </c>
      <c r="AM1594">
        <v>100</v>
      </c>
      <c r="AN1594">
        <v>1700</v>
      </c>
      <c r="AO1594" t="s">
        <v>118</v>
      </c>
      <c r="AP1594">
        <v>-38</v>
      </c>
      <c r="AQ1594">
        <v>116</v>
      </c>
      <c r="AR1594">
        <v>0</v>
      </c>
      <c r="AZ1594">
        <v>1200</v>
      </c>
      <c r="BA1594">
        <v>1</v>
      </c>
      <c r="BB1594" t="str">
        <f t="shared" si="75"/>
        <v xml:space="preserve">N8080G  </v>
      </c>
      <c r="BC1594">
        <v>1</v>
      </c>
      <c r="BE1594">
        <v>0</v>
      </c>
      <c r="BF1594">
        <v>0</v>
      </c>
      <c r="BG1594">
        <v>0</v>
      </c>
      <c r="BH1594">
        <v>1700</v>
      </c>
      <c r="BI1594">
        <v>1</v>
      </c>
      <c r="BJ1594">
        <v>1</v>
      </c>
      <c r="BK1594">
        <v>1</v>
      </c>
      <c r="BL1594">
        <v>0</v>
      </c>
      <c r="BO1594">
        <v>0</v>
      </c>
      <c r="BP1594">
        <v>0</v>
      </c>
      <c r="BW1594" t="str">
        <f>"20:21:57.042"</f>
        <v>20:21:57.042</v>
      </c>
      <c r="BZ1594">
        <v>0</v>
      </c>
      <c r="CA1594">
        <v>2016</v>
      </c>
      <c r="CB1594">
        <v>224</v>
      </c>
      <c r="CD1594">
        <v>1</v>
      </c>
      <c r="CE1594">
        <v>0</v>
      </c>
      <c r="CF1594">
        <v>0</v>
      </c>
      <c r="CG1594">
        <v>1</v>
      </c>
      <c r="CH1594">
        <v>0</v>
      </c>
      <c r="CI1594">
        <v>0</v>
      </c>
      <c r="CJ1594">
        <v>0</v>
      </c>
      <c r="CK1594">
        <v>2</v>
      </c>
      <c r="CL1594">
        <v>0</v>
      </c>
      <c r="CM1594">
        <v>2</v>
      </c>
      <c r="CN1594">
        <v>0</v>
      </c>
      <c r="CO1594">
        <v>7</v>
      </c>
      <c r="CP1594" t="s">
        <v>119</v>
      </c>
      <c r="CQ1594">
        <v>180</v>
      </c>
      <c r="CR1594">
        <v>2</v>
      </c>
      <c r="CW1594">
        <v>8262262</v>
      </c>
      <c r="CY1594">
        <v>1</v>
      </c>
      <c r="CZ1594">
        <v>0</v>
      </c>
      <c r="DA1594">
        <v>1</v>
      </c>
      <c r="DB1594">
        <v>0</v>
      </c>
      <c r="DC1594">
        <v>0</v>
      </c>
      <c r="DD1594">
        <v>0</v>
      </c>
      <c r="DE1594">
        <v>0</v>
      </c>
      <c r="DF1594">
        <v>0</v>
      </c>
      <c r="DG1594">
        <v>0</v>
      </c>
      <c r="DH1594">
        <v>0</v>
      </c>
      <c r="DI1594">
        <v>0</v>
      </c>
    </row>
    <row r="1595" spans="1:113" x14ac:dyDescent="0.3">
      <c r="A1595" t="str">
        <f>"02/08/2021 20:21:56.141"</f>
        <v>02/08/2021 20:21:56.141</v>
      </c>
      <c r="C1595" t="str">
        <f t="shared" si="74"/>
        <v>FFDFD7C0</v>
      </c>
      <c r="D1595" t="s">
        <v>124</v>
      </c>
      <c r="E1595">
        <v>12</v>
      </c>
      <c r="F1595">
        <v>1012</v>
      </c>
      <c r="G1595" t="s">
        <v>675</v>
      </c>
      <c r="J1595" t="s">
        <v>125</v>
      </c>
      <c r="K1595">
        <v>0</v>
      </c>
      <c r="L1595">
        <v>3</v>
      </c>
      <c r="M1595">
        <v>0</v>
      </c>
      <c r="N1595">
        <v>2</v>
      </c>
      <c r="O1595">
        <v>1</v>
      </c>
      <c r="P1595">
        <v>0</v>
      </c>
      <c r="Q1595">
        <v>0</v>
      </c>
      <c r="S1595" t="str">
        <f>"20:21:58.438"</f>
        <v>20:21:58.438</v>
      </c>
      <c r="T1595" t="str">
        <f>"20:21:57.938"</f>
        <v>20:21:57.938</v>
      </c>
      <c r="U1595" t="str">
        <f t="shared" si="73"/>
        <v>AB01F4</v>
      </c>
      <c r="V1595">
        <v>0</v>
      </c>
      <c r="W1595">
        <v>0</v>
      </c>
      <c r="X1595">
        <v>2</v>
      </c>
      <c r="Z1595">
        <v>0</v>
      </c>
      <c r="AA1595">
        <v>9</v>
      </c>
      <c r="AB1595">
        <v>3</v>
      </c>
      <c r="AC1595">
        <v>0</v>
      </c>
      <c r="AD1595">
        <v>10</v>
      </c>
      <c r="AE1595">
        <v>0</v>
      </c>
      <c r="AF1595">
        <v>3</v>
      </c>
      <c r="AG1595">
        <v>2</v>
      </c>
      <c r="AH1595">
        <v>0</v>
      </c>
      <c r="AI1595" t="s">
        <v>1047</v>
      </c>
      <c r="AJ1595">
        <v>39.853226999999997</v>
      </c>
      <c r="AK1595" t="s">
        <v>1048</v>
      </c>
      <c r="AL1595">
        <v>-92.536017999999999</v>
      </c>
      <c r="AM1595">
        <v>100</v>
      </c>
      <c r="AN1595">
        <v>1700</v>
      </c>
      <c r="AO1595" t="s">
        <v>118</v>
      </c>
      <c r="AP1595">
        <v>-38</v>
      </c>
      <c r="AQ1595">
        <v>116</v>
      </c>
      <c r="AR1595">
        <v>0</v>
      </c>
      <c r="AZ1595">
        <v>1200</v>
      </c>
      <c r="BA1595">
        <v>1</v>
      </c>
      <c r="BB1595" t="str">
        <f t="shared" si="75"/>
        <v xml:space="preserve">N8080G  </v>
      </c>
      <c r="BC1595">
        <v>1</v>
      </c>
      <c r="BE1595">
        <v>0</v>
      </c>
      <c r="BF1595">
        <v>0</v>
      </c>
      <c r="BG1595">
        <v>0</v>
      </c>
      <c r="BH1595">
        <v>1700</v>
      </c>
      <c r="BI1595">
        <v>1</v>
      </c>
      <c r="BJ1595">
        <v>1</v>
      </c>
      <c r="BK1595">
        <v>1</v>
      </c>
      <c r="BL1595">
        <v>0</v>
      </c>
      <c r="BO1595">
        <v>0</v>
      </c>
      <c r="BP1595">
        <v>0</v>
      </c>
      <c r="BW1595" t="str">
        <f>"20:21:58.439"</f>
        <v>20:21:58.439</v>
      </c>
      <c r="BZ1595">
        <v>0</v>
      </c>
      <c r="CA1595">
        <v>2016</v>
      </c>
      <c r="CB1595">
        <v>224</v>
      </c>
      <c r="CD1595">
        <v>1</v>
      </c>
      <c r="CE1595">
        <v>0</v>
      </c>
      <c r="CF1595">
        <v>0</v>
      </c>
      <c r="CG1595">
        <v>1</v>
      </c>
      <c r="CH1595">
        <v>0</v>
      </c>
      <c r="CI1595">
        <v>0</v>
      </c>
      <c r="CJ1595">
        <v>0</v>
      </c>
      <c r="CK1595">
        <v>2</v>
      </c>
      <c r="CL1595">
        <v>0</v>
      </c>
      <c r="CM1595">
        <v>2</v>
      </c>
      <c r="CN1595">
        <v>0</v>
      </c>
      <c r="CO1595">
        <v>7</v>
      </c>
      <c r="CP1595" t="s">
        <v>119</v>
      </c>
      <c r="CQ1595">
        <v>180</v>
      </c>
      <c r="CR1595">
        <v>1</v>
      </c>
      <c r="CW1595">
        <v>10826264</v>
      </c>
      <c r="CY1595">
        <v>1</v>
      </c>
      <c r="CZ1595">
        <v>0</v>
      </c>
      <c r="DA1595">
        <v>0</v>
      </c>
      <c r="DB1595">
        <v>0</v>
      </c>
      <c r="DC1595">
        <v>0</v>
      </c>
      <c r="DD1595">
        <v>0</v>
      </c>
      <c r="DE1595">
        <v>0</v>
      </c>
      <c r="DF1595">
        <v>0</v>
      </c>
      <c r="DG1595">
        <v>0</v>
      </c>
      <c r="DH1595">
        <v>0</v>
      </c>
      <c r="DI1595">
        <v>0</v>
      </c>
    </row>
    <row r="1596" spans="1:113" x14ac:dyDescent="0.3">
      <c r="A1596" t="str">
        <f>"02/08/2021 20:21:56.141"</f>
        <v>02/08/2021 20:21:56.141</v>
      </c>
      <c r="C1596" t="str">
        <f t="shared" si="74"/>
        <v>FFDFD7C0</v>
      </c>
      <c r="D1596" t="s">
        <v>124</v>
      </c>
      <c r="E1596">
        <v>11</v>
      </c>
      <c r="F1596">
        <v>1011</v>
      </c>
      <c r="G1596" t="s">
        <v>590</v>
      </c>
      <c r="J1596" t="s">
        <v>125</v>
      </c>
      <c r="K1596">
        <v>0</v>
      </c>
      <c r="L1596">
        <v>3</v>
      </c>
      <c r="M1596">
        <v>0</v>
      </c>
      <c r="N1596">
        <v>2</v>
      </c>
      <c r="O1596">
        <v>1</v>
      </c>
      <c r="P1596">
        <v>0</v>
      </c>
      <c r="Q1596">
        <v>0</v>
      </c>
      <c r="S1596" t="str">
        <f>"20:21:58.438"</f>
        <v>20:21:58.438</v>
      </c>
      <c r="T1596" t="str">
        <f>"20:21:57.938"</f>
        <v>20:21:57.938</v>
      </c>
      <c r="U1596" t="str">
        <f t="shared" si="73"/>
        <v>AB01F4</v>
      </c>
      <c r="V1596">
        <v>0</v>
      </c>
      <c r="W1596">
        <v>0</v>
      </c>
      <c r="X1596">
        <v>2</v>
      </c>
      <c r="Z1596">
        <v>0</v>
      </c>
      <c r="AA1596">
        <v>9</v>
      </c>
      <c r="AB1596">
        <v>3</v>
      </c>
      <c r="AC1596">
        <v>0</v>
      </c>
      <c r="AD1596">
        <v>10</v>
      </c>
      <c r="AE1596">
        <v>0</v>
      </c>
      <c r="AF1596">
        <v>3</v>
      </c>
      <c r="AG1596">
        <v>2</v>
      </c>
      <c r="AH1596">
        <v>0</v>
      </c>
      <c r="AI1596" t="s">
        <v>1047</v>
      </c>
      <c r="AJ1596">
        <v>39.853226999999997</v>
      </c>
      <c r="AK1596" t="s">
        <v>1048</v>
      </c>
      <c r="AL1596">
        <v>-92.536017999999999</v>
      </c>
      <c r="AM1596">
        <v>100</v>
      </c>
      <c r="AN1596">
        <v>1700</v>
      </c>
      <c r="AO1596" t="s">
        <v>118</v>
      </c>
      <c r="AP1596">
        <v>-38</v>
      </c>
      <c r="AQ1596">
        <v>116</v>
      </c>
      <c r="AR1596">
        <v>0</v>
      </c>
      <c r="AZ1596">
        <v>1200</v>
      </c>
      <c r="BA1596">
        <v>1</v>
      </c>
      <c r="BB1596" t="str">
        <f t="shared" si="75"/>
        <v xml:space="preserve">N8080G  </v>
      </c>
      <c r="BC1596">
        <v>1</v>
      </c>
      <c r="BE1596">
        <v>0</v>
      </c>
      <c r="BF1596">
        <v>0</v>
      </c>
      <c r="BG1596">
        <v>0</v>
      </c>
      <c r="BH1596">
        <v>1700</v>
      </c>
      <c r="BI1596">
        <v>1</v>
      </c>
      <c r="BJ1596">
        <v>1</v>
      </c>
      <c r="BK1596">
        <v>1</v>
      </c>
      <c r="BL1596">
        <v>0</v>
      </c>
      <c r="BO1596">
        <v>0</v>
      </c>
      <c r="BP1596">
        <v>0</v>
      </c>
      <c r="BW1596" t="str">
        <f>"20:21:58.439"</f>
        <v>20:21:58.439</v>
      </c>
      <c r="BZ1596">
        <v>0</v>
      </c>
      <c r="CA1596">
        <v>2016</v>
      </c>
      <c r="CB1596">
        <v>224</v>
      </c>
      <c r="CD1596">
        <v>1</v>
      </c>
      <c r="CE1596">
        <v>0</v>
      </c>
      <c r="CF1596">
        <v>0</v>
      </c>
      <c r="CG1596">
        <v>1</v>
      </c>
      <c r="CH1596">
        <v>0</v>
      </c>
      <c r="CI1596">
        <v>0</v>
      </c>
      <c r="CJ1596">
        <v>0</v>
      </c>
      <c r="CK1596">
        <v>2</v>
      </c>
      <c r="CL1596">
        <v>0</v>
      </c>
      <c r="CM1596">
        <v>2</v>
      </c>
      <c r="CN1596">
        <v>0</v>
      </c>
      <c r="CO1596">
        <v>7</v>
      </c>
      <c r="CP1596" t="s">
        <v>119</v>
      </c>
      <c r="CQ1596">
        <v>180</v>
      </c>
      <c r="CR1596">
        <v>1</v>
      </c>
      <c r="CW1596">
        <v>10826264</v>
      </c>
      <c r="CY1596">
        <v>1</v>
      </c>
      <c r="CZ1596">
        <v>0</v>
      </c>
      <c r="DA1596">
        <v>1</v>
      </c>
      <c r="DB1596">
        <v>0</v>
      </c>
      <c r="DC1596">
        <v>0</v>
      </c>
      <c r="DD1596">
        <v>0</v>
      </c>
      <c r="DE1596">
        <v>0</v>
      </c>
      <c r="DF1596">
        <v>0</v>
      </c>
      <c r="DG1596">
        <v>0</v>
      </c>
      <c r="DH1596">
        <v>0</v>
      </c>
      <c r="DI1596">
        <v>0</v>
      </c>
    </row>
    <row r="1597" spans="1:113" x14ac:dyDescent="0.3">
      <c r="A1597" t="str">
        <f>"02/08/2021 20:21:56.141"</f>
        <v>02/08/2021 20:21:56.141</v>
      </c>
      <c r="C1597" t="str">
        <f t="shared" si="74"/>
        <v>FFDFD7C0</v>
      </c>
      <c r="D1597" t="s">
        <v>113</v>
      </c>
      <c r="E1597">
        <v>6</v>
      </c>
      <c r="H1597">
        <v>165</v>
      </c>
      <c r="I1597" t="s">
        <v>114</v>
      </c>
      <c r="J1597" t="s">
        <v>115</v>
      </c>
      <c r="K1597">
        <v>0</v>
      </c>
      <c r="L1597">
        <v>3</v>
      </c>
      <c r="M1597">
        <v>0</v>
      </c>
      <c r="N1597">
        <v>2</v>
      </c>
      <c r="O1597">
        <v>1</v>
      </c>
      <c r="P1597">
        <v>0</v>
      </c>
      <c r="Q1597">
        <v>0</v>
      </c>
      <c r="S1597" t="str">
        <f>"20:21:58.438"</f>
        <v>20:21:58.438</v>
      </c>
      <c r="T1597" t="str">
        <f>"20:21:57.938"</f>
        <v>20:21:57.938</v>
      </c>
      <c r="U1597" t="str">
        <f t="shared" si="73"/>
        <v>AB01F4</v>
      </c>
      <c r="V1597">
        <v>0</v>
      </c>
      <c r="W1597">
        <v>0</v>
      </c>
      <c r="X1597">
        <v>2</v>
      </c>
      <c r="Z1597">
        <v>0</v>
      </c>
      <c r="AA1597">
        <v>9</v>
      </c>
      <c r="AB1597">
        <v>3</v>
      </c>
      <c r="AC1597">
        <v>0</v>
      </c>
      <c r="AD1597">
        <v>10</v>
      </c>
      <c r="AE1597">
        <v>0</v>
      </c>
      <c r="AF1597">
        <v>3</v>
      </c>
      <c r="AG1597">
        <v>2</v>
      </c>
      <c r="AH1597">
        <v>0</v>
      </c>
      <c r="AI1597" t="s">
        <v>1047</v>
      </c>
      <c r="AJ1597">
        <v>39.853226999999997</v>
      </c>
      <c r="AK1597" t="s">
        <v>1048</v>
      </c>
      <c r="AL1597">
        <v>-92.536017999999999</v>
      </c>
      <c r="AM1597">
        <v>100</v>
      </c>
      <c r="AN1597">
        <v>1700</v>
      </c>
      <c r="AO1597" t="s">
        <v>118</v>
      </c>
      <c r="AP1597">
        <v>-38</v>
      </c>
      <c r="AQ1597">
        <v>116</v>
      </c>
      <c r="AR1597">
        <v>0</v>
      </c>
      <c r="AZ1597">
        <v>1200</v>
      </c>
      <c r="BA1597">
        <v>1</v>
      </c>
      <c r="BB1597" t="str">
        <f t="shared" si="75"/>
        <v xml:space="preserve">N8080G  </v>
      </c>
      <c r="BC1597">
        <v>1</v>
      </c>
      <c r="BE1597">
        <v>0</v>
      </c>
      <c r="BF1597">
        <v>0</v>
      </c>
      <c r="BG1597">
        <v>0</v>
      </c>
      <c r="BH1597">
        <v>1700</v>
      </c>
      <c r="BI1597">
        <v>1</v>
      </c>
      <c r="BJ1597">
        <v>1</v>
      </c>
      <c r="BK1597">
        <v>1</v>
      </c>
      <c r="BL1597">
        <v>0</v>
      </c>
      <c r="BO1597">
        <v>0</v>
      </c>
      <c r="BP1597">
        <v>0</v>
      </c>
      <c r="BW1597" t="str">
        <f>"20:21:58.439"</f>
        <v>20:21:58.439</v>
      </c>
      <c r="BZ1597">
        <v>0</v>
      </c>
      <c r="CA1597">
        <v>2016</v>
      </c>
      <c r="CB1597">
        <v>224</v>
      </c>
      <c r="CD1597">
        <v>1</v>
      </c>
      <c r="CE1597">
        <v>0</v>
      </c>
      <c r="CF1597">
        <v>0</v>
      </c>
      <c r="CG1597">
        <v>1</v>
      </c>
      <c r="CH1597">
        <v>0</v>
      </c>
      <c r="CI1597">
        <v>0</v>
      </c>
      <c r="CJ1597">
        <v>0</v>
      </c>
      <c r="CK1597">
        <v>2</v>
      </c>
      <c r="CL1597">
        <v>0</v>
      </c>
      <c r="CM1597">
        <v>2</v>
      </c>
      <c r="CN1597">
        <v>0</v>
      </c>
      <c r="CO1597">
        <v>7</v>
      </c>
      <c r="CP1597" t="s">
        <v>119</v>
      </c>
      <c r="CQ1597">
        <v>180</v>
      </c>
      <c r="CR1597">
        <v>1</v>
      </c>
      <c r="CW1597">
        <v>10826264</v>
      </c>
      <c r="CY1597">
        <v>1</v>
      </c>
      <c r="CZ1597">
        <v>0</v>
      </c>
      <c r="DA1597">
        <v>1</v>
      </c>
      <c r="DB1597">
        <v>0</v>
      </c>
      <c r="DC1597">
        <v>0</v>
      </c>
      <c r="DD1597">
        <v>0</v>
      </c>
      <c r="DE1597">
        <v>0</v>
      </c>
      <c r="DF1597">
        <v>0</v>
      </c>
      <c r="DG1597">
        <v>0</v>
      </c>
      <c r="DH1597">
        <v>0</v>
      </c>
      <c r="DI1597">
        <v>0</v>
      </c>
    </row>
    <row r="1598" spans="1:113" x14ac:dyDescent="0.3">
      <c r="A1598" t="str">
        <f>"02/08/2021 20:21:56.141"</f>
        <v>02/08/2021 20:21:56.141</v>
      </c>
      <c r="C1598" t="str">
        <f t="shared" si="74"/>
        <v>FFDFD7C0</v>
      </c>
      <c r="D1598" t="s">
        <v>124</v>
      </c>
      <c r="E1598">
        <v>13</v>
      </c>
      <c r="F1598">
        <v>1013</v>
      </c>
      <c r="G1598" t="s">
        <v>114</v>
      </c>
      <c r="J1598" t="s">
        <v>125</v>
      </c>
      <c r="K1598">
        <v>0</v>
      </c>
      <c r="L1598">
        <v>3</v>
      </c>
      <c r="M1598">
        <v>0</v>
      </c>
      <c r="N1598">
        <v>2</v>
      </c>
      <c r="O1598">
        <v>1</v>
      </c>
      <c r="P1598">
        <v>0</v>
      </c>
      <c r="Q1598">
        <v>0</v>
      </c>
      <c r="S1598" t="str">
        <f>"20:21:58.438"</f>
        <v>20:21:58.438</v>
      </c>
      <c r="T1598" t="str">
        <f>"20:21:57.938"</f>
        <v>20:21:57.938</v>
      </c>
      <c r="U1598" t="str">
        <f t="shared" si="73"/>
        <v>AB01F4</v>
      </c>
      <c r="V1598">
        <v>0</v>
      </c>
      <c r="W1598">
        <v>0</v>
      </c>
      <c r="X1598">
        <v>2</v>
      </c>
      <c r="Z1598">
        <v>0</v>
      </c>
      <c r="AA1598">
        <v>9</v>
      </c>
      <c r="AB1598">
        <v>3</v>
      </c>
      <c r="AC1598">
        <v>0</v>
      </c>
      <c r="AD1598">
        <v>10</v>
      </c>
      <c r="AE1598">
        <v>0</v>
      </c>
      <c r="AF1598">
        <v>3</v>
      </c>
      <c r="AG1598">
        <v>2</v>
      </c>
      <c r="AH1598">
        <v>0</v>
      </c>
      <c r="AI1598" t="s">
        <v>1047</v>
      </c>
      <c r="AJ1598">
        <v>39.853226999999997</v>
      </c>
      <c r="AK1598" t="s">
        <v>1048</v>
      </c>
      <c r="AL1598">
        <v>-92.536017999999999</v>
      </c>
      <c r="AM1598">
        <v>100</v>
      </c>
      <c r="AN1598">
        <v>1700</v>
      </c>
      <c r="AO1598" t="s">
        <v>118</v>
      </c>
      <c r="AP1598">
        <v>-38</v>
      </c>
      <c r="AQ1598">
        <v>116</v>
      </c>
      <c r="AR1598">
        <v>0</v>
      </c>
      <c r="AZ1598">
        <v>1200</v>
      </c>
      <c r="BA1598">
        <v>1</v>
      </c>
      <c r="BB1598" t="str">
        <f t="shared" si="75"/>
        <v xml:space="preserve">N8080G  </v>
      </c>
      <c r="BC1598">
        <v>1</v>
      </c>
      <c r="BE1598">
        <v>0</v>
      </c>
      <c r="BF1598">
        <v>0</v>
      </c>
      <c r="BG1598">
        <v>0</v>
      </c>
      <c r="BH1598">
        <v>1700</v>
      </c>
      <c r="BI1598">
        <v>1</v>
      </c>
      <c r="BJ1598">
        <v>1</v>
      </c>
      <c r="BK1598">
        <v>1</v>
      </c>
      <c r="BL1598">
        <v>0</v>
      </c>
      <c r="BO1598">
        <v>0</v>
      </c>
      <c r="BP1598">
        <v>0</v>
      </c>
      <c r="BW1598" t="str">
        <f>"20:21:58.439"</f>
        <v>20:21:58.439</v>
      </c>
      <c r="BZ1598">
        <v>0</v>
      </c>
      <c r="CA1598">
        <v>2016</v>
      </c>
      <c r="CB1598">
        <v>224</v>
      </c>
      <c r="CD1598">
        <v>1</v>
      </c>
      <c r="CE1598">
        <v>0</v>
      </c>
      <c r="CF1598">
        <v>0</v>
      </c>
      <c r="CG1598">
        <v>1</v>
      </c>
      <c r="CH1598">
        <v>0</v>
      </c>
      <c r="CI1598">
        <v>0</v>
      </c>
      <c r="CJ1598">
        <v>0</v>
      </c>
      <c r="CK1598">
        <v>2</v>
      </c>
      <c r="CL1598">
        <v>0</v>
      </c>
      <c r="CM1598">
        <v>2</v>
      </c>
      <c r="CN1598">
        <v>0</v>
      </c>
      <c r="CO1598">
        <v>7</v>
      </c>
      <c r="CP1598" t="s">
        <v>119</v>
      </c>
      <c r="CQ1598">
        <v>180</v>
      </c>
      <c r="CR1598">
        <v>1</v>
      </c>
      <c r="CW1598">
        <v>10826264</v>
      </c>
      <c r="CY1598">
        <v>1</v>
      </c>
      <c r="CZ1598">
        <v>0</v>
      </c>
      <c r="DA1598">
        <v>1</v>
      </c>
      <c r="DB1598">
        <v>0</v>
      </c>
      <c r="DC1598">
        <v>0</v>
      </c>
      <c r="DD1598">
        <v>0</v>
      </c>
      <c r="DE1598">
        <v>0</v>
      </c>
      <c r="DF1598">
        <v>0</v>
      </c>
      <c r="DG1598">
        <v>0</v>
      </c>
      <c r="DH1598">
        <v>0</v>
      </c>
      <c r="DI1598">
        <v>0</v>
      </c>
    </row>
    <row r="1599" spans="1:113" x14ac:dyDescent="0.3">
      <c r="A1599" t="str">
        <f>"02/08/2021 20:21:57.670"</f>
        <v>02/08/2021 20:21:57.670</v>
      </c>
      <c r="C1599" t="str">
        <f t="shared" si="74"/>
        <v>FFDFD7C0</v>
      </c>
      <c r="D1599" t="s">
        <v>124</v>
      </c>
      <c r="E1599">
        <v>11</v>
      </c>
      <c r="F1599">
        <v>1011</v>
      </c>
      <c r="G1599" t="s">
        <v>590</v>
      </c>
      <c r="J1599" t="s">
        <v>125</v>
      </c>
      <c r="K1599">
        <v>0</v>
      </c>
      <c r="L1599">
        <v>3</v>
      </c>
      <c r="M1599">
        <v>0</v>
      </c>
      <c r="N1599">
        <v>2</v>
      </c>
      <c r="O1599">
        <v>1</v>
      </c>
      <c r="P1599">
        <v>0</v>
      </c>
      <c r="Q1599">
        <v>0</v>
      </c>
      <c r="S1599" t="str">
        <f>"20:21:59.969"</f>
        <v>20:21:59.969</v>
      </c>
      <c r="T1599" t="str">
        <f>"20:21:59.469"</f>
        <v>20:21:59.469</v>
      </c>
      <c r="U1599" t="str">
        <f t="shared" si="73"/>
        <v>AB01F4</v>
      </c>
      <c r="V1599">
        <v>0</v>
      </c>
      <c r="W1599">
        <v>0</v>
      </c>
      <c r="X1599">
        <v>2</v>
      </c>
      <c r="Z1599">
        <v>0</v>
      </c>
      <c r="AA1599">
        <v>9</v>
      </c>
      <c r="AB1599">
        <v>3</v>
      </c>
      <c r="AC1599">
        <v>0</v>
      </c>
      <c r="AD1599">
        <v>10</v>
      </c>
      <c r="AE1599">
        <v>0</v>
      </c>
      <c r="AF1599">
        <v>3</v>
      </c>
      <c r="AG1599">
        <v>2</v>
      </c>
      <c r="AH1599">
        <v>0</v>
      </c>
      <c r="AI1599" t="s">
        <v>1049</v>
      </c>
      <c r="AJ1599">
        <v>39.854042999999997</v>
      </c>
      <c r="AK1599" t="s">
        <v>1050</v>
      </c>
      <c r="AL1599">
        <v>-92.536339999999996</v>
      </c>
      <c r="AM1599">
        <v>100</v>
      </c>
      <c r="AN1599">
        <v>1700</v>
      </c>
      <c r="AO1599" t="s">
        <v>118</v>
      </c>
      <c r="AP1599">
        <v>-39</v>
      </c>
      <c r="AQ1599">
        <v>116</v>
      </c>
      <c r="AR1599">
        <v>64</v>
      </c>
      <c r="AZ1599">
        <v>1200</v>
      </c>
      <c r="BA1599">
        <v>1</v>
      </c>
      <c r="BB1599" t="str">
        <f t="shared" si="75"/>
        <v xml:space="preserve">N8080G  </v>
      </c>
      <c r="BC1599">
        <v>1</v>
      </c>
      <c r="BE1599">
        <v>0</v>
      </c>
      <c r="BF1599">
        <v>0</v>
      </c>
      <c r="BG1599">
        <v>0</v>
      </c>
      <c r="BH1599">
        <v>1700</v>
      </c>
      <c r="BI1599">
        <v>1</v>
      </c>
      <c r="BJ1599">
        <v>1</v>
      </c>
      <c r="BK1599">
        <v>1</v>
      </c>
      <c r="BL1599">
        <v>0</v>
      </c>
      <c r="BO1599">
        <v>0</v>
      </c>
      <c r="BP1599">
        <v>0</v>
      </c>
      <c r="BW1599" t="str">
        <f>"20:21:59.971"</f>
        <v>20:21:59.971</v>
      </c>
      <c r="BZ1599">
        <v>0</v>
      </c>
      <c r="CA1599">
        <v>2016</v>
      </c>
      <c r="CB1599">
        <v>224</v>
      </c>
      <c r="CD1599">
        <v>1</v>
      </c>
      <c r="CE1599">
        <v>0</v>
      </c>
      <c r="CF1599">
        <v>0</v>
      </c>
      <c r="CG1599">
        <v>1</v>
      </c>
      <c r="CH1599">
        <v>0</v>
      </c>
      <c r="CI1599">
        <v>0</v>
      </c>
      <c r="CJ1599">
        <v>0</v>
      </c>
      <c r="CK1599">
        <v>2</v>
      </c>
      <c r="CL1599">
        <v>0</v>
      </c>
      <c r="CM1599">
        <v>2</v>
      </c>
      <c r="CN1599">
        <v>0</v>
      </c>
      <c r="CO1599">
        <v>7</v>
      </c>
      <c r="CP1599" t="s">
        <v>119</v>
      </c>
      <c r="CQ1599">
        <v>180</v>
      </c>
      <c r="CR1599">
        <v>1</v>
      </c>
      <c r="CW1599">
        <v>10827532</v>
      </c>
      <c r="CY1599">
        <v>1</v>
      </c>
      <c r="CZ1599">
        <v>0</v>
      </c>
      <c r="DA1599">
        <v>0</v>
      </c>
      <c r="DB1599">
        <v>0</v>
      </c>
      <c r="DC1599">
        <v>0</v>
      </c>
      <c r="DD1599">
        <v>0</v>
      </c>
      <c r="DE1599">
        <v>0</v>
      </c>
      <c r="DF1599">
        <v>0</v>
      </c>
      <c r="DG1599">
        <v>0</v>
      </c>
      <c r="DH1599">
        <v>0</v>
      </c>
      <c r="DI1599">
        <v>0</v>
      </c>
    </row>
    <row r="1600" spans="1:113" x14ac:dyDescent="0.3">
      <c r="A1600" t="str">
        <f>"02/08/2021 20:21:57.670"</f>
        <v>02/08/2021 20:21:57.670</v>
      </c>
      <c r="C1600" t="str">
        <f t="shared" si="74"/>
        <v>FFDFD7C0</v>
      </c>
      <c r="D1600" t="s">
        <v>124</v>
      </c>
      <c r="E1600">
        <v>13</v>
      </c>
      <c r="F1600">
        <v>1013</v>
      </c>
      <c r="G1600" t="s">
        <v>114</v>
      </c>
      <c r="J1600" t="s">
        <v>125</v>
      </c>
      <c r="K1600">
        <v>0</v>
      </c>
      <c r="L1600">
        <v>3</v>
      </c>
      <c r="M1600">
        <v>0</v>
      </c>
      <c r="N1600">
        <v>2</v>
      </c>
      <c r="O1600">
        <v>1</v>
      </c>
      <c r="P1600">
        <v>0</v>
      </c>
      <c r="Q1600">
        <v>0</v>
      </c>
      <c r="S1600" t="str">
        <f>"20:21:59.969"</f>
        <v>20:21:59.969</v>
      </c>
      <c r="T1600" t="str">
        <f>"20:21:59.469"</f>
        <v>20:21:59.469</v>
      </c>
      <c r="U1600" t="str">
        <f t="shared" si="73"/>
        <v>AB01F4</v>
      </c>
      <c r="V1600">
        <v>0</v>
      </c>
      <c r="W1600">
        <v>0</v>
      </c>
      <c r="X1600">
        <v>2</v>
      </c>
      <c r="Z1600">
        <v>0</v>
      </c>
      <c r="AA1600">
        <v>9</v>
      </c>
      <c r="AB1600">
        <v>3</v>
      </c>
      <c r="AC1600">
        <v>0</v>
      </c>
      <c r="AD1600">
        <v>10</v>
      </c>
      <c r="AE1600">
        <v>0</v>
      </c>
      <c r="AF1600">
        <v>3</v>
      </c>
      <c r="AG1600">
        <v>2</v>
      </c>
      <c r="AH1600">
        <v>0</v>
      </c>
      <c r="AI1600" t="s">
        <v>1049</v>
      </c>
      <c r="AJ1600">
        <v>39.854042999999997</v>
      </c>
      <c r="AK1600" t="s">
        <v>1050</v>
      </c>
      <c r="AL1600">
        <v>-92.536339999999996</v>
      </c>
      <c r="AM1600">
        <v>100</v>
      </c>
      <c r="AN1600">
        <v>1700</v>
      </c>
      <c r="AO1600" t="s">
        <v>118</v>
      </c>
      <c r="AP1600">
        <v>-39</v>
      </c>
      <c r="AQ1600">
        <v>116</v>
      </c>
      <c r="AR1600">
        <v>64</v>
      </c>
      <c r="AZ1600">
        <v>1200</v>
      </c>
      <c r="BA1600">
        <v>1</v>
      </c>
      <c r="BB1600" t="str">
        <f t="shared" si="75"/>
        <v xml:space="preserve">N8080G  </v>
      </c>
      <c r="BC1600">
        <v>1</v>
      </c>
      <c r="BE1600">
        <v>0</v>
      </c>
      <c r="BF1600">
        <v>0</v>
      </c>
      <c r="BG1600">
        <v>0</v>
      </c>
      <c r="BH1600">
        <v>1700</v>
      </c>
      <c r="BI1600">
        <v>1</v>
      </c>
      <c r="BJ1600">
        <v>1</v>
      </c>
      <c r="BK1600">
        <v>1</v>
      </c>
      <c r="BL1600">
        <v>0</v>
      </c>
      <c r="BO1600">
        <v>0</v>
      </c>
      <c r="BP1600">
        <v>0</v>
      </c>
      <c r="BW1600" t="str">
        <f>"20:21:59.971"</f>
        <v>20:21:59.971</v>
      </c>
      <c r="BZ1600">
        <v>0</v>
      </c>
      <c r="CA1600">
        <v>2016</v>
      </c>
      <c r="CB1600">
        <v>224</v>
      </c>
      <c r="CD1600">
        <v>1</v>
      </c>
      <c r="CE1600">
        <v>0</v>
      </c>
      <c r="CF1600">
        <v>0</v>
      </c>
      <c r="CG1600">
        <v>1</v>
      </c>
      <c r="CH1600">
        <v>0</v>
      </c>
      <c r="CI1600">
        <v>0</v>
      </c>
      <c r="CJ1600">
        <v>0</v>
      </c>
      <c r="CK1600">
        <v>2</v>
      </c>
      <c r="CL1600">
        <v>0</v>
      </c>
      <c r="CM1600">
        <v>2</v>
      </c>
      <c r="CN1600">
        <v>0</v>
      </c>
      <c r="CO1600">
        <v>7</v>
      </c>
      <c r="CP1600" t="s">
        <v>119</v>
      </c>
      <c r="CQ1600">
        <v>180</v>
      </c>
      <c r="CR1600">
        <v>1</v>
      </c>
      <c r="CW1600">
        <v>10827532</v>
      </c>
      <c r="CY1600">
        <v>1</v>
      </c>
      <c r="CZ1600">
        <v>0</v>
      </c>
      <c r="DA1600">
        <v>1</v>
      </c>
      <c r="DB1600">
        <v>0</v>
      </c>
      <c r="DC1600">
        <v>0</v>
      </c>
      <c r="DD1600">
        <v>0</v>
      </c>
      <c r="DE1600">
        <v>0</v>
      </c>
      <c r="DF1600">
        <v>0</v>
      </c>
      <c r="DG1600">
        <v>0</v>
      </c>
      <c r="DH1600">
        <v>0</v>
      </c>
      <c r="DI1600">
        <v>0</v>
      </c>
    </row>
    <row r="1601" spans="1:113" x14ac:dyDescent="0.3">
      <c r="A1601" t="str">
        <f>"02/08/2021 20:21:57.670"</f>
        <v>02/08/2021 20:21:57.670</v>
      </c>
      <c r="C1601" t="str">
        <f t="shared" si="74"/>
        <v>FFDFD7C0</v>
      </c>
      <c r="D1601" t="s">
        <v>113</v>
      </c>
      <c r="E1601">
        <v>6</v>
      </c>
      <c r="H1601">
        <v>165</v>
      </c>
      <c r="I1601" t="s">
        <v>114</v>
      </c>
      <c r="J1601" t="s">
        <v>115</v>
      </c>
      <c r="K1601">
        <v>0</v>
      </c>
      <c r="L1601">
        <v>3</v>
      </c>
      <c r="M1601">
        <v>0</v>
      </c>
      <c r="N1601">
        <v>2</v>
      </c>
      <c r="O1601">
        <v>1</v>
      </c>
      <c r="P1601">
        <v>0</v>
      </c>
      <c r="Q1601">
        <v>0</v>
      </c>
      <c r="S1601" t="str">
        <f>"20:21:59.969"</f>
        <v>20:21:59.969</v>
      </c>
      <c r="T1601" t="str">
        <f>"20:21:59.469"</f>
        <v>20:21:59.469</v>
      </c>
      <c r="U1601" t="str">
        <f t="shared" si="73"/>
        <v>AB01F4</v>
      </c>
      <c r="V1601">
        <v>0</v>
      </c>
      <c r="W1601">
        <v>0</v>
      </c>
      <c r="X1601">
        <v>2</v>
      </c>
      <c r="Z1601">
        <v>0</v>
      </c>
      <c r="AA1601">
        <v>9</v>
      </c>
      <c r="AB1601">
        <v>3</v>
      </c>
      <c r="AC1601">
        <v>0</v>
      </c>
      <c r="AD1601">
        <v>10</v>
      </c>
      <c r="AE1601">
        <v>0</v>
      </c>
      <c r="AF1601">
        <v>3</v>
      </c>
      <c r="AG1601">
        <v>2</v>
      </c>
      <c r="AH1601">
        <v>0</v>
      </c>
      <c r="AI1601" t="s">
        <v>1049</v>
      </c>
      <c r="AJ1601">
        <v>39.854042999999997</v>
      </c>
      <c r="AK1601" t="s">
        <v>1050</v>
      </c>
      <c r="AL1601">
        <v>-92.536339999999996</v>
      </c>
      <c r="AM1601">
        <v>100</v>
      </c>
      <c r="AN1601">
        <v>1700</v>
      </c>
      <c r="AO1601" t="s">
        <v>118</v>
      </c>
      <c r="AP1601">
        <v>-39</v>
      </c>
      <c r="AQ1601">
        <v>116</v>
      </c>
      <c r="AR1601">
        <v>64</v>
      </c>
      <c r="AZ1601">
        <v>1200</v>
      </c>
      <c r="BA1601">
        <v>1</v>
      </c>
      <c r="BB1601" t="str">
        <f t="shared" si="75"/>
        <v xml:space="preserve">N8080G  </v>
      </c>
      <c r="BC1601">
        <v>1</v>
      </c>
      <c r="BE1601">
        <v>0</v>
      </c>
      <c r="BF1601">
        <v>0</v>
      </c>
      <c r="BG1601">
        <v>0</v>
      </c>
      <c r="BH1601">
        <v>1700</v>
      </c>
      <c r="BI1601">
        <v>1</v>
      </c>
      <c r="BJ1601">
        <v>1</v>
      </c>
      <c r="BK1601">
        <v>1</v>
      </c>
      <c r="BL1601">
        <v>0</v>
      </c>
      <c r="BO1601">
        <v>0</v>
      </c>
      <c r="BP1601">
        <v>0</v>
      </c>
      <c r="BW1601" t="str">
        <f>"20:21:59.971"</f>
        <v>20:21:59.971</v>
      </c>
      <c r="BZ1601">
        <v>0</v>
      </c>
      <c r="CA1601">
        <v>2016</v>
      </c>
      <c r="CB1601">
        <v>224</v>
      </c>
      <c r="CD1601">
        <v>1</v>
      </c>
      <c r="CE1601">
        <v>0</v>
      </c>
      <c r="CF1601">
        <v>0</v>
      </c>
      <c r="CG1601">
        <v>1</v>
      </c>
      <c r="CH1601">
        <v>0</v>
      </c>
      <c r="CI1601">
        <v>0</v>
      </c>
      <c r="CJ1601">
        <v>0</v>
      </c>
      <c r="CK1601">
        <v>2</v>
      </c>
      <c r="CL1601">
        <v>0</v>
      </c>
      <c r="CM1601">
        <v>2</v>
      </c>
      <c r="CN1601">
        <v>0</v>
      </c>
      <c r="CO1601">
        <v>7</v>
      </c>
      <c r="CP1601" t="s">
        <v>119</v>
      </c>
      <c r="CQ1601">
        <v>180</v>
      </c>
      <c r="CR1601">
        <v>1</v>
      </c>
      <c r="CW1601">
        <v>10827532</v>
      </c>
      <c r="CY1601">
        <v>1</v>
      </c>
      <c r="CZ1601">
        <v>0</v>
      </c>
      <c r="DA1601">
        <v>1</v>
      </c>
      <c r="DB1601">
        <v>0</v>
      </c>
      <c r="DC1601">
        <v>0</v>
      </c>
      <c r="DD1601">
        <v>0</v>
      </c>
      <c r="DE1601">
        <v>0</v>
      </c>
      <c r="DF1601">
        <v>0</v>
      </c>
      <c r="DG1601">
        <v>0</v>
      </c>
      <c r="DH1601">
        <v>0</v>
      </c>
      <c r="DI1601">
        <v>0</v>
      </c>
    </row>
    <row r="1602" spans="1:113" x14ac:dyDescent="0.3">
      <c r="A1602" t="str">
        <f>"02/08/2021 20:21:57.670"</f>
        <v>02/08/2021 20:21:57.670</v>
      </c>
      <c r="C1602" t="str">
        <f t="shared" si="74"/>
        <v>FFDFD7C0</v>
      </c>
      <c r="D1602" t="s">
        <v>124</v>
      </c>
      <c r="E1602">
        <v>12</v>
      </c>
      <c r="F1602">
        <v>1012</v>
      </c>
      <c r="G1602" t="s">
        <v>675</v>
      </c>
      <c r="J1602" t="s">
        <v>125</v>
      </c>
      <c r="K1602">
        <v>0</v>
      </c>
      <c r="L1602">
        <v>3</v>
      </c>
      <c r="M1602">
        <v>0</v>
      </c>
      <c r="N1602">
        <v>2</v>
      </c>
      <c r="O1602">
        <v>1</v>
      </c>
      <c r="P1602">
        <v>0</v>
      </c>
      <c r="Q1602">
        <v>0</v>
      </c>
      <c r="S1602" t="str">
        <f>"20:21:59.969"</f>
        <v>20:21:59.969</v>
      </c>
      <c r="T1602" t="str">
        <f>"20:21:59.469"</f>
        <v>20:21:59.469</v>
      </c>
      <c r="U1602" t="str">
        <f t="shared" ref="U1602:U1665" si="76">"AB01F4"</f>
        <v>AB01F4</v>
      </c>
      <c r="V1602">
        <v>0</v>
      </c>
      <c r="W1602">
        <v>0</v>
      </c>
      <c r="X1602">
        <v>2</v>
      </c>
      <c r="Z1602">
        <v>0</v>
      </c>
      <c r="AA1602">
        <v>9</v>
      </c>
      <c r="AB1602">
        <v>3</v>
      </c>
      <c r="AC1602">
        <v>0</v>
      </c>
      <c r="AD1602">
        <v>10</v>
      </c>
      <c r="AE1602">
        <v>0</v>
      </c>
      <c r="AF1602">
        <v>3</v>
      </c>
      <c r="AG1602">
        <v>2</v>
      </c>
      <c r="AH1602">
        <v>0</v>
      </c>
      <c r="AI1602" t="s">
        <v>1049</v>
      </c>
      <c r="AJ1602">
        <v>39.854042999999997</v>
      </c>
      <c r="AK1602" t="s">
        <v>1050</v>
      </c>
      <c r="AL1602">
        <v>-92.536339999999996</v>
      </c>
      <c r="AM1602">
        <v>100</v>
      </c>
      <c r="AN1602">
        <v>1700</v>
      </c>
      <c r="AO1602" t="s">
        <v>118</v>
      </c>
      <c r="AP1602">
        <v>-39</v>
      </c>
      <c r="AQ1602">
        <v>116</v>
      </c>
      <c r="AR1602">
        <v>64</v>
      </c>
      <c r="AZ1602">
        <v>1200</v>
      </c>
      <c r="BA1602">
        <v>1</v>
      </c>
      <c r="BB1602" t="str">
        <f t="shared" si="75"/>
        <v xml:space="preserve">N8080G  </v>
      </c>
      <c r="BC1602">
        <v>1</v>
      </c>
      <c r="BE1602">
        <v>0</v>
      </c>
      <c r="BF1602">
        <v>0</v>
      </c>
      <c r="BG1602">
        <v>0</v>
      </c>
      <c r="BH1602">
        <v>1700</v>
      </c>
      <c r="BI1602">
        <v>1</v>
      </c>
      <c r="BJ1602">
        <v>1</v>
      </c>
      <c r="BK1602">
        <v>1</v>
      </c>
      <c r="BL1602">
        <v>0</v>
      </c>
      <c r="BO1602">
        <v>0</v>
      </c>
      <c r="BP1602">
        <v>0</v>
      </c>
      <c r="BW1602" t="str">
        <f>"20:21:59.971"</f>
        <v>20:21:59.971</v>
      </c>
      <c r="BZ1602">
        <v>0</v>
      </c>
      <c r="CA1602">
        <v>2016</v>
      </c>
      <c r="CB1602">
        <v>224</v>
      </c>
      <c r="CD1602">
        <v>1</v>
      </c>
      <c r="CE1602">
        <v>0</v>
      </c>
      <c r="CF1602">
        <v>0</v>
      </c>
      <c r="CG1602">
        <v>1</v>
      </c>
      <c r="CH1602">
        <v>0</v>
      </c>
      <c r="CI1602">
        <v>0</v>
      </c>
      <c r="CJ1602">
        <v>0</v>
      </c>
      <c r="CK1602">
        <v>2</v>
      </c>
      <c r="CL1602">
        <v>0</v>
      </c>
      <c r="CM1602">
        <v>2</v>
      </c>
      <c r="CN1602">
        <v>0</v>
      </c>
      <c r="CO1602">
        <v>7</v>
      </c>
      <c r="CP1602" t="s">
        <v>119</v>
      </c>
      <c r="CQ1602">
        <v>180</v>
      </c>
      <c r="CR1602">
        <v>1</v>
      </c>
      <c r="CW1602">
        <v>10827532</v>
      </c>
      <c r="CY1602">
        <v>1</v>
      </c>
      <c r="CZ1602">
        <v>0</v>
      </c>
      <c r="DA1602">
        <v>1</v>
      </c>
      <c r="DB1602">
        <v>0</v>
      </c>
      <c r="DC1602">
        <v>0</v>
      </c>
      <c r="DD1602">
        <v>0</v>
      </c>
      <c r="DE1602">
        <v>0</v>
      </c>
      <c r="DF1602">
        <v>0</v>
      </c>
      <c r="DG1602">
        <v>0</v>
      </c>
      <c r="DH1602">
        <v>0</v>
      </c>
      <c r="DI1602">
        <v>0</v>
      </c>
    </row>
    <row r="1603" spans="1:113" x14ac:dyDescent="0.3">
      <c r="A1603" t="str">
        <f>"02/08/2021 20:22:00.643"</f>
        <v>02/08/2021 20:22:00.643</v>
      </c>
      <c r="C1603" t="str">
        <f t="shared" si="74"/>
        <v>FFDFD7C0</v>
      </c>
      <c r="D1603" t="s">
        <v>124</v>
      </c>
      <c r="E1603">
        <v>11</v>
      </c>
      <c r="F1603">
        <v>1011</v>
      </c>
      <c r="G1603" t="s">
        <v>590</v>
      </c>
      <c r="J1603" t="s">
        <v>125</v>
      </c>
      <c r="K1603">
        <v>0</v>
      </c>
      <c r="L1603">
        <v>3</v>
      </c>
      <c r="M1603">
        <v>0</v>
      </c>
      <c r="N1603">
        <v>2</v>
      </c>
      <c r="O1603">
        <v>1</v>
      </c>
      <c r="P1603">
        <v>0</v>
      </c>
      <c r="Q1603">
        <v>0</v>
      </c>
      <c r="S1603" t="str">
        <f>"20:22:02.969"</f>
        <v>20:22:02.969</v>
      </c>
      <c r="T1603" t="str">
        <f>"20:22:02.569"</f>
        <v>20:22:02.569</v>
      </c>
      <c r="U1603" t="str">
        <f t="shared" si="76"/>
        <v>AB01F4</v>
      </c>
      <c r="V1603">
        <v>0</v>
      </c>
      <c r="W1603">
        <v>0</v>
      </c>
      <c r="X1603">
        <v>2</v>
      </c>
      <c r="Z1603">
        <v>0</v>
      </c>
      <c r="AA1603">
        <v>9</v>
      </c>
      <c r="AB1603">
        <v>3</v>
      </c>
      <c r="AC1603">
        <v>0</v>
      </c>
      <c r="AD1603">
        <v>10</v>
      </c>
      <c r="AE1603">
        <v>0</v>
      </c>
      <c r="AF1603">
        <v>3</v>
      </c>
      <c r="AG1603">
        <v>2</v>
      </c>
      <c r="AH1603">
        <v>0</v>
      </c>
      <c r="AI1603" t="s">
        <v>1051</v>
      </c>
      <c r="AJ1603">
        <v>39.855651999999999</v>
      </c>
      <c r="AK1603" t="s">
        <v>1052</v>
      </c>
      <c r="AL1603">
        <v>-92.537069000000002</v>
      </c>
      <c r="AM1603">
        <v>100</v>
      </c>
      <c r="AN1603">
        <v>1700</v>
      </c>
      <c r="AO1603" t="s">
        <v>118</v>
      </c>
      <c r="AP1603">
        <v>-40</v>
      </c>
      <c r="AQ1603">
        <v>116</v>
      </c>
      <c r="AR1603">
        <v>-64</v>
      </c>
      <c r="AZ1603">
        <v>1200</v>
      </c>
      <c r="BA1603">
        <v>1</v>
      </c>
      <c r="BB1603" t="str">
        <f t="shared" si="75"/>
        <v xml:space="preserve">N8080G  </v>
      </c>
      <c r="BC1603">
        <v>1</v>
      </c>
      <c r="BE1603">
        <v>0</v>
      </c>
      <c r="BF1603">
        <v>0</v>
      </c>
      <c r="BG1603">
        <v>0</v>
      </c>
      <c r="BH1603">
        <v>1700</v>
      </c>
      <c r="BI1603">
        <v>1</v>
      </c>
      <c r="BJ1603">
        <v>1</v>
      </c>
      <c r="BK1603">
        <v>1</v>
      </c>
      <c r="BL1603">
        <v>0</v>
      </c>
      <c r="BO1603">
        <v>0</v>
      </c>
      <c r="BP1603">
        <v>0</v>
      </c>
      <c r="BW1603" t="str">
        <f>"20:22:02.974"</f>
        <v>20:22:02.974</v>
      </c>
      <c r="BZ1603">
        <v>0</v>
      </c>
      <c r="CA1603">
        <v>2016</v>
      </c>
      <c r="CB1603">
        <v>224</v>
      </c>
      <c r="CD1603">
        <v>1</v>
      </c>
      <c r="CE1603">
        <v>0</v>
      </c>
      <c r="CF1603">
        <v>0</v>
      </c>
      <c r="CG1603">
        <v>1</v>
      </c>
      <c r="CH1603">
        <v>0</v>
      </c>
      <c r="CI1603">
        <v>0</v>
      </c>
      <c r="CJ1603">
        <v>0</v>
      </c>
      <c r="CK1603">
        <v>2</v>
      </c>
      <c r="CL1603">
        <v>0</v>
      </c>
      <c r="CM1603">
        <v>2</v>
      </c>
      <c r="CN1603">
        <v>0</v>
      </c>
      <c r="CO1603">
        <v>7</v>
      </c>
      <c r="CP1603" t="s">
        <v>119</v>
      </c>
      <c r="CQ1603">
        <v>180</v>
      </c>
      <c r="CR1603">
        <v>1</v>
      </c>
      <c r="CW1603">
        <v>10830004</v>
      </c>
      <c r="CY1603">
        <v>1</v>
      </c>
      <c r="CZ1603">
        <v>0</v>
      </c>
      <c r="DA1603">
        <v>0</v>
      </c>
      <c r="DB1603">
        <v>0</v>
      </c>
      <c r="DC1603">
        <v>0</v>
      </c>
      <c r="DD1603">
        <v>0</v>
      </c>
      <c r="DE1603">
        <v>0</v>
      </c>
      <c r="DF1603">
        <v>0</v>
      </c>
      <c r="DG1603">
        <v>0</v>
      </c>
      <c r="DH1603">
        <v>0</v>
      </c>
      <c r="DI1603">
        <v>0</v>
      </c>
    </row>
    <row r="1604" spans="1:113" x14ac:dyDescent="0.3">
      <c r="A1604" t="str">
        <f>"02/08/2021 20:22:00.643"</f>
        <v>02/08/2021 20:22:00.643</v>
      </c>
      <c r="C1604" t="str">
        <f t="shared" si="74"/>
        <v>FFDFD7C0</v>
      </c>
      <c r="D1604" t="s">
        <v>124</v>
      </c>
      <c r="E1604">
        <v>13</v>
      </c>
      <c r="F1604">
        <v>1013</v>
      </c>
      <c r="G1604" t="s">
        <v>114</v>
      </c>
      <c r="J1604" t="s">
        <v>125</v>
      </c>
      <c r="K1604">
        <v>0</v>
      </c>
      <c r="L1604">
        <v>3</v>
      </c>
      <c r="M1604">
        <v>0</v>
      </c>
      <c r="N1604">
        <v>2</v>
      </c>
      <c r="O1604">
        <v>1</v>
      </c>
      <c r="P1604">
        <v>0</v>
      </c>
      <c r="Q1604">
        <v>0</v>
      </c>
      <c r="S1604" t="str">
        <f>"20:22:02.969"</f>
        <v>20:22:02.969</v>
      </c>
      <c r="T1604" t="str">
        <f>"20:22:02.569"</f>
        <v>20:22:02.569</v>
      </c>
      <c r="U1604" t="str">
        <f t="shared" si="76"/>
        <v>AB01F4</v>
      </c>
      <c r="V1604">
        <v>0</v>
      </c>
      <c r="W1604">
        <v>0</v>
      </c>
      <c r="X1604">
        <v>2</v>
      </c>
      <c r="Z1604">
        <v>0</v>
      </c>
      <c r="AA1604">
        <v>9</v>
      </c>
      <c r="AB1604">
        <v>3</v>
      </c>
      <c r="AC1604">
        <v>0</v>
      </c>
      <c r="AD1604">
        <v>10</v>
      </c>
      <c r="AE1604">
        <v>0</v>
      </c>
      <c r="AF1604">
        <v>3</v>
      </c>
      <c r="AG1604">
        <v>2</v>
      </c>
      <c r="AH1604">
        <v>0</v>
      </c>
      <c r="AI1604" t="s">
        <v>1051</v>
      </c>
      <c r="AJ1604">
        <v>39.855651999999999</v>
      </c>
      <c r="AK1604" t="s">
        <v>1052</v>
      </c>
      <c r="AL1604">
        <v>-92.537069000000002</v>
      </c>
      <c r="AM1604">
        <v>100</v>
      </c>
      <c r="AN1604">
        <v>1700</v>
      </c>
      <c r="AO1604" t="s">
        <v>118</v>
      </c>
      <c r="AP1604">
        <v>-40</v>
      </c>
      <c r="AQ1604">
        <v>116</v>
      </c>
      <c r="AR1604">
        <v>-64</v>
      </c>
      <c r="AZ1604">
        <v>1200</v>
      </c>
      <c r="BA1604">
        <v>1</v>
      </c>
      <c r="BB1604" t="str">
        <f t="shared" si="75"/>
        <v xml:space="preserve">N8080G  </v>
      </c>
      <c r="BC1604">
        <v>1</v>
      </c>
      <c r="BE1604">
        <v>0</v>
      </c>
      <c r="BF1604">
        <v>0</v>
      </c>
      <c r="BG1604">
        <v>0</v>
      </c>
      <c r="BH1604">
        <v>1700</v>
      </c>
      <c r="BI1604">
        <v>1</v>
      </c>
      <c r="BJ1604">
        <v>1</v>
      </c>
      <c r="BK1604">
        <v>1</v>
      </c>
      <c r="BL1604">
        <v>0</v>
      </c>
      <c r="BO1604">
        <v>0</v>
      </c>
      <c r="BP1604">
        <v>0</v>
      </c>
      <c r="BW1604" t="str">
        <f>"20:22:02.974"</f>
        <v>20:22:02.974</v>
      </c>
      <c r="BZ1604">
        <v>0</v>
      </c>
      <c r="CA1604">
        <v>2016</v>
      </c>
      <c r="CB1604">
        <v>224</v>
      </c>
      <c r="CD1604">
        <v>1</v>
      </c>
      <c r="CE1604">
        <v>0</v>
      </c>
      <c r="CF1604">
        <v>0</v>
      </c>
      <c r="CG1604">
        <v>1</v>
      </c>
      <c r="CH1604">
        <v>0</v>
      </c>
      <c r="CI1604">
        <v>0</v>
      </c>
      <c r="CJ1604">
        <v>0</v>
      </c>
      <c r="CK1604">
        <v>2</v>
      </c>
      <c r="CL1604">
        <v>0</v>
      </c>
      <c r="CM1604">
        <v>2</v>
      </c>
      <c r="CN1604">
        <v>0</v>
      </c>
      <c r="CO1604">
        <v>7</v>
      </c>
      <c r="CP1604" t="s">
        <v>119</v>
      </c>
      <c r="CQ1604">
        <v>180</v>
      </c>
      <c r="CR1604">
        <v>1</v>
      </c>
      <c r="CW1604">
        <v>10830004</v>
      </c>
      <c r="CY1604">
        <v>1</v>
      </c>
      <c r="CZ1604">
        <v>0</v>
      </c>
      <c r="DA1604">
        <v>1</v>
      </c>
      <c r="DB1604">
        <v>0</v>
      </c>
      <c r="DC1604">
        <v>0</v>
      </c>
      <c r="DD1604">
        <v>0</v>
      </c>
      <c r="DE1604">
        <v>0</v>
      </c>
      <c r="DF1604">
        <v>0</v>
      </c>
      <c r="DG1604">
        <v>0</v>
      </c>
      <c r="DH1604">
        <v>0</v>
      </c>
      <c r="DI1604">
        <v>0</v>
      </c>
    </row>
    <row r="1605" spans="1:113" x14ac:dyDescent="0.3">
      <c r="A1605" t="str">
        <f>"02/08/2021 20:22:00.643"</f>
        <v>02/08/2021 20:22:00.643</v>
      </c>
      <c r="C1605" t="str">
        <f t="shared" si="74"/>
        <v>FFDFD7C0</v>
      </c>
      <c r="D1605" t="s">
        <v>124</v>
      </c>
      <c r="E1605">
        <v>12</v>
      </c>
      <c r="F1605">
        <v>1012</v>
      </c>
      <c r="G1605" t="s">
        <v>675</v>
      </c>
      <c r="J1605" t="s">
        <v>125</v>
      </c>
      <c r="K1605">
        <v>0</v>
      </c>
      <c r="L1605">
        <v>3</v>
      </c>
      <c r="M1605">
        <v>0</v>
      </c>
      <c r="N1605">
        <v>2</v>
      </c>
      <c r="O1605">
        <v>1</v>
      </c>
      <c r="P1605">
        <v>0</v>
      </c>
      <c r="Q1605">
        <v>0</v>
      </c>
      <c r="S1605" t="str">
        <f>"20:22:02.969"</f>
        <v>20:22:02.969</v>
      </c>
      <c r="T1605" t="str">
        <f>"20:22:02.569"</f>
        <v>20:22:02.569</v>
      </c>
      <c r="U1605" t="str">
        <f t="shared" si="76"/>
        <v>AB01F4</v>
      </c>
      <c r="V1605">
        <v>0</v>
      </c>
      <c r="W1605">
        <v>0</v>
      </c>
      <c r="X1605">
        <v>2</v>
      </c>
      <c r="Z1605">
        <v>0</v>
      </c>
      <c r="AA1605">
        <v>9</v>
      </c>
      <c r="AB1605">
        <v>3</v>
      </c>
      <c r="AC1605">
        <v>0</v>
      </c>
      <c r="AD1605">
        <v>10</v>
      </c>
      <c r="AE1605">
        <v>0</v>
      </c>
      <c r="AF1605">
        <v>3</v>
      </c>
      <c r="AG1605">
        <v>2</v>
      </c>
      <c r="AH1605">
        <v>0</v>
      </c>
      <c r="AI1605" t="s">
        <v>1051</v>
      </c>
      <c r="AJ1605">
        <v>39.855651999999999</v>
      </c>
      <c r="AK1605" t="s">
        <v>1052</v>
      </c>
      <c r="AL1605">
        <v>-92.537069000000002</v>
      </c>
      <c r="AM1605">
        <v>100</v>
      </c>
      <c r="AN1605">
        <v>1700</v>
      </c>
      <c r="AO1605" t="s">
        <v>118</v>
      </c>
      <c r="AP1605">
        <v>-40</v>
      </c>
      <c r="AQ1605">
        <v>116</v>
      </c>
      <c r="AR1605">
        <v>-64</v>
      </c>
      <c r="AZ1605">
        <v>1200</v>
      </c>
      <c r="BA1605">
        <v>1</v>
      </c>
      <c r="BB1605" t="str">
        <f t="shared" si="75"/>
        <v xml:space="preserve">N8080G  </v>
      </c>
      <c r="BC1605">
        <v>1</v>
      </c>
      <c r="BE1605">
        <v>0</v>
      </c>
      <c r="BF1605">
        <v>0</v>
      </c>
      <c r="BG1605">
        <v>0</v>
      </c>
      <c r="BH1605">
        <v>1700</v>
      </c>
      <c r="BI1605">
        <v>1</v>
      </c>
      <c r="BJ1605">
        <v>1</v>
      </c>
      <c r="BK1605">
        <v>1</v>
      </c>
      <c r="BL1605">
        <v>0</v>
      </c>
      <c r="BO1605">
        <v>0</v>
      </c>
      <c r="BP1605">
        <v>0</v>
      </c>
      <c r="BW1605" t="str">
        <f>"20:22:02.974"</f>
        <v>20:22:02.974</v>
      </c>
      <c r="BZ1605">
        <v>0</v>
      </c>
      <c r="CA1605">
        <v>2016</v>
      </c>
      <c r="CB1605">
        <v>224</v>
      </c>
      <c r="CD1605">
        <v>1</v>
      </c>
      <c r="CE1605">
        <v>0</v>
      </c>
      <c r="CF1605">
        <v>0</v>
      </c>
      <c r="CG1605">
        <v>1</v>
      </c>
      <c r="CH1605">
        <v>0</v>
      </c>
      <c r="CI1605">
        <v>0</v>
      </c>
      <c r="CJ1605">
        <v>0</v>
      </c>
      <c r="CK1605">
        <v>2</v>
      </c>
      <c r="CL1605">
        <v>0</v>
      </c>
      <c r="CM1605">
        <v>2</v>
      </c>
      <c r="CN1605">
        <v>0</v>
      </c>
      <c r="CO1605">
        <v>7</v>
      </c>
      <c r="CP1605" t="s">
        <v>119</v>
      </c>
      <c r="CQ1605">
        <v>180</v>
      </c>
      <c r="CR1605">
        <v>1</v>
      </c>
      <c r="CW1605">
        <v>10830004</v>
      </c>
      <c r="CY1605">
        <v>1</v>
      </c>
      <c r="CZ1605">
        <v>0</v>
      </c>
      <c r="DA1605">
        <v>1</v>
      </c>
      <c r="DB1605">
        <v>0</v>
      </c>
      <c r="DC1605">
        <v>0</v>
      </c>
      <c r="DD1605">
        <v>0</v>
      </c>
      <c r="DE1605">
        <v>0</v>
      </c>
      <c r="DF1605">
        <v>0</v>
      </c>
      <c r="DG1605">
        <v>0</v>
      </c>
      <c r="DH1605">
        <v>0</v>
      </c>
      <c r="DI1605">
        <v>0</v>
      </c>
    </row>
    <row r="1606" spans="1:113" x14ac:dyDescent="0.3">
      <c r="A1606" t="str">
        <f>"02/08/2021 20:22:00.643"</f>
        <v>02/08/2021 20:22:00.643</v>
      </c>
      <c r="C1606" t="str">
        <f t="shared" si="74"/>
        <v>FFDFD7C0</v>
      </c>
      <c r="D1606" t="s">
        <v>113</v>
      </c>
      <c r="E1606">
        <v>6</v>
      </c>
      <c r="H1606">
        <v>165</v>
      </c>
      <c r="I1606" t="s">
        <v>114</v>
      </c>
      <c r="J1606" t="s">
        <v>115</v>
      </c>
      <c r="K1606">
        <v>0</v>
      </c>
      <c r="L1606">
        <v>3</v>
      </c>
      <c r="M1606">
        <v>0</v>
      </c>
      <c r="N1606">
        <v>2</v>
      </c>
      <c r="O1606">
        <v>1</v>
      </c>
      <c r="P1606">
        <v>0</v>
      </c>
      <c r="Q1606">
        <v>0</v>
      </c>
      <c r="S1606" t="str">
        <f>"20:22:02.969"</f>
        <v>20:22:02.969</v>
      </c>
      <c r="T1606" t="str">
        <f>"20:22:02.569"</f>
        <v>20:22:02.569</v>
      </c>
      <c r="U1606" t="str">
        <f t="shared" si="76"/>
        <v>AB01F4</v>
      </c>
      <c r="V1606">
        <v>0</v>
      </c>
      <c r="W1606">
        <v>0</v>
      </c>
      <c r="X1606">
        <v>2</v>
      </c>
      <c r="Z1606">
        <v>0</v>
      </c>
      <c r="AA1606">
        <v>9</v>
      </c>
      <c r="AB1606">
        <v>3</v>
      </c>
      <c r="AC1606">
        <v>0</v>
      </c>
      <c r="AD1606">
        <v>10</v>
      </c>
      <c r="AE1606">
        <v>0</v>
      </c>
      <c r="AF1606">
        <v>3</v>
      </c>
      <c r="AG1606">
        <v>2</v>
      </c>
      <c r="AH1606">
        <v>0</v>
      </c>
      <c r="AI1606" t="s">
        <v>1051</v>
      </c>
      <c r="AJ1606">
        <v>39.855651999999999</v>
      </c>
      <c r="AK1606" t="s">
        <v>1052</v>
      </c>
      <c r="AL1606">
        <v>-92.537069000000002</v>
      </c>
      <c r="AM1606">
        <v>100</v>
      </c>
      <c r="AN1606">
        <v>1700</v>
      </c>
      <c r="AO1606" t="s">
        <v>118</v>
      </c>
      <c r="AP1606">
        <v>-40</v>
      </c>
      <c r="AQ1606">
        <v>116</v>
      </c>
      <c r="AR1606">
        <v>-64</v>
      </c>
      <c r="AZ1606">
        <v>1200</v>
      </c>
      <c r="BA1606">
        <v>1</v>
      </c>
      <c r="BB1606" t="str">
        <f t="shared" si="75"/>
        <v xml:space="preserve">N8080G  </v>
      </c>
      <c r="BC1606">
        <v>1</v>
      </c>
      <c r="BE1606">
        <v>0</v>
      </c>
      <c r="BF1606">
        <v>0</v>
      </c>
      <c r="BG1606">
        <v>0</v>
      </c>
      <c r="BH1606">
        <v>1700</v>
      </c>
      <c r="BI1606">
        <v>1</v>
      </c>
      <c r="BJ1606">
        <v>1</v>
      </c>
      <c r="BK1606">
        <v>1</v>
      </c>
      <c r="BL1606">
        <v>0</v>
      </c>
      <c r="BO1606">
        <v>0</v>
      </c>
      <c r="BP1606">
        <v>0</v>
      </c>
      <c r="BW1606" t="str">
        <f>"20:22:02.974"</f>
        <v>20:22:02.974</v>
      </c>
      <c r="BZ1606">
        <v>0</v>
      </c>
      <c r="CA1606">
        <v>2016</v>
      </c>
      <c r="CB1606">
        <v>224</v>
      </c>
      <c r="CD1606">
        <v>1</v>
      </c>
      <c r="CE1606">
        <v>0</v>
      </c>
      <c r="CF1606">
        <v>0</v>
      </c>
      <c r="CG1606">
        <v>1</v>
      </c>
      <c r="CH1606">
        <v>0</v>
      </c>
      <c r="CI1606">
        <v>0</v>
      </c>
      <c r="CJ1606">
        <v>0</v>
      </c>
      <c r="CK1606">
        <v>2</v>
      </c>
      <c r="CL1606">
        <v>0</v>
      </c>
      <c r="CM1606">
        <v>2</v>
      </c>
      <c r="CN1606">
        <v>0</v>
      </c>
      <c r="CO1606">
        <v>7</v>
      </c>
      <c r="CP1606" t="s">
        <v>119</v>
      </c>
      <c r="CQ1606">
        <v>180</v>
      </c>
      <c r="CR1606">
        <v>1</v>
      </c>
      <c r="CW1606">
        <v>10830004</v>
      </c>
      <c r="CY1606">
        <v>1</v>
      </c>
      <c r="CZ1606">
        <v>0</v>
      </c>
      <c r="DA1606">
        <v>1</v>
      </c>
      <c r="DB1606">
        <v>0</v>
      </c>
      <c r="DC1606">
        <v>0</v>
      </c>
      <c r="DD1606">
        <v>0</v>
      </c>
      <c r="DE1606">
        <v>0</v>
      </c>
      <c r="DF1606">
        <v>0</v>
      </c>
      <c r="DG1606">
        <v>0</v>
      </c>
      <c r="DH1606">
        <v>0</v>
      </c>
      <c r="DI1606">
        <v>0</v>
      </c>
    </row>
    <row r="1607" spans="1:113" x14ac:dyDescent="0.3">
      <c r="A1607" t="str">
        <f>"02/08/2021 20:22:02.156"</f>
        <v>02/08/2021 20:22:02.156</v>
      </c>
      <c r="C1607" t="str">
        <f t="shared" si="74"/>
        <v>FFDFD7C0</v>
      </c>
      <c r="D1607" t="s">
        <v>124</v>
      </c>
      <c r="E1607">
        <v>11</v>
      </c>
      <c r="F1607">
        <v>1011</v>
      </c>
      <c r="G1607" t="s">
        <v>590</v>
      </c>
      <c r="J1607" t="s">
        <v>125</v>
      </c>
      <c r="K1607">
        <v>0</v>
      </c>
      <c r="L1607">
        <v>3</v>
      </c>
      <c r="M1607">
        <v>0</v>
      </c>
      <c r="N1607">
        <v>2</v>
      </c>
      <c r="O1607">
        <v>1</v>
      </c>
      <c r="P1607">
        <v>0</v>
      </c>
      <c r="Q1607">
        <v>0</v>
      </c>
      <c r="S1607" t="str">
        <f>"20:22:04.453"</f>
        <v>20:22:04.453</v>
      </c>
      <c r="T1607" t="str">
        <f>"20:22:03.953"</f>
        <v>20:22:03.953</v>
      </c>
      <c r="U1607" t="str">
        <f t="shared" si="76"/>
        <v>AB01F4</v>
      </c>
      <c r="V1607">
        <v>0</v>
      </c>
      <c r="W1607">
        <v>0</v>
      </c>
      <c r="X1607">
        <v>2</v>
      </c>
      <c r="Z1607">
        <v>0</v>
      </c>
      <c r="AA1607">
        <v>9</v>
      </c>
      <c r="AB1607">
        <v>3</v>
      </c>
      <c r="AC1607">
        <v>0</v>
      </c>
      <c r="AD1607">
        <v>10</v>
      </c>
      <c r="AE1607">
        <v>0</v>
      </c>
      <c r="AF1607">
        <v>3</v>
      </c>
      <c r="AG1607">
        <v>2</v>
      </c>
      <c r="AH1607">
        <v>0</v>
      </c>
      <c r="AI1607" t="s">
        <v>1053</v>
      </c>
      <c r="AJ1607">
        <v>39.856445999999998</v>
      </c>
      <c r="AK1607" t="s">
        <v>1054</v>
      </c>
      <c r="AL1607">
        <v>-92.537476999999996</v>
      </c>
      <c r="AM1607">
        <v>100</v>
      </c>
      <c r="AN1607">
        <v>1700</v>
      </c>
      <c r="AO1607" t="s">
        <v>118</v>
      </c>
      <c r="AP1607">
        <v>-40</v>
      </c>
      <c r="AQ1607">
        <v>116</v>
      </c>
      <c r="AR1607">
        <v>-64</v>
      </c>
      <c r="AZ1607">
        <v>1200</v>
      </c>
      <c r="BA1607">
        <v>1</v>
      </c>
      <c r="BB1607" t="str">
        <f t="shared" si="75"/>
        <v xml:space="preserve">N8080G  </v>
      </c>
      <c r="BC1607">
        <v>1</v>
      </c>
      <c r="BE1607">
        <v>0</v>
      </c>
      <c r="BF1607">
        <v>0</v>
      </c>
      <c r="BG1607">
        <v>0</v>
      </c>
      <c r="BH1607">
        <v>1700</v>
      </c>
      <c r="BI1607">
        <v>1</v>
      </c>
      <c r="BJ1607">
        <v>1</v>
      </c>
      <c r="BK1607">
        <v>1</v>
      </c>
      <c r="BL1607">
        <v>0</v>
      </c>
      <c r="BO1607">
        <v>0</v>
      </c>
      <c r="BP1607">
        <v>0</v>
      </c>
      <c r="BW1607" t="str">
        <f>"20:22:04.457"</f>
        <v>20:22:04.457</v>
      </c>
      <c r="BZ1607">
        <v>0</v>
      </c>
      <c r="CA1607">
        <v>2016</v>
      </c>
      <c r="CB1607">
        <v>224</v>
      </c>
      <c r="CD1607">
        <v>1</v>
      </c>
      <c r="CE1607">
        <v>0</v>
      </c>
      <c r="CF1607">
        <v>0</v>
      </c>
      <c r="CG1607">
        <v>1</v>
      </c>
      <c r="CH1607">
        <v>0</v>
      </c>
      <c r="CI1607">
        <v>0</v>
      </c>
      <c r="CJ1607">
        <v>0</v>
      </c>
      <c r="CK1607">
        <v>2</v>
      </c>
      <c r="CL1607">
        <v>0</v>
      </c>
      <c r="CM1607">
        <v>2</v>
      </c>
      <c r="CN1607">
        <v>0</v>
      </c>
      <c r="CO1607">
        <v>7</v>
      </c>
      <c r="CP1607" t="s">
        <v>119</v>
      </c>
      <c r="CQ1607">
        <v>180</v>
      </c>
      <c r="CR1607">
        <v>2</v>
      </c>
      <c r="CW1607">
        <v>8268315</v>
      </c>
      <c r="CY1607">
        <v>1</v>
      </c>
      <c r="CZ1607">
        <v>0</v>
      </c>
      <c r="DA1607">
        <v>0</v>
      </c>
      <c r="DB1607">
        <v>0</v>
      </c>
      <c r="DC1607">
        <v>0</v>
      </c>
      <c r="DD1607">
        <v>0</v>
      </c>
      <c r="DE1607">
        <v>0</v>
      </c>
      <c r="DF1607">
        <v>0</v>
      </c>
      <c r="DG1607">
        <v>0</v>
      </c>
      <c r="DH1607">
        <v>0</v>
      </c>
      <c r="DI1607">
        <v>0</v>
      </c>
    </row>
    <row r="1608" spans="1:113" x14ac:dyDescent="0.3">
      <c r="A1608" t="str">
        <f>"02/08/2021 20:22:02.156"</f>
        <v>02/08/2021 20:22:02.156</v>
      </c>
      <c r="C1608" t="str">
        <f t="shared" si="74"/>
        <v>FFDFD7C0</v>
      </c>
      <c r="D1608" t="s">
        <v>124</v>
      </c>
      <c r="E1608">
        <v>13</v>
      </c>
      <c r="F1608">
        <v>1013</v>
      </c>
      <c r="G1608" t="s">
        <v>114</v>
      </c>
      <c r="J1608" t="s">
        <v>125</v>
      </c>
      <c r="K1608">
        <v>0</v>
      </c>
      <c r="L1608">
        <v>3</v>
      </c>
      <c r="M1608">
        <v>0</v>
      </c>
      <c r="N1608">
        <v>2</v>
      </c>
      <c r="O1608">
        <v>1</v>
      </c>
      <c r="P1608">
        <v>0</v>
      </c>
      <c r="Q1608">
        <v>0</v>
      </c>
      <c r="S1608" t="str">
        <f>"20:22:04.453"</f>
        <v>20:22:04.453</v>
      </c>
      <c r="T1608" t="str">
        <f>"20:22:03.953"</f>
        <v>20:22:03.953</v>
      </c>
      <c r="U1608" t="str">
        <f t="shared" si="76"/>
        <v>AB01F4</v>
      </c>
      <c r="V1608">
        <v>0</v>
      </c>
      <c r="W1608">
        <v>0</v>
      </c>
      <c r="X1608">
        <v>2</v>
      </c>
      <c r="Z1608">
        <v>0</v>
      </c>
      <c r="AA1608">
        <v>9</v>
      </c>
      <c r="AB1608">
        <v>3</v>
      </c>
      <c r="AC1608">
        <v>0</v>
      </c>
      <c r="AD1608">
        <v>10</v>
      </c>
      <c r="AE1608">
        <v>0</v>
      </c>
      <c r="AF1608">
        <v>3</v>
      </c>
      <c r="AG1608">
        <v>2</v>
      </c>
      <c r="AH1608">
        <v>0</v>
      </c>
      <c r="AI1608" t="s">
        <v>1053</v>
      </c>
      <c r="AJ1608">
        <v>39.856445999999998</v>
      </c>
      <c r="AK1608" t="s">
        <v>1054</v>
      </c>
      <c r="AL1608">
        <v>-92.537476999999996</v>
      </c>
      <c r="AM1608">
        <v>100</v>
      </c>
      <c r="AN1608">
        <v>1700</v>
      </c>
      <c r="AO1608" t="s">
        <v>118</v>
      </c>
      <c r="AP1608">
        <v>-40</v>
      </c>
      <c r="AQ1608">
        <v>116</v>
      </c>
      <c r="AR1608">
        <v>-64</v>
      </c>
      <c r="AZ1608">
        <v>1200</v>
      </c>
      <c r="BA1608">
        <v>1</v>
      </c>
      <c r="BB1608" t="str">
        <f t="shared" si="75"/>
        <v xml:space="preserve">N8080G  </v>
      </c>
      <c r="BC1608">
        <v>1</v>
      </c>
      <c r="BE1608">
        <v>0</v>
      </c>
      <c r="BF1608">
        <v>0</v>
      </c>
      <c r="BG1608">
        <v>0</v>
      </c>
      <c r="BH1608">
        <v>1700</v>
      </c>
      <c r="BI1608">
        <v>1</v>
      </c>
      <c r="BJ1608">
        <v>1</v>
      </c>
      <c r="BK1608">
        <v>1</v>
      </c>
      <c r="BL1608">
        <v>0</v>
      </c>
      <c r="BO1608">
        <v>0</v>
      </c>
      <c r="BP1608">
        <v>0</v>
      </c>
      <c r="BW1608" t="str">
        <f>"20:22:04.457"</f>
        <v>20:22:04.457</v>
      </c>
      <c r="BZ1608">
        <v>0</v>
      </c>
      <c r="CA1608">
        <v>2016</v>
      </c>
      <c r="CB1608">
        <v>224</v>
      </c>
      <c r="CD1608">
        <v>1</v>
      </c>
      <c r="CE1608">
        <v>0</v>
      </c>
      <c r="CF1608">
        <v>0</v>
      </c>
      <c r="CG1608">
        <v>1</v>
      </c>
      <c r="CH1608">
        <v>0</v>
      </c>
      <c r="CI1608">
        <v>0</v>
      </c>
      <c r="CJ1608">
        <v>0</v>
      </c>
      <c r="CK1608">
        <v>2</v>
      </c>
      <c r="CL1608">
        <v>0</v>
      </c>
      <c r="CM1608">
        <v>2</v>
      </c>
      <c r="CN1608">
        <v>0</v>
      </c>
      <c r="CO1608">
        <v>7</v>
      </c>
      <c r="CP1608" t="s">
        <v>119</v>
      </c>
      <c r="CQ1608">
        <v>180</v>
      </c>
      <c r="CR1608">
        <v>2</v>
      </c>
      <c r="CW1608">
        <v>8268315</v>
      </c>
      <c r="CY1608">
        <v>1</v>
      </c>
      <c r="CZ1608">
        <v>0</v>
      </c>
      <c r="DA1608">
        <v>1</v>
      </c>
      <c r="DB1608">
        <v>0</v>
      </c>
      <c r="DC1608">
        <v>0</v>
      </c>
      <c r="DD1608">
        <v>0</v>
      </c>
      <c r="DE1608">
        <v>0</v>
      </c>
      <c r="DF1608">
        <v>0</v>
      </c>
      <c r="DG1608">
        <v>0</v>
      </c>
      <c r="DH1608">
        <v>0</v>
      </c>
      <c r="DI1608">
        <v>0</v>
      </c>
    </row>
    <row r="1609" spans="1:113" x14ac:dyDescent="0.3">
      <c r="A1609" t="str">
        <f>"02/08/2021 20:22:02.156"</f>
        <v>02/08/2021 20:22:02.156</v>
      </c>
      <c r="C1609" t="str">
        <f t="shared" ref="C1609:C1672" si="77">"FFDFD7C0"</f>
        <v>FFDFD7C0</v>
      </c>
      <c r="D1609" t="s">
        <v>124</v>
      </c>
      <c r="E1609">
        <v>12</v>
      </c>
      <c r="F1609">
        <v>1012</v>
      </c>
      <c r="G1609" t="s">
        <v>675</v>
      </c>
      <c r="J1609" t="s">
        <v>125</v>
      </c>
      <c r="K1609">
        <v>0</v>
      </c>
      <c r="L1609">
        <v>3</v>
      </c>
      <c r="M1609">
        <v>0</v>
      </c>
      <c r="N1609">
        <v>2</v>
      </c>
      <c r="O1609">
        <v>1</v>
      </c>
      <c r="P1609">
        <v>0</v>
      </c>
      <c r="Q1609">
        <v>0</v>
      </c>
      <c r="S1609" t="str">
        <f>"20:22:04.453"</f>
        <v>20:22:04.453</v>
      </c>
      <c r="T1609" t="str">
        <f>"20:22:03.953"</f>
        <v>20:22:03.953</v>
      </c>
      <c r="U1609" t="str">
        <f t="shared" si="76"/>
        <v>AB01F4</v>
      </c>
      <c r="V1609">
        <v>0</v>
      </c>
      <c r="W1609">
        <v>0</v>
      </c>
      <c r="X1609">
        <v>2</v>
      </c>
      <c r="Z1609">
        <v>0</v>
      </c>
      <c r="AA1609">
        <v>9</v>
      </c>
      <c r="AB1609">
        <v>3</v>
      </c>
      <c r="AC1609">
        <v>0</v>
      </c>
      <c r="AD1609">
        <v>10</v>
      </c>
      <c r="AE1609">
        <v>0</v>
      </c>
      <c r="AF1609">
        <v>3</v>
      </c>
      <c r="AG1609">
        <v>2</v>
      </c>
      <c r="AH1609">
        <v>0</v>
      </c>
      <c r="AI1609" t="s">
        <v>1053</v>
      </c>
      <c r="AJ1609">
        <v>39.856445999999998</v>
      </c>
      <c r="AK1609" t="s">
        <v>1054</v>
      </c>
      <c r="AL1609">
        <v>-92.537476999999996</v>
      </c>
      <c r="AM1609">
        <v>100</v>
      </c>
      <c r="AN1609">
        <v>1700</v>
      </c>
      <c r="AO1609" t="s">
        <v>118</v>
      </c>
      <c r="AP1609">
        <v>-40</v>
      </c>
      <c r="AQ1609">
        <v>116</v>
      </c>
      <c r="AR1609">
        <v>-64</v>
      </c>
      <c r="AZ1609">
        <v>1200</v>
      </c>
      <c r="BA1609">
        <v>1</v>
      </c>
      <c r="BB1609" t="str">
        <f t="shared" si="75"/>
        <v xml:space="preserve">N8080G  </v>
      </c>
      <c r="BC1609">
        <v>1</v>
      </c>
      <c r="BE1609">
        <v>0</v>
      </c>
      <c r="BF1609">
        <v>0</v>
      </c>
      <c r="BG1609">
        <v>0</v>
      </c>
      <c r="BH1609">
        <v>1700</v>
      </c>
      <c r="BI1609">
        <v>1</v>
      </c>
      <c r="BJ1609">
        <v>1</v>
      </c>
      <c r="BK1609">
        <v>1</v>
      </c>
      <c r="BL1609">
        <v>0</v>
      </c>
      <c r="BO1609">
        <v>0</v>
      </c>
      <c r="BP1609">
        <v>0</v>
      </c>
      <c r="BW1609" t="str">
        <f>"20:22:04.457"</f>
        <v>20:22:04.457</v>
      </c>
      <c r="BZ1609">
        <v>0</v>
      </c>
      <c r="CA1609">
        <v>2016</v>
      </c>
      <c r="CB1609">
        <v>224</v>
      </c>
      <c r="CD1609">
        <v>1</v>
      </c>
      <c r="CE1609">
        <v>0</v>
      </c>
      <c r="CF1609">
        <v>0</v>
      </c>
      <c r="CG1609">
        <v>1</v>
      </c>
      <c r="CH1609">
        <v>0</v>
      </c>
      <c r="CI1609">
        <v>0</v>
      </c>
      <c r="CJ1609">
        <v>0</v>
      </c>
      <c r="CK1609">
        <v>2</v>
      </c>
      <c r="CL1609">
        <v>0</v>
      </c>
      <c r="CM1609">
        <v>2</v>
      </c>
      <c r="CN1609">
        <v>0</v>
      </c>
      <c r="CO1609">
        <v>7</v>
      </c>
      <c r="CP1609" t="s">
        <v>119</v>
      </c>
      <c r="CQ1609">
        <v>180</v>
      </c>
      <c r="CR1609">
        <v>2</v>
      </c>
      <c r="CW1609">
        <v>8268315</v>
      </c>
      <c r="CY1609">
        <v>1</v>
      </c>
      <c r="CZ1609">
        <v>0</v>
      </c>
      <c r="DA1609">
        <v>1</v>
      </c>
      <c r="DB1609">
        <v>0</v>
      </c>
      <c r="DC1609">
        <v>0</v>
      </c>
      <c r="DD1609">
        <v>0</v>
      </c>
      <c r="DE1609">
        <v>0</v>
      </c>
      <c r="DF1609">
        <v>0</v>
      </c>
      <c r="DG1609">
        <v>0</v>
      </c>
      <c r="DH1609">
        <v>0</v>
      </c>
      <c r="DI1609">
        <v>0</v>
      </c>
    </row>
    <row r="1610" spans="1:113" x14ac:dyDescent="0.3">
      <c r="A1610" t="str">
        <f>"02/08/2021 20:22:02.156"</f>
        <v>02/08/2021 20:22:02.156</v>
      </c>
      <c r="C1610" t="str">
        <f t="shared" si="77"/>
        <v>FFDFD7C0</v>
      </c>
      <c r="D1610" t="s">
        <v>113</v>
      </c>
      <c r="E1610">
        <v>6</v>
      </c>
      <c r="H1610">
        <v>165</v>
      </c>
      <c r="I1610" t="s">
        <v>114</v>
      </c>
      <c r="J1610" t="s">
        <v>115</v>
      </c>
      <c r="K1610">
        <v>0</v>
      </c>
      <c r="L1610">
        <v>3</v>
      </c>
      <c r="M1610">
        <v>0</v>
      </c>
      <c r="N1610">
        <v>2</v>
      </c>
      <c r="O1610">
        <v>1</v>
      </c>
      <c r="P1610">
        <v>0</v>
      </c>
      <c r="Q1610">
        <v>0</v>
      </c>
      <c r="S1610" t="str">
        <f>"20:22:04.453"</f>
        <v>20:22:04.453</v>
      </c>
      <c r="T1610" t="str">
        <f>"20:22:03.953"</f>
        <v>20:22:03.953</v>
      </c>
      <c r="U1610" t="str">
        <f t="shared" si="76"/>
        <v>AB01F4</v>
      </c>
      <c r="V1610">
        <v>0</v>
      </c>
      <c r="W1610">
        <v>0</v>
      </c>
      <c r="X1610">
        <v>2</v>
      </c>
      <c r="Z1610">
        <v>0</v>
      </c>
      <c r="AA1610">
        <v>9</v>
      </c>
      <c r="AB1610">
        <v>3</v>
      </c>
      <c r="AC1610">
        <v>0</v>
      </c>
      <c r="AD1610">
        <v>10</v>
      </c>
      <c r="AE1610">
        <v>0</v>
      </c>
      <c r="AF1610">
        <v>3</v>
      </c>
      <c r="AG1610">
        <v>2</v>
      </c>
      <c r="AH1610">
        <v>0</v>
      </c>
      <c r="AI1610" t="s">
        <v>1053</v>
      </c>
      <c r="AJ1610">
        <v>39.856445999999998</v>
      </c>
      <c r="AK1610" t="s">
        <v>1054</v>
      </c>
      <c r="AL1610">
        <v>-92.537476999999996</v>
      </c>
      <c r="AM1610">
        <v>100</v>
      </c>
      <c r="AN1610">
        <v>1700</v>
      </c>
      <c r="AO1610" t="s">
        <v>118</v>
      </c>
      <c r="AP1610">
        <v>-40</v>
      </c>
      <c r="AQ1610">
        <v>116</v>
      </c>
      <c r="AR1610">
        <v>-64</v>
      </c>
      <c r="AZ1610">
        <v>1200</v>
      </c>
      <c r="BA1610">
        <v>1</v>
      </c>
      <c r="BB1610" t="str">
        <f t="shared" si="75"/>
        <v xml:space="preserve">N8080G  </v>
      </c>
      <c r="BC1610">
        <v>1</v>
      </c>
      <c r="BE1610">
        <v>0</v>
      </c>
      <c r="BF1610">
        <v>0</v>
      </c>
      <c r="BG1610">
        <v>0</v>
      </c>
      <c r="BH1610">
        <v>1700</v>
      </c>
      <c r="BI1610">
        <v>1</v>
      </c>
      <c r="BJ1610">
        <v>1</v>
      </c>
      <c r="BK1610">
        <v>1</v>
      </c>
      <c r="BL1610">
        <v>0</v>
      </c>
      <c r="BO1610">
        <v>0</v>
      </c>
      <c r="BP1610">
        <v>0</v>
      </c>
      <c r="BW1610" t="str">
        <f>"20:22:04.457"</f>
        <v>20:22:04.457</v>
      </c>
      <c r="BZ1610">
        <v>0</v>
      </c>
      <c r="CA1610">
        <v>2016</v>
      </c>
      <c r="CB1610">
        <v>224</v>
      </c>
      <c r="CD1610">
        <v>1</v>
      </c>
      <c r="CE1610">
        <v>0</v>
      </c>
      <c r="CF1610">
        <v>0</v>
      </c>
      <c r="CG1610">
        <v>1</v>
      </c>
      <c r="CH1610">
        <v>0</v>
      </c>
      <c r="CI1610">
        <v>0</v>
      </c>
      <c r="CJ1610">
        <v>0</v>
      </c>
      <c r="CK1610">
        <v>2</v>
      </c>
      <c r="CL1610">
        <v>0</v>
      </c>
      <c r="CM1610">
        <v>2</v>
      </c>
      <c r="CN1610">
        <v>0</v>
      </c>
      <c r="CO1610">
        <v>7</v>
      </c>
      <c r="CP1610" t="s">
        <v>119</v>
      </c>
      <c r="CQ1610">
        <v>180</v>
      </c>
      <c r="CR1610">
        <v>2</v>
      </c>
      <c r="CW1610">
        <v>8268315</v>
      </c>
      <c r="CY1610">
        <v>1</v>
      </c>
      <c r="CZ1610">
        <v>0</v>
      </c>
      <c r="DA1610">
        <v>1</v>
      </c>
      <c r="DB1610">
        <v>0</v>
      </c>
      <c r="DC1610">
        <v>0</v>
      </c>
      <c r="DD1610">
        <v>0</v>
      </c>
      <c r="DE1610">
        <v>0</v>
      </c>
      <c r="DF1610">
        <v>0</v>
      </c>
      <c r="DG1610">
        <v>0</v>
      </c>
      <c r="DH1610">
        <v>0</v>
      </c>
      <c r="DI1610">
        <v>0</v>
      </c>
    </row>
    <row r="1611" spans="1:113" x14ac:dyDescent="0.3">
      <c r="A1611" t="str">
        <f>"02/08/2021 20:22:03.470"</f>
        <v>02/08/2021 20:22:03.470</v>
      </c>
      <c r="C1611" t="str">
        <f t="shared" si="77"/>
        <v>FFDFD7C0</v>
      </c>
      <c r="D1611" t="s">
        <v>124</v>
      </c>
      <c r="E1611">
        <v>13</v>
      </c>
      <c r="F1611">
        <v>1013</v>
      </c>
      <c r="G1611" t="s">
        <v>114</v>
      </c>
      <c r="J1611" t="s">
        <v>125</v>
      </c>
      <c r="K1611">
        <v>0</v>
      </c>
      <c r="L1611">
        <v>3</v>
      </c>
      <c r="M1611">
        <v>0</v>
      </c>
      <c r="N1611">
        <v>2</v>
      </c>
      <c r="O1611">
        <v>1</v>
      </c>
      <c r="P1611">
        <v>0</v>
      </c>
      <c r="Q1611">
        <v>0</v>
      </c>
      <c r="S1611" t="str">
        <f>"20:22:05.797"</f>
        <v>20:22:05.797</v>
      </c>
      <c r="T1611" t="str">
        <f>"20:22:05.397"</f>
        <v>20:22:05.397</v>
      </c>
      <c r="U1611" t="str">
        <f t="shared" si="76"/>
        <v>AB01F4</v>
      </c>
      <c r="V1611">
        <v>0</v>
      </c>
      <c r="W1611">
        <v>0</v>
      </c>
      <c r="X1611">
        <v>2</v>
      </c>
      <c r="Z1611">
        <v>0</v>
      </c>
      <c r="AA1611">
        <v>9</v>
      </c>
      <c r="AB1611">
        <v>3</v>
      </c>
      <c r="AC1611">
        <v>0</v>
      </c>
      <c r="AD1611">
        <v>10</v>
      </c>
      <c r="AE1611">
        <v>0</v>
      </c>
      <c r="AF1611">
        <v>3</v>
      </c>
      <c r="AG1611">
        <v>2</v>
      </c>
      <c r="AH1611">
        <v>0</v>
      </c>
      <c r="AI1611" t="s">
        <v>1055</v>
      </c>
      <c r="AJ1611">
        <v>39.857154000000001</v>
      </c>
      <c r="AK1611" t="s">
        <v>1056</v>
      </c>
      <c r="AL1611">
        <v>-92.537777000000006</v>
      </c>
      <c r="AM1611">
        <v>100</v>
      </c>
      <c r="AN1611">
        <v>1700</v>
      </c>
      <c r="AO1611" t="s">
        <v>118</v>
      </c>
      <c r="AP1611">
        <v>-41</v>
      </c>
      <c r="AQ1611">
        <v>116</v>
      </c>
      <c r="AR1611">
        <v>-64</v>
      </c>
      <c r="AZ1611">
        <v>1200</v>
      </c>
      <c r="BA1611">
        <v>1</v>
      </c>
      <c r="BB1611" t="str">
        <f t="shared" si="75"/>
        <v xml:space="preserve">N8080G  </v>
      </c>
      <c r="BC1611">
        <v>1</v>
      </c>
      <c r="BE1611">
        <v>0</v>
      </c>
      <c r="BF1611">
        <v>0</v>
      </c>
      <c r="BG1611">
        <v>0</v>
      </c>
      <c r="BH1611">
        <v>1700</v>
      </c>
      <c r="BI1611">
        <v>1</v>
      </c>
      <c r="BJ1611">
        <v>1</v>
      </c>
      <c r="BK1611">
        <v>1</v>
      </c>
      <c r="BL1611">
        <v>0</v>
      </c>
      <c r="BO1611">
        <v>0</v>
      </c>
      <c r="BP1611">
        <v>0</v>
      </c>
      <c r="BW1611" t="str">
        <f>"20:22:05.804"</f>
        <v>20:22:05.804</v>
      </c>
      <c r="BZ1611">
        <v>0</v>
      </c>
      <c r="CA1611">
        <v>2016</v>
      </c>
      <c r="CB1611">
        <v>224</v>
      </c>
      <c r="CD1611">
        <v>1</v>
      </c>
      <c r="CE1611">
        <v>0</v>
      </c>
      <c r="CF1611">
        <v>0</v>
      </c>
      <c r="CG1611">
        <v>1</v>
      </c>
      <c r="CH1611">
        <v>0</v>
      </c>
      <c r="CI1611">
        <v>0</v>
      </c>
      <c r="CJ1611">
        <v>0</v>
      </c>
      <c r="CK1611">
        <v>2</v>
      </c>
      <c r="CL1611">
        <v>0</v>
      </c>
      <c r="CM1611">
        <v>2</v>
      </c>
      <c r="CN1611">
        <v>0</v>
      </c>
      <c r="CO1611">
        <v>7</v>
      </c>
      <c r="CP1611" t="s">
        <v>119</v>
      </c>
      <c r="CQ1611">
        <v>180</v>
      </c>
      <c r="CR1611">
        <v>2</v>
      </c>
      <c r="CW1611">
        <v>8269495</v>
      </c>
      <c r="CY1611">
        <v>1</v>
      </c>
      <c r="CZ1611">
        <v>0</v>
      </c>
      <c r="DA1611">
        <v>0</v>
      </c>
      <c r="DB1611">
        <v>0</v>
      </c>
      <c r="DC1611">
        <v>0</v>
      </c>
      <c r="DD1611">
        <v>0</v>
      </c>
      <c r="DE1611">
        <v>0</v>
      </c>
      <c r="DF1611">
        <v>0</v>
      </c>
      <c r="DG1611">
        <v>0</v>
      </c>
      <c r="DH1611">
        <v>0</v>
      </c>
      <c r="DI1611">
        <v>0</v>
      </c>
    </row>
    <row r="1612" spans="1:113" x14ac:dyDescent="0.3">
      <c r="A1612" t="str">
        <f>"02/08/2021 20:22:03.470"</f>
        <v>02/08/2021 20:22:03.470</v>
      </c>
      <c r="C1612" t="str">
        <f t="shared" si="77"/>
        <v>FFDFD7C0</v>
      </c>
      <c r="D1612" t="s">
        <v>124</v>
      </c>
      <c r="E1612">
        <v>12</v>
      </c>
      <c r="F1612">
        <v>1012</v>
      </c>
      <c r="G1612" t="s">
        <v>675</v>
      </c>
      <c r="J1612" t="s">
        <v>125</v>
      </c>
      <c r="K1612">
        <v>0</v>
      </c>
      <c r="L1612">
        <v>3</v>
      </c>
      <c r="M1612">
        <v>0</v>
      </c>
      <c r="N1612">
        <v>2</v>
      </c>
      <c r="O1612">
        <v>1</v>
      </c>
      <c r="P1612">
        <v>0</v>
      </c>
      <c r="Q1612">
        <v>0</v>
      </c>
      <c r="S1612" t="str">
        <f>"20:22:05.797"</f>
        <v>20:22:05.797</v>
      </c>
      <c r="T1612" t="str">
        <f>"20:22:05.397"</f>
        <v>20:22:05.397</v>
      </c>
      <c r="U1612" t="str">
        <f t="shared" si="76"/>
        <v>AB01F4</v>
      </c>
      <c r="V1612">
        <v>0</v>
      </c>
      <c r="W1612">
        <v>0</v>
      </c>
      <c r="X1612">
        <v>2</v>
      </c>
      <c r="Z1612">
        <v>0</v>
      </c>
      <c r="AA1612">
        <v>9</v>
      </c>
      <c r="AB1612">
        <v>3</v>
      </c>
      <c r="AC1612">
        <v>0</v>
      </c>
      <c r="AD1612">
        <v>10</v>
      </c>
      <c r="AE1612">
        <v>0</v>
      </c>
      <c r="AF1612">
        <v>3</v>
      </c>
      <c r="AG1612">
        <v>2</v>
      </c>
      <c r="AH1612">
        <v>0</v>
      </c>
      <c r="AI1612" t="s">
        <v>1055</v>
      </c>
      <c r="AJ1612">
        <v>39.857154000000001</v>
      </c>
      <c r="AK1612" t="s">
        <v>1056</v>
      </c>
      <c r="AL1612">
        <v>-92.537777000000006</v>
      </c>
      <c r="AM1612">
        <v>100</v>
      </c>
      <c r="AN1612">
        <v>1700</v>
      </c>
      <c r="AO1612" t="s">
        <v>118</v>
      </c>
      <c r="AP1612">
        <v>-41</v>
      </c>
      <c r="AQ1612">
        <v>116</v>
      </c>
      <c r="AR1612">
        <v>-64</v>
      </c>
      <c r="AZ1612">
        <v>1200</v>
      </c>
      <c r="BA1612">
        <v>1</v>
      </c>
      <c r="BB1612" t="str">
        <f t="shared" si="75"/>
        <v xml:space="preserve">N8080G  </v>
      </c>
      <c r="BC1612">
        <v>1</v>
      </c>
      <c r="BE1612">
        <v>0</v>
      </c>
      <c r="BF1612">
        <v>0</v>
      </c>
      <c r="BG1612">
        <v>0</v>
      </c>
      <c r="BH1612">
        <v>1700</v>
      </c>
      <c r="BI1612">
        <v>1</v>
      </c>
      <c r="BJ1612">
        <v>1</v>
      </c>
      <c r="BK1612">
        <v>1</v>
      </c>
      <c r="BL1612">
        <v>0</v>
      </c>
      <c r="BO1612">
        <v>0</v>
      </c>
      <c r="BP1612">
        <v>0</v>
      </c>
      <c r="BW1612" t="str">
        <f>"20:22:05.804"</f>
        <v>20:22:05.804</v>
      </c>
      <c r="BZ1612">
        <v>0</v>
      </c>
      <c r="CA1612">
        <v>2016</v>
      </c>
      <c r="CB1612">
        <v>224</v>
      </c>
      <c r="CD1612">
        <v>1</v>
      </c>
      <c r="CE1612">
        <v>0</v>
      </c>
      <c r="CF1612">
        <v>0</v>
      </c>
      <c r="CG1612">
        <v>1</v>
      </c>
      <c r="CH1612">
        <v>0</v>
      </c>
      <c r="CI1612">
        <v>0</v>
      </c>
      <c r="CJ1612">
        <v>0</v>
      </c>
      <c r="CK1612">
        <v>2</v>
      </c>
      <c r="CL1612">
        <v>0</v>
      </c>
      <c r="CM1612">
        <v>2</v>
      </c>
      <c r="CN1612">
        <v>0</v>
      </c>
      <c r="CO1612">
        <v>7</v>
      </c>
      <c r="CP1612" t="s">
        <v>119</v>
      </c>
      <c r="CQ1612">
        <v>180</v>
      </c>
      <c r="CR1612">
        <v>2</v>
      </c>
      <c r="CW1612">
        <v>8269495</v>
      </c>
      <c r="CY1612">
        <v>1</v>
      </c>
      <c r="CZ1612">
        <v>0</v>
      </c>
      <c r="DA1612">
        <v>1</v>
      </c>
      <c r="DB1612">
        <v>0</v>
      </c>
      <c r="DC1612">
        <v>0</v>
      </c>
      <c r="DD1612">
        <v>0</v>
      </c>
      <c r="DE1612">
        <v>0</v>
      </c>
      <c r="DF1612">
        <v>0</v>
      </c>
      <c r="DG1612">
        <v>0</v>
      </c>
      <c r="DH1612">
        <v>0</v>
      </c>
      <c r="DI1612">
        <v>0</v>
      </c>
    </row>
    <row r="1613" spans="1:113" x14ac:dyDescent="0.3">
      <c r="A1613" t="str">
        <f>"02/08/2021 20:22:03.470"</f>
        <v>02/08/2021 20:22:03.470</v>
      </c>
      <c r="C1613" t="str">
        <f t="shared" si="77"/>
        <v>FFDFD7C0</v>
      </c>
      <c r="D1613" t="s">
        <v>113</v>
      </c>
      <c r="E1613">
        <v>6</v>
      </c>
      <c r="H1613">
        <v>165</v>
      </c>
      <c r="I1613" t="s">
        <v>114</v>
      </c>
      <c r="J1613" t="s">
        <v>115</v>
      </c>
      <c r="K1613">
        <v>0</v>
      </c>
      <c r="L1613">
        <v>3</v>
      </c>
      <c r="M1613">
        <v>0</v>
      </c>
      <c r="N1613">
        <v>2</v>
      </c>
      <c r="O1613">
        <v>1</v>
      </c>
      <c r="P1613">
        <v>0</v>
      </c>
      <c r="Q1613">
        <v>0</v>
      </c>
      <c r="S1613" t="str">
        <f>"20:22:05.797"</f>
        <v>20:22:05.797</v>
      </c>
      <c r="T1613" t="str">
        <f>"20:22:05.397"</f>
        <v>20:22:05.397</v>
      </c>
      <c r="U1613" t="str">
        <f t="shared" si="76"/>
        <v>AB01F4</v>
      </c>
      <c r="V1613">
        <v>0</v>
      </c>
      <c r="W1613">
        <v>0</v>
      </c>
      <c r="X1613">
        <v>2</v>
      </c>
      <c r="Z1613">
        <v>0</v>
      </c>
      <c r="AA1613">
        <v>9</v>
      </c>
      <c r="AB1613">
        <v>3</v>
      </c>
      <c r="AC1613">
        <v>0</v>
      </c>
      <c r="AD1613">
        <v>10</v>
      </c>
      <c r="AE1613">
        <v>0</v>
      </c>
      <c r="AF1613">
        <v>3</v>
      </c>
      <c r="AG1613">
        <v>2</v>
      </c>
      <c r="AH1613">
        <v>0</v>
      </c>
      <c r="AI1613" t="s">
        <v>1055</v>
      </c>
      <c r="AJ1613">
        <v>39.857154000000001</v>
      </c>
      <c r="AK1613" t="s">
        <v>1056</v>
      </c>
      <c r="AL1613">
        <v>-92.537777000000006</v>
      </c>
      <c r="AM1613">
        <v>100</v>
      </c>
      <c r="AN1613">
        <v>1700</v>
      </c>
      <c r="AO1613" t="s">
        <v>118</v>
      </c>
      <c r="AP1613">
        <v>-41</v>
      </c>
      <c r="AQ1613">
        <v>116</v>
      </c>
      <c r="AR1613">
        <v>-64</v>
      </c>
      <c r="AZ1613">
        <v>1200</v>
      </c>
      <c r="BA1613">
        <v>1</v>
      </c>
      <c r="BB1613" t="str">
        <f t="shared" si="75"/>
        <v xml:space="preserve">N8080G  </v>
      </c>
      <c r="BC1613">
        <v>1</v>
      </c>
      <c r="BE1613">
        <v>0</v>
      </c>
      <c r="BF1613">
        <v>0</v>
      </c>
      <c r="BG1613">
        <v>0</v>
      </c>
      <c r="BH1613">
        <v>1700</v>
      </c>
      <c r="BI1613">
        <v>1</v>
      </c>
      <c r="BJ1613">
        <v>1</v>
      </c>
      <c r="BK1613">
        <v>1</v>
      </c>
      <c r="BL1613">
        <v>0</v>
      </c>
      <c r="BO1613">
        <v>0</v>
      </c>
      <c r="BP1613">
        <v>0</v>
      </c>
      <c r="BW1613" t="str">
        <f>"20:22:05.804"</f>
        <v>20:22:05.804</v>
      </c>
      <c r="BZ1613">
        <v>0</v>
      </c>
      <c r="CA1613">
        <v>2016</v>
      </c>
      <c r="CB1613">
        <v>224</v>
      </c>
      <c r="CD1613">
        <v>1</v>
      </c>
      <c r="CE1613">
        <v>0</v>
      </c>
      <c r="CF1613">
        <v>0</v>
      </c>
      <c r="CG1613">
        <v>1</v>
      </c>
      <c r="CH1613">
        <v>0</v>
      </c>
      <c r="CI1613">
        <v>0</v>
      </c>
      <c r="CJ1613">
        <v>0</v>
      </c>
      <c r="CK1613">
        <v>2</v>
      </c>
      <c r="CL1613">
        <v>0</v>
      </c>
      <c r="CM1613">
        <v>2</v>
      </c>
      <c r="CN1613">
        <v>0</v>
      </c>
      <c r="CO1613">
        <v>7</v>
      </c>
      <c r="CP1613" t="s">
        <v>119</v>
      </c>
      <c r="CQ1613">
        <v>180</v>
      </c>
      <c r="CR1613">
        <v>2</v>
      </c>
      <c r="CW1613">
        <v>8269495</v>
      </c>
      <c r="CY1613">
        <v>1</v>
      </c>
      <c r="CZ1613">
        <v>0</v>
      </c>
      <c r="DA1613">
        <v>1</v>
      </c>
      <c r="DB1613">
        <v>0</v>
      </c>
      <c r="DC1613">
        <v>0</v>
      </c>
      <c r="DD1613">
        <v>0</v>
      </c>
      <c r="DE1613">
        <v>0</v>
      </c>
      <c r="DF1613">
        <v>0</v>
      </c>
      <c r="DG1613">
        <v>0</v>
      </c>
      <c r="DH1613">
        <v>0</v>
      </c>
      <c r="DI1613">
        <v>0</v>
      </c>
    </row>
    <row r="1614" spans="1:113" x14ac:dyDescent="0.3">
      <c r="A1614" t="str">
        <f>"02/08/2021 20:22:03.470"</f>
        <v>02/08/2021 20:22:03.470</v>
      </c>
      <c r="C1614" t="str">
        <f t="shared" si="77"/>
        <v>FFDFD7C0</v>
      </c>
      <c r="D1614" t="s">
        <v>124</v>
      </c>
      <c r="E1614">
        <v>11</v>
      </c>
      <c r="F1614">
        <v>1011</v>
      </c>
      <c r="G1614" t="s">
        <v>590</v>
      </c>
      <c r="J1614" t="s">
        <v>125</v>
      </c>
      <c r="K1614">
        <v>0</v>
      </c>
      <c r="L1614">
        <v>3</v>
      </c>
      <c r="M1614">
        <v>0</v>
      </c>
      <c r="N1614">
        <v>2</v>
      </c>
      <c r="O1614">
        <v>1</v>
      </c>
      <c r="P1614">
        <v>0</v>
      </c>
      <c r="Q1614">
        <v>0</v>
      </c>
      <c r="S1614" t="str">
        <f>"20:22:05.797"</f>
        <v>20:22:05.797</v>
      </c>
      <c r="T1614" t="str">
        <f>"20:22:05.397"</f>
        <v>20:22:05.397</v>
      </c>
      <c r="U1614" t="str">
        <f t="shared" si="76"/>
        <v>AB01F4</v>
      </c>
      <c r="V1614">
        <v>0</v>
      </c>
      <c r="W1614">
        <v>0</v>
      </c>
      <c r="X1614">
        <v>2</v>
      </c>
      <c r="Z1614">
        <v>0</v>
      </c>
      <c r="AA1614">
        <v>9</v>
      </c>
      <c r="AB1614">
        <v>3</v>
      </c>
      <c r="AC1614">
        <v>0</v>
      </c>
      <c r="AD1614">
        <v>10</v>
      </c>
      <c r="AE1614">
        <v>0</v>
      </c>
      <c r="AF1614">
        <v>3</v>
      </c>
      <c r="AG1614">
        <v>2</v>
      </c>
      <c r="AH1614">
        <v>0</v>
      </c>
      <c r="AI1614" t="s">
        <v>1055</v>
      </c>
      <c r="AJ1614">
        <v>39.857154000000001</v>
      </c>
      <c r="AK1614" t="s">
        <v>1056</v>
      </c>
      <c r="AL1614">
        <v>-92.537777000000006</v>
      </c>
      <c r="AM1614">
        <v>100</v>
      </c>
      <c r="AN1614">
        <v>1700</v>
      </c>
      <c r="AO1614" t="s">
        <v>118</v>
      </c>
      <c r="AP1614">
        <v>-41</v>
      </c>
      <c r="AQ1614">
        <v>116</v>
      </c>
      <c r="AR1614">
        <v>-64</v>
      </c>
      <c r="AZ1614">
        <v>1200</v>
      </c>
      <c r="BA1614">
        <v>1</v>
      </c>
      <c r="BB1614" t="str">
        <f t="shared" si="75"/>
        <v xml:space="preserve">N8080G  </v>
      </c>
      <c r="BC1614">
        <v>1</v>
      </c>
      <c r="BE1614">
        <v>0</v>
      </c>
      <c r="BF1614">
        <v>0</v>
      </c>
      <c r="BG1614">
        <v>0</v>
      </c>
      <c r="BH1614">
        <v>1700</v>
      </c>
      <c r="BI1614">
        <v>1</v>
      </c>
      <c r="BJ1614">
        <v>1</v>
      </c>
      <c r="BK1614">
        <v>1</v>
      </c>
      <c r="BL1614">
        <v>0</v>
      </c>
      <c r="BO1614">
        <v>0</v>
      </c>
      <c r="BP1614">
        <v>0</v>
      </c>
      <c r="BW1614" t="str">
        <f>"20:22:05.804"</f>
        <v>20:22:05.804</v>
      </c>
      <c r="BZ1614">
        <v>0</v>
      </c>
      <c r="CA1614">
        <v>2016</v>
      </c>
      <c r="CB1614">
        <v>224</v>
      </c>
      <c r="CD1614">
        <v>1</v>
      </c>
      <c r="CE1614">
        <v>0</v>
      </c>
      <c r="CF1614">
        <v>0</v>
      </c>
      <c r="CG1614">
        <v>1</v>
      </c>
      <c r="CH1614">
        <v>0</v>
      </c>
      <c r="CI1614">
        <v>0</v>
      </c>
      <c r="CJ1614">
        <v>0</v>
      </c>
      <c r="CK1614">
        <v>2</v>
      </c>
      <c r="CL1614">
        <v>0</v>
      </c>
      <c r="CM1614">
        <v>2</v>
      </c>
      <c r="CN1614">
        <v>0</v>
      </c>
      <c r="CO1614">
        <v>7</v>
      </c>
      <c r="CP1614" t="s">
        <v>119</v>
      </c>
      <c r="CQ1614">
        <v>180</v>
      </c>
      <c r="CR1614">
        <v>2</v>
      </c>
      <c r="CW1614">
        <v>8269495</v>
      </c>
      <c r="CY1614">
        <v>1</v>
      </c>
      <c r="CZ1614">
        <v>0</v>
      </c>
      <c r="DA1614">
        <v>1</v>
      </c>
      <c r="DB1614">
        <v>0</v>
      </c>
      <c r="DC1614">
        <v>0</v>
      </c>
      <c r="DD1614">
        <v>0</v>
      </c>
      <c r="DE1614">
        <v>0</v>
      </c>
      <c r="DF1614">
        <v>0</v>
      </c>
      <c r="DG1614">
        <v>0</v>
      </c>
      <c r="DH1614">
        <v>0</v>
      </c>
      <c r="DI1614">
        <v>0</v>
      </c>
    </row>
    <row r="1615" spans="1:113" x14ac:dyDescent="0.3">
      <c r="A1615" t="str">
        <f>"02/08/2021 20:22:04.918"</f>
        <v>02/08/2021 20:22:04.918</v>
      </c>
      <c r="C1615" t="str">
        <f t="shared" si="77"/>
        <v>FFDFD7C0</v>
      </c>
      <c r="D1615" t="s">
        <v>113</v>
      </c>
      <c r="E1615">
        <v>6</v>
      </c>
      <c r="H1615">
        <v>165</v>
      </c>
      <c r="I1615" t="s">
        <v>114</v>
      </c>
      <c r="J1615" t="s">
        <v>115</v>
      </c>
      <c r="K1615">
        <v>0</v>
      </c>
      <c r="L1615">
        <v>3</v>
      </c>
      <c r="M1615">
        <v>0</v>
      </c>
      <c r="N1615">
        <v>2</v>
      </c>
      <c r="O1615">
        <v>1</v>
      </c>
      <c r="P1615">
        <v>0</v>
      </c>
      <c r="Q1615">
        <v>0</v>
      </c>
      <c r="S1615" t="str">
        <f>"20:22:07.258"</f>
        <v>20:22:07.258</v>
      </c>
      <c r="T1615" t="str">
        <f>"20:22:06.858"</f>
        <v>20:22:06.858</v>
      </c>
      <c r="U1615" t="str">
        <f t="shared" si="76"/>
        <v>AB01F4</v>
      </c>
      <c r="V1615">
        <v>0</v>
      </c>
      <c r="W1615">
        <v>0</v>
      </c>
      <c r="X1615">
        <v>2</v>
      </c>
      <c r="Z1615">
        <v>0</v>
      </c>
      <c r="AA1615">
        <v>9</v>
      </c>
      <c r="AB1615">
        <v>3</v>
      </c>
      <c r="AC1615">
        <v>0</v>
      </c>
      <c r="AD1615">
        <v>10</v>
      </c>
      <c r="AE1615">
        <v>0</v>
      </c>
      <c r="AF1615">
        <v>3</v>
      </c>
      <c r="AG1615">
        <v>2</v>
      </c>
      <c r="AH1615">
        <v>0</v>
      </c>
      <c r="AI1615" t="s">
        <v>1057</v>
      </c>
      <c r="AJ1615">
        <v>39.857968999999997</v>
      </c>
      <c r="AK1615" t="s">
        <v>1058</v>
      </c>
      <c r="AL1615">
        <v>-92.538141999999993</v>
      </c>
      <c r="AM1615">
        <v>100</v>
      </c>
      <c r="AN1615">
        <v>1700</v>
      </c>
      <c r="AO1615" t="s">
        <v>118</v>
      </c>
      <c r="AP1615">
        <v>-41</v>
      </c>
      <c r="AQ1615">
        <v>116</v>
      </c>
      <c r="AR1615">
        <v>0</v>
      </c>
      <c r="AZ1615">
        <v>1200</v>
      </c>
      <c r="BA1615">
        <v>1</v>
      </c>
      <c r="BB1615" t="str">
        <f t="shared" ref="BB1615:BB1678" si="78">"N8080G  "</f>
        <v xml:space="preserve">N8080G  </v>
      </c>
      <c r="BC1615">
        <v>1</v>
      </c>
      <c r="BE1615">
        <v>0</v>
      </c>
      <c r="BF1615">
        <v>0</v>
      </c>
      <c r="BG1615">
        <v>0</v>
      </c>
      <c r="BH1615">
        <v>1700</v>
      </c>
      <c r="BI1615">
        <v>1</v>
      </c>
      <c r="BJ1615">
        <v>1</v>
      </c>
      <c r="BK1615">
        <v>1</v>
      </c>
      <c r="BL1615">
        <v>0</v>
      </c>
      <c r="BO1615">
        <v>0</v>
      </c>
      <c r="BP1615">
        <v>0</v>
      </c>
      <c r="BW1615" t="str">
        <f>"20:22:07.259"</f>
        <v>20:22:07.259</v>
      </c>
      <c r="BZ1615">
        <v>0</v>
      </c>
      <c r="CA1615">
        <v>2016</v>
      </c>
      <c r="CB1615">
        <v>224</v>
      </c>
      <c r="CD1615">
        <v>1</v>
      </c>
      <c r="CE1615">
        <v>0</v>
      </c>
      <c r="CF1615">
        <v>0</v>
      </c>
      <c r="CG1615">
        <v>1</v>
      </c>
      <c r="CH1615">
        <v>0</v>
      </c>
      <c r="CI1615">
        <v>0</v>
      </c>
      <c r="CJ1615">
        <v>0</v>
      </c>
      <c r="CK1615">
        <v>2</v>
      </c>
      <c r="CL1615">
        <v>0</v>
      </c>
      <c r="CM1615">
        <v>2</v>
      </c>
      <c r="CN1615">
        <v>0</v>
      </c>
      <c r="CO1615">
        <v>7</v>
      </c>
      <c r="CP1615" t="s">
        <v>119</v>
      </c>
      <c r="CQ1615">
        <v>180</v>
      </c>
      <c r="CR1615">
        <v>1</v>
      </c>
      <c r="CW1615">
        <v>10833495</v>
      </c>
      <c r="CY1615">
        <v>1</v>
      </c>
      <c r="CZ1615">
        <v>0</v>
      </c>
      <c r="DA1615">
        <v>0</v>
      </c>
      <c r="DB1615">
        <v>0</v>
      </c>
      <c r="DC1615">
        <v>0</v>
      </c>
      <c r="DD1615">
        <v>0</v>
      </c>
      <c r="DE1615">
        <v>0</v>
      </c>
      <c r="DF1615">
        <v>0</v>
      </c>
      <c r="DG1615">
        <v>0</v>
      </c>
      <c r="DH1615">
        <v>0</v>
      </c>
      <c r="DI1615">
        <v>0</v>
      </c>
    </row>
    <row r="1616" spans="1:113" x14ac:dyDescent="0.3">
      <c r="A1616" t="str">
        <f>"02/08/2021 20:22:04.918"</f>
        <v>02/08/2021 20:22:04.918</v>
      </c>
      <c r="C1616" t="str">
        <f t="shared" si="77"/>
        <v>FFDFD7C0</v>
      </c>
      <c r="D1616" t="s">
        <v>124</v>
      </c>
      <c r="E1616">
        <v>13</v>
      </c>
      <c r="F1616">
        <v>1013</v>
      </c>
      <c r="G1616" t="s">
        <v>114</v>
      </c>
      <c r="J1616" t="s">
        <v>125</v>
      </c>
      <c r="K1616">
        <v>0</v>
      </c>
      <c r="L1616">
        <v>3</v>
      </c>
      <c r="M1616">
        <v>0</v>
      </c>
      <c r="N1616">
        <v>2</v>
      </c>
      <c r="O1616">
        <v>1</v>
      </c>
      <c r="P1616">
        <v>0</v>
      </c>
      <c r="Q1616">
        <v>0</v>
      </c>
      <c r="S1616" t="str">
        <f>"20:22:07.258"</f>
        <v>20:22:07.258</v>
      </c>
      <c r="T1616" t="str">
        <f>"20:22:06.858"</f>
        <v>20:22:06.858</v>
      </c>
      <c r="U1616" t="str">
        <f t="shared" si="76"/>
        <v>AB01F4</v>
      </c>
      <c r="V1616">
        <v>0</v>
      </c>
      <c r="W1616">
        <v>0</v>
      </c>
      <c r="X1616">
        <v>2</v>
      </c>
      <c r="Z1616">
        <v>0</v>
      </c>
      <c r="AA1616">
        <v>9</v>
      </c>
      <c r="AB1616">
        <v>3</v>
      </c>
      <c r="AC1616">
        <v>0</v>
      </c>
      <c r="AD1616">
        <v>10</v>
      </c>
      <c r="AE1616">
        <v>0</v>
      </c>
      <c r="AF1616">
        <v>3</v>
      </c>
      <c r="AG1616">
        <v>2</v>
      </c>
      <c r="AH1616">
        <v>0</v>
      </c>
      <c r="AI1616" t="s">
        <v>1057</v>
      </c>
      <c r="AJ1616">
        <v>39.857968999999997</v>
      </c>
      <c r="AK1616" t="s">
        <v>1058</v>
      </c>
      <c r="AL1616">
        <v>-92.538141999999993</v>
      </c>
      <c r="AM1616">
        <v>100</v>
      </c>
      <c r="AN1616">
        <v>1700</v>
      </c>
      <c r="AO1616" t="s">
        <v>118</v>
      </c>
      <c r="AP1616">
        <v>-41</v>
      </c>
      <c r="AQ1616">
        <v>116</v>
      </c>
      <c r="AR1616">
        <v>0</v>
      </c>
      <c r="AZ1616">
        <v>1200</v>
      </c>
      <c r="BA1616">
        <v>1</v>
      </c>
      <c r="BB1616" t="str">
        <f t="shared" si="78"/>
        <v xml:space="preserve">N8080G  </v>
      </c>
      <c r="BC1616">
        <v>1</v>
      </c>
      <c r="BE1616">
        <v>0</v>
      </c>
      <c r="BF1616">
        <v>0</v>
      </c>
      <c r="BG1616">
        <v>0</v>
      </c>
      <c r="BH1616">
        <v>1700</v>
      </c>
      <c r="BI1616">
        <v>1</v>
      </c>
      <c r="BJ1616">
        <v>1</v>
      </c>
      <c r="BK1616">
        <v>1</v>
      </c>
      <c r="BL1616">
        <v>0</v>
      </c>
      <c r="BO1616">
        <v>0</v>
      </c>
      <c r="BP1616">
        <v>0</v>
      </c>
      <c r="BW1616" t="str">
        <f>"20:22:07.259"</f>
        <v>20:22:07.259</v>
      </c>
      <c r="BZ1616">
        <v>0</v>
      </c>
      <c r="CA1616">
        <v>2016</v>
      </c>
      <c r="CB1616">
        <v>224</v>
      </c>
      <c r="CD1616">
        <v>1</v>
      </c>
      <c r="CE1616">
        <v>0</v>
      </c>
      <c r="CF1616">
        <v>0</v>
      </c>
      <c r="CG1616">
        <v>1</v>
      </c>
      <c r="CH1616">
        <v>0</v>
      </c>
      <c r="CI1616">
        <v>0</v>
      </c>
      <c r="CJ1616">
        <v>0</v>
      </c>
      <c r="CK1616">
        <v>2</v>
      </c>
      <c r="CL1616">
        <v>0</v>
      </c>
      <c r="CM1616">
        <v>2</v>
      </c>
      <c r="CN1616">
        <v>0</v>
      </c>
      <c r="CO1616">
        <v>7</v>
      </c>
      <c r="CP1616" t="s">
        <v>119</v>
      </c>
      <c r="CQ1616">
        <v>180</v>
      </c>
      <c r="CR1616">
        <v>1</v>
      </c>
      <c r="CW1616">
        <v>10833495</v>
      </c>
      <c r="CY1616">
        <v>1</v>
      </c>
      <c r="CZ1616">
        <v>0</v>
      </c>
      <c r="DA1616">
        <v>1</v>
      </c>
      <c r="DB1616">
        <v>0</v>
      </c>
      <c r="DC1616">
        <v>0</v>
      </c>
      <c r="DD1616">
        <v>0</v>
      </c>
      <c r="DE1616">
        <v>0</v>
      </c>
      <c r="DF1616">
        <v>0</v>
      </c>
      <c r="DG1616">
        <v>0</v>
      </c>
      <c r="DH1616">
        <v>0</v>
      </c>
      <c r="DI1616">
        <v>0</v>
      </c>
    </row>
    <row r="1617" spans="1:113" x14ac:dyDescent="0.3">
      <c r="A1617" t="str">
        <f>"02/08/2021 20:22:04.918"</f>
        <v>02/08/2021 20:22:04.918</v>
      </c>
      <c r="C1617" t="str">
        <f t="shared" si="77"/>
        <v>FFDFD7C0</v>
      </c>
      <c r="D1617" t="s">
        <v>124</v>
      </c>
      <c r="E1617">
        <v>11</v>
      </c>
      <c r="F1617">
        <v>1011</v>
      </c>
      <c r="G1617" t="s">
        <v>590</v>
      </c>
      <c r="J1617" t="s">
        <v>125</v>
      </c>
      <c r="K1617">
        <v>0</v>
      </c>
      <c r="L1617">
        <v>3</v>
      </c>
      <c r="M1617">
        <v>0</v>
      </c>
      <c r="N1617">
        <v>2</v>
      </c>
      <c r="O1617">
        <v>1</v>
      </c>
      <c r="P1617">
        <v>0</v>
      </c>
      <c r="Q1617">
        <v>0</v>
      </c>
      <c r="S1617" t="str">
        <f>"20:22:07.258"</f>
        <v>20:22:07.258</v>
      </c>
      <c r="T1617" t="str">
        <f>"20:22:06.858"</f>
        <v>20:22:06.858</v>
      </c>
      <c r="U1617" t="str">
        <f t="shared" si="76"/>
        <v>AB01F4</v>
      </c>
      <c r="V1617">
        <v>0</v>
      </c>
      <c r="W1617">
        <v>0</v>
      </c>
      <c r="X1617">
        <v>2</v>
      </c>
      <c r="Z1617">
        <v>0</v>
      </c>
      <c r="AA1617">
        <v>9</v>
      </c>
      <c r="AB1617">
        <v>3</v>
      </c>
      <c r="AC1617">
        <v>0</v>
      </c>
      <c r="AD1617">
        <v>10</v>
      </c>
      <c r="AE1617">
        <v>0</v>
      </c>
      <c r="AF1617">
        <v>3</v>
      </c>
      <c r="AG1617">
        <v>2</v>
      </c>
      <c r="AH1617">
        <v>0</v>
      </c>
      <c r="AI1617" t="s">
        <v>1057</v>
      </c>
      <c r="AJ1617">
        <v>39.857968999999997</v>
      </c>
      <c r="AK1617" t="s">
        <v>1058</v>
      </c>
      <c r="AL1617">
        <v>-92.538141999999993</v>
      </c>
      <c r="AM1617">
        <v>100</v>
      </c>
      <c r="AN1617">
        <v>1700</v>
      </c>
      <c r="AO1617" t="s">
        <v>118</v>
      </c>
      <c r="AP1617">
        <v>-41</v>
      </c>
      <c r="AQ1617">
        <v>116</v>
      </c>
      <c r="AR1617">
        <v>0</v>
      </c>
      <c r="AZ1617">
        <v>1200</v>
      </c>
      <c r="BA1617">
        <v>1</v>
      </c>
      <c r="BB1617" t="str">
        <f t="shared" si="78"/>
        <v xml:space="preserve">N8080G  </v>
      </c>
      <c r="BC1617">
        <v>1</v>
      </c>
      <c r="BE1617">
        <v>0</v>
      </c>
      <c r="BF1617">
        <v>0</v>
      </c>
      <c r="BG1617">
        <v>0</v>
      </c>
      <c r="BH1617">
        <v>1700</v>
      </c>
      <c r="BI1617">
        <v>1</v>
      </c>
      <c r="BJ1617">
        <v>1</v>
      </c>
      <c r="BK1617">
        <v>1</v>
      </c>
      <c r="BL1617">
        <v>0</v>
      </c>
      <c r="BO1617">
        <v>0</v>
      </c>
      <c r="BP1617">
        <v>0</v>
      </c>
      <c r="BW1617" t="str">
        <f>"20:22:07.259"</f>
        <v>20:22:07.259</v>
      </c>
      <c r="BZ1617">
        <v>0</v>
      </c>
      <c r="CA1617">
        <v>2016</v>
      </c>
      <c r="CB1617">
        <v>224</v>
      </c>
      <c r="CD1617">
        <v>1</v>
      </c>
      <c r="CE1617">
        <v>0</v>
      </c>
      <c r="CF1617">
        <v>0</v>
      </c>
      <c r="CG1617">
        <v>1</v>
      </c>
      <c r="CH1617">
        <v>0</v>
      </c>
      <c r="CI1617">
        <v>0</v>
      </c>
      <c r="CJ1617">
        <v>0</v>
      </c>
      <c r="CK1617">
        <v>2</v>
      </c>
      <c r="CL1617">
        <v>0</v>
      </c>
      <c r="CM1617">
        <v>2</v>
      </c>
      <c r="CN1617">
        <v>0</v>
      </c>
      <c r="CO1617">
        <v>7</v>
      </c>
      <c r="CP1617" t="s">
        <v>119</v>
      </c>
      <c r="CQ1617">
        <v>180</v>
      </c>
      <c r="CR1617">
        <v>1</v>
      </c>
      <c r="CW1617">
        <v>10833495</v>
      </c>
      <c r="CY1617">
        <v>1</v>
      </c>
      <c r="CZ1617">
        <v>0</v>
      </c>
      <c r="DA1617">
        <v>1</v>
      </c>
      <c r="DB1617">
        <v>0</v>
      </c>
      <c r="DC1617">
        <v>0</v>
      </c>
      <c r="DD1617">
        <v>0</v>
      </c>
      <c r="DE1617">
        <v>0</v>
      </c>
      <c r="DF1617">
        <v>0</v>
      </c>
      <c r="DG1617">
        <v>0</v>
      </c>
      <c r="DH1617">
        <v>0</v>
      </c>
      <c r="DI1617">
        <v>0</v>
      </c>
    </row>
    <row r="1618" spans="1:113" x14ac:dyDescent="0.3">
      <c r="A1618" t="str">
        <f>"02/08/2021 20:22:04.918"</f>
        <v>02/08/2021 20:22:04.918</v>
      </c>
      <c r="C1618" t="str">
        <f t="shared" si="77"/>
        <v>FFDFD7C0</v>
      </c>
      <c r="D1618" t="s">
        <v>124</v>
      </c>
      <c r="E1618">
        <v>12</v>
      </c>
      <c r="F1618">
        <v>1012</v>
      </c>
      <c r="G1618" t="s">
        <v>675</v>
      </c>
      <c r="J1618" t="s">
        <v>125</v>
      </c>
      <c r="K1618">
        <v>0</v>
      </c>
      <c r="L1618">
        <v>3</v>
      </c>
      <c r="M1618">
        <v>0</v>
      </c>
      <c r="N1618">
        <v>2</v>
      </c>
      <c r="O1618">
        <v>1</v>
      </c>
      <c r="P1618">
        <v>0</v>
      </c>
      <c r="Q1618">
        <v>0</v>
      </c>
      <c r="S1618" t="str">
        <f>"20:22:07.258"</f>
        <v>20:22:07.258</v>
      </c>
      <c r="T1618" t="str">
        <f>"20:22:06.858"</f>
        <v>20:22:06.858</v>
      </c>
      <c r="U1618" t="str">
        <f t="shared" si="76"/>
        <v>AB01F4</v>
      </c>
      <c r="V1618">
        <v>0</v>
      </c>
      <c r="W1618">
        <v>0</v>
      </c>
      <c r="X1618">
        <v>2</v>
      </c>
      <c r="Z1618">
        <v>0</v>
      </c>
      <c r="AA1618">
        <v>9</v>
      </c>
      <c r="AB1618">
        <v>3</v>
      </c>
      <c r="AC1618">
        <v>0</v>
      </c>
      <c r="AD1618">
        <v>10</v>
      </c>
      <c r="AE1618">
        <v>0</v>
      </c>
      <c r="AF1618">
        <v>3</v>
      </c>
      <c r="AG1618">
        <v>2</v>
      </c>
      <c r="AH1618">
        <v>0</v>
      </c>
      <c r="AI1618" t="s">
        <v>1057</v>
      </c>
      <c r="AJ1618">
        <v>39.857968999999997</v>
      </c>
      <c r="AK1618" t="s">
        <v>1058</v>
      </c>
      <c r="AL1618">
        <v>-92.538141999999993</v>
      </c>
      <c r="AM1618">
        <v>100</v>
      </c>
      <c r="AN1618">
        <v>1700</v>
      </c>
      <c r="AO1618" t="s">
        <v>118</v>
      </c>
      <c r="AP1618">
        <v>-41</v>
      </c>
      <c r="AQ1618">
        <v>116</v>
      </c>
      <c r="AR1618">
        <v>0</v>
      </c>
      <c r="AZ1618">
        <v>1200</v>
      </c>
      <c r="BA1618">
        <v>1</v>
      </c>
      <c r="BB1618" t="str">
        <f t="shared" si="78"/>
        <v xml:space="preserve">N8080G  </v>
      </c>
      <c r="BC1618">
        <v>1</v>
      </c>
      <c r="BE1618">
        <v>0</v>
      </c>
      <c r="BF1618">
        <v>0</v>
      </c>
      <c r="BG1618">
        <v>0</v>
      </c>
      <c r="BH1618">
        <v>1700</v>
      </c>
      <c r="BI1618">
        <v>1</v>
      </c>
      <c r="BJ1618">
        <v>1</v>
      </c>
      <c r="BK1618">
        <v>1</v>
      </c>
      <c r="BL1618">
        <v>0</v>
      </c>
      <c r="BO1618">
        <v>0</v>
      </c>
      <c r="BP1618">
        <v>0</v>
      </c>
      <c r="BW1618" t="str">
        <f>"20:22:07.259"</f>
        <v>20:22:07.259</v>
      </c>
      <c r="BZ1618">
        <v>0</v>
      </c>
      <c r="CA1618">
        <v>2016</v>
      </c>
      <c r="CB1618">
        <v>224</v>
      </c>
      <c r="CD1618">
        <v>1</v>
      </c>
      <c r="CE1618">
        <v>0</v>
      </c>
      <c r="CF1618">
        <v>0</v>
      </c>
      <c r="CG1618">
        <v>1</v>
      </c>
      <c r="CH1618">
        <v>0</v>
      </c>
      <c r="CI1618">
        <v>0</v>
      </c>
      <c r="CJ1618">
        <v>0</v>
      </c>
      <c r="CK1618">
        <v>2</v>
      </c>
      <c r="CL1618">
        <v>0</v>
      </c>
      <c r="CM1618">
        <v>2</v>
      </c>
      <c r="CN1618">
        <v>0</v>
      </c>
      <c r="CO1618">
        <v>7</v>
      </c>
      <c r="CP1618" t="s">
        <v>119</v>
      </c>
      <c r="CQ1618">
        <v>180</v>
      </c>
      <c r="CR1618">
        <v>1</v>
      </c>
      <c r="CW1618">
        <v>10833495</v>
      </c>
      <c r="CY1618">
        <v>1</v>
      </c>
      <c r="CZ1618">
        <v>0</v>
      </c>
      <c r="DA1618">
        <v>1</v>
      </c>
      <c r="DB1618">
        <v>0</v>
      </c>
      <c r="DC1618">
        <v>0</v>
      </c>
      <c r="DD1618">
        <v>0</v>
      </c>
      <c r="DE1618">
        <v>0</v>
      </c>
      <c r="DF1618">
        <v>0</v>
      </c>
      <c r="DG1618">
        <v>0</v>
      </c>
      <c r="DH1618">
        <v>0</v>
      </c>
      <c r="DI1618">
        <v>0</v>
      </c>
    </row>
    <row r="1619" spans="1:113" x14ac:dyDescent="0.3">
      <c r="A1619" t="str">
        <f>"02/08/2021 20:22:06.333"</f>
        <v>02/08/2021 20:22:06.333</v>
      </c>
      <c r="C1619" t="str">
        <f t="shared" si="77"/>
        <v>FFDFD7C0</v>
      </c>
      <c r="D1619" t="s">
        <v>113</v>
      </c>
      <c r="E1619">
        <v>6</v>
      </c>
      <c r="H1619">
        <v>165</v>
      </c>
      <c r="I1619" t="s">
        <v>114</v>
      </c>
      <c r="J1619" t="s">
        <v>115</v>
      </c>
      <c r="K1619">
        <v>0</v>
      </c>
      <c r="L1619">
        <v>3</v>
      </c>
      <c r="M1619">
        <v>0</v>
      </c>
      <c r="N1619">
        <v>2</v>
      </c>
      <c r="O1619">
        <v>1</v>
      </c>
      <c r="P1619">
        <v>0</v>
      </c>
      <c r="Q1619">
        <v>0</v>
      </c>
      <c r="S1619" t="str">
        <f>"20:22:08.625"</f>
        <v>20:22:08.625</v>
      </c>
      <c r="T1619" t="str">
        <f>"20:22:08.225"</f>
        <v>20:22:08.225</v>
      </c>
      <c r="U1619" t="str">
        <f t="shared" si="76"/>
        <v>AB01F4</v>
      </c>
      <c r="V1619">
        <v>0</v>
      </c>
      <c r="W1619">
        <v>0</v>
      </c>
      <c r="X1619">
        <v>2</v>
      </c>
      <c r="Z1619">
        <v>0</v>
      </c>
      <c r="AA1619">
        <v>9</v>
      </c>
      <c r="AB1619">
        <v>3</v>
      </c>
      <c r="AC1619">
        <v>0</v>
      </c>
      <c r="AD1619">
        <v>10</v>
      </c>
      <c r="AE1619">
        <v>0</v>
      </c>
      <c r="AF1619">
        <v>3</v>
      </c>
      <c r="AG1619">
        <v>2</v>
      </c>
      <c r="AH1619">
        <v>0</v>
      </c>
      <c r="AI1619" t="s">
        <v>1059</v>
      </c>
      <c r="AJ1619">
        <v>39.858719999999998</v>
      </c>
      <c r="AK1619" t="s">
        <v>1060</v>
      </c>
      <c r="AL1619">
        <v>-92.538506999999996</v>
      </c>
      <c r="AM1619">
        <v>100</v>
      </c>
      <c r="AN1619">
        <v>1700</v>
      </c>
      <c r="AO1619" t="s">
        <v>118</v>
      </c>
      <c r="AP1619">
        <v>-41</v>
      </c>
      <c r="AQ1619">
        <v>116</v>
      </c>
      <c r="AR1619">
        <v>0</v>
      </c>
      <c r="AZ1619">
        <v>1200</v>
      </c>
      <c r="BA1619">
        <v>1</v>
      </c>
      <c r="BB1619" t="str">
        <f t="shared" si="78"/>
        <v xml:space="preserve">N8080G  </v>
      </c>
      <c r="BC1619">
        <v>1</v>
      </c>
      <c r="BE1619">
        <v>0</v>
      </c>
      <c r="BF1619">
        <v>0</v>
      </c>
      <c r="BG1619">
        <v>0</v>
      </c>
      <c r="BH1619">
        <v>1700</v>
      </c>
      <c r="BI1619">
        <v>1</v>
      </c>
      <c r="BJ1619">
        <v>1</v>
      </c>
      <c r="BK1619">
        <v>1</v>
      </c>
      <c r="BL1619">
        <v>0</v>
      </c>
      <c r="BO1619">
        <v>0</v>
      </c>
      <c r="BP1619">
        <v>0</v>
      </c>
      <c r="BW1619" t="str">
        <f>"20:22:08.630"</f>
        <v>20:22:08.630</v>
      </c>
      <c r="BZ1619">
        <v>0</v>
      </c>
      <c r="CA1619">
        <v>2016</v>
      </c>
      <c r="CB1619">
        <v>224</v>
      </c>
      <c r="CD1619">
        <v>1</v>
      </c>
      <c r="CE1619">
        <v>0</v>
      </c>
      <c r="CF1619">
        <v>0</v>
      </c>
      <c r="CG1619">
        <v>1</v>
      </c>
      <c r="CH1619">
        <v>0</v>
      </c>
      <c r="CI1619">
        <v>0</v>
      </c>
      <c r="CJ1619">
        <v>0</v>
      </c>
      <c r="CK1619">
        <v>2</v>
      </c>
      <c r="CL1619">
        <v>0</v>
      </c>
      <c r="CM1619">
        <v>2</v>
      </c>
      <c r="CN1619">
        <v>0</v>
      </c>
      <c r="CO1619">
        <v>7</v>
      </c>
      <c r="CP1619" t="s">
        <v>119</v>
      </c>
      <c r="CQ1619">
        <v>180</v>
      </c>
      <c r="CR1619">
        <v>1</v>
      </c>
      <c r="CW1619">
        <v>10834508</v>
      </c>
      <c r="CY1619">
        <v>1</v>
      </c>
      <c r="CZ1619">
        <v>0</v>
      </c>
      <c r="DA1619">
        <v>0</v>
      </c>
      <c r="DB1619">
        <v>0</v>
      </c>
      <c r="DC1619">
        <v>0</v>
      </c>
      <c r="DD1619">
        <v>0</v>
      </c>
      <c r="DE1619">
        <v>0</v>
      </c>
      <c r="DF1619">
        <v>0</v>
      </c>
      <c r="DG1619">
        <v>0</v>
      </c>
      <c r="DH1619">
        <v>0</v>
      </c>
      <c r="DI1619">
        <v>0</v>
      </c>
    </row>
    <row r="1620" spans="1:113" x14ac:dyDescent="0.3">
      <c r="A1620" t="str">
        <f>"02/08/2021 20:22:06.333"</f>
        <v>02/08/2021 20:22:06.333</v>
      </c>
      <c r="C1620" t="str">
        <f t="shared" si="77"/>
        <v>FFDFD7C0</v>
      </c>
      <c r="D1620" t="s">
        <v>124</v>
      </c>
      <c r="E1620">
        <v>13</v>
      </c>
      <c r="F1620">
        <v>1013</v>
      </c>
      <c r="G1620" t="s">
        <v>114</v>
      </c>
      <c r="J1620" t="s">
        <v>125</v>
      </c>
      <c r="K1620">
        <v>0</v>
      </c>
      <c r="L1620">
        <v>3</v>
      </c>
      <c r="M1620">
        <v>0</v>
      </c>
      <c r="N1620">
        <v>2</v>
      </c>
      <c r="O1620">
        <v>1</v>
      </c>
      <c r="P1620">
        <v>0</v>
      </c>
      <c r="Q1620">
        <v>0</v>
      </c>
      <c r="S1620" t="str">
        <f>"20:22:08.625"</f>
        <v>20:22:08.625</v>
      </c>
      <c r="T1620" t="str">
        <f>"20:22:08.225"</f>
        <v>20:22:08.225</v>
      </c>
      <c r="U1620" t="str">
        <f t="shared" si="76"/>
        <v>AB01F4</v>
      </c>
      <c r="V1620">
        <v>0</v>
      </c>
      <c r="W1620">
        <v>0</v>
      </c>
      <c r="X1620">
        <v>2</v>
      </c>
      <c r="Z1620">
        <v>0</v>
      </c>
      <c r="AA1620">
        <v>9</v>
      </c>
      <c r="AB1620">
        <v>3</v>
      </c>
      <c r="AC1620">
        <v>0</v>
      </c>
      <c r="AD1620">
        <v>10</v>
      </c>
      <c r="AE1620">
        <v>0</v>
      </c>
      <c r="AF1620">
        <v>3</v>
      </c>
      <c r="AG1620">
        <v>2</v>
      </c>
      <c r="AH1620">
        <v>0</v>
      </c>
      <c r="AI1620" t="s">
        <v>1059</v>
      </c>
      <c r="AJ1620">
        <v>39.858719999999998</v>
      </c>
      <c r="AK1620" t="s">
        <v>1060</v>
      </c>
      <c r="AL1620">
        <v>-92.538506999999996</v>
      </c>
      <c r="AM1620">
        <v>100</v>
      </c>
      <c r="AN1620">
        <v>1700</v>
      </c>
      <c r="AO1620" t="s">
        <v>118</v>
      </c>
      <c r="AP1620">
        <v>-41</v>
      </c>
      <c r="AQ1620">
        <v>116</v>
      </c>
      <c r="AR1620">
        <v>0</v>
      </c>
      <c r="AZ1620">
        <v>1200</v>
      </c>
      <c r="BA1620">
        <v>1</v>
      </c>
      <c r="BB1620" t="str">
        <f t="shared" si="78"/>
        <v xml:space="preserve">N8080G  </v>
      </c>
      <c r="BC1620">
        <v>1</v>
      </c>
      <c r="BE1620">
        <v>0</v>
      </c>
      <c r="BF1620">
        <v>0</v>
      </c>
      <c r="BG1620">
        <v>0</v>
      </c>
      <c r="BH1620">
        <v>1700</v>
      </c>
      <c r="BI1620">
        <v>1</v>
      </c>
      <c r="BJ1620">
        <v>1</v>
      </c>
      <c r="BK1620">
        <v>1</v>
      </c>
      <c r="BL1620">
        <v>0</v>
      </c>
      <c r="BO1620">
        <v>0</v>
      </c>
      <c r="BP1620">
        <v>0</v>
      </c>
      <c r="BW1620" t="str">
        <f>"20:22:08.630"</f>
        <v>20:22:08.630</v>
      </c>
      <c r="BZ1620">
        <v>0</v>
      </c>
      <c r="CA1620">
        <v>2016</v>
      </c>
      <c r="CB1620">
        <v>224</v>
      </c>
      <c r="CD1620">
        <v>1</v>
      </c>
      <c r="CE1620">
        <v>0</v>
      </c>
      <c r="CF1620">
        <v>0</v>
      </c>
      <c r="CG1620">
        <v>1</v>
      </c>
      <c r="CH1620">
        <v>0</v>
      </c>
      <c r="CI1620">
        <v>0</v>
      </c>
      <c r="CJ1620">
        <v>0</v>
      </c>
      <c r="CK1620">
        <v>2</v>
      </c>
      <c r="CL1620">
        <v>0</v>
      </c>
      <c r="CM1620">
        <v>2</v>
      </c>
      <c r="CN1620">
        <v>0</v>
      </c>
      <c r="CO1620">
        <v>7</v>
      </c>
      <c r="CP1620" t="s">
        <v>119</v>
      </c>
      <c r="CQ1620">
        <v>180</v>
      </c>
      <c r="CR1620">
        <v>1</v>
      </c>
      <c r="CW1620">
        <v>10834508</v>
      </c>
      <c r="CY1620">
        <v>1</v>
      </c>
      <c r="CZ1620">
        <v>0</v>
      </c>
      <c r="DA1620">
        <v>1</v>
      </c>
      <c r="DB1620">
        <v>0</v>
      </c>
      <c r="DC1620">
        <v>0</v>
      </c>
      <c r="DD1620">
        <v>0</v>
      </c>
      <c r="DE1620">
        <v>0</v>
      </c>
      <c r="DF1620">
        <v>0</v>
      </c>
      <c r="DG1620">
        <v>0</v>
      </c>
      <c r="DH1620">
        <v>0</v>
      </c>
      <c r="DI1620">
        <v>0</v>
      </c>
    </row>
    <row r="1621" spans="1:113" x14ac:dyDescent="0.3">
      <c r="A1621" t="str">
        <f>"02/08/2021 20:22:06.333"</f>
        <v>02/08/2021 20:22:06.333</v>
      </c>
      <c r="C1621" t="str">
        <f t="shared" si="77"/>
        <v>FFDFD7C0</v>
      </c>
      <c r="D1621" t="s">
        <v>124</v>
      </c>
      <c r="E1621">
        <v>11</v>
      </c>
      <c r="F1621">
        <v>1011</v>
      </c>
      <c r="G1621" t="s">
        <v>590</v>
      </c>
      <c r="J1621" t="s">
        <v>125</v>
      </c>
      <c r="K1621">
        <v>0</v>
      </c>
      <c r="L1621">
        <v>3</v>
      </c>
      <c r="M1621">
        <v>0</v>
      </c>
      <c r="N1621">
        <v>2</v>
      </c>
      <c r="O1621">
        <v>1</v>
      </c>
      <c r="P1621">
        <v>0</v>
      </c>
      <c r="Q1621">
        <v>0</v>
      </c>
      <c r="S1621" t="str">
        <f>"20:22:08.625"</f>
        <v>20:22:08.625</v>
      </c>
      <c r="T1621" t="str">
        <f>"20:22:08.225"</f>
        <v>20:22:08.225</v>
      </c>
      <c r="U1621" t="str">
        <f t="shared" si="76"/>
        <v>AB01F4</v>
      </c>
      <c r="V1621">
        <v>0</v>
      </c>
      <c r="W1621">
        <v>0</v>
      </c>
      <c r="X1621">
        <v>2</v>
      </c>
      <c r="Z1621">
        <v>0</v>
      </c>
      <c r="AA1621">
        <v>9</v>
      </c>
      <c r="AB1621">
        <v>3</v>
      </c>
      <c r="AC1621">
        <v>0</v>
      </c>
      <c r="AD1621">
        <v>10</v>
      </c>
      <c r="AE1621">
        <v>0</v>
      </c>
      <c r="AF1621">
        <v>3</v>
      </c>
      <c r="AG1621">
        <v>2</v>
      </c>
      <c r="AH1621">
        <v>0</v>
      </c>
      <c r="AI1621" t="s">
        <v>1059</v>
      </c>
      <c r="AJ1621">
        <v>39.858719999999998</v>
      </c>
      <c r="AK1621" t="s">
        <v>1060</v>
      </c>
      <c r="AL1621">
        <v>-92.538506999999996</v>
      </c>
      <c r="AM1621">
        <v>100</v>
      </c>
      <c r="AN1621">
        <v>1700</v>
      </c>
      <c r="AO1621" t="s">
        <v>118</v>
      </c>
      <c r="AP1621">
        <v>-41</v>
      </c>
      <c r="AQ1621">
        <v>116</v>
      </c>
      <c r="AR1621">
        <v>0</v>
      </c>
      <c r="AZ1621">
        <v>1200</v>
      </c>
      <c r="BA1621">
        <v>1</v>
      </c>
      <c r="BB1621" t="str">
        <f t="shared" si="78"/>
        <v xml:space="preserve">N8080G  </v>
      </c>
      <c r="BC1621">
        <v>1</v>
      </c>
      <c r="BE1621">
        <v>0</v>
      </c>
      <c r="BF1621">
        <v>0</v>
      </c>
      <c r="BG1621">
        <v>0</v>
      </c>
      <c r="BH1621">
        <v>1700</v>
      </c>
      <c r="BI1621">
        <v>1</v>
      </c>
      <c r="BJ1621">
        <v>1</v>
      </c>
      <c r="BK1621">
        <v>1</v>
      </c>
      <c r="BL1621">
        <v>0</v>
      </c>
      <c r="BO1621">
        <v>0</v>
      </c>
      <c r="BP1621">
        <v>0</v>
      </c>
      <c r="BW1621" t="str">
        <f>"20:22:08.630"</f>
        <v>20:22:08.630</v>
      </c>
      <c r="BZ1621">
        <v>0</v>
      </c>
      <c r="CA1621">
        <v>2016</v>
      </c>
      <c r="CB1621">
        <v>224</v>
      </c>
      <c r="CD1621">
        <v>1</v>
      </c>
      <c r="CE1621">
        <v>0</v>
      </c>
      <c r="CF1621">
        <v>0</v>
      </c>
      <c r="CG1621">
        <v>1</v>
      </c>
      <c r="CH1621">
        <v>0</v>
      </c>
      <c r="CI1621">
        <v>0</v>
      </c>
      <c r="CJ1621">
        <v>0</v>
      </c>
      <c r="CK1621">
        <v>2</v>
      </c>
      <c r="CL1621">
        <v>0</v>
      </c>
      <c r="CM1621">
        <v>2</v>
      </c>
      <c r="CN1621">
        <v>0</v>
      </c>
      <c r="CO1621">
        <v>7</v>
      </c>
      <c r="CP1621" t="s">
        <v>119</v>
      </c>
      <c r="CQ1621">
        <v>180</v>
      </c>
      <c r="CR1621">
        <v>1</v>
      </c>
      <c r="CW1621">
        <v>10834508</v>
      </c>
      <c r="CY1621">
        <v>1</v>
      </c>
      <c r="CZ1621">
        <v>0</v>
      </c>
      <c r="DA1621">
        <v>1</v>
      </c>
      <c r="DB1621">
        <v>0</v>
      </c>
      <c r="DC1621">
        <v>0</v>
      </c>
      <c r="DD1621">
        <v>0</v>
      </c>
      <c r="DE1621">
        <v>0</v>
      </c>
      <c r="DF1621">
        <v>0</v>
      </c>
      <c r="DG1621">
        <v>0</v>
      </c>
      <c r="DH1621">
        <v>0</v>
      </c>
      <c r="DI1621">
        <v>0</v>
      </c>
    </row>
    <row r="1622" spans="1:113" x14ac:dyDescent="0.3">
      <c r="A1622" t="str">
        <f>"02/08/2021 20:22:06.333"</f>
        <v>02/08/2021 20:22:06.333</v>
      </c>
      <c r="C1622" t="str">
        <f t="shared" si="77"/>
        <v>FFDFD7C0</v>
      </c>
      <c r="D1622" t="s">
        <v>124</v>
      </c>
      <c r="E1622">
        <v>12</v>
      </c>
      <c r="F1622">
        <v>1012</v>
      </c>
      <c r="G1622" t="s">
        <v>675</v>
      </c>
      <c r="J1622" t="s">
        <v>125</v>
      </c>
      <c r="K1622">
        <v>0</v>
      </c>
      <c r="L1622">
        <v>3</v>
      </c>
      <c r="M1622">
        <v>0</v>
      </c>
      <c r="N1622">
        <v>2</v>
      </c>
      <c r="O1622">
        <v>1</v>
      </c>
      <c r="P1622">
        <v>0</v>
      </c>
      <c r="Q1622">
        <v>0</v>
      </c>
      <c r="S1622" t="str">
        <f>"20:22:08.625"</f>
        <v>20:22:08.625</v>
      </c>
      <c r="T1622" t="str">
        <f>"20:22:08.225"</f>
        <v>20:22:08.225</v>
      </c>
      <c r="U1622" t="str">
        <f t="shared" si="76"/>
        <v>AB01F4</v>
      </c>
      <c r="V1622">
        <v>0</v>
      </c>
      <c r="W1622">
        <v>0</v>
      </c>
      <c r="X1622">
        <v>2</v>
      </c>
      <c r="Z1622">
        <v>0</v>
      </c>
      <c r="AA1622">
        <v>9</v>
      </c>
      <c r="AB1622">
        <v>3</v>
      </c>
      <c r="AC1622">
        <v>0</v>
      </c>
      <c r="AD1622">
        <v>10</v>
      </c>
      <c r="AE1622">
        <v>0</v>
      </c>
      <c r="AF1622">
        <v>3</v>
      </c>
      <c r="AG1622">
        <v>2</v>
      </c>
      <c r="AH1622">
        <v>0</v>
      </c>
      <c r="AI1622" t="s">
        <v>1059</v>
      </c>
      <c r="AJ1622">
        <v>39.858719999999998</v>
      </c>
      <c r="AK1622" t="s">
        <v>1060</v>
      </c>
      <c r="AL1622">
        <v>-92.538506999999996</v>
      </c>
      <c r="AM1622">
        <v>100</v>
      </c>
      <c r="AN1622">
        <v>1700</v>
      </c>
      <c r="AO1622" t="s">
        <v>118</v>
      </c>
      <c r="AP1622">
        <v>-41</v>
      </c>
      <c r="AQ1622">
        <v>116</v>
      </c>
      <c r="AR1622">
        <v>0</v>
      </c>
      <c r="AZ1622">
        <v>1200</v>
      </c>
      <c r="BA1622">
        <v>1</v>
      </c>
      <c r="BB1622" t="str">
        <f t="shared" si="78"/>
        <v xml:space="preserve">N8080G  </v>
      </c>
      <c r="BC1622">
        <v>1</v>
      </c>
      <c r="BE1622">
        <v>0</v>
      </c>
      <c r="BF1622">
        <v>0</v>
      </c>
      <c r="BG1622">
        <v>0</v>
      </c>
      <c r="BH1622">
        <v>1700</v>
      </c>
      <c r="BI1622">
        <v>1</v>
      </c>
      <c r="BJ1622">
        <v>1</v>
      </c>
      <c r="BK1622">
        <v>1</v>
      </c>
      <c r="BL1622">
        <v>0</v>
      </c>
      <c r="BO1622">
        <v>0</v>
      </c>
      <c r="BP1622">
        <v>0</v>
      </c>
      <c r="BW1622" t="str">
        <f>"20:22:08.630"</f>
        <v>20:22:08.630</v>
      </c>
      <c r="BZ1622">
        <v>0</v>
      </c>
      <c r="CA1622">
        <v>2016</v>
      </c>
      <c r="CB1622">
        <v>224</v>
      </c>
      <c r="CD1622">
        <v>1</v>
      </c>
      <c r="CE1622">
        <v>0</v>
      </c>
      <c r="CF1622">
        <v>0</v>
      </c>
      <c r="CG1622">
        <v>1</v>
      </c>
      <c r="CH1622">
        <v>0</v>
      </c>
      <c r="CI1622">
        <v>0</v>
      </c>
      <c r="CJ1622">
        <v>0</v>
      </c>
      <c r="CK1622">
        <v>2</v>
      </c>
      <c r="CL1622">
        <v>0</v>
      </c>
      <c r="CM1622">
        <v>2</v>
      </c>
      <c r="CN1622">
        <v>0</v>
      </c>
      <c r="CO1622">
        <v>7</v>
      </c>
      <c r="CP1622" t="s">
        <v>119</v>
      </c>
      <c r="CQ1622">
        <v>180</v>
      </c>
      <c r="CR1622">
        <v>1</v>
      </c>
      <c r="CW1622">
        <v>10834508</v>
      </c>
      <c r="CY1622">
        <v>1</v>
      </c>
      <c r="CZ1622">
        <v>0</v>
      </c>
      <c r="DA1622">
        <v>1</v>
      </c>
      <c r="DB1622">
        <v>0</v>
      </c>
      <c r="DC1622">
        <v>0</v>
      </c>
      <c r="DD1622">
        <v>0</v>
      </c>
      <c r="DE1622">
        <v>0</v>
      </c>
      <c r="DF1622">
        <v>0</v>
      </c>
      <c r="DG1622">
        <v>0</v>
      </c>
      <c r="DH1622">
        <v>0</v>
      </c>
      <c r="DI1622">
        <v>0</v>
      </c>
    </row>
    <row r="1623" spans="1:113" x14ac:dyDescent="0.3">
      <c r="A1623" t="str">
        <f>"02/08/2021 20:22:09.352"</f>
        <v>02/08/2021 20:22:09.352</v>
      </c>
      <c r="C1623" t="str">
        <f t="shared" si="77"/>
        <v>FFDFD7C0</v>
      </c>
      <c r="D1623" t="s">
        <v>124</v>
      </c>
      <c r="E1623">
        <v>13</v>
      </c>
      <c r="F1623">
        <v>1013</v>
      </c>
      <c r="G1623" t="s">
        <v>114</v>
      </c>
      <c r="J1623" t="s">
        <v>125</v>
      </c>
      <c r="K1623">
        <v>0</v>
      </c>
      <c r="L1623">
        <v>3</v>
      </c>
      <c r="M1623">
        <v>0</v>
      </c>
      <c r="N1623">
        <v>2</v>
      </c>
      <c r="O1623">
        <v>1</v>
      </c>
      <c r="P1623">
        <v>0</v>
      </c>
      <c r="Q1623">
        <v>0</v>
      </c>
      <c r="S1623" t="str">
        <f>"20:22:11.688"</f>
        <v>20:22:11.688</v>
      </c>
      <c r="T1623" t="str">
        <f>"20:22:11.288"</f>
        <v>20:22:11.288</v>
      </c>
      <c r="U1623" t="str">
        <f t="shared" si="76"/>
        <v>AB01F4</v>
      </c>
      <c r="V1623">
        <v>0</v>
      </c>
      <c r="W1623">
        <v>0</v>
      </c>
      <c r="X1623">
        <v>2</v>
      </c>
      <c r="Z1623">
        <v>0</v>
      </c>
      <c r="AA1623">
        <v>9</v>
      </c>
      <c r="AB1623">
        <v>3</v>
      </c>
      <c r="AC1623">
        <v>0</v>
      </c>
      <c r="AD1623">
        <v>10</v>
      </c>
      <c r="AE1623">
        <v>0</v>
      </c>
      <c r="AF1623">
        <v>3</v>
      </c>
      <c r="AG1623">
        <v>2</v>
      </c>
      <c r="AH1623">
        <v>0</v>
      </c>
      <c r="AI1623" t="s">
        <v>1061</v>
      </c>
      <c r="AJ1623">
        <v>39.860308000000003</v>
      </c>
      <c r="AK1623" t="s">
        <v>1062</v>
      </c>
      <c r="AL1623">
        <v>-92.539237</v>
      </c>
      <c r="AM1623">
        <v>100</v>
      </c>
      <c r="AN1623">
        <v>1700</v>
      </c>
      <c r="AO1623" t="s">
        <v>118</v>
      </c>
      <c r="AP1623">
        <v>-41</v>
      </c>
      <c r="AQ1623">
        <v>116</v>
      </c>
      <c r="AR1623">
        <v>-64</v>
      </c>
      <c r="AZ1623">
        <v>1200</v>
      </c>
      <c r="BA1623">
        <v>1</v>
      </c>
      <c r="BB1623" t="str">
        <f t="shared" si="78"/>
        <v xml:space="preserve">N8080G  </v>
      </c>
      <c r="BC1623">
        <v>1</v>
      </c>
      <c r="BE1623">
        <v>0</v>
      </c>
      <c r="BF1623">
        <v>0</v>
      </c>
      <c r="BG1623">
        <v>0</v>
      </c>
      <c r="BH1623">
        <v>1700</v>
      </c>
      <c r="BI1623">
        <v>1</v>
      </c>
      <c r="BJ1623">
        <v>1</v>
      </c>
      <c r="BK1623">
        <v>1</v>
      </c>
      <c r="BL1623">
        <v>0</v>
      </c>
      <c r="BO1623">
        <v>0</v>
      </c>
      <c r="BP1623">
        <v>0</v>
      </c>
      <c r="BW1623" t="str">
        <f>"20:22:11.692"</f>
        <v>20:22:11.692</v>
      </c>
      <c r="BZ1623">
        <v>0</v>
      </c>
      <c r="CA1623">
        <v>2016</v>
      </c>
      <c r="CB1623">
        <v>224</v>
      </c>
      <c r="CD1623">
        <v>1</v>
      </c>
      <c r="CE1623">
        <v>0</v>
      </c>
      <c r="CF1623">
        <v>0</v>
      </c>
      <c r="CG1623">
        <v>1</v>
      </c>
      <c r="CH1623">
        <v>0</v>
      </c>
      <c r="CI1623">
        <v>0</v>
      </c>
      <c r="CJ1623">
        <v>0</v>
      </c>
      <c r="CK1623">
        <v>2</v>
      </c>
      <c r="CL1623">
        <v>0</v>
      </c>
      <c r="CM1623">
        <v>2</v>
      </c>
      <c r="CN1623">
        <v>0</v>
      </c>
      <c r="CO1623">
        <v>7</v>
      </c>
      <c r="CP1623" t="s">
        <v>119</v>
      </c>
      <c r="CQ1623">
        <v>180</v>
      </c>
      <c r="CR1623">
        <v>1</v>
      </c>
      <c r="CW1623">
        <v>10837103</v>
      </c>
      <c r="CY1623">
        <v>1</v>
      </c>
      <c r="CZ1623">
        <v>0</v>
      </c>
      <c r="DA1623">
        <v>0</v>
      </c>
      <c r="DB1623">
        <v>0</v>
      </c>
      <c r="DC1623">
        <v>0</v>
      </c>
      <c r="DD1623">
        <v>0</v>
      </c>
      <c r="DE1623">
        <v>0</v>
      </c>
      <c r="DF1623">
        <v>0</v>
      </c>
      <c r="DG1623">
        <v>0</v>
      </c>
      <c r="DH1623">
        <v>0</v>
      </c>
      <c r="DI1623">
        <v>0</v>
      </c>
    </row>
    <row r="1624" spans="1:113" x14ac:dyDescent="0.3">
      <c r="A1624" t="str">
        <f>"02/08/2021 20:22:09.352"</f>
        <v>02/08/2021 20:22:09.352</v>
      </c>
      <c r="C1624" t="str">
        <f t="shared" si="77"/>
        <v>FFDFD7C0</v>
      </c>
      <c r="D1624" t="s">
        <v>124</v>
      </c>
      <c r="E1624">
        <v>11</v>
      </c>
      <c r="F1624">
        <v>1011</v>
      </c>
      <c r="G1624" t="s">
        <v>590</v>
      </c>
      <c r="J1624" t="s">
        <v>125</v>
      </c>
      <c r="K1624">
        <v>0</v>
      </c>
      <c r="L1624">
        <v>3</v>
      </c>
      <c r="M1624">
        <v>0</v>
      </c>
      <c r="N1624">
        <v>2</v>
      </c>
      <c r="O1624">
        <v>1</v>
      </c>
      <c r="P1624">
        <v>0</v>
      </c>
      <c r="Q1624">
        <v>0</v>
      </c>
      <c r="S1624" t="str">
        <f>"20:22:11.688"</f>
        <v>20:22:11.688</v>
      </c>
      <c r="T1624" t="str">
        <f>"20:22:11.288"</f>
        <v>20:22:11.288</v>
      </c>
      <c r="U1624" t="str">
        <f t="shared" si="76"/>
        <v>AB01F4</v>
      </c>
      <c r="V1624">
        <v>0</v>
      </c>
      <c r="W1624">
        <v>0</v>
      </c>
      <c r="X1624">
        <v>2</v>
      </c>
      <c r="Z1624">
        <v>0</v>
      </c>
      <c r="AA1624">
        <v>9</v>
      </c>
      <c r="AB1624">
        <v>3</v>
      </c>
      <c r="AC1624">
        <v>0</v>
      </c>
      <c r="AD1624">
        <v>10</v>
      </c>
      <c r="AE1624">
        <v>0</v>
      </c>
      <c r="AF1624">
        <v>3</v>
      </c>
      <c r="AG1624">
        <v>2</v>
      </c>
      <c r="AH1624">
        <v>0</v>
      </c>
      <c r="AI1624" t="s">
        <v>1061</v>
      </c>
      <c r="AJ1624">
        <v>39.860308000000003</v>
      </c>
      <c r="AK1624" t="s">
        <v>1062</v>
      </c>
      <c r="AL1624">
        <v>-92.539237</v>
      </c>
      <c r="AM1624">
        <v>100</v>
      </c>
      <c r="AN1624">
        <v>1700</v>
      </c>
      <c r="AO1624" t="s">
        <v>118</v>
      </c>
      <c r="AP1624">
        <v>-41</v>
      </c>
      <c r="AQ1624">
        <v>116</v>
      </c>
      <c r="AR1624">
        <v>-64</v>
      </c>
      <c r="AZ1624">
        <v>1200</v>
      </c>
      <c r="BA1624">
        <v>1</v>
      </c>
      <c r="BB1624" t="str">
        <f t="shared" si="78"/>
        <v xml:space="preserve">N8080G  </v>
      </c>
      <c r="BC1624">
        <v>1</v>
      </c>
      <c r="BE1624">
        <v>0</v>
      </c>
      <c r="BF1624">
        <v>0</v>
      </c>
      <c r="BG1624">
        <v>0</v>
      </c>
      <c r="BH1624">
        <v>1700</v>
      </c>
      <c r="BI1624">
        <v>1</v>
      </c>
      <c r="BJ1624">
        <v>1</v>
      </c>
      <c r="BK1624">
        <v>1</v>
      </c>
      <c r="BL1624">
        <v>0</v>
      </c>
      <c r="BO1624">
        <v>0</v>
      </c>
      <c r="BP1624">
        <v>0</v>
      </c>
      <c r="BW1624" t="str">
        <f>"20:22:11.692"</f>
        <v>20:22:11.692</v>
      </c>
      <c r="BZ1624">
        <v>0</v>
      </c>
      <c r="CA1624">
        <v>2016</v>
      </c>
      <c r="CB1624">
        <v>224</v>
      </c>
      <c r="CD1624">
        <v>1</v>
      </c>
      <c r="CE1624">
        <v>0</v>
      </c>
      <c r="CF1624">
        <v>0</v>
      </c>
      <c r="CG1624">
        <v>1</v>
      </c>
      <c r="CH1624">
        <v>0</v>
      </c>
      <c r="CI1624">
        <v>0</v>
      </c>
      <c r="CJ1624">
        <v>0</v>
      </c>
      <c r="CK1624">
        <v>2</v>
      </c>
      <c r="CL1624">
        <v>0</v>
      </c>
      <c r="CM1624">
        <v>2</v>
      </c>
      <c r="CN1624">
        <v>0</v>
      </c>
      <c r="CO1624">
        <v>7</v>
      </c>
      <c r="CP1624" t="s">
        <v>119</v>
      </c>
      <c r="CQ1624">
        <v>180</v>
      </c>
      <c r="CR1624">
        <v>1</v>
      </c>
      <c r="CW1624">
        <v>10837103</v>
      </c>
      <c r="CY1624">
        <v>1</v>
      </c>
      <c r="CZ1624">
        <v>0</v>
      </c>
      <c r="DA1624">
        <v>1</v>
      </c>
      <c r="DB1624">
        <v>0</v>
      </c>
      <c r="DC1624">
        <v>0</v>
      </c>
      <c r="DD1624">
        <v>0</v>
      </c>
      <c r="DE1624">
        <v>0</v>
      </c>
      <c r="DF1624">
        <v>0</v>
      </c>
      <c r="DG1624">
        <v>0</v>
      </c>
      <c r="DH1624">
        <v>0</v>
      </c>
      <c r="DI1624">
        <v>0</v>
      </c>
    </row>
    <row r="1625" spans="1:113" x14ac:dyDescent="0.3">
      <c r="A1625" t="str">
        <f>"02/08/2021 20:22:09.352"</f>
        <v>02/08/2021 20:22:09.352</v>
      </c>
      <c r="C1625" t="str">
        <f t="shared" si="77"/>
        <v>FFDFD7C0</v>
      </c>
      <c r="D1625" t="s">
        <v>113</v>
      </c>
      <c r="E1625">
        <v>6</v>
      </c>
      <c r="H1625">
        <v>165</v>
      </c>
      <c r="I1625" t="s">
        <v>114</v>
      </c>
      <c r="J1625" t="s">
        <v>115</v>
      </c>
      <c r="K1625">
        <v>0</v>
      </c>
      <c r="L1625">
        <v>3</v>
      </c>
      <c r="M1625">
        <v>0</v>
      </c>
      <c r="N1625">
        <v>2</v>
      </c>
      <c r="O1625">
        <v>1</v>
      </c>
      <c r="P1625">
        <v>0</v>
      </c>
      <c r="Q1625">
        <v>0</v>
      </c>
      <c r="S1625" t="str">
        <f>"20:22:11.688"</f>
        <v>20:22:11.688</v>
      </c>
      <c r="T1625" t="str">
        <f>"20:22:11.288"</f>
        <v>20:22:11.288</v>
      </c>
      <c r="U1625" t="str">
        <f t="shared" si="76"/>
        <v>AB01F4</v>
      </c>
      <c r="V1625">
        <v>0</v>
      </c>
      <c r="W1625">
        <v>0</v>
      </c>
      <c r="X1625">
        <v>2</v>
      </c>
      <c r="Z1625">
        <v>0</v>
      </c>
      <c r="AA1625">
        <v>9</v>
      </c>
      <c r="AB1625">
        <v>3</v>
      </c>
      <c r="AC1625">
        <v>0</v>
      </c>
      <c r="AD1625">
        <v>10</v>
      </c>
      <c r="AE1625">
        <v>0</v>
      </c>
      <c r="AF1625">
        <v>3</v>
      </c>
      <c r="AG1625">
        <v>2</v>
      </c>
      <c r="AH1625">
        <v>0</v>
      </c>
      <c r="AI1625" t="s">
        <v>1061</v>
      </c>
      <c r="AJ1625">
        <v>39.860308000000003</v>
      </c>
      <c r="AK1625" t="s">
        <v>1062</v>
      </c>
      <c r="AL1625">
        <v>-92.539237</v>
      </c>
      <c r="AM1625">
        <v>100</v>
      </c>
      <c r="AN1625">
        <v>1700</v>
      </c>
      <c r="AO1625" t="s">
        <v>118</v>
      </c>
      <c r="AP1625">
        <v>-41</v>
      </c>
      <c r="AQ1625">
        <v>116</v>
      </c>
      <c r="AR1625">
        <v>-64</v>
      </c>
      <c r="AZ1625">
        <v>1200</v>
      </c>
      <c r="BA1625">
        <v>1</v>
      </c>
      <c r="BB1625" t="str">
        <f t="shared" si="78"/>
        <v xml:space="preserve">N8080G  </v>
      </c>
      <c r="BC1625">
        <v>1</v>
      </c>
      <c r="BE1625">
        <v>0</v>
      </c>
      <c r="BF1625">
        <v>0</v>
      </c>
      <c r="BG1625">
        <v>0</v>
      </c>
      <c r="BH1625">
        <v>1700</v>
      </c>
      <c r="BI1625">
        <v>1</v>
      </c>
      <c r="BJ1625">
        <v>1</v>
      </c>
      <c r="BK1625">
        <v>1</v>
      </c>
      <c r="BL1625">
        <v>0</v>
      </c>
      <c r="BO1625">
        <v>0</v>
      </c>
      <c r="BP1625">
        <v>0</v>
      </c>
      <c r="BW1625" t="str">
        <f>"20:22:11.692"</f>
        <v>20:22:11.692</v>
      </c>
      <c r="BZ1625">
        <v>0</v>
      </c>
      <c r="CA1625">
        <v>2016</v>
      </c>
      <c r="CB1625">
        <v>224</v>
      </c>
      <c r="CD1625">
        <v>1</v>
      </c>
      <c r="CE1625">
        <v>0</v>
      </c>
      <c r="CF1625">
        <v>0</v>
      </c>
      <c r="CG1625">
        <v>1</v>
      </c>
      <c r="CH1625">
        <v>0</v>
      </c>
      <c r="CI1625">
        <v>0</v>
      </c>
      <c r="CJ1625">
        <v>0</v>
      </c>
      <c r="CK1625">
        <v>2</v>
      </c>
      <c r="CL1625">
        <v>0</v>
      </c>
      <c r="CM1625">
        <v>2</v>
      </c>
      <c r="CN1625">
        <v>0</v>
      </c>
      <c r="CO1625">
        <v>7</v>
      </c>
      <c r="CP1625" t="s">
        <v>119</v>
      </c>
      <c r="CQ1625">
        <v>180</v>
      </c>
      <c r="CR1625">
        <v>1</v>
      </c>
      <c r="CW1625">
        <v>10837103</v>
      </c>
      <c r="CY1625">
        <v>1</v>
      </c>
      <c r="CZ1625">
        <v>0</v>
      </c>
      <c r="DA1625">
        <v>1</v>
      </c>
      <c r="DB1625">
        <v>0</v>
      </c>
      <c r="DC1625">
        <v>0</v>
      </c>
      <c r="DD1625">
        <v>0</v>
      </c>
      <c r="DE1625">
        <v>0</v>
      </c>
      <c r="DF1625">
        <v>0</v>
      </c>
      <c r="DG1625">
        <v>0</v>
      </c>
      <c r="DH1625">
        <v>0</v>
      </c>
      <c r="DI1625">
        <v>0</v>
      </c>
    </row>
    <row r="1626" spans="1:113" x14ac:dyDescent="0.3">
      <c r="A1626" t="str">
        <f>"02/08/2021 20:22:09.352"</f>
        <v>02/08/2021 20:22:09.352</v>
      </c>
      <c r="C1626" t="str">
        <f t="shared" si="77"/>
        <v>FFDFD7C0</v>
      </c>
      <c r="D1626" t="s">
        <v>124</v>
      </c>
      <c r="E1626">
        <v>12</v>
      </c>
      <c r="F1626">
        <v>1012</v>
      </c>
      <c r="G1626" t="s">
        <v>675</v>
      </c>
      <c r="J1626" t="s">
        <v>125</v>
      </c>
      <c r="K1626">
        <v>0</v>
      </c>
      <c r="L1626">
        <v>3</v>
      </c>
      <c r="M1626">
        <v>0</v>
      </c>
      <c r="N1626">
        <v>2</v>
      </c>
      <c r="O1626">
        <v>1</v>
      </c>
      <c r="P1626">
        <v>0</v>
      </c>
      <c r="Q1626">
        <v>0</v>
      </c>
      <c r="S1626" t="str">
        <f>"20:22:11.688"</f>
        <v>20:22:11.688</v>
      </c>
      <c r="T1626" t="str">
        <f>"20:22:11.288"</f>
        <v>20:22:11.288</v>
      </c>
      <c r="U1626" t="str">
        <f t="shared" si="76"/>
        <v>AB01F4</v>
      </c>
      <c r="V1626">
        <v>0</v>
      </c>
      <c r="W1626">
        <v>0</v>
      </c>
      <c r="X1626">
        <v>2</v>
      </c>
      <c r="Z1626">
        <v>0</v>
      </c>
      <c r="AA1626">
        <v>9</v>
      </c>
      <c r="AB1626">
        <v>3</v>
      </c>
      <c r="AC1626">
        <v>0</v>
      </c>
      <c r="AD1626">
        <v>10</v>
      </c>
      <c r="AE1626">
        <v>0</v>
      </c>
      <c r="AF1626">
        <v>3</v>
      </c>
      <c r="AG1626">
        <v>2</v>
      </c>
      <c r="AH1626">
        <v>0</v>
      </c>
      <c r="AI1626" t="s">
        <v>1061</v>
      </c>
      <c r="AJ1626">
        <v>39.860308000000003</v>
      </c>
      <c r="AK1626" t="s">
        <v>1062</v>
      </c>
      <c r="AL1626">
        <v>-92.539237</v>
      </c>
      <c r="AM1626">
        <v>100</v>
      </c>
      <c r="AN1626">
        <v>1700</v>
      </c>
      <c r="AO1626" t="s">
        <v>118</v>
      </c>
      <c r="AP1626">
        <v>-41</v>
      </c>
      <c r="AQ1626">
        <v>116</v>
      </c>
      <c r="AR1626">
        <v>-64</v>
      </c>
      <c r="AZ1626">
        <v>1200</v>
      </c>
      <c r="BA1626">
        <v>1</v>
      </c>
      <c r="BB1626" t="str">
        <f t="shared" si="78"/>
        <v xml:space="preserve">N8080G  </v>
      </c>
      <c r="BC1626">
        <v>1</v>
      </c>
      <c r="BE1626">
        <v>0</v>
      </c>
      <c r="BF1626">
        <v>0</v>
      </c>
      <c r="BG1626">
        <v>0</v>
      </c>
      <c r="BH1626">
        <v>1700</v>
      </c>
      <c r="BI1626">
        <v>1</v>
      </c>
      <c r="BJ1626">
        <v>1</v>
      </c>
      <c r="BK1626">
        <v>1</v>
      </c>
      <c r="BL1626">
        <v>0</v>
      </c>
      <c r="BO1626">
        <v>0</v>
      </c>
      <c r="BP1626">
        <v>0</v>
      </c>
      <c r="BW1626" t="str">
        <f>"20:22:11.692"</f>
        <v>20:22:11.692</v>
      </c>
      <c r="BZ1626">
        <v>0</v>
      </c>
      <c r="CA1626">
        <v>2016</v>
      </c>
      <c r="CB1626">
        <v>224</v>
      </c>
      <c r="CD1626">
        <v>1</v>
      </c>
      <c r="CE1626">
        <v>0</v>
      </c>
      <c r="CF1626">
        <v>0</v>
      </c>
      <c r="CG1626">
        <v>1</v>
      </c>
      <c r="CH1626">
        <v>0</v>
      </c>
      <c r="CI1626">
        <v>0</v>
      </c>
      <c r="CJ1626">
        <v>0</v>
      </c>
      <c r="CK1626">
        <v>2</v>
      </c>
      <c r="CL1626">
        <v>0</v>
      </c>
      <c r="CM1626">
        <v>2</v>
      </c>
      <c r="CN1626">
        <v>0</v>
      </c>
      <c r="CO1626">
        <v>7</v>
      </c>
      <c r="CP1626" t="s">
        <v>119</v>
      </c>
      <c r="CQ1626">
        <v>180</v>
      </c>
      <c r="CR1626">
        <v>1</v>
      </c>
      <c r="CW1626">
        <v>10837103</v>
      </c>
      <c r="CY1626">
        <v>1</v>
      </c>
      <c r="CZ1626">
        <v>0</v>
      </c>
      <c r="DA1626">
        <v>1</v>
      </c>
      <c r="DB1626">
        <v>0</v>
      </c>
      <c r="DC1626">
        <v>0</v>
      </c>
      <c r="DD1626">
        <v>0</v>
      </c>
      <c r="DE1626">
        <v>0</v>
      </c>
      <c r="DF1626">
        <v>0</v>
      </c>
      <c r="DG1626">
        <v>0</v>
      </c>
      <c r="DH1626">
        <v>0</v>
      </c>
      <c r="DI1626">
        <v>0</v>
      </c>
    </row>
    <row r="1627" spans="1:113" x14ac:dyDescent="0.3">
      <c r="A1627" t="str">
        <f>"02/08/2021 20:22:11.025"</f>
        <v>02/08/2021 20:22:11.025</v>
      </c>
      <c r="C1627" t="str">
        <f t="shared" si="77"/>
        <v>FFDFD7C0</v>
      </c>
      <c r="D1627" t="s">
        <v>124</v>
      </c>
      <c r="E1627">
        <v>12</v>
      </c>
      <c r="F1627">
        <v>1012</v>
      </c>
      <c r="G1627" t="s">
        <v>675</v>
      </c>
      <c r="J1627" t="s">
        <v>125</v>
      </c>
      <c r="K1627">
        <v>0</v>
      </c>
      <c r="L1627">
        <v>3</v>
      </c>
      <c r="M1627">
        <v>0</v>
      </c>
      <c r="N1627">
        <v>2</v>
      </c>
      <c r="O1627">
        <v>1</v>
      </c>
      <c r="P1627">
        <v>0</v>
      </c>
      <c r="Q1627">
        <v>0</v>
      </c>
      <c r="S1627" t="str">
        <f>"20:22:13.328"</f>
        <v>20:22:13.328</v>
      </c>
      <c r="T1627" t="str">
        <f>"20:22:12.828"</f>
        <v>20:22:12.828</v>
      </c>
      <c r="U1627" t="str">
        <f t="shared" si="76"/>
        <v>AB01F4</v>
      </c>
      <c r="V1627">
        <v>0</v>
      </c>
      <c r="W1627">
        <v>0</v>
      </c>
      <c r="X1627">
        <v>2</v>
      </c>
      <c r="Z1627">
        <v>0</v>
      </c>
      <c r="AA1627">
        <v>9</v>
      </c>
      <c r="AB1627">
        <v>3</v>
      </c>
      <c r="AC1627">
        <v>0</v>
      </c>
      <c r="AD1627">
        <v>10</v>
      </c>
      <c r="AE1627">
        <v>0</v>
      </c>
      <c r="AF1627">
        <v>3</v>
      </c>
      <c r="AG1627">
        <v>2</v>
      </c>
      <c r="AH1627">
        <v>0</v>
      </c>
      <c r="AI1627" t="s">
        <v>1063</v>
      </c>
      <c r="AJ1627">
        <v>39.861230999999997</v>
      </c>
      <c r="AK1627" t="s">
        <v>1064</v>
      </c>
      <c r="AL1627">
        <v>-92.539623000000006</v>
      </c>
      <c r="AM1627">
        <v>100</v>
      </c>
      <c r="AN1627">
        <v>1700</v>
      </c>
      <c r="AO1627" t="s">
        <v>118</v>
      </c>
      <c r="AP1627">
        <v>-42</v>
      </c>
      <c r="AQ1627">
        <v>116</v>
      </c>
      <c r="AR1627">
        <v>64</v>
      </c>
      <c r="AZ1627">
        <v>1200</v>
      </c>
      <c r="BA1627">
        <v>1</v>
      </c>
      <c r="BB1627" t="str">
        <f t="shared" si="78"/>
        <v xml:space="preserve">N8080G  </v>
      </c>
      <c r="BC1627">
        <v>1</v>
      </c>
      <c r="BE1627">
        <v>0</v>
      </c>
      <c r="BF1627">
        <v>0</v>
      </c>
      <c r="BG1627">
        <v>0</v>
      </c>
      <c r="BH1627">
        <v>1700</v>
      </c>
      <c r="BI1627">
        <v>1</v>
      </c>
      <c r="BJ1627">
        <v>1</v>
      </c>
      <c r="BK1627">
        <v>1</v>
      </c>
      <c r="BL1627">
        <v>0</v>
      </c>
      <c r="BO1627">
        <v>0</v>
      </c>
      <c r="BP1627">
        <v>0</v>
      </c>
      <c r="BW1627" t="str">
        <f>"20:22:13.334"</f>
        <v>20:22:13.334</v>
      </c>
      <c r="BZ1627">
        <v>0</v>
      </c>
      <c r="CA1627">
        <v>2016</v>
      </c>
      <c r="CB1627">
        <v>224</v>
      </c>
      <c r="CD1627">
        <v>1</v>
      </c>
      <c r="CE1627">
        <v>0</v>
      </c>
      <c r="CF1627">
        <v>0</v>
      </c>
      <c r="CG1627">
        <v>1</v>
      </c>
      <c r="CH1627">
        <v>0</v>
      </c>
      <c r="CI1627">
        <v>0</v>
      </c>
      <c r="CJ1627">
        <v>0</v>
      </c>
      <c r="CK1627">
        <v>2</v>
      </c>
      <c r="CL1627">
        <v>0</v>
      </c>
      <c r="CM1627">
        <v>2</v>
      </c>
      <c r="CN1627">
        <v>0</v>
      </c>
      <c r="CO1627">
        <v>7</v>
      </c>
      <c r="CP1627" t="s">
        <v>119</v>
      </c>
      <c r="CQ1627">
        <v>180</v>
      </c>
      <c r="CR1627">
        <v>2</v>
      </c>
      <c r="CW1627">
        <v>8275541</v>
      </c>
      <c r="CY1627">
        <v>1</v>
      </c>
      <c r="CZ1627">
        <v>0</v>
      </c>
      <c r="DA1627">
        <v>0</v>
      </c>
      <c r="DB1627">
        <v>0</v>
      </c>
      <c r="DC1627">
        <v>0</v>
      </c>
      <c r="DD1627">
        <v>0</v>
      </c>
      <c r="DE1627">
        <v>0</v>
      </c>
      <c r="DF1627">
        <v>0</v>
      </c>
      <c r="DG1627">
        <v>0</v>
      </c>
      <c r="DH1627">
        <v>0</v>
      </c>
      <c r="DI1627">
        <v>0</v>
      </c>
    </row>
    <row r="1628" spans="1:113" x14ac:dyDescent="0.3">
      <c r="A1628" t="str">
        <f>"02/08/2021 20:22:11.025"</f>
        <v>02/08/2021 20:22:11.025</v>
      </c>
      <c r="C1628" t="str">
        <f t="shared" si="77"/>
        <v>FFDFD7C0</v>
      </c>
      <c r="D1628" t="s">
        <v>124</v>
      </c>
      <c r="E1628">
        <v>11</v>
      </c>
      <c r="F1628">
        <v>1011</v>
      </c>
      <c r="G1628" t="s">
        <v>590</v>
      </c>
      <c r="J1628" t="s">
        <v>125</v>
      </c>
      <c r="K1628">
        <v>0</v>
      </c>
      <c r="L1628">
        <v>3</v>
      </c>
      <c r="M1628">
        <v>0</v>
      </c>
      <c r="N1628">
        <v>2</v>
      </c>
      <c r="O1628">
        <v>1</v>
      </c>
      <c r="P1628">
        <v>0</v>
      </c>
      <c r="Q1628">
        <v>0</v>
      </c>
      <c r="S1628" t="str">
        <f>"20:22:13.328"</f>
        <v>20:22:13.328</v>
      </c>
      <c r="T1628" t="str">
        <f>"20:22:12.828"</f>
        <v>20:22:12.828</v>
      </c>
      <c r="U1628" t="str">
        <f t="shared" si="76"/>
        <v>AB01F4</v>
      </c>
      <c r="V1628">
        <v>0</v>
      </c>
      <c r="W1628">
        <v>0</v>
      </c>
      <c r="X1628">
        <v>2</v>
      </c>
      <c r="Z1628">
        <v>0</v>
      </c>
      <c r="AA1628">
        <v>9</v>
      </c>
      <c r="AB1628">
        <v>3</v>
      </c>
      <c r="AC1628">
        <v>0</v>
      </c>
      <c r="AD1628">
        <v>10</v>
      </c>
      <c r="AE1628">
        <v>0</v>
      </c>
      <c r="AF1628">
        <v>3</v>
      </c>
      <c r="AG1628">
        <v>2</v>
      </c>
      <c r="AH1628">
        <v>0</v>
      </c>
      <c r="AI1628" t="s">
        <v>1063</v>
      </c>
      <c r="AJ1628">
        <v>39.861230999999997</v>
      </c>
      <c r="AK1628" t="s">
        <v>1064</v>
      </c>
      <c r="AL1628">
        <v>-92.539623000000006</v>
      </c>
      <c r="AM1628">
        <v>100</v>
      </c>
      <c r="AN1628">
        <v>1700</v>
      </c>
      <c r="AO1628" t="s">
        <v>118</v>
      </c>
      <c r="AP1628">
        <v>-42</v>
      </c>
      <c r="AQ1628">
        <v>116</v>
      </c>
      <c r="AR1628">
        <v>64</v>
      </c>
      <c r="AZ1628">
        <v>1200</v>
      </c>
      <c r="BA1628">
        <v>1</v>
      </c>
      <c r="BB1628" t="str">
        <f t="shared" si="78"/>
        <v xml:space="preserve">N8080G  </v>
      </c>
      <c r="BC1628">
        <v>1</v>
      </c>
      <c r="BE1628">
        <v>0</v>
      </c>
      <c r="BF1628">
        <v>0</v>
      </c>
      <c r="BG1628">
        <v>0</v>
      </c>
      <c r="BH1628">
        <v>1700</v>
      </c>
      <c r="BI1628">
        <v>1</v>
      </c>
      <c r="BJ1628">
        <v>1</v>
      </c>
      <c r="BK1628">
        <v>1</v>
      </c>
      <c r="BL1628">
        <v>0</v>
      </c>
      <c r="BO1628">
        <v>0</v>
      </c>
      <c r="BP1628">
        <v>0</v>
      </c>
      <c r="BW1628" t="str">
        <f>"20:22:13.334"</f>
        <v>20:22:13.334</v>
      </c>
      <c r="BZ1628">
        <v>0</v>
      </c>
      <c r="CA1628">
        <v>2016</v>
      </c>
      <c r="CB1628">
        <v>224</v>
      </c>
      <c r="CD1628">
        <v>1</v>
      </c>
      <c r="CE1628">
        <v>0</v>
      </c>
      <c r="CF1628">
        <v>0</v>
      </c>
      <c r="CG1628">
        <v>1</v>
      </c>
      <c r="CH1628">
        <v>0</v>
      </c>
      <c r="CI1628">
        <v>0</v>
      </c>
      <c r="CJ1628">
        <v>0</v>
      </c>
      <c r="CK1628">
        <v>2</v>
      </c>
      <c r="CL1628">
        <v>0</v>
      </c>
      <c r="CM1628">
        <v>2</v>
      </c>
      <c r="CN1628">
        <v>0</v>
      </c>
      <c r="CO1628">
        <v>7</v>
      </c>
      <c r="CP1628" t="s">
        <v>119</v>
      </c>
      <c r="CQ1628">
        <v>180</v>
      </c>
      <c r="CR1628">
        <v>2</v>
      </c>
      <c r="CW1628">
        <v>8275541</v>
      </c>
      <c r="CY1628">
        <v>1</v>
      </c>
      <c r="CZ1628">
        <v>0</v>
      </c>
      <c r="DA1628">
        <v>1</v>
      </c>
      <c r="DB1628">
        <v>0</v>
      </c>
      <c r="DC1628">
        <v>0</v>
      </c>
      <c r="DD1628">
        <v>0</v>
      </c>
      <c r="DE1628">
        <v>0</v>
      </c>
      <c r="DF1628">
        <v>0</v>
      </c>
      <c r="DG1628">
        <v>0</v>
      </c>
      <c r="DH1628">
        <v>0</v>
      </c>
      <c r="DI1628">
        <v>0</v>
      </c>
    </row>
    <row r="1629" spans="1:113" x14ac:dyDescent="0.3">
      <c r="A1629" t="str">
        <f>"02/08/2021 20:22:11.025"</f>
        <v>02/08/2021 20:22:11.025</v>
      </c>
      <c r="C1629" t="str">
        <f t="shared" si="77"/>
        <v>FFDFD7C0</v>
      </c>
      <c r="D1629" t="s">
        <v>113</v>
      </c>
      <c r="E1629">
        <v>6</v>
      </c>
      <c r="H1629">
        <v>165</v>
      </c>
      <c r="I1629" t="s">
        <v>114</v>
      </c>
      <c r="J1629" t="s">
        <v>115</v>
      </c>
      <c r="K1629">
        <v>0</v>
      </c>
      <c r="L1629">
        <v>3</v>
      </c>
      <c r="M1629">
        <v>0</v>
      </c>
      <c r="N1629">
        <v>2</v>
      </c>
      <c r="O1629">
        <v>1</v>
      </c>
      <c r="P1629">
        <v>0</v>
      </c>
      <c r="Q1629">
        <v>0</v>
      </c>
      <c r="S1629" t="str">
        <f>"20:22:13.328"</f>
        <v>20:22:13.328</v>
      </c>
      <c r="T1629" t="str">
        <f>"20:22:12.828"</f>
        <v>20:22:12.828</v>
      </c>
      <c r="U1629" t="str">
        <f t="shared" si="76"/>
        <v>AB01F4</v>
      </c>
      <c r="V1629">
        <v>0</v>
      </c>
      <c r="W1629">
        <v>0</v>
      </c>
      <c r="X1629">
        <v>2</v>
      </c>
      <c r="Z1629">
        <v>0</v>
      </c>
      <c r="AA1629">
        <v>9</v>
      </c>
      <c r="AB1629">
        <v>3</v>
      </c>
      <c r="AC1629">
        <v>0</v>
      </c>
      <c r="AD1629">
        <v>10</v>
      </c>
      <c r="AE1629">
        <v>0</v>
      </c>
      <c r="AF1629">
        <v>3</v>
      </c>
      <c r="AG1629">
        <v>2</v>
      </c>
      <c r="AH1629">
        <v>0</v>
      </c>
      <c r="AI1629" t="s">
        <v>1063</v>
      </c>
      <c r="AJ1629">
        <v>39.861230999999997</v>
      </c>
      <c r="AK1629" t="s">
        <v>1064</v>
      </c>
      <c r="AL1629">
        <v>-92.539623000000006</v>
      </c>
      <c r="AM1629">
        <v>100</v>
      </c>
      <c r="AN1629">
        <v>1700</v>
      </c>
      <c r="AO1629" t="s">
        <v>118</v>
      </c>
      <c r="AP1629">
        <v>-42</v>
      </c>
      <c r="AQ1629">
        <v>116</v>
      </c>
      <c r="AR1629">
        <v>64</v>
      </c>
      <c r="AZ1629">
        <v>1200</v>
      </c>
      <c r="BA1629">
        <v>1</v>
      </c>
      <c r="BB1629" t="str">
        <f t="shared" si="78"/>
        <v xml:space="preserve">N8080G  </v>
      </c>
      <c r="BC1629">
        <v>1</v>
      </c>
      <c r="BE1629">
        <v>0</v>
      </c>
      <c r="BF1629">
        <v>0</v>
      </c>
      <c r="BG1629">
        <v>0</v>
      </c>
      <c r="BH1629">
        <v>1700</v>
      </c>
      <c r="BI1629">
        <v>1</v>
      </c>
      <c r="BJ1629">
        <v>1</v>
      </c>
      <c r="BK1629">
        <v>1</v>
      </c>
      <c r="BL1629">
        <v>0</v>
      </c>
      <c r="BO1629">
        <v>0</v>
      </c>
      <c r="BP1629">
        <v>0</v>
      </c>
      <c r="BW1629" t="str">
        <f>"20:22:13.334"</f>
        <v>20:22:13.334</v>
      </c>
      <c r="BZ1629">
        <v>0</v>
      </c>
      <c r="CA1629">
        <v>2016</v>
      </c>
      <c r="CB1629">
        <v>224</v>
      </c>
      <c r="CD1629">
        <v>1</v>
      </c>
      <c r="CE1629">
        <v>0</v>
      </c>
      <c r="CF1629">
        <v>0</v>
      </c>
      <c r="CG1629">
        <v>1</v>
      </c>
      <c r="CH1629">
        <v>0</v>
      </c>
      <c r="CI1629">
        <v>0</v>
      </c>
      <c r="CJ1629">
        <v>0</v>
      </c>
      <c r="CK1629">
        <v>2</v>
      </c>
      <c r="CL1629">
        <v>0</v>
      </c>
      <c r="CM1629">
        <v>2</v>
      </c>
      <c r="CN1629">
        <v>0</v>
      </c>
      <c r="CO1629">
        <v>7</v>
      </c>
      <c r="CP1629" t="s">
        <v>119</v>
      </c>
      <c r="CQ1629">
        <v>180</v>
      </c>
      <c r="CR1629">
        <v>2</v>
      </c>
      <c r="CW1629">
        <v>8275541</v>
      </c>
      <c r="CY1629">
        <v>1</v>
      </c>
      <c r="CZ1629">
        <v>0</v>
      </c>
      <c r="DA1629">
        <v>1</v>
      </c>
      <c r="DB1629">
        <v>0</v>
      </c>
      <c r="DC1629">
        <v>0</v>
      </c>
      <c r="DD1629">
        <v>0</v>
      </c>
      <c r="DE1629">
        <v>0</v>
      </c>
      <c r="DF1629">
        <v>0</v>
      </c>
      <c r="DG1629">
        <v>0</v>
      </c>
      <c r="DH1629">
        <v>0</v>
      </c>
      <c r="DI1629">
        <v>0</v>
      </c>
    </row>
    <row r="1630" spans="1:113" x14ac:dyDescent="0.3">
      <c r="A1630" t="str">
        <f>"02/08/2021 20:22:11.025"</f>
        <v>02/08/2021 20:22:11.025</v>
      </c>
      <c r="C1630" t="str">
        <f t="shared" si="77"/>
        <v>FFDFD7C0</v>
      </c>
      <c r="D1630" t="s">
        <v>124</v>
      </c>
      <c r="E1630">
        <v>13</v>
      </c>
      <c r="F1630">
        <v>1013</v>
      </c>
      <c r="G1630" t="s">
        <v>114</v>
      </c>
      <c r="J1630" t="s">
        <v>125</v>
      </c>
      <c r="K1630">
        <v>0</v>
      </c>
      <c r="L1630">
        <v>3</v>
      </c>
      <c r="M1630">
        <v>0</v>
      </c>
      <c r="N1630">
        <v>2</v>
      </c>
      <c r="O1630">
        <v>1</v>
      </c>
      <c r="P1630">
        <v>0</v>
      </c>
      <c r="Q1630">
        <v>0</v>
      </c>
      <c r="S1630" t="str">
        <f>"20:22:13.328"</f>
        <v>20:22:13.328</v>
      </c>
      <c r="T1630" t="str">
        <f>"20:22:12.828"</f>
        <v>20:22:12.828</v>
      </c>
      <c r="U1630" t="str">
        <f t="shared" si="76"/>
        <v>AB01F4</v>
      </c>
      <c r="V1630">
        <v>0</v>
      </c>
      <c r="W1630">
        <v>0</v>
      </c>
      <c r="X1630">
        <v>2</v>
      </c>
      <c r="Z1630">
        <v>0</v>
      </c>
      <c r="AA1630">
        <v>9</v>
      </c>
      <c r="AB1630">
        <v>3</v>
      </c>
      <c r="AC1630">
        <v>0</v>
      </c>
      <c r="AD1630">
        <v>10</v>
      </c>
      <c r="AE1630">
        <v>0</v>
      </c>
      <c r="AF1630">
        <v>3</v>
      </c>
      <c r="AG1630">
        <v>2</v>
      </c>
      <c r="AH1630">
        <v>0</v>
      </c>
      <c r="AI1630" t="s">
        <v>1063</v>
      </c>
      <c r="AJ1630">
        <v>39.861230999999997</v>
      </c>
      <c r="AK1630" t="s">
        <v>1064</v>
      </c>
      <c r="AL1630">
        <v>-92.539623000000006</v>
      </c>
      <c r="AM1630">
        <v>100</v>
      </c>
      <c r="AN1630">
        <v>1700</v>
      </c>
      <c r="AO1630" t="s">
        <v>118</v>
      </c>
      <c r="AP1630">
        <v>-42</v>
      </c>
      <c r="AQ1630">
        <v>116</v>
      </c>
      <c r="AR1630">
        <v>64</v>
      </c>
      <c r="AZ1630">
        <v>1200</v>
      </c>
      <c r="BA1630">
        <v>1</v>
      </c>
      <c r="BB1630" t="str">
        <f t="shared" si="78"/>
        <v xml:space="preserve">N8080G  </v>
      </c>
      <c r="BC1630">
        <v>1</v>
      </c>
      <c r="BE1630">
        <v>0</v>
      </c>
      <c r="BF1630">
        <v>0</v>
      </c>
      <c r="BG1630">
        <v>0</v>
      </c>
      <c r="BH1630">
        <v>1700</v>
      </c>
      <c r="BI1630">
        <v>1</v>
      </c>
      <c r="BJ1630">
        <v>1</v>
      </c>
      <c r="BK1630">
        <v>1</v>
      </c>
      <c r="BL1630">
        <v>0</v>
      </c>
      <c r="BO1630">
        <v>0</v>
      </c>
      <c r="BP1630">
        <v>0</v>
      </c>
      <c r="BW1630" t="str">
        <f>"20:22:13.334"</f>
        <v>20:22:13.334</v>
      </c>
      <c r="BZ1630">
        <v>0</v>
      </c>
      <c r="CA1630">
        <v>2016</v>
      </c>
      <c r="CB1630">
        <v>224</v>
      </c>
      <c r="CD1630">
        <v>1</v>
      </c>
      <c r="CE1630">
        <v>0</v>
      </c>
      <c r="CF1630">
        <v>0</v>
      </c>
      <c r="CG1630">
        <v>1</v>
      </c>
      <c r="CH1630">
        <v>0</v>
      </c>
      <c r="CI1630">
        <v>0</v>
      </c>
      <c r="CJ1630">
        <v>0</v>
      </c>
      <c r="CK1630">
        <v>2</v>
      </c>
      <c r="CL1630">
        <v>0</v>
      </c>
      <c r="CM1630">
        <v>2</v>
      </c>
      <c r="CN1630">
        <v>0</v>
      </c>
      <c r="CO1630">
        <v>7</v>
      </c>
      <c r="CP1630" t="s">
        <v>119</v>
      </c>
      <c r="CQ1630">
        <v>180</v>
      </c>
      <c r="CR1630">
        <v>2</v>
      </c>
      <c r="CW1630">
        <v>8275541</v>
      </c>
      <c r="CY1630">
        <v>1</v>
      </c>
      <c r="CZ1630">
        <v>0</v>
      </c>
      <c r="DA1630">
        <v>1</v>
      </c>
      <c r="DB1630">
        <v>0</v>
      </c>
      <c r="DC1630">
        <v>0</v>
      </c>
      <c r="DD1630">
        <v>0</v>
      </c>
      <c r="DE1630">
        <v>0</v>
      </c>
      <c r="DF1630">
        <v>0</v>
      </c>
      <c r="DG1630">
        <v>0</v>
      </c>
      <c r="DH1630">
        <v>0</v>
      </c>
      <c r="DI1630">
        <v>0</v>
      </c>
    </row>
    <row r="1631" spans="1:113" x14ac:dyDescent="0.3">
      <c r="A1631" t="str">
        <f>"02/08/2021 20:22:12.583"</f>
        <v>02/08/2021 20:22:12.583</v>
      </c>
      <c r="C1631" t="str">
        <f t="shared" si="77"/>
        <v>FFDFD7C0</v>
      </c>
      <c r="D1631" t="s">
        <v>124</v>
      </c>
      <c r="E1631">
        <v>12</v>
      </c>
      <c r="F1631">
        <v>1012</v>
      </c>
      <c r="G1631" t="s">
        <v>675</v>
      </c>
      <c r="J1631" t="s">
        <v>125</v>
      </c>
      <c r="K1631">
        <v>0</v>
      </c>
      <c r="L1631">
        <v>3</v>
      </c>
      <c r="M1631">
        <v>0</v>
      </c>
      <c r="N1631">
        <v>2</v>
      </c>
      <c r="O1631">
        <v>1</v>
      </c>
      <c r="P1631">
        <v>0</v>
      </c>
      <c r="Q1631">
        <v>0</v>
      </c>
      <c r="S1631" t="str">
        <f>"20:22:14.922"</f>
        <v>20:22:14.922</v>
      </c>
      <c r="T1631" t="str">
        <f>"20:22:14.422"</f>
        <v>20:22:14.422</v>
      </c>
      <c r="U1631" t="str">
        <f t="shared" si="76"/>
        <v>AB01F4</v>
      </c>
      <c r="V1631">
        <v>0</v>
      </c>
      <c r="W1631">
        <v>0</v>
      </c>
      <c r="X1631">
        <v>2</v>
      </c>
      <c r="Z1631">
        <v>0</v>
      </c>
      <c r="AA1631">
        <v>9</v>
      </c>
      <c r="AB1631">
        <v>3</v>
      </c>
      <c r="AC1631">
        <v>0</v>
      </c>
      <c r="AD1631">
        <v>10</v>
      </c>
      <c r="AE1631">
        <v>0</v>
      </c>
      <c r="AF1631">
        <v>3</v>
      </c>
      <c r="AG1631">
        <v>2</v>
      </c>
      <c r="AH1631">
        <v>0</v>
      </c>
      <c r="AI1631" t="s">
        <v>1065</v>
      </c>
      <c r="AJ1631">
        <v>39.862110999999999</v>
      </c>
      <c r="AK1631" t="s">
        <v>1066</v>
      </c>
      <c r="AL1631">
        <v>-92.540052000000003</v>
      </c>
      <c r="AM1631">
        <v>100</v>
      </c>
      <c r="AN1631">
        <v>1700</v>
      </c>
      <c r="AO1631" t="s">
        <v>118</v>
      </c>
      <c r="AP1631">
        <v>-42</v>
      </c>
      <c r="AQ1631">
        <v>116</v>
      </c>
      <c r="AR1631">
        <v>-64</v>
      </c>
      <c r="AZ1631">
        <v>1200</v>
      </c>
      <c r="BA1631">
        <v>1</v>
      </c>
      <c r="BB1631" t="str">
        <f t="shared" si="78"/>
        <v xml:space="preserve">N8080G  </v>
      </c>
      <c r="BC1631">
        <v>1</v>
      </c>
      <c r="BE1631">
        <v>0</v>
      </c>
      <c r="BF1631">
        <v>0</v>
      </c>
      <c r="BG1631">
        <v>0</v>
      </c>
      <c r="BH1631">
        <v>1700</v>
      </c>
      <c r="BI1631">
        <v>1</v>
      </c>
      <c r="BJ1631">
        <v>1</v>
      </c>
      <c r="BK1631">
        <v>1</v>
      </c>
      <c r="BL1631">
        <v>0</v>
      </c>
      <c r="BO1631">
        <v>0</v>
      </c>
      <c r="BP1631">
        <v>0</v>
      </c>
      <c r="BW1631" t="str">
        <f>"20:22:14.923"</f>
        <v>20:22:14.923</v>
      </c>
      <c r="BZ1631">
        <v>0</v>
      </c>
      <c r="CA1631">
        <v>2016</v>
      </c>
      <c r="CB1631">
        <v>224</v>
      </c>
      <c r="CD1631">
        <v>1</v>
      </c>
      <c r="CE1631">
        <v>0</v>
      </c>
      <c r="CF1631">
        <v>0</v>
      </c>
      <c r="CG1631">
        <v>1</v>
      </c>
      <c r="CH1631">
        <v>0</v>
      </c>
      <c r="CI1631">
        <v>0</v>
      </c>
      <c r="CJ1631">
        <v>0</v>
      </c>
      <c r="CK1631">
        <v>2</v>
      </c>
      <c r="CL1631">
        <v>0</v>
      </c>
      <c r="CM1631">
        <v>2</v>
      </c>
      <c r="CN1631">
        <v>0</v>
      </c>
      <c r="CO1631">
        <v>7</v>
      </c>
      <c r="CP1631" t="s">
        <v>119</v>
      </c>
      <c r="CQ1631">
        <v>180</v>
      </c>
      <c r="CR1631">
        <v>2</v>
      </c>
      <c r="CW1631">
        <v>8276926</v>
      </c>
      <c r="CY1631">
        <v>1</v>
      </c>
      <c r="CZ1631">
        <v>0</v>
      </c>
      <c r="DA1631">
        <v>0</v>
      </c>
      <c r="DB1631">
        <v>0</v>
      </c>
      <c r="DC1631">
        <v>0</v>
      </c>
      <c r="DD1631">
        <v>0</v>
      </c>
      <c r="DE1631">
        <v>0</v>
      </c>
      <c r="DF1631">
        <v>0</v>
      </c>
      <c r="DG1631">
        <v>0</v>
      </c>
      <c r="DH1631">
        <v>0</v>
      </c>
      <c r="DI1631">
        <v>0</v>
      </c>
    </row>
    <row r="1632" spans="1:113" x14ac:dyDescent="0.3">
      <c r="A1632" t="str">
        <f>"02/08/2021 20:22:12.583"</f>
        <v>02/08/2021 20:22:12.583</v>
      </c>
      <c r="C1632" t="str">
        <f t="shared" si="77"/>
        <v>FFDFD7C0</v>
      </c>
      <c r="D1632" t="s">
        <v>124</v>
      </c>
      <c r="E1632">
        <v>11</v>
      </c>
      <c r="F1632">
        <v>1011</v>
      </c>
      <c r="G1632" t="s">
        <v>590</v>
      </c>
      <c r="J1632" t="s">
        <v>125</v>
      </c>
      <c r="K1632">
        <v>0</v>
      </c>
      <c r="L1632">
        <v>3</v>
      </c>
      <c r="M1632">
        <v>0</v>
      </c>
      <c r="N1632">
        <v>2</v>
      </c>
      <c r="O1632">
        <v>1</v>
      </c>
      <c r="P1632">
        <v>0</v>
      </c>
      <c r="Q1632">
        <v>0</v>
      </c>
      <c r="S1632" t="str">
        <f>"20:22:14.922"</f>
        <v>20:22:14.922</v>
      </c>
      <c r="T1632" t="str">
        <f>"20:22:14.422"</f>
        <v>20:22:14.422</v>
      </c>
      <c r="U1632" t="str">
        <f t="shared" si="76"/>
        <v>AB01F4</v>
      </c>
      <c r="V1632">
        <v>0</v>
      </c>
      <c r="W1632">
        <v>0</v>
      </c>
      <c r="X1632">
        <v>2</v>
      </c>
      <c r="Z1632">
        <v>0</v>
      </c>
      <c r="AA1632">
        <v>9</v>
      </c>
      <c r="AB1632">
        <v>3</v>
      </c>
      <c r="AC1632">
        <v>0</v>
      </c>
      <c r="AD1632">
        <v>10</v>
      </c>
      <c r="AE1632">
        <v>0</v>
      </c>
      <c r="AF1632">
        <v>3</v>
      </c>
      <c r="AG1632">
        <v>2</v>
      </c>
      <c r="AH1632">
        <v>0</v>
      </c>
      <c r="AI1632" t="s">
        <v>1065</v>
      </c>
      <c r="AJ1632">
        <v>39.862110999999999</v>
      </c>
      <c r="AK1632" t="s">
        <v>1066</v>
      </c>
      <c r="AL1632">
        <v>-92.540052000000003</v>
      </c>
      <c r="AM1632">
        <v>100</v>
      </c>
      <c r="AN1632">
        <v>1700</v>
      </c>
      <c r="AO1632" t="s">
        <v>118</v>
      </c>
      <c r="AP1632">
        <v>-42</v>
      </c>
      <c r="AQ1632">
        <v>116</v>
      </c>
      <c r="AR1632">
        <v>-64</v>
      </c>
      <c r="AZ1632">
        <v>1200</v>
      </c>
      <c r="BA1632">
        <v>1</v>
      </c>
      <c r="BB1632" t="str">
        <f t="shared" si="78"/>
        <v xml:space="preserve">N8080G  </v>
      </c>
      <c r="BC1632">
        <v>1</v>
      </c>
      <c r="BE1632">
        <v>0</v>
      </c>
      <c r="BF1632">
        <v>0</v>
      </c>
      <c r="BG1632">
        <v>0</v>
      </c>
      <c r="BH1632">
        <v>1700</v>
      </c>
      <c r="BI1632">
        <v>1</v>
      </c>
      <c r="BJ1632">
        <v>1</v>
      </c>
      <c r="BK1632">
        <v>1</v>
      </c>
      <c r="BL1632">
        <v>0</v>
      </c>
      <c r="BO1632">
        <v>0</v>
      </c>
      <c r="BP1632">
        <v>0</v>
      </c>
      <c r="BW1632" t="str">
        <f>"20:22:14.923"</f>
        <v>20:22:14.923</v>
      </c>
      <c r="BZ1632">
        <v>0</v>
      </c>
      <c r="CA1632">
        <v>2016</v>
      </c>
      <c r="CB1632">
        <v>224</v>
      </c>
      <c r="CD1632">
        <v>1</v>
      </c>
      <c r="CE1632">
        <v>0</v>
      </c>
      <c r="CF1632">
        <v>0</v>
      </c>
      <c r="CG1632">
        <v>1</v>
      </c>
      <c r="CH1632">
        <v>0</v>
      </c>
      <c r="CI1632">
        <v>0</v>
      </c>
      <c r="CJ1632">
        <v>0</v>
      </c>
      <c r="CK1632">
        <v>2</v>
      </c>
      <c r="CL1632">
        <v>0</v>
      </c>
      <c r="CM1632">
        <v>2</v>
      </c>
      <c r="CN1632">
        <v>0</v>
      </c>
      <c r="CO1632">
        <v>7</v>
      </c>
      <c r="CP1632" t="s">
        <v>119</v>
      </c>
      <c r="CQ1632">
        <v>180</v>
      </c>
      <c r="CR1632">
        <v>2</v>
      </c>
      <c r="CW1632">
        <v>8276926</v>
      </c>
      <c r="CY1632">
        <v>1</v>
      </c>
      <c r="CZ1632">
        <v>0</v>
      </c>
      <c r="DA1632">
        <v>1</v>
      </c>
      <c r="DB1632">
        <v>0</v>
      </c>
      <c r="DC1632">
        <v>0</v>
      </c>
      <c r="DD1632">
        <v>0</v>
      </c>
      <c r="DE1632">
        <v>0</v>
      </c>
      <c r="DF1632">
        <v>0</v>
      </c>
      <c r="DG1632">
        <v>0</v>
      </c>
      <c r="DH1632">
        <v>0</v>
      </c>
      <c r="DI1632">
        <v>0</v>
      </c>
    </row>
    <row r="1633" spans="1:113" x14ac:dyDescent="0.3">
      <c r="A1633" t="str">
        <f>"02/08/2021 20:22:12.583"</f>
        <v>02/08/2021 20:22:12.583</v>
      </c>
      <c r="C1633" t="str">
        <f t="shared" si="77"/>
        <v>FFDFD7C0</v>
      </c>
      <c r="D1633" t="s">
        <v>113</v>
      </c>
      <c r="E1633">
        <v>6</v>
      </c>
      <c r="H1633">
        <v>165</v>
      </c>
      <c r="I1633" t="s">
        <v>114</v>
      </c>
      <c r="J1633" t="s">
        <v>115</v>
      </c>
      <c r="K1633">
        <v>0</v>
      </c>
      <c r="L1633">
        <v>3</v>
      </c>
      <c r="M1633">
        <v>0</v>
      </c>
      <c r="N1633">
        <v>2</v>
      </c>
      <c r="O1633">
        <v>1</v>
      </c>
      <c r="P1633">
        <v>0</v>
      </c>
      <c r="Q1633">
        <v>0</v>
      </c>
      <c r="S1633" t="str">
        <f>"20:22:14.922"</f>
        <v>20:22:14.922</v>
      </c>
      <c r="T1633" t="str">
        <f>"20:22:14.422"</f>
        <v>20:22:14.422</v>
      </c>
      <c r="U1633" t="str">
        <f t="shared" si="76"/>
        <v>AB01F4</v>
      </c>
      <c r="V1633">
        <v>0</v>
      </c>
      <c r="W1633">
        <v>0</v>
      </c>
      <c r="X1633">
        <v>2</v>
      </c>
      <c r="Z1633">
        <v>0</v>
      </c>
      <c r="AA1633">
        <v>9</v>
      </c>
      <c r="AB1633">
        <v>3</v>
      </c>
      <c r="AC1633">
        <v>0</v>
      </c>
      <c r="AD1633">
        <v>10</v>
      </c>
      <c r="AE1633">
        <v>0</v>
      </c>
      <c r="AF1633">
        <v>3</v>
      </c>
      <c r="AG1633">
        <v>2</v>
      </c>
      <c r="AH1633">
        <v>0</v>
      </c>
      <c r="AI1633" t="s">
        <v>1065</v>
      </c>
      <c r="AJ1633">
        <v>39.862110999999999</v>
      </c>
      <c r="AK1633" t="s">
        <v>1066</v>
      </c>
      <c r="AL1633">
        <v>-92.540052000000003</v>
      </c>
      <c r="AM1633">
        <v>100</v>
      </c>
      <c r="AN1633">
        <v>1700</v>
      </c>
      <c r="AO1633" t="s">
        <v>118</v>
      </c>
      <c r="AP1633">
        <v>-42</v>
      </c>
      <c r="AQ1633">
        <v>116</v>
      </c>
      <c r="AR1633">
        <v>-64</v>
      </c>
      <c r="AZ1633">
        <v>1200</v>
      </c>
      <c r="BA1633">
        <v>1</v>
      </c>
      <c r="BB1633" t="str">
        <f t="shared" si="78"/>
        <v xml:space="preserve">N8080G  </v>
      </c>
      <c r="BC1633">
        <v>1</v>
      </c>
      <c r="BE1633">
        <v>0</v>
      </c>
      <c r="BF1633">
        <v>0</v>
      </c>
      <c r="BG1633">
        <v>0</v>
      </c>
      <c r="BH1633">
        <v>1700</v>
      </c>
      <c r="BI1633">
        <v>1</v>
      </c>
      <c r="BJ1633">
        <v>1</v>
      </c>
      <c r="BK1633">
        <v>1</v>
      </c>
      <c r="BL1633">
        <v>0</v>
      </c>
      <c r="BO1633">
        <v>0</v>
      </c>
      <c r="BP1633">
        <v>0</v>
      </c>
      <c r="BW1633" t="str">
        <f>"20:22:14.923"</f>
        <v>20:22:14.923</v>
      </c>
      <c r="BZ1633">
        <v>0</v>
      </c>
      <c r="CA1633">
        <v>2016</v>
      </c>
      <c r="CB1633">
        <v>224</v>
      </c>
      <c r="CD1633">
        <v>1</v>
      </c>
      <c r="CE1633">
        <v>0</v>
      </c>
      <c r="CF1633">
        <v>0</v>
      </c>
      <c r="CG1633">
        <v>1</v>
      </c>
      <c r="CH1633">
        <v>0</v>
      </c>
      <c r="CI1633">
        <v>0</v>
      </c>
      <c r="CJ1633">
        <v>0</v>
      </c>
      <c r="CK1633">
        <v>2</v>
      </c>
      <c r="CL1633">
        <v>0</v>
      </c>
      <c r="CM1633">
        <v>2</v>
      </c>
      <c r="CN1633">
        <v>0</v>
      </c>
      <c r="CO1633">
        <v>7</v>
      </c>
      <c r="CP1633" t="s">
        <v>119</v>
      </c>
      <c r="CQ1633">
        <v>180</v>
      </c>
      <c r="CR1633">
        <v>2</v>
      </c>
      <c r="CW1633">
        <v>8276926</v>
      </c>
      <c r="CY1633">
        <v>1</v>
      </c>
      <c r="CZ1633">
        <v>0</v>
      </c>
      <c r="DA1633">
        <v>1</v>
      </c>
      <c r="DB1633">
        <v>0</v>
      </c>
      <c r="DC1633">
        <v>0</v>
      </c>
      <c r="DD1633">
        <v>0</v>
      </c>
      <c r="DE1633">
        <v>0</v>
      </c>
      <c r="DF1633">
        <v>0</v>
      </c>
      <c r="DG1633">
        <v>0</v>
      </c>
      <c r="DH1633">
        <v>0</v>
      </c>
      <c r="DI1633">
        <v>0</v>
      </c>
    </row>
    <row r="1634" spans="1:113" x14ac:dyDescent="0.3">
      <c r="A1634" t="str">
        <f>"02/08/2021 20:22:12.583"</f>
        <v>02/08/2021 20:22:12.583</v>
      </c>
      <c r="C1634" t="str">
        <f t="shared" si="77"/>
        <v>FFDFD7C0</v>
      </c>
      <c r="D1634" t="s">
        <v>124</v>
      </c>
      <c r="E1634">
        <v>13</v>
      </c>
      <c r="F1634">
        <v>1013</v>
      </c>
      <c r="G1634" t="s">
        <v>114</v>
      </c>
      <c r="J1634" t="s">
        <v>125</v>
      </c>
      <c r="K1634">
        <v>0</v>
      </c>
      <c r="L1634">
        <v>3</v>
      </c>
      <c r="M1634">
        <v>0</v>
      </c>
      <c r="N1634">
        <v>2</v>
      </c>
      <c r="O1634">
        <v>1</v>
      </c>
      <c r="P1634">
        <v>0</v>
      </c>
      <c r="Q1634">
        <v>0</v>
      </c>
      <c r="S1634" t="str">
        <f>"20:22:14.922"</f>
        <v>20:22:14.922</v>
      </c>
      <c r="T1634" t="str">
        <f>"20:22:14.422"</f>
        <v>20:22:14.422</v>
      </c>
      <c r="U1634" t="str">
        <f t="shared" si="76"/>
        <v>AB01F4</v>
      </c>
      <c r="V1634">
        <v>0</v>
      </c>
      <c r="W1634">
        <v>0</v>
      </c>
      <c r="X1634">
        <v>2</v>
      </c>
      <c r="Z1634">
        <v>0</v>
      </c>
      <c r="AA1634">
        <v>9</v>
      </c>
      <c r="AB1634">
        <v>3</v>
      </c>
      <c r="AC1634">
        <v>0</v>
      </c>
      <c r="AD1634">
        <v>10</v>
      </c>
      <c r="AE1634">
        <v>0</v>
      </c>
      <c r="AF1634">
        <v>3</v>
      </c>
      <c r="AG1634">
        <v>2</v>
      </c>
      <c r="AH1634">
        <v>0</v>
      </c>
      <c r="AI1634" t="s">
        <v>1065</v>
      </c>
      <c r="AJ1634">
        <v>39.862110999999999</v>
      </c>
      <c r="AK1634" t="s">
        <v>1066</v>
      </c>
      <c r="AL1634">
        <v>-92.540052000000003</v>
      </c>
      <c r="AM1634">
        <v>100</v>
      </c>
      <c r="AN1634">
        <v>1700</v>
      </c>
      <c r="AO1634" t="s">
        <v>118</v>
      </c>
      <c r="AP1634">
        <v>-42</v>
      </c>
      <c r="AQ1634">
        <v>116</v>
      </c>
      <c r="AR1634">
        <v>-64</v>
      </c>
      <c r="AZ1634">
        <v>1200</v>
      </c>
      <c r="BA1634">
        <v>1</v>
      </c>
      <c r="BB1634" t="str">
        <f t="shared" si="78"/>
        <v xml:space="preserve">N8080G  </v>
      </c>
      <c r="BC1634">
        <v>1</v>
      </c>
      <c r="BE1634">
        <v>0</v>
      </c>
      <c r="BF1634">
        <v>0</v>
      </c>
      <c r="BG1634">
        <v>0</v>
      </c>
      <c r="BH1634">
        <v>1700</v>
      </c>
      <c r="BI1634">
        <v>1</v>
      </c>
      <c r="BJ1634">
        <v>1</v>
      </c>
      <c r="BK1634">
        <v>1</v>
      </c>
      <c r="BL1634">
        <v>0</v>
      </c>
      <c r="BO1634">
        <v>0</v>
      </c>
      <c r="BP1634">
        <v>0</v>
      </c>
      <c r="BW1634" t="str">
        <f>"20:22:14.923"</f>
        <v>20:22:14.923</v>
      </c>
      <c r="BZ1634">
        <v>0</v>
      </c>
      <c r="CA1634">
        <v>2016</v>
      </c>
      <c r="CB1634">
        <v>224</v>
      </c>
      <c r="CD1634">
        <v>1</v>
      </c>
      <c r="CE1634">
        <v>0</v>
      </c>
      <c r="CF1634">
        <v>0</v>
      </c>
      <c r="CG1634">
        <v>1</v>
      </c>
      <c r="CH1634">
        <v>0</v>
      </c>
      <c r="CI1634">
        <v>0</v>
      </c>
      <c r="CJ1634">
        <v>0</v>
      </c>
      <c r="CK1634">
        <v>2</v>
      </c>
      <c r="CL1634">
        <v>0</v>
      </c>
      <c r="CM1634">
        <v>2</v>
      </c>
      <c r="CN1634">
        <v>0</v>
      </c>
      <c r="CO1634">
        <v>7</v>
      </c>
      <c r="CP1634" t="s">
        <v>119</v>
      </c>
      <c r="CQ1634">
        <v>180</v>
      </c>
      <c r="CR1634">
        <v>2</v>
      </c>
      <c r="CW1634">
        <v>8276926</v>
      </c>
      <c r="CY1634">
        <v>1</v>
      </c>
      <c r="CZ1634">
        <v>0</v>
      </c>
      <c r="DA1634">
        <v>1</v>
      </c>
      <c r="DB1634">
        <v>0</v>
      </c>
      <c r="DC1634">
        <v>0</v>
      </c>
      <c r="DD1634">
        <v>0</v>
      </c>
      <c r="DE1634">
        <v>0</v>
      </c>
      <c r="DF1634">
        <v>0</v>
      </c>
      <c r="DG1634">
        <v>0</v>
      </c>
      <c r="DH1634">
        <v>0</v>
      </c>
      <c r="DI1634">
        <v>0</v>
      </c>
    </row>
    <row r="1635" spans="1:113" x14ac:dyDescent="0.3">
      <c r="A1635" t="str">
        <f>"02/08/2021 20:22:14.012"</f>
        <v>02/08/2021 20:22:14.012</v>
      </c>
      <c r="C1635" t="str">
        <f t="shared" si="77"/>
        <v>FFDFD7C0</v>
      </c>
      <c r="D1635" t="s">
        <v>113</v>
      </c>
      <c r="E1635">
        <v>6</v>
      </c>
      <c r="H1635">
        <v>165</v>
      </c>
      <c r="I1635" t="s">
        <v>114</v>
      </c>
      <c r="J1635" t="s">
        <v>115</v>
      </c>
      <c r="K1635">
        <v>0</v>
      </c>
      <c r="L1635">
        <v>3</v>
      </c>
      <c r="M1635">
        <v>0</v>
      </c>
      <c r="N1635">
        <v>2</v>
      </c>
      <c r="O1635">
        <v>1</v>
      </c>
      <c r="P1635">
        <v>0</v>
      </c>
      <c r="Q1635">
        <v>0</v>
      </c>
      <c r="S1635" t="str">
        <f>"20:22:16.352"</f>
        <v>20:22:16.352</v>
      </c>
      <c r="T1635" t="str">
        <f>"20:22:15.952"</f>
        <v>20:22:15.952</v>
      </c>
      <c r="U1635" t="str">
        <f t="shared" si="76"/>
        <v>AB01F4</v>
      </c>
      <c r="V1635">
        <v>0</v>
      </c>
      <c r="W1635">
        <v>0</v>
      </c>
      <c r="X1635">
        <v>2</v>
      </c>
      <c r="Z1635">
        <v>0</v>
      </c>
      <c r="AA1635">
        <v>9</v>
      </c>
      <c r="AB1635">
        <v>3</v>
      </c>
      <c r="AC1635">
        <v>0</v>
      </c>
      <c r="AD1635">
        <v>10</v>
      </c>
      <c r="AE1635">
        <v>0</v>
      </c>
      <c r="AF1635">
        <v>3</v>
      </c>
      <c r="AG1635">
        <v>2</v>
      </c>
      <c r="AH1635">
        <v>0</v>
      </c>
      <c r="AI1635" t="s">
        <v>1067</v>
      </c>
      <c r="AJ1635">
        <v>39.862839999999998</v>
      </c>
      <c r="AK1635" t="s">
        <v>1068</v>
      </c>
      <c r="AL1635">
        <v>-92.540417000000005</v>
      </c>
      <c r="AM1635">
        <v>100</v>
      </c>
      <c r="AN1635">
        <v>1700</v>
      </c>
      <c r="AO1635" t="s">
        <v>118</v>
      </c>
      <c r="AP1635">
        <v>-41</v>
      </c>
      <c r="AQ1635">
        <v>116</v>
      </c>
      <c r="AR1635">
        <v>0</v>
      </c>
      <c r="AZ1635">
        <v>1200</v>
      </c>
      <c r="BA1635">
        <v>1</v>
      </c>
      <c r="BB1635" t="str">
        <f t="shared" si="78"/>
        <v xml:space="preserve">N8080G  </v>
      </c>
      <c r="BC1635">
        <v>1</v>
      </c>
      <c r="BE1635">
        <v>0</v>
      </c>
      <c r="BF1635">
        <v>0</v>
      </c>
      <c r="BG1635">
        <v>0</v>
      </c>
      <c r="BH1635">
        <v>1700</v>
      </c>
      <c r="BI1635">
        <v>1</v>
      </c>
      <c r="BJ1635">
        <v>1</v>
      </c>
      <c r="BK1635">
        <v>1</v>
      </c>
      <c r="BL1635">
        <v>0</v>
      </c>
      <c r="BO1635">
        <v>0</v>
      </c>
      <c r="BP1635">
        <v>0</v>
      </c>
      <c r="BW1635" t="str">
        <f>"20:22:16.354"</f>
        <v>20:22:16.354</v>
      </c>
      <c r="BZ1635">
        <v>0</v>
      </c>
      <c r="CA1635">
        <v>2016</v>
      </c>
      <c r="CB1635">
        <v>224</v>
      </c>
      <c r="CD1635">
        <v>1</v>
      </c>
      <c r="CE1635">
        <v>0</v>
      </c>
      <c r="CF1635">
        <v>0</v>
      </c>
      <c r="CG1635">
        <v>1</v>
      </c>
      <c r="CH1635">
        <v>0</v>
      </c>
      <c r="CI1635">
        <v>0</v>
      </c>
      <c r="CJ1635">
        <v>0</v>
      </c>
      <c r="CK1635">
        <v>2</v>
      </c>
      <c r="CL1635">
        <v>0</v>
      </c>
      <c r="CM1635">
        <v>2</v>
      </c>
      <c r="CN1635">
        <v>0</v>
      </c>
      <c r="CO1635">
        <v>7</v>
      </c>
      <c r="CP1635" t="s">
        <v>119</v>
      </c>
      <c r="CQ1635">
        <v>180</v>
      </c>
      <c r="CR1635">
        <v>1</v>
      </c>
      <c r="CW1635">
        <v>10840928</v>
      </c>
      <c r="CY1635">
        <v>1</v>
      </c>
      <c r="CZ1635">
        <v>0</v>
      </c>
      <c r="DA1635">
        <v>0</v>
      </c>
      <c r="DB1635">
        <v>0</v>
      </c>
      <c r="DC1635">
        <v>0</v>
      </c>
      <c r="DD1635">
        <v>0</v>
      </c>
      <c r="DE1635">
        <v>0</v>
      </c>
      <c r="DF1635">
        <v>0</v>
      </c>
      <c r="DG1635">
        <v>0</v>
      </c>
      <c r="DH1635">
        <v>0</v>
      </c>
      <c r="DI1635">
        <v>0</v>
      </c>
    </row>
    <row r="1636" spans="1:113" x14ac:dyDescent="0.3">
      <c r="A1636" t="str">
        <f>"02/08/2021 20:22:14.012"</f>
        <v>02/08/2021 20:22:14.012</v>
      </c>
      <c r="C1636" t="str">
        <f t="shared" si="77"/>
        <v>FFDFD7C0</v>
      </c>
      <c r="D1636" t="s">
        <v>124</v>
      </c>
      <c r="E1636">
        <v>13</v>
      </c>
      <c r="F1636">
        <v>1013</v>
      </c>
      <c r="G1636" t="s">
        <v>114</v>
      </c>
      <c r="J1636" t="s">
        <v>125</v>
      </c>
      <c r="K1636">
        <v>0</v>
      </c>
      <c r="L1636">
        <v>3</v>
      </c>
      <c r="M1636">
        <v>0</v>
      </c>
      <c r="N1636">
        <v>2</v>
      </c>
      <c r="O1636">
        <v>1</v>
      </c>
      <c r="P1636">
        <v>0</v>
      </c>
      <c r="Q1636">
        <v>0</v>
      </c>
      <c r="S1636" t="str">
        <f>"20:22:16.352"</f>
        <v>20:22:16.352</v>
      </c>
      <c r="T1636" t="str">
        <f>"20:22:15.952"</f>
        <v>20:22:15.952</v>
      </c>
      <c r="U1636" t="str">
        <f t="shared" si="76"/>
        <v>AB01F4</v>
      </c>
      <c r="V1636">
        <v>0</v>
      </c>
      <c r="W1636">
        <v>0</v>
      </c>
      <c r="X1636">
        <v>2</v>
      </c>
      <c r="Z1636">
        <v>0</v>
      </c>
      <c r="AA1636">
        <v>9</v>
      </c>
      <c r="AB1636">
        <v>3</v>
      </c>
      <c r="AC1636">
        <v>0</v>
      </c>
      <c r="AD1636">
        <v>10</v>
      </c>
      <c r="AE1636">
        <v>0</v>
      </c>
      <c r="AF1636">
        <v>3</v>
      </c>
      <c r="AG1636">
        <v>2</v>
      </c>
      <c r="AH1636">
        <v>0</v>
      </c>
      <c r="AI1636" t="s">
        <v>1067</v>
      </c>
      <c r="AJ1636">
        <v>39.862839999999998</v>
      </c>
      <c r="AK1636" t="s">
        <v>1068</v>
      </c>
      <c r="AL1636">
        <v>-92.540417000000005</v>
      </c>
      <c r="AM1636">
        <v>100</v>
      </c>
      <c r="AN1636">
        <v>1700</v>
      </c>
      <c r="AO1636" t="s">
        <v>118</v>
      </c>
      <c r="AP1636">
        <v>-41</v>
      </c>
      <c r="AQ1636">
        <v>116</v>
      </c>
      <c r="AR1636">
        <v>0</v>
      </c>
      <c r="AZ1636">
        <v>1200</v>
      </c>
      <c r="BA1636">
        <v>1</v>
      </c>
      <c r="BB1636" t="str">
        <f t="shared" si="78"/>
        <v xml:space="preserve">N8080G  </v>
      </c>
      <c r="BC1636">
        <v>1</v>
      </c>
      <c r="BE1636">
        <v>0</v>
      </c>
      <c r="BF1636">
        <v>0</v>
      </c>
      <c r="BG1636">
        <v>0</v>
      </c>
      <c r="BH1636">
        <v>1700</v>
      </c>
      <c r="BI1636">
        <v>1</v>
      </c>
      <c r="BJ1636">
        <v>1</v>
      </c>
      <c r="BK1636">
        <v>1</v>
      </c>
      <c r="BL1636">
        <v>0</v>
      </c>
      <c r="BO1636">
        <v>0</v>
      </c>
      <c r="BP1636">
        <v>0</v>
      </c>
      <c r="BW1636" t="str">
        <f>"20:22:16.354"</f>
        <v>20:22:16.354</v>
      </c>
      <c r="BZ1636">
        <v>0</v>
      </c>
      <c r="CA1636">
        <v>2016</v>
      </c>
      <c r="CB1636">
        <v>224</v>
      </c>
      <c r="CD1636">
        <v>1</v>
      </c>
      <c r="CE1636">
        <v>0</v>
      </c>
      <c r="CF1636">
        <v>0</v>
      </c>
      <c r="CG1636">
        <v>1</v>
      </c>
      <c r="CH1636">
        <v>0</v>
      </c>
      <c r="CI1636">
        <v>0</v>
      </c>
      <c r="CJ1636">
        <v>0</v>
      </c>
      <c r="CK1636">
        <v>2</v>
      </c>
      <c r="CL1636">
        <v>0</v>
      </c>
      <c r="CM1636">
        <v>2</v>
      </c>
      <c r="CN1636">
        <v>0</v>
      </c>
      <c r="CO1636">
        <v>7</v>
      </c>
      <c r="CP1636" t="s">
        <v>119</v>
      </c>
      <c r="CQ1636">
        <v>180</v>
      </c>
      <c r="CR1636">
        <v>1</v>
      </c>
      <c r="CW1636">
        <v>10840928</v>
      </c>
      <c r="CY1636">
        <v>1</v>
      </c>
      <c r="CZ1636">
        <v>0</v>
      </c>
      <c r="DA1636">
        <v>1</v>
      </c>
      <c r="DB1636">
        <v>0</v>
      </c>
      <c r="DC1636">
        <v>0</v>
      </c>
      <c r="DD1636">
        <v>0</v>
      </c>
      <c r="DE1636">
        <v>0</v>
      </c>
      <c r="DF1636">
        <v>0</v>
      </c>
      <c r="DG1636">
        <v>0</v>
      </c>
      <c r="DH1636">
        <v>0</v>
      </c>
      <c r="DI1636">
        <v>0</v>
      </c>
    </row>
    <row r="1637" spans="1:113" x14ac:dyDescent="0.3">
      <c r="A1637" t="str">
        <f>"02/08/2021 20:22:14.012"</f>
        <v>02/08/2021 20:22:14.012</v>
      </c>
      <c r="C1637" t="str">
        <f t="shared" si="77"/>
        <v>FFDFD7C0</v>
      </c>
      <c r="D1637" t="s">
        <v>124</v>
      </c>
      <c r="E1637">
        <v>12</v>
      </c>
      <c r="F1637">
        <v>1012</v>
      </c>
      <c r="G1637" t="s">
        <v>675</v>
      </c>
      <c r="J1637" t="s">
        <v>125</v>
      </c>
      <c r="K1637">
        <v>0</v>
      </c>
      <c r="L1637">
        <v>3</v>
      </c>
      <c r="M1637">
        <v>0</v>
      </c>
      <c r="N1637">
        <v>2</v>
      </c>
      <c r="O1637">
        <v>1</v>
      </c>
      <c r="P1637">
        <v>0</v>
      </c>
      <c r="Q1637">
        <v>0</v>
      </c>
      <c r="S1637" t="str">
        <f>"20:22:16.352"</f>
        <v>20:22:16.352</v>
      </c>
      <c r="T1637" t="str">
        <f>"20:22:15.952"</f>
        <v>20:22:15.952</v>
      </c>
      <c r="U1637" t="str">
        <f t="shared" si="76"/>
        <v>AB01F4</v>
      </c>
      <c r="V1637">
        <v>0</v>
      </c>
      <c r="W1637">
        <v>0</v>
      </c>
      <c r="X1637">
        <v>2</v>
      </c>
      <c r="Z1637">
        <v>0</v>
      </c>
      <c r="AA1637">
        <v>9</v>
      </c>
      <c r="AB1637">
        <v>3</v>
      </c>
      <c r="AC1637">
        <v>0</v>
      </c>
      <c r="AD1637">
        <v>10</v>
      </c>
      <c r="AE1637">
        <v>0</v>
      </c>
      <c r="AF1637">
        <v>3</v>
      </c>
      <c r="AG1637">
        <v>2</v>
      </c>
      <c r="AH1637">
        <v>0</v>
      </c>
      <c r="AI1637" t="s">
        <v>1067</v>
      </c>
      <c r="AJ1637">
        <v>39.862839999999998</v>
      </c>
      <c r="AK1637" t="s">
        <v>1068</v>
      </c>
      <c r="AL1637">
        <v>-92.540417000000005</v>
      </c>
      <c r="AM1637">
        <v>100</v>
      </c>
      <c r="AN1637">
        <v>1700</v>
      </c>
      <c r="AO1637" t="s">
        <v>118</v>
      </c>
      <c r="AP1637">
        <v>-41</v>
      </c>
      <c r="AQ1637">
        <v>116</v>
      </c>
      <c r="AR1637">
        <v>0</v>
      </c>
      <c r="AZ1637">
        <v>1200</v>
      </c>
      <c r="BA1637">
        <v>1</v>
      </c>
      <c r="BB1637" t="str">
        <f t="shared" si="78"/>
        <v xml:space="preserve">N8080G  </v>
      </c>
      <c r="BC1637">
        <v>1</v>
      </c>
      <c r="BE1637">
        <v>0</v>
      </c>
      <c r="BF1637">
        <v>0</v>
      </c>
      <c r="BG1637">
        <v>0</v>
      </c>
      <c r="BH1637">
        <v>1700</v>
      </c>
      <c r="BI1637">
        <v>1</v>
      </c>
      <c r="BJ1637">
        <v>1</v>
      </c>
      <c r="BK1637">
        <v>1</v>
      </c>
      <c r="BL1637">
        <v>0</v>
      </c>
      <c r="BO1637">
        <v>0</v>
      </c>
      <c r="BP1637">
        <v>0</v>
      </c>
      <c r="BW1637" t="str">
        <f>"20:22:16.354"</f>
        <v>20:22:16.354</v>
      </c>
      <c r="BZ1637">
        <v>0</v>
      </c>
      <c r="CA1637">
        <v>2016</v>
      </c>
      <c r="CB1637">
        <v>224</v>
      </c>
      <c r="CD1637">
        <v>1</v>
      </c>
      <c r="CE1637">
        <v>0</v>
      </c>
      <c r="CF1637">
        <v>0</v>
      </c>
      <c r="CG1637">
        <v>1</v>
      </c>
      <c r="CH1637">
        <v>0</v>
      </c>
      <c r="CI1637">
        <v>0</v>
      </c>
      <c r="CJ1637">
        <v>0</v>
      </c>
      <c r="CK1637">
        <v>2</v>
      </c>
      <c r="CL1637">
        <v>0</v>
      </c>
      <c r="CM1637">
        <v>2</v>
      </c>
      <c r="CN1637">
        <v>0</v>
      </c>
      <c r="CO1637">
        <v>7</v>
      </c>
      <c r="CP1637" t="s">
        <v>119</v>
      </c>
      <c r="CQ1637">
        <v>180</v>
      </c>
      <c r="CR1637">
        <v>1</v>
      </c>
      <c r="CW1637">
        <v>10840928</v>
      </c>
      <c r="CY1637">
        <v>1</v>
      </c>
      <c r="CZ1637">
        <v>0</v>
      </c>
      <c r="DA1637">
        <v>1</v>
      </c>
      <c r="DB1637">
        <v>0</v>
      </c>
      <c r="DC1637">
        <v>0</v>
      </c>
      <c r="DD1637">
        <v>0</v>
      </c>
      <c r="DE1637">
        <v>0</v>
      </c>
      <c r="DF1637">
        <v>0</v>
      </c>
      <c r="DG1637">
        <v>0</v>
      </c>
      <c r="DH1637">
        <v>0</v>
      </c>
      <c r="DI1637">
        <v>0</v>
      </c>
    </row>
    <row r="1638" spans="1:113" x14ac:dyDescent="0.3">
      <c r="A1638" t="str">
        <f>"02/08/2021 20:22:14.012"</f>
        <v>02/08/2021 20:22:14.012</v>
      </c>
      <c r="C1638" t="str">
        <f t="shared" si="77"/>
        <v>FFDFD7C0</v>
      </c>
      <c r="D1638" t="s">
        <v>124</v>
      </c>
      <c r="E1638">
        <v>11</v>
      </c>
      <c r="F1638">
        <v>1011</v>
      </c>
      <c r="G1638" t="s">
        <v>590</v>
      </c>
      <c r="J1638" t="s">
        <v>125</v>
      </c>
      <c r="K1638">
        <v>0</v>
      </c>
      <c r="L1638">
        <v>3</v>
      </c>
      <c r="M1638">
        <v>0</v>
      </c>
      <c r="N1638">
        <v>2</v>
      </c>
      <c r="O1638">
        <v>1</v>
      </c>
      <c r="P1638">
        <v>0</v>
      </c>
      <c r="Q1638">
        <v>0</v>
      </c>
      <c r="S1638" t="str">
        <f>"20:22:16.352"</f>
        <v>20:22:16.352</v>
      </c>
      <c r="T1638" t="str">
        <f>"20:22:15.952"</f>
        <v>20:22:15.952</v>
      </c>
      <c r="U1638" t="str">
        <f t="shared" si="76"/>
        <v>AB01F4</v>
      </c>
      <c r="V1638">
        <v>0</v>
      </c>
      <c r="W1638">
        <v>0</v>
      </c>
      <c r="X1638">
        <v>2</v>
      </c>
      <c r="Z1638">
        <v>0</v>
      </c>
      <c r="AA1638">
        <v>9</v>
      </c>
      <c r="AB1638">
        <v>3</v>
      </c>
      <c r="AC1638">
        <v>0</v>
      </c>
      <c r="AD1638">
        <v>10</v>
      </c>
      <c r="AE1638">
        <v>0</v>
      </c>
      <c r="AF1638">
        <v>3</v>
      </c>
      <c r="AG1638">
        <v>2</v>
      </c>
      <c r="AH1638">
        <v>0</v>
      </c>
      <c r="AI1638" t="s">
        <v>1067</v>
      </c>
      <c r="AJ1638">
        <v>39.862839999999998</v>
      </c>
      <c r="AK1638" t="s">
        <v>1068</v>
      </c>
      <c r="AL1638">
        <v>-92.540417000000005</v>
      </c>
      <c r="AM1638">
        <v>100</v>
      </c>
      <c r="AN1638">
        <v>1700</v>
      </c>
      <c r="AO1638" t="s">
        <v>118</v>
      </c>
      <c r="AP1638">
        <v>-41</v>
      </c>
      <c r="AQ1638">
        <v>116</v>
      </c>
      <c r="AR1638">
        <v>0</v>
      </c>
      <c r="AZ1638">
        <v>1200</v>
      </c>
      <c r="BA1638">
        <v>1</v>
      </c>
      <c r="BB1638" t="str">
        <f t="shared" si="78"/>
        <v xml:space="preserve">N8080G  </v>
      </c>
      <c r="BC1638">
        <v>1</v>
      </c>
      <c r="BE1638">
        <v>0</v>
      </c>
      <c r="BF1638">
        <v>0</v>
      </c>
      <c r="BG1638">
        <v>0</v>
      </c>
      <c r="BH1638">
        <v>1700</v>
      </c>
      <c r="BI1638">
        <v>1</v>
      </c>
      <c r="BJ1638">
        <v>1</v>
      </c>
      <c r="BK1638">
        <v>1</v>
      </c>
      <c r="BL1638">
        <v>0</v>
      </c>
      <c r="BO1638">
        <v>0</v>
      </c>
      <c r="BP1638">
        <v>0</v>
      </c>
      <c r="BW1638" t="str">
        <f>"20:22:16.354"</f>
        <v>20:22:16.354</v>
      </c>
      <c r="BZ1638">
        <v>0</v>
      </c>
      <c r="CA1638">
        <v>2016</v>
      </c>
      <c r="CB1638">
        <v>224</v>
      </c>
      <c r="CD1638">
        <v>1</v>
      </c>
      <c r="CE1638">
        <v>0</v>
      </c>
      <c r="CF1638">
        <v>0</v>
      </c>
      <c r="CG1638">
        <v>1</v>
      </c>
      <c r="CH1638">
        <v>0</v>
      </c>
      <c r="CI1638">
        <v>0</v>
      </c>
      <c r="CJ1638">
        <v>0</v>
      </c>
      <c r="CK1638">
        <v>2</v>
      </c>
      <c r="CL1638">
        <v>0</v>
      </c>
      <c r="CM1638">
        <v>2</v>
      </c>
      <c r="CN1638">
        <v>0</v>
      </c>
      <c r="CO1638">
        <v>7</v>
      </c>
      <c r="CP1638" t="s">
        <v>119</v>
      </c>
      <c r="CQ1638">
        <v>180</v>
      </c>
      <c r="CR1638">
        <v>1</v>
      </c>
      <c r="CW1638">
        <v>10840928</v>
      </c>
      <c r="CY1638">
        <v>1</v>
      </c>
      <c r="CZ1638">
        <v>0</v>
      </c>
      <c r="DA1638">
        <v>1</v>
      </c>
      <c r="DB1638">
        <v>0</v>
      </c>
      <c r="DC1638">
        <v>0</v>
      </c>
      <c r="DD1638">
        <v>0</v>
      </c>
      <c r="DE1638">
        <v>0</v>
      </c>
      <c r="DF1638">
        <v>0</v>
      </c>
      <c r="DG1638">
        <v>0</v>
      </c>
      <c r="DH1638">
        <v>0</v>
      </c>
      <c r="DI1638">
        <v>0</v>
      </c>
    </row>
    <row r="1639" spans="1:113" x14ac:dyDescent="0.3">
      <c r="A1639" t="str">
        <f>"02/08/2021 20:22:15.949"</f>
        <v>02/08/2021 20:22:15.949</v>
      </c>
      <c r="C1639" t="str">
        <f t="shared" si="77"/>
        <v>FFDFD7C0</v>
      </c>
      <c r="D1639" t="s">
        <v>124</v>
      </c>
      <c r="E1639">
        <v>12</v>
      </c>
      <c r="F1639">
        <v>1012</v>
      </c>
      <c r="G1639" t="s">
        <v>675</v>
      </c>
      <c r="J1639" t="s">
        <v>125</v>
      </c>
      <c r="K1639">
        <v>0</v>
      </c>
      <c r="L1639">
        <v>3</v>
      </c>
      <c r="M1639">
        <v>0</v>
      </c>
      <c r="N1639">
        <v>2</v>
      </c>
      <c r="O1639">
        <v>1</v>
      </c>
      <c r="P1639">
        <v>0</v>
      </c>
      <c r="Q1639">
        <v>0</v>
      </c>
      <c r="S1639" t="str">
        <f>"20:22:18.289"</f>
        <v>20:22:18.289</v>
      </c>
      <c r="T1639" t="str">
        <f>"20:22:17.789"</f>
        <v>20:22:17.789</v>
      </c>
      <c r="U1639" t="str">
        <f t="shared" si="76"/>
        <v>AB01F4</v>
      </c>
      <c r="V1639">
        <v>0</v>
      </c>
      <c r="W1639">
        <v>0</v>
      </c>
      <c r="X1639">
        <v>2</v>
      </c>
      <c r="Z1639">
        <v>0</v>
      </c>
      <c r="AA1639">
        <v>9</v>
      </c>
      <c r="AB1639">
        <v>3</v>
      </c>
      <c r="AC1639">
        <v>0</v>
      </c>
      <c r="AD1639">
        <v>10</v>
      </c>
      <c r="AE1639">
        <v>0</v>
      </c>
      <c r="AF1639">
        <v>3</v>
      </c>
      <c r="AG1639">
        <v>2</v>
      </c>
      <c r="AH1639">
        <v>0</v>
      </c>
      <c r="AI1639" t="s">
        <v>1069</v>
      </c>
      <c r="AJ1639">
        <v>39.863892</v>
      </c>
      <c r="AK1639" t="s">
        <v>1070</v>
      </c>
      <c r="AL1639">
        <v>-92.540889000000007</v>
      </c>
      <c r="AM1639">
        <v>100</v>
      </c>
      <c r="AN1639">
        <v>1700</v>
      </c>
      <c r="AO1639" t="s">
        <v>118</v>
      </c>
      <c r="AP1639">
        <v>-42</v>
      </c>
      <c r="AQ1639">
        <v>116</v>
      </c>
      <c r="AR1639">
        <v>64</v>
      </c>
      <c r="AZ1639">
        <v>1200</v>
      </c>
      <c r="BA1639">
        <v>1</v>
      </c>
      <c r="BB1639" t="str">
        <f t="shared" si="78"/>
        <v xml:space="preserve">N8080G  </v>
      </c>
      <c r="BC1639">
        <v>1</v>
      </c>
      <c r="BE1639">
        <v>0</v>
      </c>
      <c r="BF1639">
        <v>0</v>
      </c>
      <c r="BG1639">
        <v>0</v>
      </c>
      <c r="BH1639">
        <v>1700</v>
      </c>
      <c r="BI1639">
        <v>1</v>
      </c>
      <c r="BJ1639">
        <v>1</v>
      </c>
      <c r="BK1639">
        <v>1</v>
      </c>
      <c r="BL1639">
        <v>0</v>
      </c>
      <c r="BO1639">
        <v>0</v>
      </c>
      <c r="BP1639">
        <v>0</v>
      </c>
      <c r="BW1639" t="str">
        <f>"20:22:18.294"</f>
        <v>20:22:18.294</v>
      </c>
      <c r="BZ1639">
        <v>0</v>
      </c>
      <c r="CA1639">
        <v>2016</v>
      </c>
      <c r="CB1639">
        <v>224</v>
      </c>
      <c r="CD1639">
        <v>1</v>
      </c>
      <c r="CE1639">
        <v>0</v>
      </c>
      <c r="CF1639">
        <v>0</v>
      </c>
      <c r="CG1639">
        <v>1</v>
      </c>
      <c r="CH1639">
        <v>0</v>
      </c>
      <c r="CI1639">
        <v>0</v>
      </c>
      <c r="CJ1639">
        <v>0</v>
      </c>
      <c r="CK1639">
        <v>2</v>
      </c>
      <c r="CL1639">
        <v>0</v>
      </c>
      <c r="CM1639">
        <v>2</v>
      </c>
      <c r="CN1639">
        <v>0</v>
      </c>
      <c r="CO1639">
        <v>7</v>
      </c>
      <c r="CP1639" t="s">
        <v>119</v>
      </c>
      <c r="CQ1639">
        <v>180</v>
      </c>
      <c r="CR1639">
        <v>1</v>
      </c>
      <c r="CW1639">
        <v>10842400</v>
      </c>
      <c r="CY1639">
        <v>1</v>
      </c>
      <c r="CZ1639">
        <v>0</v>
      </c>
      <c r="DA1639">
        <v>0</v>
      </c>
      <c r="DB1639">
        <v>0</v>
      </c>
      <c r="DC1639">
        <v>0</v>
      </c>
      <c r="DD1639">
        <v>0</v>
      </c>
      <c r="DE1639">
        <v>0</v>
      </c>
      <c r="DF1639">
        <v>0</v>
      </c>
      <c r="DG1639">
        <v>0</v>
      </c>
      <c r="DH1639">
        <v>0</v>
      </c>
      <c r="DI1639">
        <v>0</v>
      </c>
    </row>
    <row r="1640" spans="1:113" x14ac:dyDescent="0.3">
      <c r="A1640" t="str">
        <f>"02/08/2021 20:22:15.949"</f>
        <v>02/08/2021 20:22:15.949</v>
      </c>
      <c r="C1640" t="str">
        <f t="shared" si="77"/>
        <v>FFDFD7C0</v>
      </c>
      <c r="D1640" t="s">
        <v>124</v>
      </c>
      <c r="E1640">
        <v>11</v>
      </c>
      <c r="F1640">
        <v>1011</v>
      </c>
      <c r="G1640" t="s">
        <v>590</v>
      </c>
      <c r="J1640" t="s">
        <v>125</v>
      </c>
      <c r="K1640">
        <v>0</v>
      </c>
      <c r="L1640">
        <v>3</v>
      </c>
      <c r="M1640">
        <v>0</v>
      </c>
      <c r="N1640">
        <v>2</v>
      </c>
      <c r="O1640">
        <v>1</v>
      </c>
      <c r="P1640">
        <v>0</v>
      </c>
      <c r="Q1640">
        <v>0</v>
      </c>
      <c r="S1640" t="str">
        <f>"20:22:18.289"</f>
        <v>20:22:18.289</v>
      </c>
      <c r="T1640" t="str">
        <f>"20:22:17.789"</f>
        <v>20:22:17.789</v>
      </c>
      <c r="U1640" t="str">
        <f t="shared" si="76"/>
        <v>AB01F4</v>
      </c>
      <c r="V1640">
        <v>0</v>
      </c>
      <c r="W1640">
        <v>0</v>
      </c>
      <c r="X1640">
        <v>2</v>
      </c>
      <c r="Z1640">
        <v>0</v>
      </c>
      <c r="AA1640">
        <v>9</v>
      </c>
      <c r="AB1640">
        <v>3</v>
      </c>
      <c r="AC1640">
        <v>0</v>
      </c>
      <c r="AD1640">
        <v>10</v>
      </c>
      <c r="AE1640">
        <v>0</v>
      </c>
      <c r="AF1640">
        <v>3</v>
      </c>
      <c r="AG1640">
        <v>2</v>
      </c>
      <c r="AH1640">
        <v>0</v>
      </c>
      <c r="AI1640" t="s">
        <v>1069</v>
      </c>
      <c r="AJ1640">
        <v>39.863892</v>
      </c>
      <c r="AK1640" t="s">
        <v>1070</v>
      </c>
      <c r="AL1640">
        <v>-92.540889000000007</v>
      </c>
      <c r="AM1640">
        <v>100</v>
      </c>
      <c r="AN1640">
        <v>1700</v>
      </c>
      <c r="AO1640" t="s">
        <v>118</v>
      </c>
      <c r="AP1640">
        <v>-42</v>
      </c>
      <c r="AQ1640">
        <v>116</v>
      </c>
      <c r="AR1640">
        <v>64</v>
      </c>
      <c r="AZ1640">
        <v>1200</v>
      </c>
      <c r="BA1640">
        <v>1</v>
      </c>
      <c r="BB1640" t="str">
        <f t="shared" si="78"/>
        <v xml:space="preserve">N8080G  </v>
      </c>
      <c r="BC1640">
        <v>1</v>
      </c>
      <c r="BE1640">
        <v>0</v>
      </c>
      <c r="BF1640">
        <v>0</v>
      </c>
      <c r="BG1640">
        <v>0</v>
      </c>
      <c r="BH1640">
        <v>1700</v>
      </c>
      <c r="BI1640">
        <v>1</v>
      </c>
      <c r="BJ1640">
        <v>1</v>
      </c>
      <c r="BK1640">
        <v>1</v>
      </c>
      <c r="BL1640">
        <v>0</v>
      </c>
      <c r="BO1640">
        <v>0</v>
      </c>
      <c r="BP1640">
        <v>0</v>
      </c>
      <c r="BW1640" t="str">
        <f>"20:22:18.294"</f>
        <v>20:22:18.294</v>
      </c>
      <c r="BZ1640">
        <v>0</v>
      </c>
      <c r="CA1640">
        <v>2016</v>
      </c>
      <c r="CB1640">
        <v>224</v>
      </c>
      <c r="CD1640">
        <v>1</v>
      </c>
      <c r="CE1640">
        <v>0</v>
      </c>
      <c r="CF1640">
        <v>0</v>
      </c>
      <c r="CG1640">
        <v>1</v>
      </c>
      <c r="CH1640">
        <v>0</v>
      </c>
      <c r="CI1640">
        <v>0</v>
      </c>
      <c r="CJ1640">
        <v>0</v>
      </c>
      <c r="CK1640">
        <v>2</v>
      </c>
      <c r="CL1640">
        <v>0</v>
      </c>
      <c r="CM1640">
        <v>2</v>
      </c>
      <c r="CN1640">
        <v>0</v>
      </c>
      <c r="CO1640">
        <v>7</v>
      </c>
      <c r="CP1640" t="s">
        <v>119</v>
      </c>
      <c r="CQ1640">
        <v>180</v>
      </c>
      <c r="CR1640">
        <v>1</v>
      </c>
      <c r="CW1640">
        <v>10842400</v>
      </c>
      <c r="CY1640">
        <v>1</v>
      </c>
      <c r="CZ1640">
        <v>0</v>
      </c>
      <c r="DA1640">
        <v>1</v>
      </c>
      <c r="DB1640">
        <v>0</v>
      </c>
      <c r="DC1640">
        <v>0</v>
      </c>
      <c r="DD1640">
        <v>0</v>
      </c>
      <c r="DE1640">
        <v>0</v>
      </c>
      <c r="DF1640">
        <v>0</v>
      </c>
      <c r="DG1640">
        <v>0</v>
      </c>
      <c r="DH1640">
        <v>0</v>
      </c>
      <c r="DI1640">
        <v>0</v>
      </c>
    </row>
    <row r="1641" spans="1:113" x14ac:dyDescent="0.3">
      <c r="A1641" t="str">
        <f>"02/08/2021 20:22:15.949"</f>
        <v>02/08/2021 20:22:15.949</v>
      </c>
      <c r="C1641" t="str">
        <f t="shared" si="77"/>
        <v>FFDFD7C0</v>
      </c>
      <c r="D1641" t="s">
        <v>124</v>
      </c>
      <c r="E1641">
        <v>13</v>
      </c>
      <c r="F1641">
        <v>1013</v>
      </c>
      <c r="G1641" t="s">
        <v>114</v>
      </c>
      <c r="J1641" t="s">
        <v>125</v>
      </c>
      <c r="K1641">
        <v>0</v>
      </c>
      <c r="L1641">
        <v>3</v>
      </c>
      <c r="M1641">
        <v>0</v>
      </c>
      <c r="N1641">
        <v>2</v>
      </c>
      <c r="O1641">
        <v>1</v>
      </c>
      <c r="P1641">
        <v>0</v>
      </c>
      <c r="Q1641">
        <v>0</v>
      </c>
      <c r="S1641" t="str">
        <f>"20:22:18.289"</f>
        <v>20:22:18.289</v>
      </c>
      <c r="T1641" t="str">
        <f>"20:22:17.789"</f>
        <v>20:22:17.789</v>
      </c>
      <c r="U1641" t="str">
        <f t="shared" si="76"/>
        <v>AB01F4</v>
      </c>
      <c r="V1641">
        <v>0</v>
      </c>
      <c r="W1641">
        <v>0</v>
      </c>
      <c r="X1641">
        <v>2</v>
      </c>
      <c r="Z1641">
        <v>0</v>
      </c>
      <c r="AA1641">
        <v>9</v>
      </c>
      <c r="AB1641">
        <v>3</v>
      </c>
      <c r="AC1641">
        <v>0</v>
      </c>
      <c r="AD1641">
        <v>10</v>
      </c>
      <c r="AE1641">
        <v>0</v>
      </c>
      <c r="AF1641">
        <v>3</v>
      </c>
      <c r="AG1641">
        <v>2</v>
      </c>
      <c r="AH1641">
        <v>0</v>
      </c>
      <c r="AI1641" t="s">
        <v>1069</v>
      </c>
      <c r="AJ1641">
        <v>39.863892</v>
      </c>
      <c r="AK1641" t="s">
        <v>1070</v>
      </c>
      <c r="AL1641">
        <v>-92.540889000000007</v>
      </c>
      <c r="AM1641">
        <v>100</v>
      </c>
      <c r="AN1641">
        <v>1700</v>
      </c>
      <c r="AO1641" t="s">
        <v>118</v>
      </c>
      <c r="AP1641">
        <v>-42</v>
      </c>
      <c r="AQ1641">
        <v>116</v>
      </c>
      <c r="AR1641">
        <v>64</v>
      </c>
      <c r="AZ1641">
        <v>1200</v>
      </c>
      <c r="BA1641">
        <v>1</v>
      </c>
      <c r="BB1641" t="str">
        <f t="shared" si="78"/>
        <v xml:space="preserve">N8080G  </v>
      </c>
      <c r="BC1641">
        <v>1</v>
      </c>
      <c r="BE1641">
        <v>0</v>
      </c>
      <c r="BF1641">
        <v>0</v>
      </c>
      <c r="BG1641">
        <v>0</v>
      </c>
      <c r="BH1641">
        <v>1700</v>
      </c>
      <c r="BI1641">
        <v>1</v>
      </c>
      <c r="BJ1641">
        <v>1</v>
      </c>
      <c r="BK1641">
        <v>1</v>
      </c>
      <c r="BL1641">
        <v>0</v>
      </c>
      <c r="BO1641">
        <v>0</v>
      </c>
      <c r="BP1641">
        <v>0</v>
      </c>
      <c r="BW1641" t="str">
        <f>"20:22:18.294"</f>
        <v>20:22:18.294</v>
      </c>
      <c r="BZ1641">
        <v>0</v>
      </c>
      <c r="CA1641">
        <v>2016</v>
      </c>
      <c r="CB1641">
        <v>224</v>
      </c>
      <c r="CD1641">
        <v>1</v>
      </c>
      <c r="CE1641">
        <v>0</v>
      </c>
      <c r="CF1641">
        <v>0</v>
      </c>
      <c r="CG1641">
        <v>1</v>
      </c>
      <c r="CH1641">
        <v>0</v>
      </c>
      <c r="CI1641">
        <v>0</v>
      </c>
      <c r="CJ1641">
        <v>0</v>
      </c>
      <c r="CK1641">
        <v>2</v>
      </c>
      <c r="CL1641">
        <v>0</v>
      </c>
      <c r="CM1641">
        <v>2</v>
      </c>
      <c r="CN1641">
        <v>0</v>
      </c>
      <c r="CO1641">
        <v>7</v>
      </c>
      <c r="CP1641" t="s">
        <v>119</v>
      </c>
      <c r="CQ1641">
        <v>180</v>
      </c>
      <c r="CR1641">
        <v>1</v>
      </c>
      <c r="CW1641">
        <v>10842400</v>
      </c>
      <c r="CY1641">
        <v>1</v>
      </c>
      <c r="CZ1641">
        <v>0</v>
      </c>
      <c r="DA1641">
        <v>1</v>
      </c>
      <c r="DB1641">
        <v>0</v>
      </c>
      <c r="DC1641">
        <v>0</v>
      </c>
      <c r="DD1641">
        <v>0</v>
      </c>
      <c r="DE1641">
        <v>0</v>
      </c>
      <c r="DF1641">
        <v>0</v>
      </c>
      <c r="DG1641">
        <v>0</v>
      </c>
      <c r="DH1641">
        <v>0</v>
      </c>
      <c r="DI1641">
        <v>0</v>
      </c>
    </row>
    <row r="1642" spans="1:113" x14ac:dyDescent="0.3">
      <c r="A1642" t="str">
        <f>"02/08/2021 20:22:15.949"</f>
        <v>02/08/2021 20:22:15.949</v>
      </c>
      <c r="C1642" t="str">
        <f t="shared" si="77"/>
        <v>FFDFD7C0</v>
      </c>
      <c r="D1642" t="s">
        <v>113</v>
      </c>
      <c r="E1642">
        <v>6</v>
      </c>
      <c r="H1642">
        <v>165</v>
      </c>
      <c r="I1642" t="s">
        <v>114</v>
      </c>
      <c r="J1642" t="s">
        <v>115</v>
      </c>
      <c r="K1642">
        <v>0</v>
      </c>
      <c r="L1642">
        <v>3</v>
      </c>
      <c r="M1642">
        <v>0</v>
      </c>
      <c r="N1642">
        <v>2</v>
      </c>
      <c r="O1642">
        <v>1</v>
      </c>
      <c r="P1642">
        <v>0</v>
      </c>
      <c r="Q1642">
        <v>0</v>
      </c>
      <c r="S1642" t="str">
        <f>"20:22:18.289"</f>
        <v>20:22:18.289</v>
      </c>
      <c r="T1642" t="str">
        <f>"20:22:17.789"</f>
        <v>20:22:17.789</v>
      </c>
      <c r="U1642" t="str">
        <f t="shared" si="76"/>
        <v>AB01F4</v>
      </c>
      <c r="V1642">
        <v>0</v>
      </c>
      <c r="W1642">
        <v>0</v>
      </c>
      <c r="X1642">
        <v>2</v>
      </c>
      <c r="Z1642">
        <v>0</v>
      </c>
      <c r="AA1642">
        <v>9</v>
      </c>
      <c r="AB1642">
        <v>3</v>
      </c>
      <c r="AC1642">
        <v>0</v>
      </c>
      <c r="AD1642">
        <v>10</v>
      </c>
      <c r="AE1642">
        <v>0</v>
      </c>
      <c r="AF1642">
        <v>3</v>
      </c>
      <c r="AG1642">
        <v>2</v>
      </c>
      <c r="AH1642">
        <v>0</v>
      </c>
      <c r="AI1642" t="s">
        <v>1069</v>
      </c>
      <c r="AJ1642">
        <v>39.863892</v>
      </c>
      <c r="AK1642" t="s">
        <v>1070</v>
      </c>
      <c r="AL1642">
        <v>-92.540889000000007</v>
      </c>
      <c r="AM1642">
        <v>100</v>
      </c>
      <c r="AN1642">
        <v>1700</v>
      </c>
      <c r="AO1642" t="s">
        <v>118</v>
      </c>
      <c r="AP1642">
        <v>-42</v>
      </c>
      <c r="AQ1642">
        <v>116</v>
      </c>
      <c r="AR1642">
        <v>64</v>
      </c>
      <c r="AZ1642">
        <v>1200</v>
      </c>
      <c r="BA1642">
        <v>1</v>
      </c>
      <c r="BB1642" t="str">
        <f t="shared" si="78"/>
        <v xml:space="preserve">N8080G  </v>
      </c>
      <c r="BC1642">
        <v>1</v>
      </c>
      <c r="BE1642">
        <v>0</v>
      </c>
      <c r="BF1642">
        <v>0</v>
      </c>
      <c r="BG1642">
        <v>0</v>
      </c>
      <c r="BH1642">
        <v>1700</v>
      </c>
      <c r="BI1642">
        <v>1</v>
      </c>
      <c r="BJ1642">
        <v>1</v>
      </c>
      <c r="BK1642">
        <v>1</v>
      </c>
      <c r="BL1642">
        <v>0</v>
      </c>
      <c r="BO1642">
        <v>0</v>
      </c>
      <c r="BP1642">
        <v>0</v>
      </c>
      <c r="BW1642" t="str">
        <f>"20:22:18.294"</f>
        <v>20:22:18.294</v>
      </c>
      <c r="BZ1642">
        <v>0</v>
      </c>
      <c r="CA1642">
        <v>2016</v>
      </c>
      <c r="CB1642">
        <v>224</v>
      </c>
      <c r="CD1642">
        <v>1</v>
      </c>
      <c r="CE1642">
        <v>0</v>
      </c>
      <c r="CF1642">
        <v>0</v>
      </c>
      <c r="CG1642">
        <v>1</v>
      </c>
      <c r="CH1642">
        <v>0</v>
      </c>
      <c r="CI1642">
        <v>0</v>
      </c>
      <c r="CJ1642">
        <v>0</v>
      </c>
      <c r="CK1642">
        <v>2</v>
      </c>
      <c r="CL1642">
        <v>0</v>
      </c>
      <c r="CM1642">
        <v>2</v>
      </c>
      <c r="CN1642">
        <v>0</v>
      </c>
      <c r="CO1642">
        <v>7</v>
      </c>
      <c r="CP1642" t="s">
        <v>119</v>
      </c>
      <c r="CQ1642">
        <v>180</v>
      </c>
      <c r="CR1642">
        <v>1</v>
      </c>
      <c r="CW1642">
        <v>10842400</v>
      </c>
      <c r="CY1642">
        <v>1</v>
      </c>
      <c r="CZ1642">
        <v>0</v>
      </c>
      <c r="DA1642">
        <v>1</v>
      </c>
      <c r="DB1642">
        <v>0</v>
      </c>
      <c r="DC1642">
        <v>0</v>
      </c>
      <c r="DD1642">
        <v>0</v>
      </c>
      <c r="DE1642">
        <v>0</v>
      </c>
      <c r="DF1642">
        <v>0</v>
      </c>
      <c r="DG1642">
        <v>0</v>
      </c>
      <c r="DH1642">
        <v>0</v>
      </c>
      <c r="DI1642">
        <v>0</v>
      </c>
    </row>
    <row r="1643" spans="1:113" x14ac:dyDescent="0.3">
      <c r="A1643" t="str">
        <f>"02/08/2021 20:22:19.695"</f>
        <v>02/08/2021 20:22:19.695</v>
      </c>
      <c r="C1643" t="str">
        <f t="shared" si="77"/>
        <v>FFDFD7C0</v>
      </c>
      <c r="D1643" t="s">
        <v>124</v>
      </c>
      <c r="E1643">
        <v>11</v>
      </c>
      <c r="F1643">
        <v>1011</v>
      </c>
      <c r="G1643" t="s">
        <v>590</v>
      </c>
      <c r="J1643" t="s">
        <v>125</v>
      </c>
      <c r="K1643">
        <v>0</v>
      </c>
      <c r="L1643">
        <v>3</v>
      </c>
      <c r="M1643">
        <v>0</v>
      </c>
      <c r="N1643">
        <v>2</v>
      </c>
      <c r="O1643">
        <v>1</v>
      </c>
      <c r="P1643">
        <v>0</v>
      </c>
      <c r="Q1643">
        <v>0</v>
      </c>
      <c r="S1643" t="str">
        <f>"20:22:22.016"</f>
        <v>20:22:22.016</v>
      </c>
      <c r="T1643" t="str">
        <f>"20:22:21.616"</f>
        <v>20:22:21.616</v>
      </c>
      <c r="U1643" t="str">
        <f t="shared" si="76"/>
        <v>AB01F4</v>
      </c>
      <c r="V1643">
        <v>0</v>
      </c>
      <c r="W1643">
        <v>0</v>
      </c>
      <c r="X1643">
        <v>2</v>
      </c>
      <c r="Z1643">
        <v>0</v>
      </c>
      <c r="AA1643">
        <v>9</v>
      </c>
      <c r="AB1643">
        <v>3</v>
      </c>
      <c r="AC1643">
        <v>0</v>
      </c>
      <c r="AD1643">
        <v>10</v>
      </c>
      <c r="AE1643">
        <v>0</v>
      </c>
      <c r="AF1643">
        <v>3</v>
      </c>
      <c r="AG1643">
        <v>2</v>
      </c>
      <c r="AH1643">
        <v>0</v>
      </c>
      <c r="AI1643" t="s">
        <v>1071</v>
      </c>
      <c r="AJ1643">
        <v>39.865887000000001</v>
      </c>
      <c r="AK1643" t="s">
        <v>1072</v>
      </c>
      <c r="AL1643">
        <v>-92.541810999999996</v>
      </c>
      <c r="AM1643">
        <v>100</v>
      </c>
      <c r="AN1643">
        <v>1700</v>
      </c>
      <c r="AO1643" t="s">
        <v>118</v>
      </c>
      <c r="AP1643">
        <v>-41</v>
      </c>
      <c r="AQ1643">
        <v>116</v>
      </c>
      <c r="AR1643">
        <v>0</v>
      </c>
      <c r="AZ1643">
        <v>1200</v>
      </c>
      <c r="BA1643">
        <v>1</v>
      </c>
      <c r="BB1643" t="str">
        <f t="shared" si="78"/>
        <v xml:space="preserve">N8080G  </v>
      </c>
      <c r="BC1643">
        <v>1</v>
      </c>
      <c r="BE1643">
        <v>0</v>
      </c>
      <c r="BF1643">
        <v>0</v>
      </c>
      <c r="BG1643">
        <v>0</v>
      </c>
      <c r="BH1643">
        <v>1700</v>
      </c>
      <c r="BI1643">
        <v>1</v>
      </c>
      <c r="BJ1643">
        <v>1</v>
      </c>
      <c r="BK1643">
        <v>1</v>
      </c>
      <c r="BL1643">
        <v>0</v>
      </c>
      <c r="BO1643">
        <v>0</v>
      </c>
      <c r="BP1643">
        <v>0</v>
      </c>
      <c r="BW1643" t="str">
        <f>"20:22:22.018"</f>
        <v>20:22:22.018</v>
      </c>
      <c r="BZ1643">
        <v>0</v>
      </c>
      <c r="CA1643">
        <v>2016</v>
      </c>
      <c r="CB1643">
        <v>224</v>
      </c>
      <c r="CD1643">
        <v>1</v>
      </c>
      <c r="CE1643">
        <v>0</v>
      </c>
      <c r="CF1643">
        <v>0</v>
      </c>
      <c r="CG1643">
        <v>1</v>
      </c>
      <c r="CH1643">
        <v>0</v>
      </c>
      <c r="CI1643">
        <v>0</v>
      </c>
      <c r="CJ1643">
        <v>0</v>
      </c>
      <c r="CK1643">
        <v>2</v>
      </c>
      <c r="CL1643">
        <v>0</v>
      </c>
      <c r="CM1643">
        <v>2</v>
      </c>
      <c r="CN1643">
        <v>0</v>
      </c>
      <c r="CO1643">
        <v>7</v>
      </c>
      <c r="CP1643" t="s">
        <v>119</v>
      </c>
      <c r="CQ1643">
        <v>180</v>
      </c>
      <c r="CR1643">
        <v>1</v>
      </c>
      <c r="CW1643">
        <v>10845448</v>
      </c>
      <c r="CY1643">
        <v>1</v>
      </c>
      <c r="CZ1643">
        <v>0</v>
      </c>
      <c r="DA1643">
        <v>0</v>
      </c>
      <c r="DB1643">
        <v>0</v>
      </c>
      <c r="DC1643">
        <v>0</v>
      </c>
      <c r="DD1643">
        <v>0</v>
      </c>
      <c r="DE1643">
        <v>0</v>
      </c>
      <c r="DF1643">
        <v>0</v>
      </c>
      <c r="DG1643">
        <v>0</v>
      </c>
      <c r="DH1643">
        <v>0</v>
      </c>
      <c r="DI1643">
        <v>0</v>
      </c>
    </row>
    <row r="1644" spans="1:113" x14ac:dyDescent="0.3">
      <c r="A1644" t="str">
        <f>"02/08/2021 20:22:19.695"</f>
        <v>02/08/2021 20:22:19.695</v>
      </c>
      <c r="C1644" t="str">
        <f t="shared" si="77"/>
        <v>FFDFD7C0</v>
      </c>
      <c r="D1644" t="s">
        <v>124</v>
      </c>
      <c r="E1644">
        <v>13</v>
      </c>
      <c r="F1644">
        <v>1013</v>
      </c>
      <c r="G1644" t="s">
        <v>114</v>
      </c>
      <c r="J1644" t="s">
        <v>125</v>
      </c>
      <c r="K1644">
        <v>0</v>
      </c>
      <c r="L1644">
        <v>3</v>
      </c>
      <c r="M1644">
        <v>0</v>
      </c>
      <c r="N1644">
        <v>2</v>
      </c>
      <c r="O1644">
        <v>1</v>
      </c>
      <c r="P1644">
        <v>0</v>
      </c>
      <c r="Q1644">
        <v>0</v>
      </c>
      <c r="S1644" t="str">
        <f>"20:22:22.016"</f>
        <v>20:22:22.016</v>
      </c>
      <c r="T1644" t="str">
        <f>"20:22:21.616"</f>
        <v>20:22:21.616</v>
      </c>
      <c r="U1644" t="str">
        <f t="shared" si="76"/>
        <v>AB01F4</v>
      </c>
      <c r="V1644">
        <v>0</v>
      </c>
      <c r="W1644">
        <v>0</v>
      </c>
      <c r="X1644">
        <v>2</v>
      </c>
      <c r="Z1644">
        <v>0</v>
      </c>
      <c r="AA1644">
        <v>9</v>
      </c>
      <c r="AB1644">
        <v>3</v>
      </c>
      <c r="AC1644">
        <v>0</v>
      </c>
      <c r="AD1644">
        <v>10</v>
      </c>
      <c r="AE1644">
        <v>0</v>
      </c>
      <c r="AF1644">
        <v>3</v>
      </c>
      <c r="AG1644">
        <v>2</v>
      </c>
      <c r="AH1644">
        <v>0</v>
      </c>
      <c r="AI1644" t="s">
        <v>1071</v>
      </c>
      <c r="AJ1644">
        <v>39.865887000000001</v>
      </c>
      <c r="AK1644" t="s">
        <v>1072</v>
      </c>
      <c r="AL1644">
        <v>-92.541810999999996</v>
      </c>
      <c r="AM1644">
        <v>100</v>
      </c>
      <c r="AN1644">
        <v>1700</v>
      </c>
      <c r="AO1644" t="s">
        <v>118</v>
      </c>
      <c r="AP1644">
        <v>-41</v>
      </c>
      <c r="AQ1644">
        <v>116</v>
      </c>
      <c r="AR1644">
        <v>0</v>
      </c>
      <c r="AZ1644">
        <v>1200</v>
      </c>
      <c r="BA1644">
        <v>1</v>
      </c>
      <c r="BB1644" t="str">
        <f t="shared" si="78"/>
        <v xml:space="preserve">N8080G  </v>
      </c>
      <c r="BC1644">
        <v>1</v>
      </c>
      <c r="BE1644">
        <v>0</v>
      </c>
      <c r="BF1644">
        <v>0</v>
      </c>
      <c r="BG1644">
        <v>0</v>
      </c>
      <c r="BH1644">
        <v>1700</v>
      </c>
      <c r="BI1644">
        <v>1</v>
      </c>
      <c r="BJ1644">
        <v>1</v>
      </c>
      <c r="BK1644">
        <v>1</v>
      </c>
      <c r="BL1644">
        <v>0</v>
      </c>
      <c r="BO1644">
        <v>0</v>
      </c>
      <c r="BP1644">
        <v>0</v>
      </c>
      <c r="BW1644" t="str">
        <f>"20:22:22.018"</f>
        <v>20:22:22.018</v>
      </c>
      <c r="BZ1644">
        <v>0</v>
      </c>
      <c r="CA1644">
        <v>2016</v>
      </c>
      <c r="CB1644">
        <v>224</v>
      </c>
      <c r="CD1644">
        <v>1</v>
      </c>
      <c r="CE1644">
        <v>0</v>
      </c>
      <c r="CF1644">
        <v>0</v>
      </c>
      <c r="CG1644">
        <v>1</v>
      </c>
      <c r="CH1644">
        <v>0</v>
      </c>
      <c r="CI1644">
        <v>0</v>
      </c>
      <c r="CJ1644">
        <v>0</v>
      </c>
      <c r="CK1644">
        <v>2</v>
      </c>
      <c r="CL1644">
        <v>0</v>
      </c>
      <c r="CM1644">
        <v>2</v>
      </c>
      <c r="CN1644">
        <v>0</v>
      </c>
      <c r="CO1644">
        <v>7</v>
      </c>
      <c r="CP1644" t="s">
        <v>119</v>
      </c>
      <c r="CQ1644">
        <v>180</v>
      </c>
      <c r="CR1644">
        <v>1</v>
      </c>
      <c r="CW1644">
        <v>10845448</v>
      </c>
      <c r="CY1644">
        <v>1</v>
      </c>
      <c r="CZ1644">
        <v>0</v>
      </c>
      <c r="DA1644">
        <v>1</v>
      </c>
      <c r="DB1644">
        <v>0</v>
      </c>
      <c r="DC1644">
        <v>0</v>
      </c>
      <c r="DD1644">
        <v>0</v>
      </c>
      <c r="DE1644">
        <v>0</v>
      </c>
      <c r="DF1644">
        <v>0</v>
      </c>
      <c r="DG1644">
        <v>0</v>
      </c>
      <c r="DH1644">
        <v>0</v>
      </c>
      <c r="DI1644">
        <v>0</v>
      </c>
    </row>
    <row r="1645" spans="1:113" x14ac:dyDescent="0.3">
      <c r="A1645" t="str">
        <f>"02/08/2021 20:22:19.695"</f>
        <v>02/08/2021 20:22:19.695</v>
      </c>
      <c r="C1645" t="str">
        <f t="shared" si="77"/>
        <v>FFDFD7C0</v>
      </c>
      <c r="D1645" t="s">
        <v>113</v>
      </c>
      <c r="E1645">
        <v>6</v>
      </c>
      <c r="H1645">
        <v>165</v>
      </c>
      <c r="I1645" t="s">
        <v>114</v>
      </c>
      <c r="J1645" t="s">
        <v>115</v>
      </c>
      <c r="K1645">
        <v>0</v>
      </c>
      <c r="L1645">
        <v>3</v>
      </c>
      <c r="M1645">
        <v>0</v>
      </c>
      <c r="N1645">
        <v>2</v>
      </c>
      <c r="O1645">
        <v>1</v>
      </c>
      <c r="P1645">
        <v>0</v>
      </c>
      <c r="Q1645">
        <v>0</v>
      </c>
      <c r="S1645" t="str">
        <f>"20:22:22.016"</f>
        <v>20:22:22.016</v>
      </c>
      <c r="T1645" t="str">
        <f>"20:22:21.616"</f>
        <v>20:22:21.616</v>
      </c>
      <c r="U1645" t="str">
        <f t="shared" si="76"/>
        <v>AB01F4</v>
      </c>
      <c r="V1645">
        <v>0</v>
      </c>
      <c r="W1645">
        <v>0</v>
      </c>
      <c r="X1645">
        <v>2</v>
      </c>
      <c r="Z1645">
        <v>0</v>
      </c>
      <c r="AA1645">
        <v>9</v>
      </c>
      <c r="AB1645">
        <v>3</v>
      </c>
      <c r="AC1645">
        <v>0</v>
      </c>
      <c r="AD1645">
        <v>10</v>
      </c>
      <c r="AE1645">
        <v>0</v>
      </c>
      <c r="AF1645">
        <v>3</v>
      </c>
      <c r="AG1645">
        <v>2</v>
      </c>
      <c r="AH1645">
        <v>0</v>
      </c>
      <c r="AI1645" t="s">
        <v>1071</v>
      </c>
      <c r="AJ1645">
        <v>39.865887000000001</v>
      </c>
      <c r="AK1645" t="s">
        <v>1072</v>
      </c>
      <c r="AL1645">
        <v>-92.541810999999996</v>
      </c>
      <c r="AM1645">
        <v>100</v>
      </c>
      <c r="AN1645">
        <v>1700</v>
      </c>
      <c r="AO1645" t="s">
        <v>118</v>
      </c>
      <c r="AP1645">
        <v>-41</v>
      </c>
      <c r="AQ1645">
        <v>116</v>
      </c>
      <c r="AR1645">
        <v>0</v>
      </c>
      <c r="AZ1645">
        <v>1200</v>
      </c>
      <c r="BA1645">
        <v>1</v>
      </c>
      <c r="BB1645" t="str">
        <f t="shared" si="78"/>
        <v xml:space="preserve">N8080G  </v>
      </c>
      <c r="BC1645">
        <v>1</v>
      </c>
      <c r="BE1645">
        <v>0</v>
      </c>
      <c r="BF1645">
        <v>0</v>
      </c>
      <c r="BG1645">
        <v>0</v>
      </c>
      <c r="BH1645">
        <v>1700</v>
      </c>
      <c r="BI1645">
        <v>1</v>
      </c>
      <c r="BJ1645">
        <v>1</v>
      </c>
      <c r="BK1645">
        <v>1</v>
      </c>
      <c r="BL1645">
        <v>0</v>
      </c>
      <c r="BO1645">
        <v>0</v>
      </c>
      <c r="BP1645">
        <v>0</v>
      </c>
      <c r="BW1645" t="str">
        <f>"20:22:22.018"</f>
        <v>20:22:22.018</v>
      </c>
      <c r="BZ1645">
        <v>0</v>
      </c>
      <c r="CA1645">
        <v>2016</v>
      </c>
      <c r="CB1645">
        <v>224</v>
      </c>
      <c r="CD1645">
        <v>1</v>
      </c>
      <c r="CE1645">
        <v>0</v>
      </c>
      <c r="CF1645">
        <v>0</v>
      </c>
      <c r="CG1645">
        <v>1</v>
      </c>
      <c r="CH1645">
        <v>0</v>
      </c>
      <c r="CI1645">
        <v>0</v>
      </c>
      <c r="CJ1645">
        <v>0</v>
      </c>
      <c r="CK1645">
        <v>2</v>
      </c>
      <c r="CL1645">
        <v>0</v>
      </c>
      <c r="CM1645">
        <v>2</v>
      </c>
      <c r="CN1645">
        <v>0</v>
      </c>
      <c r="CO1645">
        <v>7</v>
      </c>
      <c r="CP1645" t="s">
        <v>119</v>
      </c>
      <c r="CQ1645">
        <v>180</v>
      </c>
      <c r="CR1645">
        <v>1</v>
      </c>
      <c r="CW1645">
        <v>10845448</v>
      </c>
      <c r="CY1645">
        <v>1</v>
      </c>
      <c r="CZ1645">
        <v>0</v>
      </c>
      <c r="DA1645">
        <v>1</v>
      </c>
      <c r="DB1645">
        <v>0</v>
      </c>
      <c r="DC1645">
        <v>0</v>
      </c>
      <c r="DD1645">
        <v>0</v>
      </c>
      <c r="DE1645">
        <v>0</v>
      </c>
      <c r="DF1645">
        <v>0</v>
      </c>
      <c r="DG1645">
        <v>0</v>
      </c>
      <c r="DH1645">
        <v>0</v>
      </c>
      <c r="DI1645">
        <v>0</v>
      </c>
    </row>
    <row r="1646" spans="1:113" x14ac:dyDescent="0.3">
      <c r="A1646" t="str">
        <f>"02/08/2021 20:22:19.695"</f>
        <v>02/08/2021 20:22:19.695</v>
      </c>
      <c r="C1646" t="str">
        <f t="shared" si="77"/>
        <v>FFDFD7C0</v>
      </c>
      <c r="D1646" t="s">
        <v>124</v>
      </c>
      <c r="E1646">
        <v>12</v>
      </c>
      <c r="F1646">
        <v>1012</v>
      </c>
      <c r="G1646" t="s">
        <v>675</v>
      </c>
      <c r="J1646" t="s">
        <v>125</v>
      </c>
      <c r="K1646">
        <v>0</v>
      </c>
      <c r="L1646">
        <v>3</v>
      </c>
      <c r="M1646">
        <v>0</v>
      </c>
      <c r="N1646">
        <v>2</v>
      </c>
      <c r="O1646">
        <v>1</v>
      </c>
      <c r="P1646">
        <v>0</v>
      </c>
      <c r="Q1646">
        <v>0</v>
      </c>
      <c r="S1646" t="str">
        <f>"20:22:22.016"</f>
        <v>20:22:22.016</v>
      </c>
      <c r="T1646" t="str">
        <f>"20:22:21.616"</f>
        <v>20:22:21.616</v>
      </c>
      <c r="U1646" t="str">
        <f t="shared" si="76"/>
        <v>AB01F4</v>
      </c>
      <c r="V1646">
        <v>0</v>
      </c>
      <c r="W1646">
        <v>0</v>
      </c>
      <c r="X1646">
        <v>2</v>
      </c>
      <c r="Z1646">
        <v>0</v>
      </c>
      <c r="AA1646">
        <v>9</v>
      </c>
      <c r="AB1646">
        <v>3</v>
      </c>
      <c r="AC1646">
        <v>0</v>
      </c>
      <c r="AD1646">
        <v>10</v>
      </c>
      <c r="AE1646">
        <v>0</v>
      </c>
      <c r="AF1646">
        <v>3</v>
      </c>
      <c r="AG1646">
        <v>2</v>
      </c>
      <c r="AH1646">
        <v>0</v>
      </c>
      <c r="AI1646" t="s">
        <v>1071</v>
      </c>
      <c r="AJ1646">
        <v>39.865887000000001</v>
      </c>
      <c r="AK1646" t="s">
        <v>1072</v>
      </c>
      <c r="AL1646">
        <v>-92.541810999999996</v>
      </c>
      <c r="AM1646">
        <v>100</v>
      </c>
      <c r="AN1646">
        <v>1700</v>
      </c>
      <c r="AO1646" t="s">
        <v>118</v>
      </c>
      <c r="AP1646">
        <v>-41</v>
      </c>
      <c r="AQ1646">
        <v>116</v>
      </c>
      <c r="AR1646">
        <v>0</v>
      </c>
      <c r="AZ1646">
        <v>1200</v>
      </c>
      <c r="BA1646">
        <v>1</v>
      </c>
      <c r="BB1646" t="str">
        <f t="shared" si="78"/>
        <v xml:space="preserve">N8080G  </v>
      </c>
      <c r="BC1646">
        <v>1</v>
      </c>
      <c r="BE1646">
        <v>0</v>
      </c>
      <c r="BF1646">
        <v>0</v>
      </c>
      <c r="BG1646">
        <v>0</v>
      </c>
      <c r="BH1646">
        <v>1700</v>
      </c>
      <c r="BI1646">
        <v>1</v>
      </c>
      <c r="BJ1646">
        <v>1</v>
      </c>
      <c r="BK1646">
        <v>1</v>
      </c>
      <c r="BL1646">
        <v>0</v>
      </c>
      <c r="BO1646">
        <v>0</v>
      </c>
      <c r="BP1646">
        <v>0</v>
      </c>
      <c r="BW1646" t="str">
        <f>"20:22:22.018"</f>
        <v>20:22:22.018</v>
      </c>
      <c r="BZ1646">
        <v>0</v>
      </c>
      <c r="CA1646">
        <v>2016</v>
      </c>
      <c r="CB1646">
        <v>224</v>
      </c>
      <c r="CD1646">
        <v>1</v>
      </c>
      <c r="CE1646">
        <v>0</v>
      </c>
      <c r="CF1646">
        <v>0</v>
      </c>
      <c r="CG1646">
        <v>1</v>
      </c>
      <c r="CH1646">
        <v>0</v>
      </c>
      <c r="CI1646">
        <v>0</v>
      </c>
      <c r="CJ1646">
        <v>0</v>
      </c>
      <c r="CK1646">
        <v>2</v>
      </c>
      <c r="CL1646">
        <v>0</v>
      </c>
      <c r="CM1646">
        <v>2</v>
      </c>
      <c r="CN1646">
        <v>0</v>
      </c>
      <c r="CO1646">
        <v>7</v>
      </c>
      <c r="CP1646" t="s">
        <v>119</v>
      </c>
      <c r="CQ1646">
        <v>180</v>
      </c>
      <c r="CR1646">
        <v>1</v>
      </c>
      <c r="CW1646">
        <v>10845448</v>
      </c>
      <c r="CY1646">
        <v>1</v>
      </c>
      <c r="CZ1646">
        <v>0</v>
      </c>
      <c r="DA1646">
        <v>1</v>
      </c>
      <c r="DB1646">
        <v>0</v>
      </c>
      <c r="DC1646">
        <v>0</v>
      </c>
      <c r="DD1646">
        <v>0</v>
      </c>
      <c r="DE1646">
        <v>0</v>
      </c>
      <c r="DF1646">
        <v>0</v>
      </c>
      <c r="DG1646">
        <v>0</v>
      </c>
      <c r="DH1646">
        <v>0</v>
      </c>
      <c r="DI1646">
        <v>0</v>
      </c>
    </row>
    <row r="1647" spans="1:113" x14ac:dyDescent="0.3">
      <c r="A1647" t="str">
        <f>"02/08/2021 20:22:21.334"</f>
        <v>02/08/2021 20:22:21.334</v>
      </c>
      <c r="C1647" t="str">
        <f t="shared" si="77"/>
        <v>FFDFD7C0</v>
      </c>
      <c r="D1647" t="s">
        <v>124</v>
      </c>
      <c r="E1647">
        <v>12</v>
      </c>
      <c r="F1647">
        <v>1012</v>
      </c>
      <c r="G1647" t="s">
        <v>675</v>
      </c>
      <c r="J1647" t="s">
        <v>125</v>
      </c>
      <c r="K1647">
        <v>0</v>
      </c>
      <c r="L1647">
        <v>3</v>
      </c>
      <c r="M1647">
        <v>0</v>
      </c>
      <c r="N1647">
        <v>2</v>
      </c>
      <c r="O1647">
        <v>1</v>
      </c>
      <c r="P1647">
        <v>0</v>
      </c>
      <c r="Q1647">
        <v>0</v>
      </c>
      <c r="S1647" t="str">
        <f>"20:22:23.625"</f>
        <v>20:22:23.625</v>
      </c>
      <c r="T1647" t="str">
        <f>"20:22:23.125"</f>
        <v>20:22:23.125</v>
      </c>
      <c r="U1647" t="str">
        <f t="shared" si="76"/>
        <v>AB01F4</v>
      </c>
      <c r="V1647">
        <v>0</v>
      </c>
      <c r="W1647">
        <v>0</v>
      </c>
      <c r="X1647">
        <v>2</v>
      </c>
      <c r="Z1647">
        <v>0</v>
      </c>
      <c r="AA1647">
        <v>9</v>
      </c>
      <c r="AB1647">
        <v>3</v>
      </c>
      <c r="AC1647">
        <v>0</v>
      </c>
      <c r="AD1647">
        <v>10</v>
      </c>
      <c r="AE1647">
        <v>0</v>
      </c>
      <c r="AF1647">
        <v>3</v>
      </c>
      <c r="AG1647">
        <v>2</v>
      </c>
      <c r="AH1647">
        <v>0</v>
      </c>
      <c r="AI1647" t="s">
        <v>1073</v>
      </c>
      <c r="AJ1647">
        <v>39.866788</v>
      </c>
      <c r="AK1647" t="s">
        <v>1074</v>
      </c>
      <c r="AL1647">
        <v>-92.542241000000004</v>
      </c>
      <c r="AM1647">
        <v>100</v>
      </c>
      <c r="AN1647">
        <v>1700</v>
      </c>
      <c r="AO1647" t="s">
        <v>118</v>
      </c>
      <c r="AP1647">
        <v>-42</v>
      </c>
      <c r="AQ1647">
        <v>116</v>
      </c>
      <c r="AR1647">
        <v>-64</v>
      </c>
      <c r="AZ1647">
        <v>1200</v>
      </c>
      <c r="BA1647">
        <v>1</v>
      </c>
      <c r="BB1647" t="str">
        <f t="shared" si="78"/>
        <v xml:space="preserve">N8080G  </v>
      </c>
      <c r="BC1647">
        <v>1</v>
      </c>
      <c r="BE1647">
        <v>0</v>
      </c>
      <c r="BF1647">
        <v>0</v>
      </c>
      <c r="BG1647">
        <v>0</v>
      </c>
      <c r="BH1647">
        <v>1700</v>
      </c>
      <c r="BI1647">
        <v>1</v>
      </c>
      <c r="BJ1647">
        <v>1</v>
      </c>
      <c r="BK1647">
        <v>1</v>
      </c>
      <c r="BL1647">
        <v>0</v>
      </c>
      <c r="BO1647">
        <v>0</v>
      </c>
      <c r="BP1647">
        <v>0</v>
      </c>
      <c r="BW1647" t="str">
        <f>"20:22:23.628"</f>
        <v>20:22:23.628</v>
      </c>
      <c r="BZ1647">
        <v>0</v>
      </c>
      <c r="CA1647">
        <v>2016</v>
      </c>
      <c r="CB1647">
        <v>224</v>
      </c>
      <c r="CD1647">
        <v>1</v>
      </c>
      <c r="CE1647">
        <v>0</v>
      </c>
      <c r="CF1647">
        <v>0</v>
      </c>
      <c r="CG1647">
        <v>1</v>
      </c>
      <c r="CH1647">
        <v>0</v>
      </c>
      <c r="CI1647">
        <v>0</v>
      </c>
      <c r="CJ1647">
        <v>0</v>
      </c>
      <c r="CK1647">
        <v>2</v>
      </c>
      <c r="CL1647">
        <v>0</v>
      </c>
      <c r="CM1647">
        <v>2</v>
      </c>
      <c r="CN1647">
        <v>0</v>
      </c>
      <c r="CO1647">
        <v>7</v>
      </c>
      <c r="CP1647" t="s">
        <v>119</v>
      </c>
      <c r="CQ1647">
        <v>180</v>
      </c>
      <c r="CR1647">
        <v>2</v>
      </c>
      <c r="CW1647">
        <v>8283993</v>
      </c>
      <c r="CY1647">
        <v>1</v>
      </c>
      <c r="CZ1647">
        <v>0</v>
      </c>
      <c r="DA1647">
        <v>0</v>
      </c>
      <c r="DB1647">
        <v>0</v>
      </c>
      <c r="DC1647">
        <v>0</v>
      </c>
      <c r="DD1647">
        <v>0</v>
      </c>
      <c r="DE1647">
        <v>0</v>
      </c>
      <c r="DF1647">
        <v>0</v>
      </c>
      <c r="DG1647">
        <v>0</v>
      </c>
      <c r="DH1647">
        <v>0</v>
      </c>
      <c r="DI1647">
        <v>0</v>
      </c>
    </row>
    <row r="1648" spans="1:113" x14ac:dyDescent="0.3">
      <c r="A1648" t="str">
        <f>"02/08/2021 20:22:21.334"</f>
        <v>02/08/2021 20:22:21.334</v>
      </c>
      <c r="C1648" t="str">
        <f t="shared" si="77"/>
        <v>FFDFD7C0</v>
      </c>
      <c r="D1648" t="s">
        <v>113</v>
      </c>
      <c r="E1648">
        <v>6</v>
      </c>
      <c r="H1648">
        <v>165</v>
      </c>
      <c r="I1648" t="s">
        <v>114</v>
      </c>
      <c r="J1648" t="s">
        <v>115</v>
      </c>
      <c r="K1648">
        <v>0</v>
      </c>
      <c r="L1648">
        <v>3</v>
      </c>
      <c r="M1648">
        <v>0</v>
      </c>
      <c r="N1648">
        <v>2</v>
      </c>
      <c r="O1648">
        <v>1</v>
      </c>
      <c r="P1648">
        <v>0</v>
      </c>
      <c r="Q1648">
        <v>0</v>
      </c>
      <c r="S1648" t="str">
        <f>"20:22:23.625"</f>
        <v>20:22:23.625</v>
      </c>
      <c r="T1648" t="str">
        <f>"20:22:23.125"</f>
        <v>20:22:23.125</v>
      </c>
      <c r="U1648" t="str">
        <f t="shared" si="76"/>
        <v>AB01F4</v>
      </c>
      <c r="V1648">
        <v>0</v>
      </c>
      <c r="W1648">
        <v>0</v>
      </c>
      <c r="X1648">
        <v>2</v>
      </c>
      <c r="Z1648">
        <v>0</v>
      </c>
      <c r="AA1648">
        <v>9</v>
      </c>
      <c r="AB1648">
        <v>3</v>
      </c>
      <c r="AC1648">
        <v>0</v>
      </c>
      <c r="AD1648">
        <v>10</v>
      </c>
      <c r="AE1648">
        <v>0</v>
      </c>
      <c r="AF1648">
        <v>3</v>
      </c>
      <c r="AG1648">
        <v>2</v>
      </c>
      <c r="AH1648">
        <v>0</v>
      </c>
      <c r="AI1648" t="s">
        <v>1073</v>
      </c>
      <c r="AJ1648">
        <v>39.866788</v>
      </c>
      <c r="AK1648" t="s">
        <v>1074</v>
      </c>
      <c r="AL1648">
        <v>-92.542241000000004</v>
      </c>
      <c r="AM1648">
        <v>100</v>
      </c>
      <c r="AN1648">
        <v>1700</v>
      </c>
      <c r="AO1648" t="s">
        <v>118</v>
      </c>
      <c r="AP1648">
        <v>-42</v>
      </c>
      <c r="AQ1648">
        <v>116</v>
      </c>
      <c r="AR1648">
        <v>-64</v>
      </c>
      <c r="AZ1648">
        <v>1200</v>
      </c>
      <c r="BA1648">
        <v>1</v>
      </c>
      <c r="BB1648" t="str">
        <f t="shared" si="78"/>
        <v xml:space="preserve">N8080G  </v>
      </c>
      <c r="BC1648">
        <v>1</v>
      </c>
      <c r="BE1648">
        <v>0</v>
      </c>
      <c r="BF1648">
        <v>0</v>
      </c>
      <c r="BG1648">
        <v>0</v>
      </c>
      <c r="BH1648">
        <v>1700</v>
      </c>
      <c r="BI1648">
        <v>1</v>
      </c>
      <c r="BJ1648">
        <v>1</v>
      </c>
      <c r="BK1648">
        <v>1</v>
      </c>
      <c r="BL1648">
        <v>0</v>
      </c>
      <c r="BO1648">
        <v>0</v>
      </c>
      <c r="BP1648">
        <v>0</v>
      </c>
      <c r="BW1648" t="str">
        <f>"20:22:23.628"</f>
        <v>20:22:23.628</v>
      </c>
      <c r="BZ1648">
        <v>0</v>
      </c>
      <c r="CA1648">
        <v>2016</v>
      </c>
      <c r="CB1648">
        <v>224</v>
      </c>
      <c r="CD1648">
        <v>1</v>
      </c>
      <c r="CE1648">
        <v>0</v>
      </c>
      <c r="CF1648">
        <v>0</v>
      </c>
      <c r="CG1648">
        <v>1</v>
      </c>
      <c r="CH1648">
        <v>0</v>
      </c>
      <c r="CI1648">
        <v>0</v>
      </c>
      <c r="CJ1648">
        <v>0</v>
      </c>
      <c r="CK1648">
        <v>2</v>
      </c>
      <c r="CL1648">
        <v>0</v>
      </c>
      <c r="CM1648">
        <v>2</v>
      </c>
      <c r="CN1648">
        <v>0</v>
      </c>
      <c r="CO1648">
        <v>7</v>
      </c>
      <c r="CP1648" t="s">
        <v>119</v>
      </c>
      <c r="CQ1648">
        <v>180</v>
      </c>
      <c r="CR1648">
        <v>2</v>
      </c>
      <c r="CW1648">
        <v>8283993</v>
      </c>
      <c r="CY1648">
        <v>1</v>
      </c>
      <c r="CZ1648">
        <v>0</v>
      </c>
      <c r="DA1648">
        <v>1</v>
      </c>
      <c r="DB1648">
        <v>0</v>
      </c>
      <c r="DC1648">
        <v>0</v>
      </c>
      <c r="DD1648">
        <v>0</v>
      </c>
      <c r="DE1648">
        <v>0</v>
      </c>
      <c r="DF1648">
        <v>0</v>
      </c>
      <c r="DG1648">
        <v>0</v>
      </c>
      <c r="DH1648">
        <v>0</v>
      </c>
      <c r="DI1648">
        <v>0</v>
      </c>
    </row>
    <row r="1649" spans="1:113" x14ac:dyDescent="0.3">
      <c r="A1649" t="str">
        <f>"02/08/2021 20:22:21.334"</f>
        <v>02/08/2021 20:22:21.334</v>
      </c>
      <c r="C1649" t="str">
        <f t="shared" si="77"/>
        <v>FFDFD7C0</v>
      </c>
      <c r="D1649" t="s">
        <v>124</v>
      </c>
      <c r="E1649">
        <v>11</v>
      </c>
      <c r="F1649">
        <v>1011</v>
      </c>
      <c r="G1649" t="s">
        <v>590</v>
      </c>
      <c r="J1649" t="s">
        <v>125</v>
      </c>
      <c r="K1649">
        <v>0</v>
      </c>
      <c r="L1649">
        <v>3</v>
      </c>
      <c r="M1649">
        <v>0</v>
      </c>
      <c r="N1649">
        <v>2</v>
      </c>
      <c r="O1649">
        <v>1</v>
      </c>
      <c r="P1649">
        <v>0</v>
      </c>
      <c r="Q1649">
        <v>0</v>
      </c>
      <c r="S1649" t="str">
        <f>"20:22:23.625"</f>
        <v>20:22:23.625</v>
      </c>
      <c r="T1649" t="str">
        <f>"20:22:23.125"</f>
        <v>20:22:23.125</v>
      </c>
      <c r="U1649" t="str">
        <f t="shared" si="76"/>
        <v>AB01F4</v>
      </c>
      <c r="V1649">
        <v>0</v>
      </c>
      <c r="W1649">
        <v>0</v>
      </c>
      <c r="X1649">
        <v>2</v>
      </c>
      <c r="Z1649">
        <v>0</v>
      </c>
      <c r="AA1649">
        <v>9</v>
      </c>
      <c r="AB1649">
        <v>3</v>
      </c>
      <c r="AC1649">
        <v>0</v>
      </c>
      <c r="AD1649">
        <v>10</v>
      </c>
      <c r="AE1649">
        <v>0</v>
      </c>
      <c r="AF1649">
        <v>3</v>
      </c>
      <c r="AG1649">
        <v>2</v>
      </c>
      <c r="AH1649">
        <v>0</v>
      </c>
      <c r="AI1649" t="s">
        <v>1073</v>
      </c>
      <c r="AJ1649">
        <v>39.866788</v>
      </c>
      <c r="AK1649" t="s">
        <v>1074</v>
      </c>
      <c r="AL1649">
        <v>-92.542241000000004</v>
      </c>
      <c r="AM1649">
        <v>100</v>
      </c>
      <c r="AN1649">
        <v>1700</v>
      </c>
      <c r="AO1649" t="s">
        <v>118</v>
      </c>
      <c r="AP1649">
        <v>-42</v>
      </c>
      <c r="AQ1649">
        <v>116</v>
      </c>
      <c r="AR1649">
        <v>-64</v>
      </c>
      <c r="AZ1649">
        <v>1200</v>
      </c>
      <c r="BA1649">
        <v>1</v>
      </c>
      <c r="BB1649" t="str">
        <f t="shared" si="78"/>
        <v xml:space="preserve">N8080G  </v>
      </c>
      <c r="BC1649">
        <v>1</v>
      </c>
      <c r="BE1649">
        <v>0</v>
      </c>
      <c r="BF1649">
        <v>0</v>
      </c>
      <c r="BG1649">
        <v>0</v>
      </c>
      <c r="BH1649">
        <v>1700</v>
      </c>
      <c r="BI1649">
        <v>1</v>
      </c>
      <c r="BJ1649">
        <v>1</v>
      </c>
      <c r="BK1649">
        <v>1</v>
      </c>
      <c r="BL1649">
        <v>0</v>
      </c>
      <c r="BO1649">
        <v>0</v>
      </c>
      <c r="BP1649">
        <v>0</v>
      </c>
      <c r="BW1649" t="str">
        <f>"20:22:23.628"</f>
        <v>20:22:23.628</v>
      </c>
      <c r="BZ1649">
        <v>0</v>
      </c>
      <c r="CA1649">
        <v>2016</v>
      </c>
      <c r="CB1649">
        <v>224</v>
      </c>
      <c r="CD1649">
        <v>1</v>
      </c>
      <c r="CE1649">
        <v>0</v>
      </c>
      <c r="CF1649">
        <v>0</v>
      </c>
      <c r="CG1649">
        <v>1</v>
      </c>
      <c r="CH1649">
        <v>0</v>
      </c>
      <c r="CI1649">
        <v>0</v>
      </c>
      <c r="CJ1649">
        <v>0</v>
      </c>
      <c r="CK1649">
        <v>2</v>
      </c>
      <c r="CL1649">
        <v>0</v>
      </c>
      <c r="CM1649">
        <v>2</v>
      </c>
      <c r="CN1649">
        <v>0</v>
      </c>
      <c r="CO1649">
        <v>7</v>
      </c>
      <c r="CP1649" t="s">
        <v>119</v>
      </c>
      <c r="CQ1649">
        <v>180</v>
      </c>
      <c r="CR1649">
        <v>2</v>
      </c>
      <c r="CW1649">
        <v>8283993</v>
      </c>
      <c r="CY1649">
        <v>1</v>
      </c>
      <c r="CZ1649">
        <v>0</v>
      </c>
      <c r="DA1649">
        <v>1</v>
      </c>
      <c r="DB1649">
        <v>0</v>
      </c>
      <c r="DC1649">
        <v>0</v>
      </c>
      <c r="DD1649">
        <v>0</v>
      </c>
      <c r="DE1649">
        <v>0</v>
      </c>
      <c r="DF1649">
        <v>0</v>
      </c>
      <c r="DG1649">
        <v>0</v>
      </c>
      <c r="DH1649">
        <v>0</v>
      </c>
      <c r="DI1649">
        <v>0</v>
      </c>
    </row>
    <row r="1650" spans="1:113" x14ac:dyDescent="0.3">
      <c r="A1650" t="str">
        <f>"02/08/2021 20:22:21.334"</f>
        <v>02/08/2021 20:22:21.334</v>
      </c>
      <c r="C1650" t="str">
        <f t="shared" si="77"/>
        <v>FFDFD7C0</v>
      </c>
      <c r="D1650" t="s">
        <v>124</v>
      </c>
      <c r="E1650">
        <v>13</v>
      </c>
      <c r="F1650">
        <v>1013</v>
      </c>
      <c r="G1650" t="s">
        <v>114</v>
      </c>
      <c r="J1650" t="s">
        <v>125</v>
      </c>
      <c r="K1650">
        <v>0</v>
      </c>
      <c r="L1650">
        <v>3</v>
      </c>
      <c r="M1650">
        <v>0</v>
      </c>
      <c r="N1650">
        <v>2</v>
      </c>
      <c r="O1650">
        <v>1</v>
      </c>
      <c r="P1650">
        <v>0</v>
      </c>
      <c r="Q1650">
        <v>0</v>
      </c>
      <c r="S1650" t="str">
        <f>"20:22:23.625"</f>
        <v>20:22:23.625</v>
      </c>
      <c r="T1650" t="str">
        <f>"20:22:23.125"</f>
        <v>20:22:23.125</v>
      </c>
      <c r="U1650" t="str">
        <f t="shared" si="76"/>
        <v>AB01F4</v>
      </c>
      <c r="V1650">
        <v>0</v>
      </c>
      <c r="W1650">
        <v>0</v>
      </c>
      <c r="X1650">
        <v>2</v>
      </c>
      <c r="Z1650">
        <v>0</v>
      </c>
      <c r="AA1650">
        <v>9</v>
      </c>
      <c r="AB1650">
        <v>3</v>
      </c>
      <c r="AC1650">
        <v>0</v>
      </c>
      <c r="AD1650">
        <v>10</v>
      </c>
      <c r="AE1650">
        <v>0</v>
      </c>
      <c r="AF1650">
        <v>3</v>
      </c>
      <c r="AG1650">
        <v>2</v>
      </c>
      <c r="AH1650">
        <v>0</v>
      </c>
      <c r="AI1650" t="s">
        <v>1073</v>
      </c>
      <c r="AJ1650">
        <v>39.866788</v>
      </c>
      <c r="AK1650" t="s">
        <v>1074</v>
      </c>
      <c r="AL1650">
        <v>-92.542241000000004</v>
      </c>
      <c r="AM1650">
        <v>100</v>
      </c>
      <c r="AN1650">
        <v>1700</v>
      </c>
      <c r="AO1650" t="s">
        <v>118</v>
      </c>
      <c r="AP1650">
        <v>-42</v>
      </c>
      <c r="AQ1650">
        <v>116</v>
      </c>
      <c r="AR1650">
        <v>-64</v>
      </c>
      <c r="AZ1650">
        <v>1200</v>
      </c>
      <c r="BA1650">
        <v>1</v>
      </c>
      <c r="BB1650" t="str">
        <f t="shared" si="78"/>
        <v xml:space="preserve">N8080G  </v>
      </c>
      <c r="BC1650">
        <v>1</v>
      </c>
      <c r="BE1650">
        <v>0</v>
      </c>
      <c r="BF1650">
        <v>0</v>
      </c>
      <c r="BG1650">
        <v>0</v>
      </c>
      <c r="BH1650">
        <v>1700</v>
      </c>
      <c r="BI1650">
        <v>1</v>
      </c>
      <c r="BJ1650">
        <v>1</v>
      </c>
      <c r="BK1650">
        <v>1</v>
      </c>
      <c r="BL1650">
        <v>0</v>
      </c>
      <c r="BO1650">
        <v>0</v>
      </c>
      <c r="BP1650">
        <v>0</v>
      </c>
      <c r="BW1650" t="str">
        <f>"20:22:23.628"</f>
        <v>20:22:23.628</v>
      </c>
      <c r="BZ1650">
        <v>0</v>
      </c>
      <c r="CA1650">
        <v>2016</v>
      </c>
      <c r="CB1650">
        <v>224</v>
      </c>
      <c r="CD1650">
        <v>1</v>
      </c>
      <c r="CE1650">
        <v>0</v>
      </c>
      <c r="CF1650">
        <v>0</v>
      </c>
      <c r="CG1650">
        <v>1</v>
      </c>
      <c r="CH1650">
        <v>0</v>
      </c>
      <c r="CI1650">
        <v>0</v>
      </c>
      <c r="CJ1650">
        <v>0</v>
      </c>
      <c r="CK1650">
        <v>2</v>
      </c>
      <c r="CL1650">
        <v>0</v>
      </c>
      <c r="CM1650">
        <v>2</v>
      </c>
      <c r="CN1650">
        <v>0</v>
      </c>
      <c r="CO1650">
        <v>7</v>
      </c>
      <c r="CP1650" t="s">
        <v>119</v>
      </c>
      <c r="CQ1650">
        <v>180</v>
      </c>
      <c r="CR1650">
        <v>2</v>
      </c>
      <c r="CW1650">
        <v>8283993</v>
      </c>
      <c r="CY1650">
        <v>1</v>
      </c>
      <c r="CZ1650">
        <v>0</v>
      </c>
      <c r="DA1650">
        <v>1</v>
      </c>
      <c r="DB1650">
        <v>0</v>
      </c>
      <c r="DC1650">
        <v>0</v>
      </c>
      <c r="DD1650">
        <v>0</v>
      </c>
      <c r="DE1650">
        <v>0</v>
      </c>
      <c r="DF1650">
        <v>0</v>
      </c>
      <c r="DG1650">
        <v>0</v>
      </c>
      <c r="DH1650">
        <v>0</v>
      </c>
      <c r="DI1650">
        <v>0</v>
      </c>
    </row>
    <row r="1651" spans="1:113" x14ac:dyDescent="0.3">
      <c r="A1651" t="str">
        <f>"02/08/2021 20:22:22.892"</f>
        <v>02/08/2021 20:22:22.892</v>
      </c>
      <c r="C1651" t="str">
        <f t="shared" si="77"/>
        <v>FFDFD7C0</v>
      </c>
      <c r="D1651" t="s">
        <v>124</v>
      </c>
      <c r="E1651">
        <v>12</v>
      </c>
      <c r="F1651">
        <v>1012</v>
      </c>
      <c r="G1651" t="s">
        <v>675</v>
      </c>
      <c r="J1651" t="s">
        <v>125</v>
      </c>
      <c r="K1651">
        <v>0</v>
      </c>
      <c r="L1651">
        <v>3</v>
      </c>
      <c r="M1651">
        <v>0</v>
      </c>
      <c r="N1651">
        <v>2</v>
      </c>
      <c r="O1651">
        <v>1</v>
      </c>
      <c r="P1651">
        <v>0</v>
      </c>
      <c r="Q1651">
        <v>0</v>
      </c>
      <c r="S1651" t="str">
        <f>"20:22:25.195"</f>
        <v>20:22:25.195</v>
      </c>
      <c r="T1651" t="str">
        <f>"20:22:24.695"</f>
        <v>20:22:24.695</v>
      </c>
      <c r="U1651" t="str">
        <f t="shared" si="76"/>
        <v>AB01F4</v>
      </c>
      <c r="V1651">
        <v>0</v>
      </c>
      <c r="W1651">
        <v>0</v>
      </c>
      <c r="X1651">
        <v>2</v>
      </c>
      <c r="Z1651">
        <v>0</v>
      </c>
      <c r="AA1651">
        <v>9</v>
      </c>
      <c r="AB1651">
        <v>3</v>
      </c>
      <c r="AC1651">
        <v>0</v>
      </c>
      <c r="AD1651">
        <v>10</v>
      </c>
      <c r="AE1651">
        <v>0</v>
      </c>
      <c r="AF1651">
        <v>3</v>
      </c>
      <c r="AG1651">
        <v>2</v>
      </c>
      <c r="AH1651">
        <v>0</v>
      </c>
      <c r="AI1651" t="s">
        <v>1075</v>
      </c>
      <c r="AJ1651">
        <v>39.867604</v>
      </c>
      <c r="AK1651" t="s">
        <v>1076</v>
      </c>
      <c r="AL1651">
        <v>-92.542562000000004</v>
      </c>
      <c r="AM1651">
        <v>100</v>
      </c>
      <c r="AN1651">
        <v>1700</v>
      </c>
      <c r="AO1651" t="s">
        <v>118</v>
      </c>
      <c r="AP1651">
        <v>-41</v>
      </c>
      <c r="AQ1651">
        <v>116</v>
      </c>
      <c r="AR1651">
        <v>64</v>
      </c>
      <c r="AZ1651">
        <v>1200</v>
      </c>
      <c r="BA1651">
        <v>1</v>
      </c>
      <c r="BB1651" t="str">
        <f t="shared" si="78"/>
        <v xml:space="preserve">N8080G  </v>
      </c>
      <c r="BC1651">
        <v>1</v>
      </c>
      <c r="BE1651">
        <v>0</v>
      </c>
      <c r="BF1651">
        <v>0</v>
      </c>
      <c r="BG1651">
        <v>0</v>
      </c>
      <c r="BH1651">
        <v>1700</v>
      </c>
      <c r="BI1651">
        <v>1</v>
      </c>
      <c r="BJ1651">
        <v>1</v>
      </c>
      <c r="BK1651">
        <v>1</v>
      </c>
      <c r="BL1651">
        <v>0</v>
      </c>
      <c r="BO1651">
        <v>0</v>
      </c>
      <c r="BP1651">
        <v>0</v>
      </c>
      <c r="BW1651" t="str">
        <f>"20:22:25.201"</f>
        <v>20:22:25.201</v>
      </c>
      <c r="BZ1651">
        <v>0</v>
      </c>
      <c r="CA1651">
        <v>2016</v>
      </c>
      <c r="CB1651">
        <v>224</v>
      </c>
      <c r="CD1651">
        <v>1</v>
      </c>
      <c r="CE1651">
        <v>0</v>
      </c>
      <c r="CF1651">
        <v>0</v>
      </c>
      <c r="CG1651">
        <v>1</v>
      </c>
      <c r="CH1651">
        <v>0</v>
      </c>
      <c r="CI1651">
        <v>0</v>
      </c>
      <c r="CJ1651">
        <v>0</v>
      </c>
      <c r="CK1651">
        <v>2</v>
      </c>
      <c r="CL1651">
        <v>0</v>
      </c>
      <c r="CM1651">
        <v>2</v>
      </c>
      <c r="CN1651">
        <v>0</v>
      </c>
      <c r="CO1651">
        <v>7</v>
      </c>
      <c r="CP1651" t="s">
        <v>119</v>
      </c>
      <c r="CQ1651">
        <v>180</v>
      </c>
      <c r="CR1651">
        <v>1</v>
      </c>
      <c r="CW1651">
        <v>10848138</v>
      </c>
      <c r="CY1651">
        <v>1</v>
      </c>
      <c r="CZ1651">
        <v>0</v>
      </c>
      <c r="DA1651">
        <v>0</v>
      </c>
      <c r="DB1651">
        <v>0</v>
      </c>
      <c r="DC1651">
        <v>0</v>
      </c>
      <c r="DD1651">
        <v>0</v>
      </c>
      <c r="DE1651">
        <v>0</v>
      </c>
      <c r="DF1651">
        <v>0</v>
      </c>
      <c r="DG1651">
        <v>0</v>
      </c>
      <c r="DH1651">
        <v>0</v>
      </c>
      <c r="DI1651">
        <v>0</v>
      </c>
    </row>
    <row r="1652" spans="1:113" x14ac:dyDescent="0.3">
      <c r="A1652" t="str">
        <f>"02/08/2021 20:22:22.892"</f>
        <v>02/08/2021 20:22:22.892</v>
      </c>
      <c r="C1652" t="str">
        <f t="shared" si="77"/>
        <v>FFDFD7C0</v>
      </c>
      <c r="D1652" t="s">
        <v>113</v>
      </c>
      <c r="E1652">
        <v>6</v>
      </c>
      <c r="H1652">
        <v>165</v>
      </c>
      <c r="I1652" t="s">
        <v>114</v>
      </c>
      <c r="J1652" t="s">
        <v>115</v>
      </c>
      <c r="K1652">
        <v>0</v>
      </c>
      <c r="L1652">
        <v>3</v>
      </c>
      <c r="M1652">
        <v>0</v>
      </c>
      <c r="N1652">
        <v>2</v>
      </c>
      <c r="O1652">
        <v>1</v>
      </c>
      <c r="P1652">
        <v>0</v>
      </c>
      <c r="Q1652">
        <v>0</v>
      </c>
      <c r="S1652" t="str">
        <f>"20:22:25.195"</f>
        <v>20:22:25.195</v>
      </c>
      <c r="T1652" t="str">
        <f>"20:22:24.695"</f>
        <v>20:22:24.695</v>
      </c>
      <c r="U1652" t="str">
        <f t="shared" si="76"/>
        <v>AB01F4</v>
      </c>
      <c r="V1652">
        <v>0</v>
      </c>
      <c r="W1652">
        <v>0</v>
      </c>
      <c r="X1652">
        <v>2</v>
      </c>
      <c r="Z1652">
        <v>0</v>
      </c>
      <c r="AA1652">
        <v>9</v>
      </c>
      <c r="AB1652">
        <v>3</v>
      </c>
      <c r="AC1652">
        <v>0</v>
      </c>
      <c r="AD1652">
        <v>10</v>
      </c>
      <c r="AE1652">
        <v>0</v>
      </c>
      <c r="AF1652">
        <v>3</v>
      </c>
      <c r="AG1652">
        <v>2</v>
      </c>
      <c r="AH1652">
        <v>0</v>
      </c>
      <c r="AI1652" t="s">
        <v>1075</v>
      </c>
      <c r="AJ1652">
        <v>39.867604</v>
      </c>
      <c r="AK1652" t="s">
        <v>1076</v>
      </c>
      <c r="AL1652">
        <v>-92.542562000000004</v>
      </c>
      <c r="AM1652">
        <v>100</v>
      </c>
      <c r="AN1652">
        <v>1700</v>
      </c>
      <c r="AO1652" t="s">
        <v>118</v>
      </c>
      <c r="AP1652">
        <v>-41</v>
      </c>
      <c r="AQ1652">
        <v>116</v>
      </c>
      <c r="AR1652">
        <v>64</v>
      </c>
      <c r="AZ1652">
        <v>1200</v>
      </c>
      <c r="BA1652">
        <v>1</v>
      </c>
      <c r="BB1652" t="str">
        <f t="shared" si="78"/>
        <v xml:space="preserve">N8080G  </v>
      </c>
      <c r="BC1652">
        <v>1</v>
      </c>
      <c r="BE1652">
        <v>0</v>
      </c>
      <c r="BF1652">
        <v>0</v>
      </c>
      <c r="BG1652">
        <v>0</v>
      </c>
      <c r="BH1652">
        <v>1700</v>
      </c>
      <c r="BI1652">
        <v>1</v>
      </c>
      <c r="BJ1652">
        <v>1</v>
      </c>
      <c r="BK1652">
        <v>1</v>
      </c>
      <c r="BL1652">
        <v>0</v>
      </c>
      <c r="BO1652">
        <v>0</v>
      </c>
      <c r="BP1652">
        <v>0</v>
      </c>
      <c r="BW1652" t="str">
        <f>"20:22:25.201"</f>
        <v>20:22:25.201</v>
      </c>
      <c r="BZ1652">
        <v>0</v>
      </c>
      <c r="CA1652">
        <v>2016</v>
      </c>
      <c r="CB1652">
        <v>224</v>
      </c>
      <c r="CD1652">
        <v>1</v>
      </c>
      <c r="CE1652">
        <v>0</v>
      </c>
      <c r="CF1652">
        <v>0</v>
      </c>
      <c r="CG1652">
        <v>1</v>
      </c>
      <c r="CH1652">
        <v>0</v>
      </c>
      <c r="CI1652">
        <v>0</v>
      </c>
      <c r="CJ1652">
        <v>0</v>
      </c>
      <c r="CK1652">
        <v>2</v>
      </c>
      <c r="CL1652">
        <v>0</v>
      </c>
      <c r="CM1652">
        <v>2</v>
      </c>
      <c r="CN1652">
        <v>0</v>
      </c>
      <c r="CO1652">
        <v>7</v>
      </c>
      <c r="CP1652" t="s">
        <v>119</v>
      </c>
      <c r="CQ1652">
        <v>180</v>
      </c>
      <c r="CR1652">
        <v>1</v>
      </c>
      <c r="CW1652">
        <v>10848138</v>
      </c>
      <c r="CY1652">
        <v>1</v>
      </c>
      <c r="CZ1652">
        <v>0</v>
      </c>
      <c r="DA1652">
        <v>1</v>
      </c>
      <c r="DB1652">
        <v>0</v>
      </c>
      <c r="DC1652">
        <v>0</v>
      </c>
      <c r="DD1652">
        <v>0</v>
      </c>
      <c r="DE1652">
        <v>0</v>
      </c>
      <c r="DF1652">
        <v>0</v>
      </c>
      <c r="DG1652">
        <v>0</v>
      </c>
      <c r="DH1652">
        <v>0</v>
      </c>
      <c r="DI1652">
        <v>0</v>
      </c>
    </row>
    <row r="1653" spans="1:113" x14ac:dyDescent="0.3">
      <c r="A1653" t="str">
        <f>"02/08/2021 20:22:22.892"</f>
        <v>02/08/2021 20:22:22.892</v>
      </c>
      <c r="C1653" t="str">
        <f t="shared" si="77"/>
        <v>FFDFD7C0</v>
      </c>
      <c r="D1653" t="s">
        <v>124</v>
      </c>
      <c r="E1653">
        <v>11</v>
      </c>
      <c r="F1653">
        <v>1011</v>
      </c>
      <c r="G1653" t="s">
        <v>590</v>
      </c>
      <c r="J1653" t="s">
        <v>125</v>
      </c>
      <c r="K1653">
        <v>0</v>
      </c>
      <c r="L1653">
        <v>3</v>
      </c>
      <c r="M1653">
        <v>0</v>
      </c>
      <c r="N1653">
        <v>2</v>
      </c>
      <c r="O1653">
        <v>1</v>
      </c>
      <c r="P1653">
        <v>0</v>
      </c>
      <c r="Q1653">
        <v>0</v>
      </c>
      <c r="S1653" t="str">
        <f>"20:22:25.195"</f>
        <v>20:22:25.195</v>
      </c>
      <c r="T1653" t="str">
        <f>"20:22:24.695"</f>
        <v>20:22:24.695</v>
      </c>
      <c r="U1653" t="str">
        <f t="shared" si="76"/>
        <v>AB01F4</v>
      </c>
      <c r="V1653">
        <v>0</v>
      </c>
      <c r="W1653">
        <v>0</v>
      </c>
      <c r="X1653">
        <v>2</v>
      </c>
      <c r="Z1653">
        <v>0</v>
      </c>
      <c r="AA1653">
        <v>9</v>
      </c>
      <c r="AB1653">
        <v>3</v>
      </c>
      <c r="AC1653">
        <v>0</v>
      </c>
      <c r="AD1653">
        <v>10</v>
      </c>
      <c r="AE1653">
        <v>0</v>
      </c>
      <c r="AF1653">
        <v>3</v>
      </c>
      <c r="AG1653">
        <v>2</v>
      </c>
      <c r="AH1653">
        <v>0</v>
      </c>
      <c r="AI1653" t="s">
        <v>1075</v>
      </c>
      <c r="AJ1653">
        <v>39.867604</v>
      </c>
      <c r="AK1653" t="s">
        <v>1076</v>
      </c>
      <c r="AL1653">
        <v>-92.542562000000004</v>
      </c>
      <c r="AM1653">
        <v>100</v>
      </c>
      <c r="AN1653">
        <v>1700</v>
      </c>
      <c r="AO1653" t="s">
        <v>118</v>
      </c>
      <c r="AP1653">
        <v>-41</v>
      </c>
      <c r="AQ1653">
        <v>116</v>
      </c>
      <c r="AR1653">
        <v>64</v>
      </c>
      <c r="AZ1653">
        <v>1200</v>
      </c>
      <c r="BA1653">
        <v>1</v>
      </c>
      <c r="BB1653" t="str">
        <f t="shared" si="78"/>
        <v xml:space="preserve">N8080G  </v>
      </c>
      <c r="BC1653">
        <v>1</v>
      </c>
      <c r="BE1653">
        <v>0</v>
      </c>
      <c r="BF1653">
        <v>0</v>
      </c>
      <c r="BG1653">
        <v>0</v>
      </c>
      <c r="BH1653">
        <v>1700</v>
      </c>
      <c r="BI1653">
        <v>1</v>
      </c>
      <c r="BJ1653">
        <v>1</v>
      </c>
      <c r="BK1653">
        <v>1</v>
      </c>
      <c r="BL1653">
        <v>0</v>
      </c>
      <c r="BO1653">
        <v>0</v>
      </c>
      <c r="BP1653">
        <v>0</v>
      </c>
      <c r="BW1653" t="str">
        <f>"20:22:25.201"</f>
        <v>20:22:25.201</v>
      </c>
      <c r="BZ1653">
        <v>0</v>
      </c>
      <c r="CA1653">
        <v>2016</v>
      </c>
      <c r="CB1653">
        <v>224</v>
      </c>
      <c r="CD1653">
        <v>1</v>
      </c>
      <c r="CE1653">
        <v>0</v>
      </c>
      <c r="CF1653">
        <v>0</v>
      </c>
      <c r="CG1653">
        <v>1</v>
      </c>
      <c r="CH1653">
        <v>0</v>
      </c>
      <c r="CI1653">
        <v>0</v>
      </c>
      <c r="CJ1653">
        <v>0</v>
      </c>
      <c r="CK1653">
        <v>2</v>
      </c>
      <c r="CL1653">
        <v>0</v>
      </c>
      <c r="CM1653">
        <v>2</v>
      </c>
      <c r="CN1653">
        <v>0</v>
      </c>
      <c r="CO1653">
        <v>7</v>
      </c>
      <c r="CP1653" t="s">
        <v>119</v>
      </c>
      <c r="CQ1653">
        <v>180</v>
      </c>
      <c r="CR1653">
        <v>1</v>
      </c>
      <c r="CW1653">
        <v>10848138</v>
      </c>
      <c r="CY1653">
        <v>1</v>
      </c>
      <c r="CZ1653">
        <v>0</v>
      </c>
      <c r="DA1653">
        <v>1</v>
      </c>
      <c r="DB1653">
        <v>0</v>
      </c>
      <c r="DC1653">
        <v>0</v>
      </c>
      <c r="DD1653">
        <v>0</v>
      </c>
      <c r="DE1653">
        <v>0</v>
      </c>
      <c r="DF1653">
        <v>0</v>
      </c>
      <c r="DG1653">
        <v>0</v>
      </c>
      <c r="DH1653">
        <v>0</v>
      </c>
      <c r="DI1653">
        <v>0</v>
      </c>
    </row>
    <row r="1654" spans="1:113" x14ac:dyDescent="0.3">
      <c r="A1654" t="str">
        <f>"02/08/2021 20:22:22.892"</f>
        <v>02/08/2021 20:22:22.892</v>
      </c>
      <c r="C1654" t="str">
        <f t="shared" si="77"/>
        <v>FFDFD7C0</v>
      </c>
      <c r="D1654" t="s">
        <v>124</v>
      </c>
      <c r="E1654">
        <v>13</v>
      </c>
      <c r="F1654">
        <v>1013</v>
      </c>
      <c r="G1654" t="s">
        <v>114</v>
      </c>
      <c r="J1654" t="s">
        <v>125</v>
      </c>
      <c r="K1654">
        <v>0</v>
      </c>
      <c r="L1654">
        <v>3</v>
      </c>
      <c r="M1654">
        <v>0</v>
      </c>
      <c r="N1654">
        <v>2</v>
      </c>
      <c r="O1654">
        <v>1</v>
      </c>
      <c r="P1654">
        <v>0</v>
      </c>
      <c r="Q1654">
        <v>0</v>
      </c>
      <c r="S1654" t="str">
        <f>"20:22:25.195"</f>
        <v>20:22:25.195</v>
      </c>
      <c r="T1654" t="str">
        <f>"20:22:24.695"</f>
        <v>20:22:24.695</v>
      </c>
      <c r="U1654" t="str">
        <f t="shared" si="76"/>
        <v>AB01F4</v>
      </c>
      <c r="V1654">
        <v>0</v>
      </c>
      <c r="W1654">
        <v>0</v>
      </c>
      <c r="X1654">
        <v>2</v>
      </c>
      <c r="Z1654">
        <v>0</v>
      </c>
      <c r="AA1654">
        <v>9</v>
      </c>
      <c r="AB1654">
        <v>3</v>
      </c>
      <c r="AC1654">
        <v>0</v>
      </c>
      <c r="AD1654">
        <v>10</v>
      </c>
      <c r="AE1654">
        <v>0</v>
      </c>
      <c r="AF1654">
        <v>3</v>
      </c>
      <c r="AG1654">
        <v>2</v>
      </c>
      <c r="AH1654">
        <v>0</v>
      </c>
      <c r="AI1654" t="s">
        <v>1075</v>
      </c>
      <c r="AJ1654">
        <v>39.867604</v>
      </c>
      <c r="AK1654" t="s">
        <v>1076</v>
      </c>
      <c r="AL1654">
        <v>-92.542562000000004</v>
      </c>
      <c r="AM1654">
        <v>100</v>
      </c>
      <c r="AN1654">
        <v>1700</v>
      </c>
      <c r="AO1654" t="s">
        <v>118</v>
      </c>
      <c r="AP1654">
        <v>-41</v>
      </c>
      <c r="AQ1654">
        <v>116</v>
      </c>
      <c r="AR1654">
        <v>64</v>
      </c>
      <c r="AZ1654">
        <v>1200</v>
      </c>
      <c r="BA1654">
        <v>1</v>
      </c>
      <c r="BB1654" t="str">
        <f t="shared" si="78"/>
        <v xml:space="preserve">N8080G  </v>
      </c>
      <c r="BC1654">
        <v>1</v>
      </c>
      <c r="BE1654">
        <v>0</v>
      </c>
      <c r="BF1654">
        <v>0</v>
      </c>
      <c r="BG1654">
        <v>0</v>
      </c>
      <c r="BH1654">
        <v>1700</v>
      </c>
      <c r="BI1654">
        <v>1</v>
      </c>
      <c r="BJ1654">
        <v>1</v>
      </c>
      <c r="BK1654">
        <v>1</v>
      </c>
      <c r="BL1654">
        <v>0</v>
      </c>
      <c r="BO1654">
        <v>0</v>
      </c>
      <c r="BP1654">
        <v>0</v>
      </c>
      <c r="BW1654" t="str">
        <f>"20:22:25.201"</f>
        <v>20:22:25.201</v>
      </c>
      <c r="BZ1654">
        <v>0</v>
      </c>
      <c r="CA1654">
        <v>2016</v>
      </c>
      <c r="CB1654">
        <v>224</v>
      </c>
      <c r="CD1654">
        <v>1</v>
      </c>
      <c r="CE1654">
        <v>0</v>
      </c>
      <c r="CF1654">
        <v>0</v>
      </c>
      <c r="CG1654">
        <v>1</v>
      </c>
      <c r="CH1654">
        <v>0</v>
      </c>
      <c r="CI1654">
        <v>0</v>
      </c>
      <c r="CJ1654">
        <v>0</v>
      </c>
      <c r="CK1654">
        <v>2</v>
      </c>
      <c r="CL1654">
        <v>0</v>
      </c>
      <c r="CM1654">
        <v>2</v>
      </c>
      <c r="CN1654">
        <v>0</v>
      </c>
      <c r="CO1654">
        <v>7</v>
      </c>
      <c r="CP1654" t="s">
        <v>119</v>
      </c>
      <c r="CQ1654">
        <v>180</v>
      </c>
      <c r="CR1654">
        <v>1</v>
      </c>
      <c r="CW1654">
        <v>10848138</v>
      </c>
      <c r="CY1654">
        <v>1</v>
      </c>
      <c r="CZ1654">
        <v>0</v>
      </c>
      <c r="DA1654">
        <v>1</v>
      </c>
      <c r="DB1654">
        <v>0</v>
      </c>
      <c r="DC1654">
        <v>0</v>
      </c>
      <c r="DD1654">
        <v>0</v>
      </c>
      <c r="DE1654">
        <v>0</v>
      </c>
      <c r="DF1654">
        <v>0</v>
      </c>
      <c r="DG1654">
        <v>0</v>
      </c>
      <c r="DH1654">
        <v>0</v>
      </c>
      <c r="DI1654">
        <v>0</v>
      </c>
    </row>
    <row r="1655" spans="1:113" x14ac:dyDescent="0.3">
      <c r="A1655" t="str">
        <f>"02/08/2021 20:22:24.319"</f>
        <v>02/08/2021 20:22:24.319</v>
      </c>
      <c r="C1655" t="str">
        <f t="shared" si="77"/>
        <v>FFDFD7C0</v>
      </c>
      <c r="D1655" t="s">
        <v>113</v>
      </c>
      <c r="E1655">
        <v>6</v>
      </c>
      <c r="H1655">
        <v>165</v>
      </c>
      <c r="I1655" t="s">
        <v>114</v>
      </c>
      <c r="J1655" t="s">
        <v>115</v>
      </c>
      <c r="K1655">
        <v>0</v>
      </c>
      <c r="L1655">
        <v>3</v>
      </c>
      <c r="M1655">
        <v>0</v>
      </c>
      <c r="N1655">
        <v>2</v>
      </c>
      <c r="O1655">
        <v>1</v>
      </c>
      <c r="P1655">
        <v>0</v>
      </c>
      <c r="Q1655">
        <v>0</v>
      </c>
      <c r="S1655" t="str">
        <f>"20:22:26.664"</f>
        <v>20:22:26.664</v>
      </c>
      <c r="T1655" t="str">
        <f>"20:22:26.164"</f>
        <v>20:22:26.164</v>
      </c>
      <c r="U1655" t="str">
        <f t="shared" si="76"/>
        <v>AB01F4</v>
      </c>
      <c r="V1655">
        <v>0</v>
      </c>
      <c r="W1655">
        <v>0</v>
      </c>
      <c r="X1655">
        <v>2</v>
      </c>
      <c r="Z1655">
        <v>0</v>
      </c>
      <c r="AA1655">
        <v>9</v>
      </c>
      <c r="AB1655">
        <v>3</v>
      </c>
      <c r="AC1655">
        <v>0</v>
      </c>
      <c r="AD1655">
        <v>10</v>
      </c>
      <c r="AE1655">
        <v>0</v>
      </c>
      <c r="AF1655">
        <v>3</v>
      </c>
      <c r="AG1655">
        <v>2</v>
      </c>
      <c r="AH1655">
        <v>0</v>
      </c>
      <c r="AI1655" t="s">
        <v>1077</v>
      </c>
      <c r="AJ1655">
        <v>39.868397999999999</v>
      </c>
      <c r="AK1655" t="s">
        <v>1078</v>
      </c>
      <c r="AL1655">
        <v>-92.542969999999997</v>
      </c>
      <c r="AM1655">
        <v>100</v>
      </c>
      <c r="AN1655">
        <v>1700</v>
      </c>
      <c r="AO1655" t="s">
        <v>118</v>
      </c>
      <c r="AP1655">
        <v>-41</v>
      </c>
      <c r="AQ1655">
        <v>116</v>
      </c>
      <c r="AR1655">
        <v>0</v>
      </c>
      <c r="AZ1655">
        <v>1200</v>
      </c>
      <c r="BA1655">
        <v>1</v>
      </c>
      <c r="BB1655" t="str">
        <f t="shared" si="78"/>
        <v xml:space="preserve">N8080G  </v>
      </c>
      <c r="BC1655">
        <v>1</v>
      </c>
      <c r="BE1655">
        <v>0</v>
      </c>
      <c r="BF1655">
        <v>0</v>
      </c>
      <c r="BG1655">
        <v>0</v>
      </c>
      <c r="BH1655">
        <v>1700</v>
      </c>
      <c r="BI1655">
        <v>1</v>
      </c>
      <c r="BJ1655">
        <v>1</v>
      </c>
      <c r="BK1655">
        <v>1</v>
      </c>
      <c r="BL1655">
        <v>0</v>
      </c>
      <c r="BO1655">
        <v>0</v>
      </c>
      <c r="BP1655">
        <v>0</v>
      </c>
      <c r="BW1655" t="str">
        <f>"20:22:26.668"</f>
        <v>20:22:26.668</v>
      </c>
      <c r="BZ1655">
        <v>0</v>
      </c>
      <c r="CA1655">
        <v>2016</v>
      </c>
      <c r="CB1655">
        <v>224</v>
      </c>
      <c r="CD1655">
        <v>1</v>
      </c>
      <c r="CE1655">
        <v>0</v>
      </c>
      <c r="CF1655">
        <v>0</v>
      </c>
      <c r="CG1655">
        <v>1</v>
      </c>
      <c r="CH1655">
        <v>0</v>
      </c>
      <c r="CI1655">
        <v>0</v>
      </c>
      <c r="CJ1655">
        <v>0</v>
      </c>
      <c r="CK1655">
        <v>2</v>
      </c>
      <c r="CL1655">
        <v>0</v>
      </c>
      <c r="CM1655">
        <v>2</v>
      </c>
      <c r="CN1655">
        <v>0</v>
      </c>
      <c r="CO1655">
        <v>7</v>
      </c>
      <c r="CP1655" t="s">
        <v>119</v>
      </c>
      <c r="CQ1655">
        <v>180</v>
      </c>
      <c r="CR1655">
        <v>1</v>
      </c>
      <c r="CW1655">
        <v>10849221</v>
      </c>
      <c r="CY1655">
        <v>1</v>
      </c>
      <c r="CZ1655">
        <v>0</v>
      </c>
      <c r="DA1655">
        <v>0</v>
      </c>
      <c r="DB1655">
        <v>0</v>
      </c>
      <c r="DC1655">
        <v>0</v>
      </c>
      <c r="DD1655">
        <v>0</v>
      </c>
      <c r="DE1655">
        <v>0</v>
      </c>
      <c r="DF1655">
        <v>0</v>
      </c>
      <c r="DG1655">
        <v>0</v>
      </c>
      <c r="DH1655">
        <v>0</v>
      </c>
      <c r="DI1655">
        <v>0</v>
      </c>
    </row>
    <row r="1656" spans="1:113" x14ac:dyDescent="0.3">
      <c r="A1656" t="str">
        <f>"02/08/2021 20:22:24.319"</f>
        <v>02/08/2021 20:22:24.319</v>
      </c>
      <c r="C1656" t="str">
        <f t="shared" si="77"/>
        <v>FFDFD7C0</v>
      </c>
      <c r="D1656" t="s">
        <v>124</v>
      </c>
      <c r="E1656">
        <v>11</v>
      </c>
      <c r="F1656">
        <v>1011</v>
      </c>
      <c r="G1656" t="s">
        <v>590</v>
      </c>
      <c r="J1656" t="s">
        <v>125</v>
      </c>
      <c r="K1656">
        <v>0</v>
      </c>
      <c r="L1656">
        <v>3</v>
      </c>
      <c r="M1656">
        <v>0</v>
      </c>
      <c r="N1656">
        <v>2</v>
      </c>
      <c r="O1656">
        <v>1</v>
      </c>
      <c r="P1656">
        <v>0</v>
      </c>
      <c r="Q1656">
        <v>0</v>
      </c>
      <c r="S1656" t="str">
        <f>"20:22:26.664"</f>
        <v>20:22:26.664</v>
      </c>
      <c r="T1656" t="str">
        <f>"20:22:26.164"</f>
        <v>20:22:26.164</v>
      </c>
      <c r="U1656" t="str">
        <f t="shared" si="76"/>
        <v>AB01F4</v>
      </c>
      <c r="V1656">
        <v>0</v>
      </c>
      <c r="W1656">
        <v>0</v>
      </c>
      <c r="X1656">
        <v>2</v>
      </c>
      <c r="Z1656">
        <v>0</v>
      </c>
      <c r="AA1656">
        <v>9</v>
      </c>
      <c r="AB1656">
        <v>3</v>
      </c>
      <c r="AC1656">
        <v>0</v>
      </c>
      <c r="AD1656">
        <v>10</v>
      </c>
      <c r="AE1656">
        <v>0</v>
      </c>
      <c r="AF1656">
        <v>3</v>
      </c>
      <c r="AG1656">
        <v>2</v>
      </c>
      <c r="AH1656">
        <v>0</v>
      </c>
      <c r="AI1656" t="s">
        <v>1077</v>
      </c>
      <c r="AJ1656">
        <v>39.868397999999999</v>
      </c>
      <c r="AK1656" t="s">
        <v>1078</v>
      </c>
      <c r="AL1656">
        <v>-92.542969999999997</v>
      </c>
      <c r="AM1656">
        <v>100</v>
      </c>
      <c r="AN1656">
        <v>1700</v>
      </c>
      <c r="AO1656" t="s">
        <v>118</v>
      </c>
      <c r="AP1656">
        <v>-41</v>
      </c>
      <c r="AQ1656">
        <v>116</v>
      </c>
      <c r="AR1656">
        <v>0</v>
      </c>
      <c r="AZ1656">
        <v>1200</v>
      </c>
      <c r="BA1656">
        <v>1</v>
      </c>
      <c r="BB1656" t="str">
        <f t="shared" si="78"/>
        <v xml:space="preserve">N8080G  </v>
      </c>
      <c r="BC1656">
        <v>1</v>
      </c>
      <c r="BE1656">
        <v>0</v>
      </c>
      <c r="BF1656">
        <v>0</v>
      </c>
      <c r="BG1656">
        <v>0</v>
      </c>
      <c r="BH1656">
        <v>1700</v>
      </c>
      <c r="BI1656">
        <v>1</v>
      </c>
      <c r="BJ1656">
        <v>1</v>
      </c>
      <c r="BK1656">
        <v>1</v>
      </c>
      <c r="BL1656">
        <v>0</v>
      </c>
      <c r="BO1656">
        <v>0</v>
      </c>
      <c r="BP1656">
        <v>0</v>
      </c>
      <c r="BW1656" t="str">
        <f>"20:22:26.668"</f>
        <v>20:22:26.668</v>
      </c>
      <c r="BZ1656">
        <v>0</v>
      </c>
      <c r="CA1656">
        <v>2016</v>
      </c>
      <c r="CB1656">
        <v>224</v>
      </c>
      <c r="CD1656">
        <v>1</v>
      </c>
      <c r="CE1656">
        <v>0</v>
      </c>
      <c r="CF1656">
        <v>0</v>
      </c>
      <c r="CG1656">
        <v>1</v>
      </c>
      <c r="CH1656">
        <v>0</v>
      </c>
      <c r="CI1656">
        <v>0</v>
      </c>
      <c r="CJ1656">
        <v>0</v>
      </c>
      <c r="CK1656">
        <v>2</v>
      </c>
      <c r="CL1656">
        <v>0</v>
      </c>
      <c r="CM1656">
        <v>2</v>
      </c>
      <c r="CN1656">
        <v>0</v>
      </c>
      <c r="CO1656">
        <v>7</v>
      </c>
      <c r="CP1656" t="s">
        <v>119</v>
      </c>
      <c r="CQ1656">
        <v>180</v>
      </c>
      <c r="CR1656">
        <v>1</v>
      </c>
      <c r="CW1656">
        <v>10849221</v>
      </c>
      <c r="CY1656">
        <v>1</v>
      </c>
      <c r="CZ1656">
        <v>0</v>
      </c>
      <c r="DA1656">
        <v>1</v>
      </c>
      <c r="DB1656">
        <v>0</v>
      </c>
      <c r="DC1656">
        <v>0</v>
      </c>
      <c r="DD1656">
        <v>0</v>
      </c>
      <c r="DE1656">
        <v>0</v>
      </c>
      <c r="DF1656">
        <v>0</v>
      </c>
      <c r="DG1656">
        <v>0</v>
      </c>
      <c r="DH1656">
        <v>0</v>
      </c>
      <c r="DI1656">
        <v>0</v>
      </c>
    </row>
    <row r="1657" spans="1:113" x14ac:dyDescent="0.3">
      <c r="A1657" t="str">
        <f>"02/08/2021 20:22:24.319"</f>
        <v>02/08/2021 20:22:24.319</v>
      </c>
      <c r="C1657" t="str">
        <f t="shared" si="77"/>
        <v>FFDFD7C0</v>
      </c>
      <c r="D1657" t="s">
        <v>124</v>
      </c>
      <c r="E1657">
        <v>13</v>
      </c>
      <c r="F1657">
        <v>1013</v>
      </c>
      <c r="G1657" t="s">
        <v>114</v>
      </c>
      <c r="J1657" t="s">
        <v>125</v>
      </c>
      <c r="K1657">
        <v>0</v>
      </c>
      <c r="L1657">
        <v>3</v>
      </c>
      <c r="M1657">
        <v>0</v>
      </c>
      <c r="N1657">
        <v>2</v>
      </c>
      <c r="O1657">
        <v>1</v>
      </c>
      <c r="P1657">
        <v>0</v>
      </c>
      <c r="Q1657">
        <v>0</v>
      </c>
      <c r="S1657" t="str">
        <f>"20:22:26.664"</f>
        <v>20:22:26.664</v>
      </c>
      <c r="T1657" t="str">
        <f>"20:22:26.164"</f>
        <v>20:22:26.164</v>
      </c>
      <c r="U1657" t="str">
        <f t="shared" si="76"/>
        <v>AB01F4</v>
      </c>
      <c r="V1657">
        <v>0</v>
      </c>
      <c r="W1657">
        <v>0</v>
      </c>
      <c r="X1657">
        <v>2</v>
      </c>
      <c r="Z1657">
        <v>0</v>
      </c>
      <c r="AA1657">
        <v>9</v>
      </c>
      <c r="AB1657">
        <v>3</v>
      </c>
      <c r="AC1657">
        <v>0</v>
      </c>
      <c r="AD1657">
        <v>10</v>
      </c>
      <c r="AE1657">
        <v>0</v>
      </c>
      <c r="AF1657">
        <v>3</v>
      </c>
      <c r="AG1657">
        <v>2</v>
      </c>
      <c r="AH1657">
        <v>0</v>
      </c>
      <c r="AI1657" t="s">
        <v>1077</v>
      </c>
      <c r="AJ1657">
        <v>39.868397999999999</v>
      </c>
      <c r="AK1657" t="s">
        <v>1078</v>
      </c>
      <c r="AL1657">
        <v>-92.542969999999997</v>
      </c>
      <c r="AM1657">
        <v>100</v>
      </c>
      <c r="AN1657">
        <v>1700</v>
      </c>
      <c r="AO1657" t="s">
        <v>118</v>
      </c>
      <c r="AP1657">
        <v>-41</v>
      </c>
      <c r="AQ1657">
        <v>116</v>
      </c>
      <c r="AR1657">
        <v>0</v>
      </c>
      <c r="AZ1657">
        <v>1200</v>
      </c>
      <c r="BA1657">
        <v>1</v>
      </c>
      <c r="BB1657" t="str">
        <f t="shared" si="78"/>
        <v xml:space="preserve">N8080G  </v>
      </c>
      <c r="BC1657">
        <v>1</v>
      </c>
      <c r="BE1657">
        <v>0</v>
      </c>
      <c r="BF1657">
        <v>0</v>
      </c>
      <c r="BG1657">
        <v>0</v>
      </c>
      <c r="BH1657">
        <v>1700</v>
      </c>
      <c r="BI1657">
        <v>1</v>
      </c>
      <c r="BJ1657">
        <v>1</v>
      </c>
      <c r="BK1657">
        <v>1</v>
      </c>
      <c r="BL1657">
        <v>0</v>
      </c>
      <c r="BO1657">
        <v>0</v>
      </c>
      <c r="BP1657">
        <v>0</v>
      </c>
      <c r="BW1657" t="str">
        <f>"20:22:26.668"</f>
        <v>20:22:26.668</v>
      </c>
      <c r="BZ1657">
        <v>0</v>
      </c>
      <c r="CA1657">
        <v>2016</v>
      </c>
      <c r="CB1657">
        <v>224</v>
      </c>
      <c r="CD1657">
        <v>1</v>
      </c>
      <c r="CE1657">
        <v>0</v>
      </c>
      <c r="CF1657">
        <v>0</v>
      </c>
      <c r="CG1657">
        <v>1</v>
      </c>
      <c r="CH1657">
        <v>0</v>
      </c>
      <c r="CI1657">
        <v>0</v>
      </c>
      <c r="CJ1657">
        <v>0</v>
      </c>
      <c r="CK1657">
        <v>2</v>
      </c>
      <c r="CL1657">
        <v>0</v>
      </c>
      <c r="CM1657">
        <v>2</v>
      </c>
      <c r="CN1657">
        <v>0</v>
      </c>
      <c r="CO1657">
        <v>7</v>
      </c>
      <c r="CP1657" t="s">
        <v>119</v>
      </c>
      <c r="CQ1657">
        <v>180</v>
      </c>
      <c r="CR1657">
        <v>1</v>
      </c>
      <c r="CW1657">
        <v>10849221</v>
      </c>
      <c r="CY1657">
        <v>1</v>
      </c>
      <c r="CZ1657">
        <v>0</v>
      </c>
      <c r="DA1657">
        <v>1</v>
      </c>
      <c r="DB1657">
        <v>0</v>
      </c>
      <c r="DC1657">
        <v>0</v>
      </c>
      <c r="DD1657">
        <v>0</v>
      </c>
      <c r="DE1657">
        <v>0</v>
      </c>
      <c r="DF1657">
        <v>0</v>
      </c>
      <c r="DG1657">
        <v>0</v>
      </c>
      <c r="DH1657">
        <v>0</v>
      </c>
      <c r="DI1657">
        <v>0</v>
      </c>
    </row>
    <row r="1658" spans="1:113" x14ac:dyDescent="0.3">
      <c r="A1658" t="str">
        <f>"02/08/2021 20:22:24.319"</f>
        <v>02/08/2021 20:22:24.319</v>
      </c>
      <c r="C1658" t="str">
        <f t="shared" si="77"/>
        <v>FFDFD7C0</v>
      </c>
      <c r="D1658" t="s">
        <v>124</v>
      </c>
      <c r="E1658">
        <v>12</v>
      </c>
      <c r="F1658">
        <v>1012</v>
      </c>
      <c r="G1658" t="s">
        <v>675</v>
      </c>
      <c r="J1658" t="s">
        <v>125</v>
      </c>
      <c r="K1658">
        <v>0</v>
      </c>
      <c r="L1658">
        <v>3</v>
      </c>
      <c r="M1658">
        <v>0</v>
      </c>
      <c r="N1658">
        <v>2</v>
      </c>
      <c r="O1658">
        <v>1</v>
      </c>
      <c r="P1658">
        <v>0</v>
      </c>
      <c r="Q1658">
        <v>0</v>
      </c>
      <c r="S1658" t="str">
        <f>"20:22:26.664"</f>
        <v>20:22:26.664</v>
      </c>
      <c r="T1658" t="str">
        <f>"20:22:26.164"</f>
        <v>20:22:26.164</v>
      </c>
      <c r="U1658" t="str">
        <f t="shared" si="76"/>
        <v>AB01F4</v>
      </c>
      <c r="V1658">
        <v>0</v>
      </c>
      <c r="W1658">
        <v>0</v>
      </c>
      <c r="X1658">
        <v>2</v>
      </c>
      <c r="Z1658">
        <v>0</v>
      </c>
      <c r="AA1658">
        <v>9</v>
      </c>
      <c r="AB1658">
        <v>3</v>
      </c>
      <c r="AC1658">
        <v>0</v>
      </c>
      <c r="AD1658">
        <v>10</v>
      </c>
      <c r="AE1658">
        <v>0</v>
      </c>
      <c r="AF1658">
        <v>3</v>
      </c>
      <c r="AG1658">
        <v>2</v>
      </c>
      <c r="AH1658">
        <v>0</v>
      </c>
      <c r="AI1658" t="s">
        <v>1077</v>
      </c>
      <c r="AJ1658">
        <v>39.868397999999999</v>
      </c>
      <c r="AK1658" t="s">
        <v>1078</v>
      </c>
      <c r="AL1658">
        <v>-92.542969999999997</v>
      </c>
      <c r="AM1658">
        <v>100</v>
      </c>
      <c r="AN1658">
        <v>1700</v>
      </c>
      <c r="AO1658" t="s">
        <v>118</v>
      </c>
      <c r="AP1658">
        <v>-41</v>
      </c>
      <c r="AQ1658">
        <v>116</v>
      </c>
      <c r="AR1658">
        <v>0</v>
      </c>
      <c r="AZ1658">
        <v>1200</v>
      </c>
      <c r="BA1658">
        <v>1</v>
      </c>
      <c r="BB1658" t="str">
        <f t="shared" si="78"/>
        <v xml:space="preserve">N8080G  </v>
      </c>
      <c r="BC1658">
        <v>1</v>
      </c>
      <c r="BE1658">
        <v>0</v>
      </c>
      <c r="BF1658">
        <v>0</v>
      </c>
      <c r="BG1658">
        <v>0</v>
      </c>
      <c r="BH1658">
        <v>1700</v>
      </c>
      <c r="BI1658">
        <v>1</v>
      </c>
      <c r="BJ1658">
        <v>1</v>
      </c>
      <c r="BK1658">
        <v>1</v>
      </c>
      <c r="BL1658">
        <v>0</v>
      </c>
      <c r="BO1658">
        <v>0</v>
      </c>
      <c r="BP1658">
        <v>0</v>
      </c>
      <c r="BW1658" t="str">
        <f>"20:22:26.668"</f>
        <v>20:22:26.668</v>
      </c>
      <c r="BZ1658">
        <v>0</v>
      </c>
      <c r="CA1658">
        <v>2016</v>
      </c>
      <c r="CB1658">
        <v>224</v>
      </c>
      <c r="CD1658">
        <v>1</v>
      </c>
      <c r="CE1658">
        <v>0</v>
      </c>
      <c r="CF1658">
        <v>0</v>
      </c>
      <c r="CG1658">
        <v>1</v>
      </c>
      <c r="CH1658">
        <v>0</v>
      </c>
      <c r="CI1658">
        <v>0</v>
      </c>
      <c r="CJ1658">
        <v>0</v>
      </c>
      <c r="CK1658">
        <v>2</v>
      </c>
      <c r="CL1658">
        <v>0</v>
      </c>
      <c r="CM1658">
        <v>2</v>
      </c>
      <c r="CN1658">
        <v>0</v>
      </c>
      <c r="CO1658">
        <v>7</v>
      </c>
      <c r="CP1658" t="s">
        <v>119</v>
      </c>
      <c r="CQ1658">
        <v>180</v>
      </c>
      <c r="CR1658">
        <v>1</v>
      </c>
      <c r="CW1658">
        <v>10849221</v>
      </c>
      <c r="CY1658">
        <v>1</v>
      </c>
      <c r="CZ1658">
        <v>0</v>
      </c>
      <c r="DA1658">
        <v>1</v>
      </c>
      <c r="DB1658">
        <v>0</v>
      </c>
      <c r="DC1658">
        <v>0</v>
      </c>
      <c r="DD1658">
        <v>0</v>
      </c>
      <c r="DE1658">
        <v>0</v>
      </c>
      <c r="DF1658">
        <v>0</v>
      </c>
      <c r="DG1658">
        <v>0</v>
      </c>
      <c r="DH1658">
        <v>0</v>
      </c>
      <c r="DI1658">
        <v>0</v>
      </c>
    </row>
    <row r="1659" spans="1:113" x14ac:dyDescent="0.3">
      <c r="A1659" t="str">
        <f>"02/08/2021 20:22:27.419"</f>
        <v>02/08/2021 20:22:27.419</v>
      </c>
      <c r="C1659" t="str">
        <f t="shared" si="77"/>
        <v>FFDFD7C0</v>
      </c>
      <c r="D1659" t="s">
        <v>124</v>
      </c>
      <c r="E1659">
        <v>12</v>
      </c>
      <c r="F1659">
        <v>1012</v>
      </c>
      <c r="G1659" t="s">
        <v>675</v>
      </c>
      <c r="J1659" t="s">
        <v>125</v>
      </c>
      <c r="K1659">
        <v>0</v>
      </c>
      <c r="L1659">
        <v>3</v>
      </c>
      <c r="M1659">
        <v>0</v>
      </c>
      <c r="N1659">
        <v>2</v>
      </c>
      <c r="O1659">
        <v>1</v>
      </c>
      <c r="P1659">
        <v>0</v>
      </c>
      <c r="Q1659">
        <v>0</v>
      </c>
      <c r="S1659" t="str">
        <f>"20:22:29.758"</f>
        <v>20:22:29.758</v>
      </c>
      <c r="T1659" t="str">
        <f>"20:22:29.258"</f>
        <v>20:22:29.258</v>
      </c>
      <c r="U1659" t="str">
        <f t="shared" si="76"/>
        <v>AB01F4</v>
      </c>
      <c r="V1659">
        <v>0</v>
      </c>
      <c r="W1659">
        <v>0</v>
      </c>
      <c r="X1659">
        <v>2</v>
      </c>
      <c r="Z1659">
        <v>0</v>
      </c>
      <c r="AA1659">
        <v>9</v>
      </c>
      <c r="AB1659">
        <v>3</v>
      </c>
      <c r="AC1659">
        <v>0</v>
      </c>
      <c r="AD1659">
        <v>10</v>
      </c>
      <c r="AE1659">
        <v>0</v>
      </c>
      <c r="AF1659">
        <v>3</v>
      </c>
      <c r="AG1659">
        <v>2</v>
      </c>
      <c r="AH1659">
        <v>0</v>
      </c>
      <c r="AI1659" t="s">
        <v>1079</v>
      </c>
      <c r="AJ1659">
        <v>39.870071000000003</v>
      </c>
      <c r="AK1659" t="s">
        <v>1080</v>
      </c>
      <c r="AL1659">
        <v>-92.543700000000001</v>
      </c>
      <c r="AM1659">
        <v>100</v>
      </c>
      <c r="AN1659">
        <v>1700</v>
      </c>
      <c r="AO1659" t="s">
        <v>118</v>
      </c>
      <c r="AP1659">
        <v>-41</v>
      </c>
      <c r="AQ1659">
        <v>116</v>
      </c>
      <c r="AR1659">
        <v>0</v>
      </c>
      <c r="AZ1659">
        <v>1200</v>
      </c>
      <c r="BA1659">
        <v>1</v>
      </c>
      <c r="BB1659" t="str">
        <f t="shared" si="78"/>
        <v xml:space="preserve">N8080G  </v>
      </c>
      <c r="BC1659">
        <v>1</v>
      </c>
      <c r="BE1659">
        <v>0</v>
      </c>
      <c r="BF1659">
        <v>0</v>
      </c>
      <c r="BG1659">
        <v>0</v>
      </c>
      <c r="BH1659">
        <v>1700</v>
      </c>
      <c r="BI1659">
        <v>1</v>
      </c>
      <c r="BJ1659">
        <v>1</v>
      </c>
      <c r="BK1659">
        <v>1</v>
      </c>
      <c r="BL1659">
        <v>0</v>
      </c>
      <c r="BO1659">
        <v>0</v>
      </c>
      <c r="BP1659">
        <v>0</v>
      </c>
      <c r="BW1659" t="str">
        <f>"20:22:29.761"</f>
        <v>20:22:29.761</v>
      </c>
      <c r="BZ1659">
        <v>0</v>
      </c>
      <c r="CA1659">
        <v>2016</v>
      </c>
      <c r="CB1659">
        <v>224</v>
      </c>
      <c r="CD1659">
        <v>1</v>
      </c>
      <c r="CE1659">
        <v>0</v>
      </c>
      <c r="CF1659">
        <v>0</v>
      </c>
      <c r="CG1659">
        <v>1</v>
      </c>
      <c r="CH1659">
        <v>0</v>
      </c>
      <c r="CI1659">
        <v>0</v>
      </c>
      <c r="CJ1659">
        <v>0</v>
      </c>
      <c r="CK1659">
        <v>2</v>
      </c>
      <c r="CL1659">
        <v>0</v>
      </c>
      <c r="CM1659">
        <v>2</v>
      </c>
      <c r="CN1659">
        <v>0</v>
      </c>
      <c r="CO1659">
        <v>7</v>
      </c>
      <c r="CP1659" t="s">
        <v>119</v>
      </c>
      <c r="CQ1659">
        <v>180</v>
      </c>
      <c r="CR1659">
        <v>2</v>
      </c>
      <c r="CW1659">
        <v>8289084</v>
      </c>
      <c r="CY1659">
        <v>1</v>
      </c>
      <c r="CZ1659">
        <v>0</v>
      </c>
      <c r="DA1659">
        <v>0</v>
      </c>
      <c r="DB1659">
        <v>0</v>
      </c>
      <c r="DC1659">
        <v>0</v>
      </c>
      <c r="DD1659">
        <v>0</v>
      </c>
      <c r="DE1659">
        <v>0</v>
      </c>
      <c r="DF1659">
        <v>0</v>
      </c>
      <c r="DG1659">
        <v>0</v>
      </c>
      <c r="DH1659">
        <v>0</v>
      </c>
      <c r="DI1659">
        <v>0</v>
      </c>
    </row>
    <row r="1660" spans="1:113" x14ac:dyDescent="0.3">
      <c r="A1660" t="str">
        <f>"02/08/2021 20:22:27.419"</f>
        <v>02/08/2021 20:22:27.419</v>
      </c>
      <c r="C1660" t="str">
        <f t="shared" si="77"/>
        <v>FFDFD7C0</v>
      </c>
      <c r="D1660" t="s">
        <v>124</v>
      </c>
      <c r="E1660">
        <v>13</v>
      </c>
      <c r="F1660">
        <v>1013</v>
      </c>
      <c r="G1660" t="s">
        <v>114</v>
      </c>
      <c r="J1660" t="s">
        <v>125</v>
      </c>
      <c r="K1660">
        <v>0</v>
      </c>
      <c r="L1660">
        <v>3</v>
      </c>
      <c r="M1660">
        <v>0</v>
      </c>
      <c r="N1660">
        <v>2</v>
      </c>
      <c r="O1660">
        <v>1</v>
      </c>
      <c r="P1660">
        <v>0</v>
      </c>
      <c r="Q1660">
        <v>0</v>
      </c>
      <c r="S1660" t="str">
        <f>"20:22:29.758"</f>
        <v>20:22:29.758</v>
      </c>
      <c r="T1660" t="str">
        <f>"20:22:29.258"</f>
        <v>20:22:29.258</v>
      </c>
      <c r="U1660" t="str">
        <f t="shared" si="76"/>
        <v>AB01F4</v>
      </c>
      <c r="V1660">
        <v>0</v>
      </c>
      <c r="W1660">
        <v>0</v>
      </c>
      <c r="X1660">
        <v>2</v>
      </c>
      <c r="Z1660">
        <v>0</v>
      </c>
      <c r="AA1660">
        <v>9</v>
      </c>
      <c r="AB1660">
        <v>3</v>
      </c>
      <c r="AC1660">
        <v>0</v>
      </c>
      <c r="AD1660">
        <v>10</v>
      </c>
      <c r="AE1660">
        <v>0</v>
      </c>
      <c r="AF1660">
        <v>3</v>
      </c>
      <c r="AG1660">
        <v>2</v>
      </c>
      <c r="AH1660">
        <v>0</v>
      </c>
      <c r="AI1660" t="s">
        <v>1079</v>
      </c>
      <c r="AJ1660">
        <v>39.870071000000003</v>
      </c>
      <c r="AK1660" t="s">
        <v>1080</v>
      </c>
      <c r="AL1660">
        <v>-92.543700000000001</v>
      </c>
      <c r="AM1660">
        <v>100</v>
      </c>
      <c r="AN1660">
        <v>1700</v>
      </c>
      <c r="AO1660" t="s">
        <v>118</v>
      </c>
      <c r="AP1660">
        <v>-41</v>
      </c>
      <c r="AQ1660">
        <v>116</v>
      </c>
      <c r="AR1660">
        <v>0</v>
      </c>
      <c r="AZ1660">
        <v>1200</v>
      </c>
      <c r="BA1660">
        <v>1</v>
      </c>
      <c r="BB1660" t="str">
        <f t="shared" si="78"/>
        <v xml:space="preserve">N8080G  </v>
      </c>
      <c r="BC1660">
        <v>1</v>
      </c>
      <c r="BE1660">
        <v>0</v>
      </c>
      <c r="BF1660">
        <v>0</v>
      </c>
      <c r="BG1660">
        <v>0</v>
      </c>
      <c r="BH1660">
        <v>1700</v>
      </c>
      <c r="BI1660">
        <v>1</v>
      </c>
      <c r="BJ1660">
        <v>1</v>
      </c>
      <c r="BK1660">
        <v>1</v>
      </c>
      <c r="BL1660">
        <v>0</v>
      </c>
      <c r="BO1660">
        <v>0</v>
      </c>
      <c r="BP1660">
        <v>0</v>
      </c>
      <c r="BW1660" t="str">
        <f>"20:22:29.761"</f>
        <v>20:22:29.761</v>
      </c>
      <c r="BZ1660">
        <v>0</v>
      </c>
      <c r="CA1660">
        <v>2016</v>
      </c>
      <c r="CB1660">
        <v>224</v>
      </c>
      <c r="CD1660">
        <v>1</v>
      </c>
      <c r="CE1660">
        <v>0</v>
      </c>
      <c r="CF1660">
        <v>0</v>
      </c>
      <c r="CG1660">
        <v>1</v>
      </c>
      <c r="CH1660">
        <v>0</v>
      </c>
      <c r="CI1660">
        <v>0</v>
      </c>
      <c r="CJ1660">
        <v>0</v>
      </c>
      <c r="CK1660">
        <v>2</v>
      </c>
      <c r="CL1660">
        <v>0</v>
      </c>
      <c r="CM1660">
        <v>2</v>
      </c>
      <c r="CN1660">
        <v>0</v>
      </c>
      <c r="CO1660">
        <v>7</v>
      </c>
      <c r="CP1660" t="s">
        <v>119</v>
      </c>
      <c r="CQ1660">
        <v>180</v>
      </c>
      <c r="CR1660">
        <v>2</v>
      </c>
      <c r="CW1660">
        <v>8289084</v>
      </c>
      <c r="CY1660">
        <v>1</v>
      </c>
      <c r="CZ1660">
        <v>0</v>
      </c>
      <c r="DA1660">
        <v>1</v>
      </c>
      <c r="DB1660">
        <v>0</v>
      </c>
      <c r="DC1660">
        <v>0</v>
      </c>
      <c r="DD1660">
        <v>0</v>
      </c>
      <c r="DE1660">
        <v>0</v>
      </c>
      <c r="DF1660">
        <v>0</v>
      </c>
      <c r="DG1660">
        <v>0</v>
      </c>
      <c r="DH1660">
        <v>0</v>
      </c>
      <c r="DI1660">
        <v>0</v>
      </c>
    </row>
    <row r="1661" spans="1:113" x14ac:dyDescent="0.3">
      <c r="A1661" t="str">
        <f>"02/08/2021 20:22:27.419"</f>
        <v>02/08/2021 20:22:27.419</v>
      </c>
      <c r="C1661" t="str">
        <f t="shared" si="77"/>
        <v>FFDFD7C0</v>
      </c>
      <c r="D1661" t="s">
        <v>113</v>
      </c>
      <c r="E1661">
        <v>6</v>
      </c>
      <c r="H1661">
        <v>165</v>
      </c>
      <c r="I1661" t="s">
        <v>114</v>
      </c>
      <c r="J1661" t="s">
        <v>115</v>
      </c>
      <c r="K1661">
        <v>0</v>
      </c>
      <c r="L1661">
        <v>3</v>
      </c>
      <c r="M1661">
        <v>0</v>
      </c>
      <c r="N1661">
        <v>2</v>
      </c>
      <c r="O1661">
        <v>1</v>
      </c>
      <c r="P1661">
        <v>0</v>
      </c>
      <c r="Q1661">
        <v>0</v>
      </c>
      <c r="S1661" t="str">
        <f>"20:22:29.758"</f>
        <v>20:22:29.758</v>
      </c>
      <c r="T1661" t="str">
        <f>"20:22:29.258"</f>
        <v>20:22:29.258</v>
      </c>
      <c r="U1661" t="str">
        <f t="shared" si="76"/>
        <v>AB01F4</v>
      </c>
      <c r="V1661">
        <v>0</v>
      </c>
      <c r="W1661">
        <v>0</v>
      </c>
      <c r="X1661">
        <v>2</v>
      </c>
      <c r="Z1661">
        <v>0</v>
      </c>
      <c r="AA1661">
        <v>9</v>
      </c>
      <c r="AB1661">
        <v>3</v>
      </c>
      <c r="AC1661">
        <v>0</v>
      </c>
      <c r="AD1661">
        <v>10</v>
      </c>
      <c r="AE1661">
        <v>0</v>
      </c>
      <c r="AF1661">
        <v>3</v>
      </c>
      <c r="AG1661">
        <v>2</v>
      </c>
      <c r="AH1661">
        <v>0</v>
      </c>
      <c r="AI1661" t="s">
        <v>1079</v>
      </c>
      <c r="AJ1661">
        <v>39.870071000000003</v>
      </c>
      <c r="AK1661" t="s">
        <v>1080</v>
      </c>
      <c r="AL1661">
        <v>-92.543700000000001</v>
      </c>
      <c r="AM1661">
        <v>100</v>
      </c>
      <c r="AN1661">
        <v>1700</v>
      </c>
      <c r="AO1661" t="s">
        <v>118</v>
      </c>
      <c r="AP1661">
        <v>-41</v>
      </c>
      <c r="AQ1661">
        <v>116</v>
      </c>
      <c r="AR1661">
        <v>0</v>
      </c>
      <c r="AZ1661">
        <v>1200</v>
      </c>
      <c r="BA1661">
        <v>1</v>
      </c>
      <c r="BB1661" t="str">
        <f t="shared" si="78"/>
        <v xml:space="preserve">N8080G  </v>
      </c>
      <c r="BC1661">
        <v>1</v>
      </c>
      <c r="BE1661">
        <v>0</v>
      </c>
      <c r="BF1661">
        <v>0</v>
      </c>
      <c r="BG1661">
        <v>0</v>
      </c>
      <c r="BH1661">
        <v>1700</v>
      </c>
      <c r="BI1661">
        <v>1</v>
      </c>
      <c r="BJ1661">
        <v>1</v>
      </c>
      <c r="BK1661">
        <v>1</v>
      </c>
      <c r="BL1661">
        <v>0</v>
      </c>
      <c r="BO1661">
        <v>0</v>
      </c>
      <c r="BP1661">
        <v>0</v>
      </c>
      <c r="BW1661" t="str">
        <f>"20:22:29.761"</f>
        <v>20:22:29.761</v>
      </c>
      <c r="BZ1661">
        <v>0</v>
      </c>
      <c r="CA1661">
        <v>2016</v>
      </c>
      <c r="CB1661">
        <v>224</v>
      </c>
      <c r="CD1661">
        <v>1</v>
      </c>
      <c r="CE1661">
        <v>0</v>
      </c>
      <c r="CF1661">
        <v>0</v>
      </c>
      <c r="CG1661">
        <v>1</v>
      </c>
      <c r="CH1661">
        <v>0</v>
      </c>
      <c r="CI1661">
        <v>0</v>
      </c>
      <c r="CJ1661">
        <v>0</v>
      </c>
      <c r="CK1661">
        <v>2</v>
      </c>
      <c r="CL1661">
        <v>0</v>
      </c>
      <c r="CM1661">
        <v>2</v>
      </c>
      <c r="CN1661">
        <v>0</v>
      </c>
      <c r="CO1661">
        <v>7</v>
      </c>
      <c r="CP1661" t="s">
        <v>119</v>
      </c>
      <c r="CQ1661">
        <v>180</v>
      </c>
      <c r="CR1661">
        <v>2</v>
      </c>
      <c r="CW1661">
        <v>8289084</v>
      </c>
      <c r="CY1661">
        <v>1</v>
      </c>
      <c r="CZ1661">
        <v>0</v>
      </c>
      <c r="DA1661">
        <v>1</v>
      </c>
      <c r="DB1661">
        <v>0</v>
      </c>
      <c r="DC1661">
        <v>0</v>
      </c>
      <c r="DD1661">
        <v>0</v>
      </c>
      <c r="DE1661">
        <v>0</v>
      </c>
      <c r="DF1661">
        <v>0</v>
      </c>
      <c r="DG1661">
        <v>0</v>
      </c>
      <c r="DH1661">
        <v>0</v>
      </c>
      <c r="DI1661">
        <v>0</v>
      </c>
    </row>
    <row r="1662" spans="1:113" x14ac:dyDescent="0.3">
      <c r="A1662" t="str">
        <f>"02/08/2021 20:22:27.419"</f>
        <v>02/08/2021 20:22:27.419</v>
      </c>
      <c r="C1662" t="str">
        <f t="shared" si="77"/>
        <v>FFDFD7C0</v>
      </c>
      <c r="D1662" t="s">
        <v>124</v>
      </c>
      <c r="E1662">
        <v>11</v>
      </c>
      <c r="F1662">
        <v>1011</v>
      </c>
      <c r="G1662" t="s">
        <v>590</v>
      </c>
      <c r="J1662" t="s">
        <v>125</v>
      </c>
      <c r="K1662">
        <v>0</v>
      </c>
      <c r="L1662">
        <v>3</v>
      </c>
      <c r="M1662">
        <v>0</v>
      </c>
      <c r="N1662">
        <v>2</v>
      </c>
      <c r="O1662">
        <v>1</v>
      </c>
      <c r="P1662">
        <v>0</v>
      </c>
      <c r="Q1662">
        <v>0</v>
      </c>
      <c r="S1662" t="str">
        <f>"20:22:29.758"</f>
        <v>20:22:29.758</v>
      </c>
      <c r="T1662" t="str">
        <f>"20:22:29.258"</f>
        <v>20:22:29.258</v>
      </c>
      <c r="U1662" t="str">
        <f t="shared" si="76"/>
        <v>AB01F4</v>
      </c>
      <c r="V1662">
        <v>0</v>
      </c>
      <c r="W1662">
        <v>0</v>
      </c>
      <c r="X1662">
        <v>2</v>
      </c>
      <c r="Z1662">
        <v>0</v>
      </c>
      <c r="AA1662">
        <v>9</v>
      </c>
      <c r="AB1662">
        <v>3</v>
      </c>
      <c r="AC1662">
        <v>0</v>
      </c>
      <c r="AD1662">
        <v>10</v>
      </c>
      <c r="AE1662">
        <v>0</v>
      </c>
      <c r="AF1662">
        <v>3</v>
      </c>
      <c r="AG1662">
        <v>2</v>
      </c>
      <c r="AH1662">
        <v>0</v>
      </c>
      <c r="AI1662" t="s">
        <v>1079</v>
      </c>
      <c r="AJ1662">
        <v>39.870071000000003</v>
      </c>
      <c r="AK1662" t="s">
        <v>1080</v>
      </c>
      <c r="AL1662">
        <v>-92.543700000000001</v>
      </c>
      <c r="AM1662">
        <v>100</v>
      </c>
      <c r="AN1662">
        <v>1700</v>
      </c>
      <c r="AO1662" t="s">
        <v>118</v>
      </c>
      <c r="AP1662">
        <v>-41</v>
      </c>
      <c r="AQ1662">
        <v>116</v>
      </c>
      <c r="AR1662">
        <v>0</v>
      </c>
      <c r="AZ1662">
        <v>1200</v>
      </c>
      <c r="BA1662">
        <v>1</v>
      </c>
      <c r="BB1662" t="str">
        <f t="shared" si="78"/>
        <v xml:space="preserve">N8080G  </v>
      </c>
      <c r="BC1662">
        <v>1</v>
      </c>
      <c r="BE1662">
        <v>0</v>
      </c>
      <c r="BF1662">
        <v>0</v>
      </c>
      <c r="BG1662">
        <v>0</v>
      </c>
      <c r="BH1662">
        <v>1700</v>
      </c>
      <c r="BI1662">
        <v>1</v>
      </c>
      <c r="BJ1662">
        <v>1</v>
      </c>
      <c r="BK1662">
        <v>1</v>
      </c>
      <c r="BL1662">
        <v>0</v>
      </c>
      <c r="BO1662">
        <v>0</v>
      </c>
      <c r="BP1662">
        <v>0</v>
      </c>
      <c r="BW1662" t="str">
        <f>"20:22:29.761"</f>
        <v>20:22:29.761</v>
      </c>
      <c r="BZ1662">
        <v>0</v>
      </c>
      <c r="CA1662">
        <v>2016</v>
      </c>
      <c r="CB1662">
        <v>224</v>
      </c>
      <c r="CD1662">
        <v>1</v>
      </c>
      <c r="CE1662">
        <v>0</v>
      </c>
      <c r="CF1662">
        <v>0</v>
      </c>
      <c r="CG1662">
        <v>1</v>
      </c>
      <c r="CH1662">
        <v>0</v>
      </c>
      <c r="CI1662">
        <v>0</v>
      </c>
      <c r="CJ1662">
        <v>0</v>
      </c>
      <c r="CK1662">
        <v>2</v>
      </c>
      <c r="CL1662">
        <v>0</v>
      </c>
      <c r="CM1662">
        <v>2</v>
      </c>
      <c r="CN1662">
        <v>0</v>
      </c>
      <c r="CO1662">
        <v>7</v>
      </c>
      <c r="CP1662" t="s">
        <v>119</v>
      </c>
      <c r="CQ1662">
        <v>180</v>
      </c>
      <c r="CR1662">
        <v>2</v>
      </c>
      <c r="CW1662">
        <v>8289084</v>
      </c>
      <c r="CY1662">
        <v>1</v>
      </c>
      <c r="CZ1662">
        <v>0</v>
      </c>
      <c r="DA1662">
        <v>1</v>
      </c>
      <c r="DB1662">
        <v>0</v>
      </c>
      <c r="DC1662">
        <v>0</v>
      </c>
      <c r="DD1662">
        <v>0</v>
      </c>
      <c r="DE1662">
        <v>0</v>
      </c>
      <c r="DF1662">
        <v>0</v>
      </c>
      <c r="DG1662">
        <v>0</v>
      </c>
      <c r="DH1662">
        <v>0</v>
      </c>
      <c r="DI1662">
        <v>0</v>
      </c>
    </row>
    <row r="1663" spans="1:113" x14ac:dyDescent="0.3">
      <c r="A1663" t="str">
        <f>"02/08/2021 20:22:28.857"</f>
        <v>02/08/2021 20:22:28.857</v>
      </c>
      <c r="C1663" t="str">
        <f t="shared" si="77"/>
        <v>FFDFD7C0</v>
      </c>
      <c r="D1663" t="s">
        <v>124</v>
      </c>
      <c r="E1663">
        <v>13</v>
      </c>
      <c r="F1663">
        <v>1013</v>
      </c>
      <c r="G1663" t="s">
        <v>114</v>
      </c>
      <c r="J1663" t="s">
        <v>125</v>
      </c>
      <c r="K1663">
        <v>0</v>
      </c>
      <c r="L1663">
        <v>3</v>
      </c>
      <c r="M1663">
        <v>0</v>
      </c>
      <c r="N1663">
        <v>2</v>
      </c>
      <c r="O1663">
        <v>1</v>
      </c>
      <c r="P1663">
        <v>0</v>
      </c>
      <c r="Q1663">
        <v>0</v>
      </c>
      <c r="S1663" t="str">
        <f>"20:22:31.172"</f>
        <v>20:22:31.172</v>
      </c>
      <c r="T1663" t="str">
        <f>"20:22:30.772"</f>
        <v>20:22:30.772</v>
      </c>
      <c r="U1663" t="str">
        <f t="shared" si="76"/>
        <v>AB01F4</v>
      </c>
      <c r="V1663">
        <v>0</v>
      </c>
      <c r="W1663">
        <v>0</v>
      </c>
      <c r="X1663">
        <v>2</v>
      </c>
      <c r="Z1663">
        <v>0</v>
      </c>
      <c r="AA1663">
        <v>9</v>
      </c>
      <c r="AB1663">
        <v>3</v>
      </c>
      <c r="AC1663">
        <v>0</v>
      </c>
      <c r="AD1663">
        <v>10</v>
      </c>
      <c r="AE1663">
        <v>0</v>
      </c>
      <c r="AF1663">
        <v>3</v>
      </c>
      <c r="AG1663">
        <v>2</v>
      </c>
      <c r="AH1663">
        <v>0</v>
      </c>
      <c r="AI1663" t="s">
        <v>1081</v>
      </c>
      <c r="AJ1663">
        <v>39.870801</v>
      </c>
      <c r="AK1663" t="s">
        <v>1082</v>
      </c>
      <c r="AL1663">
        <v>-92.544043000000002</v>
      </c>
      <c r="AM1663">
        <v>100</v>
      </c>
      <c r="AN1663">
        <v>1700</v>
      </c>
      <c r="AO1663" t="s">
        <v>118</v>
      </c>
      <c r="AP1663">
        <v>-41</v>
      </c>
      <c r="AQ1663">
        <v>116</v>
      </c>
      <c r="AR1663">
        <v>64</v>
      </c>
      <c r="AZ1663">
        <v>1200</v>
      </c>
      <c r="BA1663">
        <v>1</v>
      </c>
      <c r="BB1663" t="str">
        <f t="shared" si="78"/>
        <v xml:space="preserve">N8080G  </v>
      </c>
      <c r="BC1663">
        <v>1</v>
      </c>
      <c r="BE1663">
        <v>0</v>
      </c>
      <c r="BF1663">
        <v>0</v>
      </c>
      <c r="BG1663">
        <v>0</v>
      </c>
      <c r="BH1663">
        <v>1700</v>
      </c>
      <c r="BI1663">
        <v>1</v>
      </c>
      <c r="BJ1663">
        <v>1</v>
      </c>
      <c r="BK1663">
        <v>1</v>
      </c>
      <c r="BL1663">
        <v>0</v>
      </c>
      <c r="BO1663">
        <v>0</v>
      </c>
      <c r="BP1663">
        <v>0</v>
      </c>
      <c r="BW1663" t="str">
        <f>"20:22:31.173"</f>
        <v>20:22:31.173</v>
      </c>
      <c r="BZ1663">
        <v>0</v>
      </c>
      <c r="CA1663">
        <v>2016</v>
      </c>
      <c r="CB1663">
        <v>224</v>
      </c>
      <c r="CD1663">
        <v>1</v>
      </c>
      <c r="CE1663">
        <v>0</v>
      </c>
      <c r="CF1663">
        <v>0</v>
      </c>
      <c r="CG1663">
        <v>1</v>
      </c>
      <c r="CH1663">
        <v>0</v>
      </c>
      <c r="CI1663">
        <v>0</v>
      </c>
      <c r="CJ1663">
        <v>0</v>
      </c>
      <c r="CK1663">
        <v>2</v>
      </c>
      <c r="CL1663">
        <v>0</v>
      </c>
      <c r="CM1663">
        <v>2</v>
      </c>
      <c r="CN1663">
        <v>0</v>
      </c>
      <c r="CO1663">
        <v>7</v>
      </c>
      <c r="CP1663" t="s">
        <v>119</v>
      </c>
      <c r="CQ1663">
        <v>180</v>
      </c>
      <c r="CR1663">
        <v>1</v>
      </c>
      <c r="CW1663">
        <v>10852989</v>
      </c>
      <c r="CY1663">
        <v>1</v>
      </c>
      <c r="CZ1663">
        <v>0</v>
      </c>
      <c r="DA1663">
        <v>0</v>
      </c>
      <c r="DB1663">
        <v>0</v>
      </c>
      <c r="DC1663">
        <v>0</v>
      </c>
      <c r="DD1663">
        <v>0</v>
      </c>
      <c r="DE1663">
        <v>0</v>
      </c>
      <c r="DF1663">
        <v>0</v>
      </c>
      <c r="DG1663">
        <v>0</v>
      </c>
      <c r="DH1663">
        <v>0</v>
      </c>
      <c r="DI1663">
        <v>0</v>
      </c>
    </row>
    <row r="1664" spans="1:113" x14ac:dyDescent="0.3">
      <c r="A1664" t="str">
        <f>"02/08/2021 20:22:28.857"</f>
        <v>02/08/2021 20:22:28.857</v>
      </c>
      <c r="C1664" t="str">
        <f t="shared" si="77"/>
        <v>FFDFD7C0</v>
      </c>
      <c r="D1664" t="s">
        <v>124</v>
      </c>
      <c r="E1664">
        <v>11</v>
      </c>
      <c r="F1664">
        <v>1011</v>
      </c>
      <c r="G1664" t="s">
        <v>590</v>
      </c>
      <c r="J1664" t="s">
        <v>125</v>
      </c>
      <c r="K1664">
        <v>0</v>
      </c>
      <c r="L1664">
        <v>3</v>
      </c>
      <c r="M1664">
        <v>0</v>
      </c>
      <c r="N1664">
        <v>2</v>
      </c>
      <c r="O1664">
        <v>1</v>
      </c>
      <c r="P1664">
        <v>0</v>
      </c>
      <c r="Q1664">
        <v>0</v>
      </c>
      <c r="S1664" t="str">
        <f>"20:22:31.172"</f>
        <v>20:22:31.172</v>
      </c>
      <c r="T1664" t="str">
        <f>"20:22:30.772"</f>
        <v>20:22:30.772</v>
      </c>
      <c r="U1664" t="str">
        <f t="shared" si="76"/>
        <v>AB01F4</v>
      </c>
      <c r="V1664">
        <v>0</v>
      </c>
      <c r="W1664">
        <v>0</v>
      </c>
      <c r="X1664">
        <v>2</v>
      </c>
      <c r="Z1664">
        <v>0</v>
      </c>
      <c r="AA1664">
        <v>9</v>
      </c>
      <c r="AB1664">
        <v>3</v>
      </c>
      <c r="AC1664">
        <v>0</v>
      </c>
      <c r="AD1664">
        <v>10</v>
      </c>
      <c r="AE1664">
        <v>0</v>
      </c>
      <c r="AF1664">
        <v>3</v>
      </c>
      <c r="AG1664">
        <v>2</v>
      </c>
      <c r="AH1664">
        <v>0</v>
      </c>
      <c r="AI1664" t="s">
        <v>1081</v>
      </c>
      <c r="AJ1664">
        <v>39.870801</v>
      </c>
      <c r="AK1664" t="s">
        <v>1082</v>
      </c>
      <c r="AL1664">
        <v>-92.544043000000002</v>
      </c>
      <c r="AM1664">
        <v>100</v>
      </c>
      <c r="AN1664">
        <v>1700</v>
      </c>
      <c r="AO1664" t="s">
        <v>118</v>
      </c>
      <c r="AP1664">
        <v>-41</v>
      </c>
      <c r="AQ1664">
        <v>116</v>
      </c>
      <c r="AR1664">
        <v>64</v>
      </c>
      <c r="AZ1664">
        <v>1200</v>
      </c>
      <c r="BA1664">
        <v>1</v>
      </c>
      <c r="BB1664" t="str">
        <f t="shared" si="78"/>
        <v xml:space="preserve">N8080G  </v>
      </c>
      <c r="BC1664">
        <v>1</v>
      </c>
      <c r="BE1664">
        <v>0</v>
      </c>
      <c r="BF1664">
        <v>0</v>
      </c>
      <c r="BG1664">
        <v>0</v>
      </c>
      <c r="BH1664">
        <v>1700</v>
      </c>
      <c r="BI1664">
        <v>1</v>
      </c>
      <c r="BJ1664">
        <v>1</v>
      </c>
      <c r="BK1664">
        <v>1</v>
      </c>
      <c r="BL1664">
        <v>0</v>
      </c>
      <c r="BO1664">
        <v>0</v>
      </c>
      <c r="BP1664">
        <v>0</v>
      </c>
      <c r="BW1664" t="str">
        <f>"20:22:31.173"</f>
        <v>20:22:31.173</v>
      </c>
      <c r="BZ1664">
        <v>0</v>
      </c>
      <c r="CA1664">
        <v>2016</v>
      </c>
      <c r="CB1664">
        <v>224</v>
      </c>
      <c r="CD1664">
        <v>1</v>
      </c>
      <c r="CE1664">
        <v>0</v>
      </c>
      <c r="CF1664">
        <v>0</v>
      </c>
      <c r="CG1664">
        <v>1</v>
      </c>
      <c r="CH1664">
        <v>0</v>
      </c>
      <c r="CI1664">
        <v>0</v>
      </c>
      <c r="CJ1664">
        <v>0</v>
      </c>
      <c r="CK1664">
        <v>2</v>
      </c>
      <c r="CL1664">
        <v>0</v>
      </c>
      <c r="CM1664">
        <v>2</v>
      </c>
      <c r="CN1664">
        <v>0</v>
      </c>
      <c r="CO1664">
        <v>7</v>
      </c>
      <c r="CP1664" t="s">
        <v>119</v>
      </c>
      <c r="CQ1664">
        <v>180</v>
      </c>
      <c r="CR1664">
        <v>1</v>
      </c>
      <c r="CW1664">
        <v>10852989</v>
      </c>
      <c r="CY1664">
        <v>1</v>
      </c>
      <c r="CZ1664">
        <v>0</v>
      </c>
      <c r="DA1664">
        <v>1</v>
      </c>
      <c r="DB1664">
        <v>0</v>
      </c>
      <c r="DC1664">
        <v>0</v>
      </c>
      <c r="DD1664">
        <v>0</v>
      </c>
      <c r="DE1664">
        <v>0</v>
      </c>
      <c r="DF1664">
        <v>0</v>
      </c>
      <c r="DG1664">
        <v>0</v>
      </c>
      <c r="DH1664">
        <v>0</v>
      </c>
      <c r="DI1664">
        <v>0</v>
      </c>
    </row>
    <row r="1665" spans="1:113" x14ac:dyDescent="0.3">
      <c r="A1665" t="str">
        <f>"02/08/2021 20:22:28.857"</f>
        <v>02/08/2021 20:22:28.857</v>
      </c>
      <c r="C1665" t="str">
        <f t="shared" si="77"/>
        <v>FFDFD7C0</v>
      </c>
      <c r="D1665" t="s">
        <v>113</v>
      </c>
      <c r="E1665">
        <v>6</v>
      </c>
      <c r="H1665">
        <v>165</v>
      </c>
      <c r="I1665" t="s">
        <v>114</v>
      </c>
      <c r="J1665" t="s">
        <v>115</v>
      </c>
      <c r="K1665">
        <v>0</v>
      </c>
      <c r="L1665">
        <v>3</v>
      </c>
      <c r="M1665">
        <v>0</v>
      </c>
      <c r="N1665">
        <v>2</v>
      </c>
      <c r="O1665">
        <v>1</v>
      </c>
      <c r="P1665">
        <v>0</v>
      </c>
      <c r="Q1665">
        <v>0</v>
      </c>
      <c r="S1665" t="str">
        <f>"20:22:31.172"</f>
        <v>20:22:31.172</v>
      </c>
      <c r="T1665" t="str">
        <f>"20:22:30.772"</f>
        <v>20:22:30.772</v>
      </c>
      <c r="U1665" t="str">
        <f t="shared" si="76"/>
        <v>AB01F4</v>
      </c>
      <c r="V1665">
        <v>0</v>
      </c>
      <c r="W1665">
        <v>0</v>
      </c>
      <c r="X1665">
        <v>2</v>
      </c>
      <c r="Z1665">
        <v>0</v>
      </c>
      <c r="AA1665">
        <v>9</v>
      </c>
      <c r="AB1665">
        <v>3</v>
      </c>
      <c r="AC1665">
        <v>0</v>
      </c>
      <c r="AD1665">
        <v>10</v>
      </c>
      <c r="AE1665">
        <v>0</v>
      </c>
      <c r="AF1665">
        <v>3</v>
      </c>
      <c r="AG1665">
        <v>2</v>
      </c>
      <c r="AH1665">
        <v>0</v>
      </c>
      <c r="AI1665" t="s">
        <v>1081</v>
      </c>
      <c r="AJ1665">
        <v>39.870801</v>
      </c>
      <c r="AK1665" t="s">
        <v>1082</v>
      </c>
      <c r="AL1665">
        <v>-92.544043000000002</v>
      </c>
      <c r="AM1665">
        <v>100</v>
      </c>
      <c r="AN1665">
        <v>1700</v>
      </c>
      <c r="AO1665" t="s">
        <v>118</v>
      </c>
      <c r="AP1665">
        <v>-41</v>
      </c>
      <c r="AQ1665">
        <v>116</v>
      </c>
      <c r="AR1665">
        <v>64</v>
      </c>
      <c r="AZ1665">
        <v>1200</v>
      </c>
      <c r="BA1665">
        <v>1</v>
      </c>
      <c r="BB1665" t="str">
        <f t="shared" si="78"/>
        <v xml:space="preserve">N8080G  </v>
      </c>
      <c r="BC1665">
        <v>1</v>
      </c>
      <c r="BE1665">
        <v>0</v>
      </c>
      <c r="BF1665">
        <v>0</v>
      </c>
      <c r="BG1665">
        <v>0</v>
      </c>
      <c r="BH1665">
        <v>1700</v>
      </c>
      <c r="BI1665">
        <v>1</v>
      </c>
      <c r="BJ1665">
        <v>1</v>
      </c>
      <c r="BK1665">
        <v>1</v>
      </c>
      <c r="BL1665">
        <v>0</v>
      </c>
      <c r="BO1665">
        <v>0</v>
      </c>
      <c r="BP1665">
        <v>0</v>
      </c>
      <c r="BW1665" t="str">
        <f>"20:22:31.173"</f>
        <v>20:22:31.173</v>
      </c>
      <c r="BZ1665">
        <v>0</v>
      </c>
      <c r="CA1665">
        <v>2016</v>
      </c>
      <c r="CB1665">
        <v>224</v>
      </c>
      <c r="CD1665">
        <v>1</v>
      </c>
      <c r="CE1665">
        <v>0</v>
      </c>
      <c r="CF1665">
        <v>0</v>
      </c>
      <c r="CG1665">
        <v>1</v>
      </c>
      <c r="CH1665">
        <v>0</v>
      </c>
      <c r="CI1665">
        <v>0</v>
      </c>
      <c r="CJ1665">
        <v>0</v>
      </c>
      <c r="CK1665">
        <v>2</v>
      </c>
      <c r="CL1665">
        <v>0</v>
      </c>
      <c r="CM1665">
        <v>2</v>
      </c>
      <c r="CN1665">
        <v>0</v>
      </c>
      <c r="CO1665">
        <v>7</v>
      </c>
      <c r="CP1665" t="s">
        <v>119</v>
      </c>
      <c r="CQ1665">
        <v>180</v>
      </c>
      <c r="CR1665">
        <v>1</v>
      </c>
      <c r="CW1665">
        <v>10852989</v>
      </c>
      <c r="CY1665">
        <v>1</v>
      </c>
      <c r="CZ1665">
        <v>0</v>
      </c>
      <c r="DA1665">
        <v>1</v>
      </c>
      <c r="DB1665">
        <v>0</v>
      </c>
      <c r="DC1665">
        <v>0</v>
      </c>
      <c r="DD1665">
        <v>0</v>
      </c>
      <c r="DE1665">
        <v>0</v>
      </c>
      <c r="DF1665">
        <v>0</v>
      </c>
      <c r="DG1665">
        <v>0</v>
      </c>
      <c r="DH1665">
        <v>0</v>
      </c>
      <c r="DI1665">
        <v>0</v>
      </c>
    </row>
    <row r="1666" spans="1:113" x14ac:dyDescent="0.3">
      <c r="A1666" t="str">
        <f>"02/08/2021 20:22:28.857"</f>
        <v>02/08/2021 20:22:28.857</v>
      </c>
      <c r="C1666" t="str">
        <f t="shared" si="77"/>
        <v>FFDFD7C0</v>
      </c>
      <c r="D1666" t="s">
        <v>124</v>
      </c>
      <c r="E1666">
        <v>12</v>
      </c>
      <c r="F1666">
        <v>1012</v>
      </c>
      <c r="G1666" t="s">
        <v>675</v>
      </c>
      <c r="J1666" t="s">
        <v>125</v>
      </c>
      <c r="K1666">
        <v>0</v>
      </c>
      <c r="L1666">
        <v>3</v>
      </c>
      <c r="M1666">
        <v>0</v>
      </c>
      <c r="N1666">
        <v>2</v>
      </c>
      <c r="O1666">
        <v>1</v>
      </c>
      <c r="P1666">
        <v>0</v>
      </c>
      <c r="Q1666">
        <v>0</v>
      </c>
      <c r="S1666" t="str">
        <f>"20:22:31.172"</f>
        <v>20:22:31.172</v>
      </c>
      <c r="T1666" t="str">
        <f>"20:22:30.772"</f>
        <v>20:22:30.772</v>
      </c>
      <c r="U1666" t="str">
        <f t="shared" ref="U1666:U1729" si="79">"AB01F4"</f>
        <v>AB01F4</v>
      </c>
      <c r="V1666">
        <v>0</v>
      </c>
      <c r="W1666">
        <v>0</v>
      </c>
      <c r="X1666">
        <v>2</v>
      </c>
      <c r="Z1666">
        <v>0</v>
      </c>
      <c r="AA1666">
        <v>9</v>
      </c>
      <c r="AB1666">
        <v>3</v>
      </c>
      <c r="AC1666">
        <v>0</v>
      </c>
      <c r="AD1666">
        <v>10</v>
      </c>
      <c r="AE1666">
        <v>0</v>
      </c>
      <c r="AF1666">
        <v>3</v>
      </c>
      <c r="AG1666">
        <v>2</v>
      </c>
      <c r="AH1666">
        <v>0</v>
      </c>
      <c r="AI1666" t="s">
        <v>1081</v>
      </c>
      <c r="AJ1666">
        <v>39.870801</v>
      </c>
      <c r="AK1666" t="s">
        <v>1082</v>
      </c>
      <c r="AL1666">
        <v>-92.544043000000002</v>
      </c>
      <c r="AM1666">
        <v>100</v>
      </c>
      <c r="AN1666">
        <v>1700</v>
      </c>
      <c r="AO1666" t="s">
        <v>118</v>
      </c>
      <c r="AP1666">
        <v>-41</v>
      </c>
      <c r="AQ1666">
        <v>116</v>
      </c>
      <c r="AR1666">
        <v>64</v>
      </c>
      <c r="AZ1666">
        <v>1200</v>
      </c>
      <c r="BA1666">
        <v>1</v>
      </c>
      <c r="BB1666" t="str">
        <f t="shared" si="78"/>
        <v xml:space="preserve">N8080G  </v>
      </c>
      <c r="BC1666">
        <v>1</v>
      </c>
      <c r="BE1666">
        <v>0</v>
      </c>
      <c r="BF1666">
        <v>0</v>
      </c>
      <c r="BG1666">
        <v>0</v>
      </c>
      <c r="BH1666">
        <v>1700</v>
      </c>
      <c r="BI1666">
        <v>1</v>
      </c>
      <c r="BJ1666">
        <v>1</v>
      </c>
      <c r="BK1666">
        <v>1</v>
      </c>
      <c r="BL1666">
        <v>0</v>
      </c>
      <c r="BO1666">
        <v>0</v>
      </c>
      <c r="BP1666">
        <v>0</v>
      </c>
      <c r="BW1666" t="str">
        <f>"20:22:31.173"</f>
        <v>20:22:31.173</v>
      </c>
      <c r="BZ1666">
        <v>0</v>
      </c>
      <c r="CA1666">
        <v>2016</v>
      </c>
      <c r="CB1666">
        <v>224</v>
      </c>
      <c r="CD1666">
        <v>1</v>
      </c>
      <c r="CE1666">
        <v>0</v>
      </c>
      <c r="CF1666">
        <v>0</v>
      </c>
      <c r="CG1666">
        <v>1</v>
      </c>
      <c r="CH1666">
        <v>0</v>
      </c>
      <c r="CI1666">
        <v>0</v>
      </c>
      <c r="CJ1666">
        <v>0</v>
      </c>
      <c r="CK1666">
        <v>2</v>
      </c>
      <c r="CL1666">
        <v>0</v>
      </c>
      <c r="CM1666">
        <v>2</v>
      </c>
      <c r="CN1666">
        <v>0</v>
      </c>
      <c r="CO1666">
        <v>7</v>
      </c>
      <c r="CP1666" t="s">
        <v>119</v>
      </c>
      <c r="CQ1666">
        <v>180</v>
      </c>
      <c r="CR1666">
        <v>1</v>
      </c>
      <c r="CW1666">
        <v>10852989</v>
      </c>
      <c r="CY1666">
        <v>1</v>
      </c>
      <c r="CZ1666">
        <v>0</v>
      </c>
      <c r="DA1666">
        <v>1</v>
      </c>
      <c r="DB1666">
        <v>0</v>
      </c>
      <c r="DC1666">
        <v>0</v>
      </c>
      <c r="DD1666">
        <v>0</v>
      </c>
      <c r="DE1666">
        <v>0</v>
      </c>
      <c r="DF1666">
        <v>0</v>
      </c>
      <c r="DG1666">
        <v>0</v>
      </c>
      <c r="DH1666">
        <v>0</v>
      </c>
      <c r="DI1666">
        <v>0</v>
      </c>
    </row>
    <row r="1667" spans="1:113" x14ac:dyDescent="0.3">
      <c r="A1667" t="str">
        <f>"02/08/2021 20:22:30.416"</f>
        <v>02/08/2021 20:22:30.416</v>
      </c>
      <c r="C1667" t="str">
        <f t="shared" si="77"/>
        <v>FFDFD7C0</v>
      </c>
      <c r="D1667" t="s">
        <v>124</v>
      </c>
      <c r="E1667">
        <v>13</v>
      </c>
      <c r="F1667">
        <v>1013</v>
      </c>
      <c r="G1667" t="s">
        <v>114</v>
      </c>
      <c r="J1667" t="s">
        <v>125</v>
      </c>
      <c r="K1667">
        <v>0</v>
      </c>
      <c r="L1667">
        <v>3</v>
      </c>
      <c r="M1667">
        <v>0</v>
      </c>
      <c r="N1667">
        <v>2</v>
      </c>
      <c r="O1667">
        <v>1</v>
      </c>
      <c r="P1667">
        <v>0</v>
      </c>
      <c r="Q1667">
        <v>0</v>
      </c>
      <c r="S1667" t="str">
        <f>"20:22:32.703"</f>
        <v>20:22:32.703</v>
      </c>
      <c r="T1667" t="str">
        <f>"20:22:32.203"</f>
        <v>20:22:32.203</v>
      </c>
      <c r="U1667" t="str">
        <f t="shared" si="79"/>
        <v>AB01F4</v>
      </c>
      <c r="V1667">
        <v>0</v>
      </c>
      <c r="W1667">
        <v>0</v>
      </c>
      <c r="X1667">
        <v>2</v>
      </c>
      <c r="Z1667">
        <v>0</v>
      </c>
      <c r="AA1667">
        <v>9</v>
      </c>
      <c r="AB1667">
        <v>3</v>
      </c>
      <c r="AC1667">
        <v>0</v>
      </c>
      <c r="AD1667">
        <v>10</v>
      </c>
      <c r="AE1667">
        <v>0</v>
      </c>
      <c r="AF1667">
        <v>3</v>
      </c>
      <c r="AG1667">
        <v>2</v>
      </c>
      <c r="AH1667">
        <v>0</v>
      </c>
      <c r="AI1667" t="s">
        <v>1083</v>
      </c>
      <c r="AJ1667">
        <v>39.871616000000003</v>
      </c>
      <c r="AK1667" t="s">
        <v>1084</v>
      </c>
      <c r="AL1667">
        <v>-92.544428999999994</v>
      </c>
      <c r="AM1667">
        <v>100</v>
      </c>
      <c r="AN1667">
        <v>1700</v>
      </c>
      <c r="AO1667" t="s">
        <v>118</v>
      </c>
      <c r="AP1667">
        <v>-41</v>
      </c>
      <c r="AQ1667">
        <v>116</v>
      </c>
      <c r="AR1667">
        <v>0</v>
      </c>
      <c r="AZ1667">
        <v>1200</v>
      </c>
      <c r="BA1667">
        <v>1</v>
      </c>
      <c r="BB1667" t="str">
        <f t="shared" si="78"/>
        <v xml:space="preserve">N8080G  </v>
      </c>
      <c r="BC1667">
        <v>1</v>
      </c>
      <c r="BE1667">
        <v>0</v>
      </c>
      <c r="BF1667">
        <v>0</v>
      </c>
      <c r="BG1667">
        <v>0</v>
      </c>
      <c r="BH1667">
        <v>1700</v>
      </c>
      <c r="BI1667">
        <v>1</v>
      </c>
      <c r="BJ1667">
        <v>1</v>
      </c>
      <c r="BK1667">
        <v>1</v>
      </c>
      <c r="BL1667">
        <v>0</v>
      </c>
      <c r="BO1667">
        <v>0</v>
      </c>
      <c r="BP1667">
        <v>0</v>
      </c>
      <c r="BW1667" t="str">
        <f>"20:22:32.710"</f>
        <v>20:22:32.710</v>
      </c>
      <c r="BZ1667">
        <v>0</v>
      </c>
      <c r="CA1667">
        <v>2016</v>
      </c>
      <c r="CB1667">
        <v>224</v>
      </c>
      <c r="CD1667">
        <v>1</v>
      </c>
      <c r="CE1667">
        <v>0</v>
      </c>
      <c r="CF1667">
        <v>0</v>
      </c>
      <c r="CG1667">
        <v>1</v>
      </c>
      <c r="CH1667">
        <v>0</v>
      </c>
      <c r="CI1667">
        <v>0</v>
      </c>
      <c r="CJ1667">
        <v>0</v>
      </c>
      <c r="CK1667">
        <v>2</v>
      </c>
      <c r="CL1667">
        <v>0</v>
      </c>
      <c r="CM1667">
        <v>2</v>
      </c>
      <c r="CN1667">
        <v>0</v>
      </c>
      <c r="CO1667">
        <v>7</v>
      </c>
      <c r="CP1667" t="s">
        <v>119</v>
      </c>
      <c r="CQ1667">
        <v>180</v>
      </c>
      <c r="CR1667">
        <v>2</v>
      </c>
      <c r="CW1667">
        <v>8291409</v>
      </c>
      <c r="CY1667">
        <v>1</v>
      </c>
      <c r="CZ1667">
        <v>0</v>
      </c>
      <c r="DA1667">
        <v>0</v>
      </c>
      <c r="DB1667">
        <v>0</v>
      </c>
      <c r="DC1667">
        <v>0</v>
      </c>
      <c r="DD1667">
        <v>0</v>
      </c>
      <c r="DE1667">
        <v>0</v>
      </c>
      <c r="DF1667">
        <v>0</v>
      </c>
      <c r="DG1667">
        <v>0</v>
      </c>
      <c r="DH1667">
        <v>0</v>
      </c>
      <c r="DI1667">
        <v>0</v>
      </c>
    </row>
    <row r="1668" spans="1:113" x14ac:dyDescent="0.3">
      <c r="A1668" t="str">
        <f>"02/08/2021 20:22:30.416"</f>
        <v>02/08/2021 20:22:30.416</v>
      </c>
      <c r="C1668" t="str">
        <f t="shared" si="77"/>
        <v>FFDFD7C0</v>
      </c>
      <c r="D1668" t="s">
        <v>124</v>
      </c>
      <c r="E1668">
        <v>11</v>
      </c>
      <c r="F1668">
        <v>1011</v>
      </c>
      <c r="G1668" t="s">
        <v>590</v>
      </c>
      <c r="J1668" t="s">
        <v>125</v>
      </c>
      <c r="K1668">
        <v>0</v>
      </c>
      <c r="L1668">
        <v>3</v>
      </c>
      <c r="M1668">
        <v>0</v>
      </c>
      <c r="N1668">
        <v>2</v>
      </c>
      <c r="O1668">
        <v>1</v>
      </c>
      <c r="P1668">
        <v>0</v>
      </c>
      <c r="Q1668">
        <v>0</v>
      </c>
      <c r="S1668" t="str">
        <f>"20:22:32.703"</f>
        <v>20:22:32.703</v>
      </c>
      <c r="T1668" t="str">
        <f>"20:22:32.203"</f>
        <v>20:22:32.203</v>
      </c>
      <c r="U1668" t="str">
        <f t="shared" si="79"/>
        <v>AB01F4</v>
      </c>
      <c r="V1668">
        <v>0</v>
      </c>
      <c r="W1668">
        <v>0</v>
      </c>
      <c r="X1668">
        <v>2</v>
      </c>
      <c r="Z1668">
        <v>0</v>
      </c>
      <c r="AA1668">
        <v>9</v>
      </c>
      <c r="AB1668">
        <v>3</v>
      </c>
      <c r="AC1668">
        <v>0</v>
      </c>
      <c r="AD1668">
        <v>10</v>
      </c>
      <c r="AE1668">
        <v>0</v>
      </c>
      <c r="AF1668">
        <v>3</v>
      </c>
      <c r="AG1668">
        <v>2</v>
      </c>
      <c r="AH1668">
        <v>0</v>
      </c>
      <c r="AI1668" t="s">
        <v>1083</v>
      </c>
      <c r="AJ1668">
        <v>39.871616000000003</v>
      </c>
      <c r="AK1668" t="s">
        <v>1084</v>
      </c>
      <c r="AL1668">
        <v>-92.544428999999994</v>
      </c>
      <c r="AM1668">
        <v>100</v>
      </c>
      <c r="AN1668">
        <v>1700</v>
      </c>
      <c r="AO1668" t="s">
        <v>118</v>
      </c>
      <c r="AP1668">
        <v>-41</v>
      </c>
      <c r="AQ1668">
        <v>116</v>
      </c>
      <c r="AR1668">
        <v>0</v>
      </c>
      <c r="AZ1668">
        <v>1200</v>
      </c>
      <c r="BA1668">
        <v>1</v>
      </c>
      <c r="BB1668" t="str">
        <f t="shared" si="78"/>
        <v xml:space="preserve">N8080G  </v>
      </c>
      <c r="BC1668">
        <v>1</v>
      </c>
      <c r="BE1668">
        <v>0</v>
      </c>
      <c r="BF1668">
        <v>0</v>
      </c>
      <c r="BG1668">
        <v>0</v>
      </c>
      <c r="BH1668">
        <v>1700</v>
      </c>
      <c r="BI1668">
        <v>1</v>
      </c>
      <c r="BJ1668">
        <v>1</v>
      </c>
      <c r="BK1668">
        <v>1</v>
      </c>
      <c r="BL1668">
        <v>0</v>
      </c>
      <c r="BO1668">
        <v>0</v>
      </c>
      <c r="BP1668">
        <v>0</v>
      </c>
      <c r="BW1668" t="str">
        <f>"20:22:32.710"</f>
        <v>20:22:32.710</v>
      </c>
      <c r="BZ1668">
        <v>0</v>
      </c>
      <c r="CA1668">
        <v>2016</v>
      </c>
      <c r="CB1668">
        <v>224</v>
      </c>
      <c r="CD1668">
        <v>1</v>
      </c>
      <c r="CE1668">
        <v>0</v>
      </c>
      <c r="CF1668">
        <v>0</v>
      </c>
      <c r="CG1668">
        <v>1</v>
      </c>
      <c r="CH1668">
        <v>0</v>
      </c>
      <c r="CI1668">
        <v>0</v>
      </c>
      <c r="CJ1668">
        <v>0</v>
      </c>
      <c r="CK1668">
        <v>2</v>
      </c>
      <c r="CL1668">
        <v>0</v>
      </c>
      <c r="CM1668">
        <v>2</v>
      </c>
      <c r="CN1668">
        <v>0</v>
      </c>
      <c r="CO1668">
        <v>7</v>
      </c>
      <c r="CP1668" t="s">
        <v>119</v>
      </c>
      <c r="CQ1668">
        <v>180</v>
      </c>
      <c r="CR1668">
        <v>2</v>
      </c>
      <c r="CW1668">
        <v>8291409</v>
      </c>
      <c r="CY1668">
        <v>1</v>
      </c>
      <c r="CZ1668">
        <v>0</v>
      </c>
      <c r="DA1668">
        <v>1</v>
      </c>
      <c r="DB1668">
        <v>0</v>
      </c>
      <c r="DC1668">
        <v>0</v>
      </c>
      <c r="DD1668">
        <v>0</v>
      </c>
      <c r="DE1668">
        <v>0</v>
      </c>
      <c r="DF1668">
        <v>0</v>
      </c>
      <c r="DG1668">
        <v>0</v>
      </c>
      <c r="DH1668">
        <v>0</v>
      </c>
      <c r="DI1668">
        <v>0</v>
      </c>
    </row>
    <row r="1669" spans="1:113" x14ac:dyDescent="0.3">
      <c r="A1669" t="str">
        <f>"02/08/2021 20:22:30.416"</f>
        <v>02/08/2021 20:22:30.416</v>
      </c>
      <c r="C1669" t="str">
        <f t="shared" si="77"/>
        <v>FFDFD7C0</v>
      </c>
      <c r="D1669" t="s">
        <v>124</v>
      </c>
      <c r="E1669">
        <v>12</v>
      </c>
      <c r="F1669">
        <v>1012</v>
      </c>
      <c r="G1669" t="s">
        <v>675</v>
      </c>
      <c r="J1669" t="s">
        <v>125</v>
      </c>
      <c r="K1669">
        <v>0</v>
      </c>
      <c r="L1669">
        <v>3</v>
      </c>
      <c r="M1669">
        <v>0</v>
      </c>
      <c r="N1669">
        <v>2</v>
      </c>
      <c r="O1669">
        <v>1</v>
      </c>
      <c r="P1669">
        <v>0</v>
      </c>
      <c r="Q1669">
        <v>0</v>
      </c>
      <c r="S1669" t="str">
        <f>"20:22:32.703"</f>
        <v>20:22:32.703</v>
      </c>
      <c r="T1669" t="str">
        <f>"20:22:32.203"</f>
        <v>20:22:32.203</v>
      </c>
      <c r="U1669" t="str">
        <f t="shared" si="79"/>
        <v>AB01F4</v>
      </c>
      <c r="V1669">
        <v>0</v>
      </c>
      <c r="W1669">
        <v>0</v>
      </c>
      <c r="X1669">
        <v>2</v>
      </c>
      <c r="Z1669">
        <v>0</v>
      </c>
      <c r="AA1669">
        <v>9</v>
      </c>
      <c r="AB1669">
        <v>3</v>
      </c>
      <c r="AC1669">
        <v>0</v>
      </c>
      <c r="AD1669">
        <v>10</v>
      </c>
      <c r="AE1669">
        <v>0</v>
      </c>
      <c r="AF1669">
        <v>3</v>
      </c>
      <c r="AG1669">
        <v>2</v>
      </c>
      <c r="AH1669">
        <v>0</v>
      </c>
      <c r="AI1669" t="s">
        <v>1083</v>
      </c>
      <c r="AJ1669">
        <v>39.871616000000003</v>
      </c>
      <c r="AK1669" t="s">
        <v>1084</v>
      </c>
      <c r="AL1669">
        <v>-92.544428999999994</v>
      </c>
      <c r="AM1669">
        <v>100</v>
      </c>
      <c r="AN1669">
        <v>1700</v>
      </c>
      <c r="AO1669" t="s">
        <v>118</v>
      </c>
      <c r="AP1669">
        <v>-41</v>
      </c>
      <c r="AQ1669">
        <v>116</v>
      </c>
      <c r="AR1669">
        <v>0</v>
      </c>
      <c r="AZ1669">
        <v>1200</v>
      </c>
      <c r="BA1669">
        <v>1</v>
      </c>
      <c r="BB1669" t="str">
        <f t="shared" si="78"/>
        <v xml:space="preserve">N8080G  </v>
      </c>
      <c r="BC1669">
        <v>1</v>
      </c>
      <c r="BE1669">
        <v>0</v>
      </c>
      <c r="BF1669">
        <v>0</v>
      </c>
      <c r="BG1669">
        <v>0</v>
      </c>
      <c r="BH1669">
        <v>1700</v>
      </c>
      <c r="BI1669">
        <v>1</v>
      </c>
      <c r="BJ1669">
        <v>1</v>
      </c>
      <c r="BK1669">
        <v>1</v>
      </c>
      <c r="BL1669">
        <v>0</v>
      </c>
      <c r="BO1669">
        <v>0</v>
      </c>
      <c r="BP1669">
        <v>0</v>
      </c>
      <c r="BW1669" t="str">
        <f>"20:22:32.710"</f>
        <v>20:22:32.710</v>
      </c>
      <c r="BZ1669">
        <v>0</v>
      </c>
      <c r="CA1669">
        <v>2016</v>
      </c>
      <c r="CB1669">
        <v>224</v>
      </c>
      <c r="CD1669">
        <v>1</v>
      </c>
      <c r="CE1669">
        <v>0</v>
      </c>
      <c r="CF1669">
        <v>0</v>
      </c>
      <c r="CG1669">
        <v>1</v>
      </c>
      <c r="CH1669">
        <v>0</v>
      </c>
      <c r="CI1669">
        <v>0</v>
      </c>
      <c r="CJ1669">
        <v>0</v>
      </c>
      <c r="CK1669">
        <v>2</v>
      </c>
      <c r="CL1669">
        <v>0</v>
      </c>
      <c r="CM1669">
        <v>2</v>
      </c>
      <c r="CN1669">
        <v>0</v>
      </c>
      <c r="CO1669">
        <v>7</v>
      </c>
      <c r="CP1669" t="s">
        <v>119</v>
      </c>
      <c r="CQ1669">
        <v>180</v>
      </c>
      <c r="CR1669">
        <v>2</v>
      </c>
      <c r="CW1669">
        <v>8291409</v>
      </c>
      <c r="CY1669">
        <v>1</v>
      </c>
      <c r="CZ1669">
        <v>0</v>
      </c>
      <c r="DA1669">
        <v>1</v>
      </c>
      <c r="DB1669">
        <v>0</v>
      </c>
      <c r="DC1669">
        <v>0</v>
      </c>
      <c r="DD1669">
        <v>0</v>
      </c>
      <c r="DE1669">
        <v>0</v>
      </c>
      <c r="DF1669">
        <v>0</v>
      </c>
      <c r="DG1669">
        <v>0</v>
      </c>
      <c r="DH1669">
        <v>0</v>
      </c>
      <c r="DI1669">
        <v>0</v>
      </c>
    </row>
    <row r="1670" spans="1:113" x14ac:dyDescent="0.3">
      <c r="A1670" t="str">
        <f>"02/08/2021 20:22:30.416"</f>
        <v>02/08/2021 20:22:30.416</v>
      </c>
      <c r="C1670" t="str">
        <f t="shared" si="77"/>
        <v>FFDFD7C0</v>
      </c>
      <c r="D1670" t="s">
        <v>113</v>
      </c>
      <c r="E1670">
        <v>6</v>
      </c>
      <c r="H1670">
        <v>165</v>
      </c>
      <c r="I1670" t="s">
        <v>114</v>
      </c>
      <c r="J1670" t="s">
        <v>115</v>
      </c>
      <c r="K1670">
        <v>0</v>
      </c>
      <c r="L1670">
        <v>3</v>
      </c>
      <c r="M1670">
        <v>0</v>
      </c>
      <c r="N1670">
        <v>2</v>
      </c>
      <c r="O1670">
        <v>1</v>
      </c>
      <c r="P1670">
        <v>0</v>
      </c>
      <c r="Q1670">
        <v>0</v>
      </c>
      <c r="S1670" t="str">
        <f>"20:22:32.703"</f>
        <v>20:22:32.703</v>
      </c>
      <c r="T1670" t="str">
        <f>"20:22:32.203"</f>
        <v>20:22:32.203</v>
      </c>
      <c r="U1670" t="str">
        <f t="shared" si="79"/>
        <v>AB01F4</v>
      </c>
      <c r="V1670">
        <v>0</v>
      </c>
      <c r="W1670">
        <v>0</v>
      </c>
      <c r="X1670">
        <v>2</v>
      </c>
      <c r="Z1670">
        <v>0</v>
      </c>
      <c r="AA1670">
        <v>9</v>
      </c>
      <c r="AB1670">
        <v>3</v>
      </c>
      <c r="AC1670">
        <v>0</v>
      </c>
      <c r="AD1670">
        <v>10</v>
      </c>
      <c r="AE1670">
        <v>0</v>
      </c>
      <c r="AF1670">
        <v>3</v>
      </c>
      <c r="AG1670">
        <v>2</v>
      </c>
      <c r="AH1670">
        <v>0</v>
      </c>
      <c r="AI1670" t="s">
        <v>1083</v>
      </c>
      <c r="AJ1670">
        <v>39.871616000000003</v>
      </c>
      <c r="AK1670" t="s">
        <v>1084</v>
      </c>
      <c r="AL1670">
        <v>-92.544428999999994</v>
      </c>
      <c r="AM1670">
        <v>100</v>
      </c>
      <c r="AN1670">
        <v>1700</v>
      </c>
      <c r="AO1670" t="s">
        <v>118</v>
      </c>
      <c r="AP1670">
        <v>-41</v>
      </c>
      <c r="AQ1670">
        <v>116</v>
      </c>
      <c r="AR1670">
        <v>0</v>
      </c>
      <c r="AZ1670">
        <v>1200</v>
      </c>
      <c r="BA1670">
        <v>1</v>
      </c>
      <c r="BB1670" t="str">
        <f t="shared" si="78"/>
        <v xml:space="preserve">N8080G  </v>
      </c>
      <c r="BC1670">
        <v>1</v>
      </c>
      <c r="BE1670">
        <v>0</v>
      </c>
      <c r="BF1670">
        <v>0</v>
      </c>
      <c r="BG1670">
        <v>0</v>
      </c>
      <c r="BH1670">
        <v>1700</v>
      </c>
      <c r="BI1670">
        <v>1</v>
      </c>
      <c r="BJ1670">
        <v>1</v>
      </c>
      <c r="BK1670">
        <v>1</v>
      </c>
      <c r="BL1670">
        <v>0</v>
      </c>
      <c r="BO1670">
        <v>0</v>
      </c>
      <c r="BP1670">
        <v>0</v>
      </c>
      <c r="BW1670" t="str">
        <f>"20:22:32.710"</f>
        <v>20:22:32.710</v>
      </c>
      <c r="BZ1670">
        <v>0</v>
      </c>
      <c r="CA1670">
        <v>2016</v>
      </c>
      <c r="CB1670">
        <v>224</v>
      </c>
      <c r="CD1670">
        <v>1</v>
      </c>
      <c r="CE1670">
        <v>0</v>
      </c>
      <c r="CF1670">
        <v>0</v>
      </c>
      <c r="CG1670">
        <v>1</v>
      </c>
      <c r="CH1670">
        <v>0</v>
      </c>
      <c r="CI1670">
        <v>0</v>
      </c>
      <c r="CJ1670">
        <v>0</v>
      </c>
      <c r="CK1670">
        <v>2</v>
      </c>
      <c r="CL1670">
        <v>0</v>
      </c>
      <c r="CM1670">
        <v>2</v>
      </c>
      <c r="CN1670">
        <v>0</v>
      </c>
      <c r="CO1670">
        <v>7</v>
      </c>
      <c r="CP1670" t="s">
        <v>119</v>
      </c>
      <c r="CQ1670">
        <v>180</v>
      </c>
      <c r="CR1670">
        <v>2</v>
      </c>
      <c r="CW1670">
        <v>8291409</v>
      </c>
      <c r="CY1670">
        <v>1</v>
      </c>
      <c r="CZ1670">
        <v>0</v>
      </c>
      <c r="DA1670">
        <v>1</v>
      </c>
      <c r="DB1670">
        <v>0</v>
      </c>
      <c r="DC1670">
        <v>0</v>
      </c>
      <c r="DD1670">
        <v>0</v>
      </c>
      <c r="DE1670">
        <v>0</v>
      </c>
      <c r="DF1670">
        <v>0</v>
      </c>
      <c r="DG1670">
        <v>0</v>
      </c>
      <c r="DH1670">
        <v>0</v>
      </c>
      <c r="DI1670">
        <v>0</v>
      </c>
    </row>
    <row r="1671" spans="1:113" x14ac:dyDescent="0.3">
      <c r="A1671" t="str">
        <f>"02/08/2021 20:22:31.837"</f>
        <v>02/08/2021 20:22:31.837</v>
      </c>
      <c r="C1671" t="str">
        <f t="shared" si="77"/>
        <v>FFDFD7C0</v>
      </c>
      <c r="D1671" t="s">
        <v>124</v>
      </c>
      <c r="E1671">
        <v>11</v>
      </c>
      <c r="F1671">
        <v>1011</v>
      </c>
      <c r="G1671" t="s">
        <v>590</v>
      </c>
      <c r="J1671" t="s">
        <v>125</v>
      </c>
      <c r="K1671">
        <v>0</v>
      </c>
      <c r="L1671">
        <v>3</v>
      </c>
      <c r="M1671">
        <v>0</v>
      </c>
      <c r="N1671">
        <v>2</v>
      </c>
      <c r="O1671">
        <v>1</v>
      </c>
      <c r="P1671">
        <v>0</v>
      </c>
      <c r="Q1671">
        <v>0</v>
      </c>
      <c r="S1671" t="str">
        <f>"20:22:34.180"</f>
        <v>20:22:34.180</v>
      </c>
      <c r="T1671" t="str">
        <f>"20:22:33.680"</f>
        <v>20:22:33.680</v>
      </c>
      <c r="U1671" t="str">
        <f t="shared" si="79"/>
        <v>AB01F4</v>
      </c>
      <c r="V1671">
        <v>0</v>
      </c>
      <c r="W1671">
        <v>0</v>
      </c>
      <c r="X1671">
        <v>2</v>
      </c>
      <c r="Z1671">
        <v>0</v>
      </c>
      <c r="AA1671">
        <v>9</v>
      </c>
      <c r="AB1671">
        <v>3</v>
      </c>
      <c r="AC1671">
        <v>0</v>
      </c>
      <c r="AD1671">
        <v>10</v>
      </c>
      <c r="AE1671">
        <v>0</v>
      </c>
      <c r="AF1671">
        <v>3</v>
      </c>
      <c r="AG1671">
        <v>2</v>
      </c>
      <c r="AH1671">
        <v>0</v>
      </c>
      <c r="AI1671" t="s">
        <v>1085</v>
      </c>
      <c r="AJ1671">
        <v>39.872410000000002</v>
      </c>
      <c r="AK1671" t="s">
        <v>1086</v>
      </c>
      <c r="AL1671">
        <v>-92.544837000000001</v>
      </c>
      <c r="AM1671">
        <v>100</v>
      </c>
      <c r="AN1671">
        <v>1700</v>
      </c>
      <c r="AO1671" t="s">
        <v>118</v>
      </c>
      <c r="AP1671">
        <v>-41</v>
      </c>
      <c r="AQ1671">
        <v>116</v>
      </c>
      <c r="AR1671">
        <v>0</v>
      </c>
      <c r="AZ1671">
        <v>1200</v>
      </c>
      <c r="BA1671">
        <v>1</v>
      </c>
      <c r="BB1671" t="str">
        <f t="shared" si="78"/>
        <v xml:space="preserve">N8080G  </v>
      </c>
      <c r="BC1671">
        <v>1</v>
      </c>
      <c r="BE1671">
        <v>0</v>
      </c>
      <c r="BF1671">
        <v>0</v>
      </c>
      <c r="BG1671">
        <v>0</v>
      </c>
      <c r="BH1671">
        <v>1700</v>
      </c>
      <c r="BI1671">
        <v>1</v>
      </c>
      <c r="BJ1671">
        <v>1</v>
      </c>
      <c r="BK1671">
        <v>1</v>
      </c>
      <c r="BL1671">
        <v>0</v>
      </c>
      <c r="BO1671">
        <v>0</v>
      </c>
      <c r="BP1671">
        <v>0</v>
      </c>
      <c r="BW1671" t="str">
        <f>"20:22:34.185"</f>
        <v>20:22:34.185</v>
      </c>
      <c r="BZ1671">
        <v>0</v>
      </c>
      <c r="CA1671">
        <v>2016</v>
      </c>
      <c r="CB1671">
        <v>224</v>
      </c>
      <c r="CD1671">
        <v>1</v>
      </c>
      <c r="CE1671">
        <v>0</v>
      </c>
      <c r="CF1671">
        <v>0</v>
      </c>
      <c r="CG1671">
        <v>1</v>
      </c>
      <c r="CH1671">
        <v>0</v>
      </c>
      <c r="CI1671">
        <v>0</v>
      </c>
      <c r="CJ1671">
        <v>0</v>
      </c>
      <c r="CK1671">
        <v>2</v>
      </c>
      <c r="CL1671">
        <v>0</v>
      </c>
      <c r="CM1671">
        <v>2</v>
      </c>
      <c r="CN1671">
        <v>0</v>
      </c>
      <c r="CO1671">
        <v>7</v>
      </c>
      <c r="CP1671" t="s">
        <v>119</v>
      </c>
      <c r="CQ1671">
        <v>180</v>
      </c>
      <c r="CR1671">
        <v>1</v>
      </c>
      <c r="CW1671">
        <v>10855495</v>
      </c>
      <c r="CY1671">
        <v>1</v>
      </c>
      <c r="CZ1671">
        <v>0</v>
      </c>
      <c r="DA1671">
        <v>0</v>
      </c>
      <c r="DB1671">
        <v>0</v>
      </c>
      <c r="DC1671">
        <v>0</v>
      </c>
      <c r="DD1671">
        <v>0</v>
      </c>
      <c r="DE1671">
        <v>0</v>
      </c>
      <c r="DF1671">
        <v>0</v>
      </c>
      <c r="DG1671">
        <v>0</v>
      </c>
      <c r="DH1671">
        <v>0</v>
      </c>
      <c r="DI1671">
        <v>0</v>
      </c>
    </row>
    <row r="1672" spans="1:113" x14ac:dyDescent="0.3">
      <c r="A1672" t="str">
        <f>"02/08/2021 20:22:31.837"</f>
        <v>02/08/2021 20:22:31.837</v>
      </c>
      <c r="C1672" t="str">
        <f t="shared" si="77"/>
        <v>FFDFD7C0</v>
      </c>
      <c r="D1672" t="s">
        <v>124</v>
      </c>
      <c r="E1672">
        <v>12</v>
      </c>
      <c r="F1672">
        <v>1012</v>
      </c>
      <c r="G1672" t="s">
        <v>675</v>
      </c>
      <c r="J1672" t="s">
        <v>125</v>
      </c>
      <c r="K1672">
        <v>0</v>
      </c>
      <c r="L1672">
        <v>3</v>
      </c>
      <c r="M1672">
        <v>0</v>
      </c>
      <c r="N1672">
        <v>2</v>
      </c>
      <c r="O1672">
        <v>1</v>
      </c>
      <c r="P1672">
        <v>0</v>
      </c>
      <c r="Q1672">
        <v>0</v>
      </c>
      <c r="S1672" t="str">
        <f>"20:22:34.180"</f>
        <v>20:22:34.180</v>
      </c>
      <c r="T1672" t="str">
        <f>"20:22:33.680"</f>
        <v>20:22:33.680</v>
      </c>
      <c r="U1672" t="str">
        <f t="shared" si="79"/>
        <v>AB01F4</v>
      </c>
      <c r="V1672">
        <v>0</v>
      </c>
      <c r="W1672">
        <v>0</v>
      </c>
      <c r="X1672">
        <v>2</v>
      </c>
      <c r="Z1672">
        <v>0</v>
      </c>
      <c r="AA1672">
        <v>9</v>
      </c>
      <c r="AB1672">
        <v>3</v>
      </c>
      <c r="AC1672">
        <v>0</v>
      </c>
      <c r="AD1672">
        <v>10</v>
      </c>
      <c r="AE1672">
        <v>0</v>
      </c>
      <c r="AF1672">
        <v>3</v>
      </c>
      <c r="AG1672">
        <v>2</v>
      </c>
      <c r="AH1672">
        <v>0</v>
      </c>
      <c r="AI1672" t="s">
        <v>1085</v>
      </c>
      <c r="AJ1672">
        <v>39.872410000000002</v>
      </c>
      <c r="AK1672" t="s">
        <v>1086</v>
      </c>
      <c r="AL1672">
        <v>-92.544837000000001</v>
      </c>
      <c r="AM1672">
        <v>100</v>
      </c>
      <c r="AN1672">
        <v>1700</v>
      </c>
      <c r="AO1672" t="s">
        <v>118</v>
      </c>
      <c r="AP1672">
        <v>-41</v>
      </c>
      <c r="AQ1672">
        <v>116</v>
      </c>
      <c r="AR1672">
        <v>0</v>
      </c>
      <c r="AZ1672">
        <v>1200</v>
      </c>
      <c r="BA1672">
        <v>1</v>
      </c>
      <c r="BB1672" t="str">
        <f t="shared" si="78"/>
        <v xml:space="preserve">N8080G  </v>
      </c>
      <c r="BC1672">
        <v>1</v>
      </c>
      <c r="BE1672">
        <v>0</v>
      </c>
      <c r="BF1672">
        <v>0</v>
      </c>
      <c r="BG1672">
        <v>0</v>
      </c>
      <c r="BH1672">
        <v>1700</v>
      </c>
      <c r="BI1672">
        <v>1</v>
      </c>
      <c r="BJ1672">
        <v>1</v>
      </c>
      <c r="BK1672">
        <v>1</v>
      </c>
      <c r="BL1672">
        <v>0</v>
      </c>
      <c r="BO1672">
        <v>0</v>
      </c>
      <c r="BP1672">
        <v>0</v>
      </c>
      <c r="BW1672" t="str">
        <f>"20:22:34.185"</f>
        <v>20:22:34.185</v>
      </c>
      <c r="BZ1672">
        <v>0</v>
      </c>
      <c r="CA1672">
        <v>2016</v>
      </c>
      <c r="CB1672">
        <v>224</v>
      </c>
      <c r="CD1672">
        <v>1</v>
      </c>
      <c r="CE1672">
        <v>0</v>
      </c>
      <c r="CF1672">
        <v>0</v>
      </c>
      <c r="CG1672">
        <v>1</v>
      </c>
      <c r="CH1672">
        <v>0</v>
      </c>
      <c r="CI1672">
        <v>0</v>
      </c>
      <c r="CJ1672">
        <v>0</v>
      </c>
      <c r="CK1672">
        <v>2</v>
      </c>
      <c r="CL1672">
        <v>0</v>
      </c>
      <c r="CM1672">
        <v>2</v>
      </c>
      <c r="CN1672">
        <v>0</v>
      </c>
      <c r="CO1672">
        <v>7</v>
      </c>
      <c r="CP1672" t="s">
        <v>119</v>
      </c>
      <c r="CQ1672">
        <v>180</v>
      </c>
      <c r="CR1672">
        <v>1</v>
      </c>
      <c r="CW1672">
        <v>10855495</v>
      </c>
      <c r="CY1672">
        <v>1</v>
      </c>
      <c r="CZ1672">
        <v>0</v>
      </c>
      <c r="DA1672">
        <v>1</v>
      </c>
      <c r="DB1672">
        <v>0</v>
      </c>
      <c r="DC1672">
        <v>0</v>
      </c>
      <c r="DD1672">
        <v>0</v>
      </c>
      <c r="DE1672">
        <v>0</v>
      </c>
      <c r="DF1672">
        <v>0</v>
      </c>
      <c r="DG1672">
        <v>0</v>
      </c>
      <c r="DH1672">
        <v>0</v>
      </c>
      <c r="DI1672">
        <v>0</v>
      </c>
    </row>
    <row r="1673" spans="1:113" x14ac:dyDescent="0.3">
      <c r="A1673" t="str">
        <f>"02/08/2021 20:22:31.837"</f>
        <v>02/08/2021 20:22:31.837</v>
      </c>
      <c r="C1673" t="str">
        <f t="shared" ref="C1673:C1734" si="80">"FFDFD7C0"</f>
        <v>FFDFD7C0</v>
      </c>
      <c r="D1673" t="s">
        <v>113</v>
      </c>
      <c r="E1673">
        <v>6</v>
      </c>
      <c r="H1673">
        <v>165</v>
      </c>
      <c r="I1673" t="s">
        <v>114</v>
      </c>
      <c r="J1673" t="s">
        <v>115</v>
      </c>
      <c r="K1673">
        <v>0</v>
      </c>
      <c r="L1673">
        <v>3</v>
      </c>
      <c r="M1673">
        <v>0</v>
      </c>
      <c r="N1673">
        <v>2</v>
      </c>
      <c r="O1673">
        <v>1</v>
      </c>
      <c r="P1673">
        <v>0</v>
      </c>
      <c r="Q1673">
        <v>0</v>
      </c>
      <c r="S1673" t="str">
        <f>"20:22:34.180"</f>
        <v>20:22:34.180</v>
      </c>
      <c r="T1673" t="str">
        <f>"20:22:33.680"</f>
        <v>20:22:33.680</v>
      </c>
      <c r="U1673" t="str">
        <f t="shared" si="79"/>
        <v>AB01F4</v>
      </c>
      <c r="V1673">
        <v>0</v>
      </c>
      <c r="W1673">
        <v>0</v>
      </c>
      <c r="X1673">
        <v>2</v>
      </c>
      <c r="Z1673">
        <v>0</v>
      </c>
      <c r="AA1673">
        <v>9</v>
      </c>
      <c r="AB1673">
        <v>3</v>
      </c>
      <c r="AC1673">
        <v>0</v>
      </c>
      <c r="AD1673">
        <v>10</v>
      </c>
      <c r="AE1673">
        <v>0</v>
      </c>
      <c r="AF1673">
        <v>3</v>
      </c>
      <c r="AG1673">
        <v>2</v>
      </c>
      <c r="AH1673">
        <v>0</v>
      </c>
      <c r="AI1673" t="s">
        <v>1085</v>
      </c>
      <c r="AJ1673">
        <v>39.872410000000002</v>
      </c>
      <c r="AK1673" t="s">
        <v>1086</v>
      </c>
      <c r="AL1673">
        <v>-92.544837000000001</v>
      </c>
      <c r="AM1673">
        <v>100</v>
      </c>
      <c r="AN1673">
        <v>1700</v>
      </c>
      <c r="AO1673" t="s">
        <v>118</v>
      </c>
      <c r="AP1673">
        <v>-41</v>
      </c>
      <c r="AQ1673">
        <v>116</v>
      </c>
      <c r="AR1673">
        <v>0</v>
      </c>
      <c r="AZ1673">
        <v>1200</v>
      </c>
      <c r="BA1673">
        <v>1</v>
      </c>
      <c r="BB1673" t="str">
        <f t="shared" si="78"/>
        <v xml:space="preserve">N8080G  </v>
      </c>
      <c r="BC1673">
        <v>1</v>
      </c>
      <c r="BE1673">
        <v>0</v>
      </c>
      <c r="BF1673">
        <v>0</v>
      </c>
      <c r="BG1673">
        <v>0</v>
      </c>
      <c r="BH1673">
        <v>1700</v>
      </c>
      <c r="BI1673">
        <v>1</v>
      </c>
      <c r="BJ1673">
        <v>1</v>
      </c>
      <c r="BK1673">
        <v>1</v>
      </c>
      <c r="BL1673">
        <v>0</v>
      </c>
      <c r="BO1673">
        <v>0</v>
      </c>
      <c r="BP1673">
        <v>0</v>
      </c>
      <c r="BW1673" t="str">
        <f>"20:22:34.185"</f>
        <v>20:22:34.185</v>
      </c>
      <c r="BZ1673">
        <v>0</v>
      </c>
      <c r="CA1673">
        <v>2016</v>
      </c>
      <c r="CB1673">
        <v>224</v>
      </c>
      <c r="CD1673">
        <v>1</v>
      </c>
      <c r="CE1673">
        <v>0</v>
      </c>
      <c r="CF1673">
        <v>0</v>
      </c>
      <c r="CG1673">
        <v>1</v>
      </c>
      <c r="CH1673">
        <v>0</v>
      </c>
      <c r="CI1673">
        <v>0</v>
      </c>
      <c r="CJ1673">
        <v>0</v>
      </c>
      <c r="CK1673">
        <v>2</v>
      </c>
      <c r="CL1673">
        <v>0</v>
      </c>
      <c r="CM1673">
        <v>2</v>
      </c>
      <c r="CN1673">
        <v>0</v>
      </c>
      <c r="CO1673">
        <v>7</v>
      </c>
      <c r="CP1673" t="s">
        <v>119</v>
      </c>
      <c r="CQ1673">
        <v>180</v>
      </c>
      <c r="CR1673">
        <v>1</v>
      </c>
      <c r="CW1673">
        <v>10855495</v>
      </c>
      <c r="CY1673">
        <v>1</v>
      </c>
      <c r="CZ1673">
        <v>0</v>
      </c>
      <c r="DA1673">
        <v>1</v>
      </c>
      <c r="DB1673">
        <v>0</v>
      </c>
      <c r="DC1673">
        <v>0</v>
      </c>
      <c r="DD1673">
        <v>0</v>
      </c>
      <c r="DE1673">
        <v>0</v>
      </c>
      <c r="DF1673">
        <v>0</v>
      </c>
      <c r="DG1673">
        <v>0</v>
      </c>
      <c r="DH1673">
        <v>0</v>
      </c>
      <c r="DI1673">
        <v>0</v>
      </c>
    </row>
    <row r="1674" spans="1:113" x14ac:dyDescent="0.3">
      <c r="A1674" t="str">
        <f>"02/08/2021 20:22:31.837"</f>
        <v>02/08/2021 20:22:31.837</v>
      </c>
      <c r="C1674" t="str">
        <f t="shared" si="80"/>
        <v>FFDFD7C0</v>
      </c>
      <c r="D1674" t="s">
        <v>124</v>
      </c>
      <c r="E1674">
        <v>13</v>
      </c>
      <c r="F1674">
        <v>1013</v>
      </c>
      <c r="G1674" t="s">
        <v>114</v>
      </c>
      <c r="J1674" t="s">
        <v>125</v>
      </c>
      <c r="K1674">
        <v>0</v>
      </c>
      <c r="L1674">
        <v>3</v>
      </c>
      <c r="M1674">
        <v>0</v>
      </c>
      <c r="N1674">
        <v>2</v>
      </c>
      <c r="O1674">
        <v>1</v>
      </c>
      <c r="P1674">
        <v>0</v>
      </c>
      <c r="Q1674">
        <v>0</v>
      </c>
      <c r="S1674" t="str">
        <f>"20:22:34.180"</f>
        <v>20:22:34.180</v>
      </c>
      <c r="T1674" t="str">
        <f>"20:22:33.680"</f>
        <v>20:22:33.680</v>
      </c>
      <c r="U1674" t="str">
        <f t="shared" si="79"/>
        <v>AB01F4</v>
      </c>
      <c r="V1674">
        <v>0</v>
      </c>
      <c r="W1674">
        <v>0</v>
      </c>
      <c r="X1674">
        <v>2</v>
      </c>
      <c r="Z1674">
        <v>0</v>
      </c>
      <c r="AA1674">
        <v>9</v>
      </c>
      <c r="AB1674">
        <v>3</v>
      </c>
      <c r="AC1674">
        <v>0</v>
      </c>
      <c r="AD1674">
        <v>10</v>
      </c>
      <c r="AE1674">
        <v>0</v>
      </c>
      <c r="AF1674">
        <v>3</v>
      </c>
      <c r="AG1674">
        <v>2</v>
      </c>
      <c r="AH1674">
        <v>0</v>
      </c>
      <c r="AI1674" t="s">
        <v>1085</v>
      </c>
      <c r="AJ1674">
        <v>39.872410000000002</v>
      </c>
      <c r="AK1674" t="s">
        <v>1086</v>
      </c>
      <c r="AL1674">
        <v>-92.544837000000001</v>
      </c>
      <c r="AM1674">
        <v>100</v>
      </c>
      <c r="AN1674">
        <v>1700</v>
      </c>
      <c r="AO1674" t="s">
        <v>118</v>
      </c>
      <c r="AP1674">
        <v>-41</v>
      </c>
      <c r="AQ1674">
        <v>116</v>
      </c>
      <c r="AR1674">
        <v>0</v>
      </c>
      <c r="AZ1674">
        <v>1200</v>
      </c>
      <c r="BA1674">
        <v>1</v>
      </c>
      <c r="BB1674" t="str">
        <f t="shared" si="78"/>
        <v xml:space="preserve">N8080G  </v>
      </c>
      <c r="BC1674">
        <v>1</v>
      </c>
      <c r="BE1674">
        <v>0</v>
      </c>
      <c r="BF1674">
        <v>0</v>
      </c>
      <c r="BG1674">
        <v>0</v>
      </c>
      <c r="BH1674">
        <v>1700</v>
      </c>
      <c r="BI1674">
        <v>1</v>
      </c>
      <c r="BJ1674">
        <v>1</v>
      </c>
      <c r="BK1674">
        <v>1</v>
      </c>
      <c r="BL1674">
        <v>0</v>
      </c>
      <c r="BO1674">
        <v>0</v>
      </c>
      <c r="BP1674">
        <v>0</v>
      </c>
      <c r="BW1674" t="str">
        <f>"20:22:34.185"</f>
        <v>20:22:34.185</v>
      </c>
      <c r="BZ1674">
        <v>0</v>
      </c>
      <c r="CA1674">
        <v>2016</v>
      </c>
      <c r="CB1674">
        <v>224</v>
      </c>
      <c r="CD1674">
        <v>1</v>
      </c>
      <c r="CE1674">
        <v>0</v>
      </c>
      <c r="CF1674">
        <v>0</v>
      </c>
      <c r="CG1674">
        <v>1</v>
      </c>
      <c r="CH1674">
        <v>0</v>
      </c>
      <c r="CI1674">
        <v>0</v>
      </c>
      <c r="CJ1674">
        <v>0</v>
      </c>
      <c r="CK1674">
        <v>2</v>
      </c>
      <c r="CL1674">
        <v>0</v>
      </c>
      <c r="CM1674">
        <v>2</v>
      </c>
      <c r="CN1674">
        <v>0</v>
      </c>
      <c r="CO1674">
        <v>7</v>
      </c>
      <c r="CP1674" t="s">
        <v>119</v>
      </c>
      <c r="CQ1674">
        <v>180</v>
      </c>
      <c r="CR1674">
        <v>1</v>
      </c>
      <c r="CW1674">
        <v>10855495</v>
      </c>
      <c r="CY1674">
        <v>1</v>
      </c>
      <c r="CZ1674">
        <v>0</v>
      </c>
      <c r="DA1674">
        <v>1</v>
      </c>
      <c r="DB1674">
        <v>0</v>
      </c>
      <c r="DC1674">
        <v>0</v>
      </c>
      <c r="DD1674">
        <v>0</v>
      </c>
      <c r="DE1674">
        <v>0</v>
      </c>
      <c r="DF1674">
        <v>0</v>
      </c>
      <c r="DG1674">
        <v>0</v>
      </c>
      <c r="DH1674">
        <v>0</v>
      </c>
      <c r="DI1674">
        <v>0</v>
      </c>
    </row>
    <row r="1675" spans="1:113" x14ac:dyDescent="0.3">
      <c r="A1675" t="str">
        <f>"02/08/2021 20:22:35.045"</f>
        <v>02/08/2021 20:22:35.045</v>
      </c>
      <c r="C1675" t="str">
        <f t="shared" si="80"/>
        <v>FFDFD7C0</v>
      </c>
      <c r="D1675" t="s">
        <v>124</v>
      </c>
      <c r="E1675">
        <v>13</v>
      </c>
      <c r="F1675">
        <v>1013</v>
      </c>
      <c r="G1675" t="s">
        <v>114</v>
      </c>
      <c r="J1675" t="s">
        <v>125</v>
      </c>
      <c r="K1675">
        <v>0</v>
      </c>
      <c r="L1675">
        <v>3</v>
      </c>
      <c r="M1675">
        <v>0</v>
      </c>
      <c r="N1675">
        <v>2</v>
      </c>
      <c r="O1675">
        <v>1</v>
      </c>
      <c r="P1675">
        <v>0</v>
      </c>
      <c r="Q1675">
        <v>0</v>
      </c>
      <c r="S1675" t="str">
        <f>"20:22:37.352"</f>
        <v>20:22:37.352</v>
      </c>
      <c r="T1675" t="str">
        <f>"20:22:36.952"</f>
        <v>20:22:36.952</v>
      </c>
      <c r="U1675" t="str">
        <f t="shared" si="79"/>
        <v>AB01F4</v>
      </c>
      <c r="V1675">
        <v>0</v>
      </c>
      <c r="W1675">
        <v>0</v>
      </c>
      <c r="X1675">
        <v>2</v>
      </c>
      <c r="Z1675">
        <v>0</v>
      </c>
      <c r="AA1675">
        <v>9</v>
      </c>
      <c r="AB1675">
        <v>3</v>
      </c>
      <c r="AC1675">
        <v>0</v>
      </c>
      <c r="AD1675">
        <v>10</v>
      </c>
      <c r="AE1675">
        <v>0</v>
      </c>
      <c r="AF1675">
        <v>3</v>
      </c>
      <c r="AG1675">
        <v>2</v>
      </c>
      <c r="AH1675">
        <v>0</v>
      </c>
      <c r="AI1675" t="s">
        <v>1087</v>
      </c>
      <c r="AJ1675">
        <v>39.874147999999998</v>
      </c>
      <c r="AK1675" t="s">
        <v>1088</v>
      </c>
      <c r="AL1675">
        <v>-92.545608999999999</v>
      </c>
      <c r="AM1675">
        <v>100</v>
      </c>
      <c r="AN1675">
        <v>1700</v>
      </c>
      <c r="AO1675" t="s">
        <v>118</v>
      </c>
      <c r="AP1675">
        <v>-40</v>
      </c>
      <c r="AQ1675">
        <v>116</v>
      </c>
      <c r="AR1675">
        <v>0</v>
      </c>
      <c r="AZ1675">
        <v>1200</v>
      </c>
      <c r="BA1675">
        <v>1</v>
      </c>
      <c r="BB1675" t="str">
        <f t="shared" si="78"/>
        <v xml:space="preserve">N8080G  </v>
      </c>
      <c r="BC1675">
        <v>1</v>
      </c>
      <c r="BE1675">
        <v>0</v>
      </c>
      <c r="BF1675">
        <v>0</v>
      </c>
      <c r="BG1675">
        <v>0</v>
      </c>
      <c r="BH1675">
        <v>1700</v>
      </c>
      <c r="BI1675">
        <v>1</v>
      </c>
      <c r="BJ1675">
        <v>1</v>
      </c>
      <c r="BK1675">
        <v>1</v>
      </c>
      <c r="BL1675">
        <v>0</v>
      </c>
      <c r="BO1675">
        <v>0</v>
      </c>
      <c r="BP1675">
        <v>0</v>
      </c>
      <c r="BW1675" t="str">
        <f>"20:22:37.353"</f>
        <v>20:22:37.353</v>
      </c>
      <c r="BZ1675">
        <v>0</v>
      </c>
      <c r="CA1675">
        <v>2016</v>
      </c>
      <c r="CB1675">
        <v>224</v>
      </c>
      <c r="CD1675">
        <v>1</v>
      </c>
      <c r="CE1675">
        <v>0</v>
      </c>
      <c r="CF1675">
        <v>0</v>
      </c>
      <c r="CG1675">
        <v>1</v>
      </c>
      <c r="CH1675">
        <v>0</v>
      </c>
      <c r="CI1675">
        <v>0</v>
      </c>
      <c r="CJ1675">
        <v>0</v>
      </c>
      <c r="CK1675">
        <v>2</v>
      </c>
      <c r="CL1675">
        <v>0</v>
      </c>
      <c r="CM1675">
        <v>2</v>
      </c>
      <c r="CN1675">
        <v>0</v>
      </c>
      <c r="CO1675">
        <v>7</v>
      </c>
      <c r="CP1675" t="s">
        <v>119</v>
      </c>
      <c r="CQ1675">
        <v>180</v>
      </c>
      <c r="CR1675">
        <v>2</v>
      </c>
      <c r="CW1675">
        <v>8295103</v>
      </c>
      <c r="CY1675">
        <v>1</v>
      </c>
      <c r="CZ1675">
        <v>0</v>
      </c>
      <c r="DA1675">
        <v>0</v>
      </c>
      <c r="DB1675">
        <v>0</v>
      </c>
      <c r="DC1675">
        <v>0</v>
      </c>
      <c r="DD1675">
        <v>0</v>
      </c>
      <c r="DE1675">
        <v>0</v>
      </c>
      <c r="DF1675">
        <v>0</v>
      </c>
      <c r="DG1675">
        <v>0</v>
      </c>
      <c r="DH1675">
        <v>0</v>
      </c>
      <c r="DI1675">
        <v>0</v>
      </c>
    </row>
    <row r="1676" spans="1:113" x14ac:dyDescent="0.3">
      <c r="A1676" t="str">
        <f>"02/08/2021 20:22:35.045"</f>
        <v>02/08/2021 20:22:35.045</v>
      </c>
      <c r="C1676" t="str">
        <f t="shared" si="80"/>
        <v>FFDFD7C0</v>
      </c>
      <c r="D1676" t="s">
        <v>124</v>
      </c>
      <c r="E1676">
        <v>12</v>
      </c>
      <c r="F1676">
        <v>1012</v>
      </c>
      <c r="G1676" t="s">
        <v>675</v>
      </c>
      <c r="J1676" t="s">
        <v>125</v>
      </c>
      <c r="K1676">
        <v>0</v>
      </c>
      <c r="L1676">
        <v>3</v>
      </c>
      <c r="M1676">
        <v>0</v>
      </c>
      <c r="N1676">
        <v>2</v>
      </c>
      <c r="O1676">
        <v>1</v>
      </c>
      <c r="P1676">
        <v>0</v>
      </c>
      <c r="Q1676">
        <v>0</v>
      </c>
      <c r="S1676" t="str">
        <f>"20:22:37.352"</f>
        <v>20:22:37.352</v>
      </c>
      <c r="T1676" t="str">
        <f>"20:22:36.952"</f>
        <v>20:22:36.952</v>
      </c>
      <c r="U1676" t="str">
        <f t="shared" si="79"/>
        <v>AB01F4</v>
      </c>
      <c r="V1676">
        <v>0</v>
      </c>
      <c r="W1676">
        <v>0</v>
      </c>
      <c r="X1676">
        <v>2</v>
      </c>
      <c r="Z1676">
        <v>0</v>
      </c>
      <c r="AA1676">
        <v>9</v>
      </c>
      <c r="AB1676">
        <v>3</v>
      </c>
      <c r="AC1676">
        <v>0</v>
      </c>
      <c r="AD1676">
        <v>10</v>
      </c>
      <c r="AE1676">
        <v>0</v>
      </c>
      <c r="AF1676">
        <v>3</v>
      </c>
      <c r="AG1676">
        <v>2</v>
      </c>
      <c r="AH1676">
        <v>0</v>
      </c>
      <c r="AI1676" t="s">
        <v>1087</v>
      </c>
      <c r="AJ1676">
        <v>39.874147999999998</v>
      </c>
      <c r="AK1676" t="s">
        <v>1088</v>
      </c>
      <c r="AL1676">
        <v>-92.545608999999999</v>
      </c>
      <c r="AM1676">
        <v>100</v>
      </c>
      <c r="AN1676">
        <v>1700</v>
      </c>
      <c r="AO1676" t="s">
        <v>118</v>
      </c>
      <c r="AP1676">
        <v>-40</v>
      </c>
      <c r="AQ1676">
        <v>116</v>
      </c>
      <c r="AR1676">
        <v>0</v>
      </c>
      <c r="AZ1676">
        <v>1200</v>
      </c>
      <c r="BA1676">
        <v>1</v>
      </c>
      <c r="BB1676" t="str">
        <f t="shared" si="78"/>
        <v xml:space="preserve">N8080G  </v>
      </c>
      <c r="BC1676">
        <v>1</v>
      </c>
      <c r="BE1676">
        <v>0</v>
      </c>
      <c r="BF1676">
        <v>0</v>
      </c>
      <c r="BG1676">
        <v>0</v>
      </c>
      <c r="BH1676">
        <v>1700</v>
      </c>
      <c r="BI1676">
        <v>1</v>
      </c>
      <c r="BJ1676">
        <v>1</v>
      </c>
      <c r="BK1676">
        <v>1</v>
      </c>
      <c r="BL1676">
        <v>0</v>
      </c>
      <c r="BO1676">
        <v>0</v>
      </c>
      <c r="BP1676">
        <v>0</v>
      </c>
      <c r="BW1676" t="str">
        <f>"20:22:37.353"</f>
        <v>20:22:37.353</v>
      </c>
      <c r="BZ1676">
        <v>0</v>
      </c>
      <c r="CA1676">
        <v>2016</v>
      </c>
      <c r="CB1676">
        <v>224</v>
      </c>
      <c r="CD1676">
        <v>1</v>
      </c>
      <c r="CE1676">
        <v>0</v>
      </c>
      <c r="CF1676">
        <v>0</v>
      </c>
      <c r="CG1676">
        <v>1</v>
      </c>
      <c r="CH1676">
        <v>0</v>
      </c>
      <c r="CI1676">
        <v>0</v>
      </c>
      <c r="CJ1676">
        <v>0</v>
      </c>
      <c r="CK1676">
        <v>2</v>
      </c>
      <c r="CL1676">
        <v>0</v>
      </c>
      <c r="CM1676">
        <v>2</v>
      </c>
      <c r="CN1676">
        <v>0</v>
      </c>
      <c r="CO1676">
        <v>7</v>
      </c>
      <c r="CP1676" t="s">
        <v>119</v>
      </c>
      <c r="CQ1676">
        <v>180</v>
      </c>
      <c r="CR1676">
        <v>2</v>
      </c>
      <c r="CW1676">
        <v>8295103</v>
      </c>
      <c r="CY1676">
        <v>1</v>
      </c>
      <c r="CZ1676">
        <v>0</v>
      </c>
      <c r="DA1676">
        <v>1</v>
      </c>
      <c r="DB1676">
        <v>0</v>
      </c>
      <c r="DC1676">
        <v>0</v>
      </c>
      <c r="DD1676">
        <v>0</v>
      </c>
      <c r="DE1676">
        <v>0</v>
      </c>
      <c r="DF1676">
        <v>0</v>
      </c>
      <c r="DG1676">
        <v>0</v>
      </c>
      <c r="DH1676">
        <v>0</v>
      </c>
      <c r="DI1676">
        <v>0</v>
      </c>
    </row>
    <row r="1677" spans="1:113" x14ac:dyDescent="0.3">
      <c r="A1677" t="str">
        <f>"02/08/2021 20:22:35.045"</f>
        <v>02/08/2021 20:22:35.045</v>
      </c>
      <c r="C1677" t="str">
        <f t="shared" si="80"/>
        <v>FFDFD7C0</v>
      </c>
      <c r="D1677" t="s">
        <v>124</v>
      </c>
      <c r="E1677">
        <v>11</v>
      </c>
      <c r="F1677">
        <v>1011</v>
      </c>
      <c r="G1677" t="s">
        <v>590</v>
      </c>
      <c r="J1677" t="s">
        <v>125</v>
      </c>
      <c r="K1677">
        <v>0</v>
      </c>
      <c r="L1677">
        <v>3</v>
      </c>
      <c r="M1677">
        <v>0</v>
      </c>
      <c r="N1677">
        <v>2</v>
      </c>
      <c r="O1677">
        <v>1</v>
      </c>
      <c r="P1677">
        <v>0</v>
      </c>
      <c r="Q1677">
        <v>0</v>
      </c>
      <c r="S1677" t="str">
        <f>"20:22:37.352"</f>
        <v>20:22:37.352</v>
      </c>
      <c r="T1677" t="str">
        <f>"20:22:36.952"</f>
        <v>20:22:36.952</v>
      </c>
      <c r="U1677" t="str">
        <f t="shared" si="79"/>
        <v>AB01F4</v>
      </c>
      <c r="V1677">
        <v>0</v>
      </c>
      <c r="W1677">
        <v>0</v>
      </c>
      <c r="X1677">
        <v>2</v>
      </c>
      <c r="Z1677">
        <v>0</v>
      </c>
      <c r="AA1677">
        <v>9</v>
      </c>
      <c r="AB1677">
        <v>3</v>
      </c>
      <c r="AC1677">
        <v>0</v>
      </c>
      <c r="AD1677">
        <v>10</v>
      </c>
      <c r="AE1677">
        <v>0</v>
      </c>
      <c r="AF1677">
        <v>3</v>
      </c>
      <c r="AG1677">
        <v>2</v>
      </c>
      <c r="AH1677">
        <v>0</v>
      </c>
      <c r="AI1677" t="s">
        <v>1087</v>
      </c>
      <c r="AJ1677">
        <v>39.874147999999998</v>
      </c>
      <c r="AK1677" t="s">
        <v>1088</v>
      </c>
      <c r="AL1677">
        <v>-92.545608999999999</v>
      </c>
      <c r="AM1677">
        <v>100</v>
      </c>
      <c r="AN1677">
        <v>1700</v>
      </c>
      <c r="AO1677" t="s">
        <v>118</v>
      </c>
      <c r="AP1677">
        <v>-40</v>
      </c>
      <c r="AQ1677">
        <v>116</v>
      </c>
      <c r="AR1677">
        <v>0</v>
      </c>
      <c r="AZ1677">
        <v>1200</v>
      </c>
      <c r="BA1677">
        <v>1</v>
      </c>
      <c r="BB1677" t="str">
        <f t="shared" si="78"/>
        <v xml:space="preserve">N8080G  </v>
      </c>
      <c r="BC1677">
        <v>1</v>
      </c>
      <c r="BE1677">
        <v>0</v>
      </c>
      <c r="BF1677">
        <v>0</v>
      </c>
      <c r="BG1677">
        <v>0</v>
      </c>
      <c r="BH1677">
        <v>1700</v>
      </c>
      <c r="BI1677">
        <v>1</v>
      </c>
      <c r="BJ1677">
        <v>1</v>
      </c>
      <c r="BK1677">
        <v>1</v>
      </c>
      <c r="BL1677">
        <v>0</v>
      </c>
      <c r="BO1677">
        <v>0</v>
      </c>
      <c r="BP1677">
        <v>0</v>
      </c>
      <c r="BW1677" t="str">
        <f>"20:22:37.353"</f>
        <v>20:22:37.353</v>
      </c>
      <c r="BZ1677">
        <v>0</v>
      </c>
      <c r="CA1677">
        <v>2016</v>
      </c>
      <c r="CB1677">
        <v>224</v>
      </c>
      <c r="CD1677">
        <v>1</v>
      </c>
      <c r="CE1677">
        <v>0</v>
      </c>
      <c r="CF1677">
        <v>0</v>
      </c>
      <c r="CG1677">
        <v>1</v>
      </c>
      <c r="CH1677">
        <v>0</v>
      </c>
      <c r="CI1677">
        <v>0</v>
      </c>
      <c r="CJ1677">
        <v>0</v>
      </c>
      <c r="CK1677">
        <v>2</v>
      </c>
      <c r="CL1677">
        <v>0</v>
      </c>
      <c r="CM1677">
        <v>2</v>
      </c>
      <c r="CN1677">
        <v>0</v>
      </c>
      <c r="CO1677">
        <v>7</v>
      </c>
      <c r="CP1677" t="s">
        <v>119</v>
      </c>
      <c r="CQ1677">
        <v>180</v>
      </c>
      <c r="CR1677">
        <v>2</v>
      </c>
      <c r="CW1677">
        <v>8295103</v>
      </c>
      <c r="CY1677">
        <v>1</v>
      </c>
      <c r="CZ1677">
        <v>0</v>
      </c>
      <c r="DA1677">
        <v>1</v>
      </c>
      <c r="DB1677">
        <v>0</v>
      </c>
      <c r="DC1677">
        <v>0</v>
      </c>
      <c r="DD1677">
        <v>0</v>
      </c>
      <c r="DE1677">
        <v>0</v>
      </c>
      <c r="DF1677">
        <v>0</v>
      </c>
      <c r="DG1677">
        <v>0</v>
      </c>
      <c r="DH1677">
        <v>0</v>
      </c>
      <c r="DI1677">
        <v>0</v>
      </c>
    </row>
    <row r="1678" spans="1:113" x14ac:dyDescent="0.3">
      <c r="A1678" t="str">
        <f>"02/08/2021 20:22:35.045"</f>
        <v>02/08/2021 20:22:35.045</v>
      </c>
      <c r="C1678" t="str">
        <f t="shared" si="80"/>
        <v>FFDFD7C0</v>
      </c>
      <c r="D1678" t="s">
        <v>113</v>
      </c>
      <c r="E1678">
        <v>6</v>
      </c>
      <c r="H1678">
        <v>165</v>
      </c>
      <c r="I1678" t="s">
        <v>114</v>
      </c>
      <c r="J1678" t="s">
        <v>115</v>
      </c>
      <c r="K1678">
        <v>0</v>
      </c>
      <c r="L1678">
        <v>3</v>
      </c>
      <c r="M1678">
        <v>0</v>
      </c>
      <c r="N1678">
        <v>2</v>
      </c>
      <c r="O1678">
        <v>1</v>
      </c>
      <c r="P1678">
        <v>0</v>
      </c>
      <c r="Q1678">
        <v>0</v>
      </c>
      <c r="S1678" t="str">
        <f>"20:22:37.352"</f>
        <v>20:22:37.352</v>
      </c>
      <c r="T1678" t="str">
        <f>"20:22:36.952"</f>
        <v>20:22:36.952</v>
      </c>
      <c r="U1678" t="str">
        <f t="shared" si="79"/>
        <v>AB01F4</v>
      </c>
      <c r="V1678">
        <v>0</v>
      </c>
      <c r="W1678">
        <v>0</v>
      </c>
      <c r="X1678">
        <v>2</v>
      </c>
      <c r="Z1678">
        <v>0</v>
      </c>
      <c r="AA1678">
        <v>9</v>
      </c>
      <c r="AB1678">
        <v>3</v>
      </c>
      <c r="AC1678">
        <v>0</v>
      </c>
      <c r="AD1678">
        <v>10</v>
      </c>
      <c r="AE1678">
        <v>0</v>
      </c>
      <c r="AF1678">
        <v>3</v>
      </c>
      <c r="AG1678">
        <v>2</v>
      </c>
      <c r="AH1678">
        <v>0</v>
      </c>
      <c r="AI1678" t="s">
        <v>1087</v>
      </c>
      <c r="AJ1678">
        <v>39.874147999999998</v>
      </c>
      <c r="AK1678" t="s">
        <v>1088</v>
      </c>
      <c r="AL1678">
        <v>-92.545608999999999</v>
      </c>
      <c r="AM1678">
        <v>100</v>
      </c>
      <c r="AN1678">
        <v>1700</v>
      </c>
      <c r="AO1678" t="s">
        <v>118</v>
      </c>
      <c r="AP1678">
        <v>-40</v>
      </c>
      <c r="AQ1678">
        <v>116</v>
      </c>
      <c r="AR1678">
        <v>0</v>
      </c>
      <c r="AZ1678">
        <v>1200</v>
      </c>
      <c r="BA1678">
        <v>1</v>
      </c>
      <c r="BB1678" t="str">
        <f t="shared" si="78"/>
        <v xml:space="preserve">N8080G  </v>
      </c>
      <c r="BC1678">
        <v>1</v>
      </c>
      <c r="BE1678">
        <v>0</v>
      </c>
      <c r="BF1678">
        <v>0</v>
      </c>
      <c r="BG1678">
        <v>0</v>
      </c>
      <c r="BH1678">
        <v>1700</v>
      </c>
      <c r="BI1678">
        <v>1</v>
      </c>
      <c r="BJ1678">
        <v>1</v>
      </c>
      <c r="BK1678">
        <v>1</v>
      </c>
      <c r="BL1678">
        <v>0</v>
      </c>
      <c r="BO1678">
        <v>0</v>
      </c>
      <c r="BP1678">
        <v>0</v>
      </c>
      <c r="BW1678" t="str">
        <f>"20:22:37.353"</f>
        <v>20:22:37.353</v>
      </c>
      <c r="BZ1678">
        <v>0</v>
      </c>
      <c r="CA1678">
        <v>2016</v>
      </c>
      <c r="CB1678">
        <v>224</v>
      </c>
      <c r="CD1678">
        <v>1</v>
      </c>
      <c r="CE1678">
        <v>0</v>
      </c>
      <c r="CF1678">
        <v>0</v>
      </c>
      <c r="CG1678">
        <v>1</v>
      </c>
      <c r="CH1678">
        <v>0</v>
      </c>
      <c r="CI1678">
        <v>0</v>
      </c>
      <c r="CJ1678">
        <v>0</v>
      </c>
      <c r="CK1678">
        <v>2</v>
      </c>
      <c r="CL1678">
        <v>0</v>
      </c>
      <c r="CM1678">
        <v>2</v>
      </c>
      <c r="CN1678">
        <v>0</v>
      </c>
      <c r="CO1678">
        <v>7</v>
      </c>
      <c r="CP1678" t="s">
        <v>119</v>
      </c>
      <c r="CQ1678">
        <v>180</v>
      </c>
      <c r="CR1678">
        <v>2</v>
      </c>
      <c r="CW1678">
        <v>8295103</v>
      </c>
      <c r="CY1678">
        <v>1</v>
      </c>
      <c r="CZ1678">
        <v>0</v>
      </c>
      <c r="DA1678">
        <v>1</v>
      </c>
      <c r="DB1678">
        <v>0</v>
      </c>
      <c r="DC1678">
        <v>0</v>
      </c>
      <c r="DD1678">
        <v>0</v>
      </c>
      <c r="DE1678">
        <v>0</v>
      </c>
      <c r="DF1678">
        <v>0</v>
      </c>
      <c r="DG1678">
        <v>0</v>
      </c>
      <c r="DH1678">
        <v>0</v>
      </c>
      <c r="DI1678">
        <v>0</v>
      </c>
    </row>
    <row r="1679" spans="1:113" x14ac:dyDescent="0.3">
      <c r="A1679" t="str">
        <f>"02/08/2021 20:22:36.955"</f>
        <v>02/08/2021 20:22:36.955</v>
      </c>
      <c r="C1679" t="str">
        <f t="shared" si="80"/>
        <v>FFDFD7C0</v>
      </c>
      <c r="D1679" t="s">
        <v>124</v>
      </c>
      <c r="E1679">
        <v>13</v>
      </c>
      <c r="F1679">
        <v>1013</v>
      </c>
      <c r="G1679" t="s">
        <v>114</v>
      </c>
      <c r="J1679" t="s">
        <v>125</v>
      </c>
      <c r="K1679">
        <v>0</v>
      </c>
      <c r="L1679">
        <v>3</v>
      </c>
      <c r="M1679">
        <v>0</v>
      </c>
      <c r="N1679">
        <v>2</v>
      </c>
      <c r="O1679">
        <v>1</v>
      </c>
      <c r="P1679">
        <v>0</v>
      </c>
      <c r="Q1679">
        <v>0</v>
      </c>
      <c r="S1679" t="str">
        <f>"20:22:39.258"</f>
        <v>20:22:39.258</v>
      </c>
      <c r="T1679" t="str">
        <f>"20:22:38.758"</f>
        <v>20:22:38.758</v>
      </c>
      <c r="U1679" t="str">
        <f t="shared" si="79"/>
        <v>AB01F4</v>
      </c>
      <c r="V1679">
        <v>0</v>
      </c>
      <c r="W1679">
        <v>0</v>
      </c>
      <c r="X1679">
        <v>2</v>
      </c>
      <c r="Z1679">
        <v>0</v>
      </c>
      <c r="AA1679">
        <v>9</v>
      </c>
      <c r="AB1679">
        <v>3</v>
      </c>
      <c r="AC1679">
        <v>0</v>
      </c>
      <c r="AD1679">
        <v>10</v>
      </c>
      <c r="AE1679">
        <v>0</v>
      </c>
      <c r="AF1679">
        <v>3</v>
      </c>
      <c r="AG1679">
        <v>2</v>
      </c>
      <c r="AH1679">
        <v>0</v>
      </c>
      <c r="AI1679" t="s">
        <v>1089</v>
      </c>
      <c r="AJ1679">
        <v>39.875157000000002</v>
      </c>
      <c r="AK1679" t="s">
        <v>1090</v>
      </c>
      <c r="AL1679">
        <v>-92.546017000000006</v>
      </c>
      <c r="AM1679">
        <v>100</v>
      </c>
      <c r="AN1679">
        <v>1700</v>
      </c>
      <c r="AO1679" t="s">
        <v>118</v>
      </c>
      <c r="AP1679">
        <v>-40</v>
      </c>
      <c r="AQ1679">
        <v>116</v>
      </c>
      <c r="AR1679">
        <v>0</v>
      </c>
      <c r="AZ1679">
        <v>1200</v>
      </c>
      <c r="BA1679">
        <v>1</v>
      </c>
      <c r="BB1679" t="str">
        <f t="shared" ref="BB1679:BB1734" si="81">"N8080G  "</f>
        <v xml:space="preserve">N8080G  </v>
      </c>
      <c r="BC1679">
        <v>1</v>
      </c>
      <c r="BE1679">
        <v>0</v>
      </c>
      <c r="BF1679">
        <v>0</v>
      </c>
      <c r="BG1679">
        <v>0</v>
      </c>
      <c r="BH1679">
        <v>1700</v>
      </c>
      <c r="BI1679">
        <v>1</v>
      </c>
      <c r="BJ1679">
        <v>1</v>
      </c>
      <c r="BK1679">
        <v>1</v>
      </c>
      <c r="BL1679">
        <v>0</v>
      </c>
      <c r="BO1679">
        <v>0</v>
      </c>
      <c r="BP1679">
        <v>0</v>
      </c>
      <c r="BW1679" t="str">
        <f>"20:22:39.264"</f>
        <v>20:22:39.264</v>
      </c>
      <c r="BZ1679">
        <v>0</v>
      </c>
      <c r="CA1679">
        <v>2016</v>
      </c>
      <c r="CB1679">
        <v>224</v>
      </c>
      <c r="CD1679">
        <v>1</v>
      </c>
      <c r="CE1679">
        <v>0</v>
      </c>
      <c r="CF1679">
        <v>0</v>
      </c>
      <c r="CG1679">
        <v>1</v>
      </c>
      <c r="CH1679">
        <v>0</v>
      </c>
      <c r="CI1679">
        <v>0</v>
      </c>
      <c r="CJ1679">
        <v>0</v>
      </c>
      <c r="CK1679">
        <v>2</v>
      </c>
      <c r="CL1679">
        <v>0</v>
      </c>
      <c r="CM1679">
        <v>2</v>
      </c>
      <c r="CN1679">
        <v>0</v>
      </c>
      <c r="CO1679">
        <v>7</v>
      </c>
      <c r="CP1679" t="s">
        <v>119</v>
      </c>
      <c r="CQ1679">
        <v>180</v>
      </c>
      <c r="CR1679">
        <v>2</v>
      </c>
      <c r="CW1679">
        <v>8296782</v>
      </c>
      <c r="CY1679">
        <v>1</v>
      </c>
      <c r="CZ1679">
        <v>0</v>
      </c>
      <c r="DA1679">
        <v>0</v>
      </c>
      <c r="DB1679">
        <v>0</v>
      </c>
      <c r="DC1679">
        <v>0</v>
      </c>
      <c r="DD1679">
        <v>0</v>
      </c>
      <c r="DE1679">
        <v>0</v>
      </c>
      <c r="DF1679">
        <v>0</v>
      </c>
      <c r="DG1679">
        <v>0</v>
      </c>
      <c r="DH1679">
        <v>0</v>
      </c>
      <c r="DI1679">
        <v>0</v>
      </c>
    </row>
    <row r="1680" spans="1:113" x14ac:dyDescent="0.3">
      <c r="A1680" t="str">
        <f>"02/08/2021 20:22:36.955"</f>
        <v>02/08/2021 20:22:36.955</v>
      </c>
      <c r="C1680" t="str">
        <f t="shared" si="80"/>
        <v>FFDFD7C0</v>
      </c>
      <c r="D1680" t="s">
        <v>113</v>
      </c>
      <c r="E1680">
        <v>6</v>
      </c>
      <c r="H1680">
        <v>165</v>
      </c>
      <c r="I1680" t="s">
        <v>114</v>
      </c>
      <c r="J1680" t="s">
        <v>115</v>
      </c>
      <c r="K1680">
        <v>0</v>
      </c>
      <c r="L1680">
        <v>3</v>
      </c>
      <c r="M1680">
        <v>0</v>
      </c>
      <c r="N1680">
        <v>2</v>
      </c>
      <c r="O1680">
        <v>1</v>
      </c>
      <c r="P1680">
        <v>0</v>
      </c>
      <c r="Q1680">
        <v>0</v>
      </c>
      <c r="S1680" t="str">
        <f>"20:22:39.258"</f>
        <v>20:22:39.258</v>
      </c>
      <c r="T1680" t="str">
        <f>"20:22:38.758"</f>
        <v>20:22:38.758</v>
      </c>
      <c r="U1680" t="str">
        <f t="shared" si="79"/>
        <v>AB01F4</v>
      </c>
      <c r="V1680">
        <v>0</v>
      </c>
      <c r="W1680">
        <v>0</v>
      </c>
      <c r="X1680">
        <v>2</v>
      </c>
      <c r="Z1680">
        <v>0</v>
      </c>
      <c r="AA1680">
        <v>9</v>
      </c>
      <c r="AB1680">
        <v>3</v>
      </c>
      <c r="AC1680">
        <v>0</v>
      </c>
      <c r="AD1680">
        <v>10</v>
      </c>
      <c r="AE1680">
        <v>0</v>
      </c>
      <c r="AF1680">
        <v>3</v>
      </c>
      <c r="AG1680">
        <v>2</v>
      </c>
      <c r="AH1680">
        <v>0</v>
      </c>
      <c r="AI1680" t="s">
        <v>1089</v>
      </c>
      <c r="AJ1680">
        <v>39.875157000000002</v>
      </c>
      <c r="AK1680" t="s">
        <v>1090</v>
      </c>
      <c r="AL1680">
        <v>-92.546017000000006</v>
      </c>
      <c r="AM1680">
        <v>100</v>
      </c>
      <c r="AN1680">
        <v>1700</v>
      </c>
      <c r="AO1680" t="s">
        <v>118</v>
      </c>
      <c r="AP1680">
        <v>-40</v>
      </c>
      <c r="AQ1680">
        <v>116</v>
      </c>
      <c r="AR1680">
        <v>0</v>
      </c>
      <c r="AZ1680">
        <v>1200</v>
      </c>
      <c r="BA1680">
        <v>1</v>
      </c>
      <c r="BB1680" t="str">
        <f t="shared" si="81"/>
        <v xml:space="preserve">N8080G  </v>
      </c>
      <c r="BC1680">
        <v>1</v>
      </c>
      <c r="BE1680">
        <v>0</v>
      </c>
      <c r="BF1680">
        <v>0</v>
      </c>
      <c r="BG1680">
        <v>0</v>
      </c>
      <c r="BH1680">
        <v>1700</v>
      </c>
      <c r="BI1680">
        <v>1</v>
      </c>
      <c r="BJ1680">
        <v>1</v>
      </c>
      <c r="BK1680">
        <v>1</v>
      </c>
      <c r="BL1680">
        <v>0</v>
      </c>
      <c r="BO1680">
        <v>0</v>
      </c>
      <c r="BP1680">
        <v>0</v>
      </c>
      <c r="BW1680" t="str">
        <f>"20:22:39.264"</f>
        <v>20:22:39.264</v>
      </c>
      <c r="BZ1680">
        <v>0</v>
      </c>
      <c r="CA1680">
        <v>2016</v>
      </c>
      <c r="CB1680">
        <v>224</v>
      </c>
      <c r="CD1680">
        <v>1</v>
      </c>
      <c r="CE1680">
        <v>0</v>
      </c>
      <c r="CF1680">
        <v>0</v>
      </c>
      <c r="CG1680">
        <v>1</v>
      </c>
      <c r="CH1680">
        <v>0</v>
      </c>
      <c r="CI1680">
        <v>0</v>
      </c>
      <c r="CJ1680">
        <v>0</v>
      </c>
      <c r="CK1680">
        <v>2</v>
      </c>
      <c r="CL1680">
        <v>0</v>
      </c>
      <c r="CM1680">
        <v>2</v>
      </c>
      <c r="CN1680">
        <v>0</v>
      </c>
      <c r="CO1680">
        <v>7</v>
      </c>
      <c r="CP1680" t="s">
        <v>119</v>
      </c>
      <c r="CQ1680">
        <v>180</v>
      </c>
      <c r="CR1680">
        <v>2</v>
      </c>
      <c r="CW1680">
        <v>8296782</v>
      </c>
      <c r="CY1680">
        <v>1</v>
      </c>
      <c r="CZ1680">
        <v>0</v>
      </c>
      <c r="DA1680">
        <v>1</v>
      </c>
      <c r="DB1680">
        <v>0</v>
      </c>
      <c r="DC1680">
        <v>0</v>
      </c>
      <c r="DD1680">
        <v>0</v>
      </c>
      <c r="DE1680">
        <v>0</v>
      </c>
      <c r="DF1680">
        <v>0</v>
      </c>
      <c r="DG1680">
        <v>0</v>
      </c>
      <c r="DH1680">
        <v>0</v>
      </c>
      <c r="DI1680">
        <v>0</v>
      </c>
    </row>
    <row r="1681" spans="1:113" x14ac:dyDescent="0.3">
      <c r="A1681" t="str">
        <f>"02/08/2021 20:22:36.955"</f>
        <v>02/08/2021 20:22:36.955</v>
      </c>
      <c r="C1681" t="str">
        <f t="shared" si="80"/>
        <v>FFDFD7C0</v>
      </c>
      <c r="D1681" t="s">
        <v>124</v>
      </c>
      <c r="E1681">
        <v>12</v>
      </c>
      <c r="F1681">
        <v>1012</v>
      </c>
      <c r="G1681" t="s">
        <v>675</v>
      </c>
      <c r="J1681" t="s">
        <v>125</v>
      </c>
      <c r="K1681">
        <v>0</v>
      </c>
      <c r="L1681">
        <v>3</v>
      </c>
      <c r="M1681">
        <v>0</v>
      </c>
      <c r="N1681">
        <v>2</v>
      </c>
      <c r="O1681">
        <v>1</v>
      </c>
      <c r="P1681">
        <v>0</v>
      </c>
      <c r="Q1681">
        <v>0</v>
      </c>
      <c r="S1681" t="str">
        <f>"20:22:39.258"</f>
        <v>20:22:39.258</v>
      </c>
      <c r="T1681" t="str">
        <f>"20:22:38.758"</f>
        <v>20:22:38.758</v>
      </c>
      <c r="U1681" t="str">
        <f t="shared" si="79"/>
        <v>AB01F4</v>
      </c>
      <c r="V1681">
        <v>0</v>
      </c>
      <c r="W1681">
        <v>0</v>
      </c>
      <c r="X1681">
        <v>2</v>
      </c>
      <c r="Z1681">
        <v>0</v>
      </c>
      <c r="AA1681">
        <v>9</v>
      </c>
      <c r="AB1681">
        <v>3</v>
      </c>
      <c r="AC1681">
        <v>0</v>
      </c>
      <c r="AD1681">
        <v>10</v>
      </c>
      <c r="AE1681">
        <v>0</v>
      </c>
      <c r="AF1681">
        <v>3</v>
      </c>
      <c r="AG1681">
        <v>2</v>
      </c>
      <c r="AH1681">
        <v>0</v>
      </c>
      <c r="AI1681" t="s">
        <v>1089</v>
      </c>
      <c r="AJ1681">
        <v>39.875157000000002</v>
      </c>
      <c r="AK1681" t="s">
        <v>1090</v>
      </c>
      <c r="AL1681">
        <v>-92.546017000000006</v>
      </c>
      <c r="AM1681">
        <v>100</v>
      </c>
      <c r="AN1681">
        <v>1700</v>
      </c>
      <c r="AO1681" t="s">
        <v>118</v>
      </c>
      <c r="AP1681">
        <v>-40</v>
      </c>
      <c r="AQ1681">
        <v>116</v>
      </c>
      <c r="AR1681">
        <v>0</v>
      </c>
      <c r="AZ1681">
        <v>1200</v>
      </c>
      <c r="BA1681">
        <v>1</v>
      </c>
      <c r="BB1681" t="str">
        <f t="shared" si="81"/>
        <v xml:space="preserve">N8080G  </v>
      </c>
      <c r="BC1681">
        <v>1</v>
      </c>
      <c r="BE1681">
        <v>0</v>
      </c>
      <c r="BF1681">
        <v>0</v>
      </c>
      <c r="BG1681">
        <v>0</v>
      </c>
      <c r="BH1681">
        <v>1700</v>
      </c>
      <c r="BI1681">
        <v>1</v>
      </c>
      <c r="BJ1681">
        <v>1</v>
      </c>
      <c r="BK1681">
        <v>1</v>
      </c>
      <c r="BL1681">
        <v>0</v>
      </c>
      <c r="BO1681">
        <v>0</v>
      </c>
      <c r="BP1681">
        <v>0</v>
      </c>
      <c r="BW1681" t="str">
        <f>"20:22:39.264"</f>
        <v>20:22:39.264</v>
      </c>
      <c r="BZ1681">
        <v>0</v>
      </c>
      <c r="CA1681">
        <v>2016</v>
      </c>
      <c r="CB1681">
        <v>224</v>
      </c>
      <c r="CD1681">
        <v>1</v>
      </c>
      <c r="CE1681">
        <v>0</v>
      </c>
      <c r="CF1681">
        <v>0</v>
      </c>
      <c r="CG1681">
        <v>1</v>
      </c>
      <c r="CH1681">
        <v>0</v>
      </c>
      <c r="CI1681">
        <v>0</v>
      </c>
      <c r="CJ1681">
        <v>0</v>
      </c>
      <c r="CK1681">
        <v>2</v>
      </c>
      <c r="CL1681">
        <v>0</v>
      </c>
      <c r="CM1681">
        <v>2</v>
      </c>
      <c r="CN1681">
        <v>0</v>
      </c>
      <c r="CO1681">
        <v>7</v>
      </c>
      <c r="CP1681" t="s">
        <v>119</v>
      </c>
      <c r="CQ1681">
        <v>180</v>
      </c>
      <c r="CR1681">
        <v>2</v>
      </c>
      <c r="CW1681">
        <v>8296782</v>
      </c>
      <c r="CY1681">
        <v>1</v>
      </c>
      <c r="CZ1681">
        <v>0</v>
      </c>
      <c r="DA1681">
        <v>1</v>
      </c>
      <c r="DB1681">
        <v>0</v>
      </c>
      <c r="DC1681">
        <v>0</v>
      </c>
      <c r="DD1681">
        <v>0</v>
      </c>
      <c r="DE1681">
        <v>0</v>
      </c>
      <c r="DF1681">
        <v>0</v>
      </c>
      <c r="DG1681">
        <v>0</v>
      </c>
      <c r="DH1681">
        <v>0</v>
      </c>
      <c r="DI1681">
        <v>0</v>
      </c>
    </row>
    <row r="1682" spans="1:113" x14ac:dyDescent="0.3">
      <c r="A1682" t="str">
        <f>"02/08/2021 20:22:36.955"</f>
        <v>02/08/2021 20:22:36.955</v>
      </c>
      <c r="C1682" t="str">
        <f t="shared" si="80"/>
        <v>FFDFD7C0</v>
      </c>
      <c r="D1682" t="s">
        <v>124</v>
      </c>
      <c r="E1682">
        <v>11</v>
      </c>
      <c r="F1682">
        <v>1011</v>
      </c>
      <c r="G1682" t="s">
        <v>590</v>
      </c>
      <c r="J1682" t="s">
        <v>125</v>
      </c>
      <c r="K1682">
        <v>0</v>
      </c>
      <c r="L1682">
        <v>3</v>
      </c>
      <c r="M1682">
        <v>0</v>
      </c>
      <c r="N1682">
        <v>2</v>
      </c>
      <c r="O1682">
        <v>1</v>
      </c>
      <c r="P1682">
        <v>0</v>
      </c>
      <c r="Q1682">
        <v>0</v>
      </c>
      <c r="S1682" t="str">
        <f>"20:22:39.258"</f>
        <v>20:22:39.258</v>
      </c>
      <c r="T1682" t="str">
        <f>"20:22:38.758"</f>
        <v>20:22:38.758</v>
      </c>
      <c r="U1682" t="str">
        <f t="shared" si="79"/>
        <v>AB01F4</v>
      </c>
      <c r="V1682">
        <v>0</v>
      </c>
      <c r="W1682">
        <v>0</v>
      </c>
      <c r="X1682">
        <v>2</v>
      </c>
      <c r="Z1682">
        <v>0</v>
      </c>
      <c r="AA1682">
        <v>9</v>
      </c>
      <c r="AB1682">
        <v>3</v>
      </c>
      <c r="AC1682">
        <v>0</v>
      </c>
      <c r="AD1682">
        <v>10</v>
      </c>
      <c r="AE1682">
        <v>0</v>
      </c>
      <c r="AF1682">
        <v>3</v>
      </c>
      <c r="AG1682">
        <v>2</v>
      </c>
      <c r="AH1682">
        <v>0</v>
      </c>
      <c r="AI1682" t="s">
        <v>1089</v>
      </c>
      <c r="AJ1682">
        <v>39.875157000000002</v>
      </c>
      <c r="AK1682" t="s">
        <v>1090</v>
      </c>
      <c r="AL1682">
        <v>-92.546017000000006</v>
      </c>
      <c r="AM1682">
        <v>100</v>
      </c>
      <c r="AN1682">
        <v>1700</v>
      </c>
      <c r="AO1682" t="s">
        <v>118</v>
      </c>
      <c r="AP1682">
        <v>-40</v>
      </c>
      <c r="AQ1682">
        <v>116</v>
      </c>
      <c r="AR1682">
        <v>0</v>
      </c>
      <c r="AZ1682">
        <v>1200</v>
      </c>
      <c r="BA1682">
        <v>1</v>
      </c>
      <c r="BB1682" t="str">
        <f t="shared" si="81"/>
        <v xml:space="preserve">N8080G  </v>
      </c>
      <c r="BC1682">
        <v>1</v>
      </c>
      <c r="BE1682">
        <v>0</v>
      </c>
      <c r="BF1682">
        <v>0</v>
      </c>
      <c r="BG1682">
        <v>0</v>
      </c>
      <c r="BH1682">
        <v>1700</v>
      </c>
      <c r="BI1682">
        <v>1</v>
      </c>
      <c r="BJ1682">
        <v>1</v>
      </c>
      <c r="BK1682">
        <v>1</v>
      </c>
      <c r="BL1682">
        <v>0</v>
      </c>
      <c r="BO1682">
        <v>0</v>
      </c>
      <c r="BP1682">
        <v>0</v>
      </c>
      <c r="BW1682" t="str">
        <f>"20:22:39.264"</f>
        <v>20:22:39.264</v>
      </c>
      <c r="BZ1682">
        <v>0</v>
      </c>
      <c r="CA1682">
        <v>2016</v>
      </c>
      <c r="CB1682">
        <v>224</v>
      </c>
      <c r="CD1682">
        <v>1</v>
      </c>
      <c r="CE1682">
        <v>0</v>
      </c>
      <c r="CF1682">
        <v>0</v>
      </c>
      <c r="CG1682">
        <v>1</v>
      </c>
      <c r="CH1682">
        <v>0</v>
      </c>
      <c r="CI1682">
        <v>0</v>
      </c>
      <c r="CJ1682">
        <v>0</v>
      </c>
      <c r="CK1682">
        <v>2</v>
      </c>
      <c r="CL1682">
        <v>0</v>
      </c>
      <c r="CM1682">
        <v>2</v>
      </c>
      <c r="CN1682">
        <v>0</v>
      </c>
      <c r="CO1682">
        <v>7</v>
      </c>
      <c r="CP1682" t="s">
        <v>119</v>
      </c>
      <c r="CQ1682">
        <v>180</v>
      </c>
      <c r="CR1682">
        <v>2</v>
      </c>
      <c r="CW1682">
        <v>8296782</v>
      </c>
      <c r="CY1682">
        <v>1</v>
      </c>
      <c r="CZ1682">
        <v>0</v>
      </c>
      <c r="DA1682">
        <v>1</v>
      </c>
      <c r="DB1682">
        <v>0</v>
      </c>
      <c r="DC1682">
        <v>0</v>
      </c>
      <c r="DD1682">
        <v>0</v>
      </c>
      <c r="DE1682">
        <v>0</v>
      </c>
      <c r="DF1682">
        <v>0</v>
      </c>
      <c r="DG1682">
        <v>0</v>
      </c>
      <c r="DH1682">
        <v>0</v>
      </c>
      <c r="DI1682">
        <v>0</v>
      </c>
    </row>
    <row r="1683" spans="1:113" x14ac:dyDescent="0.3">
      <c r="A1683" t="str">
        <f>"02/08/2021 20:22:38.729"</f>
        <v>02/08/2021 20:22:38.729</v>
      </c>
      <c r="C1683" t="str">
        <f t="shared" si="80"/>
        <v>FFDFD7C0</v>
      </c>
      <c r="D1683" t="s">
        <v>124</v>
      </c>
      <c r="E1683">
        <v>12</v>
      </c>
      <c r="F1683">
        <v>1012</v>
      </c>
      <c r="G1683" t="s">
        <v>675</v>
      </c>
      <c r="J1683" t="s">
        <v>125</v>
      </c>
      <c r="K1683">
        <v>0</v>
      </c>
      <c r="L1683">
        <v>3</v>
      </c>
      <c r="M1683">
        <v>0</v>
      </c>
      <c r="N1683">
        <v>2</v>
      </c>
      <c r="O1683">
        <v>1</v>
      </c>
      <c r="P1683">
        <v>0</v>
      </c>
      <c r="Q1683">
        <v>0</v>
      </c>
      <c r="S1683" t="str">
        <f>"20:22:41.055"</f>
        <v>20:22:41.055</v>
      </c>
      <c r="T1683" t="str">
        <f>"20:22:40.655"</f>
        <v>20:22:40.655</v>
      </c>
      <c r="U1683" t="str">
        <f t="shared" si="79"/>
        <v>AB01F4</v>
      </c>
      <c r="V1683">
        <v>0</v>
      </c>
      <c r="W1683">
        <v>0</v>
      </c>
      <c r="X1683">
        <v>2</v>
      </c>
      <c r="Z1683">
        <v>0</v>
      </c>
      <c r="AA1683">
        <v>9</v>
      </c>
      <c r="AB1683">
        <v>3</v>
      </c>
      <c r="AC1683">
        <v>0</v>
      </c>
      <c r="AD1683">
        <v>10</v>
      </c>
      <c r="AE1683">
        <v>0</v>
      </c>
      <c r="AF1683">
        <v>3</v>
      </c>
      <c r="AG1683">
        <v>2</v>
      </c>
      <c r="AH1683">
        <v>0</v>
      </c>
      <c r="AI1683" t="s">
        <v>1091</v>
      </c>
      <c r="AJ1683">
        <v>39.876143999999996</v>
      </c>
      <c r="AK1683" t="s">
        <v>1092</v>
      </c>
      <c r="AL1683">
        <v>-92.546446000000003</v>
      </c>
      <c r="AM1683">
        <v>100</v>
      </c>
      <c r="AN1683">
        <v>1700</v>
      </c>
      <c r="AO1683" t="s">
        <v>118</v>
      </c>
      <c r="AP1683">
        <v>-41</v>
      </c>
      <c r="AQ1683">
        <v>116</v>
      </c>
      <c r="AR1683">
        <v>0</v>
      </c>
      <c r="AZ1683">
        <v>1200</v>
      </c>
      <c r="BA1683">
        <v>1</v>
      </c>
      <c r="BB1683" t="str">
        <f t="shared" si="81"/>
        <v xml:space="preserve">N8080G  </v>
      </c>
      <c r="BC1683">
        <v>1</v>
      </c>
      <c r="BE1683">
        <v>0</v>
      </c>
      <c r="BF1683">
        <v>0</v>
      </c>
      <c r="BG1683">
        <v>0</v>
      </c>
      <c r="BH1683">
        <v>1700</v>
      </c>
      <c r="BI1683">
        <v>1</v>
      </c>
      <c r="BJ1683">
        <v>1</v>
      </c>
      <c r="BK1683">
        <v>1</v>
      </c>
      <c r="BL1683">
        <v>0</v>
      </c>
      <c r="BO1683">
        <v>0</v>
      </c>
      <c r="BP1683">
        <v>0</v>
      </c>
      <c r="BW1683" t="str">
        <f>"20:22:41.059"</f>
        <v>20:22:41.059</v>
      </c>
      <c r="BZ1683">
        <v>0</v>
      </c>
      <c r="CA1683">
        <v>2016</v>
      </c>
      <c r="CB1683">
        <v>224</v>
      </c>
      <c r="CD1683">
        <v>1</v>
      </c>
      <c r="CE1683">
        <v>0</v>
      </c>
      <c r="CF1683">
        <v>0</v>
      </c>
      <c r="CG1683">
        <v>1</v>
      </c>
      <c r="CH1683">
        <v>0</v>
      </c>
      <c r="CI1683">
        <v>0</v>
      </c>
      <c r="CJ1683">
        <v>0</v>
      </c>
      <c r="CK1683">
        <v>2</v>
      </c>
      <c r="CL1683">
        <v>0</v>
      </c>
      <c r="CM1683">
        <v>2</v>
      </c>
      <c r="CN1683">
        <v>0</v>
      </c>
      <c r="CO1683">
        <v>7</v>
      </c>
      <c r="CP1683" t="s">
        <v>119</v>
      </c>
      <c r="CQ1683">
        <v>180</v>
      </c>
      <c r="CR1683">
        <v>1</v>
      </c>
      <c r="CW1683">
        <v>10861108</v>
      </c>
      <c r="CY1683">
        <v>1</v>
      </c>
      <c r="CZ1683">
        <v>0</v>
      </c>
      <c r="DA1683">
        <v>0</v>
      </c>
      <c r="DB1683">
        <v>0</v>
      </c>
      <c r="DC1683">
        <v>0</v>
      </c>
      <c r="DD1683">
        <v>0</v>
      </c>
      <c r="DE1683">
        <v>0</v>
      </c>
      <c r="DF1683">
        <v>0</v>
      </c>
      <c r="DG1683">
        <v>0</v>
      </c>
      <c r="DH1683">
        <v>0</v>
      </c>
      <c r="DI1683">
        <v>0</v>
      </c>
    </row>
    <row r="1684" spans="1:113" x14ac:dyDescent="0.3">
      <c r="A1684" t="str">
        <f>"02/08/2021 20:22:38.729"</f>
        <v>02/08/2021 20:22:38.729</v>
      </c>
      <c r="C1684" t="str">
        <f t="shared" si="80"/>
        <v>FFDFD7C0</v>
      </c>
      <c r="D1684" t="s">
        <v>113</v>
      </c>
      <c r="E1684">
        <v>6</v>
      </c>
      <c r="H1684">
        <v>165</v>
      </c>
      <c r="I1684" t="s">
        <v>114</v>
      </c>
      <c r="J1684" t="s">
        <v>115</v>
      </c>
      <c r="K1684">
        <v>0</v>
      </c>
      <c r="L1684">
        <v>3</v>
      </c>
      <c r="M1684">
        <v>0</v>
      </c>
      <c r="N1684">
        <v>2</v>
      </c>
      <c r="O1684">
        <v>1</v>
      </c>
      <c r="P1684">
        <v>0</v>
      </c>
      <c r="Q1684">
        <v>0</v>
      </c>
      <c r="S1684" t="str">
        <f>"20:22:41.055"</f>
        <v>20:22:41.055</v>
      </c>
      <c r="T1684" t="str">
        <f>"20:22:40.655"</f>
        <v>20:22:40.655</v>
      </c>
      <c r="U1684" t="str">
        <f t="shared" si="79"/>
        <v>AB01F4</v>
      </c>
      <c r="V1684">
        <v>0</v>
      </c>
      <c r="W1684">
        <v>0</v>
      </c>
      <c r="X1684">
        <v>2</v>
      </c>
      <c r="Z1684">
        <v>0</v>
      </c>
      <c r="AA1684">
        <v>9</v>
      </c>
      <c r="AB1684">
        <v>3</v>
      </c>
      <c r="AC1684">
        <v>0</v>
      </c>
      <c r="AD1684">
        <v>10</v>
      </c>
      <c r="AE1684">
        <v>0</v>
      </c>
      <c r="AF1684">
        <v>3</v>
      </c>
      <c r="AG1684">
        <v>2</v>
      </c>
      <c r="AH1684">
        <v>0</v>
      </c>
      <c r="AI1684" t="s">
        <v>1091</v>
      </c>
      <c r="AJ1684">
        <v>39.876143999999996</v>
      </c>
      <c r="AK1684" t="s">
        <v>1092</v>
      </c>
      <c r="AL1684">
        <v>-92.546446000000003</v>
      </c>
      <c r="AM1684">
        <v>100</v>
      </c>
      <c r="AN1684">
        <v>1700</v>
      </c>
      <c r="AO1684" t="s">
        <v>118</v>
      </c>
      <c r="AP1684">
        <v>-41</v>
      </c>
      <c r="AQ1684">
        <v>116</v>
      </c>
      <c r="AR1684">
        <v>0</v>
      </c>
      <c r="AZ1684">
        <v>1200</v>
      </c>
      <c r="BA1684">
        <v>1</v>
      </c>
      <c r="BB1684" t="str">
        <f t="shared" si="81"/>
        <v xml:space="preserve">N8080G  </v>
      </c>
      <c r="BC1684">
        <v>1</v>
      </c>
      <c r="BE1684">
        <v>0</v>
      </c>
      <c r="BF1684">
        <v>0</v>
      </c>
      <c r="BG1684">
        <v>0</v>
      </c>
      <c r="BH1684">
        <v>1700</v>
      </c>
      <c r="BI1684">
        <v>1</v>
      </c>
      <c r="BJ1684">
        <v>1</v>
      </c>
      <c r="BK1684">
        <v>1</v>
      </c>
      <c r="BL1684">
        <v>0</v>
      </c>
      <c r="BO1684">
        <v>0</v>
      </c>
      <c r="BP1684">
        <v>0</v>
      </c>
      <c r="BW1684" t="str">
        <f>"20:22:41.059"</f>
        <v>20:22:41.059</v>
      </c>
      <c r="BZ1684">
        <v>0</v>
      </c>
      <c r="CA1684">
        <v>2016</v>
      </c>
      <c r="CB1684">
        <v>224</v>
      </c>
      <c r="CD1684">
        <v>1</v>
      </c>
      <c r="CE1684">
        <v>0</v>
      </c>
      <c r="CF1684">
        <v>0</v>
      </c>
      <c r="CG1684">
        <v>1</v>
      </c>
      <c r="CH1684">
        <v>0</v>
      </c>
      <c r="CI1684">
        <v>0</v>
      </c>
      <c r="CJ1684">
        <v>0</v>
      </c>
      <c r="CK1684">
        <v>2</v>
      </c>
      <c r="CL1684">
        <v>0</v>
      </c>
      <c r="CM1684">
        <v>2</v>
      </c>
      <c r="CN1684">
        <v>0</v>
      </c>
      <c r="CO1684">
        <v>7</v>
      </c>
      <c r="CP1684" t="s">
        <v>119</v>
      </c>
      <c r="CQ1684">
        <v>180</v>
      </c>
      <c r="CR1684">
        <v>1</v>
      </c>
      <c r="CW1684">
        <v>10861108</v>
      </c>
      <c r="CY1684">
        <v>1</v>
      </c>
      <c r="CZ1684">
        <v>0</v>
      </c>
      <c r="DA1684">
        <v>1</v>
      </c>
      <c r="DB1684">
        <v>0</v>
      </c>
      <c r="DC1684">
        <v>0</v>
      </c>
      <c r="DD1684">
        <v>0</v>
      </c>
      <c r="DE1684">
        <v>0</v>
      </c>
      <c r="DF1684">
        <v>0</v>
      </c>
      <c r="DG1684">
        <v>0</v>
      </c>
      <c r="DH1684">
        <v>0</v>
      </c>
      <c r="DI1684">
        <v>0</v>
      </c>
    </row>
    <row r="1685" spans="1:113" x14ac:dyDescent="0.3">
      <c r="A1685" t="str">
        <f>"02/08/2021 20:22:38.729"</f>
        <v>02/08/2021 20:22:38.729</v>
      </c>
      <c r="C1685" t="str">
        <f t="shared" si="80"/>
        <v>FFDFD7C0</v>
      </c>
      <c r="D1685" t="s">
        <v>124</v>
      </c>
      <c r="E1685">
        <v>11</v>
      </c>
      <c r="F1685">
        <v>1011</v>
      </c>
      <c r="G1685" t="s">
        <v>590</v>
      </c>
      <c r="J1685" t="s">
        <v>125</v>
      </c>
      <c r="K1685">
        <v>0</v>
      </c>
      <c r="L1685">
        <v>3</v>
      </c>
      <c r="M1685">
        <v>0</v>
      </c>
      <c r="N1685">
        <v>2</v>
      </c>
      <c r="O1685">
        <v>1</v>
      </c>
      <c r="P1685">
        <v>0</v>
      </c>
      <c r="Q1685">
        <v>0</v>
      </c>
      <c r="S1685" t="str">
        <f>"20:22:41.055"</f>
        <v>20:22:41.055</v>
      </c>
      <c r="T1685" t="str">
        <f>"20:22:40.655"</f>
        <v>20:22:40.655</v>
      </c>
      <c r="U1685" t="str">
        <f t="shared" si="79"/>
        <v>AB01F4</v>
      </c>
      <c r="V1685">
        <v>0</v>
      </c>
      <c r="W1685">
        <v>0</v>
      </c>
      <c r="X1685">
        <v>2</v>
      </c>
      <c r="Z1685">
        <v>0</v>
      </c>
      <c r="AA1685">
        <v>9</v>
      </c>
      <c r="AB1685">
        <v>3</v>
      </c>
      <c r="AC1685">
        <v>0</v>
      </c>
      <c r="AD1685">
        <v>10</v>
      </c>
      <c r="AE1685">
        <v>0</v>
      </c>
      <c r="AF1685">
        <v>3</v>
      </c>
      <c r="AG1685">
        <v>2</v>
      </c>
      <c r="AH1685">
        <v>0</v>
      </c>
      <c r="AI1685" t="s">
        <v>1091</v>
      </c>
      <c r="AJ1685">
        <v>39.876143999999996</v>
      </c>
      <c r="AK1685" t="s">
        <v>1092</v>
      </c>
      <c r="AL1685">
        <v>-92.546446000000003</v>
      </c>
      <c r="AM1685">
        <v>100</v>
      </c>
      <c r="AN1685">
        <v>1700</v>
      </c>
      <c r="AO1685" t="s">
        <v>118</v>
      </c>
      <c r="AP1685">
        <v>-41</v>
      </c>
      <c r="AQ1685">
        <v>116</v>
      </c>
      <c r="AR1685">
        <v>0</v>
      </c>
      <c r="AZ1685">
        <v>1200</v>
      </c>
      <c r="BA1685">
        <v>1</v>
      </c>
      <c r="BB1685" t="str">
        <f t="shared" si="81"/>
        <v xml:space="preserve">N8080G  </v>
      </c>
      <c r="BC1685">
        <v>1</v>
      </c>
      <c r="BE1685">
        <v>0</v>
      </c>
      <c r="BF1685">
        <v>0</v>
      </c>
      <c r="BG1685">
        <v>0</v>
      </c>
      <c r="BH1685">
        <v>1700</v>
      </c>
      <c r="BI1685">
        <v>1</v>
      </c>
      <c r="BJ1685">
        <v>1</v>
      </c>
      <c r="BK1685">
        <v>1</v>
      </c>
      <c r="BL1685">
        <v>0</v>
      </c>
      <c r="BO1685">
        <v>0</v>
      </c>
      <c r="BP1685">
        <v>0</v>
      </c>
      <c r="BW1685" t="str">
        <f>"20:22:41.059"</f>
        <v>20:22:41.059</v>
      </c>
      <c r="BZ1685">
        <v>0</v>
      </c>
      <c r="CA1685">
        <v>2016</v>
      </c>
      <c r="CB1685">
        <v>224</v>
      </c>
      <c r="CD1685">
        <v>1</v>
      </c>
      <c r="CE1685">
        <v>0</v>
      </c>
      <c r="CF1685">
        <v>0</v>
      </c>
      <c r="CG1685">
        <v>1</v>
      </c>
      <c r="CH1685">
        <v>0</v>
      </c>
      <c r="CI1685">
        <v>0</v>
      </c>
      <c r="CJ1685">
        <v>0</v>
      </c>
      <c r="CK1685">
        <v>2</v>
      </c>
      <c r="CL1685">
        <v>0</v>
      </c>
      <c r="CM1685">
        <v>2</v>
      </c>
      <c r="CN1685">
        <v>0</v>
      </c>
      <c r="CO1685">
        <v>7</v>
      </c>
      <c r="CP1685" t="s">
        <v>119</v>
      </c>
      <c r="CQ1685">
        <v>180</v>
      </c>
      <c r="CR1685">
        <v>1</v>
      </c>
      <c r="CW1685">
        <v>10861108</v>
      </c>
      <c r="CY1685">
        <v>1</v>
      </c>
      <c r="CZ1685">
        <v>0</v>
      </c>
      <c r="DA1685">
        <v>1</v>
      </c>
      <c r="DB1685">
        <v>0</v>
      </c>
      <c r="DC1685">
        <v>0</v>
      </c>
      <c r="DD1685">
        <v>0</v>
      </c>
      <c r="DE1685">
        <v>0</v>
      </c>
      <c r="DF1685">
        <v>0</v>
      </c>
      <c r="DG1685">
        <v>0</v>
      </c>
      <c r="DH1685">
        <v>0</v>
      </c>
      <c r="DI1685">
        <v>0</v>
      </c>
    </row>
    <row r="1686" spans="1:113" x14ac:dyDescent="0.3">
      <c r="A1686" t="str">
        <f>"02/08/2021 20:22:38.729"</f>
        <v>02/08/2021 20:22:38.729</v>
      </c>
      <c r="C1686" t="str">
        <f t="shared" si="80"/>
        <v>FFDFD7C0</v>
      </c>
      <c r="D1686" t="s">
        <v>124</v>
      </c>
      <c r="E1686">
        <v>13</v>
      </c>
      <c r="F1686">
        <v>1013</v>
      </c>
      <c r="G1686" t="s">
        <v>114</v>
      </c>
      <c r="J1686" t="s">
        <v>125</v>
      </c>
      <c r="K1686">
        <v>0</v>
      </c>
      <c r="L1686">
        <v>3</v>
      </c>
      <c r="M1686">
        <v>0</v>
      </c>
      <c r="N1686">
        <v>2</v>
      </c>
      <c r="O1686">
        <v>1</v>
      </c>
      <c r="P1686">
        <v>0</v>
      </c>
      <c r="Q1686">
        <v>0</v>
      </c>
      <c r="S1686" t="str">
        <f>"20:22:41.055"</f>
        <v>20:22:41.055</v>
      </c>
      <c r="T1686" t="str">
        <f>"20:22:40.655"</f>
        <v>20:22:40.655</v>
      </c>
      <c r="U1686" t="str">
        <f t="shared" si="79"/>
        <v>AB01F4</v>
      </c>
      <c r="V1686">
        <v>0</v>
      </c>
      <c r="W1686">
        <v>0</v>
      </c>
      <c r="X1686">
        <v>2</v>
      </c>
      <c r="Z1686">
        <v>0</v>
      </c>
      <c r="AA1686">
        <v>9</v>
      </c>
      <c r="AB1686">
        <v>3</v>
      </c>
      <c r="AC1686">
        <v>0</v>
      </c>
      <c r="AD1686">
        <v>10</v>
      </c>
      <c r="AE1686">
        <v>0</v>
      </c>
      <c r="AF1686">
        <v>3</v>
      </c>
      <c r="AG1686">
        <v>2</v>
      </c>
      <c r="AH1686">
        <v>0</v>
      </c>
      <c r="AI1686" t="s">
        <v>1091</v>
      </c>
      <c r="AJ1686">
        <v>39.876143999999996</v>
      </c>
      <c r="AK1686" t="s">
        <v>1092</v>
      </c>
      <c r="AL1686">
        <v>-92.546446000000003</v>
      </c>
      <c r="AM1686">
        <v>100</v>
      </c>
      <c r="AN1686">
        <v>1700</v>
      </c>
      <c r="AO1686" t="s">
        <v>118</v>
      </c>
      <c r="AP1686">
        <v>-41</v>
      </c>
      <c r="AQ1686">
        <v>116</v>
      </c>
      <c r="AR1686">
        <v>0</v>
      </c>
      <c r="AZ1686">
        <v>1200</v>
      </c>
      <c r="BA1686">
        <v>1</v>
      </c>
      <c r="BB1686" t="str">
        <f t="shared" si="81"/>
        <v xml:space="preserve">N8080G  </v>
      </c>
      <c r="BC1686">
        <v>1</v>
      </c>
      <c r="BE1686">
        <v>0</v>
      </c>
      <c r="BF1686">
        <v>0</v>
      </c>
      <c r="BG1686">
        <v>0</v>
      </c>
      <c r="BH1686">
        <v>1700</v>
      </c>
      <c r="BI1686">
        <v>1</v>
      </c>
      <c r="BJ1686">
        <v>1</v>
      </c>
      <c r="BK1686">
        <v>1</v>
      </c>
      <c r="BL1686">
        <v>0</v>
      </c>
      <c r="BO1686">
        <v>0</v>
      </c>
      <c r="BP1686">
        <v>0</v>
      </c>
      <c r="BW1686" t="str">
        <f>"20:22:41.059"</f>
        <v>20:22:41.059</v>
      </c>
      <c r="BZ1686">
        <v>0</v>
      </c>
      <c r="CA1686">
        <v>2016</v>
      </c>
      <c r="CB1686">
        <v>224</v>
      </c>
      <c r="CD1686">
        <v>1</v>
      </c>
      <c r="CE1686">
        <v>0</v>
      </c>
      <c r="CF1686">
        <v>0</v>
      </c>
      <c r="CG1686">
        <v>1</v>
      </c>
      <c r="CH1686">
        <v>0</v>
      </c>
      <c r="CI1686">
        <v>0</v>
      </c>
      <c r="CJ1686">
        <v>0</v>
      </c>
      <c r="CK1686">
        <v>2</v>
      </c>
      <c r="CL1686">
        <v>0</v>
      </c>
      <c r="CM1686">
        <v>2</v>
      </c>
      <c r="CN1686">
        <v>0</v>
      </c>
      <c r="CO1686">
        <v>7</v>
      </c>
      <c r="CP1686" t="s">
        <v>119</v>
      </c>
      <c r="CQ1686">
        <v>180</v>
      </c>
      <c r="CR1686">
        <v>1</v>
      </c>
      <c r="CW1686">
        <v>10861108</v>
      </c>
      <c r="CY1686">
        <v>1</v>
      </c>
      <c r="CZ1686">
        <v>0</v>
      </c>
      <c r="DA1686">
        <v>1</v>
      </c>
      <c r="DB1686">
        <v>0</v>
      </c>
      <c r="DC1686">
        <v>0</v>
      </c>
      <c r="DD1686">
        <v>0</v>
      </c>
      <c r="DE1686">
        <v>0</v>
      </c>
      <c r="DF1686">
        <v>0</v>
      </c>
      <c r="DG1686">
        <v>0</v>
      </c>
      <c r="DH1686">
        <v>0</v>
      </c>
      <c r="DI1686">
        <v>0</v>
      </c>
    </row>
    <row r="1687" spans="1:113" x14ac:dyDescent="0.3">
      <c r="A1687" t="str">
        <f>"02/08/2021 20:22:40.387"</f>
        <v>02/08/2021 20:22:40.387</v>
      </c>
      <c r="C1687" t="str">
        <f t="shared" si="80"/>
        <v>FFDFD7C0</v>
      </c>
      <c r="D1687" t="s">
        <v>124</v>
      </c>
      <c r="E1687">
        <v>12</v>
      </c>
      <c r="F1687">
        <v>1012</v>
      </c>
      <c r="G1687" t="s">
        <v>675</v>
      </c>
      <c r="J1687" t="s">
        <v>125</v>
      </c>
      <c r="K1687">
        <v>0</v>
      </c>
      <c r="L1687">
        <v>3</v>
      </c>
      <c r="M1687">
        <v>0</v>
      </c>
      <c r="N1687">
        <v>2</v>
      </c>
      <c r="O1687">
        <v>1</v>
      </c>
      <c r="P1687">
        <v>0</v>
      </c>
      <c r="Q1687">
        <v>0</v>
      </c>
      <c r="S1687" t="str">
        <f>"20:22:42.680"</f>
        <v>20:22:42.680</v>
      </c>
      <c r="T1687" t="str">
        <f>"20:22:42.180"</f>
        <v>20:22:42.180</v>
      </c>
      <c r="U1687" t="str">
        <f t="shared" si="79"/>
        <v>AB01F4</v>
      </c>
      <c r="V1687">
        <v>0</v>
      </c>
      <c r="W1687">
        <v>0</v>
      </c>
      <c r="X1687">
        <v>2</v>
      </c>
      <c r="Z1687">
        <v>0</v>
      </c>
      <c r="AA1687">
        <v>9</v>
      </c>
      <c r="AB1687">
        <v>3</v>
      </c>
      <c r="AC1687">
        <v>0</v>
      </c>
      <c r="AD1687">
        <v>10</v>
      </c>
      <c r="AE1687">
        <v>0</v>
      </c>
      <c r="AF1687">
        <v>3</v>
      </c>
      <c r="AG1687">
        <v>2</v>
      </c>
      <c r="AH1687">
        <v>0</v>
      </c>
      <c r="AI1687" t="s">
        <v>1093</v>
      </c>
      <c r="AJ1687">
        <v>39.877023999999999</v>
      </c>
      <c r="AK1687" t="s">
        <v>1094</v>
      </c>
      <c r="AL1687">
        <v>-92.546875</v>
      </c>
      <c r="AM1687">
        <v>100</v>
      </c>
      <c r="AN1687">
        <v>1700</v>
      </c>
      <c r="AO1687" t="s">
        <v>118</v>
      </c>
      <c r="AP1687">
        <v>-40</v>
      </c>
      <c r="AQ1687">
        <v>116</v>
      </c>
      <c r="AR1687">
        <v>-64</v>
      </c>
      <c r="AZ1687">
        <v>1200</v>
      </c>
      <c r="BA1687">
        <v>1</v>
      </c>
      <c r="BB1687" t="str">
        <f t="shared" si="81"/>
        <v xml:space="preserve">N8080G  </v>
      </c>
      <c r="BC1687">
        <v>1</v>
      </c>
      <c r="BE1687">
        <v>0</v>
      </c>
      <c r="BF1687">
        <v>0</v>
      </c>
      <c r="BG1687">
        <v>0</v>
      </c>
      <c r="BH1687">
        <v>1700</v>
      </c>
      <c r="BI1687">
        <v>1</v>
      </c>
      <c r="BJ1687">
        <v>1</v>
      </c>
      <c r="BK1687">
        <v>1</v>
      </c>
      <c r="BL1687">
        <v>0</v>
      </c>
      <c r="BO1687">
        <v>0</v>
      </c>
      <c r="BP1687">
        <v>0</v>
      </c>
      <c r="BW1687" t="str">
        <f>"20:22:42.683"</f>
        <v>20:22:42.683</v>
      </c>
      <c r="BZ1687">
        <v>0</v>
      </c>
      <c r="CA1687">
        <v>2016</v>
      </c>
      <c r="CB1687">
        <v>224</v>
      </c>
      <c r="CD1687">
        <v>1</v>
      </c>
      <c r="CE1687">
        <v>0</v>
      </c>
      <c r="CF1687">
        <v>0</v>
      </c>
      <c r="CG1687">
        <v>1</v>
      </c>
      <c r="CH1687">
        <v>0</v>
      </c>
      <c r="CI1687">
        <v>0</v>
      </c>
      <c r="CJ1687">
        <v>0</v>
      </c>
      <c r="CK1687">
        <v>2</v>
      </c>
      <c r="CL1687">
        <v>0</v>
      </c>
      <c r="CM1687">
        <v>2</v>
      </c>
      <c r="CN1687">
        <v>0</v>
      </c>
      <c r="CO1687">
        <v>7</v>
      </c>
      <c r="CP1687" t="s">
        <v>119</v>
      </c>
      <c r="CQ1687">
        <v>180</v>
      </c>
      <c r="CR1687">
        <v>2</v>
      </c>
      <c r="CW1687">
        <v>8299583</v>
      </c>
      <c r="CY1687">
        <v>1</v>
      </c>
      <c r="CZ1687">
        <v>0</v>
      </c>
      <c r="DA1687">
        <v>0</v>
      </c>
      <c r="DB1687">
        <v>0</v>
      </c>
      <c r="DC1687">
        <v>0</v>
      </c>
      <c r="DD1687">
        <v>0</v>
      </c>
      <c r="DE1687">
        <v>0</v>
      </c>
      <c r="DF1687">
        <v>0</v>
      </c>
      <c r="DG1687">
        <v>0</v>
      </c>
      <c r="DH1687">
        <v>0</v>
      </c>
      <c r="DI1687">
        <v>0</v>
      </c>
    </row>
    <row r="1688" spans="1:113" x14ac:dyDescent="0.3">
      <c r="A1688" t="str">
        <f>"02/08/2021 20:22:40.387"</f>
        <v>02/08/2021 20:22:40.387</v>
      </c>
      <c r="C1688" t="str">
        <f t="shared" si="80"/>
        <v>FFDFD7C0</v>
      </c>
      <c r="D1688" t="s">
        <v>113</v>
      </c>
      <c r="E1688">
        <v>6</v>
      </c>
      <c r="H1688">
        <v>165</v>
      </c>
      <c r="I1688" t="s">
        <v>114</v>
      </c>
      <c r="J1688" t="s">
        <v>115</v>
      </c>
      <c r="K1688">
        <v>0</v>
      </c>
      <c r="L1688">
        <v>3</v>
      </c>
      <c r="M1688">
        <v>0</v>
      </c>
      <c r="N1688">
        <v>2</v>
      </c>
      <c r="O1688">
        <v>1</v>
      </c>
      <c r="P1688">
        <v>0</v>
      </c>
      <c r="Q1688">
        <v>0</v>
      </c>
      <c r="S1688" t="str">
        <f>"20:22:42.680"</f>
        <v>20:22:42.680</v>
      </c>
      <c r="T1688" t="str">
        <f>"20:22:42.180"</f>
        <v>20:22:42.180</v>
      </c>
      <c r="U1688" t="str">
        <f t="shared" si="79"/>
        <v>AB01F4</v>
      </c>
      <c r="V1688">
        <v>0</v>
      </c>
      <c r="W1688">
        <v>0</v>
      </c>
      <c r="X1688">
        <v>2</v>
      </c>
      <c r="Z1688">
        <v>0</v>
      </c>
      <c r="AA1688">
        <v>9</v>
      </c>
      <c r="AB1688">
        <v>3</v>
      </c>
      <c r="AC1688">
        <v>0</v>
      </c>
      <c r="AD1688">
        <v>10</v>
      </c>
      <c r="AE1688">
        <v>0</v>
      </c>
      <c r="AF1688">
        <v>3</v>
      </c>
      <c r="AG1688">
        <v>2</v>
      </c>
      <c r="AH1688">
        <v>0</v>
      </c>
      <c r="AI1688" t="s">
        <v>1093</v>
      </c>
      <c r="AJ1688">
        <v>39.877023999999999</v>
      </c>
      <c r="AK1688" t="s">
        <v>1094</v>
      </c>
      <c r="AL1688">
        <v>-92.546875</v>
      </c>
      <c r="AM1688">
        <v>100</v>
      </c>
      <c r="AN1688">
        <v>1700</v>
      </c>
      <c r="AO1688" t="s">
        <v>118</v>
      </c>
      <c r="AP1688">
        <v>-40</v>
      </c>
      <c r="AQ1688">
        <v>116</v>
      </c>
      <c r="AR1688">
        <v>-64</v>
      </c>
      <c r="AZ1688">
        <v>1200</v>
      </c>
      <c r="BA1688">
        <v>1</v>
      </c>
      <c r="BB1688" t="str">
        <f t="shared" si="81"/>
        <v xml:space="preserve">N8080G  </v>
      </c>
      <c r="BC1688">
        <v>1</v>
      </c>
      <c r="BE1688">
        <v>0</v>
      </c>
      <c r="BF1688">
        <v>0</v>
      </c>
      <c r="BG1688">
        <v>0</v>
      </c>
      <c r="BH1688">
        <v>1700</v>
      </c>
      <c r="BI1688">
        <v>1</v>
      </c>
      <c r="BJ1688">
        <v>1</v>
      </c>
      <c r="BK1688">
        <v>1</v>
      </c>
      <c r="BL1688">
        <v>0</v>
      </c>
      <c r="BO1688">
        <v>0</v>
      </c>
      <c r="BP1688">
        <v>0</v>
      </c>
      <c r="BW1688" t="str">
        <f>"20:22:42.683"</f>
        <v>20:22:42.683</v>
      </c>
      <c r="BZ1688">
        <v>0</v>
      </c>
      <c r="CA1688">
        <v>2016</v>
      </c>
      <c r="CB1688">
        <v>224</v>
      </c>
      <c r="CD1688">
        <v>1</v>
      </c>
      <c r="CE1688">
        <v>0</v>
      </c>
      <c r="CF1688">
        <v>0</v>
      </c>
      <c r="CG1688">
        <v>1</v>
      </c>
      <c r="CH1688">
        <v>0</v>
      </c>
      <c r="CI1688">
        <v>0</v>
      </c>
      <c r="CJ1688">
        <v>0</v>
      </c>
      <c r="CK1688">
        <v>2</v>
      </c>
      <c r="CL1688">
        <v>0</v>
      </c>
      <c r="CM1688">
        <v>2</v>
      </c>
      <c r="CN1688">
        <v>0</v>
      </c>
      <c r="CO1688">
        <v>7</v>
      </c>
      <c r="CP1688" t="s">
        <v>119</v>
      </c>
      <c r="CQ1688">
        <v>180</v>
      </c>
      <c r="CR1688">
        <v>2</v>
      </c>
      <c r="CW1688">
        <v>8299583</v>
      </c>
      <c r="CY1688">
        <v>1</v>
      </c>
      <c r="CZ1688">
        <v>0</v>
      </c>
      <c r="DA1688">
        <v>1</v>
      </c>
      <c r="DB1688">
        <v>0</v>
      </c>
      <c r="DC1688">
        <v>0</v>
      </c>
      <c r="DD1688">
        <v>0</v>
      </c>
      <c r="DE1688">
        <v>0</v>
      </c>
      <c r="DF1688">
        <v>0</v>
      </c>
      <c r="DG1688">
        <v>0</v>
      </c>
      <c r="DH1688">
        <v>0</v>
      </c>
      <c r="DI1688">
        <v>0</v>
      </c>
    </row>
    <row r="1689" spans="1:113" x14ac:dyDescent="0.3">
      <c r="A1689" t="str">
        <f>"02/08/2021 20:22:40.387"</f>
        <v>02/08/2021 20:22:40.387</v>
      </c>
      <c r="C1689" t="str">
        <f t="shared" si="80"/>
        <v>FFDFD7C0</v>
      </c>
      <c r="D1689" t="s">
        <v>124</v>
      </c>
      <c r="E1689">
        <v>11</v>
      </c>
      <c r="F1689">
        <v>1011</v>
      </c>
      <c r="G1689" t="s">
        <v>590</v>
      </c>
      <c r="J1689" t="s">
        <v>125</v>
      </c>
      <c r="K1689">
        <v>0</v>
      </c>
      <c r="L1689">
        <v>3</v>
      </c>
      <c r="M1689">
        <v>0</v>
      </c>
      <c r="N1689">
        <v>2</v>
      </c>
      <c r="O1689">
        <v>1</v>
      </c>
      <c r="P1689">
        <v>0</v>
      </c>
      <c r="Q1689">
        <v>0</v>
      </c>
      <c r="S1689" t="str">
        <f>"20:22:42.680"</f>
        <v>20:22:42.680</v>
      </c>
      <c r="T1689" t="str">
        <f>"20:22:42.180"</f>
        <v>20:22:42.180</v>
      </c>
      <c r="U1689" t="str">
        <f t="shared" si="79"/>
        <v>AB01F4</v>
      </c>
      <c r="V1689">
        <v>0</v>
      </c>
      <c r="W1689">
        <v>0</v>
      </c>
      <c r="X1689">
        <v>2</v>
      </c>
      <c r="Z1689">
        <v>0</v>
      </c>
      <c r="AA1689">
        <v>9</v>
      </c>
      <c r="AB1689">
        <v>3</v>
      </c>
      <c r="AC1689">
        <v>0</v>
      </c>
      <c r="AD1689">
        <v>10</v>
      </c>
      <c r="AE1689">
        <v>0</v>
      </c>
      <c r="AF1689">
        <v>3</v>
      </c>
      <c r="AG1689">
        <v>2</v>
      </c>
      <c r="AH1689">
        <v>0</v>
      </c>
      <c r="AI1689" t="s">
        <v>1093</v>
      </c>
      <c r="AJ1689">
        <v>39.877023999999999</v>
      </c>
      <c r="AK1689" t="s">
        <v>1094</v>
      </c>
      <c r="AL1689">
        <v>-92.546875</v>
      </c>
      <c r="AM1689">
        <v>100</v>
      </c>
      <c r="AN1689">
        <v>1700</v>
      </c>
      <c r="AO1689" t="s">
        <v>118</v>
      </c>
      <c r="AP1689">
        <v>-40</v>
      </c>
      <c r="AQ1689">
        <v>116</v>
      </c>
      <c r="AR1689">
        <v>-64</v>
      </c>
      <c r="AZ1689">
        <v>1200</v>
      </c>
      <c r="BA1689">
        <v>1</v>
      </c>
      <c r="BB1689" t="str">
        <f t="shared" si="81"/>
        <v xml:space="preserve">N8080G  </v>
      </c>
      <c r="BC1689">
        <v>1</v>
      </c>
      <c r="BE1689">
        <v>0</v>
      </c>
      <c r="BF1689">
        <v>0</v>
      </c>
      <c r="BG1689">
        <v>0</v>
      </c>
      <c r="BH1689">
        <v>1700</v>
      </c>
      <c r="BI1689">
        <v>1</v>
      </c>
      <c r="BJ1689">
        <v>1</v>
      </c>
      <c r="BK1689">
        <v>1</v>
      </c>
      <c r="BL1689">
        <v>0</v>
      </c>
      <c r="BO1689">
        <v>0</v>
      </c>
      <c r="BP1689">
        <v>0</v>
      </c>
      <c r="BW1689" t="str">
        <f>"20:22:42.683"</f>
        <v>20:22:42.683</v>
      </c>
      <c r="BZ1689">
        <v>0</v>
      </c>
      <c r="CA1689">
        <v>2016</v>
      </c>
      <c r="CB1689">
        <v>224</v>
      </c>
      <c r="CD1689">
        <v>1</v>
      </c>
      <c r="CE1689">
        <v>0</v>
      </c>
      <c r="CF1689">
        <v>0</v>
      </c>
      <c r="CG1689">
        <v>1</v>
      </c>
      <c r="CH1689">
        <v>0</v>
      </c>
      <c r="CI1689">
        <v>0</v>
      </c>
      <c r="CJ1689">
        <v>0</v>
      </c>
      <c r="CK1689">
        <v>2</v>
      </c>
      <c r="CL1689">
        <v>0</v>
      </c>
      <c r="CM1689">
        <v>2</v>
      </c>
      <c r="CN1689">
        <v>0</v>
      </c>
      <c r="CO1689">
        <v>7</v>
      </c>
      <c r="CP1689" t="s">
        <v>119</v>
      </c>
      <c r="CQ1689">
        <v>180</v>
      </c>
      <c r="CR1689">
        <v>2</v>
      </c>
      <c r="CW1689">
        <v>8299583</v>
      </c>
      <c r="CY1689">
        <v>1</v>
      </c>
      <c r="CZ1689">
        <v>0</v>
      </c>
      <c r="DA1689">
        <v>1</v>
      </c>
      <c r="DB1689">
        <v>0</v>
      </c>
      <c r="DC1689">
        <v>0</v>
      </c>
      <c r="DD1689">
        <v>0</v>
      </c>
      <c r="DE1689">
        <v>0</v>
      </c>
      <c r="DF1689">
        <v>0</v>
      </c>
      <c r="DG1689">
        <v>0</v>
      </c>
      <c r="DH1689">
        <v>0</v>
      </c>
      <c r="DI1689">
        <v>0</v>
      </c>
    </row>
    <row r="1690" spans="1:113" x14ac:dyDescent="0.3">
      <c r="A1690" t="str">
        <f>"02/08/2021 20:22:40.387"</f>
        <v>02/08/2021 20:22:40.387</v>
      </c>
      <c r="C1690" t="str">
        <f t="shared" si="80"/>
        <v>FFDFD7C0</v>
      </c>
      <c r="D1690" t="s">
        <v>124</v>
      </c>
      <c r="E1690">
        <v>13</v>
      </c>
      <c r="F1690">
        <v>1013</v>
      </c>
      <c r="G1690" t="s">
        <v>114</v>
      </c>
      <c r="J1690" t="s">
        <v>125</v>
      </c>
      <c r="K1690">
        <v>0</v>
      </c>
      <c r="L1690">
        <v>3</v>
      </c>
      <c r="M1690">
        <v>0</v>
      </c>
      <c r="N1690">
        <v>2</v>
      </c>
      <c r="O1690">
        <v>1</v>
      </c>
      <c r="P1690">
        <v>0</v>
      </c>
      <c r="Q1690">
        <v>0</v>
      </c>
      <c r="S1690" t="str">
        <f>"20:22:42.680"</f>
        <v>20:22:42.680</v>
      </c>
      <c r="T1690" t="str">
        <f>"20:22:42.180"</f>
        <v>20:22:42.180</v>
      </c>
      <c r="U1690" t="str">
        <f t="shared" si="79"/>
        <v>AB01F4</v>
      </c>
      <c r="V1690">
        <v>0</v>
      </c>
      <c r="W1690">
        <v>0</v>
      </c>
      <c r="X1690">
        <v>2</v>
      </c>
      <c r="Z1690">
        <v>0</v>
      </c>
      <c r="AA1690">
        <v>9</v>
      </c>
      <c r="AB1690">
        <v>3</v>
      </c>
      <c r="AC1690">
        <v>0</v>
      </c>
      <c r="AD1690">
        <v>10</v>
      </c>
      <c r="AE1690">
        <v>0</v>
      </c>
      <c r="AF1690">
        <v>3</v>
      </c>
      <c r="AG1690">
        <v>2</v>
      </c>
      <c r="AH1690">
        <v>0</v>
      </c>
      <c r="AI1690" t="s">
        <v>1093</v>
      </c>
      <c r="AJ1690">
        <v>39.877023999999999</v>
      </c>
      <c r="AK1690" t="s">
        <v>1094</v>
      </c>
      <c r="AL1690">
        <v>-92.546875</v>
      </c>
      <c r="AM1690">
        <v>100</v>
      </c>
      <c r="AN1690">
        <v>1700</v>
      </c>
      <c r="AO1690" t="s">
        <v>118</v>
      </c>
      <c r="AP1690">
        <v>-40</v>
      </c>
      <c r="AQ1690">
        <v>116</v>
      </c>
      <c r="AR1690">
        <v>-64</v>
      </c>
      <c r="AZ1690">
        <v>1200</v>
      </c>
      <c r="BA1690">
        <v>1</v>
      </c>
      <c r="BB1690" t="str">
        <f t="shared" si="81"/>
        <v xml:space="preserve">N8080G  </v>
      </c>
      <c r="BC1690">
        <v>1</v>
      </c>
      <c r="BE1690">
        <v>0</v>
      </c>
      <c r="BF1690">
        <v>0</v>
      </c>
      <c r="BG1690">
        <v>0</v>
      </c>
      <c r="BH1690">
        <v>1700</v>
      </c>
      <c r="BI1690">
        <v>1</v>
      </c>
      <c r="BJ1690">
        <v>1</v>
      </c>
      <c r="BK1690">
        <v>1</v>
      </c>
      <c r="BL1690">
        <v>0</v>
      </c>
      <c r="BO1690">
        <v>0</v>
      </c>
      <c r="BP1690">
        <v>0</v>
      </c>
      <c r="BW1690" t="str">
        <f>"20:22:42.683"</f>
        <v>20:22:42.683</v>
      </c>
      <c r="BZ1690">
        <v>0</v>
      </c>
      <c r="CA1690">
        <v>2016</v>
      </c>
      <c r="CB1690">
        <v>224</v>
      </c>
      <c r="CD1690">
        <v>1</v>
      </c>
      <c r="CE1690">
        <v>0</v>
      </c>
      <c r="CF1690">
        <v>0</v>
      </c>
      <c r="CG1690">
        <v>1</v>
      </c>
      <c r="CH1690">
        <v>0</v>
      </c>
      <c r="CI1690">
        <v>0</v>
      </c>
      <c r="CJ1690">
        <v>0</v>
      </c>
      <c r="CK1690">
        <v>2</v>
      </c>
      <c r="CL1690">
        <v>0</v>
      </c>
      <c r="CM1690">
        <v>2</v>
      </c>
      <c r="CN1690">
        <v>0</v>
      </c>
      <c r="CO1690">
        <v>7</v>
      </c>
      <c r="CP1690" t="s">
        <v>119</v>
      </c>
      <c r="CQ1690">
        <v>180</v>
      </c>
      <c r="CR1690">
        <v>2</v>
      </c>
      <c r="CW1690">
        <v>8299583</v>
      </c>
      <c r="CY1690">
        <v>1</v>
      </c>
      <c r="CZ1690">
        <v>0</v>
      </c>
      <c r="DA1690">
        <v>1</v>
      </c>
      <c r="DB1690">
        <v>0</v>
      </c>
      <c r="DC1690">
        <v>0</v>
      </c>
      <c r="DD1690">
        <v>0</v>
      </c>
      <c r="DE1690">
        <v>0</v>
      </c>
      <c r="DF1690">
        <v>0</v>
      </c>
      <c r="DG1690">
        <v>0</v>
      </c>
      <c r="DH1690">
        <v>0</v>
      </c>
      <c r="DI1690">
        <v>0</v>
      </c>
    </row>
    <row r="1691" spans="1:113" x14ac:dyDescent="0.3">
      <c r="A1691" t="str">
        <f>"02/08/2021 20:22:43.728"</f>
        <v>02/08/2021 20:22:43.728</v>
      </c>
      <c r="C1691" t="str">
        <f t="shared" si="80"/>
        <v>FFDFD7C0</v>
      </c>
      <c r="D1691" t="s">
        <v>124</v>
      </c>
      <c r="E1691">
        <v>11</v>
      </c>
      <c r="F1691">
        <v>1011</v>
      </c>
      <c r="G1691" t="s">
        <v>590</v>
      </c>
      <c r="J1691" t="s">
        <v>125</v>
      </c>
      <c r="K1691">
        <v>0</v>
      </c>
      <c r="L1691">
        <v>3</v>
      </c>
      <c r="M1691">
        <v>0</v>
      </c>
      <c r="N1691">
        <v>2</v>
      </c>
      <c r="O1691">
        <v>1</v>
      </c>
      <c r="P1691">
        <v>0</v>
      </c>
      <c r="Q1691">
        <v>0</v>
      </c>
      <c r="S1691" t="str">
        <f>"20:22:46.023"</f>
        <v>20:22:46.023</v>
      </c>
      <c r="T1691" t="str">
        <f>"20:22:45.623"</f>
        <v>20:22:45.623</v>
      </c>
      <c r="U1691" t="str">
        <f t="shared" si="79"/>
        <v>AB01F4</v>
      </c>
      <c r="V1691">
        <v>0</v>
      </c>
      <c r="W1691">
        <v>0</v>
      </c>
      <c r="X1691">
        <v>2</v>
      </c>
      <c r="Z1691">
        <v>0</v>
      </c>
      <c r="AA1691">
        <v>9</v>
      </c>
      <c r="AB1691">
        <v>3</v>
      </c>
      <c r="AC1691">
        <v>0</v>
      </c>
      <c r="AD1691">
        <v>10</v>
      </c>
      <c r="AE1691">
        <v>0</v>
      </c>
      <c r="AF1691">
        <v>3</v>
      </c>
      <c r="AG1691">
        <v>2</v>
      </c>
      <c r="AH1691">
        <v>0</v>
      </c>
      <c r="AI1691" t="s">
        <v>1095</v>
      </c>
      <c r="AJ1691">
        <v>39.878825999999997</v>
      </c>
      <c r="AK1691" t="s">
        <v>1096</v>
      </c>
      <c r="AL1691">
        <v>-92.547668999999999</v>
      </c>
      <c r="AM1691">
        <v>100</v>
      </c>
      <c r="AN1691">
        <v>1700</v>
      </c>
      <c r="AO1691" t="s">
        <v>118</v>
      </c>
      <c r="AP1691">
        <v>-41</v>
      </c>
      <c r="AQ1691">
        <v>116</v>
      </c>
      <c r="AR1691">
        <v>0</v>
      </c>
      <c r="AZ1691">
        <v>1200</v>
      </c>
      <c r="BA1691">
        <v>1</v>
      </c>
      <c r="BB1691" t="str">
        <f t="shared" si="81"/>
        <v xml:space="preserve">N8080G  </v>
      </c>
      <c r="BC1691">
        <v>1</v>
      </c>
      <c r="BE1691">
        <v>0</v>
      </c>
      <c r="BF1691">
        <v>0</v>
      </c>
      <c r="BG1691">
        <v>0</v>
      </c>
      <c r="BH1691">
        <v>1700</v>
      </c>
      <c r="BI1691">
        <v>1</v>
      </c>
      <c r="BJ1691">
        <v>1</v>
      </c>
      <c r="BK1691">
        <v>1</v>
      </c>
      <c r="BL1691">
        <v>0</v>
      </c>
      <c r="BO1691">
        <v>0</v>
      </c>
      <c r="BP1691">
        <v>0</v>
      </c>
      <c r="BW1691" t="str">
        <f>"20:22:46.026"</f>
        <v>20:22:46.026</v>
      </c>
      <c r="BZ1691">
        <v>0</v>
      </c>
      <c r="CA1691">
        <v>2016</v>
      </c>
      <c r="CB1691">
        <v>224</v>
      </c>
      <c r="CD1691">
        <v>1</v>
      </c>
      <c r="CE1691">
        <v>0</v>
      </c>
      <c r="CF1691">
        <v>0</v>
      </c>
      <c r="CG1691">
        <v>1</v>
      </c>
      <c r="CH1691">
        <v>0</v>
      </c>
      <c r="CI1691">
        <v>0</v>
      </c>
      <c r="CJ1691">
        <v>0</v>
      </c>
      <c r="CK1691">
        <v>2</v>
      </c>
      <c r="CL1691">
        <v>0</v>
      </c>
      <c r="CM1691">
        <v>2</v>
      </c>
      <c r="CN1691">
        <v>0</v>
      </c>
      <c r="CO1691">
        <v>7</v>
      </c>
      <c r="CP1691" t="s">
        <v>119</v>
      </c>
      <c r="CQ1691">
        <v>180</v>
      </c>
      <c r="CR1691">
        <v>1</v>
      </c>
      <c r="CW1691">
        <v>10865246</v>
      </c>
      <c r="CY1691">
        <v>1</v>
      </c>
      <c r="CZ1691">
        <v>0</v>
      </c>
      <c r="DA1691">
        <v>0</v>
      </c>
      <c r="DB1691">
        <v>0</v>
      </c>
      <c r="DC1691">
        <v>0</v>
      </c>
      <c r="DD1691">
        <v>0</v>
      </c>
      <c r="DE1691">
        <v>0</v>
      </c>
      <c r="DF1691">
        <v>0</v>
      </c>
      <c r="DG1691">
        <v>0</v>
      </c>
      <c r="DH1691">
        <v>0</v>
      </c>
      <c r="DI1691">
        <v>0</v>
      </c>
    </row>
    <row r="1692" spans="1:113" x14ac:dyDescent="0.3">
      <c r="A1692" t="str">
        <f>"02/08/2021 20:22:43.728"</f>
        <v>02/08/2021 20:22:43.728</v>
      </c>
      <c r="C1692" t="str">
        <f t="shared" si="80"/>
        <v>FFDFD7C0</v>
      </c>
      <c r="D1692" t="s">
        <v>113</v>
      </c>
      <c r="E1692">
        <v>6</v>
      </c>
      <c r="H1692">
        <v>165</v>
      </c>
      <c r="I1692" t="s">
        <v>114</v>
      </c>
      <c r="J1692" t="s">
        <v>115</v>
      </c>
      <c r="K1692">
        <v>0</v>
      </c>
      <c r="L1692">
        <v>3</v>
      </c>
      <c r="M1692">
        <v>0</v>
      </c>
      <c r="N1692">
        <v>2</v>
      </c>
      <c r="O1692">
        <v>1</v>
      </c>
      <c r="P1692">
        <v>0</v>
      </c>
      <c r="Q1692">
        <v>0</v>
      </c>
      <c r="S1692" t="str">
        <f>"20:22:46.023"</f>
        <v>20:22:46.023</v>
      </c>
      <c r="T1692" t="str">
        <f>"20:22:45.623"</f>
        <v>20:22:45.623</v>
      </c>
      <c r="U1692" t="str">
        <f t="shared" si="79"/>
        <v>AB01F4</v>
      </c>
      <c r="V1692">
        <v>0</v>
      </c>
      <c r="W1692">
        <v>0</v>
      </c>
      <c r="X1692">
        <v>2</v>
      </c>
      <c r="Z1692">
        <v>0</v>
      </c>
      <c r="AA1692">
        <v>9</v>
      </c>
      <c r="AB1692">
        <v>3</v>
      </c>
      <c r="AC1692">
        <v>0</v>
      </c>
      <c r="AD1692">
        <v>10</v>
      </c>
      <c r="AE1692">
        <v>0</v>
      </c>
      <c r="AF1692">
        <v>3</v>
      </c>
      <c r="AG1692">
        <v>2</v>
      </c>
      <c r="AH1692">
        <v>0</v>
      </c>
      <c r="AI1692" t="s">
        <v>1095</v>
      </c>
      <c r="AJ1692">
        <v>39.878825999999997</v>
      </c>
      <c r="AK1692" t="s">
        <v>1096</v>
      </c>
      <c r="AL1692">
        <v>-92.547668999999999</v>
      </c>
      <c r="AM1692">
        <v>100</v>
      </c>
      <c r="AN1692">
        <v>1700</v>
      </c>
      <c r="AO1692" t="s">
        <v>118</v>
      </c>
      <c r="AP1692">
        <v>-41</v>
      </c>
      <c r="AQ1692">
        <v>116</v>
      </c>
      <c r="AR1692">
        <v>0</v>
      </c>
      <c r="AZ1692">
        <v>1200</v>
      </c>
      <c r="BA1692">
        <v>1</v>
      </c>
      <c r="BB1692" t="str">
        <f t="shared" si="81"/>
        <v xml:space="preserve">N8080G  </v>
      </c>
      <c r="BC1692">
        <v>1</v>
      </c>
      <c r="BE1692">
        <v>0</v>
      </c>
      <c r="BF1692">
        <v>0</v>
      </c>
      <c r="BG1692">
        <v>0</v>
      </c>
      <c r="BH1692">
        <v>1700</v>
      </c>
      <c r="BI1692">
        <v>1</v>
      </c>
      <c r="BJ1692">
        <v>1</v>
      </c>
      <c r="BK1692">
        <v>1</v>
      </c>
      <c r="BL1692">
        <v>0</v>
      </c>
      <c r="BO1692">
        <v>0</v>
      </c>
      <c r="BP1692">
        <v>0</v>
      </c>
      <c r="BW1692" t="str">
        <f>"20:22:46.026"</f>
        <v>20:22:46.026</v>
      </c>
      <c r="BZ1692">
        <v>0</v>
      </c>
      <c r="CA1692">
        <v>2016</v>
      </c>
      <c r="CB1692">
        <v>224</v>
      </c>
      <c r="CD1692">
        <v>1</v>
      </c>
      <c r="CE1692">
        <v>0</v>
      </c>
      <c r="CF1692">
        <v>0</v>
      </c>
      <c r="CG1692">
        <v>1</v>
      </c>
      <c r="CH1692">
        <v>0</v>
      </c>
      <c r="CI1692">
        <v>0</v>
      </c>
      <c r="CJ1692">
        <v>0</v>
      </c>
      <c r="CK1692">
        <v>2</v>
      </c>
      <c r="CL1692">
        <v>0</v>
      </c>
      <c r="CM1692">
        <v>2</v>
      </c>
      <c r="CN1692">
        <v>0</v>
      </c>
      <c r="CO1692">
        <v>7</v>
      </c>
      <c r="CP1692" t="s">
        <v>119</v>
      </c>
      <c r="CQ1692">
        <v>180</v>
      </c>
      <c r="CR1692">
        <v>1</v>
      </c>
      <c r="CW1692">
        <v>10865246</v>
      </c>
      <c r="CY1692">
        <v>1</v>
      </c>
      <c r="CZ1692">
        <v>0</v>
      </c>
      <c r="DA1692">
        <v>1</v>
      </c>
      <c r="DB1692">
        <v>0</v>
      </c>
      <c r="DC1692">
        <v>0</v>
      </c>
      <c r="DD1692">
        <v>0</v>
      </c>
      <c r="DE1692">
        <v>0</v>
      </c>
      <c r="DF1692">
        <v>0</v>
      </c>
      <c r="DG1692">
        <v>0</v>
      </c>
      <c r="DH1692">
        <v>0</v>
      </c>
      <c r="DI1692">
        <v>0</v>
      </c>
    </row>
    <row r="1693" spans="1:113" x14ac:dyDescent="0.3">
      <c r="A1693" t="str">
        <f>"02/08/2021 20:22:43.728"</f>
        <v>02/08/2021 20:22:43.728</v>
      </c>
      <c r="C1693" t="str">
        <f t="shared" si="80"/>
        <v>FFDFD7C0</v>
      </c>
      <c r="D1693" t="s">
        <v>124</v>
      </c>
      <c r="E1693">
        <v>13</v>
      </c>
      <c r="F1693">
        <v>1013</v>
      </c>
      <c r="G1693" t="s">
        <v>114</v>
      </c>
      <c r="J1693" t="s">
        <v>125</v>
      </c>
      <c r="K1693">
        <v>0</v>
      </c>
      <c r="L1693">
        <v>3</v>
      </c>
      <c r="M1693">
        <v>0</v>
      </c>
      <c r="N1693">
        <v>2</v>
      </c>
      <c r="O1693">
        <v>1</v>
      </c>
      <c r="P1693">
        <v>0</v>
      </c>
      <c r="Q1693">
        <v>0</v>
      </c>
      <c r="S1693" t="str">
        <f>"20:22:46.023"</f>
        <v>20:22:46.023</v>
      </c>
      <c r="T1693" t="str">
        <f>"20:22:45.623"</f>
        <v>20:22:45.623</v>
      </c>
      <c r="U1693" t="str">
        <f t="shared" si="79"/>
        <v>AB01F4</v>
      </c>
      <c r="V1693">
        <v>0</v>
      </c>
      <c r="W1693">
        <v>0</v>
      </c>
      <c r="X1693">
        <v>2</v>
      </c>
      <c r="Z1693">
        <v>0</v>
      </c>
      <c r="AA1693">
        <v>9</v>
      </c>
      <c r="AB1693">
        <v>3</v>
      </c>
      <c r="AC1693">
        <v>0</v>
      </c>
      <c r="AD1693">
        <v>10</v>
      </c>
      <c r="AE1693">
        <v>0</v>
      </c>
      <c r="AF1693">
        <v>3</v>
      </c>
      <c r="AG1693">
        <v>2</v>
      </c>
      <c r="AH1693">
        <v>0</v>
      </c>
      <c r="AI1693" t="s">
        <v>1095</v>
      </c>
      <c r="AJ1693">
        <v>39.878825999999997</v>
      </c>
      <c r="AK1693" t="s">
        <v>1096</v>
      </c>
      <c r="AL1693">
        <v>-92.547668999999999</v>
      </c>
      <c r="AM1693">
        <v>100</v>
      </c>
      <c r="AN1693">
        <v>1700</v>
      </c>
      <c r="AO1693" t="s">
        <v>118</v>
      </c>
      <c r="AP1693">
        <v>-41</v>
      </c>
      <c r="AQ1693">
        <v>116</v>
      </c>
      <c r="AR1693">
        <v>0</v>
      </c>
      <c r="AZ1693">
        <v>1200</v>
      </c>
      <c r="BA1693">
        <v>1</v>
      </c>
      <c r="BB1693" t="str">
        <f t="shared" si="81"/>
        <v xml:space="preserve">N8080G  </v>
      </c>
      <c r="BC1693">
        <v>1</v>
      </c>
      <c r="BE1693">
        <v>0</v>
      </c>
      <c r="BF1693">
        <v>0</v>
      </c>
      <c r="BG1693">
        <v>0</v>
      </c>
      <c r="BH1693">
        <v>1700</v>
      </c>
      <c r="BI1693">
        <v>1</v>
      </c>
      <c r="BJ1693">
        <v>1</v>
      </c>
      <c r="BK1693">
        <v>1</v>
      </c>
      <c r="BL1693">
        <v>0</v>
      </c>
      <c r="BO1693">
        <v>0</v>
      </c>
      <c r="BP1693">
        <v>0</v>
      </c>
      <c r="BW1693" t="str">
        <f>"20:22:46.026"</f>
        <v>20:22:46.026</v>
      </c>
      <c r="BZ1693">
        <v>0</v>
      </c>
      <c r="CA1693">
        <v>2016</v>
      </c>
      <c r="CB1693">
        <v>224</v>
      </c>
      <c r="CD1693">
        <v>1</v>
      </c>
      <c r="CE1693">
        <v>0</v>
      </c>
      <c r="CF1693">
        <v>0</v>
      </c>
      <c r="CG1693">
        <v>1</v>
      </c>
      <c r="CH1693">
        <v>0</v>
      </c>
      <c r="CI1693">
        <v>0</v>
      </c>
      <c r="CJ1693">
        <v>0</v>
      </c>
      <c r="CK1693">
        <v>2</v>
      </c>
      <c r="CL1693">
        <v>0</v>
      </c>
      <c r="CM1693">
        <v>2</v>
      </c>
      <c r="CN1693">
        <v>0</v>
      </c>
      <c r="CO1693">
        <v>7</v>
      </c>
      <c r="CP1693" t="s">
        <v>119</v>
      </c>
      <c r="CQ1693">
        <v>180</v>
      </c>
      <c r="CR1693">
        <v>1</v>
      </c>
      <c r="CW1693">
        <v>10865246</v>
      </c>
      <c r="CY1693">
        <v>1</v>
      </c>
      <c r="CZ1693">
        <v>0</v>
      </c>
      <c r="DA1693">
        <v>1</v>
      </c>
      <c r="DB1693">
        <v>0</v>
      </c>
      <c r="DC1693">
        <v>0</v>
      </c>
      <c r="DD1693">
        <v>0</v>
      </c>
      <c r="DE1693">
        <v>0</v>
      </c>
      <c r="DF1693">
        <v>0</v>
      </c>
      <c r="DG1693">
        <v>0</v>
      </c>
      <c r="DH1693">
        <v>0</v>
      </c>
      <c r="DI1693">
        <v>0</v>
      </c>
    </row>
    <row r="1694" spans="1:113" x14ac:dyDescent="0.3">
      <c r="A1694" t="str">
        <f>"02/08/2021 20:22:43.728"</f>
        <v>02/08/2021 20:22:43.728</v>
      </c>
      <c r="C1694" t="str">
        <f t="shared" si="80"/>
        <v>FFDFD7C0</v>
      </c>
      <c r="D1694" t="s">
        <v>124</v>
      </c>
      <c r="E1694">
        <v>12</v>
      </c>
      <c r="F1694">
        <v>1012</v>
      </c>
      <c r="G1694" t="s">
        <v>675</v>
      </c>
      <c r="J1694" t="s">
        <v>125</v>
      </c>
      <c r="K1694">
        <v>0</v>
      </c>
      <c r="L1694">
        <v>3</v>
      </c>
      <c r="M1694">
        <v>0</v>
      </c>
      <c r="N1694">
        <v>2</v>
      </c>
      <c r="O1694">
        <v>1</v>
      </c>
      <c r="P1694">
        <v>0</v>
      </c>
      <c r="Q1694">
        <v>0</v>
      </c>
      <c r="S1694" t="str">
        <f>"20:22:46.023"</f>
        <v>20:22:46.023</v>
      </c>
      <c r="T1694" t="str">
        <f>"20:22:45.623"</f>
        <v>20:22:45.623</v>
      </c>
      <c r="U1694" t="str">
        <f t="shared" si="79"/>
        <v>AB01F4</v>
      </c>
      <c r="V1694">
        <v>0</v>
      </c>
      <c r="W1694">
        <v>0</v>
      </c>
      <c r="X1694">
        <v>2</v>
      </c>
      <c r="Z1694">
        <v>0</v>
      </c>
      <c r="AA1694">
        <v>9</v>
      </c>
      <c r="AB1694">
        <v>3</v>
      </c>
      <c r="AC1694">
        <v>0</v>
      </c>
      <c r="AD1694">
        <v>10</v>
      </c>
      <c r="AE1694">
        <v>0</v>
      </c>
      <c r="AF1694">
        <v>3</v>
      </c>
      <c r="AG1694">
        <v>2</v>
      </c>
      <c r="AH1694">
        <v>0</v>
      </c>
      <c r="AI1694" t="s">
        <v>1095</v>
      </c>
      <c r="AJ1694">
        <v>39.878825999999997</v>
      </c>
      <c r="AK1694" t="s">
        <v>1096</v>
      </c>
      <c r="AL1694">
        <v>-92.547668999999999</v>
      </c>
      <c r="AM1694">
        <v>100</v>
      </c>
      <c r="AN1694">
        <v>1700</v>
      </c>
      <c r="AO1694" t="s">
        <v>118</v>
      </c>
      <c r="AP1694">
        <v>-41</v>
      </c>
      <c r="AQ1694">
        <v>116</v>
      </c>
      <c r="AR1694">
        <v>0</v>
      </c>
      <c r="AZ1694">
        <v>1200</v>
      </c>
      <c r="BA1694">
        <v>1</v>
      </c>
      <c r="BB1694" t="str">
        <f t="shared" si="81"/>
        <v xml:space="preserve">N8080G  </v>
      </c>
      <c r="BC1694">
        <v>1</v>
      </c>
      <c r="BE1694">
        <v>0</v>
      </c>
      <c r="BF1694">
        <v>0</v>
      </c>
      <c r="BG1694">
        <v>0</v>
      </c>
      <c r="BH1694">
        <v>1700</v>
      </c>
      <c r="BI1694">
        <v>1</v>
      </c>
      <c r="BJ1694">
        <v>1</v>
      </c>
      <c r="BK1694">
        <v>1</v>
      </c>
      <c r="BL1694">
        <v>0</v>
      </c>
      <c r="BO1694">
        <v>0</v>
      </c>
      <c r="BP1694">
        <v>0</v>
      </c>
      <c r="BW1694" t="str">
        <f>"20:22:46.026"</f>
        <v>20:22:46.026</v>
      </c>
      <c r="BZ1694">
        <v>0</v>
      </c>
      <c r="CA1694">
        <v>2016</v>
      </c>
      <c r="CB1694">
        <v>224</v>
      </c>
      <c r="CD1694">
        <v>1</v>
      </c>
      <c r="CE1694">
        <v>0</v>
      </c>
      <c r="CF1694">
        <v>0</v>
      </c>
      <c r="CG1694">
        <v>1</v>
      </c>
      <c r="CH1694">
        <v>0</v>
      </c>
      <c r="CI1694">
        <v>0</v>
      </c>
      <c r="CJ1694">
        <v>0</v>
      </c>
      <c r="CK1694">
        <v>2</v>
      </c>
      <c r="CL1694">
        <v>0</v>
      </c>
      <c r="CM1694">
        <v>2</v>
      </c>
      <c r="CN1694">
        <v>0</v>
      </c>
      <c r="CO1694">
        <v>7</v>
      </c>
      <c r="CP1694" t="s">
        <v>119</v>
      </c>
      <c r="CQ1694">
        <v>180</v>
      </c>
      <c r="CR1694">
        <v>1</v>
      </c>
      <c r="CW1694">
        <v>10865246</v>
      </c>
      <c r="CY1694">
        <v>1</v>
      </c>
      <c r="CZ1694">
        <v>0</v>
      </c>
      <c r="DA1694">
        <v>1</v>
      </c>
      <c r="DB1694">
        <v>0</v>
      </c>
      <c r="DC1694">
        <v>0</v>
      </c>
      <c r="DD1694">
        <v>0</v>
      </c>
      <c r="DE1694">
        <v>0</v>
      </c>
      <c r="DF1694">
        <v>0</v>
      </c>
      <c r="DG1694">
        <v>0</v>
      </c>
      <c r="DH1694">
        <v>0</v>
      </c>
      <c r="DI1694">
        <v>0</v>
      </c>
    </row>
    <row r="1695" spans="1:113" x14ac:dyDescent="0.3">
      <c r="A1695" t="str">
        <f>"02/08/2021 20:22:45.642"</f>
        <v>02/08/2021 20:22:45.642</v>
      </c>
      <c r="C1695" t="str">
        <f t="shared" si="80"/>
        <v>FFDFD7C0</v>
      </c>
      <c r="D1695" t="s">
        <v>124</v>
      </c>
      <c r="E1695">
        <v>11</v>
      </c>
      <c r="F1695">
        <v>1011</v>
      </c>
      <c r="G1695" t="s">
        <v>590</v>
      </c>
      <c r="J1695" t="s">
        <v>125</v>
      </c>
      <c r="K1695">
        <v>0</v>
      </c>
      <c r="L1695">
        <v>3</v>
      </c>
      <c r="M1695">
        <v>0</v>
      </c>
      <c r="N1695">
        <v>2</v>
      </c>
      <c r="O1695">
        <v>1</v>
      </c>
      <c r="P1695">
        <v>0</v>
      </c>
      <c r="Q1695">
        <v>0</v>
      </c>
      <c r="S1695" t="str">
        <f>"20:22:47.930"</f>
        <v>20:22:47.930</v>
      </c>
      <c r="T1695" t="str">
        <f>"20:22:47.530"</f>
        <v>20:22:47.530</v>
      </c>
      <c r="U1695" t="str">
        <f t="shared" si="79"/>
        <v>AB01F4</v>
      </c>
      <c r="V1695">
        <v>0</v>
      </c>
      <c r="W1695">
        <v>0</v>
      </c>
      <c r="X1695">
        <v>2</v>
      </c>
      <c r="Z1695">
        <v>0</v>
      </c>
      <c r="AA1695">
        <v>9</v>
      </c>
      <c r="AB1695">
        <v>3</v>
      </c>
      <c r="AC1695">
        <v>0</v>
      </c>
      <c r="AD1695">
        <v>10</v>
      </c>
      <c r="AE1695">
        <v>0</v>
      </c>
      <c r="AF1695">
        <v>3</v>
      </c>
      <c r="AG1695">
        <v>2</v>
      </c>
      <c r="AH1695">
        <v>0</v>
      </c>
      <c r="AI1695" t="s">
        <v>1097</v>
      </c>
      <c r="AJ1695">
        <v>39.879877999999998</v>
      </c>
      <c r="AK1695" t="s">
        <v>1098</v>
      </c>
      <c r="AL1695">
        <v>-92.548163000000002</v>
      </c>
      <c r="AM1695">
        <v>100</v>
      </c>
      <c r="AN1695">
        <v>1700</v>
      </c>
      <c r="AO1695" t="s">
        <v>118</v>
      </c>
      <c r="AP1695">
        <v>-40</v>
      </c>
      <c r="AQ1695">
        <v>116</v>
      </c>
      <c r="AR1695">
        <v>0</v>
      </c>
      <c r="AZ1695">
        <v>1200</v>
      </c>
      <c r="BA1695">
        <v>1</v>
      </c>
      <c r="BB1695" t="str">
        <f t="shared" si="81"/>
        <v xml:space="preserve">N8080G  </v>
      </c>
      <c r="BC1695">
        <v>1</v>
      </c>
      <c r="BE1695">
        <v>0</v>
      </c>
      <c r="BF1695">
        <v>0</v>
      </c>
      <c r="BG1695">
        <v>0</v>
      </c>
      <c r="BH1695">
        <v>1700</v>
      </c>
      <c r="BI1695">
        <v>1</v>
      </c>
      <c r="BJ1695">
        <v>1</v>
      </c>
      <c r="BK1695">
        <v>1</v>
      </c>
      <c r="BL1695">
        <v>0</v>
      </c>
      <c r="BO1695">
        <v>0</v>
      </c>
      <c r="BP1695">
        <v>0</v>
      </c>
      <c r="BW1695" t="str">
        <f>"20:22:47.936"</f>
        <v>20:22:47.936</v>
      </c>
      <c r="BZ1695">
        <v>0</v>
      </c>
      <c r="CA1695">
        <v>2016</v>
      </c>
      <c r="CB1695">
        <v>224</v>
      </c>
      <c r="CD1695">
        <v>1</v>
      </c>
      <c r="CE1695">
        <v>0</v>
      </c>
      <c r="CF1695">
        <v>0</v>
      </c>
      <c r="CG1695">
        <v>1</v>
      </c>
      <c r="CH1695">
        <v>0</v>
      </c>
      <c r="CI1695">
        <v>0</v>
      </c>
      <c r="CJ1695">
        <v>0</v>
      </c>
      <c r="CK1695">
        <v>2</v>
      </c>
      <c r="CL1695">
        <v>0</v>
      </c>
      <c r="CM1695">
        <v>2</v>
      </c>
      <c r="CN1695">
        <v>0</v>
      </c>
      <c r="CO1695">
        <v>7</v>
      </c>
      <c r="CP1695" t="s">
        <v>119</v>
      </c>
      <c r="CQ1695">
        <v>180</v>
      </c>
      <c r="CR1695">
        <v>2</v>
      </c>
      <c r="CW1695">
        <v>8303855</v>
      </c>
      <c r="CY1695">
        <v>1</v>
      </c>
      <c r="CZ1695">
        <v>0</v>
      </c>
      <c r="DA1695">
        <v>0</v>
      </c>
      <c r="DB1695">
        <v>0</v>
      </c>
      <c r="DC1695">
        <v>0</v>
      </c>
      <c r="DD1695">
        <v>0</v>
      </c>
      <c r="DE1695">
        <v>0</v>
      </c>
      <c r="DF1695">
        <v>0</v>
      </c>
      <c r="DG1695">
        <v>0</v>
      </c>
      <c r="DH1695">
        <v>0</v>
      </c>
      <c r="DI1695">
        <v>0</v>
      </c>
    </row>
    <row r="1696" spans="1:113" x14ac:dyDescent="0.3">
      <c r="A1696" t="str">
        <f>"02/08/2021 20:22:45.642"</f>
        <v>02/08/2021 20:22:45.642</v>
      </c>
      <c r="C1696" t="str">
        <f t="shared" si="80"/>
        <v>FFDFD7C0</v>
      </c>
      <c r="D1696" t="s">
        <v>124</v>
      </c>
      <c r="E1696">
        <v>13</v>
      </c>
      <c r="F1696">
        <v>1013</v>
      </c>
      <c r="G1696" t="s">
        <v>114</v>
      </c>
      <c r="J1696" t="s">
        <v>125</v>
      </c>
      <c r="K1696">
        <v>0</v>
      </c>
      <c r="L1696">
        <v>3</v>
      </c>
      <c r="M1696">
        <v>0</v>
      </c>
      <c r="N1696">
        <v>2</v>
      </c>
      <c r="O1696">
        <v>1</v>
      </c>
      <c r="P1696">
        <v>0</v>
      </c>
      <c r="Q1696">
        <v>0</v>
      </c>
      <c r="S1696" t="str">
        <f>"20:22:47.930"</f>
        <v>20:22:47.930</v>
      </c>
      <c r="T1696" t="str">
        <f>"20:22:47.530"</f>
        <v>20:22:47.530</v>
      </c>
      <c r="U1696" t="str">
        <f t="shared" si="79"/>
        <v>AB01F4</v>
      </c>
      <c r="V1696">
        <v>0</v>
      </c>
      <c r="W1696">
        <v>0</v>
      </c>
      <c r="X1696">
        <v>2</v>
      </c>
      <c r="Z1696">
        <v>0</v>
      </c>
      <c r="AA1696">
        <v>9</v>
      </c>
      <c r="AB1696">
        <v>3</v>
      </c>
      <c r="AC1696">
        <v>0</v>
      </c>
      <c r="AD1696">
        <v>10</v>
      </c>
      <c r="AE1696">
        <v>0</v>
      </c>
      <c r="AF1696">
        <v>3</v>
      </c>
      <c r="AG1696">
        <v>2</v>
      </c>
      <c r="AH1696">
        <v>0</v>
      </c>
      <c r="AI1696" t="s">
        <v>1097</v>
      </c>
      <c r="AJ1696">
        <v>39.879877999999998</v>
      </c>
      <c r="AK1696" t="s">
        <v>1098</v>
      </c>
      <c r="AL1696">
        <v>-92.548163000000002</v>
      </c>
      <c r="AM1696">
        <v>100</v>
      </c>
      <c r="AN1696">
        <v>1700</v>
      </c>
      <c r="AO1696" t="s">
        <v>118</v>
      </c>
      <c r="AP1696">
        <v>-40</v>
      </c>
      <c r="AQ1696">
        <v>116</v>
      </c>
      <c r="AR1696">
        <v>0</v>
      </c>
      <c r="AZ1696">
        <v>1200</v>
      </c>
      <c r="BA1696">
        <v>1</v>
      </c>
      <c r="BB1696" t="str">
        <f t="shared" si="81"/>
        <v xml:space="preserve">N8080G  </v>
      </c>
      <c r="BC1696">
        <v>1</v>
      </c>
      <c r="BE1696">
        <v>0</v>
      </c>
      <c r="BF1696">
        <v>0</v>
      </c>
      <c r="BG1696">
        <v>0</v>
      </c>
      <c r="BH1696">
        <v>1700</v>
      </c>
      <c r="BI1696">
        <v>1</v>
      </c>
      <c r="BJ1696">
        <v>1</v>
      </c>
      <c r="BK1696">
        <v>1</v>
      </c>
      <c r="BL1696">
        <v>0</v>
      </c>
      <c r="BO1696">
        <v>0</v>
      </c>
      <c r="BP1696">
        <v>0</v>
      </c>
      <c r="BW1696" t="str">
        <f>"20:22:47.936"</f>
        <v>20:22:47.936</v>
      </c>
      <c r="BZ1696">
        <v>0</v>
      </c>
      <c r="CA1696">
        <v>2016</v>
      </c>
      <c r="CB1696">
        <v>224</v>
      </c>
      <c r="CD1696">
        <v>1</v>
      </c>
      <c r="CE1696">
        <v>0</v>
      </c>
      <c r="CF1696">
        <v>0</v>
      </c>
      <c r="CG1696">
        <v>1</v>
      </c>
      <c r="CH1696">
        <v>0</v>
      </c>
      <c r="CI1696">
        <v>0</v>
      </c>
      <c r="CJ1696">
        <v>0</v>
      </c>
      <c r="CK1696">
        <v>2</v>
      </c>
      <c r="CL1696">
        <v>0</v>
      </c>
      <c r="CM1696">
        <v>2</v>
      </c>
      <c r="CN1696">
        <v>0</v>
      </c>
      <c r="CO1696">
        <v>7</v>
      </c>
      <c r="CP1696" t="s">
        <v>119</v>
      </c>
      <c r="CQ1696">
        <v>180</v>
      </c>
      <c r="CR1696">
        <v>2</v>
      </c>
      <c r="CW1696">
        <v>8303855</v>
      </c>
      <c r="CY1696">
        <v>1</v>
      </c>
      <c r="CZ1696">
        <v>0</v>
      </c>
      <c r="DA1696">
        <v>1</v>
      </c>
      <c r="DB1696">
        <v>0</v>
      </c>
      <c r="DC1696">
        <v>0</v>
      </c>
      <c r="DD1696">
        <v>0</v>
      </c>
      <c r="DE1696">
        <v>0</v>
      </c>
      <c r="DF1696">
        <v>0</v>
      </c>
      <c r="DG1696">
        <v>0</v>
      </c>
      <c r="DH1696">
        <v>0</v>
      </c>
      <c r="DI1696">
        <v>0</v>
      </c>
    </row>
    <row r="1697" spans="1:113" x14ac:dyDescent="0.3">
      <c r="A1697" t="str">
        <f>"02/08/2021 20:22:45.642"</f>
        <v>02/08/2021 20:22:45.642</v>
      </c>
      <c r="C1697" t="str">
        <f t="shared" si="80"/>
        <v>FFDFD7C0</v>
      </c>
      <c r="D1697" t="s">
        <v>113</v>
      </c>
      <c r="E1697">
        <v>6</v>
      </c>
      <c r="H1697">
        <v>165</v>
      </c>
      <c r="I1697" t="s">
        <v>114</v>
      </c>
      <c r="J1697" t="s">
        <v>115</v>
      </c>
      <c r="K1697">
        <v>0</v>
      </c>
      <c r="L1697">
        <v>3</v>
      </c>
      <c r="M1697">
        <v>0</v>
      </c>
      <c r="N1697">
        <v>2</v>
      </c>
      <c r="O1697">
        <v>1</v>
      </c>
      <c r="P1697">
        <v>0</v>
      </c>
      <c r="Q1697">
        <v>0</v>
      </c>
      <c r="S1697" t="str">
        <f>"20:22:47.930"</f>
        <v>20:22:47.930</v>
      </c>
      <c r="T1697" t="str">
        <f>"20:22:47.530"</f>
        <v>20:22:47.530</v>
      </c>
      <c r="U1697" t="str">
        <f t="shared" si="79"/>
        <v>AB01F4</v>
      </c>
      <c r="V1697">
        <v>0</v>
      </c>
      <c r="W1697">
        <v>0</v>
      </c>
      <c r="X1697">
        <v>2</v>
      </c>
      <c r="Z1697">
        <v>0</v>
      </c>
      <c r="AA1697">
        <v>9</v>
      </c>
      <c r="AB1697">
        <v>3</v>
      </c>
      <c r="AC1697">
        <v>0</v>
      </c>
      <c r="AD1697">
        <v>10</v>
      </c>
      <c r="AE1697">
        <v>0</v>
      </c>
      <c r="AF1697">
        <v>3</v>
      </c>
      <c r="AG1697">
        <v>2</v>
      </c>
      <c r="AH1697">
        <v>0</v>
      </c>
      <c r="AI1697" t="s">
        <v>1097</v>
      </c>
      <c r="AJ1697">
        <v>39.879877999999998</v>
      </c>
      <c r="AK1697" t="s">
        <v>1098</v>
      </c>
      <c r="AL1697">
        <v>-92.548163000000002</v>
      </c>
      <c r="AM1697">
        <v>100</v>
      </c>
      <c r="AN1697">
        <v>1700</v>
      </c>
      <c r="AO1697" t="s">
        <v>118</v>
      </c>
      <c r="AP1697">
        <v>-40</v>
      </c>
      <c r="AQ1697">
        <v>116</v>
      </c>
      <c r="AR1697">
        <v>0</v>
      </c>
      <c r="AZ1697">
        <v>1200</v>
      </c>
      <c r="BA1697">
        <v>1</v>
      </c>
      <c r="BB1697" t="str">
        <f t="shared" si="81"/>
        <v xml:space="preserve">N8080G  </v>
      </c>
      <c r="BC1697">
        <v>1</v>
      </c>
      <c r="BE1697">
        <v>0</v>
      </c>
      <c r="BF1697">
        <v>0</v>
      </c>
      <c r="BG1697">
        <v>0</v>
      </c>
      <c r="BH1697">
        <v>1700</v>
      </c>
      <c r="BI1697">
        <v>1</v>
      </c>
      <c r="BJ1697">
        <v>1</v>
      </c>
      <c r="BK1697">
        <v>1</v>
      </c>
      <c r="BL1697">
        <v>0</v>
      </c>
      <c r="BO1697">
        <v>0</v>
      </c>
      <c r="BP1697">
        <v>0</v>
      </c>
      <c r="BW1697" t="str">
        <f>"20:22:47.936"</f>
        <v>20:22:47.936</v>
      </c>
      <c r="BZ1697">
        <v>0</v>
      </c>
      <c r="CA1697">
        <v>2016</v>
      </c>
      <c r="CB1697">
        <v>224</v>
      </c>
      <c r="CD1697">
        <v>1</v>
      </c>
      <c r="CE1697">
        <v>0</v>
      </c>
      <c r="CF1697">
        <v>0</v>
      </c>
      <c r="CG1697">
        <v>1</v>
      </c>
      <c r="CH1697">
        <v>0</v>
      </c>
      <c r="CI1697">
        <v>0</v>
      </c>
      <c r="CJ1697">
        <v>0</v>
      </c>
      <c r="CK1697">
        <v>2</v>
      </c>
      <c r="CL1697">
        <v>0</v>
      </c>
      <c r="CM1697">
        <v>2</v>
      </c>
      <c r="CN1697">
        <v>0</v>
      </c>
      <c r="CO1697">
        <v>7</v>
      </c>
      <c r="CP1697" t="s">
        <v>119</v>
      </c>
      <c r="CQ1697">
        <v>180</v>
      </c>
      <c r="CR1697">
        <v>2</v>
      </c>
      <c r="CW1697">
        <v>8303855</v>
      </c>
      <c r="CY1697">
        <v>1</v>
      </c>
      <c r="CZ1697">
        <v>0</v>
      </c>
      <c r="DA1697">
        <v>1</v>
      </c>
      <c r="DB1697">
        <v>0</v>
      </c>
      <c r="DC1697">
        <v>0</v>
      </c>
      <c r="DD1697">
        <v>0</v>
      </c>
      <c r="DE1697">
        <v>0</v>
      </c>
      <c r="DF1697">
        <v>0</v>
      </c>
      <c r="DG1697">
        <v>0</v>
      </c>
      <c r="DH1697">
        <v>0</v>
      </c>
      <c r="DI1697">
        <v>0</v>
      </c>
    </row>
    <row r="1698" spans="1:113" x14ac:dyDescent="0.3">
      <c r="A1698" t="str">
        <f>"02/08/2021 20:22:45.642"</f>
        <v>02/08/2021 20:22:45.642</v>
      </c>
      <c r="C1698" t="str">
        <f t="shared" si="80"/>
        <v>FFDFD7C0</v>
      </c>
      <c r="D1698" t="s">
        <v>124</v>
      </c>
      <c r="E1698">
        <v>12</v>
      </c>
      <c r="F1698">
        <v>1012</v>
      </c>
      <c r="G1698" t="s">
        <v>675</v>
      </c>
      <c r="J1698" t="s">
        <v>125</v>
      </c>
      <c r="K1698">
        <v>0</v>
      </c>
      <c r="L1698">
        <v>3</v>
      </c>
      <c r="M1698">
        <v>0</v>
      </c>
      <c r="N1698">
        <v>2</v>
      </c>
      <c r="O1698">
        <v>1</v>
      </c>
      <c r="P1698">
        <v>0</v>
      </c>
      <c r="Q1698">
        <v>0</v>
      </c>
      <c r="S1698" t="str">
        <f>"20:22:47.930"</f>
        <v>20:22:47.930</v>
      </c>
      <c r="T1698" t="str">
        <f>"20:22:47.530"</f>
        <v>20:22:47.530</v>
      </c>
      <c r="U1698" t="str">
        <f t="shared" si="79"/>
        <v>AB01F4</v>
      </c>
      <c r="V1698">
        <v>0</v>
      </c>
      <c r="W1698">
        <v>0</v>
      </c>
      <c r="X1698">
        <v>2</v>
      </c>
      <c r="Z1698">
        <v>0</v>
      </c>
      <c r="AA1698">
        <v>9</v>
      </c>
      <c r="AB1698">
        <v>3</v>
      </c>
      <c r="AC1698">
        <v>0</v>
      </c>
      <c r="AD1698">
        <v>10</v>
      </c>
      <c r="AE1698">
        <v>0</v>
      </c>
      <c r="AF1698">
        <v>3</v>
      </c>
      <c r="AG1698">
        <v>2</v>
      </c>
      <c r="AH1698">
        <v>0</v>
      </c>
      <c r="AI1698" t="s">
        <v>1097</v>
      </c>
      <c r="AJ1698">
        <v>39.879877999999998</v>
      </c>
      <c r="AK1698" t="s">
        <v>1098</v>
      </c>
      <c r="AL1698">
        <v>-92.548163000000002</v>
      </c>
      <c r="AM1698">
        <v>100</v>
      </c>
      <c r="AN1698">
        <v>1700</v>
      </c>
      <c r="AO1698" t="s">
        <v>118</v>
      </c>
      <c r="AP1698">
        <v>-40</v>
      </c>
      <c r="AQ1698">
        <v>116</v>
      </c>
      <c r="AR1698">
        <v>0</v>
      </c>
      <c r="AZ1698">
        <v>1200</v>
      </c>
      <c r="BA1698">
        <v>1</v>
      </c>
      <c r="BB1698" t="str">
        <f t="shared" si="81"/>
        <v xml:space="preserve">N8080G  </v>
      </c>
      <c r="BC1698">
        <v>1</v>
      </c>
      <c r="BE1698">
        <v>0</v>
      </c>
      <c r="BF1698">
        <v>0</v>
      </c>
      <c r="BG1698">
        <v>0</v>
      </c>
      <c r="BH1698">
        <v>1700</v>
      </c>
      <c r="BI1698">
        <v>1</v>
      </c>
      <c r="BJ1698">
        <v>1</v>
      </c>
      <c r="BK1698">
        <v>1</v>
      </c>
      <c r="BL1698">
        <v>0</v>
      </c>
      <c r="BO1698">
        <v>0</v>
      </c>
      <c r="BP1698">
        <v>0</v>
      </c>
      <c r="BW1698" t="str">
        <f>"20:22:47.936"</f>
        <v>20:22:47.936</v>
      </c>
      <c r="BZ1698">
        <v>0</v>
      </c>
      <c r="CA1698">
        <v>2016</v>
      </c>
      <c r="CB1698">
        <v>224</v>
      </c>
      <c r="CD1698">
        <v>1</v>
      </c>
      <c r="CE1698">
        <v>0</v>
      </c>
      <c r="CF1698">
        <v>0</v>
      </c>
      <c r="CG1698">
        <v>1</v>
      </c>
      <c r="CH1698">
        <v>0</v>
      </c>
      <c r="CI1698">
        <v>0</v>
      </c>
      <c r="CJ1698">
        <v>0</v>
      </c>
      <c r="CK1698">
        <v>2</v>
      </c>
      <c r="CL1698">
        <v>0</v>
      </c>
      <c r="CM1698">
        <v>2</v>
      </c>
      <c r="CN1698">
        <v>0</v>
      </c>
      <c r="CO1698">
        <v>7</v>
      </c>
      <c r="CP1698" t="s">
        <v>119</v>
      </c>
      <c r="CQ1698">
        <v>180</v>
      </c>
      <c r="CR1698">
        <v>2</v>
      </c>
      <c r="CW1698">
        <v>8303855</v>
      </c>
      <c r="CY1698">
        <v>1</v>
      </c>
      <c r="CZ1698">
        <v>0</v>
      </c>
      <c r="DA1698">
        <v>1</v>
      </c>
      <c r="DB1698">
        <v>0</v>
      </c>
      <c r="DC1698">
        <v>0</v>
      </c>
      <c r="DD1698">
        <v>0</v>
      </c>
      <c r="DE1698">
        <v>0</v>
      </c>
      <c r="DF1698">
        <v>0</v>
      </c>
      <c r="DG1698">
        <v>0</v>
      </c>
      <c r="DH1698">
        <v>0</v>
      </c>
      <c r="DI1698">
        <v>0</v>
      </c>
    </row>
    <row r="1699" spans="1:113" x14ac:dyDescent="0.3">
      <c r="A1699" t="str">
        <f>"02/08/2021 20:22:47.206"</f>
        <v>02/08/2021 20:22:47.206</v>
      </c>
      <c r="C1699" t="str">
        <f t="shared" si="80"/>
        <v>FFDFD7C0</v>
      </c>
      <c r="D1699" t="s">
        <v>124</v>
      </c>
      <c r="E1699">
        <v>13</v>
      </c>
      <c r="F1699">
        <v>1013</v>
      </c>
      <c r="G1699" t="s">
        <v>114</v>
      </c>
      <c r="J1699" t="s">
        <v>125</v>
      </c>
      <c r="K1699">
        <v>0</v>
      </c>
      <c r="L1699">
        <v>3</v>
      </c>
      <c r="M1699">
        <v>0</v>
      </c>
      <c r="N1699">
        <v>2</v>
      </c>
      <c r="O1699">
        <v>1</v>
      </c>
      <c r="P1699">
        <v>0</v>
      </c>
      <c r="Q1699">
        <v>0</v>
      </c>
      <c r="S1699" t="str">
        <f>"20:22:49.500"</f>
        <v>20:22:49.500</v>
      </c>
      <c r="T1699" t="str">
        <f>"20:22:49.100"</f>
        <v>20:22:49.100</v>
      </c>
      <c r="U1699" t="str">
        <f t="shared" si="79"/>
        <v>AB01F4</v>
      </c>
      <c r="V1699">
        <v>0</v>
      </c>
      <c r="W1699">
        <v>0</v>
      </c>
      <c r="X1699">
        <v>2</v>
      </c>
      <c r="Z1699">
        <v>0</v>
      </c>
      <c r="AA1699">
        <v>9</v>
      </c>
      <c r="AB1699">
        <v>3</v>
      </c>
      <c r="AC1699">
        <v>0</v>
      </c>
      <c r="AD1699">
        <v>10</v>
      </c>
      <c r="AE1699">
        <v>0</v>
      </c>
      <c r="AF1699">
        <v>3</v>
      </c>
      <c r="AG1699">
        <v>2</v>
      </c>
      <c r="AH1699">
        <v>0</v>
      </c>
      <c r="AI1699" t="s">
        <v>1099</v>
      </c>
      <c r="AJ1699">
        <v>39.880650000000003</v>
      </c>
      <c r="AK1699" t="s">
        <v>1100</v>
      </c>
      <c r="AL1699">
        <v>-92.548528000000005</v>
      </c>
      <c r="AM1699">
        <v>100</v>
      </c>
      <c r="AN1699">
        <v>1700</v>
      </c>
      <c r="AO1699" t="s">
        <v>118</v>
      </c>
      <c r="AP1699">
        <v>-40</v>
      </c>
      <c r="AQ1699">
        <v>116</v>
      </c>
      <c r="AR1699">
        <v>64</v>
      </c>
      <c r="AZ1699">
        <v>1200</v>
      </c>
      <c r="BA1699">
        <v>1</v>
      </c>
      <c r="BB1699" t="str">
        <f t="shared" si="81"/>
        <v xml:space="preserve">N8080G  </v>
      </c>
      <c r="BC1699">
        <v>1</v>
      </c>
      <c r="BE1699">
        <v>0</v>
      </c>
      <c r="BF1699">
        <v>0</v>
      </c>
      <c r="BG1699">
        <v>0</v>
      </c>
      <c r="BH1699">
        <v>1700</v>
      </c>
      <c r="BI1699">
        <v>1</v>
      </c>
      <c r="BJ1699">
        <v>1</v>
      </c>
      <c r="BK1699">
        <v>1</v>
      </c>
      <c r="BL1699">
        <v>0</v>
      </c>
      <c r="BO1699">
        <v>0</v>
      </c>
      <c r="BP1699">
        <v>0</v>
      </c>
      <c r="BW1699" t="str">
        <f>"20:22:49.504"</f>
        <v>20:22:49.504</v>
      </c>
      <c r="BZ1699">
        <v>0</v>
      </c>
      <c r="CA1699">
        <v>2016</v>
      </c>
      <c r="CB1699">
        <v>224</v>
      </c>
      <c r="CD1699">
        <v>1</v>
      </c>
      <c r="CE1699">
        <v>0</v>
      </c>
      <c r="CF1699">
        <v>0</v>
      </c>
      <c r="CG1699">
        <v>1</v>
      </c>
      <c r="CH1699">
        <v>0</v>
      </c>
      <c r="CI1699">
        <v>0</v>
      </c>
      <c r="CJ1699">
        <v>0</v>
      </c>
      <c r="CK1699">
        <v>2</v>
      </c>
      <c r="CL1699">
        <v>0</v>
      </c>
      <c r="CM1699">
        <v>2</v>
      </c>
      <c r="CN1699">
        <v>0</v>
      </c>
      <c r="CO1699">
        <v>7</v>
      </c>
      <c r="CP1699" t="s">
        <v>119</v>
      </c>
      <c r="CQ1699">
        <v>180</v>
      </c>
      <c r="CR1699">
        <v>2</v>
      </c>
      <c r="CW1699">
        <v>8305037</v>
      </c>
      <c r="CY1699">
        <v>1</v>
      </c>
      <c r="CZ1699">
        <v>0</v>
      </c>
      <c r="DA1699">
        <v>0</v>
      </c>
      <c r="DB1699">
        <v>0</v>
      </c>
      <c r="DC1699">
        <v>0</v>
      </c>
      <c r="DD1699">
        <v>0</v>
      </c>
      <c r="DE1699">
        <v>0</v>
      </c>
      <c r="DF1699">
        <v>0</v>
      </c>
      <c r="DG1699">
        <v>0</v>
      </c>
      <c r="DH1699">
        <v>0</v>
      </c>
      <c r="DI1699">
        <v>0</v>
      </c>
    </row>
    <row r="1700" spans="1:113" x14ac:dyDescent="0.3">
      <c r="A1700" t="str">
        <f>"02/08/2021 20:22:47.206"</f>
        <v>02/08/2021 20:22:47.206</v>
      </c>
      <c r="C1700" t="str">
        <f t="shared" si="80"/>
        <v>FFDFD7C0</v>
      </c>
      <c r="D1700" t="s">
        <v>124</v>
      </c>
      <c r="E1700">
        <v>11</v>
      </c>
      <c r="F1700">
        <v>1011</v>
      </c>
      <c r="G1700" t="s">
        <v>590</v>
      </c>
      <c r="J1700" t="s">
        <v>125</v>
      </c>
      <c r="K1700">
        <v>0</v>
      </c>
      <c r="L1700">
        <v>3</v>
      </c>
      <c r="M1700">
        <v>0</v>
      </c>
      <c r="N1700">
        <v>2</v>
      </c>
      <c r="O1700">
        <v>1</v>
      </c>
      <c r="P1700">
        <v>0</v>
      </c>
      <c r="Q1700">
        <v>0</v>
      </c>
      <c r="S1700" t="str">
        <f>"20:22:49.500"</f>
        <v>20:22:49.500</v>
      </c>
      <c r="T1700" t="str">
        <f>"20:22:49.100"</f>
        <v>20:22:49.100</v>
      </c>
      <c r="U1700" t="str">
        <f t="shared" si="79"/>
        <v>AB01F4</v>
      </c>
      <c r="V1700">
        <v>0</v>
      </c>
      <c r="W1700">
        <v>0</v>
      </c>
      <c r="X1700">
        <v>2</v>
      </c>
      <c r="Z1700">
        <v>0</v>
      </c>
      <c r="AA1700">
        <v>9</v>
      </c>
      <c r="AB1700">
        <v>3</v>
      </c>
      <c r="AC1700">
        <v>0</v>
      </c>
      <c r="AD1700">
        <v>10</v>
      </c>
      <c r="AE1700">
        <v>0</v>
      </c>
      <c r="AF1700">
        <v>3</v>
      </c>
      <c r="AG1700">
        <v>2</v>
      </c>
      <c r="AH1700">
        <v>0</v>
      </c>
      <c r="AI1700" t="s">
        <v>1099</v>
      </c>
      <c r="AJ1700">
        <v>39.880650000000003</v>
      </c>
      <c r="AK1700" t="s">
        <v>1100</v>
      </c>
      <c r="AL1700">
        <v>-92.548528000000005</v>
      </c>
      <c r="AM1700">
        <v>100</v>
      </c>
      <c r="AN1700">
        <v>1700</v>
      </c>
      <c r="AO1700" t="s">
        <v>118</v>
      </c>
      <c r="AP1700">
        <v>-40</v>
      </c>
      <c r="AQ1700">
        <v>116</v>
      </c>
      <c r="AR1700">
        <v>64</v>
      </c>
      <c r="AZ1700">
        <v>1200</v>
      </c>
      <c r="BA1700">
        <v>1</v>
      </c>
      <c r="BB1700" t="str">
        <f t="shared" si="81"/>
        <v xml:space="preserve">N8080G  </v>
      </c>
      <c r="BC1700">
        <v>1</v>
      </c>
      <c r="BE1700">
        <v>0</v>
      </c>
      <c r="BF1700">
        <v>0</v>
      </c>
      <c r="BG1700">
        <v>0</v>
      </c>
      <c r="BH1700">
        <v>1700</v>
      </c>
      <c r="BI1700">
        <v>1</v>
      </c>
      <c r="BJ1700">
        <v>1</v>
      </c>
      <c r="BK1700">
        <v>1</v>
      </c>
      <c r="BL1700">
        <v>0</v>
      </c>
      <c r="BO1700">
        <v>0</v>
      </c>
      <c r="BP1700">
        <v>0</v>
      </c>
      <c r="BW1700" t="str">
        <f>"20:22:49.504"</f>
        <v>20:22:49.504</v>
      </c>
      <c r="BZ1700">
        <v>0</v>
      </c>
      <c r="CA1700">
        <v>2016</v>
      </c>
      <c r="CB1700">
        <v>224</v>
      </c>
      <c r="CD1700">
        <v>1</v>
      </c>
      <c r="CE1700">
        <v>0</v>
      </c>
      <c r="CF1700">
        <v>0</v>
      </c>
      <c r="CG1700">
        <v>1</v>
      </c>
      <c r="CH1700">
        <v>0</v>
      </c>
      <c r="CI1700">
        <v>0</v>
      </c>
      <c r="CJ1700">
        <v>0</v>
      </c>
      <c r="CK1700">
        <v>2</v>
      </c>
      <c r="CL1700">
        <v>0</v>
      </c>
      <c r="CM1700">
        <v>2</v>
      </c>
      <c r="CN1700">
        <v>0</v>
      </c>
      <c r="CO1700">
        <v>7</v>
      </c>
      <c r="CP1700" t="s">
        <v>119</v>
      </c>
      <c r="CQ1700">
        <v>180</v>
      </c>
      <c r="CR1700">
        <v>2</v>
      </c>
      <c r="CW1700">
        <v>8305037</v>
      </c>
      <c r="CY1700">
        <v>1</v>
      </c>
      <c r="CZ1700">
        <v>0</v>
      </c>
      <c r="DA1700">
        <v>1</v>
      </c>
      <c r="DB1700">
        <v>0</v>
      </c>
      <c r="DC1700">
        <v>0</v>
      </c>
      <c r="DD1700">
        <v>0</v>
      </c>
      <c r="DE1700">
        <v>0</v>
      </c>
      <c r="DF1700">
        <v>0</v>
      </c>
      <c r="DG1700">
        <v>0</v>
      </c>
      <c r="DH1700">
        <v>0</v>
      </c>
      <c r="DI1700">
        <v>0</v>
      </c>
    </row>
    <row r="1701" spans="1:113" x14ac:dyDescent="0.3">
      <c r="A1701" t="str">
        <f>"02/08/2021 20:22:47.206"</f>
        <v>02/08/2021 20:22:47.206</v>
      </c>
      <c r="C1701" t="str">
        <f t="shared" si="80"/>
        <v>FFDFD7C0</v>
      </c>
      <c r="D1701" t="s">
        <v>124</v>
      </c>
      <c r="E1701">
        <v>12</v>
      </c>
      <c r="F1701">
        <v>1012</v>
      </c>
      <c r="G1701" t="s">
        <v>675</v>
      </c>
      <c r="J1701" t="s">
        <v>125</v>
      </c>
      <c r="K1701">
        <v>0</v>
      </c>
      <c r="L1701">
        <v>3</v>
      </c>
      <c r="M1701">
        <v>0</v>
      </c>
      <c r="N1701">
        <v>2</v>
      </c>
      <c r="O1701">
        <v>1</v>
      </c>
      <c r="P1701">
        <v>0</v>
      </c>
      <c r="Q1701">
        <v>0</v>
      </c>
      <c r="S1701" t="str">
        <f>"20:22:49.500"</f>
        <v>20:22:49.500</v>
      </c>
      <c r="T1701" t="str">
        <f>"20:22:49.100"</f>
        <v>20:22:49.100</v>
      </c>
      <c r="U1701" t="str">
        <f t="shared" si="79"/>
        <v>AB01F4</v>
      </c>
      <c r="V1701">
        <v>0</v>
      </c>
      <c r="W1701">
        <v>0</v>
      </c>
      <c r="X1701">
        <v>2</v>
      </c>
      <c r="Z1701">
        <v>0</v>
      </c>
      <c r="AA1701">
        <v>9</v>
      </c>
      <c r="AB1701">
        <v>3</v>
      </c>
      <c r="AC1701">
        <v>0</v>
      </c>
      <c r="AD1701">
        <v>10</v>
      </c>
      <c r="AE1701">
        <v>0</v>
      </c>
      <c r="AF1701">
        <v>3</v>
      </c>
      <c r="AG1701">
        <v>2</v>
      </c>
      <c r="AH1701">
        <v>0</v>
      </c>
      <c r="AI1701" t="s">
        <v>1099</v>
      </c>
      <c r="AJ1701">
        <v>39.880650000000003</v>
      </c>
      <c r="AK1701" t="s">
        <v>1100</v>
      </c>
      <c r="AL1701">
        <v>-92.548528000000005</v>
      </c>
      <c r="AM1701">
        <v>100</v>
      </c>
      <c r="AN1701">
        <v>1700</v>
      </c>
      <c r="AO1701" t="s">
        <v>118</v>
      </c>
      <c r="AP1701">
        <v>-40</v>
      </c>
      <c r="AQ1701">
        <v>116</v>
      </c>
      <c r="AR1701">
        <v>64</v>
      </c>
      <c r="AZ1701">
        <v>1200</v>
      </c>
      <c r="BA1701">
        <v>1</v>
      </c>
      <c r="BB1701" t="str">
        <f t="shared" si="81"/>
        <v xml:space="preserve">N8080G  </v>
      </c>
      <c r="BC1701">
        <v>1</v>
      </c>
      <c r="BE1701">
        <v>0</v>
      </c>
      <c r="BF1701">
        <v>0</v>
      </c>
      <c r="BG1701">
        <v>0</v>
      </c>
      <c r="BH1701">
        <v>1700</v>
      </c>
      <c r="BI1701">
        <v>1</v>
      </c>
      <c r="BJ1701">
        <v>1</v>
      </c>
      <c r="BK1701">
        <v>1</v>
      </c>
      <c r="BL1701">
        <v>0</v>
      </c>
      <c r="BO1701">
        <v>0</v>
      </c>
      <c r="BP1701">
        <v>0</v>
      </c>
      <c r="BW1701" t="str">
        <f>"20:22:49.504"</f>
        <v>20:22:49.504</v>
      </c>
      <c r="BZ1701">
        <v>0</v>
      </c>
      <c r="CA1701">
        <v>2016</v>
      </c>
      <c r="CB1701">
        <v>224</v>
      </c>
      <c r="CD1701">
        <v>1</v>
      </c>
      <c r="CE1701">
        <v>0</v>
      </c>
      <c r="CF1701">
        <v>0</v>
      </c>
      <c r="CG1701">
        <v>1</v>
      </c>
      <c r="CH1701">
        <v>0</v>
      </c>
      <c r="CI1701">
        <v>0</v>
      </c>
      <c r="CJ1701">
        <v>0</v>
      </c>
      <c r="CK1701">
        <v>2</v>
      </c>
      <c r="CL1701">
        <v>0</v>
      </c>
      <c r="CM1701">
        <v>2</v>
      </c>
      <c r="CN1701">
        <v>0</v>
      </c>
      <c r="CO1701">
        <v>7</v>
      </c>
      <c r="CP1701" t="s">
        <v>119</v>
      </c>
      <c r="CQ1701">
        <v>180</v>
      </c>
      <c r="CR1701">
        <v>2</v>
      </c>
      <c r="CW1701">
        <v>8305037</v>
      </c>
      <c r="CY1701">
        <v>1</v>
      </c>
      <c r="CZ1701">
        <v>0</v>
      </c>
      <c r="DA1701">
        <v>1</v>
      </c>
      <c r="DB1701">
        <v>0</v>
      </c>
      <c r="DC1701">
        <v>0</v>
      </c>
      <c r="DD1701">
        <v>0</v>
      </c>
      <c r="DE1701">
        <v>0</v>
      </c>
      <c r="DF1701">
        <v>0</v>
      </c>
      <c r="DG1701">
        <v>0</v>
      </c>
      <c r="DH1701">
        <v>0</v>
      </c>
      <c r="DI1701">
        <v>0</v>
      </c>
    </row>
    <row r="1702" spans="1:113" x14ac:dyDescent="0.3">
      <c r="A1702" t="str">
        <f>"02/08/2021 20:22:47.206"</f>
        <v>02/08/2021 20:22:47.206</v>
      </c>
      <c r="C1702" t="str">
        <f t="shared" si="80"/>
        <v>FFDFD7C0</v>
      </c>
      <c r="D1702" t="s">
        <v>113</v>
      </c>
      <c r="E1702">
        <v>6</v>
      </c>
      <c r="H1702">
        <v>165</v>
      </c>
      <c r="I1702" t="s">
        <v>114</v>
      </c>
      <c r="J1702" t="s">
        <v>115</v>
      </c>
      <c r="K1702">
        <v>0</v>
      </c>
      <c r="L1702">
        <v>3</v>
      </c>
      <c r="M1702">
        <v>0</v>
      </c>
      <c r="N1702">
        <v>2</v>
      </c>
      <c r="O1702">
        <v>1</v>
      </c>
      <c r="P1702">
        <v>0</v>
      </c>
      <c r="Q1702">
        <v>0</v>
      </c>
      <c r="S1702" t="str">
        <f>"20:22:49.500"</f>
        <v>20:22:49.500</v>
      </c>
      <c r="T1702" t="str">
        <f>"20:22:49.100"</f>
        <v>20:22:49.100</v>
      </c>
      <c r="U1702" t="str">
        <f t="shared" si="79"/>
        <v>AB01F4</v>
      </c>
      <c r="V1702">
        <v>0</v>
      </c>
      <c r="W1702">
        <v>0</v>
      </c>
      <c r="X1702">
        <v>2</v>
      </c>
      <c r="Z1702">
        <v>0</v>
      </c>
      <c r="AA1702">
        <v>9</v>
      </c>
      <c r="AB1702">
        <v>3</v>
      </c>
      <c r="AC1702">
        <v>0</v>
      </c>
      <c r="AD1702">
        <v>10</v>
      </c>
      <c r="AE1702">
        <v>0</v>
      </c>
      <c r="AF1702">
        <v>3</v>
      </c>
      <c r="AG1702">
        <v>2</v>
      </c>
      <c r="AH1702">
        <v>0</v>
      </c>
      <c r="AI1702" t="s">
        <v>1099</v>
      </c>
      <c r="AJ1702">
        <v>39.880650000000003</v>
      </c>
      <c r="AK1702" t="s">
        <v>1100</v>
      </c>
      <c r="AL1702">
        <v>-92.548528000000005</v>
      </c>
      <c r="AM1702">
        <v>100</v>
      </c>
      <c r="AN1702">
        <v>1700</v>
      </c>
      <c r="AO1702" t="s">
        <v>118</v>
      </c>
      <c r="AP1702">
        <v>-40</v>
      </c>
      <c r="AQ1702">
        <v>116</v>
      </c>
      <c r="AR1702">
        <v>64</v>
      </c>
      <c r="AZ1702">
        <v>1200</v>
      </c>
      <c r="BA1702">
        <v>1</v>
      </c>
      <c r="BB1702" t="str">
        <f t="shared" si="81"/>
        <v xml:space="preserve">N8080G  </v>
      </c>
      <c r="BC1702">
        <v>1</v>
      </c>
      <c r="BE1702">
        <v>0</v>
      </c>
      <c r="BF1702">
        <v>0</v>
      </c>
      <c r="BG1702">
        <v>0</v>
      </c>
      <c r="BH1702">
        <v>1700</v>
      </c>
      <c r="BI1702">
        <v>1</v>
      </c>
      <c r="BJ1702">
        <v>1</v>
      </c>
      <c r="BK1702">
        <v>1</v>
      </c>
      <c r="BL1702">
        <v>0</v>
      </c>
      <c r="BO1702">
        <v>0</v>
      </c>
      <c r="BP1702">
        <v>0</v>
      </c>
      <c r="BW1702" t="str">
        <f>"20:22:49.504"</f>
        <v>20:22:49.504</v>
      </c>
      <c r="BZ1702">
        <v>0</v>
      </c>
      <c r="CA1702">
        <v>2016</v>
      </c>
      <c r="CB1702">
        <v>224</v>
      </c>
      <c r="CD1702">
        <v>1</v>
      </c>
      <c r="CE1702">
        <v>0</v>
      </c>
      <c r="CF1702">
        <v>0</v>
      </c>
      <c r="CG1702">
        <v>1</v>
      </c>
      <c r="CH1702">
        <v>0</v>
      </c>
      <c r="CI1702">
        <v>0</v>
      </c>
      <c r="CJ1702">
        <v>0</v>
      </c>
      <c r="CK1702">
        <v>2</v>
      </c>
      <c r="CL1702">
        <v>0</v>
      </c>
      <c r="CM1702">
        <v>2</v>
      </c>
      <c r="CN1702">
        <v>0</v>
      </c>
      <c r="CO1702">
        <v>7</v>
      </c>
      <c r="CP1702" t="s">
        <v>119</v>
      </c>
      <c r="CQ1702">
        <v>180</v>
      </c>
      <c r="CR1702">
        <v>2</v>
      </c>
      <c r="CW1702">
        <v>8305037</v>
      </c>
      <c r="CY1702">
        <v>1</v>
      </c>
      <c r="CZ1702">
        <v>0</v>
      </c>
      <c r="DA1702">
        <v>1</v>
      </c>
      <c r="DB1702">
        <v>0</v>
      </c>
      <c r="DC1702">
        <v>0</v>
      </c>
      <c r="DD1702">
        <v>0</v>
      </c>
      <c r="DE1702">
        <v>0</v>
      </c>
      <c r="DF1702">
        <v>0</v>
      </c>
      <c r="DG1702">
        <v>0</v>
      </c>
      <c r="DH1702">
        <v>0</v>
      </c>
      <c r="DI1702">
        <v>0</v>
      </c>
    </row>
    <row r="1703" spans="1:113" x14ac:dyDescent="0.3">
      <c r="A1703" t="str">
        <f>"02/08/2021 20:22:48.799"</f>
        <v>02/08/2021 20:22:48.799</v>
      </c>
      <c r="C1703" t="str">
        <f t="shared" si="80"/>
        <v>FFDFD7C0</v>
      </c>
      <c r="D1703" t="s">
        <v>113</v>
      </c>
      <c r="E1703">
        <v>6</v>
      </c>
      <c r="H1703">
        <v>165</v>
      </c>
      <c r="I1703" t="s">
        <v>114</v>
      </c>
      <c r="J1703" t="s">
        <v>115</v>
      </c>
      <c r="K1703">
        <v>0</v>
      </c>
      <c r="L1703">
        <v>3</v>
      </c>
      <c r="M1703">
        <v>0</v>
      </c>
      <c r="N1703">
        <v>2</v>
      </c>
      <c r="O1703">
        <v>1</v>
      </c>
      <c r="P1703">
        <v>0</v>
      </c>
      <c r="Q1703">
        <v>0</v>
      </c>
      <c r="S1703" t="str">
        <f>"20:22:51.109"</f>
        <v>20:22:51.109</v>
      </c>
      <c r="T1703" t="str">
        <f>"20:22:50.709"</f>
        <v>20:22:50.709</v>
      </c>
      <c r="U1703" t="str">
        <f t="shared" si="79"/>
        <v>AB01F4</v>
      </c>
      <c r="V1703">
        <v>0</v>
      </c>
      <c r="W1703">
        <v>0</v>
      </c>
      <c r="X1703">
        <v>2</v>
      </c>
      <c r="Z1703">
        <v>0</v>
      </c>
      <c r="AA1703">
        <v>9</v>
      </c>
      <c r="AB1703">
        <v>3</v>
      </c>
      <c r="AC1703">
        <v>0</v>
      </c>
      <c r="AD1703">
        <v>10</v>
      </c>
      <c r="AE1703">
        <v>0</v>
      </c>
      <c r="AF1703">
        <v>3</v>
      </c>
      <c r="AG1703">
        <v>2</v>
      </c>
      <c r="AH1703">
        <v>0</v>
      </c>
      <c r="AI1703" t="s">
        <v>1101</v>
      </c>
      <c r="AJ1703">
        <v>39.881529999999998</v>
      </c>
      <c r="AK1703" t="s">
        <v>1102</v>
      </c>
      <c r="AL1703">
        <v>-92.548891999999995</v>
      </c>
      <c r="AM1703">
        <v>100</v>
      </c>
      <c r="AN1703">
        <v>1700</v>
      </c>
      <c r="AO1703" t="s">
        <v>118</v>
      </c>
      <c r="AP1703">
        <v>-40</v>
      </c>
      <c r="AQ1703">
        <v>116</v>
      </c>
      <c r="AR1703">
        <v>-64</v>
      </c>
      <c r="AZ1703">
        <v>1200</v>
      </c>
      <c r="BA1703">
        <v>1</v>
      </c>
      <c r="BB1703" t="str">
        <f t="shared" si="81"/>
        <v xml:space="preserve">N8080G  </v>
      </c>
      <c r="BC1703">
        <v>1</v>
      </c>
      <c r="BE1703">
        <v>0</v>
      </c>
      <c r="BF1703">
        <v>0</v>
      </c>
      <c r="BG1703">
        <v>0</v>
      </c>
      <c r="BH1703">
        <v>1700</v>
      </c>
      <c r="BI1703">
        <v>1</v>
      </c>
      <c r="BJ1703">
        <v>1</v>
      </c>
      <c r="BK1703">
        <v>1</v>
      </c>
      <c r="BL1703">
        <v>0</v>
      </c>
      <c r="BO1703">
        <v>0</v>
      </c>
      <c r="BP1703">
        <v>0</v>
      </c>
      <c r="BW1703" t="str">
        <f>"20:22:51.110"</f>
        <v>20:22:51.110</v>
      </c>
      <c r="BZ1703">
        <v>0</v>
      </c>
      <c r="CA1703">
        <v>2016</v>
      </c>
      <c r="CB1703">
        <v>224</v>
      </c>
      <c r="CD1703">
        <v>1</v>
      </c>
      <c r="CE1703">
        <v>0</v>
      </c>
      <c r="CF1703">
        <v>0</v>
      </c>
      <c r="CG1703">
        <v>1</v>
      </c>
      <c r="CH1703">
        <v>0</v>
      </c>
      <c r="CI1703">
        <v>0</v>
      </c>
      <c r="CJ1703">
        <v>0</v>
      </c>
      <c r="CK1703">
        <v>2</v>
      </c>
      <c r="CL1703">
        <v>0</v>
      </c>
      <c r="CM1703">
        <v>2</v>
      </c>
      <c r="CN1703">
        <v>0</v>
      </c>
      <c r="CO1703">
        <v>7</v>
      </c>
      <c r="CP1703" t="s">
        <v>119</v>
      </c>
      <c r="CQ1703">
        <v>180</v>
      </c>
      <c r="CR1703">
        <v>1</v>
      </c>
      <c r="CW1703">
        <v>10869510</v>
      </c>
      <c r="CY1703">
        <v>1</v>
      </c>
      <c r="CZ1703">
        <v>0</v>
      </c>
      <c r="DA1703">
        <v>0</v>
      </c>
      <c r="DB1703">
        <v>0</v>
      </c>
      <c r="DC1703">
        <v>0</v>
      </c>
      <c r="DD1703">
        <v>0</v>
      </c>
      <c r="DE1703">
        <v>0</v>
      </c>
      <c r="DF1703">
        <v>0</v>
      </c>
      <c r="DG1703">
        <v>0</v>
      </c>
      <c r="DH1703">
        <v>0</v>
      </c>
      <c r="DI1703">
        <v>0</v>
      </c>
    </row>
    <row r="1704" spans="1:113" x14ac:dyDescent="0.3">
      <c r="A1704" t="str">
        <f>"02/08/2021 20:22:48.799"</f>
        <v>02/08/2021 20:22:48.799</v>
      </c>
      <c r="C1704" t="str">
        <f t="shared" si="80"/>
        <v>FFDFD7C0</v>
      </c>
      <c r="D1704" t="s">
        <v>124</v>
      </c>
      <c r="E1704">
        <v>11</v>
      </c>
      <c r="F1704">
        <v>1011</v>
      </c>
      <c r="G1704" t="s">
        <v>590</v>
      </c>
      <c r="J1704" t="s">
        <v>125</v>
      </c>
      <c r="K1704">
        <v>0</v>
      </c>
      <c r="L1704">
        <v>3</v>
      </c>
      <c r="M1704">
        <v>0</v>
      </c>
      <c r="N1704">
        <v>2</v>
      </c>
      <c r="O1704">
        <v>1</v>
      </c>
      <c r="P1704">
        <v>0</v>
      </c>
      <c r="Q1704">
        <v>0</v>
      </c>
      <c r="S1704" t="str">
        <f>"20:22:51.109"</f>
        <v>20:22:51.109</v>
      </c>
      <c r="T1704" t="str">
        <f>"20:22:50.709"</f>
        <v>20:22:50.709</v>
      </c>
      <c r="U1704" t="str">
        <f t="shared" si="79"/>
        <v>AB01F4</v>
      </c>
      <c r="V1704">
        <v>0</v>
      </c>
      <c r="W1704">
        <v>0</v>
      </c>
      <c r="X1704">
        <v>2</v>
      </c>
      <c r="Z1704">
        <v>0</v>
      </c>
      <c r="AA1704">
        <v>9</v>
      </c>
      <c r="AB1704">
        <v>3</v>
      </c>
      <c r="AC1704">
        <v>0</v>
      </c>
      <c r="AD1704">
        <v>10</v>
      </c>
      <c r="AE1704">
        <v>0</v>
      </c>
      <c r="AF1704">
        <v>3</v>
      </c>
      <c r="AG1704">
        <v>2</v>
      </c>
      <c r="AH1704">
        <v>0</v>
      </c>
      <c r="AI1704" t="s">
        <v>1101</v>
      </c>
      <c r="AJ1704">
        <v>39.881529999999998</v>
      </c>
      <c r="AK1704" t="s">
        <v>1102</v>
      </c>
      <c r="AL1704">
        <v>-92.548891999999995</v>
      </c>
      <c r="AM1704">
        <v>100</v>
      </c>
      <c r="AN1704">
        <v>1700</v>
      </c>
      <c r="AO1704" t="s">
        <v>118</v>
      </c>
      <c r="AP1704">
        <v>-40</v>
      </c>
      <c r="AQ1704">
        <v>116</v>
      </c>
      <c r="AR1704">
        <v>-64</v>
      </c>
      <c r="AZ1704">
        <v>1200</v>
      </c>
      <c r="BA1704">
        <v>1</v>
      </c>
      <c r="BB1704" t="str">
        <f t="shared" si="81"/>
        <v xml:space="preserve">N8080G  </v>
      </c>
      <c r="BC1704">
        <v>1</v>
      </c>
      <c r="BE1704">
        <v>0</v>
      </c>
      <c r="BF1704">
        <v>0</v>
      </c>
      <c r="BG1704">
        <v>0</v>
      </c>
      <c r="BH1704">
        <v>1700</v>
      </c>
      <c r="BI1704">
        <v>1</v>
      </c>
      <c r="BJ1704">
        <v>1</v>
      </c>
      <c r="BK1704">
        <v>1</v>
      </c>
      <c r="BL1704">
        <v>0</v>
      </c>
      <c r="BO1704">
        <v>0</v>
      </c>
      <c r="BP1704">
        <v>0</v>
      </c>
      <c r="BW1704" t="str">
        <f>"20:22:51.110"</f>
        <v>20:22:51.110</v>
      </c>
      <c r="BZ1704">
        <v>0</v>
      </c>
      <c r="CA1704">
        <v>2016</v>
      </c>
      <c r="CB1704">
        <v>224</v>
      </c>
      <c r="CD1704">
        <v>1</v>
      </c>
      <c r="CE1704">
        <v>0</v>
      </c>
      <c r="CF1704">
        <v>0</v>
      </c>
      <c r="CG1704">
        <v>1</v>
      </c>
      <c r="CH1704">
        <v>0</v>
      </c>
      <c r="CI1704">
        <v>0</v>
      </c>
      <c r="CJ1704">
        <v>0</v>
      </c>
      <c r="CK1704">
        <v>2</v>
      </c>
      <c r="CL1704">
        <v>0</v>
      </c>
      <c r="CM1704">
        <v>2</v>
      </c>
      <c r="CN1704">
        <v>0</v>
      </c>
      <c r="CO1704">
        <v>7</v>
      </c>
      <c r="CP1704" t="s">
        <v>119</v>
      </c>
      <c r="CQ1704">
        <v>180</v>
      </c>
      <c r="CR1704">
        <v>1</v>
      </c>
      <c r="CW1704">
        <v>10869510</v>
      </c>
      <c r="CY1704">
        <v>1</v>
      </c>
      <c r="CZ1704">
        <v>0</v>
      </c>
      <c r="DA1704">
        <v>1</v>
      </c>
      <c r="DB1704">
        <v>0</v>
      </c>
      <c r="DC1704">
        <v>0</v>
      </c>
      <c r="DD1704">
        <v>0</v>
      </c>
      <c r="DE1704">
        <v>0</v>
      </c>
      <c r="DF1704">
        <v>0</v>
      </c>
      <c r="DG1704">
        <v>0</v>
      </c>
      <c r="DH1704">
        <v>0</v>
      </c>
      <c r="DI1704">
        <v>0</v>
      </c>
    </row>
    <row r="1705" spans="1:113" x14ac:dyDescent="0.3">
      <c r="A1705" t="str">
        <f>"02/08/2021 20:22:48.799"</f>
        <v>02/08/2021 20:22:48.799</v>
      </c>
      <c r="C1705" t="str">
        <f t="shared" si="80"/>
        <v>FFDFD7C0</v>
      </c>
      <c r="D1705" t="s">
        <v>124</v>
      </c>
      <c r="E1705">
        <v>13</v>
      </c>
      <c r="F1705">
        <v>1013</v>
      </c>
      <c r="G1705" t="s">
        <v>114</v>
      </c>
      <c r="J1705" t="s">
        <v>125</v>
      </c>
      <c r="K1705">
        <v>0</v>
      </c>
      <c r="L1705">
        <v>3</v>
      </c>
      <c r="M1705">
        <v>0</v>
      </c>
      <c r="N1705">
        <v>2</v>
      </c>
      <c r="O1705">
        <v>1</v>
      </c>
      <c r="P1705">
        <v>0</v>
      </c>
      <c r="Q1705">
        <v>0</v>
      </c>
      <c r="S1705" t="str">
        <f>"20:22:51.109"</f>
        <v>20:22:51.109</v>
      </c>
      <c r="T1705" t="str">
        <f>"20:22:50.709"</f>
        <v>20:22:50.709</v>
      </c>
      <c r="U1705" t="str">
        <f t="shared" si="79"/>
        <v>AB01F4</v>
      </c>
      <c r="V1705">
        <v>0</v>
      </c>
      <c r="W1705">
        <v>0</v>
      </c>
      <c r="X1705">
        <v>2</v>
      </c>
      <c r="Z1705">
        <v>0</v>
      </c>
      <c r="AA1705">
        <v>9</v>
      </c>
      <c r="AB1705">
        <v>3</v>
      </c>
      <c r="AC1705">
        <v>0</v>
      </c>
      <c r="AD1705">
        <v>10</v>
      </c>
      <c r="AE1705">
        <v>0</v>
      </c>
      <c r="AF1705">
        <v>3</v>
      </c>
      <c r="AG1705">
        <v>2</v>
      </c>
      <c r="AH1705">
        <v>0</v>
      </c>
      <c r="AI1705" t="s">
        <v>1101</v>
      </c>
      <c r="AJ1705">
        <v>39.881529999999998</v>
      </c>
      <c r="AK1705" t="s">
        <v>1102</v>
      </c>
      <c r="AL1705">
        <v>-92.548891999999995</v>
      </c>
      <c r="AM1705">
        <v>100</v>
      </c>
      <c r="AN1705">
        <v>1700</v>
      </c>
      <c r="AO1705" t="s">
        <v>118</v>
      </c>
      <c r="AP1705">
        <v>-40</v>
      </c>
      <c r="AQ1705">
        <v>116</v>
      </c>
      <c r="AR1705">
        <v>-64</v>
      </c>
      <c r="AZ1705">
        <v>1200</v>
      </c>
      <c r="BA1705">
        <v>1</v>
      </c>
      <c r="BB1705" t="str">
        <f t="shared" si="81"/>
        <v xml:space="preserve">N8080G  </v>
      </c>
      <c r="BC1705">
        <v>1</v>
      </c>
      <c r="BE1705">
        <v>0</v>
      </c>
      <c r="BF1705">
        <v>0</v>
      </c>
      <c r="BG1705">
        <v>0</v>
      </c>
      <c r="BH1705">
        <v>1700</v>
      </c>
      <c r="BI1705">
        <v>1</v>
      </c>
      <c r="BJ1705">
        <v>1</v>
      </c>
      <c r="BK1705">
        <v>1</v>
      </c>
      <c r="BL1705">
        <v>0</v>
      </c>
      <c r="BO1705">
        <v>0</v>
      </c>
      <c r="BP1705">
        <v>0</v>
      </c>
      <c r="BW1705" t="str">
        <f>"20:22:51.110"</f>
        <v>20:22:51.110</v>
      </c>
      <c r="BZ1705">
        <v>0</v>
      </c>
      <c r="CA1705">
        <v>2016</v>
      </c>
      <c r="CB1705">
        <v>224</v>
      </c>
      <c r="CD1705">
        <v>1</v>
      </c>
      <c r="CE1705">
        <v>0</v>
      </c>
      <c r="CF1705">
        <v>0</v>
      </c>
      <c r="CG1705">
        <v>1</v>
      </c>
      <c r="CH1705">
        <v>0</v>
      </c>
      <c r="CI1705">
        <v>0</v>
      </c>
      <c r="CJ1705">
        <v>0</v>
      </c>
      <c r="CK1705">
        <v>2</v>
      </c>
      <c r="CL1705">
        <v>0</v>
      </c>
      <c r="CM1705">
        <v>2</v>
      </c>
      <c r="CN1705">
        <v>0</v>
      </c>
      <c r="CO1705">
        <v>7</v>
      </c>
      <c r="CP1705" t="s">
        <v>119</v>
      </c>
      <c r="CQ1705">
        <v>180</v>
      </c>
      <c r="CR1705">
        <v>1</v>
      </c>
      <c r="CW1705">
        <v>10869510</v>
      </c>
      <c r="CY1705">
        <v>1</v>
      </c>
      <c r="CZ1705">
        <v>0</v>
      </c>
      <c r="DA1705">
        <v>1</v>
      </c>
      <c r="DB1705">
        <v>0</v>
      </c>
      <c r="DC1705">
        <v>0</v>
      </c>
      <c r="DD1705">
        <v>0</v>
      </c>
      <c r="DE1705">
        <v>0</v>
      </c>
      <c r="DF1705">
        <v>0</v>
      </c>
      <c r="DG1705">
        <v>0</v>
      </c>
      <c r="DH1705">
        <v>0</v>
      </c>
      <c r="DI1705">
        <v>0</v>
      </c>
    </row>
    <row r="1706" spans="1:113" x14ac:dyDescent="0.3">
      <c r="A1706" t="str">
        <f>"02/08/2021 20:22:48.799"</f>
        <v>02/08/2021 20:22:48.799</v>
      </c>
      <c r="C1706" t="str">
        <f t="shared" si="80"/>
        <v>FFDFD7C0</v>
      </c>
      <c r="D1706" t="s">
        <v>124</v>
      </c>
      <c r="E1706">
        <v>12</v>
      </c>
      <c r="F1706">
        <v>1012</v>
      </c>
      <c r="G1706" t="s">
        <v>675</v>
      </c>
      <c r="J1706" t="s">
        <v>125</v>
      </c>
      <c r="K1706">
        <v>0</v>
      </c>
      <c r="L1706">
        <v>3</v>
      </c>
      <c r="M1706">
        <v>0</v>
      </c>
      <c r="N1706">
        <v>2</v>
      </c>
      <c r="O1706">
        <v>1</v>
      </c>
      <c r="P1706">
        <v>0</v>
      </c>
      <c r="Q1706">
        <v>0</v>
      </c>
      <c r="S1706" t="str">
        <f>"20:22:51.109"</f>
        <v>20:22:51.109</v>
      </c>
      <c r="T1706" t="str">
        <f>"20:22:50.709"</f>
        <v>20:22:50.709</v>
      </c>
      <c r="U1706" t="str">
        <f t="shared" si="79"/>
        <v>AB01F4</v>
      </c>
      <c r="V1706">
        <v>0</v>
      </c>
      <c r="W1706">
        <v>0</v>
      </c>
      <c r="X1706">
        <v>2</v>
      </c>
      <c r="Z1706">
        <v>0</v>
      </c>
      <c r="AA1706">
        <v>9</v>
      </c>
      <c r="AB1706">
        <v>3</v>
      </c>
      <c r="AC1706">
        <v>0</v>
      </c>
      <c r="AD1706">
        <v>10</v>
      </c>
      <c r="AE1706">
        <v>0</v>
      </c>
      <c r="AF1706">
        <v>3</v>
      </c>
      <c r="AG1706">
        <v>2</v>
      </c>
      <c r="AH1706">
        <v>0</v>
      </c>
      <c r="AI1706" t="s">
        <v>1101</v>
      </c>
      <c r="AJ1706">
        <v>39.881529999999998</v>
      </c>
      <c r="AK1706" t="s">
        <v>1102</v>
      </c>
      <c r="AL1706">
        <v>-92.548891999999995</v>
      </c>
      <c r="AM1706">
        <v>100</v>
      </c>
      <c r="AN1706">
        <v>1700</v>
      </c>
      <c r="AO1706" t="s">
        <v>118</v>
      </c>
      <c r="AP1706">
        <v>-40</v>
      </c>
      <c r="AQ1706">
        <v>116</v>
      </c>
      <c r="AR1706">
        <v>-64</v>
      </c>
      <c r="AZ1706">
        <v>1200</v>
      </c>
      <c r="BA1706">
        <v>1</v>
      </c>
      <c r="BB1706" t="str">
        <f t="shared" si="81"/>
        <v xml:space="preserve">N8080G  </v>
      </c>
      <c r="BC1706">
        <v>1</v>
      </c>
      <c r="BE1706">
        <v>0</v>
      </c>
      <c r="BF1706">
        <v>0</v>
      </c>
      <c r="BG1706">
        <v>0</v>
      </c>
      <c r="BH1706">
        <v>1700</v>
      </c>
      <c r="BI1706">
        <v>1</v>
      </c>
      <c r="BJ1706">
        <v>1</v>
      </c>
      <c r="BK1706">
        <v>1</v>
      </c>
      <c r="BL1706">
        <v>0</v>
      </c>
      <c r="BO1706">
        <v>0</v>
      </c>
      <c r="BP1706">
        <v>0</v>
      </c>
      <c r="BW1706" t="str">
        <f>"20:22:51.110"</f>
        <v>20:22:51.110</v>
      </c>
      <c r="BZ1706">
        <v>0</v>
      </c>
      <c r="CA1706">
        <v>2016</v>
      </c>
      <c r="CB1706">
        <v>224</v>
      </c>
      <c r="CD1706">
        <v>1</v>
      </c>
      <c r="CE1706">
        <v>0</v>
      </c>
      <c r="CF1706">
        <v>0</v>
      </c>
      <c r="CG1706">
        <v>1</v>
      </c>
      <c r="CH1706">
        <v>0</v>
      </c>
      <c r="CI1706">
        <v>0</v>
      </c>
      <c r="CJ1706">
        <v>0</v>
      </c>
      <c r="CK1706">
        <v>2</v>
      </c>
      <c r="CL1706">
        <v>0</v>
      </c>
      <c r="CM1706">
        <v>2</v>
      </c>
      <c r="CN1706">
        <v>0</v>
      </c>
      <c r="CO1706">
        <v>7</v>
      </c>
      <c r="CP1706" t="s">
        <v>119</v>
      </c>
      <c r="CQ1706">
        <v>180</v>
      </c>
      <c r="CR1706">
        <v>1</v>
      </c>
      <c r="CW1706">
        <v>10869510</v>
      </c>
      <c r="CY1706">
        <v>1</v>
      </c>
      <c r="CZ1706">
        <v>0</v>
      </c>
      <c r="DA1706">
        <v>1</v>
      </c>
      <c r="DB1706">
        <v>0</v>
      </c>
      <c r="DC1706">
        <v>0</v>
      </c>
      <c r="DD1706">
        <v>0</v>
      </c>
      <c r="DE1706">
        <v>0</v>
      </c>
      <c r="DF1706">
        <v>0</v>
      </c>
      <c r="DG1706">
        <v>0</v>
      </c>
      <c r="DH1706">
        <v>0</v>
      </c>
      <c r="DI1706">
        <v>0</v>
      </c>
    </row>
    <row r="1707" spans="1:113" x14ac:dyDescent="0.3">
      <c r="A1707" t="str">
        <f>"02/08/2021 20:22:51.988"</f>
        <v>02/08/2021 20:22:51.988</v>
      </c>
      <c r="C1707" t="str">
        <f t="shared" si="80"/>
        <v>FFDFD7C0</v>
      </c>
      <c r="D1707" t="s">
        <v>124</v>
      </c>
      <c r="E1707">
        <v>11</v>
      </c>
      <c r="F1707">
        <v>1011</v>
      </c>
      <c r="G1707" t="s">
        <v>590</v>
      </c>
      <c r="J1707" t="s">
        <v>125</v>
      </c>
      <c r="K1707">
        <v>0</v>
      </c>
      <c r="L1707">
        <v>3</v>
      </c>
      <c r="M1707">
        <v>0</v>
      </c>
      <c r="N1707">
        <v>2</v>
      </c>
      <c r="O1707">
        <v>1</v>
      </c>
      <c r="P1707">
        <v>0</v>
      </c>
      <c r="Q1707">
        <v>0</v>
      </c>
      <c r="S1707" t="str">
        <f>"20:22:54.320"</f>
        <v>20:22:54.320</v>
      </c>
      <c r="T1707" t="str">
        <f>"20:22:53.820"</f>
        <v>20:22:53.820</v>
      </c>
      <c r="U1707" t="str">
        <f t="shared" si="79"/>
        <v>AB01F4</v>
      </c>
      <c r="V1707">
        <v>0</v>
      </c>
      <c r="W1707">
        <v>0</v>
      </c>
      <c r="X1707">
        <v>2</v>
      </c>
      <c r="Z1707">
        <v>0</v>
      </c>
      <c r="AA1707">
        <v>9</v>
      </c>
      <c r="AB1707">
        <v>3</v>
      </c>
      <c r="AC1707">
        <v>0</v>
      </c>
      <c r="AD1707">
        <v>10</v>
      </c>
      <c r="AE1707">
        <v>0</v>
      </c>
      <c r="AF1707">
        <v>3</v>
      </c>
      <c r="AG1707">
        <v>2</v>
      </c>
      <c r="AH1707">
        <v>0</v>
      </c>
      <c r="AI1707" t="s">
        <v>1103</v>
      </c>
      <c r="AJ1707">
        <v>39.883310999999999</v>
      </c>
      <c r="AK1707" t="s">
        <v>1104</v>
      </c>
      <c r="AL1707">
        <v>-92.549728999999999</v>
      </c>
      <c r="AM1707">
        <v>100</v>
      </c>
      <c r="AN1707">
        <v>1700</v>
      </c>
      <c r="AO1707" t="s">
        <v>118</v>
      </c>
      <c r="AP1707">
        <v>-41</v>
      </c>
      <c r="AQ1707">
        <v>117</v>
      </c>
      <c r="AR1707">
        <v>-192</v>
      </c>
      <c r="AZ1707">
        <v>1200</v>
      </c>
      <c r="BA1707">
        <v>1</v>
      </c>
      <c r="BB1707" t="str">
        <f t="shared" si="81"/>
        <v xml:space="preserve">N8080G  </v>
      </c>
      <c r="BC1707">
        <v>1</v>
      </c>
      <c r="BE1707">
        <v>0</v>
      </c>
      <c r="BF1707">
        <v>0</v>
      </c>
      <c r="BG1707">
        <v>0</v>
      </c>
      <c r="BH1707">
        <v>1700</v>
      </c>
      <c r="BI1707">
        <v>1</v>
      </c>
      <c r="BJ1707">
        <v>1</v>
      </c>
      <c r="BK1707">
        <v>1</v>
      </c>
      <c r="BL1707">
        <v>0</v>
      </c>
      <c r="BO1707">
        <v>0</v>
      </c>
      <c r="BP1707">
        <v>0</v>
      </c>
      <c r="BW1707" t="str">
        <f>"20:22:54.326"</f>
        <v>20:22:54.326</v>
      </c>
      <c r="BZ1707">
        <v>0</v>
      </c>
      <c r="CA1707">
        <v>2016</v>
      </c>
      <c r="CB1707">
        <v>224</v>
      </c>
      <c r="CD1707">
        <v>1</v>
      </c>
      <c r="CE1707">
        <v>0</v>
      </c>
      <c r="CF1707">
        <v>0</v>
      </c>
      <c r="CG1707">
        <v>1</v>
      </c>
      <c r="CH1707">
        <v>0</v>
      </c>
      <c r="CI1707">
        <v>0</v>
      </c>
      <c r="CJ1707">
        <v>0</v>
      </c>
      <c r="CK1707">
        <v>2</v>
      </c>
      <c r="CL1707">
        <v>0</v>
      </c>
      <c r="CM1707">
        <v>2</v>
      </c>
      <c r="CN1707">
        <v>0</v>
      </c>
      <c r="CO1707">
        <v>7</v>
      </c>
      <c r="CP1707" t="s">
        <v>119</v>
      </c>
      <c r="CQ1707">
        <v>180</v>
      </c>
      <c r="CR1707">
        <v>1</v>
      </c>
      <c r="CW1707">
        <v>10872046</v>
      </c>
      <c r="CY1707">
        <v>1</v>
      </c>
      <c r="CZ1707">
        <v>0</v>
      </c>
      <c r="DA1707">
        <v>0</v>
      </c>
      <c r="DB1707">
        <v>0</v>
      </c>
      <c r="DC1707">
        <v>0</v>
      </c>
      <c r="DD1707">
        <v>0</v>
      </c>
      <c r="DE1707">
        <v>0</v>
      </c>
      <c r="DF1707">
        <v>0</v>
      </c>
      <c r="DG1707">
        <v>0</v>
      </c>
      <c r="DH1707">
        <v>0</v>
      </c>
      <c r="DI1707">
        <v>0</v>
      </c>
    </row>
    <row r="1708" spans="1:113" x14ac:dyDescent="0.3">
      <c r="A1708" t="str">
        <f>"02/08/2021 20:22:51.988"</f>
        <v>02/08/2021 20:22:51.988</v>
      </c>
      <c r="C1708" t="str">
        <f t="shared" si="80"/>
        <v>FFDFD7C0</v>
      </c>
      <c r="D1708" t="s">
        <v>124</v>
      </c>
      <c r="E1708">
        <v>12</v>
      </c>
      <c r="F1708">
        <v>1012</v>
      </c>
      <c r="G1708" t="s">
        <v>675</v>
      </c>
      <c r="J1708" t="s">
        <v>125</v>
      </c>
      <c r="K1708">
        <v>0</v>
      </c>
      <c r="L1708">
        <v>3</v>
      </c>
      <c r="M1708">
        <v>0</v>
      </c>
      <c r="N1708">
        <v>2</v>
      </c>
      <c r="O1708">
        <v>1</v>
      </c>
      <c r="P1708">
        <v>0</v>
      </c>
      <c r="Q1708">
        <v>0</v>
      </c>
      <c r="S1708" t="str">
        <f>"20:22:54.320"</f>
        <v>20:22:54.320</v>
      </c>
      <c r="T1708" t="str">
        <f>"20:22:53.820"</f>
        <v>20:22:53.820</v>
      </c>
      <c r="U1708" t="str">
        <f t="shared" si="79"/>
        <v>AB01F4</v>
      </c>
      <c r="V1708">
        <v>0</v>
      </c>
      <c r="W1708">
        <v>0</v>
      </c>
      <c r="X1708">
        <v>2</v>
      </c>
      <c r="Z1708">
        <v>0</v>
      </c>
      <c r="AA1708">
        <v>9</v>
      </c>
      <c r="AB1708">
        <v>3</v>
      </c>
      <c r="AC1708">
        <v>0</v>
      </c>
      <c r="AD1708">
        <v>10</v>
      </c>
      <c r="AE1708">
        <v>0</v>
      </c>
      <c r="AF1708">
        <v>3</v>
      </c>
      <c r="AG1708">
        <v>2</v>
      </c>
      <c r="AH1708">
        <v>0</v>
      </c>
      <c r="AI1708" t="s">
        <v>1103</v>
      </c>
      <c r="AJ1708">
        <v>39.883310999999999</v>
      </c>
      <c r="AK1708" t="s">
        <v>1104</v>
      </c>
      <c r="AL1708">
        <v>-92.549728999999999</v>
      </c>
      <c r="AM1708">
        <v>100</v>
      </c>
      <c r="AN1708">
        <v>1700</v>
      </c>
      <c r="AO1708" t="s">
        <v>118</v>
      </c>
      <c r="AP1708">
        <v>-41</v>
      </c>
      <c r="AQ1708">
        <v>117</v>
      </c>
      <c r="AR1708">
        <v>-192</v>
      </c>
      <c r="AZ1708">
        <v>1200</v>
      </c>
      <c r="BA1708">
        <v>1</v>
      </c>
      <c r="BB1708" t="str">
        <f t="shared" si="81"/>
        <v xml:space="preserve">N8080G  </v>
      </c>
      <c r="BC1708">
        <v>1</v>
      </c>
      <c r="BE1708">
        <v>0</v>
      </c>
      <c r="BF1708">
        <v>0</v>
      </c>
      <c r="BG1708">
        <v>0</v>
      </c>
      <c r="BH1708">
        <v>1700</v>
      </c>
      <c r="BI1708">
        <v>1</v>
      </c>
      <c r="BJ1708">
        <v>1</v>
      </c>
      <c r="BK1708">
        <v>1</v>
      </c>
      <c r="BL1708">
        <v>0</v>
      </c>
      <c r="BO1708">
        <v>0</v>
      </c>
      <c r="BP1708">
        <v>0</v>
      </c>
      <c r="BW1708" t="str">
        <f>"20:22:54.326"</f>
        <v>20:22:54.326</v>
      </c>
      <c r="BZ1708">
        <v>0</v>
      </c>
      <c r="CA1708">
        <v>2016</v>
      </c>
      <c r="CB1708">
        <v>224</v>
      </c>
      <c r="CD1708">
        <v>1</v>
      </c>
      <c r="CE1708">
        <v>0</v>
      </c>
      <c r="CF1708">
        <v>0</v>
      </c>
      <c r="CG1708">
        <v>1</v>
      </c>
      <c r="CH1708">
        <v>0</v>
      </c>
      <c r="CI1708">
        <v>0</v>
      </c>
      <c r="CJ1708">
        <v>0</v>
      </c>
      <c r="CK1708">
        <v>2</v>
      </c>
      <c r="CL1708">
        <v>0</v>
      </c>
      <c r="CM1708">
        <v>2</v>
      </c>
      <c r="CN1708">
        <v>0</v>
      </c>
      <c r="CO1708">
        <v>7</v>
      </c>
      <c r="CP1708" t="s">
        <v>119</v>
      </c>
      <c r="CQ1708">
        <v>180</v>
      </c>
      <c r="CR1708">
        <v>1</v>
      </c>
      <c r="CW1708">
        <v>10872046</v>
      </c>
      <c r="CY1708">
        <v>1</v>
      </c>
      <c r="CZ1708">
        <v>0</v>
      </c>
      <c r="DA1708">
        <v>1</v>
      </c>
      <c r="DB1708">
        <v>0</v>
      </c>
      <c r="DC1708">
        <v>0</v>
      </c>
      <c r="DD1708">
        <v>0</v>
      </c>
      <c r="DE1708">
        <v>0</v>
      </c>
      <c r="DF1708">
        <v>0</v>
      </c>
      <c r="DG1708">
        <v>0</v>
      </c>
      <c r="DH1708">
        <v>0</v>
      </c>
      <c r="DI1708">
        <v>0</v>
      </c>
    </row>
    <row r="1709" spans="1:113" x14ac:dyDescent="0.3">
      <c r="A1709" t="str">
        <f>"02/08/2021 20:22:51.988"</f>
        <v>02/08/2021 20:22:51.988</v>
      </c>
      <c r="C1709" t="str">
        <f t="shared" si="80"/>
        <v>FFDFD7C0</v>
      </c>
      <c r="D1709" t="s">
        <v>124</v>
      </c>
      <c r="E1709">
        <v>13</v>
      </c>
      <c r="F1709">
        <v>1013</v>
      </c>
      <c r="G1709" t="s">
        <v>114</v>
      </c>
      <c r="J1709" t="s">
        <v>125</v>
      </c>
      <c r="K1709">
        <v>0</v>
      </c>
      <c r="L1709">
        <v>3</v>
      </c>
      <c r="M1709">
        <v>0</v>
      </c>
      <c r="N1709">
        <v>2</v>
      </c>
      <c r="O1709">
        <v>1</v>
      </c>
      <c r="P1709">
        <v>0</v>
      </c>
      <c r="Q1709">
        <v>0</v>
      </c>
      <c r="S1709" t="str">
        <f>"20:22:54.320"</f>
        <v>20:22:54.320</v>
      </c>
      <c r="T1709" t="str">
        <f>"20:22:53.820"</f>
        <v>20:22:53.820</v>
      </c>
      <c r="U1709" t="str">
        <f t="shared" si="79"/>
        <v>AB01F4</v>
      </c>
      <c r="V1709">
        <v>0</v>
      </c>
      <c r="W1709">
        <v>0</v>
      </c>
      <c r="X1709">
        <v>2</v>
      </c>
      <c r="Z1709">
        <v>0</v>
      </c>
      <c r="AA1709">
        <v>9</v>
      </c>
      <c r="AB1709">
        <v>3</v>
      </c>
      <c r="AC1709">
        <v>0</v>
      </c>
      <c r="AD1709">
        <v>10</v>
      </c>
      <c r="AE1709">
        <v>0</v>
      </c>
      <c r="AF1709">
        <v>3</v>
      </c>
      <c r="AG1709">
        <v>2</v>
      </c>
      <c r="AH1709">
        <v>0</v>
      </c>
      <c r="AI1709" t="s">
        <v>1103</v>
      </c>
      <c r="AJ1709">
        <v>39.883310999999999</v>
      </c>
      <c r="AK1709" t="s">
        <v>1104</v>
      </c>
      <c r="AL1709">
        <v>-92.549728999999999</v>
      </c>
      <c r="AM1709">
        <v>100</v>
      </c>
      <c r="AN1709">
        <v>1700</v>
      </c>
      <c r="AO1709" t="s">
        <v>118</v>
      </c>
      <c r="AP1709">
        <v>-41</v>
      </c>
      <c r="AQ1709">
        <v>117</v>
      </c>
      <c r="AR1709">
        <v>-192</v>
      </c>
      <c r="AZ1709">
        <v>1200</v>
      </c>
      <c r="BA1709">
        <v>1</v>
      </c>
      <c r="BB1709" t="str">
        <f t="shared" si="81"/>
        <v xml:space="preserve">N8080G  </v>
      </c>
      <c r="BC1709">
        <v>1</v>
      </c>
      <c r="BE1709">
        <v>0</v>
      </c>
      <c r="BF1709">
        <v>0</v>
      </c>
      <c r="BG1709">
        <v>0</v>
      </c>
      <c r="BH1709">
        <v>1700</v>
      </c>
      <c r="BI1709">
        <v>1</v>
      </c>
      <c r="BJ1709">
        <v>1</v>
      </c>
      <c r="BK1709">
        <v>1</v>
      </c>
      <c r="BL1709">
        <v>0</v>
      </c>
      <c r="BO1709">
        <v>0</v>
      </c>
      <c r="BP1709">
        <v>0</v>
      </c>
      <c r="BW1709" t="str">
        <f>"20:22:54.326"</f>
        <v>20:22:54.326</v>
      </c>
      <c r="BZ1709">
        <v>0</v>
      </c>
      <c r="CA1709">
        <v>2016</v>
      </c>
      <c r="CB1709">
        <v>224</v>
      </c>
      <c r="CD1709">
        <v>1</v>
      </c>
      <c r="CE1709">
        <v>0</v>
      </c>
      <c r="CF1709">
        <v>0</v>
      </c>
      <c r="CG1709">
        <v>1</v>
      </c>
      <c r="CH1709">
        <v>0</v>
      </c>
      <c r="CI1709">
        <v>0</v>
      </c>
      <c r="CJ1709">
        <v>0</v>
      </c>
      <c r="CK1709">
        <v>2</v>
      </c>
      <c r="CL1709">
        <v>0</v>
      </c>
      <c r="CM1709">
        <v>2</v>
      </c>
      <c r="CN1709">
        <v>0</v>
      </c>
      <c r="CO1709">
        <v>7</v>
      </c>
      <c r="CP1709" t="s">
        <v>119</v>
      </c>
      <c r="CQ1709">
        <v>180</v>
      </c>
      <c r="CR1709">
        <v>1</v>
      </c>
      <c r="CW1709">
        <v>10872046</v>
      </c>
      <c r="CY1709">
        <v>1</v>
      </c>
      <c r="CZ1709">
        <v>0</v>
      </c>
      <c r="DA1709">
        <v>1</v>
      </c>
      <c r="DB1709">
        <v>0</v>
      </c>
      <c r="DC1709">
        <v>0</v>
      </c>
      <c r="DD1709">
        <v>0</v>
      </c>
      <c r="DE1709">
        <v>0</v>
      </c>
      <c r="DF1709">
        <v>0</v>
      </c>
      <c r="DG1709">
        <v>0</v>
      </c>
      <c r="DH1709">
        <v>0</v>
      </c>
      <c r="DI1709">
        <v>0</v>
      </c>
    </row>
    <row r="1710" spans="1:113" x14ac:dyDescent="0.3">
      <c r="A1710" t="str">
        <f>"02/08/2021 20:22:51.988"</f>
        <v>02/08/2021 20:22:51.988</v>
      </c>
      <c r="C1710" t="str">
        <f t="shared" si="80"/>
        <v>FFDFD7C0</v>
      </c>
      <c r="D1710" t="s">
        <v>113</v>
      </c>
      <c r="E1710">
        <v>6</v>
      </c>
      <c r="H1710">
        <v>165</v>
      </c>
      <c r="I1710" t="s">
        <v>114</v>
      </c>
      <c r="J1710" t="s">
        <v>115</v>
      </c>
      <c r="K1710">
        <v>0</v>
      </c>
      <c r="L1710">
        <v>3</v>
      </c>
      <c r="M1710">
        <v>0</v>
      </c>
      <c r="N1710">
        <v>2</v>
      </c>
      <c r="O1710">
        <v>1</v>
      </c>
      <c r="P1710">
        <v>0</v>
      </c>
      <c r="Q1710">
        <v>0</v>
      </c>
      <c r="S1710" t="str">
        <f>"20:22:54.320"</f>
        <v>20:22:54.320</v>
      </c>
      <c r="T1710" t="str">
        <f>"20:22:53.820"</f>
        <v>20:22:53.820</v>
      </c>
      <c r="U1710" t="str">
        <f t="shared" si="79"/>
        <v>AB01F4</v>
      </c>
      <c r="V1710">
        <v>0</v>
      </c>
      <c r="W1710">
        <v>0</v>
      </c>
      <c r="X1710">
        <v>2</v>
      </c>
      <c r="Z1710">
        <v>0</v>
      </c>
      <c r="AA1710">
        <v>9</v>
      </c>
      <c r="AB1710">
        <v>3</v>
      </c>
      <c r="AC1710">
        <v>0</v>
      </c>
      <c r="AD1710">
        <v>10</v>
      </c>
      <c r="AE1710">
        <v>0</v>
      </c>
      <c r="AF1710">
        <v>3</v>
      </c>
      <c r="AG1710">
        <v>2</v>
      </c>
      <c r="AH1710">
        <v>0</v>
      </c>
      <c r="AI1710" t="s">
        <v>1103</v>
      </c>
      <c r="AJ1710">
        <v>39.883310999999999</v>
      </c>
      <c r="AK1710" t="s">
        <v>1104</v>
      </c>
      <c r="AL1710">
        <v>-92.549728999999999</v>
      </c>
      <c r="AM1710">
        <v>100</v>
      </c>
      <c r="AN1710">
        <v>1700</v>
      </c>
      <c r="AO1710" t="s">
        <v>118</v>
      </c>
      <c r="AP1710">
        <v>-41</v>
      </c>
      <c r="AQ1710">
        <v>117</v>
      </c>
      <c r="AR1710">
        <v>-192</v>
      </c>
      <c r="AZ1710">
        <v>1200</v>
      </c>
      <c r="BA1710">
        <v>1</v>
      </c>
      <c r="BB1710" t="str">
        <f t="shared" si="81"/>
        <v xml:space="preserve">N8080G  </v>
      </c>
      <c r="BC1710">
        <v>1</v>
      </c>
      <c r="BE1710">
        <v>0</v>
      </c>
      <c r="BF1710">
        <v>0</v>
      </c>
      <c r="BG1710">
        <v>0</v>
      </c>
      <c r="BH1710">
        <v>1700</v>
      </c>
      <c r="BI1710">
        <v>1</v>
      </c>
      <c r="BJ1710">
        <v>1</v>
      </c>
      <c r="BK1710">
        <v>1</v>
      </c>
      <c r="BL1710">
        <v>0</v>
      </c>
      <c r="BO1710">
        <v>0</v>
      </c>
      <c r="BP1710">
        <v>0</v>
      </c>
      <c r="BW1710" t="str">
        <f>"20:22:54.326"</f>
        <v>20:22:54.326</v>
      </c>
      <c r="BZ1710">
        <v>0</v>
      </c>
      <c r="CA1710">
        <v>2016</v>
      </c>
      <c r="CB1710">
        <v>224</v>
      </c>
      <c r="CD1710">
        <v>1</v>
      </c>
      <c r="CE1710">
        <v>0</v>
      </c>
      <c r="CF1710">
        <v>0</v>
      </c>
      <c r="CG1710">
        <v>1</v>
      </c>
      <c r="CH1710">
        <v>0</v>
      </c>
      <c r="CI1710">
        <v>0</v>
      </c>
      <c r="CJ1710">
        <v>0</v>
      </c>
      <c r="CK1710">
        <v>2</v>
      </c>
      <c r="CL1710">
        <v>0</v>
      </c>
      <c r="CM1710">
        <v>2</v>
      </c>
      <c r="CN1710">
        <v>0</v>
      </c>
      <c r="CO1710">
        <v>7</v>
      </c>
      <c r="CP1710" t="s">
        <v>119</v>
      </c>
      <c r="CQ1710">
        <v>180</v>
      </c>
      <c r="CR1710">
        <v>1</v>
      </c>
      <c r="CW1710">
        <v>10872046</v>
      </c>
      <c r="CY1710">
        <v>1</v>
      </c>
      <c r="CZ1710">
        <v>0</v>
      </c>
      <c r="DA1710">
        <v>1</v>
      </c>
      <c r="DB1710">
        <v>0</v>
      </c>
      <c r="DC1710">
        <v>0</v>
      </c>
      <c r="DD1710">
        <v>0</v>
      </c>
      <c r="DE1710">
        <v>0</v>
      </c>
      <c r="DF1710">
        <v>0</v>
      </c>
      <c r="DG1710">
        <v>0</v>
      </c>
      <c r="DH1710">
        <v>0</v>
      </c>
      <c r="DI1710">
        <v>0</v>
      </c>
    </row>
    <row r="1711" spans="1:113" x14ac:dyDescent="0.3">
      <c r="A1711" t="str">
        <f>"02/08/2021 20:22:53.449"</f>
        <v>02/08/2021 20:22:53.449</v>
      </c>
      <c r="C1711" t="str">
        <f t="shared" si="80"/>
        <v>FFDFD7C0</v>
      </c>
      <c r="D1711" t="s">
        <v>113</v>
      </c>
      <c r="E1711">
        <v>6</v>
      </c>
      <c r="H1711">
        <v>165</v>
      </c>
      <c r="I1711" t="s">
        <v>114</v>
      </c>
      <c r="J1711" t="s">
        <v>115</v>
      </c>
      <c r="K1711">
        <v>0</v>
      </c>
      <c r="L1711">
        <v>3</v>
      </c>
      <c r="M1711">
        <v>0</v>
      </c>
      <c r="N1711">
        <v>2</v>
      </c>
      <c r="O1711">
        <v>1</v>
      </c>
      <c r="P1711">
        <v>0</v>
      </c>
      <c r="Q1711">
        <v>0</v>
      </c>
      <c r="S1711" t="str">
        <f>"20:22:55.797"</f>
        <v>20:22:55.797</v>
      </c>
      <c r="T1711" t="str">
        <f>"20:22:55.297"</f>
        <v>20:22:55.297</v>
      </c>
      <c r="U1711" t="str">
        <f t="shared" si="79"/>
        <v>AB01F4</v>
      </c>
      <c r="V1711">
        <v>0</v>
      </c>
      <c r="W1711">
        <v>0</v>
      </c>
      <c r="X1711">
        <v>2</v>
      </c>
      <c r="Z1711">
        <v>0</v>
      </c>
      <c r="AA1711">
        <v>9</v>
      </c>
      <c r="AB1711">
        <v>3</v>
      </c>
      <c r="AC1711">
        <v>0</v>
      </c>
      <c r="AD1711">
        <v>10</v>
      </c>
      <c r="AE1711">
        <v>0</v>
      </c>
      <c r="AF1711">
        <v>3</v>
      </c>
      <c r="AG1711">
        <v>2</v>
      </c>
      <c r="AH1711">
        <v>0</v>
      </c>
      <c r="AI1711" t="s">
        <v>1105</v>
      </c>
      <c r="AJ1711">
        <v>39.884082999999997</v>
      </c>
      <c r="AK1711" t="s">
        <v>1106</v>
      </c>
      <c r="AL1711">
        <v>-92.550030000000007</v>
      </c>
      <c r="AM1711">
        <v>100</v>
      </c>
      <c r="AN1711">
        <v>1700</v>
      </c>
      <c r="AO1711" t="s">
        <v>118</v>
      </c>
      <c r="AP1711">
        <v>-41</v>
      </c>
      <c r="AQ1711">
        <v>117</v>
      </c>
      <c r="AR1711">
        <v>0</v>
      </c>
      <c r="AZ1711">
        <v>1200</v>
      </c>
      <c r="BA1711">
        <v>1</v>
      </c>
      <c r="BB1711" t="str">
        <f t="shared" si="81"/>
        <v xml:space="preserve">N8080G  </v>
      </c>
      <c r="BC1711">
        <v>1</v>
      </c>
      <c r="BE1711">
        <v>0</v>
      </c>
      <c r="BF1711">
        <v>0</v>
      </c>
      <c r="BG1711">
        <v>0</v>
      </c>
      <c r="BH1711">
        <v>1700</v>
      </c>
      <c r="BI1711">
        <v>1</v>
      </c>
      <c r="BJ1711">
        <v>1</v>
      </c>
      <c r="BK1711">
        <v>1</v>
      </c>
      <c r="BL1711">
        <v>0</v>
      </c>
      <c r="BO1711">
        <v>0</v>
      </c>
      <c r="BP1711">
        <v>0</v>
      </c>
      <c r="BW1711" t="str">
        <f>"20:22:55.802"</f>
        <v>20:22:55.802</v>
      </c>
      <c r="BZ1711">
        <v>0</v>
      </c>
      <c r="CA1711">
        <v>2016</v>
      </c>
      <c r="CB1711">
        <v>224</v>
      </c>
      <c r="CD1711">
        <v>1</v>
      </c>
      <c r="CE1711">
        <v>0</v>
      </c>
      <c r="CF1711">
        <v>0</v>
      </c>
      <c r="CG1711">
        <v>1</v>
      </c>
      <c r="CH1711">
        <v>0</v>
      </c>
      <c r="CI1711">
        <v>0</v>
      </c>
      <c r="CJ1711">
        <v>0</v>
      </c>
      <c r="CK1711">
        <v>2</v>
      </c>
      <c r="CL1711">
        <v>0</v>
      </c>
      <c r="CM1711">
        <v>2</v>
      </c>
      <c r="CN1711">
        <v>0</v>
      </c>
      <c r="CO1711">
        <v>7</v>
      </c>
      <c r="CP1711" t="s">
        <v>119</v>
      </c>
      <c r="CQ1711">
        <v>180</v>
      </c>
      <c r="CR1711">
        <v>1</v>
      </c>
      <c r="CW1711">
        <v>10873353</v>
      </c>
      <c r="CY1711">
        <v>1</v>
      </c>
      <c r="CZ1711">
        <v>0</v>
      </c>
      <c r="DA1711">
        <v>0</v>
      </c>
      <c r="DB1711">
        <v>0</v>
      </c>
      <c r="DC1711">
        <v>0</v>
      </c>
      <c r="DD1711">
        <v>0</v>
      </c>
      <c r="DE1711">
        <v>0</v>
      </c>
      <c r="DF1711">
        <v>0</v>
      </c>
      <c r="DG1711">
        <v>0</v>
      </c>
      <c r="DH1711">
        <v>0</v>
      </c>
      <c r="DI1711">
        <v>0</v>
      </c>
    </row>
    <row r="1712" spans="1:113" x14ac:dyDescent="0.3">
      <c r="A1712" t="str">
        <f>"02/08/2021 20:22:53.449"</f>
        <v>02/08/2021 20:22:53.449</v>
      </c>
      <c r="C1712" t="str">
        <f t="shared" si="80"/>
        <v>FFDFD7C0</v>
      </c>
      <c r="D1712" t="s">
        <v>124</v>
      </c>
      <c r="E1712">
        <v>11</v>
      </c>
      <c r="F1712">
        <v>1011</v>
      </c>
      <c r="G1712" t="s">
        <v>590</v>
      </c>
      <c r="J1712" t="s">
        <v>125</v>
      </c>
      <c r="K1712">
        <v>0</v>
      </c>
      <c r="L1712">
        <v>3</v>
      </c>
      <c r="M1712">
        <v>0</v>
      </c>
      <c r="N1712">
        <v>2</v>
      </c>
      <c r="O1712">
        <v>1</v>
      </c>
      <c r="P1712">
        <v>0</v>
      </c>
      <c r="Q1712">
        <v>0</v>
      </c>
      <c r="S1712" t="str">
        <f>"20:22:55.797"</f>
        <v>20:22:55.797</v>
      </c>
      <c r="T1712" t="str">
        <f>"20:22:55.297"</f>
        <v>20:22:55.297</v>
      </c>
      <c r="U1712" t="str">
        <f t="shared" si="79"/>
        <v>AB01F4</v>
      </c>
      <c r="V1712">
        <v>0</v>
      </c>
      <c r="W1712">
        <v>0</v>
      </c>
      <c r="X1712">
        <v>2</v>
      </c>
      <c r="Z1712">
        <v>0</v>
      </c>
      <c r="AA1712">
        <v>9</v>
      </c>
      <c r="AB1712">
        <v>3</v>
      </c>
      <c r="AC1712">
        <v>0</v>
      </c>
      <c r="AD1712">
        <v>10</v>
      </c>
      <c r="AE1712">
        <v>0</v>
      </c>
      <c r="AF1712">
        <v>3</v>
      </c>
      <c r="AG1712">
        <v>2</v>
      </c>
      <c r="AH1712">
        <v>0</v>
      </c>
      <c r="AI1712" t="s">
        <v>1105</v>
      </c>
      <c r="AJ1712">
        <v>39.884082999999997</v>
      </c>
      <c r="AK1712" t="s">
        <v>1106</v>
      </c>
      <c r="AL1712">
        <v>-92.550030000000007</v>
      </c>
      <c r="AM1712">
        <v>100</v>
      </c>
      <c r="AN1712">
        <v>1700</v>
      </c>
      <c r="AO1712" t="s">
        <v>118</v>
      </c>
      <c r="AP1712">
        <v>-41</v>
      </c>
      <c r="AQ1712">
        <v>117</v>
      </c>
      <c r="AR1712">
        <v>0</v>
      </c>
      <c r="AZ1712">
        <v>1200</v>
      </c>
      <c r="BA1712">
        <v>1</v>
      </c>
      <c r="BB1712" t="str">
        <f t="shared" si="81"/>
        <v xml:space="preserve">N8080G  </v>
      </c>
      <c r="BC1712">
        <v>1</v>
      </c>
      <c r="BE1712">
        <v>0</v>
      </c>
      <c r="BF1712">
        <v>0</v>
      </c>
      <c r="BG1712">
        <v>0</v>
      </c>
      <c r="BH1712">
        <v>1700</v>
      </c>
      <c r="BI1712">
        <v>1</v>
      </c>
      <c r="BJ1712">
        <v>1</v>
      </c>
      <c r="BK1712">
        <v>1</v>
      </c>
      <c r="BL1712">
        <v>0</v>
      </c>
      <c r="BO1712">
        <v>0</v>
      </c>
      <c r="BP1712">
        <v>0</v>
      </c>
      <c r="BW1712" t="str">
        <f>"20:22:55.802"</f>
        <v>20:22:55.802</v>
      </c>
      <c r="BZ1712">
        <v>0</v>
      </c>
      <c r="CA1712">
        <v>2016</v>
      </c>
      <c r="CB1712">
        <v>224</v>
      </c>
      <c r="CD1712">
        <v>1</v>
      </c>
      <c r="CE1712">
        <v>0</v>
      </c>
      <c r="CF1712">
        <v>0</v>
      </c>
      <c r="CG1712">
        <v>1</v>
      </c>
      <c r="CH1712">
        <v>0</v>
      </c>
      <c r="CI1712">
        <v>0</v>
      </c>
      <c r="CJ1712">
        <v>0</v>
      </c>
      <c r="CK1712">
        <v>2</v>
      </c>
      <c r="CL1712">
        <v>0</v>
      </c>
      <c r="CM1712">
        <v>2</v>
      </c>
      <c r="CN1712">
        <v>0</v>
      </c>
      <c r="CO1712">
        <v>7</v>
      </c>
      <c r="CP1712" t="s">
        <v>119</v>
      </c>
      <c r="CQ1712">
        <v>180</v>
      </c>
      <c r="CR1712">
        <v>1</v>
      </c>
      <c r="CW1712">
        <v>10873353</v>
      </c>
      <c r="CY1712">
        <v>1</v>
      </c>
      <c r="CZ1712">
        <v>0</v>
      </c>
      <c r="DA1712">
        <v>1</v>
      </c>
      <c r="DB1712">
        <v>0</v>
      </c>
      <c r="DC1712">
        <v>0</v>
      </c>
      <c r="DD1712">
        <v>0</v>
      </c>
      <c r="DE1712">
        <v>0</v>
      </c>
      <c r="DF1712">
        <v>0</v>
      </c>
      <c r="DG1712">
        <v>0</v>
      </c>
      <c r="DH1712">
        <v>0</v>
      </c>
      <c r="DI1712">
        <v>0</v>
      </c>
    </row>
    <row r="1713" spans="1:113" x14ac:dyDescent="0.3">
      <c r="A1713" t="str">
        <f>"02/08/2021 20:22:53.449"</f>
        <v>02/08/2021 20:22:53.449</v>
      </c>
      <c r="C1713" t="str">
        <f t="shared" si="80"/>
        <v>FFDFD7C0</v>
      </c>
      <c r="D1713" t="s">
        <v>124</v>
      </c>
      <c r="E1713">
        <v>12</v>
      </c>
      <c r="F1713">
        <v>1012</v>
      </c>
      <c r="G1713" t="s">
        <v>675</v>
      </c>
      <c r="J1713" t="s">
        <v>125</v>
      </c>
      <c r="K1713">
        <v>0</v>
      </c>
      <c r="L1713">
        <v>3</v>
      </c>
      <c r="M1713">
        <v>0</v>
      </c>
      <c r="N1713">
        <v>2</v>
      </c>
      <c r="O1713">
        <v>1</v>
      </c>
      <c r="P1713">
        <v>0</v>
      </c>
      <c r="Q1713">
        <v>0</v>
      </c>
      <c r="S1713" t="str">
        <f>"20:22:55.797"</f>
        <v>20:22:55.797</v>
      </c>
      <c r="T1713" t="str">
        <f>"20:22:55.297"</f>
        <v>20:22:55.297</v>
      </c>
      <c r="U1713" t="str">
        <f t="shared" si="79"/>
        <v>AB01F4</v>
      </c>
      <c r="V1713">
        <v>0</v>
      </c>
      <c r="W1713">
        <v>0</v>
      </c>
      <c r="X1713">
        <v>2</v>
      </c>
      <c r="Z1713">
        <v>0</v>
      </c>
      <c r="AA1713">
        <v>9</v>
      </c>
      <c r="AB1713">
        <v>3</v>
      </c>
      <c r="AC1713">
        <v>0</v>
      </c>
      <c r="AD1713">
        <v>10</v>
      </c>
      <c r="AE1713">
        <v>0</v>
      </c>
      <c r="AF1713">
        <v>3</v>
      </c>
      <c r="AG1713">
        <v>2</v>
      </c>
      <c r="AH1713">
        <v>0</v>
      </c>
      <c r="AI1713" t="s">
        <v>1105</v>
      </c>
      <c r="AJ1713">
        <v>39.884082999999997</v>
      </c>
      <c r="AK1713" t="s">
        <v>1106</v>
      </c>
      <c r="AL1713">
        <v>-92.550030000000007</v>
      </c>
      <c r="AM1713">
        <v>100</v>
      </c>
      <c r="AN1713">
        <v>1700</v>
      </c>
      <c r="AO1713" t="s">
        <v>118</v>
      </c>
      <c r="AP1713">
        <v>-41</v>
      </c>
      <c r="AQ1713">
        <v>117</v>
      </c>
      <c r="AR1713">
        <v>0</v>
      </c>
      <c r="AZ1713">
        <v>1200</v>
      </c>
      <c r="BA1713">
        <v>1</v>
      </c>
      <c r="BB1713" t="str">
        <f t="shared" si="81"/>
        <v xml:space="preserve">N8080G  </v>
      </c>
      <c r="BC1713">
        <v>1</v>
      </c>
      <c r="BE1713">
        <v>0</v>
      </c>
      <c r="BF1713">
        <v>0</v>
      </c>
      <c r="BG1713">
        <v>0</v>
      </c>
      <c r="BH1713">
        <v>1700</v>
      </c>
      <c r="BI1713">
        <v>1</v>
      </c>
      <c r="BJ1713">
        <v>1</v>
      </c>
      <c r="BK1713">
        <v>1</v>
      </c>
      <c r="BL1713">
        <v>0</v>
      </c>
      <c r="BO1713">
        <v>0</v>
      </c>
      <c r="BP1713">
        <v>0</v>
      </c>
      <c r="BW1713" t="str">
        <f>"20:22:55.802"</f>
        <v>20:22:55.802</v>
      </c>
      <c r="BZ1713">
        <v>0</v>
      </c>
      <c r="CA1713">
        <v>2016</v>
      </c>
      <c r="CB1713">
        <v>224</v>
      </c>
      <c r="CD1713">
        <v>1</v>
      </c>
      <c r="CE1713">
        <v>0</v>
      </c>
      <c r="CF1713">
        <v>0</v>
      </c>
      <c r="CG1713">
        <v>1</v>
      </c>
      <c r="CH1713">
        <v>0</v>
      </c>
      <c r="CI1713">
        <v>0</v>
      </c>
      <c r="CJ1713">
        <v>0</v>
      </c>
      <c r="CK1713">
        <v>2</v>
      </c>
      <c r="CL1713">
        <v>0</v>
      </c>
      <c r="CM1713">
        <v>2</v>
      </c>
      <c r="CN1713">
        <v>0</v>
      </c>
      <c r="CO1713">
        <v>7</v>
      </c>
      <c r="CP1713" t="s">
        <v>119</v>
      </c>
      <c r="CQ1713">
        <v>180</v>
      </c>
      <c r="CR1713">
        <v>1</v>
      </c>
      <c r="CW1713">
        <v>10873353</v>
      </c>
      <c r="CY1713">
        <v>1</v>
      </c>
      <c r="CZ1713">
        <v>0</v>
      </c>
      <c r="DA1713">
        <v>1</v>
      </c>
      <c r="DB1713">
        <v>0</v>
      </c>
      <c r="DC1713">
        <v>0</v>
      </c>
      <c r="DD1713">
        <v>0</v>
      </c>
      <c r="DE1713">
        <v>0</v>
      </c>
      <c r="DF1713">
        <v>0</v>
      </c>
      <c r="DG1713">
        <v>0</v>
      </c>
      <c r="DH1713">
        <v>0</v>
      </c>
      <c r="DI1713">
        <v>0</v>
      </c>
    </row>
    <row r="1714" spans="1:113" x14ac:dyDescent="0.3">
      <c r="A1714" t="str">
        <f>"02/08/2021 20:22:53.449"</f>
        <v>02/08/2021 20:22:53.449</v>
      </c>
      <c r="C1714" t="str">
        <f t="shared" si="80"/>
        <v>FFDFD7C0</v>
      </c>
      <c r="D1714" t="s">
        <v>124</v>
      </c>
      <c r="E1714">
        <v>13</v>
      </c>
      <c r="F1714">
        <v>1013</v>
      </c>
      <c r="G1714" t="s">
        <v>114</v>
      </c>
      <c r="J1714" t="s">
        <v>125</v>
      </c>
      <c r="K1714">
        <v>0</v>
      </c>
      <c r="L1714">
        <v>3</v>
      </c>
      <c r="M1714">
        <v>0</v>
      </c>
      <c r="N1714">
        <v>2</v>
      </c>
      <c r="O1714">
        <v>1</v>
      </c>
      <c r="P1714">
        <v>0</v>
      </c>
      <c r="Q1714">
        <v>0</v>
      </c>
      <c r="S1714" t="str">
        <f>"20:22:55.797"</f>
        <v>20:22:55.797</v>
      </c>
      <c r="T1714" t="str">
        <f>"20:22:55.297"</f>
        <v>20:22:55.297</v>
      </c>
      <c r="U1714" t="str">
        <f t="shared" si="79"/>
        <v>AB01F4</v>
      </c>
      <c r="V1714">
        <v>0</v>
      </c>
      <c r="W1714">
        <v>0</v>
      </c>
      <c r="X1714">
        <v>2</v>
      </c>
      <c r="Z1714">
        <v>0</v>
      </c>
      <c r="AA1714">
        <v>9</v>
      </c>
      <c r="AB1714">
        <v>3</v>
      </c>
      <c r="AC1714">
        <v>0</v>
      </c>
      <c r="AD1714">
        <v>10</v>
      </c>
      <c r="AE1714">
        <v>0</v>
      </c>
      <c r="AF1714">
        <v>3</v>
      </c>
      <c r="AG1714">
        <v>2</v>
      </c>
      <c r="AH1714">
        <v>0</v>
      </c>
      <c r="AI1714" t="s">
        <v>1105</v>
      </c>
      <c r="AJ1714">
        <v>39.884082999999997</v>
      </c>
      <c r="AK1714" t="s">
        <v>1106</v>
      </c>
      <c r="AL1714">
        <v>-92.550030000000007</v>
      </c>
      <c r="AM1714">
        <v>100</v>
      </c>
      <c r="AN1714">
        <v>1700</v>
      </c>
      <c r="AO1714" t="s">
        <v>118</v>
      </c>
      <c r="AP1714">
        <v>-41</v>
      </c>
      <c r="AQ1714">
        <v>117</v>
      </c>
      <c r="AR1714">
        <v>0</v>
      </c>
      <c r="AZ1714">
        <v>1200</v>
      </c>
      <c r="BA1714">
        <v>1</v>
      </c>
      <c r="BB1714" t="str">
        <f t="shared" si="81"/>
        <v xml:space="preserve">N8080G  </v>
      </c>
      <c r="BC1714">
        <v>1</v>
      </c>
      <c r="BE1714">
        <v>0</v>
      </c>
      <c r="BF1714">
        <v>0</v>
      </c>
      <c r="BG1714">
        <v>0</v>
      </c>
      <c r="BH1714">
        <v>1700</v>
      </c>
      <c r="BI1714">
        <v>1</v>
      </c>
      <c r="BJ1714">
        <v>1</v>
      </c>
      <c r="BK1714">
        <v>1</v>
      </c>
      <c r="BL1714">
        <v>0</v>
      </c>
      <c r="BO1714">
        <v>0</v>
      </c>
      <c r="BP1714">
        <v>0</v>
      </c>
      <c r="BW1714" t="str">
        <f>"20:22:55.802"</f>
        <v>20:22:55.802</v>
      </c>
      <c r="BZ1714">
        <v>0</v>
      </c>
      <c r="CA1714">
        <v>2016</v>
      </c>
      <c r="CB1714">
        <v>224</v>
      </c>
      <c r="CD1714">
        <v>1</v>
      </c>
      <c r="CE1714">
        <v>0</v>
      </c>
      <c r="CF1714">
        <v>0</v>
      </c>
      <c r="CG1714">
        <v>1</v>
      </c>
      <c r="CH1714">
        <v>0</v>
      </c>
      <c r="CI1714">
        <v>0</v>
      </c>
      <c r="CJ1714">
        <v>0</v>
      </c>
      <c r="CK1714">
        <v>2</v>
      </c>
      <c r="CL1714">
        <v>0</v>
      </c>
      <c r="CM1714">
        <v>2</v>
      </c>
      <c r="CN1714">
        <v>0</v>
      </c>
      <c r="CO1714">
        <v>7</v>
      </c>
      <c r="CP1714" t="s">
        <v>119</v>
      </c>
      <c r="CQ1714">
        <v>180</v>
      </c>
      <c r="CR1714">
        <v>1</v>
      </c>
      <c r="CW1714">
        <v>10873353</v>
      </c>
      <c r="CY1714">
        <v>1</v>
      </c>
      <c r="CZ1714">
        <v>0</v>
      </c>
      <c r="DA1714">
        <v>1</v>
      </c>
      <c r="DB1714">
        <v>0</v>
      </c>
      <c r="DC1714">
        <v>0</v>
      </c>
      <c r="DD1714">
        <v>0</v>
      </c>
      <c r="DE1714">
        <v>0</v>
      </c>
      <c r="DF1714">
        <v>0</v>
      </c>
      <c r="DG1714">
        <v>0</v>
      </c>
      <c r="DH1714">
        <v>0</v>
      </c>
      <c r="DI1714">
        <v>0</v>
      </c>
    </row>
    <row r="1715" spans="1:113" x14ac:dyDescent="0.3">
      <c r="A1715" t="str">
        <f>"02/08/2021 20:22:54.898"</f>
        <v>02/08/2021 20:22:54.898</v>
      </c>
      <c r="C1715" t="str">
        <f t="shared" si="80"/>
        <v>FFDFD7C0</v>
      </c>
      <c r="D1715" t="s">
        <v>124</v>
      </c>
      <c r="E1715">
        <v>13</v>
      </c>
      <c r="F1715">
        <v>1013</v>
      </c>
      <c r="G1715" t="s">
        <v>114</v>
      </c>
      <c r="J1715" t="s">
        <v>125</v>
      </c>
      <c r="K1715">
        <v>0</v>
      </c>
      <c r="L1715">
        <v>3</v>
      </c>
      <c r="M1715">
        <v>0</v>
      </c>
      <c r="N1715">
        <v>2</v>
      </c>
      <c r="O1715">
        <v>1</v>
      </c>
      <c r="P1715">
        <v>0</v>
      </c>
      <c r="Q1715">
        <v>0</v>
      </c>
      <c r="S1715" t="str">
        <f>"20:22:57.234"</f>
        <v>20:22:57.234</v>
      </c>
      <c r="T1715" t="str">
        <f>"20:22:56.834"</f>
        <v>20:22:56.834</v>
      </c>
      <c r="U1715" t="str">
        <f t="shared" si="79"/>
        <v>AB01F4</v>
      </c>
      <c r="V1715">
        <v>0</v>
      </c>
      <c r="W1715">
        <v>0</v>
      </c>
      <c r="X1715">
        <v>2</v>
      </c>
      <c r="Z1715">
        <v>0</v>
      </c>
      <c r="AA1715">
        <v>9</v>
      </c>
      <c r="AB1715">
        <v>3</v>
      </c>
      <c r="AC1715">
        <v>0</v>
      </c>
      <c r="AD1715">
        <v>10</v>
      </c>
      <c r="AE1715">
        <v>0</v>
      </c>
      <c r="AF1715">
        <v>3</v>
      </c>
      <c r="AG1715">
        <v>2</v>
      </c>
      <c r="AH1715">
        <v>0</v>
      </c>
      <c r="AI1715" t="s">
        <v>1107</v>
      </c>
      <c r="AJ1715">
        <v>39.884877000000003</v>
      </c>
      <c r="AK1715" t="s">
        <v>1108</v>
      </c>
      <c r="AL1715">
        <v>-92.550415999999998</v>
      </c>
      <c r="AM1715">
        <v>100</v>
      </c>
      <c r="AN1715">
        <v>1700</v>
      </c>
      <c r="AO1715" t="s">
        <v>118</v>
      </c>
      <c r="AP1715">
        <v>-40</v>
      </c>
      <c r="AQ1715">
        <v>117</v>
      </c>
      <c r="AR1715">
        <v>64</v>
      </c>
      <c r="AZ1715">
        <v>1200</v>
      </c>
      <c r="BA1715">
        <v>1</v>
      </c>
      <c r="BB1715" t="str">
        <f t="shared" si="81"/>
        <v xml:space="preserve">N8080G  </v>
      </c>
      <c r="BC1715">
        <v>1</v>
      </c>
      <c r="BE1715">
        <v>0</v>
      </c>
      <c r="BF1715">
        <v>0</v>
      </c>
      <c r="BG1715">
        <v>0</v>
      </c>
      <c r="BH1715">
        <v>1700</v>
      </c>
      <c r="BI1715">
        <v>1</v>
      </c>
      <c r="BJ1715">
        <v>1</v>
      </c>
      <c r="BK1715">
        <v>1</v>
      </c>
      <c r="BL1715">
        <v>0</v>
      </c>
      <c r="BO1715">
        <v>0</v>
      </c>
      <c r="BP1715">
        <v>0</v>
      </c>
      <c r="BW1715" t="str">
        <f>"20:22:57.239"</f>
        <v>20:22:57.239</v>
      </c>
      <c r="BZ1715">
        <v>0</v>
      </c>
      <c r="CA1715">
        <v>2016</v>
      </c>
      <c r="CB1715">
        <v>224</v>
      </c>
      <c r="CD1715">
        <v>1</v>
      </c>
      <c r="CE1715">
        <v>0</v>
      </c>
      <c r="CF1715">
        <v>0</v>
      </c>
      <c r="CG1715">
        <v>1</v>
      </c>
      <c r="CH1715">
        <v>0</v>
      </c>
      <c r="CI1715">
        <v>0</v>
      </c>
      <c r="CJ1715">
        <v>0</v>
      </c>
      <c r="CK1715">
        <v>2</v>
      </c>
      <c r="CL1715">
        <v>0</v>
      </c>
      <c r="CM1715">
        <v>2</v>
      </c>
      <c r="CN1715">
        <v>0</v>
      </c>
      <c r="CO1715">
        <v>7</v>
      </c>
      <c r="CP1715" t="s">
        <v>119</v>
      </c>
      <c r="CQ1715">
        <v>180</v>
      </c>
      <c r="CR1715">
        <v>1</v>
      </c>
      <c r="CW1715">
        <v>10874498</v>
      </c>
      <c r="CY1715">
        <v>1</v>
      </c>
      <c r="CZ1715">
        <v>0</v>
      </c>
      <c r="DA1715">
        <v>0</v>
      </c>
      <c r="DB1715">
        <v>0</v>
      </c>
      <c r="DC1715">
        <v>0</v>
      </c>
      <c r="DD1715">
        <v>0</v>
      </c>
      <c r="DE1715">
        <v>0</v>
      </c>
      <c r="DF1715">
        <v>0</v>
      </c>
      <c r="DG1715">
        <v>0</v>
      </c>
      <c r="DH1715">
        <v>0</v>
      </c>
      <c r="DI1715">
        <v>0</v>
      </c>
    </row>
    <row r="1716" spans="1:113" x14ac:dyDescent="0.3">
      <c r="A1716" t="str">
        <f>"02/08/2021 20:22:54.898"</f>
        <v>02/08/2021 20:22:54.898</v>
      </c>
      <c r="C1716" t="str">
        <f t="shared" si="80"/>
        <v>FFDFD7C0</v>
      </c>
      <c r="D1716" t="s">
        <v>124</v>
      </c>
      <c r="E1716">
        <v>11</v>
      </c>
      <c r="F1716">
        <v>1011</v>
      </c>
      <c r="G1716" t="s">
        <v>590</v>
      </c>
      <c r="J1716" t="s">
        <v>125</v>
      </c>
      <c r="K1716">
        <v>0</v>
      </c>
      <c r="L1716">
        <v>3</v>
      </c>
      <c r="M1716">
        <v>0</v>
      </c>
      <c r="N1716">
        <v>2</v>
      </c>
      <c r="O1716">
        <v>1</v>
      </c>
      <c r="P1716">
        <v>0</v>
      </c>
      <c r="Q1716">
        <v>0</v>
      </c>
      <c r="S1716" t="str">
        <f>"20:22:57.234"</f>
        <v>20:22:57.234</v>
      </c>
      <c r="T1716" t="str">
        <f>"20:22:56.834"</f>
        <v>20:22:56.834</v>
      </c>
      <c r="U1716" t="str">
        <f t="shared" si="79"/>
        <v>AB01F4</v>
      </c>
      <c r="V1716">
        <v>0</v>
      </c>
      <c r="W1716">
        <v>0</v>
      </c>
      <c r="X1716">
        <v>2</v>
      </c>
      <c r="Z1716">
        <v>0</v>
      </c>
      <c r="AA1716">
        <v>9</v>
      </c>
      <c r="AB1716">
        <v>3</v>
      </c>
      <c r="AC1716">
        <v>0</v>
      </c>
      <c r="AD1716">
        <v>10</v>
      </c>
      <c r="AE1716">
        <v>0</v>
      </c>
      <c r="AF1716">
        <v>3</v>
      </c>
      <c r="AG1716">
        <v>2</v>
      </c>
      <c r="AH1716">
        <v>0</v>
      </c>
      <c r="AI1716" t="s">
        <v>1107</v>
      </c>
      <c r="AJ1716">
        <v>39.884877000000003</v>
      </c>
      <c r="AK1716" t="s">
        <v>1108</v>
      </c>
      <c r="AL1716">
        <v>-92.550415999999998</v>
      </c>
      <c r="AM1716">
        <v>100</v>
      </c>
      <c r="AN1716">
        <v>1700</v>
      </c>
      <c r="AO1716" t="s">
        <v>118</v>
      </c>
      <c r="AP1716">
        <v>-40</v>
      </c>
      <c r="AQ1716">
        <v>117</v>
      </c>
      <c r="AR1716">
        <v>64</v>
      </c>
      <c r="AZ1716">
        <v>1200</v>
      </c>
      <c r="BA1716">
        <v>1</v>
      </c>
      <c r="BB1716" t="str">
        <f t="shared" si="81"/>
        <v xml:space="preserve">N8080G  </v>
      </c>
      <c r="BC1716">
        <v>1</v>
      </c>
      <c r="BE1716">
        <v>0</v>
      </c>
      <c r="BF1716">
        <v>0</v>
      </c>
      <c r="BG1716">
        <v>0</v>
      </c>
      <c r="BH1716">
        <v>1700</v>
      </c>
      <c r="BI1716">
        <v>1</v>
      </c>
      <c r="BJ1716">
        <v>1</v>
      </c>
      <c r="BK1716">
        <v>1</v>
      </c>
      <c r="BL1716">
        <v>0</v>
      </c>
      <c r="BO1716">
        <v>0</v>
      </c>
      <c r="BP1716">
        <v>0</v>
      </c>
      <c r="BW1716" t="str">
        <f>"20:22:57.239"</f>
        <v>20:22:57.239</v>
      </c>
      <c r="BZ1716">
        <v>0</v>
      </c>
      <c r="CA1716">
        <v>2016</v>
      </c>
      <c r="CB1716">
        <v>224</v>
      </c>
      <c r="CD1716">
        <v>1</v>
      </c>
      <c r="CE1716">
        <v>0</v>
      </c>
      <c r="CF1716">
        <v>0</v>
      </c>
      <c r="CG1716">
        <v>1</v>
      </c>
      <c r="CH1716">
        <v>0</v>
      </c>
      <c r="CI1716">
        <v>0</v>
      </c>
      <c r="CJ1716">
        <v>0</v>
      </c>
      <c r="CK1716">
        <v>2</v>
      </c>
      <c r="CL1716">
        <v>0</v>
      </c>
      <c r="CM1716">
        <v>2</v>
      </c>
      <c r="CN1716">
        <v>0</v>
      </c>
      <c r="CO1716">
        <v>7</v>
      </c>
      <c r="CP1716" t="s">
        <v>119</v>
      </c>
      <c r="CQ1716">
        <v>180</v>
      </c>
      <c r="CR1716">
        <v>1</v>
      </c>
      <c r="CW1716">
        <v>10874498</v>
      </c>
      <c r="CY1716">
        <v>1</v>
      </c>
      <c r="CZ1716">
        <v>0</v>
      </c>
      <c r="DA1716">
        <v>1</v>
      </c>
      <c r="DB1716">
        <v>0</v>
      </c>
      <c r="DC1716">
        <v>0</v>
      </c>
      <c r="DD1716">
        <v>0</v>
      </c>
      <c r="DE1716">
        <v>0</v>
      </c>
      <c r="DF1716">
        <v>0</v>
      </c>
      <c r="DG1716">
        <v>0</v>
      </c>
      <c r="DH1716">
        <v>0</v>
      </c>
      <c r="DI1716">
        <v>0</v>
      </c>
    </row>
    <row r="1717" spans="1:113" x14ac:dyDescent="0.3">
      <c r="A1717" t="str">
        <f>"02/08/2021 20:22:54.898"</f>
        <v>02/08/2021 20:22:54.898</v>
      </c>
      <c r="C1717" t="str">
        <f t="shared" si="80"/>
        <v>FFDFD7C0</v>
      </c>
      <c r="D1717" t="s">
        <v>124</v>
      </c>
      <c r="E1717">
        <v>12</v>
      </c>
      <c r="F1717">
        <v>1012</v>
      </c>
      <c r="G1717" t="s">
        <v>675</v>
      </c>
      <c r="J1717" t="s">
        <v>125</v>
      </c>
      <c r="K1717">
        <v>0</v>
      </c>
      <c r="L1717">
        <v>3</v>
      </c>
      <c r="M1717">
        <v>0</v>
      </c>
      <c r="N1717">
        <v>2</v>
      </c>
      <c r="O1717">
        <v>1</v>
      </c>
      <c r="P1717">
        <v>0</v>
      </c>
      <c r="Q1717">
        <v>0</v>
      </c>
      <c r="S1717" t="str">
        <f>"20:22:57.234"</f>
        <v>20:22:57.234</v>
      </c>
      <c r="T1717" t="str">
        <f>"20:22:56.834"</f>
        <v>20:22:56.834</v>
      </c>
      <c r="U1717" t="str">
        <f t="shared" si="79"/>
        <v>AB01F4</v>
      </c>
      <c r="V1717">
        <v>0</v>
      </c>
      <c r="W1717">
        <v>0</v>
      </c>
      <c r="X1717">
        <v>2</v>
      </c>
      <c r="Z1717">
        <v>0</v>
      </c>
      <c r="AA1717">
        <v>9</v>
      </c>
      <c r="AB1717">
        <v>3</v>
      </c>
      <c r="AC1717">
        <v>0</v>
      </c>
      <c r="AD1717">
        <v>10</v>
      </c>
      <c r="AE1717">
        <v>0</v>
      </c>
      <c r="AF1717">
        <v>3</v>
      </c>
      <c r="AG1717">
        <v>2</v>
      </c>
      <c r="AH1717">
        <v>0</v>
      </c>
      <c r="AI1717" t="s">
        <v>1107</v>
      </c>
      <c r="AJ1717">
        <v>39.884877000000003</v>
      </c>
      <c r="AK1717" t="s">
        <v>1108</v>
      </c>
      <c r="AL1717">
        <v>-92.550415999999998</v>
      </c>
      <c r="AM1717">
        <v>100</v>
      </c>
      <c r="AN1717">
        <v>1700</v>
      </c>
      <c r="AO1717" t="s">
        <v>118</v>
      </c>
      <c r="AP1717">
        <v>-40</v>
      </c>
      <c r="AQ1717">
        <v>117</v>
      </c>
      <c r="AR1717">
        <v>64</v>
      </c>
      <c r="AZ1717">
        <v>1200</v>
      </c>
      <c r="BA1717">
        <v>1</v>
      </c>
      <c r="BB1717" t="str">
        <f t="shared" si="81"/>
        <v xml:space="preserve">N8080G  </v>
      </c>
      <c r="BC1717">
        <v>1</v>
      </c>
      <c r="BE1717">
        <v>0</v>
      </c>
      <c r="BF1717">
        <v>0</v>
      </c>
      <c r="BG1717">
        <v>0</v>
      </c>
      <c r="BH1717">
        <v>1700</v>
      </c>
      <c r="BI1717">
        <v>1</v>
      </c>
      <c r="BJ1717">
        <v>1</v>
      </c>
      <c r="BK1717">
        <v>1</v>
      </c>
      <c r="BL1717">
        <v>0</v>
      </c>
      <c r="BO1717">
        <v>0</v>
      </c>
      <c r="BP1717">
        <v>0</v>
      </c>
      <c r="BW1717" t="str">
        <f>"20:22:57.239"</f>
        <v>20:22:57.239</v>
      </c>
      <c r="BZ1717">
        <v>0</v>
      </c>
      <c r="CA1717">
        <v>2016</v>
      </c>
      <c r="CB1717">
        <v>224</v>
      </c>
      <c r="CD1717">
        <v>1</v>
      </c>
      <c r="CE1717">
        <v>0</v>
      </c>
      <c r="CF1717">
        <v>0</v>
      </c>
      <c r="CG1717">
        <v>1</v>
      </c>
      <c r="CH1717">
        <v>0</v>
      </c>
      <c r="CI1717">
        <v>0</v>
      </c>
      <c r="CJ1717">
        <v>0</v>
      </c>
      <c r="CK1717">
        <v>2</v>
      </c>
      <c r="CL1717">
        <v>0</v>
      </c>
      <c r="CM1717">
        <v>2</v>
      </c>
      <c r="CN1717">
        <v>0</v>
      </c>
      <c r="CO1717">
        <v>7</v>
      </c>
      <c r="CP1717" t="s">
        <v>119</v>
      </c>
      <c r="CQ1717">
        <v>180</v>
      </c>
      <c r="CR1717">
        <v>1</v>
      </c>
      <c r="CW1717">
        <v>10874498</v>
      </c>
      <c r="CY1717">
        <v>1</v>
      </c>
      <c r="CZ1717">
        <v>0</v>
      </c>
      <c r="DA1717">
        <v>1</v>
      </c>
      <c r="DB1717">
        <v>0</v>
      </c>
      <c r="DC1717">
        <v>0</v>
      </c>
      <c r="DD1717">
        <v>0</v>
      </c>
      <c r="DE1717">
        <v>0</v>
      </c>
      <c r="DF1717">
        <v>0</v>
      </c>
      <c r="DG1717">
        <v>0</v>
      </c>
      <c r="DH1717">
        <v>0</v>
      </c>
      <c r="DI1717">
        <v>0</v>
      </c>
    </row>
    <row r="1718" spans="1:113" x14ac:dyDescent="0.3">
      <c r="A1718" t="str">
        <f>"02/08/2021 20:22:54.898"</f>
        <v>02/08/2021 20:22:54.898</v>
      </c>
      <c r="C1718" t="str">
        <f t="shared" si="80"/>
        <v>FFDFD7C0</v>
      </c>
      <c r="D1718" t="s">
        <v>113</v>
      </c>
      <c r="E1718">
        <v>6</v>
      </c>
      <c r="H1718">
        <v>165</v>
      </c>
      <c r="I1718" t="s">
        <v>114</v>
      </c>
      <c r="J1718" t="s">
        <v>115</v>
      </c>
      <c r="K1718">
        <v>0</v>
      </c>
      <c r="L1718">
        <v>3</v>
      </c>
      <c r="M1718">
        <v>0</v>
      </c>
      <c r="N1718">
        <v>2</v>
      </c>
      <c r="O1718">
        <v>1</v>
      </c>
      <c r="P1718">
        <v>0</v>
      </c>
      <c r="Q1718">
        <v>0</v>
      </c>
      <c r="S1718" t="str">
        <f>"20:22:57.234"</f>
        <v>20:22:57.234</v>
      </c>
      <c r="T1718" t="str">
        <f>"20:22:56.834"</f>
        <v>20:22:56.834</v>
      </c>
      <c r="U1718" t="str">
        <f t="shared" si="79"/>
        <v>AB01F4</v>
      </c>
      <c r="V1718">
        <v>0</v>
      </c>
      <c r="W1718">
        <v>0</v>
      </c>
      <c r="X1718">
        <v>2</v>
      </c>
      <c r="Z1718">
        <v>0</v>
      </c>
      <c r="AA1718">
        <v>9</v>
      </c>
      <c r="AB1718">
        <v>3</v>
      </c>
      <c r="AC1718">
        <v>0</v>
      </c>
      <c r="AD1718">
        <v>10</v>
      </c>
      <c r="AE1718">
        <v>0</v>
      </c>
      <c r="AF1718">
        <v>3</v>
      </c>
      <c r="AG1718">
        <v>2</v>
      </c>
      <c r="AH1718">
        <v>0</v>
      </c>
      <c r="AI1718" t="s">
        <v>1107</v>
      </c>
      <c r="AJ1718">
        <v>39.884877000000003</v>
      </c>
      <c r="AK1718" t="s">
        <v>1108</v>
      </c>
      <c r="AL1718">
        <v>-92.550415999999998</v>
      </c>
      <c r="AM1718">
        <v>100</v>
      </c>
      <c r="AN1718">
        <v>1700</v>
      </c>
      <c r="AO1718" t="s">
        <v>118</v>
      </c>
      <c r="AP1718">
        <v>-40</v>
      </c>
      <c r="AQ1718">
        <v>117</v>
      </c>
      <c r="AR1718">
        <v>64</v>
      </c>
      <c r="AZ1718">
        <v>1200</v>
      </c>
      <c r="BA1718">
        <v>1</v>
      </c>
      <c r="BB1718" t="str">
        <f t="shared" si="81"/>
        <v xml:space="preserve">N8080G  </v>
      </c>
      <c r="BC1718">
        <v>1</v>
      </c>
      <c r="BE1718">
        <v>0</v>
      </c>
      <c r="BF1718">
        <v>0</v>
      </c>
      <c r="BG1718">
        <v>0</v>
      </c>
      <c r="BH1718">
        <v>1700</v>
      </c>
      <c r="BI1718">
        <v>1</v>
      </c>
      <c r="BJ1718">
        <v>1</v>
      </c>
      <c r="BK1718">
        <v>1</v>
      </c>
      <c r="BL1718">
        <v>0</v>
      </c>
      <c r="BO1718">
        <v>0</v>
      </c>
      <c r="BP1718">
        <v>0</v>
      </c>
      <c r="BW1718" t="str">
        <f>"20:22:57.239"</f>
        <v>20:22:57.239</v>
      </c>
      <c r="BZ1718">
        <v>0</v>
      </c>
      <c r="CA1718">
        <v>2016</v>
      </c>
      <c r="CB1718">
        <v>224</v>
      </c>
      <c r="CD1718">
        <v>1</v>
      </c>
      <c r="CE1718">
        <v>0</v>
      </c>
      <c r="CF1718">
        <v>0</v>
      </c>
      <c r="CG1718">
        <v>1</v>
      </c>
      <c r="CH1718">
        <v>0</v>
      </c>
      <c r="CI1718">
        <v>0</v>
      </c>
      <c r="CJ1718">
        <v>0</v>
      </c>
      <c r="CK1718">
        <v>2</v>
      </c>
      <c r="CL1718">
        <v>0</v>
      </c>
      <c r="CM1718">
        <v>2</v>
      </c>
      <c r="CN1718">
        <v>0</v>
      </c>
      <c r="CO1718">
        <v>7</v>
      </c>
      <c r="CP1718" t="s">
        <v>119</v>
      </c>
      <c r="CQ1718">
        <v>180</v>
      </c>
      <c r="CR1718">
        <v>1</v>
      </c>
      <c r="CW1718">
        <v>10874498</v>
      </c>
      <c r="CY1718">
        <v>1</v>
      </c>
      <c r="CZ1718">
        <v>0</v>
      </c>
      <c r="DA1718">
        <v>1</v>
      </c>
      <c r="DB1718">
        <v>0</v>
      </c>
      <c r="DC1718">
        <v>0</v>
      </c>
      <c r="DD1718">
        <v>0</v>
      </c>
      <c r="DE1718">
        <v>0</v>
      </c>
      <c r="DF1718">
        <v>0</v>
      </c>
      <c r="DG1718">
        <v>0</v>
      </c>
      <c r="DH1718">
        <v>0</v>
      </c>
      <c r="DI1718">
        <v>0</v>
      </c>
    </row>
    <row r="1719" spans="1:113" x14ac:dyDescent="0.3">
      <c r="A1719" t="str">
        <f>"02/08/2021 20:22:56.472"</f>
        <v>02/08/2021 20:22:56.472</v>
      </c>
      <c r="C1719" t="str">
        <f t="shared" si="80"/>
        <v>FFDFD7C0</v>
      </c>
      <c r="D1719" t="s">
        <v>124</v>
      </c>
      <c r="E1719">
        <v>12</v>
      </c>
      <c r="F1719">
        <v>1012</v>
      </c>
      <c r="G1719" t="s">
        <v>675</v>
      </c>
      <c r="J1719" t="s">
        <v>125</v>
      </c>
      <c r="K1719">
        <v>0</v>
      </c>
      <c r="L1719">
        <v>3</v>
      </c>
      <c r="M1719">
        <v>0</v>
      </c>
      <c r="N1719">
        <v>2</v>
      </c>
      <c r="O1719">
        <v>1</v>
      </c>
      <c r="P1719">
        <v>0</v>
      </c>
      <c r="Q1719">
        <v>0</v>
      </c>
      <c r="S1719" t="str">
        <f>"20:22:58.805"</f>
        <v>20:22:58.805</v>
      </c>
      <c r="T1719" t="str">
        <f>"20:22:58.305"</f>
        <v>20:22:58.305</v>
      </c>
      <c r="U1719" t="str">
        <f t="shared" si="79"/>
        <v>AB01F4</v>
      </c>
      <c r="V1719">
        <v>0</v>
      </c>
      <c r="W1719">
        <v>0</v>
      </c>
      <c r="X1719">
        <v>2</v>
      </c>
      <c r="Z1719">
        <v>0</v>
      </c>
      <c r="AA1719">
        <v>9</v>
      </c>
      <c r="AB1719">
        <v>3</v>
      </c>
      <c r="AC1719">
        <v>0</v>
      </c>
      <c r="AD1719">
        <v>10</v>
      </c>
      <c r="AE1719">
        <v>0</v>
      </c>
      <c r="AF1719">
        <v>3</v>
      </c>
      <c r="AG1719">
        <v>2</v>
      </c>
      <c r="AH1719">
        <v>0</v>
      </c>
      <c r="AI1719" t="s">
        <v>1109</v>
      </c>
      <c r="AJ1719">
        <v>39.885671000000002</v>
      </c>
      <c r="AK1719" t="s">
        <v>1110</v>
      </c>
      <c r="AL1719">
        <v>-92.550802000000004</v>
      </c>
      <c r="AM1719">
        <v>100</v>
      </c>
      <c r="AN1719">
        <v>1700</v>
      </c>
      <c r="AO1719" t="s">
        <v>118</v>
      </c>
      <c r="AP1719">
        <v>-41</v>
      </c>
      <c r="AQ1719">
        <v>117</v>
      </c>
      <c r="AR1719">
        <v>128</v>
      </c>
      <c r="AZ1719">
        <v>1200</v>
      </c>
      <c r="BA1719">
        <v>1</v>
      </c>
      <c r="BB1719" t="str">
        <f t="shared" si="81"/>
        <v xml:space="preserve">N8080G  </v>
      </c>
      <c r="BC1719">
        <v>1</v>
      </c>
      <c r="BE1719">
        <v>0</v>
      </c>
      <c r="BF1719">
        <v>0</v>
      </c>
      <c r="BG1719">
        <v>0</v>
      </c>
      <c r="BH1719">
        <v>1700</v>
      </c>
      <c r="BI1719">
        <v>1</v>
      </c>
      <c r="BJ1719">
        <v>1</v>
      </c>
      <c r="BK1719">
        <v>1</v>
      </c>
      <c r="BL1719">
        <v>0</v>
      </c>
      <c r="BO1719">
        <v>0</v>
      </c>
      <c r="BP1719">
        <v>0</v>
      </c>
      <c r="BW1719" t="str">
        <f>"20:22:58.812"</f>
        <v>20:22:58.812</v>
      </c>
      <c r="BZ1719">
        <v>0</v>
      </c>
      <c r="CA1719">
        <v>2016</v>
      </c>
      <c r="CB1719">
        <v>224</v>
      </c>
      <c r="CD1719">
        <v>1</v>
      </c>
      <c r="CE1719">
        <v>0</v>
      </c>
      <c r="CF1719">
        <v>0</v>
      </c>
      <c r="CG1719">
        <v>1</v>
      </c>
      <c r="CH1719">
        <v>0</v>
      </c>
      <c r="CI1719">
        <v>0</v>
      </c>
      <c r="CJ1719">
        <v>0</v>
      </c>
      <c r="CK1719">
        <v>2</v>
      </c>
      <c r="CL1719">
        <v>0</v>
      </c>
      <c r="CM1719">
        <v>2</v>
      </c>
      <c r="CN1719">
        <v>0</v>
      </c>
      <c r="CO1719">
        <v>7</v>
      </c>
      <c r="CP1719" t="s">
        <v>119</v>
      </c>
      <c r="CQ1719">
        <v>180</v>
      </c>
      <c r="CR1719">
        <v>1</v>
      </c>
      <c r="CW1719">
        <v>10875734</v>
      </c>
      <c r="CY1719">
        <v>1</v>
      </c>
      <c r="CZ1719">
        <v>0</v>
      </c>
      <c r="DA1719">
        <v>0</v>
      </c>
      <c r="DB1719">
        <v>0</v>
      </c>
      <c r="DC1719">
        <v>0</v>
      </c>
      <c r="DD1719">
        <v>0</v>
      </c>
      <c r="DE1719">
        <v>0</v>
      </c>
      <c r="DF1719">
        <v>0</v>
      </c>
      <c r="DG1719">
        <v>0</v>
      </c>
      <c r="DH1719">
        <v>0</v>
      </c>
      <c r="DI1719">
        <v>0</v>
      </c>
    </row>
    <row r="1720" spans="1:113" x14ac:dyDescent="0.3">
      <c r="A1720" t="str">
        <f>"02/08/2021 20:22:56.472"</f>
        <v>02/08/2021 20:22:56.472</v>
      </c>
      <c r="C1720" t="str">
        <f t="shared" si="80"/>
        <v>FFDFD7C0</v>
      </c>
      <c r="D1720" t="s">
        <v>124</v>
      </c>
      <c r="E1720">
        <v>11</v>
      </c>
      <c r="F1720">
        <v>1011</v>
      </c>
      <c r="G1720" t="s">
        <v>590</v>
      </c>
      <c r="J1720" t="s">
        <v>125</v>
      </c>
      <c r="K1720">
        <v>0</v>
      </c>
      <c r="L1720">
        <v>3</v>
      </c>
      <c r="M1720">
        <v>0</v>
      </c>
      <c r="N1720">
        <v>2</v>
      </c>
      <c r="O1720">
        <v>1</v>
      </c>
      <c r="P1720">
        <v>0</v>
      </c>
      <c r="Q1720">
        <v>0</v>
      </c>
      <c r="S1720" t="str">
        <f>"20:22:58.805"</f>
        <v>20:22:58.805</v>
      </c>
      <c r="T1720" t="str">
        <f>"20:22:58.305"</f>
        <v>20:22:58.305</v>
      </c>
      <c r="U1720" t="str">
        <f t="shared" si="79"/>
        <v>AB01F4</v>
      </c>
      <c r="V1720">
        <v>0</v>
      </c>
      <c r="W1720">
        <v>0</v>
      </c>
      <c r="X1720">
        <v>2</v>
      </c>
      <c r="Z1720">
        <v>0</v>
      </c>
      <c r="AA1720">
        <v>9</v>
      </c>
      <c r="AB1720">
        <v>3</v>
      </c>
      <c r="AC1720">
        <v>0</v>
      </c>
      <c r="AD1720">
        <v>10</v>
      </c>
      <c r="AE1720">
        <v>0</v>
      </c>
      <c r="AF1720">
        <v>3</v>
      </c>
      <c r="AG1720">
        <v>2</v>
      </c>
      <c r="AH1720">
        <v>0</v>
      </c>
      <c r="AI1720" t="s">
        <v>1109</v>
      </c>
      <c r="AJ1720">
        <v>39.885671000000002</v>
      </c>
      <c r="AK1720" t="s">
        <v>1110</v>
      </c>
      <c r="AL1720">
        <v>-92.550802000000004</v>
      </c>
      <c r="AM1720">
        <v>100</v>
      </c>
      <c r="AN1720">
        <v>1700</v>
      </c>
      <c r="AO1720" t="s">
        <v>118</v>
      </c>
      <c r="AP1720">
        <v>-41</v>
      </c>
      <c r="AQ1720">
        <v>117</v>
      </c>
      <c r="AR1720">
        <v>128</v>
      </c>
      <c r="AZ1720">
        <v>1200</v>
      </c>
      <c r="BA1720">
        <v>1</v>
      </c>
      <c r="BB1720" t="str">
        <f t="shared" si="81"/>
        <v xml:space="preserve">N8080G  </v>
      </c>
      <c r="BC1720">
        <v>1</v>
      </c>
      <c r="BE1720">
        <v>0</v>
      </c>
      <c r="BF1720">
        <v>0</v>
      </c>
      <c r="BG1720">
        <v>0</v>
      </c>
      <c r="BH1720">
        <v>1700</v>
      </c>
      <c r="BI1720">
        <v>1</v>
      </c>
      <c r="BJ1720">
        <v>1</v>
      </c>
      <c r="BK1720">
        <v>1</v>
      </c>
      <c r="BL1720">
        <v>0</v>
      </c>
      <c r="BO1720">
        <v>0</v>
      </c>
      <c r="BP1720">
        <v>0</v>
      </c>
      <c r="BW1720" t="str">
        <f>"20:22:58.812"</f>
        <v>20:22:58.812</v>
      </c>
      <c r="BZ1720">
        <v>0</v>
      </c>
      <c r="CA1720">
        <v>2016</v>
      </c>
      <c r="CB1720">
        <v>224</v>
      </c>
      <c r="CD1720">
        <v>1</v>
      </c>
      <c r="CE1720">
        <v>0</v>
      </c>
      <c r="CF1720">
        <v>0</v>
      </c>
      <c r="CG1720">
        <v>1</v>
      </c>
      <c r="CH1720">
        <v>0</v>
      </c>
      <c r="CI1720">
        <v>0</v>
      </c>
      <c r="CJ1720">
        <v>0</v>
      </c>
      <c r="CK1720">
        <v>2</v>
      </c>
      <c r="CL1720">
        <v>0</v>
      </c>
      <c r="CM1720">
        <v>2</v>
      </c>
      <c r="CN1720">
        <v>0</v>
      </c>
      <c r="CO1720">
        <v>7</v>
      </c>
      <c r="CP1720" t="s">
        <v>119</v>
      </c>
      <c r="CQ1720">
        <v>180</v>
      </c>
      <c r="CR1720">
        <v>1</v>
      </c>
      <c r="CW1720">
        <v>10875734</v>
      </c>
      <c r="CY1720">
        <v>1</v>
      </c>
      <c r="CZ1720">
        <v>0</v>
      </c>
      <c r="DA1720">
        <v>1</v>
      </c>
      <c r="DB1720">
        <v>0</v>
      </c>
      <c r="DC1720">
        <v>0</v>
      </c>
      <c r="DD1720">
        <v>0</v>
      </c>
      <c r="DE1720">
        <v>0</v>
      </c>
      <c r="DF1720">
        <v>0</v>
      </c>
      <c r="DG1720">
        <v>0</v>
      </c>
      <c r="DH1720">
        <v>0</v>
      </c>
      <c r="DI1720">
        <v>0</v>
      </c>
    </row>
    <row r="1721" spans="1:113" x14ac:dyDescent="0.3">
      <c r="A1721" t="str">
        <f>"02/08/2021 20:22:56.472"</f>
        <v>02/08/2021 20:22:56.472</v>
      </c>
      <c r="C1721" t="str">
        <f t="shared" si="80"/>
        <v>FFDFD7C0</v>
      </c>
      <c r="D1721" t="s">
        <v>113</v>
      </c>
      <c r="E1721">
        <v>6</v>
      </c>
      <c r="H1721">
        <v>165</v>
      </c>
      <c r="I1721" t="s">
        <v>114</v>
      </c>
      <c r="J1721" t="s">
        <v>115</v>
      </c>
      <c r="K1721">
        <v>0</v>
      </c>
      <c r="L1721">
        <v>3</v>
      </c>
      <c r="M1721">
        <v>0</v>
      </c>
      <c r="N1721">
        <v>2</v>
      </c>
      <c r="O1721">
        <v>1</v>
      </c>
      <c r="P1721">
        <v>0</v>
      </c>
      <c r="Q1721">
        <v>0</v>
      </c>
      <c r="S1721" t="str">
        <f>"20:22:58.805"</f>
        <v>20:22:58.805</v>
      </c>
      <c r="T1721" t="str">
        <f>"20:22:58.305"</f>
        <v>20:22:58.305</v>
      </c>
      <c r="U1721" t="str">
        <f t="shared" si="79"/>
        <v>AB01F4</v>
      </c>
      <c r="V1721">
        <v>0</v>
      </c>
      <c r="W1721">
        <v>0</v>
      </c>
      <c r="X1721">
        <v>2</v>
      </c>
      <c r="Z1721">
        <v>0</v>
      </c>
      <c r="AA1721">
        <v>9</v>
      </c>
      <c r="AB1721">
        <v>3</v>
      </c>
      <c r="AC1721">
        <v>0</v>
      </c>
      <c r="AD1721">
        <v>10</v>
      </c>
      <c r="AE1721">
        <v>0</v>
      </c>
      <c r="AF1721">
        <v>3</v>
      </c>
      <c r="AG1721">
        <v>2</v>
      </c>
      <c r="AH1721">
        <v>0</v>
      </c>
      <c r="AI1721" t="s">
        <v>1109</v>
      </c>
      <c r="AJ1721">
        <v>39.885671000000002</v>
      </c>
      <c r="AK1721" t="s">
        <v>1110</v>
      </c>
      <c r="AL1721">
        <v>-92.550802000000004</v>
      </c>
      <c r="AM1721">
        <v>100</v>
      </c>
      <c r="AN1721">
        <v>1700</v>
      </c>
      <c r="AO1721" t="s">
        <v>118</v>
      </c>
      <c r="AP1721">
        <v>-41</v>
      </c>
      <c r="AQ1721">
        <v>117</v>
      </c>
      <c r="AR1721">
        <v>128</v>
      </c>
      <c r="AZ1721">
        <v>1200</v>
      </c>
      <c r="BA1721">
        <v>1</v>
      </c>
      <c r="BB1721" t="str">
        <f t="shared" si="81"/>
        <v xml:space="preserve">N8080G  </v>
      </c>
      <c r="BC1721">
        <v>1</v>
      </c>
      <c r="BE1721">
        <v>0</v>
      </c>
      <c r="BF1721">
        <v>0</v>
      </c>
      <c r="BG1721">
        <v>0</v>
      </c>
      <c r="BH1721">
        <v>1700</v>
      </c>
      <c r="BI1721">
        <v>1</v>
      </c>
      <c r="BJ1721">
        <v>1</v>
      </c>
      <c r="BK1721">
        <v>1</v>
      </c>
      <c r="BL1721">
        <v>0</v>
      </c>
      <c r="BO1721">
        <v>0</v>
      </c>
      <c r="BP1721">
        <v>0</v>
      </c>
      <c r="BW1721" t="str">
        <f>"20:22:58.812"</f>
        <v>20:22:58.812</v>
      </c>
      <c r="BZ1721">
        <v>0</v>
      </c>
      <c r="CA1721">
        <v>2016</v>
      </c>
      <c r="CB1721">
        <v>224</v>
      </c>
      <c r="CD1721">
        <v>1</v>
      </c>
      <c r="CE1721">
        <v>0</v>
      </c>
      <c r="CF1721">
        <v>0</v>
      </c>
      <c r="CG1721">
        <v>1</v>
      </c>
      <c r="CH1721">
        <v>0</v>
      </c>
      <c r="CI1721">
        <v>0</v>
      </c>
      <c r="CJ1721">
        <v>0</v>
      </c>
      <c r="CK1721">
        <v>2</v>
      </c>
      <c r="CL1721">
        <v>0</v>
      </c>
      <c r="CM1721">
        <v>2</v>
      </c>
      <c r="CN1721">
        <v>0</v>
      </c>
      <c r="CO1721">
        <v>7</v>
      </c>
      <c r="CP1721" t="s">
        <v>119</v>
      </c>
      <c r="CQ1721">
        <v>180</v>
      </c>
      <c r="CR1721">
        <v>1</v>
      </c>
      <c r="CW1721">
        <v>10875734</v>
      </c>
      <c r="CY1721">
        <v>1</v>
      </c>
      <c r="CZ1721">
        <v>0</v>
      </c>
      <c r="DA1721">
        <v>1</v>
      </c>
      <c r="DB1721">
        <v>0</v>
      </c>
      <c r="DC1721">
        <v>0</v>
      </c>
      <c r="DD1721">
        <v>0</v>
      </c>
      <c r="DE1721">
        <v>0</v>
      </c>
      <c r="DF1721">
        <v>0</v>
      </c>
      <c r="DG1721">
        <v>0</v>
      </c>
      <c r="DH1721">
        <v>0</v>
      </c>
      <c r="DI1721">
        <v>0</v>
      </c>
    </row>
    <row r="1722" spans="1:113" x14ac:dyDescent="0.3">
      <c r="A1722" t="str">
        <f>"02/08/2021 20:22:56.472"</f>
        <v>02/08/2021 20:22:56.472</v>
      </c>
      <c r="C1722" t="str">
        <f t="shared" si="80"/>
        <v>FFDFD7C0</v>
      </c>
      <c r="D1722" t="s">
        <v>124</v>
      </c>
      <c r="E1722">
        <v>13</v>
      </c>
      <c r="F1722">
        <v>1013</v>
      </c>
      <c r="G1722" t="s">
        <v>114</v>
      </c>
      <c r="J1722" t="s">
        <v>125</v>
      </c>
      <c r="K1722">
        <v>0</v>
      </c>
      <c r="L1722">
        <v>3</v>
      </c>
      <c r="M1722">
        <v>0</v>
      </c>
      <c r="N1722">
        <v>2</v>
      </c>
      <c r="O1722">
        <v>1</v>
      </c>
      <c r="P1722">
        <v>0</v>
      </c>
      <c r="Q1722">
        <v>0</v>
      </c>
      <c r="S1722" t="str">
        <f>"20:22:58.805"</f>
        <v>20:22:58.805</v>
      </c>
      <c r="T1722" t="str">
        <f>"20:22:58.305"</f>
        <v>20:22:58.305</v>
      </c>
      <c r="U1722" t="str">
        <f t="shared" si="79"/>
        <v>AB01F4</v>
      </c>
      <c r="V1722">
        <v>0</v>
      </c>
      <c r="W1722">
        <v>0</v>
      </c>
      <c r="X1722">
        <v>2</v>
      </c>
      <c r="Z1722">
        <v>0</v>
      </c>
      <c r="AA1722">
        <v>9</v>
      </c>
      <c r="AB1722">
        <v>3</v>
      </c>
      <c r="AC1722">
        <v>0</v>
      </c>
      <c r="AD1722">
        <v>10</v>
      </c>
      <c r="AE1722">
        <v>0</v>
      </c>
      <c r="AF1722">
        <v>3</v>
      </c>
      <c r="AG1722">
        <v>2</v>
      </c>
      <c r="AH1722">
        <v>0</v>
      </c>
      <c r="AI1722" t="s">
        <v>1109</v>
      </c>
      <c r="AJ1722">
        <v>39.885671000000002</v>
      </c>
      <c r="AK1722" t="s">
        <v>1110</v>
      </c>
      <c r="AL1722">
        <v>-92.550802000000004</v>
      </c>
      <c r="AM1722">
        <v>100</v>
      </c>
      <c r="AN1722">
        <v>1700</v>
      </c>
      <c r="AO1722" t="s">
        <v>118</v>
      </c>
      <c r="AP1722">
        <v>-41</v>
      </c>
      <c r="AQ1722">
        <v>117</v>
      </c>
      <c r="AR1722">
        <v>128</v>
      </c>
      <c r="AZ1722">
        <v>1200</v>
      </c>
      <c r="BA1722">
        <v>1</v>
      </c>
      <c r="BB1722" t="str">
        <f t="shared" si="81"/>
        <v xml:space="preserve">N8080G  </v>
      </c>
      <c r="BC1722">
        <v>1</v>
      </c>
      <c r="BE1722">
        <v>0</v>
      </c>
      <c r="BF1722">
        <v>0</v>
      </c>
      <c r="BG1722">
        <v>0</v>
      </c>
      <c r="BH1722">
        <v>1700</v>
      </c>
      <c r="BI1722">
        <v>1</v>
      </c>
      <c r="BJ1722">
        <v>1</v>
      </c>
      <c r="BK1722">
        <v>1</v>
      </c>
      <c r="BL1722">
        <v>0</v>
      </c>
      <c r="BO1722">
        <v>0</v>
      </c>
      <c r="BP1722">
        <v>0</v>
      </c>
      <c r="BW1722" t="str">
        <f>"20:22:58.812"</f>
        <v>20:22:58.812</v>
      </c>
      <c r="BZ1722">
        <v>0</v>
      </c>
      <c r="CA1722">
        <v>2016</v>
      </c>
      <c r="CB1722">
        <v>224</v>
      </c>
      <c r="CD1722">
        <v>1</v>
      </c>
      <c r="CE1722">
        <v>0</v>
      </c>
      <c r="CF1722">
        <v>0</v>
      </c>
      <c r="CG1722">
        <v>1</v>
      </c>
      <c r="CH1722">
        <v>0</v>
      </c>
      <c r="CI1722">
        <v>0</v>
      </c>
      <c r="CJ1722">
        <v>0</v>
      </c>
      <c r="CK1722">
        <v>2</v>
      </c>
      <c r="CL1722">
        <v>0</v>
      </c>
      <c r="CM1722">
        <v>2</v>
      </c>
      <c r="CN1722">
        <v>0</v>
      </c>
      <c r="CO1722">
        <v>7</v>
      </c>
      <c r="CP1722" t="s">
        <v>119</v>
      </c>
      <c r="CQ1722">
        <v>180</v>
      </c>
      <c r="CR1722">
        <v>1</v>
      </c>
      <c r="CW1722">
        <v>10875734</v>
      </c>
      <c r="CY1722">
        <v>1</v>
      </c>
      <c r="CZ1722">
        <v>0</v>
      </c>
      <c r="DA1722">
        <v>1</v>
      </c>
      <c r="DB1722">
        <v>0</v>
      </c>
      <c r="DC1722">
        <v>0</v>
      </c>
      <c r="DD1722">
        <v>0</v>
      </c>
      <c r="DE1722">
        <v>0</v>
      </c>
      <c r="DF1722">
        <v>0</v>
      </c>
      <c r="DG1722">
        <v>0</v>
      </c>
      <c r="DH1722">
        <v>0</v>
      </c>
      <c r="DI1722">
        <v>0</v>
      </c>
    </row>
    <row r="1723" spans="1:113" x14ac:dyDescent="0.3">
      <c r="A1723" t="str">
        <f>"02/08/2021 20:22:58.368"</f>
        <v>02/08/2021 20:22:58.368</v>
      </c>
      <c r="C1723" t="str">
        <f t="shared" si="80"/>
        <v>FFDFD7C0</v>
      </c>
      <c r="D1723" t="s">
        <v>124</v>
      </c>
      <c r="E1723">
        <v>13</v>
      </c>
      <c r="F1723">
        <v>1013</v>
      </c>
      <c r="G1723" t="s">
        <v>114</v>
      </c>
      <c r="J1723" t="s">
        <v>125</v>
      </c>
      <c r="K1723">
        <v>0</v>
      </c>
      <c r="L1723">
        <v>3</v>
      </c>
      <c r="M1723">
        <v>0</v>
      </c>
      <c r="N1723">
        <v>2</v>
      </c>
      <c r="O1723">
        <v>1</v>
      </c>
      <c r="P1723">
        <v>0</v>
      </c>
      <c r="Q1723">
        <v>0</v>
      </c>
      <c r="S1723" t="str">
        <f>"20:23:00.680"</f>
        <v>20:23:00.680</v>
      </c>
      <c r="T1723" t="str">
        <f>"20:23:00.180"</f>
        <v>20:23:00.180</v>
      </c>
      <c r="U1723" t="str">
        <f t="shared" si="79"/>
        <v>AB01F4</v>
      </c>
      <c r="V1723">
        <v>0</v>
      </c>
      <c r="W1723">
        <v>0</v>
      </c>
      <c r="X1723">
        <v>2</v>
      </c>
      <c r="Z1723">
        <v>0</v>
      </c>
      <c r="AA1723">
        <v>9</v>
      </c>
      <c r="AB1723">
        <v>3</v>
      </c>
      <c r="AC1723">
        <v>0</v>
      </c>
      <c r="AD1723">
        <v>10</v>
      </c>
      <c r="AE1723">
        <v>0</v>
      </c>
      <c r="AF1723">
        <v>3</v>
      </c>
      <c r="AG1723">
        <v>2</v>
      </c>
      <c r="AH1723">
        <v>0</v>
      </c>
      <c r="AI1723" t="s">
        <v>1111</v>
      </c>
      <c r="AJ1723">
        <v>39.886701000000002</v>
      </c>
      <c r="AK1723" t="s">
        <v>1112</v>
      </c>
      <c r="AL1723">
        <v>-92.551274000000006</v>
      </c>
      <c r="AM1723">
        <v>100</v>
      </c>
      <c r="AN1723">
        <v>1700</v>
      </c>
      <c r="AO1723" t="s">
        <v>118</v>
      </c>
      <c r="AP1723">
        <v>-40</v>
      </c>
      <c r="AQ1723">
        <v>117</v>
      </c>
      <c r="AR1723">
        <v>64</v>
      </c>
      <c r="AZ1723">
        <v>1200</v>
      </c>
      <c r="BA1723">
        <v>1</v>
      </c>
      <c r="BB1723" t="str">
        <f t="shared" si="81"/>
        <v xml:space="preserve">N8080G  </v>
      </c>
      <c r="BC1723">
        <v>1</v>
      </c>
      <c r="BE1723">
        <v>0</v>
      </c>
      <c r="BF1723">
        <v>0</v>
      </c>
      <c r="BG1723">
        <v>0</v>
      </c>
      <c r="BH1723">
        <v>1700</v>
      </c>
      <c r="BI1723">
        <v>1</v>
      </c>
      <c r="BJ1723">
        <v>1</v>
      </c>
      <c r="BK1723">
        <v>1</v>
      </c>
      <c r="BL1723">
        <v>0</v>
      </c>
      <c r="BO1723">
        <v>0</v>
      </c>
      <c r="BP1723">
        <v>0</v>
      </c>
      <c r="BW1723" t="str">
        <f>"20:23:00.683"</f>
        <v>20:23:00.683</v>
      </c>
      <c r="BZ1723">
        <v>0</v>
      </c>
      <c r="CA1723">
        <v>2016</v>
      </c>
      <c r="CB1723">
        <v>224</v>
      </c>
      <c r="CD1723">
        <v>1</v>
      </c>
      <c r="CE1723">
        <v>0</v>
      </c>
      <c r="CF1723">
        <v>0</v>
      </c>
      <c r="CG1723">
        <v>1</v>
      </c>
      <c r="CH1723">
        <v>0</v>
      </c>
      <c r="CI1723">
        <v>0</v>
      </c>
      <c r="CJ1723">
        <v>0</v>
      </c>
      <c r="CK1723">
        <v>2</v>
      </c>
      <c r="CL1723">
        <v>0</v>
      </c>
      <c r="CM1723">
        <v>2</v>
      </c>
      <c r="CN1723">
        <v>0</v>
      </c>
      <c r="CO1723">
        <v>7</v>
      </c>
      <c r="CP1723" t="s">
        <v>119</v>
      </c>
      <c r="CQ1723">
        <v>180</v>
      </c>
      <c r="CR1723">
        <v>1</v>
      </c>
      <c r="CW1723">
        <v>10877384</v>
      </c>
      <c r="CY1723">
        <v>1</v>
      </c>
      <c r="CZ1723">
        <v>0</v>
      </c>
      <c r="DA1723">
        <v>0</v>
      </c>
      <c r="DB1723">
        <v>0</v>
      </c>
      <c r="DC1723">
        <v>0</v>
      </c>
      <c r="DD1723">
        <v>0</v>
      </c>
      <c r="DE1723">
        <v>0</v>
      </c>
      <c r="DF1723">
        <v>0</v>
      </c>
      <c r="DG1723">
        <v>0</v>
      </c>
      <c r="DH1723">
        <v>0</v>
      </c>
      <c r="DI1723">
        <v>0</v>
      </c>
    </row>
    <row r="1724" spans="1:113" x14ac:dyDescent="0.3">
      <c r="A1724" t="str">
        <f>"02/08/2021 20:22:58.368"</f>
        <v>02/08/2021 20:22:58.368</v>
      </c>
      <c r="C1724" t="str">
        <f t="shared" si="80"/>
        <v>FFDFD7C0</v>
      </c>
      <c r="D1724" t="s">
        <v>124</v>
      </c>
      <c r="E1724">
        <v>12</v>
      </c>
      <c r="F1724">
        <v>1012</v>
      </c>
      <c r="G1724" t="s">
        <v>675</v>
      </c>
      <c r="J1724" t="s">
        <v>125</v>
      </c>
      <c r="K1724">
        <v>0</v>
      </c>
      <c r="L1724">
        <v>3</v>
      </c>
      <c r="M1724">
        <v>0</v>
      </c>
      <c r="N1724">
        <v>2</v>
      </c>
      <c r="O1724">
        <v>1</v>
      </c>
      <c r="P1724">
        <v>0</v>
      </c>
      <c r="Q1724">
        <v>0</v>
      </c>
      <c r="S1724" t="str">
        <f>"20:23:00.680"</f>
        <v>20:23:00.680</v>
      </c>
      <c r="T1724" t="str">
        <f>"20:23:00.180"</f>
        <v>20:23:00.180</v>
      </c>
      <c r="U1724" t="str">
        <f t="shared" si="79"/>
        <v>AB01F4</v>
      </c>
      <c r="V1724">
        <v>0</v>
      </c>
      <c r="W1724">
        <v>0</v>
      </c>
      <c r="X1724">
        <v>2</v>
      </c>
      <c r="Z1724">
        <v>0</v>
      </c>
      <c r="AA1724">
        <v>9</v>
      </c>
      <c r="AB1724">
        <v>3</v>
      </c>
      <c r="AC1724">
        <v>0</v>
      </c>
      <c r="AD1724">
        <v>10</v>
      </c>
      <c r="AE1724">
        <v>0</v>
      </c>
      <c r="AF1724">
        <v>3</v>
      </c>
      <c r="AG1724">
        <v>2</v>
      </c>
      <c r="AH1724">
        <v>0</v>
      </c>
      <c r="AI1724" t="s">
        <v>1111</v>
      </c>
      <c r="AJ1724">
        <v>39.886701000000002</v>
      </c>
      <c r="AK1724" t="s">
        <v>1112</v>
      </c>
      <c r="AL1724">
        <v>-92.551274000000006</v>
      </c>
      <c r="AM1724">
        <v>100</v>
      </c>
      <c r="AN1724">
        <v>1700</v>
      </c>
      <c r="AO1724" t="s">
        <v>118</v>
      </c>
      <c r="AP1724">
        <v>-40</v>
      </c>
      <c r="AQ1724">
        <v>117</v>
      </c>
      <c r="AR1724">
        <v>64</v>
      </c>
      <c r="AZ1724">
        <v>1200</v>
      </c>
      <c r="BA1724">
        <v>1</v>
      </c>
      <c r="BB1724" t="str">
        <f t="shared" si="81"/>
        <v xml:space="preserve">N8080G  </v>
      </c>
      <c r="BC1724">
        <v>1</v>
      </c>
      <c r="BE1724">
        <v>0</v>
      </c>
      <c r="BF1724">
        <v>0</v>
      </c>
      <c r="BG1724">
        <v>0</v>
      </c>
      <c r="BH1724">
        <v>1700</v>
      </c>
      <c r="BI1724">
        <v>1</v>
      </c>
      <c r="BJ1724">
        <v>1</v>
      </c>
      <c r="BK1724">
        <v>1</v>
      </c>
      <c r="BL1724">
        <v>0</v>
      </c>
      <c r="BO1724">
        <v>0</v>
      </c>
      <c r="BP1724">
        <v>0</v>
      </c>
      <c r="BW1724" t="str">
        <f>"20:23:00.683"</f>
        <v>20:23:00.683</v>
      </c>
      <c r="BZ1724">
        <v>0</v>
      </c>
      <c r="CA1724">
        <v>2016</v>
      </c>
      <c r="CB1724">
        <v>224</v>
      </c>
      <c r="CD1724">
        <v>1</v>
      </c>
      <c r="CE1724">
        <v>0</v>
      </c>
      <c r="CF1724">
        <v>0</v>
      </c>
      <c r="CG1724">
        <v>1</v>
      </c>
      <c r="CH1724">
        <v>0</v>
      </c>
      <c r="CI1724">
        <v>0</v>
      </c>
      <c r="CJ1724">
        <v>0</v>
      </c>
      <c r="CK1724">
        <v>2</v>
      </c>
      <c r="CL1724">
        <v>0</v>
      </c>
      <c r="CM1724">
        <v>2</v>
      </c>
      <c r="CN1724">
        <v>0</v>
      </c>
      <c r="CO1724">
        <v>7</v>
      </c>
      <c r="CP1724" t="s">
        <v>119</v>
      </c>
      <c r="CQ1724">
        <v>180</v>
      </c>
      <c r="CR1724">
        <v>1</v>
      </c>
      <c r="CW1724">
        <v>10877384</v>
      </c>
      <c r="CY1724">
        <v>1</v>
      </c>
      <c r="CZ1724">
        <v>0</v>
      </c>
      <c r="DA1724">
        <v>1</v>
      </c>
      <c r="DB1724">
        <v>0</v>
      </c>
      <c r="DC1724">
        <v>0</v>
      </c>
      <c r="DD1724">
        <v>0</v>
      </c>
      <c r="DE1724">
        <v>0</v>
      </c>
      <c r="DF1724">
        <v>0</v>
      </c>
      <c r="DG1724">
        <v>0</v>
      </c>
      <c r="DH1724">
        <v>0</v>
      </c>
      <c r="DI1724">
        <v>0</v>
      </c>
    </row>
    <row r="1725" spans="1:113" x14ac:dyDescent="0.3">
      <c r="A1725" t="str">
        <f>"02/08/2021 20:22:58.368"</f>
        <v>02/08/2021 20:22:58.368</v>
      </c>
      <c r="C1725" t="str">
        <f t="shared" si="80"/>
        <v>FFDFD7C0</v>
      </c>
      <c r="D1725" t="s">
        <v>124</v>
      </c>
      <c r="E1725">
        <v>11</v>
      </c>
      <c r="F1725">
        <v>1011</v>
      </c>
      <c r="G1725" t="s">
        <v>590</v>
      </c>
      <c r="J1725" t="s">
        <v>125</v>
      </c>
      <c r="K1725">
        <v>0</v>
      </c>
      <c r="L1725">
        <v>3</v>
      </c>
      <c r="M1725">
        <v>0</v>
      </c>
      <c r="N1725">
        <v>2</v>
      </c>
      <c r="O1725">
        <v>1</v>
      </c>
      <c r="P1725">
        <v>0</v>
      </c>
      <c r="Q1725">
        <v>0</v>
      </c>
      <c r="S1725" t="str">
        <f>"20:23:00.680"</f>
        <v>20:23:00.680</v>
      </c>
      <c r="T1725" t="str">
        <f>"20:23:00.180"</f>
        <v>20:23:00.180</v>
      </c>
      <c r="U1725" t="str">
        <f t="shared" si="79"/>
        <v>AB01F4</v>
      </c>
      <c r="V1725">
        <v>0</v>
      </c>
      <c r="W1725">
        <v>0</v>
      </c>
      <c r="X1725">
        <v>2</v>
      </c>
      <c r="Z1725">
        <v>0</v>
      </c>
      <c r="AA1725">
        <v>9</v>
      </c>
      <c r="AB1725">
        <v>3</v>
      </c>
      <c r="AC1725">
        <v>0</v>
      </c>
      <c r="AD1725">
        <v>10</v>
      </c>
      <c r="AE1725">
        <v>0</v>
      </c>
      <c r="AF1725">
        <v>3</v>
      </c>
      <c r="AG1725">
        <v>2</v>
      </c>
      <c r="AH1725">
        <v>0</v>
      </c>
      <c r="AI1725" t="s">
        <v>1111</v>
      </c>
      <c r="AJ1725">
        <v>39.886701000000002</v>
      </c>
      <c r="AK1725" t="s">
        <v>1112</v>
      </c>
      <c r="AL1725">
        <v>-92.551274000000006</v>
      </c>
      <c r="AM1725">
        <v>100</v>
      </c>
      <c r="AN1725">
        <v>1700</v>
      </c>
      <c r="AO1725" t="s">
        <v>118</v>
      </c>
      <c r="AP1725">
        <v>-40</v>
      </c>
      <c r="AQ1725">
        <v>117</v>
      </c>
      <c r="AR1725">
        <v>64</v>
      </c>
      <c r="AZ1725">
        <v>1200</v>
      </c>
      <c r="BA1725">
        <v>1</v>
      </c>
      <c r="BB1725" t="str">
        <f t="shared" si="81"/>
        <v xml:space="preserve">N8080G  </v>
      </c>
      <c r="BC1725">
        <v>1</v>
      </c>
      <c r="BE1725">
        <v>0</v>
      </c>
      <c r="BF1725">
        <v>0</v>
      </c>
      <c r="BG1725">
        <v>0</v>
      </c>
      <c r="BH1725">
        <v>1700</v>
      </c>
      <c r="BI1725">
        <v>1</v>
      </c>
      <c r="BJ1725">
        <v>1</v>
      </c>
      <c r="BK1725">
        <v>1</v>
      </c>
      <c r="BL1725">
        <v>0</v>
      </c>
      <c r="BO1725">
        <v>0</v>
      </c>
      <c r="BP1725">
        <v>0</v>
      </c>
      <c r="BW1725" t="str">
        <f>"20:23:00.683"</f>
        <v>20:23:00.683</v>
      </c>
      <c r="BZ1725">
        <v>0</v>
      </c>
      <c r="CA1725">
        <v>2016</v>
      </c>
      <c r="CB1725">
        <v>224</v>
      </c>
      <c r="CD1725">
        <v>1</v>
      </c>
      <c r="CE1725">
        <v>0</v>
      </c>
      <c r="CF1725">
        <v>0</v>
      </c>
      <c r="CG1725">
        <v>1</v>
      </c>
      <c r="CH1725">
        <v>0</v>
      </c>
      <c r="CI1725">
        <v>0</v>
      </c>
      <c r="CJ1725">
        <v>0</v>
      </c>
      <c r="CK1725">
        <v>2</v>
      </c>
      <c r="CL1725">
        <v>0</v>
      </c>
      <c r="CM1725">
        <v>2</v>
      </c>
      <c r="CN1725">
        <v>0</v>
      </c>
      <c r="CO1725">
        <v>7</v>
      </c>
      <c r="CP1725" t="s">
        <v>119</v>
      </c>
      <c r="CQ1725">
        <v>180</v>
      </c>
      <c r="CR1725">
        <v>1</v>
      </c>
      <c r="CW1725">
        <v>10877384</v>
      </c>
      <c r="CY1725">
        <v>1</v>
      </c>
      <c r="CZ1725">
        <v>0</v>
      </c>
      <c r="DA1725">
        <v>1</v>
      </c>
      <c r="DB1725">
        <v>0</v>
      </c>
      <c r="DC1725">
        <v>0</v>
      </c>
      <c r="DD1725">
        <v>0</v>
      </c>
      <c r="DE1725">
        <v>0</v>
      </c>
      <c r="DF1725">
        <v>0</v>
      </c>
      <c r="DG1725">
        <v>0</v>
      </c>
      <c r="DH1725">
        <v>0</v>
      </c>
      <c r="DI1725">
        <v>0</v>
      </c>
    </row>
    <row r="1726" spans="1:113" x14ac:dyDescent="0.3">
      <c r="A1726" t="str">
        <f>"02/08/2021 20:22:58.368"</f>
        <v>02/08/2021 20:22:58.368</v>
      </c>
      <c r="C1726" t="str">
        <f t="shared" si="80"/>
        <v>FFDFD7C0</v>
      </c>
      <c r="D1726" t="s">
        <v>113</v>
      </c>
      <c r="E1726">
        <v>6</v>
      </c>
      <c r="H1726">
        <v>165</v>
      </c>
      <c r="I1726" t="s">
        <v>114</v>
      </c>
      <c r="J1726" t="s">
        <v>115</v>
      </c>
      <c r="K1726">
        <v>0</v>
      </c>
      <c r="L1726">
        <v>3</v>
      </c>
      <c r="M1726">
        <v>0</v>
      </c>
      <c r="N1726">
        <v>2</v>
      </c>
      <c r="O1726">
        <v>1</v>
      </c>
      <c r="P1726">
        <v>0</v>
      </c>
      <c r="Q1726">
        <v>0</v>
      </c>
      <c r="S1726" t="str">
        <f>"20:23:00.680"</f>
        <v>20:23:00.680</v>
      </c>
      <c r="T1726" t="str">
        <f>"20:23:00.180"</f>
        <v>20:23:00.180</v>
      </c>
      <c r="U1726" t="str">
        <f t="shared" si="79"/>
        <v>AB01F4</v>
      </c>
      <c r="V1726">
        <v>0</v>
      </c>
      <c r="W1726">
        <v>0</v>
      </c>
      <c r="X1726">
        <v>2</v>
      </c>
      <c r="Z1726">
        <v>0</v>
      </c>
      <c r="AA1726">
        <v>9</v>
      </c>
      <c r="AB1726">
        <v>3</v>
      </c>
      <c r="AC1726">
        <v>0</v>
      </c>
      <c r="AD1726">
        <v>10</v>
      </c>
      <c r="AE1726">
        <v>0</v>
      </c>
      <c r="AF1726">
        <v>3</v>
      </c>
      <c r="AG1726">
        <v>2</v>
      </c>
      <c r="AH1726">
        <v>0</v>
      </c>
      <c r="AI1726" t="s">
        <v>1111</v>
      </c>
      <c r="AJ1726">
        <v>39.886701000000002</v>
      </c>
      <c r="AK1726" t="s">
        <v>1112</v>
      </c>
      <c r="AL1726">
        <v>-92.551274000000006</v>
      </c>
      <c r="AM1726">
        <v>100</v>
      </c>
      <c r="AN1726">
        <v>1700</v>
      </c>
      <c r="AO1726" t="s">
        <v>118</v>
      </c>
      <c r="AP1726">
        <v>-40</v>
      </c>
      <c r="AQ1726">
        <v>117</v>
      </c>
      <c r="AR1726">
        <v>64</v>
      </c>
      <c r="AZ1726">
        <v>1200</v>
      </c>
      <c r="BA1726">
        <v>1</v>
      </c>
      <c r="BB1726" t="str">
        <f t="shared" si="81"/>
        <v xml:space="preserve">N8080G  </v>
      </c>
      <c r="BC1726">
        <v>1</v>
      </c>
      <c r="BE1726">
        <v>0</v>
      </c>
      <c r="BF1726">
        <v>0</v>
      </c>
      <c r="BG1726">
        <v>0</v>
      </c>
      <c r="BH1726">
        <v>1700</v>
      </c>
      <c r="BI1726">
        <v>1</v>
      </c>
      <c r="BJ1726">
        <v>1</v>
      </c>
      <c r="BK1726">
        <v>1</v>
      </c>
      <c r="BL1726">
        <v>0</v>
      </c>
      <c r="BO1726">
        <v>0</v>
      </c>
      <c r="BP1726">
        <v>0</v>
      </c>
      <c r="BW1726" t="str">
        <f>"20:23:00.683"</f>
        <v>20:23:00.683</v>
      </c>
      <c r="BZ1726">
        <v>0</v>
      </c>
      <c r="CA1726">
        <v>2016</v>
      </c>
      <c r="CB1726">
        <v>224</v>
      </c>
      <c r="CD1726">
        <v>1</v>
      </c>
      <c r="CE1726">
        <v>0</v>
      </c>
      <c r="CF1726">
        <v>0</v>
      </c>
      <c r="CG1726">
        <v>1</v>
      </c>
      <c r="CH1726">
        <v>0</v>
      </c>
      <c r="CI1726">
        <v>0</v>
      </c>
      <c r="CJ1726">
        <v>0</v>
      </c>
      <c r="CK1726">
        <v>2</v>
      </c>
      <c r="CL1726">
        <v>0</v>
      </c>
      <c r="CM1726">
        <v>2</v>
      </c>
      <c r="CN1726">
        <v>0</v>
      </c>
      <c r="CO1726">
        <v>7</v>
      </c>
      <c r="CP1726" t="s">
        <v>119</v>
      </c>
      <c r="CQ1726">
        <v>180</v>
      </c>
      <c r="CR1726">
        <v>1</v>
      </c>
      <c r="CW1726">
        <v>10877384</v>
      </c>
      <c r="CY1726">
        <v>1</v>
      </c>
      <c r="CZ1726">
        <v>0</v>
      </c>
      <c r="DA1726">
        <v>1</v>
      </c>
      <c r="DB1726">
        <v>0</v>
      </c>
      <c r="DC1726">
        <v>0</v>
      </c>
      <c r="DD1726">
        <v>0</v>
      </c>
      <c r="DE1726">
        <v>0</v>
      </c>
      <c r="DF1726">
        <v>0</v>
      </c>
      <c r="DG1726">
        <v>0</v>
      </c>
      <c r="DH1726">
        <v>0</v>
      </c>
      <c r="DI1726">
        <v>0</v>
      </c>
    </row>
    <row r="1727" spans="1:113" x14ac:dyDescent="0.3">
      <c r="A1727" t="str">
        <f>"02/08/2021 20:23:01.784"</f>
        <v>02/08/2021 20:23:01.784</v>
      </c>
      <c r="C1727" t="str">
        <f t="shared" si="80"/>
        <v>FFDFD7C0</v>
      </c>
      <c r="D1727" t="s">
        <v>124</v>
      </c>
      <c r="E1727">
        <v>13</v>
      </c>
      <c r="F1727">
        <v>1013</v>
      </c>
      <c r="G1727" t="s">
        <v>114</v>
      </c>
      <c r="J1727" t="s">
        <v>125</v>
      </c>
      <c r="K1727">
        <v>0</v>
      </c>
      <c r="L1727">
        <v>3</v>
      </c>
      <c r="M1727">
        <v>0</v>
      </c>
      <c r="N1727">
        <v>2</v>
      </c>
      <c r="O1727">
        <v>1</v>
      </c>
      <c r="P1727">
        <v>0</v>
      </c>
      <c r="Q1727">
        <v>0</v>
      </c>
      <c r="S1727" t="str">
        <f>"20:23:04.078"</f>
        <v>20:23:04.078</v>
      </c>
      <c r="T1727" t="str">
        <f>"20:23:03.578"</f>
        <v>20:23:03.578</v>
      </c>
      <c r="U1727" t="str">
        <f t="shared" si="79"/>
        <v>AB01F4</v>
      </c>
      <c r="V1727">
        <v>0</v>
      </c>
      <c r="W1727">
        <v>0</v>
      </c>
      <c r="X1727">
        <v>2</v>
      </c>
      <c r="Z1727">
        <v>0</v>
      </c>
      <c r="AA1727">
        <v>9</v>
      </c>
      <c r="AB1727">
        <v>3</v>
      </c>
      <c r="AC1727">
        <v>0</v>
      </c>
      <c r="AD1727">
        <v>10</v>
      </c>
      <c r="AE1727">
        <v>0</v>
      </c>
      <c r="AF1727">
        <v>3</v>
      </c>
      <c r="AG1727">
        <v>2</v>
      </c>
      <c r="AH1727">
        <v>0</v>
      </c>
      <c r="AI1727" t="s">
        <v>1113</v>
      </c>
      <c r="AJ1727">
        <v>39.888567999999999</v>
      </c>
      <c r="AK1727" t="s">
        <v>1114</v>
      </c>
      <c r="AL1727">
        <v>-92.552068000000006</v>
      </c>
      <c r="AM1727">
        <v>100</v>
      </c>
      <c r="AN1727">
        <v>1700</v>
      </c>
      <c r="AO1727" t="s">
        <v>118</v>
      </c>
      <c r="AP1727">
        <v>-42</v>
      </c>
      <c r="AQ1727">
        <v>116</v>
      </c>
      <c r="AR1727">
        <v>64</v>
      </c>
      <c r="AZ1727">
        <v>1200</v>
      </c>
      <c r="BA1727">
        <v>1</v>
      </c>
      <c r="BB1727" t="str">
        <f t="shared" si="81"/>
        <v xml:space="preserve">N8080G  </v>
      </c>
      <c r="BC1727">
        <v>1</v>
      </c>
      <c r="BE1727">
        <v>0</v>
      </c>
      <c r="BF1727">
        <v>0</v>
      </c>
      <c r="BG1727">
        <v>0</v>
      </c>
      <c r="BH1727">
        <v>1700</v>
      </c>
      <c r="BI1727">
        <v>1</v>
      </c>
      <c r="BJ1727">
        <v>1</v>
      </c>
      <c r="BK1727">
        <v>1</v>
      </c>
      <c r="BL1727">
        <v>0</v>
      </c>
      <c r="BO1727">
        <v>0</v>
      </c>
      <c r="BP1727">
        <v>0</v>
      </c>
      <c r="BW1727" t="str">
        <f>"20:23:04.086"</f>
        <v>20:23:04.086</v>
      </c>
      <c r="BZ1727">
        <v>0</v>
      </c>
      <c r="CA1727">
        <v>2016</v>
      </c>
      <c r="CB1727">
        <v>224</v>
      </c>
      <c r="CD1727">
        <v>1</v>
      </c>
      <c r="CE1727">
        <v>0</v>
      </c>
      <c r="CF1727">
        <v>0</v>
      </c>
      <c r="CG1727">
        <v>1</v>
      </c>
      <c r="CH1727">
        <v>0</v>
      </c>
      <c r="CI1727">
        <v>0</v>
      </c>
      <c r="CJ1727">
        <v>0</v>
      </c>
      <c r="CK1727">
        <v>2</v>
      </c>
      <c r="CL1727">
        <v>0</v>
      </c>
      <c r="CM1727">
        <v>2</v>
      </c>
      <c r="CN1727">
        <v>0</v>
      </c>
      <c r="CO1727">
        <v>7</v>
      </c>
      <c r="CP1727" t="s">
        <v>119</v>
      </c>
      <c r="CQ1727">
        <v>180</v>
      </c>
      <c r="CR1727">
        <v>1</v>
      </c>
      <c r="CW1727">
        <v>10880128</v>
      </c>
      <c r="CY1727">
        <v>1</v>
      </c>
      <c r="CZ1727">
        <v>0</v>
      </c>
      <c r="DA1727">
        <v>0</v>
      </c>
      <c r="DB1727">
        <v>0</v>
      </c>
      <c r="DC1727">
        <v>0</v>
      </c>
      <c r="DD1727">
        <v>0</v>
      </c>
      <c r="DE1727">
        <v>0</v>
      </c>
      <c r="DF1727">
        <v>0</v>
      </c>
      <c r="DG1727">
        <v>0</v>
      </c>
      <c r="DH1727">
        <v>0</v>
      </c>
      <c r="DI1727">
        <v>0</v>
      </c>
    </row>
    <row r="1728" spans="1:113" x14ac:dyDescent="0.3">
      <c r="A1728" t="str">
        <f>"02/08/2021 20:23:01.784"</f>
        <v>02/08/2021 20:23:01.784</v>
      </c>
      <c r="C1728" t="str">
        <f t="shared" si="80"/>
        <v>FFDFD7C0</v>
      </c>
      <c r="D1728" t="s">
        <v>113</v>
      </c>
      <c r="E1728">
        <v>6</v>
      </c>
      <c r="H1728">
        <v>165</v>
      </c>
      <c r="I1728" t="s">
        <v>114</v>
      </c>
      <c r="J1728" t="s">
        <v>115</v>
      </c>
      <c r="K1728">
        <v>0</v>
      </c>
      <c r="L1728">
        <v>3</v>
      </c>
      <c r="M1728">
        <v>0</v>
      </c>
      <c r="N1728">
        <v>2</v>
      </c>
      <c r="O1728">
        <v>1</v>
      </c>
      <c r="P1728">
        <v>0</v>
      </c>
      <c r="Q1728">
        <v>0</v>
      </c>
      <c r="S1728" t="str">
        <f>"20:23:04.078"</f>
        <v>20:23:04.078</v>
      </c>
      <c r="T1728" t="str">
        <f>"20:23:03.578"</f>
        <v>20:23:03.578</v>
      </c>
      <c r="U1728" t="str">
        <f t="shared" si="79"/>
        <v>AB01F4</v>
      </c>
      <c r="V1728">
        <v>0</v>
      </c>
      <c r="W1728">
        <v>0</v>
      </c>
      <c r="X1728">
        <v>2</v>
      </c>
      <c r="Z1728">
        <v>0</v>
      </c>
      <c r="AA1728">
        <v>9</v>
      </c>
      <c r="AB1728">
        <v>3</v>
      </c>
      <c r="AC1728">
        <v>0</v>
      </c>
      <c r="AD1728">
        <v>10</v>
      </c>
      <c r="AE1728">
        <v>0</v>
      </c>
      <c r="AF1728">
        <v>3</v>
      </c>
      <c r="AG1728">
        <v>2</v>
      </c>
      <c r="AH1728">
        <v>0</v>
      </c>
      <c r="AI1728" t="s">
        <v>1113</v>
      </c>
      <c r="AJ1728">
        <v>39.888567999999999</v>
      </c>
      <c r="AK1728" t="s">
        <v>1114</v>
      </c>
      <c r="AL1728">
        <v>-92.552068000000006</v>
      </c>
      <c r="AM1728">
        <v>100</v>
      </c>
      <c r="AN1728">
        <v>1700</v>
      </c>
      <c r="AO1728" t="s">
        <v>118</v>
      </c>
      <c r="AP1728">
        <v>-42</v>
      </c>
      <c r="AQ1728">
        <v>116</v>
      </c>
      <c r="AR1728">
        <v>64</v>
      </c>
      <c r="AZ1728">
        <v>1200</v>
      </c>
      <c r="BA1728">
        <v>1</v>
      </c>
      <c r="BB1728" t="str">
        <f t="shared" si="81"/>
        <v xml:space="preserve">N8080G  </v>
      </c>
      <c r="BC1728">
        <v>1</v>
      </c>
      <c r="BE1728">
        <v>0</v>
      </c>
      <c r="BF1728">
        <v>0</v>
      </c>
      <c r="BG1728">
        <v>0</v>
      </c>
      <c r="BH1728">
        <v>1700</v>
      </c>
      <c r="BI1728">
        <v>1</v>
      </c>
      <c r="BJ1728">
        <v>1</v>
      </c>
      <c r="BK1728">
        <v>1</v>
      </c>
      <c r="BL1728">
        <v>0</v>
      </c>
      <c r="BO1728">
        <v>0</v>
      </c>
      <c r="BP1728">
        <v>0</v>
      </c>
      <c r="BW1728" t="str">
        <f>"20:23:04.086"</f>
        <v>20:23:04.086</v>
      </c>
      <c r="BZ1728">
        <v>0</v>
      </c>
      <c r="CA1728">
        <v>2016</v>
      </c>
      <c r="CB1728">
        <v>224</v>
      </c>
      <c r="CD1728">
        <v>1</v>
      </c>
      <c r="CE1728">
        <v>0</v>
      </c>
      <c r="CF1728">
        <v>0</v>
      </c>
      <c r="CG1728">
        <v>1</v>
      </c>
      <c r="CH1728">
        <v>0</v>
      </c>
      <c r="CI1728">
        <v>0</v>
      </c>
      <c r="CJ1728">
        <v>0</v>
      </c>
      <c r="CK1728">
        <v>2</v>
      </c>
      <c r="CL1728">
        <v>0</v>
      </c>
      <c r="CM1728">
        <v>2</v>
      </c>
      <c r="CN1728">
        <v>0</v>
      </c>
      <c r="CO1728">
        <v>7</v>
      </c>
      <c r="CP1728" t="s">
        <v>119</v>
      </c>
      <c r="CQ1728">
        <v>180</v>
      </c>
      <c r="CR1728">
        <v>1</v>
      </c>
      <c r="CW1728">
        <v>10880128</v>
      </c>
      <c r="CY1728">
        <v>1</v>
      </c>
      <c r="CZ1728">
        <v>0</v>
      </c>
      <c r="DA1728">
        <v>1</v>
      </c>
      <c r="DB1728">
        <v>0</v>
      </c>
      <c r="DC1728">
        <v>0</v>
      </c>
      <c r="DD1728">
        <v>0</v>
      </c>
      <c r="DE1728">
        <v>0</v>
      </c>
      <c r="DF1728">
        <v>0</v>
      </c>
      <c r="DG1728">
        <v>0</v>
      </c>
      <c r="DH1728">
        <v>0</v>
      </c>
      <c r="DI1728">
        <v>0</v>
      </c>
    </row>
    <row r="1729" spans="1:113" x14ac:dyDescent="0.3">
      <c r="A1729" t="str">
        <f>"02/08/2021 20:23:01.784"</f>
        <v>02/08/2021 20:23:01.784</v>
      </c>
      <c r="C1729" t="str">
        <f t="shared" si="80"/>
        <v>FFDFD7C0</v>
      </c>
      <c r="D1729" t="s">
        <v>124</v>
      </c>
      <c r="E1729">
        <v>12</v>
      </c>
      <c r="F1729">
        <v>1012</v>
      </c>
      <c r="G1729" t="s">
        <v>675</v>
      </c>
      <c r="J1729" t="s">
        <v>125</v>
      </c>
      <c r="K1729">
        <v>0</v>
      </c>
      <c r="L1729">
        <v>3</v>
      </c>
      <c r="M1729">
        <v>0</v>
      </c>
      <c r="N1729">
        <v>2</v>
      </c>
      <c r="O1729">
        <v>1</v>
      </c>
      <c r="P1729">
        <v>0</v>
      </c>
      <c r="Q1729">
        <v>0</v>
      </c>
      <c r="S1729" t="str">
        <f>"20:23:04.078"</f>
        <v>20:23:04.078</v>
      </c>
      <c r="T1729" t="str">
        <f>"20:23:03.578"</f>
        <v>20:23:03.578</v>
      </c>
      <c r="U1729" t="str">
        <f t="shared" si="79"/>
        <v>AB01F4</v>
      </c>
      <c r="V1729">
        <v>0</v>
      </c>
      <c r="W1729">
        <v>0</v>
      </c>
      <c r="X1729">
        <v>2</v>
      </c>
      <c r="Z1729">
        <v>0</v>
      </c>
      <c r="AA1729">
        <v>9</v>
      </c>
      <c r="AB1729">
        <v>3</v>
      </c>
      <c r="AC1729">
        <v>0</v>
      </c>
      <c r="AD1729">
        <v>10</v>
      </c>
      <c r="AE1729">
        <v>0</v>
      </c>
      <c r="AF1729">
        <v>3</v>
      </c>
      <c r="AG1729">
        <v>2</v>
      </c>
      <c r="AH1729">
        <v>0</v>
      </c>
      <c r="AI1729" t="s">
        <v>1113</v>
      </c>
      <c r="AJ1729">
        <v>39.888567999999999</v>
      </c>
      <c r="AK1729" t="s">
        <v>1114</v>
      </c>
      <c r="AL1729">
        <v>-92.552068000000006</v>
      </c>
      <c r="AM1729">
        <v>100</v>
      </c>
      <c r="AN1729">
        <v>1700</v>
      </c>
      <c r="AO1729" t="s">
        <v>118</v>
      </c>
      <c r="AP1729">
        <v>-42</v>
      </c>
      <c r="AQ1729">
        <v>116</v>
      </c>
      <c r="AR1729">
        <v>64</v>
      </c>
      <c r="AZ1729">
        <v>1200</v>
      </c>
      <c r="BA1729">
        <v>1</v>
      </c>
      <c r="BB1729" t="str">
        <f t="shared" si="81"/>
        <v xml:space="preserve">N8080G  </v>
      </c>
      <c r="BC1729">
        <v>1</v>
      </c>
      <c r="BE1729">
        <v>0</v>
      </c>
      <c r="BF1729">
        <v>0</v>
      </c>
      <c r="BG1729">
        <v>0</v>
      </c>
      <c r="BH1729">
        <v>1700</v>
      </c>
      <c r="BI1729">
        <v>1</v>
      </c>
      <c r="BJ1729">
        <v>1</v>
      </c>
      <c r="BK1729">
        <v>1</v>
      </c>
      <c r="BL1729">
        <v>0</v>
      </c>
      <c r="BO1729">
        <v>0</v>
      </c>
      <c r="BP1729">
        <v>0</v>
      </c>
      <c r="BW1729" t="str">
        <f>"20:23:04.086"</f>
        <v>20:23:04.086</v>
      </c>
      <c r="BZ1729">
        <v>0</v>
      </c>
      <c r="CA1729">
        <v>2016</v>
      </c>
      <c r="CB1729">
        <v>224</v>
      </c>
      <c r="CD1729">
        <v>1</v>
      </c>
      <c r="CE1729">
        <v>0</v>
      </c>
      <c r="CF1729">
        <v>0</v>
      </c>
      <c r="CG1729">
        <v>1</v>
      </c>
      <c r="CH1729">
        <v>0</v>
      </c>
      <c r="CI1729">
        <v>0</v>
      </c>
      <c r="CJ1729">
        <v>0</v>
      </c>
      <c r="CK1729">
        <v>2</v>
      </c>
      <c r="CL1729">
        <v>0</v>
      </c>
      <c r="CM1729">
        <v>2</v>
      </c>
      <c r="CN1729">
        <v>0</v>
      </c>
      <c r="CO1729">
        <v>7</v>
      </c>
      <c r="CP1729" t="s">
        <v>119</v>
      </c>
      <c r="CQ1729">
        <v>180</v>
      </c>
      <c r="CR1729">
        <v>1</v>
      </c>
      <c r="CW1729">
        <v>10880128</v>
      </c>
      <c r="CY1729">
        <v>1</v>
      </c>
      <c r="CZ1729">
        <v>0</v>
      </c>
      <c r="DA1729">
        <v>1</v>
      </c>
      <c r="DB1729">
        <v>0</v>
      </c>
      <c r="DC1729">
        <v>0</v>
      </c>
      <c r="DD1729">
        <v>0</v>
      </c>
      <c r="DE1729">
        <v>0</v>
      </c>
      <c r="DF1729">
        <v>0</v>
      </c>
      <c r="DG1729">
        <v>0</v>
      </c>
      <c r="DH1729">
        <v>0</v>
      </c>
      <c r="DI1729">
        <v>0</v>
      </c>
    </row>
    <row r="1730" spans="1:113" x14ac:dyDescent="0.3">
      <c r="A1730" t="str">
        <f>"02/08/2021 20:23:01.784"</f>
        <v>02/08/2021 20:23:01.784</v>
      </c>
      <c r="C1730" t="str">
        <f t="shared" si="80"/>
        <v>FFDFD7C0</v>
      </c>
      <c r="D1730" t="s">
        <v>124</v>
      </c>
      <c r="E1730">
        <v>11</v>
      </c>
      <c r="F1730">
        <v>1011</v>
      </c>
      <c r="G1730" t="s">
        <v>590</v>
      </c>
      <c r="J1730" t="s">
        <v>125</v>
      </c>
      <c r="K1730">
        <v>0</v>
      </c>
      <c r="L1730">
        <v>3</v>
      </c>
      <c r="M1730">
        <v>0</v>
      </c>
      <c r="N1730">
        <v>2</v>
      </c>
      <c r="O1730">
        <v>1</v>
      </c>
      <c r="P1730">
        <v>0</v>
      </c>
      <c r="Q1730">
        <v>0</v>
      </c>
      <c r="S1730" t="str">
        <f>"20:23:04.078"</f>
        <v>20:23:04.078</v>
      </c>
      <c r="T1730" t="str">
        <f>"20:23:03.578"</f>
        <v>20:23:03.578</v>
      </c>
      <c r="U1730" t="str">
        <f t="shared" ref="U1730:U1793" si="82">"AB01F4"</f>
        <v>AB01F4</v>
      </c>
      <c r="V1730">
        <v>0</v>
      </c>
      <c r="W1730">
        <v>0</v>
      </c>
      <c r="X1730">
        <v>2</v>
      </c>
      <c r="Z1730">
        <v>0</v>
      </c>
      <c r="AA1730">
        <v>9</v>
      </c>
      <c r="AB1730">
        <v>3</v>
      </c>
      <c r="AC1730">
        <v>0</v>
      </c>
      <c r="AD1730">
        <v>10</v>
      </c>
      <c r="AE1730">
        <v>0</v>
      </c>
      <c r="AF1730">
        <v>3</v>
      </c>
      <c r="AG1730">
        <v>2</v>
      </c>
      <c r="AH1730">
        <v>0</v>
      </c>
      <c r="AI1730" t="s">
        <v>1113</v>
      </c>
      <c r="AJ1730">
        <v>39.888567999999999</v>
      </c>
      <c r="AK1730" t="s">
        <v>1114</v>
      </c>
      <c r="AL1730">
        <v>-92.552068000000006</v>
      </c>
      <c r="AM1730">
        <v>100</v>
      </c>
      <c r="AN1730">
        <v>1700</v>
      </c>
      <c r="AO1730" t="s">
        <v>118</v>
      </c>
      <c r="AP1730">
        <v>-42</v>
      </c>
      <c r="AQ1730">
        <v>116</v>
      </c>
      <c r="AR1730">
        <v>64</v>
      </c>
      <c r="AZ1730">
        <v>1200</v>
      </c>
      <c r="BA1730">
        <v>1</v>
      </c>
      <c r="BB1730" t="str">
        <f t="shared" si="81"/>
        <v xml:space="preserve">N8080G  </v>
      </c>
      <c r="BC1730">
        <v>1</v>
      </c>
      <c r="BE1730">
        <v>0</v>
      </c>
      <c r="BF1730">
        <v>0</v>
      </c>
      <c r="BG1730">
        <v>0</v>
      </c>
      <c r="BH1730">
        <v>1700</v>
      </c>
      <c r="BI1730">
        <v>1</v>
      </c>
      <c r="BJ1730">
        <v>1</v>
      </c>
      <c r="BK1730">
        <v>1</v>
      </c>
      <c r="BL1730">
        <v>0</v>
      </c>
      <c r="BO1730">
        <v>0</v>
      </c>
      <c r="BP1730">
        <v>0</v>
      </c>
      <c r="BW1730" t="str">
        <f>"20:23:04.086"</f>
        <v>20:23:04.086</v>
      </c>
      <c r="BZ1730">
        <v>0</v>
      </c>
      <c r="CA1730">
        <v>2016</v>
      </c>
      <c r="CB1730">
        <v>224</v>
      </c>
      <c r="CD1730">
        <v>1</v>
      </c>
      <c r="CE1730">
        <v>0</v>
      </c>
      <c r="CF1730">
        <v>0</v>
      </c>
      <c r="CG1730">
        <v>1</v>
      </c>
      <c r="CH1730">
        <v>0</v>
      </c>
      <c r="CI1730">
        <v>0</v>
      </c>
      <c r="CJ1730">
        <v>0</v>
      </c>
      <c r="CK1730">
        <v>2</v>
      </c>
      <c r="CL1730">
        <v>0</v>
      </c>
      <c r="CM1730">
        <v>2</v>
      </c>
      <c r="CN1730">
        <v>0</v>
      </c>
      <c r="CO1730">
        <v>7</v>
      </c>
      <c r="CP1730" t="s">
        <v>119</v>
      </c>
      <c r="CQ1730">
        <v>180</v>
      </c>
      <c r="CR1730">
        <v>1</v>
      </c>
      <c r="CW1730">
        <v>10880128</v>
      </c>
      <c r="CY1730">
        <v>1</v>
      </c>
      <c r="CZ1730">
        <v>0</v>
      </c>
      <c r="DA1730">
        <v>1</v>
      </c>
      <c r="DB1730">
        <v>0</v>
      </c>
      <c r="DC1730">
        <v>0</v>
      </c>
      <c r="DD1730">
        <v>0</v>
      </c>
      <c r="DE1730">
        <v>0</v>
      </c>
      <c r="DF1730">
        <v>0</v>
      </c>
      <c r="DG1730">
        <v>0</v>
      </c>
      <c r="DH1730">
        <v>0</v>
      </c>
      <c r="DI1730">
        <v>0</v>
      </c>
    </row>
    <row r="1731" spans="1:113" x14ac:dyDescent="0.3">
      <c r="A1731" t="str">
        <f>"02/08/2021 20:23:03.227"</f>
        <v>02/08/2021 20:23:03.227</v>
      </c>
      <c r="C1731" t="str">
        <f t="shared" si="80"/>
        <v>FFDFD7C0</v>
      </c>
      <c r="D1731" t="s">
        <v>124</v>
      </c>
      <c r="E1731">
        <v>11</v>
      </c>
      <c r="F1731">
        <v>1011</v>
      </c>
      <c r="G1731" t="s">
        <v>590</v>
      </c>
      <c r="J1731" t="s">
        <v>125</v>
      </c>
      <c r="K1731">
        <v>0</v>
      </c>
      <c r="L1731">
        <v>3</v>
      </c>
      <c r="M1731">
        <v>0</v>
      </c>
      <c r="N1731">
        <v>2</v>
      </c>
      <c r="O1731">
        <v>1</v>
      </c>
      <c r="P1731">
        <v>0</v>
      </c>
      <c r="Q1731">
        <v>0</v>
      </c>
      <c r="S1731" t="str">
        <f>"20:23:05.531"</f>
        <v>20:23:05.531</v>
      </c>
      <c r="T1731" t="str">
        <f>"20:23:05.031"</f>
        <v>20:23:05.031</v>
      </c>
      <c r="U1731" t="str">
        <f t="shared" si="82"/>
        <v>AB01F4</v>
      </c>
      <c r="V1731">
        <v>0</v>
      </c>
      <c r="W1731">
        <v>0</v>
      </c>
      <c r="X1731">
        <v>2</v>
      </c>
      <c r="Z1731">
        <v>0</v>
      </c>
      <c r="AA1731">
        <v>9</v>
      </c>
      <c r="AB1731">
        <v>3</v>
      </c>
      <c r="AC1731">
        <v>0</v>
      </c>
      <c r="AD1731">
        <v>10</v>
      </c>
      <c r="AE1731">
        <v>0</v>
      </c>
      <c r="AF1731">
        <v>3</v>
      </c>
      <c r="AG1731">
        <v>2</v>
      </c>
      <c r="AH1731">
        <v>0</v>
      </c>
      <c r="AI1731" t="s">
        <v>1115</v>
      </c>
      <c r="AJ1731">
        <v>39.889339999999997</v>
      </c>
      <c r="AK1731" t="s">
        <v>1116</v>
      </c>
      <c r="AL1731">
        <v>-92.552539999999993</v>
      </c>
      <c r="AM1731">
        <v>100</v>
      </c>
      <c r="AN1731">
        <v>1700</v>
      </c>
      <c r="AO1731" t="s">
        <v>118</v>
      </c>
      <c r="AP1731">
        <v>-46</v>
      </c>
      <c r="AQ1731">
        <v>115</v>
      </c>
      <c r="AR1731">
        <v>64</v>
      </c>
      <c r="AZ1731">
        <v>1200</v>
      </c>
      <c r="BA1731">
        <v>1</v>
      </c>
      <c r="BB1731" t="str">
        <f t="shared" si="81"/>
        <v xml:space="preserve">N8080G  </v>
      </c>
      <c r="BC1731">
        <v>1</v>
      </c>
      <c r="BE1731">
        <v>0</v>
      </c>
      <c r="BF1731">
        <v>0</v>
      </c>
      <c r="BG1731">
        <v>0</v>
      </c>
      <c r="BH1731">
        <v>1700</v>
      </c>
      <c r="BI1731">
        <v>1</v>
      </c>
      <c r="BJ1731">
        <v>1</v>
      </c>
      <c r="BK1731">
        <v>1</v>
      </c>
      <c r="BL1731">
        <v>0</v>
      </c>
      <c r="BO1731">
        <v>0</v>
      </c>
      <c r="BP1731">
        <v>0</v>
      </c>
      <c r="BW1731" t="str">
        <f>"20:23:05.536"</f>
        <v>20:23:05.536</v>
      </c>
      <c r="BZ1731">
        <v>0</v>
      </c>
      <c r="CA1731">
        <v>2016</v>
      </c>
      <c r="CB1731">
        <v>224</v>
      </c>
      <c r="CD1731">
        <v>1</v>
      </c>
      <c r="CE1731">
        <v>0</v>
      </c>
      <c r="CF1731">
        <v>0</v>
      </c>
      <c r="CG1731">
        <v>1</v>
      </c>
      <c r="CH1731">
        <v>0</v>
      </c>
      <c r="CI1731">
        <v>0</v>
      </c>
      <c r="CJ1731">
        <v>0</v>
      </c>
      <c r="CK1731">
        <v>2</v>
      </c>
      <c r="CL1731">
        <v>0</v>
      </c>
      <c r="CM1731">
        <v>2</v>
      </c>
      <c r="CN1731">
        <v>0</v>
      </c>
      <c r="CO1731">
        <v>7</v>
      </c>
      <c r="CP1731" t="s">
        <v>119</v>
      </c>
      <c r="CQ1731">
        <v>180</v>
      </c>
      <c r="CR1731">
        <v>1</v>
      </c>
      <c r="CW1731">
        <v>10881484</v>
      </c>
      <c r="CY1731">
        <v>1</v>
      </c>
      <c r="CZ1731">
        <v>0</v>
      </c>
      <c r="DA1731">
        <v>0</v>
      </c>
      <c r="DB1731">
        <v>0</v>
      </c>
      <c r="DC1731">
        <v>0</v>
      </c>
      <c r="DD1731">
        <v>0</v>
      </c>
      <c r="DE1731">
        <v>0</v>
      </c>
      <c r="DF1731">
        <v>0</v>
      </c>
      <c r="DG1731">
        <v>0</v>
      </c>
      <c r="DH1731">
        <v>0</v>
      </c>
      <c r="DI1731">
        <v>0</v>
      </c>
    </row>
    <row r="1732" spans="1:113" x14ac:dyDescent="0.3">
      <c r="A1732" t="str">
        <f>"02/08/2021 20:23:03.227"</f>
        <v>02/08/2021 20:23:03.227</v>
      </c>
      <c r="C1732" t="str">
        <f t="shared" si="80"/>
        <v>FFDFD7C0</v>
      </c>
      <c r="D1732" t="s">
        <v>124</v>
      </c>
      <c r="E1732">
        <v>13</v>
      </c>
      <c r="F1732">
        <v>1013</v>
      </c>
      <c r="G1732" t="s">
        <v>114</v>
      </c>
      <c r="J1732" t="s">
        <v>125</v>
      </c>
      <c r="K1732">
        <v>0</v>
      </c>
      <c r="L1732">
        <v>3</v>
      </c>
      <c r="M1732">
        <v>0</v>
      </c>
      <c r="N1732">
        <v>2</v>
      </c>
      <c r="O1732">
        <v>1</v>
      </c>
      <c r="P1732">
        <v>0</v>
      </c>
      <c r="Q1732">
        <v>0</v>
      </c>
      <c r="S1732" t="str">
        <f>"20:23:05.531"</f>
        <v>20:23:05.531</v>
      </c>
      <c r="T1732" t="str">
        <f>"20:23:05.031"</f>
        <v>20:23:05.031</v>
      </c>
      <c r="U1732" t="str">
        <f t="shared" si="82"/>
        <v>AB01F4</v>
      </c>
      <c r="V1732">
        <v>0</v>
      </c>
      <c r="W1732">
        <v>0</v>
      </c>
      <c r="X1732">
        <v>2</v>
      </c>
      <c r="Z1732">
        <v>0</v>
      </c>
      <c r="AA1732">
        <v>9</v>
      </c>
      <c r="AB1732">
        <v>3</v>
      </c>
      <c r="AC1732">
        <v>0</v>
      </c>
      <c r="AD1732">
        <v>10</v>
      </c>
      <c r="AE1732">
        <v>0</v>
      </c>
      <c r="AF1732">
        <v>3</v>
      </c>
      <c r="AG1732">
        <v>2</v>
      </c>
      <c r="AH1732">
        <v>0</v>
      </c>
      <c r="AI1732" t="s">
        <v>1115</v>
      </c>
      <c r="AJ1732">
        <v>39.889339999999997</v>
      </c>
      <c r="AK1732" t="s">
        <v>1116</v>
      </c>
      <c r="AL1732">
        <v>-92.552539999999993</v>
      </c>
      <c r="AM1732">
        <v>100</v>
      </c>
      <c r="AN1732">
        <v>1700</v>
      </c>
      <c r="AO1732" t="s">
        <v>118</v>
      </c>
      <c r="AP1732">
        <v>-46</v>
      </c>
      <c r="AQ1732">
        <v>115</v>
      </c>
      <c r="AR1732">
        <v>64</v>
      </c>
      <c r="AZ1732">
        <v>1200</v>
      </c>
      <c r="BA1732">
        <v>1</v>
      </c>
      <c r="BB1732" t="str">
        <f t="shared" si="81"/>
        <v xml:space="preserve">N8080G  </v>
      </c>
      <c r="BC1732">
        <v>1</v>
      </c>
      <c r="BE1732">
        <v>0</v>
      </c>
      <c r="BF1732">
        <v>0</v>
      </c>
      <c r="BG1732">
        <v>0</v>
      </c>
      <c r="BH1732">
        <v>1700</v>
      </c>
      <c r="BI1732">
        <v>1</v>
      </c>
      <c r="BJ1732">
        <v>1</v>
      </c>
      <c r="BK1732">
        <v>1</v>
      </c>
      <c r="BL1732">
        <v>0</v>
      </c>
      <c r="BO1732">
        <v>0</v>
      </c>
      <c r="BP1732">
        <v>0</v>
      </c>
      <c r="BW1732" t="str">
        <f>"20:23:05.536"</f>
        <v>20:23:05.536</v>
      </c>
      <c r="BZ1732">
        <v>0</v>
      </c>
      <c r="CA1732">
        <v>2016</v>
      </c>
      <c r="CB1732">
        <v>224</v>
      </c>
      <c r="CD1732">
        <v>1</v>
      </c>
      <c r="CE1732">
        <v>0</v>
      </c>
      <c r="CF1732">
        <v>0</v>
      </c>
      <c r="CG1732">
        <v>1</v>
      </c>
      <c r="CH1732">
        <v>0</v>
      </c>
      <c r="CI1732">
        <v>0</v>
      </c>
      <c r="CJ1732">
        <v>0</v>
      </c>
      <c r="CK1732">
        <v>2</v>
      </c>
      <c r="CL1732">
        <v>0</v>
      </c>
      <c r="CM1732">
        <v>2</v>
      </c>
      <c r="CN1732">
        <v>0</v>
      </c>
      <c r="CO1732">
        <v>7</v>
      </c>
      <c r="CP1732" t="s">
        <v>119</v>
      </c>
      <c r="CQ1732">
        <v>180</v>
      </c>
      <c r="CR1732">
        <v>1</v>
      </c>
      <c r="CW1732">
        <v>10881484</v>
      </c>
      <c r="CY1732">
        <v>1</v>
      </c>
      <c r="CZ1732">
        <v>0</v>
      </c>
      <c r="DA1732">
        <v>1</v>
      </c>
      <c r="DB1732">
        <v>0</v>
      </c>
      <c r="DC1732">
        <v>0</v>
      </c>
      <c r="DD1732">
        <v>0</v>
      </c>
      <c r="DE1732">
        <v>0</v>
      </c>
      <c r="DF1732">
        <v>0</v>
      </c>
      <c r="DG1732">
        <v>0</v>
      </c>
      <c r="DH1732">
        <v>0</v>
      </c>
      <c r="DI1732">
        <v>0</v>
      </c>
    </row>
    <row r="1733" spans="1:113" x14ac:dyDescent="0.3">
      <c r="A1733" t="str">
        <f>"02/08/2021 20:23:03.227"</f>
        <v>02/08/2021 20:23:03.227</v>
      </c>
      <c r="C1733" t="str">
        <f t="shared" si="80"/>
        <v>FFDFD7C0</v>
      </c>
      <c r="D1733" t="s">
        <v>113</v>
      </c>
      <c r="E1733">
        <v>6</v>
      </c>
      <c r="H1733">
        <v>165</v>
      </c>
      <c r="I1733" t="s">
        <v>114</v>
      </c>
      <c r="J1733" t="s">
        <v>115</v>
      </c>
      <c r="K1733">
        <v>0</v>
      </c>
      <c r="L1733">
        <v>3</v>
      </c>
      <c r="M1733">
        <v>0</v>
      </c>
      <c r="N1733">
        <v>2</v>
      </c>
      <c r="O1733">
        <v>1</v>
      </c>
      <c r="P1733">
        <v>0</v>
      </c>
      <c r="Q1733">
        <v>0</v>
      </c>
      <c r="S1733" t="str">
        <f>"20:23:05.531"</f>
        <v>20:23:05.531</v>
      </c>
      <c r="T1733" t="str">
        <f>"20:23:05.031"</f>
        <v>20:23:05.031</v>
      </c>
      <c r="U1733" t="str">
        <f t="shared" si="82"/>
        <v>AB01F4</v>
      </c>
      <c r="V1733">
        <v>0</v>
      </c>
      <c r="W1733">
        <v>0</v>
      </c>
      <c r="X1733">
        <v>2</v>
      </c>
      <c r="Z1733">
        <v>0</v>
      </c>
      <c r="AA1733">
        <v>9</v>
      </c>
      <c r="AB1733">
        <v>3</v>
      </c>
      <c r="AC1733">
        <v>0</v>
      </c>
      <c r="AD1733">
        <v>10</v>
      </c>
      <c r="AE1733">
        <v>0</v>
      </c>
      <c r="AF1733">
        <v>3</v>
      </c>
      <c r="AG1733">
        <v>2</v>
      </c>
      <c r="AH1733">
        <v>0</v>
      </c>
      <c r="AI1733" t="s">
        <v>1115</v>
      </c>
      <c r="AJ1733">
        <v>39.889339999999997</v>
      </c>
      <c r="AK1733" t="s">
        <v>1116</v>
      </c>
      <c r="AL1733">
        <v>-92.552539999999993</v>
      </c>
      <c r="AM1733">
        <v>100</v>
      </c>
      <c r="AN1733">
        <v>1700</v>
      </c>
      <c r="AO1733" t="s">
        <v>118</v>
      </c>
      <c r="AP1733">
        <v>-46</v>
      </c>
      <c r="AQ1733">
        <v>115</v>
      </c>
      <c r="AR1733">
        <v>64</v>
      </c>
      <c r="AZ1733">
        <v>1200</v>
      </c>
      <c r="BA1733">
        <v>1</v>
      </c>
      <c r="BB1733" t="str">
        <f t="shared" si="81"/>
        <v xml:space="preserve">N8080G  </v>
      </c>
      <c r="BC1733">
        <v>1</v>
      </c>
      <c r="BE1733">
        <v>0</v>
      </c>
      <c r="BF1733">
        <v>0</v>
      </c>
      <c r="BG1733">
        <v>0</v>
      </c>
      <c r="BH1733">
        <v>1700</v>
      </c>
      <c r="BI1733">
        <v>1</v>
      </c>
      <c r="BJ1733">
        <v>1</v>
      </c>
      <c r="BK1733">
        <v>1</v>
      </c>
      <c r="BL1733">
        <v>0</v>
      </c>
      <c r="BO1733">
        <v>0</v>
      </c>
      <c r="BP1733">
        <v>0</v>
      </c>
      <c r="BW1733" t="str">
        <f>"20:23:05.536"</f>
        <v>20:23:05.536</v>
      </c>
      <c r="BZ1733">
        <v>0</v>
      </c>
      <c r="CA1733">
        <v>2016</v>
      </c>
      <c r="CB1733">
        <v>224</v>
      </c>
      <c r="CD1733">
        <v>1</v>
      </c>
      <c r="CE1733">
        <v>0</v>
      </c>
      <c r="CF1733">
        <v>0</v>
      </c>
      <c r="CG1733">
        <v>1</v>
      </c>
      <c r="CH1733">
        <v>0</v>
      </c>
      <c r="CI1733">
        <v>0</v>
      </c>
      <c r="CJ1733">
        <v>0</v>
      </c>
      <c r="CK1733">
        <v>2</v>
      </c>
      <c r="CL1733">
        <v>0</v>
      </c>
      <c r="CM1733">
        <v>2</v>
      </c>
      <c r="CN1733">
        <v>0</v>
      </c>
      <c r="CO1733">
        <v>7</v>
      </c>
      <c r="CP1733" t="s">
        <v>119</v>
      </c>
      <c r="CQ1733">
        <v>180</v>
      </c>
      <c r="CR1733">
        <v>1</v>
      </c>
      <c r="CW1733">
        <v>10881484</v>
      </c>
      <c r="CY1733">
        <v>1</v>
      </c>
      <c r="CZ1733">
        <v>0</v>
      </c>
      <c r="DA1733">
        <v>1</v>
      </c>
      <c r="DB1733">
        <v>0</v>
      </c>
      <c r="DC1733">
        <v>0</v>
      </c>
      <c r="DD1733">
        <v>0</v>
      </c>
      <c r="DE1733">
        <v>0</v>
      </c>
      <c r="DF1733">
        <v>0</v>
      </c>
      <c r="DG1733">
        <v>0</v>
      </c>
      <c r="DH1733">
        <v>0</v>
      </c>
      <c r="DI1733">
        <v>0</v>
      </c>
    </row>
    <row r="1734" spans="1:113" x14ac:dyDescent="0.3">
      <c r="A1734" t="str">
        <f>"02/08/2021 20:23:03.227"</f>
        <v>02/08/2021 20:23:03.227</v>
      </c>
      <c r="C1734" t="str">
        <f t="shared" si="80"/>
        <v>FFDFD7C0</v>
      </c>
      <c r="D1734" t="s">
        <v>124</v>
      </c>
      <c r="E1734">
        <v>12</v>
      </c>
      <c r="F1734">
        <v>1012</v>
      </c>
      <c r="G1734" t="s">
        <v>675</v>
      </c>
      <c r="J1734" t="s">
        <v>125</v>
      </c>
      <c r="K1734">
        <v>0</v>
      </c>
      <c r="L1734">
        <v>3</v>
      </c>
      <c r="M1734">
        <v>0</v>
      </c>
      <c r="N1734">
        <v>2</v>
      </c>
      <c r="O1734">
        <v>1</v>
      </c>
      <c r="P1734">
        <v>0</v>
      </c>
      <c r="Q1734">
        <v>0</v>
      </c>
      <c r="S1734" t="str">
        <f>"20:23:05.531"</f>
        <v>20:23:05.531</v>
      </c>
      <c r="T1734" t="str">
        <f>"20:23:05.031"</f>
        <v>20:23:05.031</v>
      </c>
      <c r="U1734" t="str">
        <f t="shared" si="82"/>
        <v>AB01F4</v>
      </c>
      <c r="V1734">
        <v>0</v>
      </c>
      <c r="W1734">
        <v>0</v>
      </c>
      <c r="X1734">
        <v>2</v>
      </c>
      <c r="Z1734">
        <v>0</v>
      </c>
      <c r="AA1734">
        <v>9</v>
      </c>
      <c r="AB1734">
        <v>3</v>
      </c>
      <c r="AC1734">
        <v>0</v>
      </c>
      <c r="AD1734">
        <v>10</v>
      </c>
      <c r="AE1734">
        <v>0</v>
      </c>
      <c r="AF1734">
        <v>3</v>
      </c>
      <c r="AG1734">
        <v>2</v>
      </c>
      <c r="AH1734">
        <v>0</v>
      </c>
      <c r="AI1734" t="s">
        <v>1115</v>
      </c>
      <c r="AJ1734">
        <v>39.889339999999997</v>
      </c>
      <c r="AK1734" t="s">
        <v>1116</v>
      </c>
      <c r="AL1734">
        <v>-92.552539999999993</v>
      </c>
      <c r="AM1734">
        <v>100</v>
      </c>
      <c r="AN1734">
        <v>1700</v>
      </c>
      <c r="AO1734" t="s">
        <v>118</v>
      </c>
      <c r="AP1734">
        <v>-46</v>
      </c>
      <c r="AQ1734">
        <v>115</v>
      </c>
      <c r="AR1734">
        <v>64</v>
      </c>
      <c r="AZ1734">
        <v>1200</v>
      </c>
      <c r="BA1734">
        <v>1</v>
      </c>
      <c r="BB1734" t="str">
        <f t="shared" si="81"/>
        <v xml:space="preserve">N8080G  </v>
      </c>
      <c r="BC1734">
        <v>1</v>
      </c>
      <c r="BE1734">
        <v>0</v>
      </c>
      <c r="BF1734">
        <v>0</v>
      </c>
      <c r="BG1734">
        <v>0</v>
      </c>
      <c r="BH1734">
        <v>1700</v>
      </c>
      <c r="BI1734">
        <v>1</v>
      </c>
      <c r="BJ1734">
        <v>1</v>
      </c>
      <c r="BK1734">
        <v>1</v>
      </c>
      <c r="BL1734">
        <v>0</v>
      </c>
      <c r="BO1734">
        <v>0</v>
      </c>
      <c r="BP1734">
        <v>0</v>
      </c>
      <c r="BW1734" t="str">
        <f>"20:23:05.536"</f>
        <v>20:23:05.536</v>
      </c>
      <c r="BZ1734">
        <v>0</v>
      </c>
      <c r="CA1734">
        <v>2016</v>
      </c>
      <c r="CB1734">
        <v>224</v>
      </c>
      <c r="CD1734">
        <v>1</v>
      </c>
      <c r="CE1734">
        <v>0</v>
      </c>
      <c r="CF1734">
        <v>0</v>
      </c>
      <c r="CG1734">
        <v>1</v>
      </c>
      <c r="CH1734">
        <v>0</v>
      </c>
      <c r="CI1734">
        <v>0</v>
      </c>
      <c r="CJ1734">
        <v>0</v>
      </c>
      <c r="CK1734">
        <v>2</v>
      </c>
      <c r="CL1734">
        <v>0</v>
      </c>
      <c r="CM1734">
        <v>2</v>
      </c>
      <c r="CN1734">
        <v>0</v>
      </c>
      <c r="CO1734">
        <v>7</v>
      </c>
      <c r="CP1734" t="s">
        <v>119</v>
      </c>
      <c r="CQ1734">
        <v>180</v>
      </c>
      <c r="CR1734">
        <v>1</v>
      </c>
      <c r="CW1734">
        <v>10881484</v>
      </c>
      <c r="CY1734">
        <v>1</v>
      </c>
      <c r="CZ1734">
        <v>0</v>
      </c>
      <c r="DA1734">
        <v>1</v>
      </c>
      <c r="DB1734">
        <v>0</v>
      </c>
      <c r="DC1734">
        <v>0</v>
      </c>
      <c r="DD1734">
        <v>0</v>
      </c>
      <c r="DE1734">
        <v>0</v>
      </c>
      <c r="DF1734">
        <v>0</v>
      </c>
      <c r="DG1734">
        <v>0</v>
      </c>
      <c r="DH1734">
        <v>0</v>
      </c>
      <c r="DI1734">
        <v>0</v>
      </c>
    </row>
    <row r="1735" spans="1:113" x14ac:dyDescent="0.3">
      <c r="A1735" t="str">
        <f>"02/08/2021 20:23:04.066"</f>
        <v>02/08/2021 20:23:04.066</v>
      </c>
      <c r="C1735" t="str">
        <f>"FFD3D3C0"</f>
        <v>FFD3D3C0</v>
      </c>
      <c r="D1735" t="s">
        <v>113</v>
      </c>
      <c r="E1735">
        <v>6</v>
      </c>
      <c r="H1735">
        <v>165</v>
      </c>
      <c r="I1735" t="s">
        <v>114</v>
      </c>
      <c r="J1735" t="s">
        <v>115</v>
      </c>
      <c r="K1735">
        <v>0</v>
      </c>
      <c r="L1735">
        <v>3</v>
      </c>
      <c r="M1735">
        <v>0</v>
      </c>
      <c r="N1735">
        <v>2</v>
      </c>
      <c r="O1735">
        <v>1</v>
      </c>
      <c r="P1735">
        <v>0</v>
      </c>
      <c r="Q1735">
        <v>0</v>
      </c>
      <c r="S1735" t="str">
        <f>"20:23:06.125"</f>
        <v>20:23:06.125</v>
      </c>
      <c r="T1735" t="str">
        <f>"20:22:55.825"</f>
        <v>20:22:55.825</v>
      </c>
      <c r="U1735" t="str">
        <f t="shared" si="82"/>
        <v>AB01F4</v>
      </c>
      <c r="V1735">
        <v>0</v>
      </c>
      <c r="W1735">
        <v>0</v>
      </c>
      <c r="X1735">
        <v>2</v>
      </c>
      <c r="Z1735">
        <v>0</v>
      </c>
      <c r="AA1735">
        <v>9</v>
      </c>
      <c r="AB1735">
        <v>3</v>
      </c>
      <c r="AC1735">
        <v>0</v>
      </c>
      <c r="AD1735">
        <v>10</v>
      </c>
      <c r="AE1735">
        <v>0</v>
      </c>
      <c r="AF1735">
        <v>3</v>
      </c>
      <c r="AH1735">
        <v>0</v>
      </c>
      <c r="AI1735" t="s">
        <v>1117</v>
      </c>
      <c r="AJ1735">
        <v>39.889662000000001</v>
      </c>
      <c r="AK1735" t="s">
        <v>1118</v>
      </c>
      <c r="AL1735">
        <v>-92.552712</v>
      </c>
      <c r="AM1735">
        <v>100</v>
      </c>
      <c r="AN1735">
        <v>1700</v>
      </c>
      <c r="AO1735" t="s">
        <v>118</v>
      </c>
      <c r="AP1735">
        <v>-41</v>
      </c>
      <c r="AQ1735">
        <v>117</v>
      </c>
      <c r="AR1735">
        <v>64</v>
      </c>
      <c r="AZ1735">
        <v>1200</v>
      </c>
      <c r="BA1735">
        <v>1</v>
      </c>
      <c r="BE1735">
        <v>0</v>
      </c>
      <c r="BF1735">
        <v>0</v>
      </c>
      <c r="BG1735">
        <v>0</v>
      </c>
      <c r="BH1735">
        <v>1700</v>
      </c>
      <c r="BI1735">
        <v>1</v>
      </c>
      <c r="BJ1735">
        <v>1</v>
      </c>
      <c r="BK1735">
        <v>1</v>
      </c>
      <c r="BL1735">
        <v>0</v>
      </c>
      <c r="BO1735">
        <v>0</v>
      </c>
      <c r="BP1735">
        <v>0</v>
      </c>
      <c r="BW1735" t="str">
        <f>"20:23:06.126"</f>
        <v>20:23:06.126</v>
      </c>
      <c r="CJ1735">
        <v>0</v>
      </c>
      <c r="CK1735">
        <v>2</v>
      </c>
      <c r="CL1735">
        <v>0</v>
      </c>
      <c r="CM1735">
        <v>2</v>
      </c>
      <c r="CN1735">
        <v>0</v>
      </c>
      <c r="CO1735">
        <v>1</v>
      </c>
      <c r="CP1735" t="s">
        <v>119</v>
      </c>
      <c r="CQ1735">
        <v>179</v>
      </c>
      <c r="CR1735">
        <v>1</v>
      </c>
      <c r="CW1735">
        <v>8750188</v>
      </c>
      <c r="CY1735">
        <v>1</v>
      </c>
      <c r="CZ1735">
        <v>0</v>
      </c>
      <c r="DA1735">
        <v>0</v>
      </c>
      <c r="DB1735">
        <v>0</v>
      </c>
      <c r="DC1735">
        <v>0</v>
      </c>
      <c r="DD1735">
        <v>0</v>
      </c>
      <c r="DE1735">
        <v>0</v>
      </c>
      <c r="DF1735">
        <v>1</v>
      </c>
      <c r="DG1735">
        <v>0</v>
      </c>
      <c r="DH1735">
        <v>0</v>
      </c>
      <c r="DI1735">
        <v>1</v>
      </c>
    </row>
    <row r="1736" spans="1:113" x14ac:dyDescent="0.3">
      <c r="A1736" t="str">
        <f>"02/08/2021 20:23:04.066"</f>
        <v>02/08/2021 20:23:04.066</v>
      </c>
      <c r="C1736" t="str">
        <f>"FFD3D3C0"</f>
        <v>FFD3D3C0</v>
      </c>
      <c r="D1736" t="s">
        <v>124</v>
      </c>
      <c r="E1736">
        <v>11</v>
      </c>
      <c r="F1736">
        <v>1011</v>
      </c>
      <c r="G1736" t="s">
        <v>590</v>
      </c>
      <c r="J1736" t="s">
        <v>125</v>
      </c>
      <c r="K1736">
        <v>0</v>
      </c>
      <c r="L1736">
        <v>3</v>
      </c>
      <c r="M1736">
        <v>0</v>
      </c>
      <c r="N1736">
        <v>2</v>
      </c>
      <c r="O1736">
        <v>1</v>
      </c>
      <c r="P1736">
        <v>0</v>
      </c>
      <c r="Q1736">
        <v>0</v>
      </c>
      <c r="S1736" t="str">
        <f>"20:23:06.125"</f>
        <v>20:23:06.125</v>
      </c>
      <c r="T1736" t="str">
        <f>"20:22:55.825"</f>
        <v>20:22:55.825</v>
      </c>
      <c r="U1736" t="str">
        <f t="shared" si="82"/>
        <v>AB01F4</v>
      </c>
      <c r="V1736">
        <v>0</v>
      </c>
      <c r="W1736">
        <v>0</v>
      </c>
      <c r="X1736">
        <v>2</v>
      </c>
      <c r="Z1736">
        <v>0</v>
      </c>
      <c r="AA1736">
        <v>9</v>
      </c>
      <c r="AB1736">
        <v>3</v>
      </c>
      <c r="AC1736">
        <v>0</v>
      </c>
      <c r="AD1736">
        <v>10</v>
      </c>
      <c r="AE1736">
        <v>0</v>
      </c>
      <c r="AF1736">
        <v>3</v>
      </c>
      <c r="AH1736">
        <v>0</v>
      </c>
      <c r="AI1736" t="s">
        <v>1117</v>
      </c>
      <c r="AJ1736">
        <v>39.889662000000001</v>
      </c>
      <c r="AK1736" t="s">
        <v>1118</v>
      </c>
      <c r="AL1736">
        <v>-92.552712</v>
      </c>
      <c r="AM1736">
        <v>100</v>
      </c>
      <c r="AN1736">
        <v>1700</v>
      </c>
      <c r="AO1736" t="s">
        <v>118</v>
      </c>
      <c r="AP1736">
        <v>-41</v>
      </c>
      <c r="AQ1736">
        <v>117</v>
      </c>
      <c r="AR1736">
        <v>64</v>
      </c>
      <c r="AZ1736">
        <v>1200</v>
      </c>
      <c r="BA1736">
        <v>1</v>
      </c>
      <c r="BE1736">
        <v>0</v>
      </c>
      <c r="BF1736">
        <v>0</v>
      </c>
      <c r="BG1736">
        <v>0</v>
      </c>
      <c r="BH1736">
        <v>1700</v>
      </c>
      <c r="BI1736">
        <v>1</v>
      </c>
      <c r="BJ1736">
        <v>1</v>
      </c>
      <c r="BK1736">
        <v>1</v>
      </c>
      <c r="BL1736">
        <v>0</v>
      </c>
      <c r="BO1736">
        <v>0</v>
      </c>
      <c r="BP1736">
        <v>0</v>
      </c>
      <c r="BW1736" t="str">
        <f>"20:23:06.126"</f>
        <v>20:23:06.126</v>
      </c>
      <c r="CJ1736">
        <v>0</v>
      </c>
      <c r="CK1736">
        <v>2</v>
      </c>
      <c r="CL1736">
        <v>0</v>
      </c>
      <c r="CM1736">
        <v>2</v>
      </c>
      <c r="CN1736">
        <v>0</v>
      </c>
      <c r="CO1736">
        <v>1</v>
      </c>
      <c r="CP1736" t="s">
        <v>119</v>
      </c>
      <c r="CQ1736">
        <v>179</v>
      </c>
      <c r="CR1736">
        <v>1</v>
      </c>
      <c r="CW1736">
        <v>8750188</v>
      </c>
      <c r="CY1736">
        <v>1</v>
      </c>
      <c r="CZ1736">
        <v>0</v>
      </c>
      <c r="DA1736">
        <v>1</v>
      </c>
      <c r="DB1736">
        <v>0</v>
      </c>
      <c r="DC1736">
        <v>0</v>
      </c>
      <c r="DD1736">
        <v>0</v>
      </c>
      <c r="DE1736">
        <v>0</v>
      </c>
      <c r="DF1736">
        <v>1</v>
      </c>
      <c r="DG1736">
        <v>0</v>
      </c>
      <c r="DH1736">
        <v>0</v>
      </c>
      <c r="DI1736">
        <v>1</v>
      </c>
    </row>
    <row r="1737" spans="1:113" x14ac:dyDescent="0.3">
      <c r="A1737" t="str">
        <f>"02/08/2021 20:23:04.066"</f>
        <v>02/08/2021 20:23:04.066</v>
      </c>
      <c r="C1737" t="str">
        <f>"FFD3D3C0"</f>
        <v>FFD3D3C0</v>
      </c>
      <c r="D1737" t="s">
        <v>124</v>
      </c>
      <c r="E1737">
        <v>13</v>
      </c>
      <c r="F1737">
        <v>1013</v>
      </c>
      <c r="G1737" t="s">
        <v>114</v>
      </c>
      <c r="J1737" t="s">
        <v>125</v>
      </c>
      <c r="K1737">
        <v>0</v>
      </c>
      <c r="L1737">
        <v>3</v>
      </c>
      <c r="M1737">
        <v>0</v>
      </c>
      <c r="N1737">
        <v>2</v>
      </c>
      <c r="O1737">
        <v>1</v>
      </c>
      <c r="P1737">
        <v>0</v>
      </c>
      <c r="Q1737">
        <v>0</v>
      </c>
      <c r="S1737" t="str">
        <f>"20:23:06.125"</f>
        <v>20:23:06.125</v>
      </c>
      <c r="T1737" t="str">
        <f>"20:22:55.825"</f>
        <v>20:22:55.825</v>
      </c>
      <c r="U1737" t="str">
        <f t="shared" si="82"/>
        <v>AB01F4</v>
      </c>
      <c r="V1737">
        <v>0</v>
      </c>
      <c r="W1737">
        <v>0</v>
      </c>
      <c r="X1737">
        <v>2</v>
      </c>
      <c r="Z1737">
        <v>0</v>
      </c>
      <c r="AA1737">
        <v>9</v>
      </c>
      <c r="AB1737">
        <v>3</v>
      </c>
      <c r="AC1737">
        <v>0</v>
      </c>
      <c r="AD1737">
        <v>10</v>
      </c>
      <c r="AE1737">
        <v>0</v>
      </c>
      <c r="AF1737">
        <v>3</v>
      </c>
      <c r="AH1737">
        <v>0</v>
      </c>
      <c r="AI1737" t="s">
        <v>1117</v>
      </c>
      <c r="AJ1737">
        <v>39.889662000000001</v>
      </c>
      <c r="AK1737" t="s">
        <v>1118</v>
      </c>
      <c r="AL1737">
        <v>-92.552712</v>
      </c>
      <c r="AM1737">
        <v>100</v>
      </c>
      <c r="AN1737">
        <v>1700</v>
      </c>
      <c r="AO1737" t="s">
        <v>118</v>
      </c>
      <c r="AP1737">
        <v>-41</v>
      </c>
      <c r="AQ1737">
        <v>117</v>
      </c>
      <c r="AR1737">
        <v>64</v>
      </c>
      <c r="AZ1737">
        <v>1200</v>
      </c>
      <c r="BA1737">
        <v>1</v>
      </c>
      <c r="BE1737">
        <v>0</v>
      </c>
      <c r="BF1737">
        <v>0</v>
      </c>
      <c r="BG1737">
        <v>0</v>
      </c>
      <c r="BH1737">
        <v>1700</v>
      </c>
      <c r="BI1737">
        <v>1</v>
      </c>
      <c r="BJ1737">
        <v>1</v>
      </c>
      <c r="BK1737">
        <v>1</v>
      </c>
      <c r="BL1737">
        <v>0</v>
      </c>
      <c r="BO1737">
        <v>0</v>
      </c>
      <c r="BP1737">
        <v>0</v>
      </c>
      <c r="BW1737" t="str">
        <f>"20:23:06.126"</f>
        <v>20:23:06.126</v>
      </c>
      <c r="CJ1737">
        <v>0</v>
      </c>
      <c r="CK1737">
        <v>2</v>
      </c>
      <c r="CL1737">
        <v>0</v>
      </c>
      <c r="CM1737">
        <v>2</v>
      </c>
      <c r="CN1737">
        <v>0</v>
      </c>
      <c r="CO1737">
        <v>1</v>
      </c>
      <c r="CP1737" t="s">
        <v>119</v>
      </c>
      <c r="CQ1737">
        <v>179</v>
      </c>
      <c r="CR1737">
        <v>1</v>
      </c>
      <c r="CW1737">
        <v>8750188</v>
      </c>
      <c r="CY1737">
        <v>1</v>
      </c>
      <c r="CZ1737">
        <v>0</v>
      </c>
      <c r="DA1737">
        <v>1</v>
      </c>
      <c r="DB1737">
        <v>0</v>
      </c>
      <c r="DC1737">
        <v>0</v>
      </c>
      <c r="DD1737">
        <v>0</v>
      </c>
      <c r="DE1737">
        <v>0</v>
      </c>
      <c r="DF1737">
        <v>1</v>
      </c>
      <c r="DG1737">
        <v>0</v>
      </c>
      <c r="DH1737">
        <v>0</v>
      </c>
      <c r="DI1737">
        <v>1</v>
      </c>
    </row>
    <row r="1738" spans="1:113" x14ac:dyDescent="0.3">
      <c r="A1738" t="str">
        <f>"02/08/2021 20:23:04.066"</f>
        <v>02/08/2021 20:23:04.066</v>
      </c>
      <c r="C1738" t="str">
        <f>"FFD3D3C0"</f>
        <v>FFD3D3C0</v>
      </c>
      <c r="D1738" t="s">
        <v>124</v>
      </c>
      <c r="E1738">
        <v>12</v>
      </c>
      <c r="F1738">
        <v>1012</v>
      </c>
      <c r="G1738" t="s">
        <v>675</v>
      </c>
      <c r="J1738" t="s">
        <v>125</v>
      </c>
      <c r="K1738">
        <v>0</v>
      </c>
      <c r="L1738">
        <v>3</v>
      </c>
      <c r="M1738">
        <v>0</v>
      </c>
      <c r="N1738">
        <v>2</v>
      </c>
      <c r="O1738">
        <v>1</v>
      </c>
      <c r="P1738">
        <v>0</v>
      </c>
      <c r="Q1738">
        <v>0</v>
      </c>
      <c r="S1738" t="str">
        <f>"20:23:06.125"</f>
        <v>20:23:06.125</v>
      </c>
      <c r="T1738" t="str">
        <f>"20:22:55.825"</f>
        <v>20:22:55.825</v>
      </c>
      <c r="U1738" t="str">
        <f t="shared" si="82"/>
        <v>AB01F4</v>
      </c>
      <c r="V1738">
        <v>0</v>
      </c>
      <c r="W1738">
        <v>0</v>
      </c>
      <c r="X1738">
        <v>2</v>
      </c>
      <c r="Z1738">
        <v>0</v>
      </c>
      <c r="AA1738">
        <v>9</v>
      </c>
      <c r="AB1738">
        <v>3</v>
      </c>
      <c r="AC1738">
        <v>0</v>
      </c>
      <c r="AD1738">
        <v>10</v>
      </c>
      <c r="AE1738">
        <v>0</v>
      </c>
      <c r="AF1738">
        <v>3</v>
      </c>
      <c r="AH1738">
        <v>0</v>
      </c>
      <c r="AI1738" t="s">
        <v>1117</v>
      </c>
      <c r="AJ1738">
        <v>39.889662000000001</v>
      </c>
      <c r="AK1738" t="s">
        <v>1118</v>
      </c>
      <c r="AL1738">
        <v>-92.552712</v>
      </c>
      <c r="AM1738">
        <v>100</v>
      </c>
      <c r="AN1738">
        <v>1700</v>
      </c>
      <c r="AO1738" t="s">
        <v>118</v>
      </c>
      <c r="AP1738">
        <v>-41</v>
      </c>
      <c r="AQ1738">
        <v>117</v>
      </c>
      <c r="AR1738">
        <v>64</v>
      </c>
      <c r="AZ1738">
        <v>1200</v>
      </c>
      <c r="BA1738">
        <v>1</v>
      </c>
      <c r="BE1738">
        <v>0</v>
      </c>
      <c r="BF1738">
        <v>0</v>
      </c>
      <c r="BG1738">
        <v>0</v>
      </c>
      <c r="BH1738">
        <v>1700</v>
      </c>
      <c r="BI1738">
        <v>1</v>
      </c>
      <c r="BJ1738">
        <v>1</v>
      </c>
      <c r="BK1738">
        <v>1</v>
      </c>
      <c r="BL1738">
        <v>0</v>
      </c>
      <c r="BO1738">
        <v>0</v>
      </c>
      <c r="BP1738">
        <v>0</v>
      </c>
      <c r="BW1738" t="str">
        <f>"20:23:06.126"</f>
        <v>20:23:06.126</v>
      </c>
      <c r="CJ1738">
        <v>0</v>
      </c>
      <c r="CK1738">
        <v>2</v>
      </c>
      <c r="CL1738">
        <v>0</v>
      </c>
      <c r="CM1738">
        <v>2</v>
      </c>
      <c r="CN1738">
        <v>0</v>
      </c>
      <c r="CO1738">
        <v>1</v>
      </c>
      <c r="CP1738" t="s">
        <v>119</v>
      </c>
      <c r="CQ1738">
        <v>179</v>
      </c>
      <c r="CR1738">
        <v>1</v>
      </c>
      <c r="CW1738">
        <v>8750188</v>
      </c>
      <c r="CY1738">
        <v>1</v>
      </c>
      <c r="CZ1738">
        <v>0</v>
      </c>
      <c r="DA1738">
        <v>1</v>
      </c>
      <c r="DB1738">
        <v>0</v>
      </c>
      <c r="DC1738">
        <v>0</v>
      </c>
      <c r="DD1738">
        <v>0</v>
      </c>
      <c r="DE1738">
        <v>0</v>
      </c>
      <c r="DF1738">
        <v>1</v>
      </c>
      <c r="DG1738">
        <v>0</v>
      </c>
      <c r="DH1738">
        <v>0</v>
      </c>
      <c r="DI1738">
        <v>1</v>
      </c>
    </row>
    <row r="1739" spans="1:113" x14ac:dyDescent="0.3">
      <c r="A1739" t="str">
        <f>"02/08/2021 20:23:04.819"</f>
        <v>02/08/2021 20:23:04.819</v>
      </c>
      <c r="C1739" t="str">
        <f t="shared" ref="C1739:C1754" si="83">"FFDFD7C0"</f>
        <v>FFDFD7C0</v>
      </c>
      <c r="D1739" t="s">
        <v>124</v>
      </c>
      <c r="E1739">
        <v>12</v>
      </c>
      <c r="F1739">
        <v>1012</v>
      </c>
      <c r="G1739" t="s">
        <v>675</v>
      </c>
      <c r="J1739" t="s">
        <v>125</v>
      </c>
      <c r="K1739">
        <v>0</v>
      </c>
      <c r="L1739">
        <v>3</v>
      </c>
      <c r="M1739">
        <v>0</v>
      </c>
      <c r="N1739">
        <v>2</v>
      </c>
      <c r="O1739">
        <v>1</v>
      </c>
      <c r="P1739">
        <v>0</v>
      </c>
      <c r="Q1739">
        <v>0</v>
      </c>
      <c r="S1739" t="str">
        <f>"20:23:07.141"</f>
        <v>20:23:07.141</v>
      </c>
      <c r="T1739" t="str">
        <f>"20:23:06.641"</f>
        <v>20:23:06.641</v>
      </c>
      <c r="U1739" t="str">
        <f t="shared" si="82"/>
        <v>AB01F4</v>
      </c>
      <c r="V1739">
        <v>0</v>
      </c>
      <c r="W1739">
        <v>0</v>
      </c>
      <c r="X1739">
        <v>2</v>
      </c>
      <c r="Z1739">
        <v>0</v>
      </c>
      <c r="AA1739">
        <v>9</v>
      </c>
      <c r="AB1739">
        <v>3</v>
      </c>
      <c r="AC1739">
        <v>0</v>
      </c>
      <c r="AD1739">
        <v>10</v>
      </c>
      <c r="AE1739">
        <v>0</v>
      </c>
      <c r="AF1739">
        <v>3</v>
      </c>
      <c r="AG1739">
        <v>2</v>
      </c>
      <c r="AH1739">
        <v>0</v>
      </c>
      <c r="AI1739" t="s">
        <v>1119</v>
      </c>
      <c r="AJ1739">
        <v>39.890177000000001</v>
      </c>
      <c r="AK1739" t="s">
        <v>1120</v>
      </c>
      <c r="AL1739">
        <v>-92.553011999999995</v>
      </c>
      <c r="AM1739">
        <v>100</v>
      </c>
      <c r="AN1739">
        <v>1700</v>
      </c>
      <c r="AO1739" t="s">
        <v>118</v>
      </c>
      <c r="AP1739">
        <v>-54</v>
      </c>
      <c r="AQ1739">
        <v>113</v>
      </c>
      <c r="AR1739">
        <v>0</v>
      </c>
      <c r="AZ1739">
        <v>1200</v>
      </c>
      <c r="BA1739">
        <v>1</v>
      </c>
      <c r="BB1739" t="str">
        <f t="shared" ref="BB1739:BB1754" si="84">"N8080G  "</f>
        <v xml:space="preserve">N8080G  </v>
      </c>
      <c r="BC1739">
        <v>1</v>
      </c>
      <c r="BE1739">
        <v>0</v>
      </c>
      <c r="BF1739">
        <v>0</v>
      </c>
      <c r="BG1739">
        <v>0</v>
      </c>
      <c r="BH1739">
        <v>1700</v>
      </c>
      <c r="BI1739">
        <v>1</v>
      </c>
      <c r="BJ1739">
        <v>1</v>
      </c>
      <c r="BK1739">
        <v>1</v>
      </c>
      <c r="BL1739">
        <v>0</v>
      </c>
      <c r="BO1739">
        <v>0</v>
      </c>
      <c r="BP1739">
        <v>0</v>
      </c>
      <c r="BW1739" t="str">
        <f>"20:23:07.145"</f>
        <v>20:23:07.145</v>
      </c>
      <c r="BZ1739">
        <v>0</v>
      </c>
      <c r="CA1739">
        <v>2016</v>
      </c>
      <c r="CB1739">
        <v>224</v>
      </c>
      <c r="CD1739">
        <v>1</v>
      </c>
      <c r="CE1739">
        <v>0</v>
      </c>
      <c r="CF1739">
        <v>0</v>
      </c>
      <c r="CG1739">
        <v>1</v>
      </c>
      <c r="CH1739">
        <v>0</v>
      </c>
      <c r="CI1739">
        <v>0</v>
      </c>
      <c r="CJ1739">
        <v>0</v>
      </c>
      <c r="CK1739">
        <v>2</v>
      </c>
      <c r="CL1739">
        <v>0</v>
      </c>
      <c r="CM1739">
        <v>2</v>
      </c>
      <c r="CN1739">
        <v>0</v>
      </c>
      <c r="CO1739">
        <v>7</v>
      </c>
      <c r="CP1739" t="s">
        <v>119</v>
      </c>
      <c r="CQ1739">
        <v>180</v>
      </c>
      <c r="CR1739">
        <v>1</v>
      </c>
      <c r="CW1739">
        <v>10882772</v>
      </c>
      <c r="CY1739">
        <v>1</v>
      </c>
      <c r="CZ1739">
        <v>0</v>
      </c>
      <c r="DA1739">
        <v>0</v>
      </c>
      <c r="DB1739">
        <v>0</v>
      </c>
      <c r="DC1739">
        <v>0</v>
      </c>
      <c r="DD1739">
        <v>0</v>
      </c>
      <c r="DE1739">
        <v>0</v>
      </c>
      <c r="DF1739">
        <v>0</v>
      </c>
      <c r="DG1739">
        <v>0</v>
      </c>
      <c r="DH1739">
        <v>0</v>
      </c>
      <c r="DI1739">
        <v>0</v>
      </c>
    </row>
    <row r="1740" spans="1:113" x14ac:dyDescent="0.3">
      <c r="A1740" t="str">
        <f>"02/08/2021 20:23:04.819"</f>
        <v>02/08/2021 20:23:04.819</v>
      </c>
      <c r="C1740" t="str">
        <f t="shared" si="83"/>
        <v>FFDFD7C0</v>
      </c>
      <c r="D1740" t="s">
        <v>113</v>
      </c>
      <c r="E1740">
        <v>6</v>
      </c>
      <c r="H1740">
        <v>165</v>
      </c>
      <c r="I1740" t="s">
        <v>114</v>
      </c>
      <c r="J1740" t="s">
        <v>115</v>
      </c>
      <c r="K1740">
        <v>0</v>
      </c>
      <c r="L1740">
        <v>3</v>
      </c>
      <c r="M1740">
        <v>0</v>
      </c>
      <c r="N1740">
        <v>2</v>
      </c>
      <c r="O1740">
        <v>1</v>
      </c>
      <c r="P1740">
        <v>0</v>
      </c>
      <c r="Q1740">
        <v>0</v>
      </c>
      <c r="S1740" t="str">
        <f>"20:23:07.141"</f>
        <v>20:23:07.141</v>
      </c>
      <c r="T1740" t="str">
        <f>"20:23:06.641"</f>
        <v>20:23:06.641</v>
      </c>
      <c r="U1740" t="str">
        <f t="shared" si="82"/>
        <v>AB01F4</v>
      </c>
      <c r="V1740">
        <v>0</v>
      </c>
      <c r="W1740">
        <v>0</v>
      </c>
      <c r="X1740">
        <v>2</v>
      </c>
      <c r="Z1740">
        <v>0</v>
      </c>
      <c r="AA1740">
        <v>9</v>
      </c>
      <c r="AB1740">
        <v>3</v>
      </c>
      <c r="AC1740">
        <v>0</v>
      </c>
      <c r="AD1740">
        <v>10</v>
      </c>
      <c r="AE1740">
        <v>0</v>
      </c>
      <c r="AF1740">
        <v>3</v>
      </c>
      <c r="AG1740">
        <v>2</v>
      </c>
      <c r="AH1740">
        <v>0</v>
      </c>
      <c r="AI1740" t="s">
        <v>1119</v>
      </c>
      <c r="AJ1740">
        <v>39.890177000000001</v>
      </c>
      <c r="AK1740" t="s">
        <v>1120</v>
      </c>
      <c r="AL1740">
        <v>-92.553011999999995</v>
      </c>
      <c r="AM1740">
        <v>100</v>
      </c>
      <c r="AN1740">
        <v>1700</v>
      </c>
      <c r="AO1740" t="s">
        <v>118</v>
      </c>
      <c r="AP1740">
        <v>-54</v>
      </c>
      <c r="AQ1740">
        <v>113</v>
      </c>
      <c r="AR1740">
        <v>0</v>
      </c>
      <c r="AZ1740">
        <v>1200</v>
      </c>
      <c r="BA1740">
        <v>1</v>
      </c>
      <c r="BB1740" t="str">
        <f t="shared" si="84"/>
        <v xml:space="preserve">N8080G  </v>
      </c>
      <c r="BC1740">
        <v>1</v>
      </c>
      <c r="BE1740">
        <v>0</v>
      </c>
      <c r="BF1740">
        <v>0</v>
      </c>
      <c r="BG1740">
        <v>0</v>
      </c>
      <c r="BH1740">
        <v>1700</v>
      </c>
      <c r="BI1740">
        <v>1</v>
      </c>
      <c r="BJ1740">
        <v>1</v>
      </c>
      <c r="BK1740">
        <v>1</v>
      </c>
      <c r="BL1740">
        <v>0</v>
      </c>
      <c r="BO1740">
        <v>0</v>
      </c>
      <c r="BP1740">
        <v>0</v>
      </c>
      <c r="BW1740" t="str">
        <f>"20:23:07.145"</f>
        <v>20:23:07.145</v>
      </c>
      <c r="BZ1740">
        <v>0</v>
      </c>
      <c r="CA1740">
        <v>2016</v>
      </c>
      <c r="CB1740">
        <v>224</v>
      </c>
      <c r="CD1740">
        <v>1</v>
      </c>
      <c r="CE1740">
        <v>0</v>
      </c>
      <c r="CF1740">
        <v>0</v>
      </c>
      <c r="CG1740">
        <v>1</v>
      </c>
      <c r="CH1740">
        <v>0</v>
      </c>
      <c r="CI1740">
        <v>0</v>
      </c>
      <c r="CJ1740">
        <v>0</v>
      </c>
      <c r="CK1740">
        <v>2</v>
      </c>
      <c r="CL1740">
        <v>0</v>
      </c>
      <c r="CM1740">
        <v>2</v>
      </c>
      <c r="CN1740">
        <v>0</v>
      </c>
      <c r="CO1740">
        <v>7</v>
      </c>
      <c r="CP1740" t="s">
        <v>119</v>
      </c>
      <c r="CQ1740">
        <v>180</v>
      </c>
      <c r="CR1740">
        <v>1</v>
      </c>
      <c r="CW1740">
        <v>10882772</v>
      </c>
      <c r="CY1740">
        <v>1</v>
      </c>
      <c r="CZ1740">
        <v>0</v>
      </c>
      <c r="DA1740">
        <v>1</v>
      </c>
      <c r="DB1740">
        <v>0</v>
      </c>
      <c r="DC1740">
        <v>0</v>
      </c>
      <c r="DD1740">
        <v>0</v>
      </c>
      <c r="DE1740">
        <v>0</v>
      </c>
      <c r="DF1740">
        <v>0</v>
      </c>
      <c r="DG1740">
        <v>0</v>
      </c>
      <c r="DH1740">
        <v>0</v>
      </c>
      <c r="DI1740">
        <v>0</v>
      </c>
    </row>
    <row r="1741" spans="1:113" x14ac:dyDescent="0.3">
      <c r="A1741" t="str">
        <f>"02/08/2021 20:23:04.819"</f>
        <v>02/08/2021 20:23:04.819</v>
      </c>
      <c r="C1741" t="str">
        <f t="shared" si="83"/>
        <v>FFDFD7C0</v>
      </c>
      <c r="D1741" t="s">
        <v>124</v>
      </c>
      <c r="E1741">
        <v>11</v>
      </c>
      <c r="F1741">
        <v>1011</v>
      </c>
      <c r="G1741" t="s">
        <v>590</v>
      </c>
      <c r="J1741" t="s">
        <v>125</v>
      </c>
      <c r="K1741">
        <v>0</v>
      </c>
      <c r="L1741">
        <v>3</v>
      </c>
      <c r="M1741">
        <v>0</v>
      </c>
      <c r="N1741">
        <v>2</v>
      </c>
      <c r="O1741">
        <v>1</v>
      </c>
      <c r="P1741">
        <v>0</v>
      </c>
      <c r="Q1741">
        <v>0</v>
      </c>
      <c r="S1741" t="str">
        <f>"20:23:07.141"</f>
        <v>20:23:07.141</v>
      </c>
      <c r="T1741" t="str">
        <f>"20:23:06.641"</f>
        <v>20:23:06.641</v>
      </c>
      <c r="U1741" t="str">
        <f t="shared" si="82"/>
        <v>AB01F4</v>
      </c>
      <c r="V1741">
        <v>0</v>
      </c>
      <c r="W1741">
        <v>0</v>
      </c>
      <c r="X1741">
        <v>2</v>
      </c>
      <c r="Z1741">
        <v>0</v>
      </c>
      <c r="AA1741">
        <v>9</v>
      </c>
      <c r="AB1741">
        <v>3</v>
      </c>
      <c r="AC1741">
        <v>0</v>
      </c>
      <c r="AD1741">
        <v>10</v>
      </c>
      <c r="AE1741">
        <v>0</v>
      </c>
      <c r="AF1741">
        <v>3</v>
      </c>
      <c r="AG1741">
        <v>2</v>
      </c>
      <c r="AH1741">
        <v>0</v>
      </c>
      <c r="AI1741" t="s">
        <v>1119</v>
      </c>
      <c r="AJ1741">
        <v>39.890177000000001</v>
      </c>
      <c r="AK1741" t="s">
        <v>1120</v>
      </c>
      <c r="AL1741">
        <v>-92.553011999999995</v>
      </c>
      <c r="AM1741">
        <v>100</v>
      </c>
      <c r="AN1741">
        <v>1700</v>
      </c>
      <c r="AO1741" t="s">
        <v>118</v>
      </c>
      <c r="AP1741">
        <v>-54</v>
      </c>
      <c r="AQ1741">
        <v>113</v>
      </c>
      <c r="AR1741">
        <v>0</v>
      </c>
      <c r="AZ1741">
        <v>1200</v>
      </c>
      <c r="BA1741">
        <v>1</v>
      </c>
      <c r="BB1741" t="str">
        <f t="shared" si="84"/>
        <v xml:space="preserve">N8080G  </v>
      </c>
      <c r="BC1741">
        <v>1</v>
      </c>
      <c r="BE1741">
        <v>0</v>
      </c>
      <c r="BF1741">
        <v>0</v>
      </c>
      <c r="BG1741">
        <v>0</v>
      </c>
      <c r="BH1741">
        <v>1700</v>
      </c>
      <c r="BI1741">
        <v>1</v>
      </c>
      <c r="BJ1741">
        <v>1</v>
      </c>
      <c r="BK1741">
        <v>1</v>
      </c>
      <c r="BL1741">
        <v>0</v>
      </c>
      <c r="BO1741">
        <v>0</v>
      </c>
      <c r="BP1741">
        <v>0</v>
      </c>
      <c r="BW1741" t="str">
        <f>"20:23:07.145"</f>
        <v>20:23:07.145</v>
      </c>
      <c r="BZ1741">
        <v>0</v>
      </c>
      <c r="CA1741">
        <v>2016</v>
      </c>
      <c r="CB1741">
        <v>224</v>
      </c>
      <c r="CD1741">
        <v>1</v>
      </c>
      <c r="CE1741">
        <v>0</v>
      </c>
      <c r="CF1741">
        <v>0</v>
      </c>
      <c r="CG1741">
        <v>1</v>
      </c>
      <c r="CH1741">
        <v>0</v>
      </c>
      <c r="CI1741">
        <v>0</v>
      </c>
      <c r="CJ1741">
        <v>0</v>
      </c>
      <c r="CK1741">
        <v>2</v>
      </c>
      <c r="CL1741">
        <v>0</v>
      </c>
      <c r="CM1741">
        <v>2</v>
      </c>
      <c r="CN1741">
        <v>0</v>
      </c>
      <c r="CO1741">
        <v>7</v>
      </c>
      <c r="CP1741" t="s">
        <v>119</v>
      </c>
      <c r="CQ1741">
        <v>180</v>
      </c>
      <c r="CR1741">
        <v>1</v>
      </c>
      <c r="CW1741">
        <v>10882772</v>
      </c>
      <c r="CY1741">
        <v>1</v>
      </c>
      <c r="CZ1741">
        <v>0</v>
      </c>
      <c r="DA1741">
        <v>1</v>
      </c>
      <c r="DB1741">
        <v>0</v>
      </c>
      <c r="DC1741">
        <v>0</v>
      </c>
      <c r="DD1741">
        <v>0</v>
      </c>
      <c r="DE1741">
        <v>0</v>
      </c>
      <c r="DF1741">
        <v>0</v>
      </c>
      <c r="DG1741">
        <v>0</v>
      </c>
      <c r="DH1741">
        <v>0</v>
      </c>
      <c r="DI1741">
        <v>0</v>
      </c>
    </row>
    <row r="1742" spans="1:113" x14ac:dyDescent="0.3">
      <c r="A1742" t="str">
        <f>"02/08/2021 20:23:04.819"</f>
        <v>02/08/2021 20:23:04.819</v>
      </c>
      <c r="C1742" t="str">
        <f t="shared" si="83"/>
        <v>FFDFD7C0</v>
      </c>
      <c r="D1742" t="s">
        <v>124</v>
      </c>
      <c r="E1742">
        <v>13</v>
      </c>
      <c r="F1742">
        <v>1013</v>
      </c>
      <c r="G1742" t="s">
        <v>114</v>
      </c>
      <c r="J1742" t="s">
        <v>125</v>
      </c>
      <c r="K1742">
        <v>0</v>
      </c>
      <c r="L1742">
        <v>3</v>
      </c>
      <c r="M1742">
        <v>0</v>
      </c>
      <c r="N1742">
        <v>2</v>
      </c>
      <c r="O1742">
        <v>1</v>
      </c>
      <c r="P1742">
        <v>0</v>
      </c>
      <c r="Q1742">
        <v>0</v>
      </c>
      <c r="S1742" t="str">
        <f>"20:23:07.141"</f>
        <v>20:23:07.141</v>
      </c>
      <c r="T1742" t="str">
        <f>"20:23:06.641"</f>
        <v>20:23:06.641</v>
      </c>
      <c r="U1742" t="str">
        <f t="shared" si="82"/>
        <v>AB01F4</v>
      </c>
      <c r="V1742">
        <v>0</v>
      </c>
      <c r="W1742">
        <v>0</v>
      </c>
      <c r="X1742">
        <v>2</v>
      </c>
      <c r="Z1742">
        <v>0</v>
      </c>
      <c r="AA1742">
        <v>9</v>
      </c>
      <c r="AB1742">
        <v>3</v>
      </c>
      <c r="AC1742">
        <v>0</v>
      </c>
      <c r="AD1742">
        <v>10</v>
      </c>
      <c r="AE1742">
        <v>0</v>
      </c>
      <c r="AF1742">
        <v>3</v>
      </c>
      <c r="AG1742">
        <v>2</v>
      </c>
      <c r="AH1742">
        <v>0</v>
      </c>
      <c r="AI1742" t="s">
        <v>1119</v>
      </c>
      <c r="AJ1742">
        <v>39.890177000000001</v>
      </c>
      <c r="AK1742" t="s">
        <v>1120</v>
      </c>
      <c r="AL1742">
        <v>-92.553011999999995</v>
      </c>
      <c r="AM1742">
        <v>100</v>
      </c>
      <c r="AN1742">
        <v>1700</v>
      </c>
      <c r="AO1742" t="s">
        <v>118</v>
      </c>
      <c r="AP1742">
        <v>-54</v>
      </c>
      <c r="AQ1742">
        <v>113</v>
      </c>
      <c r="AR1742">
        <v>0</v>
      </c>
      <c r="AZ1742">
        <v>1200</v>
      </c>
      <c r="BA1742">
        <v>1</v>
      </c>
      <c r="BB1742" t="str">
        <f t="shared" si="84"/>
        <v xml:space="preserve">N8080G  </v>
      </c>
      <c r="BC1742">
        <v>1</v>
      </c>
      <c r="BE1742">
        <v>0</v>
      </c>
      <c r="BF1742">
        <v>0</v>
      </c>
      <c r="BG1742">
        <v>0</v>
      </c>
      <c r="BH1742">
        <v>1700</v>
      </c>
      <c r="BI1742">
        <v>1</v>
      </c>
      <c r="BJ1742">
        <v>1</v>
      </c>
      <c r="BK1742">
        <v>1</v>
      </c>
      <c r="BL1742">
        <v>0</v>
      </c>
      <c r="BO1742">
        <v>0</v>
      </c>
      <c r="BP1742">
        <v>0</v>
      </c>
      <c r="BW1742" t="str">
        <f>"20:23:07.145"</f>
        <v>20:23:07.145</v>
      </c>
      <c r="BZ1742">
        <v>0</v>
      </c>
      <c r="CA1742">
        <v>2016</v>
      </c>
      <c r="CB1742">
        <v>224</v>
      </c>
      <c r="CD1742">
        <v>1</v>
      </c>
      <c r="CE1742">
        <v>0</v>
      </c>
      <c r="CF1742">
        <v>0</v>
      </c>
      <c r="CG1742">
        <v>1</v>
      </c>
      <c r="CH1742">
        <v>0</v>
      </c>
      <c r="CI1742">
        <v>0</v>
      </c>
      <c r="CJ1742">
        <v>0</v>
      </c>
      <c r="CK1742">
        <v>2</v>
      </c>
      <c r="CL1742">
        <v>0</v>
      </c>
      <c r="CM1742">
        <v>2</v>
      </c>
      <c r="CN1742">
        <v>0</v>
      </c>
      <c r="CO1742">
        <v>7</v>
      </c>
      <c r="CP1742" t="s">
        <v>119</v>
      </c>
      <c r="CQ1742">
        <v>180</v>
      </c>
      <c r="CR1742">
        <v>1</v>
      </c>
      <c r="CW1742">
        <v>10882772</v>
      </c>
      <c r="CY1742">
        <v>1</v>
      </c>
      <c r="CZ1742">
        <v>0</v>
      </c>
      <c r="DA1742">
        <v>1</v>
      </c>
      <c r="DB1742">
        <v>0</v>
      </c>
      <c r="DC1742">
        <v>0</v>
      </c>
      <c r="DD1742">
        <v>0</v>
      </c>
      <c r="DE1742">
        <v>0</v>
      </c>
      <c r="DF1742">
        <v>0</v>
      </c>
      <c r="DG1742">
        <v>0</v>
      </c>
      <c r="DH1742">
        <v>0</v>
      </c>
      <c r="DI1742">
        <v>0</v>
      </c>
    </row>
    <row r="1743" spans="1:113" x14ac:dyDescent="0.3">
      <c r="A1743" t="str">
        <f>"02/08/2021 20:23:06.239"</f>
        <v>02/08/2021 20:23:06.239</v>
      </c>
      <c r="C1743" t="str">
        <f t="shared" si="83"/>
        <v>FFDFD7C0</v>
      </c>
      <c r="D1743" t="s">
        <v>113</v>
      </c>
      <c r="E1743">
        <v>6</v>
      </c>
      <c r="H1743">
        <v>165</v>
      </c>
      <c r="I1743" t="s">
        <v>114</v>
      </c>
      <c r="J1743" t="s">
        <v>115</v>
      </c>
      <c r="K1743">
        <v>0</v>
      </c>
      <c r="L1743">
        <v>3</v>
      </c>
      <c r="M1743">
        <v>0</v>
      </c>
      <c r="N1743">
        <v>2</v>
      </c>
      <c r="O1743">
        <v>1</v>
      </c>
      <c r="P1743">
        <v>0</v>
      </c>
      <c r="Q1743">
        <v>0</v>
      </c>
      <c r="S1743" t="str">
        <f>"20:23:08.570"</f>
        <v>20:23:08.570</v>
      </c>
      <c r="T1743" t="str">
        <f>"20:23:08.170"</f>
        <v>20:23:08.170</v>
      </c>
      <c r="U1743" t="str">
        <f t="shared" si="82"/>
        <v>AB01F4</v>
      </c>
      <c r="V1743">
        <v>0</v>
      </c>
      <c r="W1743">
        <v>0</v>
      </c>
      <c r="X1743">
        <v>2</v>
      </c>
      <c r="Z1743">
        <v>0</v>
      </c>
      <c r="AA1743">
        <v>9</v>
      </c>
      <c r="AB1743">
        <v>3</v>
      </c>
      <c r="AC1743">
        <v>0</v>
      </c>
      <c r="AD1743">
        <v>10</v>
      </c>
      <c r="AE1743">
        <v>0</v>
      </c>
      <c r="AF1743">
        <v>3</v>
      </c>
      <c r="AG1743">
        <v>2</v>
      </c>
      <c r="AH1743">
        <v>0</v>
      </c>
      <c r="AI1743" t="s">
        <v>1121</v>
      </c>
      <c r="AJ1743">
        <v>39.890906999999999</v>
      </c>
      <c r="AK1743" t="s">
        <v>1122</v>
      </c>
      <c r="AL1743">
        <v>-92.553612999999999</v>
      </c>
      <c r="AM1743">
        <v>100</v>
      </c>
      <c r="AN1743">
        <v>1700</v>
      </c>
      <c r="AO1743" t="s">
        <v>118</v>
      </c>
      <c r="AP1743">
        <v>-67</v>
      </c>
      <c r="AQ1743">
        <v>107</v>
      </c>
      <c r="AR1743">
        <v>-256</v>
      </c>
      <c r="AZ1743">
        <v>1200</v>
      </c>
      <c r="BA1743">
        <v>1</v>
      </c>
      <c r="BB1743" t="str">
        <f t="shared" si="84"/>
        <v xml:space="preserve">N8080G  </v>
      </c>
      <c r="BC1743">
        <v>1</v>
      </c>
      <c r="BE1743">
        <v>0</v>
      </c>
      <c r="BF1743">
        <v>0</v>
      </c>
      <c r="BG1743">
        <v>0</v>
      </c>
      <c r="BH1743">
        <v>1700</v>
      </c>
      <c r="BI1743">
        <v>1</v>
      </c>
      <c r="BJ1743">
        <v>1</v>
      </c>
      <c r="BK1743">
        <v>1</v>
      </c>
      <c r="BL1743">
        <v>0</v>
      </c>
      <c r="BO1743">
        <v>0</v>
      </c>
      <c r="BP1743">
        <v>0</v>
      </c>
      <c r="BW1743" t="str">
        <f>"20:23:08.577"</f>
        <v>20:23:08.577</v>
      </c>
      <c r="BZ1743">
        <v>0</v>
      </c>
      <c r="CA1743">
        <v>2016</v>
      </c>
      <c r="CB1743">
        <v>224</v>
      </c>
      <c r="CD1743">
        <v>1</v>
      </c>
      <c r="CE1743">
        <v>0</v>
      </c>
      <c r="CF1743">
        <v>0</v>
      </c>
      <c r="CG1743">
        <v>1</v>
      </c>
      <c r="CH1743">
        <v>0</v>
      </c>
      <c r="CI1743">
        <v>0</v>
      </c>
      <c r="CJ1743">
        <v>0</v>
      </c>
      <c r="CK1743">
        <v>2</v>
      </c>
      <c r="CL1743">
        <v>0</v>
      </c>
      <c r="CM1743">
        <v>2</v>
      </c>
      <c r="CN1743">
        <v>0</v>
      </c>
      <c r="CO1743">
        <v>7</v>
      </c>
      <c r="CP1743" t="s">
        <v>119</v>
      </c>
      <c r="CQ1743">
        <v>180</v>
      </c>
      <c r="CR1743">
        <v>2</v>
      </c>
      <c r="CW1743">
        <v>8320519</v>
      </c>
      <c r="CY1743">
        <v>1</v>
      </c>
      <c r="CZ1743">
        <v>0</v>
      </c>
      <c r="DA1743">
        <v>0</v>
      </c>
      <c r="DB1743">
        <v>0</v>
      </c>
      <c r="DC1743">
        <v>0</v>
      </c>
      <c r="DD1743">
        <v>0</v>
      </c>
      <c r="DE1743">
        <v>0</v>
      </c>
      <c r="DF1743">
        <v>0</v>
      </c>
      <c r="DG1743">
        <v>0</v>
      </c>
      <c r="DH1743">
        <v>0</v>
      </c>
      <c r="DI1743">
        <v>0</v>
      </c>
    </row>
    <row r="1744" spans="1:113" x14ac:dyDescent="0.3">
      <c r="A1744" t="str">
        <f>"02/08/2021 20:23:06.239"</f>
        <v>02/08/2021 20:23:06.239</v>
      </c>
      <c r="C1744" t="str">
        <f t="shared" si="83"/>
        <v>FFDFD7C0</v>
      </c>
      <c r="D1744" t="s">
        <v>124</v>
      </c>
      <c r="E1744">
        <v>11</v>
      </c>
      <c r="F1744">
        <v>1011</v>
      </c>
      <c r="G1744" t="s">
        <v>590</v>
      </c>
      <c r="J1744" t="s">
        <v>125</v>
      </c>
      <c r="K1744">
        <v>0</v>
      </c>
      <c r="L1744">
        <v>3</v>
      </c>
      <c r="M1744">
        <v>0</v>
      </c>
      <c r="N1744">
        <v>2</v>
      </c>
      <c r="O1744">
        <v>1</v>
      </c>
      <c r="P1744">
        <v>0</v>
      </c>
      <c r="Q1744">
        <v>0</v>
      </c>
      <c r="S1744" t="str">
        <f>"20:23:08.570"</f>
        <v>20:23:08.570</v>
      </c>
      <c r="T1744" t="str">
        <f>"20:23:08.170"</f>
        <v>20:23:08.170</v>
      </c>
      <c r="U1744" t="str">
        <f t="shared" si="82"/>
        <v>AB01F4</v>
      </c>
      <c r="V1744">
        <v>0</v>
      </c>
      <c r="W1744">
        <v>0</v>
      </c>
      <c r="X1744">
        <v>2</v>
      </c>
      <c r="Z1744">
        <v>0</v>
      </c>
      <c r="AA1744">
        <v>9</v>
      </c>
      <c r="AB1744">
        <v>3</v>
      </c>
      <c r="AC1744">
        <v>0</v>
      </c>
      <c r="AD1744">
        <v>10</v>
      </c>
      <c r="AE1744">
        <v>0</v>
      </c>
      <c r="AF1744">
        <v>3</v>
      </c>
      <c r="AG1744">
        <v>2</v>
      </c>
      <c r="AH1744">
        <v>0</v>
      </c>
      <c r="AI1744" t="s">
        <v>1121</v>
      </c>
      <c r="AJ1744">
        <v>39.890906999999999</v>
      </c>
      <c r="AK1744" t="s">
        <v>1122</v>
      </c>
      <c r="AL1744">
        <v>-92.553612999999999</v>
      </c>
      <c r="AM1744">
        <v>100</v>
      </c>
      <c r="AN1744">
        <v>1700</v>
      </c>
      <c r="AO1744" t="s">
        <v>118</v>
      </c>
      <c r="AP1744">
        <v>-67</v>
      </c>
      <c r="AQ1744">
        <v>107</v>
      </c>
      <c r="AR1744">
        <v>-256</v>
      </c>
      <c r="AZ1744">
        <v>1200</v>
      </c>
      <c r="BA1744">
        <v>1</v>
      </c>
      <c r="BB1744" t="str">
        <f t="shared" si="84"/>
        <v xml:space="preserve">N8080G  </v>
      </c>
      <c r="BC1744">
        <v>1</v>
      </c>
      <c r="BE1744">
        <v>0</v>
      </c>
      <c r="BF1744">
        <v>0</v>
      </c>
      <c r="BG1744">
        <v>0</v>
      </c>
      <c r="BH1744">
        <v>1700</v>
      </c>
      <c r="BI1744">
        <v>1</v>
      </c>
      <c r="BJ1744">
        <v>1</v>
      </c>
      <c r="BK1744">
        <v>1</v>
      </c>
      <c r="BL1744">
        <v>0</v>
      </c>
      <c r="BO1744">
        <v>0</v>
      </c>
      <c r="BP1744">
        <v>0</v>
      </c>
      <c r="BW1744" t="str">
        <f>"20:23:08.577"</f>
        <v>20:23:08.577</v>
      </c>
      <c r="BZ1744">
        <v>0</v>
      </c>
      <c r="CA1744">
        <v>2016</v>
      </c>
      <c r="CB1744">
        <v>224</v>
      </c>
      <c r="CD1744">
        <v>1</v>
      </c>
      <c r="CE1744">
        <v>0</v>
      </c>
      <c r="CF1744">
        <v>0</v>
      </c>
      <c r="CG1744">
        <v>1</v>
      </c>
      <c r="CH1744">
        <v>0</v>
      </c>
      <c r="CI1744">
        <v>0</v>
      </c>
      <c r="CJ1744">
        <v>0</v>
      </c>
      <c r="CK1744">
        <v>2</v>
      </c>
      <c r="CL1744">
        <v>0</v>
      </c>
      <c r="CM1744">
        <v>2</v>
      </c>
      <c r="CN1744">
        <v>0</v>
      </c>
      <c r="CO1744">
        <v>7</v>
      </c>
      <c r="CP1744" t="s">
        <v>119</v>
      </c>
      <c r="CQ1744">
        <v>180</v>
      </c>
      <c r="CR1744">
        <v>2</v>
      </c>
      <c r="CW1744">
        <v>8320519</v>
      </c>
      <c r="CY1744">
        <v>1</v>
      </c>
      <c r="CZ1744">
        <v>0</v>
      </c>
      <c r="DA1744">
        <v>1</v>
      </c>
      <c r="DB1744">
        <v>0</v>
      </c>
      <c r="DC1744">
        <v>0</v>
      </c>
      <c r="DD1744">
        <v>0</v>
      </c>
      <c r="DE1744">
        <v>0</v>
      </c>
      <c r="DF1744">
        <v>0</v>
      </c>
      <c r="DG1744">
        <v>0</v>
      </c>
      <c r="DH1744">
        <v>0</v>
      </c>
      <c r="DI1744">
        <v>0</v>
      </c>
    </row>
    <row r="1745" spans="1:113" x14ac:dyDescent="0.3">
      <c r="A1745" t="str">
        <f>"02/08/2021 20:23:06.239"</f>
        <v>02/08/2021 20:23:06.239</v>
      </c>
      <c r="C1745" t="str">
        <f t="shared" si="83"/>
        <v>FFDFD7C0</v>
      </c>
      <c r="D1745" t="s">
        <v>124</v>
      </c>
      <c r="E1745">
        <v>13</v>
      </c>
      <c r="F1745">
        <v>1013</v>
      </c>
      <c r="G1745" t="s">
        <v>114</v>
      </c>
      <c r="J1745" t="s">
        <v>125</v>
      </c>
      <c r="K1745">
        <v>0</v>
      </c>
      <c r="L1745">
        <v>3</v>
      </c>
      <c r="M1745">
        <v>0</v>
      </c>
      <c r="N1745">
        <v>2</v>
      </c>
      <c r="O1745">
        <v>1</v>
      </c>
      <c r="P1745">
        <v>0</v>
      </c>
      <c r="Q1745">
        <v>0</v>
      </c>
      <c r="S1745" t="str">
        <f>"20:23:08.570"</f>
        <v>20:23:08.570</v>
      </c>
      <c r="T1745" t="str">
        <f>"20:23:08.170"</f>
        <v>20:23:08.170</v>
      </c>
      <c r="U1745" t="str">
        <f t="shared" si="82"/>
        <v>AB01F4</v>
      </c>
      <c r="V1745">
        <v>0</v>
      </c>
      <c r="W1745">
        <v>0</v>
      </c>
      <c r="X1745">
        <v>2</v>
      </c>
      <c r="Z1745">
        <v>0</v>
      </c>
      <c r="AA1745">
        <v>9</v>
      </c>
      <c r="AB1745">
        <v>3</v>
      </c>
      <c r="AC1745">
        <v>0</v>
      </c>
      <c r="AD1745">
        <v>10</v>
      </c>
      <c r="AE1745">
        <v>0</v>
      </c>
      <c r="AF1745">
        <v>3</v>
      </c>
      <c r="AG1745">
        <v>2</v>
      </c>
      <c r="AH1745">
        <v>0</v>
      </c>
      <c r="AI1745" t="s">
        <v>1121</v>
      </c>
      <c r="AJ1745">
        <v>39.890906999999999</v>
      </c>
      <c r="AK1745" t="s">
        <v>1122</v>
      </c>
      <c r="AL1745">
        <v>-92.553612999999999</v>
      </c>
      <c r="AM1745">
        <v>100</v>
      </c>
      <c r="AN1745">
        <v>1700</v>
      </c>
      <c r="AO1745" t="s">
        <v>118</v>
      </c>
      <c r="AP1745">
        <v>-67</v>
      </c>
      <c r="AQ1745">
        <v>107</v>
      </c>
      <c r="AR1745">
        <v>-256</v>
      </c>
      <c r="AZ1745">
        <v>1200</v>
      </c>
      <c r="BA1745">
        <v>1</v>
      </c>
      <c r="BB1745" t="str">
        <f t="shared" si="84"/>
        <v xml:space="preserve">N8080G  </v>
      </c>
      <c r="BC1745">
        <v>1</v>
      </c>
      <c r="BE1745">
        <v>0</v>
      </c>
      <c r="BF1745">
        <v>0</v>
      </c>
      <c r="BG1745">
        <v>0</v>
      </c>
      <c r="BH1745">
        <v>1700</v>
      </c>
      <c r="BI1745">
        <v>1</v>
      </c>
      <c r="BJ1745">
        <v>1</v>
      </c>
      <c r="BK1745">
        <v>1</v>
      </c>
      <c r="BL1745">
        <v>0</v>
      </c>
      <c r="BO1745">
        <v>0</v>
      </c>
      <c r="BP1745">
        <v>0</v>
      </c>
      <c r="BW1745" t="str">
        <f>"20:23:08.577"</f>
        <v>20:23:08.577</v>
      </c>
      <c r="BZ1745">
        <v>0</v>
      </c>
      <c r="CA1745">
        <v>2016</v>
      </c>
      <c r="CB1745">
        <v>224</v>
      </c>
      <c r="CD1745">
        <v>1</v>
      </c>
      <c r="CE1745">
        <v>0</v>
      </c>
      <c r="CF1745">
        <v>0</v>
      </c>
      <c r="CG1745">
        <v>1</v>
      </c>
      <c r="CH1745">
        <v>0</v>
      </c>
      <c r="CI1745">
        <v>0</v>
      </c>
      <c r="CJ1745">
        <v>0</v>
      </c>
      <c r="CK1745">
        <v>2</v>
      </c>
      <c r="CL1745">
        <v>0</v>
      </c>
      <c r="CM1745">
        <v>2</v>
      </c>
      <c r="CN1745">
        <v>0</v>
      </c>
      <c r="CO1745">
        <v>7</v>
      </c>
      <c r="CP1745" t="s">
        <v>119</v>
      </c>
      <c r="CQ1745">
        <v>180</v>
      </c>
      <c r="CR1745">
        <v>2</v>
      </c>
      <c r="CW1745">
        <v>8320519</v>
      </c>
      <c r="CY1745">
        <v>1</v>
      </c>
      <c r="CZ1745">
        <v>0</v>
      </c>
      <c r="DA1745">
        <v>1</v>
      </c>
      <c r="DB1745">
        <v>0</v>
      </c>
      <c r="DC1745">
        <v>0</v>
      </c>
      <c r="DD1745">
        <v>0</v>
      </c>
      <c r="DE1745">
        <v>0</v>
      </c>
      <c r="DF1745">
        <v>0</v>
      </c>
      <c r="DG1745">
        <v>0</v>
      </c>
      <c r="DH1745">
        <v>0</v>
      </c>
      <c r="DI1745">
        <v>0</v>
      </c>
    </row>
    <row r="1746" spans="1:113" x14ac:dyDescent="0.3">
      <c r="A1746" t="str">
        <f>"02/08/2021 20:23:06.239"</f>
        <v>02/08/2021 20:23:06.239</v>
      </c>
      <c r="C1746" t="str">
        <f t="shared" si="83"/>
        <v>FFDFD7C0</v>
      </c>
      <c r="D1746" t="s">
        <v>124</v>
      </c>
      <c r="E1746">
        <v>12</v>
      </c>
      <c r="F1746">
        <v>1012</v>
      </c>
      <c r="G1746" t="s">
        <v>675</v>
      </c>
      <c r="J1746" t="s">
        <v>125</v>
      </c>
      <c r="K1746">
        <v>0</v>
      </c>
      <c r="L1746">
        <v>3</v>
      </c>
      <c r="M1746">
        <v>0</v>
      </c>
      <c r="N1746">
        <v>2</v>
      </c>
      <c r="O1746">
        <v>1</v>
      </c>
      <c r="P1746">
        <v>0</v>
      </c>
      <c r="Q1746">
        <v>0</v>
      </c>
      <c r="S1746" t="str">
        <f>"20:23:08.570"</f>
        <v>20:23:08.570</v>
      </c>
      <c r="T1746" t="str">
        <f>"20:23:08.170"</f>
        <v>20:23:08.170</v>
      </c>
      <c r="U1746" t="str">
        <f t="shared" si="82"/>
        <v>AB01F4</v>
      </c>
      <c r="V1746">
        <v>0</v>
      </c>
      <c r="W1746">
        <v>0</v>
      </c>
      <c r="X1746">
        <v>2</v>
      </c>
      <c r="Z1746">
        <v>0</v>
      </c>
      <c r="AA1746">
        <v>9</v>
      </c>
      <c r="AB1746">
        <v>3</v>
      </c>
      <c r="AC1746">
        <v>0</v>
      </c>
      <c r="AD1746">
        <v>10</v>
      </c>
      <c r="AE1746">
        <v>0</v>
      </c>
      <c r="AF1746">
        <v>3</v>
      </c>
      <c r="AG1746">
        <v>2</v>
      </c>
      <c r="AH1746">
        <v>0</v>
      </c>
      <c r="AI1746" t="s">
        <v>1121</v>
      </c>
      <c r="AJ1746">
        <v>39.890906999999999</v>
      </c>
      <c r="AK1746" t="s">
        <v>1122</v>
      </c>
      <c r="AL1746">
        <v>-92.553612999999999</v>
      </c>
      <c r="AM1746">
        <v>100</v>
      </c>
      <c r="AN1746">
        <v>1700</v>
      </c>
      <c r="AO1746" t="s">
        <v>118</v>
      </c>
      <c r="AP1746">
        <v>-67</v>
      </c>
      <c r="AQ1746">
        <v>107</v>
      </c>
      <c r="AR1746">
        <v>-256</v>
      </c>
      <c r="AZ1746">
        <v>1200</v>
      </c>
      <c r="BA1746">
        <v>1</v>
      </c>
      <c r="BB1746" t="str">
        <f t="shared" si="84"/>
        <v xml:space="preserve">N8080G  </v>
      </c>
      <c r="BC1746">
        <v>1</v>
      </c>
      <c r="BE1746">
        <v>0</v>
      </c>
      <c r="BF1746">
        <v>0</v>
      </c>
      <c r="BG1746">
        <v>0</v>
      </c>
      <c r="BH1746">
        <v>1700</v>
      </c>
      <c r="BI1746">
        <v>1</v>
      </c>
      <c r="BJ1746">
        <v>1</v>
      </c>
      <c r="BK1746">
        <v>1</v>
      </c>
      <c r="BL1746">
        <v>0</v>
      </c>
      <c r="BO1746">
        <v>0</v>
      </c>
      <c r="BP1746">
        <v>0</v>
      </c>
      <c r="BW1746" t="str">
        <f>"20:23:08.577"</f>
        <v>20:23:08.577</v>
      </c>
      <c r="BZ1746">
        <v>0</v>
      </c>
      <c r="CA1746">
        <v>2016</v>
      </c>
      <c r="CB1746">
        <v>224</v>
      </c>
      <c r="CD1746">
        <v>1</v>
      </c>
      <c r="CE1746">
        <v>0</v>
      </c>
      <c r="CF1746">
        <v>0</v>
      </c>
      <c r="CG1746">
        <v>1</v>
      </c>
      <c r="CH1746">
        <v>0</v>
      </c>
      <c r="CI1746">
        <v>0</v>
      </c>
      <c r="CJ1746">
        <v>0</v>
      </c>
      <c r="CK1746">
        <v>2</v>
      </c>
      <c r="CL1746">
        <v>0</v>
      </c>
      <c r="CM1746">
        <v>2</v>
      </c>
      <c r="CN1746">
        <v>0</v>
      </c>
      <c r="CO1746">
        <v>7</v>
      </c>
      <c r="CP1746" t="s">
        <v>119</v>
      </c>
      <c r="CQ1746">
        <v>180</v>
      </c>
      <c r="CR1746">
        <v>2</v>
      </c>
      <c r="CW1746">
        <v>8320519</v>
      </c>
      <c r="CY1746">
        <v>1</v>
      </c>
      <c r="CZ1746">
        <v>0</v>
      </c>
      <c r="DA1746">
        <v>1</v>
      </c>
      <c r="DB1746">
        <v>0</v>
      </c>
      <c r="DC1746">
        <v>0</v>
      </c>
      <c r="DD1746">
        <v>0</v>
      </c>
      <c r="DE1746">
        <v>0</v>
      </c>
      <c r="DF1746">
        <v>0</v>
      </c>
      <c r="DG1746">
        <v>0</v>
      </c>
      <c r="DH1746">
        <v>0</v>
      </c>
      <c r="DI1746">
        <v>0</v>
      </c>
    </row>
    <row r="1747" spans="1:113" x14ac:dyDescent="0.3">
      <c r="A1747" t="str">
        <f>"02/08/2021 20:23:09.347"</f>
        <v>02/08/2021 20:23:09.347</v>
      </c>
      <c r="C1747" t="str">
        <f t="shared" si="83"/>
        <v>FFDFD7C0</v>
      </c>
      <c r="D1747" t="s">
        <v>124</v>
      </c>
      <c r="E1747">
        <v>12</v>
      </c>
      <c r="F1747">
        <v>1012</v>
      </c>
      <c r="G1747" t="s">
        <v>675</v>
      </c>
      <c r="J1747" t="s">
        <v>125</v>
      </c>
      <c r="K1747">
        <v>0</v>
      </c>
      <c r="L1747">
        <v>3</v>
      </c>
      <c r="M1747">
        <v>0</v>
      </c>
      <c r="N1747">
        <v>2</v>
      </c>
      <c r="O1747">
        <v>1</v>
      </c>
      <c r="P1747">
        <v>0</v>
      </c>
      <c r="Q1747">
        <v>0</v>
      </c>
      <c r="S1747" t="str">
        <f>"20:23:11.672"</f>
        <v>20:23:11.672</v>
      </c>
      <c r="T1747" t="str">
        <f>"20:23:11.172"</f>
        <v>20:23:11.172</v>
      </c>
      <c r="U1747" t="str">
        <f t="shared" si="82"/>
        <v>AB01F4</v>
      </c>
      <c r="V1747">
        <v>0</v>
      </c>
      <c r="W1747">
        <v>0</v>
      </c>
      <c r="X1747">
        <v>2</v>
      </c>
      <c r="Z1747">
        <v>0</v>
      </c>
      <c r="AA1747">
        <v>9</v>
      </c>
      <c r="AB1747">
        <v>3</v>
      </c>
      <c r="AC1747">
        <v>0</v>
      </c>
      <c r="AD1747">
        <v>10</v>
      </c>
      <c r="AE1747">
        <v>0</v>
      </c>
      <c r="AF1747">
        <v>3</v>
      </c>
      <c r="AG1747">
        <v>2</v>
      </c>
      <c r="AH1747">
        <v>0</v>
      </c>
      <c r="AI1747" t="s">
        <v>1123</v>
      </c>
      <c r="AJ1747">
        <v>39.89228</v>
      </c>
      <c r="AK1747" t="s">
        <v>1124</v>
      </c>
      <c r="AL1747">
        <v>-92.555115000000001</v>
      </c>
      <c r="AM1747">
        <v>100</v>
      </c>
      <c r="AN1747">
        <v>1700</v>
      </c>
      <c r="AO1747" t="s">
        <v>118</v>
      </c>
      <c r="AP1747">
        <v>-90</v>
      </c>
      <c r="AQ1747">
        <v>93</v>
      </c>
      <c r="AR1747">
        <v>-128</v>
      </c>
      <c r="AZ1747">
        <v>1200</v>
      </c>
      <c r="BA1747">
        <v>1</v>
      </c>
      <c r="BB1747" t="str">
        <f t="shared" si="84"/>
        <v xml:space="preserve">N8080G  </v>
      </c>
      <c r="BC1747">
        <v>1</v>
      </c>
      <c r="BE1747">
        <v>0</v>
      </c>
      <c r="BF1747">
        <v>0</v>
      </c>
      <c r="BG1747">
        <v>0</v>
      </c>
      <c r="BH1747">
        <v>1700</v>
      </c>
      <c r="BI1747">
        <v>1</v>
      </c>
      <c r="BJ1747">
        <v>1</v>
      </c>
      <c r="BK1747">
        <v>1</v>
      </c>
      <c r="BL1747">
        <v>0</v>
      </c>
      <c r="BO1747">
        <v>0</v>
      </c>
      <c r="BP1747">
        <v>0</v>
      </c>
      <c r="BW1747" t="str">
        <f>"20:23:11.678"</f>
        <v>20:23:11.678</v>
      </c>
      <c r="BZ1747">
        <v>0</v>
      </c>
      <c r="CA1747">
        <v>2016</v>
      </c>
      <c r="CB1747">
        <v>224</v>
      </c>
      <c r="CD1747">
        <v>1</v>
      </c>
      <c r="CE1747">
        <v>0</v>
      </c>
      <c r="CF1747">
        <v>0</v>
      </c>
      <c r="CG1747">
        <v>1</v>
      </c>
      <c r="CH1747">
        <v>0</v>
      </c>
      <c r="CI1747">
        <v>0</v>
      </c>
      <c r="CJ1747">
        <v>0</v>
      </c>
      <c r="CK1747">
        <v>2</v>
      </c>
      <c r="CL1747">
        <v>0</v>
      </c>
      <c r="CM1747">
        <v>2</v>
      </c>
      <c r="CN1747">
        <v>0</v>
      </c>
      <c r="CO1747">
        <v>7</v>
      </c>
      <c r="CP1747" t="s">
        <v>119</v>
      </c>
      <c r="CQ1747">
        <v>180</v>
      </c>
      <c r="CR1747">
        <v>2</v>
      </c>
      <c r="CW1747">
        <v>8323042</v>
      </c>
      <c r="CY1747">
        <v>1</v>
      </c>
      <c r="CZ1747">
        <v>0</v>
      </c>
      <c r="DA1747">
        <v>0</v>
      </c>
      <c r="DB1747">
        <v>0</v>
      </c>
      <c r="DC1747">
        <v>0</v>
      </c>
      <c r="DD1747">
        <v>0</v>
      </c>
      <c r="DE1747">
        <v>0</v>
      </c>
      <c r="DF1747">
        <v>0</v>
      </c>
      <c r="DG1747">
        <v>0</v>
      </c>
      <c r="DH1747">
        <v>0</v>
      </c>
      <c r="DI1747">
        <v>0</v>
      </c>
    </row>
    <row r="1748" spans="1:113" x14ac:dyDescent="0.3">
      <c r="A1748" t="str">
        <f>"02/08/2021 20:23:09.347"</f>
        <v>02/08/2021 20:23:09.347</v>
      </c>
      <c r="C1748" t="str">
        <f t="shared" si="83"/>
        <v>FFDFD7C0</v>
      </c>
      <c r="D1748" t="s">
        <v>113</v>
      </c>
      <c r="E1748">
        <v>6</v>
      </c>
      <c r="H1748">
        <v>165</v>
      </c>
      <c r="I1748" t="s">
        <v>114</v>
      </c>
      <c r="J1748" t="s">
        <v>115</v>
      </c>
      <c r="K1748">
        <v>0</v>
      </c>
      <c r="L1748">
        <v>3</v>
      </c>
      <c r="M1748">
        <v>0</v>
      </c>
      <c r="N1748">
        <v>2</v>
      </c>
      <c r="O1748">
        <v>1</v>
      </c>
      <c r="P1748">
        <v>0</v>
      </c>
      <c r="Q1748">
        <v>0</v>
      </c>
      <c r="S1748" t="str">
        <f>"20:23:11.672"</f>
        <v>20:23:11.672</v>
      </c>
      <c r="T1748" t="str">
        <f>"20:23:11.172"</f>
        <v>20:23:11.172</v>
      </c>
      <c r="U1748" t="str">
        <f t="shared" si="82"/>
        <v>AB01F4</v>
      </c>
      <c r="V1748">
        <v>0</v>
      </c>
      <c r="W1748">
        <v>0</v>
      </c>
      <c r="X1748">
        <v>2</v>
      </c>
      <c r="Z1748">
        <v>0</v>
      </c>
      <c r="AA1748">
        <v>9</v>
      </c>
      <c r="AB1748">
        <v>3</v>
      </c>
      <c r="AC1748">
        <v>0</v>
      </c>
      <c r="AD1748">
        <v>10</v>
      </c>
      <c r="AE1748">
        <v>0</v>
      </c>
      <c r="AF1748">
        <v>3</v>
      </c>
      <c r="AG1748">
        <v>2</v>
      </c>
      <c r="AH1748">
        <v>0</v>
      </c>
      <c r="AI1748" t="s">
        <v>1123</v>
      </c>
      <c r="AJ1748">
        <v>39.89228</v>
      </c>
      <c r="AK1748" t="s">
        <v>1124</v>
      </c>
      <c r="AL1748">
        <v>-92.555115000000001</v>
      </c>
      <c r="AM1748">
        <v>100</v>
      </c>
      <c r="AN1748">
        <v>1700</v>
      </c>
      <c r="AO1748" t="s">
        <v>118</v>
      </c>
      <c r="AP1748">
        <v>-90</v>
      </c>
      <c r="AQ1748">
        <v>93</v>
      </c>
      <c r="AR1748">
        <v>-128</v>
      </c>
      <c r="AZ1748">
        <v>1200</v>
      </c>
      <c r="BA1748">
        <v>1</v>
      </c>
      <c r="BB1748" t="str">
        <f t="shared" si="84"/>
        <v xml:space="preserve">N8080G  </v>
      </c>
      <c r="BC1748">
        <v>1</v>
      </c>
      <c r="BE1748">
        <v>0</v>
      </c>
      <c r="BF1748">
        <v>0</v>
      </c>
      <c r="BG1748">
        <v>0</v>
      </c>
      <c r="BH1748">
        <v>1700</v>
      </c>
      <c r="BI1748">
        <v>1</v>
      </c>
      <c r="BJ1748">
        <v>1</v>
      </c>
      <c r="BK1748">
        <v>1</v>
      </c>
      <c r="BL1748">
        <v>0</v>
      </c>
      <c r="BO1748">
        <v>0</v>
      </c>
      <c r="BP1748">
        <v>0</v>
      </c>
      <c r="BW1748" t="str">
        <f>"20:23:11.678"</f>
        <v>20:23:11.678</v>
      </c>
      <c r="BZ1748">
        <v>0</v>
      </c>
      <c r="CA1748">
        <v>2016</v>
      </c>
      <c r="CB1748">
        <v>224</v>
      </c>
      <c r="CD1748">
        <v>1</v>
      </c>
      <c r="CE1748">
        <v>0</v>
      </c>
      <c r="CF1748">
        <v>0</v>
      </c>
      <c r="CG1748">
        <v>1</v>
      </c>
      <c r="CH1748">
        <v>0</v>
      </c>
      <c r="CI1748">
        <v>0</v>
      </c>
      <c r="CJ1748">
        <v>0</v>
      </c>
      <c r="CK1748">
        <v>2</v>
      </c>
      <c r="CL1748">
        <v>0</v>
      </c>
      <c r="CM1748">
        <v>2</v>
      </c>
      <c r="CN1748">
        <v>0</v>
      </c>
      <c r="CO1748">
        <v>7</v>
      </c>
      <c r="CP1748" t="s">
        <v>119</v>
      </c>
      <c r="CQ1748">
        <v>180</v>
      </c>
      <c r="CR1748">
        <v>2</v>
      </c>
      <c r="CW1748">
        <v>8323042</v>
      </c>
      <c r="CY1748">
        <v>1</v>
      </c>
      <c r="CZ1748">
        <v>0</v>
      </c>
      <c r="DA1748">
        <v>1</v>
      </c>
      <c r="DB1748">
        <v>0</v>
      </c>
      <c r="DC1748">
        <v>0</v>
      </c>
      <c r="DD1748">
        <v>0</v>
      </c>
      <c r="DE1748">
        <v>0</v>
      </c>
      <c r="DF1748">
        <v>0</v>
      </c>
      <c r="DG1748">
        <v>0</v>
      </c>
      <c r="DH1748">
        <v>0</v>
      </c>
      <c r="DI1748">
        <v>0</v>
      </c>
    </row>
    <row r="1749" spans="1:113" x14ac:dyDescent="0.3">
      <c r="A1749" t="str">
        <f>"02/08/2021 20:23:09.347"</f>
        <v>02/08/2021 20:23:09.347</v>
      </c>
      <c r="C1749" t="str">
        <f t="shared" si="83"/>
        <v>FFDFD7C0</v>
      </c>
      <c r="D1749" t="s">
        <v>124</v>
      </c>
      <c r="E1749">
        <v>11</v>
      </c>
      <c r="F1749">
        <v>1011</v>
      </c>
      <c r="G1749" t="s">
        <v>590</v>
      </c>
      <c r="J1749" t="s">
        <v>125</v>
      </c>
      <c r="K1749">
        <v>0</v>
      </c>
      <c r="L1749">
        <v>3</v>
      </c>
      <c r="M1749">
        <v>0</v>
      </c>
      <c r="N1749">
        <v>2</v>
      </c>
      <c r="O1749">
        <v>1</v>
      </c>
      <c r="P1749">
        <v>0</v>
      </c>
      <c r="Q1749">
        <v>0</v>
      </c>
      <c r="S1749" t="str">
        <f>"20:23:11.672"</f>
        <v>20:23:11.672</v>
      </c>
      <c r="T1749" t="str">
        <f>"20:23:11.172"</f>
        <v>20:23:11.172</v>
      </c>
      <c r="U1749" t="str">
        <f t="shared" si="82"/>
        <v>AB01F4</v>
      </c>
      <c r="V1749">
        <v>0</v>
      </c>
      <c r="W1749">
        <v>0</v>
      </c>
      <c r="X1749">
        <v>2</v>
      </c>
      <c r="Z1749">
        <v>0</v>
      </c>
      <c r="AA1749">
        <v>9</v>
      </c>
      <c r="AB1749">
        <v>3</v>
      </c>
      <c r="AC1749">
        <v>0</v>
      </c>
      <c r="AD1749">
        <v>10</v>
      </c>
      <c r="AE1749">
        <v>0</v>
      </c>
      <c r="AF1749">
        <v>3</v>
      </c>
      <c r="AG1749">
        <v>2</v>
      </c>
      <c r="AH1749">
        <v>0</v>
      </c>
      <c r="AI1749" t="s">
        <v>1123</v>
      </c>
      <c r="AJ1749">
        <v>39.89228</v>
      </c>
      <c r="AK1749" t="s">
        <v>1124</v>
      </c>
      <c r="AL1749">
        <v>-92.555115000000001</v>
      </c>
      <c r="AM1749">
        <v>100</v>
      </c>
      <c r="AN1749">
        <v>1700</v>
      </c>
      <c r="AO1749" t="s">
        <v>118</v>
      </c>
      <c r="AP1749">
        <v>-90</v>
      </c>
      <c r="AQ1749">
        <v>93</v>
      </c>
      <c r="AR1749">
        <v>-128</v>
      </c>
      <c r="AZ1749">
        <v>1200</v>
      </c>
      <c r="BA1749">
        <v>1</v>
      </c>
      <c r="BB1749" t="str">
        <f t="shared" si="84"/>
        <v xml:space="preserve">N8080G  </v>
      </c>
      <c r="BC1749">
        <v>1</v>
      </c>
      <c r="BE1749">
        <v>0</v>
      </c>
      <c r="BF1749">
        <v>0</v>
      </c>
      <c r="BG1749">
        <v>0</v>
      </c>
      <c r="BH1749">
        <v>1700</v>
      </c>
      <c r="BI1749">
        <v>1</v>
      </c>
      <c r="BJ1749">
        <v>1</v>
      </c>
      <c r="BK1749">
        <v>1</v>
      </c>
      <c r="BL1749">
        <v>0</v>
      </c>
      <c r="BO1749">
        <v>0</v>
      </c>
      <c r="BP1749">
        <v>0</v>
      </c>
      <c r="BW1749" t="str">
        <f>"20:23:11.678"</f>
        <v>20:23:11.678</v>
      </c>
      <c r="BZ1749">
        <v>0</v>
      </c>
      <c r="CA1749">
        <v>2016</v>
      </c>
      <c r="CB1749">
        <v>224</v>
      </c>
      <c r="CD1749">
        <v>1</v>
      </c>
      <c r="CE1749">
        <v>0</v>
      </c>
      <c r="CF1749">
        <v>0</v>
      </c>
      <c r="CG1749">
        <v>1</v>
      </c>
      <c r="CH1749">
        <v>0</v>
      </c>
      <c r="CI1749">
        <v>0</v>
      </c>
      <c r="CJ1749">
        <v>0</v>
      </c>
      <c r="CK1749">
        <v>2</v>
      </c>
      <c r="CL1749">
        <v>0</v>
      </c>
      <c r="CM1749">
        <v>2</v>
      </c>
      <c r="CN1749">
        <v>0</v>
      </c>
      <c r="CO1749">
        <v>7</v>
      </c>
      <c r="CP1749" t="s">
        <v>119</v>
      </c>
      <c r="CQ1749">
        <v>180</v>
      </c>
      <c r="CR1749">
        <v>2</v>
      </c>
      <c r="CW1749">
        <v>8323042</v>
      </c>
      <c r="CY1749">
        <v>1</v>
      </c>
      <c r="CZ1749">
        <v>0</v>
      </c>
      <c r="DA1749">
        <v>1</v>
      </c>
      <c r="DB1749">
        <v>0</v>
      </c>
      <c r="DC1749">
        <v>0</v>
      </c>
      <c r="DD1749">
        <v>0</v>
      </c>
      <c r="DE1749">
        <v>0</v>
      </c>
      <c r="DF1749">
        <v>0</v>
      </c>
      <c r="DG1749">
        <v>0</v>
      </c>
      <c r="DH1749">
        <v>0</v>
      </c>
      <c r="DI1749">
        <v>0</v>
      </c>
    </row>
    <row r="1750" spans="1:113" x14ac:dyDescent="0.3">
      <c r="A1750" t="str">
        <f>"02/08/2021 20:23:09.347"</f>
        <v>02/08/2021 20:23:09.347</v>
      </c>
      <c r="C1750" t="str">
        <f t="shared" si="83"/>
        <v>FFDFD7C0</v>
      </c>
      <c r="D1750" t="s">
        <v>124</v>
      </c>
      <c r="E1750">
        <v>13</v>
      </c>
      <c r="F1750">
        <v>1013</v>
      </c>
      <c r="G1750" t="s">
        <v>114</v>
      </c>
      <c r="J1750" t="s">
        <v>125</v>
      </c>
      <c r="K1750">
        <v>0</v>
      </c>
      <c r="L1750">
        <v>3</v>
      </c>
      <c r="M1750">
        <v>0</v>
      </c>
      <c r="N1750">
        <v>2</v>
      </c>
      <c r="O1750">
        <v>1</v>
      </c>
      <c r="P1750">
        <v>0</v>
      </c>
      <c r="Q1750">
        <v>0</v>
      </c>
      <c r="S1750" t="str">
        <f>"20:23:11.672"</f>
        <v>20:23:11.672</v>
      </c>
      <c r="T1750" t="str">
        <f>"20:23:11.172"</f>
        <v>20:23:11.172</v>
      </c>
      <c r="U1750" t="str">
        <f t="shared" si="82"/>
        <v>AB01F4</v>
      </c>
      <c r="V1750">
        <v>0</v>
      </c>
      <c r="W1750">
        <v>0</v>
      </c>
      <c r="X1750">
        <v>2</v>
      </c>
      <c r="Z1750">
        <v>0</v>
      </c>
      <c r="AA1750">
        <v>9</v>
      </c>
      <c r="AB1750">
        <v>3</v>
      </c>
      <c r="AC1750">
        <v>0</v>
      </c>
      <c r="AD1750">
        <v>10</v>
      </c>
      <c r="AE1750">
        <v>0</v>
      </c>
      <c r="AF1750">
        <v>3</v>
      </c>
      <c r="AG1750">
        <v>2</v>
      </c>
      <c r="AH1750">
        <v>0</v>
      </c>
      <c r="AI1750" t="s">
        <v>1123</v>
      </c>
      <c r="AJ1750">
        <v>39.89228</v>
      </c>
      <c r="AK1750" t="s">
        <v>1124</v>
      </c>
      <c r="AL1750">
        <v>-92.555115000000001</v>
      </c>
      <c r="AM1750">
        <v>100</v>
      </c>
      <c r="AN1750">
        <v>1700</v>
      </c>
      <c r="AO1750" t="s">
        <v>118</v>
      </c>
      <c r="AP1750">
        <v>-90</v>
      </c>
      <c r="AQ1750">
        <v>93</v>
      </c>
      <c r="AR1750">
        <v>-128</v>
      </c>
      <c r="AZ1750">
        <v>1200</v>
      </c>
      <c r="BA1750">
        <v>1</v>
      </c>
      <c r="BB1750" t="str">
        <f t="shared" si="84"/>
        <v xml:space="preserve">N8080G  </v>
      </c>
      <c r="BC1750">
        <v>1</v>
      </c>
      <c r="BE1750">
        <v>0</v>
      </c>
      <c r="BF1750">
        <v>0</v>
      </c>
      <c r="BG1750">
        <v>0</v>
      </c>
      <c r="BH1750">
        <v>1700</v>
      </c>
      <c r="BI1750">
        <v>1</v>
      </c>
      <c r="BJ1750">
        <v>1</v>
      </c>
      <c r="BK1750">
        <v>1</v>
      </c>
      <c r="BL1750">
        <v>0</v>
      </c>
      <c r="BO1750">
        <v>0</v>
      </c>
      <c r="BP1750">
        <v>0</v>
      </c>
      <c r="BW1750" t="str">
        <f>"20:23:11.678"</f>
        <v>20:23:11.678</v>
      </c>
      <c r="BZ1750">
        <v>0</v>
      </c>
      <c r="CA1750">
        <v>2016</v>
      </c>
      <c r="CB1750">
        <v>224</v>
      </c>
      <c r="CD1750">
        <v>1</v>
      </c>
      <c r="CE1750">
        <v>0</v>
      </c>
      <c r="CF1750">
        <v>0</v>
      </c>
      <c r="CG1750">
        <v>1</v>
      </c>
      <c r="CH1750">
        <v>0</v>
      </c>
      <c r="CI1750">
        <v>0</v>
      </c>
      <c r="CJ1750">
        <v>0</v>
      </c>
      <c r="CK1750">
        <v>2</v>
      </c>
      <c r="CL1750">
        <v>0</v>
      </c>
      <c r="CM1750">
        <v>2</v>
      </c>
      <c r="CN1750">
        <v>0</v>
      </c>
      <c r="CO1750">
        <v>7</v>
      </c>
      <c r="CP1750" t="s">
        <v>119</v>
      </c>
      <c r="CQ1750">
        <v>180</v>
      </c>
      <c r="CR1750">
        <v>2</v>
      </c>
      <c r="CW1750">
        <v>8323042</v>
      </c>
      <c r="CY1750">
        <v>1</v>
      </c>
      <c r="CZ1750">
        <v>0</v>
      </c>
      <c r="DA1750">
        <v>1</v>
      </c>
      <c r="DB1750">
        <v>0</v>
      </c>
      <c r="DC1750">
        <v>0</v>
      </c>
      <c r="DD1750">
        <v>0</v>
      </c>
      <c r="DE1750">
        <v>0</v>
      </c>
      <c r="DF1750">
        <v>0</v>
      </c>
      <c r="DG1750">
        <v>0</v>
      </c>
      <c r="DH1750">
        <v>0</v>
      </c>
      <c r="DI1750">
        <v>0</v>
      </c>
    </row>
    <row r="1751" spans="1:113" x14ac:dyDescent="0.3">
      <c r="A1751" t="str">
        <f>"02/08/2021 20:23:10.785"</f>
        <v>02/08/2021 20:23:10.785</v>
      </c>
      <c r="C1751" t="str">
        <f t="shared" si="83"/>
        <v>FFDFD7C0</v>
      </c>
      <c r="D1751" t="s">
        <v>124</v>
      </c>
      <c r="E1751">
        <v>13</v>
      </c>
      <c r="F1751">
        <v>1013</v>
      </c>
      <c r="G1751" t="s">
        <v>114</v>
      </c>
      <c r="J1751" t="s">
        <v>125</v>
      </c>
      <c r="K1751">
        <v>0</v>
      </c>
      <c r="L1751">
        <v>3</v>
      </c>
      <c r="M1751">
        <v>0</v>
      </c>
      <c r="N1751">
        <v>2</v>
      </c>
      <c r="O1751">
        <v>1</v>
      </c>
      <c r="P1751">
        <v>0</v>
      </c>
      <c r="Q1751">
        <v>0</v>
      </c>
      <c r="S1751" t="str">
        <f>"20:23:13.070"</f>
        <v>20:23:13.070</v>
      </c>
      <c r="T1751" t="str">
        <f>"20:23:12.670"</f>
        <v>20:23:12.670</v>
      </c>
      <c r="U1751" t="str">
        <f t="shared" si="82"/>
        <v>AB01F4</v>
      </c>
      <c r="V1751">
        <v>0</v>
      </c>
      <c r="W1751">
        <v>0</v>
      </c>
      <c r="X1751">
        <v>2</v>
      </c>
      <c r="Z1751">
        <v>0</v>
      </c>
      <c r="AA1751">
        <v>9</v>
      </c>
      <c r="AB1751">
        <v>3</v>
      </c>
      <c r="AC1751">
        <v>0</v>
      </c>
      <c r="AD1751">
        <v>10</v>
      </c>
      <c r="AE1751">
        <v>0</v>
      </c>
      <c r="AF1751">
        <v>3</v>
      </c>
      <c r="AG1751">
        <v>2</v>
      </c>
      <c r="AH1751">
        <v>0</v>
      </c>
      <c r="AI1751" t="s">
        <v>1125</v>
      </c>
      <c r="AJ1751">
        <v>39.892837999999998</v>
      </c>
      <c r="AK1751" t="s">
        <v>1126</v>
      </c>
      <c r="AL1751">
        <v>-92.555974000000006</v>
      </c>
      <c r="AM1751">
        <v>100</v>
      </c>
      <c r="AN1751">
        <v>1700</v>
      </c>
      <c r="AO1751" t="s">
        <v>118</v>
      </c>
      <c r="AP1751">
        <v>-97</v>
      </c>
      <c r="AQ1751">
        <v>87</v>
      </c>
      <c r="AR1751">
        <v>0</v>
      </c>
      <c r="AZ1751">
        <v>1200</v>
      </c>
      <c r="BA1751">
        <v>1</v>
      </c>
      <c r="BB1751" t="str">
        <f t="shared" si="84"/>
        <v xml:space="preserve">N8080G  </v>
      </c>
      <c r="BC1751">
        <v>1</v>
      </c>
      <c r="BE1751">
        <v>0</v>
      </c>
      <c r="BF1751">
        <v>0</v>
      </c>
      <c r="BG1751">
        <v>0</v>
      </c>
      <c r="BH1751">
        <v>1700</v>
      </c>
      <c r="BI1751">
        <v>1</v>
      </c>
      <c r="BJ1751">
        <v>1</v>
      </c>
      <c r="BK1751">
        <v>1</v>
      </c>
      <c r="BL1751">
        <v>0</v>
      </c>
      <c r="BO1751">
        <v>0</v>
      </c>
      <c r="BP1751">
        <v>0</v>
      </c>
      <c r="BW1751" t="str">
        <f>"20:23:13.071"</f>
        <v>20:23:13.071</v>
      </c>
      <c r="BZ1751">
        <v>0</v>
      </c>
      <c r="CA1751">
        <v>2016</v>
      </c>
      <c r="CB1751">
        <v>224</v>
      </c>
      <c r="CD1751">
        <v>1</v>
      </c>
      <c r="CE1751">
        <v>0</v>
      </c>
      <c r="CF1751">
        <v>0</v>
      </c>
      <c r="CG1751">
        <v>1</v>
      </c>
      <c r="CH1751">
        <v>0</v>
      </c>
      <c r="CI1751">
        <v>0</v>
      </c>
      <c r="CJ1751">
        <v>0</v>
      </c>
      <c r="CK1751">
        <v>2</v>
      </c>
      <c r="CL1751">
        <v>0</v>
      </c>
      <c r="CM1751">
        <v>2</v>
      </c>
      <c r="CN1751">
        <v>0</v>
      </c>
      <c r="CO1751">
        <v>7</v>
      </c>
      <c r="CP1751" t="s">
        <v>119</v>
      </c>
      <c r="CQ1751">
        <v>180</v>
      </c>
      <c r="CR1751">
        <v>2</v>
      </c>
      <c r="CW1751">
        <v>8324071</v>
      </c>
      <c r="CY1751">
        <v>1</v>
      </c>
      <c r="CZ1751">
        <v>0</v>
      </c>
      <c r="DA1751">
        <v>0</v>
      </c>
      <c r="DB1751">
        <v>0</v>
      </c>
      <c r="DC1751">
        <v>0</v>
      </c>
      <c r="DD1751">
        <v>0</v>
      </c>
      <c r="DE1751">
        <v>0</v>
      </c>
      <c r="DF1751">
        <v>0</v>
      </c>
      <c r="DG1751">
        <v>0</v>
      </c>
      <c r="DH1751">
        <v>0</v>
      </c>
      <c r="DI1751">
        <v>0</v>
      </c>
    </row>
    <row r="1752" spans="1:113" x14ac:dyDescent="0.3">
      <c r="A1752" t="str">
        <f>"02/08/2021 20:23:10.785"</f>
        <v>02/08/2021 20:23:10.785</v>
      </c>
      <c r="C1752" t="str">
        <f t="shared" si="83"/>
        <v>FFDFD7C0</v>
      </c>
      <c r="D1752" t="s">
        <v>113</v>
      </c>
      <c r="E1752">
        <v>6</v>
      </c>
      <c r="H1752">
        <v>165</v>
      </c>
      <c r="I1752" t="s">
        <v>114</v>
      </c>
      <c r="J1752" t="s">
        <v>115</v>
      </c>
      <c r="K1752">
        <v>0</v>
      </c>
      <c r="L1752">
        <v>3</v>
      </c>
      <c r="M1752">
        <v>0</v>
      </c>
      <c r="N1752">
        <v>2</v>
      </c>
      <c r="O1752">
        <v>1</v>
      </c>
      <c r="P1752">
        <v>0</v>
      </c>
      <c r="Q1752">
        <v>0</v>
      </c>
      <c r="S1752" t="str">
        <f>"20:23:13.070"</f>
        <v>20:23:13.070</v>
      </c>
      <c r="T1752" t="str">
        <f>"20:23:12.670"</f>
        <v>20:23:12.670</v>
      </c>
      <c r="U1752" t="str">
        <f t="shared" si="82"/>
        <v>AB01F4</v>
      </c>
      <c r="V1752">
        <v>0</v>
      </c>
      <c r="W1752">
        <v>0</v>
      </c>
      <c r="X1752">
        <v>2</v>
      </c>
      <c r="Z1752">
        <v>0</v>
      </c>
      <c r="AA1752">
        <v>9</v>
      </c>
      <c r="AB1752">
        <v>3</v>
      </c>
      <c r="AC1752">
        <v>0</v>
      </c>
      <c r="AD1752">
        <v>10</v>
      </c>
      <c r="AE1752">
        <v>0</v>
      </c>
      <c r="AF1752">
        <v>3</v>
      </c>
      <c r="AG1752">
        <v>2</v>
      </c>
      <c r="AH1752">
        <v>0</v>
      </c>
      <c r="AI1752" t="s">
        <v>1125</v>
      </c>
      <c r="AJ1752">
        <v>39.892837999999998</v>
      </c>
      <c r="AK1752" t="s">
        <v>1126</v>
      </c>
      <c r="AL1752">
        <v>-92.555974000000006</v>
      </c>
      <c r="AM1752">
        <v>100</v>
      </c>
      <c r="AN1752">
        <v>1700</v>
      </c>
      <c r="AO1752" t="s">
        <v>118</v>
      </c>
      <c r="AP1752">
        <v>-97</v>
      </c>
      <c r="AQ1752">
        <v>87</v>
      </c>
      <c r="AR1752">
        <v>0</v>
      </c>
      <c r="AZ1752">
        <v>1200</v>
      </c>
      <c r="BA1752">
        <v>1</v>
      </c>
      <c r="BB1752" t="str">
        <f t="shared" si="84"/>
        <v xml:space="preserve">N8080G  </v>
      </c>
      <c r="BC1752">
        <v>1</v>
      </c>
      <c r="BE1752">
        <v>0</v>
      </c>
      <c r="BF1752">
        <v>0</v>
      </c>
      <c r="BG1752">
        <v>0</v>
      </c>
      <c r="BH1752">
        <v>1700</v>
      </c>
      <c r="BI1752">
        <v>1</v>
      </c>
      <c r="BJ1752">
        <v>1</v>
      </c>
      <c r="BK1752">
        <v>1</v>
      </c>
      <c r="BL1752">
        <v>0</v>
      </c>
      <c r="BO1752">
        <v>0</v>
      </c>
      <c r="BP1752">
        <v>0</v>
      </c>
      <c r="BW1752" t="str">
        <f>"20:23:13.071"</f>
        <v>20:23:13.071</v>
      </c>
      <c r="BZ1752">
        <v>0</v>
      </c>
      <c r="CA1752">
        <v>2016</v>
      </c>
      <c r="CB1752">
        <v>224</v>
      </c>
      <c r="CD1752">
        <v>1</v>
      </c>
      <c r="CE1752">
        <v>0</v>
      </c>
      <c r="CF1752">
        <v>0</v>
      </c>
      <c r="CG1752">
        <v>1</v>
      </c>
      <c r="CH1752">
        <v>0</v>
      </c>
      <c r="CI1752">
        <v>0</v>
      </c>
      <c r="CJ1752">
        <v>0</v>
      </c>
      <c r="CK1752">
        <v>2</v>
      </c>
      <c r="CL1752">
        <v>0</v>
      </c>
      <c r="CM1752">
        <v>2</v>
      </c>
      <c r="CN1752">
        <v>0</v>
      </c>
      <c r="CO1752">
        <v>7</v>
      </c>
      <c r="CP1752" t="s">
        <v>119</v>
      </c>
      <c r="CQ1752">
        <v>180</v>
      </c>
      <c r="CR1752">
        <v>2</v>
      </c>
      <c r="CW1752">
        <v>8324071</v>
      </c>
      <c r="CY1752">
        <v>1</v>
      </c>
      <c r="CZ1752">
        <v>0</v>
      </c>
      <c r="DA1752">
        <v>1</v>
      </c>
      <c r="DB1752">
        <v>0</v>
      </c>
      <c r="DC1752">
        <v>0</v>
      </c>
      <c r="DD1752">
        <v>0</v>
      </c>
      <c r="DE1752">
        <v>0</v>
      </c>
      <c r="DF1752">
        <v>0</v>
      </c>
      <c r="DG1752">
        <v>0</v>
      </c>
      <c r="DH1752">
        <v>0</v>
      </c>
      <c r="DI1752">
        <v>0</v>
      </c>
    </row>
    <row r="1753" spans="1:113" x14ac:dyDescent="0.3">
      <c r="A1753" t="str">
        <f>"02/08/2021 20:23:10.785"</f>
        <v>02/08/2021 20:23:10.785</v>
      </c>
      <c r="C1753" t="str">
        <f t="shared" si="83"/>
        <v>FFDFD7C0</v>
      </c>
      <c r="D1753" t="s">
        <v>124</v>
      </c>
      <c r="E1753">
        <v>11</v>
      </c>
      <c r="F1753">
        <v>1011</v>
      </c>
      <c r="G1753" t="s">
        <v>590</v>
      </c>
      <c r="J1753" t="s">
        <v>125</v>
      </c>
      <c r="K1753">
        <v>0</v>
      </c>
      <c r="L1753">
        <v>3</v>
      </c>
      <c r="M1753">
        <v>0</v>
      </c>
      <c r="N1753">
        <v>2</v>
      </c>
      <c r="O1753">
        <v>1</v>
      </c>
      <c r="P1753">
        <v>0</v>
      </c>
      <c r="Q1753">
        <v>0</v>
      </c>
      <c r="S1753" t="str">
        <f>"20:23:13.070"</f>
        <v>20:23:13.070</v>
      </c>
      <c r="T1753" t="str">
        <f>"20:23:12.670"</f>
        <v>20:23:12.670</v>
      </c>
      <c r="U1753" t="str">
        <f t="shared" si="82"/>
        <v>AB01F4</v>
      </c>
      <c r="V1753">
        <v>0</v>
      </c>
      <c r="W1753">
        <v>0</v>
      </c>
      <c r="X1753">
        <v>2</v>
      </c>
      <c r="Z1753">
        <v>0</v>
      </c>
      <c r="AA1753">
        <v>9</v>
      </c>
      <c r="AB1753">
        <v>3</v>
      </c>
      <c r="AC1753">
        <v>0</v>
      </c>
      <c r="AD1753">
        <v>10</v>
      </c>
      <c r="AE1753">
        <v>0</v>
      </c>
      <c r="AF1753">
        <v>3</v>
      </c>
      <c r="AG1753">
        <v>2</v>
      </c>
      <c r="AH1753">
        <v>0</v>
      </c>
      <c r="AI1753" t="s">
        <v>1125</v>
      </c>
      <c r="AJ1753">
        <v>39.892837999999998</v>
      </c>
      <c r="AK1753" t="s">
        <v>1126</v>
      </c>
      <c r="AL1753">
        <v>-92.555974000000006</v>
      </c>
      <c r="AM1753">
        <v>100</v>
      </c>
      <c r="AN1753">
        <v>1700</v>
      </c>
      <c r="AO1753" t="s">
        <v>118</v>
      </c>
      <c r="AP1753">
        <v>-97</v>
      </c>
      <c r="AQ1753">
        <v>87</v>
      </c>
      <c r="AR1753">
        <v>0</v>
      </c>
      <c r="AZ1753">
        <v>1200</v>
      </c>
      <c r="BA1753">
        <v>1</v>
      </c>
      <c r="BB1753" t="str">
        <f t="shared" si="84"/>
        <v xml:space="preserve">N8080G  </v>
      </c>
      <c r="BC1753">
        <v>1</v>
      </c>
      <c r="BE1753">
        <v>0</v>
      </c>
      <c r="BF1753">
        <v>0</v>
      </c>
      <c r="BG1753">
        <v>0</v>
      </c>
      <c r="BH1753">
        <v>1700</v>
      </c>
      <c r="BI1753">
        <v>1</v>
      </c>
      <c r="BJ1753">
        <v>1</v>
      </c>
      <c r="BK1753">
        <v>1</v>
      </c>
      <c r="BL1753">
        <v>0</v>
      </c>
      <c r="BO1753">
        <v>0</v>
      </c>
      <c r="BP1753">
        <v>0</v>
      </c>
      <c r="BW1753" t="str">
        <f>"20:23:13.071"</f>
        <v>20:23:13.071</v>
      </c>
      <c r="BZ1753">
        <v>0</v>
      </c>
      <c r="CA1753">
        <v>2016</v>
      </c>
      <c r="CB1753">
        <v>224</v>
      </c>
      <c r="CD1753">
        <v>1</v>
      </c>
      <c r="CE1753">
        <v>0</v>
      </c>
      <c r="CF1753">
        <v>0</v>
      </c>
      <c r="CG1753">
        <v>1</v>
      </c>
      <c r="CH1753">
        <v>0</v>
      </c>
      <c r="CI1753">
        <v>0</v>
      </c>
      <c r="CJ1753">
        <v>0</v>
      </c>
      <c r="CK1753">
        <v>2</v>
      </c>
      <c r="CL1753">
        <v>0</v>
      </c>
      <c r="CM1753">
        <v>2</v>
      </c>
      <c r="CN1753">
        <v>0</v>
      </c>
      <c r="CO1753">
        <v>7</v>
      </c>
      <c r="CP1753" t="s">
        <v>119</v>
      </c>
      <c r="CQ1753">
        <v>180</v>
      </c>
      <c r="CR1753">
        <v>2</v>
      </c>
      <c r="CW1753">
        <v>8324071</v>
      </c>
      <c r="CY1753">
        <v>1</v>
      </c>
      <c r="CZ1753">
        <v>0</v>
      </c>
      <c r="DA1753">
        <v>1</v>
      </c>
      <c r="DB1753">
        <v>0</v>
      </c>
      <c r="DC1753">
        <v>0</v>
      </c>
      <c r="DD1753">
        <v>0</v>
      </c>
      <c r="DE1753">
        <v>0</v>
      </c>
      <c r="DF1753">
        <v>0</v>
      </c>
      <c r="DG1753">
        <v>0</v>
      </c>
      <c r="DH1753">
        <v>0</v>
      </c>
      <c r="DI1753">
        <v>0</v>
      </c>
    </row>
    <row r="1754" spans="1:113" x14ac:dyDescent="0.3">
      <c r="A1754" t="str">
        <f>"02/08/2021 20:23:10.785"</f>
        <v>02/08/2021 20:23:10.785</v>
      </c>
      <c r="C1754" t="str">
        <f t="shared" si="83"/>
        <v>FFDFD7C0</v>
      </c>
      <c r="D1754" t="s">
        <v>124</v>
      </c>
      <c r="E1754">
        <v>12</v>
      </c>
      <c r="F1754">
        <v>1012</v>
      </c>
      <c r="G1754" t="s">
        <v>675</v>
      </c>
      <c r="J1754" t="s">
        <v>125</v>
      </c>
      <c r="K1754">
        <v>0</v>
      </c>
      <c r="L1754">
        <v>3</v>
      </c>
      <c r="M1754">
        <v>0</v>
      </c>
      <c r="N1754">
        <v>2</v>
      </c>
      <c r="O1754">
        <v>1</v>
      </c>
      <c r="P1754">
        <v>0</v>
      </c>
      <c r="Q1754">
        <v>0</v>
      </c>
      <c r="S1754" t="str">
        <f>"20:23:13.070"</f>
        <v>20:23:13.070</v>
      </c>
      <c r="T1754" t="str">
        <f>"20:23:12.670"</f>
        <v>20:23:12.670</v>
      </c>
      <c r="U1754" t="str">
        <f t="shared" si="82"/>
        <v>AB01F4</v>
      </c>
      <c r="V1754">
        <v>0</v>
      </c>
      <c r="W1754">
        <v>0</v>
      </c>
      <c r="X1754">
        <v>2</v>
      </c>
      <c r="Z1754">
        <v>0</v>
      </c>
      <c r="AA1754">
        <v>9</v>
      </c>
      <c r="AB1754">
        <v>3</v>
      </c>
      <c r="AC1754">
        <v>0</v>
      </c>
      <c r="AD1754">
        <v>10</v>
      </c>
      <c r="AE1754">
        <v>0</v>
      </c>
      <c r="AF1754">
        <v>3</v>
      </c>
      <c r="AG1754">
        <v>2</v>
      </c>
      <c r="AH1754">
        <v>0</v>
      </c>
      <c r="AI1754" t="s">
        <v>1125</v>
      </c>
      <c r="AJ1754">
        <v>39.892837999999998</v>
      </c>
      <c r="AK1754" t="s">
        <v>1126</v>
      </c>
      <c r="AL1754">
        <v>-92.555974000000006</v>
      </c>
      <c r="AM1754">
        <v>100</v>
      </c>
      <c r="AN1754">
        <v>1700</v>
      </c>
      <c r="AO1754" t="s">
        <v>118</v>
      </c>
      <c r="AP1754">
        <v>-97</v>
      </c>
      <c r="AQ1754">
        <v>87</v>
      </c>
      <c r="AR1754">
        <v>0</v>
      </c>
      <c r="AZ1754">
        <v>1200</v>
      </c>
      <c r="BA1754">
        <v>1</v>
      </c>
      <c r="BB1754" t="str">
        <f t="shared" si="84"/>
        <v xml:space="preserve">N8080G  </v>
      </c>
      <c r="BC1754">
        <v>1</v>
      </c>
      <c r="BE1754">
        <v>0</v>
      </c>
      <c r="BF1754">
        <v>0</v>
      </c>
      <c r="BG1754">
        <v>0</v>
      </c>
      <c r="BH1754">
        <v>1700</v>
      </c>
      <c r="BI1754">
        <v>1</v>
      </c>
      <c r="BJ1754">
        <v>1</v>
      </c>
      <c r="BK1754">
        <v>1</v>
      </c>
      <c r="BL1754">
        <v>0</v>
      </c>
      <c r="BO1754">
        <v>0</v>
      </c>
      <c r="BP1754">
        <v>0</v>
      </c>
      <c r="BW1754" t="str">
        <f>"20:23:13.071"</f>
        <v>20:23:13.071</v>
      </c>
      <c r="BZ1754">
        <v>0</v>
      </c>
      <c r="CA1754">
        <v>2016</v>
      </c>
      <c r="CB1754">
        <v>224</v>
      </c>
      <c r="CD1754">
        <v>1</v>
      </c>
      <c r="CE1754">
        <v>0</v>
      </c>
      <c r="CF1754">
        <v>0</v>
      </c>
      <c r="CG1754">
        <v>1</v>
      </c>
      <c r="CH1754">
        <v>0</v>
      </c>
      <c r="CI1754">
        <v>0</v>
      </c>
      <c r="CJ1754">
        <v>0</v>
      </c>
      <c r="CK1754">
        <v>2</v>
      </c>
      <c r="CL1754">
        <v>0</v>
      </c>
      <c r="CM1754">
        <v>2</v>
      </c>
      <c r="CN1754">
        <v>0</v>
      </c>
      <c r="CO1754">
        <v>7</v>
      </c>
      <c r="CP1754" t="s">
        <v>119</v>
      </c>
      <c r="CQ1754">
        <v>180</v>
      </c>
      <c r="CR1754">
        <v>2</v>
      </c>
      <c r="CW1754">
        <v>8324071</v>
      </c>
      <c r="CY1754">
        <v>1</v>
      </c>
      <c r="CZ1754">
        <v>0</v>
      </c>
      <c r="DA1754">
        <v>1</v>
      </c>
      <c r="DB1754">
        <v>0</v>
      </c>
      <c r="DC1754">
        <v>0</v>
      </c>
      <c r="DD1754">
        <v>0</v>
      </c>
      <c r="DE1754">
        <v>0</v>
      </c>
      <c r="DF1754">
        <v>0</v>
      </c>
      <c r="DG1754">
        <v>0</v>
      </c>
      <c r="DH1754">
        <v>0</v>
      </c>
      <c r="DI1754">
        <v>0</v>
      </c>
    </row>
    <row r="1755" spans="1:113" x14ac:dyDescent="0.3">
      <c r="A1755" t="str">
        <f>"02/08/2021 20:23:12.096"</f>
        <v>02/08/2021 20:23:12.096</v>
      </c>
      <c r="C1755" t="str">
        <f>"FFD353C0"</f>
        <v>FFD353C0</v>
      </c>
      <c r="D1755" t="s">
        <v>124</v>
      </c>
      <c r="E1755">
        <v>11</v>
      </c>
      <c r="F1755">
        <v>1011</v>
      </c>
      <c r="G1755" t="s">
        <v>590</v>
      </c>
      <c r="J1755" t="s">
        <v>125</v>
      </c>
      <c r="K1755">
        <v>0</v>
      </c>
      <c r="L1755">
        <v>3</v>
      </c>
      <c r="M1755">
        <v>0</v>
      </c>
      <c r="N1755">
        <v>2</v>
      </c>
      <c r="O1755">
        <v>1</v>
      </c>
      <c r="P1755">
        <v>0</v>
      </c>
      <c r="Q1755">
        <v>0</v>
      </c>
      <c r="S1755" t="str">
        <f>"20:23:14.148"</f>
        <v>20:23:14.148</v>
      </c>
      <c r="U1755" t="str">
        <f t="shared" si="82"/>
        <v>AB01F4</v>
      </c>
      <c r="V1755">
        <v>0</v>
      </c>
      <c r="W1755">
        <v>0</v>
      </c>
      <c r="X1755">
        <v>2</v>
      </c>
      <c r="Z1755">
        <v>0</v>
      </c>
      <c r="AA1755">
        <v>9</v>
      </c>
      <c r="AB1755">
        <v>3</v>
      </c>
      <c r="AC1755">
        <v>0</v>
      </c>
      <c r="AD1755">
        <v>10</v>
      </c>
      <c r="AE1755">
        <v>0</v>
      </c>
      <c r="AF1755">
        <v>3</v>
      </c>
      <c r="AH1755">
        <v>0</v>
      </c>
      <c r="AI1755" t="s">
        <v>1127</v>
      </c>
      <c r="AJ1755">
        <v>39.893289000000003</v>
      </c>
      <c r="AK1755" t="s">
        <v>1128</v>
      </c>
      <c r="AL1755">
        <v>-92.556595999999999</v>
      </c>
      <c r="AM1755">
        <v>100</v>
      </c>
      <c r="AN1755">
        <v>1700</v>
      </c>
      <c r="AO1755" t="s">
        <v>118</v>
      </c>
      <c r="AR1755">
        <v>64</v>
      </c>
      <c r="AZ1755">
        <v>1200</v>
      </c>
      <c r="BA1755">
        <v>1</v>
      </c>
      <c r="BE1755">
        <v>0</v>
      </c>
      <c r="BF1755">
        <v>0</v>
      </c>
      <c r="BG1755">
        <v>0</v>
      </c>
      <c r="BI1755">
        <v>1</v>
      </c>
      <c r="BJ1755">
        <v>1</v>
      </c>
      <c r="BK1755">
        <v>1</v>
      </c>
      <c r="BL1755">
        <v>0</v>
      </c>
      <c r="BO1755">
        <v>0</v>
      </c>
      <c r="BP1755">
        <v>0</v>
      </c>
      <c r="BW1755" t="str">
        <f>"20:23:14.153"</f>
        <v>20:23:14.153</v>
      </c>
      <c r="CJ1755">
        <v>0</v>
      </c>
      <c r="CK1755">
        <v>2</v>
      </c>
      <c r="CL1755">
        <v>0</v>
      </c>
      <c r="CM1755">
        <v>2</v>
      </c>
      <c r="CN1755">
        <v>0</v>
      </c>
      <c r="CO1755">
        <v>1</v>
      </c>
      <c r="CP1755" t="s">
        <v>119</v>
      </c>
      <c r="CQ1755">
        <v>179</v>
      </c>
      <c r="CR1755">
        <v>1</v>
      </c>
      <c r="CW1755">
        <v>8756996</v>
      </c>
      <c r="CY1755">
        <v>1</v>
      </c>
      <c r="CZ1755">
        <v>0</v>
      </c>
      <c r="DA1755">
        <v>0</v>
      </c>
      <c r="DB1755">
        <v>0</v>
      </c>
      <c r="DC1755">
        <v>0</v>
      </c>
      <c r="DD1755">
        <v>0</v>
      </c>
      <c r="DE1755">
        <v>0</v>
      </c>
      <c r="DF1755">
        <v>1</v>
      </c>
      <c r="DG1755">
        <v>0</v>
      </c>
      <c r="DH1755">
        <v>0</v>
      </c>
      <c r="DI1755">
        <v>1</v>
      </c>
    </row>
    <row r="1756" spans="1:113" x14ac:dyDescent="0.3">
      <c r="A1756" t="str">
        <f>"02/08/2021 20:23:12.096"</f>
        <v>02/08/2021 20:23:12.096</v>
      </c>
      <c r="C1756" t="str">
        <f>"FFD353C0"</f>
        <v>FFD353C0</v>
      </c>
      <c r="D1756" t="s">
        <v>113</v>
      </c>
      <c r="E1756">
        <v>6</v>
      </c>
      <c r="H1756">
        <v>165</v>
      </c>
      <c r="I1756" t="s">
        <v>114</v>
      </c>
      <c r="J1756" t="s">
        <v>115</v>
      </c>
      <c r="K1756">
        <v>0</v>
      </c>
      <c r="L1756">
        <v>3</v>
      </c>
      <c r="M1756">
        <v>0</v>
      </c>
      <c r="N1756">
        <v>2</v>
      </c>
      <c r="O1756">
        <v>1</v>
      </c>
      <c r="P1756">
        <v>0</v>
      </c>
      <c r="Q1756">
        <v>0</v>
      </c>
      <c r="S1756" t="str">
        <f>"20:23:14.148"</f>
        <v>20:23:14.148</v>
      </c>
      <c r="U1756" t="str">
        <f t="shared" si="82"/>
        <v>AB01F4</v>
      </c>
      <c r="V1756">
        <v>0</v>
      </c>
      <c r="W1756">
        <v>0</v>
      </c>
      <c r="X1756">
        <v>2</v>
      </c>
      <c r="Z1756">
        <v>0</v>
      </c>
      <c r="AA1756">
        <v>9</v>
      </c>
      <c r="AB1756">
        <v>3</v>
      </c>
      <c r="AC1756">
        <v>0</v>
      </c>
      <c r="AD1756">
        <v>10</v>
      </c>
      <c r="AE1756">
        <v>0</v>
      </c>
      <c r="AF1756">
        <v>3</v>
      </c>
      <c r="AH1756">
        <v>0</v>
      </c>
      <c r="AI1756" t="s">
        <v>1127</v>
      </c>
      <c r="AJ1756">
        <v>39.893289000000003</v>
      </c>
      <c r="AK1756" t="s">
        <v>1128</v>
      </c>
      <c r="AL1756">
        <v>-92.556595999999999</v>
      </c>
      <c r="AM1756">
        <v>100</v>
      </c>
      <c r="AN1756">
        <v>1700</v>
      </c>
      <c r="AO1756" t="s">
        <v>118</v>
      </c>
      <c r="AR1756">
        <v>64</v>
      </c>
      <c r="AZ1756">
        <v>1200</v>
      </c>
      <c r="BA1756">
        <v>1</v>
      </c>
      <c r="BE1756">
        <v>0</v>
      </c>
      <c r="BF1756">
        <v>0</v>
      </c>
      <c r="BG1756">
        <v>0</v>
      </c>
      <c r="BI1756">
        <v>1</v>
      </c>
      <c r="BJ1756">
        <v>1</v>
      </c>
      <c r="BK1756">
        <v>1</v>
      </c>
      <c r="BL1756">
        <v>0</v>
      </c>
      <c r="BO1756">
        <v>0</v>
      </c>
      <c r="BP1756">
        <v>0</v>
      </c>
      <c r="BW1756" t="str">
        <f>"20:23:14.153"</f>
        <v>20:23:14.153</v>
      </c>
      <c r="CJ1756">
        <v>0</v>
      </c>
      <c r="CK1756">
        <v>2</v>
      </c>
      <c r="CL1756">
        <v>0</v>
      </c>
      <c r="CM1756">
        <v>2</v>
      </c>
      <c r="CN1756">
        <v>0</v>
      </c>
      <c r="CO1756">
        <v>1</v>
      </c>
      <c r="CP1756" t="s">
        <v>119</v>
      </c>
      <c r="CQ1756">
        <v>179</v>
      </c>
      <c r="CR1756">
        <v>1</v>
      </c>
      <c r="CW1756">
        <v>8756996</v>
      </c>
      <c r="CY1756">
        <v>1</v>
      </c>
      <c r="CZ1756">
        <v>0</v>
      </c>
      <c r="DA1756">
        <v>1</v>
      </c>
      <c r="DB1756">
        <v>0</v>
      </c>
      <c r="DC1756">
        <v>0</v>
      </c>
      <c r="DD1756">
        <v>0</v>
      </c>
      <c r="DE1756">
        <v>0</v>
      </c>
      <c r="DF1756">
        <v>1</v>
      </c>
      <c r="DG1756">
        <v>0</v>
      </c>
      <c r="DH1756">
        <v>0</v>
      </c>
      <c r="DI1756">
        <v>1</v>
      </c>
    </row>
    <row r="1757" spans="1:113" x14ac:dyDescent="0.3">
      <c r="A1757" t="str">
        <f>"02/08/2021 20:23:12.096"</f>
        <v>02/08/2021 20:23:12.096</v>
      </c>
      <c r="C1757" t="str">
        <f>"FFD353C0"</f>
        <v>FFD353C0</v>
      </c>
      <c r="D1757" t="s">
        <v>124</v>
      </c>
      <c r="E1757">
        <v>12</v>
      </c>
      <c r="F1757">
        <v>1012</v>
      </c>
      <c r="G1757" t="s">
        <v>675</v>
      </c>
      <c r="J1757" t="s">
        <v>125</v>
      </c>
      <c r="K1757">
        <v>0</v>
      </c>
      <c r="L1757">
        <v>3</v>
      </c>
      <c r="M1757">
        <v>0</v>
      </c>
      <c r="N1757">
        <v>2</v>
      </c>
      <c r="O1757">
        <v>1</v>
      </c>
      <c r="P1757">
        <v>0</v>
      </c>
      <c r="Q1757">
        <v>0</v>
      </c>
      <c r="S1757" t="str">
        <f>"20:23:14.148"</f>
        <v>20:23:14.148</v>
      </c>
      <c r="U1757" t="str">
        <f t="shared" si="82"/>
        <v>AB01F4</v>
      </c>
      <c r="V1757">
        <v>0</v>
      </c>
      <c r="W1757">
        <v>0</v>
      </c>
      <c r="X1757">
        <v>2</v>
      </c>
      <c r="Z1757">
        <v>0</v>
      </c>
      <c r="AA1757">
        <v>9</v>
      </c>
      <c r="AB1757">
        <v>3</v>
      </c>
      <c r="AC1757">
        <v>0</v>
      </c>
      <c r="AD1757">
        <v>10</v>
      </c>
      <c r="AE1757">
        <v>0</v>
      </c>
      <c r="AF1757">
        <v>3</v>
      </c>
      <c r="AH1757">
        <v>0</v>
      </c>
      <c r="AI1757" t="s">
        <v>1127</v>
      </c>
      <c r="AJ1757">
        <v>39.893289000000003</v>
      </c>
      <c r="AK1757" t="s">
        <v>1128</v>
      </c>
      <c r="AL1757">
        <v>-92.556595999999999</v>
      </c>
      <c r="AM1757">
        <v>100</v>
      </c>
      <c r="AN1757">
        <v>1700</v>
      </c>
      <c r="AO1757" t="s">
        <v>118</v>
      </c>
      <c r="AR1757">
        <v>64</v>
      </c>
      <c r="AZ1757">
        <v>1200</v>
      </c>
      <c r="BA1757">
        <v>1</v>
      </c>
      <c r="BE1757">
        <v>0</v>
      </c>
      <c r="BF1757">
        <v>0</v>
      </c>
      <c r="BG1757">
        <v>0</v>
      </c>
      <c r="BI1757">
        <v>1</v>
      </c>
      <c r="BJ1757">
        <v>1</v>
      </c>
      <c r="BK1757">
        <v>1</v>
      </c>
      <c r="BL1757">
        <v>0</v>
      </c>
      <c r="BO1757">
        <v>0</v>
      </c>
      <c r="BP1757">
        <v>0</v>
      </c>
      <c r="BW1757" t="str">
        <f>"20:23:14.153"</f>
        <v>20:23:14.153</v>
      </c>
      <c r="CJ1757">
        <v>0</v>
      </c>
      <c r="CK1757">
        <v>2</v>
      </c>
      <c r="CL1757">
        <v>0</v>
      </c>
      <c r="CM1757">
        <v>2</v>
      </c>
      <c r="CN1757">
        <v>0</v>
      </c>
      <c r="CO1757">
        <v>1</v>
      </c>
      <c r="CP1757" t="s">
        <v>119</v>
      </c>
      <c r="CQ1757">
        <v>179</v>
      </c>
      <c r="CR1757">
        <v>1</v>
      </c>
      <c r="CW1757">
        <v>8756996</v>
      </c>
      <c r="CY1757">
        <v>1</v>
      </c>
      <c r="CZ1757">
        <v>0</v>
      </c>
      <c r="DA1757">
        <v>1</v>
      </c>
      <c r="DB1757">
        <v>0</v>
      </c>
      <c r="DC1757">
        <v>0</v>
      </c>
      <c r="DD1757">
        <v>0</v>
      </c>
      <c r="DE1757">
        <v>0</v>
      </c>
      <c r="DF1757">
        <v>1</v>
      </c>
      <c r="DG1757">
        <v>0</v>
      </c>
      <c r="DH1757">
        <v>0</v>
      </c>
      <c r="DI1757">
        <v>1</v>
      </c>
    </row>
    <row r="1758" spans="1:113" x14ac:dyDescent="0.3">
      <c r="A1758" t="str">
        <f>"02/08/2021 20:23:12.096"</f>
        <v>02/08/2021 20:23:12.096</v>
      </c>
      <c r="C1758" t="str">
        <f>"FFD353C0"</f>
        <v>FFD353C0</v>
      </c>
      <c r="D1758" t="s">
        <v>124</v>
      </c>
      <c r="E1758">
        <v>13</v>
      </c>
      <c r="F1758">
        <v>1013</v>
      </c>
      <c r="G1758" t="s">
        <v>114</v>
      </c>
      <c r="J1758" t="s">
        <v>125</v>
      </c>
      <c r="K1758">
        <v>0</v>
      </c>
      <c r="L1758">
        <v>3</v>
      </c>
      <c r="M1758">
        <v>0</v>
      </c>
      <c r="N1758">
        <v>2</v>
      </c>
      <c r="O1758">
        <v>1</v>
      </c>
      <c r="P1758">
        <v>0</v>
      </c>
      <c r="Q1758">
        <v>0</v>
      </c>
      <c r="S1758" t="str">
        <f>"20:23:14.148"</f>
        <v>20:23:14.148</v>
      </c>
      <c r="U1758" t="str">
        <f t="shared" si="82"/>
        <v>AB01F4</v>
      </c>
      <c r="V1758">
        <v>0</v>
      </c>
      <c r="W1758">
        <v>0</v>
      </c>
      <c r="X1758">
        <v>2</v>
      </c>
      <c r="Z1758">
        <v>0</v>
      </c>
      <c r="AA1758">
        <v>9</v>
      </c>
      <c r="AB1758">
        <v>3</v>
      </c>
      <c r="AC1758">
        <v>0</v>
      </c>
      <c r="AD1758">
        <v>10</v>
      </c>
      <c r="AE1758">
        <v>0</v>
      </c>
      <c r="AF1758">
        <v>3</v>
      </c>
      <c r="AH1758">
        <v>0</v>
      </c>
      <c r="AI1758" t="s">
        <v>1127</v>
      </c>
      <c r="AJ1758">
        <v>39.893289000000003</v>
      </c>
      <c r="AK1758" t="s">
        <v>1128</v>
      </c>
      <c r="AL1758">
        <v>-92.556595999999999</v>
      </c>
      <c r="AM1758">
        <v>100</v>
      </c>
      <c r="AN1758">
        <v>1700</v>
      </c>
      <c r="AO1758" t="s">
        <v>118</v>
      </c>
      <c r="AR1758">
        <v>64</v>
      </c>
      <c r="AZ1758">
        <v>1200</v>
      </c>
      <c r="BA1758">
        <v>1</v>
      </c>
      <c r="BE1758">
        <v>0</v>
      </c>
      <c r="BF1758">
        <v>0</v>
      </c>
      <c r="BG1758">
        <v>0</v>
      </c>
      <c r="BI1758">
        <v>1</v>
      </c>
      <c r="BJ1758">
        <v>1</v>
      </c>
      <c r="BK1758">
        <v>1</v>
      </c>
      <c r="BL1758">
        <v>0</v>
      </c>
      <c r="BO1758">
        <v>0</v>
      </c>
      <c r="BP1758">
        <v>0</v>
      </c>
      <c r="BW1758" t="str">
        <f>"20:23:14.153"</f>
        <v>20:23:14.153</v>
      </c>
      <c r="CJ1758">
        <v>0</v>
      </c>
      <c r="CK1758">
        <v>2</v>
      </c>
      <c r="CL1758">
        <v>0</v>
      </c>
      <c r="CM1758">
        <v>2</v>
      </c>
      <c r="CN1758">
        <v>0</v>
      </c>
      <c r="CO1758">
        <v>1</v>
      </c>
      <c r="CP1758" t="s">
        <v>119</v>
      </c>
      <c r="CQ1758">
        <v>179</v>
      </c>
      <c r="CR1758">
        <v>1</v>
      </c>
      <c r="CW1758">
        <v>8756996</v>
      </c>
      <c r="CY1758">
        <v>1</v>
      </c>
      <c r="CZ1758">
        <v>0</v>
      </c>
      <c r="DA1758">
        <v>1</v>
      </c>
      <c r="DB1758">
        <v>0</v>
      </c>
      <c r="DC1758">
        <v>0</v>
      </c>
      <c r="DD1758">
        <v>0</v>
      </c>
      <c r="DE1758">
        <v>0</v>
      </c>
      <c r="DF1758">
        <v>1</v>
      </c>
      <c r="DG1758">
        <v>0</v>
      </c>
      <c r="DH1758">
        <v>0</v>
      </c>
      <c r="DI1758">
        <v>1</v>
      </c>
    </row>
    <row r="1759" spans="1:113" x14ac:dyDescent="0.3">
      <c r="A1759" t="str">
        <f>"02/08/2021 20:23:13.751"</f>
        <v>02/08/2021 20:23:13.751</v>
      </c>
      <c r="C1759" t="str">
        <f t="shared" ref="C1759:C1770" si="85">"FFDFD7C0"</f>
        <v>FFDFD7C0</v>
      </c>
      <c r="D1759" t="s">
        <v>124</v>
      </c>
      <c r="E1759">
        <v>13</v>
      </c>
      <c r="F1759">
        <v>1013</v>
      </c>
      <c r="G1759" t="s">
        <v>114</v>
      </c>
      <c r="J1759" t="s">
        <v>125</v>
      </c>
      <c r="K1759">
        <v>0</v>
      </c>
      <c r="L1759">
        <v>3</v>
      </c>
      <c r="M1759">
        <v>0</v>
      </c>
      <c r="N1759">
        <v>2</v>
      </c>
      <c r="O1759">
        <v>1</v>
      </c>
      <c r="P1759">
        <v>0</v>
      </c>
      <c r="Q1759">
        <v>0</v>
      </c>
      <c r="S1759" t="str">
        <f>"20:23:16.070"</f>
        <v>20:23:16.070</v>
      </c>
      <c r="T1759" t="str">
        <f>"20:23:15.570"</f>
        <v>20:23:15.570</v>
      </c>
      <c r="U1759" t="str">
        <f t="shared" si="82"/>
        <v>AB01F4</v>
      </c>
      <c r="V1759">
        <v>0</v>
      </c>
      <c r="W1759">
        <v>0</v>
      </c>
      <c r="X1759">
        <v>2</v>
      </c>
      <c r="Z1759">
        <v>0</v>
      </c>
      <c r="AA1759">
        <v>9</v>
      </c>
      <c r="AB1759">
        <v>3</v>
      </c>
      <c r="AC1759">
        <v>0</v>
      </c>
      <c r="AD1759">
        <v>10</v>
      </c>
      <c r="AE1759">
        <v>0</v>
      </c>
      <c r="AF1759">
        <v>3</v>
      </c>
      <c r="AG1759">
        <v>2</v>
      </c>
      <c r="AH1759">
        <v>0</v>
      </c>
      <c r="AI1759" t="s">
        <v>1129</v>
      </c>
      <c r="AJ1759">
        <v>39.893954000000001</v>
      </c>
      <c r="AK1759" t="s">
        <v>1130</v>
      </c>
      <c r="AL1759">
        <v>-92.557732999999999</v>
      </c>
      <c r="AM1759">
        <v>100</v>
      </c>
      <c r="AN1759">
        <v>1700</v>
      </c>
      <c r="AO1759" t="s">
        <v>118</v>
      </c>
      <c r="AP1759">
        <v>-102</v>
      </c>
      <c r="AQ1759">
        <v>80</v>
      </c>
      <c r="AR1759">
        <v>192</v>
      </c>
      <c r="AZ1759">
        <v>1200</v>
      </c>
      <c r="BA1759">
        <v>1</v>
      </c>
      <c r="BB1759" t="str">
        <f t="shared" ref="BB1759:BB1770" si="86">"N8080G  "</f>
        <v xml:space="preserve">N8080G  </v>
      </c>
      <c r="BC1759">
        <v>1</v>
      </c>
      <c r="BE1759">
        <v>0</v>
      </c>
      <c r="BF1759">
        <v>0</v>
      </c>
      <c r="BG1759">
        <v>0</v>
      </c>
      <c r="BH1759">
        <v>1700</v>
      </c>
      <c r="BI1759">
        <v>1</v>
      </c>
      <c r="BJ1759">
        <v>1</v>
      </c>
      <c r="BK1759">
        <v>1</v>
      </c>
      <c r="BL1759">
        <v>0</v>
      </c>
      <c r="BO1759">
        <v>0</v>
      </c>
      <c r="BP1759">
        <v>0</v>
      </c>
      <c r="BW1759" t="str">
        <f>"20:23:16.073"</f>
        <v>20:23:16.073</v>
      </c>
      <c r="BZ1759">
        <v>0</v>
      </c>
      <c r="CA1759">
        <v>2016</v>
      </c>
      <c r="CB1759">
        <v>224</v>
      </c>
      <c r="CD1759">
        <v>1</v>
      </c>
      <c r="CE1759">
        <v>0</v>
      </c>
      <c r="CF1759">
        <v>0</v>
      </c>
      <c r="CG1759">
        <v>1</v>
      </c>
      <c r="CH1759">
        <v>0</v>
      </c>
      <c r="CI1759">
        <v>0</v>
      </c>
      <c r="CJ1759">
        <v>0</v>
      </c>
      <c r="CK1759">
        <v>2</v>
      </c>
      <c r="CL1759">
        <v>0</v>
      </c>
      <c r="CM1759">
        <v>2</v>
      </c>
      <c r="CN1759">
        <v>0</v>
      </c>
      <c r="CO1759">
        <v>7</v>
      </c>
      <c r="CP1759" t="s">
        <v>119</v>
      </c>
      <c r="CQ1759">
        <v>180</v>
      </c>
      <c r="CR1759">
        <v>2</v>
      </c>
      <c r="CW1759">
        <v>8326550</v>
      </c>
      <c r="CY1759">
        <v>1</v>
      </c>
      <c r="CZ1759">
        <v>0</v>
      </c>
      <c r="DA1759">
        <v>0</v>
      </c>
      <c r="DB1759">
        <v>0</v>
      </c>
      <c r="DC1759">
        <v>0</v>
      </c>
      <c r="DD1759">
        <v>0</v>
      </c>
      <c r="DE1759">
        <v>0</v>
      </c>
      <c r="DF1759">
        <v>0</v>
      </c>
      <c r="DG1759">
        <v>0</v>
      </c>
      <c r="DH1759">
        <v>0</v>
      </c>
      <c r="DI1759">
        <v>0</v>
      </c>
    </row>
    <row r="1760" spans="1:113" x14ac:dyDescent="0.3">
      <c r="A1760" t="str">
        <f>"02/08/2021 20:23:13.751"</f>
        <v>02/08/2021 20:23:13.751</v>
      </c>
      <c r="C1760" t="str">
        <f t="shared" si="85"/>
        <v>FFDFD7C0</v>
      </c>
      <c r="D1760" t="s">
        <v>124</v>
      </c>
      <c r="E1760">
        <v>11</v>
      </c>
      <c r="F1760">
        <v>1011</v>
      </c>
      <c r="G1760" t="s">
        <v>590</v>
      </c>
      <c r="J1760" t="s">
        <v>125</v>
      </c>
      <c r="K1760">
        <v>0</v>
      </c>
      <c r="L1760">
        <v>3</v>
      </c>
      <c r="M1760">
        <v>0</v>
      </c>
      <c r="N1760">
        <v>2</v>
      </c>
      <c r="O1760">
        <v>1</v>
      </c>
      <c r="P1760">
        <v>0</v>
      </c>
      <c r="Q1760">
        <v>0</v>
      </c>
      <c r="S1760" t="str">
        <f>"20:23:16.070"</f>
        <v>20:23:16.070</v>
      </c>
      <c r="T1760" t="str">
        <f>"20:23:15.570"</f>
        <v>20:23:15.570</v>
      </c>
      <c r="U1760" t="str">
        <f t="shared" si="82"/>
        <v>AB01F4</v>
      </c>
      <c r="V1760">
        <v>0</v>
      </c>
      <c r="W1760">
        <v>0</v>
      </c>
      <c r="X1760">
        <v>2</v>
      </c>
      <c r="Z1760">
        <v>0</v>
      </c>
      <c r="AA1760">
        <v>9</v>
      </c>
      <c r="AB1760">
        <v>3</v>
      </c>
      <c r="AC1760">
        <v>0</v>
      </c>
      <c r="AD1760">
        <v>10</v>
      </c>
      <c r="AE1760">
        <v>0</v>
      </c>
      <c r="AF1760">
        <v>3</v>
      </c>
      <c r="AG1760">
        <v>2</v>
      </c>
      <c r="AH1760">
        <v>0</v>
      </c>
      <c r="AI1760" t="s">
        <v>1129</v>
      </c>
      <c r="AJ1760">
        <v>39.893954000000001</v>
      </c>
      <c r="AK1760" t="s">
        <v>1130</v>
      </c>
      <c r="AL1760">
        <v>-92.557732999999999</v>
      </c>
      <c r="AM1760">
        <v>100</v>
      </c>
      <c r="AN1760">
        <v>1700</v>
      </c>
      <c r="AO1760" t="s">
        <v>118</v>
      </c>
      <c r="AP1760">
        <v>-102</v>
      </c>
      <c r="AQ1760">
        <v>80</v>
      </c>
      <c r="AR1760">
        <v>192</v>
      </c>
      <c r="AZ1760">
        <v>1200</v>
      </c>
      <c r="BA1760">
        <v>1</v>
      </c>
      <c r="BB1760" t="str">
        <f t="shared" si="86"/>
        <v xml:space="preserve">N8080G  </v>
      </c>
      <c r="BC1760">
        <v>1</v>
      </c>
      <c r="BE1760">
        <v>0</v>
      </c>
      <c r="BF1760">
        <v>0</v>
      </c>
      <c r="BG1760">
        <v>0</v>
      </c>
      <c r="BH1760">
        <v>1700</v>
      </c>
      <c r="BI1760">
        <v>1</v>
      </c>
      <c r="BJ1760">
        <v>1</v>
      </c>
      <c r="BK1760">
        <v>1</v>
      </c>
      <c r="BL1760">
        <v>0</v>
      </c>
      <c r="BO1760">
        <v>0</v>
      </c>
      <c r="BP1760">
        <v>0</v>
      </c>
      <c r="BW1760" t="str">
        <f>"20:23:16.073"</f>
        <v>20:23:16.073</v>
      </c>
      <c r="BZ1760">
        <v>0</v>
      </c>
      <c r="CA1760">
        <v>2016</v>
      </c>
      <c r="CB1760">
        <v>224</v>
      </c>
      <c r="CD1760">
        <v>1</v>
      </c>
      <c r="CE1760">
        <v>0</v>
      </c>
      <c r="CF1760">
        <v>0</v>
      </c>
      <c r="CG1760">
        <v>1</v>
      </c>
      <c r="CH1760">
        <v>0</v>
      </c>
      <c r="CI1760">
        <v>0</v>
      </c>
      <c r="CJ1760">
        <v>0</v>
      </c>
      <c r="CK1760">
        <v>2</v>
      </c>
      <c r="CL1760">
        <v>0</v>
      </c>
      <c r="CM1760">
        <v>2</v>
      </c>
      <c r="CN1760">
        <v>0</v>
      </c>
      <c r="CO1760">
        <v>7</v>
      </c>
      <c r="CP1760" t="s">
        <v>119</v>
      </c>
      <c r="CQ1760">
        <v>180</v>
      </c>
      <c r="CR1760">
        <v>2</v>
      </c>
      <c r="CW1760">
        <v>8326550</v>
      </c>
      <c r="CY1760">
        <v>1</v>
      </c>
      <c r="CZ1760">
        <v>0</v>
      </c>
      <c r="DA1760">
        <v>1</v>
      </c>
      <c r="DB1760">
        <v>0</v>
      </c>
      <c r="DC1760">
        <v>0</v>
      </c>
      <c r="DD1760">
        <v>0</v>
      </c>
      <c r="DE1760">
        <v>0</v>
      </c>
      <c r="DF1760">
        <v>0</v>
      </c>
      <c r="DG1760">
        <v>0</v>
      </c>
      <c r="DH1760">
        <v>0</v>
      </c>
      <c r="DI1760">
        <v>0</v>
      </c>
    </row>
    <row r="1761" spans="1:113" x14ac:dyDescent="0.3">
      <c r="A1761" t="str">
        <f>"02/08/2021 20:23:13.751"</f>
        <v>02/08/2021 20:23:13.751</v>
      </c>
      <c r="C1761" t="str">
        <f t="shared" si="85"/>
        <v>FFDFD7C0</v>
      </c>
      <c r="D1761" t="s">
        <v>113</v>
      </c>
      <c r="E1761">
        <v>6</v>
      </c>
      <c r="H1761">
        <v>165</v>
      </c>
      <c r="I1761" t="s">
        <v>114</v>
      </c>
      <c r="J1761" t="s">
        <v>115</v>
      </c>
      <c r="K1761">
        <v>0</v>
      </c>
      <c r="L1761">
        <v>3</v>
      </c>
      <c r="M1761">
        <v>0</v>
      </c>
      <c r="N1761">
        <v>2</v>
      </c>
      <c r="O1761">
        <v>1</v>
      </c>
      <c r="P1761">
        <v>0</v>
      </c>
      <c r="Q1761">
        <v>0</v>
      </c>
      <c r="S1761" t="str">
        <f>"20:23:16.070"</f>
        <v>20:23:16.070</v>
      </c>
      <c r="T1761" t="str">
        <f>"20:23:15.570"</f>
        <v>20:23:15.570</v>
      </c>
      <c r="U1761" t="str">
        <f t="shared" si="82"/>
        <v>AB01F4</v>
      </c>
      <c r="V1761">
        <v>0</v>
      </c>
      <c r="W1761">
        <v>0</v>
      </c>
      <c r="X1761">
        <v>2</v>
      </c>
      <c r="Z1761">
        <v>0</v>
      </c>
      <c r="AA1761">
        <v>9</v>
      </c>
      <c r="AB1761">
        <v>3</v>
      </c>
      <c r="AC1761">
        <v>0</v>
      </c>
      <c r="AD1761">
        <v>10</v>
      </c>
      <c r="AE1761">
        <v>0</v>
      </c>
      <c r="AF1761">
        <v>3</v>
      </c>
      <c r="AG1761">
        <v>2</v>
      </c>
      <c r="AH1761">
        <v>0</v>
      </c>
      <c r="AI1761" t="s">
        <v>1129</v>
      </c>
      <c r="AJ1761">
        <v>39.893954000000001</v>
      </c>
      <c r="AK1761" t="s">
        <v>1130</v>
      </c>
      <c r="AL1761">
        <v>-92.557732999999999</v>
      </c>
      <c r="AM1761">
        <v>100</v>
      </c>
      <c r="AN1761">
        <v>1700</v>
      </c>
      <c r="AO1761" t="s">
        <v>118</v>
      </c>
      <c r="AP1761">
        <v>-102</v>
      </c>
      <c r="AQ1761">
        <v>80</v>
      </c>
      <c r="AR1761">
        <v>192</v>
      </c>
      <c r="AZ1761">
        <v>1200</v>
      </c>
      <c r="BA1761">
        <v>1</v>
      </c>
      <c r="BB1761" t="str">
        <f t="shared" si="86"/>
        <v xml:space="preserve">N8080G  </v>
      </c>
      <c r="BC1761">
        <v>1</v>
      </c>
      <c r="BE1761">
        <v>0</v>
      </c>
      <c r="BF1761">
        <v>0</v>
      </c>
      <c r="BG1761">
        <v>0</v>
      </c>
      <c r="BH1761">
        <v>1700</v>
      </c>
      <c r="BI1761">
        <v>1</v>
      </c>
      <c r="BJ1761">
        <v>1</v>
      </c>
      <c r="BK1761">
        <v>1</v>
      </c>
      <c r="BL1761">
        <v>0</v>
      </c>
      <c r="BO1761">
        <v>0</v>
      </c>
      <c r="BP1761">
        <v>0</v>
      </c>
      <c r="BW1761" t="str">
        <f>"20:23:16.073"</f>
        <v>20:23:16.073</v>
      </c>
      <c r="BZ1761">
        <v>0</v>
      </c>
      <c r="CA1761">
        <v>2016</v>
      </c>
      <c r="CB1761">
        <v>224</v>
      </c>
      <c r="CD1761">
        <v>1</v>
      </c>
      <c r="CE1761">
        <v>0</v>
      </c>
      <c r="CF1761">
        <v>0</v>
      </c>
      <c r="CG1761">
        <v>1</v>
      </c>
      <c r="CH1761">
        <v>0</v>
      </c>
      <c r="CI1761">
        <v>0</v>
      </c>
      <c r="CJ1761">
        <v>0</v>
      </c>
      <c r="CK1761">
        <v>2</v>
      </c>
      <c r="CL1761">
        <v>0</v>
      </c>
      <c r="CM1761">
        <v>2</v>
      </c>
      <c r="CN1761">
        <v>0</v>
      </c>
      <c r="CO1761">
        <v>7</v>
      </c>
      <c r="CP1761" t="s">
        <v>119</v>
      </c>
      <c r="CQ1761">
        <v>180</v>
      </c>
      <c r="CR1761">
        <v>2</v>
      </c>
      <c r="CW1761">
        <v>8326550</v>
      </c>
      <c r="CY1761">
        <v>1</v>
      </c>
      <c r="CZ1761">
        <v>0</v>
      </c>
      <c r="DA1761">
        <v>1</v>
      </c>
      <c r="DB1761">
        <v>0</v>
      </c>
      <c r="DC1761">
        <v>0</v>
      </c>
      <c r="DD1761">
        <v>0</v>
      </c>
      <c r="DE1761">
        <v>0</v>
      </c>
      <c r="DF1761">
        <v>0</v>
      </c>
      <c r="DG1761">
        <v>0</v>
      </c>
      <c r="DH1761">
        <v>0</v>
      </c>
      <c r="DI1761">
        <v>0</v>
      </c>
    </row>
    <row r="1762" spans="1:113" x14ac:dyDescent="0.3">
      <c r="A1762" t="str">
        <f>"02/08/2021 20:23:13.751"</f>
        <v>02/08/2021 20:23:13.751</v>
      </c>
      <c r="C1762" t="str">
        <f t="shared" si="85"/>
        <v>FFDFD7C0</v>
      </c>
      <c r="D1762" t="s">
        <v>124</v>
      </c>
      <c r="E1762">
        <v>12</v>
      </c>
      <c r="F1762">
        <v>1012</v>
      </c>
      <c r="G1762" t="s">
        <v>675</v>
      </c>
      <c r="J1762" t="s">
        <v>125</v>
      </c>
      <c r="K1762">
        <v>0</v>
      </c>
      <c r="L1762">
        <v>3</v>
      </c>
      <c r="M1762">
        <v>0</v>
      </c>
      <c r="N1762">
        <v>2</v>
      </c>
      <c r="O1762">
        <v>1</v>
      </c>
      <c r="P1762">
        <v>0</v>
      </c>
      <c r="Q1762">
        <v>0</v>
      </c>
      <c r="S1762" t="str">
        <f>"20:23:16.070"</f>
        <v>20:23:16.070</v>
      </c>
      <c r="T1762" t="str">
        <f>"20:23:15.570"</f>
        <v>20:23:15.570</v>
      </c>
      <c r="U1762" t="str">
        <f t="shared" si="82"/>
        <v>AB01F4</v>
      </c>
      <c r="V1762">
        <v>0</v>
      </c>
      <c r="W1762">
        <v>0</v>
      </c>
      <c r="X1762">
        <v>2</v>
      </c>
      <c r="Z1762">
        <v>0</v>
      </c>
      <c r="AA1762">
        <v>9</v>
      </c>
      <c r="AB1762">
        <v>3</v>
      </c>
      <c r="AC1762">
        <v>0</v>
      </c>
      <c r="AD1762">
        <v>10</v>
      </c>
      <c r="AE1762">
        <v>0</v>
      </c>
      <c r="AF1762">
        <v>3</v>
      </c>
      <c r="AG1762">
        <v>2</v>
      </c>
      <c r="AH1762">
        <v>0</v>
      </c>
      <c r="AI1762" t="s">
        <v>1129</v>
      </c>
      <c r="AJ1762">
        <v>39.893954000000001</v>
      </c>
      <c r="AK1762" t="s">
        <v>1130</v>
      </c>
      <c r="AL1762">
        <v>-92.557732999999999</v>
      </c>
      <c r="AM1762">
        <v>100</v>
      </c>
      <c r="AN1762">
        <v>1700</v>
      </c>
      <c r="AO1762" t="s">
        <v>118</v>
      </c>
      <c r="AP1762">
        <v>-102</v>
      </c>
      <c r="AQ1762">
        <v>80</v>
      </c>
      <c r="AR1762">
        <v>192</v>
      </c>
      <c r="AZ1762">
        <v>1200</v>
      </c>
      <c r="BA1762">
        <v>1</v>
      </c>
      <c r="BB1762" t="str">
        <f t="shared" si="86"/>
        <v xml:space="preserve">N8080G  </v>
      </c>
      <c r="BC1762">
        <v>1</v>
      </c>
      <c r="BE1762">
        <v>0</v>
      </c>
      <c r="BF1762">
        <v>0</v>
      </c>
      <c r="BG1762">
        <v>0</v>
      </c>
      <c r="BH1762">
        <v>1700</v>
      </c>
      <c r="BI1762">
        <v>1</v>
      </c>
      <c r="BJ1762">
        <v>1</v>
      </c>
      <c r="BK1762">
        <v>1</v>
      </c>
      <c r="BL1762">
        <v>0</v>
      </c>
      <c r="BO1762">
        <v>0</v>
      </c>
      <c r="BP1762">
        <v>0</v>
      </c>
      <c r="BW1762" t="str">
        <f>"20:23:16.073"</f>
        <v>20:23:16.073</v>
      </c>
      <c r="BZ1762">
        <v>0</v>
      </c>
      <c r="CA1762">
        <v>2016</v>
      </c>
      <c r="CB1762">
        <v>224</v>
      </c>
      <c r="CD1762">
        <v>1</v>
      </c>
      <c r="CE1762">
        <v>0</v>
      </c>
      <c r="CF1762">
        <v>0</v>
      </c>
      <c r="CG1762">
        <v>1</v>
      </c>
      <c r="CH1762">
        <v>0</v>
      </c>
      <c r="CI1762">
        <v>0</v>
      </c>
      <c r="CJ1762">
        <v>0</v>
      </c>
      <c r="CK1762">
        <v>2</v>
      </c>
      <c r="CL1762">
        <v>0</v>
      </c>
      <c r="CM1762">
        <v>2</v>
      </c>
      <c r="CN1762">
        <v>0</v>
      </c>
      <c r="CO1762">
        <v>7</v>
      </c>
      <c r="CP1762" t="s">
        <v>119</v>
      </c>
      <c r="CQ1762">
        <v>180</v>
      </c>
      <c r="CR1762">
        <v>2</v>
      </c>
      <c r="CW1762">
        <v>8326550</v>
      </c>
      <c r="CY1762">
        <v>1</v>
      </c>
      <c r="CZ1762">
        <v>0</v>
      </c>
      <c r="DA1762">
        <v>1</v>
      </c>
      <c r="DB1762">
        <v>0</v>
      </c>
      <c r="DC1762">
        <v>0</v>
      </c>
      <c r="DD1762">
        <v>0</v>
      </c>
      <c r="DE1762">
        <v>0</v>
      </c>
      <c r="DF1762">
        <v>0</v>
      </c>
      <c r="DG1762">
        <v>0</v>
      </c>
      <c r="DH1762">
        <v>0</v>
      </c>
      <c r="DI1762">
        <v>0</v>
      </c>
    </row>
    <row r="1763" spans="1:113" x14ac:dyDescent="0.3">
      <c r="A1763" t="str">
        <f>"02/08/2021 20:23:16.704"</f>
        <v>02/08/2021 20:23:16.704</v>
      </c>
      <c r="C1763" t="str">
        <f t="shared" si="85"/>
        <v>FFDFD7C0</v>
      </c>
      <c r="D1763" t="s">
        <v>113</v>
      </c>
      <c r="E1763">
        <v>6</v>
      </c>
      <c r="H1763">
        <v>165</v>
      </c>
      <c r="I1763" t="s">
        <v>114</v>
      </c>
      <c r="J1763" t="s">
        <v>115</v>
      </c>
      <c r="K1763">
        <v>0</v>
      </c>
      <c r="L1763">
        <v>3</v>
      </c>
      <c r="M1763">
        <v>0</v>
      </c>
      <c r="N1763">
        <v>2</v>
      </c>
      <c r="O1763">
        <v>1</v>
      </c>
      <c r="P1763">
        <v>0</v>
      </c>
      <c r="Q1763">
        <v>0</v>
      </c>
      <c r="S1763" t="str">
        <f>"20:23:19.039"</f>
        <v>20:23:19.039</v>
      </c>
      <c r="T1763" t="str">
        <f>"20:23:18.639"</f>
        <v>20:23:18.639</v>
      </c>
      <c r="U1763" t="str">
        <f t="shared" si="82"/>
        <v>AB01F4</v>
      </c>
      <c r="V1763">
        <v>0</v>
      </c>
      <c r="W1763">
        <v>0</v>
      </c>
      <c r="X1763">
        <v>2</v>
      </c>
      <c r="Z1763">
        <v>0</v>
      </c>
      <c r="AA1763">
        <v>9</v>
      </c>
      <c r="AB1763">
        <v>3</v>
      </c>
      <c r="AC1763">
        <v>0</v>
      </c>
      <c r="AD1763">
        <v>10</v>
      </c>
      <c r="AE1763">
        <v>0</v>
      </c>
      <c r="AF1763">
        <v>3</v>
      </c>
      <c r="AG1763">
        <v>2</v>
      </c>
      <c r="AH1763">
        <v>0</v>
      </c>
      <c r="AI1763" t="s">
        <v>1131</v>
      </c>
      <c r="AJ1763">
        <v>39.895091000000001</v>
      </c>
      <c r="AK1763" t="s">
        <v>1132</v>
      </c>
      <c r="AL1763">
        <v>-92.559621000000007</v>
      </c>
      <c r="AM1763">
        <v>100</v>
      </c>
      <c r="AN1763">
        <v>1700</v>
      </c>
      <c r="AO1763" t="s">
        <v>118</v>
      </c>
      <c r="AP1763">
        <v>-103</v>
      </c>
      <c r="AQ1763">
        <v>79</v>
      </c>
      <c r="AR1763">
        <v>64</v>
      </c>
      <c r="AZ1763">
        <v>1200</v>
      </c>
      <c r="BA1763">
        <v>1</v>
      </c>
      <c r="BB1763" t="str">
        <f t="shared" si="86"/>
        <v xml:space="preserve">N8080G  </v>
      </c>
      <c r="BC1763">
        <v>1</v>
      </c>
      <c r="BE1763">
        <v>0</v>
      </c>
      <c r="BF1763">
        <v>0</v>
      </c>
      <c r="BG1763">
        <v>0</v>
      </c>
      <c r="BH1763">
        <v>1700</v>
      </c>
      <c r="BI1763">
        <v>1</v>
      </c>
      <c r="BJ1763">
        <v>1</v>
      </c>
      <c r="BK1763">
        <v>1</v>
      </c>
      <c r="BL1763">
        <v>0</v>
      </c>
      <c r="BO1763">
        <v>0</v>
      </c>
      <c r="BP1763">
        <v>0</v>
      </c>
      <c r="BW1763" t="str">
        <f>"20:23:19.040"</f>
        <v>20:23:19.040</v>
      </c>
      <c r="BZ1763">
        <v>0</v>
      </c>
      <c r="CA1763">
        <v>2016</v>
      </c>
      <c r="CB1763">
        <v>224</v>
      </c>
      <c r="CD1763">
        <v>1</v>
      </c>
      <c r="CE1763">
        <v>0</v>
      </c>
      <c r="CF1763">
        <v>0</v>
      </c>
      <c r="CG1763">
        <v>1</v>
      </c>
      <c r="CH1763">
        <v>0</v>
      </c>
      <c r="CI1763">
        <v>0</v>
      </c>
      <c r="CJ1763">
        <v>0</v>
      </c>
      <c r="CK1763">
        <v>2</v>
      </c>
      <c r="CL1763">
        <v>0</v>
      </c>
      <c r="CM1763">
        <v>2</v>
      </c>
      <c r="CN1763">
        <v>0</v>
      </c>
      <c r="CO1763">
        <v>7</v>
      </c>
      <c r="CP1763" t="s">
        <v>119</v>
      </c>
      <c r="CQ1763">
        <v>180</v>
      </c>
      <c r="CR1763">
        <v>2</v>
      </c>
      <c r="CW1763">
        <v>8328831</v>
      </c>
      <c r="CY1763">
        <v>1</v>
      </c>
      <c r="CZ1763">
        <v>0</v>
      </c>
      <c r="DA1763">
        <v>0</v>
      </c>
      <c r="DB1763">
        <v>0</v>
      </c>
      <c r="DC1763">
        <v>0</v>
      </c>
      <c r="DD1763">
        <v>0</v>
      </c>
      <c r="DE1763">
        <v>0</v>
      </c>
      <c r="DF1763">
        <v>0</v>
      </c>
      <c r="DG1763">
        <v>0</v>
      </c>
      <c r="DH1763">
        <v>0</v>
      </c>
      <c r="DI1763">
        <v>0</v>
      </c>
    </row>
    <row r="1764" spans="1:113" x14ac:dyDescent="0.3">
      <c r="A1764" t="str">
        <f>"02/08/2021 20:23:16.704"</f>
        <v>02/08/2021 20:23:16.704</v>
      </c>
      <c r="C1764" t="str">
        <f t="shared" si="85"/>
        <v>FFDFD7C0</v>
      </c>
      <c r="D1764" t="s">
        <v>124</v>
      </c>
      <c r="E1764">
        <v>13</v>
      </c>
      <c r="F1764">
        <v>1013</v>
      </c>
      <c r="G1764" t="s">
        <v>114</v>
      </c>
      <c r="J1764" t="s">
        <v>125</v>
      </c>
      <c r="K1764">
        <v>0</v>
      </c>
      <c r="L1764">
        <v>3</v>
      </c>
      <c r="M1764">
        <v>0</v>
      </c>
      <c r="N1764">
        <v>2</v>
      </c>
      <c r="O1764">
        <v>1</v>
      </c>
      <c r="P1764">
        <v>0</v>
      </c>
      <c r="Q1764">
        <v>0</v>
      </c>
      <c r="S1764" t="str">
        <f>"20:23:19.039"</f>
        <v>20:23:19.039</v>
      </c>
      <c r="T1764" t="str">
        <f>"20:23:18.639"</f>
        <v>20:23:18.639</v>
      </c>
      <c r="U1764" t="str">
        <f t="shared" si="82"/>
        <v>AB01F4</v>
      </c>
      <c r="V1764">
        <v>0</v>
      </c>
      <c r="W1764">
        <v>0</v>
      </c>
      <c r="X1764">
        <v>2</v>
      </c>
      <c r="Z1764">
        <v>0</v>
      </c>
      <c r="AA1764">
        <v>9</v>
      </c>
      <c r="AB1764">
        <v>3</v>
      </c>
      <c r="AC1764">
        <v>0</v>
      </c>
      <c r="AD1764">
        <v>10</v>
      </c>
      <c r="AE1764">
        <v>0</v>
      </c>
      <c r="AF1764">
        <v>3</v>
      </c>
      <c r="AG1764">
        <v>2</v>
      </c>
      <c r="AH1764">
        <v>0</v>
      </c>
      <c r="AI1764" t="s">
        <v>1131</v>
      </c>
      <c r="AJ1764">
        <v>39.895091000000001</v>
      </c>
      <c r="AK1764" t="s">
        <v>1132</v>
      </c>
      <c r="AL1764">
        <v>-92.559621000000007</v>
      </c>
      <c r="AM1764">
        <v>100</v>
      </c>
      <c r="AN1764">
        <v>1700</v>
      </c>
      <c r="AO1764" t="s">
        <v>118</v>
      </c>
      <c r="AP1764">
        <v>-103</v>
      </c>
      <c r="AQ1764">
        <v>79</v>
      </c>
      <c r="AR1764">
        <v>64</v>
      </c>
      <c r="AZ1764">
        <v>1200</v>
      </c>
      <c r="BA1764">
        <v>1</v>
      </c>
      <c r="BB1764" t="str">
        <f t="shared" si="86"/>
        <v xml:space="preserve">N8080G  </v>
      </c>
      <c r="BC1764">
        <v>1</v>
      </c>
      <c r="BE1764">
        <v>0</v>
      </c>
      <c r="BF1764">
        <v>0</v>
      </c>
      <c r="BG1764">
        <v>0</v>
      </c>
      <c r="BH1764">
        <v>1700</v>
      </c>
      <c r="BI1764">
        <v>1</v>
      </c>
      <c r="BJ1764">
        <v>1</v>
      </c>
      <c r="BK1764">
        <v>1</v>
      </c>
      <c r="BL1764">
        <v>0</v>
      </c>
      <c r="BO1764">
        <v>0</v>
      </c>
      <c r="BP1764">
        <v>0</v>
      </c>
      <c r="BW1764" t="str">
        <f>"20:23:19.040"</f>
        <v>20:23:19.040</v>
      </c>
      <c r="BZ1764">
        <v>0</v>
      </c>
      <c r="CA1764">
        <v>2016</v>
      </c>
      <c r="CB1764">
        <v>224</v>
      </c>
      <c r="CD1764">
        <v>1</v>
      </c>
      <c r="CE1764">
        <v>0</v>
      </c>
      <c r="CF1764">
        <v>0</v>
      </c>
      <c r="CG1764">
        <v>1</v>
      </c>
      <c r="CH1764">
        <v>0</v>
      </c>
      <c r="CI1764">
        <v>0</v>
      </c>
      <c r="CJ1764">
        <v>0</v>
      </c>
      <c r="CK1764">
        <v>2</v>
      </c>
      <c r="CL1764">
        <v>0</v>
      </c>
      <c r="CM1764">
        <v>2</v>
      </c>
      <c r="CN1764">
        <v>0</v>
      </c>
      <c r="CO1764">
        <v>7</v>
      </c>
      <c r="CP1764" t="s">
        <v>119</v>
      </c>
      <c r="CQ1764">
        <v>180</v>
      </c>
      <c r="CR1764">
        <v>2</v>
      </c>
      <c r="CW1764">
        <v>8328831</v>
      </c>
      <c r="CY1764">
        <v>1</v>
      </c>
      <c r="CZ1764">
        <v>0</v>
      </c>
      <c r="DA1764">
        <v>1</v>
      </c>
      <c r="DB1764">
        <v>0</v>
      </c>
      <c r="DC1764">
        <v>0</v>
      </c>
      <c r="DD1764">
        <v>0</v>
      </c>
      <c r="DE1764">
        <v>0</v>
      </c>
      <c r="DF1764">
        <v>0</v>
      </c>
      <c r="DG1764">
        <v>0</v>
      </c>
      <c r="DH1764">
        <v>0</v>
      </c>
      <c r="DI1764">
        <v>0</v>
      </c>
    </row>
    <row r="1765" spans="1:113" x14ac:dyDescent="0.3">
      <c r="A1765" t="str">
        <f>"02/08/2021 20:23:16.704"</f>
        <v>02/08/2021 20:23:16.704</v>
      </c>
      <c r="C1765" t="str">
        <f t="shared" si="85"/>
        <v>FFDFD7C0</v>
      </c>
      <c r="D1765" t="s">
        <v>124</v>
      </c>
      <c r="E1765">
        <v>11</v>
      </c>
      <c r="F1765">
        <v>1011</v>
      </c>
      <c r="G1765" t="s">
        <v>590</v>
      </c>
      <c r="J1765" t="s">
        <v>125</v>
      </c>
      <c r="K1765">
        <v>0</v>
      </c>
      <c r="L1765">
        <v>3</v>
      </c>
      <c r="M1765">
        <v>0</v>
      </c>
      <c r="N1765">
        <v>2</v>
      </c>
      <c r="O1765">
        <v>1</v>
      </c>
      <c r="P1765">
        <v>0</v>
      </c>
      <c r="Q1765">
        <v>0</v>
      </c>
      <c r="S1765" t="str">
        <f>"20:23:19.039"</f>
        <v>20:23:19.039</v>
      </c>
      <c r="T1765" t="str">
        <f>"20:23:18.639"</f>
        <v>20:23:18.639</v>
      </c>
      <c r="U1765" t="str">
        <f t="shared" si="82"/>
        <v>AB01F4</v>
      </c>
      <c r="V1765">
        <v>0</v>
      </c>
      <c r="W1765">
        <v>0</v>
      </c>
      <c r="X1765">
        <v>2</v>
      </c>
      <c r="Z1765">
        <v>0</v>
      </c>
      <c r="AA1765">
        <v>9</v>
      </c>
      <c r="AB1765">
        <v>3</v>
      </c>
      <c r="AC1765">
        <v>0</v>
      </c>
      <c r="AD1765">
        <v>10</v>
      </c>
      <c r="AE1765">
        <v>0</v>
      </c>
      <c r="AF1765">
        <v>3</v>
      </c>
      <c r="AG1765">
        <v>2</v>
      </c>
      <c r="AH1765">
        <v>0</v>
      </c>
      <c r="AI1765" t="s">
        <v>1131</v>
      </c>
      <c r="AJ1765">
        <v>39.895091000000001</v>
      </c>
      <c r="AK1765" t="s">
        <v>1132</v>
      </c>
      <c r="AL1765">
        <v>-92.559621000000007</v>
      </c>
      <c r="AM1765">
        <v>100</v>
      </c>
      <c r="AN1765">
        <v>1700</v>
      </c>
      <c r="AO1765" t="s">
        <v>118</v>
      </c>
      <c r="AP1765">
        <v>-103</v>
      </c>
      <c r="AQ1765">
        <v>79</v>
      </c>
      <c r="AR1765">
        <v>64</v>
      </c>
      <c r="AZ1765">
        <v>1200</v>
      </c>
      <c r="BA1765">
        <v>1</v>
      </c>
      <c r="BB1765" t="str">
        <f t="shared" si="86"/>
        <v xml:space="preserve">N8080G  </v>
      </c>
      <c r="BC1765">
        <v>1</v>
      </c>
      <c r="BE1765">
        <v>0</v>
      </c>
      <c r="BF1765">
        <v>0</v>
      </c>
      <c r="BG1765">
        <v>0</v>
      </c>
      <c r="BH1765">
        <v>1700</v>
      </c>
      <c r="BI1765">
        <v>1</v>
      </c>
      <c r="BJ1765">
        <v>1</v>
      </c>
      <c r="BK1765">
        <v>1</v>
      </c>
      <c r="BL1765">
        <v>0</v>
      </c>
      <c r="BO1765">
        <v>0</v>
      </c>
      <c r="BP1765">
        <v>0</v>
      </c>
      <c r="BW1765" t="str">
        <f>"20:23:19.040"</f>
        <v>20:23:19.040</v>
      </c>
      <c r="BZ1765">
        <v>0</v>
      </c>
      <c r="CA1765">
        <v>2016</v>
      </c>
      <c r="CB1765">
        <v>224</v>
      </c>
      <c r="CD1765">
        <v>1</v>
      </c>
      <c r="CE1765">
        <v>0</v>
      </c>
      <c r="CF1765">
        <v>0</v>
      </c>
      <c r="CG1765">
        <v>1</v>
      </c>
      <c r="CH1765">
        <v>0</v>
      </c>
      <c r="CI1765">
        <v>0</v>
      </c>
      <c r="CJ1765">
        <v>0</v>
      </c>
      <c r="CK1765">
        <v>2</v>
      </c>
      <c r="CL1765">
        <v>0</v>
      </c>
      <c r="CM1765">
        <v>2</v>
      </c>
      <c r="CN1765">
        <v>0</v>
      </c>
      <c r="CO1765">
        <v>7</v>
      </c>
      <c r="CP1765" t="s">
        <v>119</v>
      </c>
      <c r="CQ1765">
        <v>180</v>
      </c>
      <c r="CR1765">
        <v>2</v>
      </c>
      <c r="CW1765">
        <v>8328831</v>
      </c>
      <c r="CY1765">
        <v>1</v>
      </c>
      <c r="CZ1765">
        <v>0</v>
      </c>
      <c r="DA1765">
        <v>1</v>
      </c>
      <c r="DB1765">
        <v>0</v>
      </c>
      <c r="DC1765">
        <v>0</v>
      </c>
      <c r="DD1765">
        <v>0</v>
      </c>
      <c r="DE1765">
        <v>0</v>
      </c>
      <c r="DF1765">
        <v>0</v>
      </c>
      <c r="DG1765">
        <v>0</v>
      </c>
      <c r="DH1765">
        <v>0</v>
      </c>
      <c r="DI1765">
        <v>0</v>
      </c>
    </row>
    <row r="1766" spans="1:113" x14ac:dyDescent="0.3">
      <c r="A1766" t="str">
        <f>"02/08/2021 20:23:16.704"</f>
        <v>02/08/2021 20:23:16.704</v>
      </c>
      <c r="C1766" t="str">
        <f t="shared" si="85"/>
        <v>FFDFD7C0</v>
      </c>
      <c r="D1766" t="s">
        <v>124</v>
      </c>
      <c r="E1766">
        <v>12</v>
      </c>
      <c r="F1766">
        <v>1012</v>
      </c>
      <c r="G1766" t="s">
        <v>675</v>
      </c>
      <c r="J1766" t="s">
        <v>125</v>
      </c>
      <c r="K1766">
        <v>0</v>
      </c>
      <c r="L1766">
        <v>3</v>
      </c>
      <c r="M1766">
        <v>0</v>
      </c>
      <c r="N1766">
        <v>2</v>
      </c>
      <c r="O1766">
        <v>1</v>
      </c>
      <c r="P1766">
        <v>0</v>
      </c>
      <c r="Q1766">
        <v>0</v>
      </c>
      <c r="S1766" t="str">
        <f>"20:23:19.039"</f>
        <v>20:23:19.039</v>
      </c>
      <c r="T1766" t="str">
        <f>"20:23:18.639"</f>
        <v>20:23:18.639</v>
      </c>
      <c r="U1766" t="str">
        <f t="shared" si="82"/>
        <v>AB01F4</v>
      </c>
      <c r="V1766">
        <v>0</v>
      </c>
      <c r="W1766">
        <v>0</v>
      </c>
      <c r="X1766">
        <v>2</v>
      </c>
      <c r="Z1766">
        <v>0</v>
      </c>
      <c r="AA1766">
        <v>9</v>
      </c>
      <c r="AB1766">
        <v>3</v>
      </c>
      <c r="AC1766">
        <v>0</v>
      </c>
      <c r="AD1766">
        <v>10</v>
      </c>
      <c r="AE1766">
        <v>0</v>
      </c>
      <c r="AF1766">
        <v>3</v>
      </c>
      <c r="AG1766">
        <v>2</v>
      </c>
      <c r="AH1766">
        <v>0</v>
      </c>
      <c r="AI1766" t="s">
        <v>1131</v>
      </c>
      <c r="AJ1766">
        <v>39.895091000000001</v>
      </c>
      <c r="AK1766" t="s">
        <v>1132</v>
      </c>
      <c r="AL1766">
        <v>-92.559621000000007</v>
      </c>
      <c r="AM1766">
        <v>100</v>
      </c>
      <c r="AN1766">
        <v>1700</v>
      </c>
      <c r="AO1766" t="s">
        <v>118</v>
      </c>
      <c r="AP1766">
        <v>-103</v>
      </c>
      <c r="AQ1766">
        <v>79</v>
      </c>
      <c r="AR1766">
        <v>64</v>
      </c>
      <c r="AZ1766">
        <v>1200</v>
      </c>
      <c r="BA1766">
        <v>1</v>
      </c>
      <c r="BB1766" t="str">
        <f t="shared" si="86"/>
        <v xml:space="preserve">N8080G  </v>
      </c>
      <c r="BC1766">
        <v>1</v>
      </c>
      <c r="BE1766">
        <v>0</v>
      </c>
      <c r="BF1766">
        <v>0</v>
      </c>
      <c r="BG1766">
        <v>0</v>
      </c>
      <c r="BH1766">
        <v>1700</v>
      </c>
      <c r="BI1766">
        <v>1</v>
      </c>
      <c r="BJ1766">
        <v>1</v>
      </c>
      <c r="BK1766">
        <v>1</v>
      </c>
      <c r="BL1766">
        <v>0</v>
      </c>
      <c r="BO1766">
        <v>0</v>
      </c>
      <c r="BP1766">
        <v>0</v>
      </c>
      <c r="BW1766" t="str">
        <f>"20:23:19.040"</f>
        <v>20:23:19.040</v>
      </c>
      <c r="BZ1766">
        <v>0</v>
      </c>
      <c r="CA1766">
        <v>2016</v>
      </c>
      <c r="CB1766">
        <v>224</v>
      </c>
      <c r="CD1766">
        <v>1</v>
      </c>
      <c r="CE1766">
        <v>0</v>
      </c>
      <c r="CF1766">
        <v>0</v>
      </c>
      <c r="CG1766">
        <v>1</v>
      </c>
      <c r="CH1766">
        <v>0</v>
      </c>
      <c r="CI1766">
        <v>0</v>
      </c>
      <c r="CJ1766">
        <v>0</v>
      </c>
      <c r="CK1766">
        <v>2</v>
      </c>
      <c r="CL1766">
        <v>0</v>
      </c>
      <c r="CM1766">
        <v>2</v>
      </c>
      <c r="CN1766">
        <v>0</v>
      </c>
      <c r="CO1766">
        <v>7</v>
      </c>
      <c r="CP1766" t="s">
        <v>119</v>
      </c>
      <c r="CQ1766">
        <v>180</v>
      </c>
      <c r="CR1766">
        <v>2</v>
      </c>
      <c r="CW1766">
        <v>8328831</v>
      </c>
      <c r="CY1766">
        <v>1</v>
      </c>
      <c r="CZ1766">
        <v>0</v>
      </c>
      <c r="DA1766">
        <v>1</v>
      </c>
      <c r="DB1766">
        <v>0</v>
      </c>
      <c r="DC1766">
        <v>0</v>
      </c>
      <c r="DD1766">
        <v>0</v>
      </c>
      <c r="DE1766">
        <v>0</v>
      </c>
      <c r="DF1766">
        <v>0</v>
      </c>
      <c r="DG1766">
        <v>0</v>
      </c>
      <c r="DH1766">
        <v>0</v>
      </c>
      <c r="DI1766">
        <v>0</v>
      </c>
    </row>
    <row r="1767" spans="1:113" x14ac:dyDescent="0.3">
      <c r="A1767" t="str">
        <f>"02/08/2021 20:23:18.171"</f>
        <v>02/08/2021 20:23:18.171</v>
      </c>
      <c r="C1767" t="str">
        <f t="shared" si="85"/>
        <v>FFDFD7C0</v>
      </c>
      <c r="D1767" t="s">
        <v>113</v>
      </c>
      <c r="E1767">
        <v>6</v>
      </c>
      <c r="H1767">
        <v>165</v>
      </c>
      <c r="I1767" t="s">
        <v>114</v>
      </c>
      <c r="J1767" t="s">
        <v>115</v>
      </c>
      <c r="K1767">
        <v>0</v>
      </c>
      <c r="L1767">
        <v>3</v>
      </c>
      <c r="M1767">
        <v>0</v>
      </c>
      <c r="N1767">
        <v>2</v>
      </c>
      <c r="O1767">
        <v>1</v>
      </c>
      <c r="P1767">
        <v>0</v>
      </c>
      <c r="Q1767">
        <v>0</v>
      </c>
      <c r="S1767" t="str">
        <f>"20:23:20.453"</f>
        <v>20:23:20.453</v>
      </c>
      <c r="T1767" t="str">
        <f>"20:23:20.053"</f>
        <v>20:23:20.053</v>
      </c>
      <c r="U1767" t="str">
        <f t="shared" si="82"/>
        <v>AB01F4</v>
      </c>
      <c r="V1767">
        <v>0</v>
      </c>
      <c r="W1767">
        <v>0</v>
      </c>
      <c r="X1767">
        <v>2</v>
      </c>
      <c r="Z1767">
        <v>0</v>
      </c>
      <c r="AA1767">
        <v>9</v>
      </c>
      <c r="AB1767">
        <v>3</v>
      </c>
      <c r="AC1767">
        <v>0</v>
      </c>
      <c r="AD1767">
        <v>10</v>
      </c>
      <c r="AE1767">
        <v>0</v>
      </c>
      <c r="AF1767">
        <v>3</v>
      </c>
      <c r="AG1767">
        <v>2</v>
      </c>
      <c r="AH1767">
        <v>0</v>
      </c>
      <c r="AI1767" t="s">
        <v>1133</v>
      </c>
      <c r="AJ1767">
        <v>39.895584999999997</v>
      </c>
      <c r="AK1767" t="s">
        <v>1134</v>
      </c>
      <c r="AL1767">
        <v>-92.560479999999998</v>
      </c>
      <c r="AM1767">
        <v>100</v>
      </c>
      <c r="AN1767">
        <v>1700</v>
      </c>
      <c r="AO1767" t="s">
        <v>118</v>
      </c>
      <c r="AP1767">
        <v>-104</v>
      </c>
      <c r="AQ1767">
        <v>78</v>
      </c>
      <c r="AR1767">
        <v>0</v>
      </c>
      <c r="AZ1767">
        <v>1200</v>
      </c>
      <c r="BA1767">
        <v>1</v>
      </c>
      <c r="BB1767" t="str">
        <f t="shared" si="86"/>
        <v xml:space="preserve">N8080G  </v>
      </c>
      <c r="BC1767">
        <v>1</v>
      </c>
      <c r="BE1767">
        <v>0</v>
      </c>
      <c r="BF1767">
        <v>0</v>
      </c>
      <c r="BG1767">
        <v>0</v>
      </c>
      <c r="BH1767">
        <v>1700</v>
      </c>
      <c r="BI1767">
        <v>1</v>
      </c>
      <c r="BJ1767">
        <v>1</v>
      </c>
      <c r="BK1767">
        <v>1</v>
      </c>
      <c r="BL1767">
        <v>0</v>
      </c>
      <c r="BO1767">
        <v>0</v>
      </c>
      <c r="BP1767">
        <v>0</v>
      </c>
      <c r="BW1767" t="str">
        <f>"20:23:20.460"</f>
        <v>20:23:20.460</v>
      </c>
      <c r="BZ1767">
        <v>0</v>
      </c>
      <c r="CA1767">
        <v>2016</v>
      </c>
      <c r="CB1767">
        <v>224</v>
      </c>
      <c r="CD1767">
        <v>1</v>
      </c>
      <c r="CE1767">
        <v>0</v>
      </c>
      <c r="CF1767">
        <v>0</v>
      </c>
      <c r="CG1767">
        <v>1</v>
      </c>
      <c r="CH1767">
        <v>0</v>
      </c>
      <c r="CI1767">
        <v>0</v>
      </c>
      <c r="CJ1767">
        <v>0</v>
      </c>
      <c r="CK1767">
        <v>2</v>
      </c>
      <c r="CL1767">
        <v>0</v>
      </c>
      <c r="CM1767">
        <v>2</v>
      </c>
      <c r="CN1767">
        <v>0</v>
      </c>
      <c r="CO1767">
        <v>7</v>
      </c>
      <c r="CP1767" t="s">
        <v>119</v>
      </c>
      <c r="CQ1767">
        <v>180</v>
      </c>
      <c r="CR1767">
        <v>2</v>
      </c>
      <c r="CW1767">
        <v>8330001</v>
      </c>
      <c r="CY1767">
        <v>1</v>
      </c>
      <c r="CZ1767">
        <v>0</v>
      </c>
      <c r="DA1767">
        <v>0</v>
      </c>
      <c r="DB1767">
        <v>0</v>
      </c>
      <c r="DC1767">
        <v>0</v>
      </c>
      <c r="DD1767">
        <v>0</v>
      </c>
      <c r="DE1767">
        <v>0</v>
      </c>
      <c r="DF1767">
        <v>0</v>
      </c>
      <c r="DG1767">
        <v>0</v>
      </c>
      <c r="DH1767">
        <v>0</v>
      </c>
      <c r="DI1767">
        <v>0</v>
      </c>
    </row>
    <row r="1768" spans="1:113" x14ac:dyDescent="0.3">
      <c r="A1768" t="str">
        <f>"02/08/2021 20:23:18.171"</f>
        <v>02/08/2021 20:23:18.171</v>
      </c>
      <c r="C1768" t="str">
        <f t="shared" si="85"/>
        <v>FFDFD7C0</v>
      </c>
      <c r="D1768" t="s">
        <v>124</v>
      </c>
      <c r="E1768">
        <v>13</v>
      </c>
      <c r="F1768">
        <v>1013</v>
      </c>
      <c r="G1768" t="s">
        <v>114</v>
      </c>
      <c r="J1768" t="s">
        <v>125</v>
      </c>
      <c r="K1768">
        <v>0</v>
      </c>
      <c r="L1768">
        <v>3</v>
      </c>
      <c r="M1768">
        <v>0</v>
      </c>
      <c r="N1768">
        <v>2</v>
      </c>
      <c r="O1768">
        <v>1</v>
      </c>
      <c r="P1768">
        <v>0</v>
      </c>
      <c r="Q1768">
        <v>0</v>
      </c>
      <c r="S1768" t="str">
        <f>"20:23:20.453"</f>
        <v>20:23:20.453</v>
      </c>
      <c r="T1768" t="str">
        <f>"20:23:20.053"</f>
        <v>20:23:20.053</v>
      </c>
      <c r="U1768" t="str">
        <f t="shared" si="82"/>
        <v>AB01F4</v>
      </c>
      <c r="V1768">
        <v>0</v>
      </c>
      <c r="W1768">
        <v>0</v>
      </c>
      <c r="X1768">
        <v>2</v>
      </c>
      <c r="Z1768">
        <v>0</v>
      </c>
      <c r="AA1768">
        <v>9</v>
      </c>
      <c r="AB1768">
        <v>3</v>
      </c>
      <c r="AC1768">
        <v>0</v>
      </c>
      <c r="AD1768">
        <v>10</v>
      </c>
      <c r="AE1768">
        <v>0</v>
      </c>
      <c r="AF1768">
        <v>3</v>
      </c>
      <c r="AG1768">
        <v>2</v>
      </c>
      <c r="AH1768">
        <v>0</v>
      </c>
      <c r="AI1768" t="s">
        <v>1133</v>
      </c>
      <c r="AJ1768">
        <v>39.895584999999997</v>
      </c>
      <c r="AK1768" t="s">
        <v>1134</v>
      </c>
      <c r="AL1768">
        <v>-92.560479999999998</v>
      </c>
      <c r="AM1768">
        <v>100</v>
      </c>
      <c r="AN1768">
        <v>1700</v>
      </c>
      <c r="AO1768" t="s">
        <v>118</v>
      </c>
      <c r="AP1768">
        <v>-104</v>
      </c>
      <c r="AQ1768">
        <v>78</v>
      </c>
      <c r="AR1768">
        <v>0</v>
      </c>
      <c r="AZ1768">
        <v>1200</v>
      </c>
      <c r="BA1768">
        <v>1</v>
      </c>
      <c r="BB1768" t="str">
        <f t="shared" si="86"/>
        <v xml:space="preserve">N8080G  </v>
      </c>
      <c r="BC1768">
        <v>1</v>
      </c>
      <c r="BE1768">
        <v>0</v>
      </c>
      <c r="BF1768">
        <v>0</v>
      </c>
      <c r="BG1768">
        <v>0</v>
      </c>
      <c r="BH1768">
        <v>1700</v>
      </c>
      <c r="BI1768">
        <v>1</v>
      </c>
      <c r="BJ1768">
        <v>1</v>
      </c>
      <c r="BK1768">
        <v>1</v>
      </c>
      <c r="BL1768">
        <v>0</v>
      </c>
      <c r="BO1768">
        <v>0</v>
      </c>
      <c r="BP1768">
        <v>0</v>
      </c>
      <c r="BW1768" t="str">
        <f>"20:23:20.460"</f>
        <v>20:23:20.460</v>
      </c>
      <c r="BZ1768">
        <v>0</v>
      </c>
      <c r="CA1768">
        <v>2016</v>
      </c>
      <c r="CB1768">
        <v>224</v>
      </c>
      <c r="CD1768">
        <v>1</v>
      </c>
      <c r="CE1768">
        <v>0</v>
      </c>
      <c r="CF1768">
        <v>0</v>
      </c>
      <c r="CG1768">
        <v>1</v>
      </c>
      <c r="CH1768">
        <v>0</v>
      </c>
      <c r="CI1768">
        <v>0</v>
      </c>
      <c r="CJ1768">
        <v>0</v>
      </c>
      <c r="CK1768">
        <v>2</v>
      </c>
      <c r="CL1768">
        <v>0</v>
      </c>
      <c r="CM1768">
        <v>2</v>
      </c>
      <c r="CN1768">
        <v>0</v>
      </c>
      <c r="CO1768">
        <v>7</v>
      </c>
      <c r="CP1768" t="s">
        <v>119</v>
      </c>
      <c r="CQ1768">
        <v>180</v>
      </c>
      <c r="CR1768">
        <v>2</v>
      </c>
      <c r="CW1768">
        <v>8330001</v>
      </c>
      <c r="CY1768">
        <v>1</v>
      </c>
      <c r="CZ1768">
        <v>0</v>
      </c>
      <c r="DA1768">
        <v>1</v>
      </c>
      <c r="DB1768">
        <v>0</v>
      </c>
      <c r="DC1768">
        <v>0</v>
      </c>
      <c r="DD1768">
        <v>0</v>
      </c>
      <c r="DE1768">
        <v>0</v>
      </c>
      <c r="DF1768">
        <v>0</v>
      </c>
      <c r="DG1768">
        <v>0</v>
      </c>
      <c r="DH1768">
        <v>0</v>
      </c>
      <c r="DI1768">
        <v>0</v>
      </c>
    </row>
    <row r="1769" spans="1:113" x14ac:dyDescent="0.3">
      <c r="A1769" t="str">
        <f>"02/08/2021 20:23:18.171"</f>
        <v>02/08/2021 20:23:18.171</v>
      </c>
      <c r="C1769" t="str">
        <f t="shared" si="85"/>
        <v>FFDFD7C0</v>
      </c>
      <c r="D1769" t="s">
        <v>124</v>
      </c>
      <c r="E1769">
        <v>11</v>
      </c>
      <c r="F1769">
        <v>1011</v>
      </c>
      <c r="G1769" t="s">
        <v>590</v>
      </c>
      <c r="J1769" t="s">
        <v>125</v>
      </c>
      <c r="K1769">
        <v>0</v>
      </c>
      <c r="L1769">
        <v>3</v>
      </c>
      <c r="M1769">
        <v>0</v>
      </c>
      <c r="N1769">
        <v>2</v>
      </c>
      <c r="O1769">
        <v>1</v>
      </c>
      <c r="P1769">
        <v>0</v>
      </c>
      <c r="Q1769">
        <v>0</v>
      </c>
      <c r="S1769" t="str">
        <f>"20:23:20.453"</f>
        <v>20:23:20.453</v>
      </c>
      <c r="T1769" t="str">
        <f>"20:23:20.053"</f>
        <v>20:23:20.053</v>
      </c>
      <c r="U1769" t="str">
        <f t="shared" si="82"/>
        <v>AB01F4</v>
      </c>
      <c r="V1769">
        <v>0</v>
      </c>
      <c r="W1769">
        <v>0</v>
      </c>
      <c r="X1769">
        <v>2</v>
      </c>
      <c r="Z1769">
        <v>0</v>
      </c>
      <c r="AA1769">
        <v>9</v>
      </c>
      <c r="AB1769">
        <v>3</v>
      </c>
      <c r="AC1769">
        <v>0</v>
      </c>
      <c r="AD1769">
        <v>10</v>
      </c>
      <c r="AE1769">
        <v>0</v>
      </c>
      <c r="AF1769">
        <v>3</v>
      </c>
      <c r="AG1769">
        <v>2</v>
      </c>
      <c r="AH1769">
        <v>0</v>
      </c>
      <c r="AI1769" t="s">
        <v>1133</v>
      </c>
      <c r="AJ1769">
        <v>39.895584999999997</v>
      </c>
      <c r="AK1769" t="s">
        <v>1134</v>
      </c>
      <c r="AL1769">
        <v>-92.560479999999998</v>
      </c>
      <c r="AM1769">
        <v>100</v>
      </c>
      <c r="AN1769">
        <v>1700</v>
      </c>
      <c r="AO1769" t="s">
        <v>118</v>
      </c>
      <c r="AP1769">
        <v>-104</v>
      </c>
      <c r="AQ1769">
        <v>78</v>
      </c>
      <c r="AR1769">
        <v>0</v>
      </c>
      <c r="AZ1769">
        <v>1200</v>
      </c>
      <c r="BA1769">
        <v>1</v>
      </c>
      <c r="BB1769" t="str">
        <f t="shared" si="86"/>
        <v xml:space="preserve">N8080G  </v>
      </c>
      <c r="BC1769">
        <v>1</v>
      </c>
      <c r="BE1769">
        <v>0</v>
      </c>
      <c r="BF1769">
        <v>0</v>
      </c>
      <c r="BG1769">
        <v>0</v>
      </c>
      <c r="BH1769">
        <v>1700</v>
      </c>
      <c r="BI1769">
        <v>1</v>
      </c>
      <c r="BJ1769">
        <v>1</v>
      </c>
      <c r="BK1769">
        <v>1</v>
      </c>
      <c r="BL1769">
        <v>0</v>
      </c>
      <c r="BO1769">
        <v>0</v>
      </c>
      <c r="BP1769">
        <v>0</v>
      </c>
      <c r="BW1769" t="str">
        <f>"20:23:20.460"</f>
        <v>20:23:20.460</v>
      </c>
      <c r="BZ1769">
        <v>0</v>
      </c>
      <c r="CA1769">
        <v>2016</v>
      </c>
      <c r="CB1769">
        <v>224</v>
      </c>
      <c r="CD1769">
        <v>1</v>
      </c>
      <c r="CE1769">
        <v>0</v>
      </c>
      <c r="CF1769">
        <v>0</v>
      </c>
      <c r="CG1769">
        <v>1</v>
      </c>
      <c r="CH1769">
        <v>0</v>
      </c>
      <c r="CI1769">
        <v>0</v>
      </c>
      <c r="CJ1769">
        <v>0</v>
      </c>
      <c r="CK1769">
        <v>2</v>
      </c>
      <c r="CL1769">
        <v>0</v>
      </c>
      <c r="CM1769">
        <v>2</v>
      </c>
      <c r="CN1769">
        <v>0</v>
      </c>
      <c r="CO1769">
        <v>7</v>
      </c>
      <c r="CP1769" t="s">
        <v>119</v>
      </c>
      <c r="CQ1769">
        <v>180</v>
      </c>
      <c r="CR1769">
        <v>2</v>
      </c>
      <c r="CW1769">
        <v>8330001</v>
      </c>
      <c r="CY1769">
        <v>1</v>
      </c>
      <c r="CZ1769">
        <v>0</v>
      </c>
      <c r="DA1769">
        <v>1</v>
      </c>
      <c r="DB1769">
        <v>0</v>
      </c>
      <c r="DC1769">
        <v>0</v>
      </c>
      <c r="DD1769">
        <v>0</v>
      </c>
      <c r="DE1769">
        <v>0</v>
      </c>
      <c r="DF1769">
        <v>0</v>
      </c>
      <c r="DG1769">
        <v>0</v>
      </c>
      <c r="DH1769">
        <v>0</v>
      </c>
      <c r="DI1769">
        <v>0</v>
      </c>
    </row>
    <row r="1770" spans="1:113" x14ac:dyDescent="0.3">
      <c r="A1770" t="str">
        <f>"02/08/2021 20:23:18.171"</f>
        <v>02/08/2021 20:23:18.171</v>
      </c>
      <c r="C1770" t="str">
        <f t="shared" si="85"/>
        <v>FFDFD7C0</v>
      </c>
      <c r="D1770" t="s">
        <v>124</v>
      </c>
      <c r="E1770">
        <v>12</v>
      </c>
      <c r="F1770">
        <v>1012</v>
      </c>
      <c r="G1770" t="s">
        <v>675</v>
      </c>
      <c r="J1770" t="s">
        <v>125</v>
      </c>
      <c r="K1770">
        <v>0</v>
      </c>
      <c r="L1770">
        <v>3</v>
      </c>
      <c r="M1770">
        <v>0</v>
      </c>
      <c r="N1770">
        <v>2</v>
      </c>
      <c r="O1770">
        <v>1</v>
      </c>
      <c r="P1770">
        <v>0</v>
      </c>
      <c r="Q1770">
        <v>0</v>
      </c>
      <c r="S1770" t="str">
        <f>"20:23:20.453"</f>
        <v>20:23:20.453</v>
      </c>
      <c r="T1770" t="str">
        <f>"20:23:20.053"</f>
        <v>20:23:20.053</v>
      </c>
      <c r="U1770" t="str">
        <f t="shared" si="82"/>
        <v>AB01F4</v>
      </c>
      <c r="V1770">
        <v>0</v>
      </c>
      <c r="W1770">
        <v>0</v>
      </c>
      <c r="X1770">
        <v>2</v>
      </c>
      <c r="Z1770">
        <v>0</v>
      </c>
      <c r="AA1770">
        <v>9</v>
      </c>
      <c r="AB1770">
        <v>3</v>
      </c>
      <c r="AC1770">
        <v>0</v>
      </c>
      <c r="AD1770">
        <v>10</v>
      </c>
      <c r="AE1770">
        <v>0</v>
      </c>
      <c r="AF1770">
        <v>3</v>
      </c>
      <c r="AG1770">
        <v>2</v>
      </c>
      <c r="AH1770">
        <v>0</v>
      </c>
      <c r="AI1770" t="s">
        <v>1133</v>
      </c>
      <c r="AJ1770">
        <v>39.895584999999997</v>
      </c>
      <c r="AK1770" t="s">
        <v>1134</v>
      </c>
      <c r="AL1770">
        <v>-92.560479999999998</v>
      </c>
      <c r="AM1770">
        <v>100</v>
      </c>
      <c r="AN1770">
        <v>1700</v>
      </c>
      <c r="AO1770" t="s">
        <v>118</v>
      </c>
      <c r="AP1770">
        <v>-104</v>
      </c>
      <c r="AQ1770">
        <v>78</v>
      </c>
      <c r="AR1770">
        <v>0</v>
      </c>
      <c r="AZ1770">
        <v>1200</v>
      </c>
      <c r="BA1770">
        <v>1</v>
      </c>
      <c r="BB1770" t="str">
        <f t="shared" si="86"/>
        <v xml:space="preserve">N8080G  </v>
      </c>
      <c r="BC1770">
        <v>1</v>
      </c>
      <c r="BE1770">
        <v>0</v>
      </c>
      <c r="BF1770">
        <v>0</v>
      </c>
      <c r="BG1770">
        <v>0</v>
      </c>
      <c r="BH1770">
        <v>1700</v>
      </c>
      <c r="BI1770">
        <v>1</v>
      </c>
      <c r="BJ1770">
        <v>1</v>
      </c>
      <c r="BK1770">
        <v>1</v>
      </c>
      <c r="BL1770">
        <v>0</v>
      </c>
      <c r="BO1770">
        <v>0</v>
      </c>
      <c r="BP1770">
        <v>0</v>
      </c>
      <c r="BW1770" t="str">
        <f>"20:23:20.460"</f>
        <v>20:23:20.460</v>
      </c>
      <c r="BZ1770">
        <v>0</v>
      </c>
      <c r="CA1770">
        <v>2016</v>
      </c>
      <c r="CB1770">
        <v>224</v>
      </c>
      <c r="CD1770">
        <v>1</v>
      </c>
      <c r="CE1770">
        <v>0</v>
      </c>
      <c r="CF1770">
        <v>0</v>
      </c>
      <c r="CG1770">
        <v>1</v>
      </c>
      <c r="CH1770">
        <v>0</v>
      </c>
      <c r="CI1770">
        <v>0</v>
      </c>
      <c r="CJ1770">
        <v>0</v>
      </c>
      <c r="CK1770">
        <v>2</v>
      </c>
      <c r="CL1770">
        <v>0</v>
      </c>
      <c r="CM1770">
        <v>2</v>
      </c>
      <c r="CN1770">
        <v>0</v>
      </c>
      <c r="CO1770">
        <v>7</v>
      </c>
      <c r="CP1770" t="s">
        <v>119</v>
      </c>
      <c r="CQ1770">
        <v>180</v>
      </c>
      <c r="CR1770">
        <v>2</v>
      </c>
      <c r="CW1770">
        <v>8330001</v>
      </c>
      <c r="CY1770">
        <v>1</v>
      </c>
      <c r="CZ1770">
        <v>0</v>
      </c>
      <c r="DA1770">
        <v>1</v>
      </c>
      <c r="DB1770">
        <v>0</v>
      </c>
      <c r="DC1770">
        <v>0</v>
      </c>
      <c r="DD1770">
        <v>0</v>
      </c>
      <c r="DE1770">
        <v>0</v>
      </c>
      <c r="DF1770">
        <v>0</v>
      </c>
      <c r="DG1770">
        <v>0</v>
      </c>
      <c r="DH1770">
        <v>0</v>
      </c>
      <c r="DI1770">
        <v>0</v>
      </c>
    </row>
    <row r="1771" spans="1:113" x14ac:dyDescent="0.3">
      <c r="A1771" t="str">
        <f>"02/08/2021 20:23:19.252"</f>
        <v>02/08/2021 20:23:19.252</v>
      </c>
      <c r="C1771" t="str">
        <f>"FFD3D7C0"</f>
        <v>FFD3D7C0</v>
      </c>
      <c r="D1771" t="s">
        <v>124</v>
      </c>
      <c r="E1771">
        <v>11</v>
      </c>
      <c r="F1771">
        <v>1011</v>
      </c>
      <c r="G1771" t="s">
        <v>590</v>
      </c>
      <c r="J1771" t="s">
        <v>125</v>
      </c>
      <c r="K1771">
        <v>0</v>
      </c>
      <c r="L1771">
        <v>3</v>
      </c>
      <c r="M1771">
        <v>0</v>
      </c>
      <c r="N1771">
        <v>2</v>
      </c>
      <c r="O1771">
        <v>1</v>
      </c>
      <c r="P1771">
        <v>0</v>
      </c>
      <c r="Q1771">
        <v>0</v>
      </c>
      <c r="S1771" t="str">
        <f>"20:23:21.297"</f>
        <v>20:23:21.297</v>
      </c>
      <c r="T1771" t="str">
        <f>"20:23:20.897"</f>
        <v>20:23:20.897</v>
      </c>
      <c r="U1771" t="str">
        <f t="shared" si="82"/>
        <v>AB01F4</v>
      </c>
      <c r="V1771">
        <v>0</v>
      </c>
      <c r="W1771">
        <v>0</v>
      </c>
      <c r="X1771">
        <v>2</v>
      </c>
      <c r="Z1771">
        <v>0</v>
      </c>
      <c r="AA1771">
        <v>9</v>
      </c>
      <c r="AB1771">
        <v>3</v>
      </c>
      <c r="AC1771">
        <v>0</v>
      </c>
      <c r="AD1771">
        <v>10</v>
      </c>
      <c r="AE1771">
        <v>0</v>
      </c>
      <c r="AF1771">
        <v>3</v>
      </c>
      <c r="AG1771">
        <v>2</v>
      </c>
      <c r="AH1771">
        <v>0</v>
      </c>
      <c r="AI1771" t="s">
        <v>1135</v>
      </c>
      <c r="AJ1771">
        <v>39.895864000000003</v>
      </c>
      <c r="AK1771" t="s">
        <v>1136</v>
      </c>
      <c r="AL1771">
        <v>-92.560973000000004</v>
      </c>
      <c r="AM1771">
        <v>100</v>
      </c>
      <c r="AN1771">
        <v>1700</v>
      </c>
      <c r="AO1771" t="s">
        <v>118</v>
      </c>
      <c r="AP1771">
        <v>-104</v>
      </c>
      <c r="AQ1771">
        <v>77</v>
      </c>
      <c r="AR1771">
        <v>-64</v>
      </c>
      <c r="AZ1771">
        <v>1200</v>
      </c>
      <c r="BA1771">
        <v>1</v>
      </c>
      <c r="BE1771">
        <v>0</v>
      </c>
      <c r="BF1771">
        <v>0</v>
      </c>
      <c r="BG1771">
        <v>0</v>
      </c>
      <c r="BH1771">
        <v>1700</v>
      </c>
      <c r="BI1771">
        <v>1</v>
      </c>
      <c r="BJ1771">
        <v>1</v>
      </c>
      <c r="BK1771">
        <v>1</v>
      </c>
      <c r="BL1771">
        <v>0</v>
      </c>
      <c r="BO1771">
        <v>0</v>
      </c>
      <c r="BP1771">
        <v>0</v>
      </c>
      <c r="BW1771" t="str">
        <f>"20:23:21.304"</f>
        <v>20:23:21.304</v>
      </c>
      <c r="BZ1771">
        <v>0</v>
      </c>
      <c r="CA1771">
        <v>2016</v>
      </c>
      <c r="CB1771">
        <v>224</v>
      </c>
      <c r="CD1771">
        <v>1</v>
      </c>
      <c r="CE1771">
        <v>0</v>
      </c>
      <c r="CF1771">
        <v>0</v>
      </c>
      <c r="CG1771">
        <v>1</v>
      </c>
      <c r="CH1771">
        <v>0</v>
      </c>
      <c r="CI1771">
        <v>0</v>
      </c>
      <c r="CJ1771">
        <v>0</v>
      </c>
      <c r="CK1771">
        <v>2</v>
      </c>
      <c r="CL1771">
        <v>0</v>
      </c>
      <c r="CM1771">
        <v>2</v>
      </c>
      <c r="CN1771">
        <v>0</v>
      </c>
      <c r="CO1771">
        <v>1</v>
      </c>
      <c r="CP1771" t="s">
        <v>119</v>
      </c>
      <c r="CQ1771">
        <v>179</v>
      </c>
      <c r="CR1771">
        <v>1</v>
      </c>
      <c r="CW1771">
        <v>8763080</v>
      </c>
      <c r="CY1771">
        <v>1</v>
      </c>
      <c r="CZ1771">
        <v>0</v>
      </c>
      <c r="DA1771">
        <v>0</v>
      </c>
      <c r="DB1771">
        <v>0</v>
      </c>
      <c r="DC1771">
        <v>0</v>
      </c>
      <c r="DD1771">
        <v>0</v>
      </c>
      <c r="DE1771">
        <v>0</v>
      </c>
      <c r="DF1771">
        <v>1</v>
      </c>
      <c r="DG1771">
        <v>0</v>
      </c>
      <c r="DH1771">
        <v>0</v>
      </c>
      <c r="DI1771">
        <v>1</v>
      </c>
    </row>
    <row r="1772" spans="1:113" x14ac:dyDescent="0.3">
      <c r="A1772" t="str">
        <f>"02/08/2021 20:23:19.252"</f>
        <v>02/08/2021 20:23:19.252</v>
      </c>
      <c r="C1772" t="str">
        <f>"FFD3D7C0"</f>
        <v>FFD3D7C0</v>
      </c>
      <c r="D1772" t="s">
        <v>124</v>
      </c>
      <c r="E1772">
        <v>12</v>
      </c>
      <c r="F1772">
        <v>1012</v>
      </c>
      <c r="G1772" t="s">
        <v>675</v>
      </c>
      <c r="J1772" t="s">
        <v>125</v>
      </c>
      <c r="K1772">
        <v>0</v>
      </c>
      <c r="L1772">
        <v>3</v>
      </c>
      <c r="M1772">
        <v>0</v>
      </c>
      <c r="N1772">
        <v>2</v>
      </c>
      <c r="O1772">
        <v>1</v>
      </c>
      <c r="P1772">
        <v>0</v>
      </c>
      <c r="Q1772">
        <v>0</v>
      </c>
      <c r="S1772" t="str">
        <f>"20:23:21.297"</f>
        <v>20:23:21.297</v>
      </c>
      <c r="T1772" t="str">
        <f>"20:23:20.897"</f>
        <v>20:23:20.897</v>
      </c>
      <c r="U1772" t="str">
        <f t="shared" si="82"/>
        <v>AB01F4</v>
      </c>
      <c r="V1772">
        <v>0</v>
      </c>
      <c r="W1772">
        <v>0</v>
      </c>
      <c r="X1772">
        <v>2</v>
      </c>
      <c r="Z1772">
        <v>0</v>
      </c>
      <c r="AA1772">
        <v>9</v>
      </c>
      <c r="AB1772">
        <v>3</v>
      </c>
      <c r="AC1772">
        <v>0</v>
      </c>
      <c r="AD1772">
        <v>10</v>
      </c>
      <c r="AE1772">
        <v>0</v>
      </c>
      <c r="AF1772">
        <v>3</v>
      </c>
      <c r="AG1772">
        <v>2</v>
      </c>
      <c r="AH1772">
        <v>0</v>
      </c>
      <c r="AI1772" t="s">
        <v>1135</v>
      </c>
      <c r="AJ1772">
        <v>39.895864000000003</v>
      </c>
      <c r="AK1772" t="s">
        <v>1136</v>
      </c>
      <c r="AL1772">
        <v>-92.560973000000004</v>
      </c>
      <c r="AM1772">
        <v>100</v>
      </c>
      <c r="AN1772">
        <v>1700</v>
      </c>
      <c r="AO1772" t="s">
        <v>118</v>
      </c>
      <c r="AP1772">
        <v>-104</v>
      </c>
      <c r="AQ1772">
        <v>77</v>
      </c>
      <c r="AR1772">
        <v>-64</v>
      </c>
      <c r="AZ1772">
        <v>1200</v>
      </c>
      <c r="BA1772">
        <v>1</v>
      </c>
      <c r="BE1772">
        <v>0</v>
      </c>
      <c r="BF1772">
        <v>0</v>
      </c>
      <c r="BG1772">
        <v>0</v>
      </c>
      <c r="BH1772">
        <v>1700</v>
      </c>
      <c r="BI1772">
        <v>1</v>
      </c>
      <c r="BJ1772">
        <v>1</v>
      </c>
      <c r="BK1772">
        <v>1</v>
      </c>
      <c r="BL1772">
        <v>0</v>
      </c>
      <c r="BO1772">
        <v>0</v>
      </c>
      <c r="BP1772">
        <v>0</v>
      </c>
      <c r="BW1772" t="str">
        <f>"20:23:21.304"</f>
        <v>20:23:21.304</v>
      </c>
      <c r="BZ1772">
        <v>0</v>
      </c>
      <c r="CA1772">
        <v>2016</v>
      </c>
      <c r="CB1772">
        <v>224</v>
      </c>
      <c r="CD1772">
        <v>1</v>
      </c>
      <c r="CE1772">
        <v>0</v>
      </c>
      <c r="CF1772">
        <v>0</v>
      </c>
      <c r="CG1772">
        <v>1</v>
      </c>
      <c r="CH1772">
        <v>0</v>
      </c>
      <c r="CI1772">
        <v>0</v>
      </c>
      <c r="CJ1772">
        <v>0</v>
      </c>
      <c r="CK1772">
        <v>2</v>
      </c>
      <c r="CL1772">
        <v>0</v>
      </c>
      <c r="CM1772">
        <v>2</v>
      </c>
      <c r="CN1772">
        <v>0</v>
      </c>
      <c r="CO1772">
        <v>1</v>
      </c>
      <c r="CP1772" t="s">
        <v>119</v>
      </c>
      <c r="CQ1772">
        <v>179</v>
      </c>
      <c r="CR1772">
        <v>1</v>
      </c>
      <c r="CW1772">
        <v>8763080</v>
      </c>
      <c r="CY1772">
        <v>1</v>
      </c>
      <c r="CZ1772">
        <v>0</v>
      </c>
      <c r="DA1772">
        <v>1</v>
      </c>
      <c r="DB1772">
        <v>0</v>
      </c>
      <c r="DC1772">
        <v>0</v>
      </c>
      <c r="DD1772">
        <v>0</v>
      </c>
      <c r="DE1772">
        <v>0</v>
      </c>
      <c r="DF1772">
        <v>1</v>
      </c>
      <c r="DG1772">
        <v>0</v>
      </c>
      <c r="DH1772">
        <v>0</v>
      </c>
      <c r="DI1772">
        <v>1</v>
      </c>
    </row>
    <row r="1773" spans="1:113" x14ac:dyDescent="0.3">
      <c r="A1773" t="str">
        <f>"02/08/2021 20:23:19.252"</f>
        <v>02/08/2021 20:23:19.252</v>
      </c>
      <c r="C1773" t="str">
        <f>"FFD3D7C0"</f>
        <v>FFD3D7C0</v>
      </c>
      <c r="D1773" t="s">
        <v>124</v>
      </c>
      <c r="E1773">
        <v>13</v>
      </c>
      <c r="F1773">
        <v>1013</v>
      </c>
      <c r="G1773" t="s">
        <v>114</v>
      </c>
      <c r="J1773" t="s">
        <v>125</v>
      </c>
      <c r="K1773">
        <v>0</v>
      </c>
      <c r="L1773">
        <v>3</v>
      </c>
      <c r="M1773">
        <v>0</v>
      </c>
      <c r="N1773">
        <v>2</v>
      </c>
      <c r="O1773">
        <v>1</v>
      </c>
      <c r="P1773">
        <v>0</v>
      </c>
      <c r="Q1773">
        <v>0</v>
      </c>
      <c r="S1773" t="str">
        <f>"20:23:21.297"</f>
        <v>20:23:21.297</v>
      </c>
      <c r="T1773" t="str">
        <f>"20:23:20.897"</f>
        <v>20:23:20.897</v>
      </c>
      <c r="U1773" t="str">
        <f t="shared" si="82"/>
        <v>AB01F4</v>
      </c>
      <c r="V1773">
        <v>0</v>
      </c>
      <c r="W1773">
        <v>0</v>
      </c>
      <c r="X1773">
        <v>2</v>
      </c>
      <c r="Z1773">
        <v>0</v>
      </c>
      <c r="AA1773">
        <v>9</v>
      </c>
      <c r="AB1773">
        <v>3</v>
      </c>
      <c r="AC1773">
        <v>0</v>
      </c>
      <c r="AD1773">
        <v>10</v>
      </c>
      <c r="AE1773">
        <v>0</v>
      </c>
      <c r="AF1773">
        <v>3</v>
      </c>
      <c r="AG1773">
        <v>2</v>
      </c>
      <c r="AH1773">
        <v>0</v>
      </c>
      <c r="AI1773" t="s">
        <v>1135</v>
      </c>
      <c r="AJ1773">
        <v>39.895864000000003</v>
      </c>
      <c r="AK1773" t="s">
        <v>1136</v>
      </c>
      <c r="AL1773">
        <v>-92.560973000000004</v>
      </c>
      <c r="AM1773">
        <v>100</v>
      </c>
      <c r="AN1773">
        <v>1700</v>
      </c>
      <c r="AO1773" t="s">
        <v>118</v>
      </c>
      <c r="AP1773">
        <v>-104</v>
      </c>
      <c r="AQ1773">
        <v>77</v>
      </c>
      <c r="AR1773">
        <v>-64</v>
      </c>
      <c r="AZ1773">
        <v>1200</v>
      </c>
      <c r="BA1773">
        <v>1</v>
      </c>
      <c r="BE1773">
        <v>0</v>
      </c>
      <c r="BF1773">
        <v>0</v>
      </c>
      <c r="BG1773">
        <v>0</v>
      </c>
      <c r="BH1773">
        <v>1700</v>
      </c>
      <c r="BI1773">
        <v>1</v>
      </c>
      <c r="BJ1773">
        <v>1</v>
      </c>
      <c r="BK1773">
        <v>1</v>
      </c>
      <c r="BL1773">
        <v>0</v>
      </c>
      <c r="BO1773">
        <v>0</v>
      </c>
      <c r="BP1773">
        <v>0</v>
      </c>
      <c r="BW1773" t="str">
        <f>"20:23:21.304"</f>
        <v>20:23:21.304</v>
      </c>
      <c r="BZ1773">
        <v>0</v>
      </c>
      <c r="CA1773">
        <v>2016</v>
      </c>
      <c r="CB1773">
        <v>224</v>
      </c>
      <c r="CD1773">
        <v>1</v>
      </c>
      <c r="CE1773">
        <v>0</v>
      </c>
      <c r="CF1773">
        <v>0</v>
      </c>
      <c r="CG1773">
        <v>1</v>
      </c>
      <c r="CH1773">
        <v>0</v>
      </c>
      <c r="CI1773">
        <v>0</v>
      </c>
      <c r="CJ1773">
        <v>0</v>
      </c>
      <c r="CK1773">
        <v>2</v>
      </c>
      <c r="CL1773">
        <v>0</v>
      </c>
      <c r="CM1773">
        <v>2</v>
      </c>
      <c r="CN1773">
        <v>0</v>
      </c>
      <c r="CO1773">
        <v>1</v>
      </c>
      <c r="CP1773" t="s">
        <v>119</v>
      </c>
      <c r="CQ1773">
        <v>179</v>
      </c>
      <c r="CR1773">
        <v>1</v>
      </c>
      <c r="CW1773">
        <v>8763080</v>
      </c>
      <c r="CY1773">
        <v>1</v>
      </c>
      <c r="CZ1773">
        <v>0</v>
      </c>
      <c r="DA1773">
        <v>1</v>
      </c>
      <c r="DB1773">
        <v>0</v>
      </c>
      <c r="DC1773">
        <v>0</v>
      </c>
      <c r="DD1773">
        <v>0</v>
      </c>
      <c r="DE1773">
        <v>0</v>
      </c>
      <c r="DF1773">
        <v>1</v>
      </c>
      <c r="DG1773">
        <v>0</v>
      </c>
      <c r="DH1773">
        <v>0</v>
      </c>
      <c r="DI1773">
        <v>1</v>
      </c>
    </row>
    <row r="1774" spans="1:113" x14ac:dyDescent="0.3">
      <c r="A1774" t="str">
        <f>"02/08/2021 20:23:19.252"</f>
        <v>02/08/2021 20:23:19.252</v>
      </c>
      <c r="C1774" t="str">
        <f>"FFD3D7C0"</f>
        <v>FFD3D7C0</v>
      </c>
      <c r="D1774" t="s">
        <v>113</v>
      </c>
      <c r="E1774">
        <v>6</v>
      </c>
      <c r="H1774">
        <v>165</v>
      </c>
      <c r="I1774" t="s">
        <v>114</v>
      </c>
      <c r="J1774" t="s">
        <v>115</v>
      </c>
      <c r="K1774">
        <v>0</v>
      </c>
      <c r="L1774">
        <v>3</v>
      </c>
      <c r="M1774">
        <v>0</v>
      </c>
      <c r="N1774">
        <v>2</v>
      </c>
      <c r="O1774">
        <v>1</v>
      </c>
      <c r="P1774">
        <v>0</v>
      </c>
      <c r="Q1774">
        <v>0</v>
      </c>
      <c r="S1774" t="str">
        <f>"20:23:21.297"</f>
        <v>20:23:21.297</v>
      </c>
      <c r="T1774" t="str">
        <f>"20:23:20.897"</f>
        <v>20:23:20.897</v>
      </c>
      <c r="U1774" t="str">
        <f t="shared" si="82"/>
        <v>AB01F4</v>
      </c>
      <c r="V1774">
        <v>0</v>
      </c>
      <c r="W1774">
        <v>0</v>
      </c>
      <c r="X1774">
        <v>2</v>
      </c>
      <c r="Z1774">
        <v>0</v>
      </c>
      <c r="AA1774">
        <v>9</v>
      </c>
      <c r="AB1774">
        <v>3</v>
      </c>
      <c r="AC1774">
        <v>0</v>
      </c>
      <c r="AD1774">
        <v>10</v>
      </c>
      <c r="AE1774">
        <v>0</v>
      </c>
      <c r="AF1774">
        <v>3</v>
      </c>
      <c r="AG1774">
        <v>2</v>
      </c>
      <c r="AH1774">
        <v>0</v>
      </c>
      <c r="AI1774" t="s">
        <v>1135</v>
      </c>
      <c r="AJ1774">
        <v>39.895864000000003</v>
      </c>
      <c r="AK1774" t="s">
        <v>1136</v>
      </c>
      <c r="AL1774">
        <v>-92.560973000000004</v>
      </c>
      <c r="AM1774">
        <v>100</v>
      </c>
      <c r="AN1774">
        <v>1700</v>
      </c>
      <c r="AO1774" t="s">
        <v>118</v>
      </c>
      <c r="AP1774">
        <v>-104</v>
      </c>
      <c r="AQ1774">
        <v>77</v>
      </c>
      <c r="AR1774">
        <v>-64</v>
      </c>
      <c r="AZ1774">
        <v>1200</v>
      </c>
      <c r="BA1774">
        <v>1</v>
      </c>
      <c r="BE1774">
        <v>0</v>
      </c>
      <c r="BF1774">
        <v>0</v>
      </c>
      <c r="BG1774">
        <v>0</v>
      </c>
      <c r="BH1774">
        <v>1700</v>
      </c>
      <c r="BI1774">
        <v>1</v>
      </c>
      <c r="BJ1774">
        <v>1</v>
      </c>
      <c r="BK1774">
        <v>1</v>
      </c>
      <c r="BL1774">
        <v>0</v>
      </c>
      <c r="BO1774">
        <v>0</v>
      </c>
      <c r="BP1774">
        <v>0</v>
      </c>
      <c r="BW1774" t="str">
        <f>"20:23:21.304"</f>
        <v>20:23:21.304</v>
      </c>
      <c r="BZ1774">
        <v>0</v>
      </c>
      <c r="CA1774">
        <v>2016</v>
      </c>
      <c r="CB1774">
        <v>224</v>
      </c>
      <c r="CD1774">
        <v>1</v>
      </c>
      <c r="CE1774">
        <v>0</v>
      </c>
      <c r="CF1774">
        <v>0</v>
      </c>
      <c r="CG1774">
        <v>1</v>
      </c>
      <c r="CH1774">
        <v>0</v>
      </c>
      <c r="CI1774">
        <v>0</v>
      </c>
      <c r="CJ1774">
        <v>0</v>
      </c>
      <c r="CK1774">
        <v>2</v>
      </c>
      <c r="CL1774">
        <v>0</v>
      </c>
      <c r="CM1774">
        <v>2</v>
      </c>
      <c r="CN1774">
        <v>0</v>
      </c>
      <c r="CO1774">
        <v>1</v>
      </c>
      <c r="CP1774" t="s">
        <v>119</v>
      </c>
      <c r="CQ1774">
        <v>179</v>
      </c>
      <c r="CR1774">
        <v>1</v>
      </c>
      <c r="CW1774">
        <v>8763080</v>
      </c>
      <c r="CY1774">
        <v>1</v>
      </c>
      <c r="CZ1774">
        <v>0</v>
      </c>
      <c r="DA1774">
        <v>1</v>
      </c>
      <c r="DB1774">
        <v>0</v>
      </c>
      <c r="DC1774">
        <v>0</v>
      </c>
      <c r="DD1774">
        <v>0</v>
      </c>
      <c r="DE1774">
        <v>0</v>
      </c>
      <c r="DF1774">
        <v>1</v>
      </c>
      <c r="DG1774">
        <v>0</v>
      </c>
      <c r="DH1774">
        <v>0</v>
      </c>
      <c r="DI1774">
        <v>1</v>
      </c>
    </row>
    <row r="1775" spans="1:113" x14ac:dyDescent="0.3">
      <c r="A1775" t="str">
        <f>"02/08/2021 20:23:20.335"</f>
        <v>02/08/2021 20:23:20.335</v>
      </c>
      <c r="C1775" t="str">
        <f t="shared" ref="C1775:C1838" si="87">"FFDFD7C0"</f>
        <v>FFDFD7C0</v>
      </c>
      <c r="D1775" t="s">
        <v>124</v>
      </c>
      <c r="E1775">
        <v>13</v>
      </c>
      <c r="F1775">
        <v>1013</v>
      </c>
      <c r="G1775" t="s">
        <v>114</v>
      </c>
      <c r="J1775" t="s">
        <v>125</v>
      </c>
      <c r="K1775">
        <v>0</v>
      </c>
      <c r="L1775">
        <v>3</v>
      </c>
      <c r="M1775">
        <v>0</v>
      </c>
      <c r="N1775">
        <v>2</v>
      </c>
      <c r="O1775">
        <v>1</v>
      </c>
      <c r="P1775">
        <v>0</v>
      </c>
      <c r="Q1775">
        <v>0</v>
      </c>
      <c r="S1775" t="str">
        <f>"20:23:22.375"</f>
        <v>20:23:22.375</v>
      </c>
      <c r="T1775" t="str">
        <f>"20:23:20.875"</f>
        <v>20:23:20.875</v>
      </c>
      <c r="U1775" t="str">
        <f t="shared" si="82"/>
        <v>AB01F4</v>
      </c>
      <c r="V1775">
        <v>0</v>
      </c>
      <c r="W1775">
        <v>0</v>
      </c>
      <c r="X1775">
        <v>2</v>
      </c>
      <c r="Z1775">
        <v>0</v>
      </c>
      <c r="AA1775">
        <v>9</v>
      </c>
      <c r="AB1775">
        <v>3</v>
      </c>
      <c r="AC1775">
        <v>0</v>
      </c>
      <c r="AD1775">
        <v>10</v>
      </c>
      <c r="AE1775">
        <v>0</v>
      </c>
      <c r="AF1775">
        <v>3</v>
      </c>
      <c r="AG1775">
        <v>2</v>
      </c>
      <c r="AH1775">
        <v>0</v>
      </c>
      <c r="AI1775" t="s">
        <v>1137</v>
      </c>
      <c r="AJ1775">
        <v>39.896250000000002</v>
      </c>
      <c r="AK1775" t="s">
        <v>1138</v>
      </c>
      <c r="AL1775">
        <v>-92.561660000000003</v>
      </c>
      <c r="AM1775">
        <v>100</v>
      </c>
      <c r="AN1775">
        <v>1700</v>
      </c>
      <c r="AO1775" t="s">
        <v>118</v>
      </c>
      <c r="AP1775">
        <v>-104</v>
      </c>
      <c r="AQ1775">
        <v>77</v>
      </c>
      <c r="AR1775">
        <v>-64</v>
      </c>
      <c r="AZ1775">
        <v>1200</v>
      </c>
      <c r="BA1775">
        <v>1</v>
      </c>
      <c r="BB1775" t="str">
        <f t="shared" ref="BB1775:BB1838" si="88">"N8080G  "</f>
        <v xml:space="preserve">N8080G  </v>
      </c>
      <c r="BC1775">
        <v>1</v>
      </c>
      <c r="BE1775">
        <v>0</v>
      </c>
      <c r="BF1775">
        <v>0</v>
      </c>
      <c r="BG1775">
        <v>0</v>
      </c>
      <c r="BH1775">
        <v>1700</v>
      </c>
      <c r="BI1775">
        <v>1</v>
      </c>
      <c r="BJ1775">
        <v>1</v>
      </c>
      <c r="BK1775">
        <v>1</v>
      </c>
      <c r="BL1775">
        <v>0</v>
      </c>
      <c r="BO1775">
        <v>0</v>
      </c>
      <c r="BP1775">
        <v>0</v>
      </c>
      <c r="BW1775" t="str">
        <f>"20:23:22.381"</f>
        <v>20:23:22.381</v>
      </c>
      <c r="BZ1775">
        <v>0</v>
      </c>
      <c r="CA1775">
        <v>2016</v>
      </c>
      <c r="CB1775">
        <v>224</v>
      </c>
      <c r="CD1775">
        <v>1</v>
      </c>
      <c r="CE1775">
        <v>0</v>
      </c>
      <c r="CF1775">
        <v>0</v>
      </c>
      <c r="CG1775">
        <v>1</v>
      </c>
      <c r="CH1775">
        <v>0</v>
      </c>
      <c r="CI1775">
        <v>0</v>
      </c>
      <c r="CJ1775">
        <v>0</v>
      </c>
      <c r="CK1775">
        <v>2</v>
      </c>
      <c r="CL1775">
        <v>0</v>
      </c>
      <c r="CM1775">
        <v>2</v>
      </c>
      <c r="CN1775">
        <v>0</v>
      </c>
      <c r="CO1775">
        <v>1</v>
      </c>
      <c r="CP1775" t="s">
        <v>119</v>
      </c>
      <c r="CQ1775">
        <v>179</v>
      </c>
      <c r="CR1775">
        <v>1</v>
      </c>
      <c r="CW1775">
        <v>8763990</v>
      </c>
      <c r="CY1775">
        <v>1</v>
      </c>
      <c r="CZ1775">
        <v>0</v>
      </c>
      <c r="DA1775">
        <v>0</v>
      </c>
      <c r="DB1775">
        <v>0</v>
      </c>
      <c r="DC1775">
        <v>0</v>
      </c>
      <c r="DD1775">
        <v>0</v>
      </c>
      <c r="DE1775">
        <v>0</v>
      </c>
      <c r="DF1775">
        <v>0</v>
      </c>
      <c r="DG1775">
        <v>0</v>
      </c>
      <c r="DH1775">
        <v>0</v>
      </c>
      <c r="DI1775">
        <v>0</v>
      </c>
    </row>
    <row r="1776" spans="1:113" x14ac:dyDescent="0.3">
      <c r="A1776" t="str">
        <f>"02/08/2021 20:23:20.335"</f>
        <v>02/08/2021 20:23:20.335</v>
      </c>
      <c r="C1776" t="str">
        <f t="shared" si="87"/>
        <v>FFDFD7C0</v>
      </c>
      <c r="D1776" t="s">
        <v>113</v>
      </c>
      <c r="E1776">
        <v>6</v>
      </c>
      <c r="H1776">
        <v>165</v>
      </c>
      <c r="I1776" t="s">
        <v>114</v>
      </c>
      <c r="J1776" t="s">
        <v>115</v>
      </c>
      <c r="K1776">
        <v>0</v>
      </c>
      <c r="L1776">
        <v>3</v>
      </c>
      <c r="M1776">
        <v>0</v>
      </c>
      <c r="N1776">
        <v>2</v>
      </c>
      <c r="O1776">
        <v>1</v>
      </c>
      <c r="P1776">
        <v>0</v>
      </c>
      <c r="Q1776">
        <v>0</v>
      </c>
      <c r="S1776" t="str">
        <f>"20:23:22.375"</f>
        <v>20:23:22.375</v>
      </c>
      <c r="T1776" t="str">
        <f>"20:23:20.875"</f>
        <v>20:23:20.875</v>
      </c>
      <c r="U1776" t="str">
        <f t="shared" si="82"/>
        <v>AB01F4</v>
      </c>
      <c r="V1776">
        <v>0</v>
      </c>
      <c r="W1776">
        <v>0</v>
      </c>
      <c r="X1776">
        <v>2</v>
      </c>
      <c r="Z1776">
        <v>0</v>
      </c>
      <c r="AA1776">
        <v>9</v>
      </c>
      <c r="AB1776">
        <v>3</v>
      </c>
      <c r="AC1776">
        <v>0</v>
      </c>
      <c r="AD1776">
        <v>10</v>
      </c>
      <c r="AE1776">
        <v>0</v>
      </c>
      <c r="AF1776">
        <v>3</v>
      </c>
      <c r="AG1776">
        <v>2</v>
      </c>
      <c r="AH1776">
        <v>0</v>
      </c>
      <c r="AI1776" t="s">
        <v>1137</v>
      </c>
      <c r="AJ1776">
        <v>39.896250000000002</v>
      </c>
      <c r="AK1776" t="s">
        <v>1138</v>
      </c>
      <c r="AL1776">
        <v>-92.561660000000003</v>
      </c>
      <c r="AM1776">
        <v>100</v>
      </c>
      <c r="AN1776">
        <v>1700</v>
      </c>
      <c r="AO1776" t="s">
        <v>118</v>
      </c>
      <c r="AP1776">
        <v>-104</v>
      </c>
      <c r="AQ1776">
        <v>77</v>
      </c>
      <c r="AR1776">
        <v>-64</v>
      </c>
      <c r="AZ1776">
        <v>1200</v>
      </c>
      <c r="BA1776">
        <v>1</v>
      </c>
      <c r="BB1776" t="str">
        <f t="shared" si="88"/>
        <v xml:space="preserve">N8080G  </v>
      </c>
      <c r="BC1776">
        <v>1</v>
      </c>
      <c r="BE1776">
        <v>0</v>
      </c>
      <c r="BF1776">
        <v>0</v>
      </c>
      <c r="BG1776">
        <v>0</v>
      </c>
      <c r="BH1776">
        <v>1700</v>
      </c>
      <c r="BI1776">
        <v>1</v>
      </c>
      <c r="BJ1776">
        <v>1</v>
      </c>
      <c r="BK1776">
        <v>1</v>
      </c>
      <c r="BL1776">
        <v>0</v>
      </c>
      <c r="BO1776">
        <v>0</v>
      </c>
      <c r="BP1776">
        <v>0</v>
      </c>
      <c r="BW1776" t="str">
        <f>"20:23:22.381"</f>
        <v>20:23:22.381</v>
      </c>
      <c r="BZ1776">
        <v>0</v>
      </c>
      <c r="CA1776">
        <v>2016</v>
      </c>
      <c r="CB1776">
        <v>224</v>
      </c>
      <c r="CD1776">
        <v>1</v>
      </c>
      <c r="CE1776">
        <v>0</v>
      </c>
      <c r="CF1776">
        <v>0</v>
      </c>
      <c r="CG1776">
        <v>1</v>
      </c>
      <c r="CH1776">
        <v>0</v>
      </c>
      <c r="CI1776">
        <v>0</v>
      </c>
      <c r="CJ1776">
        <v>0</v>
      </c>
      <c r="CK1776">
        <v>2</v>
      </c>
      <c r="CL1776">
        <v>0</v>
      </c>
      <c r="CM1776">
        <v>2</v>
      </c>
      <c r="CN1776">
        <v>0</v>
      </c>
      <c r="CO1776">
        <v>1</v>
      </c>
      <c r="CP1776" t="s">
        <v>119</v>
      </c>
      <c r="CQ1776">
        <v>179</v>
      </c>
      <c r="CR1776">
        <v>1</v>
      </c>
      <c r="CW1776">
        <v>8763990</v>
      </c>
      <c r="CY1776">
        <v>1</v>
      </c>
      <c r="CZ1776">
        <v>0</v>
      </c>
      <c r="DA1776">
        <v>1</v>
      </c>
      <c r="DB1776">
        <v>0</v>
      </c>
      <c r="DC1776">
        <v>0</v>
      </c>
      <c r="DD1776">
        <v>0</v>
      </c>
      <c r="DE1776">
        <v>0</v>
      </c>
      <c r="DF1776">
        <v>0</v>
      </c>
      <c r="DG1776">
        <v>0</v>
      </c>
      <c r="DH1776">
        <v>0</v>
      </c>
      <c r="DI1776">
        <v>0</v>
      </c>
    </row>
    <row r="1777" spans="1:113" x14ac:dyDescent="0.3">
      <c r="A1777" t="str">
        <f>"02/08/2021 20:23:20.335"</f>
        <v>02/08/2021 20:23:20.335</v>
      </c>
      <c r="C1777" t="str">
        <f t="shared" si="87"/>
        <v>FFDFD7C0</v>
      </c>
      <c r="D1777" t="s">
        <v>124</v>
      </c>
      <c r="E1777">
        <v>11</v>
      </c>
      <c r="F1777">
        <v>1011</v>
      </c>
      <c r="G1777" t="s">
        <v>590</v>
      </c>
      <c r="J1777" t="s">
        <v>125</v>
      </c>
      <c r="K1777">
        <v>0</v>
      </c>
      <c r="L1777">
        <v>3</v>
      </c>
      <c r="M1777">
        <v>0</v>
      </c>
      <c r="N1777">
        <v>2</v>
      </c>
      <c r="O1777">
        <v>1</v>
      </c>
      <c r="P1777">
        <v>0</v>
      </c>
      <c r="Q1777">
        <v>0</v>
      </c>
      <c r="S1777" t="str">
        <f>"20:23:22.375"</f>
        <v>20:23:22.375</v>
      </c>
      <c r="T1777" t="str">
        <f>"20:23:20.875"</f>
        <v>20:23:20.875</v>
      </c>
      <c r="U1777" t="str">
        <f t="shared" si="82"/>
        <v>AB01F4</v>
      </c>
      <c r="V1777">
        <v>0</v>
      </c>
      <c r="W1777">
        <v>0</v>
      </c>
      <c r="X1777">
        <v>2</v>
      </c>
      <c r="Z1777">
        <v>0</v>
      </c>
      <c r="AA1777">
        <v>9</v>
      </c>
      <c r="AB1777">
        <v>3</v>
      </c>
      <c r="AC1777">
        <v>0</v>
      </c>
      <c r="AD1777">
        <v>10</v>
      </c>
      <c r="AE1777">
        <v>0</v>
      </c>
      <c r="AF1777">
        <v>3</v>
      </c>
      <c r="AG1777">
        <v>2</v>
      </c>
      <c r="AH1777">
        <v>0</v>
      </c>
      <c r="AI1777" t="s">
        <v>1137</v>
      </c>
      <c r="AJ1777">
        <v>39.896250000000002</v>
      </c>
      <c r="AK1777" t="s">
        <v>1138</v>
      </c>
      <c r="AL1777">
        <v>-92.561660000000003</v>
      </c>
      <c r="AM1777">
        <v>100</v>
      </c>
      <c r="AN1777">
        <v>1700</v>
      </c>
      <c r="AO1777" t="s">
        <v>118</v>
      </c>
      <c r="AP1777">
        <v>-104</v>
      </c>
      <c r="AQ1777">
        <v>77</v>
      </c>
      <c r="AR1777">
        <v>-64</v>
      </c>
      <c r="AZ1777">
        <v>1200</v>
      </c>
      <c r="BA1777">
        <v>1</v>
      </c>
      <c r="BB1777" t="str">
        <f t="shared" si="88"/>
        <v xml:space="preserve">N8080G  </v>
      </c>
      <c r="BC1777">
        <v>1</v>
      </c>
      <c r="BE1777">
        <v>0</v>
      </c>
      <c r="BF1777">
        <v>0</v>
      </c>
      <c r="BG1777">
        <v>0</v>
      </c>
      <c r="BH1777">
        <v>1700</v>
      </c>
      <c r="BI1777">
        <v>1</v>
      </c>
      <c r="BJ1777">
        <v>1</v>
      </c>
      <c r="BK1777">
        <v>1</v>
      </c>
      <c r="BL1777">
        <v>0</v>
      </c>
      <c r="BO1777">
        <v>0</v>
      </c>
      <c r="BP1777">
        <v>0</v>
      </c>
      <c r="BW1777" t="str">
        <f>"20:23:22.381"</f>
        <v>20:23:22.381</v>
      </c>
      <c r="BZ1777">
        <v>0</v>
      </c>
      <c r="CA1777">
        <v>2016</v>
      </c>
      <c r="CB1777">
        <v>224</v>
      </c>
      <c r="CD1777">
        <v>1</v>
      </c>
      <c r="CE1777">
        <v>0</v>
      </c>
      <c r="CF1777">
        <v>0</v>
      </c>
      <c r="CG1777">
        <v>1</v>
      </c>
      <c r="CH1777">
        <v>0</v>
      </c>
      <c r="CI1777">
        <v>0</v>
      </c>
      <c r="CJ1777">
        <v>0</v>
      </c>
      <c r="CK1777">
        <v>2</v>
      </c>
      <c r="CL1777">
        <v>0</v>
      </c>
      <c r="CM1777">
        <v>2</v>
      </c>
      <c r="CN1777">
        <v>0</v>
      </c>
      <c r="CO1777">
        <v>1</v>
      </c>
      <c r="CP1777" t="s">
        <v>119</v>
      </c>
      <c r="CQ1777">
        <v>179</v>
      </c>
      <c r="CR1777">
        <v>1</v>
      </c>
      <c r="CW1777">
        <v>8763990</v>
      </c>
      <c r="CY1777">
        <v>1</v>
      </c>
      <c r="CZ1777">
        <v>0</v>
      </c>
      <c r="DA1777">
        <v>1</v>
      </c>
      <c r="DB1777">
        <v>0</v>
      </c>
      <c r="DC1777">
        <v>0</v>
      </c>
      <c r="DD1777">
        <v>0</v>
      </c>
      <c r="DE1777">
        <v>0</v>
      </c>
      <c r="DF1777">
        <v>0</v>
      </c>
      <c r="DG1777">
        <v>0</v>
      </c>
      <c r="DH1777">
        <v>0</v>
      </c>
      <c r="DI1777">
        <v>0</v>
      </c>
    </row>
    <row r="1778" spans="1:113" x14ac:dyDescent="0.3">
      <c r="A1778" t="str">
        <f>"02/08/2021 20:23:20.335"</f>
        <v>02/08/2021 20:23:20.335</v>
      </c>
      <c r="C1778" t="str">
        <f t="shared" si="87"/>
        <v>FFDFD7C0</v>
      </c>
      <c r="D1778" t="s">
        <v>124</v>
      </c>
      <c r="E1778">
        <v>12</v>
      </c>
      <c r="F1778">
        <v>1012</v>
      </c>
      <c r="G1778" t="s">
        <v>675</v>
      </c>
      <c r="J1778" t="s">
        <v>125</v>
      </c>
      <c r="K1778">
        <v>0</v>
      </c>
      <c r="L1778">
        <v>3</v>
      </c>
      <c r="M1778">
        <v>0</v>
      </c>
      <c r="N1778">
        <v>2</v>
      </c>
      <c r="O1778">
        <v>1</v>
      </c>
      <c r="P1778">
        <v>0</v>
      </c>
      <c r="Q1778">
        <v>0</v>
      </c>
      <c r="S1778" t="str">
        <f>"20:23:22.375"</f>
        <v>20:23:22.375</v>
      </c>
      <c r="T1778" t="str">
        <f>"20:23:20.875"</f>
        <v>20:23:20.875</v>
      </c>
      <c r="U1778" t="str">
        <f t="shared" si="82"/>
        <v>AB01F4</v>
      </c>
      <c r="V1778">
        <v>0</v>
      </c>
      <c r="W1778">
        <v>0</v>
      </c>
      <c r="X1778">
        <v>2</v>
      </c>
      <c r="Z1778">
        <v>0</v>
      </c>
      <c r="AA1778">
        <v>9</v>
      </c>
      <c r="AB1778">
        <v>3</v>
      </c>
      <c r="AC1778">
        <v>0</v>
      </c>
      <c r="AD1778">
        <v>10</v>
      </c>
      <c r="AE1778">
        <v>0</v>
      </c>
      <c r="AF1778">
        <v>3</v>
      </c>
      <c r="AG1778">
        <v>2</v>
      </c>
      <c r="AH1778">
        <v>0</v>
      </c>
      <c r="AI1778" t="s">
        <v>1137</v>
      </c>
      <c r="AJ1778">
        <v>39.896250000000002</v>
      </c>
      <c r="AK1778" t="s">
        <v>1138</v>
      </c>
      <c r="AL1778">
        <v>-92.561660000000003</v>
      </c>
      <c r="AM1778">
        <v>100</v>
      </c>
      <c r="AN1778">
        <v>1700</v>
      </c>
      <c r="AO1778" t="s">
        <v>118</v>
      </c>
      <c r="AP1778">
        <v>-104</v>
      </c>
      <c r="AQ1778">
        <v>77</v>
      </c>
      <c r="AR1778">
        <v>-64</v>
      </c>
      <c r="AZ1778">
        <v>1200</v>
      </c>
      <c r="BA1778">
        <v>1</v>
      </c>
      <c r="BB1778" t="str">
        <f t="shared" si="88"/>
        <v xml:space="preserve">N8080G  </v>
      </c>
      <c r="BC1778">
        <v>1</v>
      </c>
      <c r="BE1778">
        <v>0</v>
      </c>
      <c r="BF1778">
        <v>0</v>
      </c>
      <c r="BG1778">
        <v>0</v>
      </c>
      <c r="BH1778">
        <v>1700</v>
      </c>
      <c r="BI1778">
        <v>1</v>
      </c>
      <c r="BJ1778">
        <v>1</v>
      </c>
      <c r="BK1778">
        <v>1</v>
      </c>
      <c r="BL1778">
        <v>0</v>
      </c>
      <c r="BO1778">
        <v>0</v>
      </c>
      <c r="BP1778">
        <v>0</v>
      </c>
      <c r="BW1778" t="str">
        <f>"20:23:22.381"</f>
        <v>20:23:22.381</v>
      </c>
      <c r="BZ1778">
        <v>0</v>
      </c>
      <c r="CA1778">
        <v>2016</v>
      </c>
      <c r="CB1778">
        <v>224</v>
      </c>
      <c r="CD1778">
        <v>1</v>
      </c>
      <c r="CE1778">
        <v>0</v>
      </c>
      <c r="CF1778">
        <v>0</v>
      </c>
      <c r="CG1778">
        <v>1</v>
      </c>
      <c r="CH1778">
        <v>0</v>
      </c>
      <c r="CI1778">
        <v>0</v>
      </c>
      <c r="CJ1778">
        <v>0</v>
      </c>
      <c r="CK1778">
        <v>2</v>
      </c>
      <c r="CL1778">
        <v>0</v>
      </c>
      <c r="CM1778">
        <v>2</v>
      </c>
      <c r="CN1778">
        <v>0</v>
      </c>
      <c r="CO1778">
        <v>1</v>
      </c>
      <c r="CP1778" t="s">
        <v>119</v>
      </c>
      <c r="CQ1778">
        <v>179</v>
      </c>
      <c r="CR1778">
        <v>1</v>
      </c>
      <c r="CW1778">
        <v>8763990</v>
      </c>
      <c r="CY1778">
        <v>1</v>
      </c>
      <c r="CZ1778">
        <v>0</v>
      </c>
      <c r="DA1778">
        <v>1</v>
      </c>
      <c r="DB1778">
        <v>0</v>
      </c>
      <c r="DC1778">
        <v>0</v>
      </c>
      <c r="DD1778">
        <v>0</v>
      </c>
      <c r="DE1778">
        <v>0</v>
      </c>
      <c r="DF1778">
        <v>0</v>
      </c>
      <c r="DG1778">
        <v>0</v>
      </c>
      <c r="DH1778">
        <v>0</v>
      </c>
      <c r="DI1778">
        <v>0</v>
      </c>
    </row>
    <row r="1779" spans="1:113" x14ac:dyDescent="0.3">
      <c r="A1779" t="str">
        <f>"02/08/2021 20:23:22.161"</f>
        <v>02/08/2021 20:23:22.161</v>
      </c>
      <c r="C1779" t="str">
        <f t="shared" si="87"/>
        <v>FFDFD7C0</v>
      </c>
      <c r="D1779" t="s">
        <v>113</v>
      </c>
      <c r="E1779">
        <v>6</v>
      </c>
      <c r="H1779">
        <v>165</v>
      </c>
      <c r="I1779" t="s">
        <v>114</v>
      </c>
      <c r="J1779" t="s">
        <v>115</v>
      </c>
      <c r="K1779">
        <v>0</v>
      </c>
      <c r="L1779">
        <v>3</v>
      </c>
      <c r="M1779">
        <v>0</v>
      </c>
      <c r="N1779">
        <v>2</v>
      </c>
      <c r="O1779">
        <v>1</v>
      </c>
      <c r="P1779">
        <v>0</v>
      </c>
      <c r="Q1779">
        <v>0</v>
      </c>
      <c r="S1779" t="str">
        <f>"20:23:24.211"</f>
        <v>20:23:24.211</v>
      </c>
      <c r="T1779" t="str">
        <f>"20:23:20.911"</f>
        <v>20:23:20.911</v>
      </c>
      <c r="U1779" t="str">
        <f t="shared" si="82"/>
        <v>AB01F4</v>
      </c>
      <c r="V1779">
        <v>0</v>
      </c>
      <c r="W1779">
        <v>0</v>
      </c>
      <c r="X1779">
        <v>2</v>
      </c>
      <c r="Z1779">
        <v>0</v>
      </c>
      <c r="AA1779">
        <v>9</v>
      </c>
      <c r="AB1779">
        <v>3</v>
      </c>
      <c r="AC1779">
        <v>0</v>
      </c>
      <c r="AD1779">
        <v>10</v>
      </c>
      <c r="AE1779">
        <v>0</v>
      </c>
      <c r="AF1779">
        <v>3</v>
      </c>
      <c r="AG1779">
        <v>2</v>
      </c>
      <c r="AH1779">
        <v>0</v>
      </c>
      <c r="AI1779" t="s">
        <v>1139</v>
      </c>
      <c r="AJ1779">
        <v>39.896894000000003</v>
      </c>
      <c r="AK1779" t="s">
        <v>1140</v>
      </c>
      <c r="AL1779">
        <v>-92.562797000000003</v>
      </c>
      <c r="AM1779">
        <v>100</v>
      </c>
      <c r="AN1779">
        <v>1700</v>
      </c>
      <c r="AO1779" t="s">
        <v>118</v>
      </c>
      <c r="AP1779">
        <v>-104</v>
      </c>
      <c r="AQ1779">
        <v>77</v>
      </c>
      <c r="AR1779">
        <v>-64</v>
      </c>
      <c r="AZ1779">
        <v>1200</v>
      </c>
      <c r="BA1779">
        <v>1</v>
      </c>
      <c r="BB1779" t="str">
        <f t="shared" si="88"/>
        <v xml:space="preserve">N8080G  </v>
      </c>
      <c r="BC1779">
        <v>1</v>
      </c>
      <c r="BE1779">
        <v>0</v>
      </c>
      <c r="BF1779">
        <v>0</v>
      </c>
      <c r="BG1779">
        <v>0</v>
      </c>
      <c r="BH1779">
        <v>1700</v>
      </c>
      <c r="BI1779">
        <v>1</v>
      </c>
      <c r="BJ1779">
        <v>1</v>
      </c>
      <c r="BK1779">
        <v>1</v>
      </c>
      <c r="BL1779">
        <v>0</v>
      </c>
      <c r="BO1779">
        <v>0</v>
      </c>
      <c r="BP1779">
        <v>0</v>
      </c>
      <c r="BW1779" t="str">
        <f>"20:23:24.213"</f>
        <v>20:23:24.213</v>
      </c>
      <c r="BZ1779">
        <v>0</v>
      </c>
      <c r="CA1779">
        <v>2016</v>
      </c>
      <c r="CB1779">
        <v>224</v>
      </c>
      <c r="CD1779">
        <v>1</v>
      </c>
      <c r="CE1779">
        <v>0</v>
      </c>
      <c r="CF1779">
        <v>0</v>
      </c>
      <c r="CG1779">
        <v>1</v>
      </c>
      <c r="CH1779">
        <v>0</v>
      </c>
      <c r="CI1779">
        <v>0</v>
      </c>
      <c r="CJ1779">
        <v>0</v>
      </c>
      <c r="CK1779">
        <v>2</v>
      </c>
      <c r="CL1779">
        <v>0</v>
      </c>
      <c r="CM1779">
        <v>2</v>
      </c>
      <c r="CN1779">
        <v>0</v>
      </c>
      <c r="CO1779">
        <v>1</v>
      </c>
      <c r="CP1779" t="s">
        <v>119</v>
      </c>
      <c r="CQ1779">
        <v>179</v>
      </c>
      <c r="CR1779">
        <v>1</v>
      </c>
      <c r="CW1779">
        <v>8765627</v>
      </c>
      <c r="CY1779">
        <v>1</v>
      </c>
      <c r="CZ1779">
        <v>0</v>
      </c>
      <c r="DA1779">
        <v>0</v>
      </c>
      <c r="DB1779">
        <v>0</v>
      </c>
      <c r="DC1779">
        <v>0</v>
      </c>
      <c r="DD1779">
        <v>0</v>
      </c>
      <c r="DE1779">
        <v>0</v>
      </c>
      <c r="DF1779">
        <v>0</v>
      </c>
      <c r="DG1779">
        <v>0</v>
      </c>
      <c r="DH1779">
        <v>0</v>
      </c>
      <c r="DI1779">
        <v>0</v>
      </c>
    </row>
    <row r="1780" spans="1:113" x14ac:dyDescent="0.3">
      <c r="A1780" t="str">
        <f>"02/08/2021 20:23:22.161"</f>
        <v>02/08/2021 20:23:22.161</v>
      </c>
      <c r="C1780" t="str">
        <f t="shared" si="87"/>
        <v>FFDFD7C0</v>
      </c>
      <c r="D1780" t="s">
        <v>124</v>
      </c>
      <c r="E1780">
        <v>12</v>
      </c>
      <c r="F1780">
        <v>1012</v>
      </c>
      <c r="G1780" t="s">
        <v>675</v>
      </c>
      <c r="J1780" t="s">
        <v>125</v>
      </c>
      <c r="K1780">
        <v>0</v>
      </c>
      <c r="L1780">
        <v>3</v>
      </c>
      <c r="M1780">
        <v>0</v>
      </c>
      <c r="N1780">
        <v>2</v>
      </c>
      <c r="O1780">
        <v>1</v>
      </c>
      <c r="P1780">
        <v>0</v>
      </c>
      <c r="Q1780">
        <v>0</v>
      </c>
      <c r="S1780" t="str">
        <f>"20:23:24.211"</f>
        <v>20:23:24.211</v>
      </c>
      <c r="T1780" t="str">
        <f>"20:23:20.911"</f>
        <v>20:23:20.911</v>
      </c>
      <c r="U1780" t="str">
        <f t="shared" si="82"/>
        <v>AB01F4</v>
      </c>
      <c r="V1780">
        <v>0</v>
      </c>
      <c r="W1780">
        <v>0</v>
      </c>
      <c r="X1780">
        <v>2</v>
      </c>
      <c r="Z1780">
        <v>0</v>
      </c>
      <c r="AA1780">
        <v>9</v>
      </c>
      <c r="AB1780">
        <v>3</v>
      </c>
      <c r="AC1780">
        <v>0</v>
      </c>
      <c r="AD1780">
        <v>10</v>
      </c>
      <c r="AE1780">
        <v>0</v>
      </c>
      <c r="AF1780">
        <v>3</v>
      </c>
      <c r="AG1780">
        <v>2</v>
      </c>
      <c r="AH1780">
        <v>0</v>
      </c>
      <c r="AI1780" t="s">
        <v>1139</v>
      </c>
      <c r="AJ1780">
        <v>39.896894000000003</v>
      </c>
      <c r="AK1780" t="s">
        <v>1140</v>
      </c>
      <c r="AL1780">
        <v>-92.562797000000003</v>
      </c>
      <c r="AM1780">
        <v>100</v>
      </c>
      <c r="AN1780">
        <v>1700</v>
      </c>
      <c r="AO1780" t="s">
        <v>118</v>
      </c>
      <c r="AP1780">
        <v>-104</v>
      </c>
      <c r="AQ1780">
        <v>77</v>
      </c>
      <c r="AR1780">
        <v>-64</v>
      </c>
      <c r="AZ1780">
        <v>1200</v>
      </c>
      <c r="BA1780">
        <v>1</v>
      </c>
      <c r="BB1780" t="str">
        <f t="shared" si="88"/>
        <v xml:space="preserve">N8080G  </v>
      </c>
      <c r="BC1780">
        <v>1</v>
      </c>
      <c r="BE1780">
        <v>0</v>
      </c>
      <c r="BF1780">
        <v>0</v>
      </c>
      <c r="BG1780">
        <v>0</v>
      </c>
      <c r="BH1780">
        <v>1700</v>
      </c>
      <c r="BI1780">
        <v>1</v>
      </c>
      <c r="BJ1780">
        <v>1</v>
      </c>
      <c r="BK1780">
        <v>1</v>
      </c>
      <c r="BL1780">
        <v>0</v>
      </c>
      <c r="BO1780">
        <v>0</v>
      </c>
      <c r="BP1780">
        <v>0</v>
      </c>
      <c r="BW1780" t="str">
        <f>"20:23:24.213"</f>
        <v>20:23:24.213</v>
      </c>
      <c r="BZ1780">
        <v>0</v>
      </c>
      <c r="CA1780">
        <v>2016</v>
      </c>
      <c r="CB1780">
        <v>224</v>
      </c>
      <c r="CD1780">
        <v>1</v>
      </c>
      <c r="CE1780">
        <v>0</v>
      </c>
      <c r="CF1780">
        <v>0</v>
      </c>
      <c r="CG1780">
        <v>1</v>
      </c>
      <c r="CH1780">
        <v>0</v>
      </c>
      <c r="CI1780">
        <v>0</v>
      </c>
      <c r="CJ1780">
        <v>0</v>
      </c>
      <c r="CK1780">
        <v>2</v>
      </c>
      <c r="CL1780">
        <v>0</v>
      </c>
      <c r="CM1780">
        <v>2</v>
      </c>
      <c r="CN1780">
        <v>0</v>
      </c>
      <c r="CO1780">
        <v>1</v>
      </c>
      <c r="CP1780" t="s">
        <v>119</v>
      </c>
      <c r="CQ1780">
        <v>179</v>
      </c>
      <c r="CR1780">
        <v>1</v>
      </c>
      <c r="CW1780">
        <v>8765627</v>
      </c>
      <c r="CY1780">
        <v>1</v>
      </c>
      <c r="CZ1780">
        <v>0</v>
      </c>
      <c r="DA1780">
        <v>1</v>
      </c>
      <c r="DB1780">
        <v>0</v>
      </c>
      <c r="DC1780">
        <v>0</v>
      </c>
      <c r="DD1780">
        <v>0</v>
      </c>
      <c r="DE1780">
        <v>0</v>
      </c>
      <c r="DF1780">
        <v>0</v>
      </c>
      <c r="DG1780">
        <v>0</v>
      </c>
      <c r="DH1780">
        <v>0</v>
      </c>
      <c r="DI1780">
        <v>0</v>
      </c>
    </row>
    <row r="1781" spans="1:113" x14ac:dyDescent="0.3">
      <c r="A1781" t="str">
        <f>"02/08/2021 20:23:22.161"</f>
        <v>02/08/2021 20:23:22.161</v>
      </c>
      <c r="C1781" t="str">
        <f t="shared" si="87"/>
        <v>FFDFD7C0</v>
      </c>
      <c r="D1781" t="s">
        <v>124</v>
      </c>
      <c r="E1781">
        <v>11</v>
      </c>
      <c r="F1781">
        <v>1011</v>
      </c>
      <c r="G1781" t="s">
        <v>590</v>
      </c>
      <c r="J1781" t="s">
        <v>125</v>
      </c>
      <c r="K1781">
        <v>0</v>
      </c>
      <c r="L1781">
        <v>3</v>
      </c>
      <c r="M1781">
        <v>0</v>
      </c>
      <c r="N1781">
        <v>2</v>
      </c>
      <c r="O1781">
        <v>1</v>
      </c>
      <c r="P1781">
        <v>0</v>
      </c>
      <c r="Q1781">
        <v>0</v>
      </c>
      <c r="S1781" t="str">
        <f>"20:23:24.211"</f>
        <v>20:23:24.211</v>
      </c>
      <c r="T1781" t="str">
        <f>"20:23:20.911"</f>
        <v>20:23:20.911</v>
      </c>
      <c r="U1781" t="str">
        <f t="shared" si="82"/>
        <v>AB01F4</v>
      </c>
      <c r="V1781">
        <v>0</v>
      </c>
      <c r="W1781">
        <v>0</v>
      </c>
      <c r="X1781">
        <v>2</v>
      </c>
      <c r="Z1781">
        <v>0</v>
      </c>
      <c r="AA1781">
        <v>9</v>
      </c>
      <c r="AB1781">
        <v>3</v>
      </c>
      <c r="AC1781">
        <v>0</v>
      </c>
      <c r="AD1781">
        <v>10</v>
      </c>
      <c r="AE1781">
        <v>0</v>
      </c>
      <c r="AF1781">
        <v>3</v>
      </c>
      <c r="AG1781">
        <v>2</v>
      </c>
      <c r="AH1781">
        <v>0</v>
      </c>
      <c r="AI1781" t="s">
        <v>1139</v>
      </c>
      <c r="AJ1781">
        <v>39.896894000000003</v>
      </c>
      <c r="AK1781" t="s">
        <v>1140</v>
      </c>
      <c r="AL1781">
        <v>-92.562797000000003</v>
      </c>
      <c r="AM1781">
        <v>100</v>
      </c>
      <c r="AN1781">
        <v>1700</v>
      </c>
      <c r="AO1781" t="s">
        <v>118</v>
      </c>
      <c r="AP1781">
        <v>-104</v>
      </c>
      <c r="AQ1781">
        <v>77</v>
      </c>
      <c r="AR1781">
        <v>-64</v>
      </c>
      <c r="AZ1781">
        <v>1200</v>
      </c>
      <c r="BA1781">
        <v>1</v>
      </c>
      <c r="BB1781" t="str">
        <f t="shared" si="88"/>
        <v xml:space="preserve">N8080G  </v>
      </c>
      <c r="BC1781">
        <v>1</v>
      </c>
      <c r="BE1781">
        <v>0</v>
      </c>
      <c r="BF1781">
        <v>0</v>
      </c>
      <c r="BG1781">
        <v>0</v>
      </c>
      <c r="BH1781">
        <v>1700</v>
      </c>
      <c r="BI1781">
        <v>1</v>
      </c>
      <c r="BJ1781">
        <v>1</v>
      </c>
      <c r="BK1781">
        <v>1</v>
      </c>
      <c r="BL1781">
        <v>0</v>
      </c>
      <c r="BO1781">
        <v>0</v>
      </c>
      <c r="BP1781">
        <v>0</v>
      </c>
      <c r="BW1781" t="str">
        <f>"20:23:24.213"</f>
        <v>20:23:24.213</v>
      </c>
      <c r="BZ1781">
        <v>0</v>
      </c>
      <c r="CA1781">
        <v>2016</v>
      </c>
      <c r="CB1781">
        <v>224</v>
      </c>
      <c r="CD1781">
        <v>1</v>
      </c>
      <c r="CE1781">
        <v>0</v>
      </c>
      <c r="CF1781">
        <v>0</v>
      </c>
      <c r="CG1781">
        <v>1</v>
      </c>
      <c r="CH1781">
        <v>0</v>
      </c>
      <c r="CI1781">
        <v>0</v>
      </c>
      <c r="CJ1781">
        <v>0</v>
      </c>
      <c r="CK1781">
        <v>2</v>
      </c>
      <c r="CL1781">
        <v>0</v>
      </c>
      <c r="CM1781">
        <v>2</v>
      </c>
      <c r="CN1781">
        <v>0</v>
      </c>
      <c r="CO1781">
        <v>1</v>
      </c>
      <c r="CP1781" t="s">
        <v>119</v>
      </c>
      <c r="CQ1781">
        <v>179</v>
      </c>
      <c r="CR1781">
        <v>1</v>
      </c>
      <c r="CW1781">
        <v>8765627</v>
      </c>
      <c r="CY1781">
        <v>1</v>
      </c>
      <c r="CZ1781">
        <v>0</v>
      </c>
      <c r="DA1781">
        <v>1</v>
      </c>
      <c r="DB1781">
        <v>0</v>
      </c>
      <c r="DC1781">
        <v>0</v>
      </c>
      <c r="DD1781">
        <v>0</v>
      </c>
      <c r="DE1781">
        <v>0</v>
      </c>
      <c r="DF1781">
        <v>0</v>
      </c>
      <c r="DG1781">
        <v>0</v>
      </c>
      <c r="DH1781">
        <v>0</v>
      </c>
      <c r="DI1781">
        <v>0</v>
      </c>
    </row>
    <row r="1782" spans="1:113" x14ac:dyDescent="0.3">
      <c r="A1782" t="str">
        <f>"02/08/2021 20:23:22.161"</f>
        <v>02/08/2021 20:23:22.161</v>
      </c>
      <c r="C1782" t="str">
        <f t="shared" si="87"/>
        <v>FFDFD7C0</v>
      </c>
      <c r="D1782" t="s">
        <v>124</v>
      </c>
      <c r="E1782">
        <v>13</v>
      </c>
      <c r="F1782">
        <v>1013</v>
      </c>
      <c r="G1782" t="s">
        <v>114</v>
      </c>
      <c r="J1782" t="s">
        <v>125</v>
      </c>
      <c r="K1782">
        <v>0</v>
      </c>
      <c r="L1782">
        <v>3</v>
      </c>
      <c r="M1782">
        <v>0</v>
      </c>
      <c r="N1782">
        <v>2</v>
      </c>
      <c r="O1782">
        <v>1</v>
      </c>
      <c r="P1782">
        <v>0</v>
      </c>
      <c r="Q1782">
        <v>0</v>
      </c>
      <c r="S1782" t="str">
        <f>"20:23:24.211"</f>
        <v>20:23:24.211</v>
      </c>
      <c r="T1782" t="str">
        <f>"20:23:20.911"</f>
        <v>20:23:20.911</v>
      </c>
      <c r="U1782" t="str">
        <f t="shared" si="82"/>
        <v>AB01F4</v>
      </c>
      <c r="V1782">
        <v>0</v>
      </c>
      <c r="W1782">
        <v>0</v>
      </c>
      <c r="X1782">
        <v>2</v>
      </c>
      <c r="Z1782">
        <v>0</v>
      </c>
      <c r="AA1782">
        <v>9</v>
      </c>
      <c r="AB1782">
        <v>3</v>
      </c>
      <c r="AC1782">
        <v>0</v>
      </c>
      <c r="AD1782">
        <v>10</v>
      </c>
      <c r="AE1782">
        <v>0</v>
      </c>
      <c r="AF1782">
        <v>3</v>
      </c>
      <c r="AG1782">
        <v>2</v>
      </c>
      <c r="AH1782">
        <v>0</v>
      </c>
      <c r="AI1782" t="s">
        <v>1139</v>
      </c>
      <c r="AJ1782">
        <v>39.896894000000003</v>
      </c>
      <c r="AK1782" t="s">
        <v>1140</v>
      </c>
      <c r="AL1782">
        <v>-92.562797000000003</v>
      </c>
      <c r="AM1782">
        <v>100</v>
      </c>
      <c r="AN1782">
        <v>1700</v>
      </c>
      <c r="AO1782" t="s">
        <v>118</v>
      </c>
      <c r="AP1782">
        <v>-104</v>
      </c>
      <c r="AQ1782">
        <v>77</v>
      </c>
      <c r="AR1782">
        <v>-64</v>
      </c>
      <c r="AZ1782">
        <v>1200</v>
      </c>
      <c r="BA1782">
        <v>1</v>
      </c>
      <c r="BB1782" t="str">
        <f t="shared" si="88"/>
        <v xml:space="preserve">N8080G  </v>
      </c>
      <c r="BC1782">
        <v>1</v>
      </c>
      <c r="BE1782">
        <v>0</v>
      </c>
      <c r="BF1782">
        <v>0</v>
      </c>
      <c r="BG1782">
        <v>0</v>
      </c>
      <c r="BH1782">
        <v>1700</v>
      </c>
      <c r="BI1782">
        <v>1</v>
      </c>
      <c r="BJ1782">
        <v>1</v>
      </c>
      <c r="BK1782">
        <v>1</v>
      </c>
      <c r="BL1782">
        <v>0</v>
      </c>
      <c r="BO1782">
        <v>0</v>
      </c>
      <c r="BP1782">
        <v>0</v>
      </c>
      <c r="BW1782" t="str">
        <f>"20:23:24.213"</f>
        <v>20:23:24.213</v>
      </c>
      <c r="BZ1782">
        <v>0</v>
      </c>
      <c r="CA1782">
        <v>2016</v>
      </c>
      <c r="CB1782">
        <v>224</v>
      </c>
      <c r="CD1782">
        <v>1</v>
      </c>
      <c r="CE1782">
        <v>0</v>
      </c>
      <c r="CF1782">
        <v>0</v>
      </c>
      <c r="CG1782">
        <v>1</v>
      </c>
      <c r="CH1782">
        <v>0</v>
      </c>
      <c r="CI1782">
        <v>0</v>
      </c>
      <c r="CJ1782">
        <v>0</v>
      </c>
      <c r="CK1782">
        <v>2</v>
      </c>
      <c r="CL1782">
        <v>0</v>
      </c>
      <c r="CM1782">
        <v>2</v>
      </c>
      <c r="CN1782">
        <v>0</v>
      </c>
      <c r="CO1782">
        <v>1</v>
      </c>
      <c r="CP1782" t="s">
        <v>119</v>
      </c>
      <c r="CQ1782">
        <v>179</v>
      </c>
      <c r="CR1782">
        <v>1</v>
      </c>
      <c r="CW1782">
        <v>8765627</v>
      </c>
      <c r="CY1782">
        <v>1</v>
      </c>
      <c r="CZ1782">
        <v>0</v>
      </c>
      <c r="DA1782">
        <v>1</v>
      </c>
      <c r="DB1782">
        <v>0</v>
      </c>
      <c r="DC1782">
        <v>0</v>
      </c>
      <c r="DD1782">
        <v>0</v>
      </c>
      <c r="DE1782">
        <v>0</v>
      </c>
      <c r="DF1782">
        <v>0</v>
      </c>
      <c r="DG1782">
        <v>0</v>
      </c>
      <c r="DH1782">
        <v>0</v>
      </c>
      <c r="DI1782">
        <v>0</v>
      </c>
    </row>
    <row r="1783" spans="1:113" x14ac:dyDescent="0.3">
      <c r="A1783" t="str">
        <f>"02/08/2021 20:23:25.247"</f>
        <v>02/08/2021 20:23:25.247</v>
      </c>
      <c r="C1783" t="str">
        <f t="shared" si="87"/>
        <v>FFDFD7C0</v>
      </c>
      <c r="D1783" t="s">
        <v>124</v>
      </c>
      <c r="E1783">
        <v>11</v>
      </c>
      <c r="F1783">
        <v>1011</v>
      </c>
      <c r="G1783" t="s">
        <v>590</v>
      </c>
      <c r="J1783" t="s">
        <v>125</v>
      </c>
      <c r="K1783">
        <v>0</v>
      </c>
      <c r="L1783">
        <v>3</v>
      </c>
      <c r="M1783">
        <v>0</v>
      </c>
      <c r="N1783">
        <v>2</v>
      </c>
      <c r="O1783">
        <v>1</v>
      </c>
      <c r="P1783">
        <v>0</v>
      </c>
      <c r="Q1783">
        <v>0</v>
      </c>
      <c r="S1783" t="str">
        <f>"20:23:27.547"</f>
        <v>20:23:27.547</v>
      </c>
      <c r="T1783" t="str">
        <f>"20:23:27.047"</f>
        <v>20:23:27.047</v>
      </c>
      <c r="U1783" t="str">
        <f t="shared" si="82"/>
        <v>AB01F4</v>
      </c>
      <c r="V1783">
        <v>0</v>
      </c>
      <c r="W1783">
        <v>0</v>
      </c>
      <c r="X1783">
        <v>2</v>
      </c>
      <c r="Z1783">
        <v>0</v>
      </c>
      <c r="AA1783">
        <v>9</v>
      </c>
      <c r="AB1783">
        <v>3</v>
      </c>
      <c r="AC1783">
        <v>0</v>
      </c>
      <c r="AD1783">
        <v>10</v>
      </c>
      <c r="AE1783">
        <v>0</v>
      </c>
      <c r="AF1783">
        <v>3</v>
      </c>
      <c r="AG1783">
        <v>2</v>
      </c>
      <c r="AH1783">
        <v>0</v>
      </c>
      <c r="AI1783" t="s">
        <v>1141</v>
      </c>
      <c r="AJ1783">
        <v>39.898094999999998</v>
      </c>
      <c r="AK1783" t="s">
        <v>1142</v>
      </c>
      <c r="AL1783">
        <v>-92.564943</v>
      </c>
      <c r="AM1783">
        <v>100</v>
      </c>
      <c r="AN1783">
        <v>1700</v>
      </c>
      <c r="AO1783" t="s">
        <v>118</v>
      </c>
      <c r="AP1783">
        <v>-105</v>
      </c>
      <c r="AQ1783">
        <v>76</v>
      </c>
      <c r="AR1783">
        <v>-128</v>
      </c>
      <c r="AZ1783">
        <v>1200</v>
      </c>
      <c r="BA1783">
        <v>1</v>
      </c>
      <c r="BB1783" t="str">
        <f t="shared" si="88"/>
        <v xml:space="preserve">N8080G  </v>
      </c>
      <c r="BC1783">
        <v>1</v>
      </c>
      <c r="BE1783">
        <v>0</v>
      </c>
      <c r="BF1783">
        <v>0</v>
      </c>
      <c r="BG1783">
        <v>0</v>
      </c>
      <c r="BH1783">
        <v>1700</v>
      </c>
      <c r="BI1783">
        <v>1</v>
      </c>
      <c r="BJ1783">
        <v>1</v>
      </c>
      <c r="BK1783">
        <v>1</v>
      </c>
      <c r="BL1783">
        <v>0</v>
      </c>
      <c r="BO1783">
        <v>0</v>
      </c>
      <c r="BP1783">
        <v>0</v>
      </c>
      <c r="BW1783" t="str">
        <f>"20:23:27.555"</f>
        <v>20:23:27.555</v>
      </c>
      <c r="BZ1783">
        <v>0</v>
      </c>
      <c r="CA1783">
        <v>2016</v>
      </c>
      <c r="CB1783">
        <v>224</v>
      </c>
      <c r="CD1783">
        <v>1</v>
      </c>
      <c r="CE1783">
        <v>0</v>
      </c>
      <c r="CF1783">
        <v>0</v>
      </c>
      <c r="CG1783">
        <v>1</v>
      </c>
      <c r="CH1783">
        <v>0</v>
      </c>
      <c r="CI1783">
        <v>0</v>
      </c>
      <c r="CJ1783">
        <v>0</v>
      </c>
      <c r="CK1783">
        <v>2</v>
      </c>
      <c r="CL1783">
        <v>0</v>
      </c>
      <c r="CM1783">
        <v>2</v>
      </c>
      <c r="CN1783">
        <v>0</v>
      </c>
      <c r="CO1783">
        <v>7</v>
      </c>
      <c r="CP1783" t="s">
        <v>119</v>
      </c>
      <c r="CQ1783">
        <v>180</v>
      </c>
      <c r="CR1783">
        <v>1</v>
      </c>
      <c r="CW1783">
        <v>10899612</v>
      </c>
      <c r="CY1783">
        <v>1</v>
      </c>
      <c r="CZ1783">
        <v>0</v>
      </c>
      <c r="DA1783">
        <v>0</v>
      </c>
      <c r="DB1783">
        <v>0</v>
      </c>
      <c r="DC1783">
        <v>0</v>
      </c>
      <c r="DD1783">
        <v>0</v>
      </c>
      <c r="DE1783">
        <v>0</v>
      </c>
      <c r="DF1783">
        <v>0</v>
      </c>
      <c r="DG1783">
        <v>0</v>
      </c>
      <c r="DH1783">
        <v>0</v>
      </c>
      <c r="DI1783">
        <v>0</v>
      </c>
    </row>
    <row r="1784" spans="1:113" x14ac:dyDescent="0.3">
      <c r="A1784" t="str">
        <f>"02/08/2021 20:23:25.247"</f>
        <v>02/08/2021 20:23:25.247</v>
      </c>
      <c r="C1784" t="str">
        <f t="shared" si="87"/>
        <v>FFDFD7C0</v>
      </c>
      <c r="D1784" t="s">
        <v>124</v>
      </c>
      <c r="E1784">
        <v>13</v>
      </c>
      <c r="F1784">
        <v>1013</v>
      </c>
      <c r="G1784" t="s">
        <v>114</v>
      </c>
      <c r="J1784" t="s">
        <v>125</v>
      </c>
      <c r="K1784">
        <v>0</v>
      </c>
      <c r="L1784">
        <v>3</v>
      </c>
      <c r="M1784">
        <v>0</v>
      </c>
      <c r="N1784">
        <v>2</v>
      </c>
      <c r="O1784">
        <v>1</v>
      </c>
      <c r="P1784">
        <v>0</v>
      </c>
      <c r="Q1784">
        <v>0</v>
      </c>
      <c r="S1784" t="str">
        <f>"20:23:27.547"</f>
        <v>20:23:27.547</v>
      </c>
      <c r="T1784" t="str">
        <f>"20:23:27.047"</f>
        <v>20:23:27.047</v>
      </c>
      <c r="U1784" t="str">
        <f t="shared" si="82"/>
        <v>AB01F4</v>
      </c>
      <c r="V1784">
        <v>0</v>
      </c>
      <c r="W1784">
        <v>0</v>
      </c>
      <c r="X1784">
        <v>2</v>
      </c>
      <c r="Z1784">
        <v>0</v>
      </c>
      <c r="AA1784">
        <v>9</v>
      </c>
      <c r="AB1784">
        <v>3</v>
      </c>
      <c r="AC1784">
        <v>0</v>
      </c>
      <c r="AD1784">
        <v>10</v>
      </c>
      <c r="AE1784">
        <v>0</v>
      </c>
      <c r="AF1784">
        <v>3</v>
      </c>
      <c r="AG1784">
        <v>2</v>
      </c>
      <c r="AH1784">
        <v>0</v>
      </c>
      <c r="AI1784" t="s">
        <v>1141</v>
      </c>
      <c r="AJ1784">
        <v>39.898094999999998</v>
      </c>
      <c r="AK1784" t="s">
        <v>1142</v>
      </c>
      <c r="AL1784">
        <v>-92.564943</v>
      </c>
      <c r="AM1784">
        <v>100</v>
      </c>
      <c r="AN1784">
        <v>1700</v>
      </c>
      <c r="AO1784" t="s">
        <v>118</v>
      </c>
      <c r="AP1784">
        <v>-105</v>
      </c>
      <c r="AQ1784">
        <v>76</v>
      </c>
      <c r="AR1784">
        <v>-128</v>
      </c>
      <c r="AZ1784">
        <v>1200</v>
      </c>
      <c r="BA1784">
        <v>1</v>
      </c>
      <c r="BB1784" t="str">
        <f t="shared" si="88"/>
        <v xml:space="preserve">N8080G  </v>
      </c>
      <c r="BC1784">
        <v>1</v>
      </c>
      <c r="BE1784">
        <v>0</v>
      </c>
      <c r="BF1784">
        <v>0</v>
      </c>
      <c r="BG1784">
        <v>0</v>
      </c>
      <c r="BH1784">
        <v>1700</v>
      </c>
      <c r="BI1784">
        <v>1</v>
      </c>
      <c r="BJ1784">
        <v>1</v>
      </c>
      <c r="BK1784">
        <v>1</v>
      </c>
      <c r="BL1784">
        <v>0</v>
      </c>
      <c r="BO1784">
        <v>0</v>
      </c>
      <c r="BP1784">
        <v>0</v>
      </c>
      <c r="BW1784" t="str">
        <f>"20:23:27.555"</f>
        <v>20:23:27.555</v>
      </c>
      <c r="BZ1784">
        <v>0</v>
      </c>
      <c r="CA1784">
        <v>2016</v>
      </c>
      <c r="CB1784">
        <v>224</v>
      </c>
      <c r="CD1784">
        <v>1</v>
      </c>
      <c r="CE1784">
        <v>0</v>
      </c>
      <c r="CF1784">
        <v>0</v>
      </c>
      <c r="CG1784">
        <v>1</v>
      </c>
      <c r="CH1784">
        <v>0</v>
      </c>
      <c r="CI1784">
        <v>0</v>
      </c>
      <c r="CJ1784">
        <v>0</v>
      </c>
      <c r="CK1784">
        <v>2</v>
      </c>
      <c r="CL1784">
        <v>0</v>
      </c>
      <c r="CM1784">
        <v>2</v>
      </c>
      <c r="CN1784">
        <v>0</v>
      </c>
      <c r="CO1784">
        <v>7</v>
      </c>
      <c r="CP1784" t="s">
        <v>119</v>
      </c>
      <c r="CQ1784">
        <v>180</v>
      </c>
      <c r="CR1784">
        <v>1</v>
      </c>
      <c r="CW1784">
        <v>10899612</v>
      </c>
      <c r="CY1784">
        <v>1</v>
      </c>
      <c r="CZ1784">
        <v>0</v>
      </c>
      <c r="DA1784">
        <v>1</v>
      </c>
      <c r="DB1784">
        <v>0</v>
      </c>
      <c r="DC1784">
        <v>0</v>
      </c>
      <c r="DD1784">
        <v>0</v>
      </c>
      <c r="DE1784">
        <v>0</v>
      </c>
      <c r="DF1784">
        <v>0</v>
      </c>
      <c r="DG1784">
        <v>0</v>
      </c>
      <c r="DH1784">
        <v>0</v>
      </c>
      <c r="DI1784">
        <v>0</v>
      </c>
    </row>
    <row r="1785" spans="1:113" x14ac:dyDescent="0.3">
      <c r="A1785" t="str">
        <f>"02/08/2021 20:23:25.247"</f>
        <v>02/08/2021 20:23:25.247</v>
      </c>
      <c r="C1785" t="str">
        <f t="shared" si="87"/>
        <v>FFDFD7C0</v>
      </c>
      <c r="D1785" t="s">
        <v>124</v>
      </c>
      <c r="E1785">
        <v>12</v>
      </c>
      <c r="F1785">
        <v>1012</v>
      </c>
      <c r="G1785" t="s">
        <v>675</v>
      </c>
      <c r="J1785" t="s">
        <v>125</v>
      </c>
      <c r="K1785">
        <v>0</v>
      </c>
      <c r="L1785">
        <v>3</v>
      </c>
      <c r="M1785">
        <v>0</v>
      </c>
      <c r="N1785">
        <v>2</v>
      </c>
      <c r="O1785">
        <v>1</v>
      </c>
      <c r="P1785">
        <v>0</v>
      </c>
      <c r="Q1785">
        <v>0</v>
      </c>
      <c r="S1785" t="str">
        <f>"20:23:27.547"</f>
        <v>20:23:27.547</v>
      </c>
      <c r="T1785" t="str">
        <f>"20:23:27.047"</f>
        <v>20:23:27.047</v>
      </c>
      <c r="U1785" t="str">
        <f t="shared" si="82"/>
        <v>AB01F4</v>
      </c>
      <c r="V1785">
        <v>0</v>
      </c>
      <c r="W1785">
        <v>0</v>
      </c>
      <c r="X1785">
        <v>2</v>
      </c>
      <c r="Z1785">
        <v>0</v>
      </c>
      <c r="AA1785">
        <v>9</v>
      </c>
      <c r="AB1785">
        <v>3</v>
      </c>
      <c r="AC1785">
        <v>0</v>
      </c>
      <c r="AD1785">
        <v>10</v>
      </c>
      <c r="AE1785">
        <v>0</v>
      </c>
      <c r="AF1785">
        <v>3</v>
      </c>
      <c r="AG1785">
        <v>2</v>
      </c>
      <c r="AH1785">
        <v>0</v>
      </c>
      <c r="AI1785" t="s">
        <v>1141</v>
      </c>
      <c r="AJ1785">
        <v>39.898094999999998</v>
      </c>
      <c r="AK1785" t="s">
        <v>1142</v>
      </c>
      <c r="AL1785">
        <v>-92.564943</v>
      </c>
      <c r="AM1785">
        <v>100</v>
      </c>
      <c r="AN1785">
        <v>1700</v>
      </c>
      <c r="AO1785" t="s">
        <v>118</v>
      </c>
      <c r="AP1785">
        <v>-105</v>
      </c>
      <c r="AQ1785">
        <v>76</v>
      </c>
      <c r="AR1785">
        <v>-128</v>
      </c>
      <c r="AZ1785">
        <v>1200</v>
      </c>
      <c r="BA1785">
        <v>1</v>
      </c>
      <c r="BB1785" t="str">
        <f t="shared" si="88"/>
        <v xml:space="preserve">N8080G  </v>
      </c>
      <c r="BC1785">
        <v>1</v>
      </c>
      <c r="BE1785">
        <v>0</v>
      </c>
      <c r="BF1785">
        <v>0</v>
      </c>
      <c r="BG1785">
        <v>0</v>
      </c>
      <c r="BH1785">
        <v>1700</v>
      </c>
      <c r="BI1785">
        <v>1</v>
      </c>
      <c r="BJ1785">
        <v>1</v>
      </c>
      <c r="BK1785">
        <v>1</v>
      </c>
      <c r="BL1785">
        <v>0</v>
      </c>
      <c r="BO1785">
        <v>0</v>
      </c>
      <c r="BP1785">
        <v>0</v>
      </c>
      <c r="BW1785" t="str">
        <f>"20:23:27.555"</f>
        <v>20:23:27.555</v>
      </c>
      <c r="BZ1785">
        <v>0</v>
      </c>
      <c r="CA1785">
        <v>2016</v>
      </c>
      <c r="CB1785">
        <v>224</v>
      </c>
      <c r="CD1785">
        <v>1</v>
      </c>
      <c r="CE1785">
        <v>0</v>
      </c>
      <c r="CF1785">
        <v>0</v>
      </c>
      <c r="CG1785">
        <v>1</v>
      </c>
      <c r="CH1785">
        <v>0</v>
      </c>
      <c r="CI1785">
        <v>0</v>
      </c>
      <c r="CJ1785">
        <v>0</v>
      </c>
      <c r="CK1785">
        <v>2</v>
      </c>
      <c r="CL1785">
        <v>0</v>
      </c>
      <c r="CM1785">
        <v>2</v>
      </c>
      <c r="CN1785">
        <v>0</v>
      </c>
      <c r="CO1785">
        <v>7</v>
      </c>
      <c r="CP1785" t="s">
        <v>119</v>
      </c>
      <c r="CQ1785">
        <v>180</v>
      </c>
      <c r="CR1785">
        <v>1</v>
      </c>
      <c r="CW1785">
        <v>10899612</v>
      </c>
      <c r="CY1785">
        <v>1</v>
      </c>
      <c r="CZ1785">
        <v>0</v>
      </c>
      <c r="DA1785">
        <v>1</v>
      </c>
      <c r="DB1785">
        <v>0</v>
      </c>
      <c r="DC1785">
        <v>0</v>
      </c>
      <c r="DD1785">
        <v>0</v>
      </c>
      <c r="DE1785">
        <v>0</v>
      </c>
      <c r="DF1785">
        <v>0</v>
      </c>
      <c r="DG1785">
        <v>0</v>
      </c>
      <c r="DH1785">
        <v>0</v>
      </c>
      <c r="DI1785">
        <v>0</v>
      </c>
    </row>
    <row r="1786" spans="1:113" x14ac:dyDescent="0.3">
      <c r="A1786" t="str">
        <f>"02/08/2021 20:23:25.247"</f>
        <v>02/08/2021 20:23:25.247</v>
      </c>
      <c r="C1786" t="str">
        <f t="shared" si="87"/>
        <v>FFDFD7C0</v>
      </c>
      <c r="D1786" t="s">
        <v>113</v>
      </c>
      <c r="E1786">
        <v>6</v>
      </c>
      <c r="H1786">
        <v>165</v>
      </c>
      <c r="I1786" t="s">
        <v>114</v>
      </c>
      <c r="J1786" t="s">
        <v>115</v>
      </c>
      <c r="K1786">
        <v>0</v>
      </c>
      <c r="L1786">
        <v>3</v>
      </c>
      <c r="M1786">
        <v>0</v>
      </c>
      <c r="N1786">
        <v>2</v>
      </c>
      <c r="O1786">
        <v>1</v>
      </c>
      <c r="P1786">
        <v>0</v>
      </c>
      <c r="Q1786">
        <v>0</v>
      </c>
      <c r="S1786" t="str">
        <f>"20:23:27.547"</f>
        <v>20:23:27.547</v>
      </c>
      <c r="T1786" t="str">
        <f>"20:23:27.047"</f>
        <v>20:23:27.047</v>
      </c>
      <c r="U1786" t="str">
        <f t="shared" si="82"/>
        <v>AB01F4</v>
      </c>
      <c r="V1786">
        <v>0</v>
      </c>
      <c r="W1786">
        <v>0</v>
      </c>
      <c r="X1786">
        <v>2</v>
      </c>
      <c r="Z1786">
        <v>0</v>
      </c>
      <c r="AA1786">
        <v>9</v>
      </c>
      <c r="AB1786">
        <v>3</v>
      </c>
      <c r="AC1786">
        <v>0</v>
      </c>
      <c r="AD1786">
        <v>10</v>
      </c>
      <c r="AE1786">
        <v>0</v>
      </c>
      <c r="AF1786">
        <v>3</v>
      </c>
      <c r="AG1786">
        <v>2</v>
      </c>
      <c r="AH1786">
        <v>0</v>
      </c>
      <c r="AI1786" t="s">
        <v>1141</v>
      </c>
      <c r="AJ1786">
        <v>39.898094999999998</v>
      </c>
      <c r="AK1786" t="s">
        <v>1142</v>
      </c>
      <c r="AL1786">
        <v>-92.564943</v>
      </c>
      <c r="AM1786">
        <v>100</v>
      </c>
      <c r="AN1786">
        <v>1700</v>
      </c>
      <c r="AO1786" t="s">
        <v>118</v>
      </c>
      <c r="AP1786">
        <v>-105</v>
      </c>
      <c r="AQ1786">
        <v>76</v>
      </c>
      <c r="AR1786">
        <v>-128</v>
      </c>
      <c r="AZ1786">
        <v>1200</v>
      </c>
      <c r="BA1786">
        <v>1</v>
      </c>
      <c r="BB1786" t="str">
        <f t="shared" si="88"/>
        <v xml:space="preserve">N8080G  </v>
      </c>
      <c r="BC1786">
        <v>1</v>
      </c>
      <c r="BE1786">
        <v>0</v>
      </c>
      <c r="BF1786">
        <v>0</v>
      </c>
      <c r="BG1786">
        <v>0</v>
      </c>
      <c r="BH1786">
        <v>1700</v>
      </c>
      <c r="BI1786">
        <v>1</v>
      </c>
      <c r="BJ1786">
        <v>1</v>
      </c>
      <c r="BK1786">
        <v>1</v>
      </c>
      <c r="BL1786">
        <v>0</v>
      </c>
      <c r="BO1786">
        <v>0</v>
      </c>
      <c r="BP1786">
        <v>0</v>
      </c>
      <c r="BW1786" t="str">
        <f>"20:23:27.555"</f>
        <v>20:23:27.555</v>
      </c>
      <c r="BZ1786">
        <v>0</v>
      </c>
      <c r="CA1786">
        <v>2016</v>
      </c>
      <c r="CB1786">
        <v>224</v>
      </c>
      <c r="CD1786">
        <v>1</v>
      </c>
      <c r="CE1786">
        <v>0</v>
      </c>
      <c r="CF1786">
        <v>0</v>
      </c>
      <c r="CG1786">
        <v>1</v>
      </c>
      <c r="CH1786">
        <v>0</v>
      </c>
      <c r="CI1786">
        <v>0</v>
      </c>
      <c r="CJ1786">
        <v>0</v>
      </c>
      <c r="CK1786">
        <v>2</v>
      </c>
      <c r="CL1786">
        <v>0</v>
      </c>
      <c r="CM1786">
        <v>2</v>
      </c>
      <c r="CN1786">
        <v>0</v>
      </c>
      <c r="CO1786">
        <v>7</v>
      </c>
      <c r="CP1786" t="s">
        <v>119</v>
      </c>
      <c r="CQ1786">
        <v>180</v>
      </c>
      <c r="CR1786">
        <v>1</v>
      </c>
      <c r="CW1786">
        <v>10899612</v>
      </c>
      <c r="CY1786">
        <v>1</v>
      </c>
      <c r="CZ1786">
        <v>0</v>
      </c>
      <c r="DA1786">
        <v>1</v>
      </c>
      <c r="DB1786">
        <v>0</v>
      </c>
      <c r="DC1786">
        <v>0</v>
      </c>
      <c r="DD1786">
        <v>0</v>
      </c>
      <c r="DE1786">
        <v>0</v>
      </c>
      <c r="DF1786">
        <v>0</v>
      </c>
      <c r="DG1786">
        <v>0</v>
      </c>
      <c r="DH1786">
        <v>0</v>
      </c>
      <c r="DI1786">
        <v>0</v>
      </c>
    </row>
    <row r="1787" spans="1:113" x14ac:dyDescent="0.3">
      <c r="A1787" t="str">
        <f>"02/08/2021 20:23:26.608"</f>
        <v>02/08/2021 20:23:26.608</v>
      </c>
      <c r="C1787" t="str">
        <f t="shared" si="87"/>
        <v>FFDFD7C0</v>
      </c>
      <c r="D1787" t="s">
        <v>124</v>
      </c>
      <c r="E1787">
        <v>11</v>
      </c>
      <c r="F1787">
        <v>1011</v>
      </c>
      <c r="G1787" t="s">
        <v>590</v>
      </c>
      <c r="J1787" t="s">
        <v>125</v>
      </c>
      <c r="K1787">
        <v>0</v>
      </c>
      <c r="L1787">
        <v>3</v>
      </c>
      <c r="M1787">
        <v>0</v>
      </c>
      <c r="N1787">
        <v>2</v>
      </c>
      <c r="O1787">
        <v>1</v>
      </c>
      <c r="P1787">
        <v>0</v>
      </c>
      <c r="Q1787">
        <v>0</v>
      </c>
      <c r="S1787" t="str">
        <f>"20:23:28.930"</f>
        <v>20:23:28.930</v>
      </c>
      <c r="T1787" t="str">
        <f>"20:23:28.530"</f>
        <v>20:23:28.530</v>
      </c>
      <c r="U1787" t="str">
        <f t="shared" si="82"/>
        <v>AB01F4</v>
      </c>
      <c r="V1787">
        <v>0</v>
      </c>
      <c r="W1787">
        <v>0</v>
      </c>
      <c r="X1787">
        <v>2</v>
      </c>
      <c r="Z1787">
        <v>0</v>
      </c>
      <c r="AA1787">
        <v>9</v>
      </c>
      <c r="AB1787">
        <v>3</v>
      </c>
      <c r="AC1787">
        <v>0</v>
      </c>
      <c r="AD1787">
        <v>10</v>
      </c>
      <c r="AE1787">
        <v>0</v>
      </c>
      <c r="AF1787">
        <v>3</v>
      </c>
      <c r="AG1787">
        <v>2</v>
      </c>
      <c r="AH1787">
        <v>0</v>
      </c>
      <c r="AI1787" t="s">
        <v>1143</v>
      </c>
      <c r="AJ1787">
        <v>39.898589000000001</v>
      </c>
      <c r="AK1787" t="s">
        <v>1144</v>
      </c>
      <c r="AL1787">
        <v>-92.565843999999998</v>
      </c>
      <c r="AM1787">
        <v>100</v>
      </c>
      <c r="AN1787">
        <v>1700</v>
      </c>
      <c r="AO1787" t="s">
        <v>118</v>
      </c>
      <c r="AP1787">
        <v>-106</v>
      </c>
      <c r="AQ1787">
        <v>75</v>
      </c>
      <c r="AR1787">
        <v>-64</v>
      </c>
      <c r="AZ1787">
        <v>1200</v>
      </c>
      <c r="BA1787">
        <v>1</v>
      </c>
      <c r="BB1787" t="str">
        <f t="shared" si="88"/>
        <v xml:space="preserve">N8080G  </v>
      </c>
      <c r="BC1787">
        <v>1</v>
      </c>
      <c r="BE1787">
        <v>0</v>
      </c>
      <c r="BF1787">
        <v>0</v>
      </c>
      <c r="BG1787">
        <v>0</v>
      </c>
      <c r="BH1787">
        <v>1700</v>
      </c>
      <c r="BI1787">
        <v>1</v>
      </c>
      <c r="BJ1787">
        <v>1</v>
      </c>
      <c r="BK1787">
        <v>1</v>
      </c>
      <c r="BL1787">
        <v>0</v>
      </c>
      <c r="BO1787">
        <v>0</v>
      </c>
      <c r="BP1787">
        <v>0</v>
      </c>
      <c r="BW1787" t="str">
        <f>"20:23:28.934"</f>
        <v>20:23:28.934</v>
      </c>
      <c r="BZ1787">
        <v>0</v>
      </c>
      <c r="CA1787">
        <v>2016</v>
      </c>
      <c r="CB1787">
        <v>224</v>
      </c>
      <c r="CD1787">
        <v>1</v>
      </c>
      <c r="CE1787">
        <v>0</v>
      </c>
      <c r="CF1787">
        <v>0</v>
      </c>
      <c r="CG1787">
        <v>1</v>
      </c>
      <c r="CH1787">
        <v>0</v>
      </c>
      <c r="CI1787">
        <v>0</v>
      </c>
      <c r="CJ1787">
        <v>0</v>
      </c>
      <c r="CK1787">
        <v>2</v>
      </c>
      <c r="CL1787">
        <v>0</v>
      </c>
      <c r="CM1787">
        <v>2</v>
      </c>
      <c r="CN1787">
        <v>0</v>
      </c>
      <c r="CO1787">
        <v>7</v>
      </c>
      <c r="CP1787" t="s">
        <v>119</v>
      </c>
      <c r="CQ1787">
        <v>180</v>
      </c>
      <c r="CR1787">
        <v>2</v>
      </c>
      <c r="CW1787">
        <v>8336731</v>
      </c>
      <c r="CY1787">
        <v>1</v>
      </c>
      <c r="CZ1787">
        <v>0</v>
      </c>
      <c r="DA1787">
        <v>0</v>
      </c>
      <c r="DB1787">
        <v>0</v>
      </c>
      <c r="DC1787">
        <v>0</v>
      </c>
      <c r="DD1787">
        <v>0</v>
      </c>
      <c r="DE1787">
        <v>0</v>
      </c>
      <c r="DF1787">
        <v>0</v>
      </c>
      <c r="DG1787">
        <v>0</v>
      </c>
      <c r="DH1787">
        <v>0</v>
      </c>
      <c r="DI1787">
        <v>0</v>
      </c>
    </row>
    <row r="1788" spans="1:113" x14ac:dyDescent="0.3">
      <c r="A1788" t="str">
        <f>"02/08/2021 20:23:26.608"</f>
        <v>02/08/2021 20:23:26.608</v>
      </c>
      <c r="C1788" t="str">
        <f t="shared" si="87"/>
        <v>FFDFD7C0</v>
      </c>
      <c r="D1788" t="s">
        <v>113</v>
      </c>
      <c r="E1788">
        <v>6</v>
      </c>
      <c r="H1788">
        <v>165</v>
      </c>
      <c r="I1788" t="s">
        <v>114</v>
      </c>
      <c r="J1788" t="s">
        <v>115</v>
      </c>
      <c r="K1788">
        <v>0</v>
      </c>
      <c r="L1788">
        <v>3</v>
      </c>
      <c r="M1788">
        <v>0</v>
      </c>
      <c r="N1788">
        <v>2</v>
      </c>
      <c r="O1788">
        <v>1</v>
      </c>
      <c r="P1788">
        <v>0</v>
      </c>
      <c r="Q1788">
        <v>0</v>
      </c>
      <c r="S1788" t="str">
        <f>"20:23:28.930"</f>
        <v>20:23:28.930</v>
      </c>
      <c r="T1788" t="str">
        <f>"20:23:28.530"</f>
        <v>20:23:28.530</v>
      </c>
      <c r="U1788" t="str">
        <f t="shared" si="82"/>
        <v>AB01F4</v>
      </c>
      <c r="V1788">
        <v>0</v>
      </c>
      <c r="W1788">
        <v>0</v>
      </c>
      <c r="X1788">
        <v>2</v>
      </c>
      <c r="Z1788">
        <v>0</v>
      </c>
      <c r="AA1788">
        <v>9</v>
      </c>
      <c r="AB1788">
        <v>3</v>
      </c>
      <c r="AC1788">
        <v>0</v>
      </c>
      <c r="AD1788">
        <v>10</v>
      </c>
      <c r="AE1788">
        <v>0</v>
      </c>
      <c r="AF1788">
        <v>3</v>
      </c>
      <c r="AG1788">
        <v>2</v>
      </c>
      <c r="AH1788">
        <v>0</v>
      </c>
      <c r="AI1788" t="s">
        <v>1143</v>
      </c>
      <c r="AJ1788">
        <v>39.898589000000001</v>
      </c>
      <c r="AK1788" t="s">
        <v>1144</v>
      </c>
      <c r="AL1788">
        <v>-92.565843999999998</v>
      </c>
      <c r="AM1788">
        <v>100</v>
      </c>
      <c r="AN1788">
        <v>1700</v>
      </c>
      <c r="AO1788" t="s">
        <v>118</v>
      </c>
      <c r="AP1788">
        <v>-106</v>
      </c>
      <c r="AQ1788">
        <v>75</v>
      </c>
      <c r="AR1788">
        <v>-64</v>
      </c>
      <c r="AZ1788">
        <v>1200</v>
      </c>
      <c r="BA1788">
        <v>1</v>
      </c>
      <c r="BB1788" t="str">
        <f t="shared" si="88"/>
        <v xml:space="preserve">N8080G  </v>
      </c>
      <c r="BC1788">
        <v>1</v>
      </c>
      <c r="BE1788">
        <v>0</v>
      </c>
      <c r="BF1788">
        <v>0</v>
      </c>
      <c r="BG1788">
        <v>0</v>
      </c>
      <c r="BH1788">
        <v>1700</v>
      </c>
      <c r="BI1788">
        <v>1</v>
      </c>
      <c r="BJ1788">
        <v>1</v>
      </c>
      <c r="BK1788">
        <v>1</v>
      </c>
      <c r="BL1788">
        <v>0</v>
      </c>
      <c r="BO1788">
        <v>0</v>
      </c>
      <c r="BP1788">
        <v>0</v>
      </c>
      <c r="BW1788" t="str">
        <f>"20:23:28.934"</f>
        <v>20:23:28.934</v>
      </c>
      <c r="BZ1788">
        <v>0</v>
      </c>
      <c r="CA1788">
        <v>2016</v>
      </c>
      <c r="CB1788">
        <v>224</v>
      </c>
      <c r="CD1788">
        <v>1</v>
      </c>
      <c r="CE1788">
        <v>0</v>
      </c>
      <c r="CF1788">
        <v>0</v>
      </c>
      <c r="CG1788">
        <v>1</v>
      </c>
      <c r="CH1788">
        <v>0</v>
      </c>
      <c r="CI1788">
        <v>0</v>
      </c>
      <c r="CJ1788">
        <v>0</v>
      </c>
      <c r="CK1788">
        <v>2</v>
      </c>
      <c r="CL1788">
        <v>0</v>
      </c>
      <c r="CM1788">
        <v>2</v>
      </c>
      <c r="CN1788">
        <v>0</v>
      </c>
      <c r="CO1788">
        <v>7</v>
      </c>
      <c r="CP1788" t="s">
        <v>119</v>
      </c>
      <c r="CQ1788">
        <v>180</v>
      </c>
      <c r="CR1788">
        <v>2</v>
      </c>
      <c r="CW1788">
        <v>8336731</v>
      </c>
      <c r="CY1788">
        <v>1</v>
      </c>
      <c r="CZ1788">
        <v>0</v>
      </c>
      <c r="DA1788">
        <v>1</v>
      </c>
      <c r="DB1788">
        <v>0</v>
      </c>
      <c r="DC1788">
        <v>0</v>
      </c>
      <c r="DD1788">
        <v>0</v>
      </c>
      <c r="DE1788">
        <v>0</v>
      </c>
      <c r="DF1788">
        <v>0</v>
      </c>
      <c r="DG1788">
        <v>0</v>
      </c>
      <c r="DH1788">
        <v>0</v>
      </c>
      <c r="DI1788">
        <v>0</v>
      </c>
    </row>
    <row r="1789" spans="1:113" x14ac:dyDescent="0.3">
      <c r="A1789" t="str">
        <f>"02/08/2021 20:23:26.608"</f>
        <v>02/08/2021 20:23:26.608</v>
      </c>
      <c r="C1789" t="str">
        <f t="shared" si="87"/>
        <v>FFDFD7C0</v>
      </c>
      <c r="D1789" t="s">
        <v>124</v>
      </c>
      <c r="E1789">
        <v>13</v>
      </c>
      <c r="F1789">
        <v>1013</v>
      </c>
      <c r="G1789" t="s">
        <v>114</v>
      </c>
      <c r="J1789" t="s">
        <v>125</v>
      </c>
      <c r="K1789">
        <v>0</v>
      </c>
      <c r="L1789">
        <v>3</v>
      </c>
      <c r="M1789">
        <v>0</v>
      </c>
      <c r="N1789">
        <v>2</v>
      </c>
      <c r="O1789">
        <v>1</v>
      </c>
      <c r="P1789">
        <v>0</v>
      </c>
      <c r="Q1789">
        <v>0</v>
      </c>
      <c r="S1789" t="str">
        <f>"20:23:28.930"</f>
        <v>20:23:28.930</v>
      </c>
      <c r="T1789" t="str">
        <f>"20:23:28.530"</f>
        <v>20:23:28.530</v>
      </c>
      <c r="U1789" t="str">
        <f t="shared" si="82"/>
        <v>AB01F4</v>
      </c>
      <c r="V1789">
        <v>0</v>
      </c>
      <c r="W1789">
        <v>0</v>
      </c>
      <c r="X1789">
        <v>2</v>
      </c>
      <c r="Z1789">
        <v>0</v>
      </c>
      <c r="AA1789">
        <v>9</v>
      </c>
      <c r="AB1789">
        <v>3</v>
      </c>
      <c r="AC1789">
        <v>0</v>
      </c>
      <c r="AD1789">
        <v>10</v>
      </c>
      <c r="AE1789">
        <v>0</v>
      </c>
      <c r="AF1789">
        <v>3</v>
      </c>
      <c r="AG1789">
        <v>2</v>
      </c>
      <c r="AH1789">
        <v>0</v>
      </c>
      <c r="AI1789" t="s">
        <v>1143</v>
      </c>
      <c r="AJ1789">
        <v>39.898589000000001</v>
      </c>
      <c r="AK1789" t="s">
        <v>1144</v>
      </c>
      <c r="AL1789">
        <v>-92.565843999999998</v>
      </c>
      <c r="AM1789">
        <v>100</v>
      </c>
      <c r="AN1789">
        <v>1700</v>
      </c>
      <c r="AO1789" t="s">
        <v>118</v>
      </c>
      <c r="AP1789">
        <v>-106</v>
      </c>
      <c r="AQ1789">
        <v>75</v>
      </c>
      <c r="AR1789">
        <v>-64</v>
      </c>
      <c r="AZ1789">
        <v>1200</v>
      </c>
      <c r="BA1789">
        <v>1</v>
      </c>
      <c r="BB1789" t="str">
        <f t="shared" si="88"/>
        <v xml:space="preserve">N8080G  </v>
      </c>
      <c r="BC1789">
        <v>1</v>
      </c>
      <c r="BE1789">
        <v>0</v>
      </c>
      <c r="BF1789">
        <v>0</v>
      </c>
      <c r="BG1789">
        <v>0</v>
      </c>
      <c r="BH1789">
        <v>1700</v>
      </c>
      <c r="BI1789">
        <v>1</v>
      </c>
      <c r="BJ1789">
        <v>1</v>
      </c>
      <c r="BK1789">
        <v>1</v>
      </c>
      <c r="BL1789">
        <v>0</v>
      </c>
      <c r="BO1789">
        <v>0</v>
      </c>
      <c r="BP1789">
        <v>0</v>
      </c>
      <c r="BW1789" t="str">
        <f>"20:23:28.934"</f>
        <v>20:23:28.934</v>
      </c>
      <c r="BZ1789">
        <v>0</v>
      </c>
      <c r="CA1789">
        <v>2016</v>
      </c>
      <c r="CB1789">
        <v>224</v>
      </c>
      <c r="CD1789">
        <v>1</v>
      </c>
      <c r="CE1789">
        <v>0</v>
      </c>
      <c r="CF1789">
        <v>0</v>
      </c>
      <c r="CG1789">
        <v>1</v>
      </c>
      <c r="CH1789">
        <v>0</v>
      </c>
      <c r="CI1789">
        <v>0</v>
      </c>
      <c r="CJ1789">
        <v>0</v>
      </c>
      <c r="CK1789">
        <v>2</v>
      </c>
      <c r="CL1789">
        <v>0</v>
      </c>
      <c r="CM1789">
        <v>2</v>
      </c>
      <c r="CN1789">
        <v>0</v>
      </c>
      <c r="CO1789">
        <v>7</v>
      </c>
      <c r="CP1789" t="s">
        <v>119</v>
      </c>
      <c r="CQ1789">
        <v>180</v>
      </c>
      <c r="CR1789">
        <v>2</v>
      </c>
      <c r="CW1789">
        <v>8336731</v>
      </c>
      <c r="CY1789">
        <v>1</v>
      </c>
      <c r="CZ1789">
        <v>0</v>
      </c>
      <c r="DA1789">
        <v>1</v>
      </c>
      <c r="DB1789">
        <v>0</v>
      </c>
      <c r="DC1789">
        <v>0</v>
      </c>
      <c r="DD1789">
        <v>0</v>
      </c>
      <c r="DE1789">
        <v>0</v>
      </c>
      <c r="DF1789">
        <v>0</v>
      </c>
      <c r="DG1789">
        <v>0</v>
      </c>
      <c r="DH1789">
        <v>0</v>
      </c>
      <c r="DI1789">
        <v>0</v>
      </c>
    </row>
    <row r="1790" spans="1:113" x14ac:dyDescent="0.3">
      <c r="A1790" t="str">
        <f>"02/08/2021 20:23:26.608"</f>
        <v>02/08/2021 20:23:26.608</v>
      </c>
      <c r="C1790" t="str">
        <f t="shared" si="87"/>
        <v>FFDFD7C0</v>
      </c>
      <c r="D1790" t="s">
        <v>124</v>
      </c>
      <c r="E1790">
        <v>12</v>
      </c>
      <c r="F1790">
        <v>1012</v>
      </c>
      <c r="G1790" t="s">
        <v>675</v>
      </c>
      <c r="J1790" t="s">
        <v>125</v>
      </c>
      <c r="K1790">
        <v>0</v>
      </c>
      <c r="L1790">
        <v>3</v>
      </c>
      <c r="M1790">
        <v>0</v>
      </c>
      <c r="N1790">
        <v>2</v>
      </c>
      <c r="O1790">
        <v>1</v>
      </c>
      <c r="P1790">
        <v>0</v>
      </c>
      <c r="Q1790">
        <v>0</v>
      </c>
      <c r="S1790" t="str">
        <f>"20:23:28.930"</f>
        <v>20:23:28.930</v>
      </c>
      <c r="T1790" t="str">
        <f>"20:23:28.530"</f>
        <v>20:23:28.530</v>
      </c>
      <c r="U1790" t="str">
        <f t="shared" si="82"/>
        <v>AB01F4</v>
      </c>
      <c r="V1790">
        <v>0</v>
      </c>
      <c r="W1790">
        <v>0</v>
      </c>
      <c r="X1790">
        <v>2</v>
      </c>
      <c r="Z1790">
        <v>0</v>
      </c>
      <c r="AA1790">
        <v>9</v>
      </c>
      <c r="AB1790">
        <v>3</v>
      </c>
      <c r="AC1790">
        <v>0</v>
      </c>
      <c r="AD1790">
        <v>10</v>
      </c>
      <c r="AE1790">
        <v>0</v>
      </c>
      <c r="AF1790">
        <v>3</v>
      </c>
      <c r="AG1790">
        <v>2</v>
      </c>
      <c r="AH1790">
        <v>0</v>
      </c>
      <c r="AI1790" t="s">
        <v>1143</v>
      </c>
      <c r="AJ1790">
        <v>39.898589000000001</v>
      </c>
      <c r="AK1790" t="s">
        <v>1144</v>
      </c>
      <c r="AL1790">
        <v>-92.565843999999998</v>
      </c>
      <c r="AM1790">
        <v>100</v>
      </c>
      <c r="AN1790">
        <v>1700</v>
      </c>
      <c r="AO1790" t="s">
        <v>118</v>
      </c>
      <c r="AP1790">
        <v>-106</v>
      </c>
      <c r="AQ1790">
        <v>75</v>
      </c>
      <c r="AR1790">
        <v>-64</v>
      </c>
      <c r="AZ1790">
        <v>1200</v>
      </c>
      <c r="BA1790">
        <v>1</v>
      </c>
      <c r="BB1790" t="str">
        <f t="shared" si="88"/>
        <v xml:space="preserve">N8080G  </v>
      </c>
      <c r="BC1790">
        <v>1</v>
      </c>
      <c r="BE1790">
        <v>0</v>
      </c>
      <c r="BF1790">
        <v>0</v>
      </c>
      <c r="BG1790">
        <v>0</v>
      </c>
      <c r="BH1790">
        <v>1700</v>
      </c>
      <c r="BI1790">
        <v>1</v>
      </c>
      <c r="BJ1790">
        <v>1</v>
      </c>
      <c r="BK1790">
        <v>1</v>
      </c>
      <c r="BL1790">
        <v>0</v>
      </c>
      <c r="BO1790">
        <v>0</v>
      </c>
      <c r="BP1790">
        <v>0</v>
      </c>
      <c r="BW1790" t="str">
        <f>"20:23:28.934"</f>
        <v>20:23:28.934</v>
      </c>
      <c r="BZ1790">
        <v>0</v>
      </c>
      <c r="CA1790">
        <v>2016</v>
      </c>
      <c r="CB1790">
        <v>224</v>
      </c>
      <c r="CD1790">
        <v>1</v>
      </c>
      <c r="CE1790">
        <v>0</v>
      </c>
      <c r="CF1790">
        <v>0</v>
      </c>
      <c r="CG1790">
        <v>1</v>
      </c>
      <c r="CH1790">
        <v>0</v>
      </c>
      <c r="CI1790">
        <v>0</v>
      </c>
      <c r="CJ1790">
        <v>0</v>
      </c>
      <c r="CK1790">
        <v>2</v>
      </c>
      <c r="CL1790">
        <v>0</v>
      </c>
      <c r="CM1790">
        <v>2</v>
      </c>
      <c r="CN1790">
        <v>0</v>
      </c>
      <c r="CO1790">
        <v>7</v>
      </c>
      <c r="CP1790" t="s">
        <v>119</v>
      </c>
      <c r="CQ1790">
        <v>180</v>
      </c>
      <c r="CR1790">
        <v>2</v>
      </c>
      <c r="CW1790">
        <v>8336731</v>
      </c>
      <c r="CY1790">
        <v>1</v>
      </c>
      <c r="CZ1790">
        <v>0</v>
      </c>
      <c r="DA1790">
        <v>1</v>
      </c>
      <c r="DB1790">
        <v>0</v>
      </c>
      <c r="DC1790">
        <v>0</v>
      </c>
      <c r="DD1790">
        <v>0</v>
      </c>
      <c r="DE1790">
        <v>0</v>
      </c>
      <c r="DF1790">
        <v>0</v>
      </c>
      <c r="DG1790">
        <v>0</v>
      </c>
      <c r="DH1790">
        <v>0</v>
      </c>
      <c r="DI1790">
        <v>0</v>
      </c>
    </row>
    <row r="1791" spans="1:113" x14ac:dyDescent="0.3">
      <c r="A1791" t="str">
        <f>"02/08/2021 20:23:28.069"</f>
        <v>02/08/2021 20:23:28.069</v>
      </c>
      <c r="C1791" t="str">
        <f t="shared" si="87"/>
        <v>FFDFD7C0</v>
      </c>
      <c r="D1791" t="s">
        <v>124</v>
      </c>
      <c r="E1791">
        <v>11</v>
      </c>
      <c r="F1791">
        <v>1011</v>
      </c>
      <c r="G1791" t="s">
        <v>590</v>
      </c>
      <c r="J1791" t="s">
        <v>125</v>
      </c>
      <c r="K1791">
        <v>0</v>
      </c>
      <c r="L1791">
        <v>3</v>
      </c>
      <c r="M1791">
        <v>0</v>
      </c>
      <c r="N1791">
        <v>2</v>
      </c>
      <c r="O1791">
        <v>1</v>
      </c>
      <c r="P1791">
        <v>0</v>
      </c>
      <c r="Q1791">
        <v>0</v>
      </c>
      <c r="S1791" t="str">
        <f>"20:23:30.414"</f>
        <v>20:23:30.414</v>
      </c>
      <c r="T1791" t="str">
        <f>"20:23:29.914"</f>
        <v>20:23:29.914</v>
      </c>
      <c r="U1791" t="str">
        <f t="shared" si="82"/>
        <v>AB01F4</v>
      </c>
      <c r="V1791">
        <v>0</v>
      </c>
      <c r="W1791">
        <v>0</v>
      </c>
      <c r="X1791">
        <v>2</v>
      </c>
      <c r="Z1791">
        <v>0</v>
      </c>
      <c r="AA1791">
        <v>9</v>
      </c>
      <c r="AB1791">
        <v>3</v>
      </c>
      <c r="AC1791">
        <v>0</v>
      </c>
      <c r="AD1791">
        <v>10</v>
      </c>
      <c r="AE1791">
        <v>0</v>
      </c>
      <c r="AF1791">
        <v>3</v>
      </c>
      <c r="AG1791">
        <v>2</v>
      </c>
      <c r="AH1791">
        <v>0</v>
      </c>
      <c r="AI1791" t="s">
        <v>1145</v>
      </c>
      <c r="AJ1791">
        <v>39.899124999999998</v>
      </c>
      <c r="AK1791" t="s">
        <v>1146</v>
      </c>
      <c r="AL1791">
        <v>-92.566830999999993</v>
      </c>
      <c r="AM1791">
        <v>100</v>
      </c>
      <c r="AN1791">
        <v>1700</v>
      </c>
      <c r="AO1791" t="s">
        <v>118</v>
      </c>
      <c r="AP1791">
        <v>-106</v>
      </c>
      <c r="AQ1791">
        <v>75</v>
      </c>
      <c r="AR1791">
        <v>-64</v>
      </c>
      <c r="AZ1791">
        <v>1200</v>
      </c>
      <c r="BA1791">
        <v>1</v>
      </c>
      <c r="BB1791" t="str">
        <f t="shared" si="88"/>
        <v xml:space="preserve">N8080G  </v>
      </c>
      <c r="BC1791">
        <v>1</v>
      </c>
      <c r="BE1791">
        <v>0</v>
      </c>
      <c r="BF1791">
        <v>0</v>
      </c>
      <c r="BG1791">
        <v>0</v>
      </c>
      <c r="BH1791">
        <v>1700</v>
      </c>
      <c r="BI1791">
        <v>1</v>
      </c>
      <c r="BJ1791">
        <v>1</v>
      </c>
      <c r="BK1791">
        <v>1</v>
      </c>
      <c r="BL1791">
        <v>0</v>
      </c>
      <c r="BO1791">
        <v>0</v>
      </c>
      <c r="BP1791">
        <v>0</v>
      </c>
      <c r="BW1791" t="str">
        <f>"20:23:30.420"</f>
        <v>20:23:30.420</v>
      </c>
      <c r="BZ1791">
        <v>0</v>
      </c>
      <c r="CA1791">
        <v>2016</v>
      </c>
      <c r="CB1791">
        <v>224</v>
      </c>
      <c r="CD1791">
        <v>1</v>
      </c>
      <c r="CE1791">
        <v>0</v>
      </c>
      <c r="CF1791">
        <v>0</v>
      </c>
      <c r="CG1791">
        <v>1</v>
      </c>
      <c r="CH1791">
        <v>0</v>
      </c>
      <c r="CI1791">
        <v>0</v>
      </c>
      <c r="CJ1791">
        <v>0</v>
      </c>
      <c r="CK1791">
        <v>2</v>
      </c>
      <c r="CL1791">
        <v>0</v>
      </c>
      <c r="CM1791">
        <v>2</v>
      </c>
      <c r="CN1791">
        <v>0</v>
      </c>
      <c r="CO1791">
        <v>7</v>
      </c>
      <c r="CP1791" t="s">
        <v>119</v>
      </c>
      <c r="CQ1791">
        <v>180</v>
      </c>
      <c r="CR1791">
        <v>1</v>
      </c>
      <c r="CW1791">
        <v>10901912</v>
      </c>
      <c r="CY1791">
        <v>1</v>
      </c>
      <c r="CZ1791">
        <v>0</v>
      </c>
      <c r="DA1791">
        <v>0</v>
      </c>
      <c r="DB1791">
        <v>0</v>
      </c>
      <c r="DC1791">
        <v>0</v>
      </c>
      <c r="DD1791">
        <v>0</v>
      </c>
      <c r="DE1791">
        <v>0</v>
      </c>
      <c r="DF1791">
        <v>0</v>
      </c>
      <c r="DG1791">
        <v>0</v>
      </c>
      <c r="DH1791">
        <v>0</v>
      </c>
      <c r="DI1791">
        <v>0</v>
      </c>
    </row>
    <row r="1792" spans="1:113" x14ac:dyDescent="0.3">
      <c r="A1792" t="str">
        <f>"02/08/2021 20:23:28.069"</f>
        <v>02/08/2021 20:23:28.069</v>
      </c>
      <c r="C1792" t="str">
        <f t="shared" si="87"/>
        <v>FFDFD7C0</v>
      </c>
      <c r="D1792" t="s">
        <v>113</v>
      </c>
      <c r="E1792">
        <v>6</v>
      </c>
      <c r="H1792">
        <v>165</v>
      </c>
      <c r="I1792" t="s">
        <v>114</v>
      </c>
      <c r="J1792" t="s">
        <v>115</v>
      </c>
      <c r="K1792">
        <v>0</v>
      </c>
      <c r="L1792">
        <v>3</v>
      </c>
      <c r="M1792">
        <v>0</v>
      </c>
      <c r="N1792">
        <v>2</v>
      </c>
      <c r="O1792">
        <v>1</v>
      </c>
      <c r="P1792">
        <v>0</v>
      </c>
      <c r="Q1792">
        <v>0</v>
      </c>
      <c r="S1792" t="str">
        <f>"20:23:30.414"</f>
        <v>20:23:30.414</v>
      </c>
      <c r="T1792" t="str">
        <f>"20:23:29.914"</f>
        <v>20:23:29.914</v>
      </c>
      <c r="U1792" t="str">
        <f t="shared" si="82"/>
        <v>AB01F4</v>
      </c>
      <c r="V1792">
        <v>0</v>
      </c>
      <c r="W1792">
        <v>0</v>
      </c>
      <c r="X1792">
        <v>2</v>
      </c>
      <c r="Z1792">
        <v>0</v>
      </c>
      <c r="AA1792">
        <v>9</v>
      </c>
      <c r="AB1792">
        <v>3</v>
      </c>
      <c r="AC1792">
        <v>0</v>
      </c>
      <c r="AD1792">
        <v>10</v>
      </c>
      <c r="AE1792">
        <v>0</v>
      </c>
      <c r="AF1792">
        <v>3</v>
      </c>
      <c r="AG1792">
        <v>2</v>
      </c>
      <c r="AH1792">
        <v>0</v>
      </c>
      <c r="AI1792" t="s">
        <v>1145</v>
      </c>
      <c r="AJ1792">
        <v>39.899124999999998</v>
      </c>
      <c r="AK1792" t="s">
        <v>1146</v>
      </c>
      <c r="AL1792">
        <v>-92.566830999999993</v>
      </c>
      <c r="AM1792">
        <v>100</v>
      </c>
      <c r="AN1792">
        <v>1700</v>
      </c>
      <c r="AO1792" t="s">
        <v>118</v>
      </c>
      <c r="AP1792">
        <v>-106</v>
      </c>
      <c r="AQ1792">
        <v>75</v>
      </c>
      <c r="AR1792">
        <v>-64</v>
      </c>
      <c r="AZ1792">
        <v>1200</v>
      </c>
      <c r="BA1792">
        <v>1</v>
      </c>
      <c r="BB1792" t="str">
        <f t="shared" si="88"/>
        <v xml:space="preserve">N8080G  </v>
      </c>
      <c r="BC1792">
        <v>1</v>
      </c>
      <c r="BE1792">
        <v>0</v>
      </c>
      <c r="BF1792">
        <v>0</v>
      </c>
      <c r="BG1792">
        <v>0</v>
      </c>
      <c r="BH1792">
        <v>1700</v>
      </c>
      <c r="BI1792">
        <v>1</v>
      </c>
      <c r="BJ1792">
        <v>1</v>
      </c>
      <c r="BK1792">
        <v>1</v>
      </c>
      <c r="BL1792">
        <v>0</v>
      </c>
      <c r="BO1792">
        <v>0</v>
      </c>
      <c r="BP1792">
        <v>0</v>
      </c>
      <c r="BW1792" t="str">
        <f>"20:23:30.420"</f>
        <v>20:23:30.420</v>
      </c>
      <c r="BZ1792">
        <v>0</v>
      </c>
      <c r="CA1792">
        <v>2016</v>
      </c>
      <c r="CB1792">
        <v>224</v>
      </c>
      <c r="CD1792">
        <v>1</v>
      </c>
      <c r="CE1792">
        <v>0</v>
      </c>
      <c r="CF1792">
        <v>0</v>
      </c>
      <c r="CG1792">
        <v>1</v>
      </c>
      <c r="CH1792">
        <v>0</v>
      </c>
      <c r="CI1792">
        <v>0</v>
      </c>
      <c r="CJ1792">
        <v>0</v>
      </c>
      <c r="CK1792">
        <v>2</v>
      </c>
      <c r="CL1792">
        <v>0</v>
      </c>
      <c r="CM1792">
        <v>2</v>
      </c>
      <c r="CN1792">
        <v>0</v>
      </c>
      <c r="CO1792">
        <v>7</v>
      </c>
      <c r="CP1792" t="s">
        <v>119</v>
      </c>
      <c r="CQ1792">
        <v>180</v>
      </c>
      <c r="CR1792">
        <v>1</v>
      </c>
      <c r="CW1792">
        <v>10901912</v>
      </c>
      <c r="CY1792">
        <v>1</v>
      </c>
      <c r="CZ1792">
        <v>0</v>
      </c>
      <c r="DA1792">
        <v>1</v>
      </c>
      <c r="DB1792">
        <v>0</v>
      </c>
      <c r="DC1792">
        <v>0</v>
      </c>
      <c r="DD1792">
        <v>0</v>
      </c>
      <c r="DE1792">
        <v>0</v>
      </c>
      <c r="DF1792">
        <v>0</v>
      </c>
      <c r="DG1792">
        <v>0</v>
      </c>
      <c r="DH1792">
        <v>0</v>
      </c>
      <c r="DI1792">
        <v>0</v>
      </c>
    </row>
    <row r="1793" spans="1:113" x14ac:dyDescent="0.3">
      <c r="A1793" t="str">
        <f>"02/08/2021 20:23:28.069"</f>
        <v>02/08/2021 20:23:28.069</v>
      </c>
      <c r="C1793" t="str">
        <f t="shared" si="87"/>
        <v>FFDFD7C0</v>
      </c>
      <c r="D1793" t="s">
        <v>124</v>
      </c>
      <c r="E1793">
        <v>13</v>
      </c>
      <c r="F1793">
        <v>1013</v>
      </c>
      <c r="G1793" t="s">
        <v>114</v>
      </c>
      <c r="J1793" t="s">
        <v>125</v>
      </c>
      <c r="K1793">
        <v>0</v>
      </c>
      <c r="L1793">
        <v>3</v>
      </c>
      <c r="M1793">
        <v>0</v>
      </c>
      <c r="N1793">
        <v>2</v>
      </c>
      <c r="O1793">
        <v>1</v>
      </c>
      <c r="P1793">
        <v>0</v>
      </c>
      <c r="Q1793">
        <v>0</v>
      </c>
      <c r="S1793" t="str">
        <f>"20:23:30.414"</f>
        <v>20:23:30.414</v>
      </c>
      <c r="T1793" t="str">
        <f>"20:23:29.914"</f>
        <v>20:23:29.914</v>
      </c>
      <c r="U1793" t="str">
        <f t="shared" si="82"/>
        <v>AB01F4</v>
      </c>
      <c r="V1793">
        <v>0</v>
      </c>
      <c r="W1793">
        <v>0</v>
      </c>
      <c r="X1793">
        <v>2</v>
      </c>
      <c r="Z1793">
        <v>0</v>
      </c>
      <c r="AA1793">
        <v>9</v>
      </c>
      <c r="AB1793">
        <v>3</v>
      </c>
      <c r="AC1793">
        <v>0</v>
      </c>
      <c r="AD1793">
        <v>10</v>
      </c>
      <c r="AE1793">
        <v>0</v>
      </c>
      <c r="AF1793">
        <v>3</v>
      </c>
      <c r="AG1793">
        <v>2</v>
      </c>
      <c r="AH1793">
        <v>0</v>
      </c>
      <c r="AI1793" t="s">
        <v>1145</v>
      </c>
      <c r="AJ1793">
        <v>39.899124999999998</v>
      </c>
      <c r="AK1793" t="s">
        <v>1146</v>
      </c>
      <c r="AL1793">
        <v>-92.566830999999993</v>
      </c>
      <c r="AM1793">
        <v>100</v>
      </c>
      <c r="AN1793">
        <v>1700</v>
      </c>
      <c r="AO1793" t="s">
        <v>118</v>
      </c>
      <c r="AP1793">
        <v>-106</v>
      </c>
      <c r="AQ1793">
        <v>75</v>
      </c>
      <c r="AR1793">
        <v>-64</v>
      </c>
      <c r="AZ1793">
        <v>1200</v>
      </c>
      <c r="BA1793">
        <v>1</v>
      </c>
      <c r="BB1793" t="str">
        <f t="shared" si="88"/>
        <v xml:space="preserve">N8080G  </v>
      </c>
      <c r="BC1793">
        <v>1</v>
      </c>
      <c r="BE1793">
        <v>0</v>
      </c>
      <c r="BF1793">
        <v>0</v>
      </c>
      <c r="BG1793">
        <v>0</v>
      </c>
      <c r="BH1793">
        <v>1700</v>
      </c>
      <c r="BI1793">
        <v>1</v>
      </c>
      <c r="BJ1793">
        <v>1</v>
      </c>
      <c r="BK1793">
        <v>1</v>
      </c>
      <c r="BL1793">
        <v>0</v>
      </c>
      <c r="BO1793">
        <v>0</v>
      </c>
      <c r="BP1793">
        <v>0</v>
      </c>
      <c r="BW1793" t="str">
        <f>"20:23:30.420"</f>
        <v>20:23:30.420</v>
      </c>
      <c r="BZ1793">
        <v>0</v>
      </c>
      <c r="CA1793">
        <v>2016</v>
      </c>
      <c r="CB1793">
        <v>224</v>
      </c>
      <c r="CD1793">
        <v>1</v>
      </c>
      <c r="CE1793">
        <v>0</v>
      </c>
      <c r="CF1793">
        <v>0</v>
      </c>
      <c r="CG1793">
        <v>1</v>
      </c>
      <c r="CH1793">
        <v>0</v>
      </c>
      <c r="CI1793">
        <v>0</v>
      </c>
      <c r="CJ1793">
        <v>0</v>
      </c>
      <c r="CK1793">
        <v>2</v>
      </c>
      <c r="CL1793">
        <v>0</v>
      </c>
      <c r="CM1793">
        <v>2</v>
      </c>
      <c r="CN1793">
        <v>0</v>
      </c>
      <c r="CO1793">
        <v>7</v>
      </c>
      <c r="CP1793" t="s">
        <v>119</v>
      </c>
      <c r="CQ1793">
        <v>180</v>
      </c>
      <c r="CR1793">
        <v>1</v>
      </c>
      <c r="CW1793">
        <v>10901912</v>
      </c>
      <c r="CY1793">
        <v>1</v>
      </c>
      <c r="CZ1793">
        <v>0</v>
      </c>
      <c r="DA1793">
        <v>1</v>
      </c>
      <c r="DB1793">
        <v>0</v>
      </c>
      <c r="DC1793">
        <v>0</v>
      </c>
      <c r="DD1793">
        <v>0</v>
      </c>
      <c r="DE1793">
        <v>0</v>
      </c>
      <c r="DF1793">
        <v>0</v>
      </c>
      <c r="DG1793">
        <v>0</v>
      </c>
      <c r="DH1793">
        <v>0</v>
      </c>
      <c r="DI1793">
        <v>0</v>
      </c>
    </row>
    <row r="1794" spans="1:113" x14ac:dyDescent="0.3">
      <c r="A1794" t="str">
        <f>"02/08/2021 20:23:28.069"</f>
        <v>02/08/2021 20:23:28.069</v>
      </c>
      <c r="C1794" t="str">
        <f t="shared" si="87"/>
        <v>FFDFD7C0</v>
      </c>
      <c r="D1794" t="s">
        <v>124</v>
      </c>
      <c r="E1794">
        <v>12</v>
      </c>
      <c r="F1794">
        <v>1012</v>
      </c>
      <c r="G1794" t="s">
        <v>675</v>
      </c>
      <c r="J1794" t="s">
        <v>125</v>
      </c>
      <c r="K1794">
        <v>0</v>
      </c>
      <c r="L1794">
        <v>3</v>
      </c>
      <c r="M1794">
        <v>0</v>
      </c>
      <c r="N1794">
        <v>2</v>
      </c>
      <c r="O1794">
        <v>1</v>
      </c>
      <c r="P1794">
        <v>0</v>
      </c>
      <c r="Q1794">
        <v>0</v>
      </c>
      <c r="S1794" t="str">
        <f>"20:23:30.414"</f>
        <v>20:23:30.414</v>
      </c>
      <c r="T1794" t="str">
        <f>"20:23:29.914"</f>
        <v>20:23:29.914</v>
      </c>
      <c r="U1794" t="str">
        <f t="shared" ref="U1794:U1857" si="89">"AB01F4"</f>
        <v>AB01F4</v>
      </c>
      <c r="V1794">
        <v>0</v>
      </c>
      <c r="W1794">
        <v>0</v>
      </c>
      <c r="X1794">
        <v>2</v>
      </c>
      <c r="Z1794">
        <v>0</v>
      </c>
      <c r="AA1794">
        <v>9</v>
      </c>
      <c r="AB1794">
        <v>3</v>
      </c>
      <c r="AC1794">
        <v>0</v>
      </c>
      <c r="AD1794">
        <v>10</v>
      </c>
      <c r="AE1794">
        <v>0</v>
      </c>
      <c r="AF1794">
        <v>3</v>
      </c>
      <c r="AG1794">
        <v>2</v>
      </c>
      <c r="AH1794">
        <v>0</v>
      </c>
      <c r="AI1794" t="s">
        <v>1145</v>
      </c>
      <c r="AJ1794">
        <v>39.899124999999998</v>
      </c>
      <c r="AK1794" t="s">
        <v>1146</v>
      </c>
      <c r="AL1794">
        <v>-92.566830999999993</v>
      </c>
      <c r="AM1794">
        <v>100</v>
      </c>
      <c r="AN1794">
        <v>1700</v>
      </c>
      <c r="AO1794" t="s">
        <v>118</v>
      </c>
      <c r="AP1794">
        <v>-106</v>
      </c>
      <c r="AQ1794">
        <v>75</v>
      </c>
      <c r="AR1794">
        <v>-64</v>
      </c>
      <c r="AZ1794">
        <v>1200</v>
      </c>
      <c r="BA1794">
        <v>1</v>
      </c>
      <c r="BB1794" t="str">
        <f t="shared" si="88"/>
        <v xml:space="preserve">N8080G  </v>
      </c>
      <c r="BC1794">
        <v>1</v>
      </c>
      <c r="BE1794">
        <v>0</v>
      </c>
      <c r="BF1794">
        <v>0</v>
      </c>
      <c r="BG1794">
        <v>0</v>
      </c>
      <c r="BH1794">
        <v>1700</v>
      </c>
      <c r="BI1794">
        <v>1</v>
      </c>
      <c r="BJ1794">
        <v>1</v>
      </c>
      <c r="BK1794">
        <v>1</v>
      </c>
      <c r="BL1794">
        <v>0</v>
      </c>
      <c r="BO1794">
        <v>0</v>
      </c>
      <c r="BP1794">
        <v>0</v>
      </c>
      <c r="BW1794" t="str">
        <f>"20:23:30.420"</f>
        <v>20:23:30.420</v>
      </c>
      <c r="BZ1794">
        <v>0</v>
      </c>
      <c r="CA1794">
        <v>2016</v>
      </c>
      <c r="CB1794">
        <v>224</v>
      </c>
      <c r="CD1794">
        <v>1</v>
      </c>
      <c r="CE1794">
        <v>0</v>
      </c>
      <c r="CF1794">
        <v>0</v>
      </c>
      <c r="CG1794">
        <v>1</v>
      </c>
      <c r="CH1794">
        <v>0</v>
      </c>
      <c r="CI1794">
        <v>0</v>
      </c>
      <c r="CJ1794">
        <v>0</v>
      </c>
      <c r="CK1794">
        <v>2</v>
      </c>
      <c r="CL1794">
        <v>0</v>
      </c>
      <c r="CM1794">
        <v>2</v>
      </c>
      <c r="CN1794">
        <v>0</v>
      </c>
      <c r="CO1794">
        <v>7</v>
      </c>
      <c r="CP1794" t="s">
        <v>119</v>
      </c>
      <c r="CQ1794">
        <v>180</v>
      </c>
      <c r="CR1794">
        <v>1</v>
      </c>
      <c r="CW1794">
        <v>10901912</v>
      </c>
      <c r="CY1794">
        <v>1</v>
      </c>
      <c r="CZ1794">
        <v>0</v>
      </c>
      <c r="DA1794">
        <v>1</v>
      </c>
      <c r="DB1794">
        <v>0</v>
      </c>
      <c r="DC1794">
        <v>0</v>
      </c>
      <c r="DD1794">
        <v>0</v>
      </c>
      <c r="DE1794">
        <v>0</v>
      </c>
      <c r="DF1794">
        <v>0</v>
      </c>
      <c r="DG1794">
        <v>0</v>
      </c>
      <c r="DH1794">
        <v>0</v>
      </c>
      <c r="DI1794">
        <v>0</v>
      </c>
    </row>
    <row r="1795" spans="1:113" x14ac:dyDescent="0.3">
      <c r="A1795" t="str">
        <f>"02/08/2021 20:23:29.430"</f>
        <v>02/08/2021 20:23:29.430</v>
      </c>
      <c r="C1795" t="str">
        <f t="shared" si="87"/>
        <v>FFDFD7C0</v>
      </c>
      <c r="D1795" t="s">
        <v>124</v>
      </c>
      <c r="E1795">
        <v>11</v>
      </c>
      <c r="F1795">
        <v>1011</v>
      </c>
      <c r="G1795" t="s">
        <v>590</v>
      </c>
      <c r="J1795" t="s">
        <v>125</v>
      </c>
      <c r="K1795">
        <v>0</v>
      </c>
      <c r="L1795">
        <v>3</v>
      </c>
      <c r="M1795">
        <v>0</v>
      </c>
      <c r="N1795">
        <v>2</v>
      </c>
      <c r="O1795">
        <v>1</v>
      </c>
      <c r="P1795">
        <v>0</v>
      </c>
      <c r="Q1795">
        <v>0</v>
      </c>
      <c r="S1795" t="str">
        <f>"20:23:31.750"</f>
        <v>20:23:31.750</v>
      </c>
      <c r="T1795" t="str">
        <f>"20:23:31.350"</f>
        <v>20:23:31.350</v>
      </c>
      <c r="U1795" t="str">
        <f t="shared" si="89"/>
        <v>AB01F4</v>
      </c>
      <c r="V1795">
        <v>0</v>
      </c>
      <c r="W1795">
        <v>0</v>
      </c>
      <c r="X1795">
        <v>2</v>
      </c>
      <c r="Z1795">
        <v>0</v>
      </c>
      <c r="AA1795">
        <v>9</v>
      </c>
      <c r="AB1795">
        <v>3</v>
      </c>
      <c r="AC1795">
        <v>0</v>
      </c>
      <c r="AD1795">
        <v>10</v>
      </c>
      <c r="AE1795">
        <v>0</v>
      </c>
      <c r="AF1795">
        <v>3</v>
      </c>
      <c r="AG1795">
        <v>2</v>
      </c>
      <c r="AH1795">
        <v>0</v>
      </c>
      <c r="AI1795" t="s">
        <v>1147</v>
      </c>
      <c r="AJ1795">
        <v>39.899554000000002</v>
      </c>
      <c r="AK1795" t="s">
        <v>1148</v>
      </c>
      <c r="AL1795">
        <v>-92.567646999999994</v>
      </c>
      <c r="AM1795">
        <v>100</v>
      </c>
      <c r="AN1795">
        <v>1700</v>
      </c>
      <c r="AO1795" t="s">
        <v>118</v>
      </c>
      <c r="AP1795">
        <v>-107</v>
      </c>
      <c r="AQ1795">
        <v>75</v>
      </c>
      <c r="AR1795">
        <v>-64</v>
      </c>
      <c r="AZ1795">
        <v>1200</v>
      </c>
      <c r="BA1795">
        <v>1</v>
      </c>
      <c r="BB1795" t="str">
        <f t="shared" si="88"/>
        <v xml:space="preserve">N8080G  </v>
      </c>
      <c r="BC1795">
        <v>1</v>
      </c>
      <c r="BE1795">
        <v>0</v>
      </c>
      <c r="BF1795">
        <v>0</v>
      </c>
      <c r="BG1795">
        <v>0</v>
      </c>
      <c r="BH1795">
        <v>1700</v>
      </c>
      <c r="BI1795">
        <v>1</v>
      </c>
      <c r="BJ1795">
        <v>1</v>
      </c>
      <c r="BK1795">
        <v>1</v>
      </c>
      <c r="BL1795">
        <v>0</v>
      </c>
      <c r="BO1795">
        <v>0</v>
      </c>
      <c r="BP1795">
        <v>0</v>
      </c>
      <c r="BW1795" t="str">
        <f>"20:23:31.757"</f>
        <v>20:23:31.757</v>
      </c>
      <c r="BZ1795">
        <v>0</v>
      </c>
      <c r="CA1795">
        <v>2016</v>
      </c>
      <c r="CB1795">
        <v>224</v>
      </c>
      <c r="CD1795">
        <v>1</v>
      </c>
      <c r="CE1795">
        <v>0</v>
      </c>
      <c r="CF1795">
        <v>0</v>
      </c>
      <c r="CG1795">
        <v>1</v>
      </c>
      <c r="CH1795">
        <v>0</v>
      </c>
      <c r="CI1795">
        <v>0</v>
      </c>
      <c r="CJ1795">
        <v>0</v>
      </c>
      <c r="CK1795">
        <v>2</v>
      </c>
      <c r="CL1795">
        <v>0</v>
      </c>
      <c r="CM1795">
        <v>2</v>
      </c>
      <c r="CN1795">
        <v>0</v>
      </c>
      <c r="CO1795">
        <v>7</v>
      </c>
      <c r="CP1795" t="s">
        <v>119</v>
      </c>
      <c r="CQ1795">
        <v>180</v>
      </c>
      <c r="CR1795">
        <v>2</v>
      </c>
      <c r="CW1795">
        <v>8338925</v>
      </c>
      <c r="CY1795">
        <v>1</v>
      </c>
      <c r="CZ1795">
        <v>0</v>
      </c>
      <c r="DA1795">
        <v>0</v>
      </c>
      <c r="DB1795">
        <v>0</v>
      </c>
      <c r="DC1795">
        <v>0</v>
      </c>
      <c r="DD1795">
        <v>0</v>
      </c>
      <c r="DE1795">
        <v>0</v>
      </c>
      <c r="DF1795">
        <v>0</v>
      </c>
      <c r="DG1795">
        <v>0</v>
      </c>
      <c r="DH1795">
        <v>0</v>
      </c>
      <c r="DI1795">
        <v>0</v>
      </c>
    </row>
    <row r="1796" spans="1:113" x14ac:dyDescent="0.3">
      <c r="A1796" t="str">
        <f>"02/08/2021 20:23:29.430"</f>
        <v>02/08/2021 20:23:29.430</v>
      </c>
      <c r="C1796" t="str">
        <f t="shared" si="87"/>
        <v>FFDFD7C0</v>
      </c>
      <c r="D1796" t="s">
        <v>124</v>
      </c>
      <c r="E1796">
        <v>13</v>
      </c>
      <c r="F1796">
        <v>1013</v>
      </c>
      <c r="G1796" t="s">
        <v>114</v>
      </c>
      <c r="J1796" t="s">
        <v>125</v>
      </c>
      <c r="K1796">
        <v>0</v>
      </c>
      <c r="L1796">
        <v>3</v>
      </c>
      <c r="M1796">
        <v>0</v>
      </c>
      <c r="N1796">
        <v>2</v>
      </c>
      <c r="O1796">
        <v>1</v>
      </c>
      <c r="P1796">
        <v>0</v>
      </c>
      <c r="Q1796">
        <v>0</v>
      </c>
      <c r="S1796" t="str">
        <f>"20:23:31.750"</f>
        <v>20:23:31.750</v>
      </c>
      <c r="T1796" t="str">
        <f>"20:23:31.350"</f>
        <v>20:23:31.350</v>
      </c>
      <c r="U1796" t="str">
        <f t="shared" si="89"/>
        <v>AB01F4</v>
      </c>
      <c r="V1796">
        <v>0</v>
      </c>
      <c r="W1796">
        <v>0</v>
      </c>
      <c r="X1796">
        <v>2</v>
      </c>
      <c r="Z1796">
        <v>0</v>
      </c>
      <c r="AA1796">
        <v>9</v>
      </c>
      <c r="AB1796">
        <v>3</v>
      </c>
      <c r="AC1796">
        <v>0</v>
      </c>
      <c r="AD1796">
        <v>10</v>
      </c>
      <c r="AE1796">
        <v>0</v>
      </c>
      <c r="AF1796">
        <v>3</v>
      </c>
      <c r="AG1796">
        <v>2</v>
      </c>
      <c r="AH1796">
        <v>0</v>
      </c>
      <c r="AI1796" t="s">
        <v>1147</v>
      </c>
      <c r="AJ1796">
        <v>39.899554000000002</v>
      </c>
      <c r="AK1796" t="s">
        <v>1148</v>
      </c>
      <c r="AL1796">
        <v>-92.567646999999994</v>
      </c>
      <c r="AM1796">
        <v>100</v>
      </c>
      <c r="AN1796">
        <v>1700</v>
      </c>
      <c r="AO1796" t="s">
        <v>118</v>
      </c>
      <c r="AP1796">
        <v>-107</v>
      </c>
      <c r="AQ1796">
        <v>75</v>
      </c>
      <c r="AR1796">
        <v>-64</v>
      </c>
      <c r="AZ1796">
        <v>1200</v>
      </c>
      <c r="BA1796">
        <v>1</v>
      </c>
      <c r="BB1796" t="str">
        <f t="shared" si="88"/>
        <v xml:space="preserve">N8080G  </v>
      </c>
      <c r="BC1796">
        <v>1</v>
      </c>
      <c r="BE1796">
        <v>0</v>
      </c>
      <c r="BF1796">
        <v>0</v>
      </c>
      <c r="BG1796">
        <v>0</v>
      </c>
      <c r="BH1796">
        <v>1700</v>
      </c>
      <c r="BI1796">
        <v>1</v>
      </c>
      <c r="BJ1796">
        <v>1</v>
      </c>
      <c r="BK1796">
        <v>1</v>
      </c>
      <c r="BL1796">
        <v>0</v>
      </c>
      <c r="BO1796">
        <v>0</v>
      </c>
      <c r="BP1796">
        <v>0</v>
      </c>
      <c r="BW1796" t="str">
        <f>"20:23:31.757"</f>
        <v>20:23:31.757</v>
      </c>
      <c r="BZ1796">
        <v>0</v>
      </c>
      <c r="CA1796">
        <v>2016</v>
      </c>
      <c r="CB1796">
        <v>224</v>
      </c>
      <c r="CD1796">
        <v>1</v>
      </c>
      <c r="CE1796">
        <v>0</v>
      </c>
      <c r="CF1796">
        <v>0</v>
      </c>
      <c r="CG1796">
        <v>1</v>
      </c>
      <c r="CH1796">
        <v>0</v>
      </c>
      <c r="CI1796">
        <v>0</v>
      </c>
      <c r="CJ1796">
        <v>0</v>
      </c>
      <c r="CK1796">
        <v>2</v>
      </c>
      <c r="CL1796">
        <v>0</v>
      </c>
      <c r="CM1796">
        <v>2</v>
      </c>
      <c r="CN1796">
        <v>0</v>
      </c>
      <c r="CO1796">
        <v>7</v>
      </c>
      <c r="CP1796" t="s">
        <v>119</v>
      </c>
      <c r="CQ1796">
        <v>180</v>
      </c>
      <c r="CR1796">
        <v>2</v>
      </c>
      <c r="CW1796">
        <v>8338925</v>
      </c>
      <c r="CY1796">
        <v>1</v>
      </c>
      <c r="CZ1796">
        <v>0</v>
      </c>
      <c r="DA1796">
        <v>1</v>
      </c>
      <c r="DB1796">
        <v>0</v>
      </c>
      <c r="DC1796">
        <v>0</v>
      </c>
      <c r="DD1796">
        <v>0</v>
      </c>
      <c r="DE1796">
        <v>0</v>
      </c>
      <c r="DF1796">
        <v>0</v>
      </c>
      <c r="DG1796">
        <v>0</v>
      </c>
      <c r="DH1796">
        <v>0</v>
      </c>
      <c r="DI1796">
        <v>0</v>
      </c>
    </row>
    <row r="1797" spans="1:113" x14ac:dyDescent="0.3">
      <c r="A1797" t="str">
        <f>"02/08/2021 20:23:29.430"</f>
        <v>02/08/2021 20:23:29.430</v>
      </c>
      <c r="C1797" t="str">
        <f t="shared" si="87"/>
        <v>FFDFD7C0</v>
      </c>
      <c r="D1797" t="s">
        <v>113</v>
      </c>
      <c r="E1797">
        <v>6</v>
      </c>
      <c r="H1797">
        <v>165</v>
      </c>
      <c r="I1797" t="s">
        <v>114</v>
      </c>
      <c r="J1797" t="s">
        <v>115</v>
      </c>
      <c r="K1797">
        <v>0</v>
      </c>
      <c r="L1797">
        <v>3</v>
      </c>
      <c r="M1797">
        <v>0</v>
      </c>
      <c r="N1797">
        <v>2</v>
      </c>
      <c r="O1797">
        <v>1</v>
      </c>
      <c r="P1797">
        <v>0</v>
      </c>
      <c r="Q1797">
        <v>0</v>
      </c>
      <c r="S1797" t="str">
        <f>"20:23:31.750"</f>
        <v>20:23:31.750</v>
      </c>
      <c r="T1797" t="str">
        <f>"20:23:31.350"</f>
        <v>20:23:31.350</v>
      </c>
      <c r="U1797" t="str">
        <f t="shared" si="89"/>
        <v>AB01F4</v>
      </c>
      <c r="V1797">
        <v>0</v>
      </c>
      <c r="W1797">
        <v>0</v>
      </c>
      <c r="X1797">
        <v>2</v>
      </c>
      <c r="Z1797">
        <v>0</v>
      </c>
      <c r="AA1797">
        <v>9</v>
      </c>
      <c r="AB1797">
        <v>3</v>
      </c>
      <c r="AC1797">
        <v>0</v>
      </c>
      <c r="AD1797">
        <v>10</v>
      </c>
      <c r="AE1797">
        <v>0</v>
      </c>
      <c r="AF1797">
        <v>3</v>
      </c>
      <c r="AG1797">
        <v>2</v>
      </c>
      <c r="AH1797">
        <v>0</v>
      </c>
      <c r="AI1797" t="s">
        <v>1147</v>
      </c>
      <c r="AJ1797">
        <v>39.899554000000002</v>
      </c>
      <c r="AK1797" t="s">
        <v>1148</v>
      </c>
      <c r="AL1797">
        <v>-92.567646999999994</v>
      </c>
      <c r="AM1797">
        <v>100</v>
      </c>
      <c r="AN1797">
        <v>1700</v>
      </c>
      <c r="AO1797" t="s">
        <v>118</v>
      </c>
      <c r="AP1797">
        <v>-107</v>
      </c>
      <c r="AQ1797">
        <v>75</v>
      </c>
      <c r="AR1797">
        <v>-64</v>
      </c>
      <c r="AZ1797">
        <v>1200</v>
      </c>
      <c r="BA1797">
        <v>1</v>
      </c>
      <c r="BB1797" t="str">
        <f t="shared" si="88"/>
        <v xml:space="preserve">N8080G  </v>
      </c>
      <c r="BC1797">
        <v>1</v>
      </c>
      <c r="BE1797">
        <v>0</v>
      </c>
      <c r="BF1797">
        <v>0</v>
      </c>
      <c r="BG1797">
        <v>0</v>
      </c>
      <c r="BH1797">
        <v>1700</v>
      </c>
      <c r="BI1797">
        <v>1</v>
      </c>
      <c r="BJ1797">
        <v>1</v>
      </c>
      <c r="BK1797">
        <v>1</v>
      </c>
      <c r="BL1797">
        <v>0</v>
      </c>
      <c r="BO1797">
        <v>0</v>
      </c>
      <c r="BP1797">
        <v>0</v>
      </c>
      <c r="BW1797" t="str">
        <f>"20:23:31.757"</f>
        <v>20:23:31.757</v>
      </c>
      <c r="BZ1797">
        <v>0</v>
      </c>
      <c r="CA1797">
        <v>2016</v>
      </c>
      <c r="CB1797">
        <v>224</v>
      </c>
      <c r="CD1797">
        <v>1</v>
      </c>
      <c r="CE1797">
        <v>0</v>
      </c>
      <c r="CF1797">
        <v>0</v>
      </c>
      <c r="CG1797">
        <v>1</v>
      </c>
      <c r="CH1797">
        <v>0</v>
      </c>
      <c r="CI1797">
        <v>0</v>
      </c>
      <c r="CJ1797">
        <v>0</v>
      </c>
      <c r="CK1797">
        <v>2</v>
      </c>
      <c r="CL1797">
        <v>0</v>
      </c>
      <c r="CM1797">
        <v>2</v>
      </c>
      <c r="CN1797">
        <v>0</v>
      </c>
      <c r="CO1797">
        <v>7</v>
      </c>
      <c r="CP1797" t="s">
        <v>119</v>
      </c>
      <c r="CQ1797">
        <v>180</v>
      </c>
      <c r="CR1797">
        <v>2</v>
      </c>
      <c r="CW1797">
        <v>8338925</v>
      </c>
      <c r="CY1797">
        <v>1</v>
      </c>
      <c r="CZ1797">
        <v>0</v>
      </c>
      <c r="DA1797">
        <v>1</v>
      </c>
      <c r="DB1797">
        <v>0</v>
      </c>
      <c r="DC1797">
        <v>0</v>
      </c>
      <c r="DD1797">
        <v>0</v>
      </c>
      <c r="DE1797">
        <v>0</v>
      </c>
      <c r="DF1797">
        <v>0</v>
      </c>
      <c r="DG1797">
        <v>0</v>
      </c>
      <c r="DH1797">
        <v>0</v>
      </c>
      <c r="DI1797">
        <v>0</v>
      </c>
    </row>
    <row r="1798" spans="1:113" x14ac:dyDescent="0.3">
      <c r="A1798" t="str">
        <f>"02/08/2021 20:23:29.430"</f>
        <v>02/08/2021 20:23:29.430</v>
      </c>
      <c r="C1798" t="str">
        <f t="shared" si="87"/>
        <v>FFDFD7C0</v>
      </c>
      <c r="D1798" t="s">
        <v>124</v>
      </c>
      <c r="E1798">
        <v>12</v>
      </c>
      <c r="F1798">
        <v>1012</v>
      </c>
      <c r="G1798" t="s">
        <v>675</v>
      </c>
      <c r="J1798" t="s">
        <v>125</v>
      </c>
      <c r="K1798">
        <v>0</v>
      </c>
      <c r="L1798">
        <v>3</v>
      </c>
      <c r="M1798">
        <v>0</v>
      </c>
      <c r="N1798">
        <v>2</v>
      </c>
      <c r="O1798">
        <v>1</v>
      </c>
      <c r="P1798">
        <v>0</v>
      </c>
      <c r="Q1798">
        <v>0</v>
      </c>
      <c r="S1798" t="str">
        <f>"20:23:31.750"</f>
        <v>20:23:31.750</v>
      </c>
      <c r="T1798" t="str">
        <f>"20:23:31.350"</f>
        <v>20:23:31.350</v>
      </c>
      <c r="U1798" t="str">
        <f t="shared" si="89"/>
        <v>AB01F4</v>
      </c>
      <c r="V1798">
        <v>0</v>
      </c>
      <c r="W1798">
        <v>0</v>
      </c>
      <c r="X1798">
        <v>2</v>
      </c>
      <c r="Z1798">
        <v>0</v>
      </c>
      <c r="AA1798">
        <v>9</v>
      </c>
      <c r="AB1798">
        <v>3</v>
      </c>
      <c r="AC1798">
        <v>0</v>
      </c>
      <c r="AD1798">
        <v>10</v>
      </c>
      <c r="AE1798">
        <v>0</v>
      </c>
      <c r="AF1798">
        <v>3</v>
      </c>
      <c r="AG1798">
        <v>2</v>
      </c>
      <c r="AH1798">
        <v>0</v>
      </c>
      <c r="AI1798" t="s">
        <v>1147</v>
      </c>
      <c r="AJ1798">
        <v>39.899554000000002</v>
      </c>
      <c r="AK1798" t="s">
        <v>1148</v>
      </c>
      <c r="AL1798">
        <v>-92.567646999999994</v>
      </c>
      <c r="AM1798">
        <v>100</v>
      </c>
      <c r="AN1798">
        <v>1700</v>
      </c>
      <c r="AO1798" t="s">
        <v>118</v>
      </c>
      <c r="AP1798">
        <v>-107</v>
      </c>
      <c r="AQ1798">
        <v>75</v>
      </c>
      <c r="AR1798">
        <v>-64</v>
      </c>
      <c r="AZ1798">
        <v>1200</v>
      </c>
      <c r="BA1798">
        <v>1</v>
      </c>
      <c r="BB1798" t="str">
        <f t="shared" si="88"/>
        <v xml:space="preserve">N8080G  </v>
      </c>
      <c r="BC1798">
        <v>1</v>
      </c>
      <c r="BE1798">
        <v>0</v>
      </c>
      <c r="BF1798">
        <v>0</v>
      </c>
      <c r="BG1798">
        <v>0</v>
      </c>
      <c r="BH1798">
        <v>1700</v>
      </c>
      <c r="BI1798">
        <v>1</v>
      </c>
      <c r="BJ1798">
        <v>1</v>
      </c>
      <c r="BK1798">
        <v>1</v>
      </c>
      <c r="BL1798">
        <v>0</v>
      </c>
      <c r="BO1798">
        <v>0</v>
      </c>
      <c r="BP1798">
        <v>0</v>
      </c>
      <c r="BW1798" t="str">
        <f>"20:23:31.757"</f>
        <v>20:23:31.757</v>
      </c>
      <c r="BZ1798">
        <v>0</v>
      </c>
      <c r="CA1798">
        <v>2016</v>
      </c>
      <c r="CB1798">
        <v>224</v>
      </c>
      <c r="CD1798">
        <v>1</v>
      </c>
      <c r="CE1798">
        <v>0</v>
      </c>
      <c r="CF1798">
        <v>0</v>
      </c>
      <c r="CG1798">
        <v>1</v>
      </c>
      <c r="CH1798">
        <v>0</v>
      </c>
      <c r="CI1798">
        <v>0</v>
      </c>
      <c r="CJ1798">
        <v>0</v>
      </c>
      <c r="CK1798">
        <v>2</v>
      </c>
      <c r="CL1798">
        <v>0</v>
      </c>
      <c r="CM1798">
        <v>2</v>
      </c>
      <c r="CN1798">
        <v>0</v>
      </c>
      <c r="CO1798">
        <v>7</v>
      </c>
      <c r="CP1798" t="s">
        <v>119</v>
      </c>
      <c r="CQ1798">
        <v>180</v>
      </c>
      <c r="CR1798">
        <v>2</v>
      </c>
      <c r="CW1798">
        <v>8338925</v>
      </c>
      <c r="CY1798">
        <v>1</v>
      </c>
      <c r="CZ1798">
        <v>0</v>
      </c>
      <c r="DA1798">
        <v>1</v>
      </c>
      <c r="DB1798">
        <v>0</v>
      </c>
      <c r="DC1798">
        <v>0</v>
      </c>
      <c r="DD1798">
        <v>0</v>
      </c>
      <c r="DE1798">
        <v>0</v>
      </c>
      <c r="DF1798">
        <v>0</v>
      </c>
      <c r="DG1798">
        <v>0</v>
      </c>
      <c r="DH1798">
        <v>0</v>
      </c>
      <c r="DI1798">
        <v>0</v>
      </c>
    </row>
    <row r="1799" spans="1:113" x14ac:dyDescent="0.3">
      <c r="A1799" t="str">
        <f>"02/08/2021 20:23:30.855"</f>
        <v>02/08/2021 20:23:30.855</v>
      </c>
      <c r="C1799" t="str">
        <f t="shared" si="87"/>
        <v>FFDFD7C0</v>
      </c>
      <c r="D1799" t="s">
        <v>113</v>
      </c>
      <c r="E1799">
        <v>6</v>
      </c>
      <c r="H1799">
        <v>165</v>
      </c>
      <c r="I1799" t="s">
        <v>114</v>
      </c>
      <c r="J1799" t="s">
        <v>115</v>
      </c>
      <c r="K1799">
        <v>0</v>
      </c>
      <c r="L1799">
        <v>3</v>
      </c>
      <c r="M1799">
        <v>0</v>
      </c>
      <c r="N1799">
        <v>2</v>
      </c>
      <c r="O1799">
        <v>1</v>
      </c>
      <c r="P1799">
        <v>0</v>
      </c>
      <c r="Q1799">
        <v>0</v>
      </c>
      <c r="S1799" t="str">
        <f>"20:23:33.188"</f>
        <v>20:23:33.188</v>
      </c>
      <c r="T1799" t="str">
        <f>"20:23:32.688"</f>
        <v>20:23:32.688</v>
      </c>
      <c r="U1799" t="str">
        <f t="shared" si="89"/>
        <v>AB01F4</v>
      </c>
      <c r="V1799">
        <v>0</v>
      </c>
      <c r="W1799">
        <v>0</v>
      </c>
      <c r="X1799">
        <v>2</v>
      </c>
      <c r="Z1799">
        <v>0</v>
      </c>
      <c r="AA1799">
        <v>9</v>
      </c>
      <c r="AB1799">
        <v>3</v>
      </c>
      <c r="AC1799">
        <v>0</v>
      </c>
      <c r="AD1799">
        <v>10</v>
      </c>
      <c r="AE1799">
        <v>0</v>
      </c>
      <c r="AF1799">
        <v>3</v>
      </c>
      <c r="AG1799">
        <v>2</v>
      </c>
      <c r="AH1799">
        <v>0</v>
      </c>
      <c r="AI1799" t="s">
        <v>1149</v>
      </c>
      <c r="AJ1799">
        <v>39.900047999999998</v>
      </c>
      <c r="AK1799" t="s">
        <v>1150</v>
      </c>
      <c r="AL1799">
        <v>-92.568526000000006</v>
      </c>
      <c r="AM1799">
        <v>100</v>
      </c>
      <c r="AN1799">
        <v>1700</v>
      </c>
      <c r="AO1799" t="s">
        <v>118</v>
      </c>
      <c r="AP1799">
        <v>-107</v>
      </c>
      <c r="AQ1799">
        <v>75</v>
      </c>
      <c r="AR1799">
        <v>0</v>
      </c>
      <c r="AZ1799">
        <v>1200</v>
      </c>
      <c r="BA1799">
        <v>1</v>
      </c>
      <c r="BB1799" t="str">
        <f t="shared" si="88"/>
        <v xml:space="preserve">N8080G  </v>
      </c>
      <c r="BC1799">
        <v>1</v>
      </c>
      <c r="BE1799">
        <v>0</v>
      </c>
      <c r="BF1799">
        <v>0</v>
      </c>
      <c r="BG1799">
        <v>0</v>
      </c>
      <c r="BH1799">
        <v>1700</v>
      </c>
      <c r="BI1799">
        <v>1</v>
      </c>
      <c r="BJ1799">
        <v>1</v>
      </c>
      <c r="BK1799">
        <v>1</v>
      </c>
      <c r="BL1799">
        <v>0</v>
      </c>
      <c r="BO1799">
        <v>0</v>
      </c>
      <c r="BP1799">
        <v>0</v>
      </c>
      <c r="BW1799" t="str">
        <f>"20:23:33.194"</f>
        <v>20:23:33.194</v>
      </c>
      <c r="BZ1799">
        <v>0</v>
      </c>
      <c r="CA1799">
        <v>2016</v>
      </c>
      <c r="CB1799">
        <v>224</v>
      </c>
      <c r="CD1799">
        <v>1</v>
      </c>
      <c r="CE1799">
        <v>0</v>
      </c>
      <c r="CF1799">
        <v>0</v>
      </c>
      <c r="CG1799">
        <v>1</v>
      </c>
      <c r="CH1799">
        <v>0</v>
      </c>
      <c r="CI1799">
        <v>0</v>
      </c>
      <c r="CJ1799">
        <v>0</v>
      </c>
      <c r="CK1799">
        <v>2</v>
      </c>
      <c r="CL1799">
        <v>0</v>
      </c>
      <c r="CM1799">
        <v>2</v>
      </c>
      <c r="CN1799">
        <v>0</v>
      </c>
      <c r="CO1799">
        <v>7</v>
      </c>
      <c r="CP1799" t="s">
        <v>119</v>
      </c>
      <c r="CQ1799">
        <v>180</v>
      </c>
      <c r="CR1799">
        <v>2</v>
      </c>
      <c r="CW1799">
        <v>8340120</v>
      </c>
      <c r="CY1799">
        <v>1</v>
      </c>
      <c r="CZ1799">
        <v>0</v>
      </c>
      <c r="DA1799">
        <v>0</v>
      </c>
      <c r="DB1799">
        <v>0</v>
      </c>
      <c r="DC1799">
        <v>0</v>
      </c>
      <c r="DD1799">
        <v>0</v>
      </c>
      <c r="DE1799">
        <v>0</v>
      </c>
      <c r="DF1799">
        <v>0</v>
      </c>
      <c r="DG1799">
        <v>0</v>
      </c>
      <c r="DH1799">
        <v>0</v>
      </c>
      <c r="DI1799">
        <v>0</v>
      </c>
    </row>
    <row r="1800" spans="1:113" x14ac:dyDescent="0.3">
      <c r="A1800" t="str">
        <f>"02/08/2021 20:23:30.855"</f>
        <v>02/08/2021 20:23:30.855</v>
      </c>
      <c r="C1800" t="str">
        <f t="shared" si="87"/>
        <v>FFDFD7C0</v>
      </c>
      <c r="D1800" t="s">
        <v>124</v>
      </c>
      <c r="E1800">
        <v>12</v>
      </c>
      <c r="F1800">
        <v>1012</v>
      </c>
      <c r="G1800" t="s">
        <v>675</v>
      </c>
      <c r="J1800" t="s">
        <v>125</v>
      </c>
      <c r="K1800">
        <v>0</v>
      </c>
      <c r="L1800">
        <v>3</v>
      </c>
      <c r="M1800">
        <v>0</v>
      </c>
      <c r="N1800">
        <v>2</v>
      </c>
      <c r="O1800">
        <v>1</v>
      </c>
      <c r="P1800">
        <v>0</v>
      </c>
      <c r="Q1800">
        <v>0</v>
      </c>
      <c r="S1800" t="str">
        <f>"20:23:33.188"</f>
        <v>20:23:33.188</v>
      </c>
      <c r="T1800" t="str">
        <f>"20:23:32.688"</f>
        <v>20:23:32.688</v>
      </c>
      <c r="U1800" t="str">
        <f t="shared" si="89"/>
        <v>AB01F4</v>
      </c>
      <c r="V1800">
        <v>0</v>
      </c>
      <c r="W1800">
        <v>0</v>
      </c>
      <c r="X1800">
        <v>2</v>
      </c>
      <c r="Z1800">
        <v>0</v>
      </c>
      <c r="AA1800">
        <v>9</v>
      </c>
      <c r="AB1800">
        <v>3</v>
      </c>
      <c r="AC1800">
        <v>0</v>
      </c>
      <c r="AD1800">
        <v>10</v>
      </c>
      <c r="AE1800">
        <v>0</v>
      </c>
      <c r="AF1800">
        <v>3</v>
      </c>
      <c r="AG1800">
        <v>2</v>
      </c>
      <c r="AH1800">
        <v>0</v>
      </c>
      <c r="AI1800" t="s">
        <v>1149</v>
      </c>
      <c r="AJ1800">
        <v>39.900047999999998</v>
      </c>
      <c r="AK1800" t="s">
        <v>1150</v>
      </c>
      <c r="AL1800">
        <v>-92.568526000000006</v>
      </c>
      <c r="AM1800">
        <v>100</v>
      </c>
      <c r="AN1800">
        <v>1700</v>
      </c>
      <c r="AO1800" t="s">
        <v>118</v>
      </c>
      <c r="AP1800">
        <v>-107</v>
      </c>
      <c r="AQ1800">
        <v>75</v>
      </c>
      <c r="AR1800">
        <v>0</v>
      </c>
      <c r="AZ1800">
        <v>1200</v>
      </c>
      <c r="BA1800">
        <v>1</v>
      </c>
      <c r="BB1800" t="str">
        <f t="shared" si="88"/>
        <v xml:space="preserve">N8080G  </v>
      </c>
      <c r="BC1800">
        <v>1</v>
      </c>
      <c r="BE1800">
        <v>0</v>
      </c>
      <c r="BF1800">
        <v>0</v>
      </c>
      <c r="BG1800">
        <v>0</v>
      </c>
      <c r="BH1800">
        <v>1700</v>
      </c>
      <c r="BI1800">
        <v>1</v>
      </c>
      <c r="BJ1800">
        <v>1</v>
      </c>
      <c r="BK1800">
        <v>1</v>
      </c>
      <c r="BL1800">
        <v>0</v>
      </c>
      <c r="BO1800">
        <v>0</v>
      </c>
      <c r="BP1800">
        <v>0</v>
      </c>
      <c r="BW1800" t="str">
        <f>"20:23:33.194"</f>
        <v>20:23:33.194</v>
      </c>
      <c r="BZ1800">
        <v>0</v>
      </c>
      <c r="CA1800">
        <v>2016</v>
      </c>
      <c r="CB1800">
        <v>224</v>
      </c>
      <c r="CD1800">
        <v>1</v>
      </c>
      <c r="CE1800">
        <v>0</v>
      </c>
      <c r="CF1800">
        <v>0</v>
      </c>
      <c r="CG1800">
        <v>1</v>
      </c>
      <c r="CH1800">
        <v>0</v>
      </c>
      <c r="CI1800">
        <v>0</v>
      </c>
      <c r="CJ1800">
        <v>0</v>
      </c>
      <c r="CK1800">
        <v>2</v>
      </c>
      <c r="CL1800">
        <v>0</v>
      </c>
      <c r="CM1800">
        <v>2</v>
      </c>
      <c r="CN1800">
        <v>0</v>
      </c>
      <c r="CO1800">
        <v>7</v>
      </c>
      <c r="CP1800" t="s">
        <v>119</v>
      </c>
      <c r="CQ1800">
        <v>180</v>
      </c>
      <c r="CR1800">
        <v>2</v>
      </c>
      <c r="CW1800">
        <v>8340120</v>
      </c>
      <c r="CY1800">
        <v>1</v>
      </c>
      <c r="CZ1800">
        <v>0</v>
      </c>
      <c r="DA1800">
        <v>1</v>
      </c>
      <c r="DB1800">
        <v>0</v>
      </c>
      <c r="DC1800">
        <v>0</v>
      </c>
      <c r="DD1800">
        <v>0</v>
      </c>
      <c r="DE1800">
        <v>0</v>
      </c>
      <c r="DF1800">
        <v>0</v>
      </c>
      <c r="DG1800">
        <v>0</v>
      </c>
      <c r="DH1800">
        <v>0</v>
      </c>
      <c r="DI1800">
        <v>0</v>
      </c>
    </row>
    <row r="1801" spans="1:113" x14ac:dyDescent="0.3">
      <c r="A1801" t="str">
        <f>"02/08/2021 20:23:30.855"</f>
        <v>02/08/2021 20:23:30.855</v>
      </c>
      <c r="C1801" t="str">
        <f t="shared" si="87"/>
        <v>FFDFD7C0</v>
      </c>
      <c r="D1801" t="s">
        <v>124</v>
      </c>
      <c r="E1801">
        <v>11</v>
      </c>
      <c r="F1801">
        <v>1011</v>
      </c>
      <c r="G1801" t="s">
        <v>590</v>
      </c>
      <c r="J1801" t="s">
        <v>125</v>
      </c>
      <c r="K1801">
        <v>0</v>
      </c>
      <c r="L1801">
        <v>3</v>
      </c>
      <c r="M1801">
        <v>0</v>
      </c>
      <c r="N1801">
        <v>2</v>
      </c>
      <c r="O1801">
        <v>1</v>
      </c>
      <c r="P1801">
        <v>0</v>
      </c>
      <c r="Q1801">
        <v>0</v>
      </c>
      <c r="S1801" t="str">
        <f>"20:23:33.188"</f>
        <v>20:23:33.188</v>
      </c>
      <c r="T1801" t="str">
        <f>"20:23:32.688"</f>
        <v>20:23:32.688</v>
      </c>
      <c r="U1801" t="str">
        <f t="shared" si="89"/>
        <v>AB01F4</v>
      </c>
      <c r="V1801">
        <v>0</v>
      </c>
      <c r="W1801">
        <v>0</v>
      </c>
      <c r="X1801">
        <v>2</v>
      </c>
      <c r="Z1801">
        <v>0</v>
      </c>
      <c r="AA1801">
        <v>9</v>
      </c>
      <c r="AB1801">
        <v>3</v>
      </c>
      <c r="AC1801">
        <v>0</v>
      </c>
      <c r="AD1801">
        <v>10</v>
      </c>
      <c r="AE1801">
        <v>0</v>
      </c>
      <c r="AF1801">
        <v>3</v>
      </c>
      <c r="AG1801">
        <v>2</v>
      </c>
      <c r="AH1801">
        <v>0</v>
      </c>
      <c r="AI1801" t="s">
        <v>1149</v>
      </c>
      <c r="AJ1801">
        <v>39.900047999999998</v>
      </c>
      <c r="AK1801" t="s">
        <v>1150</v>
      </c>
      <c r="AL1801">
        <v>-92.568526000000006</v>
      </c>
      <c r="AM1801">
        <v>100</v>
      </c>
      <c r="AN1801">
        <v>1700</v>
      </c>
      <c r="AO1801" t="s">
        <v>118</v>
      </c>
      <c r="AP1801">
        <v>-107</v>
      </c>
      <c r="AQ1801">
        <v>75</v>
      </c>
      <c r="AR1801">
        <v>0</v>
      </c>
      <c r="AZ1801">
        <v>1200</v>
      </c>
      <c r="BA1801">
        <v>1</v>
      </c>
      <c r="BB1801" t="str">
        <f t="shared" si="88"/>
        <v xml:space="preserve">N8080G  </v>
      </c>
      <c r="BC1801">
        <v>1</v>
      </c>
      <c r="BE1801">
        <v>0</v>
      </c>
      <c r="BF1801">
        <v>0</v>
      </c>
      <c r="BG1801">
        <v>0</v>
      </c>
      <c r="BH1801">
        <v>1700</v>
      </c>
      <c r="BI1801">
        <v>1</v>
      </c>
      <c r="BJ1801">
        <v>1</v>
      </c>
      <c r="BK1801">
        <v>1</v>
      </c>
      <c r="BL1801">
        <v>0</v>
      </c>
      <c r="BO1801">
        <v>0</v>
      </c>
      <c r="BP1801">
        <v>0</v>
      </c>
      <c r="BW1801" t="str">
        <f>"20:23:33.194"</f>
        <v>20:23:33.194</v>
      </c>
      <c r="BZ1801">
        <v>0</v>
      </c>
      <c r="CA1801">
        <v>2016</v>
      </c>
      <c r="CB1801">
        <v>224</v>
      </c>
      <c r="CD1801">
        <v>1</v>
      </c>
      <c r="CE1801">
        <v>0</v>
      </c>
      <c r="CF1801">
        <v>0</v>
      </c>
      <c r="CG1801">
        <v>1</v>
      </c>
      <c r="CH1801">
        <v>0</v>
      </c>
      <c r="CI1801">
        <v>0</v>
      </c>
      <c r="CJ1801">
        <v>0</v>
      </c>
      <c r="CK1801">
        <v>2</v>
      </c>
      <c r="CL1801">
        <v>0</v>
      </c>
      <c r="CM1801">
        <v>2</v>
      </c>
      <c r="CN1801">
        <v>0</v>
      </c>
      <c r="CO1801">
        <v>7</v>
      </c>
      <c r="CP1801" t="s">
        <v>119</v>
      </c>
      <c r="CQ1801">
        <v>180</v>
      </c>
      <c r="CR1801">
        <v>2</v>
      </c>
      <c r="CW1801">
        <v>8340120</v>
      </c>
      <c r="CY1801">
        <v>1</v>
      </c>
      <c r="CZ1801">
        <v>0</v>
      </c>
      <c r="DA1801">
        <v>1</v>
      </c>
      <c r="DB1801">
        <v>0</v>
      </c>
      <c r="DC1801">
        <v>0</v>
      </c>
      <c r="DD1801">
        <v>0</v>
      </c>
      <c r="DE1801">
        <v>0</v>
      </c>
      <c r="DF1801">
        <v>0</v>
      </c>
      <c r="DG1801">
        <v>0</v>
      </c>
      <c r="DH1801">
        <v>0</v>
      </c>
      <c r="DI1801">
        <v>0</v>
      </c>
    </row>
    <row r="1802" spans="1:113" x14ac:dyDescent="0.3">
      <c r="A1802" t="str">
        <f>"02/08/2021 20:23:30.855"</f>
        <v>02/08/2021 20:23:30.855</v>
      </c>
      <c r="C1802" t="str">
        <f t="shared" si="87"/>
        <v>FFDFD7C0</v>
      </c>
      <c r="D1802" t="s">
        <v>124</v>
      </c>
      <c r="E1802">
        <v>13</v>
      </c>
      <c r="F1802">
        <v>1013</v>
      </c>
      <c r="G1802" t="s">
        <v>114</v>
      </c>
      <c r="J1802" t="s">
        <v>125</v>
      </c>
      <c r="K1802">
        <v>0</v>
      </c>
      <c r="L1802">
        <v>3</v>
      </c>
      <c r="M1802">
        <v>0</v>
      </c>
      <c r="N1802">
        <v>2</v>
      </c>
      <c r="O1802">
        <v>1</v>
      </c>
      <c r="P1802">
        <v>0</v>
      </c>
      <c r="Q1802">
        <v>0</v>
      </c>
      <c r="S1802" t="str">
        <f>"20:23:33.188"</f>
        <v>20:23:33.188</v>
      </c>
      <c r="T1802" t="str">
        <f>"20:23:32.688"</f>
        <v>20:23:32.688</v>
      </c>
      <c r="U1802" t="str">
        <f t="shared" si="89"/>
        <v>AB01F4</v>
      </c>
      <c r="V1802">
        <v>0</v>
      </c>
      <c r="W1802">
        <v>0</v>
      </c>
      <c r="X1802">
        <v>2</v>
      </c>
      <c r="Z1802">
        <v>0</v>
      </c>
      <c r="AA1802">
        <v>9</v>
      </c>
      <c r="AB1802">
        <v>3</v>
      </c>
      <c r="AC1802">
        <v>0</v>
      </c>
      <c r="AD1802">
        <v>10</v>
      </c>
      <c r="AE1802">
        <v>0</v>
      </c>
      <c r="AF1802">
        <v>3</v>
      </c>
      <c r="AG1802">
        <v>2</v>
      </c>
      <c r="AH1802">
        <v>0</v>
      </c>
      <c r="AI1802" t="s">
        <v>1149</v>
      </c>
      <c r="AJ1802">
        <v>39.900047999999998</v>
      </c>
      <c r="AK1802" t="s">
        <v>1150</v>
      </c>
      <c r="AL1802">
        <v>-92.568526000000006</v>
      </c>
      <c r="AM1802">
        <v>100</v>
      </c>
      <c r="AN1802">
        <v>1700</v>
      </c>
      <c r="AO1802" t="s">
        <v>118</v>
      </c>
      <c r="AP1802">
        <v>-107</v>
      </c>
      <c r="AQ1802">
        <v>75</v>
      </c>
      <c r="AR1802">
        <v>0</v>
      </c>
      <c r="AZ1802">
        <v>1200</v>
      </c>
      <c r="BA1802">
        <v>1</v>
      </c>
      <c r="BB1802" t="str">
        <f t="shared" si="88"/>
        <v xml:space="preserve">N8080G  </v>
      </c>
      <c r="BC1802">
        <v>1</v>
      </c>
      <c r="BE1802">
        <v>0</v>
      </c>
      <c r="BF1802">
        <v>0</v>
      </c>
      <c r="BG1802">
        <v>0</v>
      </c>
      <c r="BH1802">
        <v>1700</v>
      </c>
      <c r="BI1802">
        <v>1</v>
      </c>
      <c r="BJ1802">
        <v>1</v>
      </c>
      <c r="BK1802">
        <v>1</v>
      </c>
      <c r="BL1802">
        <v>0</v>
      </c>
      <c r="BO1802">
        <v>0</v>
      </c>
      <c r="BP1802">
        <v>0</v>
      </c>
      <c r="BW1802" t="str">
        <f>"20:23:33.194"</f>
        <v>20:23:33.194</v>
      </c>
      <c r="BZ1802">
        <v>0</v>
      </c>
      <c r="CA1802">
        <v>2016</v>
      </c>
      <c r="CB1802">
        <v>224</v>
      </c>
      <c r="CD1802">
        <v>1</v>
      </c>
      <c r="CE1802">
        <v>0</v>
      </c>
      <c r="CF1802">
        <v>0</v>
      </c>
      <c r="CG1802">
        <v>1</v>
      </c>
      <c r="CH1802">
        <v>0</v>
      </c>
      <c r="CI1802">
        <v>0</v>
      </c>
      <c r="CJ1802">
        <v>0</v>
      </c>
      <c r="CK1802">
        <v>2</v>
      </c>
      <c r="CL1802">
        <v>0</v>
      </c>
      <c r="CM1802">
        <v>2</v>
      </c>
      <c r="CN1802">
        <v>0</v>
      </c>
      <c r="CO1802">
        <v>7</v>
      </c>
      <c r="CP1802" t="s">
        <v>119</v>
      </c>
      <c r="CQ1802">
        <v>180</v>
      </c>
      <c r="CR1802">
        <v>2</v>
      </c>
      <c r="CW1802">
        <v>8340120</v>
      </c>
      <c r="CY1802">
        <v>1</v>
      </c>
      <c r="CZ1802">
        <v>0</v>
      </c>
      <c r="DA1802">
        <v>1</v>
      </c>
      <c r="DB1802">
        <v>0</v>
      </c>
      <c r="DC1802">
        <v>0</v>
      </c>
      <c r="DD1802">
        <v>0</v>
      </c>
      <c r="DE1802">
        <v>0</v>
      </c>
      <c r="DF1802">
        <v>0</v>
      </c>
      <c r="DG1802">
        <v>0</v>
      </c>
      <c r="DH1802">
        <v>0</v>
      </c>
      <c r="DI1802">
        <v>0</v>
      </c>
    </row>
    <row r="1803" spans="1:113" x14ac:dyDescent="0.3">
      <c r="A1803" t="str">
        <f>"02/08/2021 20:23:32.521"</f>
        <v>02/08/2021 20:23:32.521</v>
      </c>
      <c r="C1803" t="str">
        <f t="shared" si="87"/>
        <v>FFDFD7C0</v>
      </c>
      <c r="D1803" t="s">
        <v>113</v>
      </c>
      <c r="E1803">
        <v>6</v>
      </c>
      <c r="H1803">
        <v>165</v>
      </c>
      <c r="I1803" t="s">
        <v>114</v>
      </c>
      <c r="J1803" t="s">
        <v>115</v>
      </c>
      <c r="K1803">
        <v>0</v>
      </c>
      <c r="L1803">
        <v>3</v>
      </c>
      <c r="M1803">
        <v>0</v>
      </c>
      <c r="N1803">
        <v>2</v>
      </c>
      <c r="O1803">
        <v>1</v>
      </c>
      <c r="P1803">
        <v>0</v>
      </c>
      <c r="Q1803">
        <v>0</v>
      </c>
      <c r="S1803" t="str">
        <f>"20:23:34.820"</f>
        <v>20:23:34.820</v>
      </c>
      <c r="T1803" t="str">
        <f>"20:23:34.320"</f>
        <v>20:23:34.320</v>
      </c>
      <c r="U1803" t="str">
        <f t="shared" si="89"/>
        <v>AB01F4</v>
      </c>
      <c r="V1803">
        <v>0</v>
      </c>
      <c r="W1803">
        <v>0</v>
      </c>
      <c r="X1803">
        <v>2</v>
      </c>
      <c r="Z1803">
        <v>0</v>
      </c>
      <c r="AA1803">
        <v>9</v>
      </c>
      <c r="AB1803">
        <v>3</v>
      </c>
      <c r="AC1803">
        <v>0</v>
      </c>
      <c r="AD1803">
        <v>10</v>
      </c>
      <c r="AE1803">
        <v>0</v>
      </c>
      <c r="AF1803">
        <v>3</v>
      </c>
      <c r="AG1803">
        <v>2</v>
      </c>
      <c r="AH1803">
        <v>0</v>
      </c>
      <c r="AI1803" t="s">
        <v>1151</v>
      </c>
      <c r="AJ1803">
        <v>39.900627</v>
      </c>
      <c r="AK1803" t="s">
        <v>1152</v>
      </c>
      <c r="AL1803">
        <v>-92.569642000000002</v>
      </c>
      <c r="AM1803">
        <v>100</v>
      </c>
      <c r="AN1803">
        <v>1700</v>
      </c>
      <c r="AO1803" t="s">
        <v>118</v>
      </c>
      <c r="AP1803">
        <v>-107</v>
      </c>
      <c r="AQ1803">
        <v>75</v>
      </c>
      <c r="AR1803">
        <v>128</v>
      </c>
      <c r="AZ1803">
        <v>1200</v>
      </c>
      <c r="BA1803">
        <v>1</v>
      </c>
      <c r="BB1803" t="str">
        <f t="shared" si="88"/>
        <v xml:space="preserve">N8080G  </v>
      </c>
      <c r="BC1803">
        <v>1</v>
      </c>
      <c r="BE1803">
        <v>0</v>
      </c>
      <c r="BF1803">
        <v>0</v>
      </c>
      <c r="BG1803">
        <v>0</v>
      </c>
      <c r="BH1803">
        <v>1700</v>
      </c>
      <c r="BI1803">
        <v>1</v>
      </c>
      <c r="BJ1803">
        <v>1</v>
      </c>
      <c r="BK1803">
        <v>1</v>
      </c>
      <c r="BL1803">
        <v>0</v>
      </c>
      <c r="BO1803">
        <v>0</v>
      </c>
      <c r="BP1803">
        <v>0</v>
      </c>
      <c r="BW1803" t="str">
        <f>"20:23:34.823"</f>
        <v>20:23:34.823</v>
      </c>
      <c r="BZ1803">
        <v>0</v>
      </c>
      <c r="CA1803">
        <v>2016</v>
      </c>
      <c r="CB1803">
        <v>224</v>
      </c>
      <c r="CD1803">
        <v>1</v>
      </c>
      <c r="CE1803">
        <v>0</v>
      </c>
      <c r="CF1803">
        <v>0</v>
      </c>
      <c r="CG1803">
        <v>1</v>
      </c>
      <c r="CH1803">
        <v>0</v>
      </c>
      <c r="CI1803">
        <v>0</v>
      </c>
      <c r="CJ1803">
        <v>0</v>
      </c>
      <c r="CK1803">
        <v>2</v>
      </c>
      <c r="CL1803">
        <v>0</v>
      </c>
      <c r="CM1803">
        <v>2</v>
      </c>
      <c r="CN1803">
        <v>0</v>
      </c>
      <c r="CO1803">
        <v>7</v>
      </c>
      <c r="CP1803" t="s">
        <v>119</v>
      </c>
      <c r="CQ1803">
        <v>180</v>
      </c>
      <c r="CR1803">
        <v>2</v>
      </c>
      <c r="CW1803">
        <v>8341359</v>
      </c>
      <c r="CY1803">
        <v>1</v>
      </c>
      <c r="CZ1803">
        <v>0</v>
      </c>
      <c r="DA1803">
        <v>0</v>
      </c>
      <c r="DB1803">
        <v>0</v>
      </c>
      <c r="DC1803">
        <v>0</v>
      </c>
      <c r="DD1803">
        <v>0</v>
      </c>
      <c r="DE1803">
        <v>0</v>
      </c>
      <c r="DF1803">
        <v>0</v>
      </c>
      <c r="DG1803">
        <v>0</v>
      </c>
      <c r="DH1803">
        <v>0</v>
      </c>
      <c r="DI1803">
        <v>0</v>
      </c>
    </row>
    <row r="1804" spans="1:113" x14ac:dyDescent="0.3">
      <c r="A1804" t="str">
        <f>"02/08/2021 20:23:32.521"</f>
        <v>02/08/2021 20:23:32.521</v>
      </c>
      <c r="C1804" t="str">
        <f t="shared" si="87"/>
        <v>FFDFD7C0</v>
      </c>
      <c r="D1804" t="s">
        <v>124</v>
      </c>
      <c r="E1804">
        <v>12</v>
      </c>
      <c r="F1804">
        <v>1012</v>
      </c>
      <c r="G1804" t="s">
        <v>675</v>
      </c>
      <c r="J1804" t="s">
        <v>125</v>
      </c>
      <c r="K1804">
        <v>0</v>
      </c>
      <c r="L1804">
        <v>3</v>
      </c>
      <c r="M1804">
        <v>0</v>
      </c>
      <c r="N1804">
        <v>2</v>
      </c>
      <c r="O1804">
        <v>1</v>
      </c>
      <c r="P1804">
        <v>0</v>
      </c>
      <c r="Q1804">
        <v>0</v>
      </c>
      <c r="S1804" t="str">
        <f>"20:23:34.820"</f>
        <v>20:23:34.820</v>
      </c>
      <c r="T1804" t="str">
        <f>"20:23:34.320"</f>
        <v>20:23:34.320</v>
      </c>
      <c r="U1804" t="str">
        <f t="shared" si="89"/>
        <v>AB01F4</v>
      </c>
      <c r="V1804">
        <v>0</v>
      </c>
      <c r="W1804">
        <v>0</v>
      </c>
      <c r="X1804">
        <v>2</v>
      </c>
      <c r="Z1804">
        <v>0</v>
      </c>
      <c r="AA1804">
        <v>9</v>
      </c>
      <c r="AB1804">
        <v>3</v>
      </c>
      <c r="AC1804">
        <v>0</v>
      </c>
      <c r="AD1804">
        <v>10</v>
      </c>
      <c r="AE1804">
        <v>0</v>
      </c>
      <c r="AF1804">
        <v>3</v>
      </c>
      <c r="AG1804">
        <v>2</v>
      </c>
      <c r="AH1804">
        <v>0</v>
      </c>
      <c r="AI1804" t="s">
        <v>1151</v>
      </c>
      <c r="AJ1804">
        <v>39.900627</v>
      </c>
      <c r="AK1804" t="s">
        <v>1152</v>
      </c>
      <c r="AL1804">
        <v>-92.569642000000002</v>
      </c>
      <c r="AM1804">
        <v>100</v>
      </c>
      <c r="AN1804">
        <v>1700</v>
      </c>
      <c r="AO1804" t="s">
        <v>118</v>
      </c>
      <c r="AP1804">
        <v>-107</v>
      </c>
      <c r="AQ1804">
        <v>75</v>
      </c>
      <c r="AR1804">
        <v>128</v>
      </c>
      <c r="AZ1804">
        <v>1200</v>
      </c>
      <c r="BA1804">
        <v>1</v>
      </c>
      <c r="BB1804" t="str">
        <f t="shared" si="88"/>
        <v xml:space="preserve">N8080G  </v>
      </c>
      <c r="BC1804">
        <v>1</v>
      </c>
      <c r="BE1804">
        <v>0</v>
      </c>
      <c r="BF1804">
        <v>0</v>
      </c>
      <c r="BG1804">
        <v>0</v>
      </c>
      <c r="BH1804">
        <v>1700</v>
      </c>
      <c r="BI1804">
        <v>1</v>
      </c>
      <c r="BJ1804">
        <v>1</v>
      </c>
      <c r="BK1804">
        <v>1</v>
      </c>
      <c r="BL1804">
        <v>0</v>
      </c>
      <c r="BO1804">
        <v>0</v>
      </c>
      <c r="BP1804">
        <v>0</v>
      </c>
      <c r="BW1804" t="str">
        <f>"20:23:34.823"</f>
        <v>20:23:34.823</v>
      </c>
      <c r="BZ1804">
        <v>0</v>
      </c>
      <c r="CA1804">
        <v>2016</v>
      </c>
      <c r="CB1804">
        <v>224</v>
      </c>
      <c r="CD1804">
        <v>1</v>
      </c>
      <c r="CE1804">
        <v>0</v>
      </c>
      <c r="CF1804">
        <v>0</v>
      </c>
      <c r="CG1804">
        <v>1</v>
      </c>
      <c r="CH1804">
        <v>0</v>
      </c>
      <c r="CI1804">
        <v>0</v>
      </c>
      <c r="CJ1804">
        <v>0</v>
      </c>
      <c r="CK1804">
        <v>2</v>
      </c>
      <c r="CL1804">
        <v>0</v>
      </c>
      <c r="CM1804">
        <v>2</v>
      </c>
      <c r="CN1804">
        <v>0</v>
      </c>
      <c r="CO1804">
        <v>7</v>
      </c>
      <c r="CP1804" t="s">
        <v>119</v>
      </c>
      <c r="CQ1804">
        <v>180</v>
      </c>
      <c r="CR1804">
        <v>2</v>
      </c>
      <c r="CW1804">
        <v>8341359</v>
      </c>
      <c r="CY1804">
        <v>1</v>
      </c>
      <c r="CZ1804">
        <v>0</v>
      </c>
      <c r="DA1804">
        <v>1</v>
      </c>
      <c r="DB1804">
        <v>0</v>
      </c>
      <c r="DC1804">
        <v>0</v>
      </c>
      <c r="DD1804">
        <v>0</v>
      </c>
      <c r="DE1804">
        <v>0</v>
      </c>
      <c r="DF1804">
        <v>0</v>
      </c>
      <c r="DG1804">
        <v>0</v>
      </c>
      <c r="DH1804">
        <v>0</v>
      </c>
      <c r="DI1804">
        <v>0</v>
      </c>
    </row>
    <row r="1805" spans="1:113" x14ac:dyDescent="0.3">
      <c r="A1805" t="str">
        <f>"02/08/2021 20:23:32.521"</f>
        <v>02/08/2021 20:23:32.521</v>
      </c>
      <c r="C1805" t="str">
        <f t="shared" si="87"/>
        <v>FFDFD7C0</v>
      </c>
      <c r="D1805" t="s">
        <v>124</v>
      </c>
      <c r="E1805">
        <v>13</v>
      </c>
      <c r="F1805">
        <v>1013</v>
      </c>
      <c r="G1805" t="s">
        <v>114</v>
      </c>
      <c r="J1805" t="s">
        <v>125</v>
      </c>
      <c r="K1805">
        <v>0</v>
      </c>
      <c r="L1805">
        <v>3</v>
      </c>
      <c r="M1805">
        <v>0</v>
      </c>
      <c r="N1805">
        <v>2</v>
      </c>
      <c r="O1805">
        <v>1</v>
      </c>
      <c r="P1805">
        <v>0</v>
      </c>
      <c r="Q1805">
        <v>0</v>
      </c>
      <c r="S1805" t="str">
        <f>"20:23:34.820"</f>
        <v>20:23:34.820</v>
      </c>
      <c r="T1805" t="str">
        <f>"20:23:34.320"</f>
        <v>20:23:34.320</v>
      </c>
      <c r="U1805" t="str">
        <f t="shared" si="89"/>
        <v>AB01F4</v>
      </c>
      <c r="V1805">
        <v>0</v>
      </c>
      <c r="W1805">
        <v>0</v>
      </c>
      <c r="X1805">
        <v>2</v>
      </c>
      <c r="Z1805">
        <v>0</v>
      </c>
      <c r="AA1805">
        <v>9</v>
      </c>
      <c r="AB1805">
        <v>3</v>
      </c>
      <c r="AC1805">
        <v>0</v>
      </c>
      <c r="AD1805">
        <v>10</v>
      </c>
      <c r="AE1805">
        <v>0</v>
      </c>
      <c r="AF1805">
        <v>3</v>
      </c>
      <c r="AG1805">
        <v>2</v>
      </c>
      <c r="AH1805">
        <v>0</v>
      </c>
      <c r="AI1805" t="s">
        <v>1151</v>
      </c>
      <c r="AJ1805">
        <v>39.900627</v>
      </c>
      <c r="AK1805" t="s">
        <v>1152</v>
      </c>
      <c r="AL1805">
        <v>-92.569642000000002</v>
      </c>
      <c r="AM1805">
        <v>100</v>
      </c>
      <c r="AN1805">
        <v>1700</v>
      </c>
      <c r="AO1805" t="s">
        <v>118</v>
      </c>
      <c r="AP1805">
        <v>-107</v>
      </c>
      <c r="AQ1805">
        <v>75</v>
      </c>
      <c r="AR1805">
        <v>128</v>
      </c>
      <c r="AZ1805">
        <v>1200</v>
      </c>
      <c r="BA1805">
        <v>1</v>
      </c>
      <c r="BB1805" t="str">
        <f t="shared" si="88"/>
        <v xml:space="preserve">N8080G  </v>
      </c>
      <c r="BC1805">
        <v>1</v>
      </c>
      <c r="BE1805">
        <v>0</v>
      </c>
      <c r="BF1805">
        <v>0</v>
      </c>
      <c r="BG1805">
        <v>0</v>
      </c>
      <c r="BH1805">
        <v>1700</v>
      </c>
      <c r="BI1805">
        <v>1</v>
      </c>
      <c r="BJ1805">
        <v>1</v>
      </c>
      <c r="BK1805">
        <v>1</v>
      </c>
      <c r="BL1805">
        <v>0</v>
      </c>
      <c r="BO1805">
        <v>0</v>
      </c>
      <c r="BP1805">
        <v>0</v>
      </c>
      <c r="BW1805" t="str">
        <f>"20:23:34.823"</f>
        <v>20:23:34.823</v>
      </c>
      <c r="BZ1805">
        <v>0</v>
      </c>
      <c r="CA1805">
        <v>2016</v>
      </c>
      <c r="CB1805">
        <v>224</v>
      </c>
      <c r="CD1805">
        <v>1</v>
      </c>
      <c r="CE1805">
        <v>0</v>
      </c>
      <c r="CF1805">
        <v>0</v>
      </c>
      <c r="CG1805">
        <v>1</v>
      </c>
      <c r="CH1805">
        <v>0</v>
      </c>
      <c r="CI1805">
        <v>0</v>
      </c>
      <c r="CJ1805">
        <v>0</v>
      </c>
      <c r="CK1805">
        <v>2</v>
      </c>
      <c r="CL1805">
        <v>0</v>
      </c>
      <c r="CM1805">
        <v>2</v>
      </c>
      <c r="CN1805">
        <v>0</v>
      </c>
      <c r="CO1805">
        <v>7</v>
      </c>
      <c r="CP1805" t="s">
        <v>119</v>
      </c>
      <c r="CQ1805">
        <v>180</v>
      </c>
      <c r="CR1805">
        <v>2</v>
      </c>
      <c r="CW1805">
        <v>8341359</v>
      </c>
      <c r="CY1805">
        <v>1</v>
      </c>
      <c r="CZ1805">
        <v>0</v>
      </c>
      <c r="DA1805">
        <v>1</v>
      </c>
      <c r="DB1805">
        <v>0</v>
      </c>
      <c r="DC1805">
        <v>0</v>
      </c>
      <c r="DD1805">
        <v>0</v>
      </c>
      <c r="DE1805">
        <v>0</v>
      </c>
      <c r="DF1805">
        <v>0</v>
      </c>
      <c r="DG1805">
        <v>0</v>
      </c>
      <c r="DH1805">
        <v>0</v>
      </c>
      <c r="DI1805">
        <v>0</v>
      </c>
    </row>
    <row r="1806" spans="1:113" x14ac:dyDescent="0.3">
      <c r="A1806" t="str">
        <f>"02/08/2021 20:23:32.521"</f>
        <v>02/08/2021 20:23:32.521</v>
      </c>
      <c r="C1806" t="str">
        <f t="shared" si="87"/>
        <v>FFDFD7C0</v>
      </c>
      <c r="D1806" t="s">
        <v>124</v>
      </c>
      <c r="E1806">
        <v>11</v>
      </c>
      <c r="F1806">
        <v>1011</v>
      </c>
      <c r="G1806" t="s">
        <v>590</v>
      </c>
      <c r="J1806" t="s">
        <v>125</v>
      </c>
      <c r="K1806">
        <v>0</v>
      </c>
      <c r="L1806">
        <v>3</v>
      </c>
      <c r="M1806">
        <v>0</v>
      </c>
      <c r="N1806">
        <v>2</v>
      </c>
      <c r="O1806">
        <v>1</v>
      </c>
      <c r="P1806">
        <v>0</v>
      </c>
      <c r="Q1806">
        <v>0</v>
      </c>
      <c r="S1806" t="str">
        <f>"20:23:34.820"</f>
        <v>20:23:34.820</v>
      </c>
      <c r="T1806" t="str">
        <f>"20:23:34.320"</f>
        <v>20:23:34.320</v>
      </c>
      <c r="U1806" t="str">
        <f t="shared" si="89"/>
        <v>AB01F4</v>
      </c>
      <c r="V1806">
        <v>0</v>
      </c>
      <c r="W1806">
        <v>0</v>
      </c>
      <c r="X1806">
        <v>2</v>
      </c>
      <c r="Z1806">
        <v>0</v>
      </c>
      <c r="AA1806">
        <v>9</v>
      </c>
      <c r="AB1806">
        <v>3</v>
      </c>
      <c r="AC1806">
        <v>0</v>
      </c>
      <c r="AD1806">
        <v>10</v>
      </c>
      <c r="AE1806">
        <v>0</v>
      </c>
      <c r="AF1806">
        <v>3</v>
      </c>
      <c r="AG1806">
        <v>2</v>
      </c>
      <c r="AH1806">
        <v>0</v>
      </c>
      <c r="AI1806" t="s">
        <v>1151</v>
      </c>
      <c r="AJ1806">
        <v>39.900627</v>
      </c>
      <c r="AK1806" t="s">
        <v>1152</v>
      </c>
      <c r="AL1806">
        <v>-92.569642000000002</v>
      </c>
      <c r="AM1806">
        <v>100</v>
      </c>
      <c r="AN1806">
        <v>1700</v>
      </c>
      <c r="AO1806" t="s">
        <v>118</v>
      </c>
      <c r="AP1806">
        <v>-107</v>
      </c>
      <c r="AQ1806">
        <v>75</v>
      </c>
      <c r="AR1806">
        <v>128</v>
      </c>
      <c r="AZ1806">
        <v>1200</v>
      </c>
      <c r="BA1806">
        <v>1</v>
      </c>
      <c r="BB1806" t="str">
        <f t="shared" si="88"/>
        <v xml:space="preserve">N8080G  </v>
      </c>
      <c r="BC1806">
        <v>1</v>
      </c>
      <c r="BE1806">
        <v>0</v>
      </c>
      <c r="BF1806">
        <v>0</v>
      </c>
      <c r="BG1806">
        <v>0</v>
      </c>
      <c r="BH1806">
        <v>1700</v>
      </c>
      <c r="BI1806">
        <v>1</v>
      </c>
      <c r="BJ1806">
        <v>1</v>
      </c>
      <c r="BK1806">
        <v>1</v>
      </c>
      <c r="BL1806">
        <v>0</v>
      </c>
      <c r="BO1806">
        <v>0</v>
      </c>
      <c r="BP1806">
        <v>0</v>
      </c>
      <c r="BW1806" t="str">
        <f>"20:23:34.823"</f>
        <v>20:23:34.823</v>
      </c>
      <c r="BZ1806">
        <v>0</v>
      </c>
      <c r="CA1806">
        <v>2016</v>
      </c>
      <c r="CB1806">
        <v>224</v>
      </c>
      <c r="CD1806">
        <v>1</v>
      </c>
      <c r="CE1806">
        <v>0</v>
      </c>
      <c r="CF1806">
        <v>0</v>
      </c>
      <c r="CG1806">
        <v>1</v>
      </c>
      <c r="CH1806">
        <v>0</v>
      </c>
      <c r="CI1806">
        <v>0</v>
      </c>
      <c r="CJ1806">
        <v>0</v>
      </c>
      <c r="CK1806">
        <v>2</v>
      </c>
      <c r="CL1806">
        <v>0</v>
      </c>
      <c r="CM1806">
        <v>2</v>
      </c>
      <c r="CN1806">
        <v>0</v>
      </c>
      <c r="CO1806">
        <v>7</v>
      </c>
      <c r="CP1806" t="s">
        <v>119</v>
      </c>
      <c r="CQ1806">
        <v>180</v>
      </c>
      <c r="CR1806">
        <v>2</v>
      </c>
      <c r="CW1806">
        <v>8341359</v>
      </c>
      <c r="CY1806">
        <v>1</v>
      </c>
      <c r="CZ1806">
        <v>0</v>
      </c>
      <c r="DA1806">
        <v>1</v>
      </c>
      <c r="DB1806">
        <v>0</v>
      </c>
      <c r="DC1806">
        <v>0</v>
      </c>
      <c r="DD1806">
        <v>0</v>
      </c>
      <c r="DE1806">
        <v>0</v>
      </c>
      <c r="DF1806">
        <v>0</v>
      </c>
      <c r="DG1806">
        <v>0</v>
      </c>
      <c r="DH1806">
        <v>0</v>
      </c>
      <c r="DI1806">
        <v>0</v>
      </c>
    </row>
    <row r="1807" spans="1:113" x14ac:dyDescent="0.3">
      <c r="A1807" t="str">
        <f>"02/08/2021 20:23:37.026"</f>
        <v>02/08/2021 20:23:37.026</v>
      </c>
      <c r="C1807" t="str">
        <f t="shared" si="87"/>
        <v>FFDFD7C0</v>
      </c>
      <c r="D1807" t="s">
        <v>124</v>
      </c>
      <c r="E1807">
        <v>13</v>
      </c>
      <c r="F1807">
        <v>1013</v>
      </c>
      <c r="G1807" t="s">
        <v>114</v>
      </c>
      <c r="J1807" t="s">
        <v>125</v>
      </c>
      <c r="K1807">
        <v>0</v>
      </c>
      <c r="L1807">
        <v>3</v>
      </c>
      <c r="M1807">
        <v>0</v>
      </c>
      <c r="N1807">
        <v>2</v>
      </c>
      <c r="O1807">
        <v>1</v>
      </c>
      <c r="P1807">
        <v>0</v>
      </c>
      <c r="Q1807">
        <v>0</v>
      </c>
      <c r="S1807" t="str">
        <f>"20:23:39.344"</f>
        <v>20:23:39.344</v>
      </c>
      <c r="T1807" t="str">
        <f>"20:23:38.844"</f>
        <v>20:23:38.844</v>
      </c>
      <c r="U1807" t="str">
        <f t="shared" si="89"/>
        <v>AB01F4</v>
      </c>
      <c r="V1807">
        <v>0</v>
      </c>
      <c r="W1807">
        <v>0</v>
      </c>
      <c r="X1807">
        <v>2</v>
      </c>
      <c r="Z1807">
        <v>0</v>
      </c>
      <c r="AA1807">
        <v>9</v>
      </c>
      <c r="AB1807">
        <v>3</v>
      </c>
      <c r="AC1807">
        <v>0</v>
      </c>
      <c r="AD1807">
        <v>10</v>
      </c>
      <c r="AE1807">
        <v>0</v>
      </c>
      <c r="AF1807">
        <v>3</v>
      </c>
      <c r="AG1807">
        <v>2</v>
      </c>
      <c r="AH1807">
        <v>0</v>
      </c>
      <c r="AI1807" t="s">
        <v>1153</v>
      </c>
      <c r="AJ1807">
        <v>39.902214999999998</v>
      </c>
      <c r="AK1807" t="s">
        <v>1154</v>
      </c>
      <c r="AL1807">
        <v>-92.572539000000006</v>
      </c>
      <c r="AM1807">
        <v>100</v>
      </c>
      <c r="AN1807">
        <v>1700</v>
      </c>
      <c r="AO1807" t="s">
        <v>118</v>
      </c>
      <c r="AP1807">
        <v>-106</v>
      </c>
      <c r="AQ1807">
        <v>74</v>
      </c>
      <c r="AR1807">
        <v>64</v>
      </c>
      <c r="AZ1807">
        <v>1200</v>
      </c>
      <c r="BA1807">
        <v>1</v>
      </c>
      <c r="BB1807" t="str">
        <f t="shared" si="88"/>
        <v xml:space="preserve">N8080G  </v>
      </c>
      <c r="BC1807">
        <v>1</v>
      </c>
      <c r="BE1807">
        <v>0</v>
      </c>
      <c r="BF1807">
        <v>0</v>
      </c>
      <c r="BG1807">
        <v>0</v>
      </c>
      <c r="BH1807">
        <v>1700</v>
      </c>
      <c r="BI1807">
        <v>1</v>
      </c>
      <c r="BJ1807">
        <v>1</v>
      </c>
      <c r="BK1807">
        <v>1</v>
      </c>
      <c r="BL1807">
        <v>0</v>
      </c>
      <c r="BO1807">
        <v>0</v>
      </c>
      <c r="BP1807">
        <v>0</v>
      </c>
      <c r="BW1807" t="str">
        <f>"20:23:39.345"</f>
        <v>20:23:39.345</v>
      </c>
      <c r="BZ1807">
        <v>0</v>
      </c>
      <c r="CA1807">
        <v>2016</v>
      </c>
      <c r="CB1807">
        <v>224</v>
      </c>
      <c r="CD1807">
        <v>1</v>
      </c>
      <c r="CE1807">
        <v>0</v>
      </c>
      <c r="CF1807">
        <v>0</v>
      </c>
      <c r="CG1807">
        <v>1</v>
      </c>
      <c r="CH1807">
        <v>0</v>
      </c>
      <c r="CI1807">
        <v>0</v>
      </c>
      <c r="CJ1807">
        <v>0</v>
      </c>
      <c r="CK1807">
        <v>2</v>
      </c>
      <c r="CL1807">
        <v>0</v>
      </c>
      <c r="CM1807">
        <v>2</v>
      </c>
      <c r="CN1807">
        <v>0</v>
      </c>
      <c r="CO1807">
        <v>7</v>
      </c>
      <c r="CP1807" t="s">
        <v>119</v>
      </c>
      <c r="CQ1807">
        <v>180</v>
      </c>
      <c r="CR1807">
        <v>2</v>
      </c>
      <c r="CW1807">
        <v>8344987</v>
      </c>
      <c r="CY1807">
        <v>1</v>
      </c>
      <c r="CZ1807">
        <v>0</v>
      </c>
      <c r="DA1807">
        <v>0</v>
      </c>
      <c r="DB1807">
        <v>0</v>
      </c>
      <c r="DC1807">
        <v>0</v>
      </c>
      <c r="DD1807">
        <v>0</v>
      </c>
      <c r="DE1807">
        <v>0</v>
      </c>
      <c r="DF1807">
        <v>0</v>
      </c>
      <c r="DG1807">
        <v>0</v>
      </c>
      <c r="DH1807">
        <v>0</v>
      </c>
      <c r="DI1807">
        <v>0</v>
      </c>
    </row>
    <row r="1808" spans="1:113" x14ac:dyDescent="0.3">
      <c r="A1808" t="str">
        <f>"02/08/2021 20:23:37.026"</f>
        <v>02/08/2021 20:23:37.026</v>
      </c>
      <c r="C1808" t="str">
        <f t="shared" si="87"/>
        <v>FFDFD7C0</v>
      </c>
      <c r="D1808" t="s">
        <v>124</v>
      </c>
      <c r="E1808">
        <v>11</v>
      </c>
      <c r="F1808">
        <v>1011</v>
      </c>
      <c r="G1808" t="s">
        <v>590</v>
      </c>
      <c r="J1808" t="s">
        <v>125</v>
      </c>
      <c r="K1808">
        <v>0</v>
      </c>
      <c r="L1808">
        <v>3</v>
      </c>
      <c r="M1808">
        <v>0</v>
      </c>
      <c r="N1808">
        <v>2</v>
      </c>
      <c r="O1808">
        <v>1</v>
      </c>
      <c r="P1808">
        <v>0</v>
      </c>
      <c r="Q1808">
        <v>0</v>
      </c>
      <c r="S1808" t="str">
        <f>"20:23:39.344"</f>
        <v>20:23:39.344</v>
      </c>
      <c r="T1808" t="str">
        <f>"20:23:38.844"</f>
        <v>20:23:38.844</v>
      </c>
      <c r="U1808" t="str">
        <f t="shared" si="89"/>
        <v>AB01F4</v>
      </c>
      <c r="V1808">
        <v>0</v>
      </c>
      <c r="W1808">
        <v>0</v>
      </c>
      <c r="X1808">
        <v>2</v>
      </c>
      <c r="Z1808">
        <v>0</v>
      </c>
      <c r="AA1808">
        <v>9</v>
      </c>
      <c r="AB1808">
        <v>3</v>
      </c>
      <c r="AC1808">
        <v>0</v>
      </c>
      <c r="AD1808">
        <v>10</v>
      </c>
      <c r="AE1808">
        <v>0</v>
      </c>
      <c r="AF1808">
        <v>3</v>
      </c>
      <c r="AG1808">
        <v>2</v>
      </c>
      <c r="AH1808">
        <v>0</v>
      </c>
      <c r="AI1808" t="s">
        <v>1153</v>
      </c>
      <c r="AJ1808">
        <v>39.902214999999998</v>
      </c>
      <c r="AK1808" t="s">
        <v>1154</v>
      </c>
      <c r="AL1808">
        <v>-92.572539000000006</v>
      </c>
      <c r="AM1808">
        <v>100</v>
      </c>
      <c r="AN1808">
        <v>1700</v>
      </c>
      <c r="AO1808" t="s">
        <v>118</v>
      </c>
      <c r="AP1808">
        <v>-106</v>
      </c>
      <c r="AQ1808">
        <v>74</v>
      </c>
      <c r="AR1808">
        <v>64</v>
      </c>
      <c r="AZ1808">
        <v>1200</v>
      </c>
      <c r="BA1808">
        <v>1</v>
      </c>
      <c r="BB1808" t="str">
        <f t="shared" si="88"/>
        <v xml:space="preserve">N8080G  </v>
      </c>
      <c r="BC1808">
        <v>1</v>
      </c>
      <c r="BE1808">
        <v>0</v>
      </c>
      <c r="BF1808">
        <v>0</v>
      </c>
      <c r="BG1808">
        <v>0</v>
      </c>
      <c r="BH1808">
        <v>1700</v>
      </c>
      <c r="BI1808">
        <v>1</v>
      </c>
      <c r="BJ1808">
        <v>1</v>
      </c>
      <c r="BK1808">
        <v>1</v>
      </c>
      <c r="BL1808">
        <v>0</v>
      </c>
      <c r="BO1808">
        <v>0</v>
      </c>
      <c r="BP1808">
        <v>0</v>
      </c>
      <c r="BW1808" t="str">
        <f>"20:23:39.345"</f>
        <v>20:23:39.345</v>
      </c>
      <c r="BZ1808">
        <v>0</v>
      </c>
      <c r="CA1808">
        <v>2016</v>
      </c>
      <c r="CB1808">
        <v>224</v>
      </c>
      <c r="CD1808">
        <v>1</v>
      </c>
      <c r="CE1808">
        <v>0</v>
      </c>
      <c r="CF1808">
        <v>0</v>
      </c>
      <c r="CG1808">
        <v>1</v>
      </c>
      <c r="CH1808">
        <v>0</v>
      </c>
      <c r="CI1808">
        <v>0</v>
      </c>
      <c r="CJ1808">
        <v>0</v>
      </c>
      <c r="CK1808">
        <v>2</v>
      </c>
      <c r="CL1808">
        <v>0</v>
      </c>
      <c r="CM1808">
        <v>2</v>
      </c>
      <c r="CN1808">
        <v>0</v>
      </c>
      <c r="CO1808">
        <v>7</v>
      </c>
      <c r="CP1808" t="s">
        <v>119</v>
      </c>
      <c r="CQ1808">
        <v>180</v>
      </c>
      <c r="CR1808">
        <v>2</v>
      </c>
      <c r="CW1808">
        <v>8344987</v>
      </c>
      <c r="CY1808">
        <v>1</v>
      </c>
      <c r="CZ1808">
        <v>0</v>
      </c>
      <c r="DA1808">
        <v>1</v>
      </c>
      <c r="DB1808">
        <v>0</v>
      </c>
      <c r="DC1808">
        <v>0</v>
      </c>
      <c r="DD1808">
        <v>0</v>
      </c>
      <c r="DE1808">
        <v>0</v>
      </c>
      <c r="DF1808">
        <v>0</v>
      </c>
      <c r="DG1808">
        <v>0</v>
      </c>
      <c r="DH1808">
        <v>0</v>
      </c>
      <c r="DI1808">
        <v>0</v>
      </c>
    </row>
    <row r="1809" spans="1:113" x14ac:dyDescent="0.3">
      <c r="A1809" t="str">
        <f>"02/08/2021 20:23:37.026"</f>
        <v>02/08/2021 20:23:37.026</v>
      </c>
      <c r="C1809" t="str">
        <f t="shared" si="87"/>
        <v>FFDFD7C0</v>
      </c>
      <c r="D1809" t="s">
        <v>124</v>
      </c>
      <c r="E1809">
        <v>12</v>
      </c>
      <c r="F1809">
        <v>1012</v>
      </c>
      <c r="G1809" t="s">
        <v>675</v>
      </c>
      <c r="J1809" t="s">
        <v>125</v>
      </c>
      <c r="K1809">
        <v>0</v>
      </c>
      <c r="L1809">
        <v>3</v>
      </c>
      <c r="M1809">
        <v>0</v>
      </c>
      <c r="N1809">
        <v>2</v>
      </c>
      <c r="O1809">
        <v>1</v>
      </c>
      <c r="P1809">
        <v>0</v>
      </c>
      <c r="Q1809">
        <v>0</v>
      </c>
      <c r="S1809" t="str">
        <f>"20:23:39.344"</f>
        <v>20:23:39.344</v>
      </c>
      <c r="T1809" t="str">
        <f>"20:23:38.844"</f>
        <v>20:23:38.844</v>
      </c>
      <c r="U1809" t="str">
        <f t="shared" si="89"/>
        <v>AB01F4</v>
      </c>
      <c r="V1809">
        <v>0</v>
      </c>
      <c r="W1809">
        <v>0</v>
      </c>
      <c r="X1809">
        <v>2</v>
      </c>
      <c r="Z1809">
        <v>0</v>
      </c>
      <c r="AA1809">
        <v>9</v>
      </c>
      <c r="AB1809">
        <v>3</v>
      </c>
      <c r="AC1809">
        <v>0</v>
      </c>
      <c r="AD1809">
        <v>10</v>
      </c>
      <c r="AE1809">
        <v>0</v>
      </c>
      <c r="AF1809">
        <v>3</v>
      </c>
      <c r="AG1809">
        <v>2</v>
      </c>
      <c r="AH1809">
        <v>0</v>
      </c>
      <c r="AI1809" t="s">
        <v>1153</v>
      </c>
      <c r="AJ1809">
        <v>39.902214999999998</v>
      </c>
      <c r="AK1809" t="s">
        <v>1154</v>
      </c>
      <c r="AL1809">
        <v>-92.572539000000006</v>
      </c>
      <c r="AM1809">
        <v>100</v>
      </c>
      <c r="AN1809">
        <v>1700</v>
      </c>
      <c r="AO1809" t="s">
        <v>118</v>
      </c>
      <c r="AP1809">
        <v>-106</v>
      </c>
      <c r="AQ1809">
        <v>74</v>
      </c>
      <c r="AR1809">
        <v>64</v>
      </c>
      <c r="AZ1809">
        <v>1200</v>
      </c>
      <c r="BA1809">
        <v>1</v>
      </c>
      <c r="BB1809" t="str">
        <f t="shared" si="88"/>
        <v xml:space="preserve">N8080G  </v>
      </c>
      <c r="BC1809">
        <v>1</v>
      </c>
      <c r="BE1809">
        <v>0</v>
      </c>
      <c r="BF1809">
        <v>0</v>
      </c>
      <c r="BG1809">
        <v>0</v>
      </c>
      <c r="BH1809">
        <v>1700</v>
      </c>
      <c r="BI1809">
        <v>1</v>
      </c>
      <c r="BJ1809">
        <v>1</v>
      </c>
      <c r="BK1809">
        <v>1</v>
      </c>
      <c r="BL1809">
        <v>0</v>
      </c>
      <c r="BO1809">
        <v>0</v>
      </c>
      <c r="BP1809">
        <v>0</v>
      </c>
      <c r="BW1809" t="str">
        <f>"20:23:39.345"</f>
        <v>20:23:39.345</v>
      </c>
      <c r="BZ1809">
        <v>0</v>
      </c>
      <c r="CA1809">
        <v>2016</v>
      </c>
      <c r="CB1809">
        <v>224</v>
      </c>
      <c r="CD1809">
        <v>1</v>
      </c>
      <c r="CE1809">
        <v>0</v>
      </c>
      <c r="CF1809">
        <v>0</v>
      </c>
      <c r="CG1809">
        <v>1</v>
      </c>
      <c r="CH1809">
        <v>0</v>
      </c>
      <c r="CI1809">
        <v>0</v>
      </c>
      <c r="CJ1809">
        <v>0</v>
      </c>
      <c r="CK1809">
        <v>2</v>
      </c>
      <c r="CL1809">
        <v>0</v>
      </c>
      <c r="CM1809">
        <v>2</v>
      </c>
      <c r="CN1809">
        <v>0</v>
      </c>
      <c r="CO1809">
        <v>7</v>
      </c>
      <c r="CP1809" t="s">
        <v>119</v>
      </c>
      <c r="CQ1809">
        <v>180</v>
      </c>
      <c r="CR1809">
        <v>2</v>
      </c>
      <c r="CW1809">
        <v>8344987</v>
      </c>
      <c r="CY1809">
        <v>1</v>
      </c>
      <c r="CZ1809">
        <v>0</v>
      </c>
      <c r="DA1809">
        <v>1</v>
      </c>
      <c r="DB1809">
        <v>0</v>
      </c>
      <c r="DC1809">
        <v>0</v>
      </c>
      <c r="DD1809">
        <v>0</v>
      </c>
      <c r="DE1809">
        <v>0</v>
      </c>
      <c r="DF1809">
        <v>0</v>
      </c>
      <c r="DG1809">
        <v>0</v>
      </c>
      <c r="DH1809">
        <v>0</v>
      </c>
      <c r="DI1809">
        <v>0</v>
      </c>
    </row>
    <row r="1810" spans="1:113" x14ac:dyDescent="0.3">
      <c r="A1810" t="str">
        <f>"02/08/2021 20:23:37.026"</f>
        <v>02/08/2021 20:23:37.026</v>
      </c>
      <c r="C1810" t="str">
        <f t="shared" si="87"/>
        <v>FFDFD7C0</v>
      </c>
      <c r="D1810" t="s">
        <v>113</v>
      </c>
      <c r="E1810">
        <v>6</v>
      </c>
      <c r="H1810">
        <v>165</v>
      </c>
      <c r="I1810" t="s">
        <v>114</v>
      </c>
      <c r="J1810" t="s">
        <v>115</v>
      </c>
      <c r="K1810">
        <v>0</v>
      </c>
      <c r="L1810">
        <v>3</v>
      </c>
      <c r="M1810">
        <v>0</v>
      </c>
      <c r="N1810">
        <v>2</v>
      </c>
      <c r="O1810">
        <v>1</v>
      </c>
      <c r="P1810">
        <v>0</v>
      </c>
      <c r="Q1810">
        <v>0</v>
      </c>
      <c r="S1810" t="str">
        <f>"20:23:39.344"</f>
        <v>20:23:39.344</v>
      </c>
      <c r="T1810" t="str">
        <f>"20:23:38.844"</f>
        <v>20:23:38.844</v>
      </c>
      <c r="U1810" t="str">
        <f t="shared" si="89"/>
        <v>AB01F4</v>
      </c>
      <c r="V1810">
        <v>0</v>
      </c>
      <c r="W1810">
        <v>0</v>
      </c>
      <c r="X1810">
        <v>2</v>
      </c>
      <c r="Z1810">
        <v>0</v>
      </c>
      <c r="AA1810">
        <v>9</v>
      </c>
      <c r="AB1810">
        <v>3</v>
      </c>
      <c r="AC1810">
        <v>0</v>
      </c>
      <c r="AD1810">
        <v>10</v>
      </c>
      <c r="AE1810">
        <v>0</v>
      </c>
      <c r="AF1810">
        <v>3</v>
      </c>
      <c r="AG1810">
        <v>2</v>
      </c>
      <c r="AH1810">
        <v>0</v>
      </c>
      <c r="AI1810" t="s">
        <v>1153</v>
      </c>
      <c r="AJ1810">
        <v>39.902214999999998</v>
      </c>
      <c r="AK1810" t="s">
        <v>1154</v>
      </c>
      <c r="AL1810">
        <v>-92.572539000000006</v>
      </c>
      <c r="AM1810">
        <v>100</v>
      </c>
      <c r="AN1810">
        <v>1700</v>
      </c>
      <c r="AO1810" t="s">
        <v>118</v>
      </c>
      <c r="AP1810">
        <v>-106</v>
      </c>
      <c r="AQ1810">
        <v>74</v>
      </c>
      <c r="AR1810">
        <v>64</v>
      </c>
      <c r="AZ1810">
        <v>1200</v>
      </c>
      <c r="BA1810">
        <v>1</v>
      </c>
      <c r="BB1810" t="str">
        <f t="shared" si="88"/>
        <v xml:space="preserve">N8080G  </v>
      </c>
      <c r="BC1810">
        <v>1</v>
      </c>
      <c r="BE1810">
        <v>0</v>
      </c>
      <c r="BF1810">
        <v>0</v>
      </c>
      <c r="BG1810">
        <v>0</v>
      </c>
      <c r="BH1810">
        <v>1700</v>
      </c>
      <c r="BI1810">
        <v>1</v>
      </c>
      <c r="BJ1810">
        <v>1</v>
      </c>
      <c r="BK1810">
        <v>1</v>
      </c>
      <c r="BL1810">
        <v>0</v>
      </c>
      <c r="BO1810">
        <v>0</v>
      </c>
      <c r="BP1810">
        <v>0</v>
      </c>
      <c r="BW1810" t="str">
        <f>"20:23:39.345"</f>
        <v>20:23:39.345</v>
      </c>
      <c r="BZ1810">
        <v>0</v>
      </c>
      <c r="CA1810">
        <v>2016</v>
      </c>
      <c r="CB1810">
        <v>224</v>
      </c>
      <c r="CD1810">
        <v>1</v>
      </c>
      <c r="CE1810">
        <v>0</v>
      </c>
      <c r="CF1810">
        <v>0</v>
      </c>
      <c r="CG1810">
        <v>1</v>
      </c>
      <c r="CH1810">
        <v>0</v>
      </c>
      <c r="CI1810">
        <v>0</v>
      </c>
      <c r="CJ1810">
        <v>0</v>
      </c>
      <c r="CK1810">
        <v>2</v>
      </c>
      <c r="CL1810">
        <v>0</v>
      </c>
      <c r="CM1810">
        <v>2</v>
      </c>
      <c r="CN1810">
        <v>0</v>
      </c>
      <c r="CO1810">
        <v>7</v>
      </c>
      <c r="CP1810" t="s">
        <v>119</v>
      </c>
      <c r="CQ1810">
        <v>180</v>
      </c>
      <c r="CR1810">
        <v>2</v>
      </c>
      <c r="CW1810">
        <v>8344987</v>
      </c>
      <c r="CY1810">
        <v>1</v>
      </c>
      <c r="CZ1810">
        <v>0</v>
      </c>
      <c r="DA1810">
        <v>1</v>
      </c>
      <c r="DB1810">
        <v>0</v>
      </c>
      <c r="DC1810">
        <v>0</v>
      </c>
      <c r="DD1810">
        <v>0</v>
      </c>
      <c r="DE1810">
        <v>0</v>
      </c>
      <c r="DF1810">
        <v>0</v>
      </c>
      <c r="DG1810">
        <v>0</v>
      </c>
      <c r="DH1810">
        <v>0</v>
      </c>
      <c r="DI1810">
        <v>0</v>
      </c>
    </row>
    <row r="1811" spans="1:113" x14ac:dyDescent="0.3">
      <c r="A1811" t="str">
        <f>"02/08/2021 20:23:38.584"</f>
        <v>02/08/2021 20:23:38.584</v>
      </c>
      <c r="C1811" t="str">
        <f t="shared" si="87"/>
        <v>FFDFD7C0</v>
      </c>
      <c r="D1811" t="s">
        <v>124</v>
      </c>
      <c r="E1811">
        <v>13</v>
      </c>
      <c r="F1811">
        <v>1013</v>
      </c>
      <c r="G1811" t="s">
        <v>114</v>
      </c>
      <c r="J1811" t="s">
        <v>125</v>
      </c>
      <c r="K1811">
        <v>0</v>
      </c>
      <c r="L1811">
        <v>3</v>
      </c>
      <c r="M1811">
        <v>0</v>
      </c>
      <c r="N1811">
        <v>2</v>
      </c>
      <c r="O1811">
        <v>1</v>
      </c>
      <c r="P1811">
        <v>0</v>
      </c>
      <c r="Q1811">
        <v>0</v>
      </c>
      <c r="S1811" t="str">
        <f>"20:23:40.914"</f>
        <v>20:23:40.914</v>
      </c>
      <c r="T1811" t="str">
        <f>"20:23:40.414"</f>
        <v>20:23:40.414</v>
      </c>
      <c r="U1811" t="str">
        <f t="shared" si="89"/>
        <v>AB01F4</v>
      </c>
      <c r="V1811">
        <v>0</v>
      </c>
      <c r="W1811">
        <v>0</v>
      </c>
      <c r="X1811">
        <v>2</v>
      </c>
      <c r="Z1811">
        <v>0</v>
      </c>
      <c r="AA1811">
        <v>9</v>
      </c>
      <c r="AB1811">
        <v>3</v>
      </c>
      <c r="AC1811">
        <v>0</v>
      </c>
      <c r="AD1811">
        <v>10</v>
      </c>
      <c r="AE1811">
        <v>0</v>
      </c>
      <c r="AF1811">
        <v>3</v>
      </c>
      <c r="AG1811">
        <v>2</v>
      </c>
      <c r="AH1811">
        <v>0</v>
      </c>
      <c r="AI1811" t="s">
        <v>1155</v>
      </c>
      <c r="AJ1811">
        <v>39.902751000000002</v>
      </c>
      <c r="AK1811" t="s">
        <v>1156</v>
      </c>
      <c r="AL1811">
        <v>-92.573547000000005</v>
      </c>
      <c r="AM1811">
        <v>100</v>
      </c>
      <c r="AN1811">
        <v>1700</v>
      </c>
      <c r="AO1811" t="s">
        <v>118</v>
      </c>
      <c r="AP1811">
        <v>-106</v>
      </c>
      <c r="AQ1811">
        <v>75</v>
      </c>
      <c r="AR1811">
        <v>0</v>
      </c>
      <c r="AZ1811">
        <v>1200</v>
      </c>
      <c r="BA1811">
        <v>1</v>
      </c>
      <c r="BB1811" t="str">
        <f t="shared" si="88"/>
        <v xml:space="preserve">N8080G  </v>
      </c>
      <c r="BC1811">
        <v>1</v>
      </c>
      <c r="BE1811">
        <v>0</v>
      </c>
      <c r="BF1811">
        <v>0</v>
      </c>
      <c r="BG1811">
        <v>0</v>
      </c>
      <c r="BH1811">
        <v>1700</v>
      </c>
      <c r="BI1811">
        <v>1</v>
      </c>
      <c r="BJ1811">
        <v>1</v>
      </c>
      <c r="BK1811">
        <v>1</v>
      </c>
      <c r="BL1811">
        <v>0</v>
      </c>
      <c r="BO1811">
        <v>0</v>
      </c>
      <c r="BP1811">
        <v>0</v>
      </c>
      <c r="BW1811" t="str">
        <f>"20:23:40.919"</f>
        <v>20:23:40.919</v>
      </c>
      <c r="BZ1811">
        <v>0</v>
      </c>
      <c r="CA1811">
        <v>2016</v>
      </c>
      <c r="CB1811">
        <v>224</v>
      </c>
      <c r="CD1811">
        <v>1</v>
      </c>
      <c r="CE1811">
        <v>0</v>
      </c>
      <c r="CF1811">
        <v>0</v>
      </c>
      <c r="CG1811">
        <v>1</v>
      </c>
      <c r="CH1811">
        <v>0</v>
      </c>
      <c r="CI1811">
        <v>0</v>
      </c>
      <c r="CJ1811">
        <v>0</v>
      </c>
      <c r="CK1811">
        <v>2</v>
      </c>
      <c r="CL1811">
        <v>0</v>
      </c>
      <c r="CM1811">
        <v>2</v>
      </c>
      <c r="CN1811">
        <v>0</v>
      </c>
      <c r="CO1811">
        <v>7</v>
      </c>
      <c r="CP1811" t="s">
        <v>119</v>
      </c>
      <c r="CQ1811">
        <v>180</v>
      </c>
      <c r="CR1811">
        <v>1</v>
      </c>
      <c r="CW1811">
        <v>10910647</v>
      </c>
      <c r="CY1811">
        <v>1</v>
      </c>
      <c r="CZ1811">
        <v>0</v>
      </c>
      <c r="DA1811">
        <v>0</v>
      </c>
      <c r="DB1811">
        <v>0</v>
      </c>
      <c r="DC1811">
        <v>0</v>
      </c>
      <c r="DD1811">
        <v>0</v>
      </c>
      <c r="DE1811">
        <v>0</v>
      </c>
      <c r="DF1811">
        <v>0</v>
      </c>
      <c r="DG1811">
        <v>0</v>
      </c>
      <c r="DH1811">
        <v>0</v>
      </c>
      <c r="DI1811">
        <v>0</v>
      </c>
    </row>
    <row r="1812" spans="1:113" x14ac:dyDescent="0.3">
      <c r="A1812" t="str">
        <f>"02/08/2021 20:23:38.584"</f>
        <v>02/08/2021 20:23:38.584</v>
      </c>
      <c r="C1812" t="str">
        <f t="shared" si="87"/>
        <v>FFDFD7C0</v>
      </c>
      <c r="D1812" t="s">
        <v>113</v>
      </c>
      <c r="E1812">
        <v>6</v>
      </c>
      <c r="H1812">
        <v>165</v>
      </c>
      <c r="I1812" t="s">
        <v>114</v>
      </c>
      <c r="J1812" t="s">
        <v>115</v>
      </c>
      <c r="K1812">
        <v>0</v>
      </c>
      <c r="L1812">
        <v>3</v>
      </c>
      <c r="M1812">
        <v>0</v>
      </c>
      <c r="N1812">
        <v>2</v>
      </c>
      <c r="O1812">
        <v>1</v>
      </c>
      <c r="P1812">
        <v>0</v>
      </c>
      <c r="Q1812">
        <v>0</v>
      </c>
      <c r="S1812" t="str">
        <f>"20:23:40.914"</f>
        <v>20:23:40.914</v>
      </c>
      <c r="T1812" t="str">
        <f>"20:23:40.414"</f>
        <v>20:23:40.414</v>
      </c>
      <c r="U1812" t="str">
        <f t="shared" si="89"/>
        <v>AB01F4</v>
      </c>
      <c r="V1812">
        <v>0</v>
      </c>
      <c r="W1812">
        <v>0</v>
      </c>
      <c r="X1812">
        <v>2</v>
      </c>
      <c r="Z1812">
        <v>0</v>
      </c>
      <c r="AA1812">
        <v>9</v>
      </c>
      <c r="AB1812">
        <v>3</v>
      </c>
      <c r="AC1812">
        <v>0</v>
      </c>
      <c r="AD1812">
        <v>10</v>
      </c>
      <c r="AE1812">
        <v>0</v>
      </c>
      <c r="AF1812">
        <v>3</v>
      </c>
      <c r="AG1812">
        <v>2</v>
      </c>
      <c r="AH1812">
        <v>0</v>
      </c>
      <c r="AI1812" t="s">
        <v>1155</v>
      </c>
      <c r="AJ1812">
        <v>39.902751000000002</v>
      </c>
      <c r="AK1812" t="s">
        <v>1156</v>
      </c>
      <c r="AL1812">
        <v>-92.573547000000005</v>
      </c>
      <c r="AM1812">
        <v>100</v>
      </c>
      <c r="AN1812">
        <v>1700</v>
      </c>
      <c r="AO1812" t="s">
        <v>118</v>
      </c>
      <c r="AP1812">
        <v>-106</v>
      </c>
      <c r="AQ1812">
        <v>75</v>
      </c>
      <c r="AR1812">
        <v>0</v>
      </c>
      <c r="AZ1812">
        <v>1200</v>
      </c>
      <c r="BA1812">
        <v>1</v>
      </c>
      <c r="BB1812" t="str">
        <f t="shared" si="88"/>
        <v xml:space="preserve">N8080G  </v>
      </c>
      <c r="BC1812">
        <v>1</v>
      </c>
      <c r="BE1812">
        <v>0</v>
      </c>
      <c r="BF1812">
        <v>0</v>
      </c>
      <c r="BG1812">
        <v>0</v>
      </c>
      <c r="BH1812">
        <v>1700</v>
      </c>
      <c r="BI1812">
        <v>1</v>
      </c>
      <c r="BJ1812">
        <v>1</v>
      </c>
      <c r="BK1812">
        <v>1</v>
      </c>
      <c r="BL1812">
        <v>0</v>
      </c>
      <c r="BO1812">
        <v>0</v>
      </c>
      <c r="BP1812">
        <v>0</v>
      </c>
      <c r="BW1812" t="str">
        <f>"20:23:40.919"</f>
        <v>20:23:40.919</v>
      </c>
      <c r="BZ1812">
        <v>0</v>
      </c>
      <c r="CA1812">
        <v>2016</v>
      </c>
      <c r="CB1812">
        <v>224</v>
      </c>
      <c r="CD1812">
        <v>1</v>
      </c>
      <c r="CE1812">
        <v>0</v>
      </c>
      <c r="CF1812">
        <v>0</v>
      </c>
      <c r="CG1812">
        <v>1</v>
      </c>
      <c r="CH1812">
        <v>0</v>
      </c>
      <c r="CI1812">
        <v>0</v>
      </c>
      <c r="CJ1812">
        <v>0</v>
      </c>
      <c r="CK1812">
        <v>2</v>
      </c>
      <c r="CL1812">
        <v>0</v>
      </c>
      <c r="CM1812">
        <v>2</v>
      </c>
      <c r="CN1812">
        <v>0</v>
      </c>
      <c r="CO1812">
        <v>7</v>
      </c>
      <c r="CP1812" t="s">
        <v>119</v>
      </c>
      <c r="CQ1812">
        <v>180</v>
      </c>
      <c r="CR1812">
        <v>1</v>
      </c>
      <c r="CW1812">
        <v>10910647</v>
      </c>
      <c r="CY1812">
        <v>1</v>
      </c>
      <c r="CZ1812">
        <v>0</v>
      </c>
      <c r="DA1812">
        <v>1</v>
      </c>
      <c r="DB1812">
        <v>0</v>
      </c>
      <c r="DC1812">
        <v>0</v>
      </c>
      <c r="DD1812">
        <v>0</v>
      </c>
      <c r="DE1812">
        <v>0</v>
      </c>
      <c r="DF1812">
        <v>0</v>
      </c>
      <c r="DG1812">
        <v>0</v>
      </c>
      <c r="DH1812">
        <v>0</v>
      </c>
      <c r="DI1812">
        <v>0</v>
      </c>
    </row>
    <row r="1813" spans="1:113" x14ac:dyDescent="0.3">
      <c r="A1813" t="str">
        <f>"02/08/2021 20:23:38.584"</f>
        <v>02/08/2021 20:23:38.584</v>
      </c>
      <c r="C1813" t="str">
        <f t="shared" si="87"/>
        <v>FFDFD7C0</v>
      </c>
      <c r="D1813" t="s">
        <v>124</v>
      </c>
      <c r="E1813">
        <v>11</v>
      </c>
      <c r="F1813">
        <v>1011</v>
      </c>
      <c r="G1813" t="s">
        <v>590</v>
      </c>
      <c r="J1813" t="s">
        <v>125</v>
      </c>
      <c r="K1813">
        <v>0</v>
      </c>
      <c r="L1813">
        <v>3</v>
      </c>
      <c r="M1813">
        <v>0</v>
      </c>
      <c r="N1813">
        <v>2</v>
      </c>
      <c r="O1813">
        <v>1</v>
      </c>
      <c r="P1813">
        <v>0</v>
      </c>
      <c r="Q1813">
        <v>0</v>
      </c>
      <c r="S1813" t="str">
        <f>"20:23:40.914"</f>
        <v>20:23:40.914</v>
      </c>
      <c r="T1813" t="str">
        <f>"20:23:40.414"</f>
        <v>20:23:40.414</v>
      </c>
      <c r="U1813" t="str">
        <f t="shared" si="89"/>
        <v>AB01F4</v>
      </c>
      <c r="V1813">
        <v>0</v>
      </c>
      <c r="W1813">
        <v>0</v>
      </c>
      <c r="X1813">
        <v>2</v>
      </c>
      <c r="Z1813">
        <v>0</v>
      </c>
      <c r="AA1813">
        <v>9</v>
      </c>
      <c r="AB1813">
        <v>3</v>
      </c>
      <c r="AC1813">
        <v>0</v>
      </c>
      <c r="AD1813">
        <v>10</v>
      </c>
      <c r="AE1813">
        <v>0</v>
      </c>
      <c r="AF1813">
        <v>3</v>
      </c>
      <c r="AG1813">
        <v>2</v>
      </c>
      <c r="AH1813">
        <v>0</v>
      </c>
      <c r="AI1813" t="s">
        <v>1155</v>
      </c>
      <c r="AJ1813">
        <v>39.902751000000002</v>
      </c>
      <c r="AK1813" t="s">
        <v>1156</v>
      </c>
      <c r="AL1813">
        <v>-92.573547000000005</v>
      </c>
      <c r="AM1813">
        <v>100</v>
      </c>
      <c r="AN1813">
        <v>1700</v>
      </c>
      <c r="AO1813" t="s">
        <v>118</v>
      </c>
      <c r="AP1813">
        <v>-106</v>
      </c>
      <c r="AQ1813">
        <v>75</v>
      </c>
      <c r="AR1813">
        <v>0</v>
      </c>
      <c r="AZ1813">
        <v>1200</v>
      </c>
      <c r="BA1813">
        <v>1</v>
      </c>
      <c r="BB1813" t="str">
        <f t="shared" si="88"/>
        <v xml:space="preserve">N8080G  </v>
      </c>
      <c r="BC1813">
        <v>1</v>
      </c>
      <c r="BE1813">
        <v>0</v>
      </c>
      <c r="BF1813">
        <v>0</v>
      </c>
      <c r="BG1813">
        <v>0</v>
      </c>
      <c r="BH1813">
        <v>1700</v>
      </c>
      <c r="BI1813">
        <v>1</v>
      </c>
      <c r="BJ1813">
        <v>1</v>
      </c>
      <c r="BK1813">
        <v>1</v>
      </c>
      <c r="BL1813">
        <v>0</v>
      </c>
      <c r="BO1813">
        <v>0</v>
      </c>
      <c r="BP1813">
        <v>0</v>
      </c>
      <c r="BW1813" t="str">
        <f>"20:23:40.919"</f>
        <v>20:23:40.919</v>
      </c>
      <c r="BZ1813">
        <v>0</v>
      </c>
      <c r="CA1813">
        <v>2016</v>
      </c>
      <c r="CB1813">
        <v>224</v>
      </c>
      <c r="CD1813">
        <v>1</v>
      </c>
      <c r="CE1813">
        <v>0</v>
      </c>
      <c r="CF1813">
        <v>0</v>
      </c>
      <c r="CG1813">
        <v>1</v>
      </c>
      <c r="CH1813">
        <v>0</v>
      </c>
      <c r="CI1813">
        <v>0</v>
      </c>
      <c r="CJ1813">
        <v>0</v>
      </c>
      <c r="CK1813">
        <v>2</v>
      </c>
      <c r="CL1813">
        <v>0</v>
      </c>
      <c r="CM1813">
        <v>2</v>
      </c>
      <c r="CN1813">
        <v>0</v>
      </c>
      <c r="CO1813">
        <v>7</v>
      </c>
      <c r="CP1813" t="s">
        <v>119</v>
      </c>
      <c r="CQ1813">
        <v>180</v>
      </c>
      <c r="CR1813">
        <v>1</v>
      </c>
      <c r="CW1813">
        <v>10910647</v>
      </c>
      <c r="CY1813">
        <v>1</v>
      </c>
      <c r="CZ1813">
        <v>0</v>
      </c>
      <c r="DA1813">
        <v>1</v>
      </c>
      <c r="DB1813">
        <v>0</v>
      </c>
      <c r="DC1813">
        <v>0</v>
      </c>
      <c r="DD1813">
        <v>0</v>
      </c>
      <c r="DE1813">
        <v>0</v>
      </c>
      <c r="DF1813">
        <v>0</v>
      </c>
      <c r="DG1813">
        <v>0</v>
      </c>
      <c r="DH1813">
        <v>0</v>
      </c>
      <c r="DI1813">
        <v>0</v>
      </c>
    </row>
    <row r="1814" spans="1:113" x14ac:dyDescent="0.3">
      <c r="A1814" t="str">
        <f>"02/08/2021 20:23:38.584"</f>
        <v>02/08/2021 20:23:38.584</v>
      </c>
      <c r="C1814" t="str">
        <f t="shared" si="87"/>
        <v>FFDFD7C0</v>
      </c>
      <c r="D1814" t="s">
        <v>124</v>
      </c>
      <c r="E1814">
        <v>12</v>
      </c>
      <c r="F1814">
        <v>1012</v>
      </c>
      <c r="G1814" t="s">
        <v>675</v>
      </c>
      <c r="J1814" t="s">
        <v>125</v>
      </c>
      <c r="K1814">
        <v>0</v>
      </c>
      <c r="L1814">
        <v>3</v>
      </c>
      <c r="M1814">
        <v>0</v>
      </c>
      <c r="N1814">
        <v>2</v>
      </c>
      <c r="O1814">
        <v>1</v>
      </c>
      <c r="P1814">
        <v>0</v>
      </c>
      <c r="Q1814">
        <v>0</v>
      </c>
      <c r="S1814" t="str">
        <f>"20:23:40.914"</f>
        <v>20:23:40.914</v>
      </c>
      <c r="T1814" t="str">
        <f>"20:23:40.414"</f>
        <v>20:23:40.414</v>
      </c>
      <c r="U1814" t="str">
        <f t="shared" si="89"/>
        <v>AB01F4</v>
      </c>
      <c r="V1814">
        <v>0</v>
      </c>
      <c r="W1814">
        <v>0</v>
      </c>
      <c r="X1814">
        <v>2</v>
      </c>
      <c r="Z1814">
        <v>0</v>
      </c>
      <c r="AA1814">
        <v>9</v>
      </c>
      <c r="AB1814">
        <v>3</v>
      </c>
      <c r="AC1814">
        <v>0</v>
      </c>
      <c r="AD1814">
        <v>10</v>
      </c>
      <c r="AE1814">
        <v>0</v>
      </c>
      <c r="AF1814">
        <v>3</v>
      </c>
      <c r="AG1814">
        <v>2</v>
      </c>
      <c r="AH1814">
        <v>0</v>
      </c>
      <c r="AI1814" t="s">
        <v>1155</v>
      </c>
      <c r="AJ1814">
        <v>39.902751000000002</v>
      </c>
      <c r="AK1814" t="s">
        <v>1156</v>
      </c>
      <c r="AL1814">
        <v>-92.573547000000005</v>
      </c>
      <c r="AM1814">
        <v>100</v>
      </c>
      <c r="AN1814">
        <v>1700</v>
      </c>
      <c r="AO1814" t="s">
        <v>118</v>
      </c>
      <c r="AP1814">
        <v>-106</v>
      </c>
      <c r="AQ1814">
        <v>75</v>
      </c>
      <c r="AR1814">
        <v>0</v>
      </c>
      <c r="AZ1814">
        <v>1200</v>
      </c>
      <c r="BA1814">
        <v>1</v>
      </c>
      <c r="BB1814" t="str">
        <f t="shared" si="88"/>
        <v xml:space="preserve">N8080G  </v>
      </c>
      <c r="BC1814">
        <v>1</v>
      </c>
      <c r="BE1814">
        <v>0</v>
      </c>
      <c r="BF1814">
        <v>0</v>
      </c>
      <c r="BG1814">
        <v>0</v>
      </c>
      <c r="BH1814">
        <v>1700</v>
      </c>
      <c r="BI1814">
        <v>1</v>
      </c>
      <c r="BJ1814">
        <v>1</v>
      </c>
      <c r="BK1814">
        <v>1</v>
      </c>
      <c r="BL1814">
        <v>0</v>
      </c>
      <c r="BO1814">
        <v>0</v>
      </c>
      <c r="BP1814">
        <v>0</v>
      </c>
      <c r="BW1814" t="str">
        <f>"20:23:40.919"</f>
        <v>20:23:40.919</v>
      </c>
      <c r="BZ1814">
        <v>0</v>
      </c>
      <c r="CA1814">
        <v>2016</v>
      </c>
      <c r="CB1814">
        <v>224</v>
      </c>
      <c r="CD1814">
        <v>1</v>
      </c>
      <c r="CE1814">
        <v>0</v>
      </c>
      <c r="CF1814">
        <v>0</v>
      </c>
      <c r="CG1814">
        <v>1</v>
      </c>
      <c r="CH1814">
        <v>0</v>
      </c>
      <c r="CI1814">
        <v>0</v>
      </c>
      <c r="CJ1814">
        <v>0</v>
      </c>
      <c r="CK1814">
        <v>2</v>
      </c>
      <c r="CL1814">
        <v>0</v>
      </c>
      <c r="CM1814">
        <v>2</v>
      </c>
      <c r="CN1814">
        <v>0</v>
      </c>
      <c r="CO1814">
        <v>7</v>
      </c>
      <c r="CP1814" t="s">
        <v>119</v>
      </c>
      <c r="CQ1814">
        <v>180</v>
      </c>
      <c r="CR1814">
        <v>1</v>
      </c>
      <c r="CW1814">
        <v>10910647</v>
      </c>
      <c r="CY1814">
        <v>1</v>
      </c>
      <c r="CZ1814">
        <v>0</v>
      </c>
      <c r="DA1814">
        <v>1</v>
      </c>
      <c r="DB1814">
        <v>0</v>
      </c>
      <c r="DC1814">
        <v>0</v>
      </c>
      <c r="DD1814">
        <v>0</v>
      </c>
      <c r="DE1814">
        <v>0</v>
      </c>
      <c r="DF1814">
        <v>0</v>
      </c>
      <c r="DG1814">
        <v>0</v>
      </c>
      <c r="DH1814">
        <v>0</v>
      </c>
      <c r="DI1814">
        <v>0</v>
      </c>
    </row>
    <row r="1815" spans="1:113" x14ac:dyDescent="0.3">
      <c r="A1815" t="str">
        <f>"02/08/2021 20:23:39.853"</f>
        <v>02/08/2021 20:23:39.853</v>
      </c>
      <c r="C1815" t="str">
        <f t="shared" si="87"/>
        <v>FFDFD7C0</v>
      </c>
      <c r="D1815" t="s">
        <v>113</v>
      </c>
      <c r="E1815">
        <v>6</v>
      </c>
      <c r="H1815">
        <v>165</v>
      </c>
      <c r="I1815" t="s">
        <v>114</v>
      </c>
      <c r="J1815" t="s">
        <v>115</v>
      </c>
      <c r="K1815">
        <v>0</v>
      </c>
      <c r="L1815">
        <v>3</v>
      </c>
      <c r="M1815">
        <v>0</v>
      </c>
      <c r="N1815">
        <v>2</v>
      </c>
      <c r="O1815">
        <v>1</v>
      </c>
      <c r="P1815">
        <v>0</v>
      </c>
      <c r="Q1815">
        <v>0</v>
      </c>
      <c r="S1815" t="str">
        <f>"20:23:41.906"</f>
        <v>20:23:41.906</v>
      </c>
      <c r="T1815" t="str">
        <f>"20:23:40.406"</f>
        <v>20:23:40.406</v>
      </c>
      <c r="U1815" t="str">
        <f t="shared" si="89"/>
        <v>AB01F4</v>
      </c>
      <c r="V1815">
        <v>0</v>
      </c>
      <c r="W1815">
        <v>0</v>
      </c>
      <c r="X1815">
        <v>2</v>
      </c>
      <c r="Z1815">
        <v>0</v>
      </c>
      <c r="AA1815">
        <v>9</v>
      </c>
      <c r="AB1815">
        <v>3</v>
      </c>
      <c r="AC1815">
        <v>0</v>
      </c>
      <c r="AD1815">
        <v>10</v>
      </c>
      <c r="AE1815">
        <v>0</v>
      </c>
      <c r="AF1815">
        <v>3</v>
      </c>
      <c r="AG1815">
        <v>2</v>
      </c>
      <c r="AH1815">
        <v>0</v>
      </c>
      <c r="AI1815" t="s">
        <v>1157</v>
      </c>
      <c r="AJ1815">
        <v>39.903052000000002</v>
      </c>
      <c r="AK1815" t="s">
        <v>1158</v>
      </c>
      <c r="AL1815">
        <v>-92.574147999999994</v>
      </c>
      <c r="AM1815">
        <v>100</v>
      </c>
      <c r="AN1815">
        <v>1700</v>
      </c>
      <c r="AO1815" t="s">
        <v>118</v>
      </c>
      <c r="AP1815">
        <v>-106</v>
      </c>
      <c r="AQ1815">
        <v>75</v>
      </c>
      <c r="AR1815">
        <v>0</v>
      </c>
      <c r="AZ1815">
        <v>1200</v>
      </c>
      <c r="BA1815">
        <v>1</v>
      </c>
      <c r="BB1815" t="str">
        <f t="shared" si="88"/>
        <v xml:space="preserve">N8080G  </v>
      </c>
      <c r="BC1815">
        <v>1</v>
      </c>
      <c r="BE1815">
        <v>0</v>
      </c>
      <c r="BF1815">
        <v>0</v>
      </c>
      <c r="BG1815">
        <v>0</v>
      </c>
      <c r="BH1815">
        <v>1700</v>
      </c>
      <c r="BI1815">
        <v>1</v>
      </c>
      <c r="BJ1815">
        <v>1</v>
      </c>
      <c r="BK1815">
        <v>1</v>
      </c>
      <c r="BL1815">
        <v>0</v>
      </c>
      <c r="BO1815">
        <v>0</v>
      </c>
      <c r="BP1815">
        <v>0</v>
      </c>
      <c r="BW1815" t="str">
        <f>"20:23:41.912"</f>
        <v>20:23:41.912</v>
      </c>
      <c r="BZ1815">
        <v>0</v>
      </c>
      <c r="CA1815">
        <v>2016</v>
      </c>
      <c r="CB1815">
        <v>224</v>
      </c>
      <c r="CD1815">
        <v>1</v>
      </c>
      <c r="CE1815">
        <v>0</v>
      </c>
      <c r="CF1815">
        <v>0</v>
      </c>
      <c r="CG1815">
        <v>1</v>
      </c>
      <c r="CH1815">
        <v>0</v>
      </c>
      <c r="CI1815">
        <v>0</v>
      </c>
      <c r="CJ1815">
        <v>0</v>
      </c>
      <c r="CK1815">
        <v>2</v>
      </c>
      <c r="CL1815">
        <v>0</v>
      </c>
      <c r="CM1815">
        <v>2</v>
      </c>
      <c r="CN1815">
        <v>0</v>
      </c>
      <c r="CO1815">
        <v>1</v>
      </c>
      <c r="CP1815" t="s">
        <v>119</v>
      </c>
      <c r="CQ1815">
        <v>179</v>
      </c>
      <c r="CR1815">
        <v>1</v>
      </c>
      <c r="CW1815">
        <v>8780267</v>
      </c>
      <c r="CY1815">
        <v>1</v>
      </c>
      <c r="CZ1815">
        <v>0</v>
      </c>
      <c r="DA1815">
        <v>0</v>
      </c>
      <c r="DB1815">
        <v>0</v>
      </c>
      <c r="DC1815">
        <v>0</v>
      </c>
      <c r="DD1815">
        <v>0</v>
      </c>
      <c r="DE1815">
        <v>0</v>
      </c>
      <c r="DF1815">
        <v>0</v>
      </c>
      <c r="DG1815">
        <v>0</v>
      </c>
      <c r="DH1815">
        <v>0</v>
      </c>
      <c r="DI1815">
        <v>0</v>
      </c>
    </row>
    <row r="1816" spans="1:113" x14ac:dyDescent="0.3">
      <c r="A1816" t="str">
        <f>"02/08/2021 20:23:39.853"</f>
        <v>02/08/2021 20:23:39.853</v>
      </c>
      <c r="C1816" t="str">
        <f t="shared" si="87"/>
        <v>FFDFD7C0</v>
      </c>
      <c r="D1816" t="s">
        <v>124</v>
      </c>
      <c r="E1816">
        <v>11</v>
      </c>
      <c r="F1816">
        <v>1011</v>
      </c>
      <c r="G1816" t="s">
        <v>590</v>
      </c>
      <c r="J1816" t="s">
        <v>125</v>
      </c>
      <c r="K1816">
        <v>0</v>
      </c>
      <c r="L1816">
        <v>3</v>
      </c>
      <c r="M1816">
        <v>0</v>
      </c>
      <c r="N1816">
        <v>2</v>
      </c>
      <c r="O1816">
        <v>1</v>
      </c>
      <c r="P1816">
        <v>0</v>
      </c>
      <c r="Q1816">
        <v>0</v>
      </c>
      <c r="S1816" t="str">
        <f>"20:23:41.906"</f>
        <v>20:23:41.906</v>
      </c>
      <c r="T1816" t="str">
        <f>"20:23:40.406"</f>
        <v>20:23:40.406</v>
      </c>
      <c r="U1816" t="str">
        <f t="shared" si="89"/>
        <v>AB01F4</v>
      </c>
      <c r="V1816">
        <v>0</v>
      </c>
      <c r="W1816">
        <v>0</v>
      </c>
      <c r="X1816">
        <v>2</v>
      </c>
      <c r="Z1816">
        <v>0</v>
      </c>
      <c r="AA1816">
        <v>9</v>
      </c>
      <c r="AB1816">
        <v>3</v>
      </c>
      <c r="AC1816">
        <v>0</v>
      </c>
      <c r="AD1816">
        <v>10</v>
      </c>
      <c r="AE1816">
        <v>0</v>
      </c>
      <c r="AF1816">
        <v>3</v>
      </c>
      <c r="AG1816">
        <v>2</v>
      </c>
      <c r="AH1816">
        <v>0</v>
      </c>
      <c r="AI1816" t="s">
        <v>1157</v>
      </c>
      <c r="AJ1816">
        <v>39.903052000000002</v>
      </c>
      <c r="AK1816" t="s">
        <v>1158</v>
      </c>
      <c r="AL1816">
        <v>-92.574147999999994</v>
      </c>
      <c r="AM1816">
        <v>100</v>
      </c>
      <c r="AN1816">
        <v>1700</v>
      </c>
      <c r="AO1816" t="s">
        <v>118</v>
      </c>
      <c r="AP1816">
        <v>-106</v>
      </c>
      <c r="AQ1816">
        <v>75</v>
      </c>
      <c r="AR1816">
        <v>0</v>
      </c>
      <c r="AZ1816">
        <v>1200</v>
      </c>
      <c r="BA1816">
        <v>1</v>
      </c>
      <c r="BB1816" t="str">
        <f t="shared" si="88"/>
        <v xml:space="preserve">N8080G  </v>
      </c>
      <c r="BC1816">
        <v>1</v>
      </c>
      <c r="BE1816">
        <v>0</v>
      </c>
      <c r="BF1816">
        <v>0</v>
      </c>
      <c r="BG1816">
        <v>0</v>
      </c>
      <c r="BH1816">
        <v>1700</v>
      </c>
      <c r="BI1816">
        <v>1</v>
      </c>
      <c r="BJ1816">
        <v>1</v>
      </c>
      <c r="BK1816">
        <v>1</v>
      </c>
      <c r="BL1816">
        <v>0</v>
      </c>
      <c r="BO1816">
        <v>0</v>
      </c>
      <c r="BP1816">
        <v>0</v>
      </c>
      <c r="BW1816" t="str">
        <f>"20:23:41.912"</f>
        <v>20:23:41.912</v>
      </c>
      <c r="BZ1816">
        <v>0</v>
      </c>
      <c r="CA1816">
        <v>2016</v>
      </c>
      <c r="CB1816">
        <v>224</v>
      </c>
      <c r="CD1816">
        <v>1</v>
      </c>
      <c r="CE1816">
        <v>0</v>
      </c>
      <c r="CF1816">
        <v>0</v>
      </c>
      <c r="CG1816">
        <v>1</v>
      </c>
      <c r="CH1816">
        <v>0</v>
      </c>
      <c r="CI1816">
        <v>0</v>
      </c>
      <c r="CJ1816">
        <v>0</v>
      </c>
      <c r="CK1816">
        <v>2</v>
      </c>
      <c r="CL1816">
        <v>0</v>
      </c>
      <c r="CM1816">
        <v>2</v>
      </c>
      <c r="CN1816">
        <v>0</v>
      </c>
      <c r="CO1816">
        <v>1</v>
      </c>
      <c r="CP1816" t="s">
        <v>119</v>
      </c>
      <c r="CQ1816">
        <v>179</v>
      </c>
      <c r="CR1816">
        <v>1</v>
      </c>
      <c r="CW1816">
        <v>8780267</v>
      </c>
      <c r="CY1816">
        <v>1</v>
      </c>
      <c r="CZ1816">
        <v>0</v>
      </c>
      <c r="DA1816">
        <v>1</v>
      </c>
      <c r="DB1816">
        <v>0</v>
      </c>
      <c r="DC1816">
        <v>0</v>
      </c>
      <c r="DD1816">
        <v>0</v>
      </c>
      <c r="DE1816">
        <v>0</v>
      </c>
      <c r="DF1816">
        <v>0</v>
      </c>
      <c r="DG1816">
        <v>0</v>
      </c>
      <c r="DH1816">
        <v>0</v>
      </c>
      <c r="DI1816">
        <v>0</v>
      </c>
    </row>
    <row r="1817" spans="1:113" x14ac:dyDescent="0.3">
      <c r="A1817" t="str">
        <f>"02/08/2021 20:23:39.853"</f>
        <v>02/08/2021 20:23:39.853</v>
      </c>
      <c r="C1817" t="str">
        <f t="shared" si="87"/>
        <v>FFDFD7C0</v>
      </c>
      <c r="D1817" t="s">
        <v>124</v>
      </c>
      <c r="E1817">
        <v>12</v>
      </c>
      <c r="F1817">
        <v>1012</v>
      </c>
      <c r="G1817" t="s">
        <v>675</v>
      </c>
      <c r="J1817" t="s">
        <v>125</v>
      </c>
      <c r="K1817">
        <v>0</v>
      </c>
      <c r="L1817">
        <v>3</v>
      </c>
      <c r="M1817">
        <v>0</v>
      </c>
      <c r="N1817">
        <v>2</v>
      </c>
      <c r="O1817">
        <v>1</v>
      </c>
      <c r="P1817">
        <v>0</v>
      </c>
      <c r="Q1817">
        <v>0</v>
      </c>
      <c r="S1817" t="str">
        <f>"20:23:41.906"</f>
        <v>20:23:41.906</v>
      </c>
      <c r="T1817" t="str">
        <f>"20:23:40.406"</f>
        <v>20:23:40.406</v>
      </c>
      <c r="U1817" t="str">
        <f t="shared" si="89"/>
        <v>AB01F4</v>
      </c>
      <c r="V1817">
        <v>0</v>
      </c>
      <c r="W1817">
        <v>0</v>
      </c>
      <c r="X1817">
        <v>2</v>
      </c>
      <c r="Z1817">
        <v>0</v>
      </c>
      <c r="AA1817">
        <v>9</v>
      </c>
      <c r="AB1817">
        <v>3</v>
      </c>
      <c r="AC1817">
        <v>0</v>
      </c>
      <c r="AD1817">
        <v>10</v>
      </c>
      <c r="AE1817">
        <v>0</v>
      </c>
      <c r="AF1817">
        <v>3</v>
      </c>
      <c r="AG1817">
        <v>2</v>
      </c>
      <c r="AH1817">
        <v>0</v>
      </c>
      <c r="AI1817" t="s">
        <v>1157</v>
      </c>
      <c r="AJ1817">
        <v>39.903052000000002</v>
      </c>
      <c r="AK1817" t="s">
        <v>1158</v>
      </c>
      <c r="AL1817">
        <v>-92.574147999999994</v>
      </c>
      <c r="AM1817">
        <v>100</v>
      </c>
      <c r="AN1817">
        <v>1700</v>
      </c>
      <c r="AO1817" t="s">
        <v>118</v>
      </c>
      <c r="AP1817">
        <v>-106</v>
      </c>
      <c r="AQ1817">
        <v>75</v>
      </c>
      <c r="AR1817">
        <v>0</v>
      </c>
      <c r="AZ1817">
        <v>1200</v>
      </c>
      <c r="BA1817">
        <v>1</v>
      </c>
      <c r="BB1817" t="str">
        <f t="shared" si="88"/>
        <v xml:space="preserve">N8080G  </v>
      </c>
      <c r="BC1817">
        <v>1</v>
      </c>
      <c r="BE1817">
        <v>0</v>
      </c>
      <c r="BF1817">
        <v>0</v>
      </c>
      <c r="BG1817">
        <v>0</v>
      </c>
      <c r="BH1817">
        <v>1700</v>
      </c>
      <c r="BI1817">
        <v>1</v>
      </c>
      <c r="BJ1817">
        <v>1</v>
      </c>
      <c r="BK1817">
        <v>1</v>
      </c>
      <c r="BL1817">
        <v>0</v>
      </c>
      <c r="BO1817">
        <v>0</v>
      </c>
      <c r="BP1817">
        <v>0</v>
      </c>
      <c r="BW1817" t="str">
        <f>"20:23:41.912"</f>
        <v>20:23:41.912</v>
      </c>
      <c r="BZ1817">
        <v>0</v>
      </c>
      <c r="CA1817">
        <v>2016</v>
      </c>
      <c r="CB1817">
        <v>224</v>
      </c>
      <c r="CD1817">
        <v>1</v>
      </c>
      <c r="CE1817">
        <v>0</v>
      </c>
      <c r="CF1817">
        <v>0</v>
      </c>
      <c r="CG1817">
        <v>1</v>
      </c>
      <c r="CH1817">
        <v>0</v>
      </c>
      <c r="CI1817">
        <v>0</v>
      </c>
      <c r="CJ1817">
        <v>0</v>
      </c>
      <c r="CK1817">
        <v>2</v>
      </c>
      <c r="CL1817">
        <v>0</v>
      </c>
      <c r="CM1817">
        <v>2</v>
      </c>
      <c r="CN1817">
        <v>0</v>
      </c>
      <c r="CO1817">
        <v>1</v>
      </c>
      <c r="CP1817" t="s">
        <v>119</v>
      </c>
      <c r="CQ1817">
        <v>179</v>
      </c>
      <c r="CR1817">
        <v>1</v>
      </c>
      <c r="CW1817">
        <v>8780267</v>
      </c>
      <c r="CY1817">
        <v>1</v>
      </c>
      <c r="CZ1817">
        <v>0</v>
      </c>
      <c r="DA1817">
        <v>1</v>
      </c>
      <c r="DB1817">
        <v>0</v>
      </c>
      <c r="DC1817">
        <v>0</v>
      </c>
      <c r="DD1817">
        <v>0</v>
      </c>
      <c r="DE1817">
        <v>0</v>
      </c>
      <c r="DF1817">
        <v>0</v>
      </c>
      <c r="DG1817">
        <v>0</v>
      </c>
      <c r="DH1817">
        <v>0</v>
      </c>
      <c r="DI1817">
        <v>0</v>
      </c>
    </row>
    <row r="1818" spans="1:113" x14ac:dyDescent="0.3">
      <c r="A1818" t="str">
        <f>"02/08/2021 20:23:39.853"</f>
        <v>02/08/2021 20:23:39.853</v>
      </c>
      <c r="C1818" t="str">
        <f t="shared" si="87"/>
        <v>FFDFD7C0</v>
      </c>
      <c r="D1818" t="s">
        <v>124</v>
      </c>
      <c r="E1818">
        <v>13</v>
      </c>
      <c r="F1818">
        <v>1013</v>
      </c>
      <c r="G1818" t="s">
        <v>114</v>
      </c>
      <c r="J1818" t="s">
        <v>125</v>
      </c>
      <c r="K1818">
        <v>0</v>
      </c>
      <c r="L1818">
        <v>3</v>
      </c>
      <c r="M1818">
        <v>0</v>
      </c>
      <c r="N1818">
        <v>2</v>
      </c>
      <c r="O1818">
        <v>1</v>
      </c>
      <c r="P1818">
        <v>0</v>
      </c>
      <c r="Q1818">
        <v>0</v>
      </c>
      <c r="S1818" t="str">
        <f>"20:23:41.906"</f>
        <v>20:23:41.906</v>
      </c>
      <c r="T1818" t="str">
        <f>"20:23:40.406"</f>
        <v>20:23:40.406</v>
      </c>
      <c r="U1818" t="str">
        <f t="shared" si="89"/>
        <v>AB01F4</v>
      </c>
      <c r="V1818">
        <v>0</v>
      </c>
      <c r="W1818">
        <v>0</v>
      </c>
      <c r="X1818">
        <v>2</v>
      </c>
      <c r="Z1818">
        <v>0</v>
      </c>
      <c r="AA1818">
        <v>9</v>
      </c>
      <c r="AB1818">
        <v>3</v>
      </c>
      <c r="AC1818">
        <v>0</v>
      </c>
      <c r="AD1818">
        <v>10</v>
      </c>
      <c r="AE1818">
        <v>0</v>
      </c>
      <c r="AF1818">
        <v>3</v>
      </c>
      <c r="AG1818">
        <v>2</v>
      </c>
      <c r="AH1818">
        <v>0</v>
      </c>
      <c r="AI1818" t="s">
        <v>1157</v>
      </c>
      <c r="AJ1818">
        <v>39.903052000000002</v>
      </c>
      <c r="AK1818" t="s">
        <v>1158</v>
      </c>
      <c r="AL1818">
        <v>-92.574147999999994</v>
      </c>
      <c r="AM1818">
        <v>100</v>
      </c>
      <c r="AN1818">
        <v>1700</v>
      </c>
      <c r="AO1818" t="s">
        <v>118</v>
      </c>
      <c r="AP1818">
        <v>-106</v>
      </c>
      <c r="AQ1818">
        <v>75</v>
      </c>
      <c r="AR1818">
        <v>0</v>
      </c>
      <c r="AZ1818">
        <v>1200</v>
      </c>
      <c r="BA1818">
        <v>1</v>
      </c>
      <c r="BB1818" t="str">
        <f t="shared" si="88"/>
        <v xml:space="preserve">N8080G  </v>
      </c>
      <c r="BC1818">
        <v>1</v>
      </c>
      <c r="BE1818">
        <v>0</v>
      </c>
      <c r="BF1818">
        <v>0</v>
      </c>
      <c r="BG1818">
        <v>0</v>
      </c>
      <c r="BH1818">
        <v>1700</v>
      </c>
      <c r="BI1818">
        <v>1</v>
      </c>
      <c r="BJ1818">
        <v>1</v>
      </c>
      <c r="BK1818">
        <v>1</v>
      </c>
      <c r="BL1818">
        <v>0</v>
      </c>
      <c r="BO1818">
        <v>0</v>
      </c>
      <c r="BP1818">
        <v>0</v>
      </c>
      <c r="BW1818" t="str">
        <f>"20:23:41.912"</f>
        <v>20:23:41.912</v>
      </c>
      <c r="BZ1818">
        <v>0</v>
      </c>
      <c r="CA1818">
        <v>2016</v>
      </c>
      <c r="CB1818">
        <v>224</v>
      </c>
      <c r="CD1818">
        <v>1</v>
      </c>
      <c r="CE1818">
        <v>0</v>
      </c>
      <c r="CF1818">
        <v>0</v>
      </c>
      <c r="CG1818">
        <v>1</v>
      </c>
      <c r="CH1818">
        <v>0</v>
      </c>
      <c r="CI1818">
        <v>0</v>
      </c>
      <c r="CJ1818">
        <v>0</v>
      </c>
      <c r="CK1818">
        <v>2</v>
      </c>
      <c r="CL1818">
        <v>0</v>
      </c>
      <c r="CM1818">
        <v>2</v>
      </c>
      <c r="CN1818">
        <v>0</v>
      </c>
      <c r="CO1818">
        <v>1</v>
      </c>
      <c r="CP1818" t="s">
        <v>119</v>
      </c>
      <c r="CQ1818">
        <v>179</v>
      </c>
      <c r="CR1818">
        <v>1</v>
      </c>
      <c r="CW1818">
        <v>8780267</v>
      </c>
      <c r="CY1818">
        <v>1</v>
      </c>
      <c r="CZ1818">
        <v>0</v>
      </c>
      <c r="DA1818">
        <v>1</v>
      </c>
      <c r="DB1818">
        <v>0</v>
      </c>
      <c r="DC1818">
        <v>0</v>
      </c>
      <c r="DD1818">
        <v>0</v>
      </c>
      <c r="DE1818">
        <v>0</v>
      </c>
      <c r="DF1818">
        <v>0</v>
      </c>
      <c r="DG1818">
        <v>0</v>
      </c>
      <c r="DH1818">
        <v>0</v>
      </c>
      <c r="DI1818">
        <v>0</v>
      </c>
    </row>
    <row r="1819" spans="1:113" x14ac:dyDescent="0.3">
      <c r="A1819" t="str">
        <f>"02/08/2021 20:23:40.847"</f>
        <v>02/08/2021 20:23:40.847</v>
      </c>
      <c r="C1819" t="str">
        <f t="shared" si="87"/>
        <v>FFDFD7C0</v>
      </c>
      <c r="D1819" t="s">
        <v>124</v>
      </c>
      <c r="E1819">
        <v>13</v>
      </c>
      <c r="F1819">
        <v>1013</v>
      </c>
      <c r="G1819" t="s">
        <v>114</v>
      </c>
      <c r="J1819" t="s">
        <v>125</v>
      </c>
      <c r="K1819">
        <v>0</v>
      </c>
      <c r="L1819">
        <v>3</v>
      </c>
      <c r="M1819">
        <v>0</v>
      </c>
      <c r="N1819">
        <v>2</v>
      </c>
      <c r="O1819">
        <v>1</v>
      </c>
      <c r="P1819">
        <v>0</v>
      </c>
      <c r="Q1819">
        <v>0</v>
      </c>
      <c r="S1819" t="str">
        <f>"20:23:42.875"</f>
        <v>20:23:42.875</v>
      </c>
      <c r="T1819" t="str">
        <f>"20:23:42.375"</f>
        <v>20:23:42.375</v>
      </c>
      <c r="U1819" t="str">
        <f t="shared" si="89"/>
        <v>AB01F4</v>
      </c>
      <c r="V1819">
        <v>0</v>
      </c>
      <c r="W1819">
        <v>0</v>
      </c>
      <c r="X1819">
        <v>2</v>
      </c>
      <c r="Z1819">
        <v>0</v>
      </c>
      <c r="AA1819">
        <v>9</v>
      </c>
      <c r="AB1819">
        <v>3</v>
      </c>
      <c r="AC1819">
        <v>0</v>
      </c>
      <c r="AD1819">
        <v>10</v>
      </c>
      <c r="AE1819">
        <v>0</v>
      </c>
      <c r="AF1819">
        <v>3</v>
      </c>
      <c r="AG1819">
        <v>2</v>
      </c>
      <c r="AH1819">
        <v>0</v>
      </c>
      <c r="AI1819" t="s">
        <v>1159</v>
      </c>
      <c r="AJ1819">
        <v>39.903416999999997</v>
      </c>
      <c r="AK1819" t="s">
        <v>1160</v>
      </c>
      <c r="AL1819">
        <v>-92.574770000000001</v>
      </c>
      <c r="AM1819">
        <v>100</v>
      </c>
      <c r="AN1819">
        <v>1700</v>
      </c>
      <c r="AO1819" t="s">
        <v>118</v>
      </c>
      <c r="AP1819">
        <v>-107</v>
      </c>
      <c r="AQ1819">
        <v>75</v>
      </c>
      <c r="AR1819">
        <v>-64</v>
      </c>
      <c r="AZ1819">
        <v>1200</v>
      </c>
      <c r="BA1819">
        <v>1</v>
      </c>
      <c r="BB1819" t="str">
        <f t="shared" si="88"/>
        <v xml:space="preserve">N8080G  </v>
      </c>
      <c r="BC1819">
        <v>1</v>
      </c>
      <c r="BE1819">
        <v>0</v>
      </c>
      <c r="BF1819">
        <v>0</v>
      </c>
      <c r="BG1819">
        <v>0</v>
      </c>
      <c r="BH1819">
        <v>1700</v>
      </c>
      <c r="BI1819">
        <v>1</v>
      </c>
      <c r="BJ1819">
        <v>1</v>
      </c>
      <c r="BK1819">
        <v>1</v>
      </c>
      <c r="BL1819">
        <v>0</v>
      </c>
      <c r="BO1819">
        <v>0</v>
      </c>
      <c r="BP1819">
        <v>0</v>
      </c>
      <c r="BW1819" t="str">
        <f>"20:23:42.882"</f>
        <v>20:23:42.882</v>
      </c>
      <c r="BZ1819">
        <v>0</v>
      </c>
      <c r="CA1819">
        <v>2016</v>
      </c>
      <c r="CB1819">
        <v>224</v>
      </c>
      <c r="CD1819">
        <v>1</v>
      </c>
      <c r="CE1819">
        <v>0</v>
      </c>
      <c r="CF1819">
        <v>0</v>
      </c>
      <c r="CG1819">
        <v>1</v>
      </c>
      <c r="CH1819">
        <v>0</v>
      </c>
      <c r="CI1819">
        <v>0</v>
      </c>
      <c r="CJ1819">
        <v>0</v>
      </c>
      <c r="CK1819">
        <v>2</v>
      </c>
      <c r="CL1819">
        <v>0</v>
      </c>
      <c r="CM1819">
        <v>2</v>
      </c>
      <c r="CN1819">
        <v>0</v>
      </c>
      <c r="CO1819">
        <v>2</v>
      </c>
      <c r="CP1819" t="s">
        <v>119</v>
      </c>
      <c r="CQ1819">
        <v>179</v>
      </c>
      <c r="CR1819">
        <v>1</v>
      </c>
      <c r="CW1819">
        <v>8781122</v>
      </c>
      <c r="CY1819">
        <v>1</v>
      </c>
      <c r="CZ1819">
        <v>0</v>
      </c>
      <c r="DA1819">
        <v>0</v>
      </c>
      <c r="DB1819">
        <v>0</v>
      </c>
      <c r="DC1819">
        <v>0</v>
      </c>
      <c r="DD1819">
        <v>0</v>
      </c>
      <c r="DE1819">
        <v>0</v>
      </c>
      <c r="DF1819">
        <v>0</v>
      </c>
      <c r="DG1819">
        <v>0</v>
      </c>
      <c r="DH1819">
        <v>0</v>
      </c>
      <c r="DI1819">
        <v>0</v>
      </c>
    </row>
    <row r="1820" spans="1:113" x14ac:dyDescent="0.3">
      <c r="A1820" t="str">
        <f>"02/08/2021 20:23:40.847"</f>
        <v>02/08/2021 20:23:40.847</v>
      </c>
      <c r="C1820" t="str">
        <f t="shared" si="87"/>
        <v>FFDFD7C0</v>
      </c>
      <c r="D1820" t="s">
        <v>113</v>
      </c>
      <c r="E1820">
        <v>6</v>
      </c>
      <c r="H1820">
        <v>165</v>
      </c>
      <c r="I1820" t="s">
        <v>114</v>
      </c>
      <c r="J1820" t="s">
        <v>115</v>
      </c>
      <c r="K1820">
        <v>0</v>
      </c>
      <c r="L1820">
        <v>3</v>
      </c>
      <c r="M1820">
        <v>0</v>
      </c>
      <c r="N1820">
        <v>2</v>
      </c>
      <c r="O1820">
        <v>1</v>
      </c>
      <c r="P1820">
        <v>0</v>
      </c>
      <c r="Q1820">
        <v>0</v>
      </c>
      <c r="S1820" t="str">
        <f>"20:23:42.875"</f>
        <v>20:23:42.875</v>
      </c>
      <c r="T1820" t="str">
        <f>"20:23:42.375"</f>
        <v>20:23:42.375</v>
      </c>
      <c r="U1820" t="str">
        <f t="shared" si="89"/>
        <v>AB01F4</v>
      </c>
      <c r="V1820">
        <v>0</v>
      </c>
      <c r="W1820">
        <v>0</v>
      </c>
      <c r="X1820">
        <v>2</v>
      </c>
      <c r="Z1820">
        <v>0</v>
      </c>
      <c r="AA1820">
        <v>9</v>
      </c>
      <c r="AB1820">
        <v>3</v>
      </c>
      <c r="AC1820">
        <v>0</v>
      </c>
      <c r="AD1820">
        <v>10</v>
      </c>
      <c r="AE1820">
        <v>0</v>
      </c>
      <c r="AF1820">
        <v>3</v>
      </c>
      <c r="AG1820">
        <v>2</v>
      </c>
      <c r="AH1820">
        <v>0</v>
      </c>
      <c r="AI1820" t="s">
        <v>1159</v>
      </c>
      <c r="AJ1820">
        <v>39.903416999999997</v>
      </c>
      <c r="AK1820" t="s">
        <v>1160</v>
      </c>
      <c r="AL1820">
        <v>-92.574770000000001</v>
      </c>
      <c r="AM1820">
        <v>100</v>
      </c>
      <c r="AN1820">
        <v>1700</v>
      </c>
      <c r="AO1820" t="s">
        <v>118</v>
      </c>
      <c r="AP1820">
        <v>-107</v>
      </c>
      <c r="AQ1820">
        <v>75</v>
      </c>
      <c r="AR1820">
        <v>-64</v>
      </c>
      <c r="AZ1820">
        <v>1200</v>
      </c>
      <c r="BA1820">
        <v>1</v>
      </c>
      <c r="BB1820" t="str">
        <f t="shared" si="88"/>
        <v xml:space="preserve">N8080G  </v>
      </c>
      <c r="BC1820">
        <v>1</v>
      </c>
      <c r="BE1820">
        <v>0</v>
      </c>
      <c r="BF1820">
        <v>0</v>
      </c>
      <c r="BG1820">
        <v>0</v>
      </c>
      <c r="BH1820">
        <v>1700</v>
      </c>
      <c r="BI1820">
        <v>1</v>
      </c>
      <c r="BJ1820">
        <v>1</v>
      </c>
      <c r="BK1820">
        <v>1</v>
      </c>
      <c r="BL1820">
        <v>0</v>
      </c>
      <c r="BO1820">
        <v>0</v>
      </c>
      <c r="BP1820">
        <v>0</v>
      </c>
      <c r="BW1820" t="str">
        <f>"20:23:42.882"</f>
        <v>20:23:42.882</v>
      </c>
      <c r="BZ1820">
        <v>0</v>
      </c>
      <c r="CA1820">
        <v>2016</v>
      </c>
      <c r="CB1820">
        <v>224</v>
      </c>
      <c r="CD1820">
        <v>1</v>
      </c>
      <c r="CE1820">
        <v>0</v>
      </c>
      <c r="CF1820">
        <v>0</v>
      </c>
      <c r="CG1820">
        <v>1</v>
      </c>
      <c r="CH1820">
        <v>0</v>
      </c>
      <c r="CI1820">
        <v>0</v>
      </c>
      <c r="CJ1820">
        <v>0</v>
      </c>
      <c r="CK1820">
        <v>2</v>
      </c>
      <c r="CL1820">
        <v>0</v>
      </c>
      <c r="CM1820">
        <v>2</v>
      </c>
      <c r="CN1820">
        <v>0</v>
      </c>
      <c r="CO1820">
        <v>2</v>
      </c>
      <c r="CP1820" t="s">
        <v>119</v>
      </c>
      <c r="CQ1820">
        <v>179</v>
      </c>
      <c r="CR1820">
        <v>1</v>
      </c>
      <c r="CW1820">
        <v>8781122</v>
      </c>
      <c r="CY1820">
        <v>1</v>
      </c>
      <c r="CZ1820">
        <v>0</v>
      </c>
      <c r="DA1820">
        <v>1</v>
      </c>
      <c r="DB1820">
        <v>0</v>
      </c>
      <c r="DC1820">
        <v>0</v>
      </c>
      <c r="DD1820">
        <v>0</v>
      </c>
      <c r="DE1820">
        <v>0</v>
      </c>
      <c r="DF1820">
        <v>0</v>
      </c>
      <c r="DG1820">
        <v>0</v>
      </c>
      <c r="DH1820">
        <v>0</v>
      </c>
      <c r="DI1820">
        <v>0</v>
      </c>
    </row>
    <row r="1821" spans="1:113" x14ac:dyDescent="0.3">
      <c r="A1821" t="str">
        <f>"02/08/2021 20:23:40.847"</f>
        <v>02/08/2021 20:23:40.847</v>
      </c>
      <c r="C1821" t="str">
        <f t="shared" si="87"/>
        <v>FFDFD7C0</v>
      </c>
      <c r="D1821" t="s">
        <v>124</v>
      </c>
      <c r="E1821">
        <v>11</v>
      </c>
      <c r="F1821">
        <v>1011</v>
      </c>
      <c r="G1821" t="s">
        <v>590</v>
      </c>
      <c r="J1821" t="s">
        <v>125</v>
      </c>
      <c r="K1821">
        <v>0</v>
      </c>
      <c r="L1821">
        <v>3</v>
      </c>
      <c r="M1821">
        <v>0</v>
      </c>
      <c r="N1821">
        <v>2</v>
      </c>
      <c r="O1821">
        <v>1</v>
      </c>
      <c r="P1821">
        <v>0</v>
      </c>
      <c r="Q1821">
        <v>0</v>
      </c>
      <c r="S1821" t="str">
        <f>"20:23:42.875"</f>
        <v>20:23:42.875</v>
      </c>
      <c r="T1821" t="str">
        <f>"20:23:42.375"</f>
        <v>20:23:42.375</v>
      </c>
      <c r="U1821" t="str">
        <f t="shared" si="89"/>
        <v>AB01F4</v>
      </c>
      <c r="V1821">
        <v>0</v>
      </c>
      <c r="W1821">
        <v>0</v>
      </c>
      <c r="X1821">
        <v>2</v>
      </c>
      <c r="Z1821">
        <v>0</v>
      </c>
      <c r="AA1821">
        <v>9</v>
      </c>
      <c r="AB1821">
        <v>3</v>
      </c>
      <c r="AC1821">
        <v>0</v>
      </c>
      <c r="AD1821">
        <v>10</v>
      </c>
      <c r="AE1821">
        <v>0</v>
      </c>
      <c r="AF1821">
        <v>3</v>
      </c>
      <c r="AG1821">
        <v>2</v>
      </c>
      <c r="AH1821">
        <v>0</v>
      </c>
      <c r="AI1821" t="s">
        <v>1159</v>
      </c>
      <c r="AJ1821">
        <v>39.903416999999997</v>
      </c>
      <c r="AK1821" t="s">
        <v>1160</v>
      </c>
      <c r="AL1821">
        <v>-92.574770000000001</v>
      </c>
      <c r="AM1821">
        <v>100</v>
      </c>
      <c r="AN1821">
        <v>1700</v>
      </c>
      <c r="AO1821" t="s">
        <v>118</v>
      </c>
      <c r="AP1821">
        <v>-107</v>
      </c>
      <c r="AQ1821">
        <v>75</v>
      </c>
      <c r="AR1821">
        <v>-64</v>
      </c>
      <c r="AZ1821">
        <v>1200</v>
      </c>
      <c r="BA1821">
        <v>1</v>
      </c>
      <c r="BB1821" t="str">
        <f t="shared" si="88"/>
        <v xml:space="preserve">N8080G  </v>
      </c>
      <c r="BC1821">
        <v>1</v>
      </c>
      <c r="BE1821">
        <v>0</v>
      </c>
      <c r="BF1821">
        <v>0</v>
      </c>
      <c r="BG1821">
        <v>0</v>
      </c>
      <c r="BH1821">
        <v>1700</v>
      </c>
      <c r="BI1821">
        <v>1</v>
      </c>
      <c r="BJ1821">
        <v>1</v>
      </c>
      <c r="BK1821">
        <v>1</v>
      </c>
      <c r="BL1821">
        <v>0</v>
      </c>
      <c r="BO1821">
        <v>0</v>
      </c>
      <c r="BP1821">
        <v>0</v>
      </c>
      <c r="BW1821" t="str">
        <f>"20:23:42.882"</f>
        <v>20:23:42.882</v>
      </c>
      <c r="BZ1821">
        <v>0</v>
      </c>
      <c r="CA1821">
        <v>2016</v>
      </c>
      <c r="CB1821">
        <v>224</v>
      </c>
      <c r="CD1821">
        <v>1</v>
      </c>
      <c r="CE1821">
        <v>0</v>
      </c>
      <c r="CF1821">
        <v>0</v>
      </c>
      <c r="CG1821">
        <v>1</v>
      </c>
      <c r="CH1821">
        <v>0</v>
      </c>
      <c r="CI1821">
        <v>0</v>
      </c>
      <c r="CJ1821">
        <v>0</v>
      </c>
      <c r="CK1821">
        <v>2</v>
      </c>
      <c r="CL1821">
        <v>0</v>
      </c>
      <c r="CM1821">
        <v>2</v>
      </c>
      <c r="CN1821">
        <v>0</v>
      </c>
      <c r="CO1821">
        <v>2</v>
      </c>
      <c r="CP1821" t="s">
        <v>119</v>
      </c>
      <c r="CQ1821">
        <v>179</v>
      </c>
      <c r="CR1821">
        <v>1</v>
      </c>
      <c r="CW1821">
        <v>8781122</v>
      </c>
      <c r="CY1821">
        <v>1</v>
      </c>
      <c r="CZ1821">
        <v>0</v>
      </c>
      <c r="DA1821">
        <v>1</v>
      </c>
      <c r="DB1821">
        <v>0</v>
      </c>
      <c r="DC1821">
        <v>0</v>
      </c>
      <c r="DD1821">
        <v>0</v>
      </c>
      <c r="DE1821">
        <v>0</v>
      </c>
      <c r="DF1821">
        <v>0</v>
      </c>
      <c r="DG1821">
        <v>0</v>
      </c>
      <c r="DH1821">
        <v>0</v>
      </c>
      <c r="DI1821">
        <v>0</v>
      </c>
    </row>
    <row r="1822" spans="1:113" x14ac:dyDescent="0.3">
      <c r="A1822" t="str">
        <f>"02/08/2021 20:23:40.847"</f>
        <v>02/08/2021 20:23:40.847</v>
      </c>
      <c r="C1822" t="str">
        <f t="shared" si="87"/>
        <v>FFDFD7C0</v>
      </c>
      <c r="D1822" t="s">
        <v>124</v>
      </c>
      <c r="E1822">
        <v>12</v>
      </c>
      <c r="F1822">
        <v>1012</v>
      </c>
      <c r="G1822" t="s">
        <v>675</v>
      </c>
      <c r="J1822" t="s">
        <v>125</v>
      </c>
      <c r="K1822">
        <v>0</v>
      </c>
      <c r="L1822">
        <v>3</v>
      </c>
      <c r="M1822">
        <v>0</v>
      </c>
      <c r="N1822">
        <v>2</v>
      </c>
      <c r="O1822">
        <v>1</v>
      </c>
      <c r="P1822">
        <v>0</v>
      </c>
      <c r="Q1822">
        <v>0</v>
      </c>
      <c r="S1822" t="str">
        <f>"20:23:42.875"</f>
        <v>20:23:42.875</v>
      </c>
      <c r="T1822" t="str">
        <f>"20:23:42.375"</f>
        <v>20:23:42.375</v>
      </c>
      <c r="U1822" t="str">
        <f t="shared" si="89"/>
        <v>AB01F4</v>
      </c>
      <c r="V1822">
        <v>0</v>
      </c>
      <c r="W1822">
        <v>0</v>
      </c>
      <c r="X1822">
        <v>2</v>
      </c>
      <c r="Z1822">
        <v>0</v>
      </c>
      <c r="AA1822">
        <v>9</v>
      </c>
      <c r="AB1822">
        <v>3</v>
      </c>
      <c r="AC1822">
        <v>0</v>
      </c>
      <c r="AD1822">
        <v>10</v>
      </c>
      <c r="AE1822">
        <v>0</v>
      </c>
      <c r="AF1822">
        <v>3</v>
      </c>
      <c r="AG1822">
        <v>2</v>
      </c>
      <c r="AH1822">
        <v>0</v>
      </c>
      <c r="AI1822" t="s">
        <v>1159</v>
      </c>
      <c r="AJ1822">
        <v>39.903416999999997</v>
      </c>
      <c r="AK1822" t="s">
        <v>1160</v>
      </c>
      <c r="AL1822">
        <v>-92.574770000000001</v>
      </c>
      <c r="AM1822">
        <v>100</v>
      </c>
      <c r="AN1822">
        <v>1700</v>
      </c>
      <c r="AO1822" t="s">
        <v>118</v>
      </c>
      <c r="AP1822">
        <v>-107</v>
      </c>
      <c r="AQ1822">
        <v>75</v>
      </c>
      <c r="AR1822">
        <v>-64</v>
      </c>
      <c r="AZ1822">
        <v>1200</v>
      </c>
      <c r="BA1822">
        <v>1</v>
      </c>
      <c r="BB1822" t="str">
        <f t="shared" si="88"/>
        <v xml:space="preserve">N8080G  </v>
      </c>
      <c r="BC1822">
        <v>1</v>
      </c>
      <c r="BE1822">
        <v>0</v>
      </c>
      <c r="BF1822">
        <v>0</v>
      </c>
      <c r="BG1822">
        <v>0</v>
      </c>
      <c r="BH1822">
        <v>1700</v>
      </c>
      <c r="BI1822">
        <v>1</v>
      </c>
      <c r="BJ1822">
        <v>1</v>
      </c>
      <c r="BK1822">
        <v>1</v>
      </c>
      <c r="BL1822">
        <v>0</v>
      </c>
      <c r="BO1822">
        <v>0</v>
      </c>
      <c r="BP1822">
        <v>0</v>
      </c>
      <c r="BW1822" t="str">
        <f>"20:23:42.882"</f>
        <v>20:23:42.882</v>
      </c>
      <c r="BZ1822">
        <v>0</v>
      </c>
      <c r="CA1822">
        <v>2016</v>
      </c>
      <c r="CB1822">
        <v>224</v>
      </c>
      <c r="CD1822">
        <v>1</v>
      </c>
      <c r="CE1822">
        <v>0</v>
      </c>
      <c r="CF1822">
        <v>0</v>
      </c>
      <c r="CG1822">
        <v>1</v>
      </c>
      <c r="CH1822">
        <v>0</v>
      </c>
      <c r="CI1822">
        <v>0</v>
      </c>
      <c r="CJ1822">
        <v>0</v>
      </c>
      <c r="CK1822">
        <v>2</v>
      </c>
      <c r="CL1822">
        <v>0</v>
      </c>
      <c r="CM1822">
        <v>2</v>
      </c>
      <c r="CN1822">
        <v>0</v>
      </c>
      <c r="CO1822">
        <v>2</v>
      </c>
      <c r="CP1822" t="s">
        <v>119</v>
      </c>
      <c r="CQ1822">
        <v>179</v>
      </c>
      <c r="CR1822">
        <v>1</v>
      </c>
      <c r="CW1822">
        <v>8781122</v>
      </c>
      <c r="CY1822">
        <v>1</v>
      </c>
      <c r="CZ1822">
        <v>0</v>
      </c>
      <c r="DA1822">
        <v>1</v>
      </c>
      <c r="DB1822">
        <v>0</v>
      </c>
      <c r="DC1822">
        <v>0</v>
      </c>
      <c r="DD1822">
        <v>0</v>
      </c>
      <c r="DE1822">
        <v>0</v>
      </c>
      <c r="DF1822">
        <v>0</v>
      </c>
      <c r="DG1822">
        <v>0</v>
      </c>
      <c r="DH1822">
        <v>0</v>
      </c>
      <c r="DI1822">
        <v>0</v>
      </c>
    </row>
    <row r="1823" spans="1:113" x14ac:dyDescent="0.3">
      <c r="A1823" t="str">
        <f>"02/08/2021 20:23:44.841"</f>
        <v>02/08/2021 20:23:44.841</v>
      </c>
      <c r="C1823" t="str">
        <f t="shared" si="87"/>
        <v>FFDFD7C0</v>
      </c>
      <c r="D1823" t="s">
        <v>124</v>
      </c>
      <c r="E1823">
        <v>12</v>
      </c>
      <c r="F1823">
        <v>1012</v>
      </c>
      <c r="G1823" t="s">
        <v>675</v>
      </c>
      <c r="J1823" t="s">
        <v>125</v>
      </c>
      <c r="K1823">
        <v>0</v>
      </c>
      <c r="L1823">
        <v>3</v>
      </c>
      <c r="M1823">
        <v>0</v>
      </c>
      <c r="N1823">
        <v>2</v>
      </c>
      <c r="O1823">
        <v>1</v>
      </c>
      <c r="P1823">
        <v>0</v>
      </c>
      <c r="Q1823">
        <v>0</v>
      </c>
      <c r="S1823" t="str">
        <f>"20:23:47.188"</f>
        <v>20:23:47.188</v>
      </c>
      <c r="T1823" t="str">
        <f>"20:23:46.688"</f>
        <v>20:23:46.688</v>
      </c>
      <c r="U1823" t="str">
        <f t="shared" si="89"/>
        <v>AB01F4</v>
      </c>
      <c r="V1823">
        <v>0</v>
      </c>
      <c r="W1823">
        <v>0</v>
      </c>
      <c r="X1823">
        <v>2</v>
      </c>
      <c r="Z1823">
        <v>0</v>
      </c>
      <c r="AA1823">
        <v>9</v>
      </c>
      <c r="AB1823">
        <v>3</v>
      </c>
      <c r="AC1823">
        <v>0</v>
      </c>
      <c r="AD1823">
        <v>10</v>
      </c>
      <c r="AE1823">
        <v>0</v>
      </c>
      <c r="AF1823">
        <v>3</v>
      </c>
      <c r="AG1823">
        <v>2</v>
      </c>
      <c r="AH1823">
        <v>0</v>
      </c>
      <c r="AI1823" t="s">
        <v>1161</v>
      </c>
      <c r="AJ1823">
        <v>39.904896999999998</v>
      </c>
      <c r="AK1823" t="s">
        <v>1162</v>
      </c>
      <c r="AL1823">
        <v>-92.577538000000004</v>
      </c>
      <c r="AM1823">
        <v>100</v>
      </c>
      <c r="AN1823">
        <v>1700</v>
      </c>
      <c r="AO1823" t="s">
        <v>118</v>
      </c>
      <c r="AP1823">
        <v>-106</v>
      </c>
      <c r="AQ1823">
        <v>75</v>
      </c>
      <c r="AR1823">
        <v>0</v>
      </c>
      <c r="AZ1823">
        <v>1200</v>
      </c>
      <c r="BA1823">
        <v>1</v>
      </c>
      <c r="BB1823" t="str">
        <f t="shared" si="88"/>
        <v xml:space="preserve">N8080G  </v>
      </c>
      <c r="BC1823">
        <v>1</v>
      </c>
      <c r="BE1823">
        <v>0</v>
      </c>
      <c r="BF1823">
        <v>0</v>
      </c>
      <c r="BG1823">
        <v>0</v>
      </c>
      <c r="BH1823">
        <v>1700</v>
      </c>
      <c r="BI1823">
        <v>1</v>
      </c>
      <c r="BJ1823">
        <v>1</v>
      </c>
      <c r="BK1823">
        <v>1</v>
      </c>
      <c r="BL1823">
        <v>0</v>
      </c>
      <c r="BO1823">
        <v>0</v>
      </c>
      <c r="BP1823">
        <v>0</v>
      </c>
      <c r="BW1823" t="str">
        <f>"20:23:47.193"</f>
        <v>20:23:47.193</v>
      </c>
      <c r="BZ1823">
        <v>0</v>
      </c>
      <c r="CA1823">
        <v>2016</v>
      </c>
      <c r="CB1823">
        <v>224</v>
      </c>
      <c r="CD1823">
        <v>1</v>
      </c>
      <c r="CE1823">
        <v>0</v>
      </c>
      <c r="CF1823">
        <v>0</v>
      </c>
      <c r="CG1823">
        <v>1</v>
      </c>
      <c r="CH1823">
        <v>0</v>
      </c>
      <c r="CI1823">
        <v>0</v>
      </c>
      <c r="CJ1823">
        <v>0</v>
      </c>
      <c r="CK1823">
        <v>2</v>
      </c>
      <c r="CL1823">
        <v>0</v>
      </c>
      <c r="CM1823">
        <v>2</v>
      </c>
      <c r="CN1823">
        <v>0</v>
      </c>
      <c r="CO1823">
        <v>7</v>
      </c>
      <c r="CP1823" t="s">
        <v>119</v>
      </c>
      <c r="CQ1823">
        <v>180</v>
      </c>
      <c r="CR1823">
        <v>1</v>
      </c>
      <c r="CW1823">
        <v>10916070</v>
      </c>
      <c r="CY1823">
        <v>1</v>
      </c>
      <c r="CZ1823">
        <v>0</v>
      </c>
      <c r="DA1823">
        <v>0</v>
      </c>
      <c r="DB1823">
        <v>0</v>
      </c>
      <c r="DC1823">
        <v>0</v>
      </c>
      <c r="DD1823">
        <v>0</v>
      </c>
      <c r="DE1823">
        <v>0</v>
      </c>
      <c r="DF1823">
        <v>0</v>
      </c>
      <c r="DG1823">
        <v>0</v>
      </c>
      <c r="DH1823">
        <v>0</v>
      </c>
      <c r="DI1823">
        <v>0</v>
      </c>
    </row>
    <row r="1824" spans="1:113" x14ac:dyDescent="0.3">
      <c r="A1824" t="str">
        <f>"02/08/2021 20:23:44.841"</f>
        <v>02/08/2021 20:23:44.841</v>
      </c>
      <c r="C1824" t="str">
        <f t="shared" si="87"/>
        <v>FFDFD7C0</v>
      </c>
      <c r="D1824" t="s">
        <v>124</v>
      </c>
      <c r="E1824">
        <v>11</v>
      </c>
      <c r="F1824">
        <v>1011</v>
      </c>
      <c r="G1824" t="s">
        <v>590</v>
      </c>
      <c r="J1824" t="s">
        <v>125</v>
      </c>
      <c r="K1824">
        <v>0</v>
      </c>
      <c r="L1824">
        <v>3</v>
      </c>
      <c r="M1824">
        <v>0</v>
      </c>
      <c r="N1824">
        <v>2</v>
      </c>
      <c r="O1824">
        <v>1</v>
      </c>
      <c r="P1824">
        <v>0</v>
      </c>
      <c r="Q1824">
        <v>0</v>
      </c>
      <c r="S1824" t="str">
        <f>"20:23:47.188"</f>
        <v>20:23:47.188</v>
      </c>
      <c r="T1824" t="str">
        <f>"20:23:46.688"</f>
        <v>20:23:46.688</v>
      </c>
      <c r="U1824" t="str">
        <f t="shared" si="89"/>
        <v>AB01F4</v>
      </c>
      <c r="V1824">
        <v>0</v>
      </c>
      <c r="W1824">
        <v>0</v>
      </c>
      <c r="X1824">
        <v>2</v>
      </c>
      <c r="Z1824">
        <v>0</v>
      </c>
      <c r="AA1824">
        <v>9</v>
      </c>
      <c r="AB1824">
        <v>3</v>
      </c>
      <c r="AC1824">
        <v>0</v>
      </c>
      <c r="AD1824">
        <v>10</v>
      </c>
      <c r="AE1824">
        <v>0</v>
      </c>
      <c r="AF1824">
        <v>3</v>
      </c>
      <c r="AG1824">
        <v>2</v>
      </c>
      <c r="AH1824">
        <v>0</v>
      </c>
      <c r="AI1824" t="s">
        <v>1161</v>
      </c>
      <c r="AJ1824">
        <v>39.904896999999998</v>
      </c>
      <c r="AK1824" t="s">
        <v>1162</v>
      </c>
      <c r="AL1824">
        <v>-92.577538000000004</v>
      </c>
      <c r="AM1824">
        <v>100</v>
      </c>
      <c r="AN1824">
        <v>1700</v>
      </c>
      <c r="AO1824" t="s">
        <v>118</v>
      </c>
      <c r="AP1824">
        <v>-106</v>
      </c>
      <c r="AQ1824">
        <v>75</v>
      </c>
      <c r="AR1824">
        <v>0</v>
      </c>
      <c r="AZ1824">
        <v>1200</v>
      </c>
      <c r="BA1824">
        <v>1</v>
      </c>
      <c r="BB1824" t="str">
        <f t="shared" si="88"/>
        <v xml:space="preserve">N8080G  </v>
      </c>
      <c r="BC1824">
        <v>1</v>
      </c>
      <c r="BE1824">
        <v>0</v>
      </c>
      <c r="BF1824">
        <v>0</v>
      </c>
      <c r="BG1824">
        <v>0</v>
      </c>
      <c r="BH1824">
        <v>1700</v>
      </c>
      <c r="BI1824">
        <v>1</v>
      </c>
      <c r="BJ1824">
        <v>1</v>
      </c>
      <c r="BK1824">
        <v>1</v>
      </c>
      <c r="BL1824">
        <v>0</v>
      </c>
      <c r="BO1824">
        <v>0</v>
      </c>
      <c r="BP1824">
        <v>0</v>
      </c>
      <c r="BW1824" t="str">
        <f>"20:23:47.193"</f>
        <v>20:23:47.193</v>
      </c>
      <c r="BZ1824">
        <v>0</v>
      </c>
      <c r="CA1824">
        <v>2016</v>
      </c>
      <c r="CB1824">
        <v>224</v>
      </c>
      <c r="CD1824">
        <v>1</v>
      </c>
      <c r="CE1824">
        <v>0</v>
      </c>
      <c r="CF1824">
        <v>0</v>
      </c>
      <c r="CG1824">
        <v>1</v>
      </c>
      <c r="CH1824">
        <v>0</v>
      </c>
      <c r="CI1824">
        <v>0</v>
      </c>
      <c r="CJ1824">
        <v>0</v>
      </c>
      <c r="CK1824">
        <v>2</v>
      </c>
      <c r="CL1824">
        <v>0</v>
      </c>
      <c r="CM1824">
        <v>2</v>
      </c>
      <c r="CN1824">
        <v>0</v>
      </c>
      <c r="CO1824">
        <v>7</v>
      </c>
      <c r="CP1824" t="s">
        <v>119</v>
      </c>
      <c r="CQ1824">
        <v>180</v>
      </c>
      <c r="CR1824">
        <v>1</v>
      </c>
      <c r="CW1824">
        <v>10916070</v>
      </c>
      <c r="CY1824">
        <v>1</v>
      </c>
      <c r="CZ1824">
        <v>0</v>
      </c>
      <c r="DA1824">
        <v>1</v>
      </c>
      <c r="DB1824">
        <v>0</v>
      </c>
      <c r="DC1824">
        <v>0</v>
      </c>
      <c r="DD1824">
        <v>0</v>
      </c>
      <c r="DE1824">
        <v>0</v>
      </c>
      <c r="DF1824">
        <v>0</v>
      </c>
      <c r="DG1824">
        <v>0</v>
      </c>
      <c r="DH1824">
        <v>0</v>
      </c>
      <c r="DI1824">
        <v>0</v>
      </c>
    </row>
    <row r="1825" spans="1:113" x14ac:dyDescent="0.3">
      <c r="A1825" t="str">
        <f>"02/08/2021 20:23:44.841"</f>
        <v>02/08/2021 20:23:44.841</v>
      </c>
      <c r="C1825" t="str">
        <f t="shared" si="87"/>
        <v>FFDFD7C0</v>
      </c>
      <c r="D1825" t="s">
        <v>113</v>
      </c>
      <c r="E1825">
        <v>6</v>
      </c>
      <c r="H1825">
        <v>165</v>
      </c>
      <c r="I1825" t="s">
        <v>114</v>
      </c>
      <c r="J1825" t="s">
        <v>115</v>
      </c>
      <c r="K1825">
        <v>0</v>
      </c>
      <c r="L1825">
        <v>3</v>
      </c>
      <c r="M1825">
        <v>0</v>
      </c>
      <c r="N1825">
        <v>2</v>
      </c>
      <c r="O1825">
        <v>1</v>
      </c>
      <c r="P1825">
        <v>0</v>
      </c>
      <c r="Q1825">
        <v>0</v>
      </c>
      <c r="S1825" t="str">
        <f>"20:23:47.188"</f>
        <v>20:23:47.188</v>
      </c>
      <c r="T1825" t="str">
        <f>"20:23:46.688"</f>
        <v>20:23:46.688</v>
      </c>
      <c r="U1825" t="str">
        <f t="shared" si="89"/>
        <v>AB01F4</v>
      </c>
      <c r="V1825">
        <v>0</v>
      </c>
      <c r="W1825">
        <v>0</v>
      </c>
      <c r="X1825">
        <v>2</v>
      </c>
      <c r="Z1825">
        <v>0</v>
      </c>
      <c r="AA1825">
        <v>9</v>
      </c>
      <c r="AB1825">
        <v>3</v>
      </c>
      <c r="AC1825">
        <v>0</v>
      </c>
      <c r="AD1825">
        <v>10</v>
      </c>
      <c r="AE1825">
        <v>0</v>
      </c>
      <c r="AF1825">
        <v>3</v>
      </c>
      <c r="AG1825">
        <v>2</v>
      </c>
      <c r="AH1825">
        <v>0</v>
      </c>
      <c r="AI1825" t="s">
        <v>1161</v>
      </c>
      <c r="AJ1825">
        <v>39.904896999999998</v>
      </c>
      <c r="AK1825" t="s">
        <v>1162</v>
      </c>
      <c r="AL1825">
        <v>-92.577538000000004</v>
      </c>
      <c r="AM1825">
        <v>100</v>
      </c>
      <c r="AN1825">
        <v>1700</v>
      </c>
      <c r="AO1825" t="s">
        <v>118</v>
      </c>
      <c r="AP1825">
        <v>-106</v>
      </c>
      <c r="AQ1825">
        <v>75</v>
      </c>
      <c r="AR1825">
        <v>0</v>
      </c>
      <c r="AZ1825">
        <v>1200</v>
      </c>
      <c r="BA1825">
        <v>1</v>
      </c>
      <c r="BB1825" t="str">
        <f t="shared" si="88"/>
        <v xml:space="preserve">N8080G  </v>
      </c>
      <c r="BC1825">
        <v>1</v>
      </c>
      <c r="BE1825">
        <v>0</v>
      </c>
      <c r="BF1825">
        <v>0</v>
      </c>
      <c r="BG1825">
        <v>0</v>
      </c>
      <c r="BH1825">
        <v>1700</v>
      </c>
      <c r="BI1825">
        <v>1</v>
      </c>
      <c r="BJ1825">
        <v>1</v>
      </c>
      <c r="BK1825">
        <v>1</v>
      </c>
      <c r="BL1825">
        <v>0</v>
      </c>
      <c r="BO1825">
        <v>0</v>
      </c>
      <c r="BP1825">
        <v>0</v>
      </c>
      <c r="BW1825" t="str">
        <f>"20:23:47.193"</f>
        <v>20:23:47.193</v>
      </c>
      <c r="BZ1825">
        <v>0</v>
      </c>
      <c r="CA1825">
        <v>2016</v>
      </c>
      <c r="CB1825">
        <v>224</v>
      </c>
      <c r="CD1825">
        <v>1</v>
      </c>
      <c r="CE1825">
        <v>0</v>
      </c>
      <c r="CF1825">
        <v>0</v>
      </c>
      <c r="CG1825">
        <v>1</v>
      </c>
      <c r="CH1825">
        <v>0</v>
      </c>
      <c r="CI1825">
        <v>0</v>
      </c>
      <c r="CJ1825">
        <v>0</v>
      </c>
      <c r="CK1825">
        <v>2</v>
      </c>
      <c r="CL1825">
        <v>0</v>
      </c>
      <c r="CM1825">
        <v>2</v>
      </c>
      <c r="CN1825">
        <v>0</v>
      </c>
      <c r="CO1825">
        <v>7</v>
      </c>
      <c r="CP1825" t="s">
        <v>119</v>
      </c>
      <c r="CQ1825">
        <v>180</v>
      </c>
      <c r="CR1825">
        <v>1</v>
      </c>
      <c r="CW1825">
        <v>10916070</v>
      </c>
      <c r="CY1825">
        <v>1</v>
      </c>
      <c r="CZ1825">
        <v>0</v>
      </c>
      <c r="DA1825">
        <v>1</v>
      </c>
      <c r="DB1825">
        <v>0</v>
      </c>
      <c r="DC1825">
        <v>0</v>
      </c>
      <c r="DD1825">
        <v>0</v>
      </c>
      <c r="DE1825">
        <v>0</v>
      </c>
      <c r="DF1825">
        <v>0</v>
      </c>
      <c r="DG1825">
        <v>0</v>
      </c>
      <c r="DH1825">
        <v>0</v>
      </c>
      <c r="DI1825">
        <v>0</v>
      </c>
    </row>
    <row r="1826" spans="1:113" x14ac:dyDescent="0.3">
      <c r="A1826" t="str">
        <f>"02/08/2021 20:23:44.841"</f>
        <v>02/08/2021 20:23:44.841</v>
      </c>
      <c r="C1826" t="str">
        <f t="shared" si="87"/>
        <v>FFDFD7C0</v>
      </c>
      <c r="D1826" t="s">
        <v>124</v>
      </c>
      <c r="E1826">
        <v>13</v>
      </c>
      <c r="F1826">
        <v>1013</v>
      </c>
      <c r="G1826" t="s">
        <v>114</v>
      </c>
      <c r="J1826" t="s">
        <v>125</v>
      </c>
      <c r="K1826">
        <v>0</v>
      </c>
      <c r="L1826">
        <v>3</v>
      </c>
      <c r="M1826">
        <v>0</v>
      </c>
      <c r="N1826">
        <v>2</v>
      </c>
      <c r="O1826">
        <v>1</v>
      </c>
      <c r="P1826">
        <v>0</v>
      </c>
      <c r="Q1826">
        <v>0</v>
      </c>
      <c r="S1826" t="str">
        <f>"20:23:47.188"</f>
        <v>20:23:47.188</v>
      </c>
      <c r="T1826" t="str">
        <f>"20:23:46.688"</f>
        <v>20:23:46.688</v>
      </c>
      <c r="U1826" t="str">
        <f t="shared" si="89"/>
        <v>AB01F4</v>
      </c>
      <c r="V1826">
        <v>0</v>
      </c>
      <c r="W1826">
        <v>0</v>
      </c>
      <c r="X1826">
        <v>2</v>
      </c>
      <c r="Z1826">
        <v>0</v>
      </c>
      <c r="AA1826">
        <v>9</v>
      </c>
      <c r="AB1826">
        <v>3</v>
      </c>
      <c r="AC1826">
        <v>0</v>
      </c>
      <c r="AD1826">
        <v>10</v>
      </c>
      <c r="AE1826">
        <v>0</v>
      </c>
      <c r="AF1826">
        <v>3</v>
      </c>
      <c r="AG1826">
        <v>2</v>
      </c>
      <c r="AH1826">
        <v>0</v>
      </c>
      <c r="AI1826" t="s">
        <v>1161</v>
      </c>
      <c r="AJ1826">
        <v>39.904896999999998</v>
      </c>
      <c r="AK1826" t="s">
        <v>1162</v>
      </c>
      <c r="AL1826">
        <v>-92.577538000000004</v>
      </c>
      <c r="AM1826">
        <v>100</v>
      </c>
      <c r="AN1826">
        <v>1700</v>
      </c>
      <c r="AO1826" t="s">
        <v>118</v>
      </c>
      <c r="AP1826">
        <v>-106</v>
      </c>
      <c r="AQ1826">
        <v>75</v>
      </c>
      <c r="AR1826">
        <v>0</v>
      </c>
      <c r="AZ1826">
        <v>1200</v>
      </c>
      <c r="BA1826">
        <v>1</v>
      </c>
      <c r="BB1826" t="str">
        <f t="shared" si="88"/>
        <v xml:space="preserve">N8080G  </v>
      </c>
      <c r="BC1826">
        <v>1</v>
      </c>
      <c r="BE1826">
        <v>0</v>
      </c>
      <c r="BF1826">
        <v>0</v>
      </c>
      <c r="BG1826">
        <v>0</v>
      </c>
      <c r="BH1826">
        <v>1700</v>
      </c>
      <c r="BI1826">
        <v>1</v>
      </c>
      <c r="BJ1826">
        <v>1</v>
      </c>
      <c r="BK1826">
        <v>1</v>
      </c>
      <c r="BL1826">
        <v>0</v>
      </c>
      <c r="BO1826">
        <v>0</v>
      </c>
      <c r="BP1826">
        <v>0</v>
      </c>
      <c r="BW1826" t="str">
        <f>"20:23:47.193"</f>
        <v>20:23:47.193</v>
      </c>
      <c r="BZ1826">
        <v>0</v>
      </c>
      <c r="CA1826">
        <v>2016</v>
      </c>
      <c r="CB1826">
        <v>224</v>
      </c>
      <c r="CD1826">
        <v>1</v>
      </c>
      <c r="CE1826">
        <v>0</v>
      </c>
      <c r="CF1826">
        <v>0</v>
      </c>
      <c r="CG1826">
        <v>1</v>
      </c>
      <c r="CH1826">
        <v>0</v>
      </c>
      <c r="CI1826">
        <v>0</v>
      </c>
      <c r="CJ1826">
        <v>0</v>
      </c>
      <c r="CK1826">
        <v>2</v>
      </c>
      <c r="CL1826">
        <v>0</v>
      </c>
      <c r="CM1826">
        <v>2</v>
      </c>
      <c r="CN1826">
        <v>0</v>
      </c>
      <c r="CO1826">
        <v>7</v>
      </c>
      <c r="CP1826" t="s">
        <v>119</v>
      </c>
      <c r="CQ1826">
        <v>180</v>
      </c>
      <c r="CR1826">
        <v>1</v>
      </c>
      <c r="CW1826">
        <v>10916070</v>
      </c>
      <c r="CY1826">
        <v>1</v>
      </c>
      <c r="CZ1826">
        <v>0</v>
      </c>
      <c r="DA1826">
        <v>1</v>
      </c>
      <c r="DB1826">
        <v>0</v>
      </c>
      <c r="DC1826">
        <v>0</v>
      </c>
      <c r="DD1826">
        <v>0</v>
      </c>
      <c r="DE1826">
        <v>0</v>
      </c>
      <c r="DF1826">
        <v>0</v>
      </c>
      <c r="DG1826">
        <v>0</v>
      </c>
      <c r="DH1826">
        <v>0</v>
      </c>
      <c r="DI1826">
        <v>0</v>
      </c>
    </row>
    <row r="1827" spans="1:113" x14ac:dyDescent="0.3">
      <c r="A1827" t="str">
        <f>"02/08/2021 20:23:46.601"</f>
        <v>02/08/2021 20:23:46.601</v>
      </c>
      <c r="C1827" t="str">
        <f t="shared" si="87"/>
        <v>FFDFD7C0</v>
      </c>
      <c r="D1827" t="s">
        <v>124</v>
      </c>
      <c r="E1827">
        <v>12</v>
      </c>
      <c r="F1827">
        <v>1012</v>
      </c>
      <c r="G1827" t="s">
        <v>675</v>
      </c>
      <c r="J1827" t="s">
        <v>125</v>
      </c>
      <c r="K1827">
        <v>0</v>
      </c>
      <c r="L1827">
        <v>3</v>
      </c>
      <c r="M1827">
        <v>0</v>
      </c>
      <c r="N1827">
        <v>2</v>
      </c>
      <c r="O1827">
        <v>1</v>
      </c>
      <c r="P1827">
        <v>0</v>
      </c>
      <c r="Q1827">
        <v>0</v>
      </c>
      <c r="S1827" t="str">
        <f>"20:23:48.891"</f>
        <v>20:23:48.891</v>
      </c>
      <c r="T1827" t="str">
        <f>"20:23:48.391"</f>
        <v>20:23:48.391</v>
      </c>
      <c r="U1827" t="str">
        <f t="shared" si="89"/>
        <v>AB01F4</v>
      </c>
      <c r="V1827">
        <v>0</v>
      </c>
      <c r="W1827">
        <v>0</v>
      </c>
      <c r="X1827">
        <v>2</v>
      </c>
      <c r="Z1827">
        <v>0</v>
      </c>
      <c r="AA1827">
        <v>9</v>
      </c>
      <c r="AB1827">
        <v>3</v>
      </c>
      <c r="AC1827">
        <v>0</v>
      </c>
      <c r="AD1827">
        <v>10</v>
      </c>
      <c r="AE1827">
        <v>0</v>
      </c>
      <c r="AF1827">
        <v>3</v>
      </c>
      <c r="AG1827">
        <v>2</v>
      </c>
      <c r="AH1827">
        <v>0</v>
      </c>
      <c r="AI1827" t="s">
        <v>1163</v>
      </c>
      <c r="AJ1827">
        <v>39.905518999999998</v>
      </c>
      <c r="AK1827" t="s">
        <v>1164</v>
      </c>
      <c r="AL1827">
        <v>-92.578610999999995</v>
      </c>
      <c r="AM1827">
        <v>100</v>
      </c>
      <c r="AN1827">
        <v>1700</v>
      </c>
      <c r="AO1827" t="s">
        <v>118</v>
      </c>
      <c r="AP1827">
        <v>-106</v>
      </c>
      <c r="AQ1827">
        <v>75</v>
      </c>
      <c r="AR1827">
        <v>0</v>
      </c>
      <c r="AZ1827">
        <v>1200</v>
      </c>
      <c r="BA1827">
        <v>1</v>
      </c>
      <c r="BB1827" t="str">
        <f t="shared" si="88"/>
        <v xml:space="preserve">N8080G  </v>
      </c>
      <c r="BC1827">
        <v>1</v>
      </c>
      <c r="BE1827">
        <v>0</v>
      </c>
      <c r="BF1827">
        <v>0</v>
      </c>
      <c r="BG1827">
        <v>0</v>
      </c>
      <c r="BH1827">
        <v>1700</v>
      </c>
      <c r="BI1827">
        <v>1</v>
      </c>
      <c r="BJ1827">
        <v>1</v>
      </c>
      <c r="BK1827">
        <v>1</v>
      </c>
      <c r="BL1827">
        <v>0</v>
      </c>
      <c r="BO1827">
        <v>0</v>
      </c>
      <c r="BP1827">
        <v>0</v>
      </c>
      <c r="BW1827" t="str">
        <f>"20:23:48.895"</f>
        <v>20:23:48.895</v>
      </c>
      <c r="BZ1827">
        <v>0</v>
      </c>
      <c r="CA1827">
        <v>2016</v>
      </c>
      <c r="CB1827">
        <v>224</v>
      </c>
      <c r="CD1827">
        <v>1</v>
      </c>
      <c r="CE1827">
        <v>0</v>
      </c>
      <c r="CF1827">
        <v>0</v>
      </c>
      <c r="CG1827">
        <v>1</v>
      </c>
      <c r="CH1827">
        <v>0</v>
      </c>
      <c r="CI1827">
        <v>0</v>
      </c>
      <c r="CJ1827">
        <v>0</v>
      </c>
      <c r="CK1827">
        <v>2</v>
      </c>
      <c r="CL1827">
        <v>0</v>
      </c>
      <c r="CM1827">
        <v>2</v>
      </c>
      <c r="CN1827">
        <v>0</v>
      </c>
      <c r="CO1827">
        <v>7</v>
      </c>
      <c r="CP1827" t="s">
        <v>119</v>
      </c>
      <c r="CQ1827">
        <v>180</v>
      </c>
      <c r="CR1827">
        <v>1</v>
      </c>
      <c r="CW1827">
        <v>10917421</v>
      </c>
      <c r="CY1827">
        <v>1</v>
      </c>
      <c r="CZ1827">
        <v>0</v>
      </c>
      <c r="DA1827">
        <v>0</v>
      </c>
      <c r="DB1827">
        <v>0</v>
      </c>
      <c r="DC1827">
        <v>0</v>
      </c>
      <c r="DD1827">
        <v>0</v>
      </c>
      <c r="DE1827">
        <v>0</v>
      </c>
      <c r="DF1827">
        <v>0</v>
      </c>
      <c r="DG1827">
        <v>0</v>
      </c>
      <c r="DH1827">
        <v>0</v>
      </c>
      <c r="DI1827">
        <v>0</v>
      </c>
    </row>
    <row r="1828" spans="1:113" x14ac:dyDescent="0.3">
      <c r="A1828" t="str">
        <f>"02/08/2021 20:23:46.601"</f>
        <v>02/08/2021 20:23:46.601</v>
      </c>
      <c r="C1828" t="str">
        <f t="shared" si="87"/>
        <v>FFDFD7C0</v>
      </c>
      <c r="D1828" t="s">
        <v>124</v>
      </c>
      <c r="E1828">
        <v>11</v>
      </c>
      <c r="F1828">
        <v>1011</v>
      </c>
      <c r="G1828" t="s">
        <v>590</v>
      </c>
      <c r="J1828" t="s">
        <v>125</v>
      </c>
      <c r="K1828">
        <v>0</v>
      </c>
      <c r="L1828">
        <v>3</v>
      </c>
      <c r="M1828">
        <v>0</v>
      </c>
      <c r="N1828">
        <v>2</v>
      </c>
      <c r="O1828">
        <v>1</v>
      </c>
      <c r="P1828">
        <v>0</v>
      </c>
      <c r="Q1828">
        <v>0</v>
      </c>
      <c r="S1828" t="str">
        <f>"20:23:48.891"</f>
        <v>20:23:48.891</v>
      </c>
      <c r="T1828" t="str">
        <f>"20:23:48.391"</f>
        <v>20:23:48.391</v>
      </c>
      <c r="U1828" t="str">
        <f t="shared" si="89"/>
        <v>AB01F4</v>
      </c>
      <c r="V1828">
        <v>0</v>
      </c>
      <c r="W1828">
        <v>0</v>
      </c>
      <c r="X1828">
        <v>2</v>
      </c>
      <c r="Z1828">
        <v>0</v>
      </c>
      <c r="AA1828">
        <v>9</v>
      </c>
      <c r="AB1828">
        <v>3</v>
      </c>
      <c r="AC1828">
        <v>0</v>
      </c>
      <c r="AD1828">
        <v>10</v>
      </c>
      <c r="AE1828">
        <v>0</v>
      </c>
      <c r="AF1828">
        <v>3</v>
      </c>
      <c r="AG1828">
        <v>2</v>
      </c>
      <c r="AH1828">
        <v>0</v>
      </c>
      <c r="AI1828" t="s">
        <v>1163</v>
      </c>
      <c r="AJ1828">
        <v>39.905518999999998</v>
      </c>
      <c r="AK1828" t="s">
        <v>1164</v>
      </c>
      <c r="AL1828">
        <v>-92.578610999999995</v>
      </c>
      <c r="AM1828">
        <v>100</v>
      </c>
      <c r="AN1828">
        <v>1700</v>
      </c>
      <c r="AO1828" t="s">
        <v>118</v>
      </c>
      <c r="AP1828">
        <v>-106</v>
      </c>
      <c r="AQ1828">
        <v>75</v>
      </c>
      <c r="AR1828">
        <v>0</v>
      </c>
      <c r="AZ1828">
        <v>1200</v>
      </c>
      <c r="BA1828">
        <v>1</v>
      </c>
      <c r="BB1828" t="str">
        <f t="shared" si="88"/>
        <v xml:space="preserve">N8080G  </v>
      </c>
      <c r="BC1828">
        <v>1</v>
      </c>
      <c r="BE1828">
        <v>0</v>
      </c>
      <c r="BF1828">
        <v>0</v>
      </c>
      <c r="BG1828">
        <v>0</v>
      </c>
      <c r="BH1828">
        <v>1700</v>
      </c>
      <c r="BI1828">
        <v>1</v>
      </c>
      <c r="BJ1828">
        <v>1</v>
      </c>
      <c r="BK1828">
        <v>1</v>
      </c>
      <c r="BL1828">
        <v>0</v>
      </c>
      <c r="BO1828">
        <v>0</v>
      </c>
      <c r="BP1828">
        <v>0</v>
      </c>
      <c r="BW1828" t="str">
        <f>"20:23:48.895"</f>
        <v>20:23:48.895</v>
      </c>
      <c r="BZ1828">
        <v>0</v>
      </c>
      <c r="CA1828">
        <v>2016</v>
      </c>
      <c r="CB1828">
        <v>224</v>
      </c>
      <c r="CD1828">
        <v>1</v>
      </c>
      <c r="CE1828">
        <v>0</v>
      </c>
      <c r="CF1828">
        <v>0</v>
      </c>
      <c r="CG1828">
        <v>1</v>
      </c>
      <c r="CH1828">
        <v>0</v>
      </c>
      <c r="CI1828">
        <v>0</v>
      </c>
      <c r="CJ1828">
        <v>0</v>
      </c>
      <c r="CK1828">
        <v>2</v>
      </c>
      <c r="CL1828">
        <v>0</v>
      </c>
      <c r="CM1828">
        <v>2</v>
      </c>
      <c r="CN1828">
        <v>0</v>
      </c>
      <c r="CO1828">
        <v>7</v>
      </c>
      <c r="CP1828" t="s">
        <v>119</v>
      </c>
      <c r="CQ1828">
        <v>180</v>
      </c>
      <c r="CR1828">
        <v>1</v>
      </c>
      <c r="CW1828">
        <v>10917421</v>
      </c>
      <c r="CY1828">
        <v>1</v>
      </c>
      <c r="CZ1828">
        <v>0</v>
      </c>
      <c r="DA1828">
        <v>1</v>
      </c>
      <c r="DB1828">
        <v>0</v>
      </c>
      <c r="DC1828">
        <v>0</v>
      </c>
      <c r="DD1828">
        <v>0</v>
      </c>
      <c r="DE1828">
        <v>0</v>
      </c>
      <c r="DF1828">
        <v>0</v>
      </c>
      <c r="DG1828">
        <v>0</v>
      </c>
      <c r="DH1828">
        <v>0</v>
      </c>
      <c r="DI1828">
        <v>0</v>
      </c>
    </row>
    <row r="1829" spans="1:113" x14ac:dyDescent="0.3">
      <c r="A1829" t="str">
        <f>"02/08/2021 20:23:46.601"</f>
        <v>02/08/2021 20:23:46.601</v>
      </c>
      <c r="C1829" t="str">
        <f t="shared" si="87"/>
        <v>FFDFD7C0</v>
      </c>
      <c r="D1829" t="s">
        <v>124</v>
      </c>
      <c r="E1829">
        <v>13</v>
      </c>
      <c r="F1829">
        <v>1013</v>
      </c>
      <c r="G1829" t="s">
        <v>114</v>
      </c>
      <c r="J1829" t="s">
        <v>125</v>
      </c>
      <c r="K1829">
        <v>0</v>
      </c>
      <c r="L1829">
        <v>3</v>
      </c>
      <c r="M1829">
        <v>0</v>
      </c>
      <c r="N1829">
        <v>2</v>
      </c>
      <c r="O1829">
        <v>1</v>
      </c>
      <c r="P1829">
        <v>0</v>
      </c>
      <c r="Q1829">
        <v>0</v>
      </c>
      <c r="S1829" t="str">
        <f>"20:23:48.891"</f>
        <v>20:23:48.891</v>
      </c>
      <c r="T1829" t="str">
        <f>"20:23:48.391"</f>
        <v>20:23:48.391</v>
      </c>
      <c r="U1829" t="str">
        <f t="shared" si="89"/>
        <v>AB01F4</v>
      </c>
      <c r="V1829">
        <v>0</v>
      </c>
      <c r="W1829">
        <v>0</v>
      </c>
      <c r="X1829">
        <v>2</v>
      </c>
      <c r="Z1829">
        <v>0</v>
      </c>
      <c r="AA1829">
        <v>9</v>
      </c>
      <c r="AB1829">
        <v>3</v>
      </c>
      <c r="AC1829">
        <v>0</v>
      </c>
      <c r="AD1829">
        <v>10</v>
      </c>
      <c r="AE1829">
        <v>0</v>
      </c>
      <c r="AF1829">
        <v>3</v>
      </c>
      <c r="AG1829">
        <v>2</v>
      </c>
      <c r="AH1829">
        <v>0</v>
      </c>
      <c r="AI1829" t="s">
        <v>1163</v>
      </c>
      <c r="AJ1829">
        <v>39.905518999999998</v>
      </c>
      <c r="AK1829" t="s">
        <v>1164</v>
      </c>
      <c r="AL1829">
        <v>-92.578610999999995</v>
      </c>
      <c r="AM1829">
        <v>100</v>
      </c>
      <c r="AN1829">
        <v>1700</v>
      </c>
      <c r="AO1829" t="s">
        <v>118</v>
      </c>
      <c r="AP1829">
        <v>-106</v>
      </c>
      <c r="AQ1829">
        <v>75</v>
      </c>
      <c r="AR1829">
        <v>0</v>
      </c>
      <c r="AZ1829">
        <v>1200</v>
      </c>
      <c r="BA1829">
        <v>1</v>
      </c>
      <c r="BB1829" t="str">
        <f t="shared" si="88"/>
        <v xml:space="preserve">N8080G  </v>
      </c>
      <c r="BC1829">
        <v>1</v>
      </c>
      <c r="BE1829">
        <v>0</v>
      </c>
      <c r="BF1829">
        <v>0</v>
      </c>
      <c r="BG1829">
        <v>0</v>
      </c>
      <c r="BH1829">
        <v>1700</v>
      </c>
      <c r="BI1829">
        <v>1</v>
      </c>
      <c r="BJ1829">
        <v>1</v>
      </c>
      <c r="BK1829">
        <v>1</v>
      </c>
      <c r="BL1829">
        <v>0</v>
      </c>
      <c r="BO1829">
        <v>0</v>
      </c>
      <c r="BP1829">
        <v>0</v>
      </c>
      <c r="BW1829" t="str">
        <f>"20:23:48.895"</f>
        <v>20:23:48.895</v>
      </c>
      <c r="BZ1829">
        <v>0</v>
      </c>
      <c r="CA1829">
        <v>2016</v>
      </c>
      <c r="CB1829">
        <v>224</v>
      </c>
      <c r="CD1829">
        <v>1</v>
      </c>
      <c r="CE1829">
        <v>0</v>
      </c>
      <c r="CF1829">
        <v>0</v>
      </c>
      <c r="CG1829">
        <v>1</v>
      </c>
      <c r="CH1829">
        <v>0</v>
      </c>
      <c r="CI1829">
        <v>0</v>
      </c>
      <c r="CJ1829">
        <v>0</v>
      </c>
      <c r="CK1829">
        <v>2</v>
      </c>
      <c r="CL1829">
        <v>0</v>
      </c>
      <c r="CM1829">
        <v>2</v>
      </c>
      <c r="CN1829">
        <v>0</v>
      </c>
      <c r="CO1829">
        <v>7</v>
      </c>
      <c r="CP1829" t="s">
        <v>119</v>
      </c>
      <c r="CQ1829">
        <v>180</v>
      </c>
      <c r="CR1829">
        <v>1</v>
      </c>
      <c r="CW1829">
        <v>10917421</v>
      </c>
      <c r="CY1829">
        <v>1</v>
      </c>
      <c r="CZ1829">
        <v>0</v>
      </c>
      <c r="DA1829">
        <v>1</v>
      </c>
      <c r="DB1829">
        <v>0</v>
      </c>
      <c r="DC1829">
        <v>0</v>
      </c>
      <c r="DD1829">
        <v>0</v>
      </c>
      <c r="DE1829">
        <v>0</v>
      </c>
      <c r="DF1829">
        <v>0</v>
      </c>
      <c r="DG1829">
        <v>0</v>
      </c>
      <c r="DH1829">
        <v>0</v>
      </c>
      <c r="DI1829">
        <v>0</v>
      </c>
    </row>
    <row r="1830" spans="1:113" x14ac:dyDescent="0.3">
      <c r="A1830" t="str">
        <f>"02/08/2021 20:23:46.601"</f>
        <v>02/08/2021 20:23:46.601</v>
      </c>
      <c r="C1830" t="str">
        <f t="shared" si="87"/>
        <v>FFDFD7C0</v>
      </c>
      <c r="D1830" t="s">
        <v>113</v>
      </c>
      <c r="E1830">
        <v>6</v>
      </c>
      <c r="H1830">
        <v>165</v>
      </c>
      <c r="I1830" t="s">
        <v>114</v>
      </c>
      <c r="J1830" t="s">
        <v>115</v>
      </c>
      <c r="K1830">
        <v>0</v>
      </c>
      <c r="L1830">
        <v>3</v>
      </c>
      <c r="M1830">
        <v>0</v>
      </c>
      <c r="N1830">
        <v>2</v>
      </c>
      <c r="O1830">
        <v>1</v>
      </c>
      <c r="P1830">
        <v>0</v>
      </c>
      <c r="Q1830">
        <v>0</v>
      </c>
      <c r="S1830" t="str">
        <f>"20:23:48.891"</f>
        <v>20:23:48.891</v>
      </c>
      <c r="T1830" t="str">
        <f>"20:23:48.391"</f>
        <v>20:23:48.391</v>
      </c>
      <c r="U1830" t="str">
        <f t="shared" si="89"/>
        <v>AB01F4</v>
      </c>
      <c r="V1830">
        <v>0</v>
      </c>
      <c r="W1830">
        <v>0</v>
      </c>
      <c r="X1830">
        <v>2</v>
      </c>
      <c r="Z1830">
        <v>0</v>
      </c>
      <c r="AA1830">
        <v>9</v>
      </c>
      <c r="AB1830">
        <v>3</v>
      </c>
      <c r="AC1830">
        <v>0</v>
      </c>
      <c r="AD1830">
        <v>10</v>
      </c>
      <c r="AE1830">
        <v>0</v>
      </c>
      <c r="AF1830">
        <v>3</v>
      </c>
      <c r="AG1830">
        <v>2</v>
      </c>
      <c r="AH1830">
        <v>0</v>
      </c>
      <c r="AI1830" t="s">
        <v>1163</v>
      </c>
      <c r="AJ1830">
        <v>39.905518999999998</v>
      </c>
      <c r="AK1830" t="s">
        <v>1164</v>
      </c>
      <c r="AL1830">
        <v>-92.578610999999995</v>
      </c>
      <c r="AM1830">
        <v>100</v>
      </c>
      <c r="AN1830">
        <v>1700</v>
      </c>
      <c r="AO1830" t="s">
        <v>118</v>
      </c>
      <c r="AP1830">
        <v>-106</v>
      </c>
      <c r="AQ1830">
        <v>75</v>
      </c>
      <c r="AR1830">
        <v>0</v>
      </c>
      <c r="AZ1830">
        <v>1200</v>
      </c>
      <c r="BA1830">
        <v>1</v>
      </c>
      <c r="BB1830" t="str">
        <f t="shared" si="88"/>
        <v xml:space="preserve">N8080G  </v>
      </c>
      <c r="BC1830">
        <v>1</v>
      </c>
      <c r="BE1830">
        <v>0</v>
      </c>
      <c r="BF1830">
        <v>0</v>
      </c>
      <c r="BG1830">
        <v>0</v>
      </c>
      <c r="BH1830">
        <v>1700</v>
      </c>
      <c r="BI1830">
        <v>1</v>
      </c>
      <c r="BJ1830">
        <v>1</v>
      </c>
      <c r="BK1830">
        <v>1</v>
      </c>
      <c r="BL1830">
        <v>0</v>
      </c>
      <c r="BO1830">
        <v>0</v>
      </c>
      <c r="BP1830">
        <v>0</v>
      </c>
      <c r="BW1830" t="str">
        <f>"20:23:48.895"</f>
        <v>20:23:48.895</v>
      </c>
      <c r="BZ1830">
        <v>0</v>
      </c>
      <c r="CA1830">
        <v>2016</v>
      </c>
      <c r="CB1830">
        <v>224</v>
      </c>
      <c r="CD1830">
        <v>1</v>
      </c>
      <c r="CE1830">
        <v>0</v>
      </c>
      <c r="CF1830">
        <v>0</v>
      </c>
      <c r="CG1830">
        <v>1</v>
      </c>
      <c r="CH1830">
        <v>0</v>
      </c>
      <c r="CI1830">
        <v>0</v>
      </c>
      <c r="CJ1830">
        <v>0</v>
      </c>
      <c r="CK1830">
        <v>2</v>
      </c>
      <c r="CL1830">
        <v>0</v>
      </c>
      <c r="CM1830">
        <v>2</v>
      </c>
      <c r="CN1830">
        <v>0</v>
      </c>
      <c r="CO1830">
        <v>7</v>
      </c>
      <c r="CP1830" t="s">
        <v>119</v>
      </c>
      <c r="CQ1830">
        <v>180</v>
      </c>
      <c r="CR1830">
        <v>1</v>
      </c>
      <c r="CW1830">
        <v>10917421</v>
      </c>
      <c r="CY1830">
        <v>1</v>
      </c>
      <c r="CZ1830">
        <v>0</v>
      </c>
      <c r="DA1830">
        <v>1</v>
      </c>
      <c r="DB1830">
        <v>0</v>
      </c>
      <c r="DC1830">
        <v>0</v>
      </c>
      <c r="DD1830">
        <v>0</v>
      </c>
      <c r="DE1830">
        <v>0</v>
      </c>
      <c r="DF1830">
        <v>0</v>
      </c>
      <c r="DG1830">
        <v>0</v>
      </c>
      <c r="DH1830">
        <v>0</v>
      </c>
      <c r="DI1830">
        <v>0</v>
      </c>
    </row>
    <row r="1831" spans="1:113" x14ac:dyDescent="0.3">
      <c r="A1831" t="str">
        <f>"02/08/2021 20:23:48.412"</f>
        <v>02/08/2021 20:23:48.412</v>
      </c>
      <c r="C1831" t="str">
        <f t="shared" si="87"/>
        <v>FFDFD7C0</v>
      </c>
      <c r="D1831" t="s">
        <v>124</v>
      </c>
      <c r="E1831">
        <v>12</v>
      </c>
      <c r="F1831">
        <v>1012</v>
      </c>
      <c r="G1831" t="s">
        <v>675</v>
      </c>
      <c r="J1831" t="s">
        <v>125</v>
      </c>
      <c r="K1831">
        <v>0</v>
      </c>
      <c r="L1831">
        <v>3</v>
      </c>
      <c r="M1831">
        <v>0</v>
      </c>
      <c r="N1831">
        <v>2</v>
      </c>
      <c r="O1831">
        <v>1</v>
      </c>
      <c r="P1831">
        <v>0</v>
      </c>
      <c r="Q1831">
        <v>0</v>
      </c>
      <c r="S1831" t="str">
        <f>"20:23:50.758"</f>
        <v>20:23:50.758</v>
      </c>
      <c r="T1831" t="str">
        <f>"20:23:50.358"</f>
        <v>20:23:50.358</v>
      </c>
      <c r="U1831" t="str">
        <f t="shared" si="89"/>
        <v>AB01F4</v>
      </c>
      <c r="V1831">
        <v>0</v>
      </c>
      <c r="W1831">
        <v>0</v>
      </c>
      <c r="X1831">
        <v>2</v>
      </c>
      <c r="Z1831">
        <v>0</v>
      </c>
      <c r="AA1831">
        <v>9</v>
      </c>
      <c r="AB1831">
        <v>3</v>
      </c>
      <c r="AC1831">
        <v>0</v>
      </c>
      <c r="AD1831">
        <v>10</v>
      </c>
      <c r="AE1831">
        <v>0</v>
      </c>
      <c r="AF1831">
        <v>3</v>
      </c>
      <c r="AG1831">
        <v>2</v>
      </c>
      <c r="AH1831">
        <v>0</v>
      </c>
      <c r="AI1831" t="s">
        <v>1165</v>
      </c>
      <c r="AJ1831">
        <v>39.906142000000003</v>
      </c>
      <c r="AK1831" t="s">
        <v>1166</v>
      </c>
      <c r="AL1831">
        <v>-92.579813000000001</v>
      </c>
      <c r="AM1831">
        <v>100</v>
      </c>
      <c r="AN1831">
        <v>1700</v>
      </c>
      <c r="AO1831" t="s">
        <v>118</v>
      </c>
      <c r="AP1831">
        <v>-106</v>
      </c>
      <c r="AQ1831">
        <v>76</v>
      </c>
      <c r="AR1831">
        <v>-64</v>
      </c>
      <c r="AZ1831">
        <v>1200</v>
      </c>
      <c r="BA1831">
        <v>1</v>
      </c>
      <c r="BB1831" t="str">
        <f t="shared" si="88"/>
        <v xml:space="preserve">N8080G  </v>
      </c>
      <c r="BC1831">
        <v>1</v>
      </c>
      <c r="BE1831">
        <v>0</v>
      </c>
      <c r="BF1831">
        <v>0</v>
      </c>
      <c r="BG1831">
        <v>0</v>
      </c>
      <c r="BH1831">
        <v>1700</v>
      </c>
      <c r="BI1831">
        <v>1</v>
      </c>
      <c r="BJ1831">
        <v>1</v>
      </c>
      <c r="BK1831">
        <v>1</v>
      </c>
      <c r="BL1831">
        <v>0</v>
      </c>
      <c r="BO1831">
        <v>0</v>
      </c>
      <c r="BP1831">
        <v>0</v>
      </c>
      <c r="BW1831" t="str">
        <f>"20:23:50.760"</f>
        <v>20:23:50.760</v>
      </c>
      <c r="BZ1831">
        <v>0</v>
      </c>
      <c r="CA1831">
        <v>2016</v>
      </c>
      <c r="CB1831">
        <v>224</v>
      </c>
      <c r="CD1831">
        <v>1</v>
      </c>
      <c r="CE1831">
        <v>0</v>
      </c>
      <c r="CF1831">
        <v>0</v>
      </c>
      <c r="CG1831">
        <v>1</v>
      </c>
      <c r="CH1831">
        <v>0</v>
      </c>
      <c r="CI1831">
        <v>0</v>
      </c>
      <c r="CJ1831">
        <v>0</v>
      </c>
      <c r="CK1831">
        <v>2</v>
      </c>
      <c r="CL1831">
        <v>0</v>
      </c>
      <c r="CM1831">
        <v>2</v>
      </c>
      <c r="CN1831">
        <v>0</v>
      </c>
      <c r="CO1831">
        <v>7</v>
      </c>
      <c r="CP1831" t="s">
        <v>119</v>
      </c>
      <c r="CQ1831">
        <v>180</v>
      </c>
      <c r="CR1831">
        <v>2</v>
      </c>
      <c r="CW1831">
        <v>8354096</v>
      </c>
      <c r="CY1831">
        <v>1</v>
      </c>
      <c r="CZ1831">
        <v>0</v>
      </c>
      <c r="DA1831">
        <v>0</v>
      </c>
      <c r="DB1831">
        <v>0</v>
      </c>
      <c r="DC1831">
        <v>0</v>
      </c>
      <c r="DD1831">
        <v>0</v>
      </c>
      <c r="DE1831">
        <v>0</v>
      </c>
      <c r="DF1831">
        <v>0</v>
      </c>
      <c r="DG1831">
        <v>0</v>
      </c>
      <c r="DH1831">
        <v>0</v>
      </c>
      <c r="DI1831">
        <v>0</v>
      </c>
    </row>
    <row r="1832" spans="1:113" x14ac:dyDescent="0.3">
      <c r="A1832" t="str">
        <f>"02/08/2021 20:23:48.412"</f>
        <v>02/08/2021 20:23:48.412</v>
      </c>
      <c r="C1832" t="str">
        <f t="shared" si="87"/>
        <v>FFDFD7C0</v>
      </c>
      <c r="D1832" t="s">
        <v>124</v>
      </c>
      <c r="E1832">
        <v>11</v>
      </c>
      <c r="F1832">
        <v>1011</v>
      </c>
      <c r="G1832" t="s">
        <v>590</v>
      </c>
      <c r="J1832" t="s">
        <v>125</v>
      </c>
      <c r="K1832">
        <v>0</v>
      </c>
      <c r="L1832">
        <v>3</v>
      </c>
      <c r="M1832">
        <v>0</v>
      </c>
      <c r="N1832">
        <v>2</v>
      </c>
      <c r="O1832">
        <v>1</v>
      </c>
      <c r="P1832">
        <v>0</v>
      </c>
      <c r="Q1832">
        <v>0</v>
      </c>
      <c r="S1832" t="str">
        <f>"20:23:50.758"</f>
        <v>20:23:50.758</v>
      </c>
      <c r="T1832" t="str">
        <f>"20:23:50.358"</f>
        <v>20:23:50.358</v>
      </c>
      <c r="U1832" t="str">
        <f t="shared" si="89"/>
        <v>AB01F4</v>
      </c>
      <c r="V1832">
        <v>0</v>
      </c>
      <c r="W1832">
        <v>0</v>
      </c>
      <c r="X1832">
        <v>2</v>
      </c>
      <c r="Z1832">
        <v>0</v>
      </c>
      <c r="AA1832">
        <v>9</v>
      </c>
      <c r="AB1832">
        <v>3</v>
      </c>
      <c r="AC1832">
        <v>0</v>
      </c>
      <c r="AD1832">
        <v>10</v>
      </c>
      <c r="AE1832">
        <v>0</v>
      </c>
      <c r="AF1832">
        <v>3</v>
      </c>
      <c r="AG1832">
        <v>2</v>
      </c>
      <c r="AH1832">
        <v>0</v>
      </c>
      <c r="AI1832" t="s">
        <v>1165</v>
      </c>
      <c r="AJ1832">
        <v>39.906142000000003</v>
      </c>
      <c r="AK1832" t="s">
        <v>1166</v>
      </c>
      <c r="AL1832">
        <v>-92.579813000000001</v>
      </c>
      <c r="AM1832">
        <v>100</v>
      </c>
      <c r="AN1832">
        <v>1700</v>
      </c>
      <c r="AO1832" t="s">
        <v>118</v>
      </c>
      <c r="AP1832">
        <v>-106</v>
      </c>
      <c r="AQ1832">
        <v>76</v>
      </c>
      <c r="AR1832">
        <v>-64</v>
      </c>
      <c r="AZ1832">
        <v>1200</v>
      </c>
      <c r="BA1832">
        <v>1</v>
      </c>
      <c r="BB1832" t="str">
        <f t="shared" si="88"/>
        <v xml:space="preserve">N8080G  </v>
      </c>
      <c r="BC1832">
        <v>1</v>
      </c>
      <c r="BE1832">
        <v>0</v>
      </c>
      <c r="BF1832">
        <v>0</v>
      </c>
      <c r="BG1832">
        <v>0</v>
      </c>
      <c r="BH1832">
        <v>1700</v>
      </c>
      <c r="BI1832">
        <v>1</v>
      </c>
      <c r="BJ1832">
        <v>1</v>
      </c>
      <c r="BK1832">
        <v>1</v>
      </c>
      <c r="BL1832">
        <v>0</v>
      </c>
      <c r="BO1832">
        <v>0</v>
      </c>
      <c r="BP1832">
        <v>0</v>
      </c>
      <c r="BW1832" t="str">
        <f>"20:23:50.760"</f>
        <v>20:23:50.760</v>
      </c>
      <c r="BZ1832">
        <v>0</v>
      </c>
      <c r="CA1832">
        <v>2016</v>
      </c>
      <c r="CB1832">
        <v>224</v>
      </c>
      <c r="CD1832">
        <v>1</v>
      </c>
      <c r="CE1832">
        <v>0</v>
      </c>
      <c r="CF1832">
        <v>0</v>
      </c>
      <c r="CG1832">
        <v>1</v>
      </c>
      <c r="CH1832">
        <v>0</v>
      </c>
      <c r="CI1832">
        <v>0</v>
      </c>
      <c r="CJ1832">
        <v>0</v>
      </c>
      <c r="CK1832">
        <v>2</v>
      </c>
      <c r="CL1832">
        <v>0</v>
      </c>
      <c r="CM1832">
        <v>2</v>
      </c>
      <c r="CN1832">
        <v>0</v>
      </c>
      <c r="CO1832">
        <v>7</v>
      </c>
      <c r="CP1832" t="s">
        <v>119</v>
      </c>
      <c r="CQ1832">
        <v>180</v>
      </c>
      <c r="CR1832">
        <v>2</v>
      </c>
      <c r="CW1832">
        <v>8354096</v>
      </c>
      <c r="CY1832">
        <v>1</v>
      </c>
      <c r="CZ1832">
        <v>0</v>
      </c>
      <c r="DA1832">
        <v>1</v>
      </c>
      <c r="DB1832">
        <v>0</v>
      </c>
      <c r="DC1832">
        <v>0</v>
      </c>
      <c r="DD1832">
        <v>0</v>
      </c>
      <c r="DE1832">
        <v>0</v>
      </c>
      <c r="DF1832">
        <v>0</v>
      </c>
      <c r="DG1832">
        <v>0</v>
      </c>
      <c r="DH1832">
        <v>0</v>
      </c>
      <c r="DI1832">
        <v>0</v>
      </c>
    </row>
    <row r="1833" spans="1:113" x14ac:dyDescent="0.3">
      <c r="A1833" t="str">
        <f>"02/08/2021 20:23:48.412"</f>
        <v>02/08/2021 20:23:48.412</v>
      </c>
      <c r="C1833" t="str">
        <f t="shared" si="87"/>
        <v>FFDFD7C0</v>
      </c>
      <c r="D1833" t="s">
        <v>124</v>
      </c>
      <c r="E1833">
        <v>13</v>
      </c>
      <c r="F1833">
        <v>1013</v>
      </c>
      <c r="G1833" t="s">
        <v>114</v>
      </c>
      <c r="J1833" t="s">
        <v>125</v>
      </c>
      <c r="K1833">
        <v>0</v>
      </c>
      <c r="L1833">
        <v>3</v>
      </c>
      <c r="M1833">
        <v>0</v>
      </c>
      <c r="N1833">
        <v>2</v>
      </c>
      <c r="O1833">
        <v>1</v>
      </c>
      <c r="P1833">
        <v>0</v>
      </c>
      <c r="Q1833">
        <v>0</v>
      </c>
      <c r="S1833" t="str">
        <f>"20:23:50.758"</f>
        <v>20:23:50.758</v>
      </c>
      <c r="T1833" t="str">
        <f>"20:23:50.358"</f>
        <v>20:23:50.358</v>
      </c>
      <c r="U1833" t="str">
        <f t="shared" si="89"/>
        <v>AB01F4</v>
      </c>
      <c r="V1833">
        <v>0</v>
      </c>
      <c r="W1833">
        <v>0</v>
      </c>
      <c r="X1833">
        <v>2</v>
      </c>
      <c r="Z1833">
        <v>0</v>
      </c>
      <c r="AA1833">
        <v>9</v>
      </c>
      <c r="AB1833">
        <v>3</v>
      </c>
      <c r="AC1833">
        <v>0</v>
      </c>
      <c r="AD1833">
        <v>10</v>
      </c>
      <c r="AE1833">
        <v>0</v>
      </c>
      <c r="AF1833">
        <v>3</v>
      </c>
      <c r="AG1833">
        <v>2</v>
      </c>
      <c r="AH1833">
        <v>0</v>
      </c>
      <c r="AI1833" t="s">
        <v>1165</v>
      </c>
      <c r="AJ1833">
        <v>39.906142000000003</v>
      </c>
      <c r="AK1833" t="s">
        <v>1166</v>
      </c>
      <c r="AL1833">
        <v>-92.579813000000001</v>
      </c>
      <c r="AM1833">
        <v>100</v>
      </c>
      <c r="AN1833">
        <v>1700</v>
      </c>
      <c r="AO1833" t="s">
        <v>118</v>
      </c>
      <c r="AP1833">
        <v>-106</v>
      </c>
      <c r="AQ1833">
        <v>76</v>
      </c>
      <c r="AR1833">
        <v>-64</v>
      </c>
      <c r="AZ1833">
        <v>1200</v>
      </c>
      <c r="BA1833">
        <v>1</v>
      </c>
      <c r="BB1833" t="str">
        <f t="shared" si="88"/>
        <v xml:space="preserve">N8080G  </v>
      </c>
      <c r="BC1833">
        <v>1</v>
      </c>
      <c r="BE1833">
        <v>0</v>
      </c>
      <c r="BF1833">
        <v>0</v>
      </c>
      <c r="BG1833">
        <v>0</v>
      </c>
      <c r="BH1833">
        <v>1700</v>
      </c>
      <c r="BI1833">
        <v>1</v>
      </c>
      <c r="BJ1833">
        <v>1</v>
      </c>
      <c r="BK1833">
        <v>1</v>
      </c>
      <c r="BL1833">
        <v>0</v>
      </c>
      <c r="BO1833">
        <v>0</v>
      </c>
      <c r="BP1833">
        <v>0</v>
      </c>
      <c r="BW1833" t="str">
        <f>"20:23:50.760"</f>
        <v>20:23:50.760</v>
      </c>
      <c r="BZ1833">
        <v>0</v>
      </c>
      <c r="CA1833">
        <v>2016</v>
      </c>
      <c r="CB1833">
        <v>224</v>
      </c>
      <c r="CD1833">
        <v>1</v>
      </c>
      <c r="CE1833">
        <v>0</v>
      </c>
      <c r="CF1833">
        <v>0</v>
      </c>
      <c r="CG1833">
        <v>1</v>
      </c>
      <c r="CH1833">
        <v>0</v>
      </c>
      <c r="CI1833">
        <v>0</v>
      </c>
      <c r="CJ1833">
        <v>0</v>
      </c>
      <c r="CK1833">
        <v>2</v>
      </c>
      <c r="CL1833">
        <v>0</v>
      </c>
      <c r="CM1833">
        <v>2</v>
      </c>
      <c r="CN1833">
        <v>0</v>
      </c>
      <c r="CO1833">
        <v>7</v>
      </c>
      <c r="CP1833" t="s">
        <v>119</v>
      </c>
      <c r="CQ1833">
        <v>180</v>
      </c>
      <c r="CR1833">
        <v>2</v>
      </c>
      <c r="CW1833">
        <v>8354096</v>
      </c>
      <c r="CY1833">
        <v>1</v>
      </c>
      <c r="CZ1833">
        <v>0</v>
      </c>
      <c r="DA1833">
        <v>1</v>
      </c>
      <c r="DB1833">
        <v>0</v>
      </c>
      <c r="DC1833">
        <v>0</v>
      </c>
      <c r="DD1833">
        <v>0</v>
      </c>
      <c r="DE1833">
        <v>0</v>
      </c>
      <c r="DF1833">
        <v>0</v>
      </c>
      <c r="DG1833">
        <v>0</v>
      </c>
      <c r="DH1833">
        <v>0</v>
      </c>
      <c r="DI1833">
        <v>0</v>
      </c>
    </row>
    <row r="1834" spans="1:113" x14ac:dyDescent="0.3">
      <c r="A1834" t="str">
        <f>"02/08/2021 20:23:48.412"</f>
        <v>02/08/2021 20:23:48.412</v>
      </c>
      <c r="C1834" t="str">
        <f t="shared" si="87"/>
        <v>FFDFD7C0</v>
      </c>
      <c r="D1834" t="s">
        <v>113</v>
      </c>
      <c r="E1834">
        <v>6</v>
      </c>
      <c r="H1834">
        <v>165</v>
      </c>
      <c r="I1834" t="s">
        <v>114</v>
      </c>
      <c r="J1834" t="s">
        <v>115</v>
      </c>
      <c r="K1834">
        <v>0</v>
      </c>
      <c r="L1834">
        <v>3</v>
      </c>
      <c r="M1834">
        <v>0</v>
      </c>
      <c r="N1834">
        <v>2</v>
      </c>
      <c r="O1834">
        <v>1</v>
      </c>
      <c r="P1834">
        <v>0</v>
      </c>
      <c r="Q1834">
        <v>0</v>
      </c>
      <c r="S1834" t="str">
        <f>"20:23:50.758"</f>
        <v>20:23:50.758</v>
      </c>
      <c r="T1834" t="str">
        <f>"20:23:50.358"</f>
        <v>20:23:50.358</v>
      </c>
      <c r="U1834" t="str">
        <f t="shared" si="89"/>
        <v>AB01F4</v>
      </c>
      <c r="V1834">
        <v>0</v>
      </c>
      <c r="W1834">
        <v>0</v>
      </c>
      <c r="X1834">
        <v>2</v>
      </c>
      <c r="Z1834">
        <v>0</v>
      </c>
      <c r="AA1834">
        <v>9</v>
      </c>
      <c r="AB1834">
        <v>3</v>
      </c>
      <c r="AC1834">
        <v>0</v>
      </c>
      <c r="AD1834">
        <v>10</v>
      </c>
      <c r="AE1834">
        <v>0</v>
      </c>
      <c r="AF1834">
        <v>3</v>
      </c>
      <c r="AG1834">
        <v>2</v>
      </c>
      <c r="AH1834">
        <v>0</v>
      </c>
      <c r="AI1834" t="s">
        <v>1165</v>
      </c>
      <c r="AJ1834">
        <v>39.906142000000003</v>
      </c>
      <c r="AK1834" t="s">
        <v>1166</v>
      </c>
      <c r="AL1834">
        <v>-92.579813000000001</v>
      </c>
      <c r="AM1834">
        <v>100</v>
      </c>
      <c r="AN1834">
        <v>1700</v>
      </c>
      <c r="AO1834" t="s">
        <v>118</v>
      </c>
      <c r="AP1834">
        <v>-106</v>
      </c>
      <c r="AQ1834">
        <v>76</v>
      </c>
      <c r="AR1834">
        <v>-64</v>
      </c>
      <c r="AZ1834">
        <v>1200</v>
      </c>
      <c r="BA1834">
        <v>1</v>
      </c>
      <c r="BB1834" t="str">
        <f t="shared" si="88"/>
        <v xml:space="preserve">N8080G  </v>
      </c>
      <c r="BC1834">
        <v>1</v>
      </c>
      <c r="BE1834">
        <v>0</v>
      </c>
      <c r="BF1834">
        <v>0</v>
      </c>
      <c r="BG1834">
        <v>0</v>
      </c>
      <c r="BH1834">
        <v>1700</v>
      </c>
      <c r="BI1834">
        <v>1</v>
      </c>
      <c r="BJ1834">
        <v>1</v>
      </c>
      <c r="BK1834">
        <v>1</v>
      </c>
      <c r="BL1834">
        <v>0</v>
      </c>
      <c r="BO1834">
        <v>0</v>
      </c>
      <c r="BP1834">
        <v>0</v>
      </c>
      <c r="BW1834" t="str">
        <f>"20:23:50.760"</f>
        <v>20:23:50.760</v>
      </c>
      <c r="BZ1834">
        <v>0</v>
      </c>
      <c r="CA1834">
        <v>2016</v>
      </c>
      <c r="CB1834">
        <v>224</v>
      </c>
      <c r="CD1834">
        <v>1</v>
      </c>
      <c r="CE1834">
        <v>0</v>
      </c>
      <c r="CF1834">
        <v>0</v>
      </c>
      <c r="CG1834">
        <v>1</v>
      </c>
      <c r="CH1834">
        <v>0</v>
      </c>
      <c r="CI1834">
        <v>0</v>
      </c>
      <c r="CJ1834">
        <v>0</v>
      </c>
      <c r="CK1834">
        <v>2</v>
      </c>
      <c r="CL1834">
        <v>0</v>
      </c>
      <c r="CM1834">
        <v>2</v>
      </c>
      <c r="CN1834">
        <v>0</v>
      </c>
      <c r="CO1834">
        <v>7</v>
      </c>
      <c r="CP1834" t="s">
        <v>119</v>
      </c>
      <c r="CQ1834">
        <v>180</v>
      </c>
      <c r="CR1834">
        <v>2</v>
      </c>
      <c r="CW1834">
        <v>8354096</v>
      </c>
      <c r="CY1834">
        <v>1</v>
      </c>
      <c r="CZ1834">
        <v>0</v>
      </c>
      <c r="DA1834">
        <v>1</v>
      </c>
      <c r="DB1834">
        <v>0</v>
      </c>
      <c r="DC1834">
        <v>0</v>
      </c>
      <c r="DD1834">
        <v>0</v>
      </c>
      <c r="DE1834">
        <v>0</v>
      </c>
      <c r="DF1834">
        <v>0</v>
      </c>
      <c r="DG1834">
        <v>0</v>
      </c>
      <c r="DH1834">
        <v>0</v>
      </c>
      <c r="DI1834">
        <v>0</v>
      </c>
    </row>
    <row r="1835" spans="1:113" x14ac:dyDescent="0.3">
      <c r="A1835" t="str">
        <f>"02/08/2021 20:23:49.309"</f>
        <v>02/08/2021 20:23:49.309</v>
      </c>
      <c r="C1835" t="str">
        <f t="shared" si="87"/>
        <v>FFDFD7C0</v>
      </c>
      <c r="D1835" t="s">
        <v>113</v>
      </c>
      <c r="E1835">
        <v>6</v>
      </c>
      <c r="H1835">
        <v>165</v>
      </c>
      <c r="I1835" t="s">
        <v>114</v>
      </c>
      <c r="J1835" t="s">
        <v>115</v>
      </c>
      <c r="K1835">
        <v>0</v>
      </c>
      <c r="L1835">
        <v>3</v>
      </c>
      <c r="M1835">
        <v>0</v>
      </c>
      <c r="N1835">
        <v>2</v>
      </c>
      <c r="O1835">
        <v>1</v>
      </c>
      <c r="P1835">
        <v>0</v>
      </c>
      <c r="Q1835">
        <v>0</v>
      </c>
      <c r="S1835" t="str">
        <f>"20:23:51.633"</f>
        <v>20:23:51.633</v>
      </c>
      <c r="T1835" t="str">
        <f>"20:23:50.333"</f>
        <v>20:23:50.333</v>
      </c>
      <c r="U1835" t="str">
        <f t="shared" si="89"/>
        <v>AB01F4</v>
      </c>
      <c r="V1835">
        <v>0</v>
      </c>
      <c r="W1835">
        <v>0</v>
      </c>
      <c r="X1835">
        <v>2</v>
      </c>
      <c r="Z1835">
        <v>0</v>
      </c>
      <c r="AA1835">
        <v>9</v>
      </c>
      <c r="AB1835">
        <v>3</v>
      </c>
      <c r="AC1835">
        <v>0</v>
      </c>
      <c r="AD1835">
        <v>10</v>
      </c>
      <c r="AE1835">
        <v>0</v>
      </c>
      <c r="AF1835">
        <v>3</v>
      </c>
      <c r="AG1835">
        <v>2</v>
      </c>
      <c r="AH1835">
        <v>0</v>
      </c>
      <c r="AI1835" t="s">
        <v>1167</v>
      </c>
      <c r="AJ1835">
        <v>39.906485000000004</v>
      </c>
      <c r="AK1835" t="s">
        <v>1168</v>
      </c>
      <c r="AL1835">
        <v>-92.580392000000003</v>
      </c>
      <c r="AM1835">
        <v>100</v>
      </c>
      <c r="AN1835">
        <v>1700</v>
      </c>
      <c r="AO1835" t="s">
        <v>118</v>
      </c>
      <c r="AP1835">
        <v>-106</v>
      </c>
      <c r="AQ1835">
        <v>76</v>
      </c>
      <c r="AR1835">
        <v>-64</v>
      </c>
      <c r="AZ1835">
        <v>1200</v>
      </c>
      <c r="BA1835">
        <v>1</v>
      </c>
      <c r="BB1835" t="str">
        <f t="shared" si="88"/>
        <v xml:space="preserve">N8080G  </v>
      </c>
      <c r="BC1835">
        <v>1</v>
      </c>
      <c r="BE1835">
        <v>0</v>
      </c>
      <c r="BF1835">
        <v>0</v>
      </c>
      <c r="BG1835">
        <v>0</v>
      </c>
      <c r="BH1835">
        <v>1700</v>
      </c>
      <c r="BI1835">
        <v>1</v>
      </c>
      <c r="BJ1835">
        <v>1</v>
      </c>
      <c r="BK1835">
        <v>1</v>
      </c>
      <c r="BL1835">
        <v>0</v>
      </c>
      <c r="BO1835">
        <v>0</v>
      </c>
      <c r="BP1835">
        <v>0</v>
      </c>
      <c r="BW1835" t="str">
        <f>"20:23:51.640"</f>
        <v>20:23:51.640</v>
      </c>
      <c r="BZ1835">
        <v>0</v>
      </c>
      <c r="CA1835">
        <v>2016</v>
      </c>
      <c r="CB1835">
        <v>224</v>
      </c>
      <c r="CD1835">
        <v>1</v>
      </c>
      <c r="CE1835">
        <v>0</v>
      </c>
      <c r="CF1835">
        <v>0</v>
      </c>
      <c r="CG1835">
        <v>1</v>
      </c>
      <c r="CH1835">
        <v>0</v>
      </c>
      <c r="CI1835">
        <v>0</v>
      </c>
      <c r="CJ1835">
        <v>0</v>
      </c>
      <c r="CK1835">
        <v>2</v>
      </c>
      <c r="CL1835">
        <v>0</v>
      </c>
      <c r="CM1835">
        <v>2</v>
      </c>
      <c r="CN1835">
        <v>0</v>
      </c>
      <c r="CO1835">
        <v>1</v>
      </c>
      <c r="CP1835" t="s">
        <v>119</v>
      </c>
      <c r="CQ1835">
        <v>179</v>
      </c>
      <c r="CR1835">
        <v>1</v>
      </c>
      <c r="CW1835">
        <v>8788295</v>
      </c>
      <c r="CY1835">
        <v>1</v>
      </c>
      <c r="CZ1835">
        <v>0</v>
      </c>
      <c r="DA1835">
        <v>0</v>
      </c>
      <c r="DB1835">
        <v>0</v>
      </c>
      <c r="DC1835">
        <v>0</v>
      </c>
      <c r="DD1835">
        <v>0</v>
      </c>
      <c r="DE1835">
        <v>0</v>
      </c>
      <c r="DF1835">
        <v>0</v>
      </c>
      <c r="DG1835">
        <v>0</v>
      </c>
      <c r="DH1835">
        <v>0</v>
      </c>
      <c r="DI1835">
        <v>0</v>
      </c>
    </row>
    <row r="1836" spans="1:113" x14ac:dyDescent="0.3">
      <c r="A1836" t="str">
        <f>"02/08/2021 20:23:49.309"</f>
        <v>02/08/2021 20:23:49.309</v>
      </c>
      <c r="C1836" t="str">
        <f t="shared" si="87"/>
        <v>FFDFD7C0</v>
      </c>
      <c r="D1836" t="s">
        <v>124</v>
      </c>
      <c r="E1836">
        <v>12</v>
      </c>
      <c r="F1836">
        <v>1012</v>
      </c>
      <c r="G1836" t="s">
        <v>675</v>
      </c>
      <c r="J1836" t="s">
        <v>125</v>
      </c>
      <c r="K1836">
        <v>0</v>
      </c>
      <c r="L1836">
        <v>3</v>
      </c>
      <c r="M1836">
        <v>0</v>
      </c>
      <c r="N1836">
        <v>2</v>
      </c>
      <c r="O1836">
        <v>1</v>
      </c>
      <c r="P1836">
        <v>0</v>
      </c>
      <c r="Q1836">
        <v>0</v>
      </c>
      <c r="S1836" t="str">
        <f>"20:23:51.633"</f>
        <v>20:23:51.633</v>
      </c>
      <c r="T1836" t="str">
        <f>"20:23:50.333"</f>
        <v>20:23:50.333</v>
      </c>
      <c r="U1836" t="str">
        <f t="shared" si="89"/>
        <v>AB01F4</v>
      </c>
      <c r="V1836">
        <v>0</v>
      </c>
      <c r="W1836">
        <v>0</v>
      </c>
      <c r="X1836">
        <v>2</v>
      </c>
      <c r="Z1836">
        <v>0</v>
      </c>
      <c r="AA1836">
        <v>9</v>
      </c>
      <c r="AB1836">
        <v>3</v>
      </c>
      <c r="AC1836">
        <v>0</v>
      </c>
      <c r="AD1836">
        <v>10</v>
      </c>
      <c r="AE1836">
        <v>0</v>
      </c>
      <c r="AF1836">
        <v>3</v>
      </c>
      <c r="AG1836">
        <v>2</v>
      </c>
      <c r="AH1836">
        <v>0</v>
      </c>
      <c r="AI1836" t="s">
        <v>1167</v>
      </c>
      <c r="AJ1836">
        <v>39.906485000000004</v>
      </c>
      <c r="AK1836" t="s">
        <v>1168</v>
      </c>
      <c r="AL1836">
        <v>-92.580392000000003</v>
      </c>
      <c r="AM1836">
        <v>100</v>
      </c>
      <c r="AN1836">
        <v>1700</v>
      </c>
      <c r="AO1836" t="s">
        <v>118</v>
      </c>
      <c r="AP1836">
        <v>-106</v>
      </c>
      <c r="AQ1836">
        <v>76</v>
      </c>
      <c r="AR1836">
        <v>-64</v>
      </c>
      <c r="AZ1836">
        <v>1200</v>
      </c>
      <c r="BA1836">
        <v>1</v>
      </c>
      <c r="BB1836" t="str">
        <f t="shared" si="88"/>
        <v xml:space="preserve">N8080G  </v>
      </c>
      <c r="BC1836">
        <v>1</v>
      </c>
      <c r="BE1836">
        <v>0</v>
      </c>
      <c r="BF1836">
        <v>0</v>
      </c>
      <c r="BG1836">
        <v>0</v>
      </c>
      <c r="BH1836">
        <v>1700</v>
      </c>
      <c r="BI1836">
        <v>1</v>
      </c>
      <c r="BJ1836">
        <v>1</v>
      </c>
      <c r="BK1836">
        <v>1</v>
      </c>
      <c r="BL1836">
        <v>0</v>
      </c>
      <c r="BO1836">
        <v>0</v>
      </c>
      <c r="BP1836">
        <v>0</v>
      </c>
      <c r="BW1836" t="str">
        <f>"20:23:51.640"</f>
        <v>20:23:51.640</v>
      </c>
      <c r="BZ1836">
        <v>0</v>
      </c>
      <c r="CA1836">
        <v>2016</v>
      </c>
      <c r="CB1836">
        <v>224</v>
      </c>
      <c r="CD1836">
        <v>1</v>
      </c>
      <c r="CE1836">
        <v>0</v>
      </c>
      <c r="CF1836">
        <v>0</v>
      </c>
      <c r="CG1836">
        <v>1</v>
      </c>
      <c r="CH1836">
        <v>0</v>
      </c>
      <c r="CI1836">
        <v>0</v>
      </c>
      <c r="CJ1836">
        <v>0</v>
      </c>
      <c r="CK1836">
        <v>2</v>
      </c>
      <c r="CL1836">
        <v>0</v>
      </c>
      <c r="CM1836">
        <v>2</v>
      </c>
      <c r="CN1836">
        <v>0</v>
      </c>
      <c r="CO1836">
        <v>1</v>
      </c>
      <c r="CP1836" t="s">
        <v>119</v>
      </c>
      <c r="CQ1836">
        <v>179</v>
      </c>
      <c r="CR1836">
        <v>1</v>
      </c>
      <c r="CW1836">
        <v>8788295</v>
      </c>
      <c r="CY1836">
        <v>1</v>
      </c>
      <c r="CZ1836">
        <v>0</v>
      </c>
      <c r="DA1836">
        <v>1</v>
      </c>
      <c r="DB1836">
        <v>0</v>
      </c>
      <c r="DC1836">
        <v>0</v>
      </c>
      <c r="DD1836">
        <v>0</v>
      </c>
      <c r="DE1836">
        <v>0</v>
      </c>
      <c r="DF1836">
        <v>0</v>
      </c>
      <c r="DG1836">
        <v>0</v>
      </c>
      <c r="DH1836">
        <v>0</v>
      </c>
      <c r="DI1836">
        <v>0</v>
      </c>
    </row>
    <row r="1837" spans="1:113" x14ac:dyDescent="0.3">
      <c r="A1837" t="str">
        <f>"02/08/2021 20:23:49.309"</f>
        <v>02/08/2021 20:23:49.309</v>
      </c>
      <c r="C1837" t="str">
        <f t="shared" si="87"/>
        <v>FFDFD7C0</v>
      </c>
      <c r="D1837" t="s">
        <v>124</v>
      </c>
      <c r="E1837">
        <v>11</v>
      </c>
      <c r="F1837">
        <v>1011</v>
      </c>
      <c r="G1837" t="s">
        <v>590</v>
      </c>
      <c r="J1837" t="s">
        <v>125</v>
      </c>
      <c r="K1837">
        <v>0</v>
      </c>
      <c r="L1837">
        <v>3</v>
      </c>
      <c r="M1837">
        <v>0</v>
      </c>
      <c r="N1837">
        <v>2</v>
      </c>
      <c r="O1837">
        <v>1</v>
      </c>
      <c r="P1837">
        <v>0</v>
      </c>
      <c r="Q1837">
        <v>0</v>
      </c>
      <c r="S1837" t="str">
        <f>"20:23:51.633"</f>
        <v>20:23:51.633</v>
      </c>
      <c r="T1837" t="str">
        <f>"20:23:50.333"</f>
        <v>20:23:50.333</v>
      </c>
      <c r="U1837" t="str">
        <f t="shared" si="89"/>
        <v>AB01F4</v>
      </c>
      <c r="V1837">
        <v>0</v>
      </c>
      <c r="W1837">
        <v>0</v>
      </c>
      <c r="X1837">
        <v>2</v>
      </c>
      <c r="Z1837">
        <v>0</v>
      </c>
      <c r="AA1837">
        <v>9</v>
      </c>
      <c r="AB1837">
        <v>3</v>
      </c>
      <c r="AC1837">
        <v>0</v>
      </c>
      <c r="AD1837">
        <v>10</v>
      </c>
      <c r="AE1837">
        <v>0</v>
      </c>
      <c r="AF1837">
        <v>3</v>
      </c>
      <c r="AG1837">
        <v>2</v>
      </c>
      <c r="AH1837">
        <v>0</v>
      </c>
      <c r="AI1837" t="s">
        <v>1167</v>
      </c>
      <c r="AJ1837">
        <v>39.906485000000004</v>
      </c>
      <c r="AK1837" t="s">
        <v>1168</v>
      </c>
      <c r="AL1837">
        <v>-92.580392000000003</v>
      </c>
      <c r="AM1837">
        <v>100</v>
      </c>
      <c r="AN1837">
        <v>1700</v>
      </c>
      <c r="AO1837" t="s">
        <v>118</v>
      </c>
      <c r="AP1837">
        <v>-106</v>
      </c>
      <c r="AQ1837">
        <v>76</v>
      </c>
      <c r="AR1837">
        <v>-64</v>
      </c>
      <c r="AZ1837">
        <v>1200</v>
      </c>
      <c r="BA1837">
        <v>1</v>
      </c>
      <c r="BB1837" t="str">
        <f t="shared" si="88"/>
        <v xml:space="preserve">N8080G  </v>
      </c>
      <c r="BC1837">
        <v>1</v>
      </c>
      <c r="BE1837">
        <v>0</v>
      </c>
      <c r="BF1837">
        <v>0</v>
      </c>
      <c r="BG1837">
        <v>0</v>
      </c>
      <c r="BH1837">
        <v>1700</v>
      </c>
      <c r="BI1837">
        <v>1</v>
      </c>
      <c r="BJ1837">
        <v>1</v>
      </c>
      <c r="BK1837">
        <v>1</v>
      </c>
      <c r="BL1837">
        <v>0</v>
      </c>
      <c r="BO1837">
        <v>0</v>
      </c>
      <c r="BP1837">
        <v>0</v>
      </c>
      <c r="BW1837" t="str">
        <f>"20:23:51.640"</f>
        <v>20:23:51.640</v>
      </c>
      <c r="BZ1837">
        <v>0</v>
      </c>
      <c r="CA1837">
        <v>2016</v>
      </c>
      <c r="CB1837">
        <v>224</v>
      </c>
      <c r="CD1837">
        <v>1</v>
      </c>
      <c r="CE1837">
        <v>0</v>
      </c>
      <c r="CF1837">
        <v>0</v>
      </c>
      <c r="CG1837">
        <v>1</v>
      </c>
      <c r="CH1837">
        <v>0</v>
      </c>
      <c r="CI1837">
        <v>0</v>
      </c>
      <c r="CJ1837">
        <v>0</v>
      </c>
      <c r="CK1837">
        <v>2</v>
      </c>
      <c r="CL1837">
        <v>0</v>
      </c>
      <c r="CM1837">
        <v>2</v>
      </c>
      <c r="CN1837">
        <v>0</v>
      </c>
      <c r="CO1837">
        <v>1</v>
      </c>
      <c r="CP1837" t="s">
        <v>119</v>
      </c>
      <c r="CQ1837">
        <v>179</v>
      </c>
      <c r="CR1837">
        <v>1</v>
      </c>
      <c r="CW1837">
        <v>8788295</v>
      </c>
      <c r="CY1837">
        <v>1</v>
      </c>
      <c r="CZ1837">
        <v>0</v>
      </c>
      <c r="DA1837">
        <v>1</v>
      </c>
      <c r="DB1837">
        <v>0</v>
      </c>
      <c r="DC1837">
        <v>0</v>
      </c>
      <c r="DD1837">
        <v>0</v>
      </c>
      <c r="DE1837">
        <v>0</v>
      </c>
      <c r="DF1837">
        <v>0</v>
      </c>
      <c r="DG1837">
        <v>0</v>
      </c>
      <c r="DH1837">
        <v>0</v>
      </c>
      <c r="DI1837">
        <v>0</v>
      </c>
    </row>
    <row r="1838" spans="1:113" x14ac:dyDescent="0.3">
      <c r="A1838" t="str">
        <f>"02/08/2021 20:23:49.309"</f>
        <v>02/08/2021 20:23:49.309</v>
      </c>
      <c r="C1838" t="str">
        <f t="shared" si="87"/>
        <v>FFDFD7C0</v>
      </c>
      <c r="D1838" t="s">
        <v>124</v>
      </c>
      <c r="E1838">
        <v>13</v>
      </c>
      <c r="F1838">
        <v>1013</v>
      </c>
      <c r="G1838" t="s">
        <v>114</v>
      </c>
      <c r="J1838" t="s">
        <v>125</v>
      </c>
      <c r="K1838">
        <v>0</v>
      </c>
      <c r="L1838">
        <v>3</v>
      </c>
      <c r="M1838">
        <v>0</v>
      </c>
      <c r="N1838">
        <v>2</v>
      </c>
      <c r="O1838">
        <v>1</v>
      </c>
      <c r="P1838">
        <v>0</v>
      </c>
      <c r="Q1838">
        <v>0</v>
      </c>
      <c r="S1838" t="str">
        <f>"20:23:51.633"</f>
        <v>20:23:51.633</v>
      </c>
      <c r="T1838" t="str">
        <f>"20:23:50.333"</f>
        <v>20:23:50.333</v>
      </c>
      <c r="U1838" t="str">
        <f t="shared" si="89"/>
        <v>AB01F4</v>
      </c>
      <c r="V1838">
        <v>0</v>
      </c>
      <c r="W1838">
        <v>0</v>
      </c>
      <c r="X1838">
        <v>2</v>
      </c>
      <c r="Z1838">
        <v>0</v>
      </c>
      <c r="AA1838">
        <v>9</v>
      </c>
      <c r="AB1838">
        <v>3</v>
      </c>
      <c r="AC1838">
        <v>0</v>
      </c>
      <c r="AD1838">
        <v>10</v>
      </c>
      <c r="AE1838">
        <v>0</v>
      </c>
      <c r="AF1838">
        <v>3</v>
      </c>
      <c r="AG1838">
        <v>2</v>
      </c>
      <c r="AH1838">
        <v>0</v>
      </c>
      <c r="AI1838" t="s">
        <v>1167</v>
      </c>
      <c r="AJ1838">
        <v>39.906485000000004</v>
      </c>
      <c r="AK1838" t="s">
        <v>1168</v>
      </c>
      <c r="AL1838">
        <v>-92.580392000000003</v>
      </c>
      <c r="AM1838">
        <v>100</v>
      </c>
      <c r="AN1838">
        <v>1700</v>
      </c>
      <c r="AO1838" t="s">
        <v>118</v>
      </c>
      <c r="AP1838">
        <v>-106</v>
      </c>
      <c r="AQ1838">
        <v>76</v>
      </c>
      <c r="AR1838">
        <v>-64</v>
      </c>
      <c r="AZ1838">
        <v>1200</v>
      </c>
      <c r="BA1838">
        <v>1</v>
      </c>
      <c r="BB1838" t="str">
        <f t="shared" si="88"/>
        <v xml:space="preserve">N8080G  </v>
      </c>
      <c r="BC1838">
        <v>1</v>
      </c>
      <c r="BE1838">
        <v>0</v>
      </c>
      <c r="BF1838">
        <v>0</v>
      </c>
      <c r="BG1838">
        <v>0</v>
      </c>
      <c r="BH1838">
        <v>1700</v>
      </c>
      <c r="BI1838">
        <v>1</v>
      </c>
      <c r="BJ1838">
        <v>1</v>
      </c>
      <c r="BK1838">
        <v>1</v>
      </c>
      <c r="BL1838">
        <v>0</v>
      </c>
      <c r="BO1838">
        <v>0</v>
      </c>
      <c r="BP1838">
        <v>0</v>
      </c>
      <c r="BW1838" t="str">
        <f>"20:23:51.640"</f>
        <v>20:23:51.640</v>
      </c>
      <c r="BZ1838">
        <v>0</v>
      </c>
      <c r="CA1838">
        <v>2016</v>
      </c>
      <c r="CB1838">
        <v>224</v>
      </c>
      <c r="CD1838">
        <v>1</v>
      </c>
      <c r="CE1838">
        <v>0</v>
      </c>
      <c r="CF1838">
        <v>0</v>
      </c>
      <c r="CG1838">
        <v>1</v>
      </c>
      <c r="CH1838">
        <v>0</v>
      </c>
      <c r="CI1838">
        <v>0</v>
      </c>
      <c r="CJ1838">
        <v>0</v>
      </c>
      <c r="CK1838">
        <v>2</v>
      </c>
      <c r="CL1838">
        <v>0</v>
      </c>
      <c r="CM1838">
        <v>2</v>
      </c>
      <c r="CN1838">
        <v>0</v>
      </c>
      <c r="CO1838">
        <v>1</v>
      </c>
      <c r="CP1838" t="s">
        <v>119</v>
      </c>
      <c r="CQ1838">
        <v>179</v>
      </c>
      <c r="CR1838">
        <v>1</v>
      </c>
      <c r="CW1838">
        <v>8788295</v>
      </c>
      <c r="CY1838">
        <v>1</v>
      </c>
      <c r="CZ1838">
        <v>0</v>
      </c>
      <c r="DA1838">
        <v>1</v>
      </c>
      <c r="DB1838">
        <v>0</v>
      </c>
      <c r="DC1838">
        <v>0</v>
      </c>
      <c r="DD1838">
        <v>0</v>
      </c>
      <c r="DE1838">
        <v>0</v>
      </c>
      <c r="DF1838">
        <v>0</v>
      </c>
      <c r="DG1838">
        <v>0</v>
      </c>
      <c r="DH1838">
        <v>0</v>
      </c>
      <c r="DI1838">
        <v>0</v>
      </c>
    </row>
    <row r="1839" spans="1:113" x14ac:dyDescent="0.3">
      <c r="A1839" t="str">
        <f>"02/08/2021 20:23:52.832"</f>
        <v>02/08/2021 20:23:52.832</v>
      </c>
      <c r="C1839" t="str">
        <f t="shared" ref="C1839:C1902" si="90">"FFDFD7C0"</f>
        <v>FFDFD7C0</v>
      </c>
      <c r="D1839" t="s">
        <v>124</v>
      </c>
      <c r="E1839">
        <v>12</v>
      </c>
      <c r="F1839">
        <v>1012</v>
      </c>
      <c r="G1839" t="s">
        <v>675</v>
      </c>
      <c r="J1839" t="s">
        <v>125</v>
      </c>
      <c r="K1839">
        <v>0</v>
      </c>
      <c r="L1839">
        <v>3</v>
      </c>
      <c r="M1839">
        <v>0</v>
      </c>
      <c r="N1839">
        <v>2</v>
      </c>
      <c r="O1839">
        <v>1</v>
      </c>
      <c r="P1839">
        <v>0</v>
      </c>
      <c r="Q1839">
        <v>0</v>
      </c>
      <c r="S1839" t="str">
        <f>"20:23:55.180"</f>
        <v>20:23:55.180</v>
      </c>
      <c r="T1839" t="str">
        <f>"20:23:54.680"</f>
        <v>20:23:54.680</v>
      </c>
      <c r="U1839" t="str">
        <f t="shared" si="89"/>
        <v>AB01F4</v>
      </c>
      <c r="V1839">
        <v>0</v>
      </c>
      <c r="W1839">
        <v>0</v>
      </c>
      <c r="X1839">
        <v>2</v>
      </c>
      <c r="Z1839">
        <v>0</v>
      </c>
      <c r="AA1839">
        <v>9</v>
      </c>
      <c r="AB1839">
        <v>3</v>
      </c>
      <c r="AC1839">
        <v>0</v>
      </c>
      <c r="AD1839">
        <v>10</v>
      </c>
      <c r="AE1839">
        <v>0</v>
      </c>
      <c r="AF1839">
        <v>3</v>
      </c>
      <c r="AG1839">
        <v>2</v>
      </c>
      <c r="AH1839">
        <v>0</v>
      </c>
      <c r="AI1839" t="s">
        <v>1169</v>
      </c>
      <c r="AJ1839">
        <v>39.907708</v>
      </c>
      <c r="AK1839" t="s">
        <v>1170</v>
      </c>
      <c r="AL1839">
        <v>-92.582623999999996</v>
      </c>
      <c r="AM1839">
        <v>100</v>
      </c>
      <c r="AN1839">
        <v>1700</v>
      </c>
      <c r="AO1839" t="s">
        <v>118</v>
      </c>
      <c r="AP1839">
        <v>-106</v>
      </c>
      <c r="AQ1839">
        <v>76</v>
      </c>
      <c r="AR1839">
        <v>0</v>
      </c>
      <c r="AZ1839">
        <v>1200</v>
      </c>
      <c r="BA1839">
        <v>1</v>
      </c>
      <c r="BB1839" t="str">
        <f t="shared" ref="BB1839:BB1902" si="91">"N8080G  "</f>
        <v xml:space="preserve">N8080G  </v>
      </c>
      <c r="BC1839">
        <v>1</v>
      </c>
      <c r="BE1839">
        <v>0</v>
      </c>
      <c r="BF1839">
        <v>0</v>
      </c>
      <c r="BG1839">
        <v>0</v>
      </c>
      <c r="BH1839">
        <v>1700</v>
      </c>
      <c r="BI1839">
        <v>1</v>
      </c>
      <c r="BJ1839">
        <v>1</v>
      </c>
      <c r="BK1839">
        <v>1</v>
      </c>
      <c r="BL1839">
        <v>0</v>
      </c>
      <c r="BO1839">
        <v>0</v>
      </c>
      <c r="BP1839">
        <v>0</v>
      </c>
      <c r="BW1839" t="str">
        <f>"20:23:55.183"</f>
        <v>20:23:55.183</v>
      </c>
      <c r="BZ1839">
        <v>0</v>
      </c>
      <c r="CA1839">
        <v>2016</v>
      </c>
      <c r="CB1839">
        <v>224</v>
      </c>
      <c r="CD1839">
        <v>1</v>
      </c>
      <c r="CE1839">
        <v>0</v>
      </c>
      <c r="CF1839">
        <v>0</v>
      </c>
      <c r="CG1839">
        <v>1</v>
      </c>
      <c r="CH1839">
        <v>0</v>
      </c>
      <c r="CI1839">
        <v>0</v>
      </c>
      <c r="CJ1839">
        <v>0</v>
      </c>
      <c r="CK1839">
        <v>2</v>
      </c>
      <c r="CL1839">
        <v>0</v>
      </c>
      <c r="CM1839">
        <v>2</v>
      </c>
      <c r="CN1839">
        <v>0</v>
      </c>
      <c r="CO1839">
        <v>7</v>
      </c>
      <c r="CP1839" t="s">
        <v>119</v>
      </c>
      <c r="CQ1839">
        <v>180</v>
      </c>
      <c r="CR1839">
        <v>2</v>
      </c>
      <c r="CW1839">
        <v>8357565</v>
      </c>
      <c r="CY1839">
        <v>1</v>
      </c>
      <c r="CZ1839">
        <v>0</v>
      </c>
      <c r="DA1839">
        <v>0</v>
      </c>
      <c r="DB1839">
        <v>0</v>
      </c>
      <c r="DC1839">
        <v>0</v>
      </c>
      <c r="DD1839">
        <v>0</v>
      </c>
      <c r="DE1839">
        <v>0</v>
      </c>
      <c r="DF1839">
        <v>0</v>
      </c>
      <c r="DG1839">
        <v>0</v>
      </c>
      <c r="DH1839">
        <v>0</v>
      </c>
      <c r="DI1839">
        <v>0</v>
      </c>
    </row>
    <row r="1840" spans="1:113" x14ac:dyDescent="0.3">
      <c r="A1840" t="str">
        <f>"02/08/2021 20:23:52.832"</f>
        <v>02/08/2021 20:23:52.832</v>
      </c>
      <c r="C1840" t="str">
        <f t="shared" si="90"/>
        <v>FFDFD7C0</v>
      </c>
      <c r="D1840" t="s">
        <v>113</v>
      </c>
      <c r="E1840">
        <v>6</v>
      </c>
      <c r="H1840">
        <v>165</v>
      </c>
      <c r="I1840" t="s">
        <v>114</v>
      </c>
      <c r="J1840" t="s">
        <v>115</v>
      </c>
      <c r="K1840">
        <v>0</v>
      </c>
      <c r="L1840">
        <v>3</v>
      </c>
      <c r="M1840">
        <v>0</v>
      </c>
      <c r="N1840">
        <v>2</v>
      </c>
      <c r="O1840">
        <v>1</v>
      </c>
      <c r="P1840">
        <v>0</v>
      </c>
      <c r="Q1840">
        <v>0</v>
      </c>
      <c r="S1840" t="str">
        <f>"20:23:55.180"</f>
        <v>20:23:55.180</v>
      </c>
      <c r="T1840" t="str">
        <f>"20:23:54.680"</f>
        <v>20:23:54.680</v>
      </c>
      <c r="U1840" t="str">
        <f t="shared" si="89"/>
        <v>AB01F4</v>
      </c>
      <c r="V1840">
        <v>0</v>
      </c>
      <c r="W1840">
        <v>0</v>
      </c>
      <c r="X1840">
        <v>2</v>
      </c>
      <c r="Z1840">
        <v>0</v>
      </c>
      <c r="AA1840">
        <v>9</v>
      </c>
      <c r="AB1840">
        <v>3</v>
      </c>
      <c r="AC1840">
        <v>0</v>
      </c>
      <c r="AD1840">
        <v>10</v>
      </c>
      <c r="AE1840">
        <v>0</v>
      </c>
      <c r="AF1840">
        <v>3</v>
      </c>
      <c r="AG1840">
        <v>2</v>
      </c>
      <c r="AH1840">
        <v>0</v>
      </c>
      <c r="AI1840" t="s">
        <v>1169</v>
      </c>
      <c r="AJ1840">
        <v>39.907708</v>
      </c>
      <c r="AK1840" t="s">
        <v>1170</v>
      </c>
      <c r="AL1840">
        <v>-92.582623999999996</v>
      </c>
      <c r="AM1840">
        <v>100</v>
      </c>
      <c r="AN1840">
        <v>1700</v>
      </c>
      <c r="AO1840" t="s">
        <v>118</v>
      </c>
      <c r="AP1840">
        <v>-106</v>
      </c>
      <c r="AQ1840">
        <v>76</v>
      </c>
      <c r="AR1840">
        <v>0</v>
      </c>
      <c r="AZ1840">
        <v>1200</v>
      </c>
      <c r="BA1840">
        <v>1</v>
      </c>
      <c r="BB1840" t="str">
        <f t="shared" si="91"/>
        <v xml:space="preserve">N8080G  </v>
      </c>
      <c r="BC1840">
        <v>1</v>
      </c>
      <c r="BE1840">
        <v>0</v>
      </c>
      <c r="BF1840">
        <v>0</v>
      </c>
      <c r="BG1840">
        <v>0</v>
      </c>
      <c r="BH1840">
        <v>1700</v>
      </c>
      <c r="BI1840">
        <v>1</v>
      </c>
      <c r="BJ1840">
        <v>1</v>
      </c>
      <c r="BK1840">
        <v>1</v>
      </c>
      <c r="BL1840">
        <v>0</v>
      </c>
      <c r="BO1840">
        <v>0</v>
      </c>
      <c r="BP1840">
        <v>0</v>
      </c>
      <c r="BW1840" t="str">
        <f>"20:23:55.183"</f>
        <v>20:23:55.183</v>
      </c>
      <c r="BZ1840">
        <v>0</v>
      </c>
      <c r="CA1840">
        <v>2016</v>
      </c>
      <c r="CB1840">
        <v>224</v>
      </c>
      <c r="CD1840">
        <v>1</v>
      </c>
      <c r="CE1840">
        <v>0</v>
      </c>
      <c r="CF1840">
        <v>0</v>
      </c>
      <c r="CG1840">
        <v>1</v>
      </c>
      <c r="CH1840">
        <v>0</v>
      </c>
      <c r="CI1840">
        <v>0</v>
      </c>
      <c r="CJ1840">
        <v>0</v>
      </c>
      <c r="CK1840">
        <v>2</v>
      </c>
      <c r="CL1840">
        <v>0</v>
      </c>
      <c r="CM1840">
        <v>2</v>
      </c>
      <c r="CN1840">
        <v>0</v>
      </c>
      <c r="CO1840">
        <v>7</v>
      </c>
      <c r="CP1840" t="s">
        <v>119</v>
      </c>
      <c r="CQ1840">
        <v>180</v>
      </c>
      <c r="CR1840">
        <v>2</v>
      </c>
      <c r="CW1840">
        <v>8357565</v>
      </c>
      <c r="CY1840">
        <v>1</v>
      </c>
      <c r="CZ1840">
        <v>0</v>
      </c>
      <c r="DA1840">
        <v>1</v>
      </c>
      <c r="DB1840">
        <v>0</v>
      </c>
      <c r="DC1840">
        <v>0</v>
      </c>
      <c r="DD1840">
        <v>0</v>
      </c>
      <c r="DE1840">
        <v>0</v>
      </c>
      <c r="DF1840">
        <v>0</v>
      </c>
      <c r="DG1840">
        <v>0</v>
      </c>
      <c r="DH1840">
        <v>0</v>
      </c>
      <c r="DI1840">
        <v>0</v>
      </c>
    </row>
    <row r="1841" spans="1:113" x14ac:dyDescent="0.3">
      <c r="A1841" t="str">
        <f>"02/08/2021 20:23:52.832"</f>
        <v>02/08/2021 20:23:52.832</v>
      </c>
      <c r="C1841" t="str">
        <f t="shared" si="90"/>
        <v>FFDFD7C0</v>
      </c>
      <c r="D1841" t="s">
        <v>124</v>
      </c>
      <c r="E1841">
        <v>13</v>
      </c>
      <c r="F1841">
        <v>1013</v>
      </c>
      <c r="G1841" t="s">
        <v>114</v>
      </c>
      <c r="J1841" t="s">
        <v>125</v>
      </c>
      <c r="K1841">
        <v>0</v>
      </c>
      <c r="L1841">
        <v>3</v>
      </c>
      <c r="M1841">
        <v>0</v>
      </c>
      <c r="N1841">
        <v>2</v>
      </c>
      <c r="O1841">
        <v>1</v>
      </c>
      <c r="P1841">
        <v>0</v>
      </c>
      <c r="Q1841">
        <v>0</v>
      </c>
      <c r="S1841" t="str">
        <f>"20:23:55.180"</f>
        <v>20:23:55.180</v>
      </c>
      <c r="T1841" t="str">
        <f>"20:23:54.680"</f>
        <v>20:23:54.680</v>
      </c>
      <c r="U1841" t="str">
        <f t="shared" si="89"/>
        <v>AB01F4</v>
      </c>
      <c r="V1841">
        <v>0</v>
      </c>
      <c r="W1841">
        <v>0</v>
      </c>
      <c r="X1841">
        <v>2</v>
      </c>
      <c r="Z1841">
        <v>0</v>
      </c>
      <c r="AA1841">
        <v>9</v>
      </c>
      <c r="AB1841">
        <v>3</v>
      </c>
      <c r="AC1841">
        <v>0</v>
      </c>
      <c r="AD1841">
        <v>10</v>
      </c>
      <c r="AE1841">
        <v>0</v>
      </c>
      <c r="AF1841">
        <v>3</v>
      </c>
      <c r="AG1841">
        <v>2</v>
      </c>
      <c r="AH1841">
        <v>0</v>
      </c>
      <c r="AI1841" t="s">
        <v>1169</v>
      </c>
      <c r="AJ1841">
        <v>39.907708</v>
      </c>
      <c r="AK1841" t="s">
        <v>1170</v>
      </c>
      <c r="AL1841">
        <v>-92.582623999999996</v>
      </c>
      <c r="AM1841">
        <v>100</v>
      </c>
      <c r="AN1841">
        <v>1700</v>
      </c>
      <c r="AO1841" t="s">
        <v>118</v>
      </c>
      <c r="AP1841">
        <v>-106</v>
      </c>
      <c r="AQ1841">
        <v>76</v>
      </c>
      <c r="AR1841">
        <v>0</v>
      </c>
      <c r="AZ1841">
        <v>1200</v>
      </c>
      <c r="BA1841">
        <v>1</v>
      </c>
      <c r="BB1841" t="str">
        <f t="shared" si="91"/>
        <v xml:space="preserve">N8080G  </v>
      </c>
      <c r="BC1841">
        <v>1</v>
      </c>
      <c r="BE1841">
        <v>0</v>
      </c>
      <c r="BF1841">
        <v>0</v>
      </c>
      <c r="BG1841">
        <v>0</v>
      </c>
      <c r="BH1841">
        <v>1700</v>
      </c>
      <c r="BI1841">
        <v>1</v>
      </c>
      <c r="BJ1841">
        <v>1</v>
      </c>
      <c r="BK1841">
        <v>1</v>
      </c>
      <c r="BL1841">
        <v>0</v>
      </c>
      <c r="BO1841">
        <v>0</v>
      </c>
      <c r="BP1841">
        <v>0</v>
      </c>
      <c r="BW1841" t="str">
        <f>"20:23:55.183"</f>
        <v>20:23:55.183</v>
      </c>
      <c r="BZ1841">
        <v>0</v>
      </c>
      <c r="CA1841">
        <v>2016</v>
      </c>
      <c r="CB1841">
        <v>224</v>
      </c>
      <c r="CD1841">
        <v>1</v>
      </c>
      <c r="CE1841">
        <v>0</v>
      </c>
      <c r="CF1841">
        <v>0</v>
      </c>
      <c r="CG1841">
        <v>1</v>
      </c>
      <c r="CH1841">
        <v>0</v>
      </c>
      <c r="CI1841">
        <v>0</v>
      </c>
      <c r="CJ1841">
        <v>0</v>
      </c>
      <c r="CK1841">
        <v>2</v>
      </c>
      <c r="CL1841">
        <v>0</v>
      </c>
      <c r="CM1841">
        <v>2</v>
      </c>
      <c r="CN1841">
        <v>0</v>
      </c>
      <c r="CO1841">
        <v>7</v>
      </c>
      <c r="CP1841" t="s">
        <v>119</v>
      </c>
      <c r="CQ1841">
        <v>180</v>
      </c>
      <c r="CR1841">
        <v>2</v>
      </c>
      <c r="CW1841">
        <v>8357565</v>
      </c>
      <c r="CY1841">
        <v>1</v>
      </c>
      <c r="CZ1841">
        <v>0</v>
      </c>
      <c r="DA1841">
        <v>1</v>
      </c>
      <c r="DB1841">
        <v>0</v>
      </c>
      <c r="DC1841">
        <v>0</v>
      </c>
      <c r="DD1841">
        <v>0</v>
      </c>
      <c r="DE1841">
        <v>0</v>
      </c>
      <c r="DF1841">
        <v>0</v>
      </c>
      <c r="DG1841">
        <v>0</v>
      </c>
      <c r="DH1841">
        <v>0</v>
      </c>
      <c r="DI1841">
        <v>0</v>
      </c>
    </row>
    <row r="1842" spans="1:113" x14ac:dyDescent="0.3">
      <c r="A1842" t="str">
        <f>"02/08/2021 20:23:52.832"</f>
        <v>02/08/2021 20:23:52.832</v>
      </c>
      <c r="C1842" t="str">
        <f t="shared" si="90"/>
        <v>FFDFD7C0</v>
      </c>
      <c r="D1842" t="s">
        <v>124</v>
      </c>
      <c r="E1842">
        <v>11</v>
      </c>
      <c r="F1842">
        <v>1011</v>
      </c>
      <c r="G1842" t="s">
        <v>590</v>
      </c>
      <c r="J1842" t="s">
        <v>125</v>
      </c>
      <c r="K1842">
        <v>0</v>
      </c>
      <c r="L1842">
        <v>3</v>
      </c>
      <c r="M1842">
        <v>0</v>
      </c>
      <c r="N1842">
        <v>2</v>
      </c>
      <c r="O1842">
        <v>1</v>
      </c>
      <c r="P1842">
        <v>0</v>
      </c>
      <c r="Q1842">
        <v>0</v>
      </c>
      <c r="S1842" t="str">
        <f>"20:23:55.180"</f>
        <v>20:23:55.180</v>
      </c>
      <c r="T1842" t="str">
        <f>"20:23:54.680"</f>
        <v>20:23:54.680</v>
      </c>
      <c r="U1842" t="str">
        <f t="shared" si="89"/>
        <v>AB01F4</v>
      </c>
      <c r="V1842">
        <v>0</v>
      </c>
      <c r="W1842">
        <v>0</v>
      </c>
      <c r="X1842">
        <v>2</v>
      </c>
      <c r="Z1842">
        <v>0</v>
      </c>
      <c r="AA1842">
        <v>9</v>
      </c>
      <c r="AB1842">
        <v>3</v>
      </c>
      <c r="AC1842">
        <v>0</v>
      </c>
      <c r="AD1842">
        <v>10</v>
      </c>
      <c r="AE1842">
        <v>0</v>
      </c>
      <c r="AF1842">
        <v>3</v>
      </c>
      <c r="AG1842">
        <v>2</v>
      </c>
      <c r="AH1842">
        <v>0</v>
      </c>
      <c r="AI1842" t="s">
        <v>1169</v>
      </c>
      <c r="AJ1842">
        <v>39.907708</v>
      </c>
      <c r="AK1842" t="s">
        <v>1170</v>
      </c>
      <c r="AL1842">
        <v>-92.582623999999996</v>
      </c>
      <c r="AM1842">
        <v>100</v>
      </c>
      <c r="AN1842">
        <v>1700</v>
      </c>
      <c r="AO1842" t="s">
        <v>118</v>
      </c>
      <c r="AP1842">
        <v>-106</v>
      </c>
      <c r="AQ1842">
        <v>76</v>
      </c>
      <c r="AR1842">
        <v>0</v>
      </c>
      <c r="AZ1842">
        <v>1200</v>
      </c>
      <c r="BA1842">
        <v>1</v>
      </c>
      <c r="BB1842" t="str">
        <f t="shared" si="91"/>
        <v xml:space="preserve">N8080G  </v>
      </c>
      <c r="BC1842">
        <v>1</v>
      </c>
      <c r="BE1842">
        <v>0</v>
      </c>
      <c r="BF1842">
        <v>0</v>
      </c>
      <c r="BG1842">
        <v>0</v>
      </c>
      <c r="BH1842">
        <v>1700</v>
      </c>
      <c r="BI1842">
        <v>1</v>
      </c>
      <c r="BJ1842">
        <v>1</v>
      </c>
      <c r="BK1842">
        <v>1</v>
      </c>
      <c r="BL1842">
        <v>0</v>
      </c>
      <c r="BO1842">
        <v>0</v>
      </c>
      <c r="BP1842">
        <v>0</v>
      </c>
      <c r="BW1842" t="str">
        <f>"20:23:55.183"</f>
        <v>20:23:55.183</v>
      </c>
      <c r="BZ1842">
        <v>0</v>
      </c>
      <c r="CA1842">
        <v>2016</v>
      </c>
      <c r="CB1842">
        <v>224</v>
      </c>
      <c r="CD1842">
        <v>1</v>
      </c>
      <c r="CE1842">
        <v>0</v>
      </c>
      <c r="CF1842">
        <v>0</v>
      </c>
      <c r="CG1842">
        <v>1</v>
      </c>
      <c r="CH1842">
        <v>0</v>
      </c>
      <c r="CI1842">
        <v>0</v>
      </c>
      <c r="CJ1842">
        <v>0</v>
      </c>
      <c r="CK1842">
        <v>2</v>
      </c>
      <c r="CL1842">
        <v>0</v>
      </c>
      <c r="CM1842">
        <v>2</v>
      </c>
      <c r="CN1842">
        <v>0</v>
      </c>
      <c r="CO1842">
        <v>7</v>
      </c>
      <c r="CP1842" t="s">
        <v>119</v>
      </c>
      <c r="CQ1842">
        <v>180</v>
      </c>
      <c r="CR1842">
        <v>2</v>
      </c>
      <c r="CW1842">
        <v>8357565</v>
      </c>
      <c r="CY1842">
        <v>1</v>
      </c>
      <c r="CZ1842">
        <v>0</v>
      </c>
      <c r="DA1842">
        <v>1</v>
      </c>
      <c r="DB1842">
        <v>0</v>
      </c>
      <c r="DC1842">
        <v>0</v>
      </c>
      <c r="DD1842">
        <v>0</v>
      </c>
      <c r="DE1842">
        <v>0</v>
      </c>
      <c r="DF1842">
        <v>0</v>
      </c>
      <c r="DG1842">
        <v>0</v>
      </c>
      <c r="DH1842">
        <v>0</v>
      </c>
      <c r="DI1842">
        <v>0</v>
      </c>
    </row>
    <row r="1843" spans="1:113" x14ac:dyDescent="0.3">
      <c r="A1843" t="str">
        <f>"02/08/2021 20:23:54.415"</f>
        <v>02/08/2021 20:23:54.415</v>
      </c>
      <c r="C1843" t="str">
        <f t="shared" si="90"/>
        <v>FFDFD7C0</v>
      </c>
      <c r="D1843" t="s">
        <v>124</v>
      </c>
      <c r="E1843">
        <v>13</v>
      </c>
      <c r="F1843">
        <v>1013</v>
      </c>
      <c r="G1843" t="s">
        <v>114</v>
      </c>
      <c r="J1843" t="s">
        <v>125</v>
      </c>
      <c r="K1843">
        <v>0</v>
      </c>
      <c r="L1843">
        <v>3</v>
      </c>
      <c r="M1843">
        <v>0</v>
      </c>
      <c r="N1843">
        <v>2</v>
      </c>
      <c r="O1843">
        <v>1</v>
      </c>
      <c r="P1843">
        <v>0</v>
      </c>
      <c r="Q1843">
        <v>0</v>
      </c>
      <c r="S1843" t="str">
        <f>"20:23:56.750"</f>
        <v>20:23:56.750</v>
      </c>
      <c r="T1843" t="str">
        <f>"20:23:56.350"</f>
        <v>20:23:56.350</v>
      </c>
      <c r="U1843" t="str">
        <f t="shared" si="89"/>
        <v>AB01F4</v>
      </c>
      <c r="V1843">
        <v>0</v>
      </c>
      <c r="W1843">
        <v>0</v>
      </c>
      <c r="X1843">
        <v>2</v>
      </c>
      <c r="Z1843">
        <v>0</v>
      </c>
      <c r="AA1843">
        <v>9</v>
      </c>
      <c r="AB1843">
        <v>3</v>
      </c>
      <c r="AC1843">
        <v>0</v>
      </c>
      <c r="AD1843">
        <v>10</v>
      </c>
      <c r="AE1843">
        <v>0</v>
      </c>
      <c r="AF1843">
        <v>3</v>
      </c>
      <c r="AG1843">
        <v>2</v>
      </c>
      <c r="AH1843">
        <v>0</v>
      </c>
      <c r="AI1843" t="s">
        <v>1171</v>
      </c>
      <c r="AJ1843">
        <v>39.908245000000001</v>
      </c>
      <c r="AK1843" t="s">
        <v>1172</v>
      </c>
      <c r="AL1843">
        <v>-92.583631999999994</v>
      </c>
      <c r="AM1843">
        <v>100</v>
      </c>
      <c r="AN1843">
        <v>1700</v>
      </c>
      <c r="AO1843" t="s">
        <v>118</v>
      </c>
      <c r="AP1843">
        <v>-106</v>
      </c>
      <c r="AQ1843">
        <v>75</v>
      </c>
      <c r="AR1843">
        <v>0</v>
      </c>
      <c r="AZ1843">
        <v>1200</v>
      </c>
      <c r="BA1843">
        <v>1</v>
      </c>
      <c r="BB1843" t="str">
        <f t="shared" si="91"/>
        <v xml:space="preserve">N8080G  </v>
      </c>
      <c r="BC1843">
        <v>1</v>
      </c>
      <c r="BE1843">
        <v>0</v>
      </c>
      <c r="BF1843">
        <v>0</v>
      </c>
      <c r="BG1843">
        <v>0</v>
      </c>
      <c r="BH1843">
        <v>1700</v>
      </c>
      <c r="BI1843">
        <v>1</v>
      </c>
      <c r="BJ1843">
        <v>1</v>
      </c>
      <c r="BK1843">
        <v>1</v>
      </c>
      <c r="BL1843">
        <v>0</v>
      </c>
      <c r="BO1843">
        <v>0</v>
      </c>
      <c r="BP1843">
        <v>0</v>
      </c>
      <c r="BW1843" t="str">
        <f>"20:23:56.755"</f>
        <v>20:23:56.755</v>
      </c>
      <c r="BZ1843">
        <v>0</v>
      </c>
      <c r="CA1843">
        <v>2016</v>
      </c>
      <c r="CB1843">
        <v>224</v>
      </c>
      <c r="CD1843">
        <v>1</v>
      </c>
      <c r="CE1843">
        <v>0</v>
      </c>
      <c r="CF1843">
        <v>0</v>
      </c>
      <c r="CG1843">
        <v>1</v>
      </c>
      <c r="CH1843">
        <v>0</v>
      </c>
      <c r="CI1843">
        <v>0</v>
      </c>
      <c r="CJ1843">
        <v>0</v>
      </c>
      <c r="CK1843">
        <v>2</v>
      </c>
      <c r="CL1843">
        <v>0</v>
      </c>
      <c r="CM1843">
        <v>2</v>
      </c>
      <c r="CN1843">
        <v>0</v>
      </c>
      <c r="CO1843">
        <v>7</v>
      </c>
      <c r="CP1843" t="s">
        <v>119</v>
      </c>
      <c r="CQ1843">
        <v>180</v>
      </c>
      <c r="CR1843">
        <v>1</v>
      </c>
      <c r="CW1843">
        <v>10924099</v>
      </c>
      <c r="CY1843">
        <v>1</v>
      </c>
      <c r="CZ1843">
        <v>0</v>
      </c>
      <c r="DA1843">
        <v>0</v>
      </c>
      <c r="DB1843">
        <v>0</v>
      </c>
      <c r="DC1843">
        <v>0</v>
      </c>
      <c r="DD1843">
        <v>0</v>
      </c>
      <c r="DE1843">
        <v>0</v>
      </c>
      <c r="DF1843">
        <v>0</v>
      </c>
      <c r="DG1843">
        <v>0</v>
      </c>
      <c r="DH1843">
        <v>0</v>
      </c>
      <c r="DI1843">
        <v>0</v>
      </c>
    </row>
    <row r="1844" spans="1:113" x14ac:dyDescent="0.3">
      <c r="A1844" t="str">
        <f>"02/08/2021 20:23:54.415"</f>
        <v>02/08/2021 20:23:54.415</v>
      </c>
      <c r="C1844" t="str">
        <f t="shared" si="90"/>
        <v>FFDFD7C0</v>
      </c>
      <c r="D1844" t="s">
        <v>113</v>
      </c>
      <c r="E1844">
        <v>6</v>
      </c>
      <c r="H1844">
        <v>165</v>
      </c>
      <c r="I1844" t="s">
        <v>114</v>
      </c>
      <c r="J1844" t="s">
        <v>115</v>
      </c>
      <c r="K1844">
        <v>0</v>
      </c>
      <c r="L1844">
        <v>3</v>
      </c>
      <c r="M1844">
        <v>0</v>
      </c>
      <c r="N1844">
        <v>2</v>
      </c>
      <c r="O1844">
        <v>1</v>
      </c>
      <c r="P1844">
        <v>0</v>
      </c>
      <c r="Q1844">
        <v>0</v>
      </c>
      <c r="S1844" t="str">
        <f>"20:23:56.750"</f>
        <v>20:23:56.750</v>
      </c>
      <c r="T1844" t="str">
        <f>"20:23:56.350"</f>
        <v>20:23:56.350</v>
      </c>
      <c r="U1844" t="str">
        <f t="shared" si="89"/>
        <v>AB01F4</v>
      </c>
      <c r="V1844">
        <v>0</v>
      </c>
      <c r="W1844">
        <v>0</v>
      </c>
      <c r="X1844">
        <v>2</v>
      </c>
      <c r="Z1844">
        <v>0</v>
      </c>
      <c r="AA1844">
        <v>9</v>
      </c>
      <c r="AB1844">
        <v>3</v>
      </c>
      <c r="AC1844">
        <v>0</v>
      </c>
      <c r="AD1844">
        <v>10</v>
      </c>
      <c r="AE1844">
        <v>0</v>
      </c>
      <c r="AF1844">
        <v>3</v>
      </c>
      <c r="AG1844">
        <v>2</v>
      </c>
      <c r="AH1844">
        <v>0</v>
      </c>
      <c r="AI1844" t="s">
        <v>1171</v>
      </c>
      <c r="AJ1844">
        <v>39.908245000000001</v>
      </c>
      <c r="AK1844" t="s">
        <v>1172</v>
      </c>
      <c r="AL1844">
        <v>-92.583631999999994</v>
      </c>
      <c r="AM1844">
        <v>100</v>
      </c>
      <c r="AN1844">
        <v>1700</v>
      </c>
      <c r="AO1844" t="s">
        <v>118</v>
      </c>
      <c r="AP1844">
        <v>-106</v>
      </c>
      <c r="AQ1844">
        <v>75</v>
      </c>
      <c r="AR1844">
        <v>0</v>
      </c>
      <c r="AZ1844">
        <v>1200</v>
      </c>
      <c r="BA1844">
        <v>1</v>
      </c>
      <c r="BB1844" t="str">
        <f t="shared" si="91"/>
        <v xml:space="preserve">N8080G  </v>
      </c>
      <c r="BC1844">
        <v>1</v>
      </c>
      <c r="BE1844">
        <v>0</v>
      </c>
      <c r="BF1844">
        <v>0</v>
      </c>
      <c r="BG1844">
        <v>0</v>
      </c>
      <c r="BH1844">
        <v>1700</v>
      </c>
      <c r="BI1844">
        <v>1</v>
      </c>
      <c r="BJ1844">
        <v>1</v>
      </c>
      <c r="BK1844">
        <v>1</v>
      </c>
      <c r="BL1844">
        <v>0</v>
      </c>
      <c r="BO1844">
        <v>0</v>
      </c>
      <c r="BP1844">
        <v>0</v>
      </c>
      <c r="BW1844" t="str">
        <f>"20:23:56.755"</f>
        <v>20:23:56.755</v>
      </c>
      <c r="BZ1844">
        <v>0</v>
      </c>
      <c r="CA1844">
        <v>2016</v>
      </c>
      <c r="CB1844">
        <v>224</v>
      </c>
      <c r="CD1844">
        <v>1</v>
      </c>
      <c r="CE1844">
        <v>0</v>
      </c>
      <c r="CF1844">
        <v>0</v>
      </c>
      <c r="CG1844">
        <v>1</v>
      </c>
      <c r="CH1844">
        <v>0</v>
      </c>
      <c r="CI1844">
        <v>0</v>
      </c>
      <c r="CJ1844">
        <v>0</v>
      </c>
      <c r="CK1844">
        <v>2</v>
      </c>
      <c r="CL1844">
        <v>0</v>
      </c>
      <c r="CM1844">
        <v>2</v>
      </c>
      <c r="CN1844">
        <v>0</v>
      </c>
      <c r="CO1844">
        <v>7</v>
      </c>
      <c r="CP1844" t="s">
        <v>119</v>
      </c>
      <c r="CQ1844">
        <v>180</v>
      </c>
      <c r="CR1844">
        <v>1</v>
      </c>
      <c r="CW1844">
        <v>10924099</v>
      </c>
      <c r="CY1844">
        <v>1</v>
      </c>
      <c r="CZ1844">
        <v>0</v>
      </c>
      <c r="DA1844">
        <v>1</v>
      </c>
      <c r="DB1844">
        <v>0</v>
      </c>
      <c r="DC1844">
        <v>0</v>
      </c>
      <c r="DD1844">
        <v>0</v>
      </c>
      <c r="DE1844">
        <v>0</v>
      </c>
      <c r="DF1844">
        <v>0</v>
      </c>
      <c r="DG1844">
        <v>0</v>
      </c>
      <c r="DH1844">
        <v>0</v>
      </c>
      <c r="DI1844">
        <v>0</v>
      </c>
    </row>
    <row r="1845" spans="1:113" x14ac:dyDescent="0.3">
      <c r="A1845" t="str">
        <f>"02/08/2021 20:23:54.415"</f>
        <v>02/08/2021 20:23:54.415</v>
      </c>
      <c r="C1845" t="str">
        <f t="shared" si="90"/>
        <v>FFDFD7C0</v>
      </c>
      <c r="D1845" t="s">
        <v>124</v>
      </c>
      <c r="E1845">
        <v>11</v>
      </c>
      <c r="F1845">
        <v>1011</v>
      </c>
      <c r="G1845" t="s">
        <v>590</v>
      </c>
      <c r="J1845" t="s">
        <v>125</v>
      </c>
      <c r="K1845">
        <v>0</v>
      </c>
      <c r="L1845">
        <v>3</v>
      </c>
      <c r="M1845">
        <v>0</v>
      </c>
      <c r="N1845">
        <v>2</v>
      </c>
      <c r="O1845">
        <v>1</v>
      </c>
      <c r="P1845">
        <v>0</v>
      </c>
      <c r="Q1845">
        <v>0</v>
      </c>
      <c r="S1845" t="str">
        <f>"20:23:56.750"</f>
        <v>20:23:56.750</v>
      </c>
      <c r="T1845" t="str">
        <f>"20:23:56.350"</f>
        <v>20:23:56.350</v>
      </c>
      <c r="U1845" t="str">
        <f t="shared" si="89"/>
        <v>AB01F4</v>
      </c>
      <c r="V1845">
        <v>0</v>
      </c>
      <c r="W1845">
        <v>0</v>
      </c>
      <c r="X1845">
        <v>2</v>
      </c>
      <c r="Z1845">
        <v>0</v>
      </c>
      <c r="AA1845">
        <v>9</v>
      </c>
      <c r="AB1845">
        <v>3</v>
      </c>
      <c r="AC1845">
        <v>0</v>
      </c>
      <c r="AD1845">
        <v>10</v>
      </c>
      <c r="AE1845">
        <v>0</v>
      </c>
      <c r="AF1845">
        <v>3</v>
      </c>
      <c r="AG1845">
        <v>2</v>
      </c>
      <c r="AH1845">
        <v>0</v>
      </c>
      <c r="AI1845" t="s">
        <v>1171</v>
      </c>
      <c r="AJ1845">
        <v>39.908245000000001</v>
      </c>
      <c r="AK1845" t="s">
        <v>1172</v>
      </c>
      <c r="AL1845">
        <v>-92.583631999999994</v>
      </c>
      <c r="AM1845">
        <v>100</v>
      </c>
      <c r="AN1845">
        <v>1700</v>
      </c>
      <c r="AO1845" t="s">
        <v>118</v>
      </c>
      <c r="AP1845">
        <v>-106</v>
      </c>
      <c r="AQ1845">
        <v>75</v>
      </c>
      <c r="AR1845">
        <v>0</v>
      </c>
      <c r="AZ1845">
        <v>1200</v>
      </c>
      <c r="BA1845">
        <v>1</v>
      </c>
      <c r="BB1845" t="str">
        <f t="shared" si="91"/>
        <v xml:space="preserve">N8080G  </v>
      </c>
      <c r="BC1845">
        <v>1</v>
      </c>
      <c r="BE1845">
        <v>0</v>
      </c>
      <c r="BF1845">
        <v>0</v>
      </c>
      <c r="BG1845">
        <v>0</v>
      </c>
      <c r="BH1845">
        <v>1700</v>
      </c>
      <c r="BI1845">
        <v>1</v>
      </c>
      <c r="BJ1845">
        <v>1</v>
      </c>
      <c r="BK1845">
        <v>1</v>
      </c>
      <c r="BL1845">
        <v>0</v>
      </c>
      <c r="BO1845">
        <v>0</v>
      </c>
      <c r="BP1845">
        <v>0</v>
      </c>
      <c r="BW1845" t="str">
        <f>"20:23:56.755"</f>
        <v>20:23:56.755</v>
      </c>
      <c r="BZ1845">
        <v>0</v>
      </c>
      <c r="CA1845">
        <v>2016</v>
      </c>
      <c r="CB1845">
        <v>224</v>
      </c>
      <c r="CD1845">
        <v>1</v>
      </c>
      <c r="CE1845">
        <v>0</v>
      </c>
      <c r="CF1845">
        <v>0</v>
      </c>
      <c r="CG1845">
        <v>1</v>
      </c>
      <c r="CH1845">
        <v>0</v>
      </c>
      <c r="CI1845">
        <v>0</v>
      </c>
      <c r="CJ1845">
        <v>0</v>
      </c>
      <c r="CK1845">
        <v>2</v>
      </c>
      <c r="CL1845">
        <v>0</v>
      </c>
      <c r="CM1845">
        <v>2</v>
      </c>
      <c r="CN1845">
        <v>0</v>
      </c>
      <c r="CO1845">
        <v>7</v>
      </c>
      <c r="CP1845" t="s">
        <v>119</v>
      </c>
      <c r="CQ1845">
        <v>180</v>
      </c>
      <c r="CR1845">
        <v>1</v>
      </c>
      <c r="CW1845">
        <v>10924099</v>
      </c>
      <c r="CY1845">
        <v>1</v>
      </c>
      <c r="CZ1845">
        <v>0</v>
      </c>
      <c r="DA1845">
        <v>1</v>
      </c>
      <c r="DB1845">
        <v>0</v>
      </c>
      <c r="DC1845">
        <v>0</v>
      </c>
      <c r="DD1845">
        <v>0</v>
      </c>
      <c r="DE1845">
        <v>0</v>
      </c>
      <c r="DF1845">
        <v>0</v>
      </c>
      <c r="DG1845">
        <v>0</v>
      </c>
      <c r="DH1845">
        <v>0</v>
      </c>
      <c r="DI1845">
        <v>0</v>
      </c>
    </row>
    <row r="1846" spans="1:113" x14ac:dyDescent="0.3">
      <c r="A1846" t="str">
        <f>"02/08/2021 20:23:54.415"</f>
        <v>02/08/2021 20:23:54.415</v>
      </c>
      <c r="C1846" t="str">
        <f t="shared" si="90"/>
        <v>FFDFD7C0</v>
      </c>
      <c r="D1846" t="s">
        <v>124</v>
      </c>
      <c r="E1846">
        <v>12</v>
      </c>
      <c r="F1846">
        <v>1012</v>
      </c>
      <c r="G1846" t="s">
        <v>675</v>
      </c>
      <c r="J1846" t="s">
        <v>125</v>
      </c>
      <c r="K1846">
        <v>0</v>
      </c>
      <c r="L1846">
        <v>3</v>
      </c>
      <c r="M1846">
        <v>0</v>
      </c>
      <c r="N1846">
        <v>2</v>
      </c>
      <c r="O1846">
        <v>1</v>
      </c>
      <c r="P1846">
        <v>0</v>
      </c>
      <c r="Q1846">
        <v>0</v>
      </c>
      <c r="S1846" t="str">
        <f>"20:23:56.750"</f>
        <v>20:23:56.750</v>
      </c>
      <c r="T1846" t="str">
        <f>"20:23:56.350"</f>
        <v>20:23:56.350</v>
      </c>
      <c r="U1846" t="str">
        <f t="shared" si="89"/>
        <v>AB01F4</v>
      </c>
      <c r="V1846">
        <v>0</v>
      </c>
      <c r="W1846">
        <v>0</v>
      </c>
      <c r="X1846">
        <v>2</v>
      </c>
      <c r="Z1846">
        <v>0</v>
      </c>
      <c r="AA1846">
        <v>9</v>
      </c>
      <c r="AB1846">
        <v>3</v>
      </c>
      <c r="AC1846">
        <v>0</v>
      </c>
      <c r="AD1846">
        <v>10</v>
      </c>
      <c r="AE1846">
        <v>0</v>
      </c>
      <c r="AF1846">
        <v>3</v>
      </c>
      <c r="AG1846">
        <v>2</v>
      </c>
      <c r="AH1846">
        <v>0</v>
      </c>
      <c r="AI1846" t="s">
        <v>1171</v>
      </c>
      <c r="AJ1846">
        <v>39.908245000000001</v>
      </c>
      <c r="AK1846" t="s">
        <v>1172</v>
      </c>
      <c r="AL1846">
        <v>-92.583631999999994</v>
      </c>
      <c r="AM1846">
        <v>100</v>
      </c>
      <c r="AN1846">
        <v>1700</v>
      </c>
      <c r="AO1846" t="s">
        <v>118</v>
      </c>
      <c r="AP1846">
        <v>-106</v>
      </c>
      <c r="AQ1846">
        <v>75</v>
      </c>
      <c r="AR1846">
        <v>0</v>
      </c>
      <c r="AZ1846">
        <v>1200</v>
      </c>
      <c r="BA1846">
        <v>1</v>
      </c>
      <c r="BB1846" t="str">
        <f t="shared" si="91"/>
        <v xml:space="preserve">N8080G  </v>
      </c>
      <c r="BC1846">
        <v>1</v>
      </c>
      <c r="BE1846">
        <v>0</v>
      </c>
      <c r="BF1846">
        <v>0</v>
      </c>
      <c r="BG1846">
        <v>0</v>
      </c>
      <c r="BH1846">
        <v>1700</v>
      </c>
      <c r="BI1846">
        <v>1</v>
      </c>
      <c r="BJ1846">
        <v>1</v>
      </c>
      <c r="BK1846">
        <v>1</v>
      </c>
      <c r="BL1846">
        <v>0</v>
      </c>
      <c r="BO1846">
        <v>0</v>
      </c>
      <c r="BP1846">
        <v>0</v>
      </c>
      <c r="BW1846" t="str">
        <f>"20:23:56.755"</f>
        <v>20:23:56.755</v>
      </c>
      <c r="BZ1846">
        <v>0</v>
      </c>
      <c r="CA1846">
        <v>2016</v>
      </c>
      <c r="CB1846">
        <v>224</v>
      </c>
      <c r="CD1846">
        <v>1</v>
      </c>
      <c r="CE1846">
        <v>0</v>
      </c>
      <c r="CF1846">
        <v>0</v>
      </c>
      <c r="CG1846">
        <v>1</v>
      </c>
      <c r="CH1846">
        <v>0</v>
      </c>
      <c r="CI1846">
        <v>0</v>
      </c>
      <c r="CJ1846">
        <v>0</v>
      </c>
      <c r="CK1846">
        <v>2</v>
      </c>
      <c r="CL1846">
        <v>0</v>
      </c>
      <c r="CM1846">
        <v>2</v>
      </c>
      <c r="CN1846">
        <v>0</v>
      </c>
      <c r="CO1846">
        <v>7</v>
      </c>
      <c r="CP1846" t="s">
        <v>119</v>
      </c>
      <c r="CQ1846">
        <v>180</v>
      </c>
      <c r="CR1846">
        <v>1</v>
      </c>
      <c r="CW1846">
        <v>10924099</v>
      </c>
      <c r="CY1846">
        <v>1</v>
      </c>
      <c r="CZ1846">
        <v>0</v>
      </c>
      <c r="DA1846">
        <v>1</v>
      </c>
      <c r="DB1846">
        <v>0</v>
      </c>
      <c r="DC1846">
        <v>0</v>
      </c>
      <c r="DD1846">
        <v>0</v>
      </c>
      <c r="DE1846">
        <v>0</v>
      </c>
      <c r="DF1846">
        <v>0</v>
      </c>
      <c r="DG1846">
        <v>0</v>
      </c>
      <c r="DH1846">
        <v>0</v>
      </c>
      <c r="DI1846">
        <v>0</v>
      </c>
    </row>
    <row r="1847" spans="1:113" x14ac:dyDescent="0.3">
      <c r="A1847" t="str">
        <f>"02/08/2021 20:23:55.369"</f>
        <v>02/08/2021 20:23:55.369</v>
      </c>
      <c r="C1847" t="str">
        <f t="shared" si="90"/>
        <v>FFDFD7C0</v>
      </c>
      <c r="D1847" t="s">
        <v>124</v>
      </c>
      <c r="E1847">
        <v>13</v>
      </c>
      <c r="F1847">
        <v>1013</v>
      </c>
      <c r="G1847" t="s">
        <v>114</v>
      </c>
      <c r="J1847" t="s">
        <v>125</v>
      </c>
      <c r="K1847">
        <v>0</v>
      </c>
      <c r="L1847">
        <v>3</v>
      </c>
      <c r="M1847">
        <v>0</v>
      </c>
      <c r="N1847">
        <v>2</v>
      </c>
      <c r="O1847">
        <v>1</v>
      </c>
      <c r="P1847">
        <v>0</v>
      </c>
      <c r="Q1847">
        <v>0</v>
      </c>
      <c r="S1847" t="str">
        <f>"20:23:57.680"</f>
        <v>20:23:57.680</v>
      </c>
      <c r="T1847" t="str">
        <f>"20:23:57.180"</f>
        <v>20:23:57.180</v>
      </c>
      <c r="U1847" t="str">
        <f t="shared" si="89"/>
        <v>AB01F4</v>
      </c>
      <c r="V1847">
        <v>0</v>
      </c>
      <c r="W1847">
        <v>0</v>
      </c>
      <c r="X1847">
        <v>2</v>
      </c>
      <c r="Z1847">
        <v>0</v>
      </c>
      <c r="AA1847">
        <v>9</v>
      </c>
      <c r="AB1847">
        <v>3</v>
      </c>
      <c r="AC1847">
        <v>0</v>
      </c>
      <c r="AD1847">
        <v>10</v>
      </c>
      <c r="AE1847">
        <v>0</v>
      </c>
      <c r="AF1847">
        <v>3</v>
      </c>
      <c r="AG1847">
        <v>2</v>
      </c>
      <c r="AH1847">
        <v>0</v>
      </c>
      <c r="AI1847" t="s">
        <v>1173</v>
      </c>
      <c r="AJ1847">
        <v>39.908588000000002</v>
      </c>
      <c r="AK1847" t="s">
        <v>1174</v>
      </c>
      <c r="AL1847">
        <v>-92.584232999999998</v>
      </c>
      <c r="AM1847">
        <v>100</v>
      </c>
      <c r="AN1847">
        <v>1700</v>
      </c>
      <c r="AO1847" t="s">
        <v>118</v>
      </c>
      <c r="AP1847">
        <v>-106</v>
      </c>
      <c r="AQ1847">
        <v>75</v>
      </c>
      <c r="AR1847">
        <v>0</v>
      </c>
      <c r="AZ1847">
        <v>1200</v>
      </c>
      <c r="BA1847">
        <v>1</v>
      </c>
      <c r="BB1847" t="str">
        <f t="shared" si="91"/>
        <v xml:space="preserve">N8080G  </v>
      </c>
      <c r="BC1847">
        <v>1</v>
      </c>
      <c r="BE1847">
        <v>0</v>
      </c>
      <c r="BF1847">
        <v>0</v>
      </c>
      <c r="BG1847">
        <v>0</v>
      </c>
      <c r="BH1847">
        <v>1700</v>
      </c>
      <c r="BI1847">
        <v>1</v>
      </c>
      <c r="BJ1847">
        <v>1</v>
      </c>
      <c r="BK1847">
        <v>1</v>
      </c>
      <c r="BL1847">
        <v>0</v>
      </c>
      <c r="BO1847">
        <v>0</v>
      </c>
      <c r="BP1847">
        <v>0</v>
      </c>
      <c r="BW1847" t="str">
        <f>"20:23:57.681"</f>
        <v>20:23:57.681</v>
      </c>
      <c r="BZ1847">
        <v>0</v>
      </c>
      <c r="CA1847">
        <v>2016</v>
      </c>
      <c r="CB1847">
        <v>224</v>
      </c>
      <c r="CD1847">
        <v>1</v>
      </c>
      <c r="CE1847">
        <v>0</v>
      </c>
      <c r="CF1847">
        <v>0</v>
      </c>
      <c r="CG1847">
        <v>1</v>
      </c>
      <c r="CH1847">
        <v>0</v>
      </c>
      <c r="CI1847">
        <v>0</v>
      </c>
      <c r="CJ1847">
        <v>0</v>
      </c>
      <c r="CK1847">
        <v>2</v>
      </c>
      <c r="CL1847">
        <v>0</v>
      </c>
      <c r="CM1847">
        <v>2</v>
      </c>
      <c r="CN1847">
        <v>0</v>
      </c>
      <c r="CO1847">
        <v>1</v>
      </c>
      <c r="CP1847" t="s">
        <v>119</v>
      </c>
      <c r="CQ1847">
        <v>179</v>
      </c>
      <c r="CR1847">
        <v>1</v>
      </c>
      <c r="CW1847">
        <v>8793149</v>
      </c>
      <c r="CY1847">
        <v>1</v>
      </c>
      <c r="CZ1847">
        <v>0</v>
      </c>
      <c r="DA1847">
        <v>0</v>
      </c>
      <c r="DB1847">
        <v>0</v>
      </c>
      <c r="DC1847">
        <v>0</v>
      </c>
      <c r="DD1847">
        <v>0</v>
      </c>
      <c r="DE1847">
        <v>0</v>
      </c>
      <c r="DF1847">
        <v>0</v>
      </c>
      <c r="DG1847">
        <v>0</v>
      </c>
      <c r="DH1847">
        <v>0</v>
      </c>
      <c r="DI1847">
        <v>0</v>
      </c>
    </row>
    <row r="1848" spans="1:113" x14ac:dyDescent="0.3">
      <c r="A1848" t="str">
        <f>"02/08/2021 20:23:55.369"</f>
        <v>02/08/2021 20:23:55.369</v>
      </c>
      <c r="C1848" t="str">
        <f t="shared" si="90"/>
        <v>FFDFD7C0</v>
      </c>
      <c r="D1848" t="s">
        <v>113</v>
      </c>
      <c r="E1848">
        <v>6</v>
      </c>
      <c r="H1848">
        <v>165</v>
      </c>
      <c r="I1848" t="s">
        <v>114</v>
      </c>
      <c r="J1848" t="s">
        <v>115</v>
      </c>
      <c r="K1848">
        <v>0</v>
      </c>
      <c r="L1848">
        <v>3</v>
      </c>
      <c r="M1848">
        <v>0</v>
      </c>
      <c r="N1848">
        <v>2</v>
      </c>
      <c r="O1848">
        <v>1</v>
      </c>
      <c r="P1848">
        <v>0</v>
      </c>
      <c r="Q1848">
        <v>0</v>
      </c>
      <c r="S1848" t="str">
        <f>"20:23:57.680"</f>
        <v>20:23:57.680</v>
      </c>
      <c r="T1848" t="str">
        <f>"20:23:57.180"</f>
        <v>20:23:57.180</v>
      </c>
      <c r="U1848" t="str">
        <f t="shared" si="89"/>
        <v>AB01F4</v>
      </c>
      <c r="V1848">
        <v>0</v>
      </c>
      <c r="W1848">
        <v>0</v>
      </c>
      <c r="X1848">
        <v>2</v>
      </c>
      <c r="Z1848">
        <v>0</v>
      </c>
      <c r="AA1848">
        <v>9</v>
      </c>
      <c r="AB1848">
        <v>3</v>
      </c>
      <c r="AC1848">
        <v>0</v>
      </c>
      <c r="AD1848">
        <v>10</v>
      </c>
      <c r="AE1848">
        <v>0</v>
      </c>
      <c r="AF1848">
        <v>3</v>
      </c>
      <c r="AG1848">
        <v>2</v>
      </c>
      <c r="AH1848">
        <v>0</v>
      </c>
      <c r="AI1848" t="s">
        <v>1173</v>
      </c>
      <c r="AJ1848">
        <v>39.908588000000002</v>
      </c>
      <c r="AK1848" t="s">
        <v>1174</v>
      </c>
      <c r="AL1848">
        <v>-92.584232999999998</v>
      </c>
      <c r="AM1848">
        <v>100</v>
      </c>
      <c r="AN1848">
        <v>1700</v>
      </c>
      <c r="AO1848" t="s">
        <v>118</v>
      </c>
      <c r="AP1848">
        <v>-106</v>
      </c>
      <c r="AQ1848">
        <v>75</v>
      </c>
      <c r="AR1848">
        <v>0</v>
      </c>
      <c r="AZ1848">
        <v>1200</v>
      </c>
      <c r="BA1848">
        <v>1</v>
      </c>
      <c r="BB1848" t="str">
        <f t="shared" si="91"/>
        <v xml:space="preserve">N8080G  </v>
      </c>
      <c r="BC1848">
        <v>1</v>
      </c>
      <c r="BE1848">
        <v>0</v>
      </c>
      <c r="BF1848">
        <v>0</v>
      </c>
      <c r="BG1848">
        <v>0</v>
      </c>
      <c r="BH1848">
        <v>1700</v>
      </c>
      <c r="BI1848">
        <v>1</v>
      </c>
      <c r="BJ1848">
        <v>1</v>
      </c>
      <c r="BK1848">
        <v>1</v>
      </c>
      <c r="BL1848">
        <v>0</v>
      </c>
      <c r="BO1848">
        <v>0</v>
      </c>
      <c r="BP1848">
        <v>0</v>
      </c>
      <c r="BW1848" t="str">
        <f>"20:23:57.681"</f>
        <v>20:23:57.681</v>
      </c>
      <c r="BZ1848">
        <v>0</v>
      </c>
      <c r="CA1848">
        <v>2016</v>
      </c>
      <c r="CB1848">
        <v>224</v>
      </c>
      <c r="CD1848">
        <v>1</v>
      </c>
      <c r="CE1848">
        <v>0</v>
      </c>
      <c r="CF1848">
        <v>0</v>
      </c>
      <c r="CG1848">
        <v>1</v>
      </c>
      <c r="CH1848">
        <v>0</v>
      </c>
      <c r="CI1848">
        <v>0</v>
      </c>
      <c r="CJ1848">
        <v>0</v>
      </c>
      <c r="CK1848">
        <v>2</v>
      </c>
      <c r="CL1848">
        <v>0</v>
      </c>
      <c r="CM1848">
        <v>2</v>
      </c>
      <c r="CN1848">
        <v>0</v>
      </c>
      <c r="CO1848">
        <v>1</v>
      </c>
      <c r="CP1848" t="s">
        <v>119</v>
      </c>
      <c r="CQ1848">
        <v>179</v>
      </c>
      <c r="CR1848">
        <v>1</v>
      </c>
      <c r="CW1848">
        <v>8793149</v>
      </c>
      <c r="CY1848">
        <v>1</v>
      </c>
      <c r="CZ1848">
        <v>0</v>
      </c>
      <c r="DA1848">
        <v>1</v>
      </c>
      <c r="DB1848">
        <v>0</v>
      </c>
      <c r="DC1848">
        <v>0</v>
      </c>
      <c r="DD1848">
        <v>0</v>
      </c>
      <c r="DE1848">
        <v>0</v>
      </c>
      <c r="DF1848">
        <v>0</v>
      </c>
      <c r="DG1848">
        <v>0</v>
      </c>
      <c r="DH1848">
        <v>0</v>
      </c>
      <c r="DI1848">
        <v>0</v>
      </c>
    </row>
    <row r="1849" spans="1:113" x14ac:dyDescent="0.3">
      <c r="A1849" t="str">
        <f>"02/08/2021 20:23:55.369"</f>
        <v>02/08/2021 20:23:55.369</v>
      </c>
      <c r="C1849" t="str">
        <f t="shared" si="90"/>
        <v>FFDFD7C0</v>
      </c>
      <c r="D1849" t="s">
        <v>124</v>
      </c>
      <c r="E1849">
        <v>11</v>
      </c>
      <c r="F1849">
        <v>1011</v>
      </c>
      <c r="G1849" t="s">
        <v>590</v>
      </c>
      <c r="J1849" t="s">
        <v>125</v>
      </c>
      <c r="K1849">
        <v>0</v>
      </c>
      <c r="L1849">
        <v>3</v>
      </c>
      <c r="M1849">
        <v>0</v>
      </c>
      <c r="N1849">
        <v>2</v>
      </c>
      <c r="O1849">
        <v>1</v>
      </c>
      <c r="P1849">
        <v>0</v>
      </c>
      <c r="Q1849">
        <v>0</v>
      </c>
      <c r="S1849" t="str">
        <f>"20:23:57.680"</f>
        <v>20:23:57.680</v>
      </c>
      <c r="T1849" t="str">
        <f>"20:23:57.180"</f>
        <v>20:23:57.180</v>
      </c>
      <c r="U1849" t="str">
        <f t="shared" si="89"/>
        <v>AB01F4</v>
      </c>
      <c r="V1849">
        <v>0</v>
      </c>
      <c r="W1849">
        <v>0</v>
      </c>
      <c r="X1849">
        <v>2</v>
      </c>
      <c r="Z1849">
        <v>0</v>
      </c>
      <c r="AA1849">
        <v>9</v>
      </c>
      <c r="AB1849">
        <v>3</v>
      </c>
      <c r="AC1849">
        <v>0</v>
      </c>
      <c r="AD1849">
        <v>10</v>
      </c>
      <c r="AE1849">
        <v>0</v>
      </c>
      <c r="AF1849">
        <v>3</v>
      </c>
      <c r="AG1849">
        <v>2</v>
      </c>
      <c r="AH1849">
        <v>0</v>
      </c>
      <c r="AI1849" t="s">
        <v>1173</v>
      </c>
      <c r="AJ1849">
        <v>39.908588000000002</v>
      </c>
      <c r="AK1849" t="s">
        <v>1174</v>
      </c>
      <c r="AL1849">
        <v>-92.584232999999998</v>
      </c>
      <c r="AM1849">
        <v>100</v>
      </c>
      <c r="AN1849">
        <v>1700</v>
      </c>
      <c r="AO1849" t="s">
        <v>118</v>
      </c>
      <c r="AP1849">
        <v>-106</v>
      </c>
      <c r="AQ1849">
        <v>75</v>
      </c>
      <c r="AR1849">
        <v>0</v>
      </c>
      <c r="AZ1849">
        <v>1200</v>
      </c>
      <c r="BA1849">
        <v>1</v>
      </c>
      <c r="BB1849" t="str">
        <f t="shared" si="91"/>
        <v xml:space="preserve">N8080G  </v>
      </c>
      <c r="BC1849">
        <v>1</v>
      </c>
      <c r="BE1849">
        <v>0</v>
      </c>
      <c r="BF1849">
        <v>0</v>
      </c>
      <c r="BG1849">
        <v>0</v>
      </c>
      <c r="BH1849">
        <v>1700</v>
      </c>
      <c r="BI1849">
        <v>1</v>
      </c>
      <c r="BJ1849">
        <v>1</v>
      </c>
      <c r="BK1849">
        <v>1</v>
      </c>
      <c r="BL1849">
        <v>0</v>
      </c>
      <c r="BO1849">
        <v>0</v>
      </c>
      <c r="BP1849">
        <v>0</v>
      </c>
      <c r="BW1849" t="str">
        <f>"20:23:57.681"</f>
        <v>20:23:57.681</v>
      </c>
      <c r="BZ1849">
        <v>0</v>
      </c>
      <c r="CA1849">
        <v>2016</v>
      </c>
      <c r="CB1849">
        <v>224</v>
      </c>
      <c r="CD1849">
        <v>1</v>
      </c>
      <c r="CE1849">
        <v>0</v>
      </c>
      <c r="CF1849">
        <v>0</v>
      </c>
      <c r="CG1849">
        <v>1</v>
      </c>
      <c r="CH1849">
        <v>0</v>
      </c>
      <c r="CI1849">
        <v>0</v>
      </c>
      <c r="CJ1849">
        <v>0</v>
      </c>
      <c r="CK1849">
        <v>2</v>
      </c>
      <c r="CL1849">
        <v>0</v>
      </c>
      <c r="CM1849">
        <v>2</v>
      </c>
      <c r="CN1849">
        <v>0</v>
      </c>
      <c r="CO1849">
        <v>1</v>
      </c>
      <c r="CP1849" t="s">
        <v>119</v>
      </c>
      <c r="CQ1849">
        <v>179</v>
      </c>
      <c r="CR1849">
        <v>1</v>
      </c>
      <c r="CW1849">
        <v>8793149</v>
      </c>
      <c r="CY1849">
        <v>1</v>
      </c>
      <c r="CZ1849">
        <v>0</v>
      </c>
      <c r="DA1849">
        <v>1</v>
      </c>
      <c r="DB1849">
        <v>0</v>
      </c>
      <c r="DC1849">
        <v>0</v>
      </c>
      <c r="DD1849">
        <v>0</v>
      </c>
      <c r="DE1849">
        <v>0</v>
      </c>
      <c r="DF1849">
        <v>0</v>
      </c>
      <c r="DG1849">
        <v>0</v>
      </c>
      <c r="DH1849">
        <v>0</v>
      </c>
      <c r="DI1849">
        <v>0</v>
      </c>
    </row>
    <row r="1850" spans="1:113" x14ac:dyDescent="0.3">
      <c r="A1850" t="str">
        <f>"02/08/2021 20:23:55.369"</f>
        <v>02/08/2021 20:23:55.369</v>
      </c>
      <c r="C1850" t="str">
        <f t="shared" si="90"/>
        <v>FFDFD7C0</v>
      </c>
      <c r="D1850" t="s">
        <v>124</v>
      </c>
      <c r="E1850">
        <v>12</v>
      </c>
      <c r="F1850">
        <v>1012</v>
      </c>
      <c r="G1850" t="s">
        <v>675</v>
      </c>
      <c r="J1850" t="s">
        <v>125</v>
      </c>
      <c r="K1850">
        <v>0</v>
      </c>
      <c r="L1850">
        <v>3</v>
      </c>
      <c r="M1850">
        <v>0</v>
      </c>
      <c r="N1850">
        <v>2</v>
      </c>
      <c r="O1850">
        <v>1</v>
      </c>
      <c r="P1850">
        <v>0</v>
      </c>
      <c r="Q1850">
        <v>0</v>
      </c>
      <c r="S1850" t="str">
        <f>"20:23:57.680"</f>
        <v>20:23:57.680</v>
      </c>
      <c r="T1850" t="str">
        <f>"20:23:57.180"</f>
        <v>20:23:57.180</v>
      </c>
      <c r="U1850" t="str">
        <f t="shared" si="89"/>
        <v>AB01F4</v>
      </c>
      <c r="V1850">
        <v>0</v>
      </c>
      <c r="W1850">
        <v>0</v>
      </c>
      <c r="X1850">
        <v>2</v>
      </c>
      <c r="Z1850">
        <v>0</v>
      </c>
      <c r="AA1850">
        <v>9</v>
      </c>
      <c r="AB1850">
        <v>3</v>
      </c>
      <c r="AC1850">
        <v>0</v>
      </c>
      <c r="AD1850">
        <v>10</v>
      </c>
      <c r="AE1850">
        <v>0</v>
      </c>
      <c r="AF1850">
        <v>3</v>
      </c>
      <c r="AG1850">
        <v>2</v>
      </c>
      <c r="AH1850">
        <v>0</v>
      </c>
      <c r="AI1850" t="s">
        <v>1173</v>
      </c>
      <c r="AJ1850">
        <v>39.908588000000002</v>
      </c>
      <c r="AK1850" t="s">
        <v>1174</v>
      </c>
      <c r="AL1850">
        <v>-92.584232999999998</v>
      </c>
      <c r="AM1850">
        <v>100</v>
      </c>
      <c r="AN1850">
        <v>1700</v>
      </c>
      <c r="AO1850" t="s">
        <v>118</v>
      </c>
      <c r="AP1850">
        <v>-106</v>
      </c>
      <c r="AQ1850">
        <v>75</v>
      </c>
      <c r="AR1850">
        <v>0</v>
      </c>
      <c r="AZ1850">
        <v>1200</v>
      </c>
      <c r="BA1850">
        <v>1</v>
      </c>
      <c r="BB1850" t="str">
        <f t="shared" si="91"/>
        <v xml:space="preserve">N8080G  </v>
      </c>
      <c r="BC1850">
        <v>1</v>
      </c>
      <c r="BE1850">
        <v>0</v>
      </c>
      <c r="BF1850">
        <v>0</v>
      </c>
      <c r="BG1850">
        <v>0</v>
      </c>
      <c r="BH1850">
        <v>1700</v>
      </c>
      <c r="BI1850">
        <v>1</v>
      </c>
      <c r="BJ1850">
        <v>1</v>
      </c>
      <c r="BK1850">
        <v>1</v>
      </c>
      <c r="BL1850">
        <v>0</v>
      </c>
      <c r="BO1850">
        <v>0</v>
      </c>
      <c r="BP1850">
        <v>0</v>
      </c>
      <c r="BW1850" t="str">
        <f>"20:23:57.681"</f>
        <v>20:23:57.681</v>
      </c>
      <c r="BZ1850">
        <v>0</v>
      </c>
      <c r="CA1850">
        <v>2016</v>
      </c>
      <c r="CB1850">
        <v>224</v>
      </c>
      <c r="CD1850">
        <v>1</v>
      </c>
      <c r="CE1850">
        <v>0</v>
      </c>
      <c r="CF1850">
        <v>0</v>
      </c>
      <c r="CG1850">
        <v>1</v>
      </c>
      <c r="CH1850">
        <v>0</v>
      </c>
      <c r="CI1850">
        <v>0</v>
      </c>
      <c r="CJ1850">
        <v>0</v>
      </c>
      <c r="CK1850">
        <v>2</v>
      </c>
      <c r="CL1850">
        <v>0</v>
      </c>
      <c r="CM1850">
        <v>2</v>
      </c>
      <c r="CN1850">
        <v>0</v>
      </c>
      <c r="CO1850">
        <v>1</v>
      </c>
      <c r="CP1850" t="s">
        <v>119</v>
      </c>
      <c r="CQ1850">
        <v>179</v>
      </c>
      <c r="CR1850">
        <v>1</v>
      </c>
      <c r="CW1850">
        <v>8793149</v>
      </c>
      <c r="CY1850">
        <v>1</v>
      </c>
      <c r="CZ1850">
        <v>0</v>
      </c>
      <c r="DA1850">
        <v>1</v>
      </c>
      <c r="DB1850">
        <v>0</v>
      </c>
      <c r="DC1850">
        <v>0</v>
      </c>
      <c r="DD1850">
        <v>0</v>
      </c>
      <c r="DE1850">
        <v>0</v>
      </c>
      <c r="DF1850">
        <v>0</v>
      </c>
      <c r="DG1850">
        <v>0</v>
      </c>
      <c r="DH1850">
        <v>0</v>
      </c>
      <c r="DI1850">
        <v>0</v>
      </c>
    </row>
    <row r="1851" spans="1:113" x14ac:dyDescent="0.3">
      <c r="A1851" t="str">
        <f>"02/08/2021 20:23:56.426"</f>
        <v>02/08/2021 20:23:56.426</v>
      </c>
      <c r="C1851" t="str">
        <f t="shared" si="90"/>
        <v>FFDFD7C0</v>
      </c>
      <c r="D1851" t="s">
        <v>124</v>
      </c>
      <c r="E1851">
        <v>13</v>
      </c>
      <c r="F1851">
        <v>1013</v>
      </c>
      <c r="G1851" t="s">
        <v>114</v>
      </c>
      <c r="J1851" t="s">
        <v>125</v>
      </c>
      <c r="K1851">
        <v>0</v>
      </c>
      <c r="L1851">
        <v>3</v>
      </c>
      <c r="M1851">
        <v>0</v>
      </c>
      <c r="N1851">
        <v>2</v>
      </c>
      <c r="O1851">
        <v>1</v>
      </c>
      <c r="P1851">
        <v>0</v>
      </c>
      <c r="Q1851">
        <v>0</v>
      </c>
      <c r="S1851" t="str">
        <f>"20:23:58.766"</f>
        <v>20:23:58.766</v>
      </c>
      <c r="T1851" t="str">
        <f>"20:23:57.766"</f>
        <v>20:23:57.766</v>
      </c>
      <c r="U1851" t="str">
        <f t="shared" si="89"/>
        <v>AB01F4</v>
      </c>
      <c r="V1851">
        <v>0</v>
      </c>
      <c r="W1851">
        <v>0</v>
      </c>
      <c r="X1851">
        <v>2</v>
      </c>
      <c r="Z1851">
        <v>0</v>
      </c>
      <c r="AA1851">
        <v>9</v>
      </c>
      <c r="AB1851">
        <v>3</v>
      </c>
      <c r="AC1851">
        <v>0</v>
      </c>
      <c r="AD1851">
        <v>10</v>
      </c>
      <c r="AE1851">
        <v>0</v>
      </c>
      <c r="AF1851">
        <v>3</v>
      </c>
      <c r="AG1851">
        <v>2</v>
      </c>
      <c r="AH1851">
        <v>0</v>
      </c>
      <c r="AI1851" t="s">
        <v>1175</v>
      </c>
      <c r="AJ1851">
        <v>39.908974000000001</v>
      </c>
      <c r="AK1851" t="s">
        <v>1176</v>
      </c>
      <c r="AL1851">
        <v>-92.584897999999995</v>
      </c>
      <c r="AM1851">
        <v>100</v>
      </c>
      <c r="AN1851">
        <v>1700</v>
      </c>
      <c r="AO1851" t="s">
        <v>118</v>
      </c>
      <c r="AP1851">
        <v>-106</v>
      </c>
      <c r="AQ1851">
        <v>75</v>
      </c>
      <c r="AR1851">
        <v>0</v>
      </c>
      <c r="AZ1851">
        <v>1200</v>
      </c>
      <c r="BA1851">
        <v>1</v>
      </c>
      <c r="BB1851" t="str">
        <f t="shared" si="91"/>
        <v xml:space="preserve">N8080G  </v>
      </c>
      <c r="BC1851">
        <v>1</v>
      </c>
      <c r="BE1851">
        <v>0</v>
      </c>
      <c r="BF1851">
        <v>0</v>
      </c>
      <c r="BG1851">
        <v>0</v>
      </c>
      <c r="BH1851">
        <v>1700</v>
      </c>
      <c r="BI1851">
        <v>1</v>
      </c>
      <c r="BJ1851">
        <v>1</v>
      </c>
      <c r="BK1851">
        <v>1</v>
      </c>
      <c r="BL1851">
        <v>0</v>
      </c>
      <c r="BO1851">
        <v>0</v>
      </c>
      <c r="BP1851">
        <v>0</v>
      </c>
      <c r="BW1851" t="str">
        <f>"20:23:58.769"</f>
        <v>20:23:58.769</v>
      </c>
      <c r="BZ1851">
        <v>0</v>
      </c>
      <c r="CA1851">
        <v>2016</v>
      </c>
      <c r="CB1851">
        <v>224</v>
      </c>
      <c r="CD1851">
        <v>1</v>
      </c>
      <c r="CE1851">
        <v>0</v>
      </c>
      <c r="CF1851">
        <v>0</v>
      </c>
      <c r="CG1851">
        <v>1</v>
      </c>
      <c r="CH1851">
        <v>0</v>
      </c>
      <c r="CI1851">
        <v>0</v>
      </c>
      <c r="CJ1851">
        <v>0</v>
      </c>
      <c r="CK1851">
        <v>2</v>
      </c>
      <c r="CL1851">
        <v>0</v>
      </c>
      <c r="CM1851">
        <v>2</v>
      </c>
      <c r="CN1851">
        <v>0</v>
      </c>
      <c r="CO1851">
        <v>1</v>
      </c>
      <c r="CP1851" t="s">
        <v>119</v>
      </c>
      <c r="CQ1851">
        <v>179</v>
      </c>
      <c r="CR1851">
        <v>1</v>
      </c>
      <c r="CW1851">
        <v>8793896</v>
      </c>
      <c r="CY1851">
        <v>1</v>
      </c>
      <c r="CZ1851">
        <v>0</v>
      </c>
      <c r="DA1851">
        <v>0</v>
      </c>
      <c r="DB1851">
        <v>0</v>
      </c>
      <c r="DC1851">
        <v>0</v>
      </c>
      <c r="DD1851">
        <v>0</v>
      </c>
      <c r="DE1851">
        <v>0</v>
      </c>
      <c r="DF1851">
        <v>0</v>
      </c>
      <c r="DG1851">
        <v>0</v>
      </c>
      <c r="DH1851">
        <v>0</v>
      </c>
      <c r="DI1851">
        <v>0</v>
      </c>
    </row>
    <row r="1852" spans="1:113" x14ac:dyDescent="0.3">
      <c r="A1852" t="str">
        <f>"02/08/2021 20:23:56.426"</f>
        <v>02/08/2021 20:23:56.426</v>
      </c>
      <c r="C1852" t="str">
        <f t="shared" si="90"/>
        <v>FFDFD7C0</v>
      </c>
      <c r="D1852" t="s">
        <v>124</v>
      </c>
      <c r="E1852">
        <v>11</v>
      </c>
      <c r="F1852">
        <v>1011</v>
      </c>
      <c r="G1852" t="s">
        <v>590</v>
      </c>
      <c r="J1852" t="s">
        <v>125</v>
      </c>
      <c r="K1852">
        <v>0</v>
      </c>
      <c r="L1852">
        <v>3</v>
      </c>
      <c r="M1852">
        <v>0</v>
      </c>
      <c r="N1852">
        <v>2</v>
      </c>
      <c r="O1852">
        <v>1</v>
      </c>
      <c r="P1852">
        <v>0</v>
      </c>
      <c r="Q1852">
        <v>0</v>
      </c>
      <c r="S1852" t="str">
        <f>"20:23:58.766"</f>
        <v>20:23:58.766</v>
      </c>
      <c r="T1852" t="str">
        <f>"20:23:57.766"</f>
        <v>20:23:57.766</v>
      </c>
      <c r="U1852" t="str">
        <f t="shared" si="89"/>
        <v>AB01F4</v>
      </c>
      <c r="V1852">
        <v>0</v>
      </c>
      <c r="W1852">
        <v>0</v>
      </c>
      <c r="X1852">
        <v>2</v>
      </c>
      <c r="Z1852">
        <v>0</v>
      </c>
      <c r="AA1852">
        <v>9</v>
      </c>
      <c r="AB1852">
        <v>3</v>
      </c>
      <c r="AC1852">
        <v>0</v>
      </c>
      <c r="AD1852">
        <v>10</v>
      </c>
      <c r="AE1852">
        <v>0</v>
      </c>
      <c r="AF1852">
        <v>3</v>
      </c>
      <c r="AG1852">
        <v>2</v>
      </c>
      <c r="AH1852">
        <v>0</v>
      </c>
      <c r="AI1852" t="s">
        <v>1175</v>
      </c>
      <c r="AJ1852">
        <v>39.908974000000001</v>
      </c>
      <c r="AK1852" t="s">
        <v>1176</v>
      </c>
      <c r="AL1852">
        <v>-92.584897999999995</v>
      </c>
      <c r="AM1852">
        <v>100</v>
      </c>
      <c r="AN1852">
        <v>1700</v>
      </c>
      <c r="AO1852" t="s">
        <v>118</v>
      </c>
      <c r="AP1852">
        <v>-106</v>
      </c>
      <c r="AQ1852">
        <v>75</v>
      </c>
      <c r="AR1852">
        <v>0</v>
      </c>
      <c r="AZ1852">
        <v>1200</v>
      </c>
      <c r="BA1852">
        <v>1</v>
      </c>
      <c r="BB1852" t="str">
        <f t="shared" si="91"/>
        <v xml:space="preserve">N8080G  </v>
      </c>
      <c r="BC1852">
        <v>1</v>
      </c>
      <c r="BE1852">
        <v>0</v>
      </c>
      <c r="BF1852">
        <v>0</v>
      </c>
      <c r="BG1852">
        <v>0</v>
      </c>
      <c r="BH1852">
        <v>1700</v>
      </c>
      <c r="BI1852">
        <v>1</v>
      </c>
      <c r="BJ1852">
        <v>1</v>
      </c>
      <c r="BK1852">
        <v>1</v>
      </c>
      <c r="BL1852">
        <v>0</v>
      </c>
      <c r="BO1852">
        <v>0</v>
      </c>
      <c r="BP1852">
        <v>0</v>
      </c>
      <c r="BW1852" t="str">
        <f>"20:23:58.769"</f>
        <v>20:23:58.769</v>
      </c>
      <c r="BZ1852">
        <v>0</v>
      </c>
      <c r="CA1852">
        <v>2016</v>
      </c>
      <c r="CB1852">
        <v>224</v>
      </c>
      <c r="CD1852">
        <v>1</v>
      </c>
      <c r="CE1852">
        <v>0</v>
      </c>
      <c r="CF1852">
        <v>0</v>
      </c>
      <c r="CG1852">
        <v>1</v>
      </c>
      <c r="CH1852">
        <v>0</v>
      </c>
      <c r="CI1852">
        <v>0</v>
      </c>
      <c r="CJ1852">
        <v>0</v>
      </c>
      <c r="CK1852">
        <v>2</v>
      </c>
      <c r="CL1852">
        <v>0</v>
      </c>
      <c r="CM1852">
        <v>2</v>
      </c>
      <c r="CN1852">
        <v>0</v>
      </c>
      <c r="CO1852">
        <v>1</v>
      </c>
      <c r="CP1852" t="s">
        <v>119</v>
      </c>
      <c r="CQ1852">
        <v>179</v>
      </c>
      <c r="CR1852">
        <v>1</v>
      </c>
      <c r="CW1852">
        <v>8793896</v>
      </c>
      <c r="CY1852">
        <v>1</v>
      </c>
      <c r="CZ1852">
        <v>0</v>
      </c>
      <c r="DA1852">
        <v>1</v>
      </c>
      <c r="DB1852">
        <v>0</v>
      </c>
      <c r="DC1852">
        <v>0</v>
      </c>
      <c r="DD1852">
        <v>0</v>
      </c>
      <c r="DE1852">
        <v>0</v>
      </c>
      <c r="DF1852">
        <v>0</v>
      </c>
      <c r="DG1852">
        <v>0</v>
      </c>
      <c r="DH1852">
        <v>0</v>
      </c>
      <c r="DI1852">
        <v>0</v>
      </c>
    </row>
    <row r="1853" spans="1:113" x14ac:dyDescent="0.3">
      <c r="A1853" t="str">
        <f>"02/08/2021 20:23:56.426"</f>
        <v>02/08/2021 20:23:56.426</v>
      </c>
      <c r="C1853" t="str">
        <f t="shared" si="90"/>
        <v>FFDFD7C0</v>
      </c>
      <c r="D1853" t="s">
        <v>113</v>
      </c>
      <c r="E1853">
        <v>6</v>
      </c>
      <c r="H1853">
        <v>165</v>
      </c>
      <c r="I1853" t="s">
        <v>114</v>
      </c>
      <c r="J1853" t="s">
        <v>115</v>
      </c>
      <c r="K1853">
        <v>0</v>
      </c>
      <c r="L1853">
        <v>3</v>
      </c>
      <c r="M1853">
        <v>0</v>
      </c>
      <c r="N1853">
        <v>2</v>
      </c>
      <c r="O1853">
        <v>1</v>
      </c>
      <c r="P1853">
        <v>0</v>
      </c>
      <c r="Q1853">
        <v>0</v>
      </c>
      <c r="S1853" t="str">
        <f>"20:23:58.766"</f>
        <v>20:23:58.766</v>
      </c>
      <c r="T1853" t="str">
        <f>"20:23:57.766"</f>
        <v>20:23:57.766</v>
      </c>
      <c r="U1853" t="str">
        <f t="shared" si="89"/>
        <v>AB01F4</v>
      </c>
      <c r="V1853">
        <v>0</v>
      </c>
      <c r="W1853">
        <v>0</v>
      </c>
      <c r="X1853">
        <v>2</v>
      </c>
      <c r="Z1853">
        <v>0</v>
      </c>
      <c r="AA1853">
        <v>9</v>
      </c>
      <c r="AB1853">
        <v>3</v>
      </c>
      <c r="AC1853">
        <v>0</v>
      </c>
      <c r="AD1853">
        <v>10</v>
      </c>
      <c r="AE1853">
        <v>0</v>
      </c>
      <c r="AF1853">
        <v>3</v>
      </c>
      <c r="AG1853">
        <v>2</v>
      </c>
      <c r="AH1853">
        <v>0</v>
      </c>
      <c r="AI1853" t="s">
        <v>1175</v>
      </c>
      <c r="AJ1853">
        <v>39.908974000000001</v>
      </c>
      <c r="AK1853" t="s">
        <v>1176</v>
      </c>
      <c r="AL1853">
        <v>-92.584897999999995</v>
      </c>
      <c r="AM1853">
        <v>100</v>
      </c>
      <c r="AN1853">
        <v>1700</v>
      </c>
      <c r="AO1853" t="s">
        <v>118</v>
      </c>
      <c r="AP1853">
        <v>-106</v>
      </c>
      <c r="AQ1853">
        <v>75</v>
      </c>
      <c r="AR1853">
        <v>0</v>
      </c>
      <c r="AZ1853">
        <v>1200</v>
      </c>
      <c r="BA1853">
        <v>1</v>
      </c>
      <c r="BB1853" t="str">
        <f t="shared" si="91"/>
        <v xml:space="preserve">N8080G  </v>
      </c>
      <c r="BC1853">
        <v>1</v>
      </c>
      <c r="BE1853">
        <v>0</v>
      </c>
      <c r="BF1853">
        <v>0</v>
      </c>
      <c r="BG1853">
        <v>0</v>
      </c>
      <c r="BH1853">
        <v>1700</v>
      </c>
      <c r="BI1853">
        <v>1</v>
      </c>
      <c r="BJ1853">
        <v>1</v>
      </c>
      <c r="BK1853">
        <v>1</v>
      </c>
      <c r="BL1853">
        <v>0</v>
      </c>
      <c r="BO1853">
        <v>0</v>
      </c>
      <c r="BP1853">
        <v>0</v>
      </c>
      <c r="BW1853" t="str">
        <f>"20:23:58.769"</f>
        <v>20:23:58.769</v>
      </c>
      <c r="BZ1853">
        <v>0</v>
      </c>
      <c r="CA1853">
        <v>2016</v>
      </c>
      <c r="CB1853">
        <v>224</v>
      </c>
      <c r="CD1853">
        <v>1</v>
      </c>
      <c r="CE1853">
        <v>0</v>
      </c>
      <c r="CF1853">
        <v>0</v>
      </c>
      <c r="CG1853">
        <v>1</v>
      </c>
      <c r="CH1853">
        <v>0</v>
      </c>
      <c r="CI1853">
        <v>0</v>
      </c>
      <c r="CJ1853">
        <v>0</v>
      </c>
      <c r="CK1853">
        <v>2</v>
      </c>
      <c r="CL1853">
        <v>0</v>
      </c>
      <c r="CM1853">
        <v>2</v>
      </c>
      <c r="CN1853">
        <v>0</v>
      </c>
      <c r="CO1853">
        <v>1</v>
      </c>
      <c r="CP1853" t="s">
        <v>119</v>
      </c>
      <c r="CQ1853">
        <v>179</v>
      </c>
      <c r="CR1853">
        <v>1</v>
      </c>
      <c r="CW1853">
        <v>8793896</v>
      </c>
      <c r="CY1853">
        <v>1</v>
      </c>
      <c r="CZ1853">
        <v>0</v>
      </c>
      <c r="DA1853">
        <v>1</v>
      </c>
      <c r="DB1853">
        <v>0</v>
      </c>
      <c r="DC1853">
        <v>0</v>
      </c>
      <c r="DD1853">
        <v>0</v>
      </c>
      <c r="DE1853">
        <v>0</v>
      </c>
      <c r="DF1853">
        <v>0</v>
      </c>
      <c r="DG1853">
        <v>0</v>
      </c>
      <c r="DH1853">
        <v>0</v>
      </c>
      <c r="DI1853">
        <v>0</v>
      </c>
    </row>
    <row r="1854" spans="1:113" x14ac:dyDescent="0.3">
      <c r="A1854" t="str">
        <f>"02/08/2021 20:23:56.426"</f>
        <v>02/08/2021 20:23:56.426</v>
      </c>
      <c r="C1854" t="str">
        <f t="shared" si="90"/>
        <v>FFDFD7C0</v>
      </c>
      <c r="D1854" t="s">
        <v>124</v>
      </c>
      <c r="E1854">
        <v>12</v>
      </c>
      <c r="F1854">
        <v>1012</v>
      </c>
      <c r="G1854" t="s">
        <v>675</v>
      </c>
      <c r="J1854" t="s">
        <v>125</v>
      </c>
      <c r="K1854">
        <v>0</v>
      </c>
      <c r="L1854">
        <v>3</v>
      </c>
      <c r="M1854">
        <v>0</v>
      </c>
      <c r="N1854">
        <v>2</v>
      </c>
      <c r="O1854">
        <v>1</v>
      </c>
      <c r="P1854">
        <v>0</v>
      </c>
      <c r="Q1854">
        <v>0</v>
      </c>
      <c r="S1854" t="str">
        <f>"20:23:58.766"</f>
        <v>20:23:58.766</v>
      </c>
      <c r="T1854" t="str">
        <f>"20:23:57.766"</f>
        <v>20:23:57.766</v>
      </c>
      <c r="U1854" t="str">
        <f t="shared" si="89"/>
        <v>AB01F4</v>
      </c>
      <c r="V1854">
        <v>0</v>
      </c>
      <c r="W1854">
        <v>0</v>
      </c>
      <c r="X1854">
        <v>2</v>
      </c>
      <c r="Z1854">
        <v>0</v>
      </c>
      <c r="AA1854">
        <v>9</v>
      </c>
      <c r="AB1854">
        <v>3</v>
      </c>
      <c r="AC1854">
        <v>0</v>
      </c>
      <c r="AD1854">
        <v>10</v>
      </c>
      <c r="AE1854">
        <v>0</v>
      </c>
      <c r="AF1854">
        <v>3</v>
      </c>
      <c r="AG1854">
        <v>2</v>
      </c>
      <c r="AH1854">
        <v>0</v>
      </c>
      <c r="AI1854" t="s">
        <v>1175</v>
      </c>
      <c r="AJ1854">
        <v>39.908974000000001</v>
      </c>
      <c r="AK1854" t="s">
        <v>1176</v>
      </c>
      <c r="AL1854">
        <v>-92.584897999999995</v>
      </c>
      <c r="AM1854">
        <v>100</v>
      </c>
      <c r="AN1854">
        <v>1700</v>
      </c>
      <c r="AO1854" t="s">
        <v>118</v>
      </c>
      <c r="AP1854">
        <v>-106</v>
      </c>
      <c r="AQ1854">
        <v>75</v>
      </c>
      <c r="AR1854">
        <v>0</v>
      </c>
      <c r="AZ1854">
        <v>1200</v>
      </c>
      <c r="BA1854">
        <v>1</v>
      </c>
      <c r="BB1854" t="str">
        <f t="shared" si="91"/>
        <v xml:space="preserve">N8080G  </v>
      </c>
      <c r="BC1854">
        <v>1</v>
      </c>
      <c r="BE1854">
        <v>0</v>
      </c>
      <c r="BF1854">
        <v>0</v>
      </c>
      <c r="BG1854">
        <v>0</v>
      </c>
      <c r="BH1854">
        <v>1700</v>
      </c>
      <c r="BI1854">
        <v>1</v>
      </c>
      <c r="BJ1854">
        <v>1</v>
      </c>
      <c r="BK1854">
        <v>1</v>
      </c>
      <c r="BL1854">
        <v>0</v>
      </c>
      <c r="BO1854">
        <v>0</v>
      </c>
      <c r="BP1854">
        <v>0</v>
      </c>
      <c r="BW1854" t="str">
        <f>"20:23:58.769"</f>
        <v>20:23:58.769</v>
      </c>
      <c r="BZ1854">
        <v>0</v>
      </c>
      <c r="CA1854">
        <v>2016</v>
      </c>
      <c r="CB1854">
        <v>224</v>
      </c>
      <c r="CD1854">
        <v>1</v>
      </c>
      <c r="CE1854">
        <v>0</v>
      </c>
      <c r="CF1854">
        <v>0</v>
      </c>
      <c r="CG1854">
        <v>1</v>
      </c>
      <c r="CH1854">
        <v>0</v>
      </c>
      <c r="CI1854">
        <v>0</v>
      </c>
      <c r="CJ1854">
        <v>0</v>
      </c>
      <c r="CK1854">
        <v>2</v>
      </c>
      <c r="CL1854">
        <v>0</v>
      </c>
      <c r="CM1854">
        <v>2</v>
      </c>
      <c r="CN1854">
        <v>0</v>
      </c>
      <c r="CO1854">
        <v>1</v>
      </c>
      <c r="CP1854" t="s">
        <v>119</v>
      </c>
      <c r="CQ1854">
        <v>179</v>
      </c>
      <c r="CR1854">
        <v>1</v>
      </c>
      <c r="CW1854">
        <v>8793896</v>
      </c>
      <c r="CY1854">
        <v>1</v>
      </c>
      <c r="CZ1854">
        <v>0</v>
      </c>
      <c r="DA1854">
        <v>1</v>
      </c>
      <c r="DB1854">
        <v>0</v>
      </c>
      <c r="DC1854">
        <v>0</v>
      </c>
      <c r="DD1854">
        <v>0</v>
      </c>
      <c r="DE1854">
        <v>0</v>
      </c>
      <c r="DF1854">
        <v>0</v>
      </c>
      <c r="DG1854">
        <v>0</v>
      </c>
      <c r="DH1854">
        <v>0</v>
      </c>
      <c r="DI1854">
        <v>0</v>
      </c>
    </row>
    <row r="1855" spans="1:113" x14ac:dyDescent="0.3">
      <c r="A1855" t="str">
        <f>"02/08/2021 20:23:57.561"</f>
        <v>02/08/2021 20:23:57.561</v>
      </c>
      <c r="C1855" t="str">
        <f t="shared" si="90"/>
        <v>FFDFD7C0</v>
      </c>
      <c r="D1855" t="s">
        <v>124</v>
      </c>
      <c r="E1855">
        <v>12</v>
      </c>
      <c r="F1855">
        <v>1012</v>
      </c>
      <c r="G1855" t="s">
        <v>675</v>
      </c>
      <c r="J1855" t="s">
        <v>125</v>
      </c>
      <c r="K1855">
        <v>0</v>
      </c>
      <c r="L1855">
        <v>3</v>
      </c>
      <c r="M1855">
        <v>0</v>
      </c>
      <c r="N1855">
        <v>2</v>
      </c>
      <c r="O1855">
        <v>1</v>
      </c>
      <c r="P1855">
        <v>0</v>
      </c>
      <c r="Q1855">
        <v>0</v>
      </c>
      <c r="S1855" t="str">
        <f>"20:23:59.883"</f>
        <v>20:23:59.883</v>
      </c>
      <c r="T1855" t="str">
        <f>"20:23:59.383"</f>
        <v>20:23:59.383</v>
      </c>
      <c r="U1855" t="str">
        <f t="shared" si="89"/>
        <v>AB01F4</v>
      </c>
      <c r="V1855">
        <v>0</v>
      </c>
      <c r="W1855">
        <v>0</v>
      </c>
      <c r="X1855">
        <v>2</v>
      </c>
      <c r="Z1855">
        <v>0</v>
      </c>
      <c r="AA1855">
        <v>9</v>
      </c>
      <c r="AB1855">
        <v>3</v>
      </c>
      <c r="AC1855">
        <v>0</v>
      </c>
      <c r="AD1855">
        <v>10</v>
      </c>
      <c r="AE1855">
        <v>0</v>
      </c>
      <c r="AF1855">
        <v>3</v>
      </c>
      <c r="AG1855">
        <v>2</v>
      </c>
      <c r="AH1855">
        <v>0</v>
      </c>
      <c r="AI1855" t="s">
        <v>1177</v>
      </c>
      <c r="AJ1855">
        <v>39.909317000000001</v>
      </c>
      <c r="AK1855" t="s">
        <v>1178</v>
      </c>
      <c r="AL1855">
        <v>-92.585628</v>
      </c>
      <c r="AM1855">
        <v>100</v>
      </c>
      <c r="AN1855">
        <v>1700</v>
      </c>
      <c r="AO1855" t="s">
        <v>118</v>
      </c>
      <c r="AP1855">
        <v>-106</v>
      </c>
      <c r="AQ1855">
        <v>75</v>
      </c>
      <c r="AR1855">
        <v>-64</v>
      </c>
      <c r="AZ1855">
        <v>1200</v>
      </c>
      <c r="BA1855">
        <v>1</v>
      </c>
      <c r="BB1855" t="str">
        <f t="shared" si="91"/>
        <v xml:space="preserve">N8080G  </v>
      </c>
      <c r="BC1855">
        <v>1</v>
      </c>
      <c r="BE1855">
        <v>0</v>
      </c>
      <c r="BF1855">
        <v>0</v>
      </c>
      <c r="BG1855">
        <v>0</v>
      </c>
      <c r="BH1855">
        <v>1700</v>
      </c>
      <c r="BI1855">
        <v>1</v>
      </c>
      <c r="BJ1855">
        <v>1</v>
      </c>
      <c r="BK1855">
        <v>1</v>
      </c>
      <c r="BL1855">
        <v>0</v>
      </c>
      <c r="BO1855">
        <v>0</v>
      </c>
      <c r="BP1855">
        <v>0</v>
      </c>
      <c r="BW1855" t="str">
        <f>"20:23:59.887"</f>
        <v>20:23:59.887</v>
      </c>
      <c r="BZ1855">
        <v>0</v>
      </c>
      <c r="CA1855">
        <v>2016</v>
      </c>
      <c r="CB1855">
        <v>224</v>
      </c>
      <c r="CD1855">
        <v>1</v>
      </c>
      <c r="CE1855">
        <v>0</v>
      </c>
      <c r="CF1855">
        <v>0</v>
      </c>
      <c r="CG1855">
        <v>1</v>
      </c>
      <c r="CH1855">
        <v>0</v>
      </c>
      <c r="CI1855">
        <v>0</v>
      </c>
      <c r="CJ1855">
        <v>0</v>
      </c>
      <c r="CK1855">
        <v>2</v>
      </c>
      <c r="CL1855">
        <v>0</v>
      </c>
      <c r="CM1855">
        <v>2</v>
      </c>
      <c r="CN1855">
        <v>0</v>
      </c>
      <c r="CO1855">
        <v>7</v>
      </c>
      <c r="CP1855" t="s">
        <v>119</v>
      </c>
      <c r="CQ1855">
        <v>180</v>
      </c>
      <c r="CR1855">
        <v>1</v>
      </c>
      <c r="CW1855">
        <v>10926698</v>
      </c>
      <c r="CY1855">
        <v>1</v>
      </c>
      <c r="CZ1855">
        <v>0</v>
      </c>
      <c r="DA1855">
        <v>0</v>
      </c>
      <c r="DB1855">
        <v>0</v>
      </c>
      <c r="DC1855">
        <v>0</v>
      </c>
      <c r="DD1855">
        <v>0</v>
      </c>
      <c r="DE1855">
        <v>0</v>
      </c>
      <c r="DF1855">
        <v>0</v>
      </c>
      <c r="DG1855">
        <v>0</v>
      </c>
      <c r="DH1855">
        <v>0</v>
      </c>
      <c r="DI1855">
        <v>0</v>
      </c>
    </row>
    <row r="1856" spans="1:113" x14ac:dyDescent="0.3">
      <c r="A1856" t="str">
        <f>"02/08/2021 20:23:57.561"</f>
        <v>02/08/2021 20:23:57.561</v>
      </c>
      <c r="C1856" t="str">
        <f t="shared" si="90"/>
        <v>FFDFD7C0</v>
      </c>
      <c r="D1856" t="s">
        <v>124</v>
      </c>
      <c r="E1856">
        <v>13</v>
      </c>
      <c r="F1856">
        <v>1013</v>
      </c>
      <c r="G1856" t="s">
        <v>114</v>
      </c>
      <c r="J1856" t="s">
        <v>125</v>
      </c>
      <c r="K1856">
        <v>0</v>
      </c>
      <c r="L1856">
        <v>3</v>
      </c>
      <c r="M1856">
        <v>0</v>
      </c>
      <c r="N1856">
        <v>2</v>
      </c>
      <c r="O1856">
        <v>1</v>
      </c>
      <c r="P1856">
        <v>0</v>
      </c>
      <c r="Q1856">
        <v>0</v>
      </c>
      <c r="S1856" t="str">
        <f>"20:23:59.883"</f>
        <v>20:23:59.883</v>
      </c>
      <c r="T1856" t="str">
        <f>"20:23:59.383"</f>
        <v>20:23:59.383</v>
      </c>
      <c r="U1856" t="str">
        <f t="shared" si="89"/>
        <v>AB01F4</v>
      </c>
      <c r="V1856">
        <v>0</v>
      </c>
      <c r="W1856">
        <v>0</v>
      </c>
      <c r="X1856">
        <v>2</v>
      </c>
      <c r="Z1856">
        <v>0</v>
      </c>
      <c r="AA1856">
        <v>9</v>
      </c>
      <c r="AB1856">
        <v>3</v>
      </c>
      <c r="AC1856">
        <v>0</v>
      </c>
      <c r="AD1856">
        <v>10</v>
      </c>
      <c r="AE1856">
        <v>0</v>
      </c>
      <c r="AF1856">
        <v>3</v>
      </c>
      <c r="AG1856">
        <v>2</v>
      </c>
      <c r="AH1856">
        <v>0</v>
      </c>
      <c r="AI1856" t="s">
        <v>1177</v>
      </c>
      <c r="AJ1856">
        <v>39.909317000000001</v>
      </c>
      <c r="AK1856" t="s">
        <v>1178</v>
      </c>
      <c r="AL1856">
        <v>-92.585628</v>
      </c>
      <c r="AM1856">
        <v>100</v>
      </c>
      <c r="AN1856">
        <v>1700</v>
      </c>
      <c r="AO1856" t="s">
        <v>118</v>
      </c>
      <c r="AP1856">
        <v>-106</v>
      </c>
      <c r="AQ1856">
        <v>75</v>
      </c>
      <c r="AR1856">
        <v>-64</v>
      </c>
      <c r="AZ1856">
        <v>1200</v>
      </c>
      <c r="BA1856">
        <v>1</v>
      </c>
      <c r="BB1856" t="str">
        <f t="shared" si="91"/>
        <v xml:space="preserve">N8080G  </v>
      </c>
      <c r="BC1856">
        <v>1</v>
      </c>
      <c r="BE1856">
        <v>0</v>
      </c>
      <c r="BF1856">
        <v>0</v>
      </c>
      <c r="BG1856">
        <v>0</v>
      </c>
      <c r="BH1856">
        <v>1700</v>
      </c>
      <c r="BI1856">
        <v>1</v>
      </c>
      <c r="BJ1856">
        <v>1</v>
      </c>
      <c r="BK1856">
        <v>1</v>
      </c>
      <c r="BL1856">
        <v>0</v>
      </c>
      <c r="BO1856">
        <v>0</v>
      </c>
      <c r="BP1856">
        <v>0</v>
      </c>
      <c r="BW1856" t="str">
        <f>"20:23:59.887"</f>
        <v>20:23:59.887</v>
      </c>
      <c r="BZ1856">
        <v>0</v>
      </c>
      <c r="CA1856">
        <v>2016</v>
      </c>
      <c r="CB1856">
        <v>224</v>
      </c>
      <c r="CD1856">
        <v>1</v>
      </c>
      <c r="CE1856">
        <v>0</v>
      </c>
      <c r="CF1856">
        <v>0</v>
      </c>
      <c r="CG1856">
        <v>1</v>
      </c>
      <c r="CH1856">
        <v>0</v>
      </c>
      <c r="CI1856">
        <v>0</v>
      </c>
      <c r="CJ1856">
        <v>0</v>
      </c>
      <c r="CK1856">
        <v>2</v>
      </c>
      <c r="CL1856">
        <v>0</v>
      </c>
      <c r="CM1856">
        <v>2</v>
      </c>
      <c r="CN1856">
        <v>0</v>
      </c>
      <c r="CO1856">
        <v>7</v>
      </c>
      <c r="CP1856" t="s">
        <v>119</v>
      </c>
      <c r="CQ1856">
        <v>180</v>
      </c>
      <c r="CR1856">
        <v>1</v>
      </c>
      <c r="CW1856">
        <v>10926698</v>
      </c>
      <c r="CY1856">
        <v>1</v>
      </c>
      <c r="CZ1856">
        <v>0</v>
      </c>
      <c r="DA1856">
        <v>1</v>
      </c>
      <c r="DB1856">
        <v>0</v>
      </c>
      <c r="DC1856">
        <v>0</v>
      </c>
      <c r="DD1856">
        <v>0</v>
      </c>
      <c r="DE1856">
        <v>0</v>
      </c>
      <c r="DF1856">
        <v>0</v>
      </c>
      <c r="DG1856">
        <v>0</v>
      </c>
      <c r="DH1856">
        <v>0</v>
      </c>
      <c r="DI1856">
        <v>0</v>
      </c>
    </row>
    <row r="1857" spans="1:113" x14ac:dyDescent="0.3">
      <c r="A1857" t="str">
        <f>"02/08/2021 20:23:57.561"</f>
        <v>02/08/2021 20:23:57.561</v>
      </c>
      <c r="C1857" t="str">
        <f t="shared" si="90"/>
        <v>FFDFD7C0</v>
      </c>
      <c r="D1857" t="s">
        <v>124</v>
      </c>
      <c r="E1857">
        <v>11</v>
      </c>
      <c r="F1857">
        <v>1011</v>
      </c>
      <c r="G1857" t="s">
        <v>590</v>
      </c>
      <c r="J1857" t="s">
        <v>125</v>
      </c>
      <c r="K1857">
        <v>0</v>
      </c>
      <c r="L1857">
        <v>3</v>
      </c>
      <c r="M1857">
        <v>0</v>
      </c>
      <c r="N1857">
        <v>2</v>
      </c>
      <c r="O1857">
        <v>1</v>
      </c>
      <c r="P1857">
        <v>0</v>
      </c>
      <c r="Q1857">
        <v>0</v>
      </c>
      <c r="S1857" t="str">
        <f>"20:23:59.883"</f>
        <v>20:23:59.883</v>
      </c>
      <c r="T1857" t="str">
        <f>"20:23:59.383"</f>
        <v>20:23:59.383</v>
      </c>
      <c r="U1857" t="str">
        <f t="shared" si="89"/>
        <v>AB01F4</v>
      </c>
      <c r="V1857">
        <v>0</v>
      </c>
      <c r="W1857">
        <v>0</v>
      </c>
      <c r="X1857">
        <v>2</v>
      </c>
      <c r="Z1857">
        <v>0</v>
      </c>
      <c r="AA1857">
        <v>9</v>
      </c>
      <c r="AB1857">
        <v>3</v>
      </c>
      <c r="AC1857">
        <v>0</v>
      </c>
      <c r="AD1857">
        <v>10</v>
      </c>
      <c r="AE1857">
        <v>0</v>
      </c>
      <c r="AF1857">
        <v>3</v>
      </c>
      <c r="AG1857">
        <v>2</v>
      </c>
      <c r="AH1857">
        <v>0</v>
      </c>
      <c r="AI1857" t="s">
        <v>1177</v>
      </c>
      <c r="AJ1857">
        <v>39.909317000000001</v>
      </c>
      <c r="AK1857" t="s">
        <v>1178</v>
      </c>
      <c r="AL1857">
        <v>-92.585628</v>
      </c>
      <c r="AM1857">
        <v>100</v>
      </c>
      <c r="AN1857">
        <v>1700</v>
      </c>
      <c r="AO1857" t="s">
        <v>118</v>
      </c>
      <c r="AP1857">
        <v>-106</v>
      </c>
      <c r="AQ1857">
        <v>75</v>
      </c>
      <c r="AR1857">
        <v>-64</v>
      </c>
      <c r="AZ1857">
        <v>1200</v>
      </c>
      <c r="BA1857">
        <v>1</v>
      </c>
      <c r="BB1857" t="str">
        <f t="shared" si="91"/>
        <v xml:space="preserve">N8080G  </v>
      </c>
      <c r="BC1857">
        <v>1</v>
      </c>
      <c r="BE1857">
        <v>0</v>
      </c>
      <c r="BF1857">
        <v>0</v>
      </c>
      <c r="BG1857">
        <v>0</v>
      </c>
      <c r="BH1857">
        <v>1700</v>
      </c>
      <c r="BI1857">
        <v>1</v>
      </c>
      <c r="BJ1857">
        <v>1</v>
      </c>
      <c r="BK1857">
        <v>1</v>
      </c>
      <c r="BL1857">
        <v>0</v>
      </c>
      <c r="BO1857">
        <v>0</v>
      </c>
      <c r="BP1857">
        <v>0</v>
      </c>
      <c r="BW1857" t="str">
        <f>"20:23:59.887"</f>
        <v>20:23:59.887</v>
      </c>
      <c r="BZ1857">
        <v>0</v>
      </c>
      <c r="CA1857">
        <v>2016</v>
      </c>
      <c r="CB1857">
        <v>224</v>
      </c>
      <c r="CD1857">
        <v>1</v>
      </c>
      <c r="CE1857">
        <v>0</v>
      </c>
      <c r="CF1857">
        <v>0</v>
      </c>
      <c r="CG1857">
        <v>1</v>
      </c>
      <c r="CH1857">
        <v>0</v>
      </c>
      <c r="CI1857">
        <v>0</v>
      </c>
      <c r="CJ1857">
        <v>0</v>
      </c>
      <c r="CK1857">
        <v>2</v>
      </c>
      <c r="CL1857">
        <v>0</v>
      </c>
      <c r="CM1857">
        <v>2</v>
      </c>
      <c r="CN1857">
        <v>0</v>
      </c>
      <c r="CO1857">
        <v>7</v>
      </c>
      <c r="CP1857" t="s">
        <v>119</v>
      </c>
      <c r="CQ1857">
        <v>180</v>
      </c>
      <c r="CR1857">
        <v>1</v>
      </c>
      <c r="CW1857">
        <v>10926698</v>
      </c>
      <c r="CY1857">
        <v>1</v>
      </c>
      <c r="CZ1857">
        <v>0</v>
      </c>
      <c r="DA1857">
        <v>1</v>
      </c>
      <c r="DB1857">
        <v>0</v>
      </c>
      <c r="DC1857">
        <v>0</v>
      </c>
      <c r="DD1857">
        <v>0</v>
      </c>
      <c r="DE1857">
        <v>0</v>
      </c>
      <c r="DF1857">
        <v>0</v>
      </c>
      <c r="DG1857">
        <v>0</v>
      </c>
      <c r="DH1857">
        <v>0</v>
      </c>
      <c r="DI1857">
        <v>0</v>
      </c>
    </row>
    <row r="1858" spans="1:113" x14ac:dyDescent="0.3">
      <c r="A1858" t="str">
        <f>"02/08/2021 20:23:57.561"</f>
        <v>02/08/2021 20:23:57.561</v>
      </c>
      <c r="C1858" t="str">
        <f t="shared" si="90"/>
        <v>FFDFD7C0</v>
      </c>
      <c r="D1858" t="s">
        <v>113</v>
      </c>
      <c r="E1858">
        <v>6</v>
      </c>
      <c r="H1858">
        <v>165</v>
      </c>
      <c r="I1858" t="s">
        <v>114</v>
      </c>
      <c r="J1858" t="s">
        <v>115</v>
      </c>
      <c r="K1858">
        <v>0</v>
      </c>
      <c r="L1858">
        <v>3</v>
      </c>
      <c r="M1858">
        <v>0</v>
      </c>
      <c r="N1858">
        <v>2</v>
      </c>
      <c r="O1858">
        <v>1</v>
      </c>
      <c r="P1858">
        <v>0</v>
      </c>
      <c r="Q1858">
        <v>0</v>
      </c>
      <c r="S1858" t="str">
        <f>"20:23:59.883"</f>
        <v>20:23:59.883</v>
      </c>
      <c r="T1858" t="str">
        <f>"20:23:59.383"</f>
        <v>20:23:59.383</v>
      </c>
      <c r="U1858" t="str">
        <f t="shared" ref="U1858:U1921" si="92">"AB01F4"</f>
        <v>AB01F4</v>
      </c>
      <c r="V1858">
        <v>0</v>
      </c>
      <c r="W1858">
        <v>0</v>
      </c>
      <c r="X1858">
        <v>2</v>
      </c>
      <c r="Z1858">
        <v>0</v>
      </c>
      <c r="AA1858">
        <v>9</v>
      </c>
      <c r="AB1858">
        <v>3</v>
      </c>
      <c r="AC1858">
        <v>0</v>
      </c>
      <c r="AD1858">
        <v>10</v>
      </c>
      <c r="AE1858">
        <v>0</v>
      </c>
      <c r="AF1858">
        <v>3</v>
      </c>
      <c r="AG1858">
        <v>2</v>
      </c>
      <c r="AH1858">
        <v>0</v>
      </c>
      <c r="AI1858" t="s">
        <v>1177</v>
      </c>
      <c r="AJ1858">
        <v>39.909317000000001</v>
      </c>
      <c r="AK1858" t="s">
        <v>1178</v>
      </c>
      <c r="AL1858">
        <v>-92.585628</v>
      </c>
      <c r="AM1858">
        <v>100</v>
      </c>
      <c r="AN1858">
        <v>1700</v>
      </c>
      <c r="AO1858" t="s">
        <v>118</v>
      </c>
      <c r="AP1858">
        <v>-106</v>
      </c>
      <c r="AQ1858">
        <v>75</v>
      </c>
      <c r="AR1858">
        <v>-64</v>
      </c>
      <c r="AZ1858">
        <v>1200</v>
      </c>
      <c r="BA1858">
        <v>1</v>
      </c>
      <c r="BB1858" t="str">
        <f t="shared" si="91"/>
        <v xml:space="preserve">N8080G  </v>
      </c>
      <c r="BC1858">
        <v>1</v>
      </c>
      <c r="BE1858">
        <v>0</v>
      </c>
      <c r="BF1858">
        <v>0</v>
      </c>
      <c r="BG1858">
        <v>0</v>
      </c>
      <c r="BH1858">
        <v>1700</v>
      </c>
      <c r="BI1858">
        <v>1</v>
      </c>
      <c r="BJ1858">
        <v>1</v>
      </c>
      <c r="BK1858">
        <v>1</v>
      </c>
      <c r="BL1858">
        <v>0</v>
      </c>
      <c r="BO1858">
        <v>0</v>
      </c>
      <c r="BP1858">
        <v>0</v>
      </c>
      <c r="BW1858" t="str">
        <f>"20:23:59.887"</f>
        <v>20:23:59.887</v>
      </c>
      <c r="BZ1858">
        <v>0</v>
      </c>
      <c r="CA1858">
        <v>2016</v>
      </c>
      <c r="CB1858">
        <v>224</v>
      </c>
      <c r="CD1858">
        <v>1</v>
      </c>
      <c r="CE1858">
        <v>0</v>
      </c>
      <c r="CF1858">
        <v>0</v>
      </c>
      <c r="CG1858">
        <v>1</v>
      </c>
      <c r="CH1858">
        <v>0</v>
      </c>
      <c r="CI1858">
        <v>0</v>
      </c>
      <c r="CJ1858">
        <v>0</v>
      </c>
      <c r="CK1858">
        <v>2</v>
      </c>
      <c r="CL1858">
        <v>0</v>
      </c>
      <c r="CM1858">
        <v>2</v>
      </c>
      <c r="CN1858">
        <v>0</v>
      </c>
      <c r="CO1858">
        <v>7</v>
      </c>
      <c r="CP1858" t="s">
        <v>119</v>
      </c>
      <c r="CQ1858">
        <v>180</v>
      </c>
      <c r="CR1858">
        <v>1</v>
      </c>
      <c r="CW1858">
        <v>10926698</v>
      </c>
      <c r="CY1858">
        <v>1</v>
      </c>
      <c r="CZ1858">
        <v>0</v>
      </c>
      <c r="DA1858">
        <v>1</v>
      </c>
      <c r="DB1858">
        <v>0</v>
      </c>
      <c r="DC1858">
        <v>0</v>
      </c>
      <c r="DD1858">
        <v>0</v>
      </c>
      <c r="DE1858">
        <v>0</v>
      </c>
      <c r="DF1858">
        <v>0</v>
      </c>
      <c r="DG1858">
        <v>0</v>
      </c>
      <c r="DH1858">
        <v>0</v>
      </c>
      <c r="DI1858">
        <v>0</v>
      </c>
    </row>
    <row r="1859" spans="1:113" x14ac:dyDescent="0.3">
      <c r="A1859" t="str">
        <f>"02/08/2021 20:24:01.075"</f>
        <v>02/08/2021 20:24:01.075</v>
      </c>
      <c r="C1859" t="str">
        <f t="shared" si="90"/>
        <v>FFDFD7C0</v>
      </c>
      <c r="D1859" t="s">
        <v>124</v>
      </c>
      <c r="E1859">
        <v>11</v>
      </c>
      <c r="F1859">
        <v>1011</v>
      </c>
      <c r="G1859" t="s">
        <v>590</v>
      </c>
      <c r="J1859" t="s">
        <v>125</v>
      </c>
      <c r="K1859">
        <v>0</v>
      </c>
      <c r="L1859">
        <v>3</v>
      </c>
      <c r="M1859">
        <v>0</v>
      </c>
      <c r="N1859">
        <v>2</v>
      </c>
      <c r="O1859">
        <v>1</v>
      </c>
      <c r="P1859">
        <v>0</v>
      </c>
      <c r="Q1859">
        <v>0</v>
      </c>
      <c r="S1859" t="str">
        <f>"20:24:03.391"</f>
        <v>20:24:03.391</v>
      </c>
      <c r="T1859" t="str">
        <f>"20:24:02.991"</f>
        <v>20:24:02.991</v>
      </c>
      <c r="U1859" t="str">
        <f t="shared" si="92"/>
        <v>AB01F4</v>
      </c>
      <c r="V1859">
        <v>0</v>
      </c>
      <c r="W1859">
        <v>0</v>
      </c>
      <c r="X1859">
        <v>2</v>
      </c>
      <c r="Z1859">
        <v>0</v>
      </c>
      <c r="AA1859">
        <v>9</v>
      </c>
      <c r="AB1859">
        <v>3</v>
      </c>
      <c r="AC1859">
        <v>0</v>
      </c>
      <c r="AD1859">
        <v>10</v>
      </c>
      <c r="AE1859">
        <v>0</v>
      </c>
      <c r="AF1859">
        <v>3</v>
      </c>
      <c r="AG1859">
        <v>2</v>
      </c>
      <c r="AH1859">
        <v>0</v>
      </c>
      <c r="AI1859" t="s">
        <v>1179</v>
      </c>
      <c r="AJ1859">
        <v>39.910541000000002</v>
      </c>
      <c r="AK1859" t="s">
        <v>1180</v>
      </c>
      <c r="AL1859">
        <v>-92.587880999999996</v>
      </c>
      <c r="AM1859">
        <v>100</v>
      </c>
      <c r="AN1859">
        <v>1700</v>
      </c>
      <c r="AO1859" t="s">
        <v>118</v>
      </c>
      <c r="AP1859">
        <v>-106</v>
      </c>
      <c r="AQ1859">
        <v>75</v>
      </c>
      <c r="AR1859">
        <v>0</v>
      </c>
      <c r="AZ1859">
        <v>1200</v>
      </c>
      <c r="BA1859">
        <v>1</v>
      </c>
      <c r="BB1859" t="str">
        <f t="shared" si="91"/>
        <v xml:space="preserve">N8080G  </v>
      </c>
      <c r="BC1859">
        <v>1</v>
      </c>
      <c r="BE1859">
        <v>0</v>
      </c>
      <c r="BF1859">
        <v>0</v>
      </c>
      <c r="BG1859">
        <v>0</v>
      </c>
      <c r="BH1859">
        <v>1700</v>
      </c>
      <c r="BI1859">
        <v>1</v>
      </c>
      <c r="BJ1859">
        <v>1</v>
      </c>
      <c r="BK1859">
        <v>1</v>
      </c>
      <c r="BL1859">
        <v>0</v>
      </c>
      <c r="BO1859">
        <v>0</v>
      </c>
      <c r="BP1859">
        <v>0</v>
      </c>
      <c r="BW1859" t="str">
        <f>"20:24:03.394"</f>
        <v>20:24:03.394</v>
      </c>
      <c r="BZ1859">
        <v>0</v>
      </c>
      <c r="CA1859">
        <v>2016</v>
      </c>
      <c r="CB1859">
        <v>224</v>
      </c>
      <c r="CD1859">
        <v>1</v>
      </c>
      <c r="CE1859">
        <v>0</v>
      </c>
      <c r="CF1859">
        <v>0</v>
      </c>
      <c r="CG1859">
        <v>1</v>
      </c>
      <c r="CH1859">
        <v>0</v>
      </c>
      <c r="CI1859">
        <v>0</v>
      </c>
      <c r="CJ1859">
        <v>0</v>
      </c>
      <c r="CK1859">
        <v>2</v>
      </c>
      <c r="CL1859">
        <v>0</v>
      </c>
      <c r="CM1859">
        <v>2</v>
      </c>
      <c r="CN1859">
        <v>0</v>
      </c>
      <c r="CO1859">
        <v>1</v>
      </c>
      <c r="CP1859" t="s">
        <v>119</v>
      </c>
      <c r="CQ1859">
        <v>179</v>
      </c>
      <c r="CR1859">
        <v>1</v>
      </c>
      <c r="CW1859">
        <v>8797728</v>
      </c>
      <c r="CY1859">
        <v>1</v>
      </c>
      <c r="CZ1859">
        <v>0</v>
      </c>
      <c r="DA1859">
        <v>0</v>
      </c>
      <c r="DB1859">
        <v>0</v>
      </c>
      <c r="DC1859">
        <v>0</v>
      </c>
      <c r="DD1859">
        <v>0</v>
      </c>
      <c r="DE1859">
        <v>0</v>
      </c>
      <c r="DF1859">
        <v>0</v>
      </c>
      <c r="DG1859">
        <v>0</v>
      </c>
      <c r="DH1859">
        <v>0</v>
      </c>
      <c r="DI1859">
        <v>0</v>
      </c>
    </row>
    <row r="1860" spans="1:113" x14ac:dyDescent="0.3">
      <c r="A1860" t="str">
        <f>"02/08/2021 20:24:01.075"</f>
        <v>02/08/2021 20:24:01.075</v>
      </c>
      <c r="C1860" t="str">
        <f t="shared" si="90"/>
        <v>FFDFD7C0</v>
      </c>
      <c r="D1860" t="s">
        <v>124</v>
      </c>
      <c r="E1860">
        <v>12</v>
      </c>
      <c r="F1860">
        <v>1012</v>
      </c>
      <c r="G1860" t="s">
        <v>675</v>
      </c>
      <c r="J1860" t="s">
        <v>125</v>
      </c>
      <c r="K1860">
        <v>0</v>
      </c>
      <c r="L1860">
        <v>3</v>
      </c>
      <c r="M1860">
        <v>0</v>
      </c>
      <c r="N1860">
        <v>2</v>
      </c>
      <c r="O1860">
        <v>1</v>
      </c>
      <c r="P1860">
        <v>0</v>
      </c>
      <c r="Q1860">
        <v>0</v>
      </c>
      <c r="S1860" t="str">
        <f>"20:24:03.391"</f>
        <v>20:24:03.391</v>
      </c>
      <c r="T1860" t="str">
        <f>"20:24:02.991"</f>
        <v>20:24:02.991</v>
      </c>
      <c r="U1860" t="str">
        <f t="shared" si="92"/>
        <v>AB01F4</v>
      </c>
      <c r="V1860">
        <v>0</v>
      </c>
      <c r="W1860">
        <v>0</v>
      </c>
      <c r="X1860">
        <v>2</v>
      </c>
      <c r="Z1860">
        <v>0</v>
      </c>
      <c r="AA1860">
        <v>9</v>
      </c>
      <c r="AB1860">
        <v>3</v>
      </c>
      <c r="AC1860">
        <v>0</v>
      </c>
      <c r="AD1860">
        <v>10</v>
      </c>
      <c r="AE1860">
        <v>0</v>
      </c>
      <c r="AF1860">
        <v>3</v>
      </c>
      <c r="AG1860">
        <v>2</v>
      </c>
      <c r="AH1860">
        <v>0</v>
      </c>
      <c r="AI1860" t="s">
        <v>1179</v>
      </c>
      <c r="AJ1860">
        <v>39.910541000000002</v>
      </c>
      <c r="AK1860" t="s">
        <v>1180</v>
      </c>
      <c r="AL1860">
        <v>-92.587880999999996</v>
      </c>
      <c r="AM1860">
        <v>100</v>
      </c>
      <c r="AN1860">
        <v>1700</v>
      </c>
      <c r="AO1860" t="s">
        <v>118</v>
      </c>
      <c r="AP1860">
        <v>-106</v>
      </c>
      <c r="AQ1860">
        <v>75</v>
      </c>
      <c r="AR1860">
        <v>0</v>
      </c>
      <c r="AZ1860">
        <v>1200</v>
      </c>
      <c r="BA1860">
        <v>1</v>
      </c>
      <c r="BB1860" t="str">
        <f t="shared" si="91"/>
        <v xml:space="preserve">N8080G  </v>
      </c>
      <c r="BC1860">
        <v>1</v>
      </c>
      <c r="BE1860">
        <v>0</v>
      </c>
      <c r="BF1860">
        <v>0</v>
      </c>
      <c r="BG1860">
        <v>0</v>
      </c>
      <c r="BH1860">
        <v>1700</v>
      </c>
      <c r="BI1860">
        <v>1</v>
      </c>
      <c r="BJ1860">
        <v>1</v>
      </c>
      <c r="BK1860">
        <v>1</v>
      </c>
      <c r="BL1860">
        <v>0</v>
      </c>
      <c r="BO1860">
        <v>0</v>
      </c>
      <c r="BP1860">
        <v>0</v>
      </c>
      <c r="BW1860" t="str">
        <f>"20:24:03.394"</f>
        <v>20:24:03.394</v>
      </c>
      <c r="BZ1860">
        <v>0</v>
      </c>
      <c r="CA1860">
        <v>2016</v>
      </c>
      <c r="CB1860">
        <v>224</v>
      </c>
      <c r="CD1860">
        <v>1</v>
      </c>
      <c r="CE1860">
        <v>0</v>
      </c>
      <c r="CF1860">
        <v>0</v>
      </c>
      <c r="CG1860">
        <v>1</v>
      </c>
      <c r="CH1860">
        <v>0</v>
      </c>
      <c r="CI1860">
        <v>0</v>
      </c>
      <c r="CJ1860">
        <v>0</v>
      </c>
      <c r="CK1860">
        <v>2</v>
      </c>
      <c r="CL1860">
        <v>0</v>
      </c>
      <c r="CM1860">
        <v>2</v>
      </c>
      <c r="CN1860">
        <v>0</v>
      </c>
      <c r="CO1860">
        <v>1</v>
      </c>
      <c r="CP1860" t="s">
        <v>119</v>
      </c>
      <c r="CQ1860">
        <v>179</v>
      </c>
      <c r="CR1860">
        <v>1</v>
      </c>
      <c r="CW1860">
        <v>8797728</v>
      </c>
      <c r="CY1860">
        <v>1</v>
      </c>
      <c r="CZ1860">
        <v>0</v>
      </c>
      <c r="DA1860">
        <v>1</v>
      </c>
      <c r="DB1860">
        <v>0</v>
      </c>
      <c r="DC1860">
        <v>0</v>
      </c>
      <c r="DD1860">
        <v>0</v>
      </c>
      <c r="DE1860">
        <v>0</v>
      </c>
      <c r="DF1860">
        <v>0</v>
      </c>
      <c r="DG1860">
        <v>0</v>
      </c>
      <c r="DH1860">
        <v>0</v>
      </c>
      <c r="DI1860">
        <v>0</v>
      </c>
    </row>
    <row r="1861" spans="1:113" x14ac:dyDescent="0.3">
      <c r="A1861" t="str">
        <f>"02/08/2021 20:24:01.075"</f>
        <v>02/08/2021 20:24:01.075</v>
      </c>
      <c r="C1861" t="str">
        <f t="shared" si="90"/>
        <v>FFDFD7C0</v>
      </c>
      <c r="D1861" t="s">
        <v>113</v>
      </c>
      <c r="E1861">
        <v>6</v>
      </c>
      <c r="H1861">
        <v>165</v>
      </c>
      <c r="I1861" t="s">
        <v>114</v>
      </c>
      <c r="J1861" t="s">
        <v>115</v>
      </c>
      <c r="K1861">
        <v>0</v>
      </c>
      <c r="L1861">
        <v>3</v>
      </c>
      <c r="M1861">
        <v>0</v>
      </c>
      <c r="N1861">
        <v>2</v>
      </c>
      <c r="O1861">
        <v>1</v>
      </c>
      <c r="P1861">
        <v>0</v>
      </c>
      <c r="Q1861">
        <v>0</v>
      </c>
      <c r="S1861" t="str">
        <f>"20:24:03.391"</f>
        <v>20:24:03.391</v>
      </c>
      <c r="T1861" t="str">
        <f>"20:24:02.991"</f>
        <v>20:24:02.991</v>
      </c>
      <c r="U1861" t="str">
        <f t="shared" si="92"/>
        <v>AB01F4</v>
      </c>
      <c r="V1861">
        <v>0</v>
      </c>
      <c r="W1861">
        <v>0</v>
      </c>
      <c r="X1861">
        <v>2</v>
      </c>
      <c r="Z1861">
        <v>0</v>
      </c>
      <c r="AA1861">
        <v>9</v>
      </c>
      <c r="AB1861">
        <v>3</v>
      </c>
      <c r="AC1861">
        <v>0</v>
      </c>
      <c r="AD1861">
        <v>10</v>
      </c>
      <c r="AE1861">
        <v>0</v>
      </c>
      <c r="AF1861">
        <v>3</v>
      </c>
      <c r="AG1861">
        <v>2</v>
      </c>
      <c r="AH1861">
        <v>0</v>
      </c>
      <c r="AI1861" t="s">
        <v>1179</v>
      </c>
      <c r="AJ1861">
        <v>39.910541000000002</v>
      </c>
      <c r="AK1861" t="s">
        <v>1180</v>
      </c>
      <c r="AL1861">
        <v>-92.587880999999996</v>
      </c>
      <c r="AM1861">
        <v>100</v>
      </c>
      <c r="AN1861">
        <v>1700</v>
      </c>
      <c r="AO1861" t="s">
        <v>118</v>
      </c>
      <c r="AP1861">
        <v>-106</v>
      </c>
      <c r="AQ1861">
        <v>75</v>
      </c>
      <c r="AR1861">
        <v>0</v>
      </c>
      <c r="AZ1861">
        <v>1200</v>
      </c>
      <c r="BA1861">
        <v>1</v>
      </c>
      <c r="BB1861" t="str">
        <f t="shared" si="91"/>
        <v xml:space="preserve">N8080G  </v>
      </c>
      <c r="BC1861">
        <v>1</v>
      </c>
      <c r="BE1861">
        <v>0</v>
      </c>
      <c r="BF1861">
        <v>0</v>
      </c>
      <c r="BG1861">
        <v>0</v>
      </c>
      <c r="BH1861">
        <v>1700</v>
      </c>
      <c r="BI1861">
        <v>1</v>
      </c>
      <c r="BJ1861">
        <v>1</v>
      </c>
      <c r="BK1861">
        <v>1</v>
      </c>
      <c r="BL1861">
        <v>0</v>
      </c>
      <c r="BO1861">
        <v>0</v>
      </c>
      <c r="BP1861">
        <v>0</v>
      </c>
      <c r="BW1861" t="str">
        <f>"20:24:03.394"</f>
        <v>20:24:03.394</v>
      </c>
      <c r="BZ1861">
        <v>0</v>
      </c>
      <c r="CA1861">
        <v>2016</v>
      </c>
      <c r="CB1861">
        <v>224</v>
      </c>
      <c r="CD1861">
        <v>1</v>
      </c>
      <c r="CE1861">
        <v>0</v>
      </c>
      <c r="CF1861">
        <v>0</v>
      </c>
      <c r="CG1861">
        <v>1</v>
      </c>
      <c r="CH1861">
        <v>0</v>
      </c>
      <c r="CI1861">
        <v>0</v>
      </c>
      <c r="CJ1861">
        <v>0</v>
      </c>
      <c r="CK1861">
        <v>2</v>
      </c>
      <c r="CL1861">
        <v>0</v>
      </c>
      <c r="CM1861">
        <v>2</v>
      </c>
      <c r="CN1861">
        <v>0</v>
      </c>
      <c r="CO1861">
        <v>1</v>
      </c>
      <c r="CP1861" t="s">
        <v>119</v>
      </c>
      <c r="CQ1861">
        <v>179</v>
      </c>
      <c r="CR1861">
        <v>1</v>
      </c>
      <c r="CW1861">
        <v>8797728</v>
      </c>
      <c r="CY1861">
        <v>1</v>
      </c>
      <c r="CZ1861">
        <v>0</v>
      </c>
      <c r="DA1861">
        <v>1</v>
      </c>
      <c r="DB1861">
        <v>0</v>
      </c>
      <c r="DC1861">
        <v>0</v>
      </c>
      <c r="DD1861">
        <v>0</v>
      </c>
      <c r="DE1861">
        <v>0</v>
      </c>
      <c r="DF1861">
        <v>0</v>
      </c>
      <c r="DG1861">
        <v>0</v>
      </c>
      <c r="DH1861">
        <v>0</v>
      </c>
      <c r="DI1861">
        <v>0</v>
      </c>
    </row>
    <row r="1862" spans="1:113" x14ac:dyDescent="0.3">
      <c r="A1862" t="str">
        <f>"02/08/2021 20:24:01.075"</f>
        <v>02/08/2021 20:24:01.075</v>
      </c>
      <c r="C1862" t="str">
        <f t="shared" si="90"/>
        <v>FFDFD7C0</v>
      </c>
      <c r="D1862" t="s">
        <v>124</v>
      </c>
      <c r="E1862">
        <v>13</v>
      </c>
      <c r="F1862">
        <v>1013</v>
      </c>
      <c r="G1862" t="s">
        <v>114</v>
      </c>
      <c r="J1862" t="s">
        <v>125</v>
      </c>
      <c r="K1862">
        <v>0</v>
      </c>
      <c r="L1862">
        <v>3</v>
      </c>
      <c r="M1862">
        <v>0</v>
      </c>
      <c r="N1862">
        <v>2</v>
      </c>
      <c r="O1862">
        <v>1</v>
      </c>
      <c r="P1862">
        <v>0</v>
      </c>
      <c r="Q1862">
        <v>0</v>
      </c>
      <c r="S1862" t="str">
        <f>"20:24:03.391"</f>
        <v>20:24:03.391</v>
      </c>
      <c r="T1862" t="str">
        <f>"20:24:02.991"</f>
        <v>20:24:02.991</v>
      </c>
      <c r="U1862" t="str">
        <f t="shared" si="92"/>
        <v>AB01F4</v>
      </c>
      <c r="V1862">
        <v>0</v>
      </c>
      <c r="W1862">
        <v>0</v>
      </c>
      <c r="X1862">
        <v>2</v>
      </c>
      <c r="Z1862">
        <v>0</v>
      </c>
      <c r="AA1862">
        <v>9</v>
      </c>
      <c r="AB1862">
        <v>3</v>
      </c>
      <c r="AC1862">
        <v>0</v>
      </c>
      <c r="AD1862">
        <v>10</v>
      </c>
      <c r="AE1862">
        <v>0</v>
      </c>
      <c r="AF1862">
        <v>3</v>
      </c>
      <c r="AG1862">
        <v>2</v>
      </c>
      <c r="AH1862">
        <v>0</v>
      </c>
      <c r="AI1862" t="s">
        <v>1179</v>
      </c>
      <c r="AJ1862">
        <v>39.910541000000002</v>
      </c>
      <c r="AK1862" t="s">
        <v>1180</v>
      </c>
      <c r="AL1862">
        <v>-92.587880999999996</v>
      </c>
      <c r="AM1862">
        <v>100</v>
      </c>
      <c r="AN1862">
        <v>1700</v>
      </c>
      <c r="AO1862" t="s">
        <v>118</v>
      </c>
      <c r="AP1862">
        <v>-106</v>
      </c>
      <c r="AQ1862">
        <v>75</v>
      </c>
      <c r="AR1862">
        <v>0</v>
      </c>
      <c r="AZ1862">
        <v>1200</v>
      </c>
      <c r="BA1862">
        <v>1</v>
      </c>
      <c r="BB1862" t="str">
        <f t="shared" si="91"/>
        <v xml:space="preserve">N8080G  </v>
      </c>
      <c r="BC1862">
        <v>1</v>
      </c>
      <c r="BE1862">
        <v>0</v>
      </c>
      <c r="BF1862">
        <v>0</v>
      </c>
      <c r="BG1862">
        <v>0</v>
      </c>
      <c r="BH1862">
        <v>1700</v>
      </c>
      <c r="BI1862">
        <v>1</v>
      </c>
      <c r="BJ1862">
        <v>1</v>
      </c>
      <c r="BK1862">
        <v>1</v>
      </c>
      <c r="BL1862">
        <v>0</v>
      </c>
      <c r="BO1862">
        <v>0</v>
      </c>
      <c r="BP1862">
        <v>0</v>
      </c>
      <c r="BW1862" t="str">
        <f>"20:24:03.394"</f>
        <v>20:24:03.394</v>
      </c>
      <c r="BZ1862">
        <v>0</v>
      </c>
      <c r="CA1862">
        <v>2016</v>
      </c>
      <c r="CB1862">
        <v>224</v>
      </c>
      <c r="CD1862">
        <v>1</v>
      </c>
      <c r="CE1862">
        <v>0</v>
      </c>
      <c r="CF1862">
        <v>0</v>
      </c>
      <c r="CG1862">
        <v>1</v>
      </c>
      <c r="CH1862">
        <v>0</v>
      </c>
      <c r="CI1862">
        <v>0</v>
      </c>
      <c r="CJ1862">
        <v>0</v>
      </c>
      <c r="CK1862">
        <v>2</v>
      </c>
      <c r="CL1862">
        <v>0</v>
      </c>
      <c r="CM1862">
        <v>2</v>
      </c>
      <c r="CN1862">
        <v>0</v>
      </c>
      <c r="CO1862">
        <v>1</v>
      </c>
      <c r="CP1862" t="s">
        <v>119</v>
      </c>
      <c r="CQ1862">
        <v>179</v>
      </c>
      <c r="CR1862">
        <v>1</v>
      </c>
      <c r="CW1862">
        <v>8797728</v>
      </c>
      <c r="CY1862">
        <v>1</v>
      </c>
      <c r="CZ1862">
        <v>0</v>
      </c>
      <c r="DA1862">
        <v>1</v>
      </c>
      <c r="DB1862">
        <v>0</v>
      </c>
      <c r="DC1862">
        <v>0</v>
      </c>
      <c r="DD1862">
        <v>0</v>
      </c>
      <c r="DE1862">
        <v>0</v>
      </c>
      <c r="DF1862">
        <v>0</v>
      </c>
      <c r="DG1862">
        <v>0</v>
      </c>
      <c r="DH1862">
        <v>0</v>
      </c>
      <c r="DI1862">
        <v>0</v>
      </c>
    </row>
    <row r="1863" spans="1:113" x14ac:dyDescent="0.3">
      <c r="A1863" t="str">
        <f>"02/08/2021 20:24:02.086"</f>
        <v>02/08/2021 20:24:02.086</v>
      </c>
      <c r="C1863" t="str">
        <f t="shared" si="90"/>
        <v>FFDFD7C0</v>
      </c>
      <c r="D1863" t="s">
        <v>124</v>
      </c>
      <c r="E1863">
        <v>12</v>
      </c>
      <c r="F1863">
        <v>1012</v>
      </c>
      <c r="G1863" t="s">
        <v>675</v>
      </c>
      <c r="J1863" t="s">
        <v>125</v>
      </c>
      <c r="K1863">
        <v>0</v>
      </c>
      <c r="L1863">
        <v>3</v>
      </c>
      <c r="M1863">
        <v>0</v>
      </c>
      <c r="N1863">
        <v>2</v>
      </c>
      <c r="O1863">
        <v>1</v>
      </c>
      <c r="P1863">
        <v>0</v>
      </c>
      <c r="Q1863">
        <v>0</v>
      </c>
      <c r="S1863" t="str">
        <f>"20:24:04.398"</f>
        <v>20:24:04.398</v>
      </c>
      <c r="T1863" t="str">
        <f>"20:24:03.898"</f>
        <v>20:24:03.898</v>
      </c>
      <c r="U1863" t="str">
        <f t="shared" si="92"/>
        <v>AB01F4</v>
      </c>
      <c r="V1863">
        <v>0</v>
      </c>
      <c r="W1863">
        <v>0</v>
      </c>
      <c r="X1863">
        <v>2</v>
      </c>
      <c r="Z1863">
        <v>0</v>
      </c>
      <c r="AA1863">
        <v>9</v>
      </c>
      <c r="AB1863">
        <v>3</v>
      </c>
      <c r="AC1863">
        <v>0</v>
      </c>
      <c r="AD1863">
        <v>10</v>
      </c>
      <c r="AE1863">
        <v>0</v>
      </c>
      <c r="AF1863">
        <v>3</v>
      </c>
      <c r="AG1863">
        <v>2</v>
      </c>
      <c r="AH1863">
        <v>0</v>
      </c>
      <c r="AI1863" t="s">
        <v>1181</v>
      </c>
      <c r="AJ1863">
        <v>39.910905</v>
      </c>
      <c r="AK1863" t="s">
        <v>1182</v>
      </c>
      <c r="AL1863">
        <v>-92.588481999999999</v>
      </c>
      <c r="AM1863">
        <v>100</v>
      </c>
      <c r="AN1863">
        <v>1700</v>
      </c>
      <c r="AO1863" t="s">
        <v>118</v>
      </c>
      <c r="AP1863">
        <v>-106</v>
      </c>
      <c r="AQ1863">
        <v>75</v>
      </c>
      <c r="AR1863">
        <v>64</v>
      </c>
      <c r="AZ1863">
        <v>1200</v>
      </c>
      <c r="BA1863">
        <v>1</v>
      </c>
      <c r="BB1863" t="str">
        <f t="shared" si="91"/>
        <v xml:space="preserve">N8080G  </v>
      </c>
      <c r="BC1863">
        <v>1</v>
      </c>
      <c r="BE1863">
        <v>0</v>
      </c>
      <c r="BF1863">
        <v>0</v>
      </c>
      <c r="BG1863">
        <v>0</v>
      </c>
      <c r="BH1863">
        <v>1700</v>
      </c>
      <c r="BI1863">
        <v>1</v>
      </c>
      <c r="BJ1863">
        <v>1</v>
      </c>
      <c r="BK1863">
        <v>1</v>
      </c>
      <c r="BL1863">
        <v>0</v>
      </c>
      <c r="BO1863">
        <v>0</v>
      </c>
      <c r="BP1863">
        <v>0</v>
      </c>
      <c r="BW1863" t="str">
        <f>"20:24:04.400"</f>
        <v>20:24:04.400</v>
      </c>
      <c r="BZ1863">
        <v>0</v>
      </c>
      <c r="CA1863">
        <v>2016</v>
      </c>
      <c r="CB1863">
        <v>224</v>
      </c>
      <c r="CD1863">
        <v>1</v>
      </c>
      <c r="CE1863">
        <v>0</v>
      </c>
      <c r="CF1863">
        <v>0</v>
      </c>
      <c r="CG1863">
        <v>1</v>
      </c>
      <c r="CH1863">
        <v>0</v>
      </c>
      <c r="CI1863">
        <v>0</v>
      </c>
      <c r="CJ1863">
        <v>0</v>
      </c>
      <c r="CK1863">
        <v>2</v>
      </c>
      <c r="CL1863">
        <v>0</v>
      </c>
      <c r="CM1863">
        <v>2</v>
      </c>
      <c r="CN1863">
        <v>0</v>
      </c>
      <c r="CO1863">
        <v>7</v>
      </c>
      <c r="CP1863" t="s">
        <v>119</v>
      </c>
      <c r="CQ1863">
        <v>180</v>
      </c>
      <c r="CR1863">
        <v>2</v>
      </c>
      <c r="CW1863">
        <v>8364924</v>
      </c>
      <c r="CY1863">
        <v>1</v>
      </c>
      <c r="CZ1863">
        <v>0</v>
      </c>
      <c r="DA1863">
        <v>0</v>
      </c>
      <c r="DB1863">
        <v>0</v>
      </c>
      <c r="DC1863">
        <v>0</v>
      </c>
      <c r="DD1863">
        <v>0</v>
      </c>
      <c r="DE1863">
        <v>0</v>
      </c>
      <c r="DF1863">
        <v>0</v>
      </c>
      <c r="DG1863">
        <v>0</v>
      </c>
      <c r="DH1863">
        <v>0</v>
      </c>
      <c r="DI1863">
        <v>0</v>
      </c>
    </row>
    <row r="1864" spans="1:113" x14ac:dyDescent="0.3">
      <c r="A1864" t="str">
        <f>"02/08/2021 20:24:02.086"</f>
        <v>02/08/2021 20:24:02.086</v>
      </c>
      <c r="C1864" t="str">
        <f t="shared" si="90"/>
        <v>FFDFD7C0</v>
      </c>
      <c r="D1864" t="s">
        <v>113</v>
      </c>
      <c r="E1864">
        <v>6</v>
      </c>
      <c r="H1864">
        <v>165</v>
      </c>
      <c r="I1864" t="s">
        <v>114</v>
      </c>
      <c r="J1864" t="s">
        <v>115</v>
      </c>
      <c r="K1864">
        <v>0</v>
      </c>
      <c r="L1864">
        <v>3</v>
      </c>
      <c r="M1864">
        <v>0</v>
      </c>
      <c r="N1864">
        <v>2</v>
      </c>
      <c r="O1864">
        <v>1</v>
      </c>
      <c r="P1864">
        <v>0</v>
      </c>
      <c r="Q1864">
        <v>0</v>
      </c>
      <c r="S1864" t="str">
        <f>"20:24:04.398"</f>
        <v>20:24:04.398</v>
      </c>
      <c r="T1864" t="str">
        <f>"20:24:03.898"</f>
        <v>20:24:03.898</v>
      </c>
      <c r="U1864" t="str">
        <f t="shared" si="92"/>
        <v>AB01F4</v>
      </c>
      <c r="V1864">
        <v>0</v>
      </c>
      <c r="W1864">
        <v>0</v>
      </c>
      <c r="X1864">
        <v>2</v>
      </c>
      <c r="Z1864">
        <v>0</v>
      </c>
      <c r="AA1864">
        <v>9</v>
      </c>
      <c r="AB1864">
        <v>3</v>
      </c>
      <c r="AC1864">
        <v>0</v>
      </c>
      <c r="AD1864">
        <v>10</v>
      </c>
      <c r="AE1864">
        <v>0</v>
      </c>
      <c r="AF1864">
        <v>3</v>
      </c>
      <c r="AG1864">
        <v>2</v>
      </c>
      <c r="AH1864">
        <v>0</v>
      </c>
      <c r="AI1864" t="s">
        <v>1181</v>
      </c>
      <c r="AJ1864">
        <v>39.910905</v>
      </c>
      <c r="AK1864" t="s">
        <v>1182</v>
      </c>
      <c r="AL1864">
        <v>-92.588481999999999</v>
      </c>
      <c r="AM1864">
        <v>100</v>
      </c>
      <c r="AN1864">
        <v>1700</v>
      </c>
      <c r="AO1864" t="s">
        <v>118</v>
      </c>
      <c r="AP1864">
        <v>-106</v>
      </c>
      <c r="AQ1864">
        <v>75</v>
      </c>
      <c r="AR1864">
        <v>64</v>
      </c>
      <c r="AZ1864">
        <v>1200</v>
      </c>
      <c r="BA1864">
        <v>1</v>
      </c>
      <c r="BB1864" t="str">
        <f t="shared" si="91"/>
        <v xml:space="preserve">N8080G  </v>
      </c>
      <c r="BC1864">
        <v>1</v>
      </c>
      <c r="BE1864">
        <v>0</v>
      </c>
      <c r="BF1864">
        <v>0</v>
      </c>
      <c r="BG1864">
        <v>0</v>
      </c>
      <c r="BH1864">
        <v>1700</v>
      </c>
      <c r="BI1864">
        <v>1</v>
      </c>
      <c r="BJ1864">
        <v>1</v>
      </c>
      <c r="BK1864">
        <v>1</v>
      </c>
      <c r="BL1864">
        <v>0</v>
      </c>
      <c r="BO1864">
        <v>0</v>
      </c>
      <c r="BP1864">
        <v>0</v>
      </c>
      <c r="BW1864" t="str">
        <f>"20:24:04.400"</f>
        <v>20:24:04.400</v>
      </c>
      <c r="BZ1864">
        <v>0</v>
      </c>
      <c r="CA1864">
        <v>2016</v>
      </c>
      <c r="CB1864">
        <v>224</v>
      </c>
      <c r="CD1864">
        <v>1</v>
      </c>
      <c r="CE1864">
        <v>0</v>
      </c>
      <c r="CF1864">
        <v>0</v>
      </c>
      <c r="CG1864">
        <v>1</v>
      </c>
      <c r="CH1864">
        <v>0</v>
      </c>
      <c r="CI1864">
        <v>0</v>
      </c>
      <c r="CJ1864">
        <v>0</v>
      </c>
      <c r="CK1864">
        <v>2</v>
      </c>
      <c r="CL1864">
        <v>0</v>
      </c>
      <c r="CM1864">
        <v>2</v>
      </c>
      <c r="CN1864">
        <v>0</v>
      </c>
      <c r="CO1864">
        <v>7</v>
      </c>
      <c r="CP1864" t="s">
        <v>119</v>
      </c>
      <c r="CQ1864">
        <v>180</v>
      </c>
      <c r="CR1864">
        <v>2</v>
      </c>
      <c r="CW1864">
        <v>8364924</v>
      </c>
      <c r="CY1864">
        <v>1</v>
      </c>
      <c r="CZ1864">
        <v>0</v>
      </c>
      <c r="DA1864">
        <v>1</v>
      </c>
      <c r="DB1864">
        <v>0</v>
      </c>
      <c r="DC1864">
        <v>0</v>
      </c>
      <c r="DD1864">
        <v>0</v>
      </c>
      <c r="DE1864">
        <v>0</v>
      </c>
      <c r="DF1864">
        <v>0</v>
      </c>
      <c r="DG1864">
        <v>0</v>
      </c>
      <c r="DH1864">
        <v>0</v>
      </c>
      <c r="DI1864">
        <v>0</v>
      </c>
    </row>
    <row r="1865" spans="1:113" x14ac:dyDescent="0.3">
      <c r="A1865" t="str">
        <f>"02/08/2021 20:24:02.086"</f>
        <v>02/08/2021 20:24:02.086</v>
      </c>
      <c r="C1865" t="str">
        <f t="shared" si="90"/>
        <v>FFDFD7C0</v>
      </c>
      <c r="D1865" t="s">
        <v>124</v>
      </c>
      <c r="E1865">
        <v>13</v>
      </c>
      <c r="F1865">
        <v>1013</v>
      </c>
      <c r="G1865" t="s">
        <v>114</v>
      </c>
      <c r="J1865" t="s">
        <v>125</v>
      </c>
      <c r="K1865">
        <v>0</v>
      </c>
      <c r="L1865">
        <v>3</v>
      </c>
      <c r="M1865">
        <v>0</v>
      </c>
      <c r="N1865">
        <v>2</v>
      </c>
      <c r="O1865">
        <v>1</v>
      </c>
      <c r="P1865">
        <v>0</v>
      </c>
      <c r="Q1865">
        <v>0</v>
      </c>
      <c r="S1865" t="str">
        <f>"20:24:04.398"</f>
        <v>20:24:04.398</v>
      </c>
      <c r="T1865" t="str">
        <f>"20:24:03.898"</f>
        <v>20:24:03.898</v>
      </c>
      <c r="U1865" t="str">
        <f t="shared" si="92"/>
        <v>AB01F4</v>
      </c>
      <c r="V1865">
        <v>0</v>
      </c>
      <c r="W1865">
        <v>0</v>
      </c>
      <c r="X1865">
        <v>2</v>
      </c>
      <c r="Z1865">
        <v>0</v>
      </c>
      <c r="AA1865">
        <v>9</v>
      </c>
      <c r="AB1865">
        <v>3</v>
      </c>
      <c r="AC1865">
        <v>0</v>
      </c>
      <c r="AD1865">
        <v>10</v>
      </c>
      <c r="AE1865">
        <v>0</v>
      </c>
      <c r="AF1865">
        <v>3</v>
      </c>
      <c r="AG1865">
        <v>2</v>
      </c>
      <c r="AH1865">
        <v>0</v>
      </c>
      <c r="AI1865" t="s">
        <v>1181</v>
      </c>
      <c r="AJ1865">
        <v>39.910905</v>
      </c>
      <c r="AK1865" t="s">
        <v>1182</v>
      </c>
      <c r="AL1865">
        <v>-92.588481999999999</v>
      </c>
      <c r="AM1865">
        <v>100</v>
      </c>
      <c r="AN1865">
        <v>1700</v>
      </c>
      <c r="AO1865" t="s">
        <v>118</v>
      </c>
      <c r="AP1865">
        <v>-106</v>
      </c>
      <c r="AQ1865">
        <v>75</v>
      </c>
      <c r="AR1865">
        <v>64</v>
      </c>
      <c r="AZ1865">
        <v>1200</v>
      </c>
      <c r="BA1865">
        <v>1</v>
      </c>
      <c r="BB1865" t="str">
        <f t="shared" si="91"/>
        <v xml:space="preserve">N8080G  </v>
      </c>
      <c r="BC1865">
        <v>1</v>
      </c>
      <c r="BE1865">
        <v>0</v>
      </c>
      <c r="BF1865">
        <v>0</v>
      </c>
      <c r="BG1865">
        <v>0</v>
      </c>
      <c r="BH1865">
        <v>1700</v>
      </c>
      <c r="BI1865">
        <v>1</v>
      </c>
      <c r="BJ1865">
        <v>1</v>
      </c>
      <c r="BK1865">
        <v>1</v>
      </c>
      <c r="BL1865">
        <v>0</v>
      </c>
      <c r="BO1865">
        <v>0</v>
      </c>
      <c r="BP1865">
        <v>0</v>
      </c>
      <c r="BW1865" t="str">
        <f>"20:24:04.400"</f>
        <v>20:24:04.400</v>
      </c>
      <c r="BZ1865">
        <v>0</v>
      </c>
      <c r="CA1865">
        <v>2016</v>
      </c>
      <c r="CB1865">
        <v>224</v>
      </c>
      <c r="CD1865">
        <v>1</v>
      </c>
      <c r="CE1865">
        <v>0</v>
      </c>
      <c r="CF1865">
        <v>0</v>
      </c>
      <c r="CG1865">
        <v>1</v>
      </c>
      <c r="CH1865">
        <v>0</v>
      </c>
      <c r="CI1865">
        <v>0</v>
      </c>
      <c r="CJ1865">
        <v>0</v>
      </c>
      <c r="CK1865">
        <v>2</v>
      </c>
      <c r="CL1865">
        <v>0</v>
      </c>
      <c r="CM1865">
        <v>2</v>
      </c>
      <c r="CN1865">
        <v>0</v>
      </c>
      <c r="CO1865">
        <v>7</v>
      </c>
      <c r="CP1865" t="s">
        <v>119</v>
      </c>
      <c r="CQ1865">
        <v>180</v>
      </c>
      <c r="CR1865">
        <v>2</v>
      </c>
      <c r="CW1865">
        <v>8364924</v>
      </c>
      <c r="CY1865">
        <v>1</v>
      </c>
      <c r="CZ1865">
        <v>0</v>
      </c>
      <c r="DA1865">
        <v>1</v>
      </c>
      <c r="DB1865">
        <v>0</v>
      </c>
      <c r="DC1865">
        <v>0</v>
      </c>
      <c r="DD1865">
        <v>0</v>
      </c>
      <c r="DE1865">
        <v>0</v>
      </c>
      <c r="DF1865">
        <v>0</v>
      </c>
      <c r="DG1865">
        <v>0</v>
      </c>
      <c r="DH1865">
        <v>0</v>
      </c>
      <c r="DI1865">
        <v>0</v>
      </c>
    </row>
    <row r="1866" spans="1:113" x14ac:dyDescent="0.3">
      <c r="A1866" t="str">
        <f>"02/08/2021 20:24:02.086"</f>
        <v>02/08/2021 20:24:02.086</v>
      </c>
      <c r="C1866" t="str">
        <f t="shared" si="90"/>
        <v>FFDFD7C0</v>
      </c>
      <c r="D1866" t="s">
        <v>124</v>
      </c>
      <c r="E1866">
        <v>11</v>
      </c>
      <c r="F1866">
        <v>1011</v>
      </c>
      <c r="G1866" t="s">
        <v>590</v>
      </c>
      <c r="J1866" t="s">
        <v>125</v>
      </c>
      <c r="K1866">
        <v>0</v>
      </c>
      <c r="L1866">
        <v>3</v>
      </c>
      <c r="M1866">
        <v>0</v>
      </c>
      <c r="N1866">
        <v>2</v>
      </c>
      <c r="O1866">
        <v>1</v>
      </c>
      <c r="P1866">
        <v>0</v>
      </c>
      <c r="Q1866">
        <v>0</v>
      </c>
      <c r="S1866" t="str">
        <f>"20:24:04.398"</f>
        <v>20:24:04.398</v>
      </c>
      <c r="T1866" t="str">
        <f>"20:24:03.898"</f>
        <v>20:24:03.898</v>
      </c>
      <c r="U1866" t="str">
        <f t="shared" si="92"/>
        <v>AB01F4</v>
      </c>
      <c r="V1866">
        <v>0</v>
      </c>
      <c r="W1866">
        <v>0</v>
      </c>
      <c r="X1866">
        <v>2</v>
      </c>
      <c r="Z1866">
        <v>0</v>
      </c>
      <c r="AA1866">
        <v>9</v>
      </c>
      <c r="AB1866">
        <v>3</v>
      </c>
      <c r="AC1866">
        <v>0</v>
      </c>
      <c r="AD1866">
        <v>10</v>
      </c>
      <c r="AE1866">
        <v>0</v>
      </c>
      <c r="AF1866">
        <v>3</v>
      </c>
      <c r="AG1866">
        <v>2</v>
      </c>
      <c r="AH1866">
        <v>0</v>
      </c>
      <c r="AI1866" t="s">
        <v>1181</v>
      </c>
      <c r="AJ1866">
        <v>39.910905</v>
      </c>
      <c r="AK1866" t="s">
        <v>1182</v>
      </c>
      <c r="AL1866">
        <v>-92.588481999999999</v>
      </c>
      <c r="AM1866">
        <v>100</v>
      </c>
      <c r="AN1866">
        <v>1700</v>
      </c>
      <c r="AO1866" t="s">
        <v>118</v>
      </c>
      <c r="AP1866">
        <v>-106</v>
      </c>
      <c r="AQ1866">
        <v>75</v>
      </c>
      <c r="AR1866">
        <v>64</v>
      </c>
      <c r="AZ1866">
        <v>1200</v>
      </c>
      <c r="BA1866">
        <v>1</v>
      </c>
      <c r="BB1866" t="str">
        <f t="shared" si="91"/>
        <v xml:space="preserve">N8080G  </v>
      </c>
      <c r="BC1866">
        <v>1</v>
      </c>
      <c r="BE1866">
        <v>0</v>
      </c>
      <c r="BF1866">
        <v>0</v>
      </c>
      <c r="BG1866">
        <v>0</v>
      </c>
      <c r="BH1866">
        <v>1700</v>
      </c>
      <c r="BI1866">
        <v>1</v>
      </c>
      <c r="BJ1866">
        <v>1</v>
      </c>
      <c r="BK1866">
        <v>1</v>
      </c>
      <c r="BL1866">
        <v>0</v>
      </c>
      <c r="BO1866">
        <v>0</v>
      </c>
      <c r="BP1866">
        <v>0</v>
      </c>
      <c r="BW1866" t="str">
        <f>"20:24:04.400"</f>
        <v>20:24:04.400</v>
      </c>
      <c r="BZ1866">
        <v>0</v>
      </c>
      <c r="CA1866">
        <v>2016</v>
      </c>
      <c r="CB1866">
        <v>224</v>
      </c>
      <c r="CD1866">
        <v>1</v>
      </c>
      <c r="CE1866">
        <v>0</v>
      </c>
      <c r="CF1866">
        <v>0</v>
      </c>
      <c r="CG1866">
        <v>1</v>
      </c>
      <c r="CH1866">
        <v>0</v>
      </c>
      <c r="CI1866">
        <v>0</v>
      </c>
      <c r="CJ1866">
        <v>0</v>
      </c>
      <c r="CK1866">
        <v>2</v>
      </c>
      <c r="CL1866">
        <v>0</v>
      </c>
      <c r="CM1866">
        <v>2</v>
      </c>
      <c r="CN1866">
        <v>0</v>
      </c>
      <c r="CO1866">
        <v>7</v>
      </c>
      <c r="CP1866" t="s">
        <v>119</v>
      </c>
      <c r="CQ1866">
        <v>180</v>
      </c>
      <c r="CR1866">
        <v>2</v>
      </c>
      <c r="CW1866">
        <v>8364924</v>
      </c>
      <c r="CY1866">
        <v>1</v>
      </c>
      <c r="CZ1866">
        <v>0</v>
      </c>
      <c r="DA1866">
        <v>1</v>
      </c>
      <c r="DB1866">
        <v>0</v>
      </c>
      <c r="DC1866">
        <v>0</v>
      </c>
      <c r="DD1866">
        <v>0</v>
      </c>
      <c r="DE1866">
        <v>0</v>
      </c>
      <c r="DF1866">
        <v>0</v>
      </c>
      <c r="DG1866">
        <v>0</v>
      </c>
      <c r="DH1866">
        <v>0</v>
      </c>
      <c r="DI1866">
        <v>0</v>
      </c>
    </row>
    <row r="1867" spans="1:113" x14ac:dyDescent="0.3">
      <c r="A1867" t="str">
        <f>"02/08/2021 20:24:03.040"</f>
        <v>02/08/2021 20:24:03.040</v>
      </c>
      <c r="C1867" t="str">
        <f t="shared" si="90"/>
        <v>FFDFD7C0</v>
      </c>
      <c r="D1867" t="s">
        <v>124</v>
      </c>
      <c r="E1867">
        <v>12</v>
      </c>
      <c r="F1867">
        <v>1012</v>
      </c>
      <c r="G1867" t="s">
        <v>675</v>
      </c>
      <c r="J1867" t="s">
        <v>125</v>
      </c>
      <c r="K1867">
        <v>0</v>
      </c>
      <c r="L1867">
        <v>3</v>
      </c>
      <c r="M1867">
        <v>0</v>
      </c>
      <c r="N1867">
        <v>2</v>
      </c>
      <c r="O1867">
        <v>1</v>
      </c>
      <c r="P1867">
        <v>0</v>
      </c>
      <c r="Q1867">
        <v>0</v>
      </c>
      <c r="S1867" t="str">
        <f>"20:24:05.328"</f>
        <v>20:24:05.328</v>
      </c>
      <c r="T1867" t="str">
        <f>"20:24:04.928"</f>
        <v>20:24:04.928</v>
      </c>
      <c r="U1867" t="str">
        <f t="shared" si="92"/>
        <v>AB01F4</v>
      </c>
      <c r="V1867">
        <v>0</v>
      </c>
      <c r="W1867">
        <v>0</v>
      </c>
      <c r="X1867">
        <v>2</v>
      </c>
      <c r="Z1867">
        <v>0</v>
      </c>
      <c r="AA1867">
        <v>9</v>
      </c>
      <c r="AB1867">
        <v>3</v>
      </c>
      <c r="AC1867">
        <v>0</v>
      </c>
      <c r="AD1867">
        <v>10</v>
      </c>
      <c r="AE1867">
        <v>0</v>
      </c>
      <c r="AF1867">
        <v>3</v>
      </c>
      <c r="AG1867">
        <v>2</v>
      </c>
      <c r="AH1867">
        <v>0</v>
      </c>
      <c r="AI1867" t="s">
        <v>1183</v>
      </c>
      <c r="AJ1867">
        <v>39.911270000000002</v>
      </c>
      <c r="AK1867" t="s">
        <v>1184</v>
      </c>
      <c r="AL1867">
        <v>-92.589125999999993</v>
      </c>
      <c r="AM1867">
        <v>100</v>
      </c>
      <c r="AN1867">
        <v>1700</v>
      </c>
      <c r="AO1867" t="s">
        <v>118</v>
      </c>
      <c r="AP1867">
        <v>-106</v>
      </c>
      <c r="AQ1867">
        <v>75</v>
      </c>
      <c r="AR1867">
        <v>64</v>
      </c>
      <c r="AZ1867">
        <v>1200</v>
      </c>
      <c r="BA1867">
        <v>1</v>
      </c>
      <c r="BB1867" t="str">
        <f t="shared" si="91"/>
        <v xml:space="preserve">N8080G  </v>
      </c>
      <c r="BC1867">
        <v>1</v>
      </c>
      <c r="BE1867">
        <v>0</v>
      </c>
      <c r="BF1867">
        <v>0</v>
      </c>
      <c r="BG1867">
        <v>0</v>
      </c>
      <c r="BH1867">
        <v>1700</v>
      </c>
      <c r="BI1867">
        <v>1</v>
      </c>
      <c r="BJ1867">
        <v>1</v>
      </c>
      <c r="BK1867">
        <v>1</v>
      </c>
      <c r="BL1867">
        <v>0</v>
      </c>
      <c r="BO1867">
        <v>0</v>
      </c>
      <c r="BP1867">
        <v>0</v>
      </c>
      <c r="BW1867" t="str">
        <f>"20:24:05.329"</f>
        <v>20:24:05.329</v>
      </c>
      <c r="BZ1867">
        <v>0</v>
      </c>
      <c r="CA1867">
        <v>2016</v>
      </c>
      <c r="CB1867">
        <v>224</v>
      </c>
      <c r="CD1867">
        <v>1</v>
      </c>
      <c r="CE1867">
        <v>0</v>
      </c>
      <c r="CF1867">
        <v>0</v>
      </c>
      <c r="CG1867">
        <v>1</v>
      </c>
      <c r="CH1867">
        <v>0</v>
      </c>
      <c r="CI1867">
        <v>0</v>
      </c>
      <c r="CJ1867">
        <v>0</v>
      </c>
      <c r="CK1867">
        <v>2</v>
      </c>
      <c r="CL1867">
        <v>0</v>
      </c>
      <c r="CM1867">
        <v>2</v>
      </c>
      <c r="CN1867">
        <v>0</v>
      </c>
      <c r="CO1867">
        <v>1</v>
      </c>
      <c r="CP1867" t="s">
        <v>119</v>
      </c>
      <c r="CQ1867">
        <v>179</v>
      </c>
      <c r="CR1867">
        <v>1</v>
      </c>
      <c r="CW1867">
        <v>8799532</v>
      </c>
      <c r="CY1867">
        <v>1</v>
      </c>
      <c r="CZ1867">
        <v>0</v>
      </c>
      <c r="DA1867">
        <v>0</v>
      </c>
      <c r="DB1867">
        <v>0</v>
      </c>
      <c r="DC1867">
        <v>0</v>
      </c>
      <c r="DD1867">
        <v>0</v>
      </c>
      <c r="DE1867">
        <v>0</v>
      </c>
      <c r="DF1867">
        <v>0</v>
      </c>
      <c r="DG1867">
        <v>0</v>
      </c>
      <c r="DH1867">
        <v>0</v>
      </c>
      <c r="DI1867">
        <v>0</v>
      </c>
    </row>
    <row r="1868" spans="1:113" x14ac:dyDescent="0.3">
      <c r="A1868" t="str">
        <f>"02/08/2021 20:24:03.040"</f>
        <v>02/08/2021 20:24:03.040</v>
      </c>
      <c r="C1868" t="str">
        <f t="shared" si="90"/>
        <v>FFDFD7C0</v>
      </c>
      <c r="D1868" t="s">
        <v>124</v>
      </c>
      <c r="E1868">
        <v>11</v>
      </c>
      <c r="F1868">
        <v>1011</v>
      </c>
      <c r="G1868" t="s">
        <v>590</v>
      </c>
      <c r="J1868" t="s">
        <v>125</v>
      </c>
      <c r="K1868">
        <v>0</v>
      </c>
      <c r="L1868">
        <v>3</v>
      </c>
      <c r="M1868">
        <v>0</v>
      </c>
      <c r="N1868">
        <v>2</v>
      </c>
      <c r="O1868">
        <v>1</v>
      </c>
      <c r="P1868">
        <v>0</v>
      </c>
      <c r="Q1868">
        <v>0</v>
      </c>
      <c r="S1868" t="str">
        <f>"20:24:05.328"</f>
        <v>20:24:05.328</v>
      </c>
      <c r="T1868" t="str">
        <f>"20:24:04.928"</f>
        <v>20:24:04.928</v>
      </c>
      <c r="U1868" t="str">
        <f t="shared" si="92"/>
        <v>AB01F4</v>
      </c>
      <c r="V1868">
        <v>0</v>
      </c>
      <c r="W1868">
        <v>0</v>
      </c>
      <c r="X1868">
        <v>2</v>
      </c>
      <c r="Z1868">
        <v>0</v>
      </c>
      <c r="AA1868">
        <v>9</v>
      </c>
      <c r="AB1868">
        <v>3</v>
      </c>
      <c r="AC1868">
        <v>0</v>
      </c>
      <c r="AD1868">
        <v>10</v>
      </c>
      <c r="AE1868">
        <v>0</v>
      </c>
      <c r="AF1868">
        <v>3</v>
      </c>
      <c r="AG1868">
        <v>2</v>
      </c>
      <c r="AH1868">
        <v>0</v>
      </c>
      <c r="AI1868" t="s">
        <v>1183</v>
      </c>
      <c r="AJ1868">
        <v>39.911270000000002</v>
      </c>
      <c r="AK1868" t="s">
        <v>1184</v>
      </c>
      <c r="AL1868">
        <v>-92.589125999999993</v>
      </c>
      <c r="AM1868">
        <v>100</v>
      </c>
      <c r="AN1868">
        <v>1700</v>
      </c>
      <c r="AO1868" t="s">
        <v>118</v>
      </c>
      <c r="AP1868">
        <v>-106</v>
      </c>
      <c r="AQ1868">
        <v>75</v>
      </c>
      <c r="AR1868">
        <v>64</v>
      </c>
      <c r="AZ1868">
        <v>1200</v>
      </c>
      <c r="BA1868">
        <v>1</v>
      </c>
      <c r="BB1868" t="str">
        <f t="shared" si="91"/>
        <v xml:space="preserve">N8080G  </v>
      </c>
      <c r="BC1868">
        <v>1</v>
      </c>
      <c r="BE1868">
        <v>0</v>
      </c>
      <c r="BF1868">
        <v>0</v>
      </c>
      <c r="BG1868">
        <v>0</v>
      </c>
      <c r="BH1868">
        <v>1700</v>
      </c>
      <c r="BI1868">
        <v>1</v>
      </c>
      <c r="BJ1868">
        <v>1</v>
      </c>
      <c r="BK1868">
        <v>1</v>
      </c>
      <c r="BL1868">
        <v>0</v>
      </c>
      <c r="BO1868">
        <v>0</v>
      </c>
      <c r="BP1868">
        <v>0</v>
      </c>
      <c r="BW1868" t="str">
        <f>"20:24:05.329"</f>
        <v>20:24:05.329</v>
      </c>
      <c r="BZ1868">
        <v>0</v>
      </c>
      <c r="CA1868">
        <v>2016</v>
      </c>
      <c r="CB1868">
        <v>224</v>
      </c>
      <c r="CD1868">
        <v>1</v>
      </c>
      <c r="CE1868">
        <v>0</v>
      </c>
      <c r="CF1868">
        <v>0</v>
      </c>
      <c r="CG1868">
        <v>1</v>
      </c>
      <c r="CH1868">
        <v>0</v>
      </c>
      <c r="CI1868">
        <v>0</v>
      </c>
      <c r="CJ1868">
        <v>0</v>
      </c>
      <c r="CK1868">
        <v>2</v>
      </c>
      <c r="CL1868">
        <v>0</v>
      </c>
      <c r="CM1868">
        <v>2</v>
      </c>
      <c r="CN1868">
        <v>0</v>
      </c>
      <c r="CO1868">
        <v>1</v>
      </c>
      <c r="CP1868" t="s">
        <v>119</v>
      </c>
      <c r="CQ1868">
        <v>179</v>
      </c>
      <c r="CR1868">
        <v>1</v>
      </c>
      <c r="CW1868">
        <v>8799532</v>
      </c>
      <c r="CY1868">
        <v>1</v>
      </c>
      <c r="CZ1868">
        <v>0</v>
      </c>
      <c r="DA1868">
        <v>1</v>
      </c>
      <c r="DB1868">
        <v>0</v>
      </c>
      <c r="DC1868">
        <v>0</v>
      </c>
      <c r="DD1868">
        <v>0</v>
      </c>
      <c r="DE1868">
        <v>0</v>
      </c>
      <c r="DF1868">
        <v>0</v>
      </c>
      <c r="DG1868">
        <v>0</v>
      </c>
      <c r="DH1868">
        <v>0</v>
      </c>
      <c r="DI1868">
        <v>0</v>
      </c>
    </row>
    <row r="1869" spans="1:113" x14ac:dyDescent="0.3">
      <c r="A1869" t="str">
        <f>"02/08/2021 20:24:03.040"</f>
        <v>02/08/2021 20:24:03.040</v>
      </c>
      <c r="C1869" t="str">
        <f t="shared" si="90"/>
        <v>FFDFD7C0</v>
      </c>
      <c r="D1869" t="s">
        <v>113</v>
      </c>
      <c r="E1869">
        <v>6</v>
      </c>
      <c r="H1869">
        <v>165</v>
      </c>
      <c r="I1869" t="s">
        <v>114</v>
      </c>
      <c r="J1869" t="s">
        <v>115</v>
      </c>
      <c r="K1869">
        <v>0</v>
      </c>
      <c r="L1869">
        <v>3</v>
      </c>
      <c r="M1869">
        <v>0</v>
      </c>
      <c r="N1869">
        <v>2</v>
      </c>
      <c r="O1869">
        <v>1</v>
      </c>
      <c r="P1869">
        <v>0</v>
      </c>
      <c r="Q1869">
        <v>0</v>
      </c>
      <c r="S1869" t="str">
        <f>"20:24:05.328"</f>
        <v>20:24:05.328</v>
      </c>
      <c r="T1869" t="str">
        <f>"20:24:04.928"</f>
        <v>20:24:04.928</v>
      </c>
      <c r="U1869" t="str">
        <f t="shared" si="92"/>
        <v>AB01F4</v>
      </c>
      <c r="V1869">
        <v>0</v>
      </c>
      <c r="W1869">
        <v>0</v>
      </c>
      <c r="X1869">
        <v>2</v>
      </c>
      <c r="Z1869">
        <v>0</v>
      </c>
      <c r="AA1869">
        <v>9</v>
      </c>
      <c r="AB1869">
        <v>3</v>
      </c>
      <c r="AC1869">
        <v>0</v>
      </c>
      <c r="AD1869">
        <v>10</v>
      </c>
      <c r="AE1869">
        <v>0</v>
      </c>
      <c r="AF1869">
        <v>3</v>
      </c>
      <c r="AG1869">
        <v>2</v>
      </c>
      <c r="AH1869">
        <v>0</v>
      </c>
      <c r="AI1869" t="s">
        <v>1183</v>
      </c>
      <c r="AJ1869">
        <v>39.911270000000002</v>
      </c>
      <c r="AK1869" t="s">
        <v>1184</v>
      </c>
      <c r="AL1869">
        <v>-92.589125999999993</v>
      </c>
      <c r="AM1869">
        <v>100</v>
      </c>
      <c r="AN1869">
        <v>1700</v>
      </c>
      <c r="AO1869" t="s">
        <v>118</v>
      </c>
      <c r="AP1869">
        <v>-106</v>
      </c>
      <c r="AQ1869">
        <v>75</v>
      </c>
      <c r="AR1869">
        <v>64</v>
      </c>
      <c r="AZ1869">
        <v>1200</v>
      </c>
      <c r="BA1869">
        <v>1</v>
      </c>
      <c r="BB1869" t="str">
        <f t="shared" si="91"/>
        <v xml:space="preserve">N8080G  </v>
      </c>
      <c r="BC1869">
        <v>1</v>
      </c>
      <c r="BE1869">
        <v>0</v>
      </c>
      <c r="BF1869">
        <v>0</v>
      </c>
      <c r="BG1869">
        <v>0</v>
      </c>
      <c r="BH1869">
        <v>1700</v>
      </c>
      <c r="BI1869">
        <v>1</v>
      </c>
      <c r="BJ1869">
        <v>1</v>
      </c>
      <c r="BK1869">
        <v>1</v>
      </c>
      <c r="BL1869">
        <v>0</v>
      </c>
      <c r="BO1869">
        <v>0</v>
      </c>
      <c r="BP1869">
        <v>0</v>
      </c>
      <c r="BW1869" t="str">
        <f>"20:24:05.329"</f>
        <v>20:24:05.329</v>
      </c>
      <c r="BZ1869">
        <v>0</v>
      </c>
      <c r="CA1869">
        <v>2016</v>
      </c>
      <c r="CB1869">
        <v>224</v>
      </c>
      <c r="CD1869">
        <v>1</v>
      </c>
      <c r="CE1869">
        <v>0</v>
      </c>
      <c r="CF1869">
        <v>0</v>
      </c>
      <c r="CG1869">
        <v>1</v>
      </c>
      <c r="CH1869">
        <v>0</v>
      </c>
      <c r="CI1869">
        <v>0</v>
      </c>
      <c r="CJ1869">
        <v>0</v>
      </c>
      <c r="CK1869">
        <v>2</v>
      </c>
      <c r="CL1869">
        <v>0</v>
      </c>
      <c r="CM1869">
        <v>2</v>
      </c>
      <c r="CN1869">
        <v>0</v>
      </c>
      <c r="CO1869">
        <v>1</v>
      </c>
      <c r="CP1869" t="s">
        <v>119</v>
      </c>
      <c r="CQ1869">
        <v>179</v>
      </c>
      <c r="CR1869">
        <v>1</v>
      </c>
      <c r="CW1869">
        <v>8799532</v>
      </c>
      <c r="CY1869">
        <v>1</v>
      </c>
      <c r="CZ1869">
        <v>0</v>
      </c>
      <c r="DA1869">
        <v>1</v>
      </c>
      <c r="DB1869">
        <v>0</v>
      </c>
      <c r="DC1869">
        <v>0</v>
      </c>
      <c r="DD1869">
        <v>0</v>
      </c>
      <c r="DE1869">
        <v>0</v>
      </c>
      <c r="DF1869">
        <v>0</v>
      </c>
      <c r="DG1869">
        <v>0</v>
      </c>
      <c r="DH1869">
        <v>0</v>
      </c>
      <c r="DI1869">
        <v>0</v>
      </c>
    </row>
    <row r="1870" spans="1:113" x14ac:dyDescent="0.3">
      <c r="A1870" t="str">
        <f>"02/08/2021 20:24:03.040"</f>
        <v>02/08/2021 20:24:03.040</v>
      </c>
      <c r="C1870" t="str">
        <f t="shared" si="90"/>
        <v>FFDFD7C0</v>
      </c>
      <c r="D1870" t="s">
        <v>124</v>
      </c>
      <c r="E1870">
        <v>13</v>
      </c>
      <c r="F1870">
        <v>1013</v>
      </c>
      <c r="G1870" t="s">
        <v>114</v>
      </c>
      <c r="J1870" t="s">
        <v>125</v>
      </c>
      <c r="K1870">
        <v>0</v>
      </c>
      <c r="L1870">
        <v>3</v>
      </c>
      <c r="M1870">
        <v>0</v>
      </c>
      <c r="N1870">
        <v>2</v>
      </c>
      <c r="O1870">
        <v>1</v>
      </c>
      <c r="P1870">
        <v>0</v>
      </c>
      <c r="Q1870">
        <v>0</v>
      </c>
      <c r="S1870" t="str">
        <f>"20:24:05.328"</f>
        <v>20:24:05.328</v>
      </c>
      <c r="T1870" t="str">
        <f>"20:24:04.928"</f>
        <v>20:24:04.928</v>
      </c>
      <c r="U1870" t="str">
        <f t="shared" si="92"/>
        <v>AB01F4</v>
      </c>
      <c r="V1870">
        <v>0</v>
      </c>
      <c r="W1870">
        <v>0</v>
      </c>
      <c r="X1870">
        <v>2</v>
      </c>
      <c r="Z1870">
        <v>0</v>
      </c>
      <c r="AA1870">
        <v>9</v>
      </c>
      <c r="AB1870">
        <v>3</v>
      </c>
      <c r="AC1870">
        <v>0</v>
      </c>
      <c r="AD1870">
        <v>10</v>
      </c>
      <c r="AE1870">
        <v>0</v>
      </c>
      <c r="AF1870">
        <v>3</v>
      </c>
      <c r="AG1870">
        <v>2</v>
      </c>
      <c r="AH1870">
        <v>0</v>
      </c>
      <c r="AI1870" t="s">
        <v>1183</v>
      </c>
      <c r="AJ1870">
        <v>39.911270000000002</v>
      </c>
      <c r="AK1870" t="s">
        <v>1184</v>
      </c>
      <c r="AL1870">
        <v>-92.589125999999993</v>
      </c>
      <c r="AM1870">
        <v>100</v>
      </c>
      <c r="AN1870">
        <v>1700</v>
      </c>
      <c r="AO1870" t="s">
        <v>118</v>
      </c>
      <c r="AP1870">
        <v>-106</v>
      </c>
      <c r="AQ1870">
        <v>75</v>
      </c>
      <c r="AR1870">
        <v>64</v>
      </c>
      <c r="AZ1870">
        <v>1200</v>
      </c>
      <c r="BA1870">
        <v>1</v>
      </c>
      <c r="BB1870" t="str">
        <f t="shared" si="91"/>
        <v xml:space="preserve">N8080G  </v>
      </c>
      <c r="BC1870">
        <v>1</v>
      </c>
      <c r="BE1870">
        <v>0</v>
      </c>
      <c r="BF1870">
        <v>0</v>
      </c>
      <c r="BG1870">
        <v>0</v>
      </c>
      <c r="BH1870">
        <v>1700</v>
      </c>
      <c r="BI1870">
        <v>1</v>
      </c>
      <c r="BJ1870">
        <v>1</v>
      </c>
      <c r="BK1870">
        <v>1</v>
      </c>
      <c r="BL1870">
        <v>0</v>
      </c>
      <c r="BO1870">
        <v>0</v>
      </c>
      <c r="BP1870">
        <v>0</v>
      </c>
      <c r="BW1870" t="str">
        <f>"20:24:05.329"</f>
        <v>20:24:05.329</v>
      </c>
      <c r="BZ1870">
        <v>0</v>
      </c>
      <c r="CA1870">
        <v>2016</v>
      </c>
      <c r="CB1870">
        <v>224</v>
      </c>
      <c r="CD1870">
        <v>1</v>
      </c>
      <c r="CE1870">
        <v>0</v>
      </c>
      <c r="CF1870">
        <v>0</v>
      </c>
      <c r="CG1870">
        <v>1</v>
      </c>
      <c r="CH1870">
        <v>0</v>
      </c>
      <c r="CI1870">
        <v>0</v>
      </c>
      <c r="CJ1870">
        <v>0</v>
      </c>
      <c r="CK1870">
        <v>2</v>
      </c>
      <c r="CL1870">
        <v>0</v>
      </c>
      <c r="CM1870">
        <v>2</v>
      </c>
      <c r="CN1870">
        <v>0</v>
      </c>
      <c r="CO1870">
        <v>1</v>
      </c>
      <c r="CP1870" t="s">
        <v>119</v>
      </c>
      <c r="CQ1870">
        <v>179</v>
      </c>
      <c r="CR1870">
        <v>1</v>
      </c>
      <c r="CW1870">
        <v>8799532</v>
      </c>
      <c r="CY1870">
        <v>1</v>
      </c>
      <c r="CZ1870">
        <v>0</v>
      </c>
      <c r="DA1870">
        <v>1</v>
      </c>
      <c r="DB1870">
        <v>0</v>
      </c>
      <c r="DC1870">
        <v>0</v>
      </c>
      <c r="DD1870">
        <v>0</v>
      </c>
      <c r="DE1870">
        <v>0</v>
      </c>
      <c r="DF1870">
        <v>0</v>
      </c>
      <c r="DG1870">
        <v>0</v>
      </c>
      <c r="DH1870">
        <v>0</v>
      </c>
      <c r="DI1870">
        <v>0</v>
      </c>
    </row>
    <row r="1871" spans="1:113" x14ac:dyDescent="0.3">
      <c r="A1871" t="str">
        <f>"02/08/2021 20:24:04.070"</f>
        <v>02/08/2021 20:24:04.070</v>
      </c>
      <c r="C1871" t="str">
        <f t="shared" si="90"/>
        <v>FFDFD7C0</v>
      </c>
      <c r="D1871" t="s">
        <v>113</v>
      </c>
      <c r="E1871">
        <v>6</v>
      </c>
      <c r="H1871">
        <v>165</v>
      </c>
      <c r="I1871" t="s">
        <v>114</v>
      </c>
      <c r="J1871" t="s">
        <v>115</v>
      </c>
      <c r="K1871">
        <v>0</v>
      </c>
      <c r="L1871">
        <v>3</v>
      </c>
      <c r="M1871">
        <v>0</v>
      </c>
      <c r="N1871">
        <v>2</v>
      </c>
      <c r="O1871">
        <v>1</v>
      </c>
      <c r="P1871">
        <v>0</v>
      </c>
      <c r="Q1871">
        <v>0</v>
      </c>
      <c r="S1871" t="str">
        <f>"20:24:06.375"</f>
        <v>20:24:06.375</v>
      </c>
      <c r="T1871" t="str">
        <f>"20:24:05.875"</f>
        <v>20:24:05.875</v>
      </c>
      <c r="U1871" t="str">
        <f t="shared" si="92"/>
        <v>AB01F4</v>
      </c>
      <c r="V1871">
        <v>0</v>
      </c>
      <c r="W1871">
        <v>0</v>
      </c>
      <c r="X1871">
        <v>2</v>
      </c>
      <c r="Z1871">
        <v>0</v>
      </c>
      <c r="AA1871">
        <v>9</v>
      </c>
      <c r="AB1871">
        <v>3</v>
      </c>
      <c r="AC1871">
        <v>0</v>
      </c>
      <c r="AD1871">
        <v>10</v>
      </c>
      <c r="AE1871">
        <v>0</v>
      </c>
      <c r="AF1871">
        <v>3</v>
      </c>
      <c r="AG1871">
        <v>2</v>
      </c>
      <c r="AH1871">
        <v>0</v>
      </c>
      <c r="AI1871" t="s">
        <v>1185</v>
      </c>
      <c r="AJ1871">
        <v>39.911591999999999</v>
      </c>
      <c r="AK1871" t="s">
        <v>1186</v>
      </c>
      <c r="AL1871">
        <v>-92.589791000000005</v>
      </c>
      <c r="AM1871">
        <v>100</v>
      </c>
      <c r="AN1871">
        <v>1700</v>
      </c>
      <c r="AO1871" t="s">
        <v>118</v>
      </c>
      <c r="AP1871">
        <v>-106</v>
      </c>
      <c r="AQ1871">
        <v>75</v>
      </c>
      <c r="AR1871">
        <v>128</v>
      </c>
      <c r="AZ1871">
        <v>1200</v>
      </c>
      <c r="BA1871">
        <v>1</v>
      </c>
      <c r="BB1871" t="str">
        <f t="shared" si="91"/>
        <v xml:space="preserve">N8080G  </v>
      </c>
      <c r="BC1871">
        <v>1</v>
      </c>
      <c r="BE1871">
        <v>0</v>
      </c>
      <c r="BF1871">
        <v>0</v>
      </c>
      <c r="BG1871">
        <v>0</v>
      </c>
      <c r="BH1871">
        <v>1700</v>
      </c>
      <c r="BI1871">
        <v>1</v>
      </c>
      <c r="BJ1871">
        <v>1</v>
      </c>
      <c r="BK1871">
        <v>1</v>
      </c>
      <c r="BL1871">
        <v>0</v>
      </c>
      <c r="BO1871">
        <v>0</v>
      </c>
      <c r="BP1871">
        <v>0</v>
      </c>
      <c r="BW1871" t="str">
        <f>"20:24:06.381"</f>
        <v>20:24:06.381</v>
      </c>
      <c r="BZ1871">
        <v>0</v>
      </c>
      <c r="CA1871">
        <v>2016</v>
      </c>
      <c r="CB1871">
        <v>224</v>
      </c>
      <c r="CD1871">
        <v>1</v>
      </c>
      <c r="CE1871">
        <v>0</v>
      </c>
      <c r="CF1871">
        <v>0</v>
      </c>
      <c r="CG1871">
        <v>1</v>
      </c>
      <c r="CH1871">
        <v>0</v>
      </c>
      <c r="CI1871">
        <v>0</v>
      </c>
      <c r="CJ1871">
        <v>0</v>
      </c>
      <c r="CK1871">
        <v>2</v>
      </c>
      <c r="CL1871">
        <v>0</v>
      </c>
      <c r="CM1871">
        <v>2</v>
      </c>
      <c r="CN1871">
        <v>0</v>
      </c>
      <c r="CO1871">
        <v>1</v>
      </c>
      <c r="CP1871" t="s">
        <v>119</v>
      </c>
      <c r="CQ1871">
        <v>179</v>
      </c>
      <c r="CR1871">
        <v>1</v>
      </c>
      <c r="CW1871">
        <v>8800434</v>
      </c>
      <c r="CY1871">
        <v>1</v>
      </c>
      <c r="CZ1871">
        <v>0</v>
      </c>
      <c r="DA1871">
        <v>0</v>
      </c>
      <c r="DB1871">
        <v>0</v>
      </c>
      <c r="DC1871">
        <v>0</v>
      </c>
      <c r="DD1871">
        <v>0</v>
      </c>
      <c r="DE1871">
        <v>0</v>
      </c>
      <c r="DF1871">
        <v>0</v>
      </c>
      <c r="DG1871">
        <v>0</v>
      </c>
      <c r="DH1871">
        <v>0</v>
      </c>
      <c r="DI1871">
        <v>0</v>
      </c>
    </row>
    <row r="1872" spans="1:113" x14ac:dyDescent="0.3">
      <c r="A1872" t="str">
        <f>"02/08/2021 20:24:04.070"</f>
        <v>02/08/2021 20:24:04.070</v>
      </c>
      <c r="C1872" t="str">
        <f t="shared" si="90"/>
        <v>FFDFD7C0</v>
      </c>
      <c r="D1872" t="s">
        <v>124</v>
      </c>
      <c r="E1872">
        <v>13</v>
      </c>
      <c r="F1872">
        <v>1013</v>
      </c>
      <c r="G1872" t="s">
        <v>114</v>
      </c>
      <c r="J1872" t="s">
        <v>125</v>
      </c>
      <c r="K1872">
        <v>0</v>
      </c>
      <c r="L1872">
        <v>3</v>
      </c>
      <c r="M1872">
        <v>0</v>
      </c>
      <c r="N1872">
        <v>2</v>
      </c>
      <c r="O1872">
        <v>1</v>
      </c>
      <c r="P1872">
        <v>0</v>
      </c>
      <c r="Q1872">
        <v>0</v>
      </c>
      <c r="S1872" t="str">
        <f>"20:24:06.375"</f>
        <v>20:24:06.375</v>
      </c>
      <c r="T1872" t="str">
        <f>"20:24:05.875"</f>
        <v>20:24:05.875</v>
      </c>
      <c r="U1872" t="str">
        <f t="shared" si="92"/>
        <v>AB01F4</v>
      </c>
      <c r="V1872">
        <v>0</v>
      </c>
      <c r="W1872">
        <v>0</v>
      </c>
      <c r="X1872">
        <v>2</v>
      </c>
      <c r="Z1872">
        <v>0</v>
      </c>
      <c r="AA1872">
        <v>9</v>
      </c>
      <c r="AB1872">
        <v>3</v>
      </c>
      <c r="AC1872">
        <v>0</v>
      </c>
      <c r="AD1872">
        <v>10</v>
      </c>
      <c r="AE1872">
        <v>0</v>
      </c>
      <c r="AF1872">
        <v>3</v>
      </c>
      <c r="AG1872">
        <v>2</v>
      </c>
      <c r="AH1872">
        <v>0</v>
      </c>
      <c r="AI1872" t="s">
        <v>1185</v>
      </c>
      <c r="AJ1872">
        <v>39.911591999999999</v>
      </c>
      <c r="AK1872" t="s">
        <v>1186</v>
      </c>
      <c r="AL1872">
        <v>-92.589791000000005</v>
      </c>
      <c r="AM1872">
        <v>100</v>
      </c>
      <c r="AN1872">
        <v>1700</v>
      </c>
      <c r="AO1872" t="s">
        <v>118</v>
      </c>
      <c r="AP1872">
        <v>-106</v>
      </c>
      <c r="AQ1872">
        <v>75</v>
      </c>
      <c r="AR1872">
        <v>128</v>
      </c>
      <c r="AZ1872">
        <v>1200</v>
      </c>
      <c r="BA1872">
        <v>1</v>
      </c>
      <c r="BB1872" t="str">
        <f t="shared" si="91"/>
        <v xml:space="preserve">N8080G  </v>
      </c>
      <c r="BC1872">
        <v>1</v>
      </c>
      <c r="BE1872">
        <v>0</v>
      </c>
      <c r="BF1872">
        <v>0</v>
      </c>
      <c r="BG1872">
        <v>0</v>
      </c>
      <c r="BH1872">
        <v>1700</v>
      </c>
      <c r="BI1872">
        <v>1</v>
      </c>
      <c r="BJ1872">
        <v>1</v>
      </c>
      <c r="BK1872">
        <v>1</v>
      </c>
      <c r="BL1872">
        <v>0</v>
      </c>
      <c r="BO1872">
        <v>0</v>
      </c>
      <c r="BP1872">
        <v>0</v>
      </c>
      <c r="BW1872" t="str">
        <f>"20:24:06.381"</f>
        <v>20:24:06.381</v>
      </c>
      <c r="BZ1872">
        <v>0</v>
      </c>
      <c r="CA1872">
        <v>2016</v>
      </c>
      <c r="CB1872">
        <v>224</v>
      </c>
      <c r="CD1872">
        <v>1</v>
      </c>
      <c r="CE1872">
        <v>0</v>
      </c>
      <c r="CF1872">
        <v>0</v>
      </c>
      <c r="CG1872">
        <v>1</v>
      </c>
      <c r="CH1872">
        <v>0</v>
      </c>
      <c r="CI1872">
        <v>0</v>
      </c>
      <c r="CJ1872">
        <v>0</v>
      </c>
      <c r="CK1872">
        <v>2</v>
      </c>
      <c r="CL1872">
        <v>0</v>
      </c>
      <c r="CM1872">
        <v>2</v>
      </c>
      <c r="CN1872">
        <v>0</v>
      </c>
      <c r="CO1872">
        <v>1</v>
      </c>
      <c r="CP1872" t="s">
        <v>119</v>
      </c>
      <c r="CQ1872">
        <v>179</v>
      </c>
      <c r="CR1872">
        <v>1</v>
      </c>
      <c r="CW1872">
        <v>8800434</v>
      </c>
      <c r="CY1872">
        <v>1</v>
      </c>
      <c r="CZ1872">
        <v>0</v>
      </c>
      <c r="DA1872">
        <v>1</v>
      </c>
      <c r="DB1872">
        <v>0</v>
      </c>
      <c r="DC1872">
        <v>0</v>
      </c>
      <c r="DD1872">
        <v>0</v>
      </c>
      <c r="DE1872">
        <v>0</v>
      </c>
      <c r="DF1872">
        <v>0</v>
      </c>
      <c r="DG1872">
        <v>0</v>
      </c>
      <c r="DH1872">
        <v>0</v>
      </c>
      <c r="DI1872">
        <v>0</v>
      </c>
    </row>
    <row r="1873" spans="1:113" x14ac:dyDescent="0.3">
      <c r="A1873" t="str">
        <f>"02/08/2021 20:24:04.070"</f>
        <v>02/08/2021 20:24:04.070</v>
      </c>
      <c r="C1873" t="str">
        <f t="shared" si="90"/>
        <v>FFDFD7C0</v>
      </c>
      <c r="D1873" t="s">
        <v>124</v>
      </c>
      <c r="E1873">
        <v>12</v>
      </c>
      <c r="F1873">
        <v>1012</v>
      </c>
      <c r="G1873" t="s">
        <v>675</v>
      </c>
      <c r="J1873" t="s">
        <v>125</v>
      </c>
      <c r="K1873">
        <v>0</v>
      </c>
      <c r="L1873">
        <v>3</v>
      </c>
      <c r="M1873">
        <v>0</v>
      </c>
      <c r="N1873">
        <v>2</v>
      </c>
      <c r="O1873">
        <v>1</v>
      </c>
      <c r="P1873">
        <v>0</v>
      </c>
      <c r="Q1873">
        <v>0</v>
      </c>
      <c r="S1873" t="str">
        <f>"20:24:06.375"</f>
        <v>20:24:06.375</v>
      </c>
      <c r="T1873" t="str">
        <f>"20:24:05.875"</f>
        <v>20:24:05.875</v>
      </c>
      <c r="U1873" t="str">
        <f t="shared" si="92"/>
        <v>AB01F4</v>
      </c>
      <c r="V1873">
        <v>0</v>
      </c>
      <c r="W1873">
        <v>0</v>
      </c>
      <c r="X1873">
        <v>2</v>
      </c>
      <c r="Z1873">
        <v>0</v>
      </c>
      <c r="AA1873">
        <v>9</v>
      </c>
      <c r="AB1873">
        <v>3</v>
      </c>
      <c r="AC1873">
        <v>0</v>
      </c>
      <c r="AD1873">
        <v>10</v>
      </c>
      <c r="AE1873">
        <v>0</v>
      </c>
      <c r="AF1873">
        <v>3</v>
      </c>
      <c r="AG1873">
        <v>2</v>
      </c>
      <c r="AH1873">
        <v>0</v>
      </c>
      <c r="AI1873" t="s">
        <v>1185</v>
      </c>
      <c r="AJ1873">
        <v>39.911591999999999</v>
      </c>
      <c r="AK1873" t="s">
        <v>1186</v>
      </c>
      <c r="AL1873">
        <v>-92.589791000000005</v>
      </c>
      <c r="AM1873">
        <v>100</v>
      </c>
      <c r="AN1873">
        <v>1700</v>
      </c>
      <c r="AO1873" t="s">
        <v>118</v>
      </c>
      <c r="AP1873">
        <v>-106</v>
      </c>
      <c r="AQ1873">
        <v>75</v>
      </c>
      <c r="AR1873">
        <v>128</v>
      </c>
      <c r="AZ1873">
        <v>1200</v>
      </c>
      <c r="BA1873">
        <v>1</v>
      </c>
      <c r="BB1873" t="str">
        <f t="shared" si="91"/>
        <v xml:space="preserve">N8080G  </v>
      </c>
      <c r="BC1873">
        <v>1</v>
      </c>
      <c r="BE1873">
        <v>0</v>
      </c>
      <c r="BF1873">
        <v>0</v>
      </c>
      <c r="BG1873">
        <v>0</v>
      </c>
      <c r="BH1873">
        <v>1700</v>
      </c>
      <c r="BI1873">
        <v>1</v>
      </c>
      <c r="BJ1873">
        <v>1</v>
      </c>
      <c r="BK1873">
        <v>1</v>
      </c>
      <c r="BL1873">
        <v>0</v>
      </c>
      <c r="BO1873">
        <v>0</v>
      </c>
      <c r="BP1873">
        <v>0</v>
      </c>
      <c r="BW1873" t="str">
        <f>"20:24:06.381"</f>
        <v>20:24:06.381</v>
      </c>
      <c r="BZ1873">
        <v>0</v>
      </c>
      <c r="CA1873">
        <v>2016</v>
      </c>
      <c r="CB1873">
        <v>224</v>
      </c>
      <c r="CD1873">
        <v>1</v>
      </c>
      <c r="CE1873">
        <v>0</v>
      </c>
      <c r="CF1873">
        <v>0</v>
      </c>
      <c r="CG1873">
        <v>1</v>
      </c>
      <c r="CH1873">
        <v>0</v>
      </c>
      <c r="CI1873">
        <v>0</v>
      </c>
      <c r="CJ1873">
        <v>0</v>
      </c>
      <c r="CK1873">
        <v>2</v>
      </c>
      <c r="CL1873">
        <v>0</v>
      </c>
      <c r="CM1873">
        <v>2</v>
      </c>
      <c r="CN1873">
        <v>0</v>
      </c>
      <c r="CO1873">
        <v>1</v>
      </c>
      <c r="CP1873" t="s">
        <v>119</v>
      </c>
      <c r="CQ1873">
        <v>179</v>
      </c>
      <c r="CR1873">
        <v>1</v>
      </c>
      <c r="CW1873">
        <v>8800434</v>
      </c>
      <c r="CY1873">
        <v>1</v>
      </c>
      <c r="CZ1873">
        <v>0</v>
      </c>
      <c r="DA1873">
        <v>1</v>
      </c>
      <c r="DB1873">
        <v>0</v>
      </c>
      <c r="DC1873">
        <v>0</v>
      </c>
      <c r="DD1873">
        <v>0</v>
      </c>
      <c r="DE1873">
        <v>0</v>
      </c>
      <c r="DF1873">
        <v>0</v>
      </c>
      <c r="DG1873">
        <v>0</v>
      </c>
      <c r="DH1873">
        <v>0</v>
      </c>
      <c r="DI1873">
        <v>0</v>
      </c>
    </row>
    <row r="1874" spans="1:113" x14ac:dyDescent="0.3">
      <c r="A1874" t="str">
        <f>"02/08/2021 20:24:04.070"</f>
        <v>02/08/2021 20:24:04.070</v>
      </c>
      <c r="C1874" t="str">
        <f t="shared" si="90"/>
        <v>FFDFD7C0</v>
      </c>
      <c r="D1874" t="s">
        <v>124</v>
      </c>
      <c r="E1874">
        <v>11</v>
      </c>
      <c r="F1874">
        <v>1011</v>
      </c>
      <c r="G1874" t="s">
        <v>590</v>
      </c>
      <c r="J1874" t="s">
        <v>125</v>
      </c>
      <c r="K1874">
        <v>0</v>
      </c>
      <c r="L1874">
        <v>3</v>
      </c>
      <c r="M1874">
        <v>0</v>
      </c>
      <c r="N1874">
        <v>2</v>
      </c>
      <c r="O1874">
        <v>1</v>
      </c>
      <c r="P1874">
        <v>0</v>
      </c>
      <c r="Q1874">
        <v>0</v>
      </c>
      <c r="S1874" t="str">
        <f>"20:24:06.375"</f>
        <v>20:24:06.375</v>
      </c>
      <c r="T1874" t="str">
        <f>"20:24:05.875"</f>
        <v>20:24:05.875</v>
      </c>
      <c r="U1874" t="str">
        <f t="shared" si="92"/>
        <v>AB01F4</v>
      </c>
      <c r="V1874">
        <v>0</v>
      </c>
      <c r="W1874">
        <v>0</v>
      </c>
      <c r="X1874">
        <v>2</v>
      </c>
      <c r="Z1874">
        <v>0</v>
      </c>
      <c r="AA1874">
        <v>9</v>
      </c>
      <c r="AB1874">
        <v>3</v>
      </c>
      <c r="AC1874">
        <v>0</v>
      </c>
      <c r="AD1874">
        <v>10</v>
      </c>
      <c r="AE1874">
        <v>0</v>
      </c>
      <c r="AF1874">
        <v>3</v>
      </c>
      <c r="AG1874">
        <v>2</v>
      </c>
      <c r="AH1874">
        <v>0</v>
      </c>
      <c r="AI1874" t="s">
        <v>1185</v>
      </c>
      <c r="AJ1874">
        <v>39.911591999999999</v>
      </c>
      <c r="AK1874" t="s">
        <v>1186</v>
      </c>
      <c r="AL1874">
        <v>-92.589791000000005</v>
      </c>
      <c r="AM1874">
        <v>100</v>
      </c>
      <c r="AN1874">
        <v>1700</v>
      </c>
      <c r="AO1874" t="s">
        <v>118</v>
      </c>
      <c r="AP1874">
        <v>-106</v>
      </c>
      <c r="AQ1874">
        <v>75</v>
      </c>
      <c r="AR1874">
        <v>128</v>
      </c>
      <c r="AZ1874">
        <v>1200</v>
      </c>
      <c r="BA1874">
        <v>1</v>
      </c>
      <c r="BB1874" t="str">
        <f t="shared" si="91"/>
        <v xml:space="preserve">N8080G  </v>
      </c>
      <c r="BC1874">
        <v>1</v>
      </c>
      <c r="BE1874">
        <v>0</v>
      </c>
      <c r="BF1874">
        <v>0</v>
      </c>
      <c r="BG1874">
        <v>0</v>
      </c>
      <c r="BH1874">
        <v>1700</v>
      </c>
      <c r="BI1874">
        <v>1</v>
      </c>
      <c r="BJ1874">
        <v>1</v>
      </c>
      <c r="BK1874">
        <v>1</v>
      </c>
      <c r="BL1874">
        <v>0</v>
      </c>
      <c r="BO1874">
        <v>0</v>
      </c>
      <c r="BP1874">
        <v>0</v>
      </c>
      <c r="BW1874" t="str">
        <f>"20:24:06.381"</f>
        <v>20:24:06.381</v>
      </c>
      <c r="BZ1874">
        <v>0</v>
      </c>
      <c r="CA1874">
        <v>2016</v>
      </c>
      <c r="CB1874">
        <v>224</v>
      </c>
      <c r="CD1874">
        <v>1</v>
      </c>
      <c r="CE1874">
        <v>0</v>
      </c>
      <c r="CF1874">
        <v>0</v>
      </c>
      <c r="CG1874">
        <v>1</v>
      </c>
      <c r="CH1874">
        <v>0</v>
      </c>
      <c r="CI1874">
        <v>0</v>
      </c>
      <c r="CJ1874">
        <v>0</v>
      </c>
      <c r="CK1874">
        <v>2</v>
      </c>
      <c r="CL1874">
        <v>0</v>
      </c>
      <c r="CM1874">
        <v>2</v>
      </c>
      <c r="CN1874">
        <v>0</v>
      </c>
      <c r="CO1874">
        <v>1</v>
      </c>
      <c r="CP1874" t="s">
        <v>119</v>
      </c>
      <c r="CQ1874">
        <v>179</v>
      </c>
      <c r="CR1874">
        <v>1</v>
      </c>
      <c r="CW1874">
        <v>8800434</v>
      </c>
      <c r="CY1874">
        <v>1</v>
      </c>
      <c r="CZ1874">
        <v>0</v>
      </c>
      <c r="DA1874">
        <v>1</v>
      </c>
      <c r="DB1874">
        <v>0</v>
      </c>
      <c r="DC1874">
        <v>0</v>
      </c>
      <c r="DD1874">
        <v>0</v>
      </c>
      <c r="DE1874">
        <v>0</v>
      </c>
      <c r="DF1874">
        <v>0</v>
      </c>
      <c r="DG1874">
        <v>0</v>
      </c>
      <c r="DH1874">
        <v>0</v>
      </c>
      <c r="DI1874">
        <v>0</v>
      </c>
    </row>
    <row r="1875" spans="1:113" x14ac:dyDescent="0.3">
      <c r="A1875" t="str">
        <f>"02/08/2021 20:24:05.052"</f>
        <v>02/08/2021 20:24:05.052</v>
      </c>
      <c r="C1875" t="str">
        <f t="shared" si="90"/>
        <v>FFDFD7C0</v>
      </c>
      <c r="D1875" t="s">
        <v>124</v>
      </c>
      <c r="E1875">
        <v>12</v>
      </c>
      <c r="F1875">
        <v>1012</v>
      </c>
      <c r="G1875" t="s">
        <v>675</v>
      </c>
      <c r="J1875" t="s">
        <v>125</v>
      </c>
      <c r="K1875">
        <v>0</v>
      </c>
      <c r="L1875">
        <v>3</v>
      </c>
      <c r="M1875">
        <v>0</v>
      </c>
      <c r="N1875">
        <v>2</v>
      </c>
      <c r="O1875">
        <v>1</v>
      </c>
      <c r="P1875">
        <v>0</v>
      </c>
      <c r="Q1875">
        <v>0</v>
      </c>
      <c r="S1875" t="str">
        <f>"20:24:07.375"</f>
        <v>20:24:07.375</v>
      </c>
      <c r="T1875" t="str">
        <f>"20:24:06.875"</f>
        <v>20:24:06.875</v>
      </c>
      <c r="U1875" t="str">
        <f t="shared" si="92"/>
        <v>AB01F4</v>
      </c>
      <c r="V1875">
        <v>0</v>
      </c>
      <c r="W1875">
        <v>0</v>
      </c>
      <c r="X1875">
        <v>2</v>
      </c>
      <c r="Z1875">
        <v>0</v>
      </c>
      <c r="AA1875">
        <v>9</v>
      </c>
      <c r="AB1875">
        <v>3</v>
      </c>
      <c r="AC1875">
        <v>0</v>
      </c>
      <c r="AD1875">
        <v>10</v>
      </c>
      <c r="AE1875">
        <v>0</v>
      </c>
      <c r="AF1875">
        <v>3</v>
      </c>
      <c r="AG1875">
        <v>2</v>
      </c>
      <c r="AH1875">
        <v>0</v>
      </c>
      <c r="AI1875" t="s">
        <v>1187</v>
      </c>
      <c r="AJ1875">
        <v>39.911957000000001</v>
      </c>
      <c r="AK1875" t="s">
        <v>1188</v>
      </c>
      <c r="AL1875">
        <v>-92.590391999999994</v>
      </c>
      <c r="AM1875">
        <v>100</v>
      </c>
      <c r="AN1875">
        <v>1700</v>
      </c>
      <c r="AO1875" t="s">
        <v>118</v>
      </c>
      <c r="AP1875">
        <v>-106</v>
      </c>
      <c r="AQ1875">
        <v>75</v>
      </c>
      <c r="AR1875">
        <v>128</v>
      </c>
      <c r="AZ1875">
        <v>1200</v>
      </c>
      <c r="BA1875">
        <v>1</v>
      </c>
      <c r="BB1875" t="str">
        <f t="shared" si="91"/>
        <v xml:space="preserve">N8080G  </v>
      </c>
      <c r="BC1875">
        <v>1</v>
      </c>
      <c r="BE1875">
        <v>0</v>
      </c>
      <c r="BF1875">
        <v>0</v>
      </c>
      <c r="BG1875">
        <v>0</v>
      </c>
      <c r="BH1875">
        <v>1700</v>
      </c>
      <c r="BI1875">
        <v>1</v>
      </c>
      <c r="BJ1875">
        <v>1</v>
      </c>
      <c r="BK1875">
        <v>1</v>
      </c>
      <c r="BL1875">
        <v>0</v>
      </c>
      <c r="BO1875">
        <v>0</v>
      </c>
      <c r="BP1875">
        <v>0</v>
      </c>
      <c r="BW1875" t="str">
        <f>"20:24:07.378"</f>
        <v>20:24:07.378</v>
      </c>
      <c r="BZ1875">
        <v>0</v>
      </c>
      <c r="CA1875">
        <v>2016</v>
      </c>
      <c r="CB1875">
        <v>224</v>
      </c>
      <c r="CD1875">
        <v>1</v>
      </c>
      <c r="CE1875">
        <v>0</v>
      </c>
      <c r="CF1875">
        <v>0</v>
      </c>
      <c r="CG1875">
        <v>1</v>
      </c>
      <c r="CH1875">
        <v>0</v>
      </c>
      <c r="CI1875">
        <v>0</v>
      </c>
      <c r="CJ1875">
        <v>0</v>
      </c>
      <c r="CK1875">
        <v>2</v>
      </c>
      <c r="CL1875">
        <v>0</v>
      </c>
      <c r="CM1875">
        <v>2</v>
      </c>
      <c r="CN1875">
        <v>0</v>
      </c>
      <c r="CO1875">
        <v>7</v>
      </c>
      <c r="CP1875" t="s">
        <v>119</v>
      </c>
      <c r="CQ1875">
        <v>180</v>
      </c>
      <c r="CR1875">
        <v>2</v>
      </c>
      <c r="CW1875">
        <v>8367408</v>
      </c>
      <c r="CY1875">
        <v>1</v>
      </c>
      <c r="CZ1875">
        <v>0</v>
      </c>
      <c r="DA1875">
        <v>0</v>
      </c>
      <c r="DB1875">
        <v>0</v>
      </c>
      <c r="DC1875">
        <v>0</v>
      </c>
      <c r="DD1875">
        <v>0</v>
      </c>
      <c r="DE1875">
        <v>0</v>
      </c>
      <c r="DF1875">
        <v>0</v>
      </c>
      <c r="DG1875">
        <v>0</v>
      </c>
      <c r="DH1875">
        <v>0</v>
      </c>
      <c r="DI1875">
        <v>0</v>
      </c>
    </row>
    <row r="1876" spans="1:113" x14ac:dyDescent="0.3">
      <c r="A1876" t="str">
        <f>"02/08/2021 20:24:05.052"</f>
        <v>02/08/2021 20:24:05.052</v>
      </c>
      <c r="C1876" t="str">
        <f t="shared" si="90"/>
        <v>FFDFD7C0</v>
      </c>
      <c r="D1876" t="s">
        <v>124</v>
      </c>
      <c r="E1876">
        <v>11</v>
      </c>
      <c r="F1876">
        <v>1011</v>
      </c>
      <c r="G1876" t="s">
        <v>590</v>
      </c>
      <c r="J1876" t="s">
        <v>125</v>
      </c>
      <c r="K1876">
        <v>0</v>
      </c>
      <c r="L1876">
        <v>3</v>
      </c>
      <c r="M1876">
        <v>0</v>
      </c>
      <c r="N1876">
        <v>2</v>
      </c>
      <c r="O1876">
        <v>1</v>
      </c>
      <c r="P1876">
        <v>0</v>
      </c>
      <c r="Q1876">
        <v>0</v>
      </c>
      <c r="S1876" t="str">
        <f>"20:24:07.375"</f>
        <v>20:24:07.375</v>
      </c>
      <c r="T1876" t="str">
        <f>"20:24:06.875"</f>
        <v>20:24:06.875</v>
      </c>
      <c r="U1876" t="str">
        <f t="shared" si="92"/>
        <v>AB01F4</v>
      </c>
      <c r="V1876">
        <v>0</v>
      </c>
      <c r="W1876">
        <v>0</v>
      </c>
      <c r="X1876">
        <v>2</v>
      </c>
      <c r="Z1876">
        <v>0</v>
      </c>
      <c r="AA1876">
        <v>9</v>
      </c>
      <c r="AB1876">
        <v>3</v>
      </c>
      <c r="AC1876">
        <v>0</v>
      </c>
      <c r="AD1876">
        <v>10</v>
      </c>
      <c r="AE1876">
        <v>0</v>
      </c>
      <c r="AF1876">
        <v>3</v>
      </c>
      <c r="AG1876">
        <v>2</v>
      </c>
      <c r="AH1876">
        <v>0</v>
      </c>
      <c r="AI1876" t="s">
        <v>1187</v>
      </c>
      <c r="AJ1876">
        <v>39.911957000000001</v>
      </c>
      <c r="AK1876" t="s">
        <v>1188</v>
      </c>
      <c r="AL1876">
        <v>-92.590391999999994</v>
      </c>
      <c r="AM1876">
        <v>100</v>
      </c>
      <c r="AN1876">
        <v>1700</v>
      </c>
      <c r="AO1876" t="s">
        <v>118</v>
      </c>
      <c r="AP1876">
        <v>-106</v>
      </c>
      <c r="AQ1876">
        <v>75</v>
      </c>
      <c r="AR1876">
        <v>128</v>
      </c>
      <c r="AZ1876">
        <v>1200</v>
      </c>
      <c r="BA1876">
        <v>1</v>
      </c>
      <c r="BB1876" t="str">
        <f t="shared" si="91"/>
        <v xml:space="preserve">N8080G  </v>
      </c>
      <c r="BC1876">
        <v>1</v>
      </c>
      <c r="BE1876">
        <v>0</v>
      </c>
      <c r="BF1876">
        <v>0</v>
      </c>
      <c r="BG1876">
        <v>0</v>
      </c>
      <c r="BH1876">
        <v>1700</v>
      </c>
      <c r="BI1876">
        <v>1</v>
      </c>
      <c r="BJ1876">
        <v>1</v>
      </c>
      <c r="BK1876">
        <v>1</v>
      </c>
      <c r="BL1876">
        <v>0</v>
      </c>
      <c r="BO1876">
        <v>0</v>
      </c>
      <c r="BP1876">
        <v>0</v>
      </c>
      <c r="BW1876" t="str">
        <f>"20:24:07.378"</f>
        <v>20:24:07.378</v>
      </c>
      <c r="BZ1876">
        <v>0</v>
      </c>
      <c r="CA1876">
        <v>2016</v>
      </c>
      <c r="CB1876">
        <v>224</v>
      </c>
      <c r="CD1876">
        <v>1</v>
      </c>
      <c r="CE1876">
        <v>0</v>
      </c>
      <c r="CF1876">
        <v>0</v>
      </c>
      <c r="CG1876">
        <v>1</v>
      </c>
      <c r="CH1876">
        <v>0</v>
      </c>
      <c r="CI1876">
        <v>0</v>
      </c>
      <c r="CJ1876">
        <v>0</v>
      </c>
      <c r="CK1876">
        <v>2</v>
      </c>
      <c r="CL1876">
        <v>0</v>
      </c>
      <c r="CM1876">
        <v>2</v>
      </c>
      <c r="CN1876">
        <v>0</v>
      </c>
      <c r="CO1876">
        <v>7</v>
      </c>
      <c r="CP1876" t="s">
        <v>119</v>
      </c>
      <c r="CQ1876">
        <v>180</v>
      </c>
      <c r="CR1876">
        <v>2</v>
      </c>
      <c r="CW1876">
        <v>8367408</v>
      </c>
      <c r="CY1876">
        <v>1</v>
      </c>
      <c r="CZ1876">
        <v>0</v>
      </c>
      <c r="DA1876">
        <v>1</v>
      </c>
      <c r="DB1876">
        <v>0</v>
      </c>
      <c r="DC1876">
        <v>0</v>
      </c>
      <c r="DD1876">
        <v>0</v>
      </c>
      <c r="DE1876">
        <v>0</v>
      </c>
      <c r="DF1876">
        <v>0</v>
      </c>
      <c r="DG1876">
        <v>0</v>
      </c>
      <c r="DH1876">
        <v>0</v>
      </c>
      <c r="DI1876">
        <v>0</v>
      </c>
    </row>
    <row r="1877" spans="1:113" x14ac:dyDescent="0.3">
      <c r="A1877" t="str">
        <f>"02/08/2021 20:24:05.052"</f>
        <v>02/08/2021 20:24:05.052</v>
      </c>
      <c r="C1877" t="str">
        <f t="shared" si="90"/>
        <v>FFDFD7C0</v>
      </c>
      <c r="D1877" t="s">
        <v>124</v>
      </c>
      <c r="E1877">
        <v>13</v>
      </c>
      <c r="F1877">
        <v>1013</v>
      </c>
      <c r="G1877" t="s">
        <v>114</v>
      </c>
      <c r="J1877" t="s">
        <v>125</v>
      </c>
      <c r="K1877">
        <v>0</v>
      </c>
      <c r="L1877">
        <v>3</v>
      </c>
      <c r="M1877">
        <v>0</v>
      </c>
      <c r="N1877">
        <v>2</v>
      </c>
      <c r="O1877">
        <v>1</v>
      </c>
      <c r="P1877">
        <v>0</v>
      </c>
      <c r="Q1877">
        <v>0</v>
      </c>
      <c r="S1877" t="str">
        <f>"20:24:07.375"</f>
        <v>20:24:07.375</v>
      </c>
      <c r="T1877" t="str">
        <f>"20:24:06.875"</f>
        <v>20:24:06.875</v>
      </c>
      <c r="U1877" t="str">
        <f t="shared" si="92"/>
        <v>AB01F4</v>
      </c>
      <c r="V1877">
        <v>0</v>
      </c>
      <c r="W1877">
        <v>0</v>
      </c>
      <c r="X1877">
        <v>2</v>
      </c>
      <c r="Z1877">
        <v>0</v>
      </c>
      <c r="AA1877">
        <v>9</v>
      </c>
      <c r="AB1877">
        <v>3</v>
      </c>
      <c r="AC1877">
        <v>0</v>
      </c>
      <c r="AD1877">
        <v>10</v>
      </c>
      <c r="AE1877">
        <v>0</v>
      </c>
      <c r="AF1877">
        <v>3</v>
      </c>
      <c r="AG1877">
        <v>2</v>
      </c>
      <c r="AH1877">
        <v>0</v>
      </c>
      <c r="AI1877" t="s">
        <v>1187</v>
      </c>
      <c r="AJ1877">
        <v>39.911957000000001</v>
      </c>
      <c r="AK1877" t="s">
        <v>1188</v>
      </c>
      <c r="AL1877">
        <v>-92.590391999999994</v>
      </c>
      <c r="AM1877">
        <v>100</v>
      </c>
      <c r="AN1877">
        <v>1700</v>
      </c>
      <c r="AO1877" t="s">
        <v>118</v>
      </c>
      <c r="AP1877">
        <v>-106</v>
      </c>
      <c r="AQ1877">
        <v>75</v>
      </c>
      <c r="AR1877">
        <v>128</v>
      </c>
      <c r="AZ1877">
        <v>1200</v>
      </c>
      <c r="BA1877">
        <v>1</v>
      </c>
      <c r="BB1877" t="str">
        <f t="shared" si="91"/>
        <v xml:space="preserve">N8080G  </v>
      </c>
      <c r="BC1877">
        <v>1</v>
      </c>
      <c r="BE1877">
        <v>0</v>
      </c>
      <c r="BF1877">
        <v>0</v>
      </c>
      <c r="BG1877">
        <v>0</v>
      </c>
      <c r="BH1877">
        <v>1700</v>
      </c>
      <c r="BI1877">
        <v>1</v>
      </c>
      <c r="BJ1877">
        <v>1</v>
      </c>
      <c r="BK1877">
        <v>1</v>
      </c>
      <c r="BL1877">
        <v>0</v>
      </c>
      <c r="BO1877">
        <v>0</v>
      </c>
      <c r="BP1877">
        <v>0</v>
      </c>
      <c r="BW1877" t="str">
        <f>"20:24:07.378"</f>
        <v>20:24:07.378</v>
      </c>
      <c r="BZ1877">
        <v>0</v>
      </c>
      <c r="CA1877">
        <v>2016</v>
      </c>
      <c r="CB1877">
        <v>224</v>
      </c>
      <c r="CD1877">
        <v>1</v>
      </c>
      <c r="CE1877">
        <v>0</v>
      </c>
      <c r="CF1877">
        <v>0</v>
      </c>
      <c r="CG1877">
        <v>1</v>
      </c>
      <c r="CH1877">
        <v>0</v>
      </c>
      <c r="CI1877">
        <v>0</v>
      </c>
      <c r="CJ1877">
        <v>0</v>
      </c>
      <c r="CK1877">
        <v>2</v>
      </c>
      <c r="CL1877">
        <v>0</v>
      </c>
      <c r="CM1877">
        <v>2</v>
      </c>
      <c r="CN1877">
        <v>0</v>
      </c>
      <c r="CO1877">
        <v>7</v>
      </c>
      <c r="CP1877" t="s">
        <v>119</v>
      </c>
      <c r="CQ1877">
        <v>180</v>
      </c>
      <c r="CR1877">
        <v>2</v>
      </c>
      <c r="CW1877">
        <v>8367408</v>
      </c>
      <c r="CY1877">
        <v>1</v>
      </c>
      <c r="CZ1877">
        <v>0</v>
      </c>
      <c r="DA1877">
        <v>1</v>
      </c>
      <c r="DB1877">
        <v>0</v>
      </c>
      <c r="DC1877">
        <v>0</v>
      </c>
      <c r="DD1877">
        <v>0</v>
      </c>
      <c r="DE1877">
        <v>0</v>
      </c>
      <c r="DF1877">
        <v>0</v>
      </c>
      <c r="DG1877">
        <v>0</v>
      </c>
      <c r="DH1877">
        <v>0</v>
      </c>
      <c r="DI1877">
        <v>0</v>
      </c>
    </row>
    <row r="1878" spans="1:113" x14ac:dyDescent="0.3">
      <c r="A1878" t="str">
        <f>"02/08/2021 20:24:05.052"</f>
        <v>02/08/2021 20:24:05.052</v>
      </c>
      <c r="C1878" t="str">
        <f t="shared" si="90"/>
        <v>FFDFD7C0</v>
      </c>
      <c r="D1878" t="s">
        <v>113</v>
      </c>
      <c r="E1878">
        <v>6</v>
      </c>
      <c r="H1878">
        <v>165</v>
      </c>
      <c r="I1878" t="s">
        <v>114</v>
      </c>
      <c r="J1878" t="s">
        <v>115</v>
      </c>
      <c r="K1878">
        <v>0</v>
      </c>
      <c r="L1878">
        <v>3</v>
      </c>
      <c r="M1878">
        <v>0</v>
      </c>
      <c r="N1878">
        <v>2</v>
      </c>
      <c r="O1878">
        <v>1</v>
      </c>
      <c r="P1878">
        <v>0</v>
      </c>
      <c r="Q1878">
        <v>0</v>
      </c>
      <c r="S1878" t="str">
        <f>"20:24:07.375"</f>
        <v>20:24:07.375</v>
      </c>
      <c r="T1878" t="str">
        <f>"20:24:06.875"</f>
        <v>20:24:06.875</v>
      </c>
      <c r="U1878" t="str">
        <f t="shared" si="92"/>
        <v>AB01F4</v>
      </c>
      <c r="V1878">
        <v>0</v>
      </c>
      <c r="W1878">
        <v>0</v>
      </c>
      <c r="X1878">
        <v>2</v>
      </c>
      <c r="Z1878">
        <v>0</v>
      </c>
      <c r="AA1878">
        <v>9</v>
      </c>
      <c r="AB1878">
        <v>3</v>
      </c>
      <c r="AC1878">
        <v>0</v>
      </c>
      <c r="AD1878">
        <v>10</v>
      </c>
      <c r="AE1878">
        <v>0</v>
      </c>
      <c r="AF1878">
        <v>3</v>
      </c>
      <c r="AG1878">
        <v>2</v>
      </c>
      <c r="AH1878">
        <v>0</v>
      </c>
      <c r="AI1878" t="s">
        <v>1187</v>
      </c>
      <c r="AJ1878">
        <v>39.911957000000001</v>
      </c>
      <c r="AK1878" t="s">
        <v>1188</v>
      </c>
      <c r="AL1878">
        <v>-92.590391999999994</v>
      </c>
      <c r="AM1878">
        <v>100</v>
      </c>
      <c r="AN1878">
        <v>1700</v>
      </c>
      <c r="AO1878" t="s">
        <v>118</v>
      </c>
      <c r="AP1878">
        <v>-106</v>
      </c>
      <c r="AQ1878">
        <v>75</v>
      </c>
      <c r="AR1878">
        <v>128</v>
      </c>
      <c r="AZ1878">
        <v>1200</v>
      </c>
      <c r="BA1878">
        <v>1</v>
      </c>
      <c r="BB1878" t="str">
        <f t="shared" si="91"/>
        <v xml:space="preserve">N8080G  </v>
      </c>
      <c r="BC1878">
        <v>1</v>
      </c>
      <c r="BE1878">
        <v>0</v>
      </c>
      <c r="BF1878">
        <v>0</v>
      </c>
      <c r="BG1878">
        <v>0</v>
      </c>
      <c r="BH1878">
        <v>1700</v>
      </c>
      <c r="BI1878">
        <v>1</v>
      </c>
      <c r="BJ1878">
        <v>1</v>
      </c>
      <c r="BK1878">
        <v>1</v>
      </c>
      <c r="BL1878">
        <v>0</v>
      </c>
      <c r="BO1878">
        <v>0</v>
      </c>
      <c r="BP1878">
        <v>0</v>
      </c>
      <c r="BW1878" t="str">
        <f>"20:24:07.378"</f>
        <v>20:24:07.378</v>
      </c>
      <c r="BZ1878">
        <v>0</v>
      </c>
      <c r="CA1878">
        <v>2016</v>
      </c>
      <c r="CB1878">
        <v>224</v>
      </c>
      <c r="CD1878">
        <v>1</v>
      </c>
      <c r="CE1878">
        <v>0</v>
      </c>
      <c r="CF1878">
        <v>0</v>
      </c>
      <c r="CG1878">
        <v>1</v>
      </c>
      <c r="CH1878">
        <v>0</v>
      </c>
      <c r="CI1878">
        <v>0</v>
      </c>
      <c r="CJ1878">
        <v>0</v>
      </c>
      <c r="CK1878">
        <v>2</v>
      </c>
      <c r="CL1878">
        <v>0</v>
      </c>
      <c r="CM1878">
        <v>2</v>
      </c>
      <c r="CN1878">
        <v>0</v>
      </c>
      <c r="CO1878">
        <v>7</v>
      </c>
      <c r="CP1878" t="s">
        <v>119</v>
      </c>
      <c r="CQ1878">
        <v>180</v>
      </c>
      <c r="CR1878">
        <v>2</v>
      </c>
      <c r="CW1878">
        <v>8367408</v>
      </c>
      <c r="CY1878">
        <v>1</v>
      </c>
      <c r="CZ1878">
        <v>0</v>
      </c>
      <c r="DA1878">
        <v>1</v>
      </c>
      <c r="DB1878">
        <v>0</v>
      </c>
      <c r="DC1878">
        <v>0</v>
      </c>
      <c r="DD1878">
        <v>0</v>
      </c>
      <c r="DE1878">
        <v>0</v>
      </c>
      <c r="DF1878">
        <v>0</v>
      </c>
      <c r="DG1878">
        <v>0</v>
      </c>
      <c r="DH1878">
        <v>0</v>
      </c>
      <c r="DI1878">
        <v>0</v>
      </c>
    </row>
    <row r="1879" spans="1:113" x14ac:dyDescent="0.3">
      <c r="A1879" t="str">
        <f>"02/08/2021 20:24:05.941"</f>
        <v>02/08/2021 20:24:05.941</v>
      </c>
      <c r="C1879" t="str">
        <f t="shared" si="90"/>
        <v>FFDFD7C0</v>
      </c>
      <c r="D1879" t="s">
        <v>113</v>
      </c>
      <c r="E1879">
        <v>6</v>
      </c>
      <c r="H1879">
        <v>165</v>
      </c>
      <c r="I1879" t="s">
        <v>114</v>
      </c>
      <c r="J1879" t="s">
        <v>115</v>
      </c>
      <c r="K1879">
        <v>0</v>
      </c>
      <c r="L1879">
        <v>3</v>
      </c>
      <c r="M1879">
        <v>0</v>
      </c>
      <c r="N1879">
        <v>2</v>
      </c>
      <c r="O1879">
        <v>1</v>
      </c>
      <c r="P1879">
        <v>0</v>
      </c>
      <c r="Q1879">
        <v>0</v>
      </c>
      <c r="S1879" t="str">
        <f>"20:24:08.266"</f>
        <v>20:24:08.266</v>
      </c>
      <c r="T1879" t="str">
        <f>"20:24:07.866"</f>
        <v>20:24:07.866</v>
      </c>
      <c r="U1879" t="str">
        <f t="shared" si="92"/>
        <v>AB01F4</v>
      </c>
      <c r="V1879">
        <v>0</v>
      </c>
      <c r="W1879">
        <v>0</v>
      </c>
      <c r="X1879">
        <v>2</v>
      </c>
      <c r="Z1879">
        <v>0</v>
      </c>
      <c r="AA1879">
        <v>9</v>
      </c>
      <c r="AB1879">
        <v>3</v>
      </c>
      <c r="AC1879">
        <v>0</v>
      </c>
      <c r="AD1879">
        <v>10</v>
      </c>
      <c r="AE1879">
        <v>0</v>
      </c>
      <c r="AF1879">
        <v>3</v>
      </c>
      <c r="AG1879">
        <v>2</v>
      </c>
      <c r="AH1879">
        <v>0</v>
      </c>
      <c r="AI1879" t="s">
        <v>1189</v>
      </c>
      <c r="AJ1879">
        <v>39.912256999999997</v>
      </c>
      <c r="AK1879" t="s">
        <v>1190</v>
      </c>
      <c r="AL1879">
        <v>-92.591014000000001</v>
      </c>
      <c r="AM1879">
        <v>100</v>
      </c>
      <c r="AN1879">
        <v>1700</v>
      </c>
      <c r="AO1879" t="s">
        <v>118</v>
      </c>
      <c r="AP1879">
        <v>-106</v>
      </c>
      <c r="AQ1879">
        <v>75</v>
      </c>
      <c r="AR1879">
        <v>64</v>
      </c>
      <c r="AZ1879">
        <v>1200</v>
      </c>
      <c r="BA1879">
        <v>1</v>
      </c>
      <c r="BB1879" t="str">
        <f t="shared" si="91"/>
        <v xml:space="preserve">N8080G  </v>
      </c>
      <c r="BC1879">
        <v>1</v>
      </c>
      <c r="BE1879">
        <v>0</v>
      </c>
      <c r="BF1879">
        <v>0</v>
      </c>
      <c r="BG1879">
        <v>0</v>
      </c>
      <c r="BH1879">
        <v>1700</v>
      </c>
      <c r="BI1879">
        <v>1</v>
      </c>
      <c r="BJ1879">
        <v>1</v>
      </c>
      <c r="BK1879">
        <v>1</v>
      </c>
      <c r="BL1879">
        <v>0</v>
      </c>
      <c r="BO1879">
        <v>0</v>
      </c>
      <c r="BP1879">
        <v>0</v>
      </c>
      <c r="BW1879" t="str">
        <f>"20:24:08.266"</f>
        <v>20:24:08.266</v>
      </c>
      <c r="BZ1879">
        <v>0</v>
      </c>
      <c r="CA1879">
        <v>2016</v>
      </c>
      <c r="CB1879">
        <v>224</v>
      </c>
      <c r="CD1879">
        <v>1</v>
      </c>
      <c r="CE1879">
        <v>0</v>
      </c>
      <c r="CF1879">
        <v>0</v>
      </c>
      <c r="CG1879">
        <v>1</v>
      </c>
      <c r="CH1879">
        <v>0</v>
      </c>
      <c r="CI1879">
        <v>0</v>
      </c>
      <c r="CJ1879">
        <v>0</v>
      </c>
      <c r="CK1879">
        <v>2</v>
      </c>
      <c r="CL1879">
        <v>0</v>
      </c>
      <c r="CM1879">
        <v>2</v>
      </c>
      <c r="CN1879">
        <v>0</v>
      </c>
      <c r="CO1879">
        <v>1</v>
      </c>
      <c r="CP1879" t="s">
        <v>119</v>
      </c>
      <c r="CQ1879">
        <v>179</v>
      </c>
      <c r="CR1879">
        <v>1</v>
      </c>
      <c r="CW1879">
        <v>8801836</v>
      </c>
      <c r="CY1879">
        <v>1</v>
      </c>
      <c r="CZ1879">
        <v>0</v>
      </c>
      <c r="DA1879">
        <v>0</v>
      </c>
      <c r="DB1879">
        <v>0</v>
      </c>
      <c r="DC1879">
        <v>0</v>
      </c>
      <c r="DD1879">
        <v>0</v>
      </c>
      <c r="DE1879">
        <v>0</v>
      </c>
      <c r="DF1879">
        <v>0</v>
      </c>
      <c r="DG1879">
        <v>0</v>
      </c>
      <c r="DH1879">
        <v>0</v>
      </c>
      <c r="DI1879">
        <v>0</v>
      </c>
    </row>
    <row r="1880" spans="1:113" x14ac:dyDescent="0.3">
      <c r="A1880" t="str">
        <f>"02/08/2021 20:24:05.941"</f>
        <v>02/08/2021 20:24:05.941</v>
      </c>
      <c r="C1880" t="str">
        <f t="shared" si="90"/>
        <v>FFDFD7C0</v>
      </c>
      <c r="D1880" t="s">
        <v>124</v>
      </c>
      <c r="E1880">
        <v>12</v>
      </c>
      <c r="F1880">
        <v>1012</v>
      </c>
      <c r="G1880" t="s">
        <v>675</v>
      </c>
      <c r="J1880" t="s">
        <v>125</v>
      </c>
      <c r="K1880">
        <v>0</v>
      </c>
      <c r="L1880">
        <v>3</v>
      </c>
      <c r="M1880">
        <v>0</v>
      </c>
      <c r="N1880">
        <v>2</v>
      </c>
      <c r="O1880">
        <v>1</v>
      </c>
      <c r="P1880">
        <v>0</v>
      </c>
      <c r="Q1880">
        <v>0</v>
      </c>
      <c r="S1880" t="str">
        <f>"20:24:08.266"</f>
        <v>20:24:08.266</v>
      </c>
      <c r="T1880" t="str">
        <f>"20:24:07.866"</f>
        <v>20:24:07.866</v>
      </c>
      <c r="U1880" t="str">
        <f t="shared" si="92"/>
        <v>AB01F4</v>
      </c>
      <c r="V1880">
        <v>0</v>
      </c>
      <c r="W1880">
        <v>0</v>
      </c>
      <c r="X1880">
        <v>2</v>
      </c>
      <c r="Z1880">
        <v>0</v>
      </c>
      <c r="AA1880">
        <v>9</v>
      </c>
      <c r="AB1880">
        <v>3</v>
      </c>
      <c r="AC1880">
        <v>0</v>
      </c>
      <c r="AD1880">
        <v>10</v>
      </c>
      <c r="AE1880">
        <v>0</v>
      </c>
      <c r="AF1880">
        <v>3</v>
      </c>
      <c r="AG1880">
        <v>2</v>
      </c>
      <c r="AH1880">
        <v>0</v>
      </c>
      <c r="AI1880" t="s">
        <v>1189</v>
      </c>
      <c r="AJ1880">
        <v>39.912256999999997</v>
      </c>
      <c r="AK1880" t="s">
        <v>1190</v>
      </c>
      <c r="AL1880">
        <v>-92.591014000000001</v>
      </c>
      <c r="AM1880">
        <v>100</v>
      </c>
      <c r="AN1880">
        <v>1700</v>
      </c>
      <c r="AO1880" t="s">
        <v>118</v>
      </c>
      <c r="AP1880">
        <v>-106</v>
      </c>
      <c r="AQ1880">
        <v>75</v>
      </c>
      <c r="AR1880">
        <v>64</v>
      </c>
      <c r="AZ1880">
        <v>1200</v>
      </c>
      <c r="BA1880">
        <v>1</v>
      </c>
      <c r="BB1880" t="str">
        <f t="shared" si="91"/>
        <v xml:space="preserve">N8080G  </v>
      </c>
      <c r="BC1880">
        <v>1</v>
      </c>
      <c r="BE1880">
        <v>0</v>
      </c>
      <c r="BF1880">
        <v>0</v>
      </c>
      <c r="BG1880">
        <v>0</v>
      </c>
      <c r="BH1880">
        <v>1700</v>
      </c>
      <c r="BI1880">
        <v>1</v>
      </c>
      <c r="BJ1880">
        <v>1</v>
      </c>
      <c r="BK1880">
        <v>1</v>
      </c>
      <c r="BL1880">
        <v>0</v>
      </c>
      <c r="BO1880">
        <v>0</v>
      </c>
      <c r="BP1880">
        <v>0</v>
      </c>
      <c r="BW1880" t="str">
        <f>"20:24:08.266"</f>
        <v>20:24:08.266</v>
      </c>
      <c r="BZ1880">
        <v>0</v>
      </c>
      <c r="CA1880">
        <v>2016</v>
      </c>
      <c r="CB1880">
        <v>224</v>
      </c>
      <c r="CD1880">
        <v>1</v>
      </c>
      <c r="CE1880">
        <v>0</v>
      </c>
      <c r="CF1880">
        <v>0</v>
      </c>
      <c r="CG1880">
        <v>1</v>
      </c>
      <c r="CH1880">
        <v>0</v>
      </c>
      <c r="CI1880">
        <v>0</v>
      </c>
      <c r="CJ1880">
        <v>0</v>
      </c>
      <c r="CK1880">
        <v>2</v>
      </c>
      <c r="CL1880">
        <v>0</v>
      </c>
      <c r="CM1880">
        <v>2</v>
      </c>
      <c r="CN1880">
        <v>0</v>
      </c>
      <c r="CO1880">
        <v>1</v>
      </c>
      <c r="CP1880" t="s">
        <v>119</v>
      </c>
      <c r="CQ1880">
        <v>179</v>
      </c>
      <c r="CR1880">
        <v>1</v>
      </c>
      <c r="CW1880">
        <v>8801836</v>
      </c>
      <c r="CY1880">
        <v>1</v>
      </c>
      <c r="CZ1880">
        <v>0</v>
      </c>
      <c r="DA1880">
        <v>1</v>
      </c>
      <c r="DB1880">
        <v>0</v>
      </c>
      <c r="DC1880">
        <v>0</v>
      </c>
      <c r="DD1880">
        <v>0</v>
      </c>
      <c r="DE1880">
        <v>0</v>
      </c>
      <c r="DF1880">
        <v>0</v>
      </c>
      <c r="DG1880">
        <v>0</v>
      </c>
      <c r="DH1880">
        <v>0</v>
      </c>
      <c r="DI1880">
        <v>0</v>
      </c>
    </row>
    <row r="1881" spans="1:113" x14ac:dyDescent="0.3">
      <c r="A1881" t="str">
        <f>"02/08/2021 20:24:05.941"</f>
        <v>02/08/2021 20:24:05.941</v>
      </c>
      <c r="C1881" t="str">
        <f t="shared" si="90"/>
        <v>FFDFD7C0</v>
      </c>
      <c r="D1881" t="s">
        <v>124</v>
      </c>
      <c r="E1881">
        <v>11</v>
      </c>
      <c r="F1881">
        <v>1011</v>
      </c>
      <c r="G1881" t="s">
        <v>590</v>
      </c>
      <c r="J1881" t="s">
        <v>125</v>
      </c>
      <c r="K1881">
        <v>0</v>
      </c>
      <c r="L1881">
        <v>3</v>
      </c>
      <c r="M1881">
        <v>0</v>
      </c>
      <c r="N1881">
        <v>2</v>
      </c>
      <c r="O1881">
        <v>1</v>
      </c>
      <c r="P1881">
        <v>0</v>
      </c>
      <c r="Q1881">
        <v>0</v>
      </c>
      <c r="S1881" t="str">
        <f>"20:24:08.266"</f>
        <v>20:24:08.266</v>
      </c>
      <c r="T1881" t="str">
        <f>"20:24:07.866"</f>
        <v>20:24:07.866</v>
      </c>
      <c r="U1881" t="str">
        <f t="shared" si="92"/>
        <v>AB01F4</v>
      </c>
      <c r="V1881">
        <v>0</v>
      </c>
      <c r="W1881">
        <v>0</v>
      </c>
      <c r="X1881">
        <v>2</v>
      </c>
      <c r="Z1881">
        <v>0</v>
      </c>
      <c r="AA1881">
        <v>9</v>
      </c>
      <c r="AB1881">
        <v>3</v>
      </c>
      <c r="AC1881">
        <v>0</v>
      </c>
      <c r="AD1881">
        <v>10</v>
      </c>
      <c r="AE1881">
        <v>0</v>
      </c>
      <c r="AF1881">
        <v>3</v>
      </c>
      <c r="AG1881">
        <v>2</v>
      </c>
      <c r="AH1881">
        <v>0</v>
      </c>
      <c r="AI1881" t="s">
        <v>1189</v>
      </c>
      <c r="AJ1881">
        <v>39.912256999999997</v>
      </c>
      <c r="AK1881" t="s">
        <v>1190</v>
      </c>
      <c r="AL1881">
        <v>-92.591014000000001</v>
      </c>
      <c r="AM1881">
        <v>100</v>
      </c>
      <c r="AN1881">
        <v>1700</v>
      </c>
      <c r="AO1881" t="s">
        <v>118</v>
      </c>
      <c r="AP1881">
        <v>-106</v>
      </c>
      <c r="AQ1881">
        <v>75</v>
      </c>
      <c r="AR1881">
        <v>64</v>
      </c>
      <c r="AZ1881">
        <v>1200</v>
      </c>
      <c r="BA1881">
        <v>1</v>
      </c>
      <c r="BB1881" t="str">
        <f t="shared" si="91"/>
        <v xml:space="preserve">N8080G  </v>
      </c>
      <c r="BC1881">
        <v>1</v>
      </c>
      <c r="BE1881">
        <v>0</v>
      </c>
      <c r="BF1881">
        <v>0</v>
      </c>
      <c r="BG1881">
        <v>0</v>
      </c>
      <c r="BH1881">
        <v>1700</v>
      </c>
      <c r="BI1881">
        <v>1</v>
      </c>
      <c r="BJ1881">
        <v>1</v>
      </c>
      <c r="BK1881">
        <v>1</v>
      </c>
      <c r="BL1881">
        <v>0</v>
      </c>
      <c r="BO1881">
        <v>0</v>
      </c>
      <c r="BP1881">
        <v>0</v>
      </c>
      <c r="BW1881" t="str">
        <f>"20:24:08.266"</f>
        <v>20:24:08.266</v>
      </c>
      <c r="BZ1881">
        <v>0</v>
      </c>
      <c r="CA1881">
        <v>2016</v>
      </c>
      <c r="CB1881">
        <v>224</v>
      </c>
      <c r="CD1881">
        <v>1</v>
      </c>
      <c r="CE1881">
        <v>0</v>
      </c>
      <c r="CF1881">
        <v>0</v>
      </c>
      <c r="CG1881">
        <v>1</v>
      </c>
      <c r="CH1881">
        <v>0</v>
      </c>
      <c r="CI1881">
        <v>0</v>
      </c>
      <c r="CJ1881">
        <v>0</v>
      </c>
      <c r="CK1881">
        <v>2</v>
      </c>
      <c r="CL1881">
        <v>0</v>
      </c>
      <c r="CM1881">
        <v>2</v>
      </c>
      <c r="CN1881">
        <v>0</v>
      </c>
      <c r="CO1881">
        <v>1</v>
      </c>
      <c r="CP1881" t="s">
        <v>119</v>
      </c>
      <c r="CQ1881">
        <v>179</v>
      </c>
      <c r="CR1881">
        <v>1</v>
      </c>
      <c r="CW1881">
        <v>8801836</v>
      </c>
      <c r="CY1881">
        <v>1</v>
      </c>
      <c r="CZ1881">
        <v>0</v>
      </c>
      <c r="DA1881">
        <v>1</v>
      </c>
      <c r="DB1881">
        <v>0</v>
      </c>
      <c r="DC1881">
        <v>0</v>
      </c>
      <c r="DD1881">
        <v>0</v>
      </c>
      <c r="DE1881">
        <v>0</v>
      </c>
      <c r="DF1881">
        <v>0</v>
      </c>
      <c r="DG1881">
        <v>0</v>
      </c>
      <c r="DH1881">
        <v>0</v>
      </c>
      <c r="DI1881">
        <v>0</v>
      </c>
    </row>
    <row r="1882" spans="1:113" x14ac:dyDescent="0.3">
      <c r="A1882" t="str">
        <f>"02/08/2021 20:24:05.941"</f>
        <v>02/08/2021 20:24:05.941</v>
      </c>
      <c r="C1882" t="str">
        <f t="shared" si="90"/>
        <v>FFDFD7C0</v>
      </c>
      <c r="D1882" t="s">
        <v>124</v>
      </c>
      <c r="E1882">
        <v>13</v>
      </c>
      <c r="F1882">
        <v>1013</v>
      </c>
      <c r="G1882" t="s">
        <v>114</v>
      </c>
      <c r="J1882" t="s">
        <v>125</v>
      </c>
      <c r="K1882">
        <v>0</v>
      </c>
      <c r="L1882">
        <v>3</v>
      </c>
      <c r="M1882">
        <v>0</v>
      </c>
      <c r="N1882">
        <v>2</v>
      </c>
      <c r="O1882">
        <v>1</v>
      </c>
      <c r="P1882">
        <v>0</v>
      </c>
      <c r="Q1882">
        <v>0</v>
      </c>
      <c r="S1882" t="str">
        <f>"20:24:08.266"</f>
        <v>20:24:08.266</v>
      </c>
      <c r="T1882" t="str">
        <f>"20:24:07.866"</f>
        <v>20:24:07.866</v>
      </c>
      <c r="U1882" t="str">
        <f t="shared" si="92"/>
        <v>AB01F4</v>
      </c>
      <c r="V1882">
        <v>0</v>
      </c>
      <c r="W1882">
        <v>0</v>
      </c>
      <c r="X1882">
        <v>2</v>
      </c>
      <c r="Z1882">
        <v>0</v>
      </c>
      <c r="AA1882">
        <v>9</v>
      </c>
      <c r="AB1882">
        <v>3</v>
      </c>
      <c r="AC1882">
        <v>0</v>
      </c>
      <c r="AD1882">
        <v>10</v>
      </c>
      <c r="AE1882">
        <v>0</v>
      </c>
      <c r="AF1882">
        <v>3</v>
      </c>
      <c r="AG1882">
        <v>2</v>
      </c>
      <c r="AH1882">
        <v>0</v>
      </c>
      <c r="AI1882" t="s">
        <v>1189</v>
      </c>
      <c r="AJ1882">
        <v>39.912256999999997</v>
      </c>
      <c r="AK1882" t="s">
        <v>1190</v>
      </c>
      <c r="AL1882">
        <v>-92.591014000000001</v>
      </c>
      <c r="AM1882">
        <v>100</v>
      </c>
      <c r="AN1882">
        <v>1700</v>
      </c>
      <c r="AO1882" t="s">
        <v>118</v>
      </c>
      <c r="AP1882">
        <v>-106</v>
      </c>
      <c r="AQ1882">
        <v>75</v>
      </c>
      <c r="AR1882">
        <v>64</v>
      </c>
      <c r="AZ1882">
        <v>1200</v>
      </c>
      <c r="BA1882">
        <v>1</v>
      </c>
      <c r="BB1882" t="str">
        <f t="shared" si="91"/>
        <v xml:space="preserve">N8080G  </v>
      </c>
      <c r="BC1882">
        <v>1</v>
      </c>
      <c r="BE1882">
        <v>0</v>
      </c>
      <c r="BF1882">
        <v>0</v>
      </c>
      <c r="BG1882">
        <v>0</v>
      </c>
      <c r="BH1882">
        <v>1700</v>
      </c>
      <c r="BI1882">
        <v>1</v>
      </c>
      <c r="BJ1882">
        <v>1</v>
      </c>
      <c r="BK1882">
        <v>1</v>
      </c>
      <c r="BL1882">
        <v>0</v>
      </c>
      <c r="BO1882">
        <v>0</v>
      </c>
      <c r="BP1882">
        <v>0</v>
      </c>
      <c r="BW1882" t="str">
        <f>"20:24:08.266"</f>
        <v>20:24:08.266</v>
      </c>
      <c r="BZ1882">
        <v>0</v>
      </c>
      <c r="CA1882">
        <v>2016</v>
      </c>
      <c r="CB1882">
        <v>224</v>
      </c>
      <c r="CD1882">
        <v>1</v>
      </c>
      <c r="CE1882">
        <v>0</v>
      </c>
      <c r="CF1882">
        <v>0</v>
      </c>
      <c r="CG1882">
        <v>1</v>
      </c>
      <c r="CH1882">
        <v>0</v>
      </c>
      <c r="CI1882">
        <v>0</v>
      </c>
      <c r="CJ1882">
        <v>0</v>
      </c>
      <c r="CK1882">
        <v>2</v>
      </c>
      <c r="CL1882">
        <v>0</v>
      </c>
      <c r="CM1882">
        <v>2</v>
      </c>
      <c r="CN1882">
        <v>0</v>
      </c>
      <c r="CO1882">
        <v>1</v>
      </c>
      <c r="CP1882" t="s">
        <v>119</v>
      </c>
      <c r="CQ1882">
        <v>179</v>
      </c>
      <c r="CR1882">
        <v>1</v>
      </c>
      <c r="CW1882">
        <v>8801836</v>
      </c>
      <c r="CY1882">
        <v>1</v>
      </c>
      <c r="CZ1882">
        <v>0</v>
      </c>
      <c r="DA1882">
        <v>1</v>
      </c>
      <c r="DB1882">
        <v>0</v>
      </c>
      <c r="DC1882">
        <v>0</v>
      </c>
      <c r="DD1882">
        <v>0</v>
      </c>
      <c r="DE1882">
        <v>0</v>
      </c>
      <c r="DF1882">
        <v>0</v>
      </c>
      <c r="DG1882">
        <v>0</v>
      </c>
      <c r="DH1882">
        <v>0</v>
      </c>
      <c r="DI1882">
        <v>0</v>
      </c>
    </row>
    <row r="1883" spans="1:113" x14ac:dyDescent="0.3">
      <c r="A1883" t="str">
        <f>"02/08/2021 20:24:08.988"</f>
        <v>02/08/2021 20:24:08.988</v>
      </c>
      <c r="C1883" t="str">
        <f t="shared" si="90"/>
        <v>FFDFD7C0</v>
      </c>
      <c r="D1883" t="s">
        <v>124</v>
      </c>
      <c r="E1883">
        <v>11</v>
      </c>
      <c r="F1883">
        <v>1011</v>
      </c>
      <c r="G1883" t="s">
        <v>590</v>
      </c>
      <c r="J1883" t="s">
        <v>125</v>
      </c>
      <c r="K1883">
        <v>0</v>
      </c>
      <c r="L1883">
        <v>3</v>
      </c>
      <c r="M1883">
        <v>0</v>
      </c>
      <c r="N1883">
        <v>2</v>
      </c>
      <c r="O1883">
        <v>1</v>
      </c>
      <c r="P1883">
        <v>0</v>
      </c>
      <c r="Q1883">
        <v>0</v>
      </c>
      <c r="S1883" t="str">
        <f>"20:24:11.297"</f>
        <v>20:24:11.297</v>
      </c>
      <c r="T1883" t="str">
        <f>"20:24:10.397"</f>
        <v>20:24:10.397</v>
      </c>
      <c r="U1883" t="str">
        <f t="shared" si="92"/>
        <v>AB01F4</v>
      </c>
      <c r="V1883">
        <v>0</v>
      </c>
      <c r="W1883">
        <v>0</v>
      </c>
      <c r="X1883">
        <v>2</v>
      </c>
      <c r="Z1883">
        <v>0</v>
      </c>
      <c r="AA1883">
        <v>9</v>
      </c>
      <c r="AB1883">
        <v>3</v>
      </c>
      <c r="AC1883">
        <v>0</v>
      </c>
      <c r="AD1883">
        <v>10</v>
      </c>
      <c r="AE1883">
        <v>0</v>
      </c>
      <c r="AF1883">
        <v>3</v>
      </c>
      <c r="AG1883">
        <v>2</v>
      </c>
      <c r="AH1883">
        <v>0</v>
      </c>
      <c r="AI1883" t="s">
        <v>1191</v>
      </c>
      <c r="AJ1883">
        <v>39.913330000000002</v>
      </c>
      <c r="AK1883" t="s">
        <v>1192</v>
      </c>
      <c r="AL1883">
        <v>-92.592901999999995</v>
      </c>
      <c r="AM1883">
        <v>100</v>
      </c>
      <c r="AN1883">
        <v>1700</v>
      </c>
      <c r="AO1883" t="s">
        <v>118</v>
      </c>
      <c r="AP1883">
        <v>-106</v>
      </c>
      <c r="AQ1883">
        <v>75</v>
      </c>
      <c r="AR1883">
        <v>-64</v>
      </c>
      <c r="AZ1883">
        <v>1200</v>
      </c>
      <c r="BA1883">
        <v>1</v>
      </c>
      <c r="BB1883" t="str">
        <f t="shared" si="91"/>
        <v xml:space="preserve">N8080G  </v>
      </c>
      <c r="BC1883">
        <v>1</v>
      </c>
      <c r="BE1883">
        <v>0</v>
      </c>
      <c r="BF1883">
        <v>0</v>
      </c>
      <c r="BG1883">
        <v>0</v>
      </c>
      <c r="BH1883">
        <v>1700</v>
      </c>
      <c r="BI1883">
        <v>1</v>
      </c>
      <c r="BJ1883">
        <v>1</v>
      </c>
      <c r="BK1883">
        <v>1</v>
      </c>
      <c r="BL1883">
        <v>0</v>
      </c>
      <c r="BO1883">
        <v>0</v>
      </c>
      <c r="BP1883">
        <v>0</v>
      </c>
      <c r="BW1883" t="str">
        <f>"20:24:11.301"</f>
        <v>20:24:11.301</v>
      </c>
      <c r="BZ1883">
        <v>0</v>
      </c>
      <c r="CA1883">
        <v>2016</v>
      </c>
      <c r="CB1883">
        <v>224</v>
      </c>
      <c r="CD1883">
        <v>1</v>
      </c>
      <c r="CE1883">
        <v>0</v>
      </c>
      <c r="CF1883">
        <v>0</v>
      </c>
      <c r="CG1883">
        <v>1</v>
      </c>
      <c r="CH1883">
        <v>0</v>
      </c>
      <c r="CI1883">
        <v>0</v>
      </c>
      <c r="CJ1883">
        <v>0</v>
      </c>
      <c r="CK1883">
        <v>2</v>
      </c>
      <c r="CL1883">
        <v>0</v>
      </c>
      <c r="CM1883">
        <v>2</v>
      </c>
      <c r="CN1883">
        <v>0</v>
      </c>
      <c r="CO1883">
        <v>1</v>
      </c>
      <c r="CP1883" t="s">
        <v>119</v>
      </c>
      <c r="CQ1883">
        <v>179</v>
      </c>
      <c r="CR1883">
        <v>1</v>
      </c>
      <c r="CW1883">
        <v>8804491</v>
      </c>
      <c r="CY1883">
        <v>1</v>
      </c>
      <c r="CZ1883">
        <v>0</v>
      </c>
      <c r="DA1883">
        <v>0</v>
      </c>
      <c r="DB1883">
        <v>0</v>
      </c>
      <c r="DC1883">
        <v>0</v>
      </c>
      <c r="DD1883">
        <v>0</v>
      </c>
      <c r="DE1883">
        <v>0</v>
      </c>
      <c r="DF1883">
        <v>0</v>
      </c>
      <c r="DG1883">
        <v>0</v>
      </c>
      <c r="DH1883">
        <v>0</v>
      </c>
      <c r="DI1883">
        <v>0</v>
      </c>
    </row>
    <row r="1884" spans="1:113" x14ac:dyDescent="0.3">
      <c r="A1884" t="str">
        <f>"02/08/2021 20:24:08.988"</f>
        <v>02/08/2021 20:24:08.988</v>
      </c>
      <c r="C1884" t="str">
        <f t="shared" si="90"/>
        <v>FFDFD7C0</v>
      </c>
      <c r="D1884" t="s">
        <v>124</v>
      </c>
      <c r="E1884">
        <v>13</v>
      </c>
      <c r="F1884">
        <v>1013</v>
      </c>
      <c r="G1884" t="s">
        <v>114</v>
      </c>
      <c r="J1884" t="s">
        <v>125</v>
      </c>
      <c r="K1884">
        <v>0</v>
      </c>
      <c r="L1884">
        <v>3</v>
      </c>
      <c r="M1884">
        <v>0</v>
      </c>
      <c r="N1884">
        <v>2</v>
      </c>
      <c r="O1884">
        <v>1</v>
      </c>
      <c r="P1884">
        <v>0</v>
      </c>
      <c r="Q1884">
        <v>0</v>
      </c>
      <c r="S1884" t="str">
        <f>"20:24:11.297"</f>
        <v>20:24:11.297</v>
      </c>
      <c r="T1884" t="str">
        <f>"20:24:10.397"</f>
        <v>20:24:10.397</v>
      </c>
      <c r="U1884" t="str">
        <f t="shared" si="92"/>
        <v>AB01F4</v>
      </c>
      <c r="V1884">
        <v>0</v>
      </c>
      <c r="W1884">
        <v>0</v>
      </c>
      <c r="X1884">
        <v>2</v>
      </c>
      <c r="Z1884">
        <v>0</v>
      </c>
      <c r="AA1884">
        <v>9</v>
      </c>
      <c r="AB1884">
        <v>3</v>
      </c>
      <c r="AC1884">
        <v>0</v>
      </c>
      <c r="AD1884">
        <v>10</v>
      </c>
      <c r="AE1884">
        <v>0</v>
      </c>
      <c r="AF1884">
        <v>3</v>
      </c>
      <c r="AG1884">
        <v>2</v>
      </c>
      <c r="AH1884">
        <v>0</v>
      </c>
      <c r="AI1884" t="s">
        <v>1191</v>
      </c>
      <c r="AJ1884">
        <v>39.913330000000002</v>
      </c>
      <c r="AK1884" t="s">
        <v>1192</v>
      </c>
      <c r="AL1884">
        <v>-92.592901999999995</v>
      </c>
      <c r="AM1884">
        <v>100</v>
      </c>
      <c r="AN1884">
        <v>1700</v>
      </c>
      <c r="AO1884" t="s">
        <v>118</v>
      </c>
      <c r="AP1884">
        <v>-106</v>
      </c>
      <c r="AQ1884">
        <v>75</v>
      </c>
      <c r="AR1884">
        <v>-64</v>
      </c>
      <c r="AZ1884">
        <v>1200</v>
      </c>
      <c r="BA1884">
        <v>1</v>
      </c>
      <c r="BB1884" t="str">
        <f t="shared" si="91"/>
        <v xml:space="preserve">N8080G  </v>
      </c>
      <c r="BC1884">
        <v>1</v>
      </c>
      <c r="BE1884">
        <v>0</v>
      </c>
      <c r="BF1884">
        <v>0</v>
      </c>
      <c r="BG1884">
        <v>0</v>
      </c>
      <c r="BH1884">
        <v>1700</v>
      </c>
      <c r="BI1884">
        <v>1</v>
      </c>
      <c r="BJ1884">
        <v>1</v>
      </c>
      <c r="BK1884">
        <v>1</v>
      </c>
      <c r="BL1884">
        <v>0</v>
      </c>
      <c r="BO1884">
        <v>0</v>
      </c>
      <c r="BP1884">
        <v>0</v>
      </c>
      <c r="BW1884" t="str">
        <f>"20:24:11.301"</f>
        <v>20:24:11.301</v>
      </c>
      <c r="BZ1884">
        <v>0</v>
      </c>
      <c r="CA1884">
        <v>2016</v>
      </c>
      <c r="CB1884">
        <v>224</v>
      </c>
      <c r="CD1884">
        <v>1</v>
      </c>
      <c r="CE1884">
        <v>0</v>
      </c>
      <c r="CF1884">
        <v>0</v>
      </c>
      <c r="CG1884">
        <v>1</v>
      </c>
      <c r="CH1884">
        <v>0</v>
      </c>
      <c r="CI1884">
        <v>0</v>
      </c>
      <c r="CJ1884">
        <v>0</v>
      </c>
      <c r="CK1884">
        <v>2</v>
      </c>
      <c r="CL1884">
        <v>0</v>
      </c>
      <c r="CM1884">
        <v>2</v>
      </c>
      <c r="CN1884">
        <v>0</v>
      </c>
      <c r="CO1884">
        <v>1</v>
      </c>
      <c r="CP1884" t="s">
        <v>119</v>
      </c>
      <c r="CQ1884">
        <v>179</v>
      </c>
      <c r="CR1884">
        <v>1</v>
      </c>
      <c r="CW1884">
        <v>8804491</v>
      </c>
      <c r="CY1884">
        <v>1</v>
      </c>
      <c r="CZ1884">
        <v>0</v>
      </c>
      <c r="DA1884">
        <v>1</v>
      </c>
      <c r="DB1884">
        <v>0</v>
      </c>
      <c r="DC1884">
        <v>0</v>
      </c>
      <c r="DD1884">
        <v>0</v>
      </c>
      <c r="DE1884">
        <v>0</v>
      </c>
      <c r="DF1884">
        <v>0</v>
      </c>
      <c r="DG1884">
        <v>0</v>
      </c>
      <c r="DH1884">
        <v>0</v>
      </c>
      <c r="DI1884">
        <v>0</v>
      </c>
    </row>
    <row r="1885" spans="1:113" x14ac:dyDescent="0.3">
      <c r="A1885" t="str">
        <f>"02/08/2021 20:24:08.988"</f>
        <v>02/08/2021 20:24:08.988</v>
      </c>
      <c r="C1885" t="str">
        <f t="shared" si="90"/>
        <v>FFDFD7C0</v>
      </c>
      <c r="D1885" t="s">
        <v>113</v>
      </c>
      <c r="E1885">
        <v>6</v>
      </c>
      <c r="H1885">
        <v>165</v>
      </c>
      <c r="I1885" t="s">
        <v>114</v>
      </c>
      <c r="J1885" t="s">
        <v>115</v>
      </c>
      <c r="K1885">
        <v>0</v>
      </c>
      <c r="L1885">
        <v>3</v>
      </c>
      <c r="M1885">
        <v>0</v>
      </c>
      <c r="N1885">
        <v>2</v>
      </c>
      <c r="O1885">
        <v>1</v>
      </c>
      <c r="P1885">
        <v>0</v>
      </c>
      <c r="Q1885">
        <v>0</v>
      </c>
      <c r="S1885" t="str">
        <f>"20:24:11.297"</f>
        <v>20:24:11.297</v>
      </c>
      <c r="T1885" t="str">
        <f>"20:24:10.397"</f>
        <v>20:24:10.397</v>
      </c>
      <c r="U1885" t="str">
        <f t="shared" si="92"/>
        <v>AB01F4</v>
      </c>
      <c r="V1885">
        <v>0</v>
      </c>
      <c r="W1885">
        <v>0</v>
      </c>
      <c r="X1885">
        <v>2</v>
      </c>
      <c r="Z1885">
        <v>0</v>
      </c>
      <c r="AA1885">
        <v>9</v>
      </c>
      <c r="AB1885">
        <v>3</v>
      </c>
      <c r="AC1885">
        <v>0</v>
      </c>
      <c r="AD1885">
        <v>10</v>
      </c>
      <c r="AE1885">
        <v>0</v>
      </c>
      <c r="AF1885">
        <v>3</v>
      </c>
      <c r="AG1885">
        <v>2</v>
      </c>
      <c r="AH1885">
        <v>0</v>
      </c>
      <c r="AI1885" t="s">
        <v>1191</v>
      </c>
      <c r="AJ1885">
        <v>39.913330000000002</v>
      </c>
      <c r="AK1885" t="s">
        <v>1192</v>
      </c>
      <c r="AL1885">
        <v>-92.592901999999995</v>
      </c>
      <c r="AM1885">
        <v>100</v>
      </c>
      <c r="AN1885">
        <v>1700</v>
      </c>
      <c r="AO1885" t="s">
        <v>118</v>
      </c>
      <c r="AP1885">
        <v>-106</v>
      </c>
      <c r="AQ1885">
        <v>75</v>
      </c>
      <c r="AR1885">
        <v>-64</v>
      </c>
      <c r="AZ1885">
        <v>1200</v>
      </c>
      <c r="BA1885">
        <v>1</v>
      </c>
      <c r="BB1885" t="str">
        <f t="shared" si="91"/>
        <v xml:space="preserve">N8080G  </v>
      </c>
      <c r="BC1885">
        <v>1</v>
      </c>
      <c r="BE1885">
        <v>0</v>
      </c>
      <c r="BF1885">
        <v>0</v>
      </c>
      <c r="BG1885">
        <v>0</v>
      </c>
      <c r="BH1885">
        <v>1700</v>
      </c>
      <c r="BI1885">
        <v>1</v>
      </c>
      <c r="BJ1885">
        <v>1</v>
      </c>
      <c r="BK1885">
        <v>1</v>
      </c>
      <c r="BL1885">
        <v>0</v>
      </c>
      <c r="BO1885">
        <v>0</v>
      </c>
      <c r="BP1885">
        <v>0</v>
      </c>
      <c r="BW1885" t="str">
        <f>"20:24:11.301"</f>
        <v>20:24:11.301</v>
      </c>
      <c r="BZ1885">
        <v>0</v>
      </c>
      <c r="CA1885">
        <v>2016</v>
      </c>
      <c r="CB1885">
        <v>224</v>
      </c>
      <c r="CD1885">
        <v>1</v>
      </c>
      <c r="CE1885">
        <v>0</v>
      </c>
      <c r="CF1885">
        <v>0</v>
      </c>
      <c r="CG1885">
        <v>1</v>
      </c>
      <c r="CH1885">
        <v>0</v>
      </c>
      <c r="CI1885">
        <v>0</v>
      </c>
      <c r="CJ1885">
        <v>0</v>
      </c>
      <c r="CK1885">
        <v>2</v>
      </c>
      <c r="CL1885">
        <v>0</v>
      </c>
      <c r="CM1885">
        <v>2</v>
      </c>
      <c r="CN1885">
        <v>0</v>
      </c>
      <c r="CO1885">
        <v>1</v>
      </c>
      <c r="CP1885" t="s">
        <v>119</v>
      </c>
      <c r="CQ1885">
        <v>179</v>
      </c>
      <c r="CR1885">
        <v>1</v>
      </c>
      <c r="CW1885">
        <v>8804491</v>
      </c>
      <c r="CY1885">
        <v>1</v>
      </c>
      <c r="CZ1885">
        <v>0</v>
      </c>
      <c r="DA1885">
        <v>1</v>
      </c>
      <c r="DB1885">
        <v>0</v>
      </c>
      <c r="DC1885">
        <v>0</v>
      </c>
      <c r="DD1885">
        <v>0</v>
      </c>
      <c r="DE1885">
        <v>0</v>
      </c>
      <c r="DF1885">
        <v>0</v>
      </c>
      <c r="DG1885">
        <v>0</v>
      </c>
      <c r="DH1885">
        <v>0</v>
      </c>
      <c r="DI1885">
        <v>0</v>
      </c>
    </row>
    <row r="1886" spans="1:113" x14ac:dyDescent="0.3">
      <c r="A1886" t="str">
        <f>"02/08/2021 20:24:08.988"</f>
        <v>02/08/2021 20:24:08.988</v>
      </c>
      <c r="C1886" t="str">
        <f t="shared" si="90"/>
        <v>FFDFD7C0</v>
      </c>
      <c r="D1886" t="s">
        <v>124</v>
      </c>
      <c r="E1886">
        <v>12</v>
      </c>
      <c r="F1886">
        <v>1012</v>
      </c>
      <c r="G1886" t="s">
        <v>675</v>
      </c>
      <c r="J1886" t="s">
        <v>125</v>
      </c>
      <c r="K1886">
        <v>0</v>
      </c>
      <c r="L1886">
        <v>3</v>
      </c>
      <c r="M1886">
        <v>0</v>
      </c>
      <c r="N1886">
        <v>2</v>
      </c>
      <c r="O1886">
        <v>1</v>
      </c>
      <c r="P1886">
        <v>0</v>
      </c>
      <c r="Q1886">
        <v>0</v>
      </c>
      <c r="S1886" t="str">
        <f>"20:24:11.297"</f>
        <v>20:24:11.297</v>
      </c>
      <c r="T1886" t="str">
        <f>"20:24:10.397"</f>
        <v>20:24:10.397</v>
      </c>
      <c r="U1886" t="str">
        <f t="shared" si="92"/>
        <v>AB01F4</v>
      </c>
      <c r="V1886">
        <v>0</v>
      </c>
      <c r="W1886">
        <v>0</v>
      </c>
      <c r="X1886">
        <v>2</v>
      </c>
      <c r="Z1886">
        <v>0</v>
      </c>
      <c r="AA1886">
        <v>9</v>
      </c>
      <c r="AB1886">
        <v>3</v>
      </c>
      <c r="AC1886">
        <v>0</v>
      </c>
      <c r="AD1886">
        <v>10</v>
      </c>
      <c r="AE1886">
        <v>0</v>
      </c>
      <c r="AF1886">
        <v>3</v>
      </c>
      <c r="AG1886">
        <v>2</v>
      </c>
      <c r="AH1886">
        <v>0</v>
      </c>
      <c r="AI1886" t="s">
        <v>1191</v>
      </c>
      <c r="AJ1886">
        <v>39.913330000000002</v>
      </c>
      <c r="AK1886" t="s">
        <v>1192</v>
      </c>
      <c r="AL1886">
        <v>-92.592901999999995</v>
      </c>
      <c r="AM1886">
        <v>100</v>
      </c>
      <c r="AN1886">
        <v>1700</v>
      </c>
      <c r="AO1886" t="s">
        <v>118</v>
      </c>
      <c r="AP1886">
        <v>-106</v>
      </c>
      <c r="AQ1886">
        <v>75</v>
      </c>
      <c r="AR1886">
        <v>-64</v>
      </c>
      <c r="AZ1886">
        <v>1200</v>
      </c>
      <c r="BA1886">
        <v>1</v>
      </c>
      <c r="BB1886" t="str">
        <f t="shared" si="91"/>
        <v xml:space="preserve">N8080G  </v>
      </c>
      <c r="BC1886">
        <v>1</v>
      </c>
      <c r="BE1886">
        <v>0</v>
      </c>
      <c r="BF1886">
        <v>0</v>
      </c>
      <c r="BG1886">
        <v>0</v>
      </c>
      <c r="BH1886">
        <v>1700</v>
      </c>
      <c r="BI1886">
        <v>1</v>
      </c>
      <c r="BJ1886">
        <v>1</v>
      </c>
      <c r="BK1886">
        <v>1</v>
      </c>
      <c r="BL1886">
        <v>0</v>
      </c>
      <c r="BO1886">
        <v>0</v>
      </c>
      <c r="BP1886">
        <v>0</v>
      </c>
      <c r="BW1886" t="str">
        <f>"20:24:11.301"</f>
        <v>20:24:11.301</v>
      </c>
      <c r="BZ1886">
        <v>0</v>
      </c>
      <c r="CA1886">
        <v>2016</v>
      </c>
      <c r="CB1886">
        <v>224</v>
      </c>
      <c r="CD1886">
        <v>1</v>
      </c>
      <c r="CE1886">
        <v>0</v>
      </c>
      <c r="CF1886">
        <v>0</v>
      </c>
      <c r="CG1886">
        <v>1</v>
      </c>
      <c r="CH1886">
        <v>0</v>
      </c>
      <c r="CI1886">
        <v>0</v>
      </c>
      <c r="CJ1886">
        <v>0</v>
      </c>
      <c r="CK1886">
        <v>2</v>
      </c>
      <c r="CL1886">
        <v>0</v>
      </c>
      <c r="CM1886">
        <v>2</v>
      </c>
      <c r="CN1886">
        <v>0</v>
      </c>
      <c r="CO1886">
        <v>1</v>
      </c>
      <c r="CP1886" t="s">
        <v>119</v>
      </c>
      <c r="CQ1886">
        <v>179</v>
      </c>
      <c r="CR1886">
        <v>1</v>
      </c>
      <c r="CW1886">
        <v>8804491</v>
      </c>
      <c r="CY1886">
        <v>1</v>
      </c>
      <c r="CZ1886">
        <v>0</v>
      </c>
      <c r="DA1886">
        <v>1</v>
      </c>
      <c r="DB1886">
        <v>0</v>
      </c>
      <c r="DC1886">
        <v>0</v>
      </c>
      <c r="DD1886">
        <v>0</v>
      </c>
      <c r="DE1886">
        <v>0</v>
      </c>
      <c r="DF1886">
        <v>0</v>
      </c>
      <c r="DG1886">
        <v>0</v>
      </c>
      <c r="DH1886">
        <v>0</v>
      </c>
      <c r="DI1886">
        <v>0</v>
      </c>
    </row>
    <row r="1887" spans="1:113" x14ac:dyDescent="0.3">
      <c r="A1887" t="str">
        <f>"02/08/2021 20:24:10.457"</f>
        <v>02/08/2021 20:24:10.457</v>
      </c>
      <c r="C1887" t="str">
        <f t="shared" si="90"/>
        <v>FFDFD7C0</v>
      </c>
      <c r="D1887" t="s">
        <v>124</v>
      </c>
      <c r="E1887">
        <v>13</v>
      </c>
      <c r="F1887">
        <v>1013</v>
      </c>
      <c r="G1887" t="s">
        <v>114</v>
      </c>
      <c r="J1887" t="s">
        <v>125</v>
      </c>
      <c r="K1887">
        <v>0</v>
      </c>
      <c r="L1887">
        <v>3</v>
      </c>
      <c r="M1887">
        <v>0</v>
      </c>
      <c r="N1887">
        <v>2</v>
      </c>
      <c r="O1887">
        <v>1</v>
      </c>
      <c r="P1887">
        <v>0</v>
      </c>
      <c r="Q1887">
        <v>0</v>
      </c>
      <c r="S1887" t="str">
        <f>"20:24:12.797"</f>
        <v>20:24:12.797</v>
      </c>
      <c r="T1887" t="str">
        <f>"20:24:11.297"</f>
        <v>20:24:11.297</v>
      </c>
      <c r="U1887" t="str">
        <f t="shared" si="92"/>
        <v>AB01F4</v>
      </c>
      <c r="V1887">
        <v>0</v>
      </c>
      <c r="W1887">
        <v>0</v>
      </c>
      <c r="X1887">
        <v>2</v>
      </c>
      <c r="Z1887">
        <v>0</v>
      </c>
      <c r="AA1887">
        <v>9</v>
      </c>
      <c r="AB1887">
        <v>3</v>
      </c>
      <c r="AC1887">
        <v>0</v>
      </c>
      <c r="AD1887">
        <v>10</v>
      </c>
      <c r="AE1887">
        <v>0</v>
      </c>
      <c r="AF1887">
        <v>3</v>
      </c>
      <c r="AG1887">
        <v>2</v>
      </c>
      <c r="AH1887">
        <v>0</v>
      </c>
      <c r="AI1887" t="s">
        <v>1193</v>
      </c>
      <c r="AJ1887">
        <v>39.913823999999998</v>
      </c>
      <c r="AK1887" t="s">
        <v>1194</v>
      </c>
      <c r="AL1887">
        <v>-92.593845999999999</v>
      </c>
      <c r="AM1887">
        <v>100</v>
      </c>
      <c r="AN1887">
        <v>1700</v>
      </c>
      <c r="AO1887" t="s">
        <v>118</v>
      </c>
      <c r="AP1887">
        <v>-106</v>
      </c>
      <c r="AQ1887">
        <v>75</v>
      </c>
      <c r="AR1887">
        <v>-64</v>
      </c>
      <c r="AZ1887">
        <v>1200</v>
      </c>
      <c r="BA1887">
        <v>1</v>
      </c>
      <c r="BB1887" t="str">
        <f t="shared" si="91"/>
        <v xml:space="preserve">N8080G  </v>
      </c>
      <c r="BC1887">
        <v>1</v>
      </c>
      <c r="BE1887">
        <v>0</v>
      </c>
      <c r="BF1887">
        <v>0</v>
      </c>
      <c r="BG1887">
        <v>0</v>
      </c>
      <c r="BH1887">
        <v>1700</v>
      </c>
      <c r="BI1887">
        <v>1</v>
      </c>
      <c r="BJ1887">
        <v>1</v>
      </c>
      <c r="BK1887">
        <v>1</v>
      </c>
      <c r="BL1887">
        <v>0</v>
      </c>
      <c r="BO1887">
        <v>0</v>
      </c>
      <c r="BP1887">
        <v>0</v>
      </c>
      <c r="BW1887" t="str">
        <f>"20:24:12.803"</f>
        <v>20:24:12.803</v>
      </c>
      <c r="BZ1887">
        <v>0</v>
      </c>
      <c r="CA1887">
        <v>2016</v>
      </c>
      <c r="CB1887">
        <v>224</v>
      </c>
      <c r="CD1887">
        <v>1</v>
      </c>
      <c r="CE1887">
        <v>0</v>
      </c>
      <c r="CF1887">
        <v>0</v>
      </c>
      <c r="CG1887">
        <v>1</v>
      </c>
      <c r="CH1887">
        <v>0</v>
      </c>
      <c r="CI1887">
        <v>0</v>
      </c>
      <c r="CJ1887">
        <v>0</v>
      </c>
      <c r="CK1887">
        <v>2</v>
      </c>
      <c r="CL1887">
        <v>0</v>
      </c>
      <c r="CM1887">
        <v>2</v>
      </c>
      <c r="CN1887">
        <v>0</v>
      </c>
      <c r="CO1887">
        <v>2</v>
      </c>
      <c r="CP1887" t="s">
        <v>119</v>
      </c>
      <c r="CQ1887">
        <v>179</v>
      </c>
      <c r="CR1887">
        <v>1</v>
      </c>
      <c r="CW1887">
        <v>8805630</v>
      </c>
      <c r="CY1887">
        <v>1</v>
      </c>
      <c r="CZ1887">
        <v>0</v>
      </c>
      <c r="DA1887">
        <v>0</v>
      </c>
      <c r="DB1887">
        <v>0</v>
      </c>
      <c r="DC1887">
        <v>0</v>
      </c>
      <c r="DD1887">
        <v>0</v>
      </c>
      <c r="DE1887">
        <v>0</v>
      </c>
      <c r="DF1887">
        <v>0</v>
      </c>
      <c r="DG1887">
        <v>0</v>
      </c>
      <c r="DH1887">
        <v>0</v>
      </c>
      <c r="DI1887">
        <v>0</v>
      </c>
    </row>
    <row r="1888" spans="1:113" x14ac:dyDescent="0.3">
      <c r="A1888" t="str">
        <f>"02/08/2021 20:24:10.457"</f>
        <v>02/08/2021 20:24:10.457</v>
      </c>
      <c r="C1888" t="str">
        <f t="shared" si="90"/>
        <v>FFDFD7C0</v>
      </c>
      <c r="D1888" t="s">
        <v>124</v>
      </c>
      <c r="E1888">
        <v>12</v>
      </c>
      <c r="F1888">
        <v>1012</v>
      </c>
      <c r="G1888" t="s">
        <v>675</v>
      </c>
      <c r="J1888" t="s">
        <v>125</v>
      </c>
      <c r="K1888">
        <v>0</v>
      </c>
      <c r="L1888">
        <v>3</v>
      </c>
      <c r="M1888">
        <v>0</v>
      </c>
      <c r="N1888">
        <v>2</v>
      </c>
      <c r="O1888">
        <v>1</v>
      </c>
      <c r="P1888">
        <v>0</v>
      </c>
      <c r="Q1888">
        <v>0</v>
      </c>
      <c r="S1888" t="str">
        <f>"20:24:12.797"</f>
        <v>20:24:12.797</v>
      </c>
      <c r="T1888" t="str">
        <f>"20:24:11.297"</f>
        <v>20:24:11.297</v>
      </c>
      <c r="U1888" t="str">
        <f t="shared" si="92"/>
        <v>AB01F4</v>
      </c>
      <c r="V1888">
        <v>0</v>
      </c>
      <c r="W1888">
        <v>0</v>
      </c>
      <c r="X1888">
        <v>2</v>
      </c>
      <c r="Z1888">
        <v>0</v>
      </c>
      <c r="AA1888">
        <v>9</v>
      </c>
      <c r="AB1888">
        <v>3</v>
      </c>
      <c r="AC1888">
        <v>0</v>
      </c>
      <c r="AD1888">
        <v>10</v>
      </c>
      <c r="AE1888">
        <v>0</v>
      </c>
      <c r="AF1888">
        <v>3</v>
      </c>
      <c r="AG1888">
        <v>2</v>
      </c>
      <c r="AH1888">
        <v>0</v>
      </c>
      <c r="AI1888" t="s">
        <v>1193</v>
      </c>
      <c r="AJ1888">
        <v>39.913823999999998</v>
      </c>
      <c r="AK1888" t="s">
        <v>1194</v>
      </c>
      <c r="AL1888">
        <v>-92.593845999999999</v>
      </c>
      <c r="AM1888">
        <v>100</v>
      </c>
      <c r="AN1888">
        <v>1700</v>
      </c>
      <c r="AO1888" t="s">
        <v>118</v>
      </c>
      <c r="AP1888">
        <v>-106</v>
      </c>
      <c r="AQ1888">
        <v>75</v>
      </c>
      <c r="AR1888">
        <v>-64</v>
      </c>
      <c r="AZ1888">
        <v>1200</v>
      </c>
      <c r="BA1888">
        <v>1</v>
      </c>
      <c r="BB1888" t="str">
        <f t="shared" si="91"/>
        <v xml:space="preserve">N8080G  </v>
      </c>
      <c r="BC1888">
        <v>1</v>
      </c>
      <c r="BE1888">
        <v>0</v>
      </c>
      <c r="BF1888">
        <v>0</v>
      </c>
      <c r="BG1888">
        <v>0</v>
      </c>
      <c r="BH1888">
        <v>1700</v>
      </c>
      <c r="BI1888">
        <v>1</v>
      </c>
      <c r="BJ1888">
        <v>1</v>
      </c>
      <c r="BK1888">
        <v>1</v>
      </c>
      <c r="BL1888">
        <v>0</v>
      </c>
      <c r="BO1888">
        <v>0</v>
      </c>
      <c r="BP1888">
        <v>0</v>
      </c>
      <c r="BW1888" t="str">
        <f>"20:24:12.803"</f>
        <v>20:24:12.803</v>
      </c>
      <c r="BZ1888">
        <v>0</v>
      </c>
      <c r="CA1888">
        <v>2016</v>
      </c>
      <c r="CB1888">
        <v>224</v>
      </c>
      <c r="CD1888">
        <v>1</v>
      </c>
      <c r="CE1888">
        <v>0</v>
      </c>
      <c r="CF1888">
        <v>0</v>
      </c>
      <c r="CG1888">
        <v>1</v>
      </c>
      <c r="CH1888">
        <v>0</v>
      </c>
      <c r="CI1888">
        <v>0</v>
      </c>
      <c r="CJ1888">
        <v>0</v>
      </c>
      <c r="CK1888">
        <v>2</v>
      </c>
      <c r="CL1888">
        <v>0</v>
      </c>
      <c r="CM1888">
        <v>2</v>
      </c>
      <c r="CN1888">
        <v>0</v>
      </c>
      <c r="CO1888">
        <v>2</v>
      </c>
      <c r="CP1888" t="s">
        <v>119</v>
      </c>
      <c r="CQ1888">
        <v>179</v>
      </c>
      <c r="CR1888">
        <v>1</v>
      </c>
      <c r="CW1888">
        <v>8805630</v>
      </c>
      <c r="CY1888">
        <v>1</v>
      </c>
      <c r="CZ1888">
        <v>0</v>
      </c>
      <c r="DA1888">
        <v>1</v>
      </c>
      <c r="DB1888">
        <v>0</v>
      </c>
      <c r="DC1888">
        <v>0</v>
      </c>
      <c r="DD1888">
        <v>0</v>
      </c>
      <c r="DE1888">
        <v>0</v>
      </c>
      <c r="DF1888">
        <v>0</v>
      </c>
      <c r="DG1888">
        <v>0</v>
      </c>
      <c r="DH1888">
        <v>0</v>
      </c>
      <c r="DI1888">
        <v>0</v>
      </c>
    </row>
    <row r="1889" spans="1:113" x14ac:dyDescent="0.3">
      <c r="A1889" t="str">
        <f>"02/08/2021 20:24:10.457"</f>
        <v>02/08/2021 20:24:10.457</v>
      </c>
      <c r="C1889" t="str">
        <f t="shared" si="90"/>
        <v>FFDFD7C0</v>
      </c>
      <c r="D1889" t="s">
        <v>113</v>
      </c>
      <c r="E1889">
        <v>6</v>
      </c>
      <c r="H1889">
        <v>165</v>
      </c>
      <c r="I1889" t="s">
        <v>114</v>
      </c>
      <c r="J1889" t="s">
        <v>115</v>
      </c>
      <c r="K1889">
        <v>0</v>
      </c>
      <c r="L1889">
        <v>3</v>
      </c>
      <c r="M1889">
        <v>0</v>
      </c>
      <c r="N1889">
        <v>2</v>
      </c>
      <c r="O1889">
        <v>1</v>
      </c>
      <c r="P1889">
        <v>0</v>
      </c>
      <c r="Q1889">
        <v>0</v>
      </c>
      <c r="S1889" t="str">
        <f>"20:24:12.797"</f>
        <v>20:24:12.797</v>
      </c>
      <c r="T1889" t="str">
        <f>"20:24:11.297"</f>
        <v>20:24:11.297</v>
      </c>
      <c r="U1889" t="str">
        <f t="shared" si="92"/>
        <v>AB01F4</v>
      </c>
      <c r="V1889">
        <v>0</v>
      </c>
      <c r="W1889">
        <v>0</v>
      </c>
      <c r="X1889">
        <v>2</v>
      </c>
      <c r="Z1889">
        <v>0</v>
      </c>
      <c r="AA1889">
        <v>9</v>
      </c>
      <c r="AB1889">
        <v>3</v>
      </c>
      <c r="AC1889">
        <v>0</v>
      </c>
      <c r="AD1889">
        <v>10</v>
      </c>
      <c r="AE1889">
        <v>0</v>
      </c>
      <c r="AF1889">
        <v>3</v>
      </c>
      <c r="AG1889">
        <v>2</v>
      </c>
      <c r="AH1889">
        <v>0</v>
      </c>
      <c r="AI1889" t="s">
        <v>1193</v>
      </c>
      <c r="AJ1889">
        <v>39.913823999999998</v>
      </c>
      <c r="AK1889" t="s">
        <v>1194</v>
      </c>
      <c r="AL1889">
        <v>-92.593845999999999</v>
      </c>
      <c r="AM1889">
        <v>100</v>
      </c>
      <c r="AN1889">
        <v>1700</v>
      </c>
      <c r="AO1889" t="s">
        <v>118</v>
      </c>
      <c r="AP1889">
        <v>-106</v>
      </c>
      <c r="AQ1889">
        <v>75</v>
      </c>
      <c r="AR1889">
        <v>-64</v>
      </c>
      <c r="AZ1889">
        <v>1200</v>
      </c>
      <c r="BA1889">
        <v>1</v>
      </c>
      <c r="BB1889" t="str">
        <f t="shared" si="91"/>
        <v xml:space="preserve">N8080G  </v>
      </c>
      <c r="BC1889">
        <v>1</v>
      </c>
      <c r="BE1889">
        <v>0</v>
      </c>
      <c r="BF1889">
        <v>0</v>
      </c>
      <c r="BG1889">
        <v>0</v>
      </c>
      <c r="BH1889">
        <v>1700</v>
      </c>
      <c r="BI1889">
        <v>1</v>
      </c>
      <c r="BJ1889">
        <v>1</v>
      </c>
      <c r="BK1889">
        <v>1</v>
      </c>
      <c r="BL1889">
        <v>0</v>
      </c>
      <c r="BO1889">
        <v>0</v>
      </c>
      <c r="BP1889">
        <v>0</v>
      </c>
      <c r="BW1889" t="str">
        <f>"20:24:12.803"</f>
        <v>20:24:12.803</v>
      </c>
      <c r="BZ1889">
        <v>0</v>
      </c>
      <c r="CA1889">
        <v>2016</v>
      </c>
      <c r="CB1889">
        <v>224</v>
      </c>
      <c r="CD1889">
        <v>1</v>
      </c>
      <c r="CE1889">
        <v>0</v>
      </c>
      <c r="CF1889">
        <v>0</v>
      </c>
      <c r="CG1889">
        <v>1</v>
      </c>
      <c r="CH1889">
        <v>0</v>
      </c>
      <c r="CI1889">
        <v>0</v>
      </c>
      <c r="CJ1889">
        <v>0</v>
      </c>
      <c r="CK1889">
        <v>2</v>
      </c>
      <c r="CL1889">
        <v>0</v>
      </c>
      <c r="CM1889">
        <v>2</v>
      </c>
      <c r="CN1889">
        <v>0</v>
      </c>
      <c r="CO1889">
        <v>2</v>
      </c>
      <c r="CP1889" t="s">
        <v>119</v>
      </c>
      <c r="CQ1889">
        <v>179</v>
      </c>
      <c r="CR1889">
        <v>1</v>
      </c>
      <c r="CW1889">
        <v>8805630</v>
      </c>
      <c r="CY1889">
        <v>1</v>
      </c>
      <c r="CZ1889">
        <v>0</v>
      </c>
      <c r="DA1889">
        <v>1</v>
      </c>
      <c r="DB1889">
        <v>0</v>
      </c>
      <c r="DC1889">
        <v>0</v>
      </c>
      <c r="DD1889">
        <v>0</v>
      </c>
      <c r="DE1889">
        <v>0</v>
      </c>
      <c r="DF1889">
        <v>0</v>
      </c>
      <c r="DG1889">
        <v>0</v>
      </c>
      <c r="DH1889">
        <v>0</v>
      </c>
      <c r="DI1889">
        <v>0</v>
      </c>
    </row>
    <row r="1890" spans="1:113" x14ac:dyDescent="0.3">
      <c r="A1890" t="str">
        <f>"02/08/2021 20:24:10.457"</f>
        <v>02/08/2021 20:24:10.457</v>
      </c>
      <c r="C1890" t="str">
        <f t="shared" si="90"/>
        <v>FFDFD7C0</v>
      </c>
      <c r="D1890" t="s">
        <v>124</v>
      </c>
      <c r="E1890">
        <v>11</v>
      </c>
      <c r="F1890">
        <v>1011</v>
      </c>
      <c r="G1890" t="s">
        <v>590</v>
      </c>
      <c r="J1890" t="s">
        <v>125</v>
      </c>
      <c r="K1890">
        <v>0</v>
      </c>
      <c r="L1890">
        <v>3</v>
      </c>
      <c r="M1890">
        <v>0</v>
      </c>
      <c r="N1890">
        <v>2</v>
      </c>
      <c r="O1890">
        <v>1</v>
      </c>
      <c r="P1890">
        <v>0</v>
      </c>
      <c r="Q1890">
        <v>0</v>
      </c>
      <c r="S1890" t="str">
        <f>"20:24:12.797"</f>
        <v>20:24:12.797</v>
      </c>
      <c r="T1890" t="str">
        <f>"20:24:11.297"</f>
        <v>20:24:11.297</v>
      </c>
      <c r="U1890" t="str">
        <f t="shared" si="92"/>
        <v>AB01F4</v>
      </c>
      <c r="V1890">
        <v>0</v>
      </c>
      <c r="W1890">
        <v>0</v>
      </c>
      <c r="X1890">
        <v>2</v>
      </c>
      <c r="Z1890">
        <v>0</v>
      </c>
      <c r="AA1890">
        <v>9</v>
      </c>
      <c r="AB1890">
        <v>3</v>
      </c>
      <c r="AC1890">
        <v>0</v>
      </c>
      <c r="AD1890">
        <v>10</v>
      </c>
      <c r="AE1890">
        <v>0</v>
      </c>
      <c r="AF1890">
        <v>3</v>
      </c>
      <c r="AG1890">
        <v>2</v>
      </c>
      <c r="AH1890">
        <v>0</v>
      </c>
      <c r="AI1890" t="s">
        <v>1193</v>
      </c>
      <c r="AJ1890">
        <v>39.913823999999998</v>
      </c>
      <c r="AK1890" t="s">
        <v>1194</v>
      </c>
      <c r="AL1890">
        <v>-92.593845999999999</v>
      </c>
      <c r="AM1890">
        <v>100</v>
      </c>
      <c r="AN1890">
        <v>1700</v>
      </c>
      <c r="AO1890" t="s">
        <v>118</v>
      </c>
      <c r="AP1890">
        <v>-106</v>
      </c>
      <c r="AQ1890">
        <v>75</v>
      </c>
      <c r="AR1890">
        <v>-64</v>
      </c>
      <c r="AZ1890">
        <v>1200</v>
      </c>
      <c r="BA1890">
        <v>1</v>
      </c>
      <c r="BB1890" t="str">
        <f t="shared" si="91"/>
        <v xml:space="preserve">N8080G  </v>
      </c>
      <c r="BC1890">
        <v>1</v>
      </c>
      <c r="BE1890">
        <v>0</v>
      </c>
      <c r="BF1890">
        <v>0</v>
      </c>
      <c r="BG1890">
        <v>0</v>
      </c>
      <c r="BH1890">
        <v>1700</v>
      </c>
      <c r="BI1890">
        <v>1</v>
      </c>
      <c r="BJ1890">
        <v>1</v>
      </c>
      <c r="BK1890">
        <v>1</v>
      </c>
      <c r="BL1890">
        <v>0</v>
      </c>
      <c r="BO1890">
        <v>0</v>
      </c>
      <c r="BP1890">
        <v>0</v>
      </c>
      <c r="BW1890" t="str">
        <f>"20:24:12.803"</f>
        <v>20:24:12.803</v>
      </c>
      <c r="BZ1890">
        <v>0</v>
      </c>
      <c r="CA1890">
        <v>2016</v>
      </c>
      <c r="CB1890">
        <v>224</v>
      </c>
      <c r="CD1890">
        <v>1</v>
      </c>
      <c r="CE1890">
        <v>0</v>
      </c>
      <c r="CF1890">
        <v>0</v>
      </c>
      <c r="CG1890">
        <v>1</v>
      </c>
      <c r="CH1890">
        <v>0</v>
      </c>
      <c r="CI1890">
        <v>0</v>
      </c>
      <c r="CJ1890">
        <v>0</v>
      </c>
      <c r="CK1890">
        <v>2</v>
      </c>
      <c r="CL1890">
        <v>0</v>
      </c>
      <c r="CM1890">
        <v>2</v>
      </c>
      <c r="CN1890">
        <v>0</v>
      </c>
      <c r="CO1890">
        <v>2</v>
      </c>
      <c r="CP1890" t="s">
        <v>119</v>
      </c>
      <c r="CQ1890">
        <v>179</v>
      </c>
      <c r="CR1890">
        <v>1</v>
      </c>
      <c r="CW1890">
        <v>8805630</v>
      </c>
      <c r="CY1890">
        <v>1</v>
      </c>
      <c r="CZ1890">
        <v>0</v>
      </c>
      <c r="DA1890">
        <v>1</v>
      </c>
      <c r="DB1890">
        <v>0</v>
      </c>
      <c r="DC1890">
        <v>0</v>
      </c>
      <c r="DD1890">
        <v>0</v>
      </c>
      <c r="DE1890">
        <v>0</v>
      </c>
      <c r="DF1890">
        <v>0</v>
      </c>
      <c r="DG1890">
        <v>0</v>
      </c>
      <c r="DH1890">
        <v>0</v>
      </c>
      <c r="DI1890">
        <v>0</v>
      </c>
    </row>
    <row r="1891" spans="1:113" x14ac:dyDescent="0.3">
      <c r="A1891" t="str">
        <f>"02/08/2021 20:24:11.602"</f>
        <v>02/08/2021 20:24:11.602</v>
      </c>
      <c r="C1891" t="str">
        <f t="shared" si="90"/>
        <v>FFDFD7C0</v>
      </c>
      <c r="D1891" t="s">
        <v>113</v>
      </c>
      <c r="E1891">
        <v>6</v>
      </c>
      <c r="H1891">
        <v>165</v>
      </c>
      <c r="I1891" t="s">
        <v>114</v>
      </c>
      <c r="J1891" t="s">
        <v>115</v>
      </c>
      <c r="K1891">
        <v>0</v>
      </c>
      <c r="L1891">
        <v>3</v>
      </c>
      <c r="M1891">
        <v>0</v>
      </c>
      <c r="N1891">
        <v>2</v>
      </c>
      <c r="O1891">
        <v>1</v>
      </c>
      <c r="P1891">
        <v>0</v>
      </c>
      <c r="Q1891">
        <v>0</v>
      </c>
      <c r="S1891" t="str">
        <f>"20:24:13.914"</f>
        <v>20:24:13.914</v>
      </c>
      <c r="T1891" t="str">
        <f>"20:24:11.314"</f>
        <v>20:24:11.314</v>
      </c>
      <c r="U1891" t="str">
        <f t="shared" si="92"/>
        <v>AB01F4</v>
      </c>
      <c r="V1891">
        <v>0</v>
      </c>
      <c r="W1891">
        <v>0</v>
      </c>
      <c r="X1891">
        <v>2</v>
      </c>
      <c r="Z1891">
        <v>0</v>
      </c>
      <c r="AA1891">
        <v>9</v>
      </c>
      <c r="AB1891">
        <v>3</v>
      </c>
      <c r="AC1891">
        <v>0</v>
      </c>
      <c r="AD1891">
        <v>10</v>
      </c>
      <c r="AE1891">
        <v>0</v>
      </c>
      <c r="AF1891">
        <v>3</v>
      </c>
      <c r="AG1891">
        <v>2</v>
      </c>
      <c r="AH1891">
        <v>0</v>
      </c>
      <c r="AI1891" t="s">
        <v>1195</v>
      </c>
      <c r="AJ1891">
        <v>39.914209999999997</v>
      </c>
      <c r="AK1891" t="s">
        <v>1196</v>
      </c>
      <c r="AL1891">
        <v>-92.594532999999998</v>
      </c>
      <c r="AM1891">
        <v>100</v>
      </c>
      <c r="AN1891">
        <v>1700</v>
      </c>
      <c r="AO1891" t="s">
        <v>118</v>
      </c>
      <c r="AP1891">
        <v>-106</v>
      </c>
      <c r="AQ1891">
        <v>75</v>
      </c>
      <c r="AR1891">
        <v>-64</v>
      </c>
      <c r="AZ1891">
        <v>1200</v>
      </c>
      <c r="BA1891">
        <v>1</v>
      </c>
      <c r="BB1891" t="str">
        <f t="shared" si="91"/>
        <v xml:space="preserve">N8080G  </v>
      </c>
      <c r="BC1891">
        <v>1</v>
      </c>
      <c r="BE1891">
        <v>0</v>
      </c>
      <c r="BF1891">
        <v>0</v>
      </c>
      <c r="BG1891">
        <v>0</v>
      </c>
      <c r="BH1891">
        <v>1700</v>
      </c>
      <c r="BI1891">
        <v>1</v>
      </c>
      <c r="BJ1891">
        <v>1</v>
      </c>
      <c r="BK1891">
        <v>1</v>
      </c>
      <c r="BL1891">
        <v>0</v>
      </c>
      <c r="BO1891">
        <v>0</v>
      </c>
      <c r="BP1891">
        <v>0</v>
      </c>
      <c r="BW1891" t="str">
        <f>"20:24:13.916"</f>
        <v>20:24:13.916</v>
      </c>
      <c r="BZ1891">
        <v>0</v>
      </c>
      <c r="CA1891">
        <v>2016</v>
      </c>
      <c r="CB1891">
        <v>224</v>
      </c>
      <c r="CD1891">
        <v>1</v>
      </c>
      <c r="CE1891">
        <v>0</v>
      </c>
      <c r="CF1891">
        <v>0</v>
      </c>
      <c r="CG1891">
        <v>1</v>
      </c>
      <c r="CH1891">
        <v>0</v>
      </c>
      <c r="CI1891">
        <v>0</v>
      </c>
      <c r="CJ1891">
        <v>0</v>
      </c>
      <c r="CK1891">
        <v>2</v>
      </c>
      <c r="CL1891">
        <v>0</v>
      </c>
      <c r="CM1891">
        <v>2</v>
      </c>
      <c r="CN1891">
        <v>0</v>
      </c>
      <c r="CO1891">
        <v>1</v>
      </c>
      <c r="CP1891" t="s">
        <v>119</v>
      </c>
      <c r="CQ1891">
        <v>179</v>
      </c>
      <c r="CR1891">
        <v>1</v>
      </c>
      <c r="CW1891">
        <v>8806676</v>
      </c>
      <c r="CY1891">
        <v>1</v>
      </c>
      <c r="CZ1891">
        <v>0</v>
      </c>
      <c r="DA1891">
        <v>0</v>
      </c>
      <c r="DB1891">
        <v>0</v>
      </c>
      <c r="DC1891">
        <v>0</v>
      </c>
      <c r="DD1891">
        <v>0</v>
      </c>
      <c r="DE1891">
        <v>0</v>
      </c>
      <c r="DF1891">
        <v>0</v>
      </c>
      <c r="DG1891">
        <v>0</v>
      </c>
      <c r="DH1891">
        <v>0</v>
      </c>
      <c r="DI1891">
        <v>0</v>
      </c>
    </row>
    <row r="1892" spans="1:113" x14ac:dyDescent="0.3">
      <c r="A1892" t="str">
        <f>"02/08/2021 20:24:11.602"</f>
        <v>02/08/2021 20:24:11.602</v>
      </c>
      <c r="C1892" t="str">
        <f t="shared" si="90"/>
        <v>FFDFD7C0</v>
      </c>
      <c r="D1892" t="s">
        <v>124</v>
      </c>
      <c r="E1892">
        <v>11</v>
      </c>
      <c r="F1892">
        <v>1011</v>
      </c>
      <c r="G1892" t="s">
        <v>590</v>
      </c>
      <c r="J1892" t="s">
        <v>125</v>
      </c>
      <c r="K1892">
        <v>0</v>
      </c>
      <c r="L1892">
        <v>3</v>
      </c>
      <c r="M1892">
        <v>0</v>
      </c>
      <c r="N1892">
        <v>2</v>
      </c>
      <c r="O1892">
        <v>1</v>
      </c>
      <c r="P1892">
        <v>0</v>
      </c>
      <c r="Q1892">
        <v>0</v>
      </c>
      <c r="S1892" t="str">
        <f>"20:24:13.914"</f>
        <v>20:24:13.914</v>
      </c>
      <c r="T1892" t="str">
        <f>"20:24:11.314"</f>
        <v>20:24:11.314</v>
      </c>
      <c r="U1892" t="str">
        <f t="shared" si="92"/>
        <v>AB01F4</v>
      </c>
      <c r="V1892">
        <v>0</v>
      </c>
      <c r="W1892">
        <v>0</v>
      </c>
      <c r="X1892">
        <v>2</v>
      </c>
      <c r="Z1892">
        <v>0</v>
      </c>
      <c r="AA1892">
        <v>9</v>
      </c>
      <c r="AB1892">
        <v>3</v>
      </c>
      <c r="AC1892">
        <v>0</v>
      </c>
      <c r="AD1892">
        <v>10</v>
      </c>
      <c r="AE1892">
        <v>0</v>
      </c>
      <c r="AF1892">
        <v>3</v>
      </c>
      <c r="AG1892">
        <v>2</v>
      </c>
      <c r="AH1892">
        <v>0</v>
      </c>
      <c r="AI1892" t="s">
        <v>1195</v>
      </c>
      <c r="AJ1892">
        <v>39.914209999999997</v>
      </c>
      <c r="AK1892" t="s">
        <v>1196</v>
      </c>
      <c r="AL1892">
        <v>-92.594532999999998</v>
      </c>
      <c r="AM1892">
        <v>100</v>
      </c>
      <c r="AN1892">
        <v>1700</v>
      </c>
      <c r="AO1892" t="s">
        <v>118</v>
      </c>
      <c r="AP1892">
        <v>-106</v>
      </c>
      <c r="AQ1892">
        <v>75</v>
      </c>
      <c r="AR1892">
        <v>-64</v>
      </c>
      <c r="AZ1892">
        <v>1200</v>
      </c>
      <c r="BA1892">
        <v>1</v>
      </c>
      <c r="BB1892" t="str">
        <f t="shared" si="91"/>
        <v xml:space="preserve">N8080G  </v>
      </c>
      <c r="BC1892">
        <v>1</v>
      </c>
      <c r="BE1892">
        <v>0</v>
      </c>
      <c r="BF1892">
        <v>0</v>
      </c>
      <c r="BG1892">
        <v>0</v>
      </c>
      <c r="BH1892">
        <v>1700</v>
      </c>
      <c r="BI1892">
        <v>1</v>
      </c>
      <c r="BJ1892">
        <v>1</v>
      </c>
      <c r="BK1892">
        <v>1</v>
      </c>
      <c r="BL1892">
        <v>0</v>
      </c>
      <c r="BO1892">
        <v>0</v>
      </c>
      <c r="BP1892">
        <v>0</v>
      </c>
      <c r="BW1892" t="str">
        <f>"20:24:13.916"</f>
        <v>20:24:13.916</v>
      </c>
      <c r="BZ1892">
        <v>0</v>
      </c>
      <c r="CA1892">
        <v>2016</v>
      </c>
      <c r="CB1892">
        <v>224</v>
      </c>
      <c r="CD1892">
        <v>1</v>
      </c>
      <c r="CE1892">
        <v>0</v>
      </c>
      <c r="CF1892">
        <v>0</v>
      </c>
      <c r="CG1892">
        <v>1</v>
      </c>
      <c r="CH1892">
        <v>0</v>
      </c>
      <c r="CI1892">
        <v>0</v>
      </c>
      <c r="CJ1892">
        <v>0</v>
      </c>
      <c r="CK1892">
        <v>2</v>
      </c>
      <c r="CL1892">
        <v>0</v>
      </c>
      <c r="CM1892">
        <v>2</v>
      </c>
      <c r="CN1892">
        <v>0</v>
      </c>
      <c r="CO1892">
        <v>1</v>
      </c>
      <c r="CP1892" t="s">
        <v>119</v>
      </c>
      <c r="CQ1892">
        <v>179</v>
      </c>
      <c r="CR1892">
        <v>1</v>
      </c>
      <c r="CW1892">
        <v>8806676</v>
      </c>
      <c r="CY1892">
        <v>1</v>
      </c>
      <c r="CZ1892">
        <v>0</v>
      </c>
      <c r="DA1892">
        <v>1</v>
      </c>
      <c r="DB1892">
        <v>0</v>
      </c>
      <c r="DC1892">
        <v>0</v>
      </c>
      <c r="DD1892">
        <v>0</v>
      </c>
      <c r="DE1892">
        <v>0</v>
      </c>
      <c r="DF1892">
        <v>0</v>
      </c>
      <c r="DG1892">
        <v>0</v>
      </c>
      <c r="DH1892">
        <v>0</v>
      </c>
      <c r="DI1892">
        <v>0</v>
      </c>
    </row>
    <row r="1893" spans="1:113" x14ac:dyDescent="0.3">
      <c r="A1893" t="str">
        <f>"02/08/2021 20:24:11.602"</f>
        <v>02/08/2021 20:24:11.602</v>
      </c>
      <c r="C1893" t="str">
        <f t="shared" si="90"/>
        <v>FFDFD7C0</v>
      </c>
      <c r="D1893" t="s">
        <v>124</v>
      </c>
      <c r="E1893">
        <v>13</v>
      </c>
      <c r="F1893">
        <v>1013</v>
      </c>
      <c r="G1893" t="s">
        <v>114</v>
      </c>
      <c r="J1893" t="s">
        <v>125</v>
      </c>
      <c r="K1893">
        <v>0</v>
      </c>
      <c r="L1893">
        <v>3</v>
      </c>
      <c r="M1893">
        <v>0</v>
      </c>
      <c r="N1893">
        <v>2</v>
      </c>
      <c r="O1893">
        <v>1</v>
      </c>
      <c r="P1893">
        <v>0</v>
      </c>
      <c r="Q1893">
        <v>0</v>
      </c>
      <c r="S1893" t="str">
        <f>"20:24:13.914"</f>
        <v>20:24:13.914</v>
      </c>
      <c r="T1893" t="str">
        <f>"20:24:11.314"</f>
        <v>20:24:11.314</v>
      </c>
      <c r="U1893" t="str">
        <f t="shared" si="92"/>
        <v>AB01F4</v>
      </c>
      <c r="V1893">
        <v>0</v>
      </c>
      <c r="W1893">
        <v>0</v>
      </c>
      <c r="X1893">
        <v>2</v>
      </c>
      <c r="Z1893">
        <v>0</v>
      </c>
      <c r="AA1893">
        <v>9</v>
      </c>
      <c r="AB1893">
        <v>3</v>
      </c>
      <c r="AC1893">
        <v>0</v>
      </c>
      <c r="AD1893">
        <v>10</v>
      </c>
      <c r="AE1893">
        <v>0</v>
      </c>
      <c r="AF1893">
        <v>3</v>
      </c>
      <c r="AG1893">
        <v>2</v>
      </c>
      <c r="AH1893">
        <v>0</v>
      </c>
      <c r="AI1893" t="s">
        <v>1195</v>
      </c>
      <c r="AJ1893">
        <v>39.914209999999997</v>
      </c>
      <c r="AK1893" t="s">
        <v>1196</v>
      </c>
      <c r="AL1893">
        <v>-92.594532999999998</v>
      </c>
      <c r="AM1893">
        <v>100</v>
      </c>
      <c r="AN1893">
        <v>1700</v>
      </c>
      <c r="AO1893" t="s">
        <v>118</v>
      </c>
      <c r="AP1893">
        <v>-106</v>
      </c>
      <c r="AQ1893">
        <v>75</v>
      </c>
      <c r="AR1893">
        <v>-64</v>
      </c>
      <c r="AZ1893">
        <v>1200</v>
      </c>
      <c r="BA1893">
        <v>1</v>
      </c>
      <c r="BB1893" t="str">
        <f t="shared" si="91"/>
        <v xml:space="preserve">N8080G  </v>
      </c>
      <c r="BC1893">
        <v>1</v>
      </c>
      <c r="BE1893">
        <v>0</v>
      </c>
      <c r="BF1893">
        <v>0</v>
      </c>
      <c r="BG1893">
        <v>0</v>
      </c>
      <c r="BH1893">
        <v>1700</v>
      </c>
      <c r="BI1893">
        <v>1</v>
      </c>
      <c r="BJ1893">
        <v>1</v>
      </c>
      <c r="BK1893">
        <v>1</v>
      </c>
      <c r="BL1893">
        <v>0</v>
      </c>
      <c r="BO1893">
        <v>0</v>
      </c>
      <c r="BP1893">
        <v>0</v>
      </c>
      <c r="BW1893" t="str">
        <f>"20:24:13.916"</f>
        <v>20:24:13.916</v>
      </c>
      <c r="BZ1893">
        <v>0</v>
      </c>
      <c r="CA1893">
        <v>2016</v>
      </c>
      <c r="CB1893">
        <v>224</v>
      </c>
      <c r="CD1893">
        <v>1</v>
      </c>
      <c r="CE1893">
        <v>0</v>
      </c>
      <c r="CF1893">
        <v>0</v>
      </c>
      <c r="CG1893">
        <v>1</v>
      </c>
      <c r="CH1893">
        <v>0</v>
      </c>
      <c r="CI1893">
        <v>0</v>
      </c>
      <c r="CJ1893">
        <v>0</v>
      </c>
      <c r="CK1893">
        <v>2</v>
      </c>
      <c r="CL1893">
        <v>0</v>
      </c>
      <c r="CM1893">
        <v>2</v>
      </c>
      <c r="CN1893">
        <v>0</v>
      </c>
      <c r="CO1893">
        <v>1</v>
      </c>
      <c r="CP1893" t="s">
        <v>119</v>
      </c>
      <c r="CQ1893">
        <v>179</v>
      </c>
      <c r="CR1893">
        <v>1</v>
      </c>
      <c r="CW1893">
        <v>8806676</v>
      </c>
      <c r="CY1893">
        <v>1</v>
      </c>
      <c r="CZ1893">
        <v>0</v>
      </c>
      <c r="DA1893">
        <v>1</v>
      </c>
      <c r="DB1893">
        <v>0</v>
      </c>
      <c r="DC1893">
        <v>0</v>
      </c>
      <c r="DD1893">
        <v>0</v>
      </c>
      <c r="DE1893">
        <v>0</v>
      </c>
      <c r="DF1893">
        <v>0</v>
      </c>
      <c r="DG1893">
        <v>0</v>
      </c>
      <c r="DH1893">
        <v>0</v>
      </c>
      <c r="DI1893">
        <v>0</v>
      </c>
    </row>
    <row r="1894" spans="1:113" x14ac:dyDescent="0.3">
      <c r="A1894" t="str">
        <f>"02/08/2021 20:24:11.602"</f>
        <v>02/08/2021 20:24:11.602</v>
      </c>
      <c r="C1894" t="str">
        <f t="shared" si="90"/>
        <v>FFDFD7C0</v>
      </c>
      <c r="D1894" t="s">
        <v>124</v>
      </c>
      <c r="E1894">
        <v>12</v>
      </c>
      <c r="F1894">
        <v>1012</v>
      </c>
      <c r="G1894" t="s">
        <v>675</v>
      </c>
      <c r="J1894" t="s">
        <v>125</v>
      </c>
      <c r="K1894">
        <v>0</v>
      </c>
      <c r="L1894">
        <v>3</v>
      </c>
      <c r="M1894">
        <v>0</v>
      </c>
      <c r="N1894">
        <v>2</v>
      </c>
      <c r="O1894">
        <v>1</v>
      </c>
      <c r="P1894">
        <v>0</v>
      </c>
      <c r="Q1894">
        <v>0</v>
      </c>
      <c r="S1894" t="str">
        <f>"20:24:13.914"</f>
        <v>20:24:13.914</v>
      </c>
      <c r="T1894" t="str">
        <f>"20:24:11.314"</f>
        <v>20:24:11.314</v>
      </c>
      <c r="U1894" t="str">
        <f t="shared" si="92"/>
        <v>AB01F4</v>
      </c>
      <c r="V1894">
        <v>0</v>
      </c>
      <c r="W1894">
        <v>0</v>
      </c>
      <c r="X1894">
        <v>2</v>
      </c>
      <c r="Z1894">
        <v>0</v>
      </c>
      <c r="AA1894">
        <v>9</v>
      </c>
      <c r="AB1894">
        <v>3</v>
      </c>
      <c r="AC1894">
        <v>0</v>
      </c>
      <c r="AD1894">
        <v>10</v>
      </c>
      <c r="AE1894">
        <v>0</v>
      </c>
      <c r="AF1894">
        <v>3</v>
      </c>
      <c r="AG1894">
        <v>2</v>
      </c>
      <c r="AH1894">
        <v>0</v>
      </c>
      <c r="AI1894" t="s">
        <v>1195</v>
      </c>
      <c r="AJ1894">
        <v>39.914209999999997</v>
      </c>
      <c r="AK1894" t="s">
        <v>1196</v>
      </c>
      <c r="AL1894">
        <v>-92.594532999999998</v>
      </c>
      <c r="AM1894">
        <v>100</v>
      </c>
      <c r="AN1894">
        <v>1700</v>
      </c>
      <c r="AO1894" t="s">
        <v>118</v>
      </c>
      <c r="AP1894">
        <v>-106</v>
      </c>
      <c r="AQ1894">
        <v>75</v>
      </c>
      <c r="AR1894">
        <v>-64</v>
      </c>
      <c r="AZ1894">
        <v>1200</v>
      </c>
      <c r="BA1894">
        <v>1</v>
      </c>
      <c r="BB1894" t="str">
        <f t="shared" si="91"/>
        <v xml:space="preserve">N8080G  </v>
      </c>
      <c r="BC1894">
        <v>1</v>
      </c>
      <c r="BE1894">
        <v>0</v>
      </c>
      <c r="BF1894">
        <v>0</v>
      </c>
      <c r="BG1894">
        <v>0</v>
      </c>
      <c r="BH1894">
        <v>1700</v>
      </c>
      <c r="BI1894">
        <v>1</v>
      </c>
      <c r="BJ1894">
        <v>1</v>
      </c>
      <c r="BK1894">
        <v>1</v>
      </c>
      <c r="BL1894">
        <v>0</v>
      </c>
      <c r="BO1894">
        <v>0</v>
      </c>
      <c r="BP1894">
        <v>0</v>
      </c>
      <c r="BW1894" t="str">
        <f>"20:24:13.916"</f>
        <v>20:24:13.916</v>
      </c>
      <c r="BZ1894">
        <v>0</v>
      </c>
      <c r="CA1894">
        <v>2016</v>
      </c>
      <c r="CB1894">
        <v>224</v>
      </c>
      <c r="CD1894">
        <v>1</v>
      </c>
      <c r="CE1894">
        <v>0</v>
      </c>
      <c r="CF1894">
        <v>0</v>
      </c>
      <c r="CG1894">
        <v>1</v>
      </c>
      <c r="CH1894">
        <v>0</v>
      </c>
      <c r="CI1894">
        <v>0</v>
      </c>
      <c r="CJ1894">
        <v>0</v>
      </c>
      <c r="CK1894">
        <v>2</v>
      </c>
      <c r="CL1894">
        <v>0</v>
      </c>
      <c r="CM1894">
        <v>2</v>
      </c>
      <c r="CN1894">
        <v>0</v>
      </c>
      <c r="CO1894">
        <v>1</v>
      </c>
      <c r="CP1894" t="s">
        <v>119</v>
      </c>
      <c r="CQ1894">
        <v>179</v>
      </c>
      <c r="CR1894">
        <v>1</v>
      </c>
      <c r="CW1894">
        <v>8806676</v>
      </c>
      <c r="CY1894">
        <v>1</v>
      </c>
      <c r="CZ1894">
        <v>0</v>
      </c>
      <c r="DA1894">
        <v>1</v>
      </c>
      <c r="DB1894">
        <v>0</v>
      </c>
      <c r="DC1894">
        <v>0</v>
      </c>
      <c r="DD1894">
        <v>0</v>
      </c>
      <c r="DE1894">
        <v>0</v>
      </c>
      <c r="DF1894">
        <v>0</v>
      </c>
      <c r="DG1894">
        <v>0</v>
      </c>
      <c r="DH1894">
        <v>0</v>
      </c>
      <c r="DI1894">
        <v>0</v>
      </c>
    </row>
    <row r="1895" spans="1:113" x14ac:dyDescent="0.3">
      <c r="A1895" t="str">
        <f>"02/08/2021 20:24:12.745"</f>
        <v>02/08/2021 20:24:12.745</v>
      </c>
      <c r="C1895" t="str">
        <f t="shared" si="90"/>
        <v>FFDFD7C0</v>
      </c>
      <c r="D1895" t="s">
        <v>124</v>
      </c>
      <c r="E1895">
        <v>12</v>
      </c>
      <c r="F1895">
        <v>1012</v>
      </c>
      <c r="G1895" t="s">
        <v>675</v>
      </c>
      <c r="J1895" t="s">
        <v>125</v>
      </c>
      <c r="K1895">
        <v>0</v>
      </c>
      <c r="L1895">
        <v>3</v>
      </c>
      <c r="M1895">
        <v>0</v>
      </c>
      <c r="N1895">
        <v>2</v>
      </c>
      <c r="O1895">
        <v>1</v>
      </c>
      <c r="P1895">
        <v>0</v>
      </c>
      <c r="Q1895">
        <v>0</v>
      </c>
      <c r="S1895" t="str">
        <f>"20:24:15.063"</f>
        <v>20:24:15.063</v>
      </c>
      <c r="T1895" t="str">
        <f>"20:24:14.563"</f>
        <v>20:24:14.563</v>
      </c>
      <c r="U1895" t="str">
        <f t="shared" si="92"/>
        <v>AB01F4</v>
      </c>
      <c r="V1895">
        <v>0</v>
      </c>
      <c r="W1895">
        <v>0</v>
      </c>
      <c r="X1895">
        <v>2</v>
      </c>
      <c r="Z1895">
        <v>0</v>
      </c>
      <c r="AA1895">
        <v>9</v>
      </c>
      <c r="AB1895">
        <v>3</v>
      </c>
      <c r="AC1895">
        <v>0</v>
      </c>
      <c r="AD1895">
        <v>10</v>
      </c>
      <c r="AE1895">
        <v>0</v>
      </c>
      <c r="AF1895">
        <v>3</v>
      </c>
      <c r="AG1895">
        <v>2</v>
      </c>
      <c r="AH1895">
        <v>0</v>
      </c>
      <c r="AI1895" t="s">
        <v>1197</v>
      </c>
      <c r="AJ1895">
        <v>39.914639000000001</v>
      </c>
      <c r="AK1895" t="s">
        <v>1198</v>
      </c>
      <c r="AL1895">
        <v>-92.595326999999997</v>
      </c>
      <c r="AM1895">
        <v>100</v>
      </c>
      <c r="AN1895">
        <v>1700</v>
      </c>
      <c r="AO1895" t="s">
        <v>118</v>
      </c>
      <c r="AP1895">
        <v>-107</v>
      </c>
      <c r="AQ1895">
        <v>75</v>
      </c>
      <c r="AR1895">
        <v>64</v>
      </c>
      <c r="AZ1895">
        <v>1200</v>
      </c>
      <c r="BA1895">
        <v>1</v>
      </c>
      <c r="BB1895" t="str">
        <f t="shared" si="91"/>
        <v xml:space="preserve">N8080G  </v>
      </c>
      <c r="BC1895">
        <v>1</v>
      </c>
      <c r="BE1895">
        <v>0</v>
      </c>
      <c r="BF1895">
        <v>0</v>
      </c>
      <c r="BG1895">
        <v>0</v>
      </c>
      <c r="BH1895">
        <v>1700</v>
      </c>
      <c r="BI1895">
        <v>1</v>
      </c>
      <c r="BJ1895">
        <v>1</v>
      </c>
      <c r="BK1895">
        <v>1</v>
      </c>
      <c r="BL1895">
        <v>0</v>
      </c>
      <c r="BO1895">
        <v>0</v>
      </c>
      <c r="BP1895">
        <v>0</v>
      </c>
      <c r="BW1895" t="str">
        <f>"20:24:15.066"</f>
        <v>20:24:15.066</v>
      </c>
      <c r="BZ1895">
        <v>0</v>
      </c>
      <c r="CA1895">
        <v>2016</v>
      </c>
      <c r="CB1895">
        <v>224</v>
      </c>
      <c r="CD1895">
        <v>1</v>
      </c>
      <c r="CE1895">
        <v>0</v>
      </c>
      <c r="CF1895">
        <v>0</v>
      </c>
      <c r="CG1895">
        <v>1</v>
      </c>
      <c r="CH1895">
        <v>0</v>
      </c>
      <c r="CI1895">
        <v>0</v>
      </c>
      <c r="CJ1895">
        <v>0</v>
      </c>
      <c r="CK1895">
        <v>2</v>
      </c>
      <c r="CL1895">
        <v>0</v>
      </c>
      <c r="CM1895">
        <v>2</v>
      </c>
      <c r="CN1895">
        <v>0</v>
      </c>
      <c r="CO1895">
        <v>7</v>
      </c>
      <c r="CP1895" t="s">
        <v>119</v>
      </c>
      <c r="CQ1895">
        <v>180</v>
      </c>
      <c r="CR1895">
        <v>2</v>
      </c>
      <c r="CW1895">
        <v>8373594</v>
      </c>
      <c r="CY1895">
        <v>1</v>
      </c>
      <c r="CZ1895">
        <v>0</v>
      </c>
      <c r="DA1895">
        <v>0</v>
      </c>
      <c r="DB1895">
        <v>0</v>
      </c>
      <c r="DC1895">
        <v>0</v>
      </c>
      <c r="DD1895">
        <v>0</v>
      </c>
      <c r="DE1895">
        <v>0</v>
      </c>
      <c r="DF1895">
        <v>0</v>
      </c>
      <c r="DG1895">
        <v>0</v>
      </c>
      <c r="DH1895">
        <v>0</v>
      </c>
      <c r="DI1895">
        <v>0</v>
      </c>
    </row>
    <row r="1896" spans="1:113" x14ac:dyDescent="0.3">
      <c r="A1896" t="str">
        <f>"02/08/2021 20:24:12.745"</f>
        <v>02/08/2021 20:24:12.745</v>
      </c>
      <c r="C1896" t="str">
        <f t="shared" si="90"/>
        <v>FFDFD7C0</v>
      </c>
      <c r="D1896" t="s">
        <v>113</v>
      </c>
      <c r="E1896">
        <v>6</v>
      </c>
      <c r="H1896">
        <v>165</v>
      </c>
      <c r="I1896" t="s">
        <v>114</v>
      </c>
      <c r="J1896" t="s">
        <v>115</v>
      </c>
      <c r="K1896">
        <v>0</v>
      </c>
      <c r="L1896">
        <v>3</v>
      </c>
      <c r="M1896">
        <v>0</v>
      </c>
      <c r="N1896">
        <v>2</v>
      </c>
      <c r="O1896">
        <v>1</v>
      </c>
      <c r="P1896">
        <v>0</v>
      </c>
      <c r="Q1896">
        <v>0</v>
      </c>
      <c r="S1896" t="str">
        <f>"20:24:15.063"</f>
        <v>20:24:15.063</v>
      </c>
      <c r="T1896" t="str">
        <f>"20:24:14.563"</f>
        <v>20:24:14.563</v>
      </c>
      <c r="U1896" t="str">
        <f t="shared" si="92"/>
        <v>AB01F4</v>
      </c>
      <c r="V1896">
        <v>0</v>
      </c>
      <c r="W1896">
        <v>0</v>
      </c>
      <c r="X1896">
        <v>2</v>
      </c>
      <c r="Z1896">
        <v>0</v>
      </c>
      <c r="AA1896">
        <v>9</v>
      </c>
      <c r="AB1896">
        <v>3</v>
      </c>
      <c r="AC1896">
        <v>0</v>
      </c>
      <c r="AD1896">
        <v>10</v>
      </c>
      <c r="AE1896">
        <v>0</v>
      </c>
      <c r="AF1896">
        <v>3</v>
      </c>
      <c r="AG1896">
        <v>2</v>
      </c>
      <c r="AH1896">
        <v>0</v>
      </c>
      <c r="AI1896" t="s">
        <v>1197</v>
      </c>
      <c r="AJ1896">
        <v>39.914639000000001</v>
      </c>
      <c r="AK1896" t="s">
        <v>1198</v>
      </c>
      <c r="AL1896">
        <v>-92.595326999999997</v>
      </c>
      <c r="AM1896">
        <v>100</v>
      </c>
      <c r="AN1896">
        <v>1700</v>
      </c>
      <c r="AO1896" t="s">
        <v>118</v>
      </c>
      <c r="AP1896">
        <v>-107</v>
      </c>
      <c r="AQ1896">
        <v>75</v>
      </c>
      <c r="AR1896">
        <v>64</v>
      </c>
      <c r="AZ1896">
        <v>1200</v>
      </c>
      <c r="BA1896">
        <v>1</v>
      </c>
      <c r="BB1896" t="str">
        <f t="shared" si="91"/>
        <v xml:space="preserve">N8080G  </v>
      </c>
      <c r="BC1896">
        <v>1</v>
      </c>
      <c r="BE1896">
        <v>0</v>
      </c>
      <c r="BF1896">
        <v>0</v>
      </c>
      <c r="BG1896">
        <v>0</v>
      </c>
      <c r="BH1896">
        <v>1700</v>
      </c>
      <c r="BI1896">
        <v>1</v>
      </c>
      <c r="BJ1896">
        <v>1</v>
      </c>
      <c r="BK1896">
        <v>1</v>
      </c>
      <c r="BL1896">
        <v>0</v>
      </c>
      <c r="BO1896">
        <v>0</v>
      </c>
      <c r="BP1896">
        <v>0</v>
      </c>
      <c r="BW1896" t="str">
        <f>"20:24:15.066"</f>
        <v>20:24:15.066</v>
      </c>
      <c r="BZ1896">
        <v>0</v>
      </c>
      <c r="CA1896">
        <v>2016</v>
      </c>
      <c r="CB1896">
        <v>224</v>
      </c>
      <c r="CD1896">
        <v>1</v>
      </c>
      <c r="CE1896">
        <v>0</v>
      </c>
      <c r="CF1896">
        <v>0</v>
      </c>
      <c r="CG1896">
        <v>1</v>
      </c>
      <c r="CH1896">
        <v>0</v>
      </c>
      <c r="CI1896">
        <v>0</v>
      </c>
      <c r="CJ1896">
        <v>0</v>
      </c>
      <c r="CK1896">
        <v>2</v>
      </c>
      <c r="CL1896">
        <v>0</v>
      </c>
      <c r="CM1896">
        <v>2</v>
      </c>
      <c r="CN1896">
        <v>0</v>
      </c>
      <c r="CO1896">
        <v>7</v>
      </c>
      <c r="CP1896" t="s">
        <v>119</v>
      </c>
      <c r="CQ1896">
        <v>180</v>
      </c>
      <c r="CR1896">
        <v>2</v>
      </c>
      <c r="CW1896">
        <v>8373594</v>
      </c>
      <c r="CY1896">
        <v>1</v>
      </c>
      <c r="CZ1896">
        <v>0</v>
      </c>
      <c r="DA1896">
        <v>1</v>
      </c>
      <c r="DB1896">
        <v>0</v>
      </c>
      <c r="DC1896">
        <v>0</v>
      </c>
      <c r="DD1896">
        <v>0</v>
      </c>
      <c r="DE1896">
        <v>0</v>
      </c>
      <c r="DF1896">
        <v>0</v>
      </c>
      <c r="DG1896">
        <v>0</v>
      </c>
      <c r="DH1896">
        <v>0</v>
      </c>
      <c r="DI1896">
        <v>0</v>
      </c>
    </row>
    <row r="1897" spans="1:113" x14ac:dyDescent="0.3">
      <c r="A1897" t="str">
        <f>"02/08/2021 20:24:12.745"</f>
        <v>02/08/2021 20:24:12.745</v>
      </c>
      <c r="C1897" t="str">
        <f t="shared" si="90"/>
        <v>FFDFD7C0</v>
      </c>
      <c r="D1897" t="s">
        <v>124</v>
      </c>
      <c r="E1897">
        <v>11</v>
      </c>
      <c r="F1897">
        <v>1011</v>
      </c>
      <c r="G1897" t="s">
        <v>590</v>
      </c>
      <c r="J1897" t="s">
        <v>125</v>
      </c>
      <c r="K1897">
        <v>0</v>
      </c>
      <c r="L1897">
        <v>3</v>
      </c>
      <c r="M1897">
        <v>0</v>
      </c>
      <c r="N1897">
        <v>2</v>
      </c>
      <c r="O1897">
        <v>1</v>
      </c>
      <c r="P1897">
        <v>0</v>
      </c>
      <c r="Q1897">
        <v>0</v>
      </c>
      <c r="S1897" t="str">
        <f>"20:24:15.063"</f>
        <v>20:24:15.063</v>
      </c>
      <c r="T1897" t="str">
        <f>"20:24:14.563"</f>
        <v>20:24:14.563</v>
      </c>
      <c r="U1897" t="str">
        <f t="shared" si="92"/>
        <v>AB01F4</v>
      </c>
      <c r="V1897">
        <v>0</v>
      </c>
      <c r="W1897">
        <v>0</v>
      </c>
      <c r="X1897">
        <v>2</v>
      </c>
      <c r="Z1897">
        <v>0</v>
      </c>
      <c r="AA1897">
        <v>9</v>
      </c>
      <c r="AB1897">
        <v>3</v>
      </c>
      <c r="AC1897">
        <v>0</v>
      </c>
      <c r="AD1897">
        <v>10</v>
      </c>
      <c r="AE1897">
        <v>0</v>
      </c>
      <c r="AF1897">
        <v>3</v>
      </c>
      <c r="AG1897">
        <v>2</v>
      </c>
      <c r="AH1897">
        <v>0</v>
      </c>
      <c r="AI1897" t="s">
        <v>1197</v>
      </c>
      <c r="AJ1897">
        <v>39.914639000000001</v>
      </c>
      <c r="AK1897" t="s">
        <v>1198</v>
      </c>
      <c r="AL1897">
        <v>-92.595326999999997</v>
      </c>
      <c r="AM1897">
        <v>100</v>
      </c>
      <c r="AN1897">
        <v>1700</v>
      </c>
      <c r="AO1897" t="s">
        <v>118</v>
      </c>
      <c r="AP1897">
        <v>-107</v>
      </c>
      <c r="AQ1897">
        <v>75</v>
      </c>
      <c r="AR1897">
        <v>64</v>
      </c>
      <c r="AZ1897">
        <v>1200</v>
      </c>
      <c r="BA1897">
        <v>1</v>
      </c>
      <c r="BB1897" t="str">
        <f t="shared" si="91"/>
        <v xml:space="preserve">N8080G  </v>
      </c>
      <c r="BC1897">
        <v>1</v>
      </c>
      <c r="BE1897">
        <v>0</v>
      </c>
      <c r="BF1897">
        <v>0</v>
      </c>
      <c r="BG1897">
        <v>0</v>
      </c>
      <c r="BH1897">
        <v>1700</v>
      </c>
      <c r="BI1897">
        <v>1</v>
      </c>
      <c r="BJ1897">
        <v>1</v>
      </c>
      <c r="BK1897">
        <v>1</v>
      </c>
      <c r="BL1897">
        <v>0</v>
      </c>
      <c r="BO1897">
        <v>0</v>
      </c>
      <c r="BP1897">
        <v>0</v>
      </c>
      <c r="BW1897" t="str">
        <f>"20:24:15.066"</f>
        <v>20:24:15.066</v>
      </c>
      <c r="BZ1897">
        <v>0</v>
      </c>
      <c r="CA1897">
        <v>2016</v>
      </c>
      <c r="CB1897">
        <v>224</v>
      </c>
      <c r="CD1897">
        <v>1</v>
      </c>
      <c r="CE1897">
        <v>0</v>
      </c>
      <c r="CF1897">
        <v>0</v>
      </c>
      <c r="CG1897">
        <v>1</v>
      </c>
      <c r="CH1897">
        <v>0</v>
      </c>
      <c r="CI1897">
        <v>0</v>
      </c>
      <c r="CJ1897">
        <v>0</v>
      </c>
      <c r="CK1897">
        <v>2</v>
      </c>
      <c r="CL1897">
        <v>0</v>
      </c>
      <c r="CM1897">
        <v>2</v>
      </c>
      <c r="CN1897">
        <v>0</v>
      </c>
      <c r="CO1897">
        <v>7</v>
      </c>
      <c r="CP1897" t="s">
        <v>119</v>
      </c>
      <c r="CQ1897">
        <v>180</v>
      </c>
      <c r="CR1897">
        <v>2</v>
      </c>
      <c r="CW1897">
        <v>8373594</v>
      </c>
      <c r="CY1897">
        <v>1</v>
      </c>
      <c r="CZ1897">
        <v>0</v>
      </c>
      <c r="DA1897">
        <v>1</v>
      </c>
      <c r="DB1897">
        <v>0</v>
      </c>
      <c r="DC1897">
        <v>0</v>
      </c>
      <c r="DD1897">
        <v>0</v>
      </c>
      <c r="DE1897">
        <v>0</v>
      </c>
      <c r="DF1897">
        <v>0</v>
      </c>
      <c r="DG1897">
        <v>0</v>
      </c>
      <c r="DH1897">
        <v>0</v>
      </c>
      <c r="DI1897">
        <v>0</v>
      </c>
    </row>
    <row r="1898" spans="1:113" x14ac:dyDescent="0.3">
      <c r="A1898" t="str">
        <f>"02/08/2021 20:24:12.745"</f>
        <v>02/08/2021 20:24:12.745</v>
      </c>
      <c r="C1898" t="str">
        <f t="shared" si="90"/>
        <v>FFDFD7C0</v>
      </c>
      <c r="D1898" t="s">
        <v>124</v>
      </c>
      <c r="E1898">
        <v>13</v>
      </c>
      <c r="F1898">
        <v>1013</v>
      </c>
      <c r="G1898" t="s">
        <v>114</v>
      </c>
      <c r="J1898" t="s">
        <v>125</v>
      </c>
      <c r="K1898">
        <v>0</v>
      </c>
      <c r="L1898">
        <v>3</v>
      </c>
      <c r="M1898">
        <v>0</v>
      </c>
      <c r="N1898">
        <v>2</v>
      </c>
      <c r="O1898">
        <v>1</v>
      </c>
      <c r="P1898">
        <v>0</v>
      </c>
      <c r="Q1898">
        <v>0</v>
      </c>
      <c r="S1898" t="str">
        <f>"20:24:15.063"</f>
        <v>20:24:15.063</v>
      </c>
      <c r="T1898" t="str">
        <f>"20:24:14.563"</f>
        <v>20:24:14.563</v>
      </c>
      <c r="U1898" t="str">
        <f t="shared" si="92"/>
        <v>AB01F4</v>
      </c>
      <c r="V1898">
        <v>0</v>
      </c>
      <c r="W1898">
        <v>0</v>
      </c>
      <c r="X1898">
        <v>2</v>
      </c>
      <c r="Z1898">
        <v>0</v>
      </c>
      <c r="AA1898">
        <v>9</v>
      </c>
      <c r="AB1898">
        <v>3</v>
      </c>
      <c r="AC1898">
        <v>0</v>
      </c>
      <c r="AD1898">
        <v>10</v>
      </c>
      <c r="AE1898">
        <v>0</v>
      </c>
      <c r="AF1898">
        <v>3</v>
      </c>
      <c r="AG1898">
        <v>2</v>
      </c>
      <c r="AH1898">
        <v>0</v>
      </c>
      <c r="AI1898" t="s">
        <v>1197</v>
      </c>
      <c r="AJ1898">
        <v>39.914639000000001</v>
      </c>
      <c r="AK1898" t="s">
        <v>1198</v>
      </c>
      <c r="AL1898">
        <v>-92.595326999999997</v>
      </c>
      <c r="AM1898">
        <v>100</v>
      </c>
      <c r="AN1898">
        <v>1700</v>
      </c>
      <c r="AO1898" t="s">
        <v>118</v>
      </c>
      <c r="AP1898">
        <v>-107</v>
      </c>
      <c r="AQ1898">
        <v>75</v>
      </c>
      <c r="AR1898">
        <v>64</v>
      </c>
      <c r="AZ1898">
        <v>1200</v>
      </c>
      <c r="BA1898">
        <v>1</v>
      </c>
      <c r="BB1898" t="str">
        <f t="shared" si="91"/>
        <v xml:space="preserve">N8080G  </v>
      </c>
      <c r="BC1898">
        <v>1</v>
      </c>
      <c r="BE1898">
        <v>0</v>
      </c>
      <c r="BF1898">
        <v>0</v>
      </c>
      <c r="BG1898">
        <v>0</v>
      </c>
      <c r="BH1898">
        <v>1700</v>
      </c>
      <c r="BI1898">
        <v>1</v>
      </c>
      <c r="BJ1898">
        <v>1</v>
      </c>
      <c r="BK1898">
        <v>1</v>
      </c>
      <c r="BL1898">
        <v>0</v>
      </c>
      <c r="BO1898">
        <v>0</v>
      </c>
      <c r="BP1898">
        <v>0</v>
      </c>
      <c r="BW1898" t="str">
        <f>"20:24:15.066"</f>
        <v>20:24:15.066</v>
      </c>
      <c r="BZ1898">
        <v>0</v>
      </c>
      <c r="CA1898">
        <v>2016</v>
      </c>
      <c r="CB1898">
        <v>224</v>
      </c>
      <c r="CD1898">
        <v>1</v>
      </c>
      <c r="CE1898">
        <v>0</v>
      </c>
      <c r="CF1898">
        <v>0</v>
      </c>
      <c r="CG1898">
        <v>1</v>
      </c>
      <c r="CH1898">
        <v>0</v>
      </c>
      <c r="CI1898">
        <v>0</v>
      </c>
      <c r="CJ1898">
        <v>0</v>
      </c>
      <c r="CK1898">
        <v>2</v>
      </c>
      <c r="CL1898">
        <v>0</v>
      </c>
      <c r="CM1898">
        <v>2</v>
      </c>
      <c r="CN1898">
        <v>0</v>
      </c>
      <c r="CO1898">
        <v>7</v>
      </c>
      <c r="CP1898" t="s">
        <v>119</v>
      </c>
      <c r="CQ1898">
        <v>180</v>
      </c>
      <c r="CR1898">
        <v>2</v>
      </c>
      <c r="CW1898">
        <v>8373594</v>
      </c>
      <c r="CY1898">
        <v>1</v>
      </c>
      <c r="CZ1898">
        <v>0</v>
      </c>
      <c r="DA1898">
        <v>1</v>
      </c>
      <c r="DB1898">
        <v>0</v>
      </c>
      <c r="DC1898">
        <v>0</v>
      </c>
      <c r="DD1898">
        <v>0</v>
      </c>
      <c r="DE1898">
        <v>0</v>
      </c>
      <c r="DF1898">
        <v>0</v>
      </c>
      <c r="DG1898">
        <v>0</v>
      </c>
      <c r="DH1898">
        <v>0</v>
      </c>
      <c r="DI1898">
        <v>0</v>
      </c>
    </row>
    <row r="1899" spans="1:113" x14ac:dyDescent="0.3">
      <c r="A1899" t="str">
        <f>"02/08/2021 20:24:13.776"</f>
        <v>02/08/2021 20:24:13.776</v>
      </c>
      <c r="C1899" t="str">
        <f t="shared" si="90"/>
        <v>FFDFD7C0</v>
      </c>
      <c r="D1899" t="s">
        <v>124</v>
      </c>
      <c r="E1899">
        <v>11</v>
      </c>
      <c r="F1899">
        <v>1011</v>
      </c>
      <c r="G1899" t="s">
        <v>590</v>
      </c>
      <c r="J1899" t="s">
        <v>125</v>
      </c>
      <c r="K1899">
        <v>0</v>
      </c>
      <c r="L1899">
        <v>3</v>
      </c>
      <c r="M1899">
        <v>0</v>
      </c>
      <c r="N1899">
        <v>2</v>
      </c>
      <c r="O1899">
        <v>1</v>
      </c>
      <c r="P1899">
        <v>0</v>
      </c>
      <c r="Q1899">
        <v>0</v>
      </c>
      <c r="S1899" t="str">
        <f>"20:24:16.078"</f>
        <v>20:24:16.078</v>
      </c>
      <c r="T1899" t="str">
        <f>"20:24:15.678"</f>
        <v>20:24:15.678</v>
      </c>
      <c r="U1899" t="str">
        <f t="shared" si="92"/>
        <v>AB01F4</v>
      </c>
      <c r="V1899">
        <v>0</v>
      </c>
      <c r="W1899">
        <v>0</v>
      </c>
      <c r="X1899">
        <v>2</v>
      </c>
      <c r="Z1899">
        <v>0</v>
      </c>
      <c r="AA1899">
        <v>9</v>
      </c>
      <c r="AB1899">
        <v>3</v>
      </c>
      <c r="AC1899">
        <v>0</v>
      </c>
      <c r="AD1899">
        <v>10</v>
      </c>
      <c r="AE1899">
        <v>0</v>
      </c>
      <c r="AF1899">
        <v>3</v>
      </c>
      <c r="AG1899">
        <v>2</v>
      </c>
      <c r="AH1899">
        <v>0</v>
      </c>
      <c r="AI1899" t="s">
        <v>1199</v>
      </c>
      <c r="AJ1899">
        <v>39.915004000000003</v>
      </c>
      <c r="AK1899" t="s">
        <v>1200</v>
      </c>
      <c r="AL1899">
        <v>-92.595949000000005</v>
      </c>
      <c r="AM1899">
        <v>100</v>
      </c>
      <c r="AN1899">
        <v>1700</v>
      </c>
      <c r="AO1899" t="s">
        <v>118</v>
      </c>
      <c r="AP1899">
        <v>-107</v>
      </c>
      <c r="AQ1899">
        <v>76</v>
      </c>
      <c r="AR1899">
        <v>0</v>
      </c>
      <c r="AZ1899">
        <v>1200</v>
      </c>
      <c r="BA1899">
        <v>1</v>
      </c>
      <c r="BB1899" t="str">
        <f t="shared" si="91"/>
        <v xml:space="preserve">N8080G  </v>
      </c>
      <c r="BC1899">
        <v>1</v>
      </c>
      <c r="BE1899">
        <v>0</v>
      </c>
      <c r="BF1899">
        <v>0</v>
      </c>
      <c r="BG1899">
        <v>0</v>
      </c>
      <c r="BH1899">
        <v>1700</v>
      </c>
      <c r="BI1899">
        <v>1</v>
      </c>
      <c r="BJ1899">
        <v>1</v>
      </c>
      <c r="BK1899">
        <v>1</v>
      </c>
      <c r="BL1899">
        <v>0</v>
      </c>
      <c r="BO1899">
        <v>0</v>
      </c>
      <c r="BP1899">
        <v>0</v>
      </c>
      <c r="BW1899" t="str">
        <f>"20:24:16.082"</f>
        <v>20:24:16.082</v>
      </c>
      <c r="BZ1899">
        <v>0</v>
      </c>
      <c r="CA1899">
        <v>2016</v>
      </c>
      <c r="CB1899">
        <v>224</v>
      </c>
      <c r="CD1899">
        <v>1</v>
      </c>
      <c r="CE1899">
        <v>0</v>
      </c>
      <c r="CF1899">
        <v>0</v>
      </c>
      <c r="CG1899">
        <v>1</v>
      </c>
      <c r="CH1899">
        <v>0</v>
      </c>
      <c r="CI1899">
        <v>0</v>
      </c>
      <c r="CJ1899">
        <v>0</v>
      </c>
      <c r="CK1899">
        <v>2</v>
      </c>
      <c r="CL1899">
        <v>0</v>
      </c>
      <c r="CM1899">
        <v>2</v>
      </c>
      <c r="CN1899">
        <v>0</v>
      </c>
      <c r="CO1899">
        <v>2</v>
      </c>
      <c r="CP1899" t="s">
        <v>119</v>
      </c>
      <c r="CQ1899">
        <v>179</v>
      </c>
      <c r="CR1899">
        <v>1</v>
      </c>
      <c r="CW1899">
        <v>8808464</v>
      </c>
      <c r="CY1899">
        <v>1</v>
      </c>
      <c r="CZ1899">
        <v>0</v>
      </c>
      <c r="DA1899">
        <v>0</v>
      </c>
      <c r="DB1899">
        <v>0</v>
      </c>
      <c r="DC1899">
        <v>0</v>
      </c>
      <c r="DD1899">
        <v>0</v>
      </c>
      <c r="DE1899">
        <v>0</v>
      </c>
      <c r="DF1899">
        <v>0</v>
      </c>
      <c r="DG1899">
        <v>0</v>
      </c>
      <c r="DH1899">
        <v>0</v>
      </c>
      <c r="DI1899">
        <v>0</v>
      </c>
    </row>
    <row r="1900" spans="1:113" x14ac:dyDescent="0.3">
      <c r="A1900" t="str">
        <f>"02/08/2021 20:24:13.776"</f>
        <v>02/08/2021 20:24:13.776</v>
      </c>
      <c r="C1900" t="str">
        <f t="shared" si="90"/>
        <v>FFDFD7C0</v>
      </c>
      <c r="D1900" t="s">
        <v>124</v>
      </c>
      <c r="E1900">
        <v>13</v>
      </c>
      <c r="F1900">
        <v>1013</v>
      </c>
      <c r="G1900" t="s">
        <v>114</v>
      </c>
      <c r="J1900" t="s">
        <v>125</v>
      </c>
      <c r="K1900">
        <v>0</v>
      </c>
      <c r="L1900">
        <v>3</v>
      </c>
      <c r="M1900">
        <v>0</v>
      </c>
      <c r="N1900">
        <v>2</v>
      </c>
      <c r="O1900">
        <v>1</v>
      </c>
      <c r="P1900">
        <v>0</v>
      </c>
      <c r="Q1900">
        <v>0</v>
      </c>
      <c r="S1900" t="str">
        <f>"20:24:16.078"</f>
        <v>20:24:16.078</v>
      </c>
      <c r="T1900" t="str">
        <f>"20:24:15.678"</f>
        <v>20:24:15.678</v>
      </c>
      <c r="U1900" t="str">
        <f t="shared" si="92"/>
        <v>AB01F4</v>
      </c>
      <c r="V1900">
        <v>0</v>
      </c>
      <c r="W1900">
        <v>0</v>
      </c>
      <c r="X1900">
        <v>2</v>
      </c>
      <c r="Z1900">
        <v>0</v>
      </c>
      <c r="AA1900">
        <v>9</v>
      </c>
      <c r="AB1900">
        <v>3</v>
      </c>
      <c r="AC1900">
        <v>0</v>
      </c>
      <c r="AD1900">
        <v>10</v>
      </c>
      <c r="AE1900">
        <v>0</v>
      </c>
      <c r="AF1900">
        <v>3</v>
      </c>
      <c r="AG1900">
        <v>2</v>
      </c>
      <c r="AH1900">
        <v>0</v>
      </c>
      <c r="AI1900" t="s">
        <v>1199</v>
      </c>
      <c r="AJ1900">
        <v>39.915004000000003</v>
      </c>
      <c r="AK1900" t="s">
        <v>1200</v>
      </c>
      <c r="AL1900">
        <v>-92.595949000000005</v>
      </c>
      <c r="AM1900">
        <v>100</v>
      </c>
      <c r="AN1900">
        <v>1700</v>
      </c>
      <c r="AO1900" t="s">
        <v>118</v>
      </c>
      <c r="AP1900">
        <v>-107</v>
      </c>
      <c r="AQ1900">
        <v>76</v>
      </c>
      <c r="AR1900">
        <v>0</v>
      </c>
      <c r="AZ1900">
        <v>1200</v>
      </c>
      <c r="BA1900">
        <v>1</v>
      </c>
      <c r="BB1900" t="str">
        <f t="shared" si="91"/>
        <v xml:space="preserve">N8080G  </v>
      </c>
      <c r="BC1900">
        <v>1</v>
      </c>
      <c r="BE1900">
        <v>0</v>
      </c>
      <c r="BF1900">
        <v>0</v>
      </c>
      <c r="BG1900">
        <v>0</v>
      </c>
      <c r="BH1900">
        <v>1700</v>
      </c>
      <c r="BI1900">
        <v>1</v>
      </c>
      <c r="BJ1900">
        <v>1</v>
      </c>
      <c r="BK1900">
        <v>1</v>
      </c>
      <c r="BL1900">
        <v>0</v>
      </c>
      <c r="BO1900">
        <v>0</v>
      </c>
      <c r="BP1900">
        <v>0</v>
      </c>
      <c r="BW1900" t="str">
        <f>"20:24:16.082"</f>
        <v>20:24:16.082</v>
      </c>
      <c r="BZ1900">
        <v>0</v>
      </c>
      <c r="CA1900">
        <v>2016</v>
      </c>
      <c r="CB1900">
        <v>224</v>
      </c>
      <c r="CD1900">
        <v>1</v>
      </c>
      <c r="CE1900">
        <v>0</v>
      </c>
      <c r="CF1900">
        <v>0</v>
      </c>
      <c r="CG1900">
        <v>1</v>
      </c>
      <c r="CH1900">
        <v>0</v>
      </c>
      <c r="CI1900">
        <v>0</v>
      </c>
      <c r="CJ1900">
        <v>0</v>
      </c>
      <c r="CK1900">
        <v>2</v>
      </c>
      <c r="CL1900">
        <v>0</v>
      </c>
      <c r="CM1900">
        <v>2</v>
      </c>
      <c r="CN1900">
        <v>0</v>
      </c>
      <c r="CO1900">
        <v>2</v>
      </c>
      <c r="CP1900" t="s">
        <v>119</v>
      </c>
      <c r="CQ1900">
        <v>179</v>
      </c>
      <c r="CR1900">
        <v>1</v>
      </c>
      <c r="CW1900">
        <v>8808464</v>
      </c>
      <c r="CY1900">
        <v>1</v>
      </c>
      <c r="CZ1900">
        <v>0</v>
      </c>
      <c r="DA1900">
        <v>1</v>
      </c>
      <c r="DB1900">
        <v>0</v>
      </c>
      <c r="DC1900">
        <v>0</v>
      </c>
      <c r="DD1900">
        <v>0</v>
      </c>
      <c r="DE1900">
        <v>0</v>
      </c>
      <c r="DF1900">
        <v>0</v>
      </c>
      <c r="DG1900">
        <v>0</v>
      </c>
      <c r="DH1900">
        <v>0</v>
      </c>
      <c r="DI1900">
        <v>0</v>
      </c>
    </row>
    <row r="1901" spans="1:113" x14ac:dyDescent="0.3">
      <c r="A1901" t="str">
        <f>"02/08/2021 20:24:13.776"</f>
        <v>02/08/2021 20:24:13.776</v>
      </c>
      <c r="C1901" t="str">
        <f t="shared" si="90"/>
        <v>FFDFD7C0</v>
      </c>
      <c r="D1901" t="s">
        <v>113</v>
      </c>
      <c r="E1901">
        <v>6</v>
      </c>
      <c r="H1901">
        <v>165</v>
      </c>
      <c r="I1901" t="s">
        <v>114</v>
      </c>
      <c r="J1901" t="s">
        <v>115</v>
      </c>
      <c r="K1901">
        <v>0</v>
      </c>
      <c r="L1901">
        <v>3</v>
      </c>
      <c r="M1901">
        <v>0</v>
      </c>
      <c r="N1901">
        <v>2</v>
      </c>
      <c r="O1901">
        <v>1</v>
      </c>
      <c r="P1901">
        <v>0</v>
      </c>
      <c r="Q1901">
        <v>0</v>
      </c>
      <c r="S1901" t="str">
        <f>"20:24:16.078"</f>
        <v>20:24:16.078</v>
      </c>
      <c r="T1901" t="str">
        <f>"20:24:15.678"</f>
        <v>20:24:15.678</v>
      </c>
      <c r="U1901" t="str">
        <f t="shared" si="92"/>
        <v>AB01F4</v>
      </c>
      <c r="V1901">
        <v>0</v>
      </c>
      <c r="W1901">
        <v>0</v>
      </c>
      <c r="X1901">
        <v>2</v>
      </c>
      <c r="Z1901">
        <v>0</v>
      </c>
      <c r="AA1901">
        <v>9</v>
      </c>
      <c r="AB1901">
        <v>3</v>
      </c>
      <c r="AC1901">
        <v>0</v>
      </c>
      <c r="AD1901">
        <v>10</v>
      </c>
      <c r="AE1901">
        <v>0</v>
      </c>
      <c r="AF1901">
        <v>3</v>
      </c>
      <c r="AG1901">
        <v>2</v>
      </c>
      <c r="AH1901">
        <v>0</v>
      </c>
      <c r="AI1901" t="s">
        <v>1199</v>
      </c>
      <c r="AJ1901">
        <v>39.915004000000003</v>
      </c>
      <c r="AK1901" t="s">
        <v>1200</v>
      </c>
      <c r="AL1901">
        <v>-92.595949000000005</v>
      </c>
      <c r="AM1901">
        <v>100</v>
      </c>
      <c r="AN1901">
        <v>1700</v>
      </c>
      <c r="AO1901" t="s">
        <v>118</v>
      </c>
      <c r="AP1901">
        <v>-107</v>
      </c>
      <c r="AQ1901">
        <v>76</v>
      </c>
      <c r="AR1901">
        <v>0</v>
      </c>
      <c r="AZ1901">
        <v>1200</v>
      </c>
      <c r="BA1901">
        <v>1</v>
      </c>
      <c r="BB1901" t="str">
        <f t="shared" si="91"/>
        <v xml:space="preserve">N8080G  </v>
      </c>
      <c r="BC1901">
        <v>1</v>
      </c>
      <c r="BE1901">
        <v>0</v>
      </c>
      <c r="BF1901">
        <v>0</v>
      </c>
      <c r="BG1901">
        <v>0</v>
      </c>
      <c r="BH1901">
        <v>1700</v>
      </c>
      <c r="BI1901">
        <v>1</v>
      </c>
      <c r="BJ1901">
        <v>1</v>
      </c>
      <c r="BK1901">
        <v>1</v>
      </c>
      <c r="BL1901">
        <v>0</v>
      </c>
      <c r="BO1901">
        <v>0</v>
      </c>
      <c r="BP1901">
        <v>0</v>
      </c>
      <c r="BW1901" t="str">
        <f>"20:24:16.082"</f>
        <v>20:24:16.082</v>
      </c>
      <c r="BZ1901">
        <v>0</v>
      </c>
      <c r="CA1901">
        <v>2016</v>
      </c>
      <c r="CB1901">
        <v>224</v>
      </c>
      <c r="CD1901">
        <v>1</v>
      </c>
      <c r="CE1901">
        <v>0</v>
      </c>
      <c r="CF1901">
        <v>0</v>
      </c>
      <c r="CG1901">
        <v>1</v>
      </c>
      <c r="CH1901">
        <v>0</v>
      </c>
      <c r="CI1901">
        <v>0</v>
      </c>
      <c r="CJ1901">
        <v>0</v>
      </c>
      <c r="CK1901">
        <v>2</v>
      </c>
      <c r="CL1901">
        <v>0</v>
      </c>
      <c r="CM1901">
        <v>2</v>
      </c>
      <c r="CN1901">
        <v>0</v>
      </c>
      <c r="CO1901">
        <v>2</v>
      </c>
      <c r="CP1901" t="s">
        <v>119</v>
      </c>
      <c r="CQ1901">
        <v>179</v>
      </c>
      <c r="CR1901">
        <v>1</v>
      </c>
      <c r="CW1901">
        <v>8808464</v>
      </c>
      <c r="CY1901">
        <v>1</v>
      </c>
      <c r="CZ1901">
        <v>0</v>
      </c>
      <c r="DA1901">
        <v>1</v>
      </c>
      <c r="DB1901">
        <v>0</v>
      </c>
      <c r="DC1901">
        <v>0</v>
      </c>
      <c r="DD1901">
        <v>0</v>
      </c>
      <c r="DE1901">
        <v>0</v>
      </c>
      <c r="DF1901">
        <v>0</v>
      </c>
      <c r="DG1901">
        <v>0</v>
      </c>
      <c r="DH1901">
        <v>0</v>
      </c>
      <c r="DI1901">
        <v>0</v>
      </c>
    </row>
    <row r="1902" spans="1:113" x14ac:dyDescent="0.3">
      <c r="A1902" t="str">
        <f>"02/08/2021 20:24:13.776"</f>
        <v>02/08/2021 20:24:13.776</v>
      </c>
      <c r="C1902" t="str">
        <f t="shared" si="90"/>
        <v>FFDFD7C0</v>
      </c>
      <c r="D1902" t="s">
        <v>124</v>
      </c>
      <c r="E1902">
        <v>12</v>
      </c>
      <c r="F1902">
        <v>1012</v>
      </c>
      <c r="G1902" t="s">
        <v>675</v>
      </c>
      <c r="J1902" t="s">
        <v>125</v>
      </c>
      <c r="K1902">
        <v>0</v>
      </c>
      <c r="L1902">
        <v>3</v>
      </c>
      <c r="M1902">
        <v>0</v>
      </c>
      <c r="N1902">
        <v>2</v>
      </c>
      <c r="O1902">
        <v>1</v>
      </c>
      <c r="P1902">
        <v>0</v>
      </c>
      <c r="Q1902">
        <v>0</v>
      </c>
      <c r="S1902" t="str">
        <f>"20:24:16.078"</f>
        <v>20:24:16.078</v>
      </c>
      <c r="T1902" t="str">
        <f>"20:24:15.678"</f>
        <v>20:24:15.678</v>
      </c>
      <c r="U1902" t="str">
        <f t="shared" si="92"/>
        <v>AB01F4</v>
      </c>
      <c r="V1902">
        <v>0</v>
      </c>
      <c r="W1902">
        <v>0</v>
      </c>
      <c r="X1902">
        <v>2</v>
      </c>
      <c r="Z1902">
        <v>0</v>
      </c>
      <c r="AA1902">
        <v>9</v>
      </c>
      <c r="AB1902">
        <v>3</v>
      </c>
      <c r="AC1902">
        <v>0</v>
      </c>
      <c r="AD1902">
        <v>10</v>
      </c>
      <c r="AE1902">
        <v>0</v>
      </c>
      <c r="AF1902">
        <v>3</v>
      </c>
      <c r="AG1902">
        <v>2</v>
      </c>
      <c r="AH1902">
        <v>0</v>
      </c>
      <c r="AI1902" t="s">
        <v>1199</v>
      </c>
      <c r="AJ1902">
        <v>39.915004000000003</v>
      </c>
      <c r="AK1902" t="s">
        <v>1200</v>
      </c>
      <c r="AL1902">
        <v>-92.595949000000005</v>
      </c>
      <c r="AM1902">
        <v>100</v>
      </c>
      <c r="AN1902">
        <v>1700</v>
      </c>
      <c r="AO1902" t="s">
        <v>118</v>
      </c>
      <c r="AP1902">
        <v>-107</v>
      </c>
      <c r="AQ1902">
        <v>76</v>
      </c>
      <c r="AR1902">
        <v>0</v>
      </c>
      <c r="AZ1902">
        <v>1200</v>
      </c>
      <c r="BA1902">
        <v>1</v>
      </c>
      <c r="BB1902" t="str">
        <f t="shared" si="91"/>
        <v xml:space="preserve">N8080G  </v>
      </c>
      <c r="BC1902">
        <v>1</v>
      </c>
      <c r="BE1902">
        <v>0</v>
      </c>
      <c r="BF1902">
        <v>0</v>
      </c>
      <c r="BG1902">
        <v>0</v>
      </c>
      <c r="BH1902">
        <v>1700</v>
      </c>
      <c r="BI1902">
        <v>1</v>
      </c>
      <c r="BJ1902">
        <v>1</v>
      </c>
      <c r="BK1902">
        <v>1</v>
      </c>
      <c r="BL1902">
        <v>0</v>
      </c>
      <c r="BO1902">
        <v>0</v>
      </c>
      <c r="BP1902">
        <v>0</v>
      </c>
      <c r="BW1902" t="str">
        <f>"20:24:16.082"</f>
        <v>20:24:16.082</v>
      </c>
      <c r="BZ1902">
        <v>0</v>
      </c>
      <c r="CA1902">
        <v>2016</v>
      </c>
      <c r="CB1902">
        <v>224</v>
      </c>
      <c r="CD1902">
        <v>1</v>
      </c>
      <c r="CE1902">
        <v>0</v>
      </c>
      <c r="CF1902">
        <v>0</v>
      </c>
      <c r="CG1902">
        <v>1</v>
      </c>
      <c r="CH1902">
        <v>0</v>
      </c>
      <c r="CI1902">
        <v>0</v>
      </c>
      <c r="CJ1902">
        <v>0</v>
      </c>
      <c r="CK1902">
        <v>2</v>
      </c>
      <c r="CL1902">
        <v>0</v>
      </c>
      <c r="CM1902">
        <v>2</v>
      </c>
      <c r="CN1902">
        <v>0</v>
      </c>
      <c r="CO1902">
        <v>2</v>
      </c>
      <c r="CP1902" t="s">
        <v>119</v>
      </c>
      <c r="CQ1902">
        <v>179</v>
      </c>
      <c r="CR1902">
        <v>1</v>
      </c>
      <c r="CW1902">
        <v>8808464</v>
      </c>
      <c r="CY1902">
        <v>1</v>
      </c>
      <c r="CZ1902">
        <v>0</v>
      </c>
      <c r="DA1902">
        <v>1</v>
      </c>
      <c r="DB1902">
        <v>0</v>
      </c>
      <c r="DC1902">
        <v>0</v>
      </c>
      <c r="DD1902">
        <v>0</v>
      </c>
      <c r="DE1902">
        <v>0</v>
      </c>
      <c r="DF1902">
        <v>0</v>
      </c>
      <c r="DG1902">
        <v>0</v>
      </c>
      <c r="DH1902">
        <v>0</v>
      </c>
      <c r="DI1902">
        <v>0</v>
      </c>
    </row>
    <row r="1903" spans="1:113" x14ac:dyDescent="0.3">
      <c r="A1903" t="str">
        <f>"02/08/2021 20:24:15.334"</f>
        <v>02/08/2021 20:24:15.334</v>
      </c>
      <c r="C1903" t="str">
        <f t="shared" ref="C1903:C1966" si="93">"FFDFD7C0"</f>
        <v>FFDFD7C0</v>
      </c>
      <c r="D1903" t="s">
        <v>124</v>
      </c>
      <c r="E1903">
        <v>13</v>
      </c>
      <c r="F1903">
        <v>1013</v>
      </c>
      <c r="G1903" t="s">
        <v>114</v>
      </c>
      <c r="J1903" t="s">
        <v>125</v>
      </c>
      <c r="K1903">
        <v>0</v>
      </c>
      <c r="L1903">
        <v>3</v>
      </c>
      <c r="M1903">
        <v>0</v>
      </c>
      <c r="N1903">
        <v>2</v>
      </c>
      <c r="O1903">
        <v>1</v>
      </c>
      <c r="P1903">
        <v>0</v>
      </c>
      <c r="Q1903">
        <v>0</v>
      </c>
      <c r="S1903" t="str">
        <f>"20:24:17.680"</f>
        <v>20:24:17.680</v>
      </c>
      <c r="T1903" t="str">
        <f>"20:24:17.180"</f>
        <v>20:24:17.180</v>
      </c>
      <c r="U1903" t="str">
        <f t="shared" si="92"/>
        <v>AB01F4</v>
      </c>
      <c r="V1903">
        <v>0</v>
      </c>
      <c r="W1903">
        <v>0</v>
      </c>
      <c r="X1903">
        <v>2</v>
      </c>
      <c r="Z1903">
        <v>0</v>
      </c>
      <c r="AA1903">
        <v>9</v>
      </c>
      <c r="AB1903">
        <v>3</v>
      </c>
      <c r="AC1903">
        <v>0</v>
      </c>
      <c r="AD1903">
        <v>10</v>
      </c>
      <c r="AE1903">
        <v>0</v>
      </c>
      <c r="AF1903">
        <v>3</v>
      </c>
      <c r="AG1903">
        <v>2</v>
      </c>
      <c r="AH1903">
        <v>0</v>
      </c>
      <c r="AI1903" t="s">
        <v>1201</v>
      </c>
      <c r="AJ1903">
        <v>39.915562000000001</v>
      </c>
      <c r="AK1903" t="s">
        <v>1202</v>
      </c>
      <c r="AL1903">
        <v>-92.596979000000005</v>
      </c>
      <c r="AM1903">
        <v>100</v>
      </c>
      <c r="AN1903">
        <v>1700</v>
      </c>
      <c r="AO1903" t="s">
        <v>118</v>
      </c>
      <c r="AP1903">
        <v>-107</v>
      </c>
      <c r="AQ1903">
        <v>76</v>
      </c>
      <c r="AR1903">
        <v>0</v>
      </c>
      <c r="AZ1903">
        <v>1200</v>
      </c>
      <c r="BA1903">
        <v>1</v>
      </c>
      <c r="BB1903" t="str">
        <f t="shared" ref="BB1903:BB1966" si="94">"N8080G  "</f>
        <v xml:space="preserve">N8080G  </v>
      </c>
      <c r="BC1903">
        <v>1</v>
      </c>
      <c r="BE1903">
        <v>0</v>
      </c>
      <c r="BF1903">
        <v>0</v>
      </c>
      <c r="BG1903">
        <v>0</v>
      </c>
      <c r="BH1903">
        <v>1700</v>
      </c>
      <c r="BI1903">
        <v>1</v>
      </c>
      <c r="BJ1903">
        <v>1</v>
      </c>
      <c r="BK1903">
        <v>1</v>
      </c>
      <c r="BL1903">
        <v>0</v>
      </c>
      <c r="BO1903">
        <v>0</v>
      </c>
      <c r="BP1903">
        <v>0</v>
      </c>
      <c r="BW1903" t="str">
        <f>"20:24:17.684"</f>
        <v>20:24:17.684</v>
      </c>
      <c r="BZ1903">
        <v>0</v>
      </c>
      <c r="CA1903">
        <v>2016</v>
      </c>
      <c r="CB1903">
        <v>224</v>
      </c>
      <c r="CD1903">
        <v>1</v>
      </c>
      <c r="CE1903">
        <v>0</v>
      </c>
      <c r="CF1903">
        <v>0</v>
      </c>
      <c r="CG1903">
        <v>1</v>
      </c>
      <c r="CH1903">
        <v>0</v>
      </c>
      <c r="CI1903">
        <v>0</v>
      </c>
      <c r="CJ1903">
        <v>0</v>
      </c>
      <c r="CK1903">
        <v>2</v>
      </c>
      <c r="CL1903">
        <v>0</v>
      </c>
      <c r="CM1903">
        <v>2</v>
      </c>
      <c r="CN1903">
        <v>0</v>
      </c>
      <c r="CO1903">
        <v>1</v>
      </c>
      <c r="CP1903" t="s">
        <v>119</v>
      </c>
      <c r="CQ1903">
        <v>179</v>
      </c>
      <c r="CR1903">
        <v>1</v>
      </c>
      <c r="CW1903">
        <v>8809706</v>
      </c>
      <c r="CY1903">
        <v>1</v>
      </c>
      <c r="CZ1903">
        <v>0</v>
      </c>
      <c r="DA1903">
        <v>0</v>
      </c>
      <c r="DB1903">
        <v>0</v>
      </c>
      <c r="DC1903">
        <v>0</v>
      </c>
      <c r="DD1903">
        <v>0</v>
      </c>
      <c r="DE1903">
        <v>0</v>
      </c>
      <c r="DF1903">
        <v>0</v>
      </c>
      <c r="DG1903">
        <v>0</v>
      </c>
      <c r="DH1903">
        <v>0</v>
      </c>
      <c r="DI1903">
        <v>0</v>
      </c>
    </row>
    <row r="1904" spans="1:113" x14ac:dyDescent="0.3">
      <c r="A1904" t="str">
        <f>"02/08/2021 20:24:15.334"</f>
        <v>02/08/2021 20:24:15.334</v>
      </c>
      <c r="C1904" t="str">
        <f t="shared" si="93"/>
        <v>FFDFD7C0</v>
      </c>
      <c r="D1904" t="s">
        <v>124</v>
      </c>
      <c r="E1904">
        <v>11</v>
      </c>
      <c r="F1904">
        <v>1011</v>
      </c>
      <c r="G1904" t="s">
        <v>590</v>
      </c>
      <c r="J1904" t="s">
        <v>125</v>
      </c>
      <c r="K1904">
        <v>0</v>
      </c>
      <c r="L1904">
        <v>3</v>
      </c>
      <c r="M1904">
        <v>0</v>
      </c>
      <c r="N1904">
        <v>2</v>
      </c>
      <c r="O1904">
        <v>1</v>
      </c>
      <c r="P1904">
        <v>0</v>
      </c>
      <c r="Q1904">
        <v>0</v>
      </c>
      <c r="S1904" t="str">
        <f>"20:24:17.680"</f>
        <v>20:24:17.680</v>
      </c>
      <c r="T1904" t="str">
        <f>"20:24:17.180"</f>
        <v>20:24:17.180</v>
      </c>
      <c r="U1904" t="str">
        <f t="shared" si="92"/>
        <v>AB01F4</v>
      </c>
      <c r="V1904">
        <v>0</v>
      </c>
      <c r="W1904">
        <v>0</v>
      </c>
      <c r="X1904">
        <v>2</v>
      </c>
      <c r="Z1904">
        <v>0</v>
      </c>
      <c r="AA1904">
        <v>9</v>
      </c>
      <c r="AB1904">
        <v>3</v>
      </c>
      <c r="AC1904">
        <v>0</v>
      </c>
      <c r="AD1904">
        <v>10</v>
      </c>
      <c r="AE1904">
        <v>0</v>
      </c>
      <c r="AF1904">
        <v>3</v>
      </c>
      <c r="AG1904">
        <v>2</v>
      </c>
      <c r="AH1904">
        <v>0</v>
      </c>
      <c r="AI1904" t="s">
        <v>1201</v>
      </c>
      <c r="AJ1904">
        <v>39.915562000000001</v>
      </c>
      <c r="AK1904" t="s">
        <v>1202</v>
      </c>
      <c r="AL1904">
        <v>-92.596979000000005</v>
      </c>
      <c r="AM1904">
        <v>100</v>
      </c>
      <c r="AN1904">
        <v>1700</v>
      </c>
      <c r="AO1904" t="s">
        <v>118</v>
      </c>
      <c r="AP1904">
        <v>-107</v>
      </c>
      <c r="AQ1904">
        <v>76</v>
      </c>
      <c r="AR1904">
        <v>0</v>
      </c>
      <c r="AZ1904">
        <v>1200</v>
      </c>
      <c r="BA1904">
        <v>1</v>
      </c>
      <c r="BB1904" t="str">
        <f t="shared" si="94"/>
        <v xml:space="preserve">N8080G  </v>
      </c>
      <c r="BC1904">
        <v>1</v>
      </c>
      <c r="BE1904">
        <v>0</v>
      </c>
      <c r="BF1904">
        <v>0</v>
      </c>
      <c r="BG1904">
        <v>0</v>
      </c>
      <c r="BH1904">
        <v>1700</v>
      </c>
      <c r="BI1904">
        <v>1</v>
      </c>
      <c r="BJ1904">
        <v>1</v>
      </c>
      <c r="BK1904">
        <v>1</v>
      </c>
      <c r="BL1904">
        <v>0</v>
      </c>
      <c r="BO1904">
        <v>0</v>
      </c>
      <c r="BP1904">
        <v>0</v>
      </c>
      <c r="BW1904" t="str">
        <f>"20:24:17.684"</f>
        <v>20:24:17.684</v>
      </c>
      <c r="BZ1904">
        <v>0</v>
      </c>
      <c r="CA1904">
        <v>2016</v>
      </c>
      <c r="CB1904">
        <v>224</v>
      </c>
      <c r="CD1904">
        <v>1</v>
      </c>
      <c r="CE1904">
        <v>0</v>
      </c>
      <c r="CF1904">
        <v>0</v>
      </c>
      <c r="CG1904">
        <v>1</v>
      </c>
      <c r="CH1904">
        <v>0</v>
      </c>
      <c r="CI1904">
        <v>0</v>
      </c>
      <c r="CJ1904">
        <v>0</v>
      </c>
      <c r="CK1904">
        <v>2</v>
      </c>
      <c r="CL1904">
        <v>0</v>
      </c>
      <c r="CM1904">
        <v>2</v>
      </c>
      <c r="CN1904">
        <v>0</v>
      </c>
      <c r="CO1904">
        <v>1</v>
      </c>
      <c r="CP1904" t="s">
        <v>119</v>
      </c>
      <c r="CQ1904">
        <v>179</v>
      </c>
      <c r="CR1904">
        <v>1</v>
      </c>
      <c r="CW1904">
        <v>8809706</v>
      </c>
      <c r="CY1904">
        <v>1</v>
      </c>
      <c r="CZ1904">
        <v>0</v>
      </c>
      <c r="DA1904">
        <v>1</v>
      </c>
      <c r="DB1904">
        <v>0</v>
      </c>
      <c r="DC1904">
        <v>0</v>
      </c>
      <c r="DD1904">
        <v>0</v>
      </c>
      <c r="DE1904">
        <v>0</v>
      </c>
      <c r="DF1904">
        <v>0</v>
      </c>
      <c r="DG1904">
        <v>0</v>
      </c>
      <c r="DH1904">
        <v>0</v>
      </c>
      <c r="DI1904">
        <v>0</v>
      </c>
    </row>
    <row r="1905" spans="1:113" x14ac:dyDescent="0.3">
      <c r="A1905" t="str">
        <f>"02/08/2021 20:24:15.334"</f>
        <v>02/08/2021 20:24:15.334</v>
      </c>
      <c r="C1905" t="str">
        <f t="shared" si="93"/>
        <v>FFDFD7C0</v>
      </c>
      <c r="D1905" t="s">
        <v>113</v>
      </c>
      <c r="E1905">
        <v>6</v>
      </c>
      <c r="H1905">
        <v>165</v>
      </c>
      <c r="I1905" t="s">
        <v>114</v>
      </c>
      <c r="J1905" t="s">
        <v>115</v>
      </c>
      <c r="K1905">
        <v>0</v>
      </c>
      <c r="L1905">
        <v>3</v>
      </c>
      <c r="M1905">
        <v>0</v>
      </c>
      <c r="N1905">
        <v>2</v>
      </c>
      <c r="O1905">
        <v>1</v>
      </c>
      <c r="P1905">
        <v>0</v>
      </c>
      <c r="Q1905">
        <v>0</v>
      </c>
      <c r="S1905" t="str">
        <f>"20:24:17.680"</f>
        <v>20:24:17.680</v>
      </c>
      <c r="T1905" t="str">
        <f>"20:24:17.180"</f>
        <v>20:24:17.180</v>
      </c>
      <c r="U1905" t="str">
        <f t="shared" si="92"/>
        <v>AB01F4</v>
      </c>
      <c r="V1905">
        <v>0</v>
      </c>
      <c r="W1905">
        <v>0</v>
      </c>
      <c r="X1905">
        <v>2</v>
      </c>
      <c r="Z1905">
        <v>0</v>
      </c>
      <c r="AA1905">
        <v>9</v>
      </c>
      <c r="AB1905">
        <v>3</v>
      </c>
      <c r="AC1905">
        <v>0</v>
      </c>
      <c r="AD1905">
        <v>10</v>
      </c>
      <c r="AE1905">
        <v>0</v>
      </c>
      <c r="AF1905">
        <v>3</v>
      </c>
      <c r="AG1905">
        <v>2</v>
      </c>
      <c r="AH1905">
        <v>0</v>
      </c>
      <c r="AI1905" t="s">
        <v>1201</v>
      </c>
      <c r="AJ1905">
        <v>39.915562000000001</v>
      </c>
      <c r="AK1905" t="s">
        <v>1202</v>
      </c>
      <c r="AL1905">
        <v>-92.596979000000005</v>
      </c>
      <c r="AM1905">
        <v>100</v>
      </c>
      <c r="AN1905">
        <v>1700</v>
      </c>
      <c r="AO1905" t="s">
        <v>118</v>
      </c>
      <c r="AP1905">
        <v>-107</v>
      </c>
      <c r="AQ1905">
        <v>76</v>
      </c>
      <c r="AR1905">
        <v>0</v>
      </c>
      <c r="AZ1905">
        <v>1200</v>
      </c>
      <c r="BA1905">
        <v>1</v>
      </c>
      <c r="BB1905" t="str">
        <f t="shared" si="94"/>
        <v xml:space="preserve">N8080G  </v>
      </c>
      <c r="BC1905">
        <v>1</v>
      </c>
      <c r="BE1905">
        <v>0</v>
      </c>
      <c r="BF1905">
        <v>0</v>
      </c>
      <c r="BG1905">
        <v>0</v>
      </c>
      <c r="BH1905">
        <v>1700</v>
      </c>
      <c r="BI1905">
        <v>1</v>
      </c>
      <c r="BJ1905">
        <v>1</v>
      </c>
      <c r="BK1905">
        <v>1</v>
      </c>
      <c r="BL1905">
        <v>0</v>
      </c>
      <c r="BO1905">
        <v>0</v>
      </c>
      <c r="BP1905">
        <v>0</v>
      </c>
      <c r="BW1905" t="str">
        <f>"20:24:17.684"</f>
        <v>20:24:17.684</v>
      </c>
      <c r="BZ1905">
        <v>0</v>
      </c>
      <c r="CA1905">
        <v>2016</v>
      </c>
      <c r="CB1905">
        <v>224</v>
      </c>
      <c r="CD1905">
        <v>1</v>
      </c>
      <c r="CE1905">
        <v>0</v>
      </c>
      <c r="CF1905">
        <v>0</v>
      </c>
      <c r="CG1905">
        <v>1</v>
      </c>
      <c r="CH1905">
        <v>0</v>
      </c>
      <c r="CI1905">
        <v>0</v>
      </c>
      <c r="CJ1905">
        <v>0</v>
      </c>
      <c r="CK1905">
        <v>2</v>
      </c>
      <c r="CL1905">
        <v>0</v>
      </c>
      <c r="CM1905">
        <v>2</v>
      </c>
      <c r="CN1905">
        <v>0</v>
      </c>
      <c r="CO1905">
        <v>1</v>
      </c>
      <c r="CP1905" t="s">
        <v>119</v>
      </c>
      <c r="CQ1905">
        <v>179</v>
      </c>
      <c r="CR1905">
        <v>1</v>
      </c>
      <c r="CW1905">
        <v>8809706</v>
      </c>
      <c r="CY1905">
        <v>1</v>
      </c>
      <c r="CZ1905">
        <v>0</v>
      </c>
      <c r="DA1905">
        <v>1</v>
      </c>
      <c r="DB1905">
        <v>0</v>
      </c>
      <c r="DC1905">
        <v>0</v>
      </c>
      <c r="DD1905">
        <v>0</v>
      </c>
      <c r="DE1905">
        <v>0</v>
      </c>
      <c r="DF1905">
        <v>0</v>
      </c>
      <c r="DG1905">
        <v>0</v>
      </c>
      <c r="DH1905">
        <v>0</v>
      </c>
      <c r="DI1905">
        <v>0</v>
      </c>
    </row>
    <row r="1906" spans="1:113" x14ac:dyDescent="0.3">
      <c r="A1906" t="str">
        <f>"02/08/2021 20:24:15.334"</f>
        <v>02/08/2021 20:24:15.334</v>
      </c>
      <c r="C1906" t="str">
        <f t="shared" si="93"/>
        <v>FFDFD7C0</v>
      </c>
      <c r="D1906" t="s">
        <v>124</v>
      </c>
      <c r="E1906">
        <v>12</v>
      </c>
      <c r="F1906">
        <v>1012</v>
      </c>
      <c r="G1906" t="s">
        <v>675</v>
      </c>
      <c r="J1906" t="s">
        <v>125</v>
      </c>
      <c r="K1906">
        <v>0</v>
      </c>
      <c r="L1906">
        <v>3</v>
      </c>
      <c r="M1906">
        <v>0</v>
      </c>
      <c r="N1906">
        <v>2</v>
      </c>
      <c r="O1906">
        <v>1</v>
      </c>
      <c r="P1906">
        <v>0</v>
      </c>
      <c r="Q1906">
        <v>0</v>
      </c>
      <c r="S1906" t="str">
        <f>"20:24:17.680"</f>
        <v>20:24:17.680</v>
      </c>
      <c r="T1906" t="str">
        <f>"20:24:17.180"</f>
        <v>20:24:17.180</v>
      </c>
      <c r="U1906" t="str">
        <f t="shared" si="92"/>
        <v>AB01F4</v>
      </c>
      <c r="V1906">
        <v>0</v>
      </c>
      <c r="W1906">
        <v>0</v>
      </c>
      <c r="X1906">
        <v>2</v>
      </c>
      <c r="Z1906">
        <v>0</v>
      </c>
      <c r="AA1906">
        <v>9</v>
      </c>
      <c r="AB1906">
        <v>3</v>
      </c>
      <c r="AC1906">
        <v>0</v>
      </c>
      <c r="AD1906">
        <v>10</v>
      </c>
      <c r="AE1906">
        <v>0</v>
      </c>
      <c r="AF1906">
        <v>3</v>
      </c>
      <c r="AG1906">
        <v>2</v>
      </c>
      <c r="AH1906">
        <v>0</v>
      </c>
      <c r="AI1906" t="s">
        <v>1201</v>
      </c>
      <c r="AJ1906">
        <v>39.915562000000001</v>
      </c>
      <c r="AK1906" t="s">
        <v>1202</v>
      </c>
      <c r="AL1906">
        <v>-92.596979000000005</v>
      </c>
      <c r="AM1906">
        <v>100</v>
      </c>
      <c r="AN1906">
        <v>1700</v>
      </c>
      <c r="AO1906" t="s">
        <v>118</v>
      </c>
      <c r="AP1906">
        <v>-107</v>
      </c>
      <c r="AQ1906">
        <v>76</v>
      </c>
      <c r="AR1906">
        <v>0</v>
      </c>
      <c r="AZ1906">
        <v>1200</v>
      </c>
      <c r="BA1906">
        <v>1</v>
      </c>
      <c r="BB1906" t="str">
        <f t="shared" si="94"/>
        <v xml:space="preserve">N8080G  </v>
      </c>
      <c r="BC1906">
        <v>1</v>
      </c>
      <c r="BE1906">
        <v>0</v>
      </c>
      <c r="BF1906">
        <v>0</v>
      </c>
      <c r="BG1906">
        <v>0</v>
      </c>
      <c r="BH1906">
        <v>1700</v>
      </c>
      <c r="BI1906">
        <v>1</v>
      </c>
      <c r="BJ1906">
        <v>1</v>
      </c>
      <c r="BK1906">
        <v>1</v>
      </c>
      <c r="BL1906">
        <v>0</v>
      </c>
      <c r="BO1906">
        <v>0</v>
      </c>
      <c r="BP1906">
        <v>0</v>
      </c>
      <c r="BW1906" t="str">
        <f>"20:24:17.684"</f>
        <v>20:24:17.684</v>
      </c>
      <c r="BZ1906">
        <v>0</v>
      </c>
      <c r="CA1906">
        <v>2016</v>
      </c>
      <c r="CB1906">
        <v>224</v>
      </c>
      <c r="CD1906">
        <v>1</v>
      </c>
      <c r="CE1906">
        <v>0</v>
      </c>
      <c r="CF1906">
        <v>0</v>
      </c>
      <c r="CG1906">
        <v>1</v>
      </c>
      <c r="CH1906">
        <v>0</v>
      </c>
      <c r="CI1906">
        <v>0</v>
      </c>
      <c r="CJ1906">
        <v>0</v>
      </c>
      <c r="CK1906">
        <v>2</v>
      </c>
      <c r="CL1906">
        <v>0</v>
      </c>
      <c r="CM1906">
        <v>2</v>
      </c>
      <c r="CN1906">
        <v>0</v>
      </c>
      <c r="CO1906">
        <v>1</v>
      </c>
      <c r="CP1906" t="s">
        <v>119</v>
      </c>
      <c r="CQ1906">
        <v>179</v>
      </c>
      <c r="CR1906">
        <v>1</v>
      </c>
      <c r="CW1906">
        <v>8809706</v>
      </c>
      <c r="CY1906">
        <v>1</v>
      </c>
      <c r="CZ1906">
        <v>0</v>
      </c>
      <c r="DA1906">
        <v>1</v>
      </c>
      <c r="DB1906">
        <v>0</v>
      </c>
      <c r="DC1906">
        <v>0</v>
      </c>
      <c r="DD1906">
        <v>0</v>
      </c>
      <c r="DE1906">
        <v>0</v>
      </c>
      <c r="DF1906">
        <v>0</v>
      </c>
      <c r="DG1906">
        <v>0</v>
      </c>
      <c r="DH1906">
        <v>0</v>
      </c>
      <c r="DI1906">
        <v>0</v>
      </c>
    </row>
    <row r="1907" spans="1:113" x14ac:dyDescent="0.3">
      <c r="A1907" t="str">
        <f>"02/08/2021 20:24:18.100"</f>
        <v>02/08/2021 20:24:18.100</v>
      </c>
      <c r="C1907" t="str">
        <f t="shared" si="93"/>
        <v>FFDFD7C0</v>
      </c>
      <c r="D1907" t="s">
        <v>124</v>
      </c>
      <c r="E1907">
        <v>13</v>
      </c>
      <c r="F1907">
        <v>1013</v>
      </c>
      <c r="G1907" t="s">
        <v>114</v>
      </c>
      <c r="J1907" t="s">
        <v>125</v>
      </c>
      <c r="K1907">
        <v>0</v>
      </c>
      <c r="L1907">
        <v>3</v>
      </c>
      <c r="M1907">
        <v>0</v>
      </c>
      <c r="N1907">
        <v>2</v>
      </c>
      <c r="O1907">
        <v>1</v>
      </c>
      <c r="P1907">
        <v>0</v>
      </c>
      <c r="Q1907">
        <v>0</v>
      </c>
      <c r="S1907" t="str">
        <f>"20:24:20.453"</f>
        <v>20:24:20.453</v>
      </c>
      <c r="T1907" t="str">
        <f>"20:24:19.953"</f>
        <v>20:24:19.953</v>
      </c>
      <c r="U1907" t="str">
        <f t="shared" si="92"/>
        <v>AB01F4</v>
      </c>
      <c r="V1907">
        <v>0</v>
      </c>
      <c r="W1907">
        <v>0</v>
      </c>
      <c r="X1907">
        <v>2</v>
      </c>
      <c r="Z1907">
        <v>0</v>
      </c>
      <c r="AA1907">
        <v>9</v>
      </c>
      <c r="AB1907">
        <v>3</v>
      </c>
      <c r="AC1907">
        <v>0</v>
      </c>
      <c r="AD1907">
        <v>10</v>
      </c>
      <c r="AE1907">
        <v>0</v>
      </c>
      <c r="AF1907">
        <v>3</v>
      </c>
      <c r="AG1907">
        <v>2</v>
      </c>
      <c r="AH1907">
        <v>0</v>
      </c>
      <c r="AI1907" t="s">
        <v>1203</v>
      </c>
      <c r="AJ1907">
        <v>39.916549000000003</v>
      </c>
      <c r="AK1907" t="s">
        <v>1204</v>
      </c>
      <c r="AL1907">
        <v>-92.598825000000005</v>
      </c>
      <c r="AM1907">
        <v>100</v>
      </c>
      <c r="AN1907">
        <v>1700</v>
      </c>
      <c r="AO1907" t="s">
        <v>118</v>
      </c>
      <c r="AP1907">
        <v>-107</v>
      </c>
      <c r="AQ1907">
        <v>76</v>
      </c>
      <c r="AR1907">
        <v>0</v>
      </c>
      <c r="AZ1907">
        <v>1200</v>
      </c>
      <c r="BA1907">
        <v>1</v>
      </c>
      <c r="BB1907" t="str">
        <f t="shared" si="94"/>
        <v xml:space="preserve">N8080G  </v>
      </c>
      <c r="BC1907">
        <v>1</v>
      </c>
      <c r="BE1907">
        <v>0</v>
      </c>
      <c r="BF1907">
        <v>0</v>
      </c>
      <c r="BG1907">
        <v>0</v>
      </c>
      <c r="BH1907">
        <v>1700</v>
      </c>
      <c r="BI1907">
        <v>1</v>
      </c>
      <c r="BJ1907">
        <v>1</v>
      </c>
      <c r="BK1907">
        <v>1</v>
      </c>
      <c r="BL1907">
        <v>0</v>
      </c>
      <c r="BO1907">
        <v>0</v>
      </c>
      <c r="BP1907">
        <v>0</v>
      </c>
      <c r="BW1907" t="str">
        <f>"20:24:20.456"</f>
        <v>20:24:20.456</v>
      </c>
      <c r="BZ1907">
        <v>0</v>
      </c>
      <c r="CA1907">
        <v>2016</v>
      </c>
      <c r="CB1907">
        <v>224</v>
      </c>
      <c r="CD1907">
        <v>1</v>
      </c>
      <c r="CE1907">
        <v>0</v>
      </c>
      <c r="CF1907">
        <v>0</v>
      </c>
      <c r="CG1907">
        <v>1</v>
      </c>
      <c r="CH1907">
        <v>0</v>
      </c>
      <c r="CI1907">
        <v>0</v>
      </c>
      <c r="CJ1907">
        <v>0</v>
      </c>
      <c r="CK1907">
        <v>2</v>
      </c>
      <c r="CL1907">
        <v>0</v>
      </c>
      <c r="CM1907">
        <v>2</v>
      </c>
      <c r="CN1907">
        <v>0</v>
      </c>
      <c r="CO1907">
        <v>1</v>
      </c>
      <c r="CP1907" t="s">
        <v>119</v>
      </c>
      <c r="CQ1907">
        <v>179</v>
      </c>
      <c r="CR1907">
        <v>1</v>
      </c>
      <c r="CW1907">
        <v>8812247</v>
      </c>
      <c r="CY1907">
        <v>1</v>
      </c>
      <c r="CZ1907">
        <v>0</v>
      </c>
      <c r="DA1907">
        <v>0</v>
      </c>
      <c r="DB1907">
        <v>0</v>
      </c>
      <c r="DC1907">
        <v>0</v>
      </c>
      <c r="DD1907">
        <v>0</v>
      </c>
      <c r="DE1907">
        <v>0</v>
      </c>
      <c r="DF1907">
        <v>0</v>
      </c>
      <c r="DG1907">
        <v>0</v>
      </c>
      <c r="DH1907">
        <v>0</v>
      </c>
      <c r="DI1907">
        <v>0</v>
      </c>
    </row>
    <row r="1908" spans="1:113" x14ac:dyDescent="0.3">
      <c r="A1908" t="str">
        <f>"02/08/2021 20:24:18.100"</f>
        <v>02/08/2021 20:24:18.100</v>
      </c>
      <c r="C1908" t="str">
        <f t="shared" si="93"/>
        <v>FFDFD7C0</v>
      </c>
      <c r="D1908" t="s">
        <v>124</v>
      </c>
      <c r="E1908">
        <v>11</v>
      </c>
      <c r="F1908">
        <v>1011</v>
      </c>
      <c r="G1908" t="s">
        <v>590</v>
      </c>
      <c r="J1908" t="s">
        <v>125</v>
      </c>
      <c r="K1908">
        <v>0</v>
      </c>
      <c r="L1908">
        <v>3</v>
      </c>
      <c r="M1908">
        <v>0</v>
      </c>
      <c r="N1908">
        <v>2</v>
      </c>
      <c r="O1908">
        <v>1</v>
      </c>
      <c r="P1908">
        <v>0</v>
      </c>
      <c r="Q1908">
        <v>0</v>
      </c>
      <c r="S1908" t="str">
        <f>"20:24:20.453"</f>
        <v>20:24:20.453</v>
      </c>
      <c r="T1908" t="str">
        <f>"20:24:19.953"</f>
        <v>20:24:19.953</v>
      </c>
      <c r="U1908" t="str">
        <f t="shared" si="92"/>
        <v>AB01F4</v>
      </c>
      <c r="V1908">
        <v>0</v>
      </c>
      <c r="W1908">
        <v>0</v>
      </c>
      <c r="X1908">
        <v>2</v>
      </c>
      <c r="Z1908">
        <v>0</v>
      </c>
      <c r="AA1908">
        <v>9</v>
      </c>
      <c r="AB1908">
        <v>3</v>
      </c>
      <c r="AC1908">
        <v>0</v>
      </c>
      <c r="AD1908">
        <v>10</v>
      </c>
      <c r="AE1908">
        <v>0</v>
      </c>
      <c r="AF1908">
        <v>3</v>
      </c>
      <c r="AG1908">
        <v>2</v>
      </c>
      <c r="AH1908">
        <v>0</v>
      </c>
      <c r="AI1908" t="s">
        <v>1203</v>
      </c>
      <c r="AJ1908">
        <v>39.916549000000003</v>
      </c>
      <c r="AK1908" t="s">
        <v>1204</v>
      </c>
      <c r="AL1908">
        <v>-92.598825000000005</v>
      </c>
      <c r="AM1908">
        <v>100</v>
      </c>
      <c r="AN1908">
        <v>1700</v>
      </c>
      <c r="AO1908" t="s">
        <v>118</v>
      </c>
      <c r="AP1908">
        <v>-107</v>
      </c>
      <c r="AQ1908">
        <v>76</v>
      </c>
      <c r="AR1908">
        <v>0</v>
      </c>
      <c r="AZ1908">
        <v>1200</v>
      </c>
      <c r="BA1908">
        <v>1</v>
      </c>
      <c r="BB1908" t="str">
        <f t="shared" si="94"/>
        <v xml:space="preserve">N8080G  </v>
      </c>
      <c r="BC1908">
        <v>1</v>
      </c>
      <c r="BE1908">
        <v>0</v>
      </c>
      <c r="BF1908">
        <v>0</v>
      </c>
      <c r="BG1908">
        <v>0</v>
      </c>
      <c r="BH1908">
        <v>1700</v>
      </c>
      <c r="BI1908">
        <v>1</v>
      </c>
      <c r="BJ1908">
        <v>1</v>
      </c>
      <c r="BK1908">
        <v>1</v>
      </c>
      <c r="BL1908">
        <v>0</v>
      </c>
      <c r="BO1908">
        <v>0</v>
      </c>
      <c r="BP1908">
        <v>0</v>
      </c>
      <c r="BW1908" t="str">
        <f>"20:24:20.456"</f>
        <v>20:24:20.456</v>
      </c>
      <c r="BZ1908">
        <v>0</v>
      </c>
      <c r="CA1908">
        <v>2016</v>
      </c>
      <c r="CB1908">
        <v>224</v>
      </c>
      <c r="CD1908">
        <v>1</v>
      </c>
      <c r="CE1908">
        <v>0</v>
      </c>
      <c r="CF1908">
        <v>0</v>
      </c>
      <c r="CG1908">
        <v>1</v>
      </c>
      <c r="CH1908">
        <v>0</v>
      </c>
      <c r="CI1908">
        <v>0</v>
      </c>
      <c r="CJ1908">
        <v>0</v>
      </c>
      <c r="CK1908">
        <v>2</v>
      </c>
      <c r="CL1908">
        <v>0</v>
      </c>
      <c r="CM1908">
        <v>2</v>
      </c>
      <c r="CN1908">
        <v>0</v>
      </c>
      <c r="CO1908">
        <v>1</v>
      </c>
      <c r="CP1908" t="s">
        <v>119</v>
      </c>
      <c r="CQ1908">
        <v>179</v>
      </c>
      <c r="CR1908">
        <v>1</v>
      </c>
      <c r="CW1908">
        <v>8812247</v>
      </c>
      <c r="CY1908">
        <v>1</v>
      </c>
      <c r="CZ1908">
        <v>0</v>
      </c>
      <c r="DA1908">
        <v>1</v>
      </c>
      <c r="DB1908">
        <v>0</v>
      </c>
      <c r="DC1908">
        <v>0</v>
      </c>
      <c r="DD1908">
        <v>0</v>
      </c>
      <c r="DE1908">
        <v>0</v>
      </c>
      <c r="DF1908">
        <v>0</v>
      </c>
      <c r="DG1908">
        <v>0</v>
      </c>
      <c r="DH1908">
        <v>0</v>
      </c>
      <c r="DI1908">
        <v>0</v>
      </c>
    </row>
    <row r="1909" spans="1:113" x14ac:dyDescent="0.3">
      <c r="A1909" t="str">
        <f>"02/08/2021 20:24:18.100"</f>
        <v>02/08/2021 20:24:18.100</v>
      </c>
      <c r="C1909" t="str">
        <f t="shared" si="93"/>
        <v>FFDFD7C0</v>
      </c>
      <c r="D1909" t="s">
        <v>124</v>
      </c>
      <c r="E1909">
        <v>12</v>
      </c>
      <c r="F1909">
        <v>1012</v>
      </c>
      <c r="G1909" t="s">
        <v>675</v>
      </c>
      <c r="J1909" t="s">
        <v>125</v>
      </c>
      <c r="K1909">
        <v>0</v>
      </c>
      <c r="L1909">
        <v>3</v>
      </c>
      <c r="M1909">
        <v>0</v>
      </c>
      <c r="N1909">
        <v>2</v>
      </c>
      <c r="O1909">
        <v>1</v>
      </c>
      <c r="P1909">
        <v>0</v>
      </c>
      <c r="Q1909">
        <v>0</v>
      </c>
      <c r="S1909" t="str">
        <f>"20:24:20.453"</f>
        <v>20:24:20.453</v>
      </c>
      <c r="T1909" t="str">
        <f>"20:24:19.953"</f>
        <v>20:24:19.953</v>
      </c>
      <c r="U1909" t="str">
        <f t="shared" si="92"/>
        <v>AB01F4</v>
      </c>
      <c r="V1909">
        <v>0</v>
      </c>
      <c r="W1909">
        <v>0</v>
      </c>
      <c r="X1909">
        <v>2</v>
      </c>
      <c r="Z1909">
        <v>0</v>
      </c>
      <c r="AA1909">
        <v>9</v>
      </c>
      <c r="AB1909">
        <v>3</v>
      </c>
      <c r="AC1909">
        <v>0</v>
      </c>
      <c r="AD1909">
        <v>10</v>
      </c>
      <c r="AE1909">
        <v>0</v>
      </c>
      <c r="AF1909">
        <v>3</v>
      </c>
      <c r="AG1909">
        <v>2</v>
      </c>
      <c r="AH1909">
        <v>0</v>
      </c>
      <c r="AI1909" t="s">
        <v>1203</v>
      </c>
      <c r="AJ1909">
        <v>39.916549000000003</v>
      </c>
      <c r="AK1909" t="s">
        <v>1204</v>
      </c>
      <c r="AL1909">
        <v>-92.598825000000005</v>
      </c>
      <c r="AM1909">
        <v>100</v>
      </c>
      <c r="AN1909">
        <v>1700</v>
      </c>
      <c r="AO1909" t="s">
        <v>118</v>
      </c>
      <c r="AP1909">
        <v>-107</v>
      </c>
      <c r="AQ1909">
        <v>76</v>
      </c>
      <c r="AR1909">
        <v>0</v>
      </c>
      <c r="AZ1909">
        <v>1200</v>
      </c>
      <c r="BA1909">
        <v>1</v>
      </c>
      <c r="BB1909" t="str">
        <f t="shared" si="94"/>
        <v xml:space="preserve">N8080G  </v>
      </c>
      <c r="BC1909">
        <v>1</v>
      </c>
      <c r="BE1909">
        <v>0</v>
      </c>
      <c r="BF1909">
        <v>0</v>
      </c>
      <c r="BG1909">
        <v>0</v>
      </c>
      <c r="BH1909">
        <v>1700</v>
      </c>
      <c r="BI1909">
        <v>1</v>
      </c>
      <c r="BJ1909">
        <v>1</v>
      </c>
      <c r="BK1909">
        <v>1</v>
      </c>
      <c r="BL1909">
        <v>0</v>
      </c>
      <c r="BO1909">
        <v>0</v>
      </c>
      <c r="BP1909">
        <v>0</v>
      </c>
      <c r="BW1909" t="str">
        <f>"20:24:20.456"</f>
        <v>20:24:20.456</v>
      </c>
      <c r="BZ1909">
        <v>0</v>
      </c>
      <c r="CA1909">
        <v>2016</v>
      </c>
      <c r="CB1909">
        <v>224</v>
      </c>
      <c r="CD1909">
        <v>1</v>
      </c>
      <c r="CE1909">
        <v>0</v>
      </c>
      <c r="CF1909">
        <v>0</v>
      </c>
      <c r="CG1909">
        <v>1</v>
      </c>
      <c r="CH1909">
        <v>0</v>
      </c>
      <c r="CI1909">
        <v>0</v>
      </c>
      <c r="CJ1909">
        <v>0</v>
      </c>
      <c r="CK1909">
        <v>2</v>
      </c>
      <c r="CL1909">
        <v>0</v>
      </c>
      <c r="CM1909">
        <v>2</v>
      </c>
      <c r="CN1909">
        <v>0</v>
      </c>
      <c r="CO1909">
        <v>1</v>
      </c>
      <c r="CP1909" t="s">
        <v>119</v>
      </c>
      <c r="CQ1909">
        <v>179</v>
      </c>
      <c r="CR1909">
        <v>1</v>
      </c>
      <c r="CW1909">
        <v>8812247</v>
      </c>
      <c r="CY1909">
        <v>1</v>
      </c>
      <c r="CZ1909">
        <v>0</v>
      </c>
      <c r="DA1909">
        <v>1</v>
      </c>
      <c r="DB1909">
        <v>0</v>
      </c>
      <c r="DC1909">
        <v>0</v>
      </c>
      <c r="DD1909">
        <v>0</v>
      </c>
      <c r="DE1909">
        <v>0</v>
      </c>
      <c r="DF1909">
        <v>0</v>
      </c>
      <c r="DG1909">
        <v>0</v>
      </c>
      <c r="DH1909">
        <v>0</v>
      </c>
      <c r="DI1909">
        <v>0</v>
      </c>
    </row>
    <row r="1910" spans="1:113" x14ac:dyDescent="0.3">
      <c r="A1910" t="str">
        <f>"02/08/2021 20:24:18.100"</f>
        <v>02/08/2021 20:24:18.100</v>
      </c>
      <c r="C1910" t="str">
        <f t="shared" si="93"/>
        <v>FFDFD7C0</v>
      </c>
      <c r="D1910" t="s">
        <v>113</v>
      </c>
      <c r="E1910">
        <v>6</v>
      </c>
      <c r="H1910">
        <v>165</v>
      </c>
      <c r="I1910" t="s">
        <v>114</v>
      </c>
      <c r="J1910" t="s">
        <v>115</v>
      </c>
      <c r="K1910">
        <v>0</v>
      </c>
      <c r="L1910">
        <v>3</v>
      </c>
      <c r="M1910">
        <v>0</v>
      </c>
      <c r="N1910">
        <v>2</v>
      </c>
      <c r="O1910">
        <v>1</v>
      </c>
      <c r="P1910">
        <v>0</v>
      </c>
      <c r="Q1910">
        <v>0</v>
      </c>
      <c r="S1910" t="str">
        <f>"20:24:20.453"</f>
        <v>20:24:20.453</v>
      </c>
      <c r="T1910" t="str">
        <f>"20:24:19.953"</f>
        <v>20:24:19.953</v>
      </c>
      <c r="U1910" t="str">
        <f t="shared" si="92"/>
        <v>AB01F4</v>
      </c>
      <c r="V1910">
        <v>0</v>
      </c>
      <c r="W1910">
        <v>0</v>
      </c>
      <c r="X1910">
        <v>2</v>
      </c>
      <c r="Z1910">
        <v>0</v>
      </c>
      <c r="AA1910">
        <v>9</v>
      </c>
      <c r="AB1910">
        <v>3</v>
      </c>
      <c r="AC1910">
        <v>0</v>
      </c>
      <c r="AD1910">
        <v>10</v>
      </c>
      <c r="AE1910">
        <v>0</v>
      </c>
      <c r="AF1910">
        <v>3</v>
      </c>
      <c r="AG1910">
        <v>2</v>
      </c>
      <c r="AH1910">
        <v>0</v>
      </c>
      <c r="AI1910" t="s">
        <v>1203</v>
      </c>
      <c r="AJ1910">
        <v>39.916549000000003</v>
      </c>
      <c r="AK1910" t="s">
        <v>1204</v>
      </c>
      <c r="AL1910">
        <v>-92.598825000000005</v>
      </c>
      <c r="AM1910">
        <v>100</v>
      </c>
      <c r="AN1910">
        <v>1700</v>
      </c>
      <c r="AO1910" t="s">
        <v>118</v>
      </c>
      <c r="AP1910">
        <v>-107</v>
      </c>
      <c r="AQ1910">
        <v>76</v>
      </c>
      <c r="AR1910">
        <v>0</v>
      </c>
      <c r="AZ1910">
        <v>1200</v>
      </c>
      <c r="BA1910">
        <v>1</v>
      </c>
      <c r="BB1910" t="str">
        <f t="shared" si="94"/>
        <v xml:space="preserve">N8080G  </v>
      </c>
      <c r="BC1910">
        <v>1</v>
      </c>
      <c r="BE1910">
        <v>0</v>
      </c>
      <c r="BF1910">
        <v>0</v>
      </c>
      <c r="BG1910">
        <v>0</v>
      </c>
      <c r="BH1910">
        <v>1700</v>
      </c>
      <c r="BI1910">
        <v>1</v>
      </c>
      <c r="BJ1910">
        <v>1</v>
      </c>
      <c r="BK1910">
        <v>1</v>
      </c>
      <c r="BL1910">
        <v>0</v>
      </c>
      <c r="BO1910">
        <v>0</v>
      </c>
      <c r="BP1910">
        <v>0</v>
      </c>
      <c r="BW1910" t="str">
        <f>"20:24:20.456"</f>
        <v>20:24:20.456</v>
      </c>
      <c r="BZ1910">
        <v>0</v>
      </c>
      <c r="CA1910">
        <v>2016</v>
      </c>
      <c r="CB1910">
        <v>224</v>
      </c>
      <c r="CD1910">
        <v>1</v>
      </c>
      <c r="CE1910">
        <v>0</v>
      </c>
      <c r="CF1910">
        <v>0</v>
      </c>
      <c r="CG1910">
        <v>1</v>
      </c>
      <c r="CH1910">
        <v>0</v>
      </c>
      <c r="CI1910">
        <v>0</v>
      </c>
      <c r="CJ1910">
        <v>0</v>
      </c>
      <c r="CK1910">
        <v>2</v>
      </c>
      <c r="CL1910">
        <v>0</v>
      </c>
      <c r="CM1910">
        <v>2</v>
      </c>
      <c r="CN1910">
        <v>0</v>
      </c>
      <c r="CO1910">
        <v>1</v>
      </c>
      <c r="CP1910" t="s">
        <v>119</v>
      </c>
      <c r="CQ1910">
        <v>179</v>
      </c>
      <c r="CR1910">
        <v>1</v>
      </c>
      <c r="CW1910">
        <v>8812247</v>
      </c>
      <c r="CY1910">
        <v>1</v>
      </c>
      <c r="CZ1910">
        <v>0</v>
      </c>
      <c r="DA1910">
        <v>1</v>
      </c>
      <c r="DB1910">
        <v>0</v>
      </c>
      <c r="DC1910">
        <v>0</v>
      </c>
      <c r="DD1910">
        <v>0</v>
      </c>
      <c r="DE1910">
        <v>0</v>
      </c>
      <c r="DF1910">
        <v>0</v>
      </c>
      <c r="DG1910">
        <v>0</v>
      </c>
      <c r="DH1910">
        <v>0</v>
      </c>
      <c r="DI1910">
        <v>0</v>
      </c>
    </row>
    <row r="1911" spans="1:113" x14ac:dyDescent="0.3">
      <c r="A1911" t="str">
        <f>"02/08/2021 20:24:19.242"</f>
        <v>02/08/2021 20:24:19.242</v>
      </c>
      <c r="C1911" t="str">
        <f t="shared" si="93"/>
        <v>FFDFD7C0</v>
      </c>
      <c r="D1911" t="s">
        <v>113</v>
      </c>
      <c r="E1911">
        <v>6</v>
      </c>
      <c r="H1911">
        <v>165</v>
      </c>
      <c r="I1911" t="s">
        <v>114</v>
      </c>
      <c r="J1911" t="s">
        <v>115</v>
      </c>
      <c r="K1911">
        <v>0</v>
      </c>
      <c r="L1911">
        <v>3</v>
      </c>
      <c r="M1911">
        <v>0</v>
      </c>
      <c r="N1911">
        <v>2</v>
      </c>
      <c r="O1911">
        <v>1</v>
      </c>
      <c r="P1911">
        <v>0</v>
      </c>
      <c r="Q1911">
        <v>0</v>
      </c>
      <c r="S1911" t="str">
        <f>"20:24:21.531"</f>
        <v>20:24:21.531</v>
      </c>
      <c r="T1911" t="str">
        <f>"20:24:21.031"</f>
        <v>20:24:21.031</v>
      </c>
      <c r="U1911" t="str">
        <f t="shared" si="92"/>
        <v>AB01F4</v>
      </c>
      <c r="V1911">
        <v>0</v>
      </c>
      <c r="W1911">
        <v>0</v>
      </c>
      <c r="X1911">
        <v>2</v>
      </c>
      <c r="Z1911">
        <v>0</v>
      </c>
      <c r="AA1911">
        <v>9</v>
      </c>
      <c r="AB1911">
        <v>3</v>
      </c>
      <c r="AC1911">
        <v>0</v>
      </c>
      <c r="AD1911">
        <v>10</v>
      </c>
      <c r="AE1911">
        <v>0</v>
      </c>
      <c r="AF1911">
        <v>3</v>
      </c>
      <c r="AG1911">
        <v>2</v>
      </c>
      <c r="AH1911">
        <v>0</v>
      </c>
      <c r="AI1911" t="s">
        <v>1205</v>
      </c>
      <c r="AJ1911">
        <v>39.916955999999999</v>
      </c>
      <c r="AK1911" t="s">
        <v>1206</v>
      </c>
      <c r="AL1911">
        <v>-92.599511000000007</v>
      </c>
      <c r="AM1911">
        <v>100</v>
      </c>
      <c r="AN1911">
        <v>1700</v>
      </c>
      <c r="AO1911" t="s">
        <v>118</v>
      </c>
      <c r="AP1911">
        <v>-107</v>
      </c>
      <c r="AQ1911">
        <v>76</v>
      </c>
      <c r="AR1911">
        <v>0</v>
      </c>
      <c r="AZ1911">
        <v>1200</v>
      </c>
      <c r="BA1911">
        <v>1</v>
      </c>
      <c r="BB1911" t="str">
        <f t="shared" si="94"/>
        <v xml:space="preserve">N8080G  </v>
      </c>
      <c r="BC1911">
        <v>1</v>
      </c>
      <c r="BE1911">
        <v>0</v>
      </c>
      <c r="BF1911">
        <v>0</v>
      </c>
      <c r="BG1911">
        <v>0</v>
      </c>
      <c r="BH1911">
        <v>1700</v>
      </c>
      <c r="BI1911">
        <v>1</v>
      </c>
      <c r="BJ1911">
        <v>1</v>
      </c>
      <c r="BK1911">
        <v>1</v>
      </c>
      <c r="BL1911">
        <v>0</v>
      </c>
      <c r="BO1911">
        <v>0</v>
      </c>
      <c r="BP1911">
        <v>0</v>
      </c>
      <c r="BW1911" t="str">
        <f>"20:24:21.537"</f>
        <v>20:24:21.537</v>
      </c>
      <c r="BZ1911">
        <v>0</v>
      </c>
      <c r="CA1911">
        <v>2016</v>
      </c>
      <c r="CB1911">
        <v>224</v>
      </c>
      <c r="CD1911">
        <v>1</v>
      </c>
      <c r="CE1911">
        <v>0</v>
      </c>
      <c r="CF1911">
        <v>0</v>
      </c>
      <c r="CG1911">
        <v>1</v>
      </c>
      <c r="CH1911">
        <v>0</v>
      </c>
      <c r="CI1911">
        <v>0</v>
      </c>
      <c r="CJ1911">
        <v>0</v>
      </c>
      <c r="CK1911">
        <v>2</v>
      </c>
      <c r="CL1911">
        <v>0</v>
      </c>
      <c r="CM1911">
        <v>2</v>
      </c>
      <c r="CN1911">
        <v>0</v>
      </c>
      <c r="CO1911">
        <v>7</v>
      </c>
      <c r="CP1911" t="s">
        <v>119</v>
      </c>
      <c r="CQ1911">
        <v>180</v>
      </c>
      <c r="CR1911">
        <v>2</v>
      </c>
      <c r="CW1911">
        <v>8378828</v>
      </c>
      <c r="CY1911">
        <v>1</v>
      </c>
      <c r="CZ1911">
        <v>0</v>
      </c>
      <c r="DA1911">
        <v>0</v>
      </c>
      <c r="DB1911">
        <v>0</v>
      </c>
      <c r="DC1911">
        <v>0</v>
      </c>
      <c r="DD1911">
        <v>0</v>
      </c>
      <c r="DE1911">
        <v>0</v>
      </c>
      <c r="DF1911">
        <v>0</v>
      </c>
      <c r="DG1911">
        <v>0</v>
      </c>
      <c r="DH1911">
        <v>0</v>
      </c>
      <c r="DI1911">
        <v>0</v>
      </c>
    </row>
    <row r="1912" spans="1:113" x14ac:dyDescent="0.3">
      <c r="A1912" t="str">
        <f>"02/08/2021 20:24:19.242"</f>
        <v>02/08/2021 20:24:19.242</v>
      </c>
      <c r="C1912" t="str">
        <f t="shared" si="93"/>
        <v>FFDFD7C0</v>
      </c>
      <c r="D1912" t="s">
        <v>124</v>
      </c>
      <c r="E1912">
        <v>13</v>
      </c>
      <c r="F1912">
        <v>1013</v>
      </c>
      <c r="G1912" t="s">
        <v>114</v>
      </c>
      <c r="J1912" t="s">
        <v>125</v>
      </c>
      <c r="K1912">
        <v>0</v>
      </c>
      <c r="L1912">
        <v>3</v>
      </c>
      <c r="M1912">
        <v>0</v>
      </c>
      <c r="N1912">
        <v>2</v>
      </c>
      <c r="O1912">
        <v>1</v>
      </c>
      <c r="P1912">
        <v>0</v>
      </c>
      <c r="Q1912">
        <v>0</v>
      </c>
      <c r="S1912" t="str">
        <f>"20:24:21.531"</f>
        <v>20:24:21.531</v>
      </c>
      <c r="T1912" t="str">
        <f>"20:24:21.031"</f>
        <v>20:24:21.031</v>
      </c>
      <c r="U1912" t="str">
        <f t="shared" si="92"/>
        <v>AB01F4</v>
      </c>
      <c r="V1912">
        <v>0</v>
      </c>
      <c r="W1912">
        <v>0</v>
      </c>
      <c r="X1912">
        <v>2</v>
      </c>
      <c r="Z1912">
        <v>0</v>
      </c>
      <c r="AA1912">
        <v>9</v>
      </c>
      <c r="AB1912">
        <v>3</v>
      </c>
      <c r="AC1912">
        <v>0</v>
      </c>
      <c r="AD1912">
        <v>10</v>
      </c>
      <c r="AE1912">
        <v>0</v>
      </c>
      <c r="AF1912">
        <v>3</v>
      </c>
      <c r="AG1912">
        <v>2</v>
      </c>
      <c r="AH1912">
        <v>0</v>
      </c>
      <c r="AI1912" t="s">
        <v>1205</v>
      </c>
      <c r="AJ1912">
        <v>39.916955999999999</v>
      </c>
      <c r="AK1912" t="s">
        <v>1206</v>
      </c>
      <c r="AL1912">
        <v>-92.599511000000007</v>
      </c>
      <c r="AM1912">
        <v>100</v>
      </c>
      <c r="AN1912">
        <v>1700</v>
      </c>
      <c r="AO1912" t="s">
        <v>118</v>
      </c>
      <c r="AP1912">
        <v>-107</v>
      </c>
      <c r="AQ1912">
        <v>76</v>
      </c>
      <c r="AR1912">
        <v>0</v>
      </c>
      <c r="AZ1912">
        <v>1200</v>
      </c>
      <c r="BA1912">
        <v>1</v>
      </c>
      <c r="BB1912" t="str">
        <f t="shared" si="94"/>
        <v xml:space="preserve">N8080G  </v>
      </c>
      <c r="BC1912">
        <v>1</v>
      </c>
      <c r="BE1912">
        <v>0</v>
      </c>
      <c r="BF1912">
        <v>0</v>
      </c>
      <c r="BG1912">
        <v>0</v>
      </c>
      <c r="BH1912">
        <v>1700</v>
      </c>
      <c r="BI1912">
        <v>1</v>
      </c>
      <c r="BJ1912">
        <v>1</v>
      </c>
      <c r="BK1912">
        <v>1</v>
      </c>
      <c r="BL1912">
        <v>0</v>
      </c>
      <c r="BO1912">
        <v>0</v>
      </c>
      <c r="BP1912">
        <v>0</v>
      </c>
      <c r="BW1912" t="str">
        <f>"20:24:21.537"</f>
        <v>20:24:21.537</v>
      </c>
      <c r="BZ1912">
        <v>0</v>
      </c>
      <c r="CA1912">
        <v>2016</v>
      </c>
      <c r="CB1912">
        <v>224</v>
      </c>
      <c r="CD1912">
        <v>1</v>
      </c>
      <c r="CE1912">
        <v>0</v>
      </c>
      <c r="CF1912">
        <v>0</v>
      </c>
      <c r="CG1912">
        <v>1</v>
      </c>
      <c r="CH1912">
        <v>0</v>
      </c>
      <c r="CI1912">
        <v>0</v>
      </c>
      <c r="CJ1912">
        <v>0</v>
      </c>
      <c r="CK1912">
        <v>2</v>
      </c>
      <c r="CL1912">
        <v>0</v>
      </c>
      <c r="CM1912">
        <v>2</v>
      </c>
      <c r="CN1912">
        <v>0</v>
      </c>
      <c r="CO1912">
        <v>7</v>
      </c>
      <c r="CP1912" t="s">
        <v>119</v>
      </c>
      <c r="CQ1912">
        <v>180</v>
      </c>
      <c r="CR1912">
        <v>2</v>
      </c>
      <c r="CW1912">
        <v>8378828</v>
      </c>
      <c r="CY1912">
        <v>1</v>
      </c>
      <c r="CZ1912">
        <v>0</v>
      </c>
      <c r="DA1912">
        <v>1</v>
      </c>
      <c r="DB1912">
        <v>0</v>
      </c>
      <c r="DC1912">
        <v>0</v>
      </c>
      <c r="DD1912">
        <v>0</v>
      </c>
      <c r="DE1912">
        <v>0</v>
      </c>
      <c r="DF1912">
        <v>0</v>
      </c>
      <c r="DG1912">
        <v>0</v>
      </c>
      <c r="DH1912">
        <v>0</v>
      </c>
      <c r="DI1912">
        <v>0</v>
      </c>
    </row>
    <row r="1913" spans="1:113" x14ac:dyDescent="0.3">
      <c r="A1913" t="str">
        <f>"02/08/2021 20:24:19.242"</f>
        <v>02/08/2021 20:24:19.242</v>
      </c>
      <c r="C1913" t="str">
        <f t="shared" si="93"/>
        <v>FFDFD7C0</v>
      </c>
      <c r="D1913" t="s">
        <v>124</v>
      </c>
      <c r="E1913">
        <v>11</v>
      </c>
      <c r="F1913">
        <v>1011</v>
      </c>
      <c r="G1913" t="s">
        <v>590</v>
      </c>
      <c r="J1913" t="s">
        <v>125</v>
      </c>
      <c r="K1913">
        <v>0</v>
      </c>
      <c r="L1913">
        <v>3</v>
      </c>
      <c r="M1913">
        <v>0</v>
      </c>
      <c r="N1913">
        <v>2</v>
      </c>
      <c r="O1913">
        <v>1</v>
      </c>
      <c r="P1913">
        <v>0</v>
      </c>
      <c r="Q1913">
        <v>0</v>
      </c>
      <c r="S1913" t="str">
        <f>"20:24:21.531"</f>
        <v>20:24:21.531</v>
      </c>
      <c r="T1913" t="str">
        <f>"20:24:21.031"</f>
        <v>20:24:21.031</v>
      </c>
      <c r="U1913" t="str">
        <f t="shared" si="92"/>
        <v>AB01F4</v>
      </c>
      <c r="V1913">
        <v>0</v>
      </c>
      <c r="W1913">
        <v>0</v>
      </c>
      <c r="X1913">
        <v>2</v>
      </c>
      <c r="Z1913">
        <v>0</v>
      </c>
      <c r="AA1913">
        <v>9</v>
      </c>
      <c r="AB1913">
        <v>3</v>
      </c>
      <c r="AC1913">
        <v>0</v>
      </c>
      <c r="AD1913">
        <v>10</v>
      </c>
      <c r="AE1913">
        <v>0</v>
      </c>
      <c r="AF1913">
        <v>3</v>
      </c>
      <c r="AG1913">
        <v>2</v>
      </c>
      <c r="AH1913">
        <v>0</v>
      </c>
      <c r="AI1913" t="s">
        <v>1205</v>
      </c>
      <c r="AJ1913">
        <v>39.916955999999999</v>
      </c>
      <c r="AK1913" t="s">
        <v>1206</v>
      </c>
      <c r="AL1913">
        <v>-92.599511000000007</v>
      </c>
      <c r="AM1913">
        <v>100</v>
      </c>
      <c r="AN1913">
        <v>1700</v>
      </c>
      <c r="AO1913" t="s">
        <v>118</v>
      </c>
      <c r="AP1913">
        <v>-107</v>
      </c>
      <c r="AQ1913">
        <v>76</v>
      </c>
      <c r="AR1913">
        <v>0</v>
      </c>
      <c r="AZ1913">
        <v>1200</v>
      </c>
      <c r="BA1913">
        <v>1</v>
      </c>
      <c r="BB1913" t="str">
        <f t="shared" si="94"/>
        <v xml:space="preserve">N8080G  </v>
      </c>
      <c r="BC1913">
        <v>1</v>
      </c>
      <c r="BE1913">
        <v>0</v>
      </c>
      <c r="BF1913">
        <v>0</v>
      </c>
      <c r="BG1913">
        <v>0</v>
      </c>
      <c r="BH1913">
        <v>1700</v>
      </c>
      <c r="BI1913">
        <v>1</v>
      </c>
      <c r="BJ1913">
        <v>1</v>
      </c>
      <c r="BK1913">
        <v>1</v>
      </c>
      <c r="BL1913">
        <v>0</v>
      </c>
      <c r="BO1913">
        <v>0</v>
      </c>
      <c r="BP1913">
        <v>0</v>
      </c>
      <c r="BW1913" t="str">
        <f>"20:24:21.537"</f>
        <v>20:24:21.537</v>
      </c>
      <c r="BZ1913">
        <v>0</v>
      </c>
      <c r="CA1913">
        <v>2016</v>
      </c>
      <c r="CB1913">
        <v>224</v>
      </c>
      <c r="CD1913">
        <v>1</v>
      </c>
      <c r="CE1913">
        <v>0</v>
      </c>
      <c r="CF1913">
        <v>0</v>
      </c>
      <c r="CG1913">
        <v>1</v>
      </c>
      <c r="CH1913">
        <v>0</v>
      </c>
      <c r="CI1913">
        <v>0</v>
      </c>
      <c r="CJ1913">
        <v>0</v>
      </c>
      <c r="CK1913">
        <v>2</v>
      </c>
      <c r="CL1913">
        <v>0</v>
      </c>
      <c r="CM1913">
        <v>2</v>
      </c>
      <c r="CN1913">
        <v>0</v>
      </c>
      <c r="CO1913">
        <v>7</v>
      </c>
      <c r="CP1913" t="s">
        <v>119</v>
      </c>
      <c r="CQ1913">
        <v>180</v>
      </c>
      <c r="CR1913">
        <v>2</v>
      </c>
      <c r="CW1913">
        <v>8378828</v>
      </c>
      <c r="CY1913">
        <v>1</v>
      </c>
      <c r="CZ1913">
        <v>0</v>
      </c>
      <c r="DA1913">
        <v>1</v>
      </c>
      <c r="DB1913">
        <v>0</v>
      </c>
      <c r="DC1913">
        <v>0</v>
      </c>
      <c r="DD1913">
        <v>0</v>
      </c>
      <c r="DE1913">
        <v>0</v>
      </c>
      <c r="DF1913">
        <v>0</v>
      </c>
      <c r="DG1913">
        <v>0</v>
      </c>
      <c r="DH1913">
        <v>0</v>
      </c>
      <c r="DI1913">
        <v>0</v>
      </c>
    </row>
    <row r="1914" spans="1:113" x14ac:dyDescent="0.3">
      <c r="A1914" t="str">
        <f>"02/08/2021 20:24:19.242"</f>
        <v>02/08/2021 20:24:19.242</v>
      </c>
      <c r="C1914" t="str">
        <f t="shared" si="93"/>
        <v>FFDFD7C0</v>
      </c>
      <c r="D1914" t="s">
        <v>124</v>
      </c>
      <c r="E1914">
        <v>12</v>
      </c>
      <c r="F1914">
        <v>1012</v>
      </c>
      <c r="G1914" t="s">
        <v>675</v>
      </c>
      <c r="J1914" t="s">
        <v>125</v>
      </c>
      <c r="K1914">
        <v>0</v>
      </c>
      <c r="L1914">
        <v>3</v>
      </c>
      <c r="M1914">
        <v>0</v>
      </c>
      <c r="N1914">
        <v>2</v>
      </c>
      <c r="O1914">
        <v>1</v>
      </c>
      <c r="P1914">
        <v>0</v>
      </c>
      <c r="Q1914">
        <v>0</v>
      </c>
      <c r="S1914" t="str">
        <f>"20:24:21.531"</f>
        <v>20:24:21.531</v>
      </c>
      <c r="T1914" t="str">
        <f>"20:24:21.031"</f>
        <v>20:24:21.031</v>
      </c>
      <c r="U1914" t="str">
        <f t="shared" si="92"/>
        <v>AB01F4</v>
      </c>
      <c r="V1914">
        <v>0</v>
      </c>
      <c r="W1914">
        <v>0</v>
      </c>
      <c r="X1914">
        <v>2</v>
      </c>
      <c r="Z1914">
        <v>0</v>
      </c>
      <c r="AA1914">
        <v>9</v>
      </c>
      <c r="AB1914">
        <v>3</v>
      </c>
      <c r="AC1914">
        <v>0</v>
      </c>
      <c r="AD1914">
        <v>10</v>
      </c>
      <c r="AE1914">
        <v>0</v>
      </c>
      <c r="AF1914">
        <v>3</v>
      </c>
      <c r="AG1914">
        <v>2</v>
      </c>
      <c r="AH1914">
        <v>0</v>
      </c>
      <c r="AI1914" t="s">
        <v>1205</v>
      </c>
      <c r="AJ1914">
        <v>39.916955999999999</v>
      </c>
      <c r="AK1914" t="s">
        <v>1206</v>
      </c>
      <c r="AL1914">
        <v>-92.599511000000007</v>
      </c>
      <c r="AM1914">
        <v>100</v>
      </c>
      <c r="AN1914">
        <v>1700</v>
      </c>
      <c r="AO1914" t="s">
        <v>118</v>
      </c>
      <c r="AP1914">
        <v>-107</v>
      </c>
      <c r="AQ1914">
        <v>76</v>
      </c>
      <c r="AR1914">
        <v>0</v>
      </c>
      <c r="AZ1914">
        <v>1200</v>
      </c>
      <c r="BA1914">
        <v>1</v>
      </c>
      <c r="BB1914" t="str">
        <f t="shared" si="94"/>
        <v xml:space="preserve">N8080G  </v>
      </c>
      <c r="BC1914">
        <v>1</v>
      </c>
      <c r="BE1914">
        <v>0</v>
      </c>
      <c r="BF1914">
        <v>0</v>
      </c>
      <c r="BG1914">
        <v>0</v>
      </c>
      <c r="BH1914">
        <v>1700</v>
      </c>
      <c r="BI1914">
        <v>1</v>
      </c>
      <c r="BJ1914">
        <v>1</v>
      </c>
      <c r="BK1914">
        <v>1</v>
      </c>
      <c r="BL1914">
        <v>0</v>
      </c>
      <c r="BO1914">
        <v>0</v>
      </c>
      <c r="BP1914">
        <v>0</v>
      </c>
      <c r="BW1914" t="str">
        <f>"20:24:21.537"</f>
        <v>20:24:21.537</v>
      </c>
      <c r="BZ1914">
        <v>0</v>
      </c>
      <c r="CA1914">
        <v>2016</v>
      </c>
      <c r="CB1914">
        <v>224</v>
      </c>
      <c r="CD1914">
        <v>1</v>
      </c>
      <c r="CE1914">
        <v>0</v>
      </c>
      <c r="CF1914">
        <v>0</v>
      </c>
      <c r="CG1914">
        <v>1</v>
      </c>
      <c r="CH1914">
        <v>0</v>
      </c>
      <c r="CI1914">
        <v>0</v>
      </c>
      <c r="CJ1914">
        <v>0</v>
      </c>
      <c r="CK1914">
        <v>2</v>
      </c>
      <c r="CL1914">
        <v>0</v>
      </c>
      <c r="CM1914">
        <v>2</v>
      </c>
      <c r="CN1914">
        <v>0</v>
      </c>
      <c r="CO1914">
        <v>7</v>
      </c>
      <c r="CP1914" t="s">
        <v>119</v>
      </c>
      <c r="CQ1914">
        <v>180</v>
      </c>
      <c r="CR1914">
        <v>2</v>
      </c>
      <c r="CW1914">
        <v>8378828</v>
      </c>
      <c r="CY1914">
        <v>1</v>
      </c>
      <c r="CZ1914">
        <v>0</v>
      </c>
      <c r="DA1914">
        <v>1</v>
      </c>
      <c r="DB1914">
        <v>0</v>
      </c>
      <c r="DC1914">
        <v>0</v>
      </c>
      <c r="DD1914">
        <v>0</v>
      </c>
      <c r="DE1914">
        <v>0</v>
      </c>
      <c r="DF1914">
        <v>0</v>
      </c>
      <c r="DG1914">
        <v>0</v>
      </c>
      <c r="DH1914">
        <v>0</v>
      </c>
      <c r="DI1914">
        <v>0</v>
      </c>
    </row>
    <row r="1915" spans="1:113" x14ac:dyDescent="0.3">
      <c r="A1915" t="str">
        <f>"02/08/2021 20:24:20.181"</f>
        <v>02/08/2021 20:24:20.181</v>
      </c>
      <c r="C1915" t="str">
        <f t="shared" si="93"/>
        <v>FFDFD7C0</v>
      </c>
      <c r="D1915" t="s">
        <v>124</v>
      </c>
      <c r="E1915">
        <v>12</v>
      </c>
      <c r="F1915">
        <v>1012</v>
      </c>
      <c r="G1915" t="s">
        <v>675</v>
      </c>
      <c r="J1915" t="s">
        <v>125</v>
      </c>
      <c r="K1915">
        <v>0</v>
      </c>
      <c r="L1915">
        <v>3</v>
      </c>
      <c r="M1915">
        <v>0</v>
      </c>
      <c r="N1915">
        <v>2</v>
      </c>
      <c r="O1915">
        <v>1</v>
      </c>
      <c r="P1915">
        <v>0</v>
      </c>
      <c r="Q1915">
        <v>0</v>
      </c>
      <c r="S1915" t="str">
        <f>"20:24:22.516"</f>
        <v>20:24:22.516</v>
      </c>
      <c r="T1915" t="str">
        <f>"20:24:22.116"</f>
        <v>20:24:22.116</v>
      </c>
      <c r="U1915" t="str">
        <f t="shared" si="92"/>
        <v>AB01F4</v>
      </c>
      <c r="V1915">
        <v>0</v>
      </c>
      <c r="W1915">
        <v>0</v>
      </c>
      <c r="X1915">
        <v>2</v>
      </c>
      <c r="Z1915">
        <v>0</v>
      </c>
      <c r="AA1915">
        <v>9</v>
      </c>
      <c r="AB1915">
        <v>3</v>
      </c>
      <c r="AC1915">
        <v>0</v>
      </c>
      <c r="AD1915">
        <v>10</v>
      </c>
      <c r="AE1915">
        <v>0</v>
      </c>
      <c r="AF1915">
        <v>3</v>
      </c>
      <c r="AG1915">
        <v>2</v>
      </c>
      <c r="AH1915">
        <v>0</v>
      </c>
      <c r="AI1915" t="s">
        <v>1207</v>
      </c>
      <c r="AJ1915">
        <v>39.917234999999998</v>
      </c>
      <c r="AK1915" t="s">
        <v>1208</v>
      </c>
      <c r="AL1915">
        <v>-92.600091000000006</v>
      </c>
      <c r="AM1915">
        <v>100</v>
      </c>
      <c r="AN1915">
        <v>1700</v>
      </c>
      <c r="AO1915" t="s">
        <v>118</v>
      </c>
      <c r="AP1915">
        <v>-107</v>
      </c>
      <c r="AQ1915">
        <v>76</v>
      </c>
      <c r="AR1915">
        <v>0</v>
      </c>
      <c r="AZ1915">
        <v>1200</v>
      </c>
      <c r="BA1915">
        <v>1</v>
      </c>
      <c r="BB1915" t="str">
        <f t="shared" si="94"/>
        <v xml:space="preserve">N8080G  </v>
      </c>
      <c r="BC1915">
        <v>1</v>
      </c>
      <c r="BE1915">
        <v>0</v>
      </c>
      <c r="BF1915">
        <v>0</v>
      </c>
      <c r="BG1915">
        <v>0</v>
      </c>
      <c r="BH1915">
        <v>1700</v>
      </c>
      <c r="BI1915">
        <v>1</v>
      </c>
      <c r="BJ1915">
        <v>1</v>
      </c>
      <c r="BK1915">
        <v>1</v>
      </c>
      <c r="BL1915">
        <v>0</v>
      </c>
      <c r="BO1915">
        <v>0</v>
      </c>
      <c r="BP1915">
        <v>0</v>
      </c>
      <c r="BW1915" t="str">
        <f>"20:24:22.516"</f>
        <v>20:24:22.516</v>
      </c>
      <c r="BZ1915">
        <v>0</v>
      </c>
      <c r="CA1915">
        <v>2016</v>
      </c>
      <c r="CB1915">
        <v>224</v>
      </c>
      <c r="CD1915">
        <v>1</v>
      </c>
      <c r="CE1915">
        <v>0</v>
      </c>
      <c r="CF1915">
        <v>0</v>
      </c>
      <c r="CG1915">
        <v>1</v>
      </c>
      <c r="CH1915">
        <v>0</v>
      </c>
      <c r="CI1915">
        <v>0</v>
      </c>
      <c r="CJ1915">
        <v>0</v>
      </c>
      <c r="CK1915">
        <v>2</v>
      </c>
      <c r="CL1915">
        <v>0</v>
      </c>
      <c r="CM1915">
        <v>2</v>
      </c>
      <c r="CN1915">
        <v>0</v>
      </c>
      <c r="CO1915">
        <v>2</v>
      </c>
      <c r="CP1915" t="s">
        <v>119</v>
      </c>
      <c r="CQ1915">
        <v>179</v>
      </c>
      <c r="CR1915">
        <v>1</v>
      </c>
      <c r="CW1915">
        <v>8813897</v>
      </c>
      <c r="CY1915">
        <v>1</v>
      </c>
      <c r="CZ1915">
        <v>0</v>
      </c>
      <c r="DA1915">
        <v>0</v>
      </c>
      <c r="DB1915">
        <v>0</v>
      </c>
      <c r="DC1915">
        <v>0</v>
      </c>
      <c r="DD1915">
        <v>0</v>
      </c>
      <c r="DE1915">
        <v>0</v>
      </c>
      <c r="DF1915">
        <v>0</v>
      </c>
      <c r="DG1915">
        <v>0</v>
      </c>
      <c r="DH1915">
        <v>0</v>
      </c>
      <c r="DI1915">
        <v>0</v>
      </c>
    </row>
    <row r="1916" spans="1:113" x14ac:dyDescent="0.3">
      <c r="A1916" t="str">
        <f>"02/08/2021 20:24:20.181"</f>
        <v>02/08/2021 20:24:20.181</v>
      </c>
      <c r="C1916" t="str">
        <f t="shared" si="93"/>
        <v>FFDFD7C0</v>
      </c>
      <c r="D1916" t="s">
        <v>113</v>
      </c>
      <c r="E1916">
        <v>6</v>
      </c>
      <c r="H1916">
        <v>165</v>
      </c>
      <c r="I1916" t="s">
        <v>114</v>
      </c>
      <c r="J1916" t="s">
        <v>115</v>
      </c>
      <c r="K1916">
        <v>0</v>
      </c>
      <c r="L1916">
        <v>3</v>
      </c>
      <c r="M1916">
        <v>0</v>
      </c>
      <c r="N1916">
        <v>2</v>
      </c>
      <c r="O1916">
        <v>1</v>
      </c>
      <c r="P1916">
        <v>0</v>
      </c>
      <c r="Q1916">
        <v>0</v>
      </c>
      <c r="S1916" t="str">
        <f>"20:24:22.516"</f>
        <v>20:24:22.516</v>
      </c>
      <c r="T1916" t="str">
        <f>"20:24:22.116"</f>
        <v>20:24:22.116</v>
      </c>
      <c r="U1916" t="str">
        <f t="shared" si="92"/>
        <v>AB01F4</v>
      </c>
      <c r="V1916">
        <v>0</v>
      </c>
      <c r="W1916">
        <v>0</v>
      </c>
      <c r="X1916">
        <v>2</v>
      </c>
      <c r="Z1916">
        <v>0</v>
      </c>
      <c r="AA1916">
        <v>9</v>
      </c>
      <c r="AB1916">
        <v>3</v>
      </c>
      <c r="AC1916">
        <v>0</v>
      </c>
      <c r="AD1916">
        <v>10</v>
      </c>
      <c r="AE1916">
        <v>0</v>
      </c>
      <c r="AF1916">
        <v>3</v>
      </c>
      <c r="AG1916">
        <v>2</v>
      </c>
      <c r="AH1916">
        <v>0</v>
      </c>
      <c r="AI1916" t="s">
        <v>1207</v>
      </c>
      <c r="AJ1916">
        <v>39.917234999999998</v>
      </c>
      <c r="AK1916" t="s">
        <v>1208</v>
      </c>
      <c r="AL1916">
        <v>-92.600091000000006</v>
      </c>
      <c r="AM1916">
        <v>100</v>
      </c>
      <c r="AN1916">
        <v>1700</v>
      </c>
      <c r="AO1916" t="s">
        <v>118</v>
      </c>
      <c r="AP1916">
        <v>-107</v>
      </c>
      <c r="AQ1916">
        <v>76</v>
      </c>
      <c r="AR1916">
        <v>0</v>
      </c>
      <c r="AZ1916">
        <v>1200</v>
      </c>
      <c r="BA1916">
        <v>1</v>
      </c>
      <c r="BB1916" t="str">
        <f t="shared" si="94"/>
        <v xml:space="preserve">N8080G  </v>
      </c>
      <c r="BC1916">
        <v>1</v>
      </c>
      <c r="BE1916">
        <v>0</v>
      </c>
      <c r="BF1916">
        <v>0</v>
      </c>
      <c r="BG1916">
        <v>0</v>
      </c>
      <c r="BH1916">
        <v>1700</v>
      </c>
      <c r="BI1916">
        <v>1</v>
      </c>
      <c r="BJ1916">
        <v>1</v>
      </c>
      <c r="BK1916">
        <v>1</v>
      </c>
      <c r="BL1916">
        <v>0</v>
      </c>
      <c r="BO1916">
        <v>0</v>
      </c>
      <c r="BP1916">
        <v>0</v>
      </c>
      <c r="BW1916" t="str">
        <f>"20:24:22.516"</f>
        <v>20:24:22.516</v>
      </c>
      <c r="BZ1916">
        <v>0</v>
      </c>
      <c r="CA1916">
        <v>2016</v>
      </c>
      <c r="CB1916">
        <v>224</v>
      </c>
      <c r="CD1916">
        <v>1</v>
      </c>
      <c r="CE1916">
        <v>0</v>
      </c>
      <c r="CF1916">
        <v>0</v>
      </c>
      <c r="CG1916">
        <v>1</v>
      </c>
      <c r="CH1916">
        <v>0</v>
      </c>
      <c r="CI1916">
        <v>0</v>
      </c>
      <c r="CJ1916">
        <v>0</v>
      </c>
      <c r="CK1916">
        <v>2</v>
      </c>
      <c r="CL1916">
        <v>0</v>
      </c>
      <c r="CM1916">
        <v>2</v>
      </c>
      <c r="CN1916">
        <v>0</v>
      </c>
      <c r="CO1916">
        <v>2</v>
      </c>
      <c r="CP1916" t="s">
        <v>119</v>
      </c>
      <c r="CQ1916">
        <v>179</v>
      </c>
      <c r="CR1916">
        <v>1</v>
      </c>
      <c r="CW1916">
        <v>8813897</v>
      </c>
      <c r="CY1916">
        <v>1</v>
      </c>
      <c r="CZ1916">
        <v>0</v>
      </c>
      <c r="DA1916">
        <v>1</v>
      </c>
      <c r="DB1916">
        <v>0</v>
      </c>
      <c r="DC1916">
        <v>0</v>
      </c>
      <c r="DD1916">
        <v>0</v>
      </c>
      <c r="DE1916">
        <v>0</v>
      </c>
      <c r="DF1916">
        <v>0</v>
      </c>
      <c r="DG1916">
        <v>0</v>
      </c>
      <c r="DH1916">
        <v>0</v>
      </c>
      <c r="DI1916">
        <v>0</v>
      </c>
    </row>
    <row r="1917" spans="1:113" x14ac:dyDescent="0.3">
      <c r="A1917" t="str">
        <f>"02/08/2021 20:24:20.181"</f>
        <v>02/08/2021 20:24:20.181</v>
      </c>
      <c r="C1917" t="str">
        <f t="shared" si="93"/>
        <v>FFDFD7C0</v>
      </c>
      <c r="D1917" t="s">
        <v>124</v>
      </c>
      <c r="E1917">
        <v>13</v>
      </c>
      <c r="F1917">
        <v>1013</v>
      </c>
      <c r="G1917" t="s">
        <v>114</v>
      </c>
      <c r="J1917" t="s">
        <v>125</v>
      </c>
      <c r="K1917">
        <v>0</v>
      </c>
      <c r="L1917">
        <v>3</v>
      </c>
      <c r="M1917">
        <v>0</v>
      </c>
      <c r="N1917">
        <v>2</v>
      </c>
      <c r="O1917">
        <v>1</v>
      </c>
      <c r="P1917">
        <v>0</v>
      </c>
      <c r="Q1917">
        <v>0</v>
      </c>
      <c r="S1917" t="str">
        <f>"20:24:22.516"</f>
        <v>20:24:22.516</v>
      </c>
      <c r="T1917" t="str">
        <f>"20:24:22.116"</f>
        <v>20:24:22.116</v>
      </c>
      <c r="U1917" t="str">
        <f t="shared" si="92"/>
        <v>AB01F4</v>
      </c>
      <c r="V1917">
        <v>0</v>
      </c>
      <c r="W1917">
        <v>0</v>
      </c>
      <c r="X1917">
        <v>2</v>
      </c>
      <c r="Z1917">
        <v>0</v>
      </c>
      <c r="AA1917">
        <v>9</v>
      </c>
      <c r="AB1917">
        <v>3</v>
      </c>
      <c r="AC1917">
        <v>0</v>
      </c>
      <c r="AD1917">
        <v>10</v>
      </c>
      <c r="AE1917">
        <v>0</v>
      </c>
      <c r="AF1917">
        <v>3</v>
      </c>
      <c r="AG1917">
        <v>2</v>
      </c>
      <c r="AH1917">
        <v>0</v>
      </c>
      <c r="AI1917" t="s">
        <v>1207</v>
      </c>
      <c r="AJ1917">
        <v>39.917234999999998</v>
      </c>
      <c r="AK1917" t="s">
        <v>1208</v>
      </c>
      <c r="AL1917">
        <v>-92.600091000000006</v>
      </c>
      <c r="AM1917">
        <v>100</v>
      </c>
      <c r="AN1917">
        <v>1700</v>
      </c>
      <c r="AO1917" t="s">
        <v>118</v>
      </c>
      <c r="AP1917">
        <v>-107</v>
      </c>
      <c r="AQ1917">
        <v>76</v>
      </c>
      <c r="AR1917">
        <v>0</v>
      </c>
      <c r="AZ1917">
        <v>1200</v>
      </c>
      <c r="BA1917">
        <v>1</v>
      </c>
      <c r="BB1917" t="str">
        <f t="shared" si="94"/>
        <v xml:space="preserve">N8080G  </v>
      </c>
      <c r="BC1917">
        <v>1</v>
      </c>
      <c r="BE1917">
        <v>0</v>
      </c>
      <c r="BF1917">
        <v>0</v>
      </c>
      <c r="BG1917">
        <v>0</v>
      </c>
      <c r="BH1917">
        <v>1700</v>
      </c>
      <c r="BI1917">
        <v>1</v>
      </c>
      <c r="BJ1917">
        <v>1</v>
      </c>
      <c r="BK1917">
        <v>1</v>
      </c>
      <c r="BL1917">
        <v>0</v>
      </c>
      <c r="BO1917">
        <v>0</v>
      </c>
      <c r="BP1917">
        <v>0</v>
      </c>
      <c r="BW1917" t="str">
        <f>"20:24:22.516"</f>
        <v>20:24:22.516</v>
      </c>
      <c r="BZ1917">
        <v>0</v>
      </c>
      <c r="CA1917">
        <v>2016</v>
      </c>
      <c r="CB1917">
        <v>224</v>
      </c>
      <c r="CD1917">
        <v>1</v>
      </c>
      <c r="CE1917">
        <v>0</v>
      </c>
      <c r="CF1917">
        <v>0</v>
      </c>
      <c r="CG1917">
        <v>1</v>
      </c>
      <c r="CH1917">
        <v>0</v>
      </c>
      <c r="CI1917">
        <v>0</v>
      </c>
      <c r="CJ1917">
        <v>0</v>
      </c>
      <c r="CK1917">
        <v>2</v>
      </c>
      <c r="CL1917">
        <v>0</v>
      </c>
      <c r="CM1917">
        <v>2</v>
      </c>
      <c r="CN1917">
        <v>0</v>
      </c>
      <c r="CO1917">
        <v>2</v>
      </c>
      <c r="CP1917" t="s">
        <v>119</v>
      </c>
      <c r="CQ1917">
        <v>179</v>
      </c>
      <c r="CR1917">
        <v>1</v>
      </c>
      <c r="CW1917">
        <v>8813897</v>
      </c>
      <c r="CY1917">
        <v>1</v>
      </c>
      <c r="CZ1917">
        <v>0</v>
      </c>
      <c r="DA1917">
        <v>1</v>
      </c>
      <c r="DB1917">
        <v>0</v>
      </c>
      <c r="DC1917">
        <v>0</v>
      </c>
      <c r="DD1917">
        <v>0</v>
      </c>
      <c r="DE1917">
        <v>0</v>
      </c>
      <c r="DF1917">
        <v>0</v>
      </c>
      <c r="DG1917">
        <v>0</v>
      </c>
      <c r="DH1917">
        <v>0</v>
      </c>
      <c r="DI1917">
        <v>0</v>
      </c>
    </row>
    <row r="1918" spans="1:113" x14ac:dyDescent="0.3">
      <c r="A1918" t="str">
        <f>"02/08/2021 20:24:20.181"</f>
        <v>02/08/2021 20:24:20.181</v>
      </c>
      <c r="C1918" t="str">
        <f t="shared" si="93"/>
        <v>FFDFD7C0</v>
      </c>
      <c r="D1918" t="s">
        <v>124</v>
      </c>
      <c r="E1918">
        <v>11</v>
      </c>
      <c r="F1918">
        <v>1011</v>
      </c>
      <c r="G1918" t="s">
        <v>590</v>
      </c>
      <c r="J1918" t="s">
        <v>125</v>
      </c>
      <c r="K1918">
        <v>0</v>
      </c>
      <c r="L1918">
        <v>3</v>
      </c>
      <c r="M1918">
        <v>0</v>
      </c>
      <c r="N1918">
        <v>2</v>
      </c>
      <c r="O1918">
        <v>1</v>
      </c>
      <c r="P1918">
        <v>0</v>
      </c>
      <c r="Q1918">
        <v>0</v>
      </c>
      <c r="S1918" t="str">
        <f>"20:24:22.516"</f>
        <v>20:24:22.516</v>
      </c>
      <c r="T1918" t="str">
        <f>"20:24:22.116"</f>
        <v>20:24:22.116</v>
      </c>
      <c r="U1918" t="str">
        <f t="shared" si="92"/>
        <v>AB01F4</v>
      </c>
      <c r="V1918">
        <v>0</v>
      </c>
      <c r="W1918">
        <v>0</v>
      </c>
      <c r="X1918">
        <v>2</v>
      </c>
      <c r="Z1918">
        <v>0</v>
      </c>
      <c r="AA1918">
        <v>9</v>
      </c>
      <c r="AB1918">
        <v>3</v>
      </c>
      <c r="AC1918">
        <v>0</v>
      </c>
      <c r="AD1918">
        <v>10</v>
      </c>
      <c r="AE1918">
        <v>0</v>
      </c>
      <c r="AF1918">
        <v>3</v>
      </c>
      <c r="AG1918">
        <v>2</v>
      </c>
      <c r="AH1918">
        <v>0</v>
      </c>
      <c r="AI1918" t="s">
        <v>1207</v>
      </c>
      <c r="AJ1918">
        <v>39.917234999999998</v>
      </c>
      <c r="AK1918" t="s">
        <v>1208</v>
      </c>
      <c r="AL1918">
        <v>-92.600091000000006</v>
      </c>
      <c r="AM1918">
        <v>100</v>
      </c>
      <c r="AN1918">
        <v>1700</v>
      </c>
      <c r="AO1918" t="s">
        <v>118</v>
      </c>
      <c r="AP1918">
        <v>-107</v>
      </c>
      <c r="AQ1918">
        <v>76</v>
      </c>
      <c r="AR1918">
        <v>0</v>
      </c>
      <c r="AZ1918">
        <v>1200</v>
      </c>
      <c r="BA1918">
        <v>1</v>
      </c>
      <c r="BB1918" t="str">
        <f t="shared" si="94"/>
        <v xml:space="preserve">N8080G  </v>
      </c>
      <c r="BC1918">
        <v>1</v>
      </c>
      <c r="BE1918">
        <v>0</v>
      </c>
      <c r="BF1918">
        <v>0</v>
      </c>
      <c r="BG1918">
        <v>0</v>
      </c>
      <c r="BH1918">
        <v>1700</v>
      </c>
      <c r="BI1918">
        <v>1</v>
      </c>
      <c r="BJ1918">
        <v>1</v>
      </c>
      <c r="BK1918">
        <v>1</v>
      </c>
      <c r="BL1918">
        <v>0</v>
      </c>
      <c r="BO1918">
        <v>0</v>
      </c>
      <c r="BP1918">
        <v>0</v>
      </c>
      <c r="BW1918" t="str">
        <f>"20:24:22.516"</f>
        <v>20:24:22.516</v>
      </c>
      <c r="BZ1918">
        <v>0</v>
      </c>
      <c r="CA1918">
        <v>2016</v>
      </c>
      <c r="CB1918">
        <v>224</v>
      </c>
      <c r="CD1918">
        <v>1</v>
      </c>
      <c r="CE1918">
        <v>0</v>
      </c>
      <c r="CF1918">
        <v>0</v>
      </c>
      <c r="CG1918">
        <v>1</v>
      </c>
      <c r="CH1918">
        <v>0</v>
      </c>
      <c r="CI1918">
        <v>0</v>
      </c>
      <c r="CJ1918">
        <v>0</v>
      </c>
      <c r="CK1918">
        <v>2</v>
      </c>
      <c r="CL1918">
        <v>0</v>
      </c>
      <c r="CM1918">
        <v>2</v>
      </c>
      <c r="CN1918">
        <v>0</v>
      </c>
      <c r="CO1918">
        <v>2</v>
      </c>
      <c r="CP1918" t="s">
        <v>119</v>
      </c>
      <c r="CQ1918">
        <v>179</v>
      </c>
      <c r="CR1918">
        <v>1</v>
      </c>
      <c r="CW1918">
        <v>8813897</v>
      </c>
      <c r="CY1918">
        <v>1</v>
      </c>
      <c r="CZ1918">
        <v>0</v>
      </c>
      <c r="DA1918">
        <v>1</v>
      </c>
      <c r="DB1918">
        <v>0</v>
      </c>
      <c r="DC1918">
        <v>0</v>
      </c>
      <c r="DD1918">
        <v>0</v>
      </c>
      <c r="DE1918">
        <v>0</v>
      </c>
      <c r="DF1918">
        <v>0</v>
      </c>
      <c r="DG1918">
        <v>0</v>
      </c>
      <c r="DH1918">
        <v>0</v>
      </c>
      <c r="DI1918">
        <v>0</v>
      </c>
    </row>
    <row r="1919" spans="1:113" x14ac:dyDescent="0.3">
      <c r="A1919" t="str">
        <f>"02/08/2021 20:24:21.315"</f>
        <v>02/08/2021 20:24:21.315</v>
      </c>
      <c r="C1919" t="str">
        <f t="shared" si="93"/>
        <v>FFDFD7C0</v>
      </c>
      <c r="D1919" t="s">
        <v>113</v>
      </c>
      <c r="E1919">
        <v>6</v>
      </c>
      <c r="H1919">
        <v>165</v>
      </c>
      <c r="I1919" t="s">
        <v>114</v>
      </c>
      <c r="J1919" t="s">
        <v>115</v>
      </c>
      <c r="K1919">
        <v>0</v>
      </c>
      <c r="L1919">
        <v>3</v>
      </c>
      <c r="M1919">
        <v>0</v>
      </c>
      <c r="N1919">
        <v>2</v>
      </c>
      <c r="O1919">
        <v>1</v>
      </c>
      <c r="P1919">
        <v>0</v>
      </c>
      <c r="Q1919">
        <v>0</v>
      </c>
      <c r="S1919" t="str">
        <f>"20:24:23.617"</f>
        <v>20:24:23.617</v>
      </c>
      <c r="T1919" t="str">
        <f>"20:24:23.117"</f>
        <v>20:24:23.117</v>
      </c>
      <c r="U1919" t="str">
        <f t="shared" si="92"/>
        <v>AB01F4</v>
      </c>
      <c r="V1919">
        <v>0</v>
      </c>
      <c r="W1919">
        <v>0</v>
      </c>
      <c r="X1919">
        <v>2</v>
      </c>
      <c r="Z1919">
        <v>0</v>
      </c>
      <c r="AA1919">
        <v>9</v>
      </c>
      <c r="AB1919">
        <v>3</v>
      </c>
      <c r="AC1919">
        <v>0</v>
      </c>
      <c r="AD1919">
        <v>10</v>
      </c>
      <c r="AE1919">
        <v>0</v>
      </c>
      <c r="AF1919">
        <v>3</v>
      </c>
      <c r="AG1919">
        <v>2</v>
      </c>
      <c r="AH1919">
        <v>0</v>
      </c>
      <c r="AI1919" t="s">
        <v>1209</v>
      </c>
      <c r="AJ1919">
        <v>39.917665</v>
      </c>
      <c r="AK1919" t="s">
        <v>1210</v>
      </c>
      <c r="AL1919">
        <v>-92.600883999999994</v>
      </c>
      <c r="AM1919">
        <v>100</v>
      </c>
      <c r="AN1919">
        <v>1700</v>
      </c>
      <c r="AO1919" t="s">
        <v>118</v>
      </c>
      <c r="AP1919">
        <v>-107</v>
      </c>
      <c r="AQ1919">
        <v>76</v>
      </c>
      <c r="AR1919">
        <v>-64</v>
      </c>
      <c r="AZ1919">
        <v>1200</v>
      </c>
      <c r="BA1919">
        <v>1</v>
      </c>
      <c r="BB1919" t="str">
        <f t="shared" si="94"/>
        <v xml:space="preserve">N8080G  </v>
      </c>
      <c r="BC1919">
        <v>1</v>
      </c>
      <c r="BE1919">
        <v>0</v>
      </c>
      <c r="BF1919">
        <v>0</v>
      </c>
      <c r="BG1919">
        <v>0</v>
      </c>
      <c r="BH1919">
        <v>1700</v>
      </c>
      <c r="BI1919">
        <v>1</v>
      </c>
      <c r="BJ1919">
        <v>1</v>
      </c>
      <c r="BK1919">
        <v>1</v>
      </c>
      <c r="BL1919">
        <v>0</v>
      </c>
      <c r="BO1919">
        <v>0</v>
      </c>
      <c r="BP1919">
        <v>0</v>
      </c>
      <c r="BW1919" t="str">
        <f>"20:24:23.623"</f>
        <v>20:24:23.623</v>
      </c>
      <c r="BZ1919">
        <v>0</v>
      </c>
      <c r="CA1919">
        <v>2016</v>
      </c>
      <c r="CB1919">
        <v>224</v>
      </c>
      <c r="CD1919">
        <v>1</v>
      </c>
      <c r="CE1919">
        <v>0</v>
      </c>
      <c r="CF1919">
        <v>0</v>
      </c>
      <c r="CG1919">
        <v>1</v>
      </c>
      <c r="CH1919">
        <v>0</v>
      </c>
      <c r="CI1919">
        <v>0</v>
      </c>
      <c r="CJ1919">
        <v>0</v>
      </c>
      <c r="CK1919">
        <v>2</v>
      </c>
      <c r="CL1919">
        <v>0</v>
      </c>
      <c r="CM1919">
        <v>2</v>
      </c>
      <c r="CN1919">
        <v>0</v>
      </c>
      <c r="CO1919">
        <v>1</v>
      </c>
      <c r="CP1919" t="s">
        <v>119</v>
      </c>
      <c r="CQ1919">
        <v>179</v>
      </c>
      <c r="CR1919">
        <v>1</v>
      </c>
      <c r="CW1919">
        <v>8814974</v>
      </c>
      <c r="CY1919">
        <v>1</v>
      </c>
      <c r="CZ1919">
        <v>0</v>
      </c>
      <c r="DA1919">
        <v>0</v>
      </c>
      <c r="DB1919">
        <v>0</v>
      </c>
      <c r="DC1919">
        <v>0</v>
      </c>
      <c r="DD1919">
        <v>0</v>
      </c>
      <c r="DE1919">
        <v>0</v>
      </c>
      <c r="DF1919">
        <v>0</v>
      </c>
      <c r="DG1919">
        <v>0</v>
      </c>
      <c r="DH1919">
        <v>0</v>
      </c>
      <c r="DI1919">
        <v>0</v>
      </c>
    </row>
    <row r="1920" spans="1:113" x14ac:dyDescent="0.3">
      <c r="A1920" t="str">
        <f>"02/08/2021 20:24:21.315"</f>
        <v>02/08/2021 20:24:21.315</v>
      </c>
      <c r="C1920" t="str">
        <f t="shared" si="93"/>
        <v>FFDFD7C0</v>
      </c>
      <c r="D1920" t="s">
        <v>124</v>
      </c>
      <c r="E1920">
        <v>13</v>
      </c>
      <c r="F1920">
        <v>1013</v>
      </c>
      <c r="G1920" t="s">
        <v>114</v>
      </c>
      <c r="J1920" t="s">
        <v>125</v>
      </c>
      <c r="K1920">
        <v>0</v>
      </c>
      <c r="L1920">
        <v>3</v>
      </c>
      <c r="M1920">
        <v>0</v>
      </c>
      <c r="N1920">
        <v>2</v>
      </c>
      <c r="O1920">
        <v>1</v>
      </c>
      <c r="P1920">
        <v>0</v>
      </c>
      <c r="Q1920">
        <v>0</v>
      </c>
      <c r="S1920" t="str">
        <f>"20:24:23.617"</f>
        <v>20:24:23.617</v>
      </c>
      <c r="T1920" t="str">
        <f>"20:24:23.117"</f>
        <v>20:24:23.117</v>
      </c>
      <c r="U1920" t="str">
        <f t="shared" si="92"/>
        <v>AB01F4</v>
      </c>
      <c r="V1920">
        <v>0</v>
      </c>
      <c r="W1920">
        <v>0</v>
      </c>
      <c r="X1920">
        <v>2</v>
      </c>
      <c r="Z1920">
        <v>0</v>
      </c>
      <c r="AA1920">
        <v>9</v>
      </c>
      <c r="AB1920">
        <v>3</v>
      </c>
      <c r="AC1920">
        <v>0</v>
      </c>
      <c r="AD1920">
        <v>10</v>
      </c>
      <c r="AE1920">
        <v>0</v>
      </c>
      <c r="AF1920">
        <v>3</v>
      </c>
      <c r="AG1920">
        <v>2</v>
      </c>
      <c r="AH1920">
        <v>0</v>
      </c>
      <c r="AI1920" t="s">
        <v>1209</v>
      </c>
      <c r="AJ1920">
        <v>39.917665</v>
      </c>
      <c r="AK1920" t="s">
        <v>1210</v>
      </c>
      <c r="AL1920">
        <v>-92.600883999999994</v>
      </c>
      <c r="AM1920">
        <v>100</v>
      </c>
      <c r="AN1920">
        <v>1700</v>
      </c>
      <c r="AO1920" t="s">
        <v>118</v>
      </c>
      <c r="AP1920">
        <v>-107</v>
      </c>
      <c r="AQ1920">
        <v>76</v>
      </c>
      <c r="AR1920">
        <v>-64</v>
      </c>
      <c r="AZ1920">
        <v>1200</v>
      </c>
      <c r="BA1920">
        <v>1</v>
      </c>
      <c r="BB1920" t="str">
        <f t="shared" si="94"/>
        <v xml:space="preserve">N8080G  </v>
      </c>
      <c r="BC1920">
        <v>1</v>
      </c>
      <c r="BE1920">
        <v>0</v>
      </c>
      <c r="BF1920">
        <v>0</v>
      </c>
      <c r="BG1920">
        <v>0</v>
      </c>
      <c r="BH1920">
        <v>1700</v>
      </c>
      <c r="BI1920">
        <v>1</v>
      </c>
      <c r="BJ1920">
        <v>1</v>
      </c>
      <c r="BK1920">
        <v>1</v>
      </c>
      <c r="BL1920">
        <v>0</v>
      </c>
      <c r="BO1920">
        <v>0</v>
      </c>
      <c r="BP1920">
        <v>0</v>
      </c>
      <c r="BW1920" t="str">
        <f>"20:24:23.623"</f>
        <v>20:24:23.623</v>
      </c>
      <c r="BZ1920">
        <v>0</v>
      </c>
      <c r="CA1920">
        <v>2016</v>
      </c>
      <c r="CB1920">
        <v>224</v>
      </c>
      <c r="CD1920">
        <v>1</v>
      </c>
      <c r="CE1920">
        <v>0</v>
      </c>
      <c r="CF1920">
        <v>0</v>
      </c>
      <c r="CG1920">
        <v>1</v>
      </c>
      <c r="CH1920">
        <v>0</v>
      </c>
      <c r="CI1920">
        <v>0</v>
      </c>
      <c r="CJ1920">
        <v>0</v>
      </c>
      <c r="CK1920">
        <v>2</v>
      </c>
      <c r="CL1920">
        <v>0</v>
      </c>
      <c r="CM1920">
        <v>2</v>
      </c>
      <c r="CN1920">
        <v>0</v>
      </c>
      <c r="CO1920">
        <v>1</v>
      </c>
      <c r="CP1920" t="s">
        <v>119</v>
      </c>
      <c r="CQ1920">
        <v>179</v>
      </c>
      <c r="CR1920">
        <v>1</v>
      </c>
      <c r="CW1920">
        <v>8814974</v>
      </c>
      <c r="CY1920">
        <v>1</v>
      </c>
      <c r="CZ1920">
        <v>0</v>
      </c>
      <c r="DA1920">
        <v>1</v>
      </c>
      <c r="DB1920">
        <v>0</v>
      </c>
      <c r="DC1920">
        <v>0</v>
      </c>
      <c r="DD1920">
        <v>0</v>
      </c>
      <c r="DE1920">
        <v>0</v>
      </c>
      <c r="DF1920">
        <v>0</v>
      </c>
      <c r="DG1920">
        <v>0</v>
      </c>
      <c r="DH1920">
        <v>0</v>
      </c>
      <c r="DI1920">
        <v>0</v>
      </c>
    </row>
    <row r="1921" spans="1:113" x14ac:dyDescent="0.3">
      <c r="A1921" t="str">
        <f>"02/08/2021 20:24:21.315"</f>
        <v>02/08/2021 20:24:21.315</v>
      </c>
      <c r="C1921" t="str">
        <f t="shared" si="93"/>
        <v>FFDFD7C0</v>
      </c>
      <c r="D1921" t="s">
        <v>124</v>
      </c>
      <c r="E1921">
        <v>11</v>
      </c>
      <c r="F1921">
        <v>1011</v>
      </c>
      <c r="G1921" t="s">
        <v>590</v>
      </c>
      <c r="J1921" t="s">
        <v>125</v>
      </c>
      <c r="K1921">
        <v>0</v>
      </c>
      <c r="L1921">
        <v>3</v>
      </c>
      <c r="M1921">
        <v>0</v>
      </c>
      <c r="N1921">
        <v>2</v>
      </c>
      <c r="O1921">
        <v>1</v>
      </c>
      <c r="P1921">
        <v>0</v>
      </c>
      <c r="Q1921">
        <v>0</v>
      </c>
      <c r="S1921" t="str">
        <f>"20:24:23.617"</f>
        <v>20:24:23.617</v>
      </c>
      <c r="T1921" t="str">
        <f>"20:24:23.117"</f>
        <v>20:24:23.117</v>
      </c>
      <c r="U1921" t="str">
        <f t="shared" si="92"/>
        <v>AB01F4</v>
      </c>
      <c r="V1921">
        <v>0</v>
      </c>
      <c r="W1921">
        <v>0</v>
      </c>
      <c r="X1921">
        <v>2</v>
      </c>
      <c r="Z1921">
        <v>0</v>
      </c>
      <c r="AA1921">
        <v>9</v>
      </c>
      <c r="AB1921">
        <v>3</v>
      </c>
      <c r="AC1921">
        <v>0</v>
      </c>
      <c r="AD1921">
        <v>10</v>
      </c>
      <c r="AE1921">
        <v>0</v>
      </c>
      <c r="AF1921">
        <v>3</v>
      </c>
      <c r="AG1921">
        <v>2</v>
      </c>
      <c r="AH1921">
        <v>0</v>
      </c>
      <c r="AI1921" t="s">
        <v>1209</v>
      </c>
      <c r="AJ1921">
        <v>39.917665</v>
      </c>
      <c r="AK1921" t="s">
        <v>1210</v>
      </c>
      <c r="AL1921">
        <v>-92.600883999999994</v>
      </c>
      <c r="AM1921">
        <v>100</v>
      </c>
      <c r="AN1921">
        <v>1700</v>
      </c>
      <c r="AO1921" t="s">
        <v>118</v>
      </c>
      <c r="AP1921">
        <v>-107</v>
      </c>
      <c r="AQ1921">
        <v>76</v>
      </c>
      <c r="AR1921">
        <v>-64</v>
      </c>
      <c r="AZ1921">
        <v>1200</v>
      </c>
      <c r="BA1921">
        <v>1</v>
      </c>
      <c r="BB1921" t="str">
        <f t="shared" si="94"/>
        <v xml:space="preserve">N8080G  </v>
      </c>
      <c r="BC1921">
        <v>1</v>
      </c>
      <c r="BE1921">
        <v>0</v>
      </c>
      <c r="BF1921">
        <v>0</v>
      </c>
      <c r="BG1921">
        <v>0</v>
      </c>
      <c r="BH1921">
        <v>1700</v>
      </c>
      <c r="BI1921">
        <v>1</v>
      </c>
      <c r="BJ1921">
        <v>1</v>
      </c>
      <c r="BK1921">
        <v>1</v>
      </c>
      <c r="BL1921">
        <v>0</v>
      </c>
      <c r="BO1921">
        <v>0</v>
      </c>
      <c r="BP1921">
        <v>0</v>
      </c>
      <c r="BW1921" t="str">
        <f>"20:24:23.623"</f>
        <v>20:24:23.623</v>
      </c>
      <c r="BZ1921">
        <v>0</v>
      </c>
      <c r="CA1921">
        <v>2016</v>
      </c>
      <c r="CB1921">
        <v>224</v>
      </c>
      <c r="CD1921">
        <v>1</v>
      </c>
      <c r="CE1921">
        <v>0</v>
      </c>
      <c r="CF1921">
        <v>0</v>
      </c>
      <c r="CG1921">
        <v>1</v>
      </c>
      <c r="CH1921">
        <v>0</v>
      </c>
      <c r="CI1921">
        <v>0</v>
      </c>
      <c r="CJ1921">
        <v>0</v>
      </c>
      <c r="CK1921">
        <v>2</v>
      </c>
      <c r="CL1921">
        <v>0</v>
      </c>
      <c r="CM1921">
        <v>2</v>
      </c>
      <c r="CN1921">
        <v>0</v>
      </c>
      <c r="CO1921">
        <v>1</v>
      </c>
      <c r="CP1921" t="s">
        <v>119</v>
      </c>
      <c r="CQ1921">
        <v>179</v>
      </c>
      <c r="CR1921">
        <v>1</v>
      </c>
      <c r="CW1921">
        <v>8814974</v>
      </c>
      <c r="CY1921">
        <v>1</v>
      </c>
      <c r="CZ1921">
        <v>0</v>
      </c>
      <c r="DA1921">
        <v>1</v>
      </c>
      <c r="DB1921">
        <v>0</v>
      </c>
      <c r="DC1921">
        <v>0</v>
      </c>
      <c r="DD1921">
        <v>0</v>
      </c>
      <c r="DE1921">
        <v>0</v>
      </c>
      <c r="DF1921">
        <v>0</v>
      </c>
      <c r="DG1921">
        <v>0</v>
      </c>
      <c r="DH1921">
        <v>0</v>
      </c>
      <c r="DI1921">
        <v>0</v>
      </c>
    </row>
    <row r="1922" spans="1:113" x14ac:dyDescent="0.3">
      <c r="A1922" t="str">
        <f>"02/08/2021 20:24:21.315"</f>
        <v>02/08/2021 20:24:21.315</v>
      </c>
      <c r="C1922" t="str">
        <f t="shared" si="93"/>
        <v>FFDFD7C0</v>
      </c>
      <c r="D1922" t="s">
        <v>124</v>
      </c>
      <c r="E1922">
        <v>12</v>
      </c>
      <c r="F1922">
        <v>1012</v>
      </c>
      <c r="G1922" t="s">
        <v>675</v>
      </c>
      <c r="J1922" t="s">
        <v>125</v>
      </c>
      <c r="K1922">
        <v>0</v>
      </c>
      <c r="L1922">
        <v>3</v>
      </c>
      <c r="M1922">
        <v>0</v>
      </c>
      <c r="N1922">
        <v>2</v>
      </c>
      <c r="O1922">
        <v>1</v>
      </c>
      <c r="P1922">
        <v>0</v>
      </c>
      <c r="Q1922">
        <v>0</v>
      </c>
      <c r="S1922" t="str">
        <f>"20:24:23.617"</f>
        <v>20:24:23.617</v>
      </c>
      <c r="T1922" t="str">
        <f>"20:24:23.117"</f>
        <v>20:24:23.117</v>
      </c>
      <c r="U1922" t="str">
        <f t="shared" ref="U1922:U1985" si="95">"AB01F4"</f>
        <v>AB01F4</v>
      </c>
      <c r="V1922">
        <v>0</v>
      </c>
      <c r="W1922">
        <v>0</v>
      </c>
      <c r="X1922">
        <v>2</v>
      </c>
      <c r="Z1922">
        <v>0</v>
      </c>
      <c r="AA1922">
        <v>9</v>
      </c>
      <c r="AB1922">
        <v>3</v>
      </c>
      <c r="AC1922">
        <v>0</v>
      </c>
      <c r="AD1922">
        <v>10</v>
      </c>
      <c r="AE1922">
        <v>0</v>
      </c>
      <c r="AF1922">
        <v>3</v>
      </c>
      <c r="AG1922">
        <v>2</v>
      </c>
      <c r="AH1922">
        <v>0</v>
      </c>
      <c r="AI1922" t="s">
        <v>1209</v>
      </c>
      <c r="AJ1922">
        <v>39.917665</v>
      </c>
      <c r="AK1922" t="s">
        <v>1210</v>
      </c>
      <c r="AL1922">
        <v>-92.600883999999994</v>
      </c>
      <c r="AM1922">
        <v>100</v>
      </c>
      <c r="AN1922">
        <v>1700</v>
      </c>
      <c r="AO1922" t="s">
        <v>118</v>
      </c>
      <c r="AP1922">
        <v>-107</v>
      </c>
      <c r="AQ1922">
        <v>76</v>
      </c>
      <c r="AR1922">
        <v>-64</v>
      </c>
      <c r="AZ1922">
        <v>1200</v>
      </c>
      <c r="BA1922">
        <v>1</v>
      </c>
      <c r="BB1922" t="str">
        <f t="shared" si="94"/>
        <v xml:space="preserve">N8080G  </v>
      </c>
      <c r="BC1922">
        <v>1</v>
      </c>
      <c r="BE1922">
        <v>0</v>
      </c>
      <c r="BF1922">
        <v>0</v>
      </c>
      <c r="BG1922">
        <v>0</v>
      </c>
      <c r="BH1922">
        <v>1700</v>
      </c>
      <c r="BI1922">
        <v>1</v>
      </c>
      <c r="BJ1922">
        <v>1</v>
      </c>
      <c r="BK1922">
        <v>1</v>
      </c>
      <c r="BL1922">
        <v>0</v>
      </c>
      <c r="BO1922">
        <v>0</v>
      </c>
      <c r="BP1922">
        <v>0</v>
      </c>
      <c r="BW1922" t="str">
        <f>"20:24:23.623"</f>
        <v>20:24:23.623</v>
      </c>
      <c r="BZ1922">
        <v>0</v>
      </c>
      <c r="CA1922">
        <v>2016</v>
      </c>
      <c r="CB1922">
        <v>224</v>
      </c>
      <c r="CD1922">
        <v>1</v>
      </c>
      <c r="CE1922">
        <v>0</v>
      </c>
      <c r="CF1922">
        <v>0</v>
      </c>
      <c r="CG1922">
        <v>1</v>
      </c>
      <c r="CH1922">
        <v>0</v>
      </c>
      <c r="CI1922">
        <v>0</v>
      </c>
      <c r="CJ1922">
        <v>0</v>
      </c>
      <c r="CK1922">
        <v>2</v>
      </c>
      <c r="CL1922">
        <v>0</v>
      </c>
      <c r="CM1922">
        <v>2</v>
      </c>
      <c r="CN1922">
        <v>0</v>
      </c>
      <c r="CO1922">
        <v>1</v>
      </c>
      <c r="CP1922" t="s">
        <v>119</v>
      </c>
      <c r="CQ1922">
        <v>179</v>
      </c>
      <c r="CR1922">
        <v>1</v>
      </c>
      <c r="CW1922">
        <v>8814974</v>
      </c>
      <c r="CY1922">
        <v>1</v>
      </c>
      <c r="CZ1922">
        <v>0</v>
      </c>
      <c r="DA1922">
        <v>1</v>
      </c>
      <c r="DB1922">
        <v>0</v>
      </c>
      <c r="DC1922">
        <v>0</v>
      </c>
      <c r="DD1922">
        <v>0</v>
      </c>
      <c r="DE1922">
        <v>0</v>
      </c>
      <c r="DF1922">
        <v>0</v>
      </c>
      <c r="DG1922">
        <v>0</v>
      </c>
      <c r="DH1922">
        <v>0</v>
      </c>
      <c r="DI1922">
        <v>0</v>
      </c>
    </row>
    <row r="1923" spans="1:113" x14ac:dyDescent="0.3">
      <c r="A1923" t="str">
        <f>"02/08/2021 20:24:22.173"</f>
        <v>02/08/2021 20:24:22.173</v>
      </c>
      <c r="C1923" t="str">
        <f t="shared" si="93"/>
        <v>FFDFD7C0</v>
      </c>
      <c r="D1923" t="s">
        <v>113</v>
      </c>
      <c r="E1923">
        <v>6</v>
      </c>
      <c r="H1923">
        <v>165</v>
      </c>
      <c r="I1923" t="s">
        <v>114</v>
      </c>
      <c r="J1923" t="s">
        <v>115</v>
      </c>
      <c r="K1923">
        <v>0</v>
      </c>
      <c r="L1923">
        <v>3</v>
      </c>
      <c r="M1923">
        <v>0</v>
      </c>
      <c r="N1923">
        <v>2</v>
      </c>
      <c r="O1923">
        <v>1</v>
      </c>
      <c r="P1923">
        <v>0</v>
      </c>
      <c r="Q1923">
        <v>0</v>
      </c>
      <c r="S1923" t="str">
        <f>"20:24:24.523"</f>
        <v>20:24:24.523</v>
      </c>
      <c r="T1923" t="str">
        <f>"20:24:24.123"</f>
        <v>20:24:24.123</v>
      </c>
      <c r="U1923" t="str">
        <f t="shared" si="95"/>
        <v>AB01F4</v>
      </c>
      <c r="V1923">
        <v>0</v>
      </c>
      <c r="W1923">
        <v>0</v>
      </c>
      <c r="X1923">
        <v>2</v>
      </c>
      <c r="Z1923">
        <v>0</v>
      </c>
      <c r="AA1923">
        <v>9</v>
      </c>
      <c r="AB1923">
        <v>3</v>
      </c>
      <c r="AC1923">
        <v>0</v>
      </c>
      <c r="AD1923">
        <v>10</v>
      </c>
      <c r="AE1923">
        <v>0</v>
      </c>
      <c r="AF1923">
        <v>3</v>
      </c>
      <c r="AG1923">
        <v>2</v>
      </c>
      <c r="AH1923">
        <v>0</v>
      </c>
      <c r="AI1923" t="s">
        <v>1211</v>
      </c>
      <c r="AJ1923">
        <v>39.918008</v>
      </c>
      <c r="AK1923" t="s">
        <v>1212</v>
      </c>
      <c r="AL1923">
        <v>-92.601421000000002</v>
      </c>
      <c r="AM1923">
        <v>100</v>
      </c>
      <c r="AN1923">
        <v>1700</v>
      </c>
      <c r="AO1923" t="s">
        <v>118</v>
      </c>
      <c r="AP1923">
        <v>-107</v>
      </c>
      <c r="AQ1923">
        <v>76</v>
      </c>
      <c r="AR1923">
        <v>0</v>
      </c>
      <c r="AZ1923">
        <v>1200</v>
      </c>
      <c r="BA1923">
        <v>1</v>
      </c>
      <c r="BB1923" t="str">
        <f t="shared" si="94"/>
        <v xml:space="preserve">N8080G  </v>
      </c>
      <c r="BC1923">
        <v>1</v>
      </c>
      <c r="BE1923">
        <v>0</v>
      </c>
      <c r="BF1923">
        <v>0</v>
      </c>
      <c r="BG1923">
        <v>0</v>
      </c>
      <c r="BH1923">
        <v>1700</v>
      </c>
      <c r="BI1923">
        <v>1</v>
      </c>
      <c r="BJ1923">
        <v>1</v>
      </c>
      <c r="BK1923">
        <v>1</v>
      </c>
      <c r="BL1923">
        <v>0</v>
      </c>
      <c r="BO1923">
        <v>0</v>
      </c>
      <c r="BP1923">
        <v>0</v>
      </c>
      <c r="BW1923" t="str">
        <f>"20:24:24.524"</f>
        <v>20:24:24.524</v>
      </c>
      <c r="BZ1923">
        <v>0</v>
      </c>
      <c r="CA1923">
        <v>2016</v>
      </c>
      <c r="CB1923">
        <v>224</v>
      </c>
      <c r="CD1923">
        <v>1</v>
      </c>
      <c r="CE1923">
        <v>0</v>
      </c>
      <c r="CF1923">
        <v>0</v>
      </c>
      <c r="CG1923">
        <v>1</v>
      </c>
      <c r="CH1923">
        <v>0</v>
      </c>
      <c r="CI1923">
        <v>0</v>
      </c>
      <c r="CJ1923">
        <v>0</v>
      </c>
      <c r="CK1923">
        <v>2</v>
      </c>
      <c r="CL1923">
        <v>0</v>
      </c>
      <c r="CM1923">
        <v>2</v>
      </c>
      <c r="CN1923">
        <v>0</v>
      </c>
      <c r="CO1923">
        <v>7</v>
      </c>
      <c r="CP1923" t="s">
        <v>119</v>
      </c>
      <c r="CQ1923">
        <v>180</v>
      </c>
      <c r="CR1923">
        <v>2</v>
      </c>
      <c r="CW1923">
        <v>8381255</v>
      </c>
      <c r="CY1923">
        <v>1</v>
      </c>
      <c r="CZ1923">
        <v>0</v>
      </c>
      <c r="DA1923">
        <v>0</v>
      </c>
      <c r="DB1923">
        <v>0</v>
      </c>
      <c r="DC1923">
        <v>0</v>
      </c>
      <c r="DD1923">
        <v>0</v>
      </c>
      <c r="DE1923">
        <v>0</v>
      </c>
      <c r="DF1923">
        <v>0</v>
      </c>
      <c r="DG1923">
        <v>0</v>
      </c>
      <c r="DH1923">
        <v>0</v>
      </c>
      <c r="DI1923">
        <v>0</v>
      </c>
    </row>
    <row r="1924" spans="1:113" x14ac:dyDescent="0.3">
      <c r="A1924" t="str">
        <f>"02/08/2021 20:24:22.173"</f>
        <v>02/08/2021 20:24:22.173</v>
      </c>
      <c r="C1924" t="str">
        <f t="shared" si="93"/>
        <v>FFDFD7C0</v>
      </c>
      <c r="D1924" t="s">
        <v>124</v>
      </c>
      <c r="E1924">
        <v>13</v>
      </c>
      <c r="F1924">
        <v>1013</v>
      </c>
      <c r="G1924" t="s">
        <v>114</v>
      </c>
      <c r="J1924" t="s">
        <v>125</v>
      </c>
      <c r="K1924">
        <v>0</v>
      </c>
      <c r="L1924">
        <v>3</v>
      </c>
      <c r="M1924">
        <v>0</v>
      </c>
      <c r="N1924">
        <v>2</v>
      </c>
      <c r="O1924">
        <v>1</v>
      </c>
      <c r="P1924">
        <v>0</v>
      </c>
      <c r="Q1924">
        <v>0</v>
      </c>
      <c r="S1924" t="str">
        <f>"20:24:24.523"</f>
        <v>20:24:24.523</v>
      </c>
      <c r="T1924" t="str">
        <f>"20:24:24.123"</f>
        <v>20:24:24.123</v>
      </c>
      <c r="U1924" t="str">
        <f t="shared" si="95"/>
        <v>AB01F4</v>
      </c>
      <c r="V1924">
        <v>0</v>
      </c>
      <c r="W1924">
        <v>0</v>
      </c>
      <c r="X1924">
        <v>2</v>
      </c>
      <c r="Z1924">
        <v>0</v>
      </c>
      <c r="AA1924">
        <v>9</v>
      </c>
      <c r="AB1924">
        <v>3</v>
      </c>
      <c r="AC1924">
        <v>0</v>
      </c>
      <c r="AD1924">
        <v>10</v>
      </c>
      <c r="AE1924">
        <v>0</v>
      </c>
      <c r="AF1924">
        <v>3</v>
      </c>
      <c r="AG1924">
        <v>2</v>
      </c>
      <c r="AH1924">
        <v>0</v>
      </c>
      <c r="AI1924" t="s">
        <v>1211</v>
      </c>
      <c r="AJ1924">
        <v>39.918008</v>
      </c>
      <c r="AK1924" t="s">
        <v>1212</v>
      </c>
      <c r="AL1924">
        <v>-92.601421000000002</v>
      </c>
      <c r="AM1924">
        <v>100</v>
      </c>
      <c r="AN1924">
        <v>1700</v>
      </c>
      <c r="AO1924" t="s">
        <v>118</v>
      </c>
      <c r="AP1924">
        <v>-107</v>
      </c>
      <c r="AQ1924">
        <v>76</v>
      </c>
      <c r="AR1924">
        <v>0</v>
      </c>
      <c r="AZ1924">
        <v>1200</v>
      </c>
      <c r="BA1924">
        <v>1</v>
      </c>
      <c r="BB1924" t="str">
        <f t="shared" si="94"/>
        <v xml:space="preserve">N8080G  </v>
      </c>
      <c r="BC1924">
        <v>1</v>
      </c>
      <c r="BE1924">
        <v>0</v>
      </c>
      <c r="BF1924">
        <v>0</v>
      </c>
      <c r="BG1924">
        <v>0</v>
      </c>
      <c r="BH1924">
        <v>1700</v>
      </c>
      <c r="BI1924">
        <v>1</v>
      </c>
      <c r="BJ1924">
        <v>1</v>
      </c>
      <c r="BK1924">
        <v>1</v>
      </c>
      <c r="BL1924">
        <v>0</v>
      </c>
      <c r="BO1924">
        <v>0</v>
      </c>
      <c r="BP1924">
        <v>0</v>
      </c>
      <c r="BW1924" t="str">
        <f>"20:24:24.524"</f>
        <v>20:24:24.524</v>
      </c>
      <c r="BZ1924">
        <v>0</v>
      </c>
      <c r="CA1924">
        <v>2016</v>
      </c>
      <c r="CB1924">
        <v>224</v>
      </c>
      <c r="CD1924">
        <v>1</v>
      </c>
      <c r="CE1924">
        <v>0</v>
      </c>
      <c r="CF1924">
        <v>0</v>
      </c>
      <c r="CG1924">
        <v>1</v>
      </c>
      <c r="CH1924">
        <v>0</v>
      </c>
      <c r="CI1924">
        <v>0</v>
      </c>
      <c r="CJ1924">
        <v>0</v>
      </c>
      <c r="CK1924">
        <v>2</v>
      </c>
      <c r="CL1924">
        <v>0</v>
      </c>
      <c r="CM1924">
        <v>2</v>
      </c>
      <c r="CN1924">
        <v>0</v>
      </c>
      <c r="CO1924">
        <v>7</v>
      </c>
      <c r="CP1924" t="s">
        <v>119</v>
      </c>
      <c r="CQ1924">
        <v>180</v>
      </c>
      <c r="CR1924">
        <v>2</v>
      </c>
      <c r="CW1924">
        <v>8381255</v>
      </c>
      <c r="CY1924">
        <v>1</v>
      </c>
      <c r="CZ1924">
        <v>0</v>
      </c>
      <c r="DA1924">
        <v>1</v>
      </c>
      <c r="DB1924">
        <v>0</v>
      </c>
      <c r="DC1924">
        <v>0</v>
      </c>
      <c r="DD1924">
        <v>0</v>
      </c>
      <c r="DE1924">
        <v>0</v>
      </c>
      <c r="DF1924">
        <v>0</v>
      </c>
      <c r="DG1924">
        <v>0</v>
      </c>
      <c r="DH1924">
        <v>0</v>
      </c>
      <c r="DI1924">
        <v>0</v>
      </c>
    </row>
    <row r="1925" spans="1:113" x14ac:dyDescent="0.3">
      <c r="A1925" t="str">
        <f>"02/08/2021 20:24:22.173"</f>
        <v>02/08/2021 20:24:22.173</v>
      </c>
      <c r="C1925" t="str">
        <f t="shared" si="93"/>
        <v>FFDFD7C0</v>
      </c>
      <c r="D1925" t="s">
        <v>124</v>
      </c>
      <c r="E1925">
        <v>12</v>
      </c>
      <c r="F1925">
        <v>1012</v>
      </c>
      <c r="G1925" t="s">
        <v>675</v>
      </c>
      <c r="J1925" t="s">
        <v>125</v>
      </c>
      <c r="K1925">
        <v>0</v>
      </c>
      <c r="L1925">
        <v>3</v>
      </c>
      <c r="M1925">
        <v>0</v>
      </c>
      <c r="N1925">
        <v>2</v>
      </c>
      <c r="O1925">
        <v>1</v>
      </c>
      <c r="P1925">
        <v>0</v>
      </c>
      <c r="Q1925">
        <v>0</v>
      </c>
      <c r="S1925" t="str">
        <f>"20:24:24.523"</f>
        <v>20:24:24.523</v>
      </c>
      <c r="T1925" t="str">
        <f>"20:24:24.123"</f>
        <v>20:24:24.123</v>
      </c>
      <c r="U1925" t="str">
        <f t="shared" si="95"/>
        <v>AB01F4</v>
      </c>
      <c r="V1925">
        <v>0</v>
      </c>
      <c r="W1925">
        <v>0</v>
      </c>
      <c r="X1925">
        <v>2</v>
      </c>
      <c r="Z1925">
        <v>0</v>
      </c>
      <c r="AA1925">
        <v>9</v>
      </c>
      <c r="AB1925">
        <v>3</v>
      </c>
      <c r="AC1925">
        <v>0</v>
      </c>
      <c r="AD1925">
        <v>10</v>
      </c>
      <c r="AE1925">
        <v>0</v>
      </c>
      <c r="AF1925">
        <v>3</v>
      </c>
      <c r="AG1925">
        <v>2</v>
      </c>
      <c r="AH1925">
        <v>0</v>
      </c>
      <c r="AI1925" t="s">
        <v>1211</v>
      </c>
      <c r="AJ1925">
        <v>39.918008</v>
      </c>
      <c r="AK1925" t="s">
        <v>1212</v>
      </c>
      <c r="AL1925">
        <v>-92.601421000000002</v>
      </c>
      <c r="AM1925">
        <v>100</v>
      </c>
      <c r="AN1925">
        <v>1700</v>
      </c>
      <c r="AO1925" t="s">
        <v>118</v>
      </c>
      <c r="AP1925">
        <v>-107</v>
      </c>
      <c r="AQ1925">
        <v>76</v>
      </c>
      <c r="AR1925">
        <v>0</v>
      </c>
      <c r="AZ1925">
        <v>1200</v>
      </c>
      <c r="BA1925">
        <v>1</v>
      </c>
      <c r="BB1925" t="str">
        <f t="shared" si="94"/>
        <v xml:space="preserve">N8080G  </v>
      </c>
      <c r="BC1925">
        <v>1</v>
      </c>
      <c r="BE1925">
        <v>0</v>
      </c>
      <c r="BF1925">
        <v>0</v>
      </c>
      <c r="BG1925">
        <v>0</v>
      </c>
      <c r="BH1925">
        <v>1700</v>
      </c>
      <c r="BI1925">
        <v>1</v>
      </c>
      <c r="BJ1925">
        <v>1</v>
      </c>
      <c r="BK1925">
        <v>1</v>
      </c>
      <c r="BL1925">
        <v>0</v>
      </c>
      <c r="BO1925">
        <v>0</v>
      </c>
      <c r="BP1925">
        <v>0</v>
      </c>
      <c r="BW1925" t="str">
        <f>"20:24:24.524"</f>
        <v>20:24:24.524</v>
      </c>
      <c r="BZ1925">
        <v>0</v>
      </c>
      <c r="CA1925">
        <v>2016</v>
      </c>
      <c r="CB1925">
        <v>224</v>
      </c>
      <c r="CD1925">
        <v>1</v>
      </c>
      <c r="CE1925">
        <v>0</v>
      </c>
      <c r="CF1925">
        <v>0</v>
      </c>
      <c r="CG1925">
        <v>1</v>
      </c>
      <c r="CH1925">
        <v>0</v>
      </c>
      <c r="CI1925">
        <v>0</v>
      </c>
      <c r="CJ1925">
        <v>0</v>
      </c>
      <c r="CK1925">
        <v>2</v>
      </c>
      <c r="CL1925">
        <v>0</v>
      </c>
      <c r="CM1925">
        <v>2</v>
      </c>
      <c r="CN1925">
        <v>0</v>
      </c>
      <c r="CO1925">
        <v>7</v>
      </c>
      <c r="CP1925" t="s">
        <v>119</v>
      </c>
      <c r="CQ1925">
        <v>180</v>
      </c>
      <c r="CR1925">
        <v>2</v>
      </c>
      <c r="CW1925">
        <v>8381255</v>
      </c>
      <c r="CY1925">
        <v>1</v>
      </c>
      <c r="CZ1925">
        <v>0</v>
      </c>
      <c r="DA1925">
        <v>1</v>
      </c>
      <c r="DB1925">
        <v>0</v>
      </c>
      <c r="DC1925">
        <v>0</v>
      </c>
      <c r="DD1925">
        <v>0</v>
      </c>
      <c r="DE1925">
        <v>0</v>
      </c>
      <c r="DF1925">
        <v>0</v>
      </c>
      <c r="DG1925">
        <v>0</v>
      </c>
      <c r="DH1925">
        <v>0</v>
      </c>
      <c r="DI1925">
        <v>0</v>
      </c>
    </row>
    <row r="1926" spans="1:113" x14ac:dyDescent="0.3">
      <c r="A1926" t="str">
        <f>"02/08/2021 20:24:22.173"</f>
        <v>02/08/2021 20:24:22.173</v>
      </c>
      <c r="C1926" t="str">
        <f t="shared" si="93"/>
        <v>FFDFD7C0</v>
      </c>
      <c r="D1926" t="s">
        <v>124</v>
      </c>
      <c r="E1926">
        <v>11</v>
      </c>
      <c r="F1926">
        <v>1011</v>
      </c>
      <c r="G1926" t="s">
        <v>590</v>
      </c>
      <c r="J1926" t="s">
        <v>125</v>
      </c>
      <c r="K1926">
        <v>0</v>
      </c>
      <c r="L1926">
        <v>3</v>
      </c>
      <c r="M1926">
        <v>0</v>
      </c>
      <c r="N1926">
        <v>2</v>
      </c>
      <c r="O1926">
        <v>1</v>
      </c>
      <c r="P1926">
        <v>0</v>
      </c>
      <c r="Q1926">
        <v>0</v>
      </c>
      <c r="S1926" t="str">
        <f>"20:24:24.523"</f>
        <v>20:24:24.523</v>
      </c>
      <c r="T1926" t="str">
        <f>"20:24:24.123"</f>
        <v>20:24:24.123</v>
      </c>
      <c r="U1926" t="str">
        <f t="shared" si="95"/>
        <v>AB01F4</v>
      </c>
      <c r="V1926">
        <v>0</v>
      </c>
      <c r="W1926">
        <v>0</v>
      </c>
      <c r="X1926">
        <v>2</v>
      </c>
      <c r="Z1926">
        <v>0</v>
      </c>
      <c r="AA1926">
        <v>9</v>
      </c>
      <c r="AB1926">
        <v>3</v>
      </c>
      <c r="AC1926">
        <v>0</v>
      </c>
      <c r="AD1926">
        <v>10</v>
      </c>
      <c r="AE1926">
        <v>0</v>
      </c>
      <c r="AF1926">
        <v>3</v>
      </c>
      <c r="AG1926">
        <v>2</v>
      </c>
      <c r="AH1926">
        <v>0</v>
      </c>
      <c r="AI1926" t="s">
        <v>1211</v>
      </c>
      <c r="AJ1926">
        <v>39.918008</v>
      </c>
      <c r="AK1926" t="s">
        <v>1212</v>
      </c>
      <c r="AL1926">
        <v>-92.601421000000002</v>
      </c>
      <c r="AM1926">
        <v>100</v>
      </c>
      <c r="AN1926">
        <v>1700</v>
      </c>
      <c r="AO1926" t="s">
        <v>118</v>
      </c>
      <c r="AP1926">
        <v>-107</v>
      </c>
      <c r="AQ1926">
        <v>76</v>
      </c>
      <c r="AR1926">
        <v>0</v>
      </c>
      <c r="AZ1926">
        <v>1200</v>
      </c>
      <c r="BA1926">
        <v>1</v>
      </c>
      <c r="BB1926" t="str">
        <f t="shared" si="94"/>
        <v xml:space="preserve">N8080G  </v>
      </c>
      <c r="BC1926">
        <v>1</v>
      </c>
      <c r="BE1926">
        <v>0</v>
      </c>
      <c r="BF1926">
        <v>0</v>
      </c>
      <c r="BG1926">
        <v>0</v>
      </c>
      <c r="BH1926">
        <v>1700</v>
      </c>
      <c r="BI1926">
        <v>1</v>
      </c>
      <c r="BJ1926">
        <v>1</v>
      </c>
      <c r="BK1926">
        <v>1</v>
      </c>
      <c r="BL1926">
        <v>0</v>
      </c>
      <c r="BO1926">
        <v>0</v>
      </c>
      <c r="BP1926">
        <v>0</v>
      </c>
      <c r="BW1926" t="str">
        <f>"20:24:24.524"</f>
        <v>20:24:24.524</v>
      </c>
      <c r="BZ1926">
        <v>0</v>
      </c>
      <c r="CA1926">
        <v>2016</v>
      </c>
      <c r="CB1926">
        <v>224</v>
      </c>
      <c r="CD1926">
        <v>1</v>
      </c>
      <c r="CE1926">
        <v>0</v>
      </c>
      <c r="CF1926">
        <v>0</v>
      </c>
      <c r="CG1926">
        <v>1</v>
      </c>
      <c r="CH1926">
        <v>0</v>
      </c>
      <c r="CI1926">
        <v>0</v>
      </c>
      <c r="CJ1926">
        <v>0</v>
      </c>
      <c r="CK1926">
        <v>2</v>
      </c>
      <c r="CL1926">
        <v>0</v>
      </c>
      <c r="CM1926">
        <v>2</v>
      </c>
      <c r="CN1926">
        <v>0</v>
      </c>
      <c r="CO1926">
        <v>7</v>
      </c>
      <c r="CP1926" t="s">
        <v>119</v>
      </c>
      <c r="CQ1926">
        <v>180</v>
      </c>
      <c r="CR1926">
        <v>2</v>
      </c>
      <c r="CW1926">
        <v>8381255</v>
      </c>
      <c r="CY1926">
        <v>1</v>
      </c>
      <c r="CZ1926">
        <v>0</v>
      </c>
      <c r="DA1926">
        <v>1</v>
      </c>
      <c r="DB1926">
        <v>0</v>
      </c>
      <c r="DC1926">
        <v>0</v>
      </c>
      <c r="DD1926">
        <v>0</v>
      </c>
      <c r="DE1926">
        <v>0</v>
      </c>
      <c r="DF1926">
        <v>0</v>
      </c>
      <c r="DG1926">
        <v>0</v>
      </c>
      <c r="DH1926">
        <v>0</v>
      </c>
      <c r="DI1926">
        <v>0</v>
      </c>
    </row>
    <row r="1927" spans="1:113" x14ac:dyDescent="0.3">
      <c r="A1927" t="str">
        <f>"02/08/2021 20:24:23.177"</f>
        <v>02/08/2021 20:24:23.177</v>
      </c>
      <c r="C1927" t="str">
        <f t="shared" si="93"/>
        <v>FFDFD7C0</v>
      </c>
      <c r="D1927" t="s">
        <v>124</v>
      </c>
      <c r="E1927">
        <v>13</v>
      </c>
      <c r="F1927">
        <v>1013</v>
      </c>
      <c r="G1927" t="s">
        <v>114</v>
      </c>
      <c r="J1927" t="s">
        <v>125</v>
      </c>
      <c r="K1927">
        <v>0</v>
      </c>
      <c r="L1927">
        <v>3</v>
      </c>
      <c r="M1927">
        <v>0</v>
      </c>
      <c r="N1927">
        <v>2</v>
      </c>
      <c r="O1927">
        <v>1</v>
      </c>
      <c r="P1927">
        <v>0</v>
      </c>
      <c r="Q1927">
        <v>0</v>
      </c>
      <c r="S1927" t="str">
        <f>"20:24:25.523"</f>
        <v>20:24:25.523</v>
      </c>
      <c r="T1927" t="str">
        <f>"20:24:25.123"</f>
        <v>20:24:25.123</v>
      </c>
      <c r="U1927" t="str">
        <f t="shared" si="95"/>
        <v>AB01F4</v>
      </c>
      <c r="V1927">
        <v>0</v>
      </c>
      <c r="W1927">
        <v>0</v>
      </c>
      <c r="X1927">
        <v>2</v>
      </c>
      <c r="Z1927">
        <v>0</v>
      </c>
      <c r="AA1927">
        <v>9</v>
      </c>
      <c r="AB1927">
        <v>3</v>
      </c>
      <c r="AC1927">
        <v>0</v>
      </c>
      <c r="AD1927">
        <v>10</v>
      </c>
      <c r="AE1927">
        <v>0</v>
      </c>
      <c r="AF1927">
        <v>3</v>
      </c>
      <c r="AG1927">
        <v>2</v>
      </c>
      <c r="AH1927">
        <v>0</v>
      </c>
      <c r="AI1927" t="s">
        <v>1213</v>
      </c>
      <c r="AJ1927">
        <v>39.918329999999997</v>
      </c>
      <c r="AK1927" t="s">
        <v>1214</v>
      </c>
      <c r="AL1927">
        <v>-92.602086</v>
      </c>
      <c r="AM1927">
        <v>100</v>
      </c>
      <c r="AN1927">
        <v>1700</v>
      </c>
      <c r="AO1927" t="s">
        <v>118</v>
      </c>
      <c r="AP1927">
        <v>-107</v>
      </c>
      <c r="AQ1927">
        <v>76</v>
      </c>
      <c r="AR1927">
        <v>0</v>
      </c>
      <c r="AZ1927">
        <v>1200</v>
      </c>
      <c r="BA1927">
        <v>1</v>
      </c>
      <c r="BB1927" t="str">
        <f t="shared" si="94"/>
        <v xml:space="preserve">N8080G  </v>
      </c>
      <c r="BC1927">
        <v>1</v>
      </c>
      <c r="BE1927">
        <v>0</v>
      </c>
      <c r="BF1927">
        <v>0</v>
      </c>
      <c r="BG1927">
        <v>0</v>
      </c>
      <c r="BH1927">
        <v>1700</v>
      </c>
      <c r="BI1927">
        <v>1</v>
      </c>
      <c r="BJ1927">
        <v>1</v>
      </c>
      <c r="BK1927">
        <v>1</v>
      </c>
      <c r="BL1927">
        <v>0</v>
      </c>
      <c r="BO1927">
        <v>0</v>
      </c>
      <c r="BP1927">
        <v>0</v>
      </c>
      <c r="BW1927" t="str">
        <f>"20:24:25.524"</f>
        <v>20:24:25.524</v>
      </c>
      <c r="BZ1927">
        <v>0</v>
      </c>
      <c r="CA1927">
        <v>2016</v>
      </c>
      <c r="CB1927">
        <v>224</v>
      </c>
      <c r="CD1927">
        <v>1</v>
      </c>
      <c r="CE1927">
        <v>0</v>
      </c>
      <c r="CF1927">
        <v>0</v>
      </c>
      <c r="CG1927">
        <v>1</v>
      </c>
      <c r="CH1927">
        <v>0</v>
      </c>
      <c r="CI1927">
        <v>0</v>
      </c>
      <c r="CJ1927">
        <v>0</v>
      </c>
      <c r="CK1927">
        <v>2</v>
      </c>
      <c r="CL1927">
        <v>0</v>
      </c>
      <c r="CM1927">
        <v>2</v>
      </c>
      <c r="CN1927">
        <v>0</v>
      </c>
      <c r="CO1927">
        <v>1</v>
      </c>
      <c r="CP1927" t="s">
        <v>119</v>
      </c>
      <c r="CQ1927">
        <v>179</v>
      </c>
      <c r="CR1927">
        <v>1</v>
      </c>
      <c r="CW1927">
        <v>8816536</v>
      </c>
      <c r="CY1927">
        <v>1</v>
      </c>
      <c r="CZ1927">
        <v>0</v>
      </c>
      <c r="DA1927">
        <v>0</v>
      </c>
      <c r="DB1927">
        <v>0</v>
      </c>
      <c r="DC1927">
        <v>0</v>
      </c>
      <c r="DD1927">
        <v>0</v>
      </c>
      <c r="DE1927">
        <v>0</v>
      </c>
      <c r="DF1927">
        <v>0</v>
      </c>
      <c r="DG1927">
        <v>0</v>
      </c>
      <c r="DH1927">
        <v>0</v>
      </c>
      <c r="DI1927">
        <v>0</v>
      </c>
    </row>
    <row r="1928" spans="1:113" x14ac:dyDescent="0.3">
      <c r="A1928" t="str">
        <f>"02/08/2021 20:24:23.177"</f>
        <v>02/08/2021 20:24:23.177</v>
      </c>
      <c r="C1928" t="str">
        <f t="shared" si="93"/>
        <v>FFDFD7C0</v>
      </c>
      <c r="D1928" t="s">
        <v>113</v>
      </c>
      <c r="E1928">
        <v>6</v>
      </c>
      <c r="H1928">
        <v>165</v>
      </c>
      <c r="I1928" t="s">
        <v>114</v>
      </c>
      <c r="J1928" t="s">
        <v>115</v>
      </c>
      <c r="K1928">
        <v>0</v>
      </c>
      <c r="L1928">
        <v>3</v>
      </c>
      <c r="M1928">
        <v>0</v>
      </c>
      <c r="N1928">
        <v>2</v>
      </c>
      <c r="O1928">
        <v>1</v>
      </c>
      <c r="P1928">
        <v>0</v>
      </c>
      <c r="Q1928">
        <v>0</v>
      </c>
      <c r="S1928" t="str">
        <f>"20:24:25.523"</f>
        <v>20:24:25.523</v>
      </c>
      <c r="T1928" t="str">
        <f>"20:24:25.123"</f>
        <v>20:24:25.123</v>
      </c>
      <c r="U1928" t="str">
        <f t="shared" si="95"/>
        <v>AB01F4</v>
      </c>
      <c r="V1928">
        <v>0</v>
      </c>
      <c r="W1928">
        <v>0</v>
      </c>
      <c r="X1928">
        <v>2</v>
      </c>
      <c r="Z1928">
        <v>0</v>
      </c>
      <c r="AA1928">
        <v>9</v>
      </c>
      <c r="AB1928">
        <v>3</v>
      </c>
      <c r="AC1928">
        <v>0</v>
      </c>
      <c r="AD1928">
        <v>10</v>
      </c>
      <c r="AE1928">
        <v>0</v>
      </c>
      <c r="AF1928">
        <v>3</v>
      </c>
      <c r="AG1928">
        <v>2</v>
      </c>
      <c r="AH1928">
        <v>0</v>
      </c>
      <c r="AI1928" t="s">
        <v>1213</v>
      </c>
      <c r="AJ1928">
        <v>39.918329999999997</v>
      </c>
      <c r="AK1928" t="s">
        <v>1214</v>
      </c>
      <c r="AL1928">
        <v>-92.602086</v>
      </c>
      <c r="AM1928">
        <v>100</v>
      </c>
      <c r="AN1928">
        <v>1700</v>
      </c>
      <c r="AO1928" t="s">
        <v>118</v>
      </c>
      <c r="AP1928">
        <v>-107</v>
      </c>
      <c r="AQ1928">
        <v>76</v>
      </c>
      <c r="AR1928">
        <v>0</v>
      </c>
      <c r="AZ1928">
        <v>1200</v>
      </c>
      <c r="BA1928">
        <v>1</v>
      </c>
      <c r="BB1928" t="str">
        <f t="shared" si="94"/>
        <v xml:space="preserve">N8080G  </v>
      </c>
      <c r="BC1928">
        <v>1</v>
      </c>
      <c r="BE1928">
        <v>0</v>
      </c>
      <c r="BF1928">
        <v>0</v>
      </c>
      <c r="BG1928">
        <v>0</v>
      </c>
      <c r="BH1928">
        <v>1700</v>
      </c>
      <c r="BI1928">
        <v>1</v>
      </c>
      <c r="BJ1928">
        <v>1</v>
      </c>
      <c r="BK1928">
        <v>1</v>
      </c>
      <c r="BL1928">
        <v>0</v>
      </c>
      <c r="BO1928">
        <v>0</v>
      </c>
      <c r="BP1928">
        <v>0</v>
      </c>
      <c r="BW1928" t="str">
        <f>"20:24:25.524"</f>
        <v>20:24:25.524</v>
      </c>
      <c r="BZ1928">
        <v>0</v>
      </c>
      <c r="CA1928">
        <v>2016</v>
      </c>
      <c r="CB1928">
        <v>224</v>
      </c>
      <c r="CD1928">
        <v>1</v>
      </c>
      <c r="CE1928">
        <v>0</v>
      </c>
      <c r="CF1928">
        <v>0</v>
      </c>
      <c r="CG1928">
        <v>1</v>
      </c>
      <c r="CH1928">
        <v>0</v>
      </c>
      <c r="CI1928">
        <v>0</v>
      </c>
      <c r="CJ1928">
        <v>0</v>
      </c>
      <c r="CK1928">
        <v>2</v>
      </c>
      <c r="CL1928">
        <v>0</v>
      </c>
      <c r="CM1928">
        <v>2</v>
      </c>
      <c r="CN1928">
        <v>0</v>
      </c>
      <c r="CO1928">
        <v>1</v>
      </c>
      <c r="CP1928" t="s">
        <v>119</v>
      </c>
      <c r="CQ1928">
        <v>179</v>
      </c>
      <c r="CR1928">
        <v>1</v>
      </c>
      <c r="CW1928">
        <v>8816536</v>
      </c>
      <c r="CY1928">
        <v>1</v>
      </c>
      <c r="CZ1928">
        <v>0</v>
      </c>
      <c r="DA1928">
        <v>1</v>
      </c>
      <c r="DB1928">
        <v>0</v>
      </c>
      <c r="DC1928">
        <v>0</v>
      </c>
      <c r="DD1928">
        <v>0</v>
      </c>
      <c r="DE1928">
        <v>0</v>
      </c>
      <c r="DF1928">
        <v>0</v>
      </c>
      <c r="DG1928">
        <v>0</v>
      </c>
      <c r="DH1928">
        <v>0</v>
      </c>
      <c r="DI1928">
        <v>0</v>
      </c>
    </row>
    <row r="1929" spans="1:113" x14ac:dyDescent="0.3">
      <c r="A1929" t="str">
        <f>"02/08/2021 20:24:23.177"</f>
        <v>02/08/2021 20:24:23.177</v>
      </c>
      <c r="C1929" t="str">
        <f t="shared" si="93"/>
        <v>FFDFD7C0</v>
      </c>
      <c r="D1929" t="s">
        <v>124</v>
      </c>
      <c r="E1929">
        <v>12</v>
      </c>
      <c r="F1929">
        <v>1012</v>
      </c>
      <c r="G1929" t="s">
        <v>675</v>
      </c>
      <c r="J1929" t="s">
        <v>125</v>
      </c>
      <c r="K1929">
        <v>0</v>
      </c>
      <c r="L1929">
        <v>3</v>
      </c>
      <c r="M1929">
        <v>0</v>
      </c>
      <c r="N1929">
        <v>2</v>
      </c>
      <c r="O1929">
        <v>1</v>
      </c>
      <c r="P1929">
        <v>0</v>
      </c>
      <c r="Q1929">
        <v>0</v>
      </c>
      <c r="S1929" t="str">
        <f>"20:24:25.523"</f>
        <v>20:24:25.523</v>
      </c>
      <c r="T1929" t="str">
        <f>"20:24:25.123"</f>
        <v>20:24:25.123</v>
      </c>
      <c r="U1929" t="str">
        <f t="shared" si="95"/>
        <v>AB01F4</v>
      </c>
      <c r="V1929">
        <v>0</v>
      </c>
      <c r="W1929">
        <v>0</v>
      </c>
      <c r="X1929">
        <v>2</v>
      </c>
      <c r="Z1929">
        <v>0</v>
      </c>
      <c r="AA1929">
        <v>9</v>
      </c>
      <c r="AB1929">
        <v>3</v>
      </c>
      <c r="AC1929">
        <v>0</v>
      </c>
      <c r="AD1929">
        <v>10</v>
      </c>
      <c r="AE1929">
        <v>0</v>
      </c>
      <c r="AF1929">
        <v>3</v>
      </c>
      <c r="AG1929">
        <v>2</v>
      </c>
      <c r="AH1929">
        <v>0</v>
      </c>
      <c r="AI1929" t="s">
        <v>1213</v>
      </c>
      <c r="AJ1929">
        <v>39.918329999999997</v>
      </c>
      <c r="AK1929" t="s">
        <v>1214</v>
      </c>
      <c r="AL1929">
        <v>-92.602086</v>
      </c>
      <c r="AM1929">
        <v>100</v>
      </c>
      <c r="AN1929">
        <v>1700</v>
      </c>
      <c r="AO1929" t="s">
        <v>118</v>
      </c>
      <c r="AP1929">
        <v>-107</v>
      </c>
      <c r="AQ1929">
        <v>76</v>
      </c>
      <c r="AR1929">
        <v>0</v>
      </c>
      <c r="AZ1929">
        <v>1200</v>
      </c>
      <c r="BA1929">
        <v>1</v>
      </c>
      <c r="BB1929" t="str">
        <f t="shared" si="94"/>
        <v xml:space="preserve">N8080G  </v>
      </c>
      <c r="BC1929">
        <v>1</v>
      </c>
      <c r="BE1929">
        <v>0</v>
      </c>
      <c r="BF1929">
        <v>0</v>
      </c>
      <c r="BG1929">
        <v>0</v>
      </c>
      <c r="BH1929">
        <v>1700</v>
      </c>
      <c r="BI1929">
        <v>1</v>
      </c>
      <c r="BJ1929">
        <v>1</v>
      </c>
      <c r="BK1929">
        <v>1</v>
      </c>
      <c r="BL1929">
        <v>0</v>
      </c>
      <c r="BO1929">
        <v>0</v>
      </c>
      <c r="BP1929">
        <v>0</v>
      </c>
      <c r="BW1929" t="str">
        <f>"20:24:25.524"</f>
        <v>20:24:25.524</v>
      </c>
      <c r="BZ1929">
        <v>0</v>
      </c>
      <c r="CA1929">
        <v>2016</v>
      </c>
      <c r="CB1929">
        <v>224</v>
      </c>
      <c r="CD1929">
        <v>1</v>
      </c>
      <c r="CE1929">
        <v>0</v>
      </c>
      <c r="CF1929">
        <v>0</v>
      </c>
      <c r="CG1929">
        <v>1</v>
      </c>
      <c r="CH1929">
        <v>0</v>
      </c>
      <c r="CI1929">
        <v>0</v>
      </c>
      <c r="CJ1929">
        <v>0</v>
      </c>
      <c r="CK1929">
        <v>2</v>
      </c>
      <c r="CL1929">
        <v>0</v>
      </c>
      <c r="CM1929">
        <v>2</v>
      </c>
      <c r="CN1929">
        <v>0</v>
      </c>
      <c r="CO1929">
        <v>1</v>
      </c>
      <c r="CP1929" t="s">
        <v>119</v>
      </c>
      <c r="CQ1929">
        <v>179</v>
      </c>
      <c r="CR1929">
        <v>1</v>
      </c>
      <c r="CW1929">
        <v>8816536</v>
      </c>
      <c r="CY1929">
        <v>1</v>
      </c>
      <c r="CZ1929">
        <v>0</v>
      </c>
      <c r="DA1929">
        <v>1</v>
      </c>
      <c r="DB1929">
        <v>0</v>
      </c>
      <c r="DC1929">
        <v>0</v>
      </c>
      <c r="DD1929">
        <v>0</v>
      </c>
      <c r="DE1929">
        <v>0</v>
      </c>
      <c r="DF1929">
        <v>0</v>
      </c>
      <c r="DG1929">
        <v>0</v>
      </c>
      <c r="DH1929">
        <v>0</v>
      </c>
      <c r="DI1929">
        <v>0</v>
      </c>
    </row>
    <row r="1930" spans="1:113" x14ac:dyDescent="0.3">
      <c r="A1930" t="str">
        <f>"02/08/2021 20:24:23.177"</f>
        <v>02/08/2021 20:24:23.177</v>
      </c>
      <c r="C1930" t="str">
        <f t="shared" si="93"/>
        <v>FFDFD7C0</v>
      </c>
      <c r="D1930" t="s">
        <v>124</v>
      </c>
      <c r="E1930">
        <v>11</v>
      </c>
      <c r="F1930">
        <v>1011</v>
      </c>
      <c r="G1930" t="s">
        <v>590</v>
      </c>
      <c r="J1930" t="s">
        <v>125</v>
      </c>
      <c r="K1930">
        <v>0</v>
      </c>
      <c r="L1930">
        <v>3</v>
      </c>
      <c r="M1930">
        <v>0</v>
      </c>
      <c r="N1930">
        <v>2</v>
      </c>
      <c r="O1930">
        <v>1</v>
      </c>
      <c r="P1930">
        <v>0</v>
      </c>
      <c r="Q1930">
        <v>0</v>
      </c>
      <c r="S1930" t="str">
        <f>"20:24:25.523"</f>
        <v>20:24:25.523</v>
      </c>
      <c r="T1930" t="str">
        <f>"20:24:25.123"</f>
        <v>20:24:25.123</v>
      </c>
      <c r="U1930" t="str">
        <f t="shared" si="95"/>
        <v>AB01F4</v>
      </c>
      <c r="V1930">
        <v>0</v>
      </c>
      <c r="W1930">
        <v>0</v>
      </c>
      <c r="X1930">
        <v>2</v>
      </c>
      <c r="Z1930">
        <v>0</v>
      </c>
      <c r="AA1930">
        <v>9</v>
      </c>
      <c r="AB1930">
        <v>3</v>
      </c>
      <c r="AC1930">
        <v>0</v>
      </c>
      <c r="AD1930">
        <v>10</v>
      </c>
      <c r="AE1930">
        <v>0</v>
      </c>
      <c r="AF1930">
        <v>3</v>
      </c>
      <c r="AG1930">
        <v>2</v>
      </c>
      <c r="AH1930">
        <v>0</v>
      </c>
      <c r="AI1930" t="s">
        <v>1213</v>
      </c>
      <c r="AJ1930">
        <v>39.918329999999997</v>
      </c>
      <c r="AK1930" t="s">
        <v>1214</v>
      </c>
      <c r="AL1930">
        <v>-92.602086</v>
      </c>
      <c r="AM1930">
        <v>100</v>
      </c>
      <c r="AN1930">
        <v>1700</v>
      </c>
      <c r="AO1930" t="s">
        <v>118</v>
      </c>
      <c r="AP1930">
        <v>-107</v>
      </c>
      <c r="AQ1930">
        <v>76</v>
      </c>
      <c r="AR1930">
        <v>0</v>
      </c>
      <c r="AZ1930">
        <v>1200</v>
      </c>
      <c r="BA1930">
        <v>1</v>
      </c>
      <c r="BB1930" t="str">
        <f t="shared" si="94"/>
        <v xml:space="preserve">N8080G  </v>
      </c>
      <c r="BC1930">
        <v>1</v>
      </c>
      <c r="BE1930">
        <v>0</v>
      </c>
      <c r="BF1930">
        <v>0</v>
      </c>
      <c r="BG1930">
        <v>0</v>
      </c>
      <c r="BH1930">
        <v>1700</v>
      </c>
      <c r="BI1930">
        <v>1</v>
      </c>
      <c r="BJ1930">
        <v>1</v>
      </c>
      <c r="BK1930">
        <v>1</v>
      </c>
      <c r="BL1930">
        <v>0</v>
      </c>
      <c r="BO1930">
        <v>0</v>
      </c>
      <c r="BP1930">
        <v>0</v>
      </c>
      <c r="BW1930" t="str">
        <f>"20:24:25.524"</f>
        <v>20:24:25.524</v>
      </c>
      <c r="BZ1930">
        <v>0</v>
      </c>
      <c r="CA1930">
        <v>2016</v>
      </c>
      <c r="CB1930">
        <v>224</v>
      </c>
      <c r="CD1930">
        <v>1</v>
      </c>
      <c r="CE1930">
        <v>0</v>
      </c>
      <c r="CF1930">
        <v>0</v>
      </c>
      <c r="CG1930">
        <v>1</v>
      </c>
      <c r="CH1930">
        <v>0</v>
      </c>
      <c r="CI1930">
        <v>0</v>
      </c>
      <c r="CJ1930">
        <v>0</v>
      </c>
      <c r="CK1930">
        <v>2</v>
      </c>
      <c r="CL1930">
        <v>0</v>
      </c>
      <c r="CM1930">
        <v>2</v>
      </c>
      <c r="CN1930">
        <v>0</v>
      </c>
      <c r="CO1930">
        <v>1</v>
      </c>
      <c r="CP1930" t="s">
        <v>119</v>
      </c>
      <c r="CQ1930">
        <v>179</v>
      </c>
      <c r="CR1930">
        <v>1</v>
      </c>
      <c r="CW1930">
        <v>8816536</v>
      </c>
      <c r="CY1930">
        <v>1</v>
      </c>
      <c r="CZ1930">
        <v>0</v>
      </c>
      <c r="DA1930">
        <v>1</v>
      </c>
      <c r="DB1930">
        <v>0</v>
      </c>
      <c r="DC1930">
        <v>0</v>
      </c>
      <c r="DD1930">
        <v>0</v>
      </c>
      <c r="DE1930">
        <v>0</v>
      </c>
      <c r="DF1930">
        <v>0</v>
      </c>
      <c r="DG1930">
        <v>0</v>
      </c>
      <c r="DH1930">
        <v>0</v>
      </c>
      <c r="DI1930">
        <v>0</v>
      </c>
    </row>
    <row r="1931" spans="1:113" x14ac:dyDescent="0.3">
      <c r="A1931" t="str">
        <f>"02/08/2021 20:24:24.231"</f>
        <v>02/08/2021 20:24:24.231</v>
      </c>
      <c r="C1931" t="str">
        <f t="shared" si="93"/>
        <v>FFDFD7C0</v>
      </c>
      <c r="D1931" t="s">
        <v>124</v>
      </c>
      <c r="E1931">
        <v>13</v>
      </c>
      <c r="F1931">
        <v>1013</v>
      </c>
      <c r="G1931" t="s">
        <v>114</v>
      </c>
      <c r="J1931" t="s">
        <v>125</v>
      </c>
      <c r="K1931">
        <v>0</v>
      </c>
      <c r="L1931">
        <v>3</v>
      </c>
      <c r="M1931">
        <v>0</v>
      </c>
      <c r="N1931">
        <v>2</v>
      </c>
      <c r="O1931">
        <v>1</v>
      </c>
      <c r="P1931">
        <v>0</v>
      </c>
      <c r="Q1931">
        <v>0</v>
      </c>
      <c r="S1931" t="str">
        <f>"20:24:26.539"</f>
        <v>20:24:26.539</v>
      </c>
      <c r="T1931" t="str">
        <f>"20:24:26.039"</f>
        <v>20:24:26.039</v>
      </c>
      <c r="U1931" t="str">
        <f t="shared" si="95"/>
        <v>AB01F4</v>
      </c>
      <c r="V1931">
        <v>0</v>
      </c>
      <c r="W1931">
        <v>0</v>
      </c>
      <c r="X1931">
        <v>2</v>
      </c>
      <c r="Z1931">
        <v>0</v>
      </c>
      <c r="AA1931">
        <v>9</v>
      </c>
      <c r="AB1931">
        <v>3</v>
      </c>
      <c r="AC1931">
        <v>0</v>
      </c>
      <c r="AD1931">
        <v>10</v>
      </c>
      <c r="AE1931">
        <v>0</v>
      </c>
      <c r="AF1931">
        <v>3</v>
      </c>
      <c r="AG1931">
        <v>2</v>
      </c>
      <c r="AH1931">
        <v>0</v>
      </c>
      <c r="AI1931" t="s">
        <v>1215</v>
      </c>
      <c r="AJ1931">
        <v>39.918694000000002</v>
      </c>
      <c r="AK1931" t="s">
        <v>1216</v>
      </c>
      <c r="AL1931">
        <v>-92.602750999999998</v>
      </c>
      <c r="AM1931">
        <v>100</v>
      </c>
      <c r="AN1931">
        <v>1700</v>
      </c>
      <c r="AO1931" t="s">
        <v>118</v>
      </c>
      <c r="AP1931">
        <v>-107</v>
      </c>
      <c r="AQ1931">
        <v>77</v>
      </c>
      <c r="AR1931">
        <v>0</v>
      </c>
      <c r="AZ1931">
        <v>1200</v>
      </c>
      <c r="BA1931">
        <v>1</v>
      </c>
      <c r="BB1931" t="str">
        <f t="shared" si="94"/>
        <v xml:space="preserve">N8080G  </v>
      </c>
      <c r="BC1931">
        <v>1</v>
      </c>
      <c r="BE1931">
        <v>0</v>
      </c>
      <c r="BF1931">
        <v>0</v>
      </c>
      <c r="BG1931">
        <v>0</v>
      </c>
      <c r="BH1931">
        <v>1700</v>
      </c>
      <c r="BI1931">
        <v>1</v>
      </c>
      <c r="BJ1931">
        <v>1</v>
      </c>
      <c r="BK1931">
        <v>1</v>
      </c>
      <c r="BL1931">
        <v>0</v>
      </c>
      <c r="BO1931">
        <v>0</v>
      </c>
      <c r="BP1931">
        <v>0</v>
      </c>
      <c r="BW1931" t="str">
        <f>"20:24:26.541"</f>
        <v>20:24:26.541</v>
      </c>
      <c r="BZ1931">
        <v>0</v>
      </c>
      <c r="CA1931">
        <v>2016</v>
      </c>
      <c r="CB1931">
        <v>224</v>
      </c>
      <c r="CD1931">
        <v>1</v>
      </c>
      <c r="CE1931">
        <v>0</v>
      </c>
      <c r="CF1931">
        <v>0</v>
      </c>
      <c r="CG1931">
        <v>1</v>
      </c>
      <c r="CH1931">
        <v>0</v>
      </c>
      <c r="CI1931">
        <v>0</v>
      </c>
      <c r="CJ1931">
        <v>0</v>
      </c>
      <c r="CK1931">
        <v>2</v>
      </c>
      <c r="CL1931">
        <v>0</v>
      </c>
      <c r="CM1931">
        <v>2</v>
      </c>
      <c r="CN1931">
        <v>0</v>
      </c>
      <c r="CO1931">
        <v>7</v>
      </c>
      <c r="CP1931" t="s">
        <v>119</v>
      </c>
      <c r="CQ1931">
        <v>180</v>
      </c>
      <c r="CR1931">
        <v>2</v>
      </c>
      <c r="CW1931">
        <v>8382695</v>
      </c>
      <c r="CY1931">
        <v>1</v>
      </c>
      <c r="CZ1931">
        <v>0</v>
      </c>
      <c r="DA1931">
        <v>0</v>
      </c>
      <c r="DB1931">
        <v>0</v>
      </c>
      <c r="DC1931">
        <v>0</v>
      </c>
      <c r="DD1931">
        <v>0</v>
      </c>
      <c r="DE1931">
        <v>0</v>
      </c>
      <c r="DF1931">
        <v>0</v>
      </c>
      <c r="DG1931">
        <v>0</v>
      </c>
      <c r="DH1931">
        <v>0</v>
      </c>
      <c r="DI1931">
        <v>0</v>
      </c>
    </row>
    <row r="1932" spans="1:113" x14ac:dyDescent="0.3">
      <c r="A1932" t="str">
        <f>"02/08/2021 20:24:24.231"</f>
        <v>02/08/2021 20:24:24.231</v>
      </c>
      <c r="C1932" t="str">
        <f t="shared" si="93"/>
        <v>FFDFD7C0</v>
      </c>
      <c r="D1932" t="s">
        <v>113</v>
      </c>
      <c r="E1932">
        <v>6</v>
      </c>
      <c r="H1932">
        <v>165</v>
      </c>
      <c r="I1932" t="s">
        <v>114</v>
      </c>
      <c r="J1932" t="s">
        <v>115</v>
      </c>
      <c r="K1932">
        <v>0</v>
      </c>
      <c r="L1932">
        <v>3</v>
      </c>
      <c r="M1932">
        <v>0</v>
      </c>
      <c r="N1932">
        <v>2</v>
      </c>
      <c r="O1932">
        <v>1</v>
      </c>
      <c r="P1932">
        <v>0</v>
      </c>
      <c r="Q1932">
        <v>0</v>
      </c>
      <c r="S1932" t="str">
        <f>"20:24:26.539"</f>
        <v>20:24:26.539</v>
      </c>
      <c r="T1932" t="str">
        <f>"20:24:26.039"</f>
        <v>20:24:26.039</v>
      </c>
      <c r="U1932" t="str">
        <f t="shared" si="95"/>
        <v>AB01F4</v>
      </c>
      <c r="V1932">
        <v>0</v>
      </c>
      <c r="W1932">
        <v>0</v>
      </c>
      <c r="X1932">
        <v>2</v>
      </c>
      <c r="Z1932">
        <v>0</v>
      </c>
      <c r="AA1932">
        <v>9</v>
      </c>
      <c r="AB1932">
        <v>3</v>
      </c>
      <c r="AC1932">
        <v>0</v>
      </c>
      <c r="AD1932">
        <v>10</v>
      </c>
      <c r="AE1932">
        <v>0</v>
      </c>
      <c r="AF1932">
        <v>3</v>
      </c>
      <c r="AG1932">
        <v>2</v>
      </c>
      <c r="AH1932">
        <v>0</v>
      </c>
      <c r="AI1932" t="s">
        <v>1215</v>
      </c>
      <c r="AJ1932">
        <v>39.918694000000002</v>
      </c>
      <c r="AK1932" t="s">
        <v>1216</v>
      </c>
      <c r="AL1932">
        <v>-92.602750999999998</v>
      </c>
      <c r="AM1932">
        <v>100</v>
      </c>
      <c r="AN1932">
        <v>1700</v>
      </c>
      <c r="AO1932" t="s">
        <v>118</v>
      </c>
      <c r="AP1932">
        <v>-107</v>
      </c>
      <c r="AQ1932">
        <v>77</v>
      </c>
      <c r="AR1932">
        <v>0</v>
      </c>
      <c r="AZ1932">
        <v>1200</v>
      </c>
      <c r="BA1932">
        <v>1</v>
      </c>
      <c r="BB1932" t="str">
        <f t="shared" si="94"/>
        <v xml:space="preserve">N8080G  </v>
      </c>
      <c r="BC1932">
        <v>1</v>
      </c>
      <c r="BE1932">
        <v>0</v>
      </c>
      <c r="BF1932">
        <v>0</v>
      </c>
      <c r="BG1932">
        <v>0</v>
      </c>
      <c r="BH1932">
        <v>1700</v>
      </c>
      <c r="BI1932">
        <v>1</v>
      </c>
      <c r="BJ1932">
        <v>1</v>
      </c>
      <c r="BK1932">
        <v>1</v>
      </c>
      <c r="BL1932">
        <v>0</v>
      </c>
      <c r="BO1932">
        <v>0</v>
      </c>
      <c r="BP1932">
        <v>0</v>
      </c>
      <c r="BW1932" t="str">
        <f>"20:24:26.541"</f>
        <v>20:24:26.541</v>
      </c>
      <c r="BZ1932">
        <v>0</v>
      </c>
      <c r="CA1932">
        <v>2016</v>
      </c>
      <c r="CB1932">
        <v>224</v>
      </c>
      <c r="CD1932">
        <v>1</v>
      </c>
      <c r="CE1932">
        <v>0</v>
      </c>
      <c r="CF1932">
        <v>0</v>
      </c>
      <c r="CG1932">
        <v>1</v>
      </c>
      <c r="CH1932">
        <v>0</v>
      </c>
      <c r="CI1932">
        <v>0</v>
      </c>
      <c r="CJ1932">
        <v>0</v>
      </c>
      <c r="CK1932">
        <v>2</v>
      </c>
      <c r="CL1932">
        <v>0</v>
      </c>
      <c r="CM1932">
        <v>2</v>
      </c>
      <c r="CN1932">
        <v>0</v>
      </c>
      <c r="CO1932">
        <v>7</v>
      </c>
      <c r="CP1932" t="s">
        <v>119</v>
      </c>
      <c r="CQ1932">
        <v>180</v>
      </c>
      <c r="CR1932">
        <v>2</v>
      </c>
      <c r="CW1932">
        <v>8382695</v>
      </c>
      <c r="CY1932">
        <v>1</v>
      </c>
      <c r="CZ1932">
        <v>0</v>
      </c>
      <c r="DA1932">
        <v>1</v>
      </c>
      <c r="DB1932">
        <v>0</v>
      </c>
      <c r="DC1932">
        <v>0</v>
      </c>
      <c r="DD1932">
        <v>0</v>
      </c>
      <c r="DE1932">
        <v>0</v>
      </c>
      <c r="DF1932">
        <v>0</v>
      </c>
      <c r="DG1932">
        <v>0</v>
      </c>
      <c r="DH1932">
        <v>0</v>
      </c>
      <c r="DI1932">
        <v>0</v>
      </c>
    </row>
    <row r="1933" spans="1:113" x14ac:dyDescent="0.3">
      <c r="A1933" t="str">
        <f>"02/08/2021 20:24:24.231"</f>
        <v>02/08/2021 20:24:24.231</v>
      </c>
      <c r="C1933" t="str">
        <f t="shared" si="93"/>
        <v>FFDFD7C0</v>
      </c>
      <c r="D1933" t="s">
        <v>124</v>
      </c>
      <c r="E1933">
        <v>12</v>
      </c>
      <c r="F1933">
        <v>1012</v>
      </c>
      <c r="G1933" t="s">
        <v>675</v>
      </c>
      <c r="J1933" t="s">
        <v>125</v>
      </c>
      <c r="K1933">
        <v>0</v>
      </c>
      <c r="L1933">
        <v>3</v>
      </c>
      <c r="M1933">
        <v>0</v>
      </c>
      <c r="N1933">
        <v>2</v>
      </c>
      <c r="O1933">
        <v>1</v>
      </c>
      <c r="P1933">
        <v>0</v>
      </c>
      <c r="Q1933">
        <v>0</v>
      </c>
      <c r="S1933" t="str">
        <f>"20:24:26.539"</f>
        <v>20:24:26.539</v>
      </c>
      <c r="T1933" t="str">
        <f>"20:24:26.039"</f>
        <v>20:24:26.039</v>
      </c>
      <c r="U1933" t="str">
        <f t="shared" si="95"/>
        <v>AB01F4</v>
      </c>
      <c r="V1933">
        <v>0</v>
      </c>
      <c r="W1933">
        <v>0</v>
      </c>
      <c r="X1933">
        <v>2</v>
      </c>
      <c r="Z1933">
        <v>0</v>
      </c>
      <c r="AA1933">
        <v>9</v>
      </c>
      <c r="AB1933">
        <v>3</v>
      </c>
      <c r="AC1933">
        <v>0</v>
      </c>
      <c r="AD1933">
        <v>10</v>
      </c>
      <c r="AE1933">
        <v>0</v>
      </c>
      <c r="AF1933">
        <v>3</v>
      </c>
      <c r="AG1933">
        <v>2</v>
      </c>
      <c r="AH1933">
        <v>0</v>
      </c>
      <c r="AI1933" t="s">
        <v>1215</v>
      </c>
      <c r="AJ1933">
        <v>39.918694000000002</v>
      </c>
      <c r="AK1933" t="s">
        <v>1216</v>
      </c>
      <c r="AL1933">
        <v>-92.602750999999998</v>
      </c>
      <c r="AM1933">
        <v>100</v>
      </c>
      <c r="AN1933">
        <v>1700</v>
      </c>
      <c r="AO1933" t="s">
        <v>118</v>
      </c>
      <c r="AP1933">
        <v>-107</v>
      </c>
      <c r="AQ1933">
        <v>77</v>
      </c>
      <c r="AR1933">
        <v>0</v>
      </c>
      <c r="AZ1933">
        <v>1200</v>
      </c>
      <c r="BA1933">
        <v>1</v>
      </c>
      <c r="BB1933" t="str">
        <f t="shared" si="94"/>
        <v xml:space="preserve">N8080G  </v>
      </c>
      <c r="BC1933">
        <v>1</v>
      </c>
      <c r="BE1933">
        <v>0</v>
      </c>
      <c r="BF1933">
        <v>0</v>
      </c>
      <c r="BG1933">
        <v>0</v>
      </c>
      <c r="BH1933">
        <v>1700</v>
      </c>
      <c r="BI1933">
        <v>1</v>
      </c>
      <c r="BJ1933">
        <v>1</v>
      </c>
      <c r="BK1933">
        <v>1</v>
      </c>
      <c r="BL1933">
        <v>0</v>
      </c>
      <c r="BO1933">
        <v>0</v>
      </c>
      <c r="BP1933">
        <v>0</v>
      </c>
      <c r="BW1933" t="str">
        <f>"20:24:26.541"</f>
        <v>20:24:26.541</v>
      </c>
      <c r="BZ1933">
        <v>0</v>
      </c>
      <c r="CA1933">
        <v>2016</v>
      </c>
      <c r="CB1933">
        <v>224</v>
      </c>
      <c r="CD1933">
        <v>1</v>
      </c>
      <c r="CE1933">
        <v>0</v>
      </c>
      <c r="CF1933">
        <v>0</v>
      </c>
      <c r="CG1933">
        <v>1</v>
      </c>
      <c r="CH1933">
        <v>0</v>
      </c>
      <c r="CI1933">
        <v>0</v>
      </c>
      <c r="CJ1933">
        <v>0</v>
      </c>
      <c r="CK1933">
        <v>2</v>
      </c>
      <c r="CL1933">
        <v>0</v>
      </c>
      <c r="CM1933">
        <v>2</v>
      </c>
      <c r="CN1933">
        <v>0</v>
      </c>
      <c r="CO1933">
        <v>7</v>
      </c>
      <c r="CP1933" t="s">
        <v>119</v>
      </c>
      <c r="CQ1933">
        <v>180</v>
      </c>
      <c r="CR1933">
        <v>2</v>
      </c>
      <c r="CW1933">
        <v>8382695</v>
      </c>
      <c r="CY1933">
        <v>1</v>
      </c>
      <c r="CZ1933">
        <v>0</v>
      </c>
      <c r="DA1933">
        <v>1</v>
      </c>
      <c r="DB1933">
        <v>0</v>
      </c>
      <c r="DC1933">
        <v>0</v>
      </c>
      <c r="DD1933">
        <v>0</v>
      </c>
      <c r="DE1933">
        <v>0</v>
      </c>
      <c r="DF1933">
        <v>0</v>
      </c>
      <c r="DG1933">
        <v>0</v>
      </c>
      <c r="DH1933">
        <v>0</v>
      </c>
      <c r="DI1933">
        <v>0</v>
      </c>
    </row>
    <row r="1934" spans="1:113" x14ac:dyDescent="0.3">
      <c r="A1934" t="str">
        <f>"02/08/2021 20:24:24.231"</f>
        <v>02/08/2021 20:24:24.231</v>
      </c>
      <c r="C1934" t="str">
        <f t="shared" si="93"/>
        <v>FFDFD7C0</v>
      </c>
      <c r="D1934" t="s">
        <v>124</v>
      </c>
      <c r="E1934">
        <v>11</v>
      </c>
      <c r="F1934">
        <v>1011</v>
      </c>
      <c r="G1934" t="s">
        <v>590</v>
      </c>
      <c r="J1934" t="s">
        <v>125</v>
      </c>
      <c r="K1934">
        <v>0</v>
      </c>
      <c r="L1934">
        <v>3</v>
      </c>
      <c r="M1934">
        <v>0</v>
      </c>
      <c r="N1934">
        <v>2</v>
      </c>
      <c r="O1934">
        <v>1</v>
      </c>
      <c r="P1934">
        <v>0</v>
      </c>
      <c r="Q1934">
        <v>0</v>
      </c>
      <c r="S1934" t="str">
        <f>"20:24:26.539"</f>
        <v>20:24:26.539</v>
      </c>
      <c r="T1934" t="str">
        <f>"20:24:26.039"</f>
        <v>20:24:26.039</v>
      </c>
      <c r="U1934" t="str">
        <f t="shared" si="95"/>
        <v>AB01F4</v>
      </c>
      <c r="V1934">
        <v>0</v>
      </c>
      <c r="W1934">
        <v>0</v>
      </c>
      <c r="X1934">
        <v>2</v>
      </c>
      <c r="Z1934">
        <v>0</v>
      </c>
      <c r="AA1934">
        <v>9</v>
      </c>
      <c r="AB1934">
        <v>3</v>
      </c>
      <c r="AC1934">
        <v>0</v>
      </c>
      <c r="AD1934">
        <v>10</v>
      </c>
      <c r="AE1934">
        <v>0</v>
      </c>
      <c r="AF1934">
        <v>3</v>
      </c>
      <c r="AG1934">
        <v>2</v>
      </c>
      <c r="AH1934">
        <v>0</v>
      </c>
      <c r="AI1934" t="s">
        <v>1215</v>
      </c>
      <c r="AJ1934">
        <v>39.918694000000002</v>
      </c>
      <c r="AK1934" t="s">
        <v>1216</v>
      </c>
      <c r="AL1934">
        <v>-92.602750999999998</v>
      </c>
      <c r="AM1934">
        <v>100</v>
      </c>
      <c r="AN1934">
        <v>1700</v>
      </c>
      <c r="AO1934" t="s">
        <v>118</v>
      </c>
      <c r="AP1934">
        <v>-107</v>
      </c>
      <c r="AQ1934">
        <v>77</v>
      </c>
      <c r="AR1934">
        <v>0</v>
      </c>
      <c r="AZ1934">
        <v>1200</v>
      </c>
      <c r="BA1934">
        <v>1</v>
      </c>
      <c r="BB1934" t="str">
        <f t="shared" si="94"/>
        <v xml:space="preserve">N8080G  </v>
      </c>
      <c r="BC1934">
        <v>1</v>
      </c>
      <c r="BE1934">
        <v>0</v>
      </c>
      <c r="BF1934">
        <v>0</v>
      </c>
      <c r="BG1934">
        <v>0</v>
      </c>
      <c r="BH1934">
        <v>1700</v>
      </c>
      <c r="BI1934">
        <v>1</v>
      </c>
      <c r="BJ1934">
        <v>1</v>
      </c>
      <c r="BK1934">
        <v>1</v>
      </c>
      <c r="BL1934">
        <v>0</v>
      </c>
      <c r="BO1934">
        <v>0</v>
      </c>
      <c r="BP1934">
        <v>0</v>
      </c>
      <c r="BW1934" t="str">
        <f>"20:24:26.541"</f>
        <v>20:24:26.541</v>
      </c>
      <c r="BZ1934">
        <v>0</v>
      </c>
      <c r="CA1934">
        <v>2016</v>
      </c>
      <c r="CB1934">
        <v>224</v>
      </c>
      <c r="CD1934">
        <v>1</v>
      </c>
      <c r="CE1934">
        <v>0</v>
      </c>
      <c r="CF1934">
        <v>0</v>
      </c>
      <c r="CG1934">
        <v>1</v>
      </c>
      <c r="CH1934">
        <v>0</v>
      </c>
      <c r="CI1934">
        <v>0</v>
      </c>
      <c r="CJ1934">
        <v>0</v>
      </c>
      <c r="CK1934">
        <v>2</v>
      </c>
      <c r="CL1934">
        <v>0</v>
      </c>
      <c r="CM1934">
        <v>2</v>
      </c>
      <c r="CN1934">
        <v>0</v>
      </c>
      <c r="CO1934">
        <v>7</v>
      </c>
      <c r="CP1934" t="s">
        <v>119</v>
      </c>
      <c r="CQ1934">
        <v>180</v>
      </c>
      <c r="CR1934">
        <v>2</v>
      </c>
      <c r="CW1934">
        <v>8382695</v>
      </c>
      <c r="CY1934">
        <v>1</v>
      </c>
      <c r="CZ1934">
        <v>0</v>
      </c>
      <c r="DA1934">
        <v>1</v>
      </c>
      <c r="DB1934">
        <v>0</v>
      </c>
      <c r="DC1934">
        <v>0</v>
      </c>
      <c r="DD1934">
        <v>0</v>
      </c>
      <c r="DE1934">
        <v>0</v>
      </c>
      <c r="DF1934">
        <v>0</v>
      </c>
      <c r="DG1934">
        <v>0</v>
      </c>
      <c r="DH1934">
        <v>0</v>
      </c>
      <c r="DI1934">
        <v>0</v>
      </c>
    </row>
    <row r="1935" spans="1:113" x14ac:dyDescent="0.3">
      <c r="A1935" t="str">
        <f>"02/08/2021 20:24:27.066"</f>
        <v>02/08/2021 20:24:27.066</v>
      </c>
      <c r="C1935" t="str">
        <f t="shared" si="93"/>
        <v>FFDFD7C0</v>
      </c>
      <c r="D1935" t="s">
        <v>124</v>
      </c>
      <c r="E1935">
        <v>12</v>
      </c>
      <c r="F1935">
        <v>1012</v>
      </c>
      <c r="G1935" t="s">
        <v>675</v>
      </c>
      <c r="J1935" t="s">
        <v>125</v>
      </c>
      <c r="K1935">
        <v>0</v>
      </c>
      <c r="L1935">
        <v>3</v>
      </c>
      <c r="M1935">
        <v>0</v>
      </c>
      <c r="N1935">
        <v>2</v>
      </c>
      <c r="O1935">
        <v>1</v>
      </c>
      <c r="P1935">
        <v>0</v>
      </c>
      <c r="Q1935">
        <v>0</v>
      </c>
      <c r="S1935" t="str">
        <f>"20:24:29.359"</f>
        <v>20:24:29.359</v>
      </c>
      <c r="T1935" t="str">
        <f>"20:24:28.959"</f>
        <v>20:24:28.959</v>
      </c>
      <c r="U1935" t="str">
        <f t="shared" si="95"/>
        <v>AB01F4</v>
      </c>
      <c r="V1935">
        <v>0</v>
      </c>
      <c r="W1935">
        <v>0</v>
      </c>
      <c r="X1935">
        <v>2</v>
      </c>
      <c r="Z1935">
        <v>0</v>
      </c>
      <c r="AA1935">
        <v>9</v>
      </c>
      <c r="AB1935">
        <v>3</v>
      </c>
      <c r="AC1935">
        <v>0</v>
      </c>
      <c r="AD1935">
        <v>10</v>
      </c>
      <c r="AE1935">
        <v>0</v>
      </c>
      <c r="AF1935">
        <v>3</v>
      </c>
      <c r="AG1935">
        <v>2</v>
      </c>
      <c r="AH1935">
        <v>0</v>
      </c>
      <c r="AI1935" t="s">
        <v>1217</v>
      </c>
      <c r="AJ1935">
        <v>39.919702999999998</v>
      </c>
      <c r="AK1935" t="s">
        <v>1218</v>
      </c>
      <c r="AL1935">
        <v>-92.604532000000006</v>
      </c>
      <c r="AM1935">
        <v>100</v>
      </c>
      <c r="AN1935">
        <v>1700</v>
      </c>
      <c r="AO1935" t="s">
        <v>118</v>
      </c>
      <c r="AP1935">
        <v>-107</v>
      </c>
      <c r="AQ1935">
        <v>77</v>
      </c>
      <c r="AR1935">
        <v>0</v>
      </c>
      <c r="AZ1935">
        <v>1200</v>
      </c>
      <c r="BA1935">
        <v>1</v>
      </c>
      <c r="BB1935" t="str">
        <f t="shared" si="94"/>
        <v xml:space="preserve">N8080G  </v>
      </c>
      <c r="BC1935">
        <v>1</v>
      </c>
      <c r="BE1935">
        <v>0</v>
      </c>
      <c r="BF1935">
        <v>0</v>
      </c>
      <c r="BG1935">
        <v>0</v>
      </c>
      <c r="BH1935">
        <v>1700</v>
      </c>
      <c r="BI1935">
        <v>1</v>
      </c>
      <c r="BJ1935">
        <v>1</v>
      </c>
      <c r="BK1935">
        <v>1</v>
      </c>
      <c r="BL1935">
        <v>0</v>
      </c>
      <c r="BO1935">
        <v>0</v>
      </c>
      <c r="BP1935">
        <v>0</v>
      </c>
      <c r="BW1935" t="str">
        <f>"20:24:29.360"</f>
        <v>20:24:29.360</v>
      </c>
      <c r="BZ1935">
        <v>0</v>
      </c>
      <c r="CA1935">
        <v>2016</v>
      </c>
      <c r="CB1935">
        <v>224</v>
      </c>
      <c r="CD1935">
        <v>1</v>
      </c>
      <c r="CE1935">
        <v>0</v>
      </c>
      <c r="CF1935">
        <v>0</v>
      </c>
      <c r="CG1935">
        <v>1</v>
      </c>
      <c r="CH1935">
        <v>0</v>
      </c>
      <c r="CI1935">
        <v>0</v>
      </c>
      <c r="CJ1935">
        <v>0</v>
      </c>
      <c r="CK1935">
        <v>2</v>
      </c>
      <c r="CL1935">
        <v>0</v>
      </c>
      <c r="CM1935">
        <v>2</v>
      </c>
      <c r="CN1935">
        <v>0</v>
      </c>
      <c r="CO1935">
        <v>1</v>
      </c>
      <c r="CP1935" t="s">
        <v>119</v>
      </c>
      <c r="CQ1935">
        <v>179</v>
      </c>
      <c r="CR1935">
        <v>1</v>
      </c>
      <c r="CW1935">
        <v>8819926</v>
      </c>
      <c r="CY1935">
        <v>0</v>
      </c>
      <c r="CZ1935">
        <v>0</v>
      </c>
      <c r="DA1935">
        <v>0</v>
      </c>
      <c r="DB1935">
        <v>0</v>
      </c>
      <c r="DC1935">
        <v>0</v>
      </c>
      <c r="DD1935">
        <v>0</v>
      </c>
      <c r="DE1935">
        <v>0</v>
      </c>
      <c r="DF1935">
        <v>0</v>
      </c>
      <c r="DG1935">
        <v>0</v>
      </c>
      <c r="DH1935">
        <v>0</v>
      </c>
      <c r="DI1935">
        <v>0</v>
      </c>
    </row>
    <row r="1936" spans="1:113" x14ac:dyDescent="0.3">
      <c r="A1936" t="str">
        <f>"02/08/2021 20:24:27.066"</f>
        <v>02/08/2021 20:24:27.066</v>
      </c>
      <c r="C1936" t="str">
        <f t="shared" si="93"/>
        <v>FFDFD7C0</v>
      </c>
      <c r="D1936" t="s">
        <v>113</v>
      </c>
      <c r="E1936">
        <v>6</v>
      </c>
      <c r="H1936">
        <v>165</v>
      </c>
      <c r="I1936" t="s">
        <v>114</v>
      </c>
      <c r="J1936" t="s">
        <v>115</v>
      </c>
      <c r="K1936">
        <v>0</v>
      </c>
      <c r="L1936">
        <v>3</v>
      </c>
      <c r="M1936">
        <v>0</v>
      </c>
      <c r="N1936">
        <v>2</v>
      </c>
      <c r="O1936">
        <v>1</v>
      </c>
      <c r="P1936">
        <v>0</v>
      </c>
      <c r="Q1936">
        <v>0</v>
      </c>
      <c r="S1936" t="str">
        <f>"20:24:29.359"</f>
        <v>20:24:29.359</v>
      </c>
      <c r="T1936" t="str">
        <f>"20:24:28.959"</f>
        <v>20:24:28.959</v>
      </c>
      <c r="U1936" t="str">
        <f t="shared" si="95"/>
        <v>AB01F4</v>
      </c>
      <c r="V1936">
        <v>0</v>
      </c>
      <c r="W1936">
        <v>0</v>
      </c>
      <c r="X1936">
        <v>2</v>
      </c>
      <c r="Z1936">
        <v>0</v>
      </c>
      <c r="AA1936">
        <v>9</v>
      </c>
      <c r="AB1936">
        <v>3</v>
      </c>
      <c r="AC1936">
        <v>0</v>
      </c>
      <c r="AD1936">
        <v>10</v>
      </c>
      <c r="AE1936">
        <v>0</v>
      </c>
      <c r="AF1936">
        <v>3</v>
      </c>
      <c r="AG1936">
        <v>2</v>
      </c>
      <c r="AH1936">
        <v>0</v>
      </c>
      <c r="AI1936" t="s">
        <v>1217</v>
      </c>
      <c r="AJ1936">
        <v>39.919702999999998</v>
      </c>
      <c r="AK1936" t="s">
        <v>1218</v>
      </c>
      <c r="AL1936">
        <v>-92.604532000000006</v>
      </c>
      <c r="AM1936">
        <v>100</v>
      </c>
      <c r="AN1936">
        <v>1700</v>
      </c>
      <c r="AO1936" t="s">
        <v>118</v>
      </c>
      <c r="AP1936">
        <v>-107</v>
      </c>
      <c r="AQ1936">
        <v>77</v>
      </c>
      <c r="AR1936">
        <v>0</v>
      </c>
      <c r="AZ1936">
        <v>1200</v>
      </c>
      <c r="BA1936">
        <v>1</v>
      </c>
      <c r="BB1936" t="str">
        <f t="shared" si="94"/>
        <v xml:space="preserve">N8080G  </v>
      </c>
      <c r="BC1936">
        <v>1</v>
      </c>
      <c r="BE1936">
        <v>0</v>
      </c>
      <c r="BF1936">
        <v>0</v>
      </c>
      <c r="BG1936">
        <v>0</v>
      </c>
      <c r="BH1936">
        <v>1700</v>
      </c>
      <c r="BI1936">
        <v>1</v>
      </c>
      <c r="BJ1936">
        <v>1</v>
      </c>
      <c r="BK1936">
        <v>1</v>
      </c>
      <c r="BL1936">
        <v>0</v>
      </c>
      <c r="BO1936">
        <v>0</v>
      </c>
      <c r="BP1936">
        <v>0</v>
      </c>
      <c r="BW1936" t="str">
        <f>"20:24:29.360"</f>
        <v>20:24:29.360</v>
      </c>
      <c r="BZ1936">
        <v>0</v>
      </c>
      <c r="CA1936">
        <v>2016</v>
      </c>
      <c r="CB1936">
        <v>224</v>
      </c>
      <c r="CD1936">
        <v>1</v>
      </c>
      <c r="CE1936">
        <v>0</v>
      </c>
      <c r="CF1936">
        <v>0</v>
      </c>
      <c r="CG1936">
        <v>1</v>
      </c>
      <c r="CH1936">
        <v>0</v>
      </c>
      <c r="CI1936">
        <v>0</v>
      </c>
      <c r="CJ1936">
        <v>0</v>
      </c>
      <c r="CK1936">
        <v>2</v>
      </c>
      <c r="CL1936">
        <v>0</v>
      </c>
      <c r="CM1936">
        <v>2</v>
      </c>
      <c r="CN1936">
        <v>0</v>
      </c>
      <c r="CO1936">
        <v>1</v>
      </c>
      <c r="CP1936" t="s">
        <v>119</v>
      </c>
      <c r="CQ1936">
        <v>179</v>
      </c>
      <c r="CR1936">
        <v>1</v>
      </c>
      <c r="CW1936">
        <v>8819926</v>
      </c>
      <c r="CY1936">
        <v>0</v>
      </c>
      <c r="CZ1936">
        <v>0</v>
      </c>
      <c r="DA1936">
        <v>1</v>
      </c>
      <c r="DB1936">
        <v>0</v>
      </c>
      <c r="DC1936">
        <v>0</v>
      </c>
      <c r="DD1936">
        <v>0</v>
      </c>
      <c r="DE1936">
        <v>0</v>
      </c>
      <c r="DF1936">
        <v>0</v>
      </c>
      <c r="DG1936">
        <v>0</v>
      </c>
      <c r="DH1936">
        <v>0</v>
      </c>
      <c r="DI1936">
        <v>0</v>
      </c>
    </row>
    <row r="1937" spans="1:113" x14ac:dyDescent="0.3">
      <c r="A1937" t="str">
        <f>"02/08/2021 20:24:27.066"</f>
        <v>02/08/2021 20:24:27.066</v>
      </c>
      <c r="C1937" t="str">
        <f t="shared" si="93"/>
        <v>FFDFD7C0</v>
      </c>
      <c r="D1937" t="s">
        <v>124</v>
      </c>
      <c r="E1937">
        <v>11</v>
      </c>
      <c r="F1937">
        <v>1011</v>
      </c>
      <c r="G1937" t="s">
        <v>590</v>
      </c>
      <c r="J1937" t="s">
        <v>125</v>
      </c>
      <c r="K1937">
        <v>0</v>
      </c>
      <c r="L1937">
        <v>3</v>
      </c>
      <c r="M1937">
        <v>0</v>
      </c>
      <c r="N1937">
        <v>2</v>
      </c>
      <c r="O1937">
        <v>1</v>
      </c>
      <c r="P1937">
        <v>0</v>
      </c>
      <c r="Q1937">
        <v>0</v>
      </c>
      <c r="S1937" t="str">
        <f>"20:24:29.359"</f>
        <v>20:24:29.359</v>
      </c>
      <c r="T1937" t="str">
        <f>"20:24:28.959"</f>
        <v>20:24:28.959</v>
      </c>
      <c r="U1937" t="str">
        <f t="shared" si="95"/>
        <v>AB01F4</v>
      </c>
      <c r="V1937">
        <v>0</v>
      </c>
      <c r="W1937">
        <v>0</v>
      </c>
      <c r="X1937">
        <v>2</v>
      </c>
      <c r="Z1937">
        <v>0</v>
      </c>
      <c r="AA1937">
        <v>9</v>
      </c>
      <c r="AB1937">
        <v>3</v>
      </c>
      <c r="AC1937">
        <v>0</v>
      </c>
      <c r="AD1937">
        <v>10</v>
      </c>
      <c r="AE1937">
        <v>0</v>
      </c>
      <c r="AF1937">
        <v>3</v>
      </c>
      <c r="AG1937">
        <v>2</v>
      </c>
      <c r="AH1937">
        <v>0</v>
      </c>
      <c r="AI1937" t="s">
        <v>1217</v>
      </c>
      <c r="AJ1937">
        <v>39.919702999999998</v>
      </c>
      <c r="AK1937" t="s">
        <v>1218</v>
      </c>
      <c r="AL1937">
        <v>-92.604532000000006</v>
      </c>
      <c r="AM1937">
        <v>100</v>
      </c>
      <c r="AN1937">
        <v>1700</v>
      </c>
      <c r="AO1937" t="s">
        <v>118</v>
      </c>
      <c r="AP1937">
        <v>-107</v>
      </c>
      <c r="AQ1937">
        <v>77</v>
      </c>
      <c r="AR1937">
        <v>0</v>
      </c>
      <c r="AZ1937">
        <v>1200</v>
      </c>
      <c r="BA1937">
        <v>1</v>
      </c>
      <c r="BB1937" t="str">
        <f t="shared" si="94"/>
        <v xml:space="preserve">N8080G  </v>
      </c>
      <c r="BC1937">
        <v>1</v>
      </c>
      <c r="BE1937">
        <v>0</v>
      </c>
      <c r="BF1937">
        <v>0</v>
      </c>
      <c r="BG1937">
        <v>0</v>
      </c>
      <c r="BH1937">
        <v>1700</v>
      </c>
      <c r="BI1937">
        <v>1</v>
      </c>
      <c r="BJ1937">
        <v>1</v>
      </c>
      <c r="BK1937">
        <v>1</v>
      </c>
      <c r="BL1937">
        <v>0</v>
      </c>
      <c r="BO1937">
        <v>0</v>
      </c>
      <c r="BP1937">
        <v>0</v>
      </c>
      <c r="BW1937" t="str">
        <f>"20:24:29.360"</f>
        <v>20:24:29.360</v>
      </c>
      <c r="BZ1937">
        <v>0</v>
      </c>
      <c r="CA1937">
        <v>2016</v>
      </c>
      <c r="CB1937">
        <v>224</v>
      </c>
      <c r="CD1937">
        <v>1</v>
      </c>
      <c r="CE1937">
        <v>0</v>
      </c>
      <c r="CF1937">
        <v>0</v>
      </c>
      <c r="CG1937">
        <v>1</v>
      </c>
      <c r="CH1937">
        <v>0</v>
      </c>
      <c r="CI1937">
        <v>0</v>
      </c>
      <c r="CJ1937">
        <v>0</v>
      </c>
      <c r="CK1937">
        <v>2</v>
      </c>
      <c r="CL1937">
        <v>0</v>
      </c>
      <c r="CM1937">
        <v>2</v>
      </c>
      <c r="CN1937">
        <v>0</v>
      </c>
      <c r="CO1937">
        <v>1</v>
      </c>
      <c r="CP1937" t="s">
        <v>119</v>
      </c>
      <c r="CQ1937">
        <v>179</v>
      </c>
      <c r="CR1937">
        <v>1</v>
      </c>
      <c r="CW1937">
        <v>8819926</v>
      </c>
      <c r="CY1937">
        <v>0</v>
      </c>
      <c r="CZ1937">
        <v>0</v>
      </c>
      <c r="DA1937">
        <v>1</v>
      </c>
      <c r="DB1937">
        <v>0</v>
      </c>
      <c r="DC1937">
        <v>0</v>
      </c>
      <c r="DD1937">
        <v>0</v>
      </c>
      <c r="DE1937">
        <v>0</v>
      </c>
      <c r="DF1937">
        <v>0</v>
      </c>
      <c r="DG1937">
        <v>0</v>
      </c>
      <c r="DH1937">
        <v>0</v>
      </c>
      <c r="DI1937">
        <v>0</v>
      </c>
    </row>
    <row r="1938" spans="1:113" x14ac:dyDescent="0.3">
      <c r="A1938" t="str">
        <f>"02/08/2021 20:24:27.066"</f>
        <v>02/08/2021 20:24:27.066</v>
      </c>
      <c r="C1938" t="str">
        <f t="shared" si="93"/>
        <v>FFDFD7C0</v>
      </c>
      <c r="D1938" t="s">
        <v>124</v>
      </c>
      <c r="E1938">
        <v>13</v>
      </c>
      <c r="F1938">
        <v>1013</v>
      </c>
      <c r="G1938" t="s">
        <v>114</v>
      </c>
      <c r="J1938" t="s">
        <v>125</v>
      </c>
      <c r="K1938">
        <v>0</v>
      </c>
      <c r="L1938">
        <v>3</v>
      </c>
      <c r="M1938">
        <v>0</v>
      </c>
      <c r="N1938">
        <v>2</v>
      </c>
      <c r="O1938">
        <v>1</v>
      </c>
      <c r="P1938">
        <v>0</v>
      </c>
      <c r="Q1938">
        <v>0</v>
      </c>
      <c r="S1938" t="str">
        <f>"20:24:29.359"</f>
        <v>20:24:29.359</v>
      </c>
      <c r="T1938" t="str">
        <f>"20:24:28.959"</f>
        <v>20:24:28.959</v>
      </c>
      <c r="U1938" t="str">
        <f t="shared" si="95"/>
        <v>AB01F4</v>
      </c>
      <c r="V1938">
        <v>0</v>
      </c>
      <c r="W1938">
        <v>0</v>
      </c>
      <c r="X1938">
        <v>2</v>
      </c>
      <c r="Z1938">
        <v>0</v>
      </c>
      <c r="AA1938">
        <v>9</v>
      </c>
      <c r="AB1938">
        <v>3</v>
      </c>
      <c r="AC1938">
        <v>0</v>
      </c>
      <c r="AD1938">
        <v>10</v>
      </c>
      <c r="AE1938">
        <v>0</v>
      </c>
      <c r="AF1938">
        <v>3</v>
      </c>
      <c r="AG1938">
        <v>2</v>
      </c>
      <c r="AH1938">
        <v>0</v>
      </c>
      <c r="AI1938" t="s">
        <v>1217</v>
      </c>
      <c r="AJ1938">
        <v>39.919702999999998</v>
      </c>
      <c r="AK1938" t="s">
        <v>1218</v>
      </c>
      <c r="AL1938">
        <v>-92.604532000000006</v>
      </c>
      <c r="AM1938">
        <v>100</v>
      </c>
      <c r="AN1938">
        <v>1700</v>
      </c>
      <c r="AO1938" t="s">
        <v>118</v>
      </c>
      <c r="AP1938">
        <v>-107</v>
      </c>
      <c r="AQ1938">
        <v>77</v>
      </c>
      <c r="AR1938">
        <v>0</v>
      </c>
      <c r="AZ1938">
        <v>1200</v>
      </c>
      <c r="BA1938">
        <v>1</v>
      </c>
      <c r="BB1938" t="str">
        <f t="shared" si="94"/>
        <v xml:space="preserve">N8080G  </v>
      </c>
      <c r="BC1938">
        <v>1</v>
      </c>
      <c r="BE1938">
        <v>0</v>
      </c>
      <c r="BF1938">
        <v>0</v>
      </c>
      <c r="BG1938">
        <v>0</v>
      </c>
      <c r="BH1938">
        <v>1700</v>
      </c>
      <c r="BI1938">
        <v>1</v>
      </c>
      <c r="BJ1938">
        <v>1</v>
      </c>
      <c r="BK1938">
        <v>1</v>
      </c>
      <c r="BL1938">
        <v>0</v>
      </c>
      <c r="BO1938">
        <v>0</v>
      </c>
      <c r="BP1938">
        <v>0</v>
      </c>
      <c r="BW1938" t="str">
        <f>"20:24:29.360"</f>
        <v>20:24:29.360</v>
      </c>
      <c r="BZ1938">
        <v>0</v>
      </c>
      <c r="CA1938">
        <v>2016</v>
      </c>
      <c r="CB1938">
        <v>224</v>
      </c>
      <c r="CD1938">
        <v>1</v>
      </c>
      <c r="CE1938">
        <v>0</v>
      </c>
      <c r="CF1938">
        <v>0</v>
      </c>
      <c r="CG1938">
        <v>1</v>
      </c>
      <c r="CH1938">
        <v>0</v>
      </c>
      <c r="CI1938">
        <v>0</v>
      </c>
      <c r="CJ1938">
        <v>0</v>
      </c>
      <c r="CK1938">
        <v>2</v>
      </c>
      <c r="CL1938">
        <v>0</v>
      </c>
      <c r="CM1938">
        <v>2</v>
      </c>
      <c r="CN1938">
        <v>0</v>
      </c>
      <c r="CO1938">
        <v>1</v>
      </c>
      <c r="CP1938" t="s">
        <v>119</v>
      </c>
      <c r="CQ1938">
        <v>179</v>
      </c>
      <c r="CR1938">
        <v>1</v>
      </c>
      <c r="CW1938">
        <v>8819926</v>
      </c>
      <c r="CY1938">
        <v>0</v>
      </c>
      <c r="CZ1938">
        <v>0</v>
      </c>
      <c r="DA1938">
        <v>1</v>
      </c>
      <c r="DB1938">
        <v>0</v>
      </c>
      <c r="DC1938">
        <v>0</v>
      </c>
      <c r="DD1938">
        <v>0</v>
      </c>
      <c r="DE1938">
        <v>0</v>
      </c>
      <c r="DF1938">
        <v>0</v>
      </c>
      <c r="DG1938">
        <v>0</v>
      </c>
      <c r="DH1938">
        <v>0</v>
      </c>
      <c r="DI1938">
        <v>0</v>
      </c>
    </row>
    <row r="1939" spans="1:113" x14ac:dyDescent="0.3">
      <c r="A1939" t="str">
        <f>"02/08/2021 20:24:28.121"</f>
        <v>02/08/2021 20:24:28.121</v>
      </c>
      <c r="C1939" t="str">
        <f t="shared" si="93"/>
        <v>FFDFD7C0</v>
      </c>
      <c r="D1939" t="s">
        <v>124</v>
      </c>
      <c r="E1939">
        <v>12</v>
      </c>
      <c r="F1939">
        <v>1012</v>
      </c>
      <c r="G1939" t="s">
        <v>675</v>
      </c>
      <c r="J1939" t="s">
        <v>125</v>
      </c>
      <c r="K1939">
        <v>0</v>
      </c>
      <c r="L1939">
        <v>3</v>
      </c>
      <c r="M1939">
        <v>0</v>
      </c>
      <c r="N1939">
        <v>2</v>
      </c>
      <c r="O1939">
        <v>1</v>
      </c>
      <c r="P1939">
        <v>0</v>
      </c>
      <c r="Q1939">
        <v>0</v>
      </c>
      <c r="S1939" t="str">
        <f>"20:24:30.414"</f>
        <v>20:24:30.414</v>
      </c>
      <c r="T1939" t="str">
        <f>"20:24:29.914"</f>
        <v>20:24:29.914</v>
      </c>
      <c r="U1939" t="str">
        <f t="shared" si="95"/>
        <v>AB01F4</v>
      </c>
      <c r="V1939">
        <v>0</v>
      </c>
      <c r="W1939">
        <v>0</v>
      </c>
      <c r="X1939">
        <v>2</v>
      </c>
      <c r="Z1939">
        <v>0</v>
      </c>
      <c r="AA1939">
        <v>9</v>
      </c>
      <c r="AB1939">
        <v>3</v>
      </c>
      <c r="AC1939">
        <v>0</v>
      </c>
      <c r="AD1939">
        <v>10</v>
      </c>
      <c r="AE1939">
        <v>0</v>
      </c>
      <c r="AF1939">
        <v>3</v>
      </c>
      <c r="AG1939">
        <v>2</v>
      </c>
      <c r="AH1939">
        <v>0</v>
      </c>
      <c r="AI1939" t="s">
        <v>1219</v>
      </c>
      <c r="AJ1939">
        <v>39.920088999999997</v>
      </c>
      <c r="AK1939" t="s">
        <v>1220</v>
      </c>
      <c r="AL1939">
        <v>-92.605219000000005</v>
      </c>
      <c r="AM1939">
        <v>100</v>
      </c>
      <c r="AN1939">
        <v>1700</v>
      </c>
      <c r="AO1939" t="s">
        <v>118</v>
      </c>
      <c r="AP1939">
        <v>-107</v>
      </c>
      <c r="AQ1939">
        <v>77</v>
      </c>
      <c r="AR1939">
        <v>0</v>
      </c>
      <c r="AZ1939">
        <v>1200</v>
      </c>
      <c r="BA1939">
        <v>1</v>
      </c>
      <c r="BB1939" t="str">
        <f t="shared" si="94"/>
        <v xml:space="preserve">N8080G  </v>
      </c>
      <c r="BC1939">
        <v>1</v>
      </c>
      <c r="BE1939">
        <v>0</v>
      </c>
      <c r="BF1939">
        <v>0</v>
      </c>
      <c r="BG1939">
        <v>0</v>
      </c>
      <c r="BH1939">
        <v>1700</v>
      </c>
      <c r="BI1939">
        <v>1</v>
      </c>
      <c r="BJ1939">
        <v>1</v>
      </c>
      <c r="BK1939">
        <v>1</v>
      </c>
      <c r="BL1939">
        <v>0</v>
      </c>
      <c r="BO1939">
        <v>0</v>
      </c>
      <c r="BP1939">
        <v>0</v>
      </c>
      <c r="BW1939" t="str">
        <f>"20:24:30.420"</f>
        <v>20:24:30.420</v>
      </c>
      <c r="BZ1939">
        <v>0</v>
      </c>
      <c r="CA1939">
        <v>2016</v>
      </c>
      <c r="CB1939">
        <v>224</v>
      </c>
      <c r="CD1939">
        <v>1</v>
      </c>
      <c r="CE1939">
        <v>0</v>
      </c>
      <c r="CF1939">
        <v>0</v>
      </c>
      <c r="CG1939">
        <v>1</v>
      </c>
      <c r="CH1939">
        <v>0</v>
      </c>
      <c r="CI1939">
        <v>0</v>
      </c>
      <c r="CJ1939">
        <v>0</v>
      </c>
      <c r="CK1939">
        <v>2</v>
      </c>
      <c r="CL1939">
        <v>0</v>
      </c>
      <c r="CM1939">
        <v>2</v>
      </c>
      <c r="CN1939">
        <v>0</v>
      </c>
      <c r="CO1939">
        <v>2</v>
      </c>
      <c r="CP1939" t="s">
        <v>119</v>
      </c>
      <c r="CQ1939">
        <v>179</v>
      </c>
      <c r="CR1939">
        <v>1</v>
      </c>
      <c r="CW1939">
        <v>8820796</v>
      </c>
      <c r="CY1939">
        <v>0</v>
      </c>
      <c r="CZ1939">
        <v>0</v>
      </c>
      <c r="DA1939">
        <v>0</v>
      </c>
      <c r="DB1939">
        <v>0</v>
      </c>
      <c r="DC1939">
        <v>0</v>
      </c>
      <c r="DD1939">
        <v>0</v>
      </c>
      <c r="DE1939">
        <v>0</v>
      </c>
      <c r="DF1939">
        <v>0</v>
      </c>
      <c r="DG1939">
        <v>0</v>
      </c>
      <c r="DH1939">
        <v>0</v>
      </c>
      <c r="DI1939">
        <v>0</v>
      </c>
    </row>
    <row r="1940" spans="1:113" x14ac:dyDescent="0.3">
      <c r="A1940" t="str">
        <f>"02/08/2021 20:24:28.121"</f>
        <v>02/08/2021 20:24:28.121</v>
      </c>
      <c r="C1940" t="str">
        <f t="shared" si="93"/>
        <v>FFDFD7C0</v>
      </c>
      <c r="D1940" t="s">
        <v>113</v>
      </c>
      <c r="E1940">
        <v>6</v>
      </c>
      <c r="H1940">
        <v>165</v>
      </c>
      <c r="I1940" t="s">
        <v>114</v>
      </c>
      <c r="J1940" t="s">
        <v>115</v>
      </c>
      <c r="K1940">
        <v>0</v>
      </c>
      <c r="L1940">
        <v>3</v>
      </c>
      <c r="M1940">
        <v>0</v>
      </c>
      <c r="N1940">
        <v>2</v>
      </c>
      <c r="O1940">
        <v>1</v>
      </c>
      <c r="P1940">
        <v>0</v>
      </c>
      <c r="Q1940">
        <v>0</v>
      </c>
      <c r="S1940" t="str">
        <f>"20:24:30.414"</f>
        <v>20:24:30.414</v>
      </c>
      <c r="T1940" t="str">
        <f>"20:24:29.914"</f>
        <v>20:24:29.914</v>
      </c>
      <c r="U1940" t="str">
        <f t="shared" si="95"/>
        <v>AB01F4</v>
      </c>
      <c r="V1940">
        <v>0</v>
      </c>
      <c r="W1940">
        <v>0</v>
      </c>
      <c r="X1940">
        <v>2</v>
      </c>
      <c r="Z1940">
        <v>0</v>
      </c>
      <c r="AA1940">
        <v>9</v>
      </c>
      <c r="AB1940">
        <v>3</v>
      </c>
      <c r="AC1940">
        <v>0</v>
      </c>
      <c r="AD1940">
        <v>10</v>
      </c>
      <c r="AE1940">
        <v>0</v>
      </c>
      <c r="AF1940">
        <v>3</v>
      </c>
      <c r="AG1940">
        <v>2</v>
      </c>
      <c r="AH1940">
        <v>0</v>
      </c>
      <c r="AI1940" t="s">
        <v>1219</v>
      </c>
      <c r="AJ1940">
        <v>39.920088999999997</v>
      </c>
      <c r="AK1940" t="s">
        <v>1220</v>
      </c>
      <c r="AL1940">
        <v>-92.605219000000005</v>
      </c>
      <c r="AM1940">
        <v>100</v>
      </c>
      <c r="AN1940">
        <v>1700</v>
      </c>
      <c r="AO1940" t="s">
        <v>118</v>
      </c>
      <c r="AP1940">
        <v>-107</v>
      </c>
      <c r="AQ1940">
        <v>77</v>
      </c>
      <c r="AR1940">
        <v>0</v>
      </c>
      <c r="AZ1940">
        <v>1200</v>
      </c>
      <c r="BA1940">
        <v>1</v>
      </c>
      <c r="BB1940" t="str">
        <f t="shared" si="94"/>
        <v xml:space="preserve">N8080G  </v>
      </c>
      <c r="BC1940">
        <v>1</v>
      </c>
      <c r="BE1940">
        <v>0</v>
      </c>
      <c r="BF1940">
        <v>0</v>
      </c>
      <c r="BG1940">
        <v>0</v>
      </c>
      <c r="BH1940">
        <v>1700</v>
      </c>
      <c r="BI1940">
        <v>1</v>
      </c>
      <c r="BJ1940">
        <v>1</v>
      </c>
      <c r="BK1940">
        <v>1</v>
      </c>
      <c r="BL1940">
        <v>0</v>
      </c>
      <c r="BO1940">
        <v>0</v>
      </c>
      <c r="BP1940">
        <v>0</v>
      </c>
      <c r="BW1940" t="str">
        <f>"20:24:30.420"</f>
        <v>20:24:30.420</v>
      </c>
      <c r="BZ1940">
        <v>0</v>
      </c>
      <c r="CA1940">
        <v>2016</v>
      </c>
      <c r="CB1940">
        <v>224</v>
      </c>
      <c r="CD1940">
        <v>1</v>
      </c>
      <c r="CE1940">
        <v>0</v>
      </c>
      <c r="CF1940">
        <v>0</v>
      </c>
      <c r="CG1940">
        <v>1</v>
      </c>
      <c r="CH1940">
        <v>0</v>
      </c>
      <c r="CI1940">
        <v>0</v>
      </c>
      <c r="CJ1940">
        <v>0</v>
      </c>
      <c r="CK1940">
        <v>2</v>
      </c>
      <c r="CL1940">
        <v>0</v>
      </c>
      <c r="CM1940">
        <v>2</v>
      </c>
      <c r="CN1940">
        <v>0</v>
      </c>
      <c r="CO1940">
        <v>2</v>
      </c>
      <c r="CP1940" t="s">
        <v>119</v>
      </c>
      <c r="CQ1940">
        <v>179</v>
      </c>
      <c r="CR1940">
        <v>1</v>
      </c>
      <c r="CW1940">
        <v>8820796</v>
      </c>
      <c r="CY1940">
        <v>0</v>
      </c>
      <c r="CZ1940">
        <v>0</v>
      </c>
      <c r="DA1940">
        <v>1</v>
      </c>
      <c r="DB1940">
        <v>0</v>
      </c>
      <c r="DC1940">
        <v>0</v>
      </c>
      <c r="DD1940">
        <v>0</v>
      </c>
      <c r="DE1940">
        <v>0</v>
      </c>
      <c r="DF1940">
        <v>0</v>
      </c>
      <c r="DG1940">
        <v>0</v>
      </c>
      <c r="DH1940">
        <v>0</v>
      </c>
      <c r="DI1940">
        <v>0</v>
      </c>
    </row>
    <row r="1941" spans="1:113" x14ac:dyDescent="0.3">
      <c r="A1941" t="str">
        <f>"02/08/2021 20:24:28.121"</f>
        <v>02/08/2021 20:24:28.121</v>
      </c>
      <c r="C1941" t="str">
        <f t="shared" si="93"/>
        <v>FFDFD7C0</v>
      </c>
      <c r="D1941" t="s">
        <v>124</v>
      </c>
      <c r="E1941">
        <v>11</v>
      </c>
      <c r="F1941">
        <v>1011</v>
      </c>
      <c r="G1941" t="s">
        <v>590</v>
      </c>
      <c r="J1941" t="s">
        <v>125</v>
      </c>
      <c r="K1941">
        <v>0</v>
      </c>
      <c r="L1941">
        <v>3</v>
      </c>
      <c r="M1941">
        <v>0</v>
      </c>
      <c r="N1941">
        <v>2</v>
      </c>
      <c r="O1941">
        <v>1</v>
      </c>
      <c r="P1941">
        <v>0</v>
      </c>
      <c r="Q1941">
        <v>0</v>
      </c>
      <c r="S1941" t="str">
        <f>"20:24:30.414"</f>
        <v>20:24:30.414</v>
      </c>
      <c r="T1941" t="str">
        <f>"20:24:29.914"</f>
        <v>20:24:29.914</v>
      </c>
      <c r="U1941" t="str">
        <f t="shared" si="95"/>
        <v>AB01F4</v>
      </c>
      <c r="V1941">
        <v>0</v>
      </c>
      <c r="W1941">
        <v>0</v>
      </c>
      <c r="X1941">
        <v>2</v>
      </c>
      <c r="Z1941">
        <v>0</v>
      </c>
      <c r="AA1941">
        <v>9</v>
      </c>
      <c r="AB1941">
        <v>3</v>
      </c>
      <c r="AC1941">
        <v>0</v>
      </c>
      <c r="AD1941">
        <v>10</v>
      </c>
      <c r="AE1941">
        <v>0</v>
      </c>
      <c r="AF1941">
        <v>3</v>
      </c>
      <c r="AG1941">
        <v>2</v>
      </c>
      <c r="AH1941">
        <v>0</v>
      </c>
      <c r="AI1941" t="s">
        <v>1219</v>
      </c>
      <c r="AJ1941">
        <v>39.920088999999997</v>
      </c>
      <c r="AK1941" t="s">
        <v>1220</v>
      </c>
      <c r="AL1941">
        <v>-92.605219000000005</v>
      </c>
      <c r="AM1941">
        <v>100</v>
      </c>
      <c r="AN1941">
        <v>1700</v>
      </c>
      <c r="AO1941" t="s">
        <v>118</v>
      </c>
      <c r="AP1941">
        <v>-107</v>
      </c>
      <c r="AQ1941">
        <v>77</v>
      </c>
      <c r="AR1941">
        <v>0</v>
      </c>
      <c r="AZ1941">
        <v>1200</v>
      </c>
      <c r="BA1941">
        <v>1</v>
      </c>
      <c r="BB1941" t="str">
        <f t="shared" si="94"/>
        <v xml:space="preserve">N8080G  </v>
      </c>
      <c r="BC1941">
        <v>1</v>
      </c>
      <c r="BE1941">
        <v>0</v>
      </c>
      <c r="BF1941">
        <v>0</v>
      </c>
      <c r="BG1941">
        <v>0</v>
      </c>
      <c r="BH1941">
        <v>1700</v>
      </c>
      <c r="BI1941">
        <v>1</v>
      </c>
      <c r="BJ1941">
        <v>1</v>
      </c>
      <c r="BK1941">
        <v>1</v>
      </c>
      <c r="BL1941">
        <v>0</v>
      </c>
      <c r="BO1941">
        <v>0</v>
      </c>
      <c r="BP1941">
        <v>0</v>
      </c>
      <c r="BW1941" t="str">
        <f>"20:24:30.420"</f>
        <v>20:24:30.420</v>
      </c>
      <c r="BZ1941">
        <v>0</v>
      </c>
      <c r="CA1941">
        <v>2016</v>
      </c>
      <c r="CB1941">
        <v>224</v>
      </c>
      <c r="CD1941">
        <v>1</v>
      </c>
      <c r="CE1941">
        <v>0</v>
      </c>
      <c r="CF1941">
        <v>0</v>
      </c>
      <c r="CG1941">
        <v>1</v>
      </c>
      <c r="CH1941">
        <v>0</v>
      </c>
      <c r="CI1941">
        <v>0</v>
      </c>
      <c r="CJ1941">
        <v>0</v>
      </c>
      <c r="CK1941">
        <v>2</v>
      </c>
      <c r="CL1941">
        <v>0</v>
      </c>
      <c r="CM1941">
        <v>2</v>
      </c>
      <c r="CN1941">
        <v>0</v>
      </c>
      <c r="CO1941">
        <v>2</v>
      </c>
      <c r="CP1941" t="s">
        <v>119</v>
      </c>
      <c r="CQ1941">
        <v>179</v>
      </c>
      <c r="CR1941">
        <v>1</v>
      </c>
      <c r="CW1941">
        <v>8820796</v>
      </c>
      <c r="CY1941">
        <v>0</v>
      </c>
      <c r="CZ1941">
        <v>0</v>
      </c>
      <c r="DA1941">
        <v>1</v>
      </c>
      <c r="DB1941">
        <v>0</v>
      </c>
      <c r="DC1941">
        <v>0</v>
      </c>
      <c r="DD1941">
        <v>0</v>
      </c>
      <c r="DE1941">
        <v>0</v>
      </c>
      <c r="DF1941">
        <v>0</v>
      </c>
      <c r="DG1941">
        <v>0</v>
      </c>
      <c r="DH1941">
        <v>0</v>
      </c>
      <c r="DI1941">
        <v>0</v>
      </c>
    </row>
    <row r="1942" spans="1:113" x14ac:dyDescent="0.3">
      <c r="A1942" t="str">
        <f>"02/08/2021 20:24:28.121"</f>
        <v>02/08/2021 20:24:28.121</v>
      </c>
      <c r="C1942" t="str">
        <f t="shared" si="93"/>
        <v>FFDFD7C0</v>
      </c>
      <c r="D1942" t="s">
        <v>124</v>
      </c>
      <c r="E1942">
        <v>13</v>
      </c>
      <c r="F1942">
        <v>1013</v>
      </c>
      <c r="G1942" t="s">
        <v>114</v>
      </c>
      <c r="J1942" t="s">
        <v>125</v>
      </c>
      <c r="K1942">
        <v>0</v>
      </c>
      <c r="L1942">
        <v>3</v>
      </c>
      <c r="M1942">
        <v>0</v>
      </c>
      <c r="N1942">
        <v>2</v>
      </c>
      <c r="O1942">
        <v>1</v>
      </c>
      <c r="P1942">
        <v>0</v>
      </c>
      <c r="Q1942">
        <v>0</v>
      </c>
      <c r="S1942" t="str">
        <f>"20:24:30.414"</f>
        <v>20:24:30.414</v>
      </c>
      <c r="T1942" t="str">
        <f>"20:24:29.914"</f>
        <v>20:24:29.914</v>
      </c>
      <c r="U1942" t="str">
        <f t="shared" si="95"/>
        <v>AB01F4</v>
      </c>
      <c r="V1942">
        <v>0</v>
      </c>
      <c r="W1942">
        <v>0</v>
      </c>
      <c r="X1942">
        <v>2</v>
      </c>
      <c r="Z1942">
        <v>0</v>
      </c>
      <c r="AA1942">
        <v>9</v>
      </c>
      <c r="AB1942">
        <v>3</v>
      </c>
      <c r="AC1942">
        <v>0</v>
      </c>
      <c r="AD1942">
        <v>10</v>
      </c>
      <c r="AE1942">
        <v>0</v>
      </c>
      <c r="AF1942">
        <v>3</v>
      </c>
      <c r="AG1942">
        <v>2</v>
      </c>
      <c r="AH1942">
        <v>0</v>
      </c>
      <c r="AI1942" t="s">
        <v>1219</v>
      </c>
      <c r="AJ1942">
        <v>39.920088999999997</v>
      </c>
      <c r="AK1942" t="s">
        <v>1220</v>
      </c>
      <c r="AL1942">
        <v>-92.605219000000005</v>
      </c>
      <c r="AM1942">
        <v>100</v>
      </c>
      <c r="AN1942">
        <v>1700</v>
      </c>
      <c r="AO1942" t="s">
        <v>118</v>
      </c>
      <c r="AP1942">
        <v>-107</v>
      </c>
      <c r="AQ1942">
        <v>77</v>
      </c>
      <c r="AR1942">
        <v>0</v>
      </c>
      <c r="AZ1942">
        <v>1200</v>
      </c>
      <c r="BA1942">
        <v>1</v>
      </c>
      <c r="BB1942" t="str">
        <f t="shared" si="94"/>
        <v xml:space="preserve">N8080G  </v>
      </c>
      <c r="BC1942">
        <v>1</v>
      </c>
      <c r="BE1942">
        <v>0</v>
      </c>
      <c r="BF1942">
        <v>0</v>
      </c>
      <c r="BG1942">
        <v>0</v>
      </c>
      <c r="BH1942">
        <v>1700</v>
      </c>
      <c r="BI1942">
        <v>1</v>
      </c>
      <c r="BJ1942">
        <v>1</v>
      </c>
      <c r="BK1942">
        <v>1</v>
      </c>
      <c r="BL1942">
        <v>0</v>
      </c>
      <c r="BO1942">
        <v>0</v>
      </c>
      <c r="BP1942">
        <v>0</v>
      </c>
      <c r="BW1942" t="str">
        <f>"20:24:30.420"</f>
        <v>20:24:30.420</v>
      </c>
      <c r="BZ1942">
        <v>0</v>
      </c>
      <c r="CA1942">
        <v>2016</v>
      </c>
      <c r="CB1942">
        <v>224</v>
      </c>
      <c r="CD1942">
        <v>1</v>
      </c>
      <c r="CE1942">
        <v>0</v>
      </c>
      <c r="CF1942">
        <v>0</v>
      </c>
      <c r="CG1942">
        <v>1</v>
      </c>
      <c r="CH1942">
        <v>0</v>
      </c>
      <c r="CI1942">
        <v>0</v>
      </c>
      <c r="CJ1942">
        <v>0</v>
      </c>
      <c r="CK1942">
        <v>2</v>
      </c>
      <c r="CL1942">
        <v>0</v>
      </c>
      <c r="CM1942">
        <v>2</v>
      </c>
      <c r="CN1942">
        <v>0</v>
      </c>
      <c r="CO1942">
        <v>2</v>
      </c>
      <c r="CP1942" t="s">
        <v>119</v>
      </c>
      <c r="CQ1942">
        <v>179</v>
      </c>
      <c r="CR1942">
        <v>1</v>
      </c>
      <c r="CW1942">
        <v>8820796</v>
      </c>
      <c r="CY1942">
        <v>0</v>
      </c>
      <c r="CZ1942">
        <v>0</v>
      </c>
      <c r="DA1942">
        <v>1</v>
      </c>
      <c r="DB1942">
        <v>0</v>
      </c>
      <c r="DC1942">
        <v>0</v>
      </c>
      <c r="DD1942">
        <v>0</v>
      </c>
      <c r="DE1942">
        <v>0</v>
      </c>
      <c r="DF1942">
        <v>0</v>
      </c>
      <c r="DG1942">
        <v>0</v>
      </c>
      <c r="DH1942">
        <v>0</v>
      </c>
      <c r="DI1942">
        <v>0</v>
      </c>
    </row>
    <row r="1943" spans="1:113" x14ac:dyDescent="0.3">
      <c r="A1943" t="str">
        <f>"02/08/2021 20:24:29.076"</f>
        <v>02/08/2021 20:24:29.076</v>
      </c>
      <c r="C1943" t="str">
        <f t="shared" si="93"/>
        <v>FFDFD7C0</v>
      </c>
      <c r="D1943" t="s">
        <v>124</v>
      </c>
      <c r="E1943">
        <v>12</v>
      </c>
      <c r="F1943">
        <v>1012</v>
      </c>
      <c r="G1943" t="s">
        <v>675</v>
      </c>
      <c r="J1943" t="s">
        <v>125</v>
      </c>
      <c r="K1943">
        <v>0</v>
      </c>
      <c r="L1943">
        <v>3</v>
      </c>
      <c r="M1943">
        <v>0</v>
      </c>
      <c r="N1943">
        <v>2</v>
      </c>
      <c r="O1943">
        <v>1</v>
      </c>
      <c r="P1943">
        <v>0</v>
      </c>
      <c r="Q1943">
        <v>0</v>
      </c>
      <c r="S1943" t="str">
        <f>"20:24:31.398"</f>
        <v>20:24:31.398</v>
      </c>
      <c r="T1943" t="str">
        <f>"20:24:30.998"</f>
        <v>20:24:30.998</v>
      </c>
      <c r="U1943" t="str">
        <f t="shared" si="95"/>
        <v>AB01F4</v>
      </c>
      <c r="V1943">
        <v>0</v>
      </c>
      <c r="W1943">
        <v>0</v>
      </c>
      <c r="X1943">
        <v>2</v>
      </c>
      <c r="Z1943">
        <v>0</v>
      </c>
      <c r="AA1943">
        <v>9</v>
      </c>
      <c r="AB1943">
        <v>3</v>
      </c>
      <c r="AC1943">
        <v>0</v>
      </c>
      <c r="AD1943">
        <v>10</v>
      </c>
      <c r="AE1943">
        <v>0</v>
      </c>
      <c r="AF1943">
        <v>3</v>
      </c>
      <c r="AG1943">
        <v>2</v>
      </c>
      <c r="AH1943">
        <v>0</v>
      </c>
      <c r="AI1943" t="s">
        <v>1221</v>
      </c>
      <c r="AJ1943">
        <v>39.920433000000003</v>
      </c>
      <c r="AK1943" t="s">
        <v>1222</v>
      </c>
      <c r="AL1943">
        <v>-92.605840999999998</v>
      </c>
      <c r="AM1943">
        <v>100</v>
      </c>
      <c r="AN1943">
        <v>1700</v>
      </c>
      <c r="AO1943" t="s">
        <v>118</v>
      </c>
      <c r="AP1943">
        <v>-107</v>
      </c>
      <c r="AQ1943">
        <v>77</v>
      </c>
      <c r="AR1943">
        <v>0</v>
      </c>
      <c r="AZ1943">
        <v>1200</v>
      </c>
      <c r="BA1943">
        <v>1</v>
      </c>
      <c r="BB1943" t="str">
        <f t="shared" si="94"/>
        <v xml:space="preserve">N8080G  </v>
      </c>
      <c r="BC1943">
        <v>1</v>
      </c>
      <c r="BE1943">
        <v>0</v>
      </c>
      <c r="BF1943">
        <v>0</v>
      </c>
      <c r="BG1943">
        <v>0</v>
      </c>
      <c r="BH1943">
        <v>1700</v>
      </c>
      <c r="BI1943">
        <v>1</v>
      </c>
      <c r="BJ1943">
        <v>1</v>
      </c>
      <c r="BK1943">
        <v>1</v>
      </c>
      <c r="BL1943">
        <v>0</v>
      </c>
      <c r="BO1943">
        <v>0</v>
      </c>
      <c r="BP1943">
        <v>0</v>
      </c>
      <c r="BW1943" t="str">
        <f>"20:24:31.399"</f>
        <v>20:24:31.399</v>
      </c>
      <c r="BZ1943">
        <v>0</v>
      </c>
      <c r="CA1943">
        <v>2016</v>
      </c>
      <c r="CB1943">
        <v>224</v>
      </c>
      <c r="CD1943">
        <v>1</v>
      </c>
      <c r="CE1943">
        <v>0</v>
      </c>
      <c r="CF1943">
        <v>0</v>
      </c>
      <c r="CG1943">
        <v>1</v>
      </c>
      <c r="CH1943">
        <v>0</v>
      </c>
      <c r="CI1943">
        <v>0</v>
      </c>
      <c r="CJ1943">
        <v>0</v>
      </c>
      <c r="CK1943">
        <v>2</v>
      </c>
      <c r="CL1943">
        <v>0</v>
      </c>
      <c r="CM1943">
        <v>2</v>
      </c>
      <c r="CN1943">
        <v>0</v>
      </c>
      <c r="CO1943">
        <v>7</v>
      </c>
      <c r="CP1943" t="s">
        <v>119</v>
      </c>
      <c r="CQ1943">
        <v>180</v>
      </c>
      <c r="CR1943">
        <v>2</v>
      </c>
      <c r="CW1943">
        <v>8386645</v>
      </c>
      <c r="CY1943">
        <v>0</v>
      </c>
      <c r="CZ1943">
        <v>0</v>
      </c>
      <c r="DA1943">
        <v>0</v>
      </c>
      <c r="DB1943">
        <v>0</v>
      </c>
      <c r="DC1943">
        <v>0</v>
      </c>
      <c r="DD1943">
        <v>0</v>
      </c>
      <c r="DE1943">
        <v>0</v>
      </c>
      <c r="DF1943">
        <v>0</v>
      </c>
      <c r="DG1943">
        <v>0</v>
      </c>
      <c r="DH1943">
        <v>0</v>
      </c>
      <c r="DI1943">
        <v>0</v>
      </c>
    </row>
    <row r="1944" spans="1:113" x14ac:dyDescent="0.3">
      <c r="A1944" t="str">
        <f>"02/08/2021 20:24:29.076"</f>
        <v>02/08/2021 20:24:29.076</v>
      </c>
      <c r="C1944" t="str">
        <f t="shared" si="93"/>
        <v>FFDFD7C0</v>
      </c>
      <c r="D1944" t="s">
        <v>113</v>
      </c>
      <c r="E1944">
        <v>6</v>
      </c>
      <c r="H1944">
        <v>165</v>
      </c>
      <c r="I1944" t="s">
        <v>114</v>
      </c>
      <c r="J1944" t="s">
        <v>115</v>
      </c>
      <c r="K1944">
        <v>0</v>
      </c>
      <c r="L1944">
        <v>3</v>
      </c>
      <c r="M1944">
        <v>0</v>
      </c>
      <c r="N1944">
        <v>2</v>
      </c>
      <c r="O1944">
        <v>1</v>
      </c>
      <c r="P1944">
        <v>0</v>
      </c>
      <c r="Q1944">
        <v>0</v>
      </c>
      <c r="S1944" t="str">
        <f>"20:24:31.398"</f>
        <v>20:24:31.398</v>
      </c>
      <c r="T1944" t="str">
        <f>"20:24:30.998"</f>
        <v>20:24:30.998</v>
      </c>
      <c r="U1944" t="str">
        <f t="shared" si="95"/>
        <v>AB01F4</v>
      </c>
      <c r="V1944">
        <v>0</v>
      </c>
      <c r="W1944">
        <v>0</v>
      </c>
      <c r="X1944">
        <v>2</v>
      </c>
      <c r="Z1944">
        <v>0</v>
      </c>
      <c r="AA1944">
        <v>9</v>
      </c>
      <c r="AB1944">
        <v>3</v>
      </c>
      <c r="AC1944">
        <v>0</v>
      </c>
      <c r="AD1944">
        <v>10</v>
      </c>
      <c r="AE1944">
        <v>0</v>
      </c>
      <c r="AF1944">
        <v>3</v>
      </c>
      <c r="AG1944">
        <v>2</v>
      </c>
      <c r="AH1944">
        <v>0</v>
      </c>
      <c r="AI1944" t="s">
        <v>1221</v>
      </c>
      <c r="AJ1944">
        <v>39.920433000000003</v>
      </c>
      <c r="AK1944" t="s">
        <v>1222</v>
      </c>
      <c r="AL1944">
        <v>-92.605840999999998</v>
      </c>
      <c r="AM1944">
        <v>100</v>
      </c>
      <c r="AN1944">
        <v>1700</v>
      </c>
      <c r="AO1944" t="s">
        <v>118</v>
      </c>
      <c r="AP1944">
        <v>-107</v>
      </c>
      <c r="AQ1944">
        <v>77</v>
      </c>
      <c r="AR1944">
        <v>0</v>
      </c>
      <c r="AZ1944">
        <v>1200</v>
      </c>
      <c r="BA1944">
        <v>1</v>
      </c>
      <c r="BB1944" t="str">
        <f t="shared" si="94"/>
        <v xml:space="preserve">N8080G  </v>
      </c>
      <c r="BC1944">
        <v>1</v>
      </c>
      <c r="BE1944">
        <v>0</v>
      </c>
      <c r="BF1944">
        <v>0</v>
      </c>
      <c r="BG1944">
        <v>0</v>
      </c>
      <c r="BH1944">
        <v>1700</v>
      </c>
      <c r="BI1944">
        <v>1</v>
      </c>
      <c r="BJ1944">
        <v>1</v>
      </c>
      <c r="BK1944">
        <v>1</v>
      </c>
      <c r="BL1944">
        <v>0</v>
      </c>
      <c r="BO1944">
        <v>0</v>
      </c>
      <c r="BP1944">
        <v>0</v>
      </c>
      <c r="BW1944" t="str">
        <f>"20:24:31.399"</f>
        <v>20:24:31.399</v>
      </c>
      <c r="BZ1944">
        <v>0</v>
      </c>
      <c r="CA1944">
        <v>2016</v>
      </c>
      <c r="CB1944">
        <v>224</v>
      </c>
      <c r="CD1944">
        <v>1</v>
      </c>
      <c r="CE1944">
        <v>0</v>
      </c>
      <c r="CF1944">
        <v>0</v>
      </c>
      <c r="CG1944">
        <v>1</v>
      </c>
      <c r="CH1944">
        <v>0</v>
      </c>
      <c r="CI1944">
        <v>0</v>
      </c>
      <c r="CJ1944">
        <v>0</v>
      </c>
      <c r="CK1944">
        <v>2</v>
      </c>
      <c r="CL1944">
        <v>0</v>
      </c>
      <c r="CM1944">
        <v>2</v>
      </c>
      <c r="CN1944">
        <v>0</v>
      </c>
      <c r="CO1944">
        <v>7</v>
      </c>
      <c r="CP1944" t="s">
        <v>119</v>
      </c>
      <c r="CQ1944">
        <v>180</v>
      </c>
      <c r="CR1944">
        <v>2</v>
      </c>
      <c r="CW1944">
        <v>8386645</v>
      </c>
      <c r="CY1944">
        <v>0</v>
      </c>
      <c r="CZ1944">
        <v>0</v>
      </c>
      <c r="DA1944">
        <v>1</v>
      </c>
      <c r="DB1944">
        <v>0</v>
      </c>
      <c r="DC1944">
        <v>0</v>
      </c>
      <c r="DD1944">
        <v>0</v>
      </c>
      <c r="DE1944">
        <v>0</v>
      </c>
      <c r="DF1944">
        <v>0</v>
      </c>
      <c r="DG1944">
        <v>0</v>
      </c>
      <c r="DH1944">
        <v>0</v>
      </c>
      <c r="DI1944">
        <v>0</v>
      </c>
    </row>
    <row r="1945" spans="1:113" x14ac:dyDescent="0.3">
      <c r="A1945" t="str">
        <f>"02/08/2021 20:24:29.076"</f>
        <v>02/08/2021 20:24:29.076</v>
      </c>
      <c r="C1945" t="str">
        <f t="shared" si="93"/>
        <v>FFDFD7C0</v>
      </c>
      <c r="D1945" t="s">
        <v>124</v>
      </c>
      <c r="E1945">
        <v>11</v>
      </c>
      <c r="F1945">
        <v>1011</v>
      </c>
      <c r="G1945" t="s">
        <v>590</v>
      </c>
      <c r="J1945" t="s">
        <v>125</v>
      </c>
      <c r="K1945">
        <v>0</v>
      </c>
      <c r="L1945">
        <v>3</v>
      </c>
      <c r="M1945">
        <v>0</v>
      </c>
      <c r="N1945">
        <v>2</v>
      </c>
      <c r="O1945">
        <v>1</v>
      </c>
      <c r="P1945">
        <v>0</v>
      </c>
      <c r="Q1945">
        <v>0</v>
      </c>
      <c r="S1945" t="str">
        <f>"20:24:31.398"</f>
        <v>20:24:31.398</v>
      </c>
      <c r="T1945" t="str">
        <f>"20:24:30.998"</f>
        <v>20:24:30.998</v>
      </c>
      <c r="U1945" t="str">
        <f t="shared" si="95"/>
        <v>AB01F4</v>
      </c>
      <c r="V1945">
        <v>0</v>
      </c>
      <c r="W1945">
        <v>0</v>
      </c>
      <c r="X1945">
        <v>2</v>
      </c>
      <c r="Z1945">
        <v>0</v>
      </c>
      <c r="AA1945">
        <v>9</v>
      </c>
      <c r="AB1945">
        <v>3</v>
      </c>
      <c r="AC1945">
        <v>0</v>
      </c>
      <c r="AD1945">
        <v>10</v>
      </c>
      <c r="AE1945">
        <v>0</v>
      </c>
      <c r="AF1945">
        <v>3</v>
      </c>
      <c r="AG1945">
        <v>2</v>
      </c>
      <c r="AH1945">
        <v>0</v>
      </c>
      <c r="AI1945" t="s">
        <v>1221</v>
      </c>
      <c r="AJ1945">
        <v>39.920433000000003</v>
      </c>
      <c r="AK1945" t="s">
        <v>1222</v>
      </c>
      <c r="AL1945">
        <v>-92.605840999999998</v>
      </c>
      <c r="AM1945">
        <v>100</v>
      </c>
      <c r="AN1945">
        <v>1700</v>
      </c>
      <c r="AO1945" t="s">
        <v>118</v>
      </c>
      <c r="AP1945">
        <v>-107</v>
      </c>
      <c r="AQ1945">
        <v>77</v>
      </c>
      <c r="AR1945">
        <v>0</v>
      </c>
      <c r="AZ1945">
        <v>1200</v>
      </c>
      <c r="BA1945">
        <v>1</v>
      </c>
      <c r="BB1945" t="str">
        <f t="shared" si="94"/>
        <v xml:space="preserve">N8080G  </v>
      </c>
      <c r="BC1945">
        <v>1</v>
      </c>
      <c r="BE1945">
        <v>0</v>
      </c>
      <c r="BF1945">
        <v>0</v>
      </c>
      <c r="BG1945">
        <v>0</v>
      </c>
      <c r="BH1945">
        <v>1700</v>
      </c>
      <c r="BI1945">
        <v>1</v>
      </c>
      <c r="BJ1945">
        <v>1</v>
      </c>
      <c r="BK1945">
        <v>1</v>
      </c>
      <c r="BL1945">
        <v>0</v>
      </c>
      <c r="BO1945">
        <v>0</v>
      </c>
      <c r="BP1945">
        <v>0</v>
      </c>
      <c r="BW1945" t="str">
        <f>"20:24:31.399"</f>
        <v>20:24:31.399</v>
      </c>
      <c r="BZ1945">
        <v>0</v>
      </c>
      <c r="CA1945">
        <v>2016</v>
      </c>
      <c r="CB1945">
        <v>224</v>
      </c>
      <c r="CD1945">
        <v>1</v>
      </c>
      <c r="CE1945">
        <v>0</v>
      </c>
      <c r="CF1945">
        <v>0</v>
      </c>
      <c r="CG1945">
        <v>1</v>
      </c>
      <c r="CH1945">
        <v>0</v>
      </c>
      <c r="CI1945">
        <v>0</v>
      </c>
      <c r="CJ1945">
        <v>0</v>
      </c>
      <c r="CK1945">
        <v>2</v>
      </c>
      <c r="CL1945">
        <v>0</v>
      </c>
      <c r="CM1945">
        <v>2</v>
      </c>
      <c r="CN1945">
        <v>0</v>
      </c>
      <c r="CO1945">
        <v>7</v>
      </c>
      <c r="CP1945" t="s">
        <v>119</v>
      </c>
      <c r="CQ1945">
        <v>180</v>
      </c>
      <c r="CR1945">
        <v>2</v>
      </c>
      <c r="CW1945">
        <v>8386645</v>
      </c>
      <c r="CY1945">
        <v>0</v>
      </c>
      <c r="CZ1945">
        <v>0</v>
      </c>
      <c r="DA1945">
        <v>1</v>
      </c>
      <c r="DB1945">
        <v>0</v>
      </c>
      <c r="DC1945">
        <v>0</v>
      </c>
      <c r="DD1945">
        <v>0</v>
      </c>
      <c r="DE1945">
        <v>0</v>
      </c>
      <c r="DF1945">
        <v>0</v>
      </c>
      <c r="DG1945">
        <v>0</v>
      </c>
      <c r="DH1945">
        <v>0</v>
      </c>
      <c r="DI1945">
        <v>0</v>
      </c>
    </row>
    <row r="1946" spans="1:113" x14ac:dyDescent="0.3">
      <c r="A1946" t="str">
        <f>"02/08/2021 20:24:29.076"</f>
        <v>02/08/2021 20:24:29.076</v>
      </c>
      <c r="C1946" t="str">
        <f t="shared" si="93"/>
        <v>FFDFD7C0</v>
      </c>
      <c r="D1946" t="s">
        <v>124</v>
      </c>
      <c r="E1946">
        <v>13</v>
      </c>
      <c r="F1946">
        <v>1013</v>
      </c>
      <c r="G1946" t="s">
        <v>114</v>
      </c>
      <c r="J1946" t="s">
        <v>125</v>
      </c>
      <c r="K1946">
        <v>0</v>
      </c>
      <c r="L1946">
        <v>3</v>
      </c>
      <c r="M1946">
        <v>0</v>
      </c>
      <c r="N1946">
        <v>2</v>
      </c>
      <c r="O1946">
        <v>1</v>
      </c>
      <c r="P1946">
        <v>0</v>
      </c>
      <c r="Q1946">
        <v>0</v>
      </c>
      <c r="S1946" t="str">
        <f>"20:24:31.398"</f>
        <v>20:24:31.398</v>
      </c>
      <c r="T1946" t="str">
        <f>"20:24:30.998"</f>
        <v>20:24:30.998</v>
      </c>
      <c r="U1946" t="str">
        <f t="shared" si="95"/>
        <v>AB01F4</v>
      </c>
      <c r="V1946">
        <v>0</v>
      </c>
      <c r="W1946">
        <v>0</v>
      </c>
      <c r="X1946">
        <v>2</v>
      </c>
      <c r="Z1946">
        <v>0</v>
      </c>
      <c r="AA1946">
        <v>9</v>
      </c>
      <c r="AB1946">
        <v>3</v>
      </c>
      <c r="AC1946">
        <v>0</v>
      </c>
      <c r="AD1946">
        <v>10</v>
      </c>
      <c r="AE1946">
        <v>0</v>
      </c>
      <c r="AF1946">
        <v>3</v>
      </c>
      <c r="AG1946">
        <v>2</v>
      </c>
      <c r="AH1946">
        <v>0</v>
      </c>
      <c r="AI1946" t="s">
        <v>1221</v>
      </c>
      <c r="AJ1946">
        <v>39.920433000000003</v>
      </c>
      <c r="AK1946" t="s">
        <v>1222</v>
      </c>
      <c r="AL1946">
        <v>-92.605840999999998</v>
      </c>
      <c r="AM1946">
        <v>100</v>
      </c>
      <c r="AN1946">
        <v>1700</v>
      </c>
      <c r="AO1946" t="s">
        <v>118</v>
      </c>
      <c r="AP1946">
        <v>-107</v>
      </c>
      <c r="AQ1946">
        <v>77</v>
      </c>
      <c r="AR1946">
        <v>0</v>
      </c>
      <c r="AZ1946">
        <v>1200</v>
      </c>
      <c r="BA1946">
        <v>1</v>
      </c>
      <c r="BB1946" t="str">
        <f t="shared" si="94"/>
        <v xml:space="preserve">N8080G  </v>
      </c>
      <c r="BC1946">
        <v>1</v>
      </c>
      <c r="BE1946">
        <v>0</v>
      </c>
      <c r="BF1946">
        <v>0</v>
      </c>
      <c r="BG1946">
        <v>0</v>
      </c>
      <c r="BH1946">
        <v>1700</v>
      </c>
      <c r="BI1946">
        <v>1</v>
      </c>
      <c r="BJ1946">
        <v>1</v>
      </c>
      <c r="BK1946">
        <v>1</v>
      </c>
      <c r="BL1946">
        <v>0</v>
      </c>
      <c r="BO1946">
        <v>0</v>
      </c>
      <c r="BP1946">
        <v>0</v>
      </c>
      <c r="BW1946" t="str">
        <f>"20:24:31.399"</f>
        <v>20:24:31.399</v>
      </c>
      <c r="BZ1946">
        <v>0</v>
      </c>
      <c r="CA1946">
        <v>2016</v>
      </c>
      <c r="CB1946">
        <v>224</v>
      </c>
      <c r="CD1946">
        <v>1</v>
      </c>
      <c r="CE1946">
        <v>0</v>
      </c>
      <c r="CF1946">
        <v>0</v>
      </c>
      <c r="CG1946">
        <v>1</v>
      </c>
      <c r="CH1946">
        <v>0</v>
      </c>
      <c r="CI1946">
        <v>0</v>
      </c>
      <c r="CJ1946">
        <v>0</v>
      </c>
      <c r="CK1946">
        <v>2</v>
      </c>
      <c r="CL1946">
        <v>0</v>
      </c>
      <c r="CM1946">
        <v>2</v>
      </c>
      <c r="CN1946">
        <v>0</v>
      </c>
      <c r="CO1946">
        <v>7</v>
      </c>
      <c r="CP1946" t="s">
        <v>119</v>
      </c>
      <c r="CQ1946">
        <v>180</v>
      </c>
      <c r="CR1946">
        <v>2</v>
      </c>
      <c r="CW1946">
        <v>8386645</v>
      </c>
      <c r="CY1946">
        <v>0</v>
      </c>
      <c r="CZ1946">
        <v>0</v>
      </c>
      <c r="DA1946">
        <v>1</v>
      </c>
      <c r="DB1946">
        <v>0</v>
      </c>
      <c r="DC1946">
        <v>0</v>
      </c>
      <c r="DD1946">
        <v>0</v>
      </c>
      <c r="DE1946">
        <v>0</v>
      </c>
      <c r="DF1946">
        <v>0</v>
      </c>
      <c r="DG1946">
        <v>0</v>
      </c>
      <c r="DH1946">
        <v>0</v>
      </c>
      <c r="DI1946">
        <v>0</v>
      </c>
    </row>
    <row r="1947" spans="1:113" x14ac:dyDescent="0.3">
      <c r="A1947" t="str">
        <f>"02/08/2021 20:24:30.030"</f>
        <v>02/08/2021 20:24:30.030</v>
      </c>
      <c r="C1947" t="str">
        <f t="shared" si="93"/>
        <v>FFDFD7C0</v>
      </c>
      <c r="D1947" t="s">
        <v>124</v>
      </c>
      <c r="E1947">
        <v>12</v>
      </c>
      <c r="F1947">
        <v>1012</v>
      </c>
      <c r="G1947" t="s">
        <v>675</v>
      </c>
      <c r="J1947" t="s">
        <v>125</v>
      </c>
      <c r="K1947">
        <v>0</v>
      </c>
      <c r="L1947">
        <v>3</v>
      </c>
      <c r="M1947">
        <v>0</v>
      </c>
      <c r="N1947">
        <v>2</v>
      </c>
      <c r="O1947">
        <v>1</v>
      </c>
      <c r="P1947">
        <v>0</v>
      </c>
      <c r="Q1947">
        <v>0</v>
      </c>
      <c r="S1947" t="str">
        <f>"20:24:32.344"</f>
        <v>20:24:32.344</v>
      </c>
      <c r="T1947" t="str">
        <f>"20:24:31.844"</f>
        <v>20:24:31.844</v>
      </c>
      <c r="U1947" t="str">
        <f t="shared" si="95"/>
        <v>AB01F4</v>
      </c>
      <c r="V1947">
        <v>0</v>
      </c>
      <c r="W1947">
        <v>0</v>
      </c>
      <c r="X1947">
        <v>2</v>
      </c>
      <c r="Z1947">
        <v>0</v>
      </c>
      <c r="AA1947">
        <v>9</v>
      </c>
      <c r="AB1947">
        <v>3</v>
      </c>
      <c r="AC1947">
        <v>0</v>
      </c>
      <c r="AD1947">
        <v>10</v>
      </c>
      <c r="AE1947">
        <v>0</v>
      </c>
      <c r="AF1947">
        <v>3</v>
      </c>
      <c r="AG1947">
        <v>2</v>
      </c>
      <c r="AH1947">
        <v>0</v>
      </c>
      <c r="AI1947" t="s">
        <v>1223</v>
      </c>
      <c r="AJ1947">
        <v>39.920754000000002</v>
      </c>
      <c r="AK1947" t="s">
        <v>1224</v>
      </c>
      <c r="AL1947">
        <v>-92.606442000000001</v>
      </c>
      <c r="AM1947">
        <v>100</v>
      </c>
      <c r="AN1947">
        <v>1700</v>
      </c>
      <c r="AO1947" t="s">
        <v>118</v>
      </c>
      <c r="AP1947">
        <v>-107</v>
      </c>
      <c r="AQ1947">
        <v>77</v>
      </c>
      <c r="AR1947">
        <v>0</v>
      </c>
      <c r="AZ1947">
        <v>1200</v>
      </c>
      <c r="BA1947">
        <v>1</v>
      </c>
      <c r="BB1947" t="str">
        <f t="shared" si="94"/>
        <v xml:space="preserve">N8080G  </v>
      </c>
      <c r="BC1947">
        <v>1</v>
      </c>
      <c r="BE1947">
        <v>0</v>
      </c>
      <c r="BF1947">
        <v>0</v>
      </c>
      <c r="BG1947">
        <v>0</v>
      </c>
      <c r="BH1947">
        <v>1700</v>
      </c>
      <c r="BI1947">
        <v>1</v>
      </c>
      <c r="BJ1947">
        <v>1</v>
      </c>
      <c r="BK1947">
        <v>1</v>
      </c>
      <c r="BL1947">
        <v>0</v>
      </c>
      <c r="BO1947">
        <v>0</v>
      </c>
      <c r="BP1947">
        <v>0</v>
      </c>
      <c r="BW1947" t="str">
        <f>"20:24:32.351"</f>
        <v>20:24:32.351</v>
      </c>
      <c r="BZ1947">
        <v>0</v>
      </c>
      <c r="CA1947">
        <v>2016</v>
      </c>
      <c r="CB1947">
        <v>224</v>
      </c>
      <c r="CD1947">
        <v>1</v>
      </c>
      <c r="CE1947">
        <v>0</v>
      </c>
      <c r="CF1947">
        <v>0</v>
      </c>
      <c r="CG1947">
        <v>1</v>
      </c>
      <c r="CH1947">
        <v>0</v>
      </c>
      <c r="CI1947">
        <v>0</v>
      </c>
      <c r="CJ1947">
        <v>0</v>
      </c>
      <c r="CK1947">
        <v>2</v>
      </c>
      <c r="CL1947">
        <v>0</v>
      </c>
      <c r="CM1947">
        <v>2</v>
      </c>
      <c r="CN1947">
        <v>0</v>
      </c>
      <c r="CO1947">
        <v>2</v>
      </c>
      <c r="CP1947" t="s">
        <v>119</v>
      </c>
      <c r="CQ1947">
        <v>179</v>
      </c>
      <c r="CR1947">
        <v>1</v>
      </c>
      <c r="CW1947">
        <v>8822512</v>
      </c>
      <c r="CY1947">
        <v>0</v>
      </c>
      <c r="CZ1947">
        <v>0</v>
      </c>
      <c r="DA1947">
        <v>0</v>
      </c>
      <c r="DB1947">
        <v>0</v>
      </c>
      <c r="DC1947">
        <v>0</v>
      </c>
      <c r="DD1947">
        <v>0</v>
      </c>
      <c r="DE1947">
        <v>0</v>
      </c>
      <c r="DF1947">
        <v>0</v>
      </c>
      <c r="DG1947">
        <v>0</v>
      </c>
      <c r="DH1947">
        <v>0</v>
      </c>
      <c r="DI1947">
        <v>0</v>
      </c>
    </row>
    <row r="1948" spans="1:113" x14ac:dyDescent="0.3">
      <c r="A1948" t="str">
        <f>"02/08/2021 20:24:30.030"</f>
        <v>02/08/2021 20:24:30.030</v>
      </c>
      <c r="C1948" t="str">
        <f t="shared" si="93"/>
        <v>FFDFD7C0</v>
      </c>
      <c r="D1948" t="s">
        <v>124</v>
      </c>
      <c r="E1948">
        <v>11</v>
      </c>
      <c r="F1948">
        <v>1011</v>
      </c>
      <c r="G1948" t="s">
        <v>590</v>
      </c>
      <c r="J1948" t="s">
        <v>125</v>
      </c>
      <c r="K1948">
        <v>0</v>
      </c>
      <c r="L1948">
        <v>3</v>
      </c>
      <c r="M1948">
        <v>0</v>
      </c>
      <c r="N1948">
        <v>2</v>
      </c>
      <c r="O1948">
        <v>1</v>
      </c>
      <c r="P1948">
        <v>0</v>
      </c>
      <c r="Q1948">
        <v>0</v>
      </c>
      <c r="S1948" t="str">
        <f>"20:24:32.344"</f>
        <v>20:24:32.344</v>
      </c>
      <c r="T1948" t="str">
        <f>"20:24:31.844"</f>
        <v>20:24:31.844</v>
      </c>
      <c r="U1948" t="str">
        <f t="shared" si="95"/>
        <v>AB01F4</v>
      </c>
      <c r="V1948">
        <v>0</v>
      </c>
      <c r="W1948">
        <v>0</v>
      </c>
      <c r="X1948">
        <v>2</v>
      </c>
      <c r="Z1948">
        <v>0</v>
      </c>
      <c r="AA1948">
        <v>9</v>
      </c>
      <c r="AB1948">
        <v>3</v>
      </c>
      <c r="AC1948">
        <v>0</v>
      </c>
      <c r="AD1948">
        <v>10</v>
      </c>
      <c r="AE1948">
        <v>0</v>
      </c>
      <c r="AF1948">
        <v>3</v>
      </c>
      <c r="AG1948">
        <v>2</v>
      </c>
      <c r="AH1948">
        <v>0</v>
      </c>
      <c r="AI1948" t="s">
        <v>1223</v>
      </c>
      <c r="AJ1948">
        <v>39.920754000000002</v>
      </c>
      <c r="AK1948" t="s">
        <v>1224</v>
      </c>
      <c r="AL1948">
        <v>-92.606442000000001</v>
      </c>
      <c r="AM1948">
        <v>100</v>
      </c>
      <c r="AN1948">
        <v>1700</v>
      </c>
      <c r="AO1948" t="s">
        <v>118</v>
      </c>
      <c r="AP1948">
        <v>-107</v>
      </c>
      <c r="AQ1948">
        <v>77</v>
      </c>
      <c r="AR1948">
        <v>0</v>
      </c>
      <c r="AZ1948">
        <v>1200</v>
      </c>
      <c r="BA1948">
        <v>1</v>
      </c>
      <c r="BB1948" t="str">
        <f t="shared" si="94"/>
        <v xml:space="preserve">N8080G  </v>
      </c>
      <c r="BC1948">
        <v>1</v>
      </c>
      <c r="BE1948">
        <v>0</v>
      </c>
      <c r="BF1948">
        <v>0</v>
      </c>
      <c r="BG1948">
        <v>0</v>
      </c>
      <c r="BH1948">
        <v>1700</v>
      </c>
      <c r="BI1948">
        <v>1</v>
      </c>
      <c r="BJ1948">
        <v>1</v>
      </c>
      <c r="BK1948">
        <v>1</v>
      </c>
      <c r="BL1948">
        <v>0</v>
      </c>
      <c r="BO1948">
        <v>0</v>
      </c>
      <c r="BP1948">
        <v>0</v>
      </c>
      <c r="BW1948" t="str">
        <f>"20:24:32.351"</f>
        <v>20:24:32.351</v>
      </c>
      <c r="BZ1948">
        <v>0</v>
      </c>
      <c r="CA1948">
        <v>2016</v>
      </c>
      <c r="CB1948">
        <v>224</v>
      </c>
      <c r="CD1948">
        <v>1</v>
      </c>
      <c r="CE1948">
        <v>0</v>
      </c>
      <c r="CF1948">
        <v>0</v>
      </c>
      <c r="CG1948">
        <v>1</v>
      </c>
      <c r="CH1948">
        <v>0</v>
      </c>
      <c r="CI1948">
        <v>0</v>
      </c>
      <c r="CJ1948">
        <v>0</v>
      </c>
      <c r="CK1948">
        <v>2</v>
      </c>
      <c r="CL1948">
        <v>0</v>
      </c>
      <c r="CM1948">
        <v>2</v>
      </c>
      <c r="CN1948">
        <v>0</v>
      </c>
      <c r="CO1948">
        <v>2</v>
      </c>
      <c r="CP1948" t="s">
        <v>119</v>
      </c>
      <c r="CQ1948">
        <v>179</v>
      </c>
      <c r="CR1948">
        <v>1</v>
      </c>
      <c r="CW1948">
        <v>8822512</v>
      </c>
      <c r="CY1948">
        <v>0</v>
      </c>
      <c r="CZ1948">
        <v>0</v>
      </c>
      <c r="DA1948">
        <v>1</v>
      </c>
      <c r="DB1948">
        <v>0</v>
      </c>
      <c r="DC1948">
        <v>0</v>
      </c>
      <c r="DD1948">
        <v>0</v>
      </c>
      <c r="DE1948">
        <v>0</v>
      </c>
      <c r="DF1948">
        <v>0</v>
      </c>
      <c r="DG1948">
        <v>0</v>
      </c>
      <c r="DH1948">
        <v>0</v>
      </c>
      <c r="DI1948">
        <v>0</v>
      </c>
    </row>
    <row r="1949" spans="1:113" x14ac:dyDescent="0.3">
      <c r="A1949" t="str">
        <f>"02/08/2021 20:24:30.030"</f>
        <v>02/08/2021 20:24:30.030</v>
      </c>
      <c r="C1949" t="str">
        <f t="shared" si="93"/>
        <v>FFDFD7C0</v>
      </c>
      <c r="D1949" t="s">
        <v>113</v>
      </c>
      <c r="E1949">
        <v>6</v>
      </c>
      <c r="H1949">
        <v>165</v>
      </c>
      <c r="I1949" t="s">
        <v>114</v>
      </c>
      <c r="J1949" t="s">
        <v>115</v>
      </c>
      <c r="K1949">
        <v>0</v>
      </c>
      <c r="L1949">
        <v>3</v>
      </c>
      <c r="M1949">
        <v>0</v>
      </c>
      <c r="N1949">
        <v>2</v>
      </c>
      <c r="O1949">
        <v>1</v>
      </c>
      <c r="P1949">
        <v>0</v>
      </c>
      <c r="Q1949">
        <v>0</v>
      </c>
      <c r="S1949" t="str">
        <f>"20:24:32.344"</f>
        <v>20:24:32.344</v>
      </c>
      <c r="T1949" t="str">
        <f>"20:24:31.844"</f>
        <v>20:24:31.844</v>
      </c>
      <c r="U1949" t="str">
        <f t="shared" si="95"/>
        <v>AB01F4</v>
      </c>
      <c r="V1949">
        <v>0</v>
      </c>
      <c r="W1949">
        <v>0</v>
      </c>
      <c r="X1949">
        <v>2</v>
      </c>
      <c r="Z1949">
        <v>0</v>
      </c>
      <c r="AA1949">
        <v>9</v>
      </c>
      <c r="AB1949">
        <v>3</v>
      </c>
      <c r="AC1949">
        <v>0</v>
      </c>
      <c r="AD1949">
        <v>10</v>
      </c>
      <c r="AE1949">
        <v>0</v>
      </c>
      <c r="AF1949">
        <v>3</v>
      </c>
      <c r="AG1949">
        <v>2</v>
      </c>
      <c r="AH1949">
        <v>0</v>
      </c>
      <c r="AI1949" t="s">
        <v>1223</v>
      </c>
      <c r="AJ1949">
        <v>39.920754000000002</v>
      </c>
      <c r="AK1949" t="s">
        <v>1224</v>
      </c>
      <c r="AL1949">
        <v>-92.606442000000001</v>
      </c>
      <c r="AM1949">
        <v>100</v>
      </c>
      <c r="AN1949">
        <v>1700</v>
      </c>
      <c r="AO1949" t="s">
        <v>118</v>
      </c>
      <c r="AP1949">
        <v>-107</v>
      </c>
      <c r="AQ1949">
        <v>77</v>
      </c>
      <c r="AR1949">
        <v>0</v>
      </c>
      <c r="AZ1949">
        <v>1200</v>
      </c>
      <c r="BA1949">
        <v>1</v>
      </c>
      <c r="BB1949" t="str">
        <f t="shared" si="94"/>
        <v xml:space="preserve">N8080G  </v>
      </c>
      <c r="BC1949">
        <v>1</v>
      </c>
      <c r="BE1949">
        <v>0</v>
      </c>
      <c r="BF1949">
        <v>0</v>
      </c>
      <c r="BG1949">
        <v>0</v>
      </c>
      <c r="BH1949">
        <v>1700</v>
      </c>
      <c r="BI1949">
        <v>1</v>
      </c>
      <c r="BJ1949">
        <v>1</v>
      </c>
      <c r="BK1949">
        <v>1</v>
      </c>
      <c r="BL1949">
        <v>0</v>
      </c>
      <c r="BO1949">
        <v>0</v>
      </c>
      <c r="BP1949">
        <v>0</v>
      </c>
      <c r="BW1949" t="str">
        <f>"20:24:32.351"</f>
        <v>20:24:32.351</v>
      </c>
      <c r="BZ1949">
        <v>0</v>
      </c>
      <c r="CA1949">
        <v>2016</v>
      </c>
      <c r="CB1949">
        <v>224</v>
      </c>
      <c r="CD1949">
        <v>1</v>
      </c>
      <c r="CE1949">
        <v>0</v>
      </c>
      <c r="CF1949">
        <v>0</v>
      </c>
      <c r="CG1949">
        <v>1</v>
      </c>
      <c r="CH1949">
        <v>0</v>
      </c>
      <c r="CI1949">
        <v>0</v>
      </c>
      <c r="CJ1949">
        <v>0</v>
      </c>
      <c r="CK1949">
        <v>2</v>
      </c>
      <c r="CL1949">
        <v>0</v>
      </c>
      <c r="CM1949">
        <v>2</v>
      </c>
      <c r="CN1949">
        <v>0</v>
      </c>
      <c r="CO1949">
        <v>2</v>
      </c>
      <c r="CP1949" t="s">
        <v>119</v>
      </c>
      <c r="CQ1949">
        <v>179</v>
      </c>
      <c r="CR1949">
        <v>1</v>
      </c>
      <c r="CW1949">
        <v>8822512</v>
      </c>
      <c r="CY1949">
        <v>0</v>
      </c>
      <c r="CZ1949">
        <v>0</v>
      </c>
      <c r="DA1949">
        <v>1</v>
      </c>
      <c r="DB1949">
        <v>0</v>
      </c>
      <c r="DC1949">
        <v>0</v>
      </c>
      <c r="DD1949">
        <v>0</v>
      </c>
      <c r="DE1949">
        <v>0</v>
      </c>
      <c r="DF1949">
        <v>0</v>
      </c>
      <c r="DG1949">
        <v>0</v>
      </c>
      <c r="DH1949">
        <v>0</v>
      </c>
      <c r="DI1949">
        <v>0</v>
      </c>
    </row>
    <row r="1950" spans="1:113" x14ac:dyDescent="0.3">
      <c r="A1950" t="str">
        <f>"02/08/2021 20:24:30.030"</f>
        <v>02/08/2021 20:24:30.030</v>
      </c>
      <c r="C1950" t="str">
        <f t="shared" si="93"/>
        <v>FFDFD7C0</v>
      </c>
      <c r="D1950" t="s">
        <v>124</v>
      </c>
      <c r="E1950">
        <v>13</v>
      </c>
      <c r="F1950">
        <v>1013</v>
      </c>
      <c r="G1950" t="s">
        <v>114</v>
      </c>
      <c r="J1950" t="s">
        <v>125</v>
      </c>
      <c r="K1950">
        <v>0</v>
      </c>
      <c r="L1950">
        <v>3</v>
      </c>
      <c r="M1950">
        <v>0</v>
      </c>
      <c r="N1950">
        <v>2</v>
      </c>
      <c r="O1950">
        <v>1</v>
      </c>
      <c r="P1950">
        <v>0</v>
      </c>
      <c r="Q1950">
        <v>0</v>
      </c>
      <c r="S1950" t="str">
        <f>"20:24:32.344"</f>
        <v>20:24:32.344</v>
      </c>
      <c r="T1950" t="str">
        <f>"20:24:31.844"</f>
        <v>20:24:31.844</v>
      </c>
      <c r="U1950" t="str">
        <f t="shared" si="95"/>
        <v>AB01F4</v>
      </c>
      <c r="V1950">
        <v>0</v>
      </c>
      <c r="W1950">
        <v>0</v>
      </c>
      <c r="X1950">
        <v>2</v>
      </c>
      <c r="Z1950">
        <v>0</v>
      </c>
      <c r="AA1950">
        <v>9</v>
      </c>
      <c r="AB1950">
        <v>3</v>
      </c>
      <c r="AC1950">
        <v>0</v>
      </c>
      <c r="AD1950">
        <v>10</v>
      </c>
      <c r="AE1950">
        <v>0</v>
      </c>
      <c r="AF1950">
        <v>3</v>
      </c>
      <c r="AG1950">
        <v>2</v>
      </c>
      <c r="AH1950">
        <v>0</v>
      </c>
      <c r="AI1950" t="s">
        <v>1223</v>
      </c>
      <c r="AJ1950">
        <v>39.920754000000002</v>
      </c>
      <c r="AK1950" t="s">
        <v>1224</v>
      </c>
      <c r="AL1950">
        <v>-92.606442000000001</v>
      </c>
      <c r="AM1950">
        <v>100</v>
      </c>
      <c r="AN1950">
        <v>1700</v>
      </c>
      <c r="AO1950" t="s">
        <v>118</v>
      </c>
      <c r="AP1950">
        <v>-107</v>
      </c>
      <c r="AQ1950">
        <v>77</v>
      </c>
      <c r="AR1950">
        <v>0</v>
      </c>
      <c r="AZ1950">
        <v>1200</v>
      </c>
      <c r="BA1950">
        <v>1</v>
      </c>
      <c r="BB1950" t="str">
        <f t="shared" si="94"/>
        <v xml:space="preserve">N8080G  </v>
      </c>
      <c r="BC1950">
        <v>1</v>
      </c>
      <c r="BE1950">
        <v>0</v>
      </c>
      <c r="BF1950">
        <v>0</v>
      </c>
      <c r="BG1950">
        <v>0</v>
      </c>
      <c r="BH1950">
        <v>1700</v>
      </c>
      <c r="BI1950">
        <v>1</v>
      </c>
      <c r="BJ1950">
        <v>1</v>
      </c>
      <c r="BK1950">
        <v>1</v>
      </c>
      <c r="BL1950">
        <v>0</v>
      </c>
      <c r="BO1950">
        <v>0</v>
      </c>
      <c r="BP1950">
        <v>0</v>
      </c>
      <c r="BW1950" t="str">
        <f>"20:24:32.351"</f>
        <v>20:24:32.351</v>
      </c>
      <c r="BZ1950">
        <v>0</v>
      </c>
      <c r="CA1950">
        <v>2016</v>
      </c>
      <c r="CB1950">
        <v>224</v>
      </c>
      <c r="CD1950">
        <v>1</v>
      </c>
      <c r="CE1950">
        <v>0</v>
      </c>
      <c r="CF1950">
        <v>0</v>
      </c>
      <c r="CG1950">
        <v>1</v>
      </c>
      <c r="CH1950">
        <v>0</v>
      </c>
      <c r="CI1950">
        <v>0</v>
      </c>
      <c r="CJ1950">
        <v>0</v>
      </c>
      <c r="CK1950">
        <v>2</v>
      </c>
      <c r="CL1950">
        <v>0</v>
      </c>
      <c r="CM1950">
        <v>2</v>
      </c>
      <c r="CN1950">
        <v>0</v>
      </c>
      <c r="CO1950">
        <v>2</v>
      </c>
      <c r="CP1950" t="s">
        <v>119</v>
      </c>
      <c r="CQ1950">
        <v>179</v>
      </c>
      <c r="CR1950">
        <v>1</v>
      </c>
      <c r="CW1950">
        <v>8822512</v>
      </c>
      <c r="CY1950">
        <v>0</v>
      </c>
      <c r="CZ1950">
        <v>0</v>
      </c>
      <c r="DA1950">
        <v>1</v>
      </c>
      <c r="DB1950">
        <v>0</v>
      </c>
      <c r="DC1950">
        <v>0</v>
      </c>
      <c r="DD1950">
        <v>0</v>
      </c>
      <c r="DE1950">
        <v>0</v>
      </c>
      <c r="DF1950">
        <v>0</v>
      </c>
      <c r="DG1950">
        <v>0</v>
      </c>
      <c r="DH1950">
        <v>0</v>
      </c>
      <c r="DI1950">
        <v>0</v>
      </c>
    </row>
    <row r="1951" spans="1:113" x14ac:dyDescent="0.3">
      <c r="A1951" t="str">
        <f>"02/08/2021 20:24:33.999"</f>
        <v>02/08/2021 20:24:33.999</v>
      </c>
      <c r="C1951" t="str">
        <f t="shared" si="93"/>
        <v>FFDFD7C0</v>
      </c>
      <c r="D1951" t="s">
        <v>124</v>
      </c>
      <c r="E1951">
        <v>11</v>
      </c>
      <c r="F1951">
        <v>1011</v>
      </c>
      <c r="G1951" t="s">
        <v>590</v>
      </c>
      <c r="J1951" t="s">
        <v>125</v>
      </c>
      <c r="K1951">
        <v>0</v>
      </c>
      <c r="L1951">
        <v>3</v>
      </c>
      <c r="M1951">
        <v>0</v>
      </c>
      <c r="N1951">
        <v>2</v>
      </c>
      <c r="O1951">
        <v>1</v>
      </c>
      <c r="P1951">
        <v>0</v>
      </c>
      <c r="Q1951">
        <v>0</v>
      </c>
      <c r="S1951" t="str">
        <f>"20:24:36.313"</f>
        <v>20:24:36.313</v>
      </c>
      <c r="T1951" t="str">
        <f>"20:24:35.913"</f>
        <v>20:24:35.913</v>
      </c>
      <c r="U1951" t="str">
        <f t="shared" si="95"/>
        <v>AB01F4</v>
      </c>
      <c r="V1951">
        <v>0</v>
      </c>
      <c r="W1951">
        <v>0</v>
      </c>
      <c r="X1951">
        <v>2</v>
      </c>
      <c r="Z1951">
        <v>0</v>
      </c>
      <c r="AA1951">
        <v>9</v>
      </c>
      <c r="AB1951">
        <v>3</v>
      </c>
      <c r="AC1951">
        <v>0</v>
      </c>
      <c r="AD1951">
        <v>10</v>
      </c>
      <c r="AE1951">
        <v>0</v>
      </c>
      <c r="AF1951">
        <v>3</v>
      </c>
      <c r="AG1951">
        <v>2</v>
      </c>
      <c r="AH1951">
        <v>0</v>
      </c>
      <c r="AI1951" t="s">
        <v>1225</v>
      </c>
      <c r="AJ1951">
        <v>39.922170999999999</v>
      </c>
      <c r="AK1951" t="s">
        <v>1226</v>
      </c>
      <c r="AL1951">
        <v>-92.609016999999994</v>
      </c>
      <c r="AM1951">
        <v>100</v>
      </c>
      <c r="AN1951">
        <v>1700</v>
      </c>
      <c r="AO1951" t="s">
        <v>118</v>
      </c>
      <c r="AP1951">
        <v>-107</v>
      </c>
      <c r="AQ1951">
        <v>77</v>
      </c>
      <c r="AR1951">
        <v>64</v>
      </c>
      <c r="AZ1951">
        <v>1200</v>
      </c>
      <c r="BA1951">
        <v>1</v>
      </c>
      <c r="BB1951" t="str">
        <f t="shared" si="94"/>
        <v xml:space="preserve">N8080G  </v>
      </c>
      <c r="BC1951">
        <v>1</v>
      </c>
      <c r="BE1951">
        <v>0</v>
      </c>
      <c r="BF1951">
        <v>0</v>
      </c>
      <c r="BG1951">
        <v>0</v>
      </c>
      <c r="BH1951">
        <v>1700</v>
      </c>
      <c r="BI1951">
        <v>1</v>
      </c>
      <c r="BJ1951">
        <v>1</v>
      </c>
      <c r="BK1951">
        <v>1</v>
      </c>
      <c r="BL1951">
        <v>0</v>
      </c>
      <c r="BO1951">
        <v>0</v>
      </c>
      <c r="BP1951">
        <v>0</v>
      </c>
      <c r="BW1951" t="str">
        <f>"20:24:36.315"</f>
        <v>20:24:36.315</v>
      </c>
      <c r="BZ1951">
        <v>0</v>
      </c>
      <c r="CA1951">
        <v>2016</v>
      </c>
      <c r="CB1951">
        <v>224</v>
      </c>
      <c r="CD1951">
        <v>1</v>
      </c>
      <c r="CE1951">
        <v>0</v>
      </c>
      <c r="CF1951">
        <v>0</v>
      </c>
      <c r="CG1951">
        <v>1</v>
      </c>
      <c r="CH1951">
        <v>0</v>
      </c>
      <c r="CI1951">
        <v>0</v>
      </c>
      <c r="CJ1951">
        <v>0</v>
      </c>
      <c r="CK1951">
        <v>2</v>
      </c>
      <c r="CL1951">
        <v>0</v>
      </c>
      <c r="CM1951">
        <v>2</v>
      </c>
      <c r="CN1951">
        <v>0</v>
      </c>
      <c r="CO1951">
        <v>2</v>
      </c>
      <c r="CP1951" t="s">
        <v>119</v>
      </c>
      <c r="CQ1951">
        <v>179</v>
      </c>
      <c r="CR1951">
        <v>1</v>
      </c>
      <c r="CW1951">
        <v>8825811</v>
      </c>
      <c r="CY1951">
        <v>0</v>
      </c>
      <c r="CZ1951">
        <v>0</v>
      </c>
      <c r="DA1951">
        <v>0</v>
      </c>
      <c r="DB1951">
        <v>0</v>
      </c>
      <c r="DC1951">
        <v>0</v>
      </c>
      <c r="DD1951">
        <v>0</v>
      </c>
      <c r="DE1951">
        <v>0</v>
      </c>
      <c r="DF1951">
        <v>0</v>
      </c>
      <c r="DG1951">
        <v>0</v>
      </c>
      <c r="DH1951">
        <v>0</v>
      </c>
      <c r="DI1951">
        <v>0</v>
      </c>
    </row>
    <row r="1952" spans="1:113" x14ac:dyDescent="0.3">
      <c r="A1952" t="str">
        <f>"02/08/2021 20:24:33.999"</f>
        <v>02/08/2021 20:24:33.999</v>
      </c>
      <c r="C1952" t="str">
        <f t="shared" si="93"/>
        <v>FFDFD7C0</v>
      </c>
      <c r="D1952" t="s">
        <v>113</v>
      </c>
      <c r="E1952">
        <v>6</v>
      </c>
      <c r="H1952">
        <v>165</v>
      </c>
      <c r="I1952" t="s">
        <v>114</v>
      </c>
      <c r="J1952" t="s">
        <v>115</v>
      </c>
      <c r="K1952">
        <v>0</v>
      </c>
      <c r="L1952">
        <v>3</v>
      </c>
      <c r="M1952">
        <v>0</v>
      </c>
      <c r="N1952">
        <v>2</v>
      </c>
      <c r="O1952">
        <v>1</v>
      </c>
      <c r="P1952">
        <v>0</v>
      </c>
      <c r="Q1952">
        <v>0</v>
      </c>
      <c r="S1952" t="str">
        <f>"20:24:36.313"</f>
        <v>20:24:36.313</v>
      </c>
      <c r="T1952" t="str">
        <f>"20:24:35.913"</f>
        <v>20:24:35.913</v>
      </c>
      <c r="U1952" t="str">
        <f t="shared" si="95"/>
        <v>AB01F4</v>
      </c>
      <c r="V1952">
        <v>0</v>
      </c>
      <c r="W1952">
        <v>0</v>
      </c>
      <c r="X1952">
        <v>2</v>
      </c>
      <c r="Z1952">
        <v>0</v>
      </c>
      <c r="AA1952">
        <v>9</v>
      </c>
      <c r="AB1952">
        <v>3</v>
      </c>
      <c r="AC1952">
        <v>0</v>
      </c>
      <c r="AD1952">
        <v>10</v>
      </c>
      <c r="AE1952">
        <v>0</v>
      </c>
      <c r="AF1952">
        <v>3</v>
      </c>
      <c r="AG1952">
        <v>2</v>
      </c>
      <c r="AH1952">
        <v>0</v>
      </c>
      <c r="AI1952" t="s">
        <v>1225</v>
      </c>
      <c r="AJ1952">
        <v>39.922170999999999</v>
      </c>
      <c r="AK1952" t="s">
        <v>1226</v>
      </c>
      <c r="AL1952">
        <v>-92.609016999999994</v>
      </c>
      <c r="AM1952">
        <v>100</v>
      </c>
      <c r="AN1952">
        <v>1700</v>
      </c>
      <c r="AO1952" t="s">
        <v>118</v>
      </c>
      <c r="AP1952">
        <v>-107</v>
      </c>
      <c r="AQ1952">
        <v>77</v>
      </c>
      <c r="AR1952">
        <v>64</v>
      </c>
      <c r="AZ1952">
        <v>1200</v>
      </c>
      <c r="BA1952">
        <v>1</v>
      </c>
      <c r="BB1952" t="str">
        <f t="shared" si="94"/>
        <v xml:space="preserve">N8080G  </v>
      </c>
      <c r="BC1952">
        <v>1</v>
      </c>
      <c r="BE1952">
        <v>0</v>
      </c>
      <c r="BF1952">
        <v>0</v>
      </c>
      <c r="BG1952">
        <v>0</v>
      </c>
      <c r="BH1952">
        <v>1700</v>
      </c>
      <c r="BI1952">
        <v>1</v>
      </c>
      <c r="BJ1952">
        <v>1</v>
      </c>
      <c r="BK1952">
        <v>1</v>
      </c>
      <c r="BL1952">
        <v>0</v>
      </c>
      <c r="BO1952">
        <v>0</v>
      </c>
      <c r="BP1952">
        <v>0</v>
      </c>
      <c r="BW1952" t="str">
        <f>"20:24:36.315"</f>
        <v>20:24:36.315</v>
      </c>
      <c r="BZ1952">
        <v>0</v>
      </c>
      <c r="CA1952">
        <v>2016</v>
      </c>
      <c r="CB1952">
        <v>224</v>
      </c>
      <c r="CD1952">
        <v>1</v>
      </c>
      <c r="CE1952">
        <v>0</v>
      </c>
      <c r="CF1952">
        <v>0</v>
      </c>
      <c r="CG1952">
        <v>1</v>
      </c>
      <c r="CH1952">
        <v>0</v>
      </c>
      <c r="CI1952">
        <v>0</v>
      </c>
      <c r="CJ1952">
        <v>0</v>
      </c>
      <c r="CK1952">
        <v>2</v>
      </c>
      <c r="CL1952">
        <v>0</v>
      </c>
      <c r="CM1952">
        <v>2</v>
      </c>
      <c r="CN1952">
        <v>0</v>
      </c>
      <c r="CO1952">
        <v>2</v>
      </c>
      <c r="CP1952" t="s">
        <v>119</v>
      </c>
      <c r="CQ1952">
        <v>179</v>
      </c>
      <c r="CR1952">
        <v>1</v>
      </c>
      <c r="CW1952">
        <v>8825811</v>
      </c>
      <c r="CY1952">
        <v>0</v>
      </c>
      <c r="CZ1952">
        <v>0</v>
      </c>
      <c r="DA1952">
        <v>1</v>
      </c>
      <c r="DB1952">
        <v>0</v>
      </c>
      <c r="DC1952">
        <v>0</v>
      </c>
      <c r="DD1952">
        <v>0</v>
      </c>
      <c r="DE1952">
        <v>0</v>
      </c>
      <c r="DF1952">
        <v>0</v>
      </c>
      <c r="DG1952">
        <v>0</v>
      </c>
      <c r="DH1952">
        <v>0</v>
      </c>
      <c r="DI1952">
        <v>0</v>
      </c>
    </row>
    <row r="1953" spans="1:113" x14ac:dyDescent="0.3">
      <c r="A1953" t="str">
        <f>"02/08/2021 20:24:33.999"</f>
        <v>02/08/2021 20:24:33.999</v>
      </c>
      <c r="C1953" t="str">
        <f t="shared" si="93"/>
        <v>FFDFD7C0</v>
      </c>
      <c r="D1953" t="s">
        <v>124</v>
      </c>
      <c r="E1953">
        <v>12</v>
      </c>
      <c r="F1953">
        <v>1012</v>
      </c>
      <c r="G1953" t="s">
        <v>675</v>
      </c>
      <c r="J1953" t="s">
        <v>125</v>
      </c>
      <c r="K1953">
        <v>0</v>
      </c>
      <c r="L1953">
        <v>3</v>
      </c>
      <c r="M1953">
        <v>0</v>
      </c>
      <c r="N1953">
        <v>2</v>
      </c>
      <c r="O1953">
        <v>1</v>
      </c>
      <c r="P1953">
        <v>0</v>
      </c>
      <c r="Q1953">
        <v>0</v>
      </c>
      <c r="S1953" t="str">
        <f>"20:24:36.313"</f>
        <v>20:24:36.313</v>
      </c>
      <c r="T1953" t="str">
        <f>"20:24:35.913"</f>
        <v>20:24:35.913</v>
      </c>
      <c r="U1953" t="str">
        <f t="shared" si="95"/>
        <v>AB01F4</v>
      </c>
      <c r="V1953">
        <v>0</v>
      </c>
      <c r="W1953">
        <v>0</v>
      </c>
      <c r="X1953">
        <v>2</v>
      </c>
      <c r="Z1953">
        <v>0</v>
      </c>
      <c r="AA1953">
        <v>9</v>
      </c>
      <c r="AB1953">
        <v>3</v>
      </c>
      <c r="AC1953">
        <v>0</v>
      </c>
      <c r="AD1953">
        <v>10</v>
      </c>
      <c r="AE1953">
        <v>0</v>
      </c>
      <c r="AF1953">
        <v>3</v>
      </c>
      <c r="AG1953">
        <v>2</v>
      </c>
      <c r="AH1953">
        <v>0</v>
      </c>
      <c r="AI1953" t="s">
        <v>1225</v>
      </c>
      <c r="AJ1953">
        <v>39.922170999999999</v>
      </c>
      <c r="AK1953" t="s">
        <v>1226</v>
      </c>
      <c r="AL1953">
        <v>-92.609016999999994</v>
      </c>
      <c r="AM1953">
        <v>100</v>
      </c>
      <c r="AN1953">
        <v>1700</v>
      </c>
      <c r="AO1953" t="s">
        <v>118</v>
      </c>
      <c r="AP1953">
        <v>-107</v>
      </c>
      <c r="AQ1953">
        <v>77</v>
      </c>
      <c r="AR1953">
        <v>64</v>
      </c>
      <c r="AZ1953">
        <v>1200</v>
      </c>
      <c r="BA1953">
        <v>1</v>
      </c>
      <c r="BB1953" t="str">
        <f t="shared" si="94"/>
        <v xml:space="preserve">N8080G  </v>
      </c>
      <c r="BC1953">
        <v>1</v>
      </c>
      <c r="BE1953">
        <v>0</v>
      </c>
      <c r="BF1953">
        <v>0</v>
      </c>
      <c r="BG1953">
        <v>0</v>
      </c>
      <c r="BH1953">
        <v>1700</v>
      </c>
      <c r="BI1953">
        <v>1</v>
      </c>
      <c r="BJ1953">
        <v>1</v>
      </c>
      <c r="BK1953">
        <v>1</v>
      </c>
      <c r="BL1953">
        <v>0</v>
      </c>
      <c r="BO1953">
        <v>0</v>
      </c>
      <c r="BP1953">
        <v>0</v>
      </c>
      <c r="BW1953" t="str">
        <f>"20:24:36.315"</f>
        <v>20:24:36.315</v>
      </c>
      <c r="BZ1953">
        <v>0</v>
      </c>
      <c r="CA1953">
        <v>2016</v>
      </c>
      <c r="CB1953">
        <v>224</v>
      </c>
      <c r="CD1953">
        <v>1</v>
      </c>
      <c r="CE1953">
        <v>0</v>
      </c>
      <c r="CF1953">
        <v>0</v>
      </c>
      <c r="CG1953">
        <v>1</v>
      </c>
      <c r="CH1953">
        <v>0</v>
      </c>
      <c r="CI1953">
        <v>0</v>
      </c>
      <c r="CJ1953">
        <v>0</v>
      </c>
      <c r="CK1953">
        <v>2</v>
      </c>
      <c r="CL1953">
        <v>0</v>
      </c>
      <c r="CM1953">
        <v>2</v>
      </c>
      <c r="CN1953">
        <v>0</v>
      </c>
      <c r="CO1953">
        <v>2</v>
      </c>
      <c r="CP1953" t="s">
        <v>119</v>
      </c>
      <c r="CQ1953">
        <v>179</v>
      </c>
      <c r="CR1953">
        <v>1</v>
      </c>
      <c r="CW1953">
        <v>8825811</v>
      </c>
      <c r="CY1953">
        <v>0</v>
      </c>
      <c r="CZ1953">
        <v>0</v>
      </c>
      <c r="DA1953">
        <v>1</v>
      </c>
      <c r="DB1953">
        <v>0</v>
      </c>
      <c r="DC1953">
        <v>0</v>
      </c>
      <c r="DD1953">
        <v>0</v>
      </c>
      <c r="DE1953">
        <v>0</v>
      </c>
      <c r="DF1953">
        <v>0</v>
      </c>
      <c r="DG1953">
        <v>0</v>
      </c>
      <c r="DH1953">
        <v>0</v>
      </c>
      <c r="DI1953">
        <v>0</v>
      </c>
    </row>
    <row r="1954" spans="1:113" x14ac:dyDescent="0.3">
      <c r="A1954" t="str">
        <f>"02/08/2021 20:24:33.999"</f>
        <v>02/08/2021 20:24:33.999</v>
      </c>
      <c r="C1954" t="str">
        <f t="shared" si="93"/>
        <v>FFDFD7C0</v>
      </c>
      <c r="D1954" t="s">
        <v>124</v>
      </c>
      <c r="E1954">
        <v>13</v>
      </c>
      <c r="F1954">
        <v>1013</v>
      </c>
      <c r="G1954" t="s">
        <v>114</v>
      </c>
      <c r="J1954" t="s">
        <v>125</v>
      </c>
      <c r="K1954">
        <v>0</v>
      </c>
      <c r="L1954">
        <v>3</v>
      </c>
      <c r="M1954">
        <v>0</v>
      </c>
      <c r="N1954">
        <v>2</v>
      </c>
      <c r="O1954">
        <v>1</v>
      </c>
      <c r="P1954">
        <v>0</v>
      </c>
      <c r="Q1954">
        <v>0</v>
      </c>
      <c r="S1954" t="str">
        <f>"20:24:36.313"</f>
        <v>20:24:36.313</v>
      </c>
      <c r="T1954" t="str">
        <f>"20:24:35.913"</f>
        <v>20:24:35.913</v>
      </c>
      <c r="U1954" t="str">
        <f t="shared" si="95"/>
        <v>AB01F4</v>
      </c>
      <c r="V1954">
        <v>0</v>
      </c>
      <c r="W1954">
        <v>0</v>
      </c>
      <c r="X1954">
        <v>2</v>
      </c>
      <c r="Z1954">
        <v>0</v>
      </c>
      <c r="AA1954">
        <v>9</v>
      </c>
      <c r="AB1954">
        <v>3</v>
      </c>
      <c r="AC1954">
        <v>0</v>
      </c>
      <c r="AD1954">
        <v>10</v>
      </c>
      <c r="AE1954">
        <v>0</v>
      </c>
      <c r="AF1954">
        <v>3</v>
      </c>
      <c r="AG1954">
        <v>2</v>
      </c>
      <c r="AH1954">
        <v>0</v>
      </c>
      <c r="AI1954" t="s">
        <v>1225</v>
      </c>
      <c r="AJ1954">
        <v>39.922170999999999</v>
      </c>
      <c r="AK1954" t="s">
        <v>1226</v>
      </c>
      <c r="AL1954">
        <v>-92.609016999999994</v>
      </c>
      <c r="AM1954">
        <v>100</v>
      </c>
      <c r="AN1954">
        <v>1700</v>
      </c>
      <c r="AO1954" t="s">
        <v>118</v>
      </c>
      <c r="AP1954">
        <v>-107</v>
      </c>
      <c r="AQ1954">
        <v>77</v>
      </c>
      <c r="AR1954">
        <v>64</v>
      </c>
      <c r="AZ1954">
        <v>1200</v>
      </c>
      <c r="BA1954">
        <v>1</v>
      </c>
      <c r="BB1954" t="str">
        <f t="shared" si="94"/>
        <v xml:space="preserve">N8080G  </v>
      </c>
      <c r="BC1954">
        <v>1</v>
      </c>
      <c r="BE1954">
        <v>0</v>
      </c>
      <c r="BF1954">
        <v>0</v>
      </c>
      <c r="BG1954">
        <v>0</v>
      </c>
      <c r="BH1954">
        <v>1700</v>
      </c>
      <c r="BI1954">
        <v>1</v>
      </c>
      <c r="BJ1954">
        <v>1</v>
      </c>
      <c r="BK1954">
        <v>1</v>
      </c>
      <c r="BL1954">
        <v>0</v>
      </c>
      <c r="BO1954">
        <v>0</v>
      </c>
      <c r="BP1954">
        <v>0</v>
      </c>
      <c r="BW1954" t="str">
        <f>"20:24:36.315"</f>
        <v>20:24:36.315</v>
      </c>
      <c r="BZ1954">
        <v>0</v>
      </c>
      <c r="CA1954">
        <v>2016</v>
      </c>
      <c r="CB1954">
        <v>224</v>
      </c>
      <c r="CD1954">
        <v>1</v>
      </c>
      <c r="CE1954">
        <v>0</v>
      </c>
      <c r="CF1954">
        <v>0</v>
      </c>
      <c r="CG1954">
        <v>1</v>
      </c>
      <c r="CH1954">
        <v>0</v>
      </c>
      <c r="CI1954">
        <v>0</v>
      </c>
      <c r="CJ1954">
        <v>0</v>
      </c>
      <c r="CK1954">
        <v>2</v>
      </c>
      <c r="CL1954">
        <v>0</v>
      </c>
      <c r="CM1954">
        <v>2</v>
      </c>
      <c r="CN1954">
        <v>0</v>
      </c>
      <c r="CO1954">
        <v>2</v>
      </c>
      <c r="CP1954" t="s">
        <v>119</v>
      </c>
      <c r="CQ1954">
        <v>179</v>
      </c>
      <c r="CR1954">
        <v>1</v>
      </c>
      <c r="CW1954">
        <v>8825811</v>
      </c>
      <c r="CY1954">
        <v>0</v>
      </c>
      <c r="CZ1954">
        <v>0</v>
      </c>
      <c r="DA1954">
        <v>1</v>
      </c>
      <c r="DB1954">
        <v>0</v>
      </c>
      <c r="DC1954">
        <v>0</v>
      </c>
      <c r="DD1954">
        <v>0</v>
      </c>
      <c r="DE1954">
        <v>0</v>
      </c>
      <c r="DF1954">
        <v>0</v>
      </c>
      <c r="DG1954">
        <v>0</v>
      </c>
      <c r="DH1954">
        <v>0</v>
      </c>
      <c r="DI1954">
        <v>0</v>
      </c>
    </row>
    <row r="1955" spans="1:113" x14ac:dyDescent="0.3">
      <c r="A1955" t="str">
        <f>"02/08/2021 20:24:34.996"</f>
        <v>02/08/2021 20:24:34.996</v>
      </c>
      <c r="C1955" t="str">
        <f t="shared" si="93"/>
        <v>FFDFD7C0</v>
      </c>
      <c r="D1955" t="s">
        <v>124</v>
      </c>
      <c r="E1955">
        <v>13</v>
      </c>
      <c r="F1955">
        <v>1013</v>
      </c>
      <c r="G1955" t="s">
        <v>114</v>
      </c>
      <c r="J1955" t="s">
        <v>125</v>
      </c>
      <c r="K1955">
        <v>0</v>
      </c>
      <c r="L1955">
        <v>3</v>
      </c>
      <c r="M1955">
        <v>0</v>
      </c>
      <c r="N1955">
        <v>2</v>
      </c>
      <c r="O1955">
        <v>1</v>
      </c>
      <c r="P1955">
        <v>0</v>
      </c>
      <c r="Q1955">
        <v>0</v>
      </c>
      <c r="S1955" t="str">
        <f>"20:24:37.320"</f>
        <v>20:24:37.320</v>
      </c>
      <c r="T1955" t="str">
        <f>"20:24:36.820"</f>
        <v>20:24:36.820</v>
      </c>
      <c r="U1955" t="str">
        <f t="shared" si="95"/>
        <v>AB01F4</v>
      </c>
      <c r="V1955">
        <v>0</v>
      </c>
      <c r="W1955">
        <v>0</v>
      </c>
      <c r="X1955">
        <v>2</v>
      </c>
      <c r="Z1955">
        <v>0</v>
      </c>
      <c r="AA1955">
        <v>9</v>
      </c>
      <c r="AB1955">
        <v>3</v>
      </c>
      <c r="AC1955">
        <v>0</v>
      </c>
      <c r="AD1955">
        <v>10</v>
      </c>
      <c r="AE1955">
        <v>0</v>
      </c>
      <c r="AF1955">
        <v>3</v>
      </c>
      <c r="AG1955">
        <v>2</v>
      </c>
      <c r="AH1955">
        <v>0</v>
      </c>
      <c r="AI1955" t="s">
        <v>1227</v>
      </c>
      <c r="AJ1955">
        <v>39.922578000000001</v>
      </c>
      <c r="AK1955" t="s">
        <v>1228</v>
      </c>
      <c r="AL1955">
        <v>-92.609682000000006</v>
      </c>
      <c r="AM1955">
        <v>100</v>
      </c>
      <c r="AN1955">
        <v>1700</v>
      </c>
      <c r="AO1955" t="s">
        <v>118</v>
      </c>
      <c r="AP1955">
        <v>-107</v>
      </c>
      <c r="AQ1955">
        <v>77</v>
      </c>
      <c r="AR1955">
        <v>64</v>
      </c>
      <c r="AZ1955">
        <v>1200</v>
      </c>
      <c r="BA1955">
        <v>1</v>
      </c>
      <c r="BB1955" t="str">
        <f t="shared" si="94"/>
        <v xml:space="preserve">N8080G  </v>
      </c>
      <c r="BC1955">
        <v>1</v>
      </c>
      <c r="BE1955">
        <v>0</v>
      </c>
      <c r="BF1955">
        <v>0</v>
      </c>
      <c r="BG1955">
        <v>0</v>
      </c>
      <c r="BH1955">
        <v>1700</v>
      </c>
      <c r="BI1955">
        <v>1</v>
      </c>
      <c r="BJ1955">
        <v>1</v>
      </c>
      <c r="BK1955">
        <v>1</v>
      </c>
      <c r="BL1955">
        <v>0</v>
      </c>
      <c r="BO1955">
        <v>0</v>
      </c>
      <c r="BP1955">
        <v>0</v>
      </c>
      <c r="BW1955" t="str">
        <f>"20:24:37.327"</f>
        <v>20:24:37.327</v>
      </c>
      <c r="BZ1955">
        <v>0</v>
      </c>
      <c r="CA1955">
        <v>2016</v>
      </c>
      <c r="CB1955">
        <v>224</v>
      </c>
      <c r="CD1955">
        <v>1</v>
      </c>
      <c r="CE1955">
        <v>0</v>
      </c>
      <c r="CF1955">
        <v>0</v>
      </c>
      <c r="CG1955">
        <v>1</v>
      </c>
      <c r="CH1955">
        <v>0</v>
      </c>
      <c r="CI1955">
        <v>0</v>
      </c>
      <c r="CJ1955">
        <v>0</v>
      </c>
      <c r="CK1955">
        <v>2</v>
      </c>
      <c r="CL1955">
        <v>0</v>
      </c>
      <c r="CM1955">
        <v>2</v>
      </c>
      <c r="CN1955">
        <v>0</v>
      </c>
      <c r="CO1955">
        <v>7</v>
      </c>
      <c r="CP1955" t="s">
        <v>119</v>
      </c>
      <c r="CQ1955">
        <v>180</v>
      </c>
      <c r="CR1955">
        <v>2</v>
      </c>
      <c r="CW1955">
        <v>8391317</v>
      </c>
      <c r="CY1955">
        <v>0</v>
      </c>
      <c r="CZ1955">
        <v>0</v>
      </c>
      <c r="DA1955">
        <v>0</v>
      </c>
      <c r="DB1955">
        <v>0</v>
      </c>
      <c r="DC1955">
        <v>0</v>
      </c>
      <c r="DD1955">
        <v>0</v>
      </c>
      <c r="DE1955">
        <v>0</v>
      </c>
      <c r="DF1955">
        <v>0</v>
      </c>
      <c r="DG1955">
        <v>0</v>
      </c>
      <c r="DH1955">
        <v>0</v>
      </c>
      <c r="DI1955">
        <v>0</v>
      </c>
    </row>
    <row r="1956" spans="1:113" x14ac:dyDescent="0.3">
      <c r="A1956" t="str">
        <f>"02/08/2021 20:24:34.996"</f>
        <v>02/08/2021 20:24:34.996</v>
      </c>
      <c r="C1956" t="str">
        <f t="shared" si="93"/>
        <v>FFDFD7C0</v>
      </c>
      <c r="D1956" t="s">
        <v>124</v>
      </c>
      <c r="E1956">
        <v>11</v>
      </c>
      <c r="F1956">
        <v>1011</v>
      </c>
      <c r="G1956" t="s">
        <v>590</v>
      </c>
      <c r="J1956" t="s">
        <v>125</v>
      </c>
      <c r="K1956">
        <v>0</v>
      </c>
      <c r="L1956">
        <v>3</v>
      </c>
      <c r="M1956">
        <v>0</v>
      </c>
      <c r="N1956">
        <v>2</v>
      </c>
      <c r="O1956">
        <v>1</v>
      </c>
      <c r="P1956">
        <v>0</v>
      </c>
      <c r="Q1956">
        <v>0</v>
      </c>
      <c r="S1956" t="str">
        <f>"20:24:37.320"</f>
        <v>20:24:37.320</v>
      </c>
      <c r="T1956" t="str">
        <f>"20:24:36.820"</f>
        <v>20:24:36.820</v>
      </c>
      <c r="U1956" t="str">
        <f t="shared" si="95"/>
        <v>AB01F4</v>
      </c>
      <c r="V1956">
        <v>0</v>
      </c>
      <c r="W1956">
        <v>0</v>
      </c>
      <c r="X1956">
        <v>2</v>
      </c>
      <c r="Z1956">
        <v>0</v>
      </c>
      <c r="AA1956">
        <v>9</v>
      </c>
      <c r="AB1956">
        <v>3</v>
      </c>
      <c r="AC1956">
        <v>0</v>
      </c>
      <c r="AD1956">
        <v>10</v>
      </c>
      <c r="AE1956">
        <v>0</v>
      </c>
      <c r="AF1956">
        <v>3</v>
      </c>
      <c r="AG1956">
        <v>2</v>
      </c>
      <c r="AH1956">
        <v>0</v>
      </c>
      <c r="AI1956" t="s">
        <v>1227</v>
      </c>
      <c r="AJ1956">
        <v>39.922578000000001</v>
      </c>
      <c r="AK1956" t="s">
        <v>1228</v>
      </c>
      <c r="AL1956">
        <v>-92.609682000000006</v>
      </c>
      <c r="AM1956">
        <v>100</v>
      </c>
      <c r="AN1956">
        <v>1700</v>
      </c>
      <c r="AO1956" t="s">
        <v>118</v>
      </c>
      <c r="AP1956">
        <v>-107</v>
      </c>
      <c r="AQ1956">
        <v>77</v>
      </c>
      <c r="AR1956">
        <v>64</v>
      </c>
      <c r="AZ1956">
        <v>1200</v>
      </c>
      <c r="BA1956">
        <v>1</v>
      </c>
      <c r="BB1956" t="str">
        <f t="shared" si="94"/>
        <v xml:space="preserve">N8080G  </v>
      </c>
      <c r="BC1956">
        <v>1</v>
      </c>
      <c r="BE1956">
        <v>0</v>
      </c>
      <c r="BF1956">
        <v>0</v>
      </c>
      <c r="BG1956">
        <v>0</v>
      </c>
      <c r="BH1956">
        <v>1700</v>
      </c>
      <c r="BI1956">
        <v>1</v>
      </c>
      <c r="BJ1956">
        <v>1</v>
      </c>
      <c r="BK1956">
        <v>1</v>
      </c>
      <c r="BL1956">
        <v>0</v>
      </c>
      <c r="BO1956">
        <v>0</v>
      </c>
      <c r="BP1956">
        <v>0</v>
      </c>
      <c r="BW1956" t="str">
        <f>"20:24:37.327"</f>
        <v>20:24:37.327</v>
      </c>
      <c r="BZ1956">
        <v>0</v>
      </c>
      <c r="CA1956">
        <v>2016</v>
      </c>
      <c r="CB1956">
        <v>224</v>
      </c>
      <c r="CD1956">
        <v>1</v>
      </c>
      <c r="CE1956">
        <v>0</v>
      </c>
      <c r="CF1956">
        <v>0</v>
      </c>
      <c r="CG1956">
        <v>1</v>
      </c>
      <c r="CH1956">
        <v>0</v>
      </c>
      <c r="CI1956">
        <v>0</v>
      </c>
      <c r="CJ1956">
        <v>0</v>
      </c>
      <c r="CK1956">
        <v>2</v>
      </c>
      <c r="CL1956">
        <v>0</v>
      </c>
      <c r="CM1956">
        <v>2</v>
      </c>
      <c r="CN1956">
        <v>0</v>
      </c>
      <c r="CO1956">
        <v>7</v>
      </c>
      <c r="CP1956" t="s">
        <v>119</v>
      </c>
      <c r="CQ1956">
        <v>180</v>
      </c>
      <c r="CR1956">
        <v>2</v>
      </c>
      <c r="CW1956">
        <v>8391317</v>
      </c>
      <c r="CY1956">
        <v>0</v>
      </c>
      <c r="CZ1956">
        <v>0</v>
      </c>
      <c r="DA1956">
        <v>1</v>
      </c>
      <c r="DB1956">
        <v>0</v>
      </c>
      <c r="DC1956">
        <v>0</v>
      </c>
      <c r="DD1956">
        <v>0</v>
      </c>
      <c r="DE1956">
        <v>0</v>
      </c>
      <c r="DF1956">
        <v>0</v>
      </c>
      <c r="DG1956">
        <v>0</v>
      </c>
      <c r="DH1956">
        <v>0</v>
      </c>
      <c r="DI1956">
        <v>0</v>
      </c>
    </row>
    <row r="1957" spans="1:113" x14ac:dyDescent="0.3">
      <c r="A1957" t="str">
        <f>"02/08/2021 20:24:34.996"</f>
        <v>02/08/2021 20:24:34.996</v>
      </c>
      <c r="C1957" t="str">
        <f t="shared" si="93"/>
        <v>FFDFD7C0</v>
      </c>
      <c r="D1957" t="s">
        <v>113</v>
      </c>
      <c r="E1957">
        <v>6</v>
      </c>
      <c r="H1957">
        <v>165</v>
      </c>
      <c r="I1957" t="s">
        <v>114</v>
      </c>
      <c r="J1957" t="s">
        <v>115</v>
      </c>
      <c r="K1957">
        <v>0</v>
      </c>
      <c r="L1957">
        <v>3</v>
      </c>
      <c r="M1957">
        <v>0</v>
      </c>
      <c r="N1957">
        <v>2</v>
      </c>
      <c r="O1957">
        <v>1</v>
      </c>
      <c r="P1957">
        <v>0</v>
      </c>
      <c r="Q1957">
        <v>0</v>
      </c>
      <c r="S1957" t="str">
        <f>"20:24:37.320"</f>
        <v>20:24:37.320</v>
      </c>
      <c r="T1957" t="str">
        <f>"20:24:36.820"</f>
        <v>20:24:36.820</v>
      </c>
      <c r="U1957" t="str">
        <f t="shared" si="95"/>
        <v>AB01F4</v>
      </c>
      <c r="V1957">
        <v>0</v>
      </c>
      <c r="W1957">
        <v>0</v>
      </c>
      <c r="X1957">
        <v>2</v>
      </c>
      <c r="Z1957">
        <v>0</v>
      </c>
      <c r="AA1957">
        <v>9</v>
      </c>
      <c r="AB1957">
        <v>3</v>
      </c>
      <c r="AC1957">
        <v>0</v>
      </c>
      <c r="AD1957">
        <v>10</v>
      </c>
      <c r="AE1957">
        <v>0</v>
      </c>
      <c r="AF1957">
        <v>3</v>
      </c>
      <c r="AG1957">
        <v>2</v>
      </c>
      <c r="AH1957">
        <v>0</v>
      </c>
      <c r="AI1957" t="s">
        <v>1227</v>
      </c>
      <c r="AJ1957">
        <v>39.922578000000001</v>
      </c>
      <c r="AK1957" t="s">
        <v>1228</v>
      </c>
      <c r="AL1957">
        <v>-92.609682000000006</v>
      </c>
      <c r="AM1957">
        <v>100</v>
      </c>
      <c r="AN1957">
        <v>1700</v>
      </c>
      <c r="AO1957" t="s">
        <v>118</v>
      </c>
      <c r="AP1957">
        <v>-107</v>
      </c>
      <c r="AQ1957">
        <v>77</v>
      </c>
      <c r="AR1957">
        <v>64</v>
      </c>
      <c r="AZ1957">
        <v>1200</v>
      </c>
      <c r="BA1957">
        <v>1</v>
      </c>
      <c r="BB1957" t="str">
        <f t="shared" si="94"/>
        <v xml:space="preserve">N8080G  </v>
      </c>
      <c r="BC1957">
        <v>1</v>
      </c>
      <c r="BE1957">
        <v>0</v>
      </c>
      <c r="BF1957">
        <v>0</v>
      </c>
      <c r="BG1957">
        <v>0</v>
      </c>
      <c r="BH1957">
        <v>1700</v>
      </c>
      <c r="BI1957">
        <v>1</v>
      </c>
      <c r="BJ1957">
        <v>1</v>
      </c>
      <c r="BK1957">
        <v>1</v>
      </c>
      <c r="BL1957">
        <v>0</v>
      </c>
      <c r="BO1957">
        <v>0</v>
      </c>
      <c r="BP1957">
        <v>0</v>
      </c>
      <c r="BW1957" t="str">
        <f>"20:24:37.327"</f>
        <v>20:24:37.327</v>
      </c>
      <c r="BZ1957">
        <v>0</v>
      </c>
      <c r="CA1957">
        <v>2016</v>
      </c>
      <c r="CB1957">
        <v>224</v>
      </c>
      <c r="CD1957">
        <v>1</v>
      </c>
      <c r="CE1957">
        <v>0</v>
      </c>
      <c r="CF1957">
        <v>0</v>
      </c>
      <c r="CG1957">
        <v>1</v>
      </c>
      <c r="CH1957">
        <v>0</v>
      </c>
      <c r="CI1957">
        <v>0</v>
      </c>
      <c r="CJ1957">
        <v>0</v>
      </c>
      <c r="CK1957">
        <v>2</v>
      </c>
      <c r="CL1957">
        <v>0</v>
      </c>
      <c r="CM1957">
        <v>2</v>
      </c>
      <c r="CN1957">
        <v>0</v>
      </c>
      <c r="CO1957">
        <v>7</v>
      </c>
      <c r="CP1957" t="s">
        <v>119</v>
      </c>
      <c r="CQ1957">
        <v>180</v>
      </c>
      <c r="CR1957">
        <v>2</v>
      </c>
      <c r="CW1957">
        <v>8391317</v>
      </c>
      <c r="CY1957">
        <v>0</v>
      </c>
      <c r="CZ1957">
        <v>0</v>
      </c>
      <c r="DA1957">
        <v>1</v>
      </c>
      <c r="DB1957">
        <v>0</v>
      </c>
      <c r="DC1957">
        <v>0</v>
      </c>
      <c r="DD1957">
        <v>0</v>
      </c>
      <c r="DE1957">
        <v>0</v>
      </c>
      <c r="DF1957">
        <v>0</v>
      </c>
      <c r="DG1957">
        <v>0</v>
      </c>
      <c r="DH1957">
        <v>0</v>
      </c>
      <c r="DI1957">
        <v>0</v>
      </c>
    </row>
    <row r="1958" spans="1:113" x14ac:dyDescent="0.3">
      <c r="A1958" t="str">
        <f>"02/08/2021 20:24:34.996"</f>
        <v>02/08/2021 20:24:34.996</v>
      </c>
      <c r="C1958" t="str">
        <f t="shared" si="93"/>
        <v>FFDFD7C0</v>
      </c>
      <c r="D1958" t="s">
        <v>124</v>
      </c>
      <c r="E1958">
        <v>12</v>
      </c>
      <c r="F1958">
        <v>1012</v>
      </c>
      <c r="G1958" t="s">
        <v>675</v>
      </c>
      <c r="J1958" t="s">
        <v>125</v>
      </c>
      <c r="K1958">
        <v>0</v>
      </c>
      <c r="L1958">
        <v>3</v>
      </c>
      <c r="M1958">
        <v>0</v>
      </c>
      <c r="N1958">
        <v>2</v>
      </c>
      <c r="O1958">
        <v>1</v>
      </c>
      <c r="P1958">
        <v>0</v>
      </c>
      <c r="Q1958">
        <v>0</v>
      </c>
      <c r="S1958" t="str">
        <f>"20:24:37.320"</f>
        <v>20:24:37.320</v>
      </c>
      <c r="T1958" t="str">
        <f>"20:24:36.820"</f>
        <v>20:24:36.820</v>
      </c>
      <c r="U1958" t="str">
        <f t="shared" si="95"/>
        <v>AB01F4</v>
      </c>
      <c r="V1958">
        <v>0</v>
      </c>
      <c r="W1958">
        <v>0</v>
      </c>
      <c r="X1958">
        <v>2</v>
      </c>
      <c r="Z1958">
        <v>0</v>
      </c>
      <c r="AA1958">
        <v>9</v>
      </c>
      <c r="AB1958">
        <v>3</v>
      </c>
      <c r="AC1958">
        <v>0</v>
      </c>
      <c r="AD1958">
        <v>10</v>
      </c>
      <c r="AE1958">
        <v>0</v>
      </c>
      <c r="AF1958">
        <v>3</v>
      </c>
      <c r="AG1958">
        <v>2</v>
      </c>
      <c r="AH1958">
        <v>0</v>
      </c>
      <c r="AI1958" t="s">
        <v>1227</v>
      </c>
      <c r="AJ1958">
        <v>39.922578000000001</v>
      </c>
      <c r="AK1958" t="s">
        <v>1228</v>
      </c>
      <c r="AL1958">
        <v>-92.609682000000006</v>
      </c>
      <c r="AM1958">
        <v>100</v>
      </c>
      <c r="AN1958">
        <v>1700</v>
      </c>
      <c r="AO1958" t="s">
        <v>118</v>
      </c>
      <c r="AP1958">
        <v>-107</v>
      </c>
      <c r="AQ1958">
        <v>77</v>
      </c>
      <c r="AR1958">
        <v>64</v>
      </c>
      <c r="AZ1958">
        <v>1200</v>
      </c>
      <c r="BA1958">
        <v>1</v>
      </c>
      <c r="BB1958" t="str">
        <f t="shared" si="94"/>
        <v xml:space="preserve">N8080G  </v>
      </c>
      <c r="BC1958">
        <v>1</v>
      </c>
      <c r="BE1958">
        <v>0</v>
      </c>
      <c r="BF1958">
        <v>0</v>
      </c>
      <c r="BG1958">
        <v>0</v>
      </c>
      <c r="BH1958">
        <v>1700</v>
      </c>
      <c r="BI1958">
        <v>1</v>
      </c>
      <c r="BJ1958">
        <v>1</v>
      </c>
      <c r="BK1958">
        <v>1</v>
      </c>
      <c r="BL1958">
        <v>0</v>
      </c>
      <c r="BO1958">
        <v>0</v>
      </c>
      <c r="BP1958">
        <v>0</v>
      </c>
      <c r="BW1958" t="str">
        <f>"20:24:37.327"</f>
        <v>20:24:37.327</v>
      </c>
      <c r="BZ1958">
        <v>0</v>
      </c>
      <c r="CA1958">
        <v>2016</v>
      </c>
      <c r="CB1958">
        <v>224</v>
      </c>
      <c r="CD1958">
        <v>1</v>
      </c>
      <c r="CE1958">
        <v>0</v>
      </c>
      <c r="CF1958">
        <v>0</v>
      </c>
      <c r="CG1958">
        <v>1</v>
      </c>
      <c r="CH1958">
        <v>0</v>
      </c>
      <c r="CI1958">
        <v>0</v>
      </c>
      <c r="CJ1958">
        <v>0</v>
      </c>
      <c r="CK1958">
        <v>2</v>
      </c>
      <c r="CL1958">
        <v>0</v>
      </c>
      <c r="CM1958">
        <v>2</v>
      </c>
      <c r="CN1958">
        <v>0</v>
      </c>
      <c r="CO1958">
        <v>7</v>
      </c>
      <c r="CP1958" t="s">
        <v>119</v>
      </c>
      <c r="CQ1958">
        <v>180</v>
      </c>
      <c r="CR1958">
        <v>2</v>
      </c>
      <c r="CW1958">
        <v>8391317</v>
      </c>
      <c r="CY1958">
        <v>0</v>
      </c>
      <c r="CZ1958">
        <v>0</v>
      </c>
      <c r="DA1958">
        <v>1</v>
      </c>
      <c r="DB1958">
        <v>0</v>
      </c>
      <c r="DC1958">
        <v>0</v>
      </c>
      <c r="DD1958">
        <v>0</v>
      </c>
      <c r="DE1958">
        <v>0</v>
      </c>
      <c r="DF1958">
        <v>0</v>
      </c>
      <c r="DG1958">
        <v>0</v>
      </c>
      <c r="DH1958">
        <v>0</v>
      </c>
      <c r="DI1958">
        <v>0</v>
      </c>
    </row>
    <row r="1959" spans="1:113" x14ac:dyDescent="0.3">
      <c r="A1959" t="str">
        <f>"02/08/2021 20:24:38.101"</f>
        <v>02/08/2021 20:24:38.101</v>
      </c>
      <c r="C1959" t="str">
        <f t="shared" si="93"/>
        <v>FFDFD7C0</v>
      </c>
      <c r="D1959" t="s">
        <v>113</v>
      </c>
      <c r="E1959">
        <v>6</v>
      </c>
      <c r="H1959">
        <v>165</v>
      </c>
      <c r="I1959" t="s">
        <v>114</v>
      </c>
      <c r="J1959" t="s">
        <v>115</v>
      </c>
      <c r="K1959">
        <v>0</v>
      </c>
      <c r="L1959">
        <v>3</v>
      </c>
      <c r="M1959">
        <v>0</v>
      </c>
      <c r="N1959">
        <v>2</v>
      </c>
      <c r="O1959">
        <v>1</v>
      </c>
      <c r="P1959">
        <v>0</v>
      </c>
      <c r="Q1959">
        <v>0</v>
      </c>
      <c r="S1959" t="str">
        <f>"20:24:40.438"</f>
        <v>20:24:40.438</v>
      </c>
      <c r="T1959" t="str">
        <f>"20:24:40.038"</f>
        <v>20:24:40.038</v>
      </c>
      <c r="U1959" t="str">
        <f t="shared" si="95"/>
        <v>AB01F4</v>
      </c>
      <c r="V1959">
        <v>0</v>
      </c>
      <c r="W1959">
        <v>0</v>
      </c>
      <c r="X1959">
        <v>2</v>
      </c>
      <c r="Z1959">
        <v>0</v>
      </c>
      <c r="AA1959">
        <v>9</v>
      </c>
      <c r="AB1959">
        <v>3</v>
      </c>
      <c r="AC1959">
        <v>0</v>
      </c>
      <c r="AD1959">
        <v>10</v>
      </c>
      <c r="AE1959">
        <v>0</v>
      </c>
      <c r="AF1959">
        <v>3</v>
      </c>
      <c r="AG1959">
        <v>2</v>
      </c>
      <c r="AH1959">
        <v>0</v>
      </c>
      <c r="AI1959" t="s">
        <v>1229</v>
      </c>
      <c r="AJ1959">
        <v>39.923673000000001</v>
      </c>
      <c r="AK1959" t="s">
        <v>1230</v>
      </c>
      <c r="AL1959">
        <v>-92.611677999999998</v>
      </c>
      <c r="AM1959">
        <v>100</v>
      </c>
      <c r="AN1959">
        <v>1700</v>
      </c>
      <c r="AO1959" t="s">
        <v>118</v>
      </c>
      <c r="AP1959">
        <v>-107</v>
      </c>
      <c r="AQ1959">
        <v>77</v>
      </c>
      <c r="AR1959">
        <v>0</v>
      </c>
      <c r="AZ1959">
        <v>1200</v>
      </c>
      <c r="BA1959">
        <v>1</v>
      </c>
      <c r="BB1959" t="str">
        <f t="shared" si="94"/>
        <v xml:space="preserve">N8080G  </v>
      </c>
      <c r="BC1959">
        <v>1</v>
      </c>
      <c r="BE1959">
        <v>0</v>
      </c>
      <c r="BF1959">
        <v>0</v>
      </c>
      <c r="BG1959">
        <v>0</v>
      </c>
      <c r="BH1959">
        <v>1700</v>
      </c>
      <c r="BI1959">
        <v>1</v>
      </c>
      <c r="BJ1959">
        <v>1</v>
      </c>
      <c r="BK1959">
        <v>1</v>
      </c>
      <c r="BL1959">
        <v>0</v>
      </c>
      <c r="BO1959">
        <v>0</v>
      </c>
      <c r="BP1959">
        <v>0</v>
      </c>
      <c r="BW1959" t="str">
        <f>"20:24:40.440"</f>
        <v>20:24:40.440</v>
      </c>
      <c r="BZ1959">
        <v>0</v>
      </c>
      <c r="CA1959">
        <v>2016</v>
      </c>
      <c r="CB1959">
        <v>224</v>
      </c>
      <c r="CD1959">
        <v>1</v>
      </c>
      <c r="CE1959">
        <v>0</v>
      </c>
      <c r="CF1959">
        <v>0</v>
      </c>
      <c r="CG1959">
        <v>1</v>
      </c>
      <c r="CH1959">
        <v>0</v>
      </c>
      <c r="CI1959">
        <v>0</v>
      </c>
      <c r="CJ1959">
        <v>0</v>
      </c>
      <c r="CK1959">
        <v>2</v>
      </c>
      <c r="CL1959">
        <v>0</v>
      </c>
      <c r="CM1959">
        <v>2</v>
      </c>
      <c r="CN1959">
        <v>0</v>
      </c>
      <c r="CO1959">
        <v>7</v>
      </c>
      <c r="CP1959" t="s">
        <v>119</v>
      </c>
      <c r="CQ1959">
        <v>180</v>
      </c>
      <c r="CR1959">
        <v>2</v>
      </c>
      <c r="CW1959">
        <v>8393806</v>
      </c>
      <c r="CY1959">
        <v>0</v>
      </c>
      <c r="CZ1959">
        <v>0</v>
      </c>
      <c r="DA1959">
        <v>0</v>
      </c>
      <c r="DB1959">
        <v>0</v>
      </c>
      <c r="DC1959">
        <v>0</v>
      </c>
      <c r="DD1959">
        <v>0</v>
      </c>
      <c r="DE1959">
        <v>0</v>
      </c>
      <c r="DF1959">
        <v>0</v>
      </c>
      <c r="DG1959">
        <v>0</v>
      </c>
      <c r="DH1959">
        <v>0</v>
      </c>
      <c r="DI1959">
        <v>0</v>
      </c>
    </row>
    <row r="1960" spans="1:113" x14ac:dyDescent="0.3">
      <c r="A1960" t="str">
        <f>"02/08/2021 20:24:38.101"</f>
        <v>02/08/2021 20:24:38.101</v>
      </c>
      <c r="C1960" t="str">
        <f t="shared" si="93"/>
        <v>FFDFD7C0</v>
      </c>
      <c r="D1960" t="s">
        <v>124</v>
      </c>
      <c r="E1960">
        <v>13</v>
      </c>
      <c r="F1960">
        <v>1013</v>
      </c>
      <c r="G1960" t="s">
        <v>114</v>
      </c>
      <c r="J1960" t="s">
        <v>125</v>
      </c>
      <c r="K1960">
        <v>0</v>
      </c>
      <c r="L1960">
        <v>3</v>
      </c>
      <c r="M1960">
        <v>0</v>
      </c>
      <c r="N1960">
        <v>2</v>
      </c>
      <c r="O1960">
        <v>1</v>
      </c>
      <c r="P1960">
        <v>0</v>
      </c>
      <c r="Q1960">
        <v>0</v>
      </c>
      <c r="S1960" t="str">
        <f>"20:24:40.438"</f>
        <v>20:24:40.438</v>
      </c>
      <c r="T1960" t="str">
        <f>"20:24:40.038"</f>
        <v>20:24:40.038</v>
      </c>
      <c r="U1960" t="str">
        <f t="shared" si="95"/>
        <v>AB01F4</v>
      </c>
      <c r="V1960">
        <v>0</v>
      </c>
      <c r="W1960">
        <v>0</v>
      </c>
      <c r="X1960">
        <v>2</v>
      </c>
      <c r="Z1960">
        <v>0</v>
      </c>
      <c r="AA1960">
        <v>9</v>
      </c>
      <c r="AB1960">
        <v>3</v>
      </c>
      <c r="AC1960">
        <v>0</v>
      </c>
      <c r="AD1960">
        <v>10</v>
      </c>
      <c r="AE1960">
        <v>0</v>
      </c>
      <c r="AF1960">
        <v>3</v>
      </c>
      <c r="AG1960">
        <v>2</v>
      </c>
      <c r="AH1960">
        <v>0</v>
      </c>
      <c r="AI1960" t="s">
        <v>1229</v>
      </c>
      <c r="AJ1960">
        <v>39.923673000000001</v>
      </c>
      <c r="AK1960" t="s">
        <v>1230</v>
      </c>
      <c r="AL1960">
        <v>-92.611677999999998</v>
      </c>
      <c r="AM1960">
        <v>100</v>
      </c>
      <c r="AN1960">
        <v>1700</v>
      </c>
      <c r="AO1960" t="s">
        <v>118</v>
      </c>
      <c r="AP1960">
        <v>-107</v>
      </c>
      <c r="AQ1960">
        <v>77</v>
      </c>
      <c r="AR1960">
        <v>0</v>
      </c>
      <c r="AZ1960">
        <v>1200</v>
      </c>
      <c r="BA1960">
        <v>1</v>
      </c>
      <c r="BB1960" t="str">
        <f t="shared" si="94"/>
        <v xml:space="preserve">N8080G  </v>
      </c>
      <c r="BC1960">
        <v>1</v>
      </c>
      <c r="BE1960">
        <v>0</v>
      </c>
      <c r="BF1960">
        <v>0</v>
      </c>
      <c r="BG1960">
        <v>0</v>
      </c>
      <c r="BH1960">
        <v>1700</v>
      </c>
      <c r="BI1960">
        <v>1</v>
      </c>
      <c r="BJ1960">
        <v>1</v>
      </c>
      <c r="BK1960">
        <v>1</v>
      </c>
      <c r="BL1960">
        <v>0</v>
      </c>
      <c r="BO1960">
        <v>0</v>
      </c>
      <c r="BP1960">
        <v>0</v>
      </c>
      <c r="BW1960" t="str">
        <f>"20:24:40.440"</f>
        <v>20:24:40.440</v>
      </c>
      <c r="BZ1960">
        <v>0</v>
      </c>
      <c r="CA1960">
        <v>2016</v>
      </c>
      <c r="CB1960">
        <v>224</v>
      </c>
      <c r="CD1960">
        <v>1</v>
      </c>
      <c r="CE1960">
        <v>0</v>
      </c>
      <c r="CF1960">
        <v>0</v>
      </c>
      <c r="CG1960">
        <v>1</v>
      </c>
      <c r="CH1960">
        <v>0</v>
      </c>
      <c r="CI1960">
        <v>0</v>
      </c>
      <c r="CJ1960">
        <v>0</v>
      </c>
      <c r="CK1960">
        <v>2</v>
      </c>
      <c r="CL1960">
        <v>0</v>
      </c>
      <c r="CM1960">
        <v>2</v>
      </c>
      <c r="CN1960">
        <v>0</v>
      </c>
      <c r="CO1960">
        <v>7</v>
      </c>
      <c r="CP1960" t="s">
        <v>119</v>
      </c>
      <c r="CQ1960">
        <v>180</v>
      </c>
      <c r="CR1960">
        <v>2</v>
      </c>
      <c r="CW1960">
        <v>8393806</v>
      </c>
      <c r="CY1960">
        <v>0</v>
      </c>
      <c r="CZ1960">
        <v>0</v>
      </c>
      <c r="DA1960">
        <v>1</v>
      </c>
      <c r="DB1960">
        <v>0</v>
      </c>
      <c r="DC1960">
        <v>0</v>
      </c>
      <c r="DD1960">
        <v>0</v>
      </c>
      <c r="DE1960">
        <v>0</v>
      </c>
      <c r="DF1960">
        <v>0</v>
      </c>
      <c r="DG1960">
        <v>0</v>
      </c>
      <c r="DH1960">
        <v>0</v>
      </c>
      <c r="DI1960">
        <v>0</v>
      </c>
    </row>
    <row r="1961" spans="1:113" x14ac:dyDescent="0.3">
      <c r="A1961" t="str">
        <f>"02/08/2021 20:24:38.101"</f>
        <v>02/08/2021 20:24:38.101</v>
      </c>
      <c r="C1961" t="str">
        <f t="shared" si="93"/>
        <v>FFDFD7C0</v>
      </c>
      <c r="D1961" t="s">
        <v>124</v>
      </c>
      <c r="E1961">
        <v>11</v>
      </c>
      <c r="F1961">
        <v>1011</v>
      </c>
      <c r="G1961" t="s">
        <v>590</v>
      </c>
      <c r="J1961" t="s">
        <v>125</v>
      </c>
      <c r="K1961">
        <v>0</v>
      </c>
      <c r="L1961">
        <v>3</v>
      </c>
      <c r="M1961">
        <v>0</v>
      </c>
      <c r="N1961">
        <v>2</v>
      </c>
      <c r="O1961">
        <v>1</v>
      </c>
      <c r="P1961">
        <v>0</v>
      </c>
      <c r="Q1961">
        <v>0</v>
      </c>
      <c r="S1961" t="str">
        <f>"20:24:40.438"</f>
        <v>20:24:40.438</v>
      </c>
      <c r="T1961" t="str">
        <f>"20:24:40.038"</f>
        <v>20:24:40.038</v>
      </c>
      <c r="U1961" t="str">
        <f t="shared" si="95"/>
        <v>AB01F4</v>
      </c>
      <c r="V1961">
        <v>0</v>
      </c>
      <c r="W1961">
        <v>0</v>
      </c>
      <c r="X1961">
        <v>2</v>
      </c>
      <c r="Z1961">
        <v>0</v>
      </c>
      <c r="AA1961">
        <v>9</v>
      </c>
      <c r="AB1961">
        <v>3</v>
      </c>
      <c r="AC1961">
        <v>0</v>
      </c>
      <c r="AD1961">
        <v>10</v>
      </c>
      <c r="AE1961">
        <v>0</v>
      </c>
      <c r="AF1961">
        <v>3</v>
      </c>
      <c r="AG1961">
        <v>2</v>
      </c>
      <c r="AH1961">
        <v>0</v>
      </c>
      <c r="AI1961" t="s">
        <v>1229</v>
      </c>
      <c r="AJ1961">
        <v>39.923673000000001</v>
      </c>
      <c r="AK1961" t="s">
        <v>1230</v>
      </c>
      <c r="AL1961">
        <v>-92.611677999999998</v>
      </c>
      <c r="AM1961">
        <v>100</v>
      </c>
      <c r="AN1961">
        <v>1700</v>
      </c>
      <c r="AO1961" t="s">
        <v>118</v>
      </c>
      <c r="AP1961">
        <v>-107</v>
      </c>
      <c r="AQ1961">
        <v>77</v>
      </c>
      <c r="AR1961">
        <v>0</v>
      </c>
      <c r="AZ1961">
        <v>1200</v>
      </c>
      <c r="BA1961">
        <v>1</v>
      </c>
      <c r="BB1961" t="str">
        <f t="shared" si="94"/>
        <v xml:space="preserve">N8080G  </v>
      </c>
      <c r="BC1961">
        <v>1</v>
      </c>
      <c r="BE1961">
        <v>0</v>
      </c>
      <c r="BF1961">
        <v>0</v>
      </c>
      <c r="BG1961">
        <v>0</v>
      </c>
      <c r="BH1961">
        <v>1700</v>
      </c>
      <c r="BI1961">
        <v>1</v>
      </c>
      <c r="BJ1961">
        <v>1</v>
      </c>
      <c r="BK1961">
        <v>1</v>
      </c>
      <c r="BL1961">
        <v>0</v>
      </c>
      <c r="BO1961">
        <v>0</v>
      </c>
      <c r="BP1961">
        <v>0</v>
      </c>
      <c r="BW1961" t="str">
        <f>"20:24:40.440"</f>
        <v>20:24:40.440</v>
      </c>
      <c r="BZ1961">
        <v>0</v>
      </c>
      <c r="CA1961">
        <v>2016</v>
      </c>
      <c r="CB1961">
        <v>224</v>
      </c>
      <c r="CD1961">
        <v>1</v>
      </c>
      <c r="CE1961">
        <v>0</v>
      </c>
      <c r="CF1961">
        <v>0</v>
      </c>
      <c r="CG1961">
        <v>1</v>
      </c>
      <c r="CH1961">
        <v>0</v>
      </c>
      <c r="CI1961">
        <v>0</v>
      </c>
      <c r="CJ1961">
        <v>0</v>
      </c>
      <c r="CK1961">
        <v>2</v>
      </c>
      <c r="CL1961">
        <v>0</v>
      </c>
      <c r="CM1961">
        <v>2</v>
      </c>
      <c r="CN1961">
        <v>0</v>
      </c>
      <c r="CO1961">
        <v>7</v>
      </c>
      <c r="CP1961" t="s">
        <v>119</v>
      </c>
      <c r="CQ1961">
        <v>180</v>
      </c>
      <c r="CR1961">
        <v>2</v>
      </c>
      <c r="CW1961">
        <v>8393806</v>
      </c>
      <c r="CY1961">
        <v>0</v>
      </c>
      <c r="CZ1961">
        <v>0</v>
      </c>
      <c r="DA1961">
        <v>1</v>
      </c>
      <c r="DB1961">
        <v>0</v>
      </c>
      <c r="DC1961">
        <v>0</v>
      </c>
      <c r="DD1961">
        <v>0</v>
      </c>
      <c r="DE1961">
        <v>0</v>
      </c>
      <c r="DF1961">
        <v>0</v>
      </c>
      <c r="DG1961">
        <v>0</v>
      </c>
      <c r="DH1961">
        <v>0</v>
      </c>
      <c r="DI1961">
        <v>0</v>
      </c>
    </row>
    <row r="1962" spans="1:113" x14ac:dyDescent="0.3">
      <c r="A1962" t="str">
        <f>"02/08/2021 20:24:38.101"</f>
        <v>02/08/2021 20:24:38.101</v>
      </c>
      <c r="C1962" t="str">
        <f t="shared" si="93"/>
        <v>FFDFD7C0</v>
      </c>
      <c r="D1962" t="s">
        <v>124</v>
      </c>
      <c r="E1962">
        <v>12</v>
      </c>
      <c r="F1962">
        <v>1012</v>
      </c>
      <c r="G1962" t="s">
        <v>675</v>
      </c>
      <c r="J1962" t="s">
        <v>125</v>
      </c>
      <c r="K1962">
        <v>0</v>
      </c>
      <c r="L1962">
        <v>3</v>
      </c>
      <c r="M1962">
        <v>0</v>
      </c>
      <c r="N1962">
        <v>2</v>
      </c>
      <c r="O1962">
        <v>1</v>
      </c>
      <c r="P1962">
        <v>0</v>
      </c>
      <c r="Q1962">
        <v>0</v>
      </c>
      <c r="S1962" t="str">
        <f>"20:24:40.438"</f>
        <v>20:24:40.438</v>
      </c>
      <c r="T1962" t="str">
        <f>"20:24:40.038"</f>
        <v>20:24:40.038</v>
      </c>
      <c r="U1962" t="str">
        <f t="shared" si="95"/>
        <v>AB01F4</v>
      </c>
      <c r="V1962">
        <v>0</v>
      </c>
      <c r="W1962">
        <v>0</v>
      </c>
      <c r="X1962">
        <v>2</v>
      </c>
      <c r="Z1962">
        <v>0</v>
      </c>
      <c r="AA1962">
        <v>9</v>
      </c>
      <c r="AB1962">
        <v>3</v>
      </c>
      <c r="AC1962">
        <v>0</v>
      </c>
      <c r="AD1962">
        <v>10</v>
      </c>
      <c r="AE1962">
        <v>0</v>
      </c>
      <c r="AF1962">
        <v>3</v>
      </c>
      <c r="AG1962">
        <v>2</v>
      </c>
      <c r="AH1962">
        <v>0</v>
      </c>
      <c r="AI1962" t="s">
        <v>1229</v>
      </c>
      <c r="AJ1962">
        <v>39.923673000000001</v>
      </c>
      <c r="AK1962" t="s">
        <v>1230</v>
      </c>
      <c r="AL1962">
        <v>-92.611677999999998</v>
      </c>
      <c r="AM1962">
        <v>100</v>
      </c>
      <c r="AN1962">
        <v>1700</v>
      </c>
      <c r="AO1962" t="s">
        <v>118</v>
      </c>
      <c r="AP1962">
        <v>-107</v>
      </c>
      <c r="AQ1962">
        <v>77</v>
      </c>
      <c r="AR1962">
        <v>0</v>
      </c>
      <c r="AZ1962">
        <v>1200</v>
      </c>
      <c r="BA1962">
        <v>1</v>
      </c>
      <c r="BB1962" t="str">
        <f t="shared" si="94"/>
        <v xml:space="preserve">N8080G  </v>
      </c>
      <c r="BC1962">
        <v>1</v>
      </c>
      <c r="BE1962">
        <v>0</v>
      </c>
      <c r="BF1962">
        <v>0</v>
      </c>
      <c r="BG1962">
        <v>0</v>
      </c>
      <c r="BH1962">
        <v>1700</v>
      </c>
      <c r="BI1962">
        <v>1</v>
      </c>
      <c r="BJ1962">
        <v>1</v>
      </c>
      <c r="BK1962">
        <v>1</v>
      </c>
      <c r="BL1962">
        <v>0</v>
      </c>
      <c r="BO1962">
        <v>0</v>
      </c>
      <c r="BP1962">
        <v>0</v>
      </c>
      <c r="BW1962" t="str">
        <f>"20:24:40.440"</f>
        <v>20:24:40.440</v>
      </c>
      <c r="BZ1962">
        <v>0</v>
      </c>
      <c r="CA1962">
        <v>2016</v>
      </c>
      <c r="CB1962">
        <v>224</v>
      </c>
      <c r="CD1962">
        <v>1</v>
      </c>
      <c r="CE1962">
        <v>0</v>
      </c>
      <c r="CF1962">
        <v>0</v>
      </c>
      <c r="CG1962">
        <v>1</v>
      </c>
      <c r="CH1962">
        <v>0</v>
      </c>
      <c r="CI1962">
        <v>0</v>
      </c>
      <c r="CJ1962">
        <v>0</v>
      </c>
      <c r="CK1962">
        <v>2</v>
      </c>
      <c r="CL1962">
        <v>0</v>
      </c>
      <c r="CM1962">
        <v>2</v>
      </c>
      <c r="CN1962">
        <v>0</v>
      </c>
      <c r="CO1962">
        <v>7</v>
      </c>
      <c r="CP1962" t="s">
        <v>119</v>
      </c>
      <c r="CQ1962">
        <v>180</v>
      </c>
      <c r="CR1962">
        <v>2</v>
      </c>
      <c r="CW1962">
        <v>8393806</v>
      </c>
      <c r="CY1962">
        <v>0</v>
      </c>
      <c r="CZ1962">
        <v>0</v>
      </c>
      <c r="DA1962">
        <v>1</v>
      </c>
      <c r="DB1962">
        <v>0</v>
      </c>
      <c r="DC1962">
        <v>0</v>
      </c>
      <c r="DD1962">
        <v>0</v>
      </c>
      <c r="DE1962">
        <v>0</v>
      </c>
      <c r="DF1962">
        <v>0</v>
      </c>
      <c r="DG1962">
        <v>0</v>
      </c>
      <c r="DH1962">
        <v>0</v>
      </c>
      <c r="DI1962">
        <v>0</v>
      </c>
    </row>
    <row r="1963" spans="1:113" x14ac:dyDescent="0.3">
      <c r="A1963" t="str">
        <f>"02/08/2021 20:24:41.129"</f>
        <v>02/08/2021 20:24:41.129</v>
      </c>
      <c r="C1963" t="str">
        <f t="shared" si="93"/>
        <v>FFDFD7C0</v>
      </c>
      <c r="D1963" t="s">
        <v>124</v>
      </c>
      <c r="E1963">
        <v>13</v>
      </c>
      <c r="F1963">
        <v>1013</v>
      </c>
      <c r="G1963" t="s">
        <v>114</v>
      </c>
      <c r="J1963" t="s">
        <v>125</v>
      </c>
      <c r="K1963">
        <v>0</v>
      </c>
      <c r="L1963">
        <v>3</v>
      </c>
      <c r="M1963">
        <v>0</v>
      </c>
      <c r="N1963">
        <v>2</v>
      </c>
      <c r="O1963">
        <v>1</v>
      </c>
      <c r="P1963">
        <v>0</v>
      </c>
      <c r="Q1963">
        <v>0</v>
      </c>
      <c r="S1963" t="str">
        <f>"20:24:43.453"</f>
        <v>20:24:43.453</v>
      </c>
      <c r="T1963" t="str">
        <f>"20:24:42.953"</f>
        <v>20:24:42.953</v>
      </c>
      <c r="U1963" t="str">
        <f t="shared" si="95"/>
        <v>AB01F4</v>
      </c>
      <c r="V1963">
        <v>0</v>
      </c>
      <c r="W1963">
        <v>0</v>
      </c>
      <c r="X1963">
        <v>2</v>
      </c>
      <c r="Z1963">
        <v>0</v>
      </c>
      <c r="AA1963">
        <v>9</v>
      </c>
      <c r="AB1963">
        <v>3</v>
      </c>
      <c r="AC1963">
        <v>0</v>
      </c>
      <c r="AD1963">
        <v>10</v>
      </c>
      <c r="AE1963">
        <v>0</v>
      </c>
      <c r="AF1963">
        <v>3</v>
      </c>
      <c r="AG1963">
        <v>2</v>
      </c>
      <c r="AH1963">
        <v>0</v>
      </c>
      <c r="AI1963" t="s">
        <v>1231</v>
      </c>
      <c r="AJ1963">
        <v>39.924745999999999</v>
      </c>
      <c r="AK1963" t="s">
        <v>1232</v>
      </c>
      <c r="AL1963">
        <v>-92.613630000000001</v>
      </c>
      <c r="AM1963">
        <v>100</v>
      </c>
      <c r="AN1963">
        <v>1700</v>
      </c>
      <c r="AO1963" t="s">
        <v>118</v>
      </c>
      <c r="AP1963">
        <v>-107</v>
      </c>
      <c r="AQ1963">
        <v>77</v>
      </c>
      <c r="AR1963">
        <v>128</v>
      </c>
      <c r="AZ1963">
        <v>1200</v>
      </c>
      <c r="BA1963">
        <v>1</v>
      </c>
      <c r="BB1963" t="str">
        <f t="shared" si="94"/>
        <v xml:space="preserve">N8080G  </v>
      </c>
      <c r="BC1963">
        <v>1</v>
      </c>
      <c r="BE1963">
        <v>0</v>
      </c>
      <c r="BF1963">
        <v>0</v>
      </c>
      <c r="BG1963">
        <v>0</v>
      </c>
      <c r="BH1963">
        <v>1700</v>
      </c>
      <c r="BI1963">
        <v>1</v>
      </c>
      <c r="BJ1963">
        <v>1</v>
      </c>
      <c r="BK1963">
        <v>1</v>
      </c>
      <c r="BL1963">
        <v>0</v>
      </c>
      <c r="BO1963">
        <v>0</v>
      </c>
      <c r="BP1963">
        <v>0</v>
      </c>
      <c r="BW1963" t="str">
        <f>"20:24:43.456"</f>
        <v>20:24:43.456</v>
      </c>
      <c r="BZ1963">
        <v>0</v>
      </c>
      <c r="CA1963">
        <v>2016</v>
      </c>
      <c r="CB1963">
        <v>224</v>
      </c>
      <c r="CD1963">
        <v>1</v>
      </c>
      <c r="CE1963">
        <v>0</v>
      </c>
      <c r="CF1963">
        <v>0</v>
      </c>
      <c r="CG1963">
        <v>1</v>
      </c>
      <c r="CH1963">
        <v>0</v>
      </c>
      <c r="CI1963">
        <v>0</v>
      </c>
      <c r="CJ1963">
        <v>0</v>
      </c>
      <c r="CK1963">
        <v>2</v>
      </c>
      <c r="CL1963">
        <v>0</v>
      </c>
      <c r="CM1963">
        <v>2</v>
      </c>
      <c r="CN1963">
        <v>0</v>
      </c>
      <c r="CO1963">
        <v>7</v>
      </c>
      <c r="CP1963" t="s">
        <v>119</v>
      </c>
      <c r="CQ1963">
        <v>180</v>
      </c>
      <c r="CR1963">
        <v>1</v>
      </c>
      <c r="CW1963">
        <v>10964109</v>
      </c>
      <c r="CY1963">
        <v>0</v>
      </c>
      <c r="CZ1963">
        <v>0</v>
      </c>
      <c r="DA1963">
        <v>0</v>
      </c>
      <c r="DB1963">
        <v>0</v>
      </c>
      <c r="DC1963">
        <v>0</v>
      </c>
      <c r="DD1963">
        <v>0</v>
      </c>
      <c r="DE1963">
        <v>0</v>
      </c>
      <c r="DF1963">
        <v>0</v>
      </c>
      <c r="DG1963">
        <v>0</v>
      </c>
      <c r="DH1963">
        <v>0</v>
      </c>
      <c r="DI1963">
        <v>0</v>
      </c>
    </row>
    <row r="1964" spans="1:113" x14ac:dyDescent="0.3">
      <c r="A1964" t="str">
        <f>"02/08/2021 20:24:41.129"</f>
        <v>02/08/2021 20:24:41.129</v>
      </c>
      <c r="C1964" t="str">
        <f t="shared" si="93"/>
        <v>FFDFD7C0</v>
      </c>
      <c r="D1964" t="s">
        <v>113</v>
      </c>
      <c r="E1964">
        <v>6</v>
      </c>
      <c r="H1964">
        <v>165</v>
      </c>
      <c r="I1964" t="s">
        <v>114</v>
      </c>
      <c r="J1964" t="s">
        <v>115</v>
      </c>
      <c r="K1964">
        <v>0</v>
      </c>
      <c r="L1964">
        <v>3</v>
      </c>
      <c r="M1964">
        <v>0</v>
      </c>
      <c r="N1964">
        <v>2</v>
      </c>
      <c r="O1964">
        <v>1</v>
      </c>
      <c r="P1964">
        <v>0</v>
      </c>
      <c r="Q1964">
        <v>0</v>
      </c>
      <c r="S1964" t="str">
        <f>"20:24:43.453"</f>
        <v>20:24:43.453</v>
      </c>
      <c r="T1964" t="str">
        <f>"20:24:42.953"</f>
        <v>20:24:42.953</v>
      </c>
      <c r="U1964" t="str">
        <f t="shared" si="95"/>
        <v>AB01F4</v>
      </c>
      <c r="V1964">
        <v>0</v>
      </c>
      <c r="W1964">
        <v>0</v>
      </c>
      <c r="X1964">
        <v>2</v>
      </c>
      <c r="Z1964">
        <v>0</v>
      </c>
      <c r="AA1964">
        <v>9</v>
      </c>
      <c r="AB1964">
        <v>3</v>
      </c>
      <c r="AC1964">
        <v>0</v>
      </c>
      <c r="AD1964">
        <v>10</v>
      </c>
      <c r="AE1964">
        <v>0</v>
      </c>
      <c r="AF1964">
        <v>3</v>
      </c>
      <c r="AG1964">
        <v>2</v>
      </c>
      <c r="AH1964">
        <v>0</v>
      </c>
      <c r="AI1964" t="s">
        <v>1231</v>
      </c>
      <c r="AJ1964">
        <v>39.924745999999999</v>
      </c>
      <c r="AK1964" t="s">
        <v>1232</v>
      </c>
      <c r="AL1964">
        <v>-92.613630000000001</v>
      </c>
      <c r="AM1964">
        <v>100</v>
      </c>
      <c r="AN1964">
        <v>1700</v>
      </c>
      <c r="AO1964" t="s">
        <v>118</v>
      </c>
      <c r="AP1964">
        <v>-107</v>
      </c>
      <c r="AQ1964">
        <v>77</v>
      </c>
      <c r="AR1964">
        <v>128</v>
      </c>
      <c r="AZ1964">
        <v>1200</v>
      </c>
      <c r="BA1964">
        <v>1</v>
      </c>
      <c r="BB1964" t="str">
        <f t="shared" si="94"/>
        <v xml:space="preserve">N8080G  </v>
      </c>
      <c r="BC1964">
        <v>1</v>
      </c>
      <c r="BE1964">
        <v>0</v>
      </c>
      <c r="BF1964">
        <v>0</v>
      </c>
      <c r="BG1964">
        <v>0</v>
      </c>
      <c r="BH1964">
        <v>1700</v>
      </c>
      <c r="BI1964">
        <v>1</v>
      </c>
      <c r="BJ1964">
        <v>1</v>
      </c>
      <c r="BK1964">
        <v>1</v>
      </c>
      <c r="BL1964">
        <v>0</v>
      </c>
      <c r="BO1964">
        <v>0</v>
      </c>
      <c r="BP1964">
        <v>0</v>
      </c>
      <c r="BW1964" t="str">
        <f>"20:24:43.456"</f>
        <v>20:24:43.456</v>
      </c>
      <c r="BZ1964">
        <v>0</v>
      </c>
      <c r="CA1964">
        <v>2016</v>
      </c>
      <c r="CB1964">
        <v>224</v>
      </c>
      <c r="CD1964">
        <v>1</v>
      </c>
      <c r="CE1964">
        <v>0</v>
      </c>
      <c r="CF1964">
        <v>0</v>
      </c>
      <c r="CG1964">
        <v>1</v>
      </c>
      <c r="CH1964">
        <v>0</v>
      </c>
      <c r="CI1964">
        <v>0</v>
      </c>
      <c r="CJ1964">
        <v>0</v>
      </c>
      <c r="CK1964">
        <v>2</v>
      </c>
      <c r="CL1964">
        <v>0</v>
      </c>
      <c r="CM1964">
        <v>2</v>
      </c>
      <c r="CN1964">
        <v>0</v>
      </c>
      <c r="CO1964">
        <v>7</v>
      </c>
      <c r="CP1964" t="s">
        <v>119</v>
      </c>
      <c r="CQ1964">
        <v>180</v>
      </c>
      <c r="CR1964">
        <v>1</v>
      </c>
      <c r="CW1964">
        <v>10964109</v>
      </c>
      <c r="CY1964">
        <v>0</v>
      </c>
      <c r="CZ1964">
        <v>0</v>
      </c>
      <c r="DA1964">
        <v>1</v>
      </c>
      <c r="DB1964">
        <v>0</v>
      </c>
      <c r="DC1964">
        <v>0</v>
      </c>
      <c r="DD1964">
        <v>0</v>
      </c>
      <c r="DE1964">
        <v>0</v>
      </c>
      <c r="DF1964">
        <v>0</v>
      </c>
      <c r="DG1964">
        <v>0</v>
      </c>
      <c r="DH1964">
        <v>0</v>
      </c>
      <c r="DI1964">
        <v>0</v>
      </c>
    </row>
    <row r="1965" spans="1:113" x14ac:dyDescent="0.3">
      <c r="A1965" t="str">
        <f>"02/08/2021 20:24:41.129"</f>
        <v>02/08/2021 20:24:41.129</v>
      </c>
      <c r="C1965" t="str">
        <f t="shared" si="93"/>
        <v>FFDFD7C0</v>
      </c>
      <c r="D1965" t="s">
        <v>124</v>
      </c>
      <c r="E1965">
        <v>12</v>
      </c>
      <c r="F1965">
        <v>1012</v>
      </c>
      <c r="G1965" t="s">
        <v>675</v>
      </c>
      <c r="J1965" t="s">
        <v>125</v>
      </c>
      <c r="K1965">
        <v>0</v>
      </c>
      <c r="L1965">
        <v>3</v>
      </c>
      <c r="M1965">
        <v>0</v>
      </c>
      <c r="N1965">
        <v>2</v>
      </c>
      <c r="O1965">
        <v>1</v>
      </c>
      <c r="P1965">
        <v>0</v>
      </c>
      <c r="Q1965">
        <v>0</v>
      </c>
      <c r="S1965" t="str">
        <f>"20:24:43.453"</f>
        <v>20:24:43.453</v>
      </c>
      <c r="T1965" t="str">
        <f>"20:24:42.953"</f>
        <v>20:24:42.953</v>
      </c>
      <c r="U1965" t="str">
        <f t="shared" si="95"/>
        <v>AB01F4</v>
      </c>
      <c r="V1965">
        <v>0</v>
      </c>
      <c r="W1965">
        <v>0</v>
      </c>
      <c r="X1965">
        <v>2</v>
      </c>
      <c r="Z1965">
        <v>0</v>
      </c>
      <c r="AA1965">
        <v>9</v>
      </c>
      <c r="AB1965">
        <v>3</v>
      </c>
      <c r="AC1965">
        <v>0</v>
      </c>
      <c r="AD1965">
        <v>10</v>
      </c>
      <c r="AE1965">
        <v>0</v>
      </c>
      <c r="AF1965">
        <v>3</v>
      </c>
      <c r="AG1965">
        <v>2</v>
      </c>
      <c r="AH1965">
        <v>0</v>
      </c>
      <c r="AI1965" t="s">
        <v>1231</v>
      </c>
      <c r="AJ1965">
        <v>39.924745999999999</v>
      </c>
      <c r="AK1965" t="s">
        <v>1232</v>
      </c>
      <c r="AL1965">
        <v>-92.613630000000001</v>
      </c>
      <c r="AM1965">
        <v>100</v>
      </c>
      <c r="AN1965">
        <v>1700</v>
      </c>
      <c r="AO1965" t="s">
        <v>118</v>
      </c>
      <c r="AP1965">
        <v>-107</v>
      </c>
      <c r="AQ1965">
        <v>77</v>
      </c>
      <c r="AR1965">
        <v>128</v>
      </c>
      <c r="AZ1965">
        <v>1200</v>
      </c>
      <c r="BA1965">
        <v>1</v>
      </c>
      <c r="BB1965" t="str">
        <f t="shared" si="94"/>
        <v xml:space="preserve">N8080G  </v>
      </c>
      <c r="BC1965">
        <v>1</v>
      </c>
      <c r="BE1965">
        <v>0</v>
      </c>
      <c r="BF1965">
        <v>0</v>
      </c>
      <c r="BG1965">
        <v>0</v>
      </c>
      <c r="BH1965">
        <v>1700</v>
      </c>
      <c r="BI1965">
        <v>1</v>
      </c>
      <c r="BJ1965">
        <v>1</v>
      </c>
      <c r="BK1965">
        <v>1</v>
      </c>
      <c r="BL1965">
        <v>0</v>
      </c>
      <c r="BO1965">
        <v>0</v>
      </c>
      <c r="BP1965">
        <v>0</v>
      </c>
      <c r="BW1965" t="str">
        <f>"20:24:43.456"</f>
        <v>20:24:43.456</v>
      </c>
      <c r="BZ1965">
        <v>0</v>
      </c>
      <c r="CA1965">
        <v>2016</v>
      </c>
      <c r="CB1965">
        <v>224</v>
      </c>
      <c r="CD1965">
        <v>1</v>
      </c>
      <c r="CE1965">
        <v>0</v>
      </c>
      <c r="CF1965">
        <v>0</v>
      </c>
      <c r="CG1965">
        <v>1</v>
      </c>
      <c r="CH1965">
        <v>0</v>
      </c>
      <c r="CI1965">
        <v>0</v>
      </c>
      <c r="CJ1965">
        <v>0</v>
      </c>
      <c r="CK1965">
        <v>2</v>
      </c>
      <c r="CL1965">
        <v>0</v>
      </c>
      <c r="CM1965">
        <v>2</v>
      </c>
      <c r="CN1965">
        <v>0</v>
      </c>
      <c r="CO1965">
        <v>7</v>
      </c>
      <c r="CP1965" t="s">
        <v>119</v>
      </c>
      <c r="CQ1965">
        <v>180</v>
      </c>
      <c r="CR1965">
        <v>1</v>
      </c>
      <c r="CW1965">
        <v>10964109</v>
      </c>
      <c r="CY1965">
        <v>0</v>
      </c>
      <c r="CZ1965">
        <v>0</v>
      </c>
      <c r="DA1965">
        <v>1</v>
      </c>
      <c r="DB1965">
        <v>0</v>
      </c>
      <c r="DC1965">
        <v>0</v>
      </c>
      <c r="DD1965">
        <v>0</v>
      </c>
      <c r="DE1965">
        <v>0</v>
      </c>
      <c r="DF1965">
        <v>0</v>
      </c>
      <c r="DG1965">
        <v>0</v>
      </c>
      <c r="DH1965">
        <v>0</v>
      </c>
      <c r="DI1965">
        <v>0</v>
      </c>
    </row>
    <row r="1966" spans="1:113" x14ac:dyDescent="0.3">
      <c r="A1966" t="str">
        <f>"02/08/2021 20:24:41.129"</f>
        <v>02/08/2021 20:24:41.129</v>
      </c>
      <c r="C1966" t="str">
        <f t="shared" si="93"/>
        <v>FFDFD7C0</v>
      </c>
      <c r="D1966" t="s">
        <v>124</v>
      </c>
      <c r="E1966">
        <v>11</v>
      </c>
      <c r="F1966">
        <v>1011</v>
      </c>
      <c r="G1966" t="s">
        <v>590</v>
      </c>
      <c r="J1966" t="s">
        <v>125</v>
      </c>
      <c r="K1966">
        <v>0</v>
      </c>
      <c r="L1966">
        <v>3</v>
      </c>
      <c r="M1966">
        <v>0</v>
      </c>
      <c r="N1966">
        <v>2</v>
      </c>
      <c r="O1966">
        <v>1</v>
      </c>
      <c r="P1966">
        <v>0</v>
      </c>
      <c r="Q1966">
        <v>0</v>
      </c>
      <c r="S1966" t="str">
        <f>"20:24:43.453"</f>
        <v>20:24:43.453</v>
      </c>
      <c r="T1966" t="str">
        <f>"20:24:42.953"</f>
        <v>20:24:42.953</v>
      </c>
      <c r="U1966" t="str">
        <f t="shared" si="95"/>
        <v>AB01F4</v>
      </c>
      <c r="V1966">
        <v>0</v>
      </c>
      <c r="W1966">
        <v>0</v>
      </c>
      <c r="X1966">
        <v>2</v>
      </c>
      <c r="Z1966">
        <v>0</v>
      </c>
      <c r="AA1966">
        <v>9</v>
      </c>
      <c r="AB1966">
        <v>3</v>
      </c>
      <c r="AC1966">
        <v>0</v>
      </c>
      <c r="AD1966">
        <v>10</v>
      </c>
      <c r="AE1966">
        <v>0</v>
      </c>
      <c r="AF1966">
        <v>3</v>
      </c>
      <c r="AG1966">
        <v>2</v>
      </c>
      <c r="AH1966">
        <v>0</v>
      </c>
      <c r="AI1966" t="s">
        <v>1231</v>
      </c>
      <c r="AJ1966">
        <v>39.924745999999999</v>
      </c>
      <c r="AK1966" t="s">
        <v>1232</v>
      </c>
      <c r="AL1966">
        <v>-92.613630000000001</v>
      </c>
      <c r="AM1966">
        <v>100</v>
      </c>
      <c r="AN1966">
        <v>1700</v>
      </c>
      <c r="AO1966" t="s">
        <v>118</v>
      </c>
      <c r="AP1966">
        <v>-107</v>
      </c>
      <c r="AQ1966">
        <v>77</v>
      </c>
      <c r="AR1966">
        <v>128</v>
      </c>
      <c r="AZ1966">
        <v>1200</v>
      </c>
      <c r="BA1966">
        <v>1</v>
      </c>
      <c r="BB1966" t="str">
        <f t="shared" si="94"/>
        <v xml:space="preserve">N8080G  </v>
      </c>
      <c r="BC1966">
        <v>1</v>
      </c>
      <c r="BE1966">
        <v>0</v>
      </c>
      <c r="BF1966">
        <v>0</v>
      </c>
      <c r="BG1966">
        <v>0</v>
      </c>
      <c r="BH1966">
        <v>1700</v>
      </c>
      <c r="BI1966">
        <v>1</v>
      </c>
      <c r="BJ1966">
        <v>1</v>
      </c>
      <c r="BK1966">
        <v>1</v>
      </c>
      <c r="BL1966">
        <v>0</v>
      </c>
      <c r="BO1966">
        <v>0</v>
      </c>
      <c r="BP1966">
        <v>0</v>
      </c>
      <c r="BW1966" t="str">
        <f>"20:24:43.456"</f>
        <v>20:24:43.456</v>
      </c>
      <c r="BZ1966">
        <v>0</v>
      </c>
      <c r="CA1966">
        <v>2016</v>
      </c>
      <c r="CB1966">
        <v>224</v>
      </c>
      <c r="CD1966">
        <v>1</v>
      </c>
      <c r="CE1966">
        <v>0</v>
      </c>
      <c r="CF1966">
        <v>0</v>
      </c>
      <c r="CG1966">
        <v>1</v>
      </c>
      <c r="CH1966">
        <v>0</v>
      </c>
      <c r="CI1966">
        <v>0</v>
      </c>
      <c r="CJ1966">
        <v>0</v>
      </c>
      <c r="CK1966">
        <v>2</v>
      </c>
      <c r="CL1966">
        <v>0</v>
      </c>
      <c r="CM1966">
        <v>2</v>
      </c>
      <c r="CN1966">
        <v>0</v>
      </c>
      <c r="CO1966">
        <v>7</v>
      </c>
      <c r="CP1966" t="s">
        <v>119</v>
      </c>
      <c r="CQ1966">
        <v>180</v>
      </c>
      <c r="CR1966">
        <v>1</v>
      </c>
      <c r="CW1966">
        <v>10964109</v>
      </c>
      <c r="CY1966">
        <v>0</v>
      </c>
      <c r="CZ1966">
        <v>0</v>
      </c>
      <c r="DA1966">
        <v>1</v>
      </c>
      <c r="DB1966">
        <v>0</v>
      </c>
      <c r="DC1966">
        <v>0</v>
      </c>
      <c r="DD1966">
        <v>0</v>
      </c>
      <c r="DE1966">
        <v>0</v>
      </c>
      <c r="DF1966">
        <v>0</v>
      </c>
      <c r="DG1966">
        <v>0</v>
      </c>
      <c r="DH1966">
        <v>0</v>
      </c>
      <c r="DI1966">
        <v>0</v>
      </c>
    </row>
    <row r="1967" spans="1:113" x14ac:dyDescent="0.3">
      <c r="A1967" t="str">
        <f>"02/08/2021 20:24:45.198"</f>
        <v>02/08/2021 20:24:45.198</v>
      </c>
      <c r="C1967" t="str">
        <f t="shared" ref="C1967:C2030" si="96">"FFDFD7C0"</f>
        <v>FFDFD7C0</v>
      </c>
      <c r="D1967" t="s">
        <v>124</v>
      </c>
      <c r="E1967">
        <v>13</v>
      </c>
      <c r="F1967">
        <v>1013</v>
      </c>
      <c r="G1967" t="s">
        <v>114</v>
      </c>
      <c r="J1967" t="s">
        <v>125</v>
      </c>
      <c r="K1967">
        <v>0</v>
      </c>
      <c r="L1967">
        <v>3</v>
      </c>
      <c r="M1967">
        <v>0</v>
      </c>
      <c r="N1967">
        <v>2</v>
      </c>
      <c r="O1967">
        <v>1</v>
      </c>
      <c r="P1967">
        <v>0</v>
      </c>
      <c r="Q1967">
        <v>0</v>
      </c>
      <c r="S1967" t="str">
        <f>"20:24:47.500"</f>
        <v>20:24:47.500</v>
      </c>
      <c r="T1967" t="str">
        <f>"20:24:46.600"</f>
        <v>20:24:46.600</v>
      </c>
      <c r="U1967" t="str">
        <f t="shared" si="95"/>
        <v>AB01F4</v>
      </c>
      <c r="V1967">
        <v>0</v>
      </c>
      <c r="W1967">
        <v>0</v>
      </c>
      <c r="X1967">
        <v>2</v>
      </c>
      <c r="Z1967">
        <v>0</v>
      </c>
      <c r="AA1967">
        <v>9</v>
      </c>
      <c r="AB1967">
        <v>3</v>
      </c>
      <c r="AC1967">
        <v>0</v>
      </c>
      <c r="AD1967">
        <v>10</v>
      </c>
      <c r="AE1967">
        <v>0</v>
      </c>
      <c r="AF1967">
        <v>3</v>
      </c>
      <c r="AG1967">
        <v>2</v>
      </c>
      <c r="AH1967">
        <v>0</v>
      </c>
      <c r="AI1967" t="s">
        <v>1233</v>
      </c>
      <c r="AJ1967">
        <v>39.926183000000002</v>
      </c>
      <c r="AK1967" t="s">
        <v>1234</v>
      </c>
      <c r="AL1967">
        <v>-92.616184000000004</v>
      </c>
      <c r="AM1967">
        <v>100</v>
      </c>
      <c r="AN1967">
        <v>1700</v>
      </c>
      <c r="AO1967" t="s">
        <v>118</v>
      </c>
      <c r="AP1967">
        <v>-108</v>
      </c>
      <c r="AQ1967">
        <v>77</v>
      </c>
      <c r="AR1967">
        <v>-256</v>
      </c>
      <c r="AZ1967">
        <v>1200</v>
      </c>
      <c r="BA1967">
        <v>1</v>
      </c>
      <c r="BB1967" t="str">
        <f t="shared" ref="BB1967:BB2030" si="97">"N8080G  "</f>
        <v xml:space="preserve">N8080G  </v>
      </c>
      <c r="BC1967">
        <v>1</v>
      </c>
      <c r="BE1967">
        <v>0</v>
      </c>
      <c r="BF1967">
        <v>0</v>
      </c>
      <c r="BG1967">
        <v>0</v>
      </c>
      <c r="BH1967">
        <v>1700</v>
      </c>
      <c r="BI1967">
        <v>1</v>
      </c>
      <c r="BJ1967">
        <v>1</v>
      </c>
      <c r="BK1967">
        <v>1</v>
      </c>
      <c r="BL1967">
        <v>0</v>
      </c>
      <c r="BO1967">
        <v>0</v>
      </c>
      <c r="BP1967">
        <v>0</v>
      </c>
      <c r="BW1967" t="str">
        <f>"20:24:47.502"</f>
        <v>20:24:47.502</v>
      </c>
      <c r="BZ1967">
        <v>0</v>
      </c>
      <c r="CA1967">
        <v>2016</v>
      </c>
      <c r="CB1967">
        <v>224</v>
      </c>
      <c r="CD1967">
        <v>1</v>
      </c>
      <c r="CE1967">
        <v>0</v>
      </c>
      <c r="CF1967">
        <v>0</v>
      </c>
      <c r="CG1967">
        <v>1</v>
      </c>
      <c r="CH1967">
        <v>0</v>
      </c>
      <c r="CI1967">
        <v>0</v>
      </c>
      <c r="CJ1967">
        <v>0</v>
      </c>
      <c r="CK1967">
        <v>2</v>
      </c>
      <c r="CL1967">
        <v>0</v>
      </c>
      <c r="CM1967">
        <v>2</v>
      </c>
      <c r="CN1967">
        <v>0</v>
      </c>
      <c r="CO1967">
        <v>2</v>
      </c>
      <c r="CP1967" t="s">
        <v>119</v>
      </c>
      <c r="CQ1967">
        <v>179</v>
      </c>
      <c r="CR1967">
        <v>1</v>
      </c>
      <c r="CW1967">
        <v>8835687</v>
      </c>
      <c r="CY1967">
        <v>0</v>
      </c>
      <c r="CZ1967">
        <v>0</v>
      </c>
      <c r="DA1967">
        <v>0</v>
      </c>
      <c r="DB1967">
        <v>0</v>
      </c>
      <c r="DC1967">
        <v>0</v>
      </c>
      <c r="DD1967">
        <v>0</v>
      </c>
      <c r="DE1967">
        <v>0</v>
      </c>
      <c r="DF1967">
        <v>0</v>
      </c>
      <c r="DG1967">
        <v>0</v>
      </c>
      <c r="DH1967">
        <v>0</v>
      </c>
      <c r="DI1967">
        <v>0</v>
      </c>
    </row>
    <row r="1968" spans="1:113" x14ac:dyDescent="0.3">
      <c r="A1968" t="str">
        <f>"02/08/2021 20:24:45.198"</f>
        <v>02/08/2021 20:24:45.198</v>
      </c>
      <c r="C1968" t="str">
        <f t="shared" si="96"/>
        <v>FFDFD7C0</v>
      </c>
      <c r="D1968" t="s">
        <v>124</v>
      </c>
      <c r="E1968">
        <v>12</v>
      </c>
      <c r="F1968">
        <v>1012</v>
      </c>
      <c r="G1968" t="s">
        <v>675</v>
      </c>
      <c r="J1968" t="s">
        <v>125</v>
      </c>
      <c r="K1968">
        <v>0</v>
      </c>
      <c r="L1968">
        <v>3</v>
      </c>
      <c r="M1968">
        <v>0</v>
      </c>
      <c r="N1968">
        <v>2</v>
      </c>
      <c r="O1968">
        <v>1</v>
      </c>
      <c r="P1968">
        <v>0</v>
      </c>
      <c r="Q1968">
        <v>0</v>
      </c>
      <c r="S1968" t="str">
        <f>"20:24:47.500"</f>
        <v>20:24:47.500</v>
      </c>
      <c r="T1968" t="str">
        <f>"20:24:46.600"</f>
        <v>20:24:46.600</v>
      </c>
      <c r="U1968" t="str">
        <f t="shared" si="95"/>
        <v>AB01F4</v>
      </c>
      <c r="V1968">
        <v>0</v>
      </c>
      <c r="W1968">
        <v>0</v>
      </c>
      <c r="X1968">
        <v>2</v>
      </c>
      <c r="Z1968">
        <v>0</v>
      </c>
      <c r="AA1968">
        <v>9</v>
      </c>
      <c r="AB1968">
        <v>3</v>
      </c>
      <c r="AC1968">
        <v>0</v>
      </c>
      <c r="AD1968">
        <v>10</v>
      </c>
      <c r="AE1968">
        <v>0</v>
      </c>
      <c r="AF1968">
        <v>3</v>
      </c>
      <c r="AG1968">
        <v>2</v>
      </c>
      <c r="AH1968">
        <v>0</v>
      </c>
      <c r="AI1968" t="s">
        <v>1233</v>
      </c>
      <c r="AJ1968">
        <v>39.926183000000002</v>
      </c>
      <c r="AK1968" t="s">
        <v>1234</v>
      </c>
      <c r="AL1968">
        <v>-92.616184000000004</v>
      </c>
      <c r="AM1968">
        <v>100</v>
      </c>
      <c r="AN1968">
        <v>1700</v>
      </c>
      <c r="AO1968" t="s">
        <v>118</v>
      </c>
      <c r="AP1968">
        <v>-108</v>
      </c>
      <c r="AQ1968">
        <v>77</v>
      </c>
      <c r="AR1968">
        <v>-256</v>
      </c>
      <c r="AZ1968">
        <v>1200</v>
      </c>
      <c r="BA1968">
        <v>1</v>
      </c>
      <c r="BB1968" t="str">
        <f t="shared" si="97"/>
        <v xml:space="preserve">N8080G  </v>
      </c>
      <c r="BC1968">
        <v>1</v>
      </c>
      <c r="BE1968">
        <v>0</v>
      </c>
      <c r="BF1968">
        <v>0</v>
      </c>
      <c r="BG1968">
        <v>0</v>
      </c>
      <c r="BH1968">
        <v>1700</v>
      </c>
      <c r="BI1968">
        <v>1</v>
      </c>
      <c r="BJ1968">
        <v>1</v>
      </c>
      <c r="BK1968">
        <v>1</v>
      </c>
      <c r="BL1968">
        <v>0</v>
      </c>
      <c r="BO1968">
        <v>0</v>
      </c>
      <c r="BP1968">
        <v>0</v>
      </c>
      <c r="BW1968" t="str">
        <f>"20:24:47.502"</f>
        <v>20:24:47.502</v>
      </c>
      <c r="BZ1968">
        <v>0</v>
      </c>
      <c r="CA1968">
        <v>2016</v>
      </c>
      <c r="CB1968">
        <v>224</v>
      </c>
      <c r="CD1968">
        <v>1</v>
      </c>
      <c r="CE1968">
        <v>0</v>
      </c>
      <c r="CF1968">
        <v>0</v>
      </c>
      <c r="CG1968">
        <v>1</v>
      </c>
      <c r="CH1968">
        <v>0</v>
      </c>
      <c r="CI1968">
        <v>0</v>
      </c>
      <c r="CJ1968">
        <v>0</v>
      </c>
      <c r="CK1968">
        <v>2</v>
      </c>
      <c r="CL1968">
        <v>0</v>
      </c>
      <c r="CM1968">
        <v>2</v>
      </c>
      <c r="CN1968">
        <v>0</v>
      </c>
      <c r="CO1968">
        <v>2</v>
      </c>
      <c r="CP1968" t="s">
        <v>119</v>
      </c>
      <c r="CQ1968">
        <v>179</v>
      </c>
      <c r="CR1968">
        <v>1</v>
      </c>
      <c r="CW1968">
        <v>8835687</v>
      </c>
      <c r="CY1968">
        <v>0</v>
      </c>
      <c r="CZ1968">
        <v>0</v>
      </c>
      <c r="DA1968">
        <v>1</v>
      </c>
      <c r="DB1968">
        <v>0</v>
      </c>
      <c r="DC1968">
        <v>0</v>
      </c>
      <c r="DD1968">
        <v>0</v>
      </c>
      <c r="DE1968">
        <v>0</v>
      </c>
      <c r="DF1968">
        <v>0</v>
      </c>
      <c r="DG1968">
        <v>0</v>
      </c>
      <c r="DH1968">
        <v>0</v>
      </c>
      <c r="DI1968">
        <v>0</v>
      </c>
    </row>
    <row r="1969" spans="1:113" x14ac:dyDescent="0.3">
      <c r="A1969" t="str">
        <f>"02/08/2021 20:24:45.198"</f>
        <v>02/08/2021 20:24:45.198</v>
      </c>
      <c r="C1969" t="str">
        <f t="shared" si="96"/>
        <v>FFDFD7C0</v>
      </c>
      <c r="D1969" t="s">
        <v>113</v>
      </c>
      <c r="E1969">
        <v>6</v>
      </c>
      <c r="H1969">
        <v>165</v>
      </c>
      <c r="I1969" t="s">
        <v>114</v>
      </c>
      <c r="J1969" t="s">
        <v>115</v>
      </c>
      <c r="K1969">
        <v>0</v>
      </c>
      <c r="L1969">
        <v>3</v>
      </c>
      <c r="M1969">
        <v>0</v>
      </c>
      <c r="N1969">
        <v>2</v>
      </c>
      <c r="O1969">
        <v>1</v>
      </c>
      <c r="P1969">
        <v>0</v>
      </c>
      <c r="Q1969">
        <v>0</v>
      </c>
      <c r="S1969" t="str">
        <f>"20:24:47.500"</f>
        <v>20:24:47.500</v>
      </c>
      <c r="T1969" t="str">
        <f>"20:24:46.600"</f>
        <v>20:24:46.600</v>
      </c>
      <c r="U1969" t="str">
        <f t="shared" si="95"/>
        <v>AB01F4</v>
      </c>
      <c r="V1969">
        <v>0</v>
      </c>
      <c r="W1969">
        <v>0</v>
      </c>
      <c r="X1969">
        <v>2</v>
      </c>
      <c r="Z1969">
        <v>0</v>
      </c>
      <c r="AA1969">
        <v>9</v>
      </c>
      <c r="AB1969">
        <v>3</v>
      </c>
      <c r="AC1969">
        <v>0</v>
      </c>
      <c r="AD1969">
        <v>10</v>
      </c>
      <c r="AE1969">
        <v>0</v>
      </c>
      <c r="AF1969">
        <v>3</v>
      </c>
      <c r="AG1969">
        <v>2</v>
      </c>
      <c r="AH1969">
        <v>0</v>
      </c>
      <c r="AI1969" t="s">
        <v>1233</v>
      </c>
      <c r="AJ1969">
        <v>39.926183000000002</v>
      </c>
      <c r="AK1969" t="s">
        <v>1234</v>
      </c>
      <c r="AL1969">
        <v>-92.616184000000004</v>
      </c>
      <c r="AM1969">
        <v>100</v>
      </c>
      <c r="AN1969">
        <v>1700</v>
      </c>
      <c r="AO1969" t="s">
        <v>118</v>
      </c>
      <c r="AP1969">
        <v>-108</v>
      </c>
      <c r="AQ1969">
        <v>77</v>
      </c>
      <c r="AR1969">
        <v>-256</v>
      </c>
      <c r="AZ1969">
        <v>1200</v>
      </c>
      <c r="BA1969">
        <v>1</v>
      </c>
      <c r="BB1969" t="str">
        <f t="shared" si="97"/>
        <v xml:space="preserve">N8080G  </v>
      </c>
      <c r="BC1969">
        <v>1</v>
      </c>
      <c r="BE1969">
        <v>0</v>
      </c>
      <c r="BF1969">
        <v>0</v>
      </c>
      <c r="BG1969">
        <v>0</v>
      </c>
      <c r="BH1969">
        <v>1700</v>
      </c>
      <c r="BI1969">
        <v>1</v>
      </c>
      <c r="BJ1969">
        <v>1</v>
      </c>
      <c r="BK1969">
        <v>1</v>
      </c>
      <c r="BL1969">
        <v>0</v>
      </c>
      <c r="BO1969">
        <v>0</v>
      </c>
      <c r="BP1969">
        <v>0</v>
      </c>
      <c r="BW1969" t="str">
        <f>"20:24:47.502"</f>
        <v>20:24:47.502</v>
      </c>
      <c r="BZ1969">
        <v>0</v>
      </c>
      <c r="CA1969">
        <v>2016</v>
      </c>
      <c r="CB1969">
        <v>224</v>
      </c>
      <c r="CD1969">
        <v>1</v>
      </c>
      <c r="CE1969">
        <v>0</v>
      </c>
      <c r="CF1969">
        <v>0</v>
      </c>
      <c r="CG1969">
        <v>1</v>
      </c>
      <c r="CH1969">
        <v>0</v>
      </c>
      <c r="CI1969">
        <v>0</v>
      </c>
      <c r="CJ1969">
        <v>0</v>
      </c>
      <c r="CK1969">
        <v>2</v>
      </c>
      <c r="CL1969">
        <v>0</v>
      </c>
      <c r="CM1969">
        <v>2</v>
      </c>
      <c r="CN1969">
        <v>0</v>
      </c>
      <c r="CO1969">
        <v>2</v>
      </c>
      <c r="CP1969" t="s">
        <v>119</v>
      </c>
      <c r="CQ1969">
        <v>179</v>
      </c>
      <c r="CR1969">
        <v>1</v>
      </c>
      <c r="CW1969">
        <v>8835687</v>
      </c>
      <c r="CY1969">
        <v>0</v>
      </c>
      <c r="CZ1969">
        <v>0</v>
      </c>
      <c r="DA1969">
        <v>1</v>
      </c>
      <c r="DB1969">
        <v>0</v>
      </c>
      <c r="DC1969">
        <v>0</v>
      </c>
      <c r="DD1969">
        <v>0</v>
      </c>
      <c r="DE1969">
        <v>0</v>
      </c>
      <c r="DF1969">
        <v>0</v>
      </c>
      <c r="DG1969">
        <v>0</v>
      </c>
      <c r="DH1969">
        <v>0</v>
      </c>
      <c r="DI1969">
        <v>0</v>
      </c>
    </row>
    <row r="1970" spans="1:113" x14ac:dyDescent="0.3">
      <c r="A1970" t="str">
        <f>"02/08/2021 20:24:45.198"</f>
        <v>02/08/2021 20:24:45.198</v>
      </c>
      <c r="C1970" t="str">
        <f t="shared" si="96"/>
        <v>FFDFD7C0</v>
      </c>
      <c r="D1970" t="s">
        <v>124</v>
      </c>
      <c r="E1970">
        <v>11</v>
      </c>
      <c r="F1970">
        <v>1011</v>
      </c>
      <c r="G1970" t="s">
        <v>590</v>
      </c>
      <c r="J1970" t="s">
        <v>125</v>
      </c>
      <c r="K1970">
        <v>0</v>
      </c>
      <c r="L1970">
        <v>3</v>
      </c>
      <c r="M1970">
        <v>0</v>
      </c>
      <c r="N1970">
        <v>2</v>
      </c>
      <c r="O1970">
        <v>1</v>
      </c>
      <c r="P1970">
        <v>0</v>
      </c>
      <c r="Q1970">
        <v>0</v>
      </c>
      <c r="S1970" t="str">
        <f>"20:24:47.500"</f>
        <v>20:24:47.500</v>
      </c>
      <c r="T1970" t="str">
        <f>"20:24:46.600"</f>
        <v>20:24:46.600</v>
      </c>
      <c r="U1970" t="str">
        <f t="shared" si="95"/>
        <v>AB01F4</v>
      </c>
      <c r="V1970">
        <v>0</v>
      </c>
      <c r="W1970">
        <v>0</v>
      </c>
      <c r="X1970">
        <v>2</v>
      </c>
      <c r="Z1970">
        <v>0</v>
      </c>
      <c r="AA1970">
        <v>9</v>
      </c>
      <c r="AB1970">
        <v>3</v>
      </c>
      <c r="AC1970">
        <v>0</v>
      </c>
      <c r="AD1970">
        <v>10</v>
      </c>
      <c r="AE1970">
        <v>0</v>
      </c>
      <c r="AF1970">
        <v>3</v>
      </c>
      <c r="AG1970">
        <v>2</v>
      </c>
      <c r="AH1970">
        <v>0</v>
      </c>
      <c r="AI1970" t="s">
        <v>1233</v>
      </c>
      <c r="AJ1970">
        <v>39.926183000000002</v>
      </c>
      <c r="AK1970" t="s">
        <v>1234</v>
      </c>
      <c r="AL1970">
        <v>-92.616184000000004</v>
      </c>
      <c r="AM1970">
        <v>100</v>
      </c>
      <c r="AN1970">
        <v>1700</v>
      </c>
      <c r="AO1970" t="s">
        <v>118</v>
      </c>
      <c r="AP1970">
        <v>-108</v>
      </c>
      <c r="AQ1970">
        <v>77</v>
      </c>
      <c r="AR1970">
        <v>-256</v>
      </c>
      <c r="AZ1970">
        <v>1200</v>
      </c>
      <c r="BA1970">
        <v>1</v>
      </c>
      <c r="BB1970" t="str">
        <f t="shared" si="97"/>
        <v xml:space="preserve">N8080G  </v>
      </c>
      <c r="BC1970">
        <v>1</v>
      </c>
      <c r="BE1970">
        <v>0</v>
      </c>
      <c r="BF1970">
        <v>0</v>
      </c>
      <c r="BG1970">
        <v>0</v>
      </c>
      <c r="BH1970">
        <v>1700</v>
      </c>
      <c r="BI1970">
        <v>1</v>
      </c>
      <c r="BJ1970">
        <v>1</v>
      </c>
      <c r="BK1970">
        <v>1</v>
      </c>
      <c r="BL1970">
        <v>0</v>
      </c>
      <c r="BO1970">
        <v>0</v>
      </c>
      <c r="BP1970">
        <v>0</v>
      </c>
      <c r="BW1970" t="str">
        <f>"20:24:47.502"</f>
        <v>20:24:47.502</v>
      </c>
      <c r="BZ1970">
        <v>0</v>
      </c>
      <c r="CA1970">
        <v>2016</v>
      </c>
      <c r="CB1970">
        <v>224</v>
      </c>
      <c r="CD1970">
        <v>1</v>
      </c>
      <c r="CE1970">
        <v>0</v>
      </c>
      <c r="CF1970">
        <v>0</v>
      </c>
      <c r="CG1970">
        <v>1</v>
      </c>
      <c r="CH1970">
        <v>0</v>
      </c>
      <c r="CI1970">
        <v>0</v>
      </c>
      <c r="CJ1970">
        <v>0</v>
      </c>
      <c r="CK1970">
        <v>2</v>
      </c>
      <c r="CL1970">
        <v>0</v>
      </c>
      <c r="CM1970">
        <v>2</v>
      </c>
      <c r="CN1970">
        <v>0</v>
      </c>
      <c r="CO1970">
        <v>2</v>
      </c>
      <c r="CP1970" t="s">
        <v>119</v>
      </c>
      <c r="CQ1970">
        <v>179</v>
      </c>
      <c r="CR1970">
        <v>1</v>
      </c>
      <c r="CW1970">
        <v>8835687</v>
      </c>
      <c r="CY1970">
        <v>0</v>
      </c>
      <c r="CZ1970">
        <v>0</v>
      </c>
      <c r="DA1970">
        <v>1</v>
      </c>
      <c r="DB1970">
        <v>0</v>
      </c>
      <c r="DC1970">
        <v>0</v>
      </c>
      <c r="DD1970">
        <v>0</v>
      </c>
      <c r="DE1970">
        <v>0</v>
      </c>
      <c r="DF1970">
        <v>0</v>
      </c>
      <c r="DG1970">
        <v>0</v>
      </c>
      <c r="DH1970">
        <v>0</v>
      </c>
      <c r="DI1970">
        <v>0</v>
      </c>
    </row>
    <row r="1971" spans="1:113" x14ac:dyDescent="0.3">
      <c r="A1971" t="str">
        <f>"02/08/2021 20:24:46.243"</f>
        <v>02/08/2021 20:24:46.243</v>
      </c>
      <c r="C1971" t="str">
        <f t="shared" si="96"/>
        <v>FFDFD7C0</v>
      </c>
      <c r="D1971" t="s">
        <v>124</v>
      </c>
      <c r="E1971">
        <v>11</v>
      </c>
      <c r="F1971">
        <v>1011</v>
      </c>
      <c r="G1971" t="s">
        <v>590</v>
      </c>
      <c r="J1971" t="s">
        <v>125</v>
      </c>
      <c r="K1971">
        <v>0</v>
      </c>
      <c r="L1971">
        <v>3</v>
      </c>
      <c r="M1971">
        <v>0</v>
      </c>
      <c r="N1971">
        <v>2</v>
      </c>
      <c r="O1971">
        <v>1</v>
      </c>
      <c r="P1971">
        <v>0</v>
      </c>
      <c r="Q1971">
        <v>0</v>
      </c>
      <c r="S1971" t="str">
        <f>"20:24:48.539"</f>
        <v>20:24:48.539</v>
      </c>
      <c r="T1971" t="str">
        <f>"20:24:48.039"</f>
        <v>20:24:48.039</v>
      </c>
      <c r="U1971" t="str">
        <f t="shared" si="95"/>
        <v>AB01F4</v>
      </c>
      <c r="V1971">
        <v>0</v>
      </c>
      <c r="W1971">
        <v>0</v>
      </c>
      <c r="X1971">
        <v>2</v>
      </c>
      <c r="Z1971">
        <v>0</v>
      </c>
      <c r="AA1971">
        <v>9</v>
      </c>
      <c r="AB1971">
        <v>3</v>
      </c>
      <c r="AC1971">
        <v>0</v>
      </c>
      <c r="AD1971">
        <v>10</v>
      </c>
      <c r="AE1971">
        <v>0</v>
      </c>
      <c r="AF1971">
        <v>3</v>
      </c>
      <c r="AG1971">
        <v>2</v>
      </c>
      <c r="AH1971">
        <v>0</v>
      </c>
      <c r="AI1971" t="s">
        <v>1235</v>
      </c>
      <c r="AJ1971">
        <v>39.926569000000001</v>
      </c>
      <c r="AK1971" t="s">
        <v>1236</v>
      </c>
      <c r="AL1971">
        <v>-92.616934999999998</v>
      </c>
      <c r="AM1971">
        <v>100</v>
      </c>
      <c r="AN1971">
        <v>1700</v>
      </c>
      <c r="AO1971" t="s">
        <v>118</v>
      </c>
      <c r="AP1971">
        <v>-108</v>
      </c>
      <c r="AQ1971">
        <v>77</v>
      </c>
      <c r="AR1971">
        <v>-192</v>
      </c>
      <c r="AZ1971">
        <v>1200</v>
      </c>
      <c r="BA1971">
        <v>1</v>
      </c>
      <c r="BB1971" t="str">
        <f t="shared" si="97"/>
        <v xml:space="preserve">N8080G  </v>
      </c>
      <c r="BC1971">
        <v>1</v>
      </c>
      <c r="BE1971">
        <v>0</v>
      </c>
      <c r="BF1971">
        <v>0</v>
      </c>
      <c r="BG1971">
        <v>0</v>
      </c>
      <c r="BH1971">
        <v>1700</v>
      </c>
      <c r="BI1971">
        <v>1</v>
      </c>
      <c r="BJ1971">
        <v>1</v>
      </c>
      <c r="BK1971">
        <v>1</v>
      </c>
      <c r="BL1971">
        <v>0</v>
      </c>
      <c r="BO1971">
        <v>0</v>
      </c>
      <c r="BP1971">
        <v>0</v>
      </c>
      <c r="BW1971" t="str">
        <f>"20:24:48.544"</f>
        <v>20:24:48.544</v>
      </c>
      <c r="BZ1971">
        <v>0</v>
      </c>
      <c r="CA1971">
        <v>2016</v>
      </c>
      <c r="CB1971">
        <v>224</v>
      </c>
      <c r="CD1971">
        <v>1</v>
      </c>
      <c r="CE1971">
        <v>0</v>
      </c>
      <c r="CF1971">
        <v>0</v>
      </c>
      <c r="CG1971">
        <v>1</v>
      </c>
      <c r="CH1971">
        <v>0</v>
      </c>
      <c r="CI1971">
        <v>0</v>
      </c>
      <c r="CJ1971">
        <v>0</v>
      </c>
      <c r="CK1971">
        <v>2</v>
      </c>
      <c r="CL1971">
        <v>0</v>
      </c>
      <c r="CM1971">
        <v>2</v>
      </c>
      <c r="CN1971">
        <v>0</v>
      </c>
      <c r="CO1971">
        <v>2</v>
      </c>
      <c r="CP1971" t="s">
        <v>119</v>
      </c>
      <c r="CQ1971">
        <v>179</v>
      </c>
      <c r="CR1971">
        <v>1</v>
      </c>
      <c r="CW1971">
        <v>8836528</v>
      </c>
      <c r="CY1971">
        <v>0</v>
      </c>
      <c r="CZ1971">
        <v>0</v>
      </c>
      <c r="DA1971">
        <v>0</v>
      </c>
      <c r="DB1971">
        <v>0</v>
      </c>
      <c r="DC1971">
        <v>0</v>
      </c>
      <c r="DD1971">
        <v>0</v>
      </c>
      <c r="DE1971">
        <v>0</v>
      </c>
      <c r="DF1971">
        <v>0</v>
      </c>
      <c r="DG1971">
        <v>0</v>
      </c>
      <c r="DH1971">
        <v>0</v>
      </c>
      <c r="DI1971">
        <v>0</v>
      </c>
    </row>
    <row r="1972" spans="1:113" x14ac:dyDescent="0.3">
      <c r="A1972" t="str">
        <f>"02/08/2021 20:24:46.243"</f>
        <v>02/08/2021 20:24:46.243</v>
      </c>
      <c r="C1972" t="str">
        <f t="shared" si="96"/>
        <v>FFDFD7C0</v>
      </c>
      <c r="D1972" t="s">
        <v>113</v>
      </c>
      <c r="E1972">
        <v>6</v>
      </c>
      <c r="H1972">
        <v>165</v>
      </c>
      <c r="I1972" t="s">
        <v>114</v>
      </c>
      <c r="J1972" t="s">
        <v>115</v>
      </c>
      <c r="K1972">
        <v>0</v>
      </c>
      <c r="L1972">
        <v>3</v>
      </c>
      <c r="M1972">
        <v>0</v>
      </c>
      <c r="N1972">
        <v>2</v>
      </c>
      <c r="O1972">
        <v>1</v>
      </c>
      <c r="P1972">
        <v>0</v>
      </c>
      <c r="Q1972">
        <v>0</v>
      </c>
      <c r="S1972" t="str">
        <f>"20:24:48.539"</f>
        <v>20:24:48.539</v>
      </c>
      <c r="T1972" t="str">
        <f>"20:24:48.039"</f>
        <v>20:24:48.039</v>
      </c>
      <c r="U1972" t="str">
        <f t="shared" si="95"/>
        <v>AB01F4</v>
      </c>
      <c r="V1972">
        <v>0</v>
      </c>
      <c r="W1972">
        <v>0</v>
      </c>
      <c r="X1972">
        <v>2</v>
      </c>
      <c r="Z1972">
        <v>0</v>
      </c>
      <c r="AA1972">
        <v>9</v>
      </c>
      <c r="AB1972">
        <v>3</v>
      </c>
      <c r="AC1972">
        <v>0</v>
      </c>
      <c r="AD1972">
        <v>10</v>
      </c>
      <c r="AE1972">
        <v>0</v>
      </c>
      <c r="AF1972">
        <v>3</v>
      </c>
      <c r="AG1972">
        <v>2</v>
      </c>
      <c r="AH1972">
        <v>0</v>
      </c>
      <c r="AI1972" t="s">
        <v>1235</v>
      </c>
      <c r="AJ1972">
        <v>39.926569000000001</v>
      </c>
      <c r="AK1972" t="s">
        <v>1236</v>
      </c>
      <c r="AL1972">
        <v>-92.616934999999998</v>
      </c>
      <c r="AM1972">
        <v>100</v>
      </c>
      <c r="AN1972">
        <v>1700</v>
      </c>
      <c r="AO1972" t="s">
        <v>118</v>
      </c>
      <c r="AP1972">
        <v>-108</v>
      </c>
      <c r="AQ1972">
        <v>77</v>
      </c>
      <c r="AR1972">
        <v>-192</v>
      </c>
      <c r="AZ1972">
        <v>1200</v>
      </c>
      <c r="BA1972">
        <v>1</v>
      </c>
      <c r="BB1972" t="str">
        <f t="shared" si="97"/>
        <v xml:space="preserve">N8080G  </v>
      </c>
      <c r="BC1972">
        <v>1</v>
      </c>
      <c r="BE1972">
        <v>0</v>
      </c>
      <c r="BF1972">
        <v>0</v>
      </c>
      <c r="BG1972">
        <v>0</v>
      </c>
      <c r="BH1972">
        <v>1700</v>
      </c>
      <c r="BI1972">
        <v>1</v>
      </c>
      <c r="BJ1972">
        <v>1</v>
      </c>
      <c r="BK1972">
        <v>1</v>
      </c>
      <c r="BL1972">
        <v>0</v>
      </c>
      <c r="BO1972">
        <v>0</v>
      </c>
      <c r="BP1972">
        <v>0</v>
      </c>
      <c r="BW1972" t="str">
        <f>"20:24:48.544"</f>
        <v>20:24:48.544</v>
      </c>
      <c r="BZ1972">
        <v>0</v>
      </c>
      <c r="CA1972">
        <v>2016</v>
      </c>
      <c r="CB1972">
        <v>224</v>
      </c>
      <c r="CD1972">
        <v>1</v>
      </c>
      <c r="CE1972">
        <v>0</v>
      </c>
      <c r="CF1972">
        <v>0</v>
      </c>
      <c r="CG1972">
        <v>1</v>
      </c>
      <c r="CH1972">
        <v>0</v>
      </c>
      <c r="CI1972">
        <v>0</v>
      </c>
      <c r="CJ1972">
        <v>0</v>
      </c>
      <c r="CK1972">
        <v>2</v>
      </c>
      <c r="CL1972">
        <v>0</v>
      </c>
      <c r="CM1972">
        <v>2</v>
      </c>
      <c r="CN1972">
        <v>0</v>
      </c>
      <c r="CO1972">
        <v>2</v>
      </c>
      <c r="CP1972" t="s">
        <v>119</v>
      </c>
      <c r="CQ1972">
        <v>179</v>
      </c>
      <c r="CR1972">
        <v>1</v>
      </c>
      <c r="CW1972">
        <v>8836528</v>
      </c>
      <c r="CY1972">
        <v>0</v>
      </c>
      <c r="CZ1972">
        <v>0</v>
      </c>
      <c r="DA1972">
        <v>1</v>
      </c>
      <c r="DB1972">
        <v>0</v>
      </c>
      <c r="DC1972">
        <v>0</v>
      </c>
      <c r="DD1972">
        <v>0</v>
      </c>
      <c r="DE1972">
        <v>0</v>
      </c>
      <c r="DF1972">
        <v>0</v>
      </c>
      <c r="DG1972">
        <v>0</v>
      </c>
      <c r="DH1972">
        <v>0</v>
      </c>
      <c r="DI1972">
        <v>0</v>
      </c>
    </row>
    <row r="1973" spans="1:113" x14ac:dyDescent="0.3">
      <c r="A1973" t="str">
        <f>"02/08/2021 20:24:46.243"</f>
        <v>02/08/2021 20:24:46.243</v>
      </c>
      <c r="C1973" t="str">
        <f t="shared" si="96"/>
        <v>FFDFD7C0</v>
      </c>
      <c r="D1973" t="s">
        <v>124</v>
      </c>
      <c r="E1973">
        <v>13</v>
      </c>
      <c r="F1973">
        <v>1013</v>
      </c>
      <c r="G1973" t="s">
        <v>114</v>
      </c>
      <c r="J1973" t="s">
        <v>125</v>
      </c>
      <c r="K1973">
        <v>0</v>
      </c>
      <c r="L1973">
        <v>3</v>
      </c>
      <c r="M1973">
        <v>0</v>
      </c>
      <c r="N1973">
        <v>2</v>
      </c>
      <c r="O1973">
        <v>1</v>
      </c>
      <c r="P1973">
        <v>0</v>
      </c>
      <c r="Q1973">
        <v>0</v>
      </c>
      <c r="S1973" t="str">
        <f>"20:24:48.539"</f>
        <v>20:24:48.539</v>
      </c>
      <c r="T1973" t="str">
        <f>"20:24:48.039"</f>
        <v>20:24:48.039</v>
      </c>
      <c r="U1973" t="str">
        <f t="shared" si="95"/>
        <v>AB01F4</v>
      </c>
      <c r="V1973">
        <v>0</v>
      </c>
      <c r="W1973">
        <v>0</v>
      </c>
      <c r="X1973">
        <v>2</v>
      </c>
      <c r="Z1973">
        <v>0</v>
      </c>
      <c r="AA1973">
        <v>9</v>
      </c>
      <c r="AB1973">
        <v>3</v>
      </c>
      <c r="AC1973">
        <v>0</v>
      </c>
      <c r="AD1973">
        <v>10</v>
      </c>
      <c r="AE1973">
        <v>0</v>
      </c>
      <c r="AF1973">
        <v>3</v>
      </c>
      <c r="AG1973">
        <v>2</v>
      </c>
      <c r="AH1973">
        <v>0</v>
      </c>
      <c r="AI1973" t="s">
        <v>1235</v>
      </c>
      <c r="AJ1973">
        <v>39.926569000000001</v>
      </c>
      <c r="AK1973" t="s">
        <v>1236</v>
      </c>
      <c r="AL1973">
        <v>-92.616934999999998</v>
      </c>
      <c r="AM1973">
        <v>100</v>
      </c>
      <c r="AN1973">
        <v>1700</v>
      </c>
      <c r="AO1973" t="s">
        <v>118</v>
      </c>
      <c r="AP1973">
        <v>-108</v>
      </c>
      <c r="AQ1973">
        <v>77</v>
      </c>
      <c r="AR1973">
        <v>-192</v>
      </c>
      <c r="AZ1973">
        <v>1200</v>
      </c>
      <c r="BA1973">
        <v>1</v>
      </c>
      <c r="BB1973" t="str">
        <f t="shared" si="97"/>
        <v xml:space="preserve">N8080G  </v>
      </c>
      <c r="BC1973">
        <v>1</v>
      </c>
      <c r="BE1973">
        <v>0</v>
      </c>
      <c r="BF1973">
        <v>0</v>
      </c>
      <c r="BG1973">
        <v>0</v>
      </c>
      <c r="BH1973">
        <v>1700</v>
      </c>
      <c r="BI1973">
        <v>1</v>
      </c>
      <c r="BJ1973">
        <v>1</v>
      </c>
      <c r="BK1973">
        <v>1</v>
      </c>
      <c r="BL1973">
        <v>0</v>
      </c>
      <c r="BO1973">
        <v>0</v>
      </c>
      <c r="BP1973">
        <v>0</v>
      </c>
      <c r="BW1973" t="str">
        <f>"20:24:48.544"</f>
        <v>20:24:48.544</v>
      </c>
      <c r="BZ1973">
        <v>0</v>
      </c>
      <c r="CA1973">
        <v>2016</v>
      </c>
      <c r="CB1973">
        <v>224</v>
      </c>
      <c r="CD1973">
        <v>1</v>
      </c>
      <c r="CE1973">
        <v>0</v>
      </c>
      <c r="CF1973">
        <v>0</v>
      </c>
      <c r="CG1973">
        <v>1</v>
      </c>
      <c r="CH1973">
        <v>0</v>
      </c>
      <c r="CI1973">
        <v>0</v>
      </c>
      <c r="CJ1973">
        <v>0</v>
      </c>
      <c r="CK1973">
        <v>2</v>
      </c>
      <c r="CL1973">
        <v>0</v>
      </c>
      <c r="CM1973">
        <v>2</v>
      </c>
      <c r="CN1973">
        <v>0</v>
      </c>
      <c r="CO1973">
        <v>2</v>
      </c>
      <c r="CP1973" t="s">
        <v>119</v>
      </c>
      <c r="CQ1973">
        <v>179</v>
      </c>
      <c r="CR1973">
        <v>1</v>
      </c>
      <c r="CW1973">
        <v>8836528</v>
      </c>
      <c r="CY1973">
        <v>0</v>
      </c>
      <c r="CZ1973">
        <v>0</v>
      </c>
      <c r="DA1973">
        <v>1</v>
      </c>
      <c r="DB1973">
        <v>0</v>
      </c>
      <c r="DC1973">
        <v>0</v>
      </c>
      <c r="DD1973">
        <v>0</v>
      </c>
      <c r="DE1973">
        <v>0</v>
      </c>
      <c r="DF1973">
        <v>0</v>
      </c>
      <c r="DG1973">
        <v>0</v>
      </c>
      <c r="DH1973">
        <v>0</v>
      </c>
      <c r="DI1973">
        <v>0</v>
      </c>
    </row>
    <row r="1974" spans="1:113" x14ac:dyDescent="0.3">
      <c r="A1974" t="str">
        <f>"02/08/2021 20:24:46.243"</f>
        <v>02/08/2021 20:24:46.243</v>
      </c>
      <c r="C1974" t="str">
        <f t="shared" si="96"/>
        <v>FFDFD7C0</v>
      </c>
      <c r="D1974" t="s">
        <v>124</v>
      </c>
      <c r="E1974">
        <v>12</v>
      </c>
      <c r="F1974">
        <v>1012</v>
      </c>
      <c r="G1974" t="s">
        <v>675</v>
      </c>
      <c r="J1974" t="s">
        <v>125</v>
      </c>
      <c r="K1974">
        <v>0</v>
      </c>
      <c r="L1974">
        <v>3</v>
      </c>
      <c r="M1974">
        <v>0</v>
      </c>
      <c r="N1974">
        <v>2</v>
      </c>
      <c r="O1974">
        <v>1</v>
      </c>
      <c r="P1974">
        <v>0</v>
      </c>
      <c r="Q1974">
        <v>0</v>
      </c>
      <c r="S1974" t="str">
        <f>"20:24:48.539"</f>
        <v>20:24:48.539</v>
      </c>
      <c r="T1974" t="str">
        <f>"20:24:48.039"</f>
        <v>20:24:48.039</v>
      </c>
      <c r="U1974" t="str">
        <f t="shared" si="95"/>
        <v>AB01F4</v>
      </c>
      <c r="V1974">
        <v>0</v>
      </c>
      <c r="W1974">
        <v>0</v>
      </c>
      <c r="X1974">
        <v>2</v>
      </c>
      <c r="Z1974">
        <v>0</v>
      </c>
      <c r="AA1974">
        <v>9</v>
      </c>
      <c r="AB1974">
        <v>3</v>
      </c>
      <c r="AC1974">
        <v>0</v>
      </c>
      <c r="AD1974">
        <v>10</v>
      </c>
      <c r="AE1974">
        <v>0</v>
      </c>
      <c r="AF1974">
        <v>3</v>
      </c>
      <c r="AG1974">
        <v>2</v>
      </c>
      <c r="AH1974">
        <v>0</v>
      </c>
      <c r="AI1974" t="s">
        <v>1235</v>
      </c>
      <c r="AJ1974">
        <v>39.926569000000001</v>
      </c>
      <c r="AK1974" t="s">
        <v>1236</v>
      </c>
      <c r="AL1974">
        <v>-92.616934999999998</v>
      </c>
      <c r="AM1974">
        <v>100</v>
      </c>
      <c r="AN1974">
        <v>1700</v>
      </c>
      <c r="AO1974" t="s">
        <v>118</v>
      </c>
      <c r="AP1974">
        <v>-108</v>
      </c>
      <c r="AQ1974">
        <v>77</v>
      </c>
      <c r="AR1974">
        <v>-192</v>
      </c>
      <c r="AZ1974">
        <v>1200</v>
      </c>
      <c r="BA1974">
        <v>1</v>
      </c>
      <c r="BB1974" t="str">
        <f t="shared" si="97"/>
        <v xml:space="preserve">N8080G  </v>
      </c>
      <c r="BC1974">
        <v>1</v>
      </c>
      <c r="BE1974">
        <v>0</v>
      </c>
      <c r="BF1974">
        <v>0</v>
      </c>
      <c r="BG1974">
        <v>0</v>
      </c>
      <c r="BH1974">
        <v>1700</v>
      </c>
      <c r="BI1974">
        <v>1</v>
      </c>
      <c r="BJ1974">
        <v>1</v>
      </c>
      <c r="BK1974">
        <v>1</v>
      </c>
      <c r="BL1974">
        <v>0</v>
      </c>
      <c r="BO1974">
        <v>0</v>
      </c>
      <c r="BP1974">
        <v>0</v>
      </c>
      <c r="BW1974" t="str">
        <f>"20:24:48.544"</f>
        <v>20:24:48.544</v>
      </c>
      <c r="BZ1974">
        <v>0</v>
      </c>
      <c r="CA1974">
        <v>2016</v>
      </c>
      <c r="CB1974">
        <v>224</v>
      </c>
      <c r="CD1974">
        <v>1</v>
      </c>
      <c r="CE1974">
        <v>0</v>
      </c>
      <c r="CF1974">
        <v>0</v>
      </c>
      <c r="CG1974">
        <v>1</v>
      </c>
      <c r="CH1974">
        <v>0</v>
      </c>
      <c r="CI1974">
        <v>0</v>
      </c>
      <c r="CJ1974">
        <v>0</v>
      </c>
      <c r="CK1974">
        <v>2</v>
      </c>
      <c r="CL1974">
        <v>0</v>
      </c>
      <c r="CM1974">
        <v>2</v>
      </c>
      <c r="CN1974">
        <v>0</v>
      </c>
      <c r="CO1974">
        <v>2</v>
      </c>
      <c r="CP1974" t="s">
        <v>119</v>
      </c>
      <c r="CQ1974">
        <v>179</v>
      </c>
      <c r="CR1974">
        <v>1</v>
      </c>
      <c r="CW1974">
        <v>8836528</v>
      </c>
      <c r="CY1974">
        <v>0</v>
      </c>
      <c r="CZ1974">
        <v>0</v>
      </c>
      <c r="DA1974">
        <v>1</v>
      </c>
      <c r="DB1974">
        <v>0</v>
      </c>
      <c r="DC1974">
        <v>0</v>
      </c>
      <c r="DD1974">
        <v>0</v>
      </c>
      <c r="DE1974">
        <v>0</v>
      </c>
      <c r="DF1974">
        <v>0</v>
      </c>
      <c r="DG1974">
        <v>0</v>
      </c>
      <c r="DH1974">
        <v>0</v>
      </c>
      <c r="DI1974">
        <v>0</v>
      </c>
    </row>
    <row r="1975" spans="1:113" x14ac:dyDescent="0.3">
      <c r="A1975" t="str">
        <f>"02/08/2021 20:24:47.107"</f>
        <v>02/08/2021 20:24:47.107</v>
      </c>
      <c r="C1975" t="str">
        <f t="shared" si="96"/>
        <v>FFDFD7C0</v>
      </c>
      <c r="D1975" t="s">
        <v>113</v>
      </c>
      <c r="E1975">
        <v>6</v>
      </c>
      <c r="H1975">
        <v>165</v>
      </c>
      <c r="I1975" t="s">
        <v>114</v>
      </c>
      <c r="J1975" t="s">
        <v>115</v>
      </c>
      <c r="K1975">
        <v>0</v>
      </c>
      <c r="L1975">
        <v>3</v>
      </c>
      <c r="M1975">
        <v>0</v>
      </c>
      <c r="N1975">
        <v>2</v>
      </c>
      <c r="O1975">
        <v>1</v>
      </c>
      <c r="P1975">
        <v>0</v>
      </c>
      <c r="Q1975">
        <v>0</v>
      </c>
      <c r="S1975" t="str">
        <f>"20:24:49.453"</f>
        <v>20:24:49.453</v>
      </c>
      <c r="T1975" t="str">
        <f>"20:24:49.053"</f>
        <v>20:24:49.053</v>
      </c>
      <c r="U1975" t="str">
        <f t="shared" si="95"/>
        <v>AB01F4</v>
      </c>
      <c r="V1975">
        <v>0</v>
      </c>
      <c r="W1975">
        <v>0</v>
      </c>
      <c r="X1975">
        <v>2</v>
      </c>
      <c r="Z1975">
        <v>0</v>
      </c>
      <c r="AA1975">
        <v>9</v>
      </c>
      <c r="AB1975">
        <v>3</v>
      </c>
      <c r="AC1975">
        <v>0</v>
      </c>
      <c r="AD1975">
        <v>10</v>
      </c>
      <c r="AE1975">
        <v>0</v>
      </c>
      <c r="AF1975">
        <v>3</v>
      </c>
      <c r="AG1975">
        <v>2</v>
      </c>
      <c r="AH1975">
        <v>0</v>
      </c>
      <c r="AI1975" t="s">
        <v>1237</v>
      </c>
      <c r="AJ1975">
        <v>39.926870000000001</v>
      </c>
      <c r="AK1975" t="s">
        <v>1238</v>
      </c>
      <c r="AL1975">
        <v>-92.617492999999996</v>
      </c>
      <c r="AM1975">
        <v>100</v>
      </c>
      <c r="AN1975">
        <v>1700</v>
      </c>
      <c r="AO1975" t="s">
        <v>118</v>
      </c>
      <c r="AP1975">
        <v>-108</v>
      </c>
      <c r="AQ1975">
        <v>77</v>
      </c>
      <c r="AR1975">
        <v>-64</v>
      </c>
      <c r="AZ1975">
        <v>1200</v>
      </c>
      <c r="BA1975">
        <v>1</v>
      </c>
      <c r="BB1975" t="str">
        <f t="shared" si="97"/>
        <v xml:space="preserve">N8080G  </v>
      </c>
      <c r="BC1975">
        <v>1</v>
      </c>
      <c r="BE1975">
        <v>0</v>
      </c>
      <c r="BF1975">
        <v>0</v>
      </c>
      <c r="BG1975">
        <v>0</v>
      </c>
      <c r="BH1975">
        <v>1700</v>
      </c>
      <c r="BI1975">
        <v>1</v>
      </c>
      <c r="BJ1975">
        <v>1</v>
      </c>
      <c r="BK1975">
        <v>1</v>
      </c>
      <c r="BL1975">
        <v>0</v>
      </c>
      <c r="BO1975">
        <v>0</v>
      </c>
      <c r="BP1975">
        <v>0</v>
      </c>
      <c r="BW1975" t="str">
        <f>"20:24:49.460"</f>
        <v>20:24:49.460</v>
      </c>
      <c r="BZ1975">
        <v>0</v>
      </c>
      <c r="CA1975">
        <v>2016</v>
      </c>
      <c r="CB1975">
        <v>224</v>
      </c>
      <c r="CD1975">
        <v>1</v>
      </c>
      <c r="CE1975">
        <v>0</v>
      </c>
      <c r="CF1975">
        <v>0</v>
      </c>
      <c r="CG1975">
        <v>1</v>
      </c>
      <c r="CH1975">
        <v>0</v>
      </c>
      <c r="CI1975">
        <v>0</v>
      </c>
      <c r="CJ1975">
        <v>0</v>
      </c>
      <c r="CK1975">
        <v>2</v>
      </c>
      <c r="CL1975">
        <v>0</v>
      </c>
      <c r="CM1975">
        <v>2</v>
      </c>
      <c r="CN1975">
        <v>0</v>
      </c>
      <c r="CO1975">
        <v>7</v>
      </c>
      <c r="CP1975" t="s">
        <v>119</v>
      </c>
      <c r="CQ1975">
        <v>180</v>
      </c>
      <c r="CR1975">
        <v>1</v>
      </c>
      <c r="CW1975">
        <v>10969134</v>
      </c>
      <c r="CY1975">
        <v>0</v>
      </c>
      <c r="CZ1975">
        <v>0</v>
      </c>
      <c r="DA1975">
        <v>0</v>
      </c>
      <c r="DB1975">
        <v>0</v>
      </c>
      <c r="DC1975">
        <v>0</v>
      </c>
      <c r="DD1975">
        <v>0</v>
      </c>
      <c r="DE1975">
        <v>0</v>
      </c>
      <c r="DF1975">
        <v>0</v>
      </c>
      <c r="DG1975">
        <v>0</v>
      </c>
      <c r="DH1975">
        <v>0</v>
      </c>
      <c r="DI1975">
        <v>0</v>
      </c>
    </row>
    <row r="1976" spans="1:113" x14ac:dyDescent="0.3">
      <c r="A1976" t="str">
        <f>"02/08/2021 20:24:47.107"</f>
        <v>02/08/2021 20:24:47.107</v>
      </c>
      <c r="C1976" t="str">
        <f t="shared" si="96"/>
        <v>FFDFD7C0</v>
      </c>
      <c r="D1976" t="s">
        <v>124</v>
      </c>
      <c r="E1976">
        <v>13</v>
      </c>
      <c r="F1976">
        <v>1013</v>
      </c>
      <c r="G1976" t="s">
        <v>114</v>
      </c>
      <c r="J1976" t="s">
        <v>125</v>
      </c>
      <c r="K1976">
        <v>0</v>
      </c>
      <c r="L1976">
        <v>3</v>
      </c>
      <c r="M1976">
        <v>0</v>
      </c>
      <c r="N1976">
        <v>2</v>
      </c>
      <c r="O1976">
        <v>1</v>
      </c>
      <c r="P1976">
        <v>0</v>
      </c>
      <c r="Q1976">
        <v>0</v>
      </c>
      <c r="S1976" t="str">
        <f>"20:24:49.453"</f>
        <v>20:24:49.453</v>
      </c>
      <c r="T1976" t="str">
        <f>"20:24:49.053"</f>
        <v>20:24:49.053</v>
      </c>
      <c r="U1976" t="str">
        <f t="shared" si="95"/>
        <v>AB01F4</v>
      </c>
      <c r="V1976">
        <v>0</v>
      </c>
      <c r="W1976">
        <v>0</v>
      </c>
      <c r="X1976">
        <v>2</v>
      </c>
      <c r="Z1976">
        <v>0</v>
      </c>
      <c r="AA1976">
        <v>9</v>
      </c>
      <c r="AB1976">
        <v>3</v>
      </c>
      <c r="AC1976">
        <v>0</v>
      </c>
      <c r="AD1976">
        <v>10</v>
      </c>
      <c r="AE1976">
        <v>0</v>
      </c>
      <c r="AF1976">
        <v>3</v>
      </c>
      <c r="AG1976">
        <v>2</v>
      </c>
      <c r="AH1976">
        <v>0</v>
      </c>
      <c r="AI1976" t="s">
        <v>1237</v>
      </c>
      <c r="AJ1976">
        <v>39.926870000000001</v>
      </c>
      <c r="AK1976" t="s">
        <v>1238</v>
      </c>
      <c r="AL1976">
        <v>-92.617492999999996</v>
      </c>
      <c r="AM1976">
        <v>100</v>
      </c>
      <c r="AN1976">
        <v>1700</v>
      </c>
      <c r="AO1976" t="s">
        <v>118</v>
      </c>
      <c r="AP1976">
        <v>-108</v>
      </c>
      <c r="AQ1976">
        <v>77</v>
      </c>
      <c r="AR1976">
        <v>-64</v>
      </c>
      <c r="AZ1976">
        <v>1200</v>
      </c>
      <c r="BA1976">
        <v>1</v>
      </c>
      <c r="BB1976" t="str">
        <f t="shared" si="97"/>
        <v xml:space="preserve">N8080G  </v>
      </c>
      <c r="BC1976">
        <v>1</v>
      </c>
      <c r="BE1976">
        <v>0</v>
      </c>
      <c r="BF1976">
        <v>0</v>
      </c>
      <c r="BG1976">
        <v>0</v>
      </c>
      <c r="BH1976">
        <v>1700</v>
      </c>
      <c r="BI1976">
        <v>1</v>
      </c>
      <c r="BJ1976">
        <v>1</v>
      </c>
      <c r="BK1976">
        <v>1</v>
      </c>
      <c r="BL1976">
        <v>0</v>
      </c>
      <c r="BO1976">
        <v>0</v>
      </c>
      <c r="BP1976">
        <v>0</v>
      </c>
      <c r="BW1976" t="str">
        <f>"20:24:49.460"</f>
        <v>20:24:49.460</v>
      </c>
      <c r="BZ1976">
        <v>0</v>
      </c>
      <c r="CA1976">
        <v>2016</v>
      </c>
      <c r="CB1976">
        <v>224</v>
      </c>
      <c r="CD1976">
        <v>1</v>
      </c>
      <c r="CE1976">
        <v>0</v>
      </c>
      <c r="CF1976">
        <v>0</v>
      </c>
      <c r="CG1976">
        <v>1</v>
      </c>
      <c r="CH1976">
        <v>0</v>
      </c>
      <c r="CI1976">
        <v>0</v>
      </c>
      <c r="CJ1976">
        <v>0</v>
      </c>
      <c r="CK1976">
        <v>2</v>
      </c>
      <c r="CL1976">
        <v>0</v>
      </c>
      <c r="CM1976">
        <v>2</v>
      </c>
      <c r="CN1976">
        <v>0</v>
      </c>
      <c r="CO1976">
        <v>7</v>
      </c>
      <c r="CP1976" t="s">
        <v>119</v>
      </c>
      <c r="CQ1976">
        <v>180</v>
      </c>
      <c r="CR1976">
        <v>1</v>
      </c>
      <c r="CW1976">
        <v>10969134</v>
      </c>
      <c r="CY1976">
        <v>0</v>
      </c>
      <c r="CZ1976">
        <v>0</v>
      </c>
      <c r="DA1976">
        <v>1</v>
      </c>
      <c r="DB1976">
        <v>0</v>
      </c>
      <c r="DC1976">
        <v>0</v>
      </c>
      <c r="DD1976">
        <v>0</v>
      </c>
      <c r="DE1976">
        <v>0</v>
      </c>
      <c r="DF1976">
        <v>0</v>
      </c>
      <c r="DG1976">
        <v>0</v>
      </c>
      <c r="DH1976">
        <v>0</v>
      </c>
      <c r="DI1976">
        <v>0</v>
      </c>
    </row>
    <row r="1977" spans="1:113" x14ac:dyDescent="0.3">
      <c r="A1977" t="str">
        <f>"02/08/2021 20:24:47.107"</f>
        <v>02/08/2021 20:24:47.107</v>
      </c>
      <c r="C1977" t="str">
        <f t="shared" si="96"/>
        <v>FFDFD7C0</v>
      </c>
      <c r="D1977" t="s">
        <v>124</v>
      </c>
      <c r="E1977">
        <v>12</v>
      </c>
      <c r="F1977">
        <v>1012</v>
      </c>
      <c r="G1977" t="s">
        <v>675</v>
      </c>
      <c r="J1977" t="s">
        <v>125</v>
      </c>
      <c r="K1977">
        <v>0</v>
      </c>
      <c r="L1977">
        <v>3</v>
      </c>
      <c r="M1977">
        <v>0</v>
      </c>
      <c r="N1977">
        <v>2</v>
      </c>
      <c r="O1977">
        <v>1</v>
      </c>
      <c r="P1977">
        <v>0</v>
      </c>
      <c r="Q1977">
        <v>0</v>
      </c>
      <c r="S1977" t="str">
        <f>"20:24:49.453"</f>
        <v>20:24:49.453</v>
      </c>
      <c r="T1977" t="str">
        <f>"20:24:49.053"</f>
        <v>20:24:49.053</v>
      </c>
      <c r="U1977" t="str">
        <f t="shared" si="95"/>
        <v>AB01F4</v>
      </c>
      <c r="V1977">
        <v>0</v>
      </c>
      <c r="W1977">
        <v>0</v>
      </c>
      <c r="X1977">
        <v>2</v>
      </c>
      <c r="Z1977">
        <v>0</v>
      </c>
      <c r="AA1977">
        <v>9</v>
      </c>
      <c r="AB1977">
        <v>3</v>
      </c>
      <c r="AC1977">
        <v>0</v>
      </c>
      <c r="AD1977">
        <v>10</v>
      </c>
      <c r="AE1977">
        <v>0</v>
      </c>
      <c r="AF1977">
        <v>3</v>
      </c>
      <c r="AG1977">
        <v>2</v>
      </c>
      <c r="AH1977">
        <v>0</v>
      </c>
      <c r="AI1977" t="s">
        <v>1237</v>
      </c>
      <c r="AJ1977">
        <v>39.926870000000001</v>
      </c>
      <c r="AK1977" t="s">
        <v>1238</v>
      </c>
      <c r="AL1977">
        <v>-92.617492999999996</v>
      </c>
      <c r="AM1977">
        <v>100</v>
      </c>
      <c r="AN1977">
        <v>1700</v>
      </c>
      <c r="AO1977" t="s">
        <v>118</v>
      </c>
      <c r="AP1977">
        <v>-108</v>
      </c>
      <c r="AQ1977">
        <v>77</v>
      </c>
      <c r="AR1977">
        <v>-64</v>
      </c>
      <c r="AZ1977">
        <v>1200</v>
      </c>
      <c r="BA1977">
        <v>1</v>
      </c>
      <c r="BB1977" t="str">
        <f t="shared" si="97"/>
        <v xml:space="preserve">N8080G  </v>
      </c>
      <c r="BC1977">
        <v>1</v>
      </c>
      <c r="BE1977">
        <v>0</v>
      </c>
      <c r="BF1977">
        <v>0</v>
      </c>
      <c r="BG1977">
        <v>0</v>
      </c>
      <c r="BH1977">
        <v>1700</v>
      </c>
      <c r="BI1977">
        <v>1</v>
      </c>
      <c r="BJ1977">
        <v>1</v>
      </c>
      <c r="BK1977">
        <v>1</v>
      </c>
      <c r="BL1977">
        <v>0</v>
      </c>
      <c r="BO1977">
        <v>0</v>
      </c>
      <c r="BP1977">
        <v>0</v>
      </c>
      <c r="BW1977" t="str">
        <f>"20:24:49.460"</f>
        <v>20:24:49.460</v>
      </c>
      <c r="BZ1977">
        <v>0</v>
      </c>
      <c r="CA1977">
        <v>2016</v>
      </c>
      <c r="CB1977">
        <v>224</v>
      </c>
      <c r="CD1977">
        <v>1</v>
      </c>
      <c r="CE1977">
        <v>0</v>
      </c>
      <c r="CF1977">
        <v>0</v>
      </c>
      <c r="CG1977">
        <v>1</v>
      </c>
      <c r="CH1977">
        <v>0</v>
      </c>
      <c r="CI1977">
        <v>0</v>
      </c>
      <c r="CJ1977">
        <v>0</v>
      </c>
      <c r="CK1977">
        <v>2</v>
      </c>
      <c r="CL1977">
        <v>0</v>
      </c>
      <c r="CM1977">
        <v>2</v>
      </c>
      <c r="CN1977">
        <v>0</v>
      </c>
      <c r="CO1977">
        <v>7</v>
      </c>
      <c r="CP1977" t="s">
        <v>119</v>
      </c>
      <c r="CQ1977">
        <v>180</v>
      </c>
      <c r="CR1977">
        <v>1</v>
      </c>
      <c r="CW1977">
        <v>10969134</v>
      </c>
      <c r="CY1977">
        <v>0</v>
      </c>
      <c r="CZ1977">
        <v>0</v>
      </c>
      <c r="DA1977">
        <v>1</v>
      </c>
      <c r="DB1977">
        <v>0</v>
      </c>
      <c r="DC1977">
        <v>0</v>
      </c>
      <c r="DD1977">
        <v>0</v>
      </c>
      <c r="DE1977">
        <v>0</v>
      </c>
      <c r="DF1977">
        <v>0</v>
      </c>
      <c r="DG1977">
        <v>0</v>
      </c>
      <c r="DH1977">
        <v>0</v>
      </c>
      <c r="DI1977">
        <v>0</v>
      </c>
    </row>
    <row r="1978" spans="1:113" x14ac:dyDescent="0.3">
      <c r="A1978" t="str">
        <f>"02/08/2021 20:24:47.107"</f>
        <v>02/08/2021 20:24:47.107</v>
      </c>
      <c r="C1978" t="str">
        <f t="shared" si="96"/>
        <v>FFDFD7C0</v>
      </c>
      <c r="D1978" t="s">
        <v>124</v>
      </c>
      <c r="E1978">
        <v>11</v>
      </c>
      <c r="F1978">
        <v>1011</v>
      </c>
      <c r="G1978" t="s">
        <v>590</v>
      </c>
      <c r="J1978" t="s">
        <v>125</v>
      </c>
      <c r="K1978">
        <v>0</v>
      </c>
      <c r="L1978">
        <v>3</v>
      </c>
      <c r="M1978">
        <v>0</v>
      </c>
      <c r="N1978">
        <v>2</v>
      </c>
      <c r="O1978">
        <v>1</v>
      </c>
      <c r="P1978">
        <v>0</v>
      </c>
      <c r="Q1978">
        <v>0</v>
      </c>
      <c r="S1978" t="str">
        <f>"20:24:49.453"</f>
        <v>20:24:49.453</v>
      </c>
      <c r="T1978" t="str">
        <f>"20:24:49.053"</f>
        <v>20:24:49.053</v>
      </c>
      <c r="U1978" t="str">
        <f t="shared" si="95"/>
        <v>AB01F4</v>
      </c>
      <c r="V1978">
        <v>0</v>
      </c>
      <c r="W1978">
        <v>0</v>
      </c>
      <c r="X1978">
        <v>2</v>
      </c>
      <c r="Z1978">
        <v>0</v>
      </c>
      <c r="AA1978">
        <v>9</v>
      </c>
      <c r="AB1978">
        <v>3</v>
      </c>
      <c r="AC1978">
        <v>0</v>
      </c>
      <c r="AD1978">
        <v>10</v>
      </c>
      <c r="AE1978">
        <v>0</v>
      </c>
      <c r="AF1978">
        <v>3</v>
      </c>
      <c r="AG1978">
        <v>2</v>
      </c>
      <c r="AH1978">
        <v>0</v>
      </c>
      <c r="AI1978" t="s">
        <v>1237</v>
      </c>
      <c r="AJ1978">
        <v>39.926870000000001</v>
      </c>
      <c r="AK1978" t="s">
        <v>1238</v>
      </c>
      <c r="AL1978">
        <v>-92.617492999999996</v>
      </c>
      <c r="AM1978">
        <v>100</v>
      </c>
      <c r="AN1978">
        <v>1700</v>
      </c>
      <c r="AO1978" t="s">
        <v>118</v>
      </c>
      <c r="AP1978">
        <v>-108</v>
      </c>
      <c r="AQ1978">
        <v>77</v>
      </c>
      <c r="AR1978">
        <v>-64</v>
      </c>
      <c r="AZ1978">
        <v>1200</v>
      </c>
      <c r="BA1978">
        <v>1</v>
      </c>
      <c r="BB1978" t="str">
        <f t="shared" si="97"/>
        <v xml:space="preserve">N8080G  </v>
      </c>
      <c r="BC1978">
        <v>1</v>
      </c>
      <c r="BE1978">
        <v>0</v>
      </c>
      <c r="BF1978">
        <v>0</v>
      </c>
      <c r="BG1978">
        <v>0</v>
      </c>
      <c r="BH1978">
        <v>1700</v>
      </c>
      <c r="BI1978">
        <v>1</v>
      </c>
      <c r="BJ1978">
        <v>1</v>
      </c>
      <c r="BK1978">
        <v>1</v>
      </c>
      <c r="BL1978">
        <v>0</v>
      </c>
      <c r="BO1978">
        <v>0</v>
      </c>
      <c r="BP1978">
        <v>0</v>
      </c>
      <c r="BW1978" t="str">
        <f>"20:24:49.460"</f>
        <v>20:24:49.460</v>
      </c>
      <c r="BZ1978">
        <v>0</v>
      </c>
      <c r="CA1978">
        <v>2016</v>
      </c>
      <c r="CB1978">
        <v>224</v>
      </c>
      <c r="CD1978">
        <v>1</v>
      </c>
      <c r="CE1978">
        <v>0</v>
      </c>
      <c r="CF1978">
        <v>0</v>
      </c>
      <c r="CG1978">
        <v>1</v>
      </c>
      <c r="CH1978">
        <v>0</v>
      </c>
      <c r="CI1978">
        <v>0</v>
      </c>
      <c r="CJ1978">
        <v>0</v>
      </c>
      <c r="CK1978">
        <v>2</v>
      </c>
      <c r="CL1978">
        <v>0</v>
      </c>
      <c r="CM1978">
        <v>2</v>
      </c>
      <c r="CN1978">
        <v>0</v>
      </c>
      <c r="CO1978">
        <v>7</v>
      </c>
      <c r="CP1978" t="s">
        <v>119</v>
      </c>
      <c r="CQ1978">
        <v>180</v>
      </c>
      <c r="CR1978">
        <v>1</v>
      </c>
      <c r="CW1978">
        <v>10969134</v>
      </c>
      <c r="CY1978">
        <v>0</v>
      </c>
      <c r="CZ1978">
        <v>0</v>
      </c>
      <c r="DA1978">
        <v>1</v>
      </c>
      <c r="DB1978">
        <v>0</v>
      </c>
      <c r="DC1978">
        <v>0</v>
      </c>
      <c r="DD1978">
        <v>0</v>
      </c>
      <c r="DE1978">
        <v>0</v>
      </c>
      <c r="DF1978">
        <v>0</v>
      </c>
      <c r="DG1978">
        <v>0</v>
      </c>
      <c r="DH1978">
        <v>0</v>
      </c>
      <c r="DI1978">
        <v>0</v>
      </c>
    </row>
    <row r="1979" spans="1:113" x14ac:dyDescent="0.3">
      <c r="A1979" t="str">
        <f>"02/08/2021 20:24:49.592"</f>
        <v>02/08/2021 20:24:49.592</v>
      </c>
      <c r="C1979" t="str">
        <f t="shared" si="96"/>
        <v>FFDFD7C0</v>
      </c>
      <c r="D1979" t="s">
        <v>124</v>
      </c>
      <c r="E1979">
        <v>12</v>
      </c>
      <c r="F1979">
        <v>1012</v>
      </c>
      <c r="G1979" t="s">
        <v>675</v>
      </c>
      <c r="J1979" t="s">
        <v>125</v>
      </c>
      <c r="K1979">
        <v>0</v>
      </c>
      <c r="L1979">
        <v>3</v>
      </c>
      <c r="M1979">
        <v>0</v>
      </c>
      <c r="N1979">
        <v>2</v>
      </c>
      <c r="O1979">
        <v>1</v>
      </c>
      <c r="P1979">
        <v>0</v>
      </c>
      <c r="Q1979">
        <v>0</v>
      </c>
      <c r="S1979" t="str">
        <f>"20:24:51.914"</f>
        <v>20:24:51.914</v>
      </c>
      <c r="T1979" t="str">
        <f>"20:24:51.014"</f>
        <v>20:24:51.014</v>
      </c>
      <c r="U1979" t="str">
        <f t="shared" si="95"/>
        <v>AB01F4</v>
      </c>
      <c r="V1979">
        <v>0</v>
      </c>
      <c r="W1979">
        <v>0</v>
      </c>
      <c r="X1979">
        <v>2</v>
      </c>
      <c r="Z1979">
        <v>0</v>
      </c>
      <c r="AA1979">
        <v>9</v>
      </c>
      <c r="AB1979">
        <v>3</v>
      </c>
      <c r="AC1979">
        <v>0</v>
      </c>
      <c r="AD1979">
        <v>10</v>
      </c>
      <c r="AE1979">
        <v>0</v>
      </c>
      <c r="AF1979">
        <v>3</v>
      </c>
      <c r="AG1979">
        <v>2</v>
      </c>
      <c r="AH1979">
        <v>0</v>
      </c>
      <c r="AI1979" t="s">
        <v>1239</v>
      </c>
      <c r="AJ1979">
        <v>39.927771</v>
      </c>
      <c r="AK1979" t="s">
        <v>1240</v>
      </c>
      <c r="AL1979">
        <v>-92.619058999999993</v>
      </c>
      <c r="AM1979">
        <v>100</v>
      </c>
      <c r="AN1979">
        <v>1700</v>
      </c>
      <c r="AO1979" t="s">
        <v>118</v>
      </c>
      <c r="AP1979">
        <v>-107</v>
      </c>
      <c r="AQ1979">
        <v>78</v>
      </c>
      <c r="AR1979">
        <v>64</v>
      </c>
      <c r="AZ1979">
        <v>1200</v>
      </c>
      <c r="BA1979">
        <v>1</v>
      </c>
      <c r="BB1979" t="str">
        <f t="shared" si="97"/>
        <v xml:space="preserve">N8080G  </v>
      </c>
      <c r="BC1979">
        <v>1</v>
      </c>
      <c r="BE1979">
        <v>0</v>
      </c>
      <c r="BF1979">
        <v>0</v>
      </c>
      <c r="BG1979">
        <v>0</v>
      </c>
      <c r="BH1979">
        <v>1700</v>
      </c>
      <c r="BI1979">
        <v>1</v>
      </c>
      <c r="BJ1979">
        <v>1</v>
      </c>
      <c r="BK1979">
        <v>1</v>
      </c>
      <c r="BL1979">
        <v>0</v>
      </c>
      <c r="BO1979">
        <v>0</v>
      </c>
      <c r="BP1979">
        <v>0</v>
      </c>
      <c r="BW1979" t="str">
        <f>"20:24:51.916"</f>
        <v>20:24:51.916</v>
      </c>
      <c r="BZ1979">
        <v>0</v>
      </c>
      <c r="CA1979">
        <v>2016</v>
      </c>
      <c r="CB1979">
        <v>224</v>
      </c>
      <c r="CD1979">
        <v>1</v>
      </c>
      <c r="CE1979">
        <v>0</v>
      </c>
      <c r="CF1979">
        <v>0</v>
      </c>
      <c r="CG1979">
        <v>1</v>
      </c>
      <c r="CH1979">
        <v>0</v>
      </c>
      <c r="CI1979">
        <v>0</v>
      </c>
      <c r="CJ1979">
        <v>0</v>
      </c>
      <c r="CK1979">
        <v>2</v>
      </c>
      <c r="CL1979">
        <v>0</v>
      </c>
      <c r="CM1979">
        <v>2</v>
      </c>
      <c r="CN1979">
        <v>0</v>
      </c>
      <c r="CO1979">
        <v>2</v>
      </c>
      <c r="CP1979" t="s">
        <v>119</v>
      </c>
      <c r="CQ1979">
        <v>179</v>
      </c>
      <c r="CR1979">
        <v>1</v>
      </c>
      <c r="CW1979">
        <v>8839441</v>
      </c>
      <c r="CY1979">
        <v>0</v>
      </c>
      <c r="CZ1979">
        <v>0</v>
      </c>
      <c r="DA1979">
        <v>0</v>
      </c>
      <c r="DB1979">
        <v>0</v>
      </c>
      <c r="DC1979">
        <v>0</v>
      </c>
      <c r="DD1979">
        <v>0</v>
      </c>
      <c r="DE1979">
        <v>0</v>
      </c>
      <c r="DF1979">
        <v>0</v>
      </c>
      <c r="DG1979">
        <v>0</v>
      </c>
      <c r="DH1979">
        <v>0</v>
      </c>
      <c r="DI1979">
        <v>0</v>
      </c>
    </row>
    <row r="1980" spans="1:113" x14ac:dyDescent="0.3">
      <c r="A1980" t="str">
        <f>"02/08/2021 20:24:49.592"</f>
        <v>02/08/2021 20:24:49.592</v>
      </c>
      <c r="C1980" t="str">
        <f t="shared" si="96"/>
        <v>FFDFD7C0</v>
      </c>
      <c r="D1980" t="s">
        <v>124</v>
      </c>
      <c r="E1980">
        <v>11</v>
      </c>
      <c r="F1980">
        <v>1011</v>
      </c>
      <c r="G1980" t="s">
        <v>590</v>
      </c>
      <c r="J1980" t="s">
        <v>125</v>
      </c>
      <c r="K1980">
        <v>0</v>
      </c>
      <c r="L1980">
        <v>3</v>
      </c>
      <c r="M1980">
        <v>0</v>
      </c>
      <c r="N1980">
        <v>2</v>
      </c>
      <c r="O1980">
        <v>1</v>
      </c>
      <c r="P1980">
        <v>0</v>
      </c>
      <c r="Q1980">
        <v>0</v>
      </c>
      <c r="S1980" t="str">
        <f>"20:24:51.914"</f>
        <v>20:24:51.914</v>
      </c>
      <c r="T1980" t="str">
        <f>"20:24:51.014"</f>
        <v>20:24:51.014</v>
      </c>
      <c r="U1980" t="str">
        <f t="shared" si="95"/>
        <v>AB01F4</v>
      </c>
      <c r="V1980">
        <v>0</v>
      </c>
      <c r="W1980">
        <v>0</v>
      </c>
      <c r="X1980">
        <v>2</v>
      </c>
      <c r="Z1980">
        <v>0</v>
      </c>
      <c r="AA1980">
        <v>9</v>
      </c>
      <c r="AB1980">
        <v>3</v>
      </c>
      <c r="AC1980">
        <v>0</v>
      </c>
      <c r="AD1980">
        <v>10</v>
      </c>
      <c r="AE1980">
        <v>0</v>
      </c>
      <c r="AF1980">
        <v>3</v>
      </c>
      <c r="AG1980">
        <v>2</v>
      </c>
      <c r="AH1980">
        <v>0</v>
      </c>
      <c r="AI1980" t="s">
        <v>1239</v>
      </c>
      <c r="AJ1980">
        <v>39.927771</v>
      </c>
      <c r="AK1980" t="s">
        <v>1240</v>
      </c>
      <c r="AL1980">
        <v>-92.619058999999993</v>
      </c>
      <c r="AM1980">
        <v>100</v>
      </c>
      <c r="AN1980">
        <v>1700</v>
      </c>
      <c r="AO1980" t="s">
        <v>118</v>
      </c>
      <c r="AP1980">
        <v>-107</v>
      </c>
      <c r="AQ1980">
        <v>78</v>
      </c>
      <c r="AR1980">
        <v>64</v>
      </c>
      <c r="AZ1980">
        <v>1200</v>
      </c>
      <c r="BA1980">
        <v>1</v>
      </c>
      <c r="BB1980" t="str">
        <f t="shared" si="97"/>
        <v xml:space="preserve">N8080G  </v>
      </c>
      <c r="BC1980">
        <v>1</v>
      </c>
      <c r="BE1980">
        <v>0</v>
      </c>
      <c r="BF1980">
        <v>0</v>
      </c>
      <c r="BG1980">
        <v>0</v>
      </c>
      <c r="BH1980">
        <v>1700</v>
      </c>
      <c r="BI1980">
        <v>1</v>
      </c>
      <c r="BJ1980">
        <v>1</v>
      </c>
      <c r="BK1980">
        <v>1</v>
      </c>
      <c r="BL1980">
        <v>0</v>
      </c>
      <c r="BO1980">
        <v>0</v>
      </c>
      <c r="BP1980">
        <v>0</v>
      </c>
      <c r="BW1980" t="str">
        <f>"20:24:51.916"</f>
        <v>20:24:51.916</v>
      </c>
      <c r="BZ1980">
        <v>0</v>
      </c>
      <c r="CA1980">
        <v>2016</v>
      </c>
      <c r="CB1980">
        <v>224</v>
      </c>
      <c r="CD1980">
        <v>1</v>
      </c>
      <c r="CE1980">
        <v>0</v>
      </c>
      <c r="CF1980">
        <v>0</v>
      </c>
      <c r="CG1980">
        <v>1</v>
      </c>
      <c r="CH1980">
        <v>0</v>
      </c>
      <c r="CI1980">
        <v>0</v>
      </c>
      <c r="CJ1980">
        <v>0</v>
      </c>
      <c r="CK1980">
        <v>2</v>
      </c>
      <c r="CL1980">
        <v>0</v>
      </c>
      <c r="CM1980">
        <v>2</v>
      </c>
      <c r="CN1980">
        <v>0</v>
      </c>
      <c r="CO1980">
        <v>2</v>
      </c>
      <c r="CP1980" t="s">
        <v>119</v>
      </c>
      <c r="CQ1980">
        <v>179</v>
      </c>
      <c r="CR1980">
        <v>1</v>
      </c>
      <c r="CW1980">
        <v>8839441</v>
      </c>
      <c r="CY1980">
        <v>0</v>
      </c>
      <c r="CZ1980">
        <v>0</v>
      </c>
      <c r="DA1980">
        <v>1</v>
      </c>
      <c r="DB1980">
        <v>0</v>
      </c>
      <c r="DC1980">
        <v>0</v>
      </c>
      <c r="DD1980">
        <v>0</v>
      </c>
      <c r="DE1980">
        <v>0</v>
      </c>
      <c r="DF1980">
        <v>0</v>
      </c>
      <c r="DG1980">
        <v>0</v>
      </c>
      <c r="DH1980">
        <v>0</v>
      </c>
      <c r="DI1980">
        <v>0</v>
      </c>
    </row>
    <row r="1981" spans="1:113" x14ac:dyDescent="0.3">
      <c r="A1981" t="str">
        <f>"02/08/2021 20:24:49.592"</f>
        <v>02/08/2021 20:24:49.592</v>
      </c>
      <c r="C1981" t="str">
        <f t="shared" si="96"/>
        <v>FFDFD7C0</v>
      </c>
      <c r="D1981" t="s">
        <v>124</v>
      </c>
      <c r="E1981">
        <v>13</v>
      </c>
      <c r="F1981">
        <v>1013</v>
      </c>
      <c r="G1981" t="s">
        <v>114</v>
      </c>
      <c r="J1981" t="s">
        <v>125</v>
      </c>
      <c r="K1981">
        <v>0</v>
      </c>
      <c r="L1981">
        <v>3</v>
      </c>
      <c r="M1981">
        <v>0</v>
      </c>
      <c r="N1981">
        <v>2</v>
      </c>
      <c r="O1981">
        <v>1</v>
      </c>
      <c r="P1981">
        <v>0</v>
      </c>
      <c r="Q1981">
        <v>0</v>
      </c>
      <c r="S1981" t="str">
        <f>"20:24:51.914"</f>
        <v>20:24:51.914</v>
      </c>
      <c r="T1981" t="str">
        <f>"20:24:51.014"</f>
        <v>20:24:51.014</v>
      </c>
      <c r="U1981" t="str">
        <f t="shared" si="95"/>
        <v>AB01F4</v>
      </c>
      <c r="V1981">
        <v>0</v>
      </c>
      <c r="W1981">
        <v>0</v>
      </c>
      <c r="X1981">
        <v>2</v>
      </c>
      <c r="Z1981">
        <v>0</v>
      </c>
      <c r="AA1981">
        <v>9</v>
      </c>
      <c r="AB1981">
        <v>3</v>
      </c>
      <c r="AC1981">
        <v>0</v>
      </c>
      <c r="AD1981">
        <v>10</v>
      </c>
      <c r="AE1981">
        <v>0</v>
      </c>
      <c r="AF1981">
        <v>3</v>
      </c>
      <c r="AG1981">
        <v>2</v>
      </c>
      <c r="AH1981">
        <v>0</v>
      </c>
      <c r="AI1981" t="s">
        <v>1239</v>
      </c>
      <c r="AJ1981">
        <v>39.927771</v>
      </c>
      <c r="AK1981" t="s">
        <v>1240</v>
      </c>
      <c r="AL1981">
        <v>-92.619058999999993</v>
      </c>
      <c r="AM1981">
        <v>100</v>
      </c>
      <c r="AN1981">
        <v>1700</v>
      </c>
      <c r="AO1981" t="s">
        <v>118</v>
      </c>
      <c r="AP1981">
        <v>-107</v>
      </c>
      <c r="AQ1981">
        <v>78</v>
      </c>
      <c r="AR1981">
        <v>64</v>
      </c>
      <c r="AZ1981">
        <v>1200</v>
      </c>
      <c r="BA1981">
        <v>1</v>
      </c>
      <c r="BB1981" t="str">
        <f t="shared" si="97"/>
        <v xml:space="preserve">N8080G  </v>
      </c>
      <c r="BC1981">
        <v>1</v>
      </c>
      <c r="BE1981">
        <v>0</v>
      </c>
      <c r="BF1981">
        <v>0</v>
      </c>
      <c r="BG1981">
        <v>0</v>
      </c>
      <c r="BH1981">
        <v>1700</v>
      </c>
      <c r="BI1981">
        <v>1</v>
      </c>
      <c r="BJ1981">
        <v>1</v>
      </c>
      <c r="BK1981">
        <v>1</v>
      </c>
      <c r="BL1981">
        <v>0</v>
      </c>
      <c r="BO1981">
        <v>0</v>
      </c>
      <c r="BP1981">
        <v>0</v>
      </c>
      <c r="BW1981" t="str">
        <f>"20:24:51.916"</f>
        <v>20:24:51.916</v>
      </c>
      <c r="BZ1981">
        <v>0</v>
      </c>
      <c r="CA1981">
        <v>2016</v>
      </c>
      <c r="CB1981">
        <v>224</v>
      </c>
      <c r="CD1981">
        <v>1</v>
      </c>
      <c r="CE1981">
        <v>0</v>
      </c>
      <c r="CF1981">
        <v>0</v>
      </c>
      <c r="CG1981">
        <v>1</v>
      </c>
      <c r="CH1981">
        <v>0</v>
      </c>
      <c r="CI1981">
        <v>0</v>
      </c>
      <c r="CJ1981">
        <v>0</v>
      </c>
      <c r="CK1981">
        <v>2</v>
      </c>
      <c r="CL1981">
        <v>0</v>
      </c>
      <c r="CM1981">
        <v>2</v>
      </c>
      <c r="CN1981">
        <v>0</v>
      </c>
      <c r="CO1981">
        <v>2</v>
      </c>
      <c r="CP1981" t="s">
        <v>119</v>
      </c>
      <c r="CQ1981">
        <v>179</v>
      </c>
      <c r="CR1981">
        <v>1</v>
      </c>
      <c r="CW1981">
        <v>8839441</v>
      </c>
      <c r="CY1981">
        <v>0</v>
      </c>
      <c r="CZ1981">
        <v>0</v>
      </c>
      <c r="DA1981">
        <v>1</v>
      </c>
      <c r="DB1981">
        <v>0</v>
      </c>
      <c r="DC1981">
        <v>0</v>
      </c>
      <c r="DD1981">
        <v>0</v>
      </c>
      <c r="DE1981">
        <v>0</v>
      </c>
      <c r="DF1981">
        <v>0</v>
      </c>
      <c r="DG1981">
        <v>0</v>
      </c>
      <c r="DH1981">
        <v>0</v>
      </c>
      <c r="DI1981">
        <v>0</v>
      </c>
    </row>
    <row r="1982" spans="1:113" x14ac:dyDescent="0.3">
      <c r="A1982" t="str">
        <f>"02/08/2021 20:24:49.592"</f>
        <v>02/08/2021 20:24:49.592</v>
      </c>
      <c r="C1982" t="str">
        <f t="shared" si="96"/>
        <v>FFDFD7C0</v>
      </c>
      <c r="D1982" t="s">
        <v>113</v>
      </c>
      <c r="E1982">
        <v>6</v>
      </c>
      <c r="H1982">
        <v>165</v>
      </c>
      <c r="I1982" t="s">
        <v>114</v>
      </c>
      <c r="J1982" t="s">
        <v>115</v>
      </c>
      <c r="K1982">
        <v>0</v>
      </c>
      <c r="L1982">
        <v>3</v>
      </c>
      <c r="M1982">
        <v>0</v>
      </c>
      <c r="N1982">
        <v>2</v>
      </c>
      <c r="O1982">
        <v>1</v>
      </c>
      <c r="P1982">
        <v>0</v>
      </c>
      <c r="Q1982">
        <v>0</v>
      </c>
      <c r="S1982" t="str">
        <f>"20:24:51.914"</f>
        <v>20:24:51.914</v>
      </c>
      <c r="T1982" t="str">
        <f>"20:24:51.014"</f>
        <v>20:24:51.014</v>
      </c>
      <c r="U1982" t="str">
        <f t="shared" si="95"/>
        <v>AB01F4</v>
      </c>
      <c r="V1982">
        <v>0</v>
      </c>
      <c r="W1982">
        <v>0</v>
      </c>
      <c r="X1982">
        <v>2</v>
      </c>
      <c r="Z1982">
        <v>0</v>
      </c>
      <c r="AA1982">
        <v>9</v>
      </c>
      <c r="AB1982">
        <v>3</v>
      </c>
      <c r="AC1982">
        <v>0</v>
      </c>
      <c r="AD1982">
        <v>10</v>
      </c>
      <c r="AE1982">
        <v>0</v>
      </c>
      <c r="AF1982">
        <v>3</v>
      </c>
      <c r="AG1982">
        <v>2</v>
      </c>
      <c r="AH1982">
        <v>0</v>
      </c>
      <c r="AI1982" t="s">
        <v>1239</v>
      </c>
      <c r="AJ1982">
        <v>39.927771</v>
      </c>
      <c r="AK1982" t="s">
        <v>1240</v>
      </c>
      <c r="AL1982">
        <v>-92.619058999999993</v>
      </c>
      <c r="AM1982">
        <v>100</v>
      </c>
      <c r="AN1982">
        <v>1700</v>
      </c>
      <c r="AO1982" t="s">
        <v>118</v>
      </c>
      <c r="AP1982">
        <v>-107</v>
      </c>
      <c r="AQ1982">
        <v>78</v>
      </c>
      <c r="AR1982">
        <v>64</v>
      </c>
      <c r="AZ1982">
        <v>1200</v>
      </c>
      <c r="BA1982">
        <v>1</v>
      </c>
      <c r="BB1982" t="str">
        <f t="shared" si="97"/>
        <v xml:space="preserve">N8080G  </v>
      </c>
      <c r="BC1982">
        <v>1</v>
      </c>
      <c r="BE1982">
        <v>0</v>
      </c>
      <c r="BF1982">
        <v>0</v>
      </c>
      <c r="BG1982">
        <v>0</v>
      </c>
      <c r="BH1982">
        <v>1700</v>
      </c>
      <c r="BI1982">
        <v>1</v>
      </c>
      <c r="BJ1982">
        <v>1</v>
      </c>
      <c r="BK1982">
        <v>1</v>
      </c>
      <c r="BL1982">
        <v>0</v>
      </c>
      <c r="BO1982">
        <v>0</v>
      </c>
      <c r="BP1982">
        <v>0</v>
      </c>
      <c r="BW1982" t="str">
        <f>"20:24:51.916"</f>
        <v>20:24:51.916</v>
      </c>
      <c r="BZ1982">
        <v>0</v>
      </c>
      <c r="CA1982">
        <v>2016</v>
      </c>
      <c r="CB1982">
        <v>224</v>
      </c>
      <c r="CD1982">
        <v>1</v>
      </c>
      <c r="CE1982">
        <v>0</v>
      </c>
      <c r="CF1982">
        <v>0</v>
      </c>
      <c r="CG1982">
        <v>1</v>
      </c>
      <c r="CH1982">
        <v>0</v>
      </c>
      <c r="CI1982">
        <v>0</v>
      </c>
      <c r="CJ1982">
        <v>0</v>
      </c>
      <c r="CK1982">
        <v>2</v>
      </c>
      <c r="CL1982">
        <v>0</v>
      </c>
      <c r="CM1982">
        <v>2</v>
      </c>
      <c r="CN1982">
        <v>0</v>
      </c>
      <c r="CO1982">
        <v>2</v>
      </c>
      <c r="CP1982" t="s">
        <v>119</v>
      </c>
      <c r="CQ1982">
        <v>179</v>
      </c>
      <c r="CR1982">
        <v>1</v>
      </c>
      <c r="CW1982">
        <v>8839441</v>
      </c>
      <c r="CY1982">
        <v>0</v>
      </c>
      <c r="CZ1982">
        <v>0</v>
      </c>
      <c r="DA1982">
        <v>1</v>
      </c>
      <c r="DB1982">
        <v>0</v>
      </c>
      <c r="DC1982">
        <v>0</v>
      </c>
      <c r="DD1982">
        <v>0</v>
      </c>
      <c r="DE1982">
        <v>0</v>
      </c>
      <c r="DF1982">
        <v>0</v>
      </c>
      <c r="DG1982">
        <v>0</v>
      </c>
      <c r="DH1982">
        <v>0</v>
      </c>
      <c r="DI1982">
        <v>0</v>
      </c>
    </row>
    <row r="1983" spans="1:113" x14ac:dyDescent="0.3">
      <c r="A1983" t="str">
        <f>"02/08/2021 20:24:50.730"</f>
        <v>02/08/2021 20:24:50.730</v>
      </c>
      <c r="C1983" t="str">
        <f t="shared" si="96"/>
        <v>FFDFD7C0</v>
      </c>
      <c r="D1983" t="s">
        <v>124</v>
      </c>
      <c r="E1983">
        <v>11</v>
      </c>
      <c r="F1983">
        <v>1011</v>
      </c>
      <c r="G1983" t="s">
        <v>590</v>
      </c>
      <c r="J1983" t="s">
        <v>125</v>
      </c>
      <c r="K1983">
        <v>0</v>
      </c>
      <c r="L1983">
        <v>3</v>
      </c>
      <c r="M1983">
        <v>0</v>
      </c>
      <c r="N1983">
        <v>2</v>
      </c>
      <c r="O1983">
        <v>1</v>
      </c>
      <c r="P1983">
        <v>0</v>
      </c>
      <c r="Q1983">
        <v>0</v>
      </c>
      <c r="S1983" t="str">
        <f>"20:24:53.063"</f>
        <v>20:24:53.063</v>
      </c>
      <c r="T1983" t="str">
        <f>"20:24:52.563"</f>
        <v>20:24:52.563</v>
      </c>
      <c r="U1983" t="str">
        <f t="shared" si="95"/>
        <v>AB01F4</v>
      </c>
      <c r="V1983">
        <v>0</v>
      </c>
      <c r="W1983">
        <v>0</v>
      </c>
      <c r="X1983">
        <v>2</v>
      </c>
      <c r="Z1983">
        <v>0</v>
      </c>
      <c r="AA1983">
        <v>9</v>
      </c>
      <c r="AB1983">
        <v>3</v>
      </c>
      <c r="AC1983">
        <v>0</v>
      </c>
      <c r="AD1983">
        <v>10</v>
      </c>
      <c r="AE1983">
        <v>0</v>
      </c>
      <c r="AF1983">
        <v>3</v>
      </c>
      <c r="AG1983">
        <v>2</v>
      </c>
      <c r="AH1983">
        <v>0</v>
      </c>
      <c r="AI1983" t="s">
        <v>1241</v>
      </c>
      <c r="AJ1983">
        <v>39.928179</v>
      </c>
      <c r="AK1983" t="s">
        <v>1242</v>
      </c>
      <c r="AL1983">
        <v>-92.619810000000001</v>
      </c>
      <c r="AM1983">
        <v>100</v>
      </c>
      <c r="AN1983">
        <v>1700</v>
      </c>
      <c r="AO1983" t="s">
        <v>118</v>
      </c>
      <c r="AP1983">
        <v>-107</v>
      </c>
      <c r="AQ1983">
        <v>78</v>
      </c>
      <c r="AR1983">
        <v>128</v>
      </c>
      <c r="AZ1983">
        <v>1200</v>
      </c>
      <c r="BA1983">
        <v>1</v>
      </c>
      <c r="BB1983" t="str">
        <f t="shared" si="97"/>
        <v xml:space="preserve">N8080G  </v>
      </c>
      <c r="BC1983">
        <v>1</v>
      </c>
      <c r="BE1983">
        <v>0</v>
      </c>
      <c r="BF1983">
        <v>0</v>
      </c>
      <c r="BG1983">
        <v>0</v>
      </c>
      <c r="BH1983">
        <v>1700</v>
      </c>
      <c r="BI1983">
        <v>1</v>
      </c>
      <c r="BJ1983">
        <v>1</v>
      </c>
      <c r="BK1983">
        <v>1</v>
      </c>
      <c r="BL1983">
        <v>0</v>
      </c>
      <c r="BO1983">
        <v>0</v>
      </c>
      <c r="BP1983">
        <v>0</v>
      </c>
      <c r="BW1983" t="str">
        <f>"20:24:53.064"</f>
        <v>20:24:53.064</v>
      </c>
      <c r="BZ1983">
        <v>0</v>
      </c>
      <c r="CA1983">
        <v>2016</v>
      </c>
      <c r="CB1983">
        <v>224</v>
      </c>
      <c r="CD1983">
        <v>1</v>
      </c>
      <c r="CE1983">
        <v>0</v>
      </c>
      <c r="CF1983">
        <v>0</v>
      </c>
      <c r="CG1983">
        <v>1</v>
      </c>
      <c r="CH1983">
        <v>0</v>
      </c>
      <c r="CI1983">
        <v>0</v>
      </c>
      <c r="CJ1983">
        <v>0</v>
      </c>
      <c r="CK1983">
        <v>2</v>
      </c>
      <c r="CL1983">
        <v>0</v>
      </c>
      <c r="CM1983">
        <v>2</v>
      </c>
      <c r="CN1983">
        <v>0</v>
      </c>
      <c r="CO1983">
        <v>2</v>
      </c>
      <c r="CP1983" t="s">
        <v>119</v>
      </c>
      <c r="CQ1983">
        <v>179</v>
      </c>
      <c r="CR1983">
        <v>1</v>
      </c>
      <c r="CW1983">
        <v>8840394</v>
      </c>
      <c r="CY1983">
        <v>0</v>
      </c>
      <c r="CZ1983">
        <v>0</v>
      </c>
      <c r="DA1983">
        <v>0</v>
      </c>
      <c r="DB1983">
        <v>0</v>
      </c>
      <c r="DC1983">
        <v>0</v>
      </c>
      <c r="DD1983">
        <v>0</v>
      </c>
      <c r="DE1983">
        <v>0</v>
      </c>
      <c r="DF1983">
        <v>0</v>
      </c>
      <c r="DG1983">
        <v>0</v>
      </c>
      <c r="DH1983">
        <v>0</v>
      </c>
      <c r="DI1983">
        <v>0</v>
      </c>
    </row>
    <row r="1984" spans="1:113" x14ac:dyDescent="0.3">
      <c r="A1984" t="str">
        <f>"02/08/2021 20:24:50.730"</f>
        <v>02/08/2021 20:24:50.730</v>
      </c>
      <c r="C1984" t="str">
        <f t="shared" si="96"/>
        <v>FFDFD7C0</v>
      </c>
      <c r="D1984" t="s">
        <v>124</v>
      </c>
      <c r="E1984">
        <v>13</v>
      </c>
      <c r="F1984">
        <v>1013</v>
      </c>
      <c r="G1984" t="s">
        <v>114</v>
      </c>
      <c r="J1984" t="s">
        <v>125</v>
      </c>
      <c r="K1984">
        <v>0</v>
      </c>
      <c r="L1984">
        <v>3</v>
      </c>
      <c r="M1984">
        <v>0</v>
      </c>
      <c r="N1984">
        <v>2</v>
      </c>
      <c r="O1984">
        <v>1</v>
      </c>
      <c r="P1984">
        <v>0</v>
      </c>
      <c r="Q1984">
        <v>0</v>
      </c>
      <c r="S1984" t="str">
        <f>"20:24:53.063"</f>
        <v>20:24:53.063</v>
      </c>
      <c r="T1984" t="str">
        <f>"20:24:52.563"</f>
        <v>20:24:52.563</v>
      </c>
      <c r="U1984" t="str">
        <f t="shared" si="95"/>
        <v>AB01F4</v>
      </c>
      <c r="V1984">
        <v>0</v>
      </c>
      <c r="W1984">
        <v>0</v>
      </c>
      <c r="X1984">
        <v>2</v>
      </c>
      <c r="Z1984">
        <v>0</v>
      </c>
      <c r="AA1984">
        <v>9</v>
      </c>
      <c r="AB1984">
        <v>3</v>
      </c>
      <c r="AC1984">
        <v>0</v>
      </c>
      <c r="AD1984">
        <v>10</v>
      </c>
      <c r="AE1984">
        <v>0</v>
      </c>
      <c r="AF1984">
        <v>3</v>
      </c>
      <c r="AG1984">
        <v>2</v>
      </c>
      <c r="AH1984">
        <v>0</v>
      </c>
      <c r="AI1984" t="s">
        <v>1241</v>
      </c>
      <c r="AJ1984">
        <v>39.928179</v>
      </c>
      <c r="AK1984" t="s">
        <v>1242</v>
      </c>
      <c r="AL1984">
        <v>-92.619810000000001</v>
      </c>
      <c r="AM1984">
        <v>100</v>
      </c>
      <c r="AN1984">
        <v>1700</v>
      </c>
      <c r="AO1984" t="s">
        <v>118</v>
      </c>
      <c r="AP1984">
        <v>-107</v>
      </c>
      <c r="AQ1984">
        <v>78</v>
      </c>
      <c r="AR1984">
        <v>128</v>
      </c>
      <c r="AZ1984">
        <v>1200</v>
      </c>
      <c r="BA1984">
        <v>1</v>
      </c>
      <c r="BB1984" t="str">
        <f t="shared" si="97"/>
        <v xml:space="preserve">N8080G  </v>
      </c>
      <c r="BC1984">
        <v>1</v>
      </c>
      <c r="BE1984">
        <v>0</v>
      </c>
      <c r="BF1984">
        <v>0</v>
      </c>
      <c r="BG1984">
        <v>0</v>
      </c>
      <c r="BH1984">
        <v>1700</v>
      </c>
      <c r="BI1984">
        <v>1</v>
      </c>
      <c r="BJ1984">
        <v>1</v>
      </c>
      <c r="BK1984">
        <v>1</v>
      </c>
      <c r="BL1984">
        <v>0</v>
      </c>
      <c r="BO1984">
        <v>0</v>
      </c>
      <c r="BP1984">
        <v>0</v>
      </c>
      <c r="BW1984" t="str">
        <f>"20:24:53.064"</f>
        <v>20:24:53.064</v>
      </c>
      <c r="BZ1984">
        <v>0</v>
      </c>
      <c r="CA1984">
        <v>2016</v>
      </c>
      <c r="CB1984">
        <v>224</v>
      </c>
      <c r="CD1984">
        <v>1</v>
      </c>
      <c r="CE1984">
        <v>0</v>
      </c>
      <c r="CF1984">
        <v>0</v>
      </c>
      <c r="CG1984">
        <v>1</v>
      </c>
      <c r="CH1984">
        <v>0</v>
      </c>
      <c r="CI1984">
        <v>0</v>
      </c>
      <c r="CJ1984">
        <v>0</v>
      </c>
      <c r="CK1984">
        <v>2</v>
      </c>
      <c r="CL1984">
        <v>0</v>
      </c>
      <c r="CM1984">
        <v>2</v>
      </c>
      <c r="CN1984">
        <v>0</v>
      </c>
      <c r="CO1984">
        <v>2</v>
      </c>
      <c r="CP1984" t="s">
        <v>119</v>
      </c>
      <c r="CQ1984">
        <v>179</v>
      </c>
      <c r="CR1984">
        <v>1</v>
      </c>
      <c r="CW1984">
        <v>8840394</v>
      </c>
      <c r="CY1984">
        <v>0</v>
      </c>
      <c r="CZ1984">
        <v>0</v>
      </c>
      <c r="DA1984">
        <v>1</v>
      </c>
      <c r="DB1984">
        <v>0</v>
      </c>
      <c r="DC1984">
        <v>0</v>
      </c>
      <c r="DD1984">
        <v>0</v>
      </c>
      <c r="DE1984">
        <v>0</v>
      </c>
      <c r="DF1984">
        <v>0</v>
      </c>
      <c r="DG1984">
        <v>0</v>
      </c>
      <c r="DH1984">
        <v>0</v>
      </c>
      <c r="DI1984">
        <v>0</v>
      </c>
    </row>
    <row r="1985" spans="1:113" x14ac:dyDescent="0.3">
      <c r="A1985" t="str">
        <f>"02/08/2021 20:24:50.730"</f>
        <v>02/08/2021 20:24:50.730</v>
      </c>
      <c r="C1985" t="str">
        <f t="shared" si="96"/>
        <v>FFDFD7C0</v>
      </c>
      <c r="D1985" t="s">
        <v>113</v>
      </c>
      <c r="E1985">
        <v>6</v>
      </c>
      <c r="H1985">
        <v>165</v>
      </c>
      <c r="I1985" t="s">
        <v>114</v>
      </c>
      <c r="J1985" t="s">
        <v>115</v>
      </c>
      <c r="K1985">
        <v>0</v>
      </c>
      <c r="L1985">
        <v>3</v>
      </c>
      <c r="M1985">
        <v>0</v>
      </c>
      <c r="N1985">
        <v>2</v>
      </c>
      <c r="O1985">
        <v>1</v>
      </c>
      <c r="P1985">
        <v>0</v>
      </c>
      <c r="Q1985">
        <v>0</v>
      </c>
      <c r="S1985" t="str">
        <f>"20:24:53.063"</f>
        <v>20:24:53.063</v>
      </c>
      <c r="T1985" t="str">
        <f>"20:24:52.563"</f>
        <v>20:24:52.563</v>
      </c>
      <c r="U1985" t="str">
        <f t="shared" si="95"/>
        <v>AB01F4</v>
      </c>
      <c r="V1985">
        <v>0</v>
      </c>
      <c r="W1985">
        <v>0</v>
      </c>
      <c r="X1985">
        <v>2</v>
      </c>
      <c r="Z1985">
        <v>0</v>
      </c>
      <c r="AA1985">
        <v>9</v>
      </c>
      <c r="AB1985">
        <v>3</v>
      </c>
      <c r="AC1985">
        <v>0</v>
      </c>
      <c r="AD1985">
        <v>10</v>
      </c>
      <c r="AE1985">
        <v>0</v>
      </c>
      <c r="AF1985">
        <v>3</v>
      </c>
      <c r="AG1985">
        <v>2</v>
      </c>
      <c r="AH1985">
        <v>0</v>
      </c>
      <c r="AI1985" t="s">
        <v>1241</v>
      </c>
      <c r="AJ1985">
        <v>39.928179</v>
      </c>
      <c r="AK1985" t="s">
        <v>1242</v>
      </c>
      <c r="AL1985">
        <v>-92.619810000000001</v>
      </c>
      <c r="AM1985">
        <v>100</v>
      </c>
      <c r="AN1985">
        <v>1700</v>
      </c>
      <c r="AO1985" t="s">
        <v>118</v>
      </c>
      <c r="AP1985">
        <v>-107</v>
      </c>
      <c r="AQ1985">
        <v>78</v>
      </c>
      <c r="AR1985">
        <v>128</v>
      </c>
      <c r="AZ1985">
        <v>1200</v>
      </c>
      <c r="BA1985">
        <v>1</v>
      </c>
      <c r="BB1985" t="str">
        <f t="shared" si="97"/>
        <v xml:space="preserve">N8080G  </v>
      </c>
      <c r="BC1985">
        <v>1</v>
      </c>
      <c r="BE1985">
        <v>0</v>
      </c>
      <c r="BF1985">
        <v>0</v>
      </c>
      <c r="BG1985">
        <v>0</v>
      </c>
      <c r="BH1985">
        <v>1700</v>
      </c>
      <c r="BI1985">
        <v>1</v>
      </c>
      <c r="BJ1985">
        <v>1</v>
      </c>
      <c r="BK1985">
        <v>1</v>
      </c>
      <c r="BL1985">
        <v>0</v>
      </c>
      <c r="BO1985">
        <v>0</v>
      </c>
      <c r="BP1985">
        <v>0</v>
      </c>
      <c r="BW1985" t="str">
        <f>"20:24:53.064"</f>
        <v>20:24:53.064</v>
      </c>
      <c r="BZ1985">
        <v>0</v>
      </c>
      <c r="CA1985">
        <v>2016</v>
      </c>
      <c r="CB1985">
        <v>224</v>
      </c>
      <c r="CD1985">
        <v>1</v>
      </c>
      <c r="CE1985">
        <v>0</v>
      </c>
      <c r="CF1985">
        <v>0</v>
      </c>
      <c r="CG1985">
        <v>1</v>
      </c>
      <c r="CH1985">
        <v>0</v>
      </c>
      <c r="CI1985">
        <v>0</v>
      </c>
      <c r="CJ1985">
        <v>0</v>
      </c>
      <c r="CK1985">
        <v>2</v>
      </c>
      <c r="CL1985">
        <v>0</v>
      </c>
      <c r="CM1985">
        <v>2</v>
      </c>
      <c r="CN1985">
        <v>0</v>
      </c>
      <c r="CO1985">
        <v>2</v>
      </c>
      <c r="CP1985" t="s">
        <v>119</v>
      </c>
      <c r="CQ1985">
        <v>179</v>
      </c>
      <c r="CR1985">
        <v>1</v>
      </c>
      <c r="CW1985">
        <v>8840394</v>
      </c>
      <c r="CY1985">
        <v>0</v>
      </c>
      <c r="CZ1985">
        <v>0</v>
      </c>
      <c r="DA1985">
        <v>1</v>
      </c>
      <c r="DB1985">
        <v>0</v>
      </c>
      <c r="DC1985">
        <v>0</v>
      </c>
      <c r="DD1985">
        <v>0</v>
      </c>
      <c r="DE1985">
        <v>0</v>
      </c>
      <c r="DF1985">
        <v>0</v>
      </c>
      <c r="DG1985">
        <v>0</v>
      </c>
      <c r="DH1985">
        <v>0</v>
      </c>
      <c r="DI1985">
        <v>0</v>
      </c>
    </row>
    <row r="1986" spans="1:113" x14ac:dyDescent="0.3">
      <c r="A1986" t="str">
        <f>"02/08/2021 20:24:50.730"</f>
        <v>02/08/2021 20:24:50.730</v>
      </c>
      <c r="C1986" t="str">
        <f t="shared" si="96"/>
        <v>FFDFD7C0</v>
      </c>
      <c r="D1986" t="s">
        <v>124</v>
      </c>
      <c r="E1986">
        <v>12</v>
      </c>
      <c r="F1986">
        <v>1012</v>
      </c>
      <c r="G1986" t="s">
        <v>675</v>
      </c>
      <c r="J1986" t="s">
        <v>125</v>
      </c>
      <c r="K1986">
        <v>0</v>
      </c>
      <c r="L1986">
        <v>3</v>
      </c>
      <c r="M1986">
        <v>0</v>
      </c>
      <c r="N1986">
        <v>2</v>
      </c>
      <c r="O1986">
        <v>1</v>
      </c>
      <c r="P1986">
        <v>0</v>
      </c>
      <c r="Q1986">
        <v>0</v>
      </c>
      <c r="S1986" t="str">
        <f>"20:24:53.063"</f>
        <v>20:24:53.063</v>
      </c>
      <c r="T1986" t="str">
        <f>"20:24:52.563"</f>
        <v>20:24:52.563</v>
      </c>
      <c r="U1986" t="str">
        <f t="shared" ref="U1986:U2049" si="98">"AB01F4"</f>
        <v>AB01F4</v>
      </c>
      <c r="V1986">
        <v>0</v>
      </c>
      <c r="W1986">
        <v>0</v>
      </c>
      <c r="X1986">
        <v>2</v>
      </c>
      <c r="Z1986">
        <v>0</v>
      </c>
      <c r="AA1986">
        <v>9</v>
      </c>
      <c r="AB1986">
        <v>3</v>
      </c>
      <c r="AC1986">
        <v>0</v>
      </c>
      <c r="AD1986">
        <v>10</v>
      </c>
      <c r="AE1986">
        <v>0</v>
      </c>
      <c r="AF1986">
        <v>3</v>
      </c>
      <c r="AG1986">
        <v>2</v>
      </c>
      <c r="AH1986">
        <v>0</v>
      </c>
      <c r="AI1986" t="s">
        <v>1241</v>
      </c>
      <c r="AJ1986">
        <v>39.928179</v>
      </c>
      <c r="AK1986" t="s">
        <v>1242</v>
      </c>
      <c r="AL1986">
        <v>-92.619810000000001</v>
      </c>
      <c r="AM1986">
        <v>100</v>
      </c>
      <c r="AN1986">
        <v>1700</v>
      </c>
      <c r="AO1986" t="s">
        <v>118</v>
      </c>
      <c r="AP1986">
        <v>-107</v>
      </c>
      <c r="AQ1986">
        <v>78</v>
      </c>
      <c r="AR1986">
        <v>128</v>
      </c>
      <c r="AZ1986">
        <v>1200</v>
      </c>
      <c r="BA1986">
        <v>1</v>
      </c>
      <c r="BB1986" t="str">
        <f t="shared" si="97"/>
        <v xml:space="preserve">N8080G  </v>
      </c>
      <c r="BC1986">
        <v>1</v>
      </c>
      <c r="BE1986">
        <v>0</v>
      </c>
      <c r="BF1986">
        <v>0</v>
      </c>
      <c r="BG1986">
        <v>0</v>
      </c>
      <c r="BH1986">
        <v>1700</v>
      </c>
      <c r="BI1986">
        <v>1</v>
      </c>
      <c r="BJ1986">
        <v>1</v>
      </c>
      <c r="BK1986">
        <v>1</v>
      </c>
      <c r="BL1986">
        <v>0</v>
      </c>
      <c r="BO1986">
        <v>0</v>
      </c>
      <c r="BP1986">
        <v>0</v>
      </c>
      <c r="BW1986" t="str">
        <f>"20:24:53.064"</f>
        <v>20:24:53.064</v>
      </c>
      <c r="BZ1986">
        <v>0</v>
      </c>
      <c r="CA1986">
        <v>2016</v>
      </c>
      <c r="CB1986">
        <v>224</v>
      </c>
      <c r="CD1986">
        <v>1</v>
      </c>
      <c r="CE1986">
        <v>0</v>
      </c>
      <c r="CF1986">
        <v>0</v>
      </c>
      <c r="CG1986">
        <v>1</v>
      </c>
      <c r="CH1986">
        <v>0</v>
      </c>
      <c r="CI1986">
        <v>0</v>
      </c>
      <c r="CJ1986">
        <v>0</v>
      </c>
      <c r="CK1986">
        <v>2</v>
      </c>
      <c r="CL1986">
        <v>0</v>
      </c>
      <c r="CM1986">
        <v>2</v>
      </c>
      <c r="CN1986">
        <v>0</v>
      </c>
      <c r="CO1986">
        <v>2</v>
      </c>
      <c r="CP1986" t="s">
        <v>119</v>
      </c>
      <c r="CQ1986">
        <v>179</v>
      </c>
      <c r="CR1986">
        <v>1</v>
      </c>
      <c r="CW1986">
        <v>8840394</v>
      </c>
      <c r="CY1986">
        <v>0</v>
      </c>
      <c r="CZ1986">
        <v>0</v>
      </c>
      <c r="DA1986">
        <v>1</v>
      </c>
      <c r="DB1986">
        <v>0</v>
      </c>
      <c r="DC1986">
        <v>0</v>
      </c>
      <c r="DD1986">
        <v>0</v>
      </c>
      <c r="DE1986">
        <v>0</v>
      </c>
      <c r="DF1986">
        <v>0</v>
      </c>
      <c r="DG1986">
        <v>0</v>
      </c>
      <c r="DH1986">
        <v>0</v>
      </c>
      <c r="DI1986">
        <v>0</v>
      </c>
    </row>
    <row r="1987" spans="1:113" x14ac:dyDescent="0.3">
      <c r="A1987" t="str">
        <f>"02/08/2021 20:24:53.124"</f>
        <v>02/08/2021 20:24:53.124</v>
      </c>
      <c r="C1987" t="str">
        <f t="shared" si="96"/>
        <v>FFDFD7C0</v>
      </c>
      <c r="D1987" t="s">
        <v>113</v>
      </c>
      <c r="E1987">
        <v>6</v>
      </c>
      <c r="H1987">
        <v>165</v>
      </c>
      <c r="I1987" t="s">
        <v>114</v>
      </c>
      <c r="J1987" t="s">
        <v>115</v>
      </c>
      <c r="K1987">
        <v>0</v>
      </c>
      <c r="L1987">
        <v>3</v>
      </c>
      <c r="M1987">
        <v>0</v>
      </c>
      <c r="N1987">
        <v>2</v>
      </c>
      <c r="O1987">
        <v>1</v>
      </c>
      <c r="P1987">
        <v>0</v>
      </c>
      <c r="Q1987">
        <v>0</v>
      </c>
      <c r="S1987" t="str">
        <f>"20:24:55.430"</f>
        <v>20:24:55.430</v>
      </c>
      <c r="T1987" t="str">
        <f>"20:24:55.030"</f>
        <v>20:24:55.030</v>
      </c>
      <c r="U1987" t="str">
        <f t="shared" si="98"/>
        <v>AB01F4</v>
      </c>
      <c r="V1987">
        <v>0</v>
      </c>
      <c r="W1987">
        <v>0</v>
      </c>
      <c r="X1987">
        <v>2</v>
      </c>
      <c r="Z1987">
        <v>0</v>
      </c>
      <c r="AA1987">
        <v>9</v>
      </c>
      <c r="AB1987">
        <v>3</v>
      </c>
      <c r="AC1987">
        <v>0</v>
      </c>
      <c r="AD1987">
        <v>10</v>
      </c>
      <c r="AE1987">
        <v>0</v>
      </c>
      <c r="AF1987">
        <v>3</v>
      </c>
      <c r="AG1987">
        <v>2</v>
      </c>
      <c r="AH1987">
        <v>0</v>
      </c>
      <c r="AI1987" t="s">
        <v>1243</v>
      </c>
      <c r="AJ1987">
        <v>39.929059000000002</v>
      </c>
      <c r="AK1987" t="s">
        <v>1244</v>
      </c>
      <c r="AL1987">
        <v>-92.621354999999994</v>
      </c>
      <c r="AM1987">
        <v>100</v>
      </c>
      <c r="AN1987">
        <v>1700</v>
      </c>
      <c r="AO1987" t="s">
        <v>118</v>
      </c>
      <c r="AP1987">
        <v>-107</v>
      </c>
      <c r="AQ1987">
        <v>78</v>
      </c>
      <c r="AR1987">
        <v>192</v>
      </c>
      <c r="AZ1987">
        <v>1200</v>
      </c>
      <c r="BA1987">
        <v>1</v>
      </c>
      <c r="BB1987" t="str">
        <f t="shared" si="97"/>
        <v xml:space="preserve">N8080G  </v>
      </c>
      <c r="BC1987">
        <v>1</v>
      </c>
      <c r="BE1987">
        <v>0</v>
      </c>
      <c r="BF1987">
        <v>0</v>
      </c>
      <c r="BG1987">
        <v>0</v>
      </c>
      <c r="BH1987">
        <v>1700</v>
      </c>
      <c r="BI1987">
        <v>1</v>
      </c>
      <c r="BJ1987">
        <v>1</v>
      </c>
      <c r="BK1987">
        <v>1</v>
      </c>
      <c r="BL1987">
        <v>0</v>
      </c>
      <c r="BO1987">
        <v>0</v>
      </c>
      <c r="BP1987">
        <v>0</v>
      </c>
      <c r="BW1987" t="str">
        <f>"20:24:55.432"</f>
        <v>20:24:55.432</v>
      </c>
      <c r="BZ1987">
        <v>0</v>
      </c>
      <c r="CA1987">
        <v>2016</v>
      </c>
      <c r="CB1987">
        <v>224</v>
      </c>
      <c r="CD1987">
        <v>1</v>
      </c>
      <c r="CE1987">
        <v>0</v>
      </c>
      <c r="CF1987">
        <v>0</v>
      </c>
      <c r="CG1987">
        <v>1</v>
      </c>
      <c r="CH1987">
        <v>0</v>
      </c>
      <c r="CI1987">
        <v>0</v>
      </c>
      <c r="CJ1987">
        <v>0</v>
      </c>
      <c r="CK1987">
        <v>2</v>
      </c>
      <c r="CL1987">
        <v>0</v>
      </c>
      <c r="CM1987">
        <v>2</v>
      </c>
      <c r="CN1987">
        <v>0</v>
      </c>
      <c r="CO1987">
        <v>7</v>
      </c>
      <c r="CP1987" t="s">
        <v>119</v>
      </c>
      <c r="CQ1987">
        <v>180</v>
      </c>
      <c r="CR1987">
        <v>1</v>
      </c>
      <c r="CW1987">
        <v>10974327</v>
      </c>
      <c r="CY1987">
        <v>0</v>
      </c>
      <c r="CZ1987">
        <v>0</v>
      </c>
      <c r="DA1987">
        <v>0</v>
      </c>
      <c r="DB1987">
        <v>0</v>
      </c>
      <c r="DC1987">
        <v>0</v>
      </c>
      <c r="DD1987">
        <v>0</v>
      </c>
      <c r="DE1987">
        <v>0</v>
      </c>
      <c r="DF1987">
        <v>0</v>
      </c>
      <c r="DG1987">
        <v>0</v>
      </c>
      <c r="DH1987">
        <v>0</v>
      </c>
      <c r="DI1987">
        <v>0</v>
      </c>
    </row>
    <row r="1988" spans="1:113" x14ac:dyDescent="0.3">
      <c r="A1988" t="str">
        <f>"02/08/2021 20:24:53.124"</f>
        <v>02/08/2021 20:24:53.124</v>
      </c>
      <c r="C1988" t="str">
        <f t="shared" si="96"/>
        <v>FFDFD7C0</v>
      </c>
      <c r="D1988" t="s">
        <v>124</v>
      </c>
      <c r="E1988">
        <v>13</v>
      </c>
      <c r="F1988">
        <v>1013</v>
      </c>
      <c r="G1988" t="s">
        <v>114</v>
      </c>
      <c r="J1988" t="s">
        <v>125</v>
      </c>
      <c r="K1988">
        <v>0</v>
      </c>
      <c r="L1988">
        <v>3</v>
      </c>
      <c r="M1988">
        <v>0</v>
      </c>
      <c r="N1988">
        <v>2</v>
      </c>
      <c r="O1988">
        <v>1</v>
      </c>
      <c r="P1988">
        <v>0</v>
      </c>
      <c r="Q1988">
        <v>0</v>
      </c>
      <c r="S1988" t="str">
        <f>"20:24:55.430"</f>
        <v>20:24:55.430</v>
      </c>
      <c r="T1988" t="str">
        <f>"20:24:55.030"</f>
        <v>20:24:55.030</v>
      </c>
      <c r="U1988" t="str">
        <f t="shared" si="98"/>
        <v>AB01F4</v>
      </c>
      <c r="V1988">
        <v>0</v>
      </c>
      <c r="W1988">
        <v>0</v>
      </c>
      <c r="X1988">
        <v>2</v>
      </c>
      <c r="Z1988">
        <v>0</v>
      </c>
      <c r="AA1988">
        <v>9</v>
      </c>
      <c r="AB1988">
        <v>3</v>
      </c>
      <c r="AC1988">
        <v>0</v>
      </c>
      <c r="AD1988">
        <v>10</v>
      </c>
      <c r="AE1988">
        <v>0</v>
      </c>
      <c r="AF1988">
        <v>3</v>
      </c>
      <c r="AG1988">
        <v>2</v>
      </c>
      <c r="AH1988">
        <v>0</v>
      </c>
      <c r="AI1988" t="s">
        <v>1243</v>
      </c>
      <c r="AJ1988">
        <v>39.929059000000002</v>
      </c>
      <c r="AK1988" t="s">
        <v>1244</v>
      </c>
      <c r="AL1988">
        <v>-92.621354999999994</v>
      </c>
      <c r="AM1988">
        <v>100</v>
      </c>
      <c r="AN1988">
        <v>1700</v>
      </c>
      <c r="AO1988" t="s">
        <v>118</v>
      </c>
      <c r="AP1988">
        <v>-107</v>
      </c>
      <c r="AQ1988">
        <v>78</v>
      </c>
      <c r="AR1988">
        <v>192</v>
      </c>
      <c r="AZ1988">
        <v>1200</v>
      </c>
      <c r="BA1988">
        <v>1</v>
      </c>
      <c r="BB1988" t="str">
        <f t="shared" si="97"/>
        <v xml:space="preserve">N8080G  </v>
      </c>
      <c r="BC1988">
        <v>1</v>
      </c>
      <c r="BE1988">
        <v>0</v>
      </c>
      <c r="BF1988">
        <v>0</v>
      </c>
      <c r="BG1988">
        <v>0</v>
      </c>
      <c r="BH1988">
        <v>1700</v>
      </c>
      <c r="BI1988">
        <v>1</v>
      </c>
      <c r="BJ1988">
        <v>1</v>
      </c>
      <c r="BK1988">
        <v>1</v>
      </c>
      <c r="BL1988">
        <v>0</v>
      </c>
      <c r="BO1988">
        <v>0</v>
      </c>
      <c r="BP1988">
        <v>0</v>
      </c>
      <c r="BW1988" t="str">
        <f>"20:24:55.432"</f>
        <v>20:24:55.432</v>
      </c>
      <c r="BZ1988">
        <v>0</v>
      </c>
      <c r="CA1988">
        <v>2016</v>
      </c>
      <c r="CB1988">
        <v>224</v>
      </c>
      <c r="CD1988">
        <v>1</v>
      </c>
      <c r="CE1988">
        <v>0</v>
      </c>
      <c r="CF1988">
        <v>0</v>
      </c>
      <c r="CG1988">
        <v>1</v>
      </c>
      <c r="CH1988">
        <v>0</v>
      </c>
      <c r="CI1988">
        <v>0</v>
      </c>
      <c r="CJ1988">
        <v>0</v>
      </c>
      <c r="CK1988">
        <v>2</v>
      </c>
      <c r="CL1988">
        <v>0</v>
      </c>
      <c r="CM1988">
        <v>2</v>
      </c>
      <c r="CN1988">
        <v>0</v>
      </c>
      <c r="CO1988">
        <v>7</v>
      </c>
      <c r="CP1988" t="s">
        <v>119</v>
      </c>
      <c r="CQ1988">
        <v>180</v>
      </c>
      <c r="CR1988">
        <v>1</v>
      </c>
      <c r="CW1988">
        <v>10974327</v>
      </c>
      <c r="CY1988">
        <v>0</v>
      </c>
      <c r="CZ1988">
        <v>0</v>
      </c>
      <c r="DA1988">
        <v>1</v>
      </c>
      <c r="DB1988">
        <v>0</v>
      </c>
      <c r="DC1988">
        <v>0</v>
      </c>
      <c r="DD1988">
        <v>0</v>
      </c>
      <c r="DE1988">
        <v>0</v>
      </c>
      <c r="DF1988">
        <v>0</v>
      </c>
      <c r="DG1988">
        <v>0</v>
      </c>
      <c r="DH1988">
        <v>0</v>
      </c>
      <c r="DI1988">
        <v>0</v>
      </c>
    </row>
    <row r="1989" spans="1:113" x14ac:dyDescent="0.3">
      <c r="A1989" t="str">
        <f>"02/08/2021 20:24:53.124"</f>
        <v>02/08/2021 20:24:53.124</v>
      </c>
      <c r="C1989" t="str">
        <f t="shared" si="96"/>
        <v>FFDFD7C0</v>
      </c>
      <c r="D1989" t="s">
        <v>124</v>
      </c>
      <c r="E1989">
        <v>11</v>
      </c>
      <c r="F1989">
        <v>1011</v>
      </c>
      <c r="G1989" t="s">
        <v>590</v>
      </c>
      <c r="J1989" t="s">
        <v>125</v>
      </c>
      <c r="K1989">
        <v>0</v>
      </c>
      <c r="L1989">
        <v>3</v>
      </c>
      <c r="M1989">
        <v>0</v>
      </c>
      <c r="N1989">
        <v>2</v>
      </c>
      <c r="O1989">
        <v>1</v>
      </c>
      <c r="P1989">
        <v>0</v>
      </c>
      <c r="Q1989">
        <v>0</v>
      </c>
      <c r="S1989" t="str">
        <f>"20:24:55.430"</f>
        <v>20:24:55.430</v>
      </c>
      <c r="T1989" t="str">
        <f>"20:24:55.030"</f>
        <v>20:24:55.030</v>
      </c>
      <c r="U1989" t="str">
        <f t="shared" si="98"/>
        <v>AB01F4</v>
      </c>
      <c r="V1989">
        <v>0</v>
      </c>
      <c r="W1989">
        <v>0</v>
      </c>
      <c r="X1989">
        <v>2</v>
      </c>
      <c r="Z1989">
        <v>0</v>
      </c>
      <c r="AA1989">
        <v>9</v>
      </c>
      <c r="AB1989">
        <v>3</v>
      </c>
      <c r="AC1989">
        <v>0</v>
      </c>
      <c r="AD1989">
        <v>10</v>
      </c>
      <c r="AE1989">
        <v>0</v>
      </c>
      <c r="AF1989">
        <v>3</v>
      </c>
      <c r="AG1989">
        <v>2</v>
      </c>
      <c r="AH1989">
        <v>0</v>
      </c>
      <c r="AI1989" t="s">
        <v>1243</v>
      </c>
      <c r="AJ1989">
        <v>39.929059000000002</v>
      </c>
      <c r="AK1989" t="s">
        <v>1244</v>
      </c>
      <c r="AL1989">
        <v>-92.621354999999994</v>
      </c>
      <c r="AM1989">
        <v>100</v>
      </c>
      <c r="AN1989">
        <v>1700</v>
      </c>
      <c r="AO1989" t="s">
        <v>118</v>
      </c>
      <c r="AP1989">
        <v>-107</v>
      </c>
      <c r="AQ1989">
        <v>78</v>
      </c>
      <c r="AR1989">
        <v>192</v>
      </c>
      <c r="AZ1989">
        <v>1200</v>
      </c>
      <c r="BA1989">
        <v>1</v>
      </c>
      <c r="BB1989" t="str">
        <f t="shared" si="97"/>
        <v xml:space="preserve">N8080G  </v>
      </c>
      <c r="BC1989">
        <v>1</v>
      </c>
      <c r="BE1989">
        <v>0</v>
      </c>
      <c r="BF1989">
        <v>0</v>
      </c>
      <c r="BG1989">
        <v>0</v>
      </c>
      <c r="BH1989">
        <v>1700</v>
      </c>
      <c r="BI1989">
        <v>1</v>
      </c>
      <c r="BJ1989">
        <v>1</v>
      </c>
      <c r="BK1989">
        <v>1</v>
      </c>
      <c r="BL1989">
        <v>0</v>
      </c>
      <c r="BO1989">
        <v>0</v>
      </c>
      <c r="BP1989">
        <v>0</v>
      </c>
      <c r="BW1989" t="str">
        <f>"20:24:55.432"</f>
        <v>20:24:55.432</v>
      </c>
      <c r="BZ1989">
        <v>0</v>
      </c>
      <c r="CA1989">
        <v>2016</v>
      </c>
      <c r="CB1989">
        <v>224</v>
      </c>
      <c r="CD1989">
        <v>1</v>
      </c>
      <c r="CE1989">
        <v>0</v>
      </c>
      <c r="CF1989">
        <v>0</v>
      </c>
      <c r="CG1989">
        <v>1</v>
      </c>
      <c r="CH1989">
        <v>0</v>
      </c>
      <c r="CI1989">
        <v>0</v>
      </c>
      <c r="CJ1989">
        <v>0</v>
      </c>
      <c r="CK1989">
        <v>2</v>
      </c>
      <c r="CL1989">
        <v>0</v>
      </c>
      <c r="CM1989">
        <v>2</v>
      </c>
      <c r="CN1989">
        <v>0</v>
      </c>
      <c r="CO1989">
        <v>7</v>
      </c>
      <c r="CP1989" t="s">
        <v>119</v>
      </c>
      <c r="CQ1989">
        <v>180</v>
      </c>
      <c r="CR1989">
        <v>1</v>
      </c>
      <c r="CW1989">
        <v>10974327</v>
      </c>
      <c r="CY1989">
        <v>0</v>
      </c>
      <c r="CZ1989">
        <v>0</v>
      </c>
      <c r="DA1989">
        <v>1</v>
      </c>
      <c r="DB1989">
        <v>0</v>
      </c>
      <c r="DC1989">
        <v>0</v>
      </c>
      <c r="DD1989">
        <v>0</v>
      </c>
      <c r="DE1989">
        <v>0</v>
      </c>
      <c r="DF1989">
        <v>0</v>
      </c>
      <c r="DG1989">
        <v>0</v>
      </c>
      <c r="DH1989">
        <v>0</v>
      </c>
      <c r="DI1989">
        <v>0</v>
      </c>
    </row>
    <row r="1990" spans="1:113" x14ac:dyDescent="0.3">
      <c r="A1990" t="str">
        <f>"02/08/2021 20:24:53.124"</f>
        <v>02/08/2021 20:24:53.124</v>
      </c>
      <c r="C1990" t="str">
        <f t="shared" si="96"/>
        <v>FFDFD7C0</v>
      </c>
      <c r="D1990" t="s">
        <v>124</v>
      </c>
      <c r="E1990">
        <v>12</v>
      </c>
      <c r="F1990">
        <v>1012</v>
      </c>
      <c r="G1990" t="s">
        <v>675</v>
      </c>
      <c r="J1990" t="s">
        <v>125</v>
      </c>
      <c r="K1990">
        <v>0</v>
      </c>
      <c r="L1990">
        <v>3</v>
      </c>
      <c r="M1990">
        <v>0</v>
      </c>
      <c r="N1990">
        <v>2</v>
      </c>
      <c r="O1990">
        <v>1</v>
      </c>
      <c r="P1990">
        <v>0</v>
      </c>
      <c r="Q1990">
        <v>0</v>
      </c>
      <c r="S1990" t="str">
        <f>"20:24:55.430"</f>
        <v>20:24:55.430</v>
      </c>
      <c r="T1990" t="str">
        <f>"20:24:55.030"</f>
        <v>20:24:55.030</v>
      </c>
      <c r="U1990" t="str">
        <f t="shared" si="98"/>
        <v>AB01F4</v>
      </c>
      <c r="V1990">
        <v>0</v>
      </c>
      <c r="W1990">
        <v>0</v>
      </c>
      <c r="X1990">
        <v>2</v>
      </c>
      <c r="Z1990">
        <v>0</v>
      </c>
      <c r="AA1990">
        <v>9</v>
      </c>
      <c r="AB1990">
        <v>3</v>
      </c>
      <c r="AC1990">
        <v>0</v>
      </c>
      <c r="AD1990">
        <v>10</v>
      </c>
      <c r="AE1990">
        <v>0</v>
      </c>
      <c r="AF1990">
        <v>3</v>
      </c>
      <c r="AG1990">
        <v>2</v>
      </c>
      <c r="AH1990">
        <v>0</v>
      </c>
      <c r="AI1990" t="s">
        <v>1243</v>
      </c>
      <c r="AJ1990">
        <v>39.929059000000002</v>
      </c>
      <c r="AK1990" t="s">
        <v>1244</v>
      </c>
      <c r="AL1990">
        <v>-92.621354999999994</v>
      </c>
      <c r="AM1990">
        <v>100</v>
      </c>
      <c r="AN1990">
        <v>1700</v>
      </c>
      <c r="AO1990" t="s">
        <v>118</v>
      </c>
      <c r="AP1990">
        <v>-107</v>
      </c>
      <c r="AQ1990">
        <v>78</v>
      </c>
      <c r="AR1990">
        <v>192</v>
      </c>
      <c r="AZ1990">
        <v>1200</v>
      </c>
      <c r="BA1990">
        <v>1</v>
      </c>
      <c r="BB1990" t="str">
        <f t="shared" si="97"/>
        <v xml:space="preserve">N8080G  </v>
      </c>
      <c r="BC1990">
        <v>1</v>
      </c>
      <c r="BE1990">
        <v>0</v>
      </c>
      <c r="BF1990">
        <v>0</v>
      </c>
      <c r="BG1990">
        <v>0</v>
      </c>
      <c r="BH1990">
        <v>1700</v>
      </c>
      <c r="BI1990">
        <v>1</v>
      </c>
      <c r="BJ1990">
        <v>1</v>
      </c>
      <c r="BK1990">
        <v>1</v>
      </c>
      <c r="BL1990">
        <v>0</v>
      </c>
      <c r="BO1990">
        <v>0</v>
      </c>
      <c r="BP1990">
        <v>0</v>
      </c>
      <c r="BW1990" t="str">
        <f>"20:24:55.432"</f>
        <v>20:24:55.432</v>
      </c>
      <c r="BZ1990">
        <v>0</v>
      </c>
      <c r="CA1990">
        <v>2016</v>
      </c>
      <c r="CB1990">
        <v>224</v>
      </c>
      <c r="CD1990">
        <v>1</v>
      </c>
      <c r="CE1990">
        <v>0</v>
      </c>
      <c r="CF1990">
        <v>0</v>
      </c>
      <c r="CG1990">
        <v>1</v>
      </c>
      <c r="CH1990">
        <v>0</v>
      </c>
      <c r="CI1990">
        <v>0</v>
      </c>
      <c r="CJ1990">
        <v>0</v>
      </c>
      <c r="CK1990">
        <v>2</v>
      </c>
      <c r="CL1990">
        <v>0</v>
      </c>
      <c r="CM1990">
        <v>2</v>
      </c>
      <c r="CN1990">
        <v>0</v>
      </c>
      <c r="CO1990">
        <v>7</v>
      </c>
      <c r="CP1990" t="s">
        <v>119</v>
      </c>
      <c r="CQ1990">
        <v>180</v>
      </c>
      <c r="CR1990">
        <v>1</v>
      </c>
      <c r="CW1990">
        <v>10974327</v>
      </c>
      <c r="CY1990">
        <v>0</v>
      </c>
      <c r="CZ1990">
        <v>0</v>
      </c>
      <c r="DA1990">
        <v>1</v>
      </c>
      <c r="DB1990">
        <v>0</v>
      </c>
      <c r="DC1990">
        <v>0</v>
      </c>
      <c r="DD1990">
        <v>0</v>
      </c>
      <c r="DE1990">
        <v>0</v>
      </c>
      <c r="DF1990">
        <v>0</v>
      </c>
      <c r="DG1990">
        <v>0</v>
      </c>
      <c r="DH1990">
        <v>0</v>
      </c>
      <c r="DI1990">
        <v>0</v>
      </c>
    </row>
    <row r="1991" spans="1:113" x14ac:dyDescent="0.3">
      <c r="A1991" t="str">
        <f>"02/08/2021 20:24:54.171"</f>
        <v>02/08/2021 20:24:54.171</v>
      </c>
      <c r="C1991" t="str">
        <f t="shared" si="96"/>
        <v>FFDFD7C0</v>
      </c>
      <c r="D1991" t="s">
        <v>124</v>
      </c>
      <c r="E1991">
        <v>12</v>
      </c>
      <c r="F1991">
        <v>1012</v>
      </c>
      <c r="G1991" t="s">
        <v>675</v>
      </c>
      <c r="J1991" t="s">
        <v>125</v>
      </c>
      <c r="K1991">
        <v>0</v>
      </c>
      <c r="L1991">
        <v>3</v>
      </c>
      <c r="M1991">
        <v>0</v>
      </c>
      <c r="N1991">
        <v>2</v>
      </c>
      <c r="O1991">
        <v>1</v>
      </c>
      <c r="P1991">
        <v>0</v>
      </c>
      <c r="Q1991">
        <v>0</v>
      </c>
      <c r="S1991" t="str">
        <f>"20:24:56.477"</f>
        <v>20:24:56.477</v>
      </c>
      <c r="T1991" t="str">
        <f>"20:24:55.977"</f>
        <v>20:24:55.977</v>
      </c>
      <c r="U1991" t="str">
        <f t="shared" si="98"/>
        <v>AB01F4</v>
      </c>
      <c r="V1991">
        <v>0</v>
      </c>
      <c r="W1991">
        <v>0</v>
      </c>
      <c r="X1991">
        <v>2</v>
      </c>
      <c r="Z1991">
        <v>0</v>
      </c>
      <c r="AA1991">
        <v>9</v>
      </c>
      <c r="AB1991">
        <v>3</v>
      </c>
      <c r="AC1991">
        <v>0</v>
      </c>
      <c r="AD1991">
        <v>10</v>
      </c>
      <c r="AE1991">
        <v>0</v>
      </c>
      <c r="AF1991">
        <v>3</v>
      </c>
      <c r="AG1991">
        <v>2</v>
      </c>
      <c r="AH1991">
        <v>0</v>
      </c>
      <c r="AI1991" t="s">
        <v>1245</v>
      </c>
      <c r="AJ1991">
        <v>39.929380000000002</v>
      </c>
      <c r="AK1991" t="s">
        <v>1246</v>
      </c>
      <c r="AL1991">
        <v>-92.621977000000001</v>
      </c>
      <c r="AM1991">
        <v>100</v>
      </c>
      <c r="AN1991">
        <v>1700</v>
      </c>
      <c r="AO1991" t="s">
        <v>118</v>
      </c>
      <c r="AP1991">
        <v>-107</v>
      </c>
      <c r="AQ1991">
        <v>78</v>
      </c>
      <c r="AR1991">
        <v>128</v>
      </c>
      <c r="AZ1991">
        <v>1200</v>
      </c>
      <c r="BA1991">
        <v>1</v>
      </c>
      <c r="BB1991" t="str">
        <f t="shared" si="97"/>
        <v xml:space="preserve">N8080G  </v>
      </c>
      <c r="BC1991">
        <v>1</v>
      </c>
      <c r="BE1991">
        <v>0</v>
      </c>
      <c r="BF1991">
        <v>0</v>
      </c>
      <c r="BG1991">
        <v>0</v>
      </c>
      <c r="BH1991">
        <v>1700</v>
      </c>
      <c r="BI1991">
        <v>1</v>
      </c>
      <c r="BJ1991">
        <v>1</v>
      </c>
      <c r="BK1991">
        <v>1</v>
      </c>
      <c r="BL1991">
        <v>0</v>
      </c>
      <c r="BO1991">
        <v>0</v>
      </c>
      <c r="BP1991">
        <v>0</v>
      </c>
      <c r="BW1991" t="str">
        <f>"20:24:56.477"</f>
        <v>20:24:56.477</v>
      </c>
      <c r="BZ1991">
        <v>0</v>
      </c>
      <c r="CA1991">
        <v>2016</v>
      </c>
      <c r="CB1991">
        <v>224</v>
      </c>
      <c r="CD1991">
        <v>1</v>
      </c>
      <c r="CE1991">
        <v>0</v>
      </c>
      <c r="CF1991">
        <v>0</v>
      </c>
      <c r="CG1991">
        <v>1</v>
      </c>
      <c r="CH1991">
        <v>0</v>
      </c>
      <c r="CI1991">
        <v>0</v>
      </c>
      <c r="CJ1991">
        <v>0</v>
      </c>
      <c r="CK1991">
        <v>2</v>
      </c>
      <c r="CL1991">
        <v>0</v>
      </c>
      <c r="CM1991">
        <v>2</v>
      </c>
      <c r="CN1991">
        <v>0</v>
      </c>
      <c r="CO1991">
        <v>1</v>
      </c>
      <c r="CP1991" t="s">
        <v>119</v>
      </c>
      <c r="CQ1991">
        <v>179</v>
      </c>
      <c r="CR1991">
        <v>1</v>
      </c>
      <c r="CW1991">
        <v>8843402</v>
      </c>
      <c r="CY1991">
        <v>0</v>
      </c>
      <c r="CZ1991">
        <v>0</v>
      </c>
      <c r="DA1991">
        <v>0</v>
      </c>
      <c r="DB1991">
        <v>0</v>
      </c>
      <c r="DC1991">
        <v>0</v>
      </c>
      <c r="DD1991">
        <v>0</v>
      </c>
      <c r="DE1991">
        <v>0</v>
      </c>
      <c r="DF1991">
        <v>0</v>
      </c>
      <c r="DG1991">
        <v>0</v>
      </c>
      <c r="DH1991">
        <v>0</v>
      </c>
      <c r="DI1991">
        <v>0</v>
      </c>
    </row>
    <row r="1992" spans="1:113" x14ac:dyDescent="0.3">
      <c r="A1992" t="str">
        <f>"02/08/2021 20:24:54.171"</f>
        <v>02/08/2021 20:24:54.171</v>
      </c>
      <c r="C1992" t="str">
        <f t="shared" si="96"/>
        <v>FFDFD7C0</v>
      </c>
      <c r="D1992" t="s">
        <v>113</v>
      </c>
      <c r="E1992">
        <v>6</v>
      </c>
      <c r="H1992">
        <v>165</v>
      </c>
      <c r="I1992" t="s">
        <v>114</v>
      </c>
      <c r="J1992" t="s">
        <v>115</v>
      </c>
      <c r="K1992">
        <v>0</v>
      </c>
      <c r="L1992">
        <v>3</v>
      </c>
      <c r="M1992">
        <v>0</v>
      </c>
      <c r="N1992">
        <v>2</v>
      </c>
      <c r="O1992">
        <v>1</v>
      </c>
      <c r="P1992">
        <v>0</v>
      </c>
      <c r="Q1992">
        <v>0</v>
      </c>
      <c r="S1992" t="str">
        <f>"20:24:56.477"</f>
        <v>20:24:56.477</v>
      </c>
      <c r="T1992" t="str">
        <f>"20:24:55.977"</f>
        <v>20:24:55.977</v>
      </c>
      <c r="U1992" t="str">
        <f t="shared" si="98"/>
        <v>AB01F4</v>
      </c>
      <c r="V1992">
        <v>0</v>
      </c>
      <c r="W1992">
        <v>0</v>
      </c>
      <c r="X1992">
        <v>2</v>
      </c>
      <c r="Z1992">
        <v>0</v>
      </c>
      <c r="AA1992">
        <v>9</v>
      </c>
      <c r="AB1992">
        <v>3</v>
      </c>
      <c r="AC1992">
        <v>0</v>
      </c>
      <c r="AD1992">
        <v>10</v>
      </c>
      <c r="AE1992">
        <v>0</v>
      </c>
      <c r="AF1992">
        <v>3</v>
      </c>
      <c r="AG1992">
        <v>2</v>
      </c>
      <c r="AH1992">
        <v>0</v>
      </c>
      <c r="AI1992" t="s">
        <v>1245</v>
      </c>
      <c r="AJ1992">
        <v>39.929380000000002</v>
      </c>
      <c r="AK1992" t="s">
        <v>1246</v>
      </c>
      <c r="AL1992">
        <v>-92.621977000000001</v>
      </c>
      <c r="AM1992">
        <v>100</v>
      </c>
      <c r="AN1992">
        <v>1700</v>
      </c>
      <c r="AO1992" t="s">
        <v>118</v>
      </c>
      <c r="AP1992">
        <v>-107</v>
      </c>
      <c r="AQ1992">
        <v>78</v>
      </c>
      <c r="AR1992">
        <v>128</v>
      </c>
      <c r="AZ1992">
        <v>1200</v>
      </c>
      <c r="BA1992">
        <v>1</v>
      </c>
      <c r="BB1992" t="str">
        <f t="shared" si="97"/>
        <v xml:space="preserve">N8080G  </v>
      </c>
      <c r="BC1992">
        <v>1</v>
      </c>
      <c r="BE1992">
        <v>0</v>
      </c>
      <c r="BF1992">
        <v>0</v>
      </c>
      <c r="BG1992">
        <v>0</v>
      </c>
      <c r="BH1992">
        <v>1700</v>
      </c>
      <c r="BI1992">
        <v>1</v>
      </c>
      <c r="BJ1992">
        <v>1</v>
      </c>
      <c r="BK1992">
        <v>1</v>
      </c>
      <c r="BL1992">
        <v>0</v>
      </c>
      <c r="BO1992">
        <v>0</v>
      </c>
      <c r="BP1992">
        <v>0</v>
      </c>
      <c r="BW1992" t="str">
        <f>"20:24:56.477"</f>
        <v>20:24:56.477</v>
      </c>
      <c r="BZ1992">
        <v>0</v>
      </c>
      <c r="CA1992">
        <v>2016</v>
      </c>
      <c r="CB1992">
        <v>224</v>
      </c>
      <c r="CD1992">
        <v>1</v>
      </c>
      <c r="CE1992">
        <v>0</v>
      </c>
      <c r="CF1992">
        <v>0</v>
      </c>
      <c r="CG1992">
        <v>1</v>
      </c>
      <c r="CH1992">
        <v>0</v>
      </c>
      <c r="CI1992">
        <v>0</v>
      </c>
      <c r="CJ1992">
        <v>0</v>
      </c>
      <c r="CK1992">
        <v>2</v>
      </c>
      <c r="CL1992">
        <v>0</v>
      </c>
      <c r="CM1992">
        <v>2</v>
      </c>
      <c r="CN1992">
        <v>0</v>
      </c>
      <c r="CO1992">
        <v>1</v>
      </c>
      <c r="CP1992" t="s">
        <v>119</v>
      </c>
      <c r="CQ1992">
        <v>179</v>
      </c>
      <c r="CR1992">
        <v>1</v>
      </c>
      <c r="CW1992">
        <v>8843402</v>
      </c>
      <c r="CY1992">
        <v>0</v>
      </c>
      <c r="CZ1992">
        <v>0</v>
      </c>
      <c r="DA1992">
        <v>1</v>
      </c>
      <c r="DB1992">
        <v>0</v>
      </c>
      <c r="DC1992">
        <v>0</v>
      </c>
      <c r="DD1992">
        <v>0</v>
      </c>
      <c r="DE1992">
        <v>0</v>
      </c>
      <c r="DF1992">
        <v>0</v>
      </c>
      <c r="DG1992">
        <v>0</v>
      </c>
      <c r="DH1992">
        <v>0</v>
      </c>
      <c r="DI1992">
        <v>0</v>
      </c>
    </row>
    <row r="1993" spans="1:113" x14ac:dyDescent="0.3">
      <c r="A1993" t="str">
        <f>"02/08/2021 20:24:54.171"</f>
        <v>02/08/2021 20:24:54.171</v>
      </c>
      <c r="C1993" t="str">
        <f t="shared" si="96"/>
        <v>FFDFD7C0</v>
      </c>
      <c r="D1993" t="s">
        <v>124</v>
      </c>
      <c r="E1993">
        <v>13</v>
      </c>
      <c r="F1993">
        <v>1013</v>
      </c>
      <c r="G1993" t="s">
        <v>114</v>
      </c>
      <c r="J1993" t="s">
        <v>125</v>
      </c>
      <c r="K1993">
        <v>0</v>
      </c>
      <c r="L1993">
        <v>3</v>
      </c>
      <c r="M1993">
        <v>0</v>
      </c>
      <c r="N1993">
        <v>2</v>
      </c>
      <c r="O1993">
        <v>1</v>
      </c>
      <c r="P1993">
        <v>0</v>
      </c>
      <c r="Q1993">
        <v>0</v>
      </c>
      <c r="S1993" t="str">
        <f>"20:24:56.477"</f>
        <v>20:24:56.477</v>
      </c>
      <c r="T1993" t="str">
        <f>"20:24:55.977"</f>
        <v>20:24:55.977</v>
      </c>
      <c r="U1993" t="str">
        <f t="shared" si="98"/>
        <v>AB01F4</v>
      </c>
      <c r="V1993">
        <v>0</v>
      </c>
      <c r="W1993">
        <v>0</v>
      </c>
      <c r="X1993">
        <v>2</v>
      </c>
      <c r="Z1993">
        <v>0</v>
      </c>
      <c r="AA1993">
        <v>9</v>
      </c>
      <c r="AB1993">
        <v>3</v>
      </c>
      <c r="AC1993">
        <v>0</v>
      </c>
      <c r="AD1993">
        <v>10</v>
      </c>
      <c r="AE1993">
        <v>0</v>
      </c>
      <c r="AF1993">
        <v>3</v>
      </c>
      <c r="AG1993">
        <v>2</v>
      </c>
      <c r="AH1993">
        <v>0</v>
      </c>
      <c r="AI1993" t="s">
        <v>1245</v>
      </c>
      <c r="AJ1993">
        <v>39.929380000000002</v>
      </c>
      <c r="AK1993" t="s">
        <v>1246</v>
      </c>
      <c r="AL1993">
        <v>-92.621977000000001</v>
      </c>
      <c r="AM1993">
        <v>100</v>
      </c>
      <c r="AN1993">
        <v>1700</v>
      </c>
      <c r="AO1993" t="s">
        <v>118</v>
      </c>
      <c r="AP1993">
        <v>-107</v>
      </c>
      <c r="AQ1993">
        <v>78</v>
      </c>
      <c r="AR1993">
        <v>128</v>
      </c>
      <c r="AZ1993">
        <v>1200</v>
      </c>
      <c r="BA1993">
        <v>1</v>
      </c>
      <c r="BB1993" t="str">
        <f t="shared" si="97"/>
        <v xml:space="preserve">N8080G  </v>
      </c>
      <c r="BC1993">
        <v>1</v>
      </c>
      <c r="BE1993">
        <v>0</v>
      </c>
      <c r="BF1993">
        <v>0</v>
      </c>
      <c r="BG1993">
        <v>0</v>
      </c>
      <c r="BH1993">
        <v>1700</v>
      </c>
      <c r="BI1993">
        <v>1</v>
      </c>
      <c r="BJ1993">
        <v>1</v>
      </c>
      <c r="BK1993">
        <v>1</v>
      </c>
      <c r="BL1993">
        <v>0</v>
      </c>
      <c r="BO1993">
        <v>0</v>
      </c>
      <c r="BP1993">
        <v>0</v>
      </c>
      <c r="BW1993" t="str">
        <f>"20:24:56.477"</f>
        <v>20:24:56.477</v>
      </c>
      <c r="BZ1993">
        <v>0</v>
      </c>
      <c r="CA1993">
        <v>2016</v>
      </c>
      <c r="CB1993">
        <v>224</v>
      </c>
      <c r="CD1993">
        <v>1</v>
      </c>
      <c r="CE1993">
        <v>0</v>
      </c>
      <c r="CF1993">
        <v>0</v>
      </c>
      <c r="CG1993">
        <v>1</v>
      </c>
      <c r="CH1993">
        <v>0</v>
      </c>
      <c r="CI1993">
        <v>0</v>
      </c>
      <c r="CJ1993">
        <v>0</v>
      </c>
      <c r="CK1993">
        <v>2</v>
      </c>
      <c r="CL1993">
        <v>0</v>
      </c>
      <c r="CM1993">
        <v>2</v>
      </c>
      <c r="CN1993">
        <v>0</v>
      </c>
      <c r="CO1993">
        <v>1</v>
      </c>
      <c r="CP1993" t="s">
        <v>119</v>
      </c>
      <c r="CQ1993">
        <v>179</v>
      </c>
      <c r="CR1993">
        <v>1</v>
      </c>
      <c r="CW1993">
        <v>8843402</v>
      </c>
      <c r="CY1993">
        <v>0</v>
      </c>
      <c r="CZ1993">
        <v>0</v>
      </c>
      <c r="DA1993">
        <v>1</v>
      </c>
      <c r="DB1993">
        <v>0</v>
      </c>
      <c r="DC1993">
        <v>0</v>
      </c>
      <c r="DD1993">
        <v>0</v>
      </c>
      <c r="DE1993">
        <v>0</v>
      </c>
      <c r="DF1993">
        <v>0</v>
      </c>
      <c r="DG1993">
        <v>0</v>
      </c>
      <c r="DH1993">
        <v>0</v>
      </c>
      <c r="DI1993">
        <v>0</v>
      </c>
    </row>
    <row r="1994" spans="1:113" x14ac:dyDescent="0.3">
      <c r="A1994" t="str">
        <f>"02/08/2021 20:24:54.171"</f>
        <v>02/08/2021 20:24:54.171</v>
      </c>
      <c r="C1994" t="str">
        <f t="shared" si="96"/>
        <v>FFDFD7C0</v>
      </c>
      <c r="D1994" t="s">
        <v>124</v>
      </c>
      <c r="E1994">
        <v>11</v>
      </c>
      <c r="F1994">
        <v>1011</v>
      </c>
      <c r="G1994" t="s">
        <v>590</v>
      </c>
      <c r="J1994" t="s">
        <v>125</v>
      </c>
      <c r="K1994">
        <v>0</v>
      </c>
      <c r="L1994">
        <v>3</v>
      </c>
      <c r="M1994">
        <v>0</v>
      </c>
      <c r="N1994">
        <v>2</v>
      </c>
      <c r="O1994">
        <v>1</v>
      </c>
      <c r="P1994">
        <v>0</v>
      </c>
      <c r="Q1994">
        <v>0</v>
      </c>
      <c r="S1994" t="str">
        <f>"20:24:56.477"</f>
        <v>20:24:56.477</v>
      </c>
      <c r="T1994" t="str">
        <f>"20:24:55.977"</f>
        <v>20:24:55.977</v>
      </c>
      <c r="U1994" t="str">
        <f t="shared" si="98"/>
        <v>AB01F4</v>
      </c>
      <c r="V1994">
        <v>0</v>
      </c>
      <c r="W1994">
        <v>0</v>
      </c>
      <c r="X1994">
        <v>2</v>
      </c>
      <c r="Z1994">
        <v>0</v>
      </c>
      <c r="AA1994">
        <v>9</v>
      </c>
      <c r="AB1994">
        <v>3</v>
      </c>
      <c r="AC1994">
        <v>0</v>
      </c>
      <c r="AD1994">
        <v>10</v>
      </c>
      <c r="AE1994">
        <v>0</v>
      </c>
      <c r="AF1994">
        <v>3</v>
      </c>
      <c r="AG1994">
        <v>2</v>
      </c>
      <c r="AH1994">
        <v>0</v>
      </c>
      <c r="AI1994" t="s">
        <v>1245</v>
      </c>
      <c r="AJ1994">
        <v>39.929380000000002</v>
      </c>
      <c r="AK1994" t="s">
        <v>1246</v>
      </c>
      <c r="AL1994">
        <v>-92.621977000000001</v>
      </c>
      <c r="AM1994">
        <v>100</v>
      </c>
      <c r="AN1994">
        <v>1700</v>
      </c>
      <c r="AO1994" t="s">
        <v>118</v>
      </c>
      <c r="AP1994">
        <v>-107</v>
      </c>
      <c r="AQ1994">
        <v>78</v>
      </c>
      <c r="AR1994">
        <v>128</v>
      </c>
      <c r="AZ1994">
        <v>1200</v>
      </c>
      <c r="BA1994">
        <v>1</v>
      </c>
      <c r="BB1994" t="str">
        <f t="shared" si="97"/>
        <v xml:space="preserve">N8080G  </v>
      </c>
      <c r="BC1994">
        <v>1</v>
      </c>
      <c r="BE1994">
        <v>0</v>
      </c>
      <c r="BF1994">
        <v>0</v>
      </c>
      <c r="BG1994">
        <v>0</v>
      </c>
      <c r="BH1994">
        <v>1700</v>
      </c>
      <c r="BI1994">
        <v>1</v>
      </c>
      <c r="BJ1994">
        <v>1</v>
      </c>
      <c r="BK1994">
        <v>1</v>
      </c>
      <c r="BL1994">
        <v>0</v>
      </c>
      <c r="BO1994">
        <v>0</v>
      </c>
      <c r="BP1994">
        <v>0</v>
      </c>
      <c r="BW1994" t="str">
        <f>"20:24:56.477"</f>
        <v>20:24:56.477</v>
      </c>
      <c r="BZ1994">
        <v>0</v>
      </c>
      <c r="CA1994">
        <v>2016</v>
      </c>
      <c r="CB1994">
        <v>224</v>
      </c>
      <c r="CD1994">
        <v>1</v>
      </c>
      <c r="CE1994">
        <v>0</v>
      </c>
      <c r="CF1994">
        <v>0</v>
      </c>
      <c r="CG1994">
        <v>1</v>
      </c>
      <c r="CH1994">
        <v>0</v>
      </c>
      <c r="CI1994">
        <v>0</v>
      </c>
      <c r="CJ1994">
        <v>0</v>
      </c>
      <c r="CK1994">
        <v>2</v>
      </c>
      <c r="CL1994">
        <v>0</v>
      </c>
      <c r="CM1994">
        <v>2</v>
      </c>
      <c r="CN1994">
        <v>0</v>
      </c>
      <c r="CO1994">
        <v>1</v>
      </c>
      <c r="CP1994" t="s">
        <v>119</v>
      </c>
      <c r="CQ1994">
        <v>179</v>
      </c>
      <c r="CR1994">
        <v>1</v>
      </c>
      <c r="CW1994">
        <v>8843402</v>
      </c>
      <c r="CY1994">
        <v>0</v>
      </c>
      <c r="CZ1994">
        <v>0</v>
      </c>
      <c r="DA1994">
        <v>1</v>
      </c>
      <c r="DB1994">
        <v>0</v>
      </c>
      <c r="DC1994">
        <v>0</v>
      </c>
      <c r="DD1994">
        <v>0</v>
      </c>
      <c r="DE1994">
        <v>0</v>
      </c>
      <c r="DF1994">
        <v>0</v>
      </c>
      <c r="DG1994">
        <v>0</v>
      </c>
      <c r="DH1994">
        <v>0</v>
      </c>
      <c r="DI1994">
        <v>0</v>
      </c>
    </row>
    <row r="1995" spans="1:113" x14ac:dyDescent="0.3">
      <c r="A1995" t="str">
        <f>"02/08/2021 20:24:56.862"</f>
        <v>02/08/2021 20:24:56.862</v>
      </c>
      <c r="C1995" t="str">
        <f t="shared" si="96"/>
        <v>FFDFD7C0</v>
      </c>
      <c r="D1995" t="s">
        <v>124</v>
      </c>
      <c r="E1995">
        <v>13</v>
      </c>
      <c r="F1995">
        <v>1013</v>
      </c>
      <c r="G1995" t="s">
        <v>114</v>
      </c>
      <c r="J1995" t="s">
        <v>125</v>
      </c>
      <c r="K1995">
        <v>0</v>
      </c>
      <c r="L1995">
        <v>3</v>
      </c>
      <c r="M1995">
        <v>0</v>
      </c>
      <c r="N1995">
        <v>2</v>
      </c>
      <c r="O1995">
        <v>1</v>
      </c>
      <c r="P1995">
        <v>0</v>
      </c>
      <c r="Q1995">
        <v>0</v>
      </c>
      <c r="S1995" t="str">
        <f>"20:24:59.188"</f>
        <v>20:24:59.188</v>
      </c>
      <c r="T1995" t="str">
        <f>"20:24:58.788"</f>
        <v>20:24:58.788</v>
      </c>
      <c r="U1995" t="str">
        <f t="shared" si="98"/>
        <v>AB01F4</v>
      </c>
      <c r="V1995">
        <v>0</v>
      </c>
      <c r="W1995">
        <v>0</v>
      </c>
      <c r="X1995">
        <v>2</v>
      </c>
      <c r="Z1995">
        <v>0</v>
      </c>
      <c r="AA1995">
        <v>9</v>
      </c>
      <c r="AB1995">
        <v>3</v>
      </c>
      <c r="AC1995">
        <v>0</v>
      </c>
      <c r="AD1995">
        <v>10</v>
      </c>
      <c r="AE1995">
        <v>0</v>
      </c>
      <c r="AF1995">
        <v>3</v>
      </c>
      <c r="AG1995">
        <v>2</v>
      </c>
      <c r="AH1995">
        <v>0</v>
      </c>
      <c r="AI1995" t="s">
        <v>1247</v>
      </c>
      <c r="AJ1995">
        <v>39.930410000000002</v>
      </c>
      <c r="AK1995" t="s">
        <v>1248</v>
      </c>
      <c r="AL1995">
        <v>-92.623715000000004</v>
      </c>
      <c r="AM1995">
        <v>100</v>
      </c>
      <c r="AN1995">
        <v>1700</v>
      </c>
      <c r="AO1995" t="s">
        <v>118</v>
      </c>
      <c r="AP1995">
        <v>-108</v>
      </c>
      <c r="AQ1995">
        <v>78</v>
      </c>
      <c r="AR1995">
        <v>-128</v>
      </c>
      <c r="AZ1995">
        <v>1200</v>
      </c>
      <c r="BA1995">
        <v>1</v>
      </c>
      <c r="BB1995" t="str">
        <f t="shared" si="97"/>
        <v xml:space="preserve">N8080G  </v>
      </c>
      <c r="BC1995">
        <v>1</v>
      </c>
      <c r="BE1995">
        <v>0</v>
      </c>
      <c r="BF1995">
        <v>0</v>
      </c>
      <c r="BG1995">
        <v>0</v>
      </c>
      <c r="BH1995">
        <v>1700</v>
      </c>
      <c r="BI1995">
        <v>1</v>
      </c>
      <c r="BJ1995">
        <v>1</v>
      </c>
      <c r="BK1995">
        <v>1</v>
      </c>
      <c r="BL1995">
        <v>0</v>
      </c>
      <c r="BO1995">
        <v>0</v>
      </c>
      <c r="BP1995">
        <v>0</v>
      </c>
      <c r="BW1995" t="str">
        <f>"20:24:59.190"</f>
        <v>20:24:59.190</v>
      </c>
      <c r="BZ1995">
        <v>0</v>
      </c>
      <c r="CA1995">
        <v>2016</v>
      </c>
      <c r="CB1995">
        <v>224</v>
      </c>
      <c r="CD1995">
        <v>1</v>
      </c>
      <c r="CE1995">
        <v>0</v>
      </c>
      <c r="CF1995">
        <v>0</v>
      </c>
      <c r="CG1995">
        <v>1</v>
      </c>
      <c r="CH1995">
        <v>0</v>
      </c>
      <c r="CI1995">
        <v>0</v>
      </c>
      <c r="CJ1995">
        <v>0</v>
      </c>
      <c r="CK1995">
        <v>2</v>
      </c>
      <c r="CL1995">
        <v>0</v>
      </c>
      <c r="CM1995">
        <v>2</v>
      </c>
      <c r="CN1995">
        <v>0</v>
      </c>
      <c r="CO1995">
        <v>2</v>
      </c>
      <c r="CP1995" t="s">
        <v>119</v>
      </c>
      <c r="CQ1995">
        <v>179</v>
      </c>
      <c r="CR1995">
        <v>1</v>
      </c>
      <c r="CW1995">
        <v>8845587</v>
      </c>
      <c r="CY1995">
        <v>0</v>
      </c>
      <c r="CZ1995">
        <v>0</v>
      </c>
      <c r="DA1995">
        <v>0</v>
      </c>
      <c r="DB1995">
        <v>0</v>
      </c>
      <c r="DC1995">
        <v>0</v>
      </c>
      <c r="DD1995">
        <v>0</v>
      </c>
      <c r="DE1995">
        <v>0</v>
      </c>
      <c r="DF1995">
        <v>0</v>
      </c>
      <c r="DG1995">
        <v>0</v>
      </c>
      <c r="DH1995">
        <v>0</v>
      </c>
      <c r="DI1995">
        <v>0</v>
      </c>
    </row>
    <row r="1996" spans="1:113" x14ac:dyDescent="0.3">
      <c r="A1996" t="str">
        <f>"02/08/2021 20:24:56.862"</f>
        <v>02/08/2021 20:24:56.862</v>
      </c>
      <c r="C1996" t="str">
        <f t="shared" si="96"/>
        <v>FFDFD7C0</v>
      </c>
      <c r="D1996" t="s">
        <v>113</v>
      </c>
      <c r="E1996">
        <v>6</v>
      </c>
      <c r="H1996">
        <v>165</v>
      </c>
      <c r="I1996" t="s">
        <v>114</v>
      </c>
      <c r="J1996" t="s">
        <v>115</v>
      </c>
      <c r="K1996">
        <v>0</v>
      </c>
      <c r="L1996">
        <v>3</v>
      </c>
      <c r="M1996">
        <v>0</v>
      </c>
      <c r="N1996">
        <v>2</v>
      </c>
      <c r="O1996">
        <v>1</v>
      </c>
      <c r="P1996">
        <v>0</v>
      </c>
      <c r="Q1996">
        <v>0</v>
      </c>
      <c r="S1996" t="str">
        <f>"20:24:59.188"</f>
        <v>20:24:59.188</v>
      </c>
      <c r="T1996" t="str">
        <f>"20:24:58.788"</f>
        <v>20:24:58.788</v>
      </c>
      <c r="U1996" t="str">
        <f t="shared" si="98"/>
        <v>AB01F4</v>
      </c>
      <c r="V1996">
        <v>0</v>
      </c>
      <c r="W1996">
        <v>0</v>
      </c>
      <c r="X1996">
        <v>2</v>
      </c>
      <c r="Z1996">
        <v>0</v>
      </c>
      <c r="AA1996">
        <v>9</v>
      </c>
      <c r="AB1996">
        <v>3</v>
      </c>
      <c r="AC1996">
        <v>0</v>
      </c>
      <c r="AD1996">
        <v>10</v>
      </c>
      <c r="AE1996">
        <v>0</v>
      </c>
      <c r="AF1996">
        <v>3</v>
      </c>
      <c r="AG1996">
        <v>2</v>
      </c>
      <c r="AH1996">
        <v>0</v>
      </c>
      <c r="AI1996" t="s">
        <v>1247</v>
      </c>
      <c r="AJ1996">
        <v>39.930410000000002</v>
      </c>
      <c r="AK1996" t="s">
        <v>1248</v>
      </c>
      <c r="AL1996">
        <v>-92.623715000000004</v>
      </c>
      <c r="AM1996">
        <v>100</v>
      </c>
      <c r="AN1996">
        <v>1700</v>
      </c>
      <c r="AO1996" t="s">
        <v>118</v>
      </c>
      <c r="AP1996">
        <v>-108</v>
      </c>
      <c r="AQ1996">
        <v>78</v>
      </c>
      <c r="AR1996">
        <v>-128</v>
      </c>
      <c r="AZ1996">
        <v>1200</v>
      </c>
      <c r="BA1996">
        <v>1</v>
      </c>
      <c r="BB1996" t="str">
        <f t="shared" si="97"/>
        <v xml:space="preserve">N8080G  </v>
      </c>
      <c r="BC1996">
        <v>1</v>
      </c>
      <c r="BE1996">
        <v>0</v>
      </c>
      <c r="BF1996">
        <v>0</v>
      </c>
      <c r="BG1996">
        <v>0</v>
      </c>
      <c r="BH1996">
        <v>1700</v>
      </c>
      <c r="BI1996">
        <v>1</v>
      </c>
      <c r="BJ1996">
        <v>1</v>
      </c>
      <c r="BK1996">
        <v>1</v>
      </c>
      <c r="BL1996">
        <v>0</v>
      </c>
      <c r="BO1996">
        <v>0</v>
      </c>
      <c r="BP1996">
        <v>0</v>
      </c>
      <c r="BW1996" t="str">
        <f>"20:24:59.190"</f>
        <v>20:24:59.190</v>
      </c>
      <c r="BZ1996">
        <v>0</v>
      </c>
      <c r="CA1996">
        <v>2016</v>
      </c>
      <c r="CB1996">
        <v>224</v>
      </c>
      <c r="CD1996">
        <v>1</v>
      </c>
      <c r="CE1996">
        <v>0</v>
      </c>
      <c r="CF1996">
        <v>0</v>
      </c>
      <c r="CG1996">
        <v>1</v>
      </c>
      <c r="CH1996">
        <v>0</v>
      </c>
      <c r="CI1996">
        <v>0</v>
      </c>
      <c r="CJ1996">
        <v>0</v>
      </c>
      <c r="CK1996">
        <v>2</v>
      </c>
      <c r="CL1996">
        <v>0</v>
      </c>
      <c r="CM1996">
        <v>2</v>
      </c>
      <c r="CN1996">
        <v>0</v>
      </c>
      <c r="CO1996">
        <v>2</v>
      </c>
      <c r="CP1996" t="s">
        <v>119</v>
      </c>
      <c r="CQ1996">
        <v>179</v>
      </c>
      <c r="CR1996">
        <v>1</v>
      </c>
      <c r="CW1996">
        <v>8845587</v>
      </c>
      <c r="CY1996">
        <v>0</v>
      </c>
      <c r="CZ1996">
        <v>0</v>
      </c>
      <c r="DA1996">
        <v>1</v>
      </c>
      <c r="DB1996">
        <v>0</v>
      </c>
      <c r="DC1996">
        <v>0</v>
      </c>
      <c r="DD1996">
        <v>0</v>
      </c>
      <c r="DE1996">
        <v>0</v>
      </c>
      <c r="DF1996">
        <v>0</v>
      </c>
      <c r="DG1996">
        <v>0</v>
      </c>
      <c r="DH1996">
        <v>0</v>
      </c>
      <c r="DI1996">
        <v>0</v>
      </c>
    </row>
    <row r="1997" spans="1:113" x14ac:dyDescent="0.3">
      <c r="A1997" t="str">
        <f>"02/08/2021 20:24:56.862"</f>
        <v>02/08/2021 20:24:56.862</v>
      </c>
      <c r="C1997" t="str">
        <f t="shared" si="96"/>
        <v>FFDFD7C0</v>
      </c>
      <c r="D1997" t="s">
        <v>124</v>
      </c>
      <c r="E1997">
        <v>11</v>
      </c>
      <c r="F1997">
        <v>1011</v>
      </c>
      <c r="G1997" t="s">
        <v>590</v>
      </c>
      <c r="J1997" t="s">
        <v>125</v>
      </c>
      <c r="K1997">
        <v>0</v>
      </c>
      <c r="L1997">
        <v>3</v>
      </c>
      <c r="M1997">
        <v>0</v>
      </c>
      <c r="N1997">
        <v>2</v>
      </c>
      <c r="O1997">
        <v>1</v>
      </c>
      <c r="P1997">
        <v>0</v>
      </c>
      <c r="Q1997">
        <v>0</v>
      </c>
      <c r="S1997" t="str">
        <f>"20:24:59.188"</f>
        <v>20:24:59.188</v>
      </c>
      <c r="T1997" t="str">
        <f>"20:24:58.788"</f>
        <v>20:24:58.788</v>
      </c>
      <c r="U1997" t="str">
        <f t="shared" si="98"/>
        <v>AB01F4</v>
      </c>
      <c r="V1997">
        <v>0</v>
      </c>
      <c r="W1997">
        <v>0</v>
      </c>
      <c r="X1997">
        <v>2</v>
      </c>
      <c r="Z1997">
        <v>0</v>
      </c>
      <c r="AA1997">
        <v>9</v>
      </c>
      <c r="AB1997">
        <v>3</v>
      </c>
      <c r="AC1997">
        <v>0</v>
      </c>
      <c r="AD1997">
        <v>10</v>
      </c>
      <c r="AE1997">
        <v>0</v>
      </c>
      <c r="AF1997">
        <v>3</v>
      </c>
      <c r="AG1997">
        <v>2</v>
      </c>
      <c r="AH1997">
        <v>0</v>
      </c>
      <c r="AI1997" t="s">
        <v>1247</v>
      </c>
      <c r="AJ1997">
        <v>39.930410000000002</v>
      </c>
      <c r="AK1997" t="s">
        <v>1248</v>
      </c>
      <c r="AL1997">
        <v>-92.623715000000004</v>
      </c>
      <c r="AM1997">
        <v>100</v>
      </c>
      <c r="AN1997">
        <v>1700</v>
      </c>
      <c r="AO1997" t="s">
        <v>118</v>
      </c>
      <c r="AP1997">
        <v>-108</v>
      </c>
      <c r="AQ1997">
        <v>78</v>
      </c>
      <c r="AR1997">
        <v>-128</v>
      </c>
      <c r="AZ1997">
        <v>1200</v>
      </c>
      <c r="BA1997">
        <v>1</v>
      </c>
      <c r="BB1997" t="str">
        <f t="shared" si="97"/>
        <v xml:space="preserve">N8080G  </v>
      </c>
      <c r="BC1997">
        <v>1</v>
      </c>
      <c r="BE1997">
        <v>0</v>
      </c>
      <c r="BF1997">
        <v>0</v>
      </c>
      <c r="BG1997">
        <v>0</v>
      </c>
      <c r="BH1997">
        <v>1700</v>
      </c>
      <c r="BI1997">
        <v>1</v>
      </c>
      <c r="BJ1997">
        <v>1</v>
      </c>
      <c r="BK1997">
        <v>1</v>
      </c>
      <c r="BL1997">
        <v>0</v>
      </c>
      <c r="BO1997">
        <v>0</v>
      </c>
      <c r="BP1997">
        <v>0</v>
      </c>
      <c r="BW1997" t="str">
        <f>"20:24:59.190"</f>
        <v>20:24:59.190</v>
      </c>
      <c r="BZ1997">
        <v>0</v>
      </c>
      <c r="CA1997">
        <v>2016</v>
      </c>
      <c r="CB1997">
        <v>224</v>
      </c>
      <c r="CD1997">
        <v>1</v>
      </c>
      <c r="CE1997">
        <v>0</v>
      </c>
      <c r="CF1997">
        <v>0</v>
      </c>
      <c r="CG1997">
        <v>1</v>
      </c>
      <c r="CH1997">
        <v>0</v>
      </c>
      <c r="CI1997">
        <v>0</v>
      </c>
      <c r="CJ1997">
        <v>0</v>
      </c>
      <c r="CK1997">
        <v>2</v>
      </c>
      <c r="CL1997">
        <v>0</v>
      </c>
      <c r="CM1997">
        <v>2</v>
      </c>
      <c r="CN1997">
        <v>0</v>
      </c>
      <c r="CO1997">
        <v>2</v>
      </c>
      <c r="CP1997" t="s">
        <v>119</v>
      </c>
      <c r="CQ1997">
        <v>179</v>
      </c>
      <c r="CR1997">
        <v>1</v>
      </c>
      <c r="CW1997">
        <v>8845587</v>
      </c>
      <c r="CY1997">
        <v>0</v>
      </c>
      <c r="CZ1997">
        <v>0</v>
      </c>
      <c r="DA1997">
        <v>1</v>
      </c>
      <c r="DB1997">
        <v>0</v>
      </c>
      <c r="DC1997">
        <v>0</v>
      </c>
      <c r="DD1997">
        <v>0</v>
      </c>
      <c r="DE1997">
        <v>0</v>
      </c>
      <c r="DF1997">
        <v>0</v>
      </c>
      <c r="DG1997">
        <v>0</v>
      </c>
      <c r="DH1997">
        <v>0</v>
      </c>
      <c r="DI1997">
        <v>0</v>
      </c>
    </row>
    <row r="1998" spans="1:113" x14ac:dyDescent="0.3">
      <c r="A1998" t="str">
        <f>"02/08/2021 20:24:56.862"</f>
        <v>02/08/2021 20:24:56.862</v>
      </c>
      <c r="C1998" t="str">
        <f t="shared" si="96"/>
        <v>FFDFD7C0</v>
      </c>
      <c r="D1998" t="s">
        <v>124</v>
      </c>
      <c r="E1998">
        <v>12</v>
      </c>
      <c r="F1998">
        <v>1012</v>
      </c>
      <c r="G1998" t="s">
        <v>675</v>
      </c>
      <c r="J1998" t="s">
        <v>125</v>
      </c>
      <c r="K1998">
        <v>0</v>
      </c>
      <c r="L1998">
        <v>3</v>
      </c>
      <c r="M1998">
        <v>0</v>
      </c>
      <c r="N1998">
        <v>2</v>
      </c>
      <c r="O1998">
        <v>1</v>
      </c>
      <c r="P1998">
        <v>0</v>
      </c>
      <c r="Q1998">
        <v>0</v>
      </c>
      <c r="S1998" t="str">
        <f>"20:24:59.188"</f>
        <v>20:24:59.188</v>
      </c>
      <c r="T1998" t="str">
        <f>"20:24:58.788"</f>
        <v>20:24:58.788</v>
      </c>
      <c r="U1998" t="str">
        <f t="shared" si="98"/>
        <v>AB01F4</v>
      </c>
      <c r="V1998">
        <v>0</v>
      </c>
      <c r="W1998">
        <v>0</v>
      </c>
      <c r="X1998">
        <v>2</v>
      </c>
      <c r="Z1998">
        <v>0</v>
      </c>
      <c r="AA1998">
        <v>9</v>
      </c>
      <c r="AB1998">
        <v>3</v>
      </c>
      <c r="AC1998">
        <v>0</v>
      </c>
      <c r="AD1998">
        <v>10</v>
      </c>
      <c r="AE1998">
        <v>0</v>
      </c>
      <c r="AF1998">
        <v>3</v>
      </c>
      <c r="AG1998">
        <v>2</v>
      </c>
      <c r="AH1998">
        <v>0</v>
      </c>
      <c r="AI1998" t="s">
        <v>1247</v>
      </c>
      <c r="AJ1998">
        <v>39.930410000000002</v>
      </c>
      <c r="AK1998" t="s">
        <v>1248</v>
      </c>
      <c r="AL1998">
        <v>-92.623715000000004</v>
      </c>
      <c r="AM1998">
        <v>100</v>
      </c>
      <c r="AN1998">
        <v>1700</v>
      </c>
      <c r="AO1998" t="s">
        <v>118</v>
      </c>
      <c r="AP1998">
        <v>-108</v>
      </c>
      <c r="AQ1998">
        <v>78</v>
      </c>
      <c r="AR1998">
        <v>-128</v>
      </c>
      <c r="AZ1998">
        <v>1200</v>
      </c>
      <c r="BA1998">
        <v>1</v>
      </c>
      <c r="BB1998" t="str">
        <f t="shared" si="97"/>
        <v xml:space="preserve">N8080G  </v>
      </c>
      <c r="BC1998">
        <v>1</v>
      </c>
      <c r="BE1998">
        <v>0</v>
      </c>
      <c r="BF1998">
        <v>0</v>
      </c>
      <c r="BG1998">
        <v>0</v>
      </c>
      <c r="BH1998">
        <v>1700</v>
      </c>
      <c r="BI1998">
        <v>1</v>
      </c>
      <c r="BJ1998">
        <v>1</v>
      </c>
      <c r="BK1998">
        <v>1</v>
      </c>
      <c r="BL1998">
        <v>0</v>
      </c>
      <c r="BO1998">
        <v>0</v>
      </c>
      <c r="BP1998">
        <v>0</v>
      </c>
      <c r="BW1998" t="str">
        <f>"20:24:59.190"</f>
        <v>20:24:59.190</v>
      </c>
      <c r="BZ1998">
        <v>0</v>
      </c>
      <c r="CA1998">
        <v>2016</v>
      </c>
      <c r="CB1998">
        <v>224</v>
      </c>
      <c r="CD1998">
        <v>1</v>
      </c>
      <c r="CE1998">
        <v>0</v>
      </c>
      <c r="CF1998">
        <v>0</v>
      </c>
      <c r="CG1998">
        <v>1</v>
      </c>
      <c r="CH1998">
        <v>0</v>
      </c>
      <c r="CI1998">
        <v>0</v>
      </c>
      <c r="CJ1998">
        <v>0</v>
      </c>
      <c r="CK1998">
        <v>2</v>
      </c>
      <c r="CL1998">
        <v>0</v>
      </c>
      <c r="CM1998">
        <v>2</v>
      </c>
      <c r="CN1998">
        <v>0</v>
      </c>
      <c r="CO1998">
        <v>2</v>
      </c>
      <c r="CP1998" t="s">
        <v>119</v>
      </c>
      <c r="CQ1998">
        <v>179</v>
      </c>
      <c r="CR1998">
        <v>1</v>
      </c>
      <c r="CW1998">
        <v>8845587</v>
      </c>
      <c r="CY1998">
        <v>0</v>
      </c>
      <c r="CZ1998">
        <v>0</v>
      </c>
      <c r="DA1998">
        <v>1</v>
      </c>
      <c r="DB1998">
        <v>0</v>
      </c>
      <c r="DC1998">
        <v>0</v>
      </c>
      <c r="DD1998">
        <v>0</v>
      </c>
      <c r="DE1998">
        <v>0</v>
      </c>
      <c r="DF1998">
        <v>0</v>
      </c>
      <c r="DG1998">
        <v>0</v>
      </c>
      <c r="DH1998">
        <v>0</v>
      </c>
      <c r="DI1998">
        <v>0</v>
      </c>
    </row>
    <row r="1999" spans="1:113" x14ac:dyDescent="0.3">
      <c r="A1999" t="str">
        <f>"02/08/2021 20:24:57.869"</f>
        <v>02/08/2021 20:24:57.869</v>
      </c>
      <c r="C1999" t="str">
        <f t="shared" si="96"/>
        <v>FFDFD7C0</v>
      </c>
      <c r="D1999" t="s">
        <v>124</v>
      </c>
      <c r="E1999">
        <v>13</v>
      </c>
      <c r="F1999">
        <v>1013</v>
      </c>
      <c r="G1999" t="s">
        <v>114</v>
      </c>
      <c r="J1999" t="s">
        <v>125</v>
      </c>
      <c r="K1999">
        <v>0</v>
      </c>
      <c r="L1999">
        <v>3</v>
      </c>
      <c r="M1999">
        <v>0</v>
      </c>
      <c r="N1999">
        <v>2</v>
      </c>
      <c r="O1999">
        <v>1</v>
      </c>
      <c r="P1999">
        <v>0</v>
      </c>
      <c r="Q1999">
        <v>0</v>
      </c>
      <c r="S1999" t="str">
        <f>"20:25:00.188"</f>
        <v>20:25:00.188</v>
      </c>
      <c r="T1999" t="str">
        <f>"20:24:59.788"</f>
        <v>20:24:59.788</v>
      </c>
      <c r="U1999" t="str">
        <f t="shared" si="98"/>
        <v>AB01F4</v>
      </c>
      <c r="V1999">
        <v>0</v>
      </c>
      <c r="W1999">
        <v>0</v>
      </c>
      <c r="X1999">
        <v>2</v>
      </c>
      <c r="Z1999">
        <v>0</v>
      </c>
      <c r="AA1999">
        <v>9</v>
      </c>
      <c r="AB1999">
        <v>3</v>
      </c>
      <c r="AC1999">
        <v>0</v>
      </c>
      <c r="AD1999">
        <v>10</v>
      </c>
      <c r="AE1999">
        <v>0</v>
      </c>
      <c r="AF1999">
        <v>3</v>
      </c>
      <c r="AG1999">
        <v>2</v>
      </c>
      <c r="AH1999">
        <v>0</v>
      </c>
      <c r="AI1999" t="s">
        <v>1249</v>
      </c>
      <c r="AJ1999">
        <v>39.930731999999999</v>
      </c>
      <c r="AK1999" t="s">
        <v>1250</v>
      </c>
      <c r="AL1999">
        <v>-92.624381</v>
      </c>
      <c r="AM1999">
        <v>100</v>
      </c>
      <c r="AN1999">
        <v>1700</v>
      </c>
      <c r="AO1999" t="s">
        <v>118</v>
      </c>
      <c r="AP1999">
        <v>-108</v>
      </c>
      <c r="AQ1999">
        <v>78</v>
      </c>
      <c r="AR1999">
        <v>-192</v>
      </c>
      <c r="AZ1999">
        <v>1200</v>
      </c>
      <c r="BA1999">
        <v>1</v>
      </c>
      <c r="BB1999" t="str">
        <f t="shared" si="97"/>
        <v xml:space="preserve">N8080G  </v>
      </c>
      <c r="BC1999">
        <v>1</v>
      </c>
      <c r="BE1999">
        <v>0</v>
      </c>
      <c r="BF1999">
        <v>0</v>
      </c>
      <c r="BG1999">
        <v>0</v>
      </c>
      <c r="BH1999">
        <v>1700</v>
      </c>
      <c r="BI1999">
        <v>1</v>
      </c>
      <c r="BJ1999">
        <v>1</v>
      </c>
      <c r="BK1999">
        <v>1</v>
      </c>
      <c r="BL1999">
        <v>0</v>
      </c>
      <c r="BO1999">
        <v>0</v>
      </c>
      <c r="BP1999">
        <v>0</v>
      </c>
      <c r="BW1999" t="str">
        <f>"20:25:00.190"</f>
        <v>20:25:00.190</v>
      </c>
      <c r="BZ1999">
        <v>0</v>
      </c>
      <c r="CA1999">
        <v>2016</v>
      </c>
      <c r="CB1999">
        <v>224</v>
      </c>
      <c r="CD1999">
        <v>1</v>
      </c>
      <c r="CE1999">
        <v>0</v>
      </c>
      <c r="CF1999">
        <v>0</v>
      </c>
      <c r="CG1999">
        <v>1</v>
      </c>
      <c r="CH1999">
        <v>0</v>
      </c>
      <c r="CI1999">
        <v>0</v>
      </c>
      <c r="CJ1999">
        <v>0</v>
      </c>
      <c r="CK1999">
        <v>2</v>
      </c>
      <c r="CL1999">
        <v>0</v>
      </c>
      <c r="CM1999">
        <v>2</v>
      </c>
      <c r="CN1999">
        <v>0</v>
      </c>
      <c r="CO1999">
        <v>7</v>
      </c>
      <c r="CP1999" t="s">
        <v>119</v>
      </c>
      <c r="CQ1999">
        <v>180</v>
      </c>
      <c r="CR1999">
        <v>2</v>
      </c>
      <c r="CW1999">
        <v>8409426</v>
      </c>
      <c r="CY1999">
        <v>0</v>
      </c>
      <c r="CZ1999">
        <v>0</v>
      </c>
      <c r="DA1999">
        <v>0</v>
      </c>
      <c r="DB1999">
        <v>0</v>
      </c>
      <c r="DC1999">
        <v>0</v>
      </c>
      <c r="DD1999">
        <v>0</v>
      </c>
      <c r="DE1999">
        <v>0</v>
      </c>
      <c r="DF1999">
        <v>0</v>
      </c>
      <c r="DG1999">
        <v>0</v>
      </c>
      <c r="DH1999">
        <v>0</v>
      </c>
      <c r="DI1999">
        <v>0</v>
      </c>
    </row>
    <row r="2000" spans="1:113" x14ac:dyDescent="0.3">
      <c r="A2000" t="str">
        <f>"02/08/2021 20:24:57.869"</f>
        <v>02/08/2021 20:24:57.869</v>
      </c>
      <c r="C2000" t="str">
        <f t="shared" si="96"/>
        <v>FFDFD7C0</v>
      </c>
      <c r="D2000" t="s">
        <v>113</v>
      </c>
      <c r="E2000">
        <v>6</v>
      </c>
      <c r="H2000">
        <v>165</v>
      </c>
      <c r="I2000" t="s">
        <v>114</v>
      </c>
      <c r="J2000" t="s">
        <v>115</v>
      </c>
      <c r="K2000">
        <v>0</v>
      </c>
      <c r="L2000">
        <v>3</v>
      </c>
      <c r="M2000">
        <v>0</v>
      </c>
      <c r="N2000">
        <v>2</v>
      </c>
      <c r="O2000">
        <v>1</v>
      </c>
      <c r="P2000">
        <v>0</v>
      </c>
      <c r="Q2000">
        <v>0</v>
      </c>
      <c r="S2000" t="str">
        <f>"20:25:00.188"</f>
        <v>20:25:00.188</v>
      </c>
      <c r="T2000" t="str">
        <f>"20:24:59.788"</f>
        <v>20:24:59.788</v>
      </c>
      <c r="U2000" t="str">
        <f t="shared" si="98"/>
        <v>AB01F4</v>
      </c>
      <c r="V2000">
        <v>0</v>
      </c>
      <c r="W2000">
        <v>0</v>
      </c>
      <c r="X2000">
        <v>2</v>
      </c>
      <c r="Z2000">
        <v>0</v>
      </c>
      <c r="AA2000">
        <v>9</v>
      </c>
      <c r="AB2000">
        <v>3</v>
      </c>
      <c r="AC2000">
        <v>0</v>
      </c>
      <c r="AD2000">
        <v>10</v>
      </c>
      <c r="AE2000">
        <v>0</v>
      </c>
      <c r="AF2000">
        <v>3</v>
      </c>
      <c r="AG2000">
        <v>2</v>
      </c>
      <c r="AH2000">
        <v>0</v>
      </c>
      <c r="AI2000" t="s">
        <v>1249</v>
      </c>
      <c r="AJ2000">
        <v>39.930731999999999</v>
      </c>
      <c r="AK2000" t="s">
        <v>1250</v>
      </c>
      <c r="AL2000">
        <v>-92.624381</v>
      </c>
      <c r="AM2000">
        <v>100</v>
      </c>
      <c r="AN2000">
        <v>1700</v>
      </c>
      <c r="AO2000" t="s">
        <v>118</v>
      </c>
      <c r="AP2000">
        <v>-108</v>
      </c>
      <c r="AQ2000">
        <v>78</v>
      </c>
      <c r="AR2000">
        <v>-192</v>
      </c>
      <c r="AZ2000">
        <v>1200</v>
      </c>
      <c r="BA2000">
        <v>1</v>
      </c>
      <c r="BB2000" t="str">
        <f t="shared" si="97"/>
        <v xml:space="preserve">N8080G  </v>
      </c>
      <c r="BC2000">
        <v>1</v>
      </c>
      <c r="BE2000">
        <v>0</v>
      </c>
      <c r="BF2000">
        <v>0</v>
      </c>
      <c r="BG2000">
        <v>0</v>
      </c>
      <c r="BH2000">
        <v>1700</v>
      </c>
      <c r="BI2000">
        <v>1</v>
      </c>
      <c r="BJ2000">
        <v>1</v>
      </c>
      <c r="BK2000">
        <v>1</v>
      </c>
      <c r="BL2000">
        <v>0</v>
      </c>
      <c r="BO2000">
        <v>0</v>
      </c>
      <c r="BP2000">
        <v>0</v>
      </c>
      <c r="BW2000" t="str">
        <f>"20:25:00.190"</f>
        <v>20:25:00.190</v>
      </c>
      <c r="BZ2000">
        <v>0</v>
      </c>
      <c r="CA2000">
        <v>2016</v>
      </c>
      <c r="CB2000">
        <v>224</v>
      </c>
      <c r="CD2000">
        <v>1</v>
      </c>
      <c r="CE2000">
        <v>0</v>
      </c>
      <c r="CF2000">
        <v>0</v>
      </c>
      <c r="CG2000">
        <v>1</v>
      </c>
      <c r="CH2000">
        <v>0</v>
      </c>
      <c r="CI2000">
        <v>0</v>
      </c>
      <c r="CJ2000">
        <v>0</v>
      </c>
      <c r="CK2000">
        <v>2</v>
      </c>
      <c r="CL2000">
        <v>0</v>
      </c>
      <c r="CM2000">
        <v>2</v>
      </c>
      <c r="CN2000">
        <v>0</v>
      </c>
      <c r="CO2000">
        <v>7</v>
      </c>
      <c r="CP2000" t="s">
        <v>119</v>
      </c>
      <c r="CQ2000">
        <v>180</v>
      </c>
      <c r="CR2000">
        <v>2</v>
      </c>
      <c r="CW2000">
        <v>8409426</v>
      </c>
      <c r="CY2000">
        <v>0</v>
      </c>
      <c r="CZ2000">
        <v>0</v>
      </c>
      <c r="DA2000">
        <v>1</v>
      </c>
      <c r="DB2000">
        <v>0</v>
      </c>
      <c r="DC2000">
        <v>0</v>
      </c>
      <c r="DD2000">
        <v>0</v>
      </c>
      <c r="DE2000">
        <v>0</v>
      </c>
      <c r="DF2000">
        <v>0</v>
      </c>
      <c r="DG2000">
        <v>0</v>
      </c>
      <c r="DH2000">
        <v>0</v>
      </c>
      <c r="DI2000">
        <v>0</v>
      </c>
    </row>
    <row r="2001" spans="1:113" x14ac:dyDescent="0.3">
      <c r="A2001" t="str">
        <f>"02/08/2021 20:24:57.869"</f>
        <v>02/08/2021 20:24:57.869</v>
      </c>
      <c r="C2001" t="str">
        <f t="shared" si="96"/>
        <v>FFDFD7C0</v>
      </c>
      <c r="D2001" t="s">
        <v>124</v>
      </c>
      <c r="E2001">
        <v>11</v>
      </c>
      <c r="F2001">
        <v>1011</v>
      </c>
      <c r="G2001" t="s">
        <v>590</v>
      </c>
      <c r="J2001" t="s">
        <v>125</v>
      </c>
      <c r="K2001">
        <v>0</v>
      </c>
      <c r="L2001">
        <v>3</v>
      </c>
      <c r="M2001">
        <v>0</v>
      </c>
      <c r="N2001">
        <v>2</v>
      </c>
      <c r="O2001">
        <v>1</v>
      </c>
      <c r="P2001">
        <v>0</v>
      </c>
      <c r="Q2001">
        <v>0</v>
      </c>
      <c r="S2001" t="str">
        <f>"20:25:00.188"</f>
        <v>20:25:00.188</v>
      </c>
      <c r="T2001" t="str">
        <f>"20:24:59.788"</f>
        <v>20:24:59.788</v>
      </c>
      <c r="U2001" t="str">
        <f t="shared" si="98"/>
        <v>AB01F4</v>
      </c>
      <c r="V2001">
        <v>0</v>
      </c>
      <c r="W2001">
        <v>0</v>
      </c>
      <c r="X2001">
        <v>2</v>
      </c>
      <c r="Z2001">
        <v>0</v>
      </c>
      <c r="AA2001">
        <v>9</v>
      </c>
      <c r="AB2001">
        <v>3</v>
      </c>
      <c r="AC2001">
        <v>0</v>
      </c>
      <c r="AD2001">
        <v>10</v>
      </c>
      <c r="AE2001">
        <v>0</v>
      </c>
      <c r="AF2001">
        <v>3</v>
      </c>
      <c r="AG2001">
        <v>2</v>
      </c>
      <c r="AH2001">
        <v>0</v>
      </c>
      <c r="AI2001" t="s">
        <v>1249</v>
      </c>
      <c r="AJ2001">
        <v>39.930731999999999</v>
      </c>
      <c r="AK2001" t="s">
        <v>1250</v>
      </c>
      <c r="AL2001">
        <v>-92.624381</v>
      </c>
      <c r="AM2001">
        <v>100</v>
      </c>
      <c r="AN2001">
        <v>1700</v>
      </c>
      <c r="AO2001" t="s">
        <v>118</v>
      </c>
      <c r="AP2001">
        <v>-108</v>
      </c>
      <c r="AQ2001">
        <v>78</v>
      </c>
      <c r="AR2001">
        <v>-192</v>
      </c>
      <c r="AZ2001">
        <v>1200</v>
      </c>
      <c r="BA2001">
        <v>1</v>
      </c>
      <c r="BB2001" t="str">
        <f t="shared" si="97"/>
        <v xml:space="preserve">N8080G  </v>
      </c>
      <c r="BC2001">
        <v>1</v>
      </c>
      <c r="BE2001">
        <v>0</v>
      </c>
      <c r="BF2001">
        <v>0</v>
      </c>
      <c r="BG2001">
        <v>0</v>
      </c>
      <c r="BH2001">
        <v>1700</v>
      </c>
      <c r="BI2001">
        <v>1</v>
      </c>
      <c r="BJ2001">
        <v>1</v>
      </c>
      <c r="BK2001">
        <v>1</v>
      </c>
      <c r="BL2001">
        <v>0</v>
      </c>
      <c r="BO2001">
        <v>0</v>
      </c>
      <c r="BP2001">
        <v>0</v>
      </c>
      <c r="BW2001" t="str">
        <f>"20:25:00.190"</f>
        <v>20:25:00.190</v>
      </c>
      <c r="BZ2001">
        <v>0</v>
      </c>
      <c r="CA2001">
        <v>2016</v>
      </c>
      <c r="CB2001">
        <v>224</v>
      </c>
      <c r="CD2001">
        <v>1</v>
      </c>
      <c r="CE2001">
        <v>0</v>
      </c>
      <c r="CF2001">
        <v>0</v>
      </c>
      <c r="CG2001">
        <v>1</v>
      </c>
      <c r="CH2001">
        <v>0</v>
      </c>
      <c r="CI2001">
        <v>0</v>
      </c>
      <c r="CJ2001">
        <v>0</v>
      </c>
      <c r="CK2001">
        <v>2</v>
      </c>
      <c r="CL2001">
        <v>0</v>
      </c>
      <c r="CM2001">
        <v>2</v>
      </c>
      <c r="CN2001">
        <v>0</v>
      </c>
      <c r="CO2001">
        <v>7</v>
      </c>
      <c r="CP2001" t="s">
        <v>119</v>
      </c>
      <c r="CQ2001">
        <v>180</v>
      </c>
      <c r="CR2001">
        <v>2</v>
      </c>
      <c r="CW2001">
        <v>8409426</v>
      </c>
      <c r="CY2001">
        <v>0</v>
      </c>
      <c r="CZ2001">
        <v>0</v>
      </c>
      <c r="DA2001">
        <v>1</v>
      </c>
      <c r="DB2001">
        <v>0</v>
      </c>
      <c r="DC2001">
        <v>0</v>
      </c>
      <c r="DD2001">
        <v>0</v>
      </c>
      <c r="DE2001">
        <v>0</v>
      </c>
      <c r="DF2001">
        <v>0</v>
      </c>
      <c r="DG2001">
        <v>0</v>
      </c>
      <c r="DH2001">
        <v>0</v>
      </c>
      <c r="DI2001">
        <v>0</v>
      </c>
    </row>
    <row r="2002" spans="1:113" x14ac:dyDescent="0.3">
      <c r="A2002" t="str">
        <f>"02/08/2021 20:24:57.869"</f>
        <v>02/08/2021 20:24:57.869</v>
      </c>
      <c r="C2002" t="str">
        <f t="shared" si="96"/>
        <v>FFDFD7C0</v>
      </c>
      <c r="D2002" t="s">
        <v>124</v>
      </c>
      <c r="E2002">
        <v>12</v>
      </c>
      <c r="F2002">
        <v>1012</v>
      </c>
      <c r="G2002" t="s">
        <v>675</v>
      </c>
      <c r="J2002" t="s">
        <v>125</v>
      </c>
      <c r="K2002">
        <v>0</v>
      </c>
      <c r="L2002">
        <v>3</v>
      </c>
      <c r="M2002">
        <v>0</v>
      </c>
      <c r="N2002">
        <v>2</v>
      </c>
      <c r="O2002">
        <v>1</v>
      </c>
      <c r="P2002">
        <v>0</v>
      </c>
      <c r="Q2002">
        <v>0</v>
      </c>
      <c r="S2002" t="str">
        <f>"20:25:00.188"</f>
        <v>20:25:00.188</v>
      </c>
      <c r="T2002" t="str">
        <f>"20:24:59.788"</f>
        <v>20:24:59.788</v>
      </c>
      <c r="U2002" t="str">
        <f t="shared" si="98"/>
        <v>AB01F4</v>
      </c>
      <c r="V2002">
        <v>0</v>
      </c>
      <c r="W2002">
        <v>0</v>
      </c>
      <c r="X2002">
        <v>2</v>
      </c>
      <c r="Z2002">
        <v>0</v>
      </c>
      <c r="AA2002">
        <v>9</v>
      </c>
      <c r="AB2002">
        <v>3</v>
      </c>
      <c r="AC2002">
        <v>0</v>
      </c>
      <c r="AD2002">
        <v>10</v>
      </c>
      <c r="AE2002">
        <v>0</v>
      </c>
      <c r="AF2002">
        <v>3</v>
      </c>
      <c r="AG2002">
        <v>2</v>
      </c>
      <c r="AH2002">
        <v>0</v>
      </c>
      <c r="AI2002" t="s">
        <v>1249</v>
      </c>
      <c r="AJ2002">
        <v>39.930731999999999</v>
      </c>
      <c r="AK2002" t="s">
        <v>1250</v>
      </c>
      <c r="AL2002">
        <v>-92.624381</v>
      </c>
      <c r="AM2002">
        <v>100</v>
      </c>
      <c r="AN2002">
        <v>1700</v>
      </c>
      <c r="AO2002" t="s">
        <v>118</v>
      </c>
      <c r="AP2002">
        <v>-108</v>
      </c>
      <c r="AQ2002">
        <v>78</v>
      </c>
      <c r="AR2002">
        <v>-192</v>
      </c>
      <c r="AZ2002">
        <v>1200</v>
      </c>
      <c r="BA2002">
        <v>1</v>
      </c>
      <c r="BB2002" t="str">
        <f t="shared" si="97"/>
        <v xml:space="preserve">N8080G  </v>
      </c>
      <c r="BC2002">
        <v>1</v>
      </c>
      <c r="BE2002">
        <v>0</v>
      </c>
      <c r="BF2002">
        <v>0</v>
      </c>
      <c r="BG2002">
        <v>0</v>
      </c>
      <c r="BH2002">
        <v>1700</v>
      </c>
      <c r="BI2002">
        <v>1</v>
      </c>
      <c r="BJ2002">
        <v>1</v>
      </c>
      <c r="BK2002">
        <v>1</v>
      </c>
      <c r="BL2002">
        <v>0</v>
      </c>
      <c r="BO2002">
        <v>0</v>
      </c>
      <c r="BP2002">
        <v>0</v>
      </c>
      <c r="BW2002" t="str">
        <f>"20:25:00.190"</f>
        <v>20:25:00.190</v>
      </c>
      <c r="BZ2002">
        <v>0</v>
      </c>
      <c r="CA2002">
        <v>2016</v>
      </c>
      <c r="CB2002">
        <v>224</v>
      </c>
      <c r="CD2002">
        <v>1</v>
      </c>
      <c r="CE2002">
        <v>0</v>
      </c>
      <c r="CF2002">
        <v>0</v>
      </c>
      <c r="CG2002">
        <v>1</v>
      </c>
      <c r="CH2002">
        <v>0</v>
      </c>
      <c r="CI2002">
        <v>0</v>
      </c>
      <c r="CJ2002">
        <v>0</v>
      </c>
      <c r="CK2002">
        <v>2</v>
      </c>
      <c r="CL2002">
        <v>0</v>
      </c>
      <c r="CM2002">
        <v>2</v>
      </c>
      <c r="CN2002">
        <v>0</v>
      </c>
      <c r="CO2002">
        <v>7</v>
      </c>
      <c r="CP2002" t="s">
        <v>119</v>
      </c>
      <c r="CQ2002">
        <v>180</v>
      </c>
      <c r="CR2002">
        <v>2</v>
      </c>
      <c r="CW2002">
        <v>8409426</v>
      </c>
      <c r="CY2002">
        <v>0</v>
      </c>
      <c r="CZ2002">
        <v>0</v>
      </c>
      <c r="DA2002">
        <v>1</v>
      </c>
      <c r="DB2002">
        <v>0</v>
      </c>
      <c r="DC2002">
        <v>0</v>
      </c>
      <c r="DD2002">
        <v>0</v>
      </c>
      <c r="DE2002">
        <v>0</v>
      </c>
      <c r="DF2002">
        <v>0</v>
      </c>
      <c r="DG2002">
        <v>0</v>
      </c>
      <c r="DH2002">
        <v>0</v>
      </c>
      <c r="DI2002">
        <v>0</v>
      </c>
    </row>
    <row r="2003" spans="1:113" x14ac:dyDescent="0.3">
      <c r="A2003" t="str">
        <f>"02/08/2021 20:25:02.622"</f>
        <v>02/08/2021 20:25:02.622</v>
      </c>
      <c r="C2003" t="str">
        <f t="shared" si="96"/>
        <v>FFDFD7C0</v>
      </c>
      <c r="D2003" t="s">
        <v>124</v>
      </c>
      <c r="E2003">
        <v>12</v>
      </c>
      <c r="F2003">
        <v>1012</v>
      </c>
      <c r="G2003" t="s">
        <v>675</v>
      </c>
      <c r="J2003" t="s">
        <v>125</v>
      </c>
      <c r="K2003">
        <v>0</v>
      </c>
      <c r="L2003">
        <v>3</v>
      </c>
      <c r="M2003">
        <v>0</v>
      </c>
      <c r="N2003">
        <v>2</v>
      </c>
      <c r="O2003">
        <v>1</v>
      </c>
      <c r="P2003">
        <v>0</v>
      </c>
      <c r="Q2003">
        <v>0</v>
      </c>
      <c r="S2003" t="str">
        <f>"20:25:04.930"</f>
        <v>20:25:04.930</v>
      </c>
      <c r="T2003" t="str">
        <f>"20:25:04.530"</f>
        <v>20:25:04.530</v>
      </c>
      <c r="U2003" t="str">
        <f t="shared" si="98"/>
        <v>AB01F4</v>
      </c>
      <c r="V2003">
        <v>0</v>
      </c>
      <c r="W2003">
        <v>0</v>
      </c>
      <c r="X2003">
        <v>2</v>
      </c>
      <c r="Z2003">
        <v>0</v>
      </c>
      <c r="AA2003">
        <v>9</v>
      </c>
      <c r="AB2003">
        <v>3</v>
      </c>
      <c r="AC2003">
        <v>0</v>
      </c>
      <c r="AD2003">
        <v>10</v>
      </c>
      <c r="AE2003">
        <v>0</v>
      </c>
      <c r="AF2003">
        <v>3</v>
      </c>
      <c r="AG2003">
        <v>2</v>
      </c>
      <c r="AH2003">
        <v>0</v>
      </c>
      <c r="AI2003" t="s">
        <v>1251</v>
      </c>
      <c r="AJ2003">
        <v>39.932513</v>
      </c>
      <c r="AK2003" t="s">
        <v>1252</v>
      </c>
      <c r="AL2003">
        <v>-92.627492000000004</v>
      </c>
      <c r="AM2003">
        <v>100</v>
      </c>
      <c r="AN2003">
        <v>1700</v>
      </c>
      <c r="AO2003" t="s">
        <v>118</v>
      </c>
      <c r="AP2003">
        <v>-107</v>
      </c>
      <c r="AQ2003">
        <v>78</v>
      </c>
      <c r="AR2003">
        <v>64</v>
      </c>
      <c r="AZ2003">
        <v>1200</v>
      </c>
      <c r="BA2003">
        <v>1</v>
      </c>
      <c r="BB2003" t="str">
        <f t="shared" si="97"/>
        <v xml:space="preserve">N8080G  </v>
      </c>
      <c r="BC2003">
        <v>1</v>
      </c>
      <c r="BE2003">
        <v>0</v>
      </c>
      <c r="BF2003">
        <v>0</v>
      </c>
      <c r="BG2003">
        <v>0</v>
      </c>
      <c r="BH2003">
        <v>1700</v>
      </c>
      <c r="BI2003">
        <v>1</v>
      </c>
      <c r="BJ2003">
        <v>1</v>
      </c>
      <c r="BK2003">
        <v>1</v>
      </c>
      <c r="BL2003">
        <v>0</v>
      </c>
      <c r="BO2003">
        <v>0</v>
      </c>
      <c r="BP2003">
        <v>0</v>
      </c>
      <c r="BW2003" t="str">
        <f>"20:25:04.934"</f>
        <v>20:25:04.934</v>
      </c>
      <c r="BZ2003">
        <v>0</v>
      </c>
      <c r="CA2003">
        <v>2016</v>
      </c>
      <c r="CB2003">
        <v>224</v>
      </c>
      <c r="CD2003">
        <v>1</v>
      </c>
      <c r="CE2003">
        <v>0</v>
      </c>
      <c r="CF2003">
        <v>0</v>
      </c>
      <c r="CG2003">
        <v>1</v>
      </c>
      <c r="CH2003">
        <v>0</v>
      </c>
      <c r="CI2003">
        <v>0</v>
      </c>
      <c r="CJ2003">
        <v>0</v>
      </c>
      <c r="CK2003">
        <v>2</v>
      </c>
      <c r="CL2003">
        <v>0</v>
      </c>
      <c r="CM2003">
        <v>2</v>
      </c>
      <c r="CN2003">
        <v>0</v>
      </c>
      <c r="CO2003">
        <v>7</v>
      </c>
      <c r="CP2003" t="s">
        <v>119</v>
      </c>
      <c r="CQ2003">
        <v>180</v>
      </c>
      <c r="CR2003">
        <v>2</v>
      </c>
      <c r="CW2003">
        <v>8413168</v>
      </c>
      <c r="CY2003">
        <v>0</v>
      </c>
      <c r="CZ2003">
        <v>0</v>
      </c>
      <c r="DA2003">
        <v>0</v>
      </c>
      <c r="DB2003">
        <v>0</v>
      </c>
      <c r="DC2003">
        <v>0</v>
      </c>
      <c r="DD2003">
        <v>0</v>
      </c>
      <c r="DE2003">
        <v>0</v>
      </c>
      <c r="DF2003">
        <v>0</v>
      </c>
      <c r="DG2003">
        <v>0</v>
      </c>
      <c r="DH2003">
        <v>0</v>
      </c>
      <c r="DI2003">
        <v>0</v>
      </c>
    </row>
    <row r="2004" spans="1:113" x14ac:dyDescent="0.3">
      <c r="A2004" t="str">
        <f>"02/08/2021 20:25:02.622"</f>
        <v>02/08/2021 20:25:02.622</v>
      </c>
      <c r="C2004" t="str">
        <f t="shared" si="96"/>
        <v>FFDFD7C0</v>
      </c>
      <c r="D2004" t="s">
        <v>124</v>
      </c>
      <c r="E2004">
        <v>11</v>
      </c>
      <c r="F2004">
        <v>1011</v>
      </c>
      <c r="G2004" t="s">
        <v>590</v>
      </c>
      <c r="J2004" t="s">
        <v>125</v>
      </c>
      <c r="K2004">
        <v>0</v>
      </c>
      <c r="L2004">
        <v>3</v>
      </c>
      <c r="M2004">
        <v>0</v>
      </c>
      <c r="N2004">
        <v>2</v>
      </c>
      <c r="O2004">
        <v>1</v>
      </c>
      <c r="P2004">
        <v>0</v>
      </c>
      <c r="Q2004">
        <v>0</v>
      </c>
      <c r="S2004" t="str">
        <f>"20:25:04.930"</f>
        <v>20:25:04.930</v>
      </c>
      <c r="T2004" t="str">
        <f>"20:25:04.530"</f>
        <v>20:25:04.530</v>
      </c>
      <c r="U2004" t="str">
        <f t="shared" si="98"/>
        <v>AB01F4</v>
      </c>
      <c r="V2004">
        <v>0</v>
      </c>
      <c r="W2004">
        <v>0</v>
      </c>
      <c r="X2004">
        <v>2</v>
      </c>
      <c r="Z2004">
        <v>0</v>
      </c>
      <c r="AA2004">
        <v>9</v>
      </c>
      <c r="AB2004">
        <v>3</v>
      </c>
      <c r="AC2004">
        <v>0</v>
      </c>
      <c r="AD2004">
        <v>10</v>
      </c>
      <c r="AE2004">
        <v>0</v>
      </c>
      <c r="AF2004">
        <v>3</v>
      </c>
      <c r="AG2004">
        <v>2</v>
      </c>
      <c r="AH2004">
        <v>0</v>
      </c>
      <c r="AI2004" t="s">
        <v>1251</v>
      </c>
      <c r="AJ2004">
        <v>39.932513</v>
      </c>
      <c r="AK2004" t="s">
        <v>1252</v>
      </c>
      <c r="AL2004">
        <v>-92.627492000000004</v>
      </c>
      <c r="AM2004">
        <v>100</v>
      </c>
      <c r="AN2004">
        <v>1700</v>
      </c>
      <c r="AO2004" t="s">
        <v>118</v>
      </c>
      <c r="AP2004">
        <v>-107</v>
      </c>
      <c r="AQ2004">
        <v>78</v>
      </c>
      <c r="AR2004">
        <v>64</v>
      </c>
      <c r="AZ2004">
        <v>1200</v>
      </c>
      <c r="BA2004">
        <v>1</v>
      </c>
      <c r="BB2004" t="str">
        <f t="shared" si="97"/>
        <v xml:space="preserve">N8080G  </v>
      </c>
      <c r="BC2004">
        <v>1</v>
      </c>
      <c r="BE2004">
        <v>0</v>
      </c>
      <c r="BF2004">
        <v>0</v>
      </c>
      <c r="BG2004">
        <v>0</v>
      </c>
      <c r="BH2004">
        <v>1700</v>
      </c>
      <c r="BI2004">
        <v>1</v>
      </c>
      <c r="BJ2004">
        <v>1</v>
      </c>
      <c r="BK2004">
        <v>1</v>
      </c>
      <c r="BL2004">
        <v>0</v>
      </c>
      <c r="BO2004">
        <v>0</v>
      </c>
      <c r="BP2004">
        <v>0</v>
      </c>
      <c r="BW2004" t="str">
        <f>"20:25:04.934"</f>
        <v>20:25:04.934</v>
      </c>
      <c r="BZ2004">
        <v>0</v>
      </c>
      <c r="CA2004">
        <v>2016</v>
      </c>
      <c r="CB2004">
        <v>224</v>
      </c>
      <c r="CD2004">
        <v>1</v>
      </c>
      <c r="CE2004">
        <v>0</v>
      </c>
      <c r="CF2004">
        <v>0</v>
      </c>
      <c r="CG2004">
        <v>1</v>
      </c>
      <c r="CH2004">
        <v>0</v>
      </c>
      <c r="CI2004">
        <v>0</v>
      </c>
      <c r="CJ2004">
        <v>0</v>
      </c>
      <c r="CK2004">
        <v>2</v>
      </c>
      <c r="CL2004">
        <v>0</v>
      </c>
      <c r="CM2004">
        <v>2</v>
      </c>
      <c r="CN2004">
        <v>0</v>
      </c>
      <c r="CO2004">
        <v>7</v>
      </c>
      <c r="CP2004" t="s">
        <v>119</v>
      </c>
      <c r="CQ2004">
        <v>180</v>
      </c>
      <c r="CR2004">
        <v>2</v>
      </c>
      <c r="CW2004">
        <v>8413168</v>
      </c>
      <c r="CY2004">
        <v>0</v>
      </c>
      <c r="CZ2004">
        <v>0</v>
      </c>
      <c r="DA2004">
        <v>1</v>
      </c>
      <c r="DB2004">
        <v>0</v>
      </c>
      <c r="DC2004">
        <v>0</v>
      </c>
      <c r="DD2004">
        <v>0</v>
      </c>
      <c r="DE2004">
        <v>0</v>
      </c>
      <c r="DF2004">
        <v>0</v>
      </c>
      <c r="DG2004">
        <v>0</v>
      </c>
      <c r="DH2004">
        <v>0</v>
      </c>
      <c r="DI2004">
        <v>0</v>
      </c>
    </row>
    <row r="2005" spans="1:113" x14ac:dyDescent="0.3">
      <c r="A2005" t="str">
        <f>"02/08/2021 20:25:02.622"</f>
        <v>02/08/2021 20:25:02.622</v>
      </c>
      <c r="C2005" t="str">
        <f t="shared" si="96"/>
        <v>FFDFD7C0</v>
      </c>
      <c r="D2005" t="s">
        <v>113</v>
      </c>
      <c r="E2005">
        <v>6</v>
      </c>
      <c r="H2005">
        <v>165</v>
      </c>
      <c r="I2005" t="s">
        <v>114</v>
      </c>
      <c r="J2005" t="s">
        <v>115</v>
      </c>
      <c r="K2005">
        <v>0</v>
      </c>
      <c r="L2005">
        <v>3</v>
      </c>
      <c r="M2005">
        <v>0</v>
      </c>
      <c r="N2005">
        <v>2</v>
      </c>
      <c r="O2005">
        <v>1</v>
      </c>
      <c r="P2005">
        <v>0</v>
      </c>
      <c r="Q2005">
        <v>0</v>
      </c>
      <c r="S2005" t="str">
        <f>"20:25:04.930"</f>
        <v>20:25:04.930</v>
      </c>
      <c r="T2005" t="str">
        <f>"20:25:04.530"</f>
        <v>20:25:04.530</v>
      </c>
      <c r="U2005" t="str">
        <f t="shared" si="98"/>
        <v>AB01F4</v>
      </c>
      <c r="V2005">
        <v>0</v>
      </c>
      <c r="W2005">
        <v>0</v>
      </c>
      <c r="X2005">
        <v>2</v>
      </c>
      <c r="Z2005">
        <v>0</v>
      </c>
      <c r="AA2005">
        <v>9</v>
      </c>
      <c r="AB2005">
        <v>3</v>
      </c>
      <c r="AC2005">
        <v>0</v>
      </c>
      <c r="AD2005">
        <v>10</v>
      </c>
      <c r="AE2005">
        <v>0</v>
      </c>
      <c r="AF2005">
        <v>3</v>
      </c>
      <c r="AG2005">
        <v>2</v>
      </c>
      <c r="AH2005">
        <v>0</v>
      </c>
      <c r="AI2005" t="s">
        <v>1251</v>
      </c>
      <c r="AJ2005">
        <v>39.932513</v>
      </c>
      <c r="AK2005" t="s">
        <v>1252</v>
      </c>
      <c r="AL2005">
        <v>-92.627492000000004</v>
      </c>
      <c r="AM2005">
        <v>100</v>
      </c>
      <c r="AN2005">
        <v>1700</v>
      </c>
      <c r="AO2005" t="s">
        <v>118</v>
      </c>
      <c r="AP2005">
        <v>-107</v>
      </c>
      <c r="AQ2005">
        <v>78</v>
      </c>
      <c r="AR2005">
        <v>64</v>
      </c>
      <c r="AZ2005">
        <v>1200</v>
      </c>
      <c r="BA2005">
        <v>1</v>
      </c>
      <c r="BB2005" t="str">
        <f t="shared" si="97"/>
        <v xml:space="preserve">N8080G  </v>
      </c>
      <c r="BC2005">
        <v>1</v>
      </c>
      <c r="BE2005">
        <v>0</v>
      </c>
      <c r="BF2005">
        <v>0</v>
      </c>
      <c r="BG2005">
        <v>0</v>
      </c>
      <c r="BH2005">
        <v>1700</v>
      </c>
      <c r="BI2005">
        <v>1</v>
      </c>
      <c r="BJ2005">
        <v>1</v>
      </c>
      <c r="BK2005">
        <v>1</v>
      </c>
      <c r="BL2005">
        <v>0</v>
      </c>
      <c r="BO2005">
        <v>0</v>
      </c>
      <c r="BP2005">
        <v>0</v>
      </c>
      <c r="BW2005" t="str">
        <f>"20:25:04.934"</f>
        <v>20:25:04.934</v>
      </c>
      <c r="BZ2005">
        <v>0</v>
      </c>
      <c r="CA2005">
        <v>2016</v>
      </c>
      <c r="CB2005">
        <v>224</v>
      </c>
      <c r="CD2005">
        <v>1</v>
      </c>
      <c r="CE2005">
        <v>0</v>
      </c>
      <c r="CF2005">
        <v>0</v>
      </c>
      <c r="CG2005">
        <v>1</v>
      </c>
      <c r="CH2005">
        <v>0</v>
      </c>
      <c r="CI2005">
        <v>0</v>
      </c>
      <c r="CJ2005">
        <v>0</v>
      </c>
      <c r="CK2005">
        <v>2</v>
      </c>
      <c r="CL2005">
        <v>0</v>
      </c>
      <c r="CM2005">
        <v>2</v>
      </c>
      <c r="CN2005">
        <v>0</v>
      </c>
      <c r="CO2005">
        <v>7</v>
      </c>
      <c r="CP2005" t="s">
        <v>119</v>
      </c>
      <c r="CQ2005">
        <v>180</v>
      </c>
      <c r="CR2005">
        <v>2</v>
      </c>
      <c r="CW2005">
        <v>8413168</v>
      </c>
      <c r="CY2005">
        <v>0</v>
      </c>
      <c r="CZ2005">
        <v>0</v>
      </c>
      <c r="DA2005">
        <v>1</v>
      </c>
      <c r="DB2005">
        <v>0</v>
      </c>
      <c r="DC2005">
        <v>0</v>
      </c>
      <c r="DD2005">
        <v>0</v>
      </c>
      <c r="DE2005">
        <v>0</v>
      </c>
      <c r="DF2005">
        <v>0</v>
      </c>
      <c r="DG2005">
        <v>0</v>
      </c>
      <c r="DH2005">
        <v>0</v>
      </c>
      <c r="DI2005">
        <v>0</v>
      </c>
    </row>
    <row r="2006" spans="1:113" x14ac:dyDescent="0.3">
      <c r="A2006" t="str">
        <f>"02/08/2021 20:25:02.622"</f>
        <v>02/08/2021 20:25:02.622</v>
      </c>
      <c r="C2006" t="str">
        <f t="shared" si="96"/>
        <v>FFDFD7C0</v>
      </c>
      <c r="D2006" t="s">
        <v>124</v>
      </c>
      <c r="E2006">
        <v>13</v>
      </c>
      <c r="F2006">
        <v>1013</v>
      </c>
      <c r="G2006" t="s">
        <v>114</v>
      </c>
      <c r="J2006" t="s">
        <v>125</v>
      </c>
      <c r="K2006">
        <v>0</v>
      </c>
      <c r="L2006">
        <v>3</v>
      </c>
      <c r="M2006">
        <v>0</v>
      </c>
      <c r="N2006">
        <v>2</v>
      </c>
      <c r="O2006">
        <v>1</v>
      </c>
      <c r="P2006">
        <v>0</v>
      </c>
      <c r="Q2006">
        <v>0</v>
      </c>
      <c r="S2006" t="str">
        <f>"20:25:04.930"</f>
        <v>20:25:04.930</v>
      </c>
      <c r="T2006" t="str">
        <f>"20:25:04.530"</f>
        <v>20:25:04.530</v>
      </c>
      <c r="U2006" t="str">
        <f t="shared" si="98"/>
        <v>AB01F4</v>
      </c>
      <c r="V2006">
        <v>0</v>
      </c>
      <c r="W2006">
        <v>0</v>
      </c>
      <c r="X2006">
        <v>2</v>
      </c>
      <c r="Z2006">
        <v>0</v>
      </c>
      <c r="AA2006">
        <v>9</v>
      </c>
      <c r="AB2006">
        <v>3</v>
      </c>
      <c r="AC2006">
        <v>0</v>
      </c>
      <c r="AD2006">
        <v>10</v>
      </c>
      <c r="AE2006">
        <v>0</v>
      </c>
      <c r="AF2006">
        <v>3</v>
      </c>
      <c r="AG2006">
        <v>2</v>
      </c>
      <c r="AH2006">
        <v>0</v>
      </c>
      <c r="AI2006" t="s">
        <v>1251</v>
      </c>
      <c r="AJ2006">
        <v>39.932513</v>
      </c>
      <c r="AK2006" t="s">
        <v>1252</v>
      </c>
      <c r="AL2006">
        <v>-92.627492000000004</v>
      </c>
      <c r="AM2006">
        <v>100</v>
      </c>
      <c r="AN2006">
        <v>1700</v>
      </c>
      <c r="AO2006" t="s">
        <v>118</v>
      </c>
      <c r="AP2006">
        <v>-107</v>
      </c>
      <c r="AQ2006">
        <v>78</v>
      </c>
      <c r="AR2006">
        <v>64</v>
      </c>
      <c r="AZ2006">
        <v>1200</v>
      </c>
      <c r="BA2006">
        <v>1</v>
      </c>
      <c r="BB2006" t="str">
        <f t="shared" si="97"/>
        <v xml:space="preserve">N8080G  </v>
      </c>
      <c r="BC2006">
        <v>1</v>
      </c>
      <c r="BE2006">
        <v>0</v>
      </c>
      <c r="BF2006">
        <v>0</v>
      </c>
      <c r="BG2006">
        <v>0</v>
      </c>
      <c r="BH2006">
        <v>1700</v>
      </c>
      <c r="BI2006">
        <v>1</v>
      </c>
      <c r="BJ2006">
        <v>1</v>
      </c>
      <c r="BK2006">
        <v>1</v>
      </c>
      <c r="BL2006">
        <v>0</v>
      </c>
      <c r="BO2006">
        <v>0</v>
      </c>
      <c r="BP2006">
        <v>0</v>
      </c>
      <c r="BW2006" t="str">
        <f>"20:25:04.934"</f>
        <v>20:25:04.934</v>
      </c>
      <c r="BZ2006">
        <v>0</v>
      </c>
      <c r="CA2006">
        <v>2016</v>
      </c>
      <c r="CB2006">
        <v>224</v>
      </c>
      <c r="CD2006">
        <v>1</v>
      </c>
      <c r="CE2006">
        <v>0</v>
      </c>
      <c r="CF2006">
        <v>0</v>
      </c>
      <c r="CG2006">
        <v>1</v>
      </c>
      <c r="CH2006">
        <v>0</v>
      </c>
      <c r="CI2006">
        <v>0</v>
      </c>
      <c r="CJ2006">
        <v>0</v>
      </c>
      <c r="CK2006">
        <v>2</v>
      </c>
      <c r="CL2006">
        <v>0</v>
      </c>
      <c r="CM2006">
        <v>2</v>
      </c>
      <c r="CN2006">
        <v>0</v>
      </c>
      <c r="CO2006">
        <v>7</v>
      </c>
      <c r="CP2006" t="s">
        <v>119</v>
      </c>
      <c r="CQ2006">
        <v>180</v>
      </c>
      <c r="CR2006">
        <v>2</v>
      </c>
      <c r="CW2006">
        <v>8413168</v>
      </c>
      <c r="CY2006">
        <v>0</v>
      </c>
      <c r="CZ2006">
        <v>0</v>
      </c>
      <c r="DA2006">
        <v>1</v>
      </c>
      <c r="DB2006">
        <v>0</v>
      </c>
      <c r="DC2006">
        <v>0</v>
      </c>
      <c r="DD2006">
        <v>0</v>
      </c>
      <c r="DE2006">
        <v>0</v>
      </c>
      <c r="DF2006">
        <v>0</v>
      </c>
      <c r="DG2006">
        <v>0</v>
      </c>
      <c r="DH2006">
        <v>0</v>
      </c>
      <c r="DI2006">
        <v>0</v>
      </c>
    </row>
    <row r="2007" spans="1:113" x14ac:dyDescent="0.3">
      <c r="A2007" t="str">
        <f>"02/08/2021 20:25:03.677"</f>
        <v>02/08/2021 20:25:03.677</v>
      </c>
      <c r="C2007" t="str">
        <f t="shared" si="96"/>
        <v>FFDFD7C0</v>
      </c>
      <c r="D2007" t="s">
        <v>124</v>
      </c>
      <c r="E2007">
        <v>12</v>
      </c>
      <c r="F2007">
        <v>1012</v>
      </c>
      <c r="G2007" t="s">
        <v>675</v>
      </c>
      <c r="J2007" t="s">
        <v>125</v>
      </c>
      <c r="K2007">
        <v>0</v>
      </c>
      <c r="L2007">
        <v>3</v>
      </c>
      <c r="M2007">
        <v>0</v>
      </c>
      <c r="N2007">
        <v>2</v>
      </c>
      <c r="O2007">
        <v>1</v>
      </c>
      <c r="P2007">
        <v>0</v>
      </c>
      <c r="Q2007">
        <v>0</v>
      </c>
      <c r="S2007" t="str">
        <f>"20:25:05.984"</f>
        <v>20:25:05.984</v>
      </c>
      <c r="T2007" t="str">
        <f>"20:25:04.984"</f>
        <v>20:25:04.984</v>
      </c>
      <c r="U2007" t="str">
        <f t="shared" si="98"/>
        <v>AB01F4</v>
      </c>
      <c r="V2007">
        <v>0</v>
      </c>
      <c r="W2007">
        <v>0</v>
      </c>
      <c r="X2007">
        <v>2</v>
      </c>
      <c r="Z2007">
        <v>0</v>
      </c>
      <c r="AA2007">
        <v>9</v>
      </c>
      <c r="AB2007">
        <v>3</v>
      </c>
      <c r="AC2007">
        <v>0</v>
      </c>
      <c r="AD2007">
        <v>10</v>
      </c>
      <c r="AE2007">
        <v>0</v>
      </c>
      <c r="AF2007">
        <v>3</v>
      </c>
      <c r="AG2007">
        <v>2</v>
      </c>
      <c r="AH2007">
        <v>0</v>
      </c>
      <c r="AI2007" t="s">
        <v>1253</v>
      </c>
      <c r="AJ2007">
        <v>39.932878000000002</v>
      </c>
      <c r="AK2007" t="s">
        <v>1254</v>
      </c>
      <c r="AL2007">
        <v>-92.628179000000003</v>
      </c>
      <c r="AM2007">
        <v>100</v>
      </c>
      <c r="AN2007">
        <v>1700</v>
      </c>
      <c r="AO2007" t="s">
        <v>118</v>
      </c>
      <c r="AP2007">
        <v>-107</v>
      </c>
      <c r="AQ2007">
        <v>78</v>
      </c>
      <c r="AR2007">
        <v>128</v>
      </c>
      <c r="AZ2007">
        <v>1200</v>
      </c>
      <c r="BA2007">
        <v>1</v>
      </c>
      <c r="BB2007" t="str">
        <f t="shared" si="97"/>
        <v xml:space="preserve">N8080G  </v>
      </c>
      <c r="BC2007">
        <v>1</v>
      </c>
      <c r="BE2007">
        <v>0</v>
      </c>
      <c r="BF2007">
        <v>0</v>
      </c>
      <c r="BG2007">
        <v>0</v>
      </c>
      <c r="BH2007">
        <v>1700</v>
      </c>
      <c r="BI2007">
        <v>1</v>
      </c>
      <c r="BJ2007">
        <v>1</v>
      </c>
      <c r="BK2007">
        <v>1</v>
      </c>
      <c r="BL2007">
        <v>0</v>
      </c>
      <c r="BO2007">
        <v>0</v>
      </c>
      <c r="BP2007">
        <v>0</v>
      </c>
      <c r="BW2007" t="str">
        <f>"20:25:05.987"</f>
        <v>20:25:05.987</v>
      </c>
      <c r="BZ2007">
        <v>0</v>
      </c>
      <c r="CA2007">
        <v>2016</v>
      </c>
      <c r="CB2007">
        <v>224</v>
      </c>
      <c r="CD2007">
        <v>1</v>
      </c>
      <c r="CE2007">
        <v>0</v>
      </c>
      <c r="CF2007">
        <v>0</v>
      </c>
      <c r="CG2007">
        <v>1</v>
      </c>
      <c r="CH2007">
        <v>0</v>
      </c>
      <c r="CI2007">
        <v>0</v>
      </c>
      <c r="CJ2007">
        <v>0</v>
      </c>
      <c r="CK2007">
        <v>2</v>
      </c>
      <c r="CL2007">
        <v>0</v>
      </c>
      <c r="CM2007">
        <v>2</v>
      </c>
      <c r="CN2007">
        <v>0</v>
      </c>
      <c r="CO2007">
        <v>2</v>
      </c>
      <c r="CP2007" t="s">
        <v>119</v>
      </c>
      <c r="CQ2007">
        <v>179</v>
      </c>
      <c r="CR2007">
        <v>1</v>
      </c>
      <c r="CW2007">
        <v>8851640</v>
      </c>
      <c r="CY2007">
        <v>0</v>
      </c>
      <c r="CZ2007">
        <v>0</v>
      </c>
      <c r="DA2007">
        <v>0</v>
      </c>
      <c r="DB2007">
        <v>0</v>
      </c>
      <c r="DC2007">
        <v>0</v>
      </c>
      <c r="DD2007">
        <v>0</v>
      </c>
      <c r="DE2007">
        <v>0</v>
      </c>
      <c r="DF2007">
        <v>0</v>
      </c>
      <c r="DG2007">
        <v>0</v>
      </c>
      <c r="DH2007">
        <v>0</v>
      </c>
      <c r="DI2007">
        <v>0</v>
      </c>
    </row>
    <row r="2008" spans="1:113" x14ac:dyDescent="0.3">
      <c r="A2008" t="str">
        <f>"02/08/2021 20:25:03.677"</f>
        <v>02/08/2021 20:25:03.677</v>
      </c>
      <c r="C2008" t="str">
        <f t="shared" si="96"/>
        <v>FFDFD7C0</v>
      </c>
      <c r="D2008" t="s">
        <v>124</v>
      </c>
      <c r="E2008">
        <v>11</v>
      </c>
      <c r="F2008">
        <v>1011</v>
      </c>
      <c r="G2008" t="s">
        <v>590</v>
      </c>
      <c r="J2008" t="s">
        <v>125</v>
      </c>
      <c r="K2008">
        <v>0</v>
      </c>
      <c r="L2008">
        <v>3</v>
      </c>
      <c r="M2008">
        <v>0</v>
      </c>
      <c r="N2008">
        <v>2</v>
      </c>
      <c r="O2008">
        <v>1</v>
      </c>
      <c r="P2008">
        <v>0</v>
      </c>
      <c r="Q2008">
        <v>0</v>
      </c>
      <c r="S2008" t="str">
        <f>"20:25:05.984"</f>
        <v>20:25:05.984</v>
      </c>
      <c r="T2008" t="str">
        <f>"20:25:04.984"</f>
        <v>20:25:04.984</v>
      </c>
      <c r="U2008" t="str">
        <f t="shared" si="98"/>
        <v>AB01F4</v>
      </c>
      <c r="V2008">
        <v>0</v>
      </c>
      <c r="W2008">
        <v>0</v>
      </c>
      <c r="X2008">
        <v>2</v>
      </c>
      <c r="Z2008">
        <v>0</v>
      </c>
      <c r="AA2008">
        <v>9</v>
      </c>
      <c r="AB2008">
        <v>3</v>
      </c>
      <c r="AC2008">
        <v>0</v>
      </c>
      <c r="AD2008">
        <v>10</v>
      </c>
      <c r="AE2008">
        <v>0</v>
      </c>
      <c r="AF2008">
        <v>3</v>
      </c>
      <c r="AG2008">
        <v>2</v>
      </c>
      <c r="AH2008">
        <v>0</v>
      </c>
      <c r="AI2008" t="s">
        <v>1253</v>
      </c>
      <c r="AJ2008">
        <v>39.932878000000002</v>
      </c>
      <c r="AK2008" t="s">
        <v>1254</v>
      </c>
      <c r="AL2008">
        <v>-92.628179000000003</v>
      </c>
      <c r="AM2008">
        <v>100</v>
      </c>
      <c r="AN2008">
        <v>1700</v>
      </c>
      <c r="AO2008" t="s">
        <v>118</v>
      </c>
      <c r="AP2008">
        <v>-107</v>
      </c>
      <c r="AQ2008">
        <v>78</v>
      </c>
      <c r="AR2008">
        <v>128</v>
      </c>
      <c r="AZ2008">
        <v>1200</v>
      </c>
      <c r="BA2008">
        <v>1</v>
      </c>
      <c r="BB2008" t="str">
        <f t="shared" si="97"/>
        <v xml:space="preserve">N8080G  </v>
      </c>
      <c r="BC2008">
        <v>1</v>
      </c>
      <c r="BE2008">
        <v>0</v>
      </c>
      <c r="BF2008">
        <v>0</v>
      </c>
      <c r="BG2008">
        <v>0</v>
      </c>
      <c r="BH2008">
        <v>1700</v>
      </c>
      <c r="BI2008">
        <v>1</v>
      </c>
      <c r="BJ2008">
        <v>1</v>
      </c>
      <c r="BK2008">
        <v>1</v>
      </c>
      <c r="BL2008">
        <v>0</v>
      </c>
      <c r="BO2008">
        <v>0</v>
      </c>
      <c r="BP2008">
        <v>0</v>
      </c>
      <c r="BW2008" t="str">
        <f>"20:25:05.987"</f>
        <v>20:25:05.987</v>
      </c>
      <c r="BZ2008">
        <v>0</v>
      </c>
      <c r="CA2008">
        <v>2016</v>
      </c>
      <c r="CB2008">
        <v>224</v>
      </c>
      <c r="CD2008">
        <v>1</v>
      </c>
      <c r="CE2008">
        <v>0</v>
      </c>
      <c r="CF2008">
        <v>0</v>
      </c>
      <c r="CG2008">
        <v>1</v>
      </c>
      <c r="CH2008">
        <v>0</v>
      </c>
      <c r="CI2008">
        <v>0</v>
      </c>
      <c r="CJ2008">
        <v>0</v>
      </c>
      <c r="CK2008">
        <v>2</v>
      </c>
      <c r="CL2008">
        <v>0</v>
      </c>
      <c r="CM2008">
        <v>2</v>
      </c>
      <c r="CN2008">
        <v>0</v>
      </c>
      <c r="CO2008">
        <v>2</v>
      </c>
      <c r="CP2008" t="s">
        <v>119</v>
      </c>
      <c r="CQ2008">
        <v>179</v>
      </c>
      <c r="CR2008">
        <v>1</v>
      </c>
      <c r="CW2008">
        <v>8851640</v>
      </c>
      <c r="CY2008">
        <v>0</v>
      </c>
      <c r="CZ2008">
        <v>0</v>
      </c>
      <c r="DA2008">
        <v>1</v>
      </c>
      <c r="DB2008">
        <v>0</v>
      </c>
      <c r="DC2008">
        <v>0</v>
      </c>
      <c r="DD2008">
        <v>0</v>
      </c>
      <c r="DE2008">
        <v>0</v>
      </c>
      <c r="DF2008">
        <v>0</v>
      </c>
      <c r="DG2008">
        <v>0</v>
      </c>
      <c r="DH2008">
        <v>0</v>
      </c>
      <c r="DI2008">
        <v>0</v>
      </c>
    </row>
    <row r="2009" spans="1:113" x14ac:dyDescent="0.3">
      <c r="A2009" t="str">
        <f>"02/08/2021 20:25:03.677"</f>
        <v>02/08/2021 20:25:03.677</v>
      </c>
      <c r="C2009" t="str">
        <f t="shared" si="96"/>
        <v>FFDFD7C0</v>
      </c>
      <c r="D2009" t="s">
        <v>113</v>
      </c>
      <c r="E2009">
        <v>6</v>
      </c>
      <c r="H2009">
        <v>165</v>
      </c>
      <c r="I2009" t="s">
        <v>114</v>
      </c>
      <c r="J2009" t="s">
        <v>115</v>
      </c>
      <c r="K2009">
        <v>0</v>
      </c>
      <c r="L2009">
        <v>3</v>
      </c>
      <c r="M2009">
        <v>0</v>
      </c>
      <c r="N2009">
        <v>2</v>
      </c>
      <c r="O2009">
        <v>1</v>
      </c>
      <c r="P2009">
        <v>0</v>
      </c>
      <c r="Q2009">
        <v>0</v>
      </c>
      <c r="S2009" t="str">
        <f>"20:25:05.984"</f>
        <v>20:25:05.984</v>
      </c>
      <c r="T2009" t="str">
        <f>"20:25:04.984"</f>
        <v>20:25:04.984</v>
      </c>
      <c r="U2009" t="str">
        <f t="shared" si="98"/>
        <v>AB01F4</v>
      </c>
      <c r="V2009">
        <v>0</v>
      </c>
      <c r="W2009">
        <v>0</v>
      </c>
      <c r="X2009">
        <v>2</v>
      </c>
      <c r="Z2009">
        <v>0</v>
      </c>
      <c r="AA2009">
        <v>9</v>
      </c>
      <c r="AB2009">
        <v>3</v>
      </c>
      <c r="AC2009">
        <v>0</v>
      </c>
      <c r="AD2009">
        <v>10</v>
      </c>
      <c r="AE2009">
        <v>0</v>
      </c>
      <c r="AF2009">
        <v>3</v>
      </c>
      <c r="AG2009">
        <v>2</v>
      </c>
      <c r="AH2009">
        <v>0</v>
      </c>
      <c r="AI2009" t="s">
        <v>1253</v>
      </c>
      <c r="AJ2009">
        <v>39.932878000000002</v>
      </c>
      <c r="AK2009" t="s">
        <v>1254</v>
      </c>
      <c r="AL2009">
        <v>-92.628179000000003</v>
      </c>
      <c r="AM2009">
        <v>100</v>
      </c>
      <c r="AN2009">
        <v>1700</v>
      </c>
      <c r="AO2009" t="s">
        <v>118</v>
      </c>
      <c r="AP2009">
        <v>-107</v>
      </c>
      <c r="AQ2009">
        <v>78</v>
      </c>
      <c r="AR2009">
        <v>128</v>
      </c>
      <c r="AZ2009">
        <v>1200</v>
      </c>
      <c r="BA2009">
        <v>1</v>
      </c>
      <c r="BB2009" t="str">
        <f t="shared" si="97"/>
        <v xml:space="preserve">N8080G  </v>
      </c>
      <c r="BC2009">
        <v>1</v>
      </c>
      <c r="BE2009">
        <v>0</v>
      </c>
      <c r="BF2009">
        <v>0</v>
      </c>
      <c r="BG2009">
        <v>0</v>
      </c>
      <c r="BH2009">
        <v>1700</v>
      </c>
      <c r="BI2009">
        <v>1</v>
      </c>
      <c r="BJ2009">
        <v>1</v>
      </c>
      <c r="BK2009">
        <v>1</v>
      </c>
      <c r="BL2009">
        <v>0</v>
      </c>
      <c r="BO2009">
        <v>0</v>
      </c>
      <c r="BP2009">
        <v>0</v>
      </c>
      <c r="BW2009" t="str">
        <f>"20:25:05.987"</f>
        <v>20:25:05.987</v>
      </c>
      <c r="BZ2009">
        <v>0</v>
      </c>
      <c r="CA2009">
        <v>2016</v>
      </c>
      <c r="CB2009">
        <v>224</v>
      </c>
      <c r="CD2009">
        <v>1</v>
      </c>
      <c r="CE2009">
        <v>0</v>
      </c>
      <c r="CF2009">
        <v>0</v>
      </c>
      <c r="CG2009">
        <v>1</v>
      </c>
      <c r="CH2009">
        <v>0</v>
      </c>
      <c r="CI2009">
        <v>0</v>
      </c>
      <c r="CJ2009">
        <v>0</v>
      </c>
      <c r="CK2009">
        <v>2</v>
      </c>
      <c r="CL2009">
        <v>0</v>
      </c>
      <c r="CM2009">
        <v>2</v>
      </c>
      <c r="CN2009">
        <v>0</v>
      </c>
      <c r="CO2009">
        <v>2</v>
      </c>
      <c r="CP2009" t="s">
        <v>119</v>
      </c>
      <c r="CQ2009">
        <v>179</v>
      </c>
      <c r="CR2009">
        <v>1</v>
      </c>
      <c r="CW2009">
        <v>8851640</v>
      </c>
      <c r="CY2009">
        <v>0</v>
      </c>
      <c r="CZ2009">
        <v>0</v>
      </c>
      <c r="DA2009">
        <v>1</v>
      </c>
      <c r="DB2009">
        <v>0</v>
      </c>
      <c r="DC2009">
        <v>0</v>
      </c>
      <c r="DD2009">
        <v>0</v>
      </c>
      <c r="DE2009">
        <v>0</v>
      </c>
      <c r="DF2009">
        <v>0</v>
      </c>
      <c r="DG2009">
        <v>0</v>
      </c>
      <c r="DH2009">
        <v>0</v>
      </c>
      <c r="DI2009">
        <v>0</v>
      </c>
    </row>
    <row r="2010" spans="1:113" x14ac:dyDescent="0.3">
      <c r="A2010" t="str">
        <f>"02/08/2021 20:25:03.677"</f>
        <v>02/08/2021 20:25:03.677</v>
      </c>
      <c r="C2010" t="str">
        <f t="shared" si="96"/>
        <v>FFDFD7C0</v>
      </c>
      <c r="D2010" t="s">
        <v>124</v>
      </c>
      <c r="E2010">
        <v>13</v>
      </c>
      <c r="F2010">
        <v>1013</v>
      </c>
      <c r="G2010" t="s">
        <v>114</v>
      </c>
      <c r="J2010" t="s">
        <v>125</v>
      </c>
      <c r="K2010">
        <v>0</v>
      </c>
      <c r="L2010">
        <v>3</v>
      </c>
      <c r="M2010">
        <v>0</v>
      </c>
      <c r="N2010">
        <v>2</v>
      </c>
      <c r="O2010">
        <v>1</v>
      </c>
      <c r="P2010">
        <v>0</v>
      </c>
      <c r="Q2010">
        <v>0</v>
      </c>
      <c r="S2010" t="str">
        <f>"20:25:05.984"</f>
        <v>20:25:05.984</v>
      </c>
      <c r="T2010" t="str">
        <f>"20:25:04.984"</f>
        <v>20:25:04.984</v>
      </c>
      <c r="U2010" t="str">
        <f t="shared" si="98"/>
        <v>AB01F4</v>
      </c>
      <c r="V2010">
        <v>0</v>
      </c>
      <c r="W2010">
        <v>0</v>
      </c>
      <c r="X2010">
        <v>2</v>
      </c>
      <c r="Z2010">
        <v>0</v>
      </c>
      <c r="AA2010">
        <v>9</v>
      </c>
      <c r="AB2010">
        <v>3</v>
      </c>
      <c r="AC2010">
        <v>0</v>
      </c>
      <c r="AD2010">
        <v>10</v>
      </c>
      <c r="AE2010">
        <v>0</v>
      </c>
      <c r="AF2010">
        <v>3</v>
      </c>
      <c r="AG2010">
        <v>2</v>
      </c>
      <c r="AH2010">
        <v>0</v>
      </c>
      <c r="AI2010" t="s">
        <v>1253</v>
      </c>
      <c r="AJ2010">
        <v>39.932878000000002</v>
      </c>
      <c r="AK2010" t="s">
        <v>1254</v>
      </c>
      <c r="AL2010">
        <v>-92.628179000000003</v>
      </c>
      <c r="AM2010">
        <v>100</v>
      </c>
      <c r="AN2010">
        <v>1700</v>
      </c>
      <c r="AO2010" t="s">
        <v>118</v>
      </c>
      <c r="AP2010">
        <v>-107</v>
      </c>
      <c r="AQ2010">
        <v>78</v>
      </c>
      <c r="AR2010">
        <v>128</v>
      </c>
      <c r="AZ2010">
        <v>1200</v>
      </c>
      <c r="BA2010">
        <v>1</v>
      </c>
      <c r="BB2010" t="str">
        <f t="shared" si="97"/>
        <v xml:space="preserve">N8080G  </v>
      </c>
      <c r="BC2010">
        <v>1</v>
      </c>
      <c r="BE2010">
        <v>0</v>
      </c>
      <c r="BF2010">
        <v>0</v>
      </c>
      <c r="BG2010">
        <v>0</v>
      </c>
      <c r="BH2010">
        <v>1700</v>
      </c>
      <c r="BI2010">
        <v>1</v>
      </c>
      <c r="BJ2010">
        <v>1</v>
      </c>
      <c r="BK2010">
        <v>1</v>
      </c>
      <c r="BL2010">
        <v>0</v>
      </c>
      <c r="BO2010">
        <v>0</v>
      </c>
      <c r="BP2010">
        <v>0</v>
      </c>
      <c r="BW2010" t="str">
        <f>"20:25:05.987"</f>
        <v>20:25:05.987</v>
      </c>
      <c r="BZ2010">
        <v>0</v>
      </c>
      <c r="CA2010">
        <v>2016</v>
      </c>
      <c r="CB2010">
        <v>224</v>
      </c>
      <c r="CD2010">
        <v>1</v>
      </c>
      <c r="CE2010">
        <v>0</v>
      </c>
      <c r="CF2010">
        <v>0</v>
      </c>
      <c r="CG2010">
        <v>1</v>
      </c>
      <c r="CH2010">
        <v>0</v>
      </c>
      <c r="CI2010">
        <v>0</v>
      </c>
      <c r="CJ2010">
        <v>0</v>
      </c>
      <c r="CK2010">
        <v>2</v>
      </c>
      <c r="CL2010">
        <v>0</v>
      </c>
      <c r="CM2010">
        <v>2</v>
      </c>
      <c r="CN2010">
        <v>0</v>
      </c>
      <c r="CO2010">
        <v>2</v>
      </c>
      <c r="CP2010" t="s">
        <v>119</v>
      </c>
      <c r="CQ2010">
        <v>179</v>
      </c>
      <c r="CR2010">
        <v>1</v>
      </c>
      <c r="CW2010">
        <v>8851640</v>
      </c>
      <c r="CY2010">
        <v>0</v>
      </c>
      <c r="CZ2010">
        <v>0</v>
      </c>
      <c r="DA2010">
        <v>1</v>
      </c>
      <c r="DB2010">
        <v>0</v>
      </c>
      <c r="DC2010">
        <v>0</v>
      </c>
      <c r="DD2010">
        <v>0</v>
      </c>
      <c r="DE2010">
        <v>0</v>
      </c>
      <c r="DF2010">
        <v>0</v>
      </c>
      <c r="DG2010">
        <v>0</v>
      </c>
      <c r="DH2010">
        <v>0</v>
      </c>
      <c r="DI2010">
        <v>0</v>
      </c>
    </row>
    <row r="2011" spans="1:113" x14ac:dyDescent="0.3">
      <c r="A2011" t="str">
        <f>"02/08/2021 20:25:04.694"</f>
        <v>02/08/2021 20:25:04.694</v>
      </c>
      <c r="C2011" t="str">
        <f t="shared" si="96"/>
        <v>FFDFD7C0</v>
      </c>
      <c r="D2011" t="s">
        <v>124</v>
      </c>
      <c r="E2011">
        <v>11</v>
      </c>
      <c r="F2011">
        <v>1011</v>
      </c>
      <c r="G2011" t="s">
        <v>590</v>
      </c>
      <c r="J2011" t="s">
        <v>125</v>
      </c>
      <c r="K2011">
        <v>0</v>
      </c>
      <c r="L2011">
        <v>3</v>
      </c>
      <c r="M2011">
        <v>0</v>
      </c>
      <c r="N2011">
        <v>2</v>
      </c>
      <c r="O2011">
        <v>1</v>
      </c>
      <c r="P2011">
        <v>0</v>
      </c>
      <c r="Q2011">
        <v>0</v>
      </c>
      <c r="S2011" t="str">
        <f>"20:25:07.023"</f>
        <v>20:25:07.023</v>
      </c>
      <c r="T2011" t="str">
        <f>"20:25:06.023"</f>
        <v>20:25:06.023</v>
      </c>
      <c r="U2011" t="str">
        <f t="shared" si="98"/>
        <v>AB01F4</v>
      </c>
      <c r="V2011">
        <v>0</v>
      </c>
      <c r="W2011">
        <v>0</v>
      </c>
      <c r="X2011">
        <v>2</v>
      </c>
      <c r="Z2011">
        <v>0</v>
      </c>
      <c r="AA2011">
        <v>9</v>
      </c>
      <c r="AB2011">
        <v>3</v>
      </c>
      <c r="AC2011">
        <v>0</v>
      </c>
      <c r="AD2011">
        <v>10</v>
      </c>
      <c r="AE2011">
        <v>0</v>
      </c>
      <c r="AF2011">
        <v>3</v>
      </c>
      <c r="AG2011">
        <v>2</v>
      </c>
      <c r="AH2011">
        <v>0</v>
      </c>
      <c r="AI2011" t="s">
        <v>1255</v>
      </c>
      <c r="AJ2011">
        <v>39.933264000000001</v>
      </c>
      <c r="AK2011" t="s">
        <v>1256</v>
      </c>
      <c r="AL2011">
        <v>-92.628844000000001</v>
      </c>
      <c r="AM2011">
        <v>100</v>
      </c>
      <c r="AN2011">
        <v>1700</v>
      </c>
      <c r="AO2011" t="s">
        <v>118</v>
      </c>
      <c r="AP2011">
        <v>-107</v>
      </c>
      <c r="AQ2011">
        <v>79</v>
      </c>
      <c r="AR2011">
        <v>64</v>
      </c>
      <c r="AZ2011">
        <v>1200</v>
      </c>
      <c r="BA2011">
        <v>1</v>
      </c>
      <c r="BB2011" t="str">
        <f t="shared" si="97"/>
        <v xml:space="preserve">N8080G  </v>
      </c>
      <c r="BC2011">
        <v>1</v>
      </c>
      <c r="BE2011">
        <v>0</v>
      </c>
      <c r="BF2011">
        <v>0</v>
      </c>
      <c r="BG2011">
        <v>0</v>
      </c>
      <c r="BH2011">
        <v>1700</v>
      </c>
      <c r="BI2011">
        <v>1</v>
      </c>
      <c r="BJ2011">
        <v>1</v>
      </c>
      <c r="BK2011">
        <v>1</v>
      </c>
      <c r="BL2011">
        <v>0</v>
      </c>
      <c r="BO2011">
        <v>0</v>
      </c>
      <c r="BP2011">
        <v>0</v>
      </c>
      <c r="BW2011" t="str">
        <f>"20:25:07.024"</f>
        <v>20:25:07.024</v>
      </c>
      <c r="BZ2011">
        <v>0</v>
      </c>
      <c r="CA2011">
        <v>2016</v>
      </c>
      <c r="CB2011">
        <v>224</v>
      </c>
      <c r="CD2011">
        <v>1</v>
      </c>
      <c r="CE2011">
        <v>0</v>
      </c>
      <c r="CF2011">
        <v>0</v>
      </c>
      <c r="CG2011">
        <v>1</v>
      </c>
      <c r="CH2011">
        <v>0</v>
      </c>
      <c r="CI2011">
        <v>0</v>
      </c>
      <c r="CJ2011">
        <v>0</v>
      </c>
      <c r="CK2011">
        <v>2</v>
      </c>
      <c r="CL2011">
        <v>0</v>
      </c>
      <c r="CM2011">
        <v>2</v>
      </c>
      <c r="CN2011">
        <v>0</v>
      </c>
      <c r="CO2011">
        <v>2</v>
      </c>
      <c r="CP2011" t="s">
        <v>119</v>
      </c>
      <c r="CQ2011">
        <v>179</v>
      </c>
      <c r="CR2011">
        <v>1</v>
      </c>
      <c r="CW2011">
        <v>8852449</v>
      </c>
      <c r="CY2011">
        <v>0</v>
      </c>
      <c r="CZ2011">
        <v>0</v>
      </c>
      <c r="DA2011">
        <v>0</v>
      </c>
      <c r="DB2011">
        <v>0</v>
      </c>
      <c r="DC2011">
        <v>0</v>
      </c>
      <c r="DD2011">
        <v>0</v>
      </c>
      <c r="DE2011">
        <v>0</v>
      </c>
      <c r="DF2011">
        <v>0</v>
      </c>
      <c r="DG2011">
        <v>0</v>
      </c>
      <c r="DH2011">
        <v>0</v>
      </c>
      <c r="DI2011">
        <v>0</v>
      </c>
    </row>
    <row r="2012" spans="1:113" x14ac:dyDescent="0.3">
      <c r="A2012" t="str">
        <f>"02/08/2021 20:25:04.694"</f>
        <v>02/08/2021 20:25:04.694</v>
      </c>
      <c r="C2012" t="str">
        <f t="shared" si="96"/>
        <v>FFDFD7C0</v>
      </c>
      <c r="D2012" t="s">
        <v>113</v>
      </c>
      <c r="E2012">
        <v>6</v>
      </c>
      <c r="H2012">
        <v>165</v>
      </c>
      <c r="I2012" t="s">
        <v>114</v>
      </c>
      <c r="J2012" t="s">
        <v>115</v>
      </c>
      <c r="K2012">
        <v>0</v>
      </c>
      <c r="L2012">
        <v>3</v>
      </c>
      <c r="M2012">
        <v>0</v>
      </c>
      <c r="N2012">
        <v>2</v>
      </c>
      <c r="O2012">
        <v>1</v>
      </c>
      <c r="P2012">
        <v>0</v>
      </c>
      <c r="Q2012">
        <v>0</v>
      </c>
      <c r="S2012" t="str">
        <f>"20:25:07.023"</f>
        <v>20:25:07.023</v>
      </c>
      <c r="T2012" t="str">
        <f>"20:25:06.023"</f>
        <v>20:25:06.023</v>
      </c>
      <c r="U2012" t="str">
        <f t="shared" si="98"/>
        <v>AB01F4</v>
      </c>
      <c r="V2012">
        <v>0</v>
      </c>
      <c r="W2012">
        <v>0</v>
      </c>
      <c r="X2012">
        <v>2</v>
      </c>
      <c r="Z2012">
        <v>0</v>
      </c>
      <c r="AA2012">
        <v>9</v>
      </c>
      <c r="AB2012">
        <v>3</v>
      </c>
      <c r="AC2012">
        <v>0</v>
      </c>
      <c r="AD2012">
        <v>10</v>
      </c>
      <c r="AE2012">
        <v>0</v>
      </c>
      <c r="AF2012">
        <v>3</v>
      </c>
      <c r="AG2012">
        <v>2</v>
      </c>
      <c r="AH2012">
        <v>0</v>
      </c>
      <c r="AI2012" t="s">
        <v>1255</v>
      </c>
      <c r="AJ2012">
        <v>39.933264000000001</v>
      </c>
      <c r="AK2012" t="s">
        <v>1256</v>
      </c>
      <c r="AL2012">
        <v>-92.628844000000001</v>
      </c>
      <c r="AM2012">
        <v>100</v>
      </c>
      <c r="AN2012">
        <v>1700</v>
      </c>
      <c r="AO2012" t="s">
        <v>118</v>
      </c>
      <c r="AP2012">
        <v>-107</v>
      </c>
      <c r="AQ2012">
        <v>79</v>
      </c>
      <c r="AR2012">
        <v>64</v>
      </c>
      <c r="AZ2012">
        <v>1200</v>
      </c>
      <c r="BA2012">
        <v>1</v>
      </c>
      <c r="BB2012" t="str">
        <f t="shared" si="97"/>
        <v xml:space="preserve">N8080G  </v>
      </c>
      <c r="BC2012">
        <v>1</v>
      </c>
      <c r="BE2012">
        <v>0</v>
      </c>
      <c r="BF2012">
        <v>0</v>
      </c>
      <c r="BG2012">
        <v>0</v>
      </c>
      <c r="BH2012">
        <v>1700</v>
      </c>
      <c r="BI2012">
        <v>1</v>
      </c>
      <c r="BJ2012">
        <v>1</v>
      </c>
      <c r="BK2012">
        <v>1</v>
      </c>
      <c r="BL2012">
        <v>0</v>
      </c>
      <c r="BO2012">
        <v>0</v>
      </c>
      <c r="BP2012">
        <v>0</v>
      </c>
      <c r="BW2012" t="str">
        <f>"20:25:07.024"</f>
        <v>20:25:07.024</v>
      </c>
      <c r="BZ2012">
        <v>0</v>
      </c>
      <c r="CA2012">
        <v>2016</v>
      </c>
      <c r="CB2012">
        <v>224</v>
      </c>
      <c r="CD2012">
        <v>1</v>
      </c>
      <c r="CE2012">
        <v>0</v>
      </c>
      <c r="CF2012">
        <v>0</v>
      </c>
      <c r="CG2012">
        <v>1</v>
      </c>
      <c r="CH2012">
        <v>0</v>
      </c>
      <c r="CI2012">
        <v>0</v>
      </c>
      <c r="CJ2012">
        <v>0</v>
      </c>
      <c r="CK2012">
        <v>2</v>
      </c>
      <c r="CL2012">
        <v>0</v>
      </c>
      <c r="CM2012">
        <v>2</v>
      </c>
      <c r="CN2012">
        <v>0</v>
      </c>
      <c r="CO2012">
        <v>2</v>
      </c>
      <c r="CP2012" t="s">
        <v>119</v>
      </c>
      <c r="CQ2012">
        <v>179</v>
      </c>
      <c r="CR2012">
        <v>1</v>
      </c>
      <c r="CW2012">
        <v>8852449</v>
      </c>
      <c r="CY2012">
        <v>0</v>
      </c>
      <c r="CZ2012">
        <v>0</v>
      </c>
      <c r="DA2012">
        <v>1</v>
      </c>
      <c r="DB2012">
        <v>0</v>
      </c>
      <c r="DC2012">
        <v>0</v>
      </c>
      <c r="DD2012">
        <v>0</v>
      </c>
      <c r="DE2012">
        <v>0</v>
      </c>
      <c r="DF2012">
        <v>0</v>
      </c>
      <c r="DG2012">
        <v>0</v>
      </c>
      <c r="DH2012">
        <v>0</v>
      </c>
      <c r="DI2012">
        <v>0</v>
      </c>
    </row>
    <row r="2013" spans="1:113" x14ac:dyDescent="0.3">
      <c r="A2013" t="str">
        <f>"02/08/2021 20:25:04.694"</f>
        <v>02/08/2021 20:25:04.694</v>
      </c>
      <c r="C2013" t="str">
        <f t="shared" si="96"/>
        <v>FFDFD7C0</v>
      </c>
      <c r="D2013" t="s">
        <v>124</v>
      </c>
      <c r="E2013">
        <v>13</v>
      </c>
      <c r="F2013">
        <v>1013</v>
      </c>
      <c r="G2013" t="s">
        <v>114</v>
      </c>
      <c r="J2013" t="s">
        <v>125</v>
      </c>
      <c r="K2013">
        <v>0</v>
      </c>
      <c r="L2013">
        <v>3</v>
      </c>
      <c r="M2013">
        <v>0</v>
      </c>
      <c r="N2013">
        <v>2</v>
      </c>
      <c r="O2013">
        <v>1</v>
      </c>
      <c r="P2013">
        <v>0</v>
      </c>
      <c r="Q2013">
        <v>0</v>
      </c>
      <c r="S2013" t="str">
        <f>"20:25:07.023"</f>
        <v>20:25:07.023</v>
      </c>
      <c r="T2013" t="str">
        <f>"20:25:06.023"</f>
        <v>20:25:06.023</v>
      </c>
      <c r="U2013" t="str">
        <f t="shared" si="98"/>
        <v>AB01F4</v>
      </c>
      <c r="V2013">
        <v>0</v>
      </c>
      <c r="W2013">
        <v>0</v>
      </c>
      <c r="X2013">
        <v>2</v>
      </c>
      <c r="Z2013">
        <v>0</v>
      </c>
      <c r="AA2013">
        <v>9</v>
      </c>
      <c r="AB2013">
        <v>3</v>
      </c>
      <c r="AC2013">
        <v>0</v>
      </c>
      <c r="AD2013">
        <v>10</v>
      </c>
      <c r="AE2013">
        <v>0</v>
      </c>
      <c r="AF2013">
        <v>3</v>
      </c>
      <c r="AG2013">
        <v>2</v>
      </c>
      <c r="AH2013">
        <v>0</v>
      </c>
      <c r="AI2013" t="s">
        <v>1255</v>
      </c>
      <c r="AJ2013">
        <v>39.933264000000001</v>
      </c>
      <c r="AK2013" t="s">
        <v>1256</v>
      </c>
      <c r="AL2013">
        <v>-92.628844000000001</v>
      </c>
      <c r="AM2013">
        <v>100</v>
      </c>
      <c r="AN2013">
        <v>1700</v>
      </c>
      <c r="AO2013" t="s">
        <v>118</v>
      </c>
      <c r="AP2013">
        <v>-107</v>
      </c>
      <c r="AQ2013">
        <v>79</v>
      </c>
      <c r="AR2013">
        <v>64</v>
      </c>
      <c r="AZ2013">
        <v>1200</v>
      </c>
      <c r="BA2013">
        <v>1</v>
      </c>
      <c r="BB2013" t="str">
        <f t="shared" si="97"/>
        <v xml:space="preserve">N8080G  </v>
      </c>
      <c r="BC2013">
        <v>1</v>
      </c>
      <c r="BE2013">
        <v>0</v>
      </c>
      <c r="BF2013">
        <v>0</v>
      </c>
      <c r="BG2013">
        <v>0</v>
      </c>
      <c r="BH2013">
        <v>1700</v>
      </c>
      <c r="BI2013">
        <v>1</v>
      </c>
      <c r="BJ2013">
        <v>1</v>
      </c>
      <c r="BK2013">
        <v>1</v>
      </c>
      <c r="BL2013">
        <v>0</v>
      </c>
      <c r="BO2013">
        <v>0</v>
      </c>
      <c r="BP2013">
        <v>0</v>
      </c>
      <c r="BW2013" t="str">
        <f>"20:25:07.024"</f>
        <v>20:25:07.024</v>
      </c>
      <c r="BZ2013">
        <v>0</v>
      </c>
      <c r="CA2013">
        <v>2016</v>
      </c>
      <c r="CB2013">
        <v>224</v>
      </c>
      <c r="CD2013">
        <v>1</v>
      </c>
      <c r="CE2013">
        <v>0</v>
      </c>
      <c r="CF2013">
        <v>0</v>
      </c>
      <c r="CG2013">
        <v>1</v>
      </c>
      <c r="CH2013">
        <v>0</v>
      </c>
      <c r="CI2013">
        <v>0</v>
      </c>
      <c r="CJ2013">
        <v>0</v>
      </c>
      <c r="CK2013">
        <v>2</v>
      </c>
      <c r="CL2013">
        <v>0</v>
      </c>
      <c r="CM2013">
        <v>2</v>
      </c>
      <c r="CN2013">
        <v>0</v>
      </c>
      <c r="CO2013">
        <v>2</v>
      </c>
      <c r="CP2013" t="s">
        <v>119</v>
      </c>
      <c r="CQ2013">
        <v>179</v>
      </c>
      <c r="CR2013">
        <v>1</v>
      </c>
      <c r="CW2013">
        <v>8852449</v>
      </c>
      <c r="CY2013">
        <v>0</v>
      </c>
      <c r="CZ2013">
        <v>0</v>
      </c>
      <c r="DA2013">
        <v>1</v>
      </c>
      <c r="DB2013">
        <v>0</v>
      </c>
      <c r="DC2013">
        <v>0</v>
      </c>
      <c r="DD2013">
        <v>0</v>
      </c>
      <c r="DE2013">
        <v>0</v>
      </c>
      <c r="DF2013">
        <v>0</v>
      </c>
      <c r="DG2013">
        <v>0</v>
      </c>
      <c r="DH2013">
        <v>0</v>
      </c>
      <c r="DI2013">
        <v>0</v>
      </c>
    </row>
    <row r="2014" spans="1:113" x14ac:dyDescent="0.3">
      <c r="A2014" t="str">
        <f>"02/08/2021 20:25:04.694"</f>
        <v>02/08/2021 20:25:04.694</v>
      </c>
      <c r="C2014" t="str">
        <f t="shared" si="96"/>
        <v>FFDFD7C0</v>
      </c>
      <c r="D2014" t="s">
        <v>124</v>
      </c>
      <c r="E2014">
        <v>12</v>
      </c>
      <c r="F2014">
        <v>1012</v>
      </c>
      <c r="G2014" t="s">
        <v>675</v>
      </c>
      <c r="J2014" t="s">
        <v>125</v>
      </c>
      <c r="K2014">
        <v>0</v>
      </c>
      <c r="L2014">
        <v>3</v>
      </c>
      <c r="M2014">
        <v>0</v>
      </c>
      <c r="N2014">
        <v>2</v>
      </c>
      <c r="O2014">
        <v>1</v>
      </c>
      <c r="P2014">
        <v>0</v>
      </c>
      <c r="Q2014">
        <v>0</v>
      </c>
      <c r="S2014" t="str">
        <f>"20:25:07.023"</f>
        <v>20:25:07.023</v>
      </c>
      <c r="T2014" t="str">
        <f>"20:25:06.023"</f>
        <v>20:25:06.023</v>
      </c>
      <c r="U2014" t="str">
        <f t="shared" si="98"/>
        <v>AB01F4</v>
      </c>
      <c r="V2014">
        <v>0</v>
      </c>
      <c r="W2014">
        <v>0</v>
      </c>
      <c r="X2014">
        <v>2</v>
      </c>
      <c r="Z2014">
        <v>0</v>
      </c>
      <c r="AA2014">
        <v>9</v>
      </c>
      <c r="AB2014">
        <v>3</v>
      </c>
      <c r="AC2014">
        <v>0</v>
      </c>
      <c r="AD2014">
        <v>10</v>
      </c>
      <c r="AE2014">
        <v>0</v>
      </c>
      <c r="AF2014">
        <v>3</v>
      </c>
      <c r="AG2014">
        <v>2</v>
      </c>
      <c r="AH2014">
        <v>0</v>
      </c>
      <c r="AI2014" t="s">
        <v>1255</v>
      </c>
      <c r="AJ2014">
        <v>39.933264000000001</v>
      </c>
      <c r="AK2014" t="s">
        <v>1256</v>
      </c>
      <c r="AL2014">
        <v>-92.628844000000001</v>
      </c>
      <c r="AM2014">
        <v>100</v>
      </c>
      <c r="AN2014">
        <v>1700</v>
      </c>
      <c r="AO2014" t="s">
        <v>118</v>
      </c>
      <c r="AP2014">
        <v>-107</v>
      </c>
      <c r="AQ2014">
        <v>79</v>
      </c>
      <c r="AR2014">
        <v>64</v>
      </c>
      <c r="AZ2014">
        <v>1200</v>
      </c>
      <c r="BA2014">
        <v>1</v>
      </c>
      <c r="BB2014" t="str">
        <f t="shared" si="97"/>
        <v xml:space="preserve">N8080G  </v>
      </c>
      <c r="BC2014">
        <v>1</v>
      </c>
      <c r="BE2014">
        <v>0</v>
      </c>
      <c r="BF2014">
        <v>0</v>
      </c>
      <c r="BG2014">
        <v>0</v>
      </c>
      <c r="BH2014">
        <v>1700</v>
      </c>
      <c r="BI2014">
        <v>1</v>
      </c>
      <c r="BJ2014">
        <v>1</v>
      </c>
      <c r="BK2014">
        <v>1</v>
      </c>
      <c r="BL2014">
        <v>0</v>
      </c>
      <c r="BO2014">
        <v>0</v>
      </c>
      <c r="BP2014">
        <v>0</v>
      </c>
      <c r="BW2014" t="str">
        <f>"20:25:07.024"</f>
        <v>20:25:07.024</v>
      </c>
      <c r="BZ2014">
        <v>0</v>
      </c>
      <c r="CA2014">
        <v>2016</v>
      </c>
      <c r="CB2014">
        <v>224</v>
      </c>
      <c r="CD2014">
        <v>1</v>
      </c>
      <c r="CE2014">
        <v>0</v>
      </c>
      <c r="CF2014">
        <v>0</v>
      </c>
      <c r="CG2014">
        <v>1</v>
      </c>
      <c r="CH2014">
        <v>0</v>
      </c>
      <c r="CI2014">
        <v>0</v>
      </c>
      <c r="CJ2014">
        <v>0</v>
      </c>
      <c r="CK2014">
        <v>2</v>
      </c>
      <c r="CL2014">
        <v>0</v>
      </c>
      <c r="CM2014">
        <v>2</v>
      </c>
      <c r="CN2014">
        <v>0</v>
      </c>
      <c r="CO2014">
        <v>2</v>
      </c>
      <c r="CP2014" t="s">
        <v>119</v>
      </c>
      <c r="CQ2014">
        <v>179</v>
      </c>
      <c r="CR2014">
        <v>1</v>
      </c>
      <c r="CW2014">
        <v>8852449</v>
      </c>
      <c r="CY2014">
        <v>0</v>
      </c>
      <c r="CZ2014">
        <v>0</v>
      </c>
      <c r="DA2014">
        <v>1</v>
      </c>
      <c r="DB2014">
        <v>0</v>
      </c>
      <c r="DC2014">
        <v>0</v>
      </c>
      <c r="DD2014">
        <v>0</v>
      </c>
      <c r="DE2014">
        <v>0</v>
      </c>
      <c r="DF2014">
        <v>0</v>
      </c>
      <c r="DG2014">
        <v>0</v>
      </c>
      <c r="DH2014">
        <v>0</v>
      </c>
      <c r="DI2014">
        <v>0</v>
      </c>
    </row>
    <row r="2015" spans="1:113" x14ac:dyDescent="0.3">
      <c r="A2015" t="str">
        <f>"02/08/2021 20:25:05.689"</f>
        <v>02/08/2021 20:25:05.689</v>
      </c>
      <c r="C2015" t="str">
        <f t="shared" si="96"/>
        <v>FFDFD7C0</v>
      </c>
      <c r="D2015" t="s">
        <v>124</v>
      </c>
      <c r="E2015">
        <v>12</v>
      </c>
      <c r="F2015">
        <v>1012</v>
      </c>
      <c r="G2015" t="s">
        <v>675</v>
      </c>
      <c r="J2015" t="s">
        <v>125</v>
      </c>
      <c r="K2015">
        <v>0</v>
      </c>
      <c r="L2015">
        <v>3</v>
      </c>
      <c r="M2015">
        <v>0</v>
      </c>
      <c r="N2015">
        <v>2</v>
      </c>
      <c r="O2015">
        <v>1</v>
      </c>
      <c r="P2015">
        <v>0</v>
      </c>
      <c r="Q2015">
        <v>0</v>
      </c>
      <c r="S2015" t="str">
        <f>"20:25:08.016"</f>
        <v>20:25:08.016</v>
      </c>
      <c r="T2015" t="str">
        <f>"20:25:07.516"</f>
        <v>20:25:07.516</v>
      </c>
      <c r="U2015" t="str">
        <f t="shared" si="98"/>
        <v>AB01F4</v>
      </c>
      <c r="V2015">
        <v>0</v>
      </c>
      <c r="W2015">
        <v>0</v>
      </c>
      <c r="X2015">
        <v>2</v>
      </c>
      <c r="Z2015">
        <v>0</v>
      </c>
      <c r="AA2015">
        <v>9</v>
      </c>
      <c r="AB2015">
        <v>3</v>
      </c>
      <c r="AC2015">
        <v>0</v>
      </c>
      <c r="AD2015">
        <v>10</v>
      </c>
      <c r="AE2015">
        <v>0</v>
      </c>
      <c r="AF2015">
        <v>3</v>
      </c>
      <c r="AG2015">
        <v>2</v>
      </c>
      <c r="AH2015">
        <v>0</v>
      </c>
      <c r="AI2015" t="s">
        <v>1257</v>
      </c>
      <c r="AJ2015">
        <v>39.933565000000002</v>
      </c>
      <c r="AK2015" t="s">
        <v>1258</v>
      </c>
      <c r="AL2015">
        <v>-92.629465999999994</v>
      </c>
      <c r="AM2015">
        <v>100</v>
      </c>
      <c r="AN2015">
        <v>1700</v>
      </c>
      <c r="AO2015" t="s">
        <v>118</v>
      </c>
      <c r="AP2015">
        <v>-107</v>
      </c>
      <c r="AQ2015">
        <v>79</v>
      </c>
      <c r="AR2015">
        <v>-128</v>
      </c>
      <c r="AZ2015">
        <v>1200</v>
      </c>
      <c r="BA2015">
        <v>1</v>
      </c>
      <c r="BB2015" t="str">
        <f t="shared" si="97"/>
        <v xml:space="preserve">N8080G  </v>
      </c>
      <c r="BC2015">
        <v>1</v>
      </c>
      <c r="BE2015">
        <v>0</v>
      </c>
      <c r="BF2015">
        <v>0</v>
      </c>
      <c r="BG2015">
        <v>0</v>
      </c>
      <c r="BH2015">
        <v>1700</v>
      </c>
      <c r="BI2015">
        <v>1</v>
      </c>
      <c r="BJ2015">
        <v>1</v>
      </c>
      <c r="BK2015">
        <v>1</v>
      </c>
      <c r="BL2015">
        <v>0</v>
      </c>
      <c r="BO2015">
        <v>0</v>
      </c>
      <c r="BP2015">
        <v>0</v>
      </c>
      <c r="BW2015" t="str">
        <f>"20:25:08.016"</f>
        <v>20:25:08.016</v>
      </c>
      <c r="BZ2015">
        <v>0</v>
      </c>
      <c r="CA2015">
        <v>2016</v>
      </c>
      <c r="CB2015">
        <v>224</v>
      </c>
      <c r="CD2015">
        <v>1</v>
      </c>
      <c r="CE2015">
        <v>0</v>
      </c>
      <c r="CF2015">
        <v>0</v>
      </c>
      <c r="CG2015">
        <v>1</v>
      </c>
      <c r="CH2015">
        <v>0</v>
      </c>
      <c r="CI2015">
        <v>0</v>
      </c>
      <c r="CJ2015">
        <v>0</v>
      </c>
      <c r="CK2015">
        <v>2</v>
      </c>
      <c r="CL2015">
        <v>0</v>
      </c>
      <c r="CM2015">
        <v>2</v>
      </c>
      <c r="CN2015">
        <v>0</v>
      </c>
      <c r="CO2015">
        <v>7</v>
      </c>
      <c r="CP2015" t="s">
        <v>119</v>
      </c>
      <c r="CQ2015">
        <v>180</v>
      </c>
      <c r="CR2015">
        <v>1</v>
      </c>
      <c r="CW2015">
        <v>10985085</v>
      </c>
      <c r="CY2015">
        <v>0</v>
      </c>
      <c r="CZ2015">
        <v>0</v>
      </c>
      <c r="DA2015">
        <v>0</v>
      </c>
      <c r="DB2015">
        <v>0</v>
      </c>
      <c r="DC2015">
        <v>0</v>
      </c>
      <c r="DD2015">
        <v>0</v>
      </c>
      <c r="DE2015">
        <v>0</v>
      </c>
      <c r="DF2015">
        <v>0</v>
      </c>
      <c r="DG2015">
        <v>0</v>
      </c>
      <c r="DH2015">
        <v>0</v>
      </c>
      <c r="DI2015">
        <v>0</v>
      </c>
    </row>
    <row r="2016" spans="1:113" x14ac:dyDescent="0.3">
      <c r="A2016" t="str">
        <f>"02/08/2021 20:25:05.689"</f>
        <v>02/08/2021 20:25:05.689</v>
      </c>
      <c r="C2016" t="str">
        <f t="shared" si="96"/>
        <v>FFDFD7C0</v>
      </c>
      <c r="D2016" t="s">
        <v>124</v>
      </c>
      <c r="E2016">
        <v>11</v>
      </c>
      <c r="F2016">
        <v>1011</v>
      </c>
      <c r="G2016" t="s">
        <v>590</v>
      </c>
      <c r="J2016" t="s">
        <v>125</v>
      </c>
      <c r="K2016">
        <v>0</v>
      </c>
      <c r="L2016">
        <v>3</v>
      </c>
      <c r="M2016">
        <v>0</v>
      </c>
      <c r="N2016">
        <v>2</v>
      </c>
      <c r="O2016">
        <v>1</v>
      </c>
      <c r="P2016">
        <v>0</v>
      </c>
      <c r="Q2016">
        <v>0</v>
      </c>
      <c r="S2016" t="str">
        <f>"20:25:08.016"</f>
        <v>20:25:08.016</v>
      </c>
      <c r="T2016" t="str">
        <f>"20:25:07.516"</f>
        <v>20:25:07.516</v>
      </c>
      <c r="U2016" t="str">
        <f t="shared" si="98"/>
        <v>AB01F4</v>
      </c>
      <c r="V2016">
        <v>0</v>
      </c>
      <c r="W2016">
        <v>0</v>
      </c>
      <c r="X2016">
        <v>2</v>
      </c>
      <c r="Z2016">
        <v>0</v>
      </c>
      <c r="AA2016">
        <v>9</v>
      </c>
      <c r="AB2016">
        <v>3</v>
      </c>
      <c r="AC2016">
        <v>0</v>
      </c>
      <c r="AD2016">
        <v>10</v>
      </c>
      <c r="AE2016">
        <v>0</v>
      </c>
      <c r="AF2016">
        <v>3</v>
      </c>
      <c r="AG2016">
        <v>2</v>
      </c>
      <c r="AH2016">
        <v>0</v>
      </c>
      <c r="AI2016" t="s">
        <v>1257</v>
      </c>
      <c r="AJ2016">
        <v>39.933565000000002</v>
      </c>
      <c r="AK2016" t="s">
        <v>1258</v>
      </c>
      <c r="AL2016">
        <v>-92.629465999999994</v>
      </c>
      <c r="AM2016">
        <v>100</v>
      </c>
      <c r="AN2016">
        <v>1700</v>
      </c>
      <c r="AO2016" t="s">
        <v>118</v>
      </c>
      <c r="AP2016">
        <v>-107</v>
      </c>
      <c r="AQ2016">
        <v>79</v>
      </c>
      <c r="AR2016">
        <v>-128</v>
      </c>
      <c r="AZ2016">
        <v>1200</v>
      </c>
      <c r="BA2016">
        <v>1</v>
      </c>
      <c r="BB2016" t="str">
        <f t="shared" si="97"/>
        <v xml:space="preserve">N8080G  </v>
      </c>
      <c r="BC2016">
        <v>1</v>
      </c>
      <c r="BE2016">
        <v>0</v>
      </c>
      <c r="BF2016">
        <v>0</v>
      </c>
      <c r="BG2016">
        <v>0</v>
      </c>
      <c r="BH2016">
        <v>1700</v>
      </c>
      <c r="BI2016">
        <v>1</v>
      </c>
      <c r="BJ2016">
        <v>1</v>
      </c>
      <c r="BK2016">
        <v>1</v>
      </c>
      <c r="BL2016">
        <v>0</v>
      </c>
      <c r="BO2016">
        <v>0</v>
      </c>
      <c r="BP2016">
        <v>0</v>
      </c>
      <c r="BW2016" t="str">
        <f>"20:25:08.016"</f>
        <v>20:25:08.016</v>
      </c>
      <c r="BZ2016">
        <v>0</v>
      </c>
      <c r="CA2016">
        <v>2016</v>
      </c>
      <c r="CB2016">
        <v>224</v>
      </c>
      <c r="CD2016">
        <v>1</v>
      </c>
      <c r="CE2016">
        <v>0</v>
      </c>
      <c r="CF2016">
        <v>0</v>
      </c>
      <c r="CG2016">
        <v>1</v>
      </c>
      <c r="CH2016">
        <v>0</v>
      </c>
      <c r="CI2016">
        <v>0</v>
      </c>
      <c r="CJ2016">
        <v>0</v>
      </c>
      <c r="CK2016">
        <v>2</v>
      </c>
      <c r="CL2016">
        <v>0</v>
      </c>
      <c r="CM2016">
        <v>2</v>
      </c>
      <c r="CN2016">
        <v>0</v>
      </c>
      <c r="CO2016">
        <v>7</v>
      </c>
      <c r="CP2016" t="s">
        <v>119</v>
      </c>
      <c r="CQ2016">
        <v>180</v>
      </c>
      <c r="CR2016">
        <v>1</v>
      </c>
      <c r="CW2016">
        <v>10985085</v>
      </c>
      <c r="CY2016">
        <v>0</v>
      </c>
      <c r="CZ2016">
        <v>0</v>
      </c>
      <c r="DA2016">
        <v>1</v>
      </c>
      <c r="DB2016">
        <v>0</v>
      </c>
      <c r="DC2016">
        <v>0</v>
      </c>
      <c r="DD2016">
        <v>0</v>
      </c>
      <c r="DE2016">
        <v>0</v>
      </c>
      <c r="DF2016">
        <v>0</v>
      </c>
      <c r="DG2016">
        <v>0</v>
      </c>
      <c r="DH2016">
        <v>0</v>
      </c>
      <c r="DI2016">
        <v>0</v>
      </c>
    </row>
    <row r="2017" spans="1:113" x14ac:dyDescent="0.3">
      <c r="A2017" t="str">
        <f>"02/08/2021 20:25:05.689"</f>
        <v>02/08/2021 20:25:05.689</v>
      </c>
      <c r="C2017" t="str">
        <f t="shared" si="96"/>
        <v>FFDFD7C0</v>
      </c>
      <c r="D2017" t="s">
        <v>124</v>
      </c>
      <c r="E2017">
        <v>13</v>
      </c>
      <c r="F2017">
        <v>1013</v>
      </c>
      <c r="G2017" t="s">
        <v>114</v>
      </c>
      <c r="J2017" t="s">
        <v>125</v>
      </c>
      <c r="K2017">
        <v>0</v>
      </c>
      <c r="L2017">
        <v>3</v>
      </c>
      <c r="M2017">
        <v>0</v>
      </c>
      <c r="N2017">
        <v>2</v>
      </c>
      <c r="O2017">
        <v>1</v>
      </c>
      <c r="P2017">
        <v>0</v>
      </c>
      <c r="Q2017">
        <v>0</v>
      </c>
      <c r="S2017" t="str">
        <f>"20:25:08.016"</f>
        <v>20:25:08.016</v>
      </c>
      <c r="T2017" t="str">
        <f>"20:25:07.516"</f>
        <v>20:25:07.516</v>
      </c>
      <c r="U2017" t="str">
        <f t="shared" si="98"/>
        <v>AB01F4</v>
      </c>
      <c r="V2017">
        <v>0</v>
      </c>
      <c r="W2017">
        <v>0</v>
      </c>
      <c r="X2017">
        <v>2</v>
      </c>
      <c r="Z2017">
        <v>0</v>
      </c>
      <c r="AA2017">
        <v>9</v>
      </c>
      <c r="AB2017">
        <v>3</v>
      </c>
      <c r="AC2017">
        <v>0</v>
      </c>
      <c r="AD2017">
        <v>10</v>
      </c>
      <c r="AE2017">
        <v>0</v>
      </c>
      <c r="AF2017">
        <v>3</v>
      </c>
      <c r="AG2017">
        <v>2</v>
      </c>
      <c r="AH2017">
        <v>0</v>
      </c>
      <c r="AI2017" t="s">
        <v>1257</v>
      </c>
      <c r="AJ2017">
        <v>39.933565000000002</v>
      </c>
      <c r="AK2017" t="s">
        <v>1258</v>
      </c>
      <c r="AL2017">
        <v>-92.629465999999994</v>
      </c>
      <c r="AM2017">
        <v>100</v>
      </c>
      <c r="AN2017">
        <v>1700</v>
      </c>
      <c r="AO2017" t="s">
        <v>118</v>
      </c>
      <c r="AP2017">
        <v>-107</v>
      </c>
      <c r="AQ2017">
        <v>79</v>
      </c>
      <c r="AR2017">
        <v>-128</v>
      </c>
      <c r="AZ2017">
        <v>1200</v>
      </c>
      <c r="BA2017">
        <v>1</v>
      </c>
      <c r="BB2017" t="str">
        <f t="shared" si="97"/>
        <v xml:space="preserve">N8080G  </v>
      </c>
      <c r="BC2017">
        <v>1</v>
      </c>
      <c r="BE2017">
        <v>0</v>
      </c>
      <c r="BF2017">
        <v>0</v>
      </c>
      <c r="BG2017">
        <v>0</v>
      </c>
      <c r="BH2017">
        <v>1700</v>
      </c>
      <c r="BI2017">
        <v>1</v>
      </c>
      <c r="BJ2017">
        <v>1</v>
      </c>
      <c r="BK2017">
        <v>1</v>
      </c>
      <c r="BL2017">
        <v>0</v>
      </c>
      <c r="BO2017">
        <v>0</v>
      </c>
      <c r="BP2017">
        <v>0</v>
      </c>
      <c r="BW2017" t="str">
        <f>"20:25:08.016"</f>
        <v>20:25:08.016</v>
      </c>
      <c r="BZ2017">
        <v>0</v>
      </c>
      <c r="CA2017">
        <v>2016</v>
      </c>
      <c r="CB2017">
        <v>224</v>
      </c>
      <c r="CD2017">
        <v>1</v>
      </c>
      <c r="CE2017">
        <v>0</v>
      </c>
      <c r="CF2017">
        <v>0</v>
      </c>
      <c r="CG2017">
        <v>1</v>
      </c>
      <c r="CH2017">
        <v>0</v>
      </c>
      <c r="CI2017">
        <v>0</v>
      </c>
      <c r="CJ2017">
        <v>0</v>
      </c>
      <c r="CK2017">
        <v>2</v>
      </c>
      <c r="CL2017">
        <v>0</v>
      </c>
      <c r="CM2017">
        <v>2</v>
      </c>
      <c r="CN2017">
        <v>0</v>
      </c>
      <c r="CO2017">
        <v>7</v>
      </c>
      <c r="CP2017" t="s">
        <v>119</v>
      </c>
      <c r="CQ2017">
        <v>180</v>
      </c>
      <c r="CR2017">
        <v>1</v>
      </c>
      <c r="CW2017">
        <v>10985085</v>
      </c>
      <c r="CY2017">
        <v>0</v>
      </c>
      <c r="CZ2017">
        <v>0</v>
      </c>
      <c r="DA2017">
        <v>1</v>
      </c>
      <c r="DB2017">
        <v>0</v>
      </c>
      <c r="DC2017">
        <v>0</v>
      </c>
      <c r="DD2017">
        <v>0</v>
      </c>
      <c r="DE2017">
        <v>0</v>
      </c>
      <c r="DF2017">
        <v>0</v>
      </c>
      <c r="DG2017">
        <v>0</v>
      </c>
      <c r="DH2017">
        <v>0</v>
      </c>
      <c r="DI2017">
        <v>0</v>
      </c>
    </row>
    <row r="2018" spans="1:113" x14ac:dyDescent="0.3">
      <c r="A2018" t="str">
        <f>"02/08/2021 20:25:05.689"</f>
        <v>02/08/2021 20:25:05.689</v>
      </c>
      <c r="C2018" t="str">
        <f t="shared" si="96"/>
        <v>FFDFD7C0</v>
      </c>
      <c r="D2018" t="s">
        <v>113</v>
      </c>
      <c r="E2018">
        <v>6</v>
      </c>
      <c r="H2018">
        <v>165</v>
      </c>
      <c r="I2018" t="s">
        <v>114</v>
      </c>
      <c r="J2018" t="s">
        <v>115</v>
      </c>
      <c r="K2018">
        <v>0</v>
      </c>
      <c r="L2018">
        <v>3</v>
      </c>
      <c r="M2018">
        <v>0</v>
      </c>
      <c r="N2018">
        <v>2</v>
      </c>
      <c r="O2018">
        <v>1</v>
      </c>
      <c r="P2018">
        <v>0</v>
      </c>
      <c r="Q2018">
        <v>0</v>
      </c>
      <c r="S2018" t="str">
        <f>"20:25:08.016"</f>
        <v>20:25:08.016</v>
      </c>
      <c r="T2018" t="str">
        <f>"20:25:07.516"</f>
        <v>20:25:07.516</v>
      </c>
      <c r="U2018" t="str">
        <f t="shared" si="98"/>
        <v>AB01F4</v>
      </c>
      <c r="V2018">
        <v>0</v>
      </c>
      <c r="W2018">
        <v>0</v>
      </c>
      <c r="X2018">
        <v>2</v>
      </c>
      <c r="Z2018">
        <v>0</v>
      </c>
      <c r="AA2018">
        <v>9</v>
      </c>
      <c r="AB2018">
        <v>3</v>
      </c>
      <c r="AC2018">
        <v>0</v>
      </c>
      <c r="AD2018">
        <v>10</v>
      </c>
      <c r="AE2018">
        <v>0</v>
      </c>
      <c r="AF2018">
        <v>3</v>
      </c>
      <c r="AG2018">
        <v>2</v>
      </c>
      <c r="AH2018">
        <v>0</v>
      </c>
      <c r="AI2018" t="s">
        <v>1257</v>
      </c>
      <c r="AJ2018">
        <v>39.933565000000002</v>
      </c>
      <c r="AK2018" t="s">
        <v>1258</v>
      </c>
      <c r="AL2018">
        <v>-92.629465999999994</v>
      </c>
      <c r="AM2018">
        <v>100</v>
      </c>
      <c r="AN2018">
        <v>1700</v>
      </c>
      <c r="AO2018" t="s">
        <v>118</v>
      </c>
      <c r="AP2018">
        <v>-107</v>
      </c>
      <c r="AQ2018">
        <v>79</v>
      </c>
      <c r="AR2018">
        <v>-128</v>
      </c>
      <c r="AZ2018">
        <v>1200</v>
      </c>
      <c r="BA2018">
        <v>1</v>
      </c>
      <c r="BB2018" t="str">
        <f t="shared" si="97"/>
        <v xml:space="preserve">N8080G  </v>
      </c>
      <c r="BC2018">
        <v>1</v>
      </c>
      <c r="BE2018">
        <v>0</v>
      </c>
      <c r="BF2018">
        <v>0</v>
      </c>
      <c r="BG2018">
        <v>0</v>
      </c>
      <c r="BH2018">
        <v>1700</v>
      </c>
      <c r="BI2018">
        <v>1</v>
      </c>
      <c r="BJ2018">
        <v>1</v>
      </c>
      <c r="BK2018">
        <v>1</v>
      </c>
      <c r="BL2018">
        <v>0</v>
      </c>
      <c r="BO2018">
        <v>0</v>
      </c>
      <c r="BP2018">
        <v>0</v>
      </c>
      <c r="BW2018" t="str">
        <f>"20:25:08.016"</f>
        <v>20:25:08.016</v>
      </c>
      <c r="BZ2018">
        <v>0</v>
      </c>
      <c r="CA2018">
        <v>2016</v>
      </c>
      <c r="CB2018">
        <v>224</v>
      </c>
      <c r="CD2018">
        <v>1</v>
      </c>
      <c r="CE2018">
        <v>0</v>
      </c>
      <c r="CF2018">
        <v>0</v>
      </c>
      <c r="CG2018">
        <v>1</v>
      </c>
      <c r="CH2018">
        <v>0</v>
      </c>
      <c r="CI2018">
        <v>0</v>
      </c>
      <c r="CJ2018">
        <v>0</v>
      </c>
      <c r="CK2018">
        <v>2</v>
      </c>
      <c r="CL2018">
        <v>0</v>
      </c>
      <c r="CM2018">
        <v>2</v>
      </c>
      <c r="CN2018">
        <v>0</v>
      </c>
      <c r="CO2018">
        <v>7</v>
      </c>
      <c r="CP2018" t="s">
        <v>119</v>
      </c>
      <c r="CQ2018">
        <v>180</v>
      </c>
      <c r="CR2018">
        <v>1</v>
      </c>
      <c r="CW2018">
        <v>10985085</v>
      </c>
      <c r="CY2018">
        <v>0</v>
      </c>
      <c r="CZ2018">
        <v>0</v>
      </c>
      <c r="DA2018">
        <v>1</v>
      </c>
      <c r="DB2018">
        <v>0</v>
      </c>
      <c r="DC2018">
        <v>0</v>
      </c>
      <c r="DD2018">
        <v>0</v>
      </c>
      <c r="DE2018">
        <v>0</v>
      </c>
      <c r="DF2018">
        <v>0</v>
      </c>
      <c r="DG2018">
        <v>0</v>
      </c>
      <c r="DH2018">
        <v>0</v>
      </c>
      <c r="DI2018">
        <v>0</v>
      </c>
    </row>
    <row r="2019" spans="1:113" x14ac:dyDescent="0.3">
      <c r="A2019" t="str">
        <f>"02/08/2021 20:25:08.752"</f>
        <v>02/08/2021 20:25:08.752</v>
      </c>
      <c r="C2019" t="str">
        <f t="shared" si="96"/>
        <v>FFDFD7C0</v>
      </c>
      <c r="D2019" t="s">
        <v>113</v>
      </c>
      <c r="E2019">
        <v>6</v>
      </c>
      <c r="H2019">
        <v>165</v>
      </c>
      <c r="I2019" t="s">
        <v>114</v>
      </c>
      <c r="J2019" t="s">
        <v>115</v>
      </c>
      <c r="K2019">
        <v>0</v>
      </c>
      <c r="L2019">
        <v>3</v>
      </c>
      <c r="M2019">
        <v>0</v>
      </c>
      <c r="N2019">
        <v>2</v>
      </c>
      <c r="O2019">
        <v>1</v>
      </c>
      <c r="P2019">
        <v>0</v>
      </c>
      <c r="Q2019">
        <v>0</v>
      </c>
      <c r="S2019" t="str">
        <f>"20:25:11.055"</f>
        <v>20:25:11.055</v>
      </c>
      <c r="T2019" t="str">
        <f>"20:25:10.555"</f>
        <v>20:25:10.555</v>
      </c>
      <c r="U2019" t="str">
        <f t="shared" si="98"/>
        <v>AB01F4</v>
      </c>
      <c r="V2019">
        <v>0</v>
      </c>
      <c r="W2019">
        <v>0</v>
      </c>
      <c r="X2019">
        <v>2</v>
      </c>
      <c r="Z2019">
        <v>0</v>
      </c>
      <c r="AA2019">
        <v>9</v>
      </c>
      <c r="AB2019">
        <v>3</v>
      </c>
      <c r="AC2019">
        <v>0</v>
      </c>
      <c r="AD2019">
        <v>10</v>
      </c>
      <c r="AE2019">
        <v>0</v>
      </c>
      <c r="AF2019">
        <v>3</v>
      </c>
      <c r="AG2019">
        <v>2</v>
      </c>
      <c r="AH2019">
        <v>0</v>
      </c>
      <c r="AI2019" t="s">
        <v>1259</v>
      </c>
      <c r="AJ2019">
        <v>39.934702000000001</v>
      </c>
      <c r="AK2019" t="s">
        <v>1260</v>
      </c>
      <c r="AL2019">
        <v>-92.631483000000003</v>
      </c>
      <c r="AM2019">
        <v>100</v>
      </c>
      <c r="AN2019">
        <v>1700</v>
      </c>
      <c r="AO2019" t="s">
        <v>118</v>
      </c>
      <c r="AP2019">
        <v>-108</v>
      </c>
      <c r="AQ2019">
        <v>78</v>
      </c>
      <c r="AR2019">
        <v>-128</v>
      </c>
      <c r="AZ2019">
        <v>1200</v>
      </c>
      <c r="BA2019">
        <v>1</v>
      </c>
      <c r="BB2019" t="str">
        <f t="shared" si="97"/>
        <v xml:space="preserve">N8080G  </v>
      </c>
      <c r="BC2019">
        <v>1</v>
      </c>
      <c r="BE2019">
        <v>0</v>
      </c>
      <c r="BF2019">
        <v>0</v>
      </c>
      <c r="BG2019">
        <v>0</v>
      </c>
      <c r="BH2019">
        <v>1700</v>
      </c>
      <c r="BI2019">
        <v>1</v>
      </c>
      <c r="BJ2019">
        <v>1</v>
      </c>
      <c r="BK2019">
        <v>1</v>
      </c>
      <c r="BL2019">
        <v>0</v>
      </c>
      <c r="BO2019">
        <v>0</v>
      </c>
      <c r="BP2019">
        <v>0</v>
      </c>
      <c r="BW2019" t="str">
        <f>"20:25:11.060"</f>
        <v>20:25:11.060</v>
      </c>
      <c r="BZ2019">
        <v>0</v>
      </c>
      <c r="CA2019">
        <v>2016</v>
      </c>
      <c r="CB2019">
        <v>224</v>
      </c>
      <c r="CD2019">
        <v>1</v>
      </c>
      <c r="CE2019">
        <v>0</v>
      </c>
      <c r="CF2019">
        <v>0</v>
      </c>
      <c r="CG2019">
        <v>1</v>
      </c>
      <c r="CH2019">
        <v>0</v>
      </c>
      <c r="CI2019">
        <v>0</v>
      </c>
      <c r="CJ2019">
        <v>0</v>
      </c>
      <c r="CK2019">
        <v>2</v>
      </c>
      <c r="CL2019">
        <v>0</v>
      </c>
      <c r="CM2019">
        <v>2</v>
      </c>
      <c r="CN2019">
        <v>0</v>
      </c>
      <c r="CO2019">
        <v>7</v>
      </c>
      <c r="CP2019" t="s">
        <v>119</v>
      </c>
      <c r="CQ2019">
        <v>180</v>
      </c>
      <c r="CR2019">
        <v>1</v>
      </c>
      <c r="CW2019">
        <v>10987780</v>
      </c>
      <c r="CY2019">
        <v>0</v>
      </c>
      <c r="CZ2019">
        <v>0</v>
      </c>
      <c r="DA2019">
        <v>0</v>
      </c>
      <c r="DB2019">
        <v>0</v>
      </c>
      <c r="DC2019">
        <v>0</v>
      </c>
      <c r="DD2019">
        <v>0</v>
      </c>
      <c r="DE2019">
        <v>0</v>
      </c>
      <c r="DF2019">
        <v>0</v>
      </c>
      <c r="DG2019">
        <v>0</v>
      </c>
      <c r="DH2019">
        <v>0</v>
      </c>
      <c r="DI2019">
        <v>0</v>
      </c>
    </row>
    <row r="2020" spans="1:113" x14ac:dyDescent="0.3">
      <c r="A2020" t="str">
        <f>"02/08/2021 20:25:08.752"</f>
        <v>02/08/2021 20:25:08.752</v>
      </c>
      <c r="C2020" t="str">
        <f t="shared" si="96"/>
        <v>FFDFD7C0</v>
      </c>
      <c r="D2020" t="s">
        <v>124</v>
      </c>
      <c r="E2020">
        <v>12</v>
      </c>
      <c r="F2020">
        <v>1012</v>
      </c>
      <c r="G2020" t="s">
        <v>675</v>
      </c>
      <c r="J2020" t="s">
        <v>125</v>
      </c>
      <c r="K2020">
        <v>0</v>
      </c>
      <c r="L2020">
        <v>3</v>
      </c>
      <c r="M2020">
        <v>0</v>
      </c>
      <c r="N2020">
        <v>2</v>
      </c>
      <c r="O2020">
        <v>1</v>
      </c>
      <c r="P2020">
        <v>0</v>
      </c>
      <c r="Q2020">
        <v>0</v>
      </c>
      <c r="S2020" t="str">
        <f>"20:25:11.055"</f>
        <v>20:25:11.055</v>
      </c>
      <c r="T2020" t="str">
        <f>"20:25:10.555"</f>
        <v>20:25:10.555</v>
      </c>
      <c r="U2020" t="str">
        <f t="shared" si="98"/>
        <v>AB01F4</v>
      </c>
      <c r="V2020">
        <v>0</v>
      </c>
      <c r="W2020">
        <v>0</v>
      </c>
      <c r="X2020">
        <v>2</v>
      </c>
      <c r="Z2020">
        <v>0</v>
      </c>
      <c r="AA2020">
        <v>9</v>
      </c>
      <c r="AB2020">
        <v>3</v>
      </c>
      <c r="AC2020">
        <v>0</v>
      </c>
      <c r="AD2020">
        <v>10</v>
      </c>
      <c r="AE2020">
        <v>0</v>
      </c>
      <c r="AF2020">
        <v>3</v>
      </c>
      <c r="AG2020">
        <v>2</v>
      </c>
      <c r="AH2020">
        <v>0</v>
      </c>
      <c r="AI2020" t="s">
        <v>1259</v>
      </c>
      <c r="AJ2020">
        <v>39.934702000000001</v>
      </c>
      <c r="AK2020" t="s">
        <v>1260</v>
      </c>
      <c r="AL2020">
        <v>-92.631483000000003</v>
      </c>
      <c r="AM2020">
        <v>100</v>
      </c>
      <c r="AN2020">
        <v>1700</v>
      </c>
      <c r="AO2020" t="s">
        <v>118</v>
      </c>
      <c r="AP2020">
        <v>-108</v>
      </c>
      <c r="AQ2020">
        <v>78</v>
      </c>
      <c r="AR2020">
        <v>-128</v>
      </c>
      <c r="AZ2020">
        <v>1200</v>
      </c>
      <c r="BA2020">
        <v>1</v>
      </c>
      <c r="BB2020" t="str">
        <f t="shared" si="97"/>
        <v xml:space="preserve">N8080G  </v>
      </c>
      <c r="BC2020">
        <v>1</v>
      </c>
      <c r="BE2020">
        <v>0</v>
      </c>
      <c r="BF2020">
        <v>0</v>
      </c>
      <c r="BG2020">
        <v>0</v>
      </c>
      <c r="BH2020">
        <v>1700</v>
      </c>
      <c r="BI2020">
        <v>1</v>
      </c>
      <c r="BJ2020">
        <v>1</v>
      </c>
      <c r="BK2020">
        <v>1</v>
      </c>
      <c r="BL2020">
        <v>0</v>
      </c>
      <c r="BO2020">
        <v>0</v>
      </c>
      <c r="BP2020">
        <v>0</v>
      </c>
      <c r="BW2020" t="str">
        <f>"20:25:11.060"</f>
        <v>20:25:11.060</v>
      </c>
      <c r="BZ2020">
        <v>0</v>
      </c>
      <c r="CA2020">
        <v>2016</v>
      </c>
      <c r="CB2020">
        <v>224</v>
      </c>
      <c r="CD2020">
        <v>1</v>
      </c>
      <c r="CE2020">
        <v>0</v>
      </c>
      <c r="CF2020">
        <v>0</v>
      </c>
      <c r="CG2020">
        <v>1</v>
      </c>
      <c r="CH2020">
        <v>0</v>
      </c>
      <c r="CI2020">
        <v>0</v>
      </c>
      <c r="CJ2020">
        <v>0</v>
      </c>
      <c r="CK2020">
        <v>2</v>
      </c>
      <c r="CL2020">
        <v>0</v>
      </c>
      <c r="CM2020">
        <v>2</v>
      </c>
      <c r="CN2020">
        <v>0</v>
      </c>
      <c r="CO2020">
        <v>7</v>
      </c>
      <c r="CP2020" t="s">
        <v>119</v>
      </c>
      <c r="CQ2020">
        <v>180</v>
      </c>
      <c r="CR2020">
        <v>1</v>
      </c>
      <c r="CW2020">
        <v>10987780</v>
      </c>
      <c r="CY2020">
        <v>0</v>
      </c>
      <c r="CZ2020">
        <v>0</v>
      </c>
      <c r="DA2020">
        <v>1</v>
      </c>
      <c r="DB2020">
        <v>0</v>
      </c>
      <c r="DC2020">
        <v>0</v>
      </c>
      <c r="DD2020">
        <v>0</v>
      </c>
      <c r="DE2020">
        <v>0</v>
      </c>
      <c r="DF2020">
        <v>0</v>
      </c>
      <c r="DG2020">
        <v>0</v>
      </c>
      <c r="DH2020">
        <v>0</v>
      </c>
      <c r="DI2020">
        <v>0</v>
      </c>
    </row>
    <row r="2021" spans="1:113" x14ac:dyDescent="0.3">
      <c r="A2021" t="str">
        <f>"02/08/2021 20:25:08.752"</f>
        <v>02/08/2021 20:25:08.752</v>
      </c>
      <c r="C2021" t="str">
        <f t="shared" si="96"/>
        <v>FFDFD7C0</v>
      </c>
      <c r="D2021" t="s">
        <v>124</v>
      </c>
      <c r="E2021">
        <v>11</v>
      </c>
      <c r="F2021">
        <v>1011</v>
      </c>
      <c r="G2021" t="s">
        <v>590</v>
      </c>
      <c r="J2021" t="s">
        <v>125</v>
      </c>
      <c r="K2021">
        <v>0</v>
      </c>
      <c r="L2021">
        <v>3</v>
      </c>
      <c r="M2021">
        <v>0</v>
      </c>
      <c r="N2021">
        <v>2</v>
      </c>
      <c r="O2021">
        <v>1</v>
      </c>
      <c r="P2021">
        <v>0</v>
      </c>
      <c r="Q2021">
        <v>0</v>
      </c>
      <c r="S2021" t="str">
        <f>"20:25:11.055"</f>
        <v>20:25:11.055</v>
      </c>
      <c r="T2021" t="str">
        <f>"20:25:10.555"</f>
        <v>20:25:10.555</v>
      </c>
      <c r="U2021" t="str">
        <f t="shared" si="98"/>
        <v>AB01F4</v>
      </c>
      <c r="V2021">
        <v>0</v>
      </c>
      <c r="W2021">
        <v>0</v>
      </c>
      <c r="X2021">
        <v>2</v>
      </c>
      <c r="Z2021">
        <v>0</v>
      </c>
      <c r="AA2021">
        <v>9</v>
      </c>
      <c r="AB2021">
        <v>3</v>
      </c>
      <c r="AC2021">
        <v>0</v>
      </c>
      <c r="AD2021">
        <v>10</v>
      </c>
      <c r="AE2021">
        <v>0</v>
      </c>
      <c r="AF2021">
        <v>3</v>
      </c>
      <c r="AG2021">
        <v>2</v>
      </c>
      <c r="AH2021">
        <v>0</v>
      </c>
      <c r="AI2021" t="s">
        <v>1259</v>
      </c>
      <c r="AJ2021">
        <v>39.934702000000001</v>
      </c>
      <c r="AK2021" t="s">
        <v>1260</v>
      </c>
      <c r="AL2021">
        <v>-92.631483000000003</v>
      </c>
      <c r="AM2021">
        <v>100</v>
      </c>
      <c r="AN2021">
        <v>1700</v>
      </c>
      <c r="AO2021" t="s">
        <v>118</v>
      </c>
      <c r="AP2021">
        <v>-108</v>
      </c>
      <c r="AQ2021">
        <v>78</v>
      </c>
      <c r="AR2021">
        <v>-128</v>
      </c>
      <c r="AZ2021">
        <v>1200</v>
      </c>
      <c r="BA2021">
        <v>1</v>
      </c>
      <c r="BB2021" t="str">
        <f t="shared" si="97"/>
        <v xml:space="preserve">N8080G  </v>
      </c>
      <c r="BC2021">
        <v>1</v>
      </c>
      <c r="BE2021">
        <v>0</v>
      </c>
      <c r="BF2021">
        <v>0</v>
      </c>
      <c r="BG2021">
        <v>0</v>
      </c>
      <c r="BH2021">
        <v>1700</v>
      </c>
      <c r="BI2021">
        <v>1</v>
      </c>
      <c r="BJ2021">
        <v>1</v>
      </c>
      <c r="BK2021">
        <v>1</v>
      </c>
      <c r="BL2021">
        <v>0</v>
      </c>
      <c r="BO2021">
        <v>0</v>
      </c>
      <c r="BP2021">
        <v>0</v>
      </c>
      <c r="BW2021" t="str">
        <f>"20:25:11.060"</f>
        <v>20:25:11.060</v>
      </c>
      <c r="BZ2021">
        <v>0</v>
      </c>
      <c r="CA2021">
        <v>2016</v>
      </c>
      <c r="CB2021">
        <v>224</v>
      </c>
      <c r="CD2021">
        <v>1</v>
      </c>
      <c r="CE2021">
        <v>0</v>
      </c>
      <c r="CF2021">
        <v>0</v>
      </c>
      <c r="CG2021">
        <v>1</v>
      </c>
      <c r="CH2021">
        <v>0</v>
      </c>
      <c r="CI2021">
        <v>0</v>
      </c>
      <c r="CJ2021">
        <v>0</v>
      </c>
      <c r="CK2021">
        <v>2</v>
      </c>
      <c r="CL2021">
        <v>0</v>
      </c>
      <c r="CM2021">
        <v>2</v>
      </c>
      <c r="CN2021">
        <v>0</v>
      </c>
      <c r="CO2021">
        <v>7</v>
      </c>
      <c r="CP2021" t="s">
        <v>119</v>
      </c>
      <c r="CQ2021">
        <v>180</v>
      </c>
      <c r="CR2021">
        <v>1</v>
      </c>
      <c r="CW2021">
        <v>10987780</v>
      </c>
      <c r="CY2021">
        <v>0</v>
      </c>
      <c r="CZ2021">
        <v>0</v>
      </c>
      <c r="DA2021">
        <v>1</v>
      </c>
      <c r="DB2021">
        <v>0</v>
      </c>
      <c r="DC2021">
        <v>0</v>
      </c>
      <c r="DD2021">
        <v>0</v>
      </c>
      <c r="DE2021">
        <v>0</v>
      </c>
      <c r="DF2021">
        <v>0</v>
      </c>
      <c r="DG2021">
        <v>0</v>
      </c>
      <c r="DH2021">
        <v>0</v>
      </c>
      <c r="DI2021">
        <v>0</v>
      </c>
    </row>
    <row r="2022" spans="1:113" x14ac:dyDescent="0.3">
      <c r="A2022" t="str">
        <f>"02/08/2021 20:25:08.752"</f>
        <v>02/08/2021 20:25:08.752</v>
      </c>
      <c r="C2022" t="str">
        <f t="shared" si="96"/>
        <v>FFDFD7C0</v>
      </c>
      <c r="D2022" t="s">
        <v>124</v>
      </c>
      <c r="E2022">
        <v>13</v>
      </c>
      <c r="F2022">
        <v>1013</v>
      </c>
      <c r="G2022" t="s">
        <v>114</v>
      </c>
      <c r="J2022" t="s">
        <v>125</v>
      </c>
      <c r="K2022">
        <v>0</v>
      </c>
      <c r="L2022">
        <v>3</v>
      </c>
      <c r="M2022">
        <v>0</v>
      </c>
      <c r="N2022">
        <v>2</v>
      </c>
      <c r="O2022">
        <v>1</v>
      </c>
      <c r="P2022">
        <v>0</v>
      </c>
      <c r="Q2022">
        <v>0</v>
      </c>
      <c r="S2022" t="str">
        <f>"20:25:11.055"</f>
        <v>20:25:11.055</v>
      </c>
      <c r="T2022" t="str">
        <f>"20:25:10.555"</f>
        <v>20:25:10.555</v>
      </c>
      <c r="U2022" t="str">
        <f t="shared" si="98"/>
        <v>AB01F4</v>
      </c>
      <c r="V2022">
        <v>0</v>
      </c>
      <c r="W2022">
        <v>0</v>
      </c>
      <c r="X2022">
        <v>2</v>
      </c>
      <c r="Z2022">
        <v>0</v>
      </c>
      <c r="AA2022">
        <v>9</v>
      </c>
      <c r="AB2022">
        <v>3</v>
      </c>
      <c r="AC2022">
        <v>0</v>
      </c>
      <c r="AD2022">
        <v>10</v>
      </c>
      <c r="AE2022">
        <v>0</v>
      </c>
      <c r="AF2022">
        <v>3</v>
      </c>
      <c r="AG2022">
        <v>2</v>
      </c>
      <c r="AH2022">
        <v>0</v>
      </c>
      <c r="AI2022" t="s">
        <v>1259</v>
      </c>
      <c r="AJ2022">
        <v>39.934702000000001</v>
      </c>
      <c r="AK2022" t="s">
        <v>1260</v>
      </c>
      <c r="AL2022">
        <v>-92.631483000000003</v>
      </c>
      <c r="AM2022">
        <v>100</v>
      </c>
      <c r="AN2022">
        <v>1700</v>
      </c>
      <c r="AO2022" t="s">
        <v>118</v>
      </c>
      <c r="AP2022">
        <v>-108</v>
      </c>
      <c r="AQ2022">
        <v>78</v>
      </c>
      <c r="AR2022">
        <v>-128</v>
      </c>
      <c r="AZ2022">
        <v>1200</v>
      </c>
      <c r="BA2022">
        <v>1</v>
      </c>
      <c r="BB2022" t="str">
        <f t="shared" si="97"/>
        <v xml:space="preserve">N8080G  </v>
      </c>
      <c r="BC2022">
        <v>1</v>
      </c>
      <c r="BE2022">
        <v>0</v>
      </c>
      <c r="BF2022">
        <v>0</v>
      </c>
      <c r="BG2022">
        <v>0</v>
      </c>
      <c r="BH2022">
        <v>1700</v>
      </c>
      <c r="BI2022">
        <v>1</v>
      </c>
      <c r="BJ2022">
        <v>1</v>
      </c>
      <c r="BK2022">
        <v>1</v>
      </c>
      <c r="BL2022">
        <v>0</v>
      </c>
      <c r="BO2022">
        <v>0</v>
      </c>
      <c r="BP2022">
        <v>0</v>
      </c>
      <c r="BW2022" t="str">
        <f>"20:25:11.060"</f>
        <v>20:25:11.060</v>
      </c>
      <c r="BZ2022">
        <v>0</v>
      </c>
      <c r="CA2022">
        <v>2016</v>
      </c>
      <c r="CB2022">
        <v>224</v>
      </c>
      <c r="CD2022">
        <v>1</v>
      </c>
      <c r="CE2022">
        <v>0</v>
      </c>
      <c r="CF2022">
        <v>0</v>
      </c>
      <c r="CG2022">
        <v>1</v>
      </c>
      <c r="CH2022">
        <v>0</v>
      </c>
      <c r="CI2022">
        <v>0</v>
      </c>
      <c r="CJ2022">
        <v>0</v>
      </c>
      <c r="CK2022">
        <v>2</v>
      </c>
      <c r="CL2022">
        <v>0</v>
      </c>
      <c r="CM2022">
        <v>2</v>
      </c>
      <c r="CN2022">
        <v>0</v>
      </c>
      <c r="CO2022">
        <v>7</v>
      </c>
      <c r="CP2022" t="s">
        <v>119</v>
      </c>
      <c r="CQ2022">
        <v>180</v>
      </c>
      <c r="CR2022">
        <v>1</v>
      </c>
      <c r="CW2022">
        <v>10987780</v>
      </c>
      <c r="CY2022">
        <v>0</v>
      </c>
      <c r="CZ2022">
        <v>0</v>
      </c>
      <c r="DA2022">
        <v>1</v>
      </c>
      <c r="DB2022">
        <v>0</v>
      </c>
      <c r="DC2022">
        <v>0</v>
      </c>
      <c r="DD2022">
        <v>0</v>
      </c>
      <c r="DE2022">
        <v>0</v>
      </c>
      <c r="DF2022">
        <v>0</v>
      </c>
      <c r="DG2022">
        <v>0</v>
      </c>
      <c r="DH2022">
        <v>0</v>
      </c>
      <c r="DI2022">
        <v>0</v>
      </c>
    </row>
    <row r="2023" spans="1:113" x14ac:dyDescent="0.3">
      <c r="A2023" t="str">
        <f>"02/08/2021 20:25:11.818"</f>
        <v>02/08/2021 20:25:11.818</v>
      </c>
      <c r="C2023" t="str">
        <f t="shared" si="96"/>
        <v>FFDFD7C0</v>
      </c>
      <c r="D2023" t="s">
        <v>124</v>
      </c>
      <c r="E2023">
        <v>12</v>
      </c>
      <c r="F2023">
        <v>1012</v>
      </c>
      <c r="G2023" t="s">
        <v>675</v>
      </c>
      <c r="J2023" t="s">
        <v>125</v>
      </c>
      <c r="K2023">
        <v>0</v>
      </c>
      <c r="L2023">
        <v>3</v>
      </c>
      <c r="M2023">
        <v>0</v>
      </c>
      <c r="N2023">
        <v>2</v>
      </c>
      <c r="O2023">
        <v>1</v>
      </c>
      <c r="P2023">
        <v>0</v>
      </c>
      <c r="Q2023">
        <v>0</v>
      </c>
      <c r="S2023" t="str">
        <f>"20:25:14.141"</f>
        <v>20:25:14.141</v>
      </c>
      <c r="T2023" t="str">
        <f>"20:25:13.741"</f>
        <v>20:25:13.741</v>
      </c>
      <c r="U2023" t="str">
        <f t="shared" si="98"/>
        <v>AB01F4</v>
      </c>
      <c r="V2023">
        <v>0</v>
      </c>
      <c r="W2023">
        <v>0</v>
      </c>
      <c r="X2023">
        <v>2</v>
      </c>
      <c r="Z2023">
        <v>0</v>
      </c>
      <c r="AA2023">
        <v>9</v>
      </c>
      <c r="AB2023">
        <v>3</v>
      </c>
      <c r="AC2023">
        <v>0</v>
      </c>
      <c r="AD2023">
        <v>10</v>
      </c>
      <c r="AE2023">
        <v>0</v>
      </c>
      <c r="AF2023">
        <v>3</v>
      </c>
      <c r="AG2023">
        <v>2</v>
      </c>
      <c r="AH2023">
        <v>0</v>
      </c>
      <c r="AI2023" t="s">
        <v>1261</v>
      </c>
      <c r="AJ2023">
        <v>39.935861000000003</v>
      </c>
      <c r="AK2023" t="s">
        <v>1262</v>
      </c>
      <c r="AL2023">
        <v>-92.633478999999994</v>
      </c>
      <c r="AM2023">
        <v>100</v>
      </c>
      <c r="AN2023">
        <v>1700</v>
      </c>
      <c r="AO2023" t="s">
        <v>118</v>
      </c>
      <c r="AP2023">
        <v>-108</v>
      </c>
      <c r="AQ2023">
        <v>78</v>
      </c>
      <c r="AR2023">
        <v>0</v>
      </c>
      <c r="AZ2023">
        <v>1200</v>
      </c>
      <c r="BA2023">
        <v>1</v>
      </c>
      <c r="BB2023" t="str">
        <f t="shared" si="97"/>
        <v xml:space="preserve">N8080G  </v>
      </c>
      <c r="BC2023">
        <v>1</v>
      </c>
      <c r="BE2023">
        <v>0</v>
      </c>
      <c r="BF2023">
        <v>0</v>
      </c>
      <c r="BG2023">
        <v>0</v>
      </c>
      <c r="BH2023">
        <v>1700</v>
      </c>
      <c r="BI2023">
        <v>1</v>
      </c>
      <c r="BJ2023">
        <v>1</v>
      </c>
      <c r="BK2023">
        <v>1</v>
      </c>
      <c r="BL2023">
        <v>0</v>
      </c>
      <c r="BO2023">
        <v>0</v>
      </c>
      <c r="BP2023">
        <v>0</v>
      </c>
      <c r="BW2023" t="str">
        <f>"20:25:14.141"</f>
        <v>20:25:14.141</v>
      </c>
      <c r="BZ2023">
        <v>0</v>
      </c>
      <c r="CA2023">
        <v>2016</v>
      </c>
      <c r="CB2023">
        <v>224</v>
      </c>
      <c r="CD2023">
        <v>1</v>
      </c>
      <c r="CE2023">
        <v>0</v>
      </c>
      <c r="CF2023">
        <v>0</v>
      </c>
      <c r="CG2023">
        <v>1</v>
      </c>
      <c r="CH2023">
        <v>0</v>
      </c>
      <c r="CI2023">
        <v>0</v>
      </c>
      <c r="CJ2023">
        <v>0</v>
      </c>
      <c r="CK2023">
        <v>2</v>
      </c>
      <c r="CL2023">
        <v>0</v>
      </c>
      <c r="CM2023">
        <v>2</v>
      </c>
      <c r="CN2023">
        <v>0</v>
      </c>
      <c r="CO2023">
        <v>2</v>
      </c>
      <c r="CP2023" t="s">
        <v>119</v>
      </c>
      <c r="CQ2023">
        <v>179</v>
      </c>
      <c r="CR2023">
        <v>1</v>
      </c>
      <c r="CW2023">
        <v>8858529</v>
      </c>
      <c r="CY2023">
        <v>0</v>
      </c>
      <c r="CZ2023">
        <v>0</v>
      </c>
      <c r="DA2023">
        <v>0</v>
      </c>
      <c r="DB2023">
        <v>0</v>
      </c>
      <c r="DC2023">
        <v>0</v>
      </c>
      <c r="DD2023">
        <v>0</v>
      </c>
      <c r="DE2023">
        <v>0</v>
      </c>
      <c r="DF2023">
        <v>0</v>
      </c>
      <c r="DG2023">
        <v>0</v>
      </c>
      <c r="DH2023">
        <v>0</v>
      </c>
      <c r="DI2023">
        <v>0</v>
      </c>
    </row>
    <row r="2024" spans="1:113" x14ac:dyDescent="0.3">
      <c r="A2024" t="str">
        <f>"02/08/2021 20:25:11.818"</f>
        <v>02/08/2021 20:25:11.818</v>
      </c>
      <c r="C2024" t="str">
        <f t="shared" si="96"/>
        <v>FFDFD7C0</v>
      </c>
      <c r="D2024" t="s">
        <v>124</v>
      </c>
      <c r="E2024">
        <v>13</v>
      </c>
      <c r="F2024">
        <v>1013</v>
      </c>
      <c r="G2024" t="s">
        <v>114</v>
      </c>
      <c r="J2024" t="s">
        <v>125</v>
      </c>
      <c r="K2024">
        <v>0</v>
      </c>
      <c r="L2024">
        <v>3</v>
      </c>
      <c r="M2024">
        <v>0</v>
      </c>
      <c r="N2024">
        <v>2</v>
      </c>
      <c r="O2024">
        <v>1</v>
      </c>
      <c r="P2024">
        <v>0</v>
      </c>
      <c r="Q2024">
        <v>0</v>
      </c>
      <c r="S2024" t="str">
        <f>"20:25:14.141"</f>
        <v>20:25:14.141</v>
      </c>
      <c r="T2024" t="str">
        <f>"20:25:13.741"</f>
        <v>20:25:13.741</v>
      </c>
      <c r="U2024" t="str">
        <f t="shared" si="98"/>
        <v>AB01F4</v>
      </c>
      <c r="V2024">
        <v>0</v>
      </c>
      <c r="W2024">
        <v>0</v>
      </c>
      <c r="X2024">
        <v>2</v>
      </c>
      <c r="Z2024">
        <v>0</v>
      </c>
      <c r="AA2024">
        <v>9</v>
      </c>
      <c r="AB2024">
        <v>3</v>
      </c>
      <c r="AC2024">
        <v>0</v>
      </c>
      <c r="AD2024">
        <v>10</v>
      </c>
      <c r="AE2024">
        <v>0</v>
      </c>
      <c r="AF2024">
        <v>3</v>
      </c>
      <c r="AG2024">
        <v>2</v>
      </c>
      <c r="AH2024">
        <v>0</v>
      </c>
      <c r="AI2024" t="s">
        <v>1261</v>
      </c>
      <c r="AJ2024">
        <v>39.935861000000003</v>
      </c>
      <c r="AK2024" t="s">
        <v>1262</v>
      </c>
      <c r="AL2024">
        <v>-92.633478999999994</v>
      </c>
      <c r="AM2024">
        <v>100</v>
      </c>
      <c r="AN2024">
        <v>1700</v>
      </c>
      <c r="AO2024" t="s">
        <v>118</v>
      </c>
      <c r="AP2024">
        <v>-108</v>
      </c>
      <c r="AQ2024">
        <v>78</v>
      </c>
      <c r="AR2024">
        <v>0</v>
      </c>
      <c r="AZ2024">
        <v>1200</v>
      </c>
      <c r="BA2024">
        <v>1</v>
      </c>
      <c r="BB2024" t="str">
        <f t="shared" si="97"/>
        <v xml:space="preserve">N8080G  </v>
      </c>
      <c r="BC2024">
        <v>1</v>
      </c>
      <c r="BE2024">
        <v>0</v>
      </c>
      <c r="BF2024">
        <v>0</v>
      </c>
      <c r="BG2024">
        <v>0</v>
      </c>
      <c r="BH2024">
        <v>1700</v>
      </c>
      <c r="BI2024">
        <v>1</v>
      </c>
      <c r="BJ2024">
        <v>1</v>
      </c>
      <c r="BK2024">
        <v>1</v>
      </c>
      <c r="BL2024">
        <v>0</v>
      </c>
      <c r="BO2024">
        <v>0</v>
      </c>
      <c r="BP2024">
        <v>0</v>
      </c>
      <c r="BW2024" t="str">
        <f>"20:25:14.141"</f>
        <v>20:25:14.141</v>
      </c>
      <c r="BZ2024">
        <v>0</v>
      </c>
      <c r="CA2024">
        <v>2016</v>
      </c>
      <c r="CB2024">
        <v>224</v>
      </c>
      <c r="CD2024">
        <v>1</v>
      </c>
      <c r="CE2024">
        <v>0</v>
      </c>
      <c r="CF2024">
        <v>0</v>
      </c>
      <c r="CG2024">
        <v>1</v>
      </c>
      <c r="CH2024">
        <v>0</v>
      </c>
      <c r="CI2024">
        <v>0</v>
      </c>
      <c r="CJ2024">
        <v>0</v>
      </c>
      <c r="CK2024">
        <v>2</v>
      </c>
      <c r="CL2024">
        <v>0</v>
      </c>
      <c r="CM2024">
        <v>2</v>
      </c>
      <c r="CN2024">
        <v>0</v>
      </c>
      <c r="CO2024">
        <v>2</v>
      </c>
      <c r="CP2024" t="s">
        <v>119</v>
      </c>
      <c r="CQ2024">
        <v>179</v>
      </c>
      <c r="CR2024">
        <v>1</v>
      </c>
      <c r="CW2024">
        <v>8858529</v>
      </c>
      <c r="CY2024">
        <v>0</v>
      </c>
      <c r="CZ2024">
        <v>0</v>
      </c>
      <c r="DA2024">
        <v>1</v>
      </c>
      <c r="DB2024">
        <v>0</v>
      </c>
      <c r="DC2024">
        <v>0</v>
      </c>
      <c r="DD2024">
        <v>0</v>
      </c>
      <c r="DE2024">
        <v>0</v>
      </c>
      <c r="DF2024">
        <v>0</v>
      </c>
      <c r="DG2024">
        <v>0</v>
      </c>
      <c r="DH2024">
        <v>0</v>
      </c>
      <c r="DI2024">
        <v>0</v>
      </c>
    </row>
    <row r="2025" spans="1:113" x14ac:dyDescent="0.3">
      <c r="A2025" t="str">
        <f>"02/08/2021 20:25:11.818"</f>
        <v>02/08/2021 20:25:11.818</v>
      </c>
      <c r="C2025" t="str">
        <f t="shared" si="96"/>
        <v>FFDFD7C0</v>
      </c>
      <c r="D2025" t="s">
        <v>113</v>
      </c>
      <c r="E2025">
        <v>6</v>
      </c>
      <c r="H2025">
        <v>165</v>
      </c>
      <c r="I2025" t="s">
        <v>114</v>
      </c>
      <c r="J2025" t="s">
        <v>115</v>
      </c>
      <c r="K2025">
        <v>0</v>
      </c>
      <c r="L2025">
        <v>3</v>
      </c>
      <c r="M2025">
        <v>0</v>
      </c>
      <c r="N2025">
        <v>2</v>
      </c>
      <c r="O2025">
        <v>1</v>
      </c>
      <c r="P2025">
        <v>0</v>
      </c>
      <c r="Q2025">
        <v>0</v>
      </c>
      <c r="S2025" t="str">
        <f>"20:25:14.141"</f>
        <v>20:25:14.141</v>
      </c>
      <c r="T2025" t="str">
        <f>"20:25:13.741"</f>
        <v>20:25:13.741</v>
      </c>
      <c r="U2025" t="str">
        <f t="shared" si="98"/>
        <v>AB01F4</v>
      </c>
      <c r="V2025">
        <v>0</v>
      </c>
      <c r="W2025">
        <v>0</v>
      </c>
      <c r="X2025">
        <v>2</v>
      </c>
      <c r="Z2025">
        <v>0</v>
      </c>
      <c r="AA2025">
        <v>9</v>
      </c>
      <c r="AB2025">
        <v>3</v>
      </c>
      <c r="AC2025">
        <v>0</v>
      </c>
      <c r="AD2025">
        <v>10</v>
      </c>
      <c r="AE2025">
        <v>0</v>
      </c>
      <c r="AF2025">
        <v>3</v>
      </c>
      <c r="AG2025">
        <v>2</v>
      </c>
      <c r="AH2025">
        <v>0</v>
      </c>
      <c r="AI2025" t="s">
        <v>1261</v>
      </c>
      <c r="AJ2025">
        <v>39.935861000000003</v>
      </c>
      <c r="AK2025" t="s">
        <v>1262</v>
      </c>
      <c r="AL2025">
        <v>-92.633478999999994</v>
      </c>
      <c r="AM2025">
        <v>100</v>
      </c>
      <c r="AN2025">
        <v>1700</v>
      </c>
      <c r="AO2025" t="s">
        <v>118</v>
      </c>
      <c r="AP2025">
        <v>-108</v>
      </c>
      <c r="AQ2025">
        <v>78</v>
      </c>
      <c r="AR2025">
        <v>0</v>
      </c>
      <c r="AZ2025">
        <v>1200</v>
      </c>
      <c r="BA2025">
        <v>1</v>
      </c>
      <c r="BB2025" t="str">
        <f t="shared" si="97"/>
        <v xml:space="preserve">N8080G  </v>
      </c>
      <c r="BC2025">
        <v>1</v>
      </c>
      <c r="BE2025">
        <v>0</v>
      </c>
      <c r="BF2025">
        <v>0</v>
      </c>
      <c r="BG2025">
        <v>0</v>
      </c>
      <c r="BH2025">
        <v>1700</v>
      </c>
      <c r="BI2025">
        <v>1</v>
      </c>
      <c r="BJ2025">
        <v>1</v>
      </c>
      <c r="BK2025">
        <v>1</v>
      </c>
      <c r="BL2025">
        <v>0</v>
      </c>
      <c r="BO2025">
        <v>0</v>
      </c>
      <c r="BP2025">
        <v>0</v>
      </c>
      <c r="BW2025" t="str">
        <f>"20:25:14.141"</f>
        <v>20:25:14.141</v>
      </c>
      <c r="BZ2025">
        <v>0</v>
      </c>
      <c r="CA2025">
        <v>2016</v>
      </c>
      <c r="CB2025">
        <v>224</v>
      </c>
      <c r="CD2025">
        <v>1</v>
      </c>
      <c r="CE2025">
        <v>0</v>
      </c>
      <c r="CF2025">
        <v>0</v>
      </c>
      <c r="CG2025">
        <v>1</v>
      </c>
      <c r="CH2025">
        <v>0</v>
      </c>
      <c r="CI2025">
        <v>0</v>
      </c>
      <c r="CJ2025">
        <v>0</v>
      </c>
      <c r="CK2025">
        <v>2</v>
      </c>
      <c r="CL2025">
        <v>0</v>
      </c>
      <c r="CM2025">
        <v>2</v>
      </c>
      <c r="CN2025">
        <v>0</v>
      </c>
      <c r="CO2025">
        <v>2</v>
      </c>
      <c r="CP2025" t="s">
        <v>119</v>
      </c>
      <c r="CQ2025">
        <v>179</v>
      </c>
      <c r="CR2025">
        <v>1</v>
      </c>
      <c r="CW2025">
        <v>8858529</v>
      </c>
      <c r="CY2025">
        <v>0</v>
      </c>
      <c r="CZ2025">
        <v>0</v>
      </c>
      <c r="DA2025">
        <v>1</v>
      </c>
      <c r="DB2025">
        <v>0</v>
      </c>
      <c r="DC2025">
        <v>0</v>
      </c>
      <c r="DD2025">
        <v>0</v>
      </c>
      <c r="DE2025">
        <v>0</v>
      </c>
      <c r="DF2025">
        <v>0</v>
      </c>
      <c r="DG2025">
        <v>0</v>
      </c>
      <c r="DH2025">
        <v>0</v>
      </c>
      <c r="DI2025">
        <v>0</v>
      </c>
    </row>
    <row r="2026" spans="1:113" x14ac:dyDescent="0.3">
      <c r="A2026" t="str">
        <f>"02/08/2021 20:25:11.818"</f>
        <v>02/08/2021 20:25:11.818</v>
      </c>
      <c r="C2026" t="str">
        <f t="shared" si="96"/>
        <v>FFDFD7C0</v>
      </c>
      <c r="D2026" t="s">
        <v>124</v>
      </c>
      <c r="E2026">
        <v>11</v>
      </c>
      <c r="F2026">
        <v>1011</v>
      </c>
      <c r="G2026" t="s">
        <v>590</v>
      </c>
      <c r="J2026" t="s">
        <v>125</v>
      </c>
      <c r="K2026">
        <v>0</v>
      </c>
      <c r="L2026">
        <v>3</v>
      </c>
      <c r="M2026">
        <v>0</v>
      </c>
      <c r="N2026">
        <v>2</v>
      </c>
      <c r="O2026">
        <v>1</v>
      </c>
      <c r="P2026">
        <v>0</v>
      </c>
      <c r="Q2026">
        <v>0</v>
      </c>
      <c r="S2026" t="str">
        <f>"20:25:14.141"</f>
        <v>20:25:14.141</v>
      </c>
      <c r="T2026" t="str">
        <f>"20:25:13.741"</f>
        <v>20:25:13.741</v>
      </c>
      <c r="U2026" t="str">
        <f t="shared" si="98"/>
        <v>AB01F4</v>
      </c>
      <c r="V2026">
        <v>0</v>
      </c>
      <c r="W2026">
        <v>0</v>
      </c>
      <c r="X2026">
        <v>2</v>
      </c>
      <c r="Z2026">
        <v>0</v>
      </c>
      <c r="AA2026">
        <v>9</v>
      </c>
      <c r="AB2026">
        <v>3</v>
      </c>
      <c r="AC2026">
        <v>0</v>
      </c>
      <c r="AD2026">
        <v>10</v>
      </c>
      <c r="AE2026">
        <v>0</v>
      </c>
      <c r="AF2026">
        <v>3</v>
      </c>
      <c r="AG2026">
        <v>2</v>
      </c>
      <c r="AH2026">
        <v>0</v>
      </c>
      <c r="AI2026" t="s">
        <v>1261</v>
      </c>
      <c r="AJ2026">
        <v>39.935861000000003</v>
      </c>
      <c r="AK2026" t="s">
        <v>1262</v>
      </c>
      <c r="AL2026">
        <v>-92.633478999999994</v>
      </c>
      <c r="AM2026">
        <v>100</v>
      </c>
      <c r="AN2026">
        <v>1700</v>
      </c>
      <c r="AO2026" t="s">
        <v>118</v>
      </c>
      <c r="AP2026">
        <v>-108</v>
      </c>
      <c r="AQ2026">
        <v>78</v>
      </c>
      <c r="AR2026">
        <v>0</v>
      </c>
      <c r="AZ2026">
        <v>1200</v>
      </c>
      <c r="BA2026">
        <v>1</v>
      </c>
      <c r="BB2026" t="str">
        <f t="shared" si="97"/>
        <v xml:space="preserve">N8080G  </v>
      </c>
      <c r="BC2026">
        <v>1</v>
      </c>
      <c r="BE2026">
        <v>0</v>
      </c>
      <c r="BF2026">
        <v>0</v>
      </c>
      <c r="BG2026">
        <v>0</v>
      </c>
      <c r="BH2026">
        <v>1700</v>
      </c>
      <c r="BI2026">
        <v>1</v>
      </c>
      <c r="BJ2026">
        <v>1</v>
      </c>
      <c r="BK2026">
        <v>1</v>
      </c>
      <c r="BL2026">
        <v>0</v>
      </c>
      <c r="BO2026">
        <v>0</v>
      </c>
      <c r="BP2026">
        <v>0</v>
      </c>
      <c r="BW2026" t="str">
        <f>"20:25:14.141"</f>
        <v>20:25:14.141</v>
      </c>
      <c r="BZ2026">
        <v>0</v>
      </c>
      <c r="CA2026">
        <v>2016</v>
      </c>
      <c r="CB2026">
        <v>224</v>
      </c>
      <c r="CD2026">
        <v>1</v>
      </c>
      <c r="CE2026">
        <v>0</v>
      </c>
      <c r="CF2026">
        <v>0</v>
      </c>
      <c r="CG2026">
        <v>1</v>
      </c>
      <c r="CH2026">
        <v>0</v>
      </c>
      <c r="CI2026">
        <v>0</v>
      </c>
      <c r="CJ2026">
        <v>0</v>
      </c>
      <c r="CK2026">
        <v>2</v>
      </c>
      <c r="CL2026">
        <v>0</v>
      </c>
      <c r="CM2026">
        <v>2</v>
      </c>
      <c r="CN2026">
        <v>0</v>
      </c>
      <c r="CO2026">
        <v>2</v>
      </c>
      <c r="CP2026" t="s">
        <v>119</v>
      </c>
      <c r="CQ2026">
        <v>179</v>
      </c>
      <c r="CR2026">
        <v>1</v>
      </c>
      <c r="CW2026">
        <v>8858529</v>
      </c>
      <c r="CY2026">
        <v>0</v>
      </c>
      <c r="CZ2026">
        <v>0</v>
      </c>
      <c r="DA2026">
        <v>1</v>
      </c>
      <c r="DB2026">
        <v>0</v>
      </c>
      <c r="DC2026">
        <v>0</v>
      </c>
      <c r="DD2026">
        <v>0</v>
      </c>
      <c r="DE2026">
        <v>0</v>
      </c>
      <c r="DF2026">
        <v>0</v>
      </c>
      <c r="DG2026">
        <v>0</v>
      </c>
      <c r="DH2026">
        <v>0</v>
      </c>
      <c r="DI2026">
        <v>0</v>
      </c>
    </row>
    <row r="2027" spans="1:113" x14ac:dyDescent="0.3">
      <c r="A2027" t="str">
        <f>"02/08/2021 20:25:12.807"</f>
        <v>02/08/2021 20:25:12.807</v>
      </c>
      <c r="C2027" t="str">
        <f t="shared" si="96"/>
        <v>FFDFD7C0</v>
      </c>
      <c r="D2027" t="s">
        <v>124</v>
      </c>
      <c r="E2027">
        <v>11</v>
      </c>
      <c r="F2027">
        <v>1011</v>
      </c>
      <c r="G2027" t="s">
        <v>590</v>
      </c>
      <c r="J2027" t="s">
        <v>125</v>
      </c>
      <c r="K2027">
        <v>0</v>
      </c>
      <c r="L2027">
        <v>3</v>
      </c>
      <c r="M2027">
        <v>0</v>
      </c>
      <c r="N2027">
        <v>2</v>
      </c>
      <c r="O2027">
        <v>1</v>
      </c>
      <c r="P2027">
        <v>0</v>
      </c>
      <c r="Q2027">
        <v>0</v>
      </c>
      <c r="S2027" t="str">
        <f>"20:25:15.117"</f>
        <v>20:25:15.117</v>
      </c>
      <c r="T2027" t="str">
        <f>"20:25:14.617"</f>
        <v>20:25:14.617</v>
      </c>
      <c r="U2027" t="str">
        <f t="shared" si="98"/>
        <v>AB01F4</v>
      </c>
      <c r="V2027">
        <v>0</v>
      </c>
      <c r="W2027">
        <v>0</v>
      </c>
      <c r="X2027">
        <v>2</v>
      </c>
      <c r="Z2027">
        <v>0</v>
      </c>
      <c r="AA2027">
        <v>9</v>
      </c>
      <c r="AB2027">
        <v>3</v>
      </c>
      <c r="AC2027">
        <v>0</v>
      </c>
      <c r="AD2027">
        <v>10</v>
      </c>
      <c r="AE2027">
        <v>0</v>
      </c>
      <c r="AF2027">
        <v>3</v>
      </c>
      <c r="AG2027">
        <v>2</v>
      </c>
      <c r="AH2027">
        <v>0</v>
      </c>
      <c r="AI2027" t="s">
        <v>1263</v>
      </c>
      <c r="AJ2027">
        <v>39.936182000000002</v>
      </c>
      <c r="AK2027" t="s">
        <v>1264</v>
      </c>
      <c r="AL2027">
        <v>-92.634101000000001</v>
      </c>
      <c r="AM2027">
        <v>100</v>
      </c>
      <c r="AN2027">
        <v>1700</v>
      </c>
      <c r="AO2027" t="s">
        <v>118</v>
      </c>
      <c r="AP2027">
        <v>-108</v>
      </c>
      <c r="AQ2027">
        <v>78</v>
      </c>
      <c r="AR2027">
        <v>128</v>
      </c>
      <c r="AZ2027">
        <v>1200</v>
      </c>
      <c r="BA2027">
        <v>1</v>
      </c>
      <c r="BB2027" t="str">
        <f t="shared" si="97"/>
        <v xml:space="preserve">N8080G  </v>
      </c>
      <c r="BC2027">
        <v>1</v>
      </c>
      <c r="BE2027">
        <v>0</v>
      </c>
      <c r="BF2027">
        <v>0</v>
      </c>
      <c r="BG2027">
        <v>0</v>
      </c>
      <c r="BH2027">
        <v>1700</v>
      </c>
      <c r="BI2027">
        <v>1</v>
      </c>
      <c r="BJ2027">
        <v>1</v>
      </c>
      <c r="BK2027">
        <v>1</v>
      </c>
      <c r="BL2027">
        <v>0</v>
      </c>
      <c r="BO2027">
        <v>0</v>
      </c>
      <c r="BP2027">
        <v>0</v>
      </c>
      <c r="BW2027" t="str">
        <f>"20:25:15.119"</f>
        <v>20:25:15.119</v>
      </c>
      <c r="BZ2027">
        <v>0</v>
      </c>
      <c r="CA2027">
        <v>2016</v>
      </c>
      <c r="CB2027">
        <v>224</v>
      </c>
      <c r="CD2027">
        <v>1</v>
      </c>
      <c r="CE2027">
        <v>0</v>
      </c>
      <c r="CF2027">
        <v>0</v>
      </c>
      <c r="CG2027">
        <v>1</v>
      </c>
      <c r="CH2027">
        <v>0</v>
      </c>
      <c r="CI2027">
        <v>0</v>
      </c>
      <c r="CJ2027">
        <v>0</v>
      </c>
      <c r="CK2027">
        <v>2</v>
      </c>
      <c r="CL2027">
        <v>0</v>
      </c>
      <c r="CM2027">
        <v>2</v>
      </c>
      <c r="CN2027">
        <v>0</v>
      </c>
      <c r="CO2027">
        <v>2</v>
      </c>
      <c r="CP2027" t="s">
        <v>119</v>
      </c>
      <c r="CQ2027">
        <v>179</v>
      </c>
      <c r="CR2027">
        <v>1</v>
      </c>
      <c r="CW2027">
        <v>8859421</v>
      </c>
      <c r="CY2027">
        <v>0</v>
      </c>
      <c r="CZ2027">
        <v>0</v>
      </c>
      <c r="DA2027">
        <v>0</v>
      </c>
      <c r="DB2027">
        <v>0</v>
      </c>
      <c r="DC2027">
        <v>0</v>
      </c>
      <c r="DD2027">
        <v>0</v>
      </c>
      <c r="DE2027">
        <v>0</v>
      </c>
      <c r="DF2027">
        <v>0</v>
      </c>
      <c r="DG2027">
        <v>0</v>
      </c>
      <c r="DH2027">
        <v>0</v>
      </c>
      <c r="DI2027">
        <v>0</v>
      </c>
    </row>
    <row r="2028" spans="1:113" x14ac:dyDescent="0.3">
      <c r="A2028" t="str">
        <f>"02/08/2021 20:25:12.807"</f>
        <v>02/08/2021 20:25:12.807</v>
      </c>
      <c r="C2028" t="str">
        <f t="shared" si="96"/>
        <v>FFDFD7C0</v>
      </c>
      <c r="D2028" t="s">
        <v>124</v>
      </c>
      <c r="E2028">
        <v>12</v>
      </c>
      <c r="F2028">
        <v>1012</v>
      </c>
      <c r="G2028" t="s">
        <v>675</v>
      </c>
      <c r="J2028" t="s">
        <v>125</v>
      </c>
      <c r="K2028">
        <v>0</v>
      </c>
      <c r="L2028">
        <v>3</v>
      </c>
      <c r="M2028">
        <v>0</v>
      </c>
      <c r="N2028">
        <v>2</v>
      </c>
      <c r="O2028">
        <v>1</v>
      </c>
      <c r="P2028">
        <v>0</v>
      </c>
      <c r="Q2028">
        <v>0</v>
      </c>
      <c r="S2028" t="str">
        <f>"20:25:15.117"</f>
        <v>20:25:15.117</v>
      </c>
      <c r="T2028" t="str">
        <f>"20:25:14.617"</f>
        <v>20:25:14.617</v>
      </c>
      <c r="U2028" t="str">
        <f t="shared" si="98"/>
        <v>AB01F4</v>
      </c>
      <c r="V2028">
        <v>0</v>
      </c>
      <c r="W2028">
        <v>0</v>
      </c>
      <c r="X2028">
        <v>2</v>
      </c>
      <c r="Z2028">
        <v>0</v>
      </c>
      <c r="AA2028">
        <v>9</v>
      </c>
      <c r="AB2028">
        <v>3</v>
      </c>
      <c r="AC2028">
        <v>0</v>
      </c>
      <c r="AD2028">
        <v>10</v>
      </c>
      <c r="AE2028">
        <v>0</v>
      </c>
      <c r="AF2028">
        <v>3</v>
      </c>
      <c r="AG2028">
        <v>2</v>
      </c>
      <c r="AH2028">
        <v>0</v>
      </c>
      <c r="AI2028" t="s">
        <v>1263</v>
      </c>
      <c r="AJ2028">
        <v>39.936182000000002</v>
      </c>
      <c r="AK2028" t="s">
        <v>1264</v>
      </c>
      <c r="AL2028">
        <v>-92.634101000000001</v>
      </c>
      <c r="AM2028">
        <v>100</v>
      </c>
      <c r="AN2028">
        <v>1700</v>
      </c>
      <c r="AO2028" t="s">
        <v>118</v>
      </c>
      <c r="AP2028">
        <v>-108</v>
      </c>
      <c r="AQ2028">
        <v>78</v>
      </c>
      <c r="AR2028">
        <v>128</v>
      </c>
      <c r="AZ2028">
        <v>1200</v>
      </c>
      <c r="BA2028">
        <v>1</v>
      </c>
      <c r="BB2028" t="str">
        <f t="shared" si="97"/>
        <v xml:space="preserve">N8080G  </v>
      </c>
      <c r="BC2028">
        <v>1</v>
      </c>
      <c r="BE2028">
        <v>0</v>
      </c>
      <c r="BF2028">
        <v>0</v>
      </c>
      <c r="BG2028">
        <v>0</v>
      </c>
      <c r="BH2028">
        <v>1700</v>
      </c>
      <c r="BI2028">
        <v>1</v>
      </c>
      <c r="BJ2028">
        <v>1</v>
      </c>
      <c r="BK2028">
        <v>1</v>
      </c>
      <c r="BL2028">
        <v>0</v>
      </c>
      <c r="BO2028">
        <v>0</v>
      </c>
      <c r="BP2028">
        <v>0</v>
      </c>
      <c r="BW2028" t="str">
        <f>"20:25:15.119"</f>
        <v>20:25:15.119</v>
      </c>
      <c r="BZ2028">
        <v>0</v>
      </c>
      <c r="CA2028">
        <v>2016</v>
      </c>
      <c r="CB2028">
        <v>224</v>
      </c>
      <c r="CD2028">
        <v>1</v>
      </c>
      <c r="CE2028">
        <v>0</v>
      </c>
      <c r="CF2028">
        <v>0</v>
      </c>
      <c r="CG2028">
        <v>1</v>
      </c>
      <c r="CH2028">
        <v>0</v>
      </c>
      <c r="CI2028">
        <v>0</v>
      </c>
      <c r="CJ2028">
        <v>0</v>
      </c>
      <c r="CK2028">
        <v>2</v>
      </c>
      <c r="CL2028">
        <v>0</v>
      </c>
      <c r="CM2028">
        <v>2</v>
      </c>
      <c r="CN2028">
        <v>0</v>
      </c>
      <c r="CO2028">
        <v>2</v>
      </c>
      <c r="CP2028" t="s">
        <v>119</v>
      </c>
      <c r="CQ2028">
        <v>179</v>
      </c>
      <c r="CR2028">
        <v>1</v>
      </c>
      <c r="CW2028">
        <v>8859421</v>
      </c>
      <c r="CY2028">
        <v>0</v>
      </c>
      <c r="CZ2028">
        <v>0</v>
      </c>
      <c r="DA2028">
        <v>1</v>
      </c>
      <c r="DB2028">
        <v>0</v>
      </c>
      <c r="DC2028">
        <v>0</v>
      </c>
      <c r="DD2028">
        <v>0</v>
      </c>
      <c r="DE2028">
        <v>0</v>
      </c>
      <c r="DF2028">
        <v>0</v>
      </c>
      <c r="DG2028">
        <v>0</v>
      </c>
      <c r="DH2028">
        <v>0</v>
      </c>
      <c r="DI2028">
        <v>0</v>
      </c>
    </row>
    <row r="2029" spans="1:113" x14ac:dyDescent="0.3">
      <c r="A2029" t="str">
        <f>"02/08/2021 20:25:12.807"</f>
        <v>02/08/2021 20:25:12.807</v>
      </c>
      <c r="C2029" t="str">
        <f t="shared" si="96"/>
        <v>FFDFD7C0</v>
      </c>
      <c r="D2029" t="s">
        <v>124</v>
      </c>
      <c r="E2029">
        <v>13</v>
      </c>
      <c r="F2029">
        <v>1013</v>
      </c>
      <c r="G2029" t="s">
        <v>114</v>
      </c>
      <c r="J2029" t="s">
        <v>125</v>
      </c>
      <c r="K2029">
        <v>0</v>
      </c>
      <c r="L2029">
        <v>3</v>
      </c>
      <c r="M2029">
        <v>0</v>
      </c>
      <c r="N2029">
        <v>2</v>
      </c>
      <c r="O2029">
        <v>1</v>
      </c>
      <c r="P2029">
        <v>0</v>
      </c>
      <c r="Q2029">
        <v>0</v>
      </c>
      <c r="S2029" t="str">
        <f>"20:25:15.117"</f>
        <v>20:25:15.117</v>
      </c>
      <c r="T2029" t="str">
        <f>"20:25:14.617"</f>
        <v>20:25:14.617</v>
      </c>
      <c r="U2029" t="str">
        <f t="shared" si="98"/>
        <v>AB01F4</v>
      </c>
      <c r="V2029">
        <v>0</v>
      </c>
      <c r="W2029">
        <v>0</v>
      </c>
      <c r="X2029">
        <v>2</v>
      </c>
      <c r="Z2029">
        <v>0</v>
      </c>
      <c r="AA2029">
        <v>9</v>
      </c>
      <c r="AB2029">
        <v>3</v>
      </c>
      <c r="AC2029">
        <v>0</v>
      </c>
      <c r="AD2029">
        <v>10</v>
      </c>
      <c r="AE2029">
        <v>0</v>
      </c>
      <c r="AF2029">
        <v>3</v>
      </c>
      <c r="AG2029">
        <v>2</v>
      </c>
      <c r="AH2029">
        <v>0</v>
      </c>
      <c r="AI2029" t="s">
        <v>1263</v>
      </c>
      <c r="AJ2029">
        <v>39.936182000000002</v>
      </c>
      <c r="AK2029" t="s">
        <v>1264</v>
      </c>
      <c r="AL2029">
        <v>-92.634101000000001</v>
      </c>
      <c r="AM2029">
        <v>100</v>
      </c>
      <c r="AN2029">
        <v>1700</v>
      </c>
      <c r="AO2029" t="s">
        <v>118</v>
      </c>
      <c r="AP2029">
        <v>-108</v>
      </c>
      <c r="AQ2029">
        <v>78</v>
      </c>
      <c r="AR2029">
        <v>128</v>
      </c>
      <c r="AZ2029">
        <v>1200</v>
      </c>
      <c r="BA2029">
        <v>1</v>
      </c>
      <c r="BB2029" t="str">
        <f t="shared" si="97"/>
        <v xml:space="preserve">N8080G  </v>
      </c>
      <c r="BC2029">
        <v>1</v>
      </c>
      <c r="BE2029">
        <v>0</v>
      </c>
      <c r="BF2029">
        <v>0</v>
      </c>
      <c r="BG2029">
        <v>0</v>
      </c>
      <c r="BH2029">
        <v>1700</v>
      </c>
      <c r="BI2029">
        <v>1</v>
      </c>
      <c r="BJ2029">
        <v>1</v>
      </c>
      <c r="BK2029">
        <v>1</v>
      </c>
      <c r="BL2029">
        <v>0</v>
      </c>
      <c r="BO2029">
        <v>0</v>
      </c>
      <c r="BP2029">
        <v>0</v>
      </c>
      <c r="BW2029" t="str">
        <f>"20:25:15.119"</f>
        <v>20:25:15.119</v>
      </c>
      <c r="BZ2029">
        <v>0</v>
      </c>
      <c r="CA2029">
        <v>2016</v>
      </c>
      <c r="CB2029">
        <v>224</v>
      </c>
      <c r="CD2029">
        <v>1</v>
      </c>
      <c r="CE2029">
        <v>0</v>
      </c>
      <c r="CF2029">
        <v>0</v>
      </c>
      <c r="CG2029">
        <v>1</v>
      </c>
      <c r="CH2029">
        <v>0</v>
      </c>
      <c r="CI2029">
        <v>0</v>
      </c>
      <c r="CJ2029">
        <v>0</v>
      </c>
      <c r="CK2029">
        <v>2</v>
      </c>
      <c r="CL2029">
        <v>0</v>
      </c>
      <c r="CM2029">
        <v>2</v>
      </c>
      <c r="CN2029">
        <v>0</v>
      </c>
      <c r="CO2029">
        <v>2</v>
      </c>
      <c r="CP2029" t="s">
        <v>119</v>
      </c>
      <c r="CQ2029">
        <v>179</v>
      </c>
      <c r="CR2029">
        <v>1</v>
      </c>
      <c r="CW2029">
        <v>8859421</v>
      </c>
      <c r="CY2029">
        <v>0</v>
      </c>
      <c r="CZ2029">
        <v>0</v>
      </c>
      <c r="DA2029">
        <v>1</v>
      </c>
      <c r="DB2029">
        <v>0</v>
      </c>
      <c r="DC2029">
        <v>0</v>
      </c>
      <c r="DD2029">
        <v>0</v>
      </c>
      <c r="DE2029">
        <v>0</v>
      </c>
      <c r="DF2029">
        <v>0</v>
      </c>
      <c r="DG2029">
        <v>0</v>
      </c>
      <c r="DH2029">
        <v>0</v>
      </c>
      <c r="DI2029">
        <v>0</v>
      </c>
    </row>
    <row r="2030" spans="1:113" x14ac:dyDescent="0.3">
      <c r="A2030" t="str">
        <f>"02/08/2021 20:25:12.807"</f>
        <v>02/08/2021 20:25:12.807</v>
      </c>
      <c r="C2030" t="str">
        <f t="shared" si="96"/>
        <v>FFDFD7C0</v>
      </c>
      <c r="D2030" t="s">
        <v>113</v>
      </c>
      <c r="E2030">
        <v>6</v>
      </c>
      <c r="H2030">
        <v>165</v>
      </c>
      <c r="I2030" t="s">
        <v>114</v>
      </c>
      <c r="J2030" t="s">
        <v>115</v>
      </c>
      <c r="K2030">
        <v>0</v>
      </c>
      <c r="L2030">
        <v>3</v>
      </c>
      <c r="M2030">
        <v>0</v>
      </c>
      <c r="N2030">
        <v>2</v>
      </c>
      <c r="O2030">
        <v>1</v>
      </c>
      <c r="P2030">
        <v>0</v>
      </c>
      <c r="Q2030">
        <v>0</v>
      </c>
      <c r="S2030" t="str">
        <f>"20:25:15.117"</f>
        <v>20:25:15.117</v>
      </c>
      <c r="T2030" t="str">
        <f>"20:25:14.617"</f>
        <v>20:25:14.617</v>
      </c>
      <c r="U2030" t="str">
        <f t="shared" si="98"/>
        <v>AB01F4</v>
      </c>
      <c r="V2030">
        <v>0</v>
      </c>
      <c r="W2030">
        <v>0</v>
      </c>
      <c r="X2030">
        <v>2</v>
      </c>
      <c r="Z2030">
        <v>0</v>
      </c>
      <c r="AA2030">
        <v>9</v>
      </c>
      <c r="AB2030">
        <v>3</v>
      </c>
      <c r="AC2030">
        <v>0</v>
      </c>
      <c r="AD2030">
        <v>10</v>
      </c>
      <c r="AE2030">
        <v>0</v>
      </c>
      <c r="AF2030">
        <v>3</v>
      </c>
      <c r="AG2030">
        <v>2</v>
      </c>
      <c r="AH2030">
        <v>0</v>
      </c>
      <c r="AI2030" t="s">
        <v>1263</v>
      </c>
      <c r="AJ2030">
        <v>39.936182000000002</v>
      </c>
      <c r="AK2030" t="s">
        <v>1264</v>
      </c>
      <c r="AL2030">
        <v>-92.634101000000001</v>
      </c>
      <c r="AM2030">
        <v>100</v>
      </c>
      <c r="AN2030">
        <v>1700</v>
      </c>
      <c r="AO2030" t="s">
        <v>118</v>
      </c>
      <c r="AP2030">
        <v>-108</v>
      </c>
      <c r="AQ2030">
        <v>78</v>
      </c>
      <c r="AR2030">
        <v>128</v>
      </c>
      <c r="AZ2030">
        <v>1200</v>
      </c>
      <c r="BA2030">
        <v>1</v>
      </c>
      <c r="BB2030" t="str">
        <f t="shared" si="97"/>
        <v xml:space="preserve">N8080G  </v>
      </c>
      <c r="BC2030">
        <v>1</v>
      </c>
      <c r="BE2030">
        <v>0</v>
      </c>
      <c r="BF2030">
        <v>0</v>
      </c>
      <c r="BG2030">
        <v>0</v>
      </c>
      <c r="BH2030">
        <v>1700</v>
      </c>
      <c r="BI2030">
        <v>1</v>
      </c>
      <c r="BJ2030">
        <v>1</v>
      </c>
      <c r="BK2030">
        <v>1</v>
      </c>
      <c r="BL2030">
        <v>0</v>
      </c>
      <c r="BO2030">
        <v>0</v>
      </c>
      <c r="BP2030">
        <v>0</v>
      </c>
      <c r="BW2030" t="str">
        <f>"20:25:15.119"</f>
        <v>20:25:15.119</v>
      </c>
      <c r="BZ2030">
        <v>0</v>
      </c>
      <c r="CA2030">
        <v>2016</v>
      </c>
      <c r="CB2030">
        <v>224</v>
      </c>
      <c r="CD2030">
        <v>1</v>
      </c>
      <c r="CE2030">
        <v>0</v>
      </c>
      <c r="CF2030">
        <v>0</v>
      </c>
      <c r="CG2030">
        <v>1</v>
      </c>
      <c r="CH2030">
        <v>0</v>
      </c>
      <c r="CI2030">
        <v>0</v>
      </c>
      <c r="CJ2030">
        <v>0</v>
      </c>
      <c r="CK2030">
        <v>2</v>
      </c>
      <c r="CL2030">
        <v>0</v>
      </c>
      <c r="CM2030">
        <v>2</v>
      </c>
      <c r="CN2030">
        <v>0</v>
      </c>
      <c r="CO2030">
        <v>2</v>
      </c>
      <c r="CP2030" t="s">
        <v>119</v>
      </c>
      <c r="CQ2030">
        <v>179</v>
      </c>
      <c r="CR2030">
        <v>1</v>
      </c>
      <c r="CW2030">
        <v>8859421</v>
      </c>
      <c r="CY2030">
        <v>0</v>
      </c>
      <c r="CZ2030">
        <v>0</v>
      </c>
      <c r="DA2030">
        <v>1</v>
      </c>
      <c r="DB2030">
        <v>0</v>
      </c>
      <c r="DC2030">
        <v>0</v>
      </c>
      <c r="DD2030">
        <v>0</v>
      </c>
      <c r="DE2030">
        <v>0</v>
      </c>
      <c r="DF2030">
        <v>0</v>
      </c>
      <c r="DG2030">
        <v>0</v>
      </c>
      <c r="DH2030">
        <v>0</v>
      </c>
      <c r="DI2030">
        <v>0</v>
      </c>
    </row>
    <row r="2031" spans="1:113" x14ac:dyDescent="0.3">
      <c r="A2031" t="str">
        <f>"02/08/2021 20:25:13.657"</f>
        <v>02/08/2021 20:25:13.657</v>
      </c>
      <c r="C2031" t="str">
        <f t="shared" ref="C2031:C2094" si="99">"FFDFD7C0"</f>
        <v>FFDFD7C0</v>
      </c>
      <c r="D2031" t="s">
        <v>113</v>
      </c>
      <c r="E2031">
        <v>6</v>
      </c>
      <c r="H2031">
        <v>165</v>
      </c>
      <c r="I2031" t="s">
        <v>114</v>
      </c>
      <c r="J2031" t="s">
        <v>115</v>
      </c>
      <c r="K2031">
        <v>0</v>
      </c>
      <c r="L2031">
        <v>3</v>
      </c>
      <c r="M2031">
        <v>0</v>
      </c>
      <c r="N2031">
        <v>2</v>
      </c>
      <c r="O2031">
        <v>1</v>
      </c>
      <c r="P2031">
        <v>0</v>
      </c>
      <c r="Q2031">
        <v>0</v>
      </c>
      <c r="S2031" t="str">
        <f>"20:25:15.992"</f>
        <v>20:25:15.992</v>
      </c>
      <c r="T2031" t="str">
        <f>"20:25:15.592"</f>
        <v>20:25:15.592</v>
      </c>
      <c r="U2031" t="str">
        <f t="shared" si="98"/>
        <v>AB01F4</v>
      </c>
      <c r="V2031">
        <v>0</v>
      </c>
      <c r="W2031">
        <v>0</v>
      </c>
      <c r="X2031">
        <v>2</v>
      </c>
      <c r="Z2031">
        <v>0</v>
      </c>
      <c r="AA2031">
        <v>9</v>
      </c>
      <c r="AB2031">
        <v>3</v>
      </c>
      <c r="AC2031">
        <v>0</v>
      </c>
      <c r="AD2031">
        <v>10</v>
      </c>
      <c r="AE2031">
        <v>0</v>
      </c>
      <c r="AF2031">
        <v>3</v>
      </c>
      <c r="AG2031">
        <v>2</v>
      </c>
      <c r="AH2031">
        <v>0</v>
      </c>
      <c r="AI2031" t="s">
        <v>1265</v>
      </c>
      <c r="AJ2031">
        <v>39.936483000000003</v>
      </c>
      <c r="AK2031" t="s">
        <v>1266</v>
      </c>
      <c r="AL2031">
        <v>-92.634636999999998</v>
      </c>
      <c r="AM2031">
        <v>100</v>
      </c>
      <c r="AN2031">
        <v>1700</v>
      </c>
      <c r="AO2031" t="s">
        <v>118</v>
      </c>
      <c r="AP2031">
        <v>-108</v>
      </c>
      <c r="AQ2031">
        <v>78</v>
      </c>
      <c r="AR2031">
        <v>192</v>
      </c>
      <c r="AZ2031">
        <v>1200</v>
      </c>
      <c r="BA2031">
        <v>1</v>
      </c>
      <c r="BB2031" t="str">
        <f t="shared" ref="BB2031:BB2094" si="100">"N8080G  "</f>
        <v xml:space="preserve">N8080G  </v>
      </c>
      <c r="BC2031">
        <v>1</v>
      </c>
      <c r="BE2031">
        <v>0</v>
      </c>
      <c r="BF2031">
        <v>0</v>
      </c>
      <c r="BG2031">
        <v>0</v>
      </c>
      <c r="BH2031">
        <v>1700</v>
      </c>
      <c r="BI2031">
        <v>1</v>
      </c>
      <c r="BJ2031">
        <v>1</v>
      </c>
      <c r="BK2031">
        <v>1</v>
      </c>
      <c r="BL2031">
        <v>0</v>
      </c>
      <c r="BO2031">
        <v>0</v>
      </c>
      <c r="BP2031">
        <v>0</v>
      </c>
      <c r="BW2031" t="str">
        <f>"20:25:15.994"</f>
        <v>20:25:15.994</v>
      </c>
      <c r="BZ2031">
        <v>0</v>
      </c>
      <c r="CA2031">
        <v>2016</v>
      </c>
      <c r="CB2031">
        <v>224</v>
      </c>
      <c r="CD2031">
        <v>1</v>
      </c>
      <c r="CE2031">
        <v>0</v>
      </c>
      <c r="CF2031">
        <v>0</v>
      </c>
      <c r="CG2031">
        <v>1</v>
      </c>
      <c r="CH2031">
        <v>0</v>
      </c>
      <c r="CI2031">
        <v>0</v>
      </c>
      <c r="CJ2031">
        <v>0</v>
      </c>
      <c r="CK2031">
        <v>2</v>
      </c>
      <c r="CL2031">
        <v>0</v>
      </c>
      <c r="CM2031">
        <v>2</v>
      </c>
      <c r="CN2031">
        <v>0</v>
      </c>
      <c r="CO2031">
        <v>2</v>
      </c>
      <c r="CP2031" t="s">
        <v>119</v>
      </c>
      <c r="CQ2031">
        <v>179</v>
      </c>
      <c r="CR2031">
        <v>1</v>
      </c>
      <c r="CW2031">
        <v>8860147</v>
      </c>
      <c r="CY2031">
        <v>0</v>
      </c>
      <c r="CZ2031">
        <v>0</v>
      </c>
      <c r="DA2031">
        <v>0</v>
      </c>
      <c r="DB2031">
        <v>0</v>
      </c>
      <c r="DC2031">
        <v>0</v>
      </c>
      <c r="DD2031">
        <v>0</v>
      </c>
      <c r="DE2031">
        <v>0</v>
      </c>
      <c r="DF2031">
        <v>0</v>
      </c>
      <c r="DG2031">
        <v>0</v>
      </c>
      <c r="DH2031">
        <v>0</v>
      </c>
      <c r="DI2031">
        <v>0</v>
      </c>
    </row>
    <row r="2032" spans="1:113" x14ac:dyDescent="0.3">
      <c r="A2032" t="str">
        <f>"02/08/2021 20:25:13.657"</f>
        <v>02/08/2021 20:25:13.657</v>
      </c>
      <c r="C2032" t="str">
        <f t="shared" si="99"/>
        <v>FFDFD7C0</v>
      </c>
      <c r="D2032" t="s">
        <v>124</v>
      </c>
      <c r="E2032">
        <v>11</v>
      </c>
      <c r="F2032">
        <v>1011</v>
      </c>
      <c r="G2032" t="s">
        <v>590</v>
      </c>
      <c r="J2032" t="s">
        <v>125</v>
      </c>
      <c r="K2032">
        <v>0</v>
      </c>
      <c r="L2032">
        <v>3</v>
      </c>
      <c r="M2032">
        <v>0</v>
      </c>
      <c r="N2032">
        <v>2</v>
      </c>
      <c r="O2032">
        <v>1</v>
      </c>
      <c r="P2032">
        <v>0</v>
      </c>
      <c r="Q2032">
        <v>0</v>
      </c>
      <c r="S2032" t="str">
        <f>"20:25:15.992"</f>
        <v>20:25:15.992</v>
      </c>
      <c r="T2032" t="str">
        <f>"20:25:15.592"</f>
        <v>20:25:15.592</v>
      </c>
      <c r="U2032" t="str">
        <f t="shared" si="98"/>
        <v>AB01F4</v>
      </c>
      <c r="V2032">
        <v>0</v>
      </c>
      <c r="W2032">
        <v>0</v>
      </c>
      <c r="X2032">
        <v>2</v>
      </c>
      <c r="Z2032">
        <v>0</v>
      </c>
      <c r="AA2032">
        <v>9</v>
      </c>
      <c r="AB2032">
        <v>3</v>
      </c>
      <c r="AC2032">
        <v>0</v>
      </c>
      <c r="AD2032">
        <v>10</v>
      </c>
      <c r="AE2032">
        <v>0</v>
      </c>
      <c r="AF2032">
        <v>3</v>
      </c>
      <c r="AG2032">
        <v>2</v>
      </c>
      <c r="AH2032">
        <v>0</v>
      </c>
      <c r="AI2032" t="s">
        <v>1265</v>
      </c>
      <c r="AJ2032">
        <v>39.936483000000003</v>
      </c>
      <c r="AK2032" t="s">
        <v>1266</v>
      </c>
      <c r="AL2032">
        <v>-92.634636999999998</v>
      </c>
      <c r="AM2032">
        <v>100</v>
      </c>
      <c r="AN2032">
        <v>1700</v>
      </c>
      <c r="AO2032" t="s">
        <v>118</v>
      </c>
      <c r="AP2032">
        <v>-108</v>
      </c>
      <c r="AQ2032">
        <v>78</v>
      </c>
      <c r="AR2032">
        <v>192</v>
      </c>
      <c r="AZ2032">
        <v>1200</v>
      </c>
      <c r="BA2032">
        <v>1</v>
      </c>
      <c r="BB2032" t="str">
        <f t="shared" si="100"/>
        <v xml:space="preserve">N8080G  </v>
      </c>
      <c r="BC2032">
        <v>1</v>
      </c>
      <c r="BE2032">
        <v>0</v>
      </c>
      <c r="BF2032">
        <v>0</v>
      </c>
      <c r="BG2032">
        <v>0</v>
      </c>
      <c r="BH2032">
        <v>1700</v>
      </c>
      <c r="BI2032">
        <v>1</v>
      </c>
      <c r="BJ2032">
        <v>1</v>
      </c>
      <c r="BK2032">
        <v>1</v>
      </c>
      <c r="BL2032">
        <v>0</v>
      </c>
      <c r="BO2032">
        <v>0</v>
      </c>
      <c r="BP2032">
        <v>0</v>
      </c>
      <c r="BW2032" t="str">
        <f>"20:25:15.994"</f>
        <v>20:25:15.994</v>
      </c>
      <c r="BZ2032">
        <v>0</v>
      </c>
      <c r="CA2032">
        <v>2016</v>
      </c>
      <c r="CB2032">
        <v>224</v>
      </c>
      <c r="CD2032">
        <v>1</v>
      </c>
      <c r="CE2032">
        <v>0</v>
      </c>
      <c r="CF2032">
        <v>0</v>
      </c>
      <c r="CG2032">
        <v>1</v>
      </c>
      <c r="CH2032">
        <v>0</v>
      </c>
      <c r="CI2032">
        <v>0</v>
      </c>
      <c r="CJ2032">
        <v>0</v>
      </c>
      <c r="CK2032">
        <v>2</v>
      </c>
      <c r="CL2032">
        <v>0</v>
      </c>
      <c r="CM2032">
        <v>2</v>
      </c>
      <c r="CN2032">
        <v>0</v>
      </c>
      <c r="CO2032">
        <v>2</v>
      </c>
      <c r="CP2032" t="s">
        <v>119</v>
      </c>
      <c r="CQ2032">
        <v>179</v>
      </c>
      <c r="CR2032">
        <v>1</v>
      </c>
      <c r="CW2032">
        <v>8860147</v>
      </c>
      <c r="CY2032">
        <v>0</v>
      </c>
      <c r="CZ2032">
        <v>0</v>
      </c>
      <c r="DA2032">
        <v>1</v>
      </c>
      <c r="DB2032">
        <v>0</v>
      </c>
      <c r="DC2032">
        <v>0</v>
      </c>
      <c r="DD2032">
        <v>0</v>
      </c>
      <c r="DE2032">
        <v>0</v>
      </c>
      <c r="DF2032">
        <v>0</v>
      </c>
      <c r="DG2032">
        <v>0</v>
      </c>
      <c r="DH2032">
        <v>0</v>
      </c>
      <c r="DI2032">
        <v>0</v>
      </c>
    </row>
    <row r="2033" spans="1:113" x14ac:dyDescent="0.3">
      <c r="A2033" t="str">
        <f>"02/08/2021 20:25:13.657"</f>
        <v>02/08/2021 20:25:13.657</v>
      </c>
      <c r="C2033" t="str">
        <f t="shared" si="99"/>
        <v>FFDFD7C0</v>
      </c>
      <c r="D2033" t="s">
        <v>124</v>
      </c>
      <c r="E2033">
        <v>12</v>
      </c>
      <c r="F2033">
        <v>1012</v>
      </c>
      <c r="G2033" t="s">
        <v>675</v>
      </c>
      <c r="J2033" t="s">
        <v>125</v>
      </c>
      <c r="K2033">
        <v>0</v>
      </c>
      <c r="L2033">
        <v>3</v>
      </c>
      <c r="M2033">
        <v>0</v>
      </c>
      <c r="N2033">
        <v>2</v>
      </c>
      <c r="O2033">
        <v>1</v>
      </c>
      <c r="P2033">
        <v>0</v>
      </c>
      <c r="Q2033">
        <v>0</v>
      </c>
      <c r="S2033" t="str">
        <f>"20:25:15.992"</f>
        <v>20:25:15.992</v>
      </c>
      <c r="T2033" t="str">
        <f>"20:25:15.592"</f>
        <v>20:25:15.592</v>
      </c>
      <c r="U2033" t="str">
        <f t="shared" si="98"/>
        <v>AB01F4</v>
      </c>
      <c r="V2033">
        <v>0</v>
      </c>
      <c r="W2033">
        <v>0</v>
      </c>
      <c r="X2033">
        <v>2</v>
      </c>
      <c r="Z2033">
        <v>0</v>
      </c>
      <c r="AA2033">
        <v>9</v>
      </c>
      <c r="AB2033">
        <v>3</v>
      </c>
      <c r="AC2033">
        <v>0</v>
      </c>
      <c r="AD2033">
        <v>10</v>
      </c>
      <c r="AE2033">
        <v>0</v>
      </c>
      <c r="AF2033">
        <v>3</v>
      </c>
      <c r="AG2033">
        <v>2</v>
      </c>
      <c r="AH2033">
        <v>0</v>
      </c>
      <c r="AI2033" t="s">
        <v>1265</v>
      </c>
      <c r="AJ2033">
        <v>39.936483000000003</v>
      </c>
      <c r="AK2033" t="s">
        <v>1266</v>
      </c>
      <c r="AL2033">
        <v>-92.634636999999998</v>
      </c>
      <c r="AM2033">
        <v>100</v>
      </c>
      <c r="AN2033">
        <v>1700</v>
      </c>
      <c r="AO2033" t="s">
        <v>118</v>
      </c>
      <c r="AP2033">
        <v>-108</v>
      </c>
      <c r="AQ2033">
        <v>78</v>
      </c>
      <c r="AR2033">
        <v>192</v>
      </c>
      <c r="AZ2033">
        <v>1200</v>
      </c>
      <c r="BA2033">
        <v>1</v>
      </c>
      <c r="BB2033" t="str">
        <f t="shared" si="100"/>
        <v xml:space="preserve">N8080G  </v>
      </c>
      <c r="BC2033">
        <v>1</v>
      </c>
      <c r="BE2033">
        <v>0</v>
      </c>
      <c r="BF2033">
        <v>0</v>
      </c>
      <c r="BG2033">
        <v>0</v>
      </c>
      <c r="BH2033">
        <v>1700</v>
      </c>
      <c r="BI2033">
        <v>1</v>
      </c>
      <c r="BJ2033">
        <v>1</v>
      </c>
      <c r="BK2033">
        <v>1</v>
      </c>
      <c r="BL2033">
        <v>0</v>
      </c>
      <c r="BO2033">
        <v>0</v>
      </c>
      <c r="BP2033">
        <v>0</v>
      </c>
      <c r="BW2033" t="str">
        <f>"20:25:15.994"</f>
        <v>20:25:15.994</v>
      </c>
      <c r="BZ2033">
        <v>0</v>
      </c>
      <c r="CA2033">
        <v>2016</v>
      </c>
      <c r="CB2033">
        <v>224</v>
      </c>
      <c r="CD2033">
        <v>1</v>
      </c>
      <c r="CE2033">
        <v>0</v>
      </c>
      <c r="CF2033">
        <v>0</v>
      </c>
      <c r="CG2033">
        <v>1</v>
      </c>
      <c r="CH2033">
        <v>0</v>
      </c>
      <c r="CI2033">
        <v>0</v>
      </c>
      <c r="CJ2033">
        <v>0</v>
      </c>
      <c r="CK2033">
        <v>2</v>
      </c>
      <c r="CL2033">
        <v>0</v>
      </c>
      <c r="CM2033">
        <v>2</v>
      </c>
      <c r="CN2033">
        <v>0</v>
      </c>
      <c r="CO2033">
        <v>2</v>
      </c>
      <c r="CP2033" t="s">
        <v>119</v>
      </c>
      <c r="CQ2033">
        <v>179</v>
      </c>
      <c r="CR2033">
        <v>1</v>
      </c>
      <c r="CW2033">
        <v>8860147</v>
      </c>
      <c r="CY2033">
        <v>0</v>
      </c>
      <c r="CZ2033">
        <v>0</v>
      </c>
      <c r="DA2033">
        <v>1</v>
      </c>
      <c r="DB2033">
        <v>0</v>
      </c>
      <c r="DC2033">
        <v>0</v>
      </c>
      <c r="DD2033">
        <v>0</v>
      </c>
      <c r="DE2033">
        <v>0</v>
      </c>
      <c r="DF2033">
        <v>0</v>
      </c>
      <c r="DG2033">
        <v>0</v>
      </c>
      <c r="DH2033">
        <v>0</v>
      </c>
      <c r="DI2033">
        <v>0</v>
      </c>
    </row>
    <row r="2034" spans="1:113" x14ac:dyDescent="0.3">
      <c r="A2034" t="str">
        <f>"02/08/2021 20:25:13.657"</f>
        <v>02/08/2021 20:25:13.657</v>
      </c>
      <c r="C2034" t="str">
        <f t="shared" si="99"/>
        <v>FFDFD7C0</v>
      </c>
      <c r="D2034" t="s">
        <v>124</v>
      </c>
      <c r="E2034">
        <v>13</v>
      </c>
      <c r="F2034">
        <v>1013</v>
      </c>
      <c r="G2034" t="s">
        <v>114</v>
      </c>
      <c r="J2034" t="s">
        <v>125</v>
      </c>
      <c r="K2034">
        <v>0</v>
      </c>
      <c r="L2034">
        <v>3</v>
      </c>
      <c r="M2034">
        <v>0</v>
      </c>
      <c r="N2034">
        <v>2</v>
      </c>
      <c r="O2034">
        <v>1</v>
      </c>
      <c r="P2034">
        <v>0</v>
      </c>
      <c r="Q2034">
        <v>0</v>
      </c>
      <c r="S2034" t="str">
        <f>"20:25:15.992"</f>
        <v>20:25:15.992</v>
      </c>
      <c r="T2034" t="str">
        <f>"20:25:15.592"</f>
        <v>20:25:15.592</v>
      </c>
      <c r="U2034" t="str">
        <f t="shared" si="98"/>
        <v>AB01F4</v>
      </c>
      <c r="V2034">
        <v>0</v>
      </c>
      <c r="W2034">
        <v>0</v>
      </c>
      <c r="X2034">
        <v>2</v>
      </c>
      <c r="Z2034">
        <v>0</v>
      </c>
      <c r="AA2034">
        <v>9</v>
      </c>
      <c r="AB2034">
        <v>3</v>
      </c>
      <c r="AC2034">
        <v>0</v>
      </c>
      <c r="AD2034">
        <v>10</v>
      </c>
      <c r="AE2034">
        <v>0</v>
      </c>
      <c r="AF2034">
        <v>3</v>
      </c>
      <c r="AG2034">
        <v>2</v>
      </c>
      <c r="AH2034">
        <v>0</v>
      </c>
      <c r="AI2034" t="s">
        <v>1265</v>
      </c>
      <c r="AJ2034">
        <v>39.936483000000003</v>
      </c>
      <c r="AK2034" t="s">
        <v>1266</v>
      </c>
      <c r="AL2034">
        <v>-92.634636999999998</v>
      </c>
      <c r="AM2034">
        <v>100</v>
      </c>
      <c r="AN2034">
        <v>1700</v>
      </c>
      <c r="AO2034" t="s">
        <v>118</v>
      </c>
      <c r="AP2034">
        <v>-108</v>
      </c>
      <c r="AQ2034">
        <v>78</v>
      </c>
      <c r="AR2034">
        <v>192</v>
      </c>
      <c r="AZ2034">
        <v>1200</v>
      </c>
      <c r="BA2034">
        <v>1</v>
      </c>
      <c r="BB2034" t="str">
        <f t="shared" si="100"/>
        <v xml:space="preserve">N8080G  </v>
      </c>
      <c r="BC2034">
        <v>1</v>
      </c>
      <c r="BE2034">
        <v>0</v>
      </c>
      <c r="BF2034">
        <v>0</v>
      </c>
      <c r="BG2034">
        <v>0</v>
      </c>
      <c r="BH2034">
        <v>1700</v>
      </c>
      <c r="BI2034">
        <v>1</v>
      </c>
      <c r="BJ2034">
        <v>1</v>
      </c>
      <c r="BK2034">
        <v>1</v>
      </c>
      <c r="BL2034">
        <v>0</v>
      </c>
      <c r="BO2034">
        <v>0</v>
      </c>
      <c r="BP2034">
        <v>0</v>
      </c>
      <c r="BW2034" t="str">
        <f>"20:25:15.994"</f>
        <v>20:25:15.994</v>
      </c>
      <c r="BZ2034">
        <v>0</v>
      </c>
      <c r="CA2034">
        <v>2016</v>
      </c>
      <c r="CB2034">
        <v>224</v>
      </c>
      <c r="CD2034">
        <v>1</v>
      </c>
      <c r="CE2034">
        <v>0</v>
      </c>
      <c r="CF2034">
        <v>0</v>
      </c>
      <c r="CG2034">
        <v>1</v>
      </c>
      <c r="CH2034">
        <v>0</v>
      </c>
      <c r="CI2034">
        <v>0</v>
      </c>
      <c r="CJ2034">
        <v>0</v>
      </c>
      <c r="CK2034">
        <v>2</v>
      </c>
      <c r="CL2034">
        <v>0</v>
      </c>
      <c r="CM2034">
        <v>2</v>
      </c>
      <c r="CN2034">
        <v>0</v>
      </c>
      <c r="CO2034">
        <v>2</v>
      </c>
      <c r="CP2034" t="s">
        <v>119</v>
      </c>
      <c r="CQ2034">
        <v>179</v>
      </c>
      <c r="CR2034">
        <v>1</v>
      </c>
      <c r="CW2034">
        <v>8860147</v>
      </c>
      <c r="CY2034">
        <v>0</v>
      </c>
      <c r="CZ2034">
        <v>0</v>
      </c>
      <c r="DA2034">
        <v>1</v>
      </c>
      <c r="DB2034">
        <v>0</v>
      </c>
      <c r="DC2034">
        <v>0</v>
      </c>
      <c r="DD2034">
        <v>0</v>
      </c>
      <c r="DE2034">
        <v>0</v>
      </c>
      <c r="DF2034">
        <v>0</v>
      </c>
      <c r="DG2034">
        <v>0</v>
      </c>
      <c r="DH2034">
        <v>0</v>
      </c>
      <c r="DI2034">
        <v>0</v>
      </c>
    </row>
    <row r="2035" spans="1:113" x14ac:dyDescent="0.3">
      <c r="A2035" t="str">
        <f>"02/08/2021 20:25:14.706"</f>
        <v>02/08/2021 20:25:14.706</v>
      </c>
      <c r="C2035" t="str">
        <f t="shared" si="99"/>
        <v>FFDFD7C0</v>
      </c>
      <c r="D2035" t="s">
        <v>124</v>
      </c>
      <c r="E2035">
        <v>13</v>
      </c>
      <c r="F2035">
        <v>1013</v>
      </c>
      <c r="G2035" t="s">
        <v>114</v>
      </c>
      <c r="J2035" t="s">
        <v>125</v>
      </c>
      <c r="K2035">
        <v>0</v>
      </c>
      <c r="L2035">
        <v>3</v>
      </c>
      <c r="M2035">
        <v>0</v>
      </c>
      <c r="N2035">
        <v>2</v>
      </c>
      <c r="O2035">
        <v>1</v>
      </c>
      <c r="P2035">
        <v>0</v>
      </c>
      <c r="Q2035">
        <v>0</v>
      </c>
      <c r="S2035" t="str">
        <f>"20:25:17.031"</f>
        <v>20:25:17.031</v>
      </c>
      <c r="T2035" t="str">
        <f>"20:25:16.531"</f>
        <v>20:25:16.531</v>
      </c>
      <c r="U2035" t="str">
        <f t="shared" si="98"/>
        <v>AB01F4</v>
      </c>
      <c r="V2035">
        <v>0</v>
      </c>
      <c r="W2035">
        <v>0</v>
      </c>
      <c r="X2035">
        <v>2</v>
      </c>
      <c r="Z2035">
        <v>0</v>
      </c>
      <c r="AA2035">
        <v>9</v>
      </c>
      <c r="AB2035">
        <v>3</v>
      </c>
      <c r="AC2035">
        <v>0</v>
      </c>
      <c r="AD2035">
        <v>10</v>
      </c>
      <c r="AE2035">
        <v>0</v>
      </c>
      <c r="AF2035">
        <v>3</v>
      </c>
      <c r="AG2035">
        <v>2</v>
      </c>
      <c r="AH2035">
        <v>0</v>
      </c>
      <c r="AI2035" t="s">
        <v>1267</v>
      </c>
      <c r="AJ2035">
        <v>39.936891000000003</v>
      </c>
      <c r="AK2035" t="s">
        <v>1268</v>
      </c>
      <c r="AL2035">
        <v>-92.635345000000001</v>
      </c>
      <c r="AM2035">
        <v>100</v>
      </c>
      <c r="AN2035">
        <v>1700</v>
      </c>
      <c r="AO2035" t="s">
        <v>118</v>
      </c>
      <c r="AP2035">
        <v>-107</v>
      </c>
      <c r="AQ2035">
        <v>78</v>
      </c>
      <c r="AR2035">
        <v>256</v>
      </c>
      <c r="AZ2035">
        <v>1200</v>
      </c>
      <c r="BA2035">
        <v>1</v>
      </c>
      <c r="BB2035" t="str">
        <f t="shared" si="100"/>
        <v xml:space="preserve">N8080G  </v>
      </c>
      <c r="BC2035">
        <v>1</v>
      </c>
      <c r="BE2035">
        <v>0</v>
      </c>
      <c r="BF2035">
        <v>0</v>
      </c>
      <c r="BG2035">
        <v>0</v>
      </c>
      <c r="BH2035">
        <v>1700</v>
      </c>
      <c r="BI2035">
        <v>1</v>
      </c>
      <c r="BJ2035">
        <v>1</v>
      </c>
      <c r="BK2035">
        <v>1</v>
      </c>
      <c r="BL2035">
        <v>0</v>
      </c>
      <c r="BO2035">
        <v>0</v>
      </c>
      <c r="BP2035">
        <v>0</v>
      </c>
      <c r="BW2035" t="str">
        <f>"20:25:17.038"</f>
        <v>20:25:17.038</v>
      </c>
      <c r="BZ2035">
        <v>0</v>
      </c>
      <c r="CA2035">
        <v>2016</v>
      </c>
      <c r="CB2035">
        <v>224</v>
      </c>
      <c r="CD2035">
        <v>1</v>
      </c>
      <c r="CE2035">
        <v>0</v>
      </c>
      <c r="CF2035">
        <v>0</v>
      </c>
      <c r="CG2035">
        <v>1</v>
      </c>
      <c r="CH2035">
        <v>0</v>
      </c>
      <c r="CI2035">
        <v>0</v>
      </c>
      <c r="CJ2035">
        <v>0</v>
      </c>
      <c r="CK2035">
        <v>2</v>
      </c>
      <c r="CL2035">
        <v>0</v>
      </c>
      <c r="CM2035">
        <v>2</v>
      </c>
      <c r="CN2035">
        <v>0</v>
      </c>
      <c r="CO2035">
        <v>2</v>
      </c>
      <c r="CP2035" t="s">
        <v>119</v>
      </c>
      <c r="CQ2035">
        <v>179</v>
      </c>
      <c r="CR2035">
        <v>1</v>
      </c>
      <c r="CW2035">
        <v>8860942</v>
      </c>
      <c r="CY2035">
        <v>0</v>
      </c>
      <c r="CZ2035">
        <v>0</v>
      </c>
      <c r="DA2035">
        <v>0</v>
      </c>
      <c r="DB2035">
        <v>0</v>
      </c>
      <c r="DC2035">
        <v>0</v>
      </c>
      <c r="DD2035">
        <v>0</v>
      </c>
      <c r="DE2035">
        <v>0</v>
      </c>
      <c r="DF2035">
        <v>0</v>
      </c>
      <c r="DG2035">
        <v>0</v>
      </c>
      <c r="DH2035">
        <v>0</v>
      </c>
      <c r="DI2035">
        <v>0</v>
      </c>
    </row>
    <row r="2036" spans="1:113" x14ac:dyDescent="0.3">
      <c r="A2036" t="str">
        <f>"02/08/2021 20:25:14.706"</f>
        <v>02/08/2021 20:25:14.706</v>
      </c>
      <c r="C2036" t="str">
        <f t="shared" si="99"/>
        <v>FFDFD7C0</v>
      </c>
      <c r="D2036" t="s">
        <v>113</v>
      </c>
      <c r="E2036">
        <v>6</v>
      </c>
      <c r="H2036">
        <v>165</v>
      </c>
      <c r="I2036" t="s">
        <v>114</v>
      </c>
      <c r="J2036" t="s">
        <v>115</v>
      </c>
      <c r="K2036">
        <v>0</v>
      </c>
      <c r="L2036">
        <v>3</v>
      </c>
      <c r="M2036">
        <v>0</v>
      </c>
      <c r="N2036">
        <v>2</v>
      </c>
      <c r="O2036">
        <v>1</v>
      </c>
      <c r="P2036">
        <v>0</v>
      </c>
      <c r="Q2036">
        <v>0</v>
      </c>
      <c r="S2036" t="str">
        <f>"20:25:17.031"</f>
        <v>20:25:17.031</v>
      </c>
      <c r="T2036" t="str">
        <f>"20:25:16.531"</f>
        <v>20:25:16.531</v>
      </c>
      <c r="U2036" t="str">
        <f t="shared" si="98"/>
        <v>AB01F4</v>
      </c>
      <c r="V2036">
        <v>0</v>
      </c>
      <c r="W2036">
        <v>0</v>
      </c>
      <c r="X2036">
        <v>2</v>
      </c>
      <c r="Z2036">
        <v>0</v>
      </c>
      <c r="AA2036">
        <v>9</v>
      </c>
      <c r="AB2036">
        <v>3</v>
      </c>
      <c r="AC2036">
        <v>0</v>
      </c>
      <c r="AD2036">
        <v>10</v>
      </c>
      <c r="AE2036">
        <v>0</v>
      </c>
      <c r="AF2036">
        <v>3</v>
      </c>
      <c r="AG2036">
        <v>2</v>
      </c>
      <c r="AH2036">
        <v>0</v>
      </c>
      <c r="AI2036" t="s">
        <v>1267</v>
      </c>
      <c r="AJ2036">
        <v>39.936891000000003</v>
      </c>
      <c r="AK2036" t="s">
        <v>1268</v>
      </c>
      <c r="AL2036">
        <v>-92.635345000000001</v>
      </c>
      <c r="AM2036">
        <v>100</v>
      </c>
      <c r="AN2036">
        <v>1700</v>
      </c>
      <c r="AO2036" t="s">
        <v>118</v>
      </c>
      <c r="AP2036">
        <v>-107</v>
      </c>
      <c r="AQ2036">
        <v>78</v>
      </c>
      <c r="AR2036">
        <v>256</v>
      </c>
      <c r="AZ2036">
        <v>1200</v>
      </c>
      <c r="BA2036">
        <v>1</v>
      </c>
      <c r="BB2036" t="str">
        <f t="shared" si="100"/>
        <v xml:space="preserve">N8080G  </v>
      </c>
      <c r="BC2036">
        <v>1</v>
      </c>
      <c r="BE2036">
        <v>0</v>
      </c>
      <c r="BF2036">
        <v>0</v>
      </c>
      <c r="BG2036">
        <v>0</v>
      </c>
      <c r="BH2036">
        <v>1700</v>
      </c>
      <c r="BI2036">
        <v>1</v>
      </c>
      <c r="BJ2036">
        <v>1</v>
      </c>
      <c r="BK2036">
        <v>1</v>
      </c>
      <c r="BL2036">
        <v>0</v>
      </c>
      <c r="BO2036">
        <v>0</v>
      </c>
      <c r="BP2036">
        <v>0</v>
      </c>
      <c r="BW2036" t="str">
        <f>"20:25:17.038"</f>
        <v>20:25:17.038</v>
      </c>
      <c r="BZ2036">
        <v>0</v>
      </c>
      <c r="CA2036">
        <v>2016</v>
      </c>
      <c r="CB2036">
        <v>224</v>
      </c>
      <c r="CD2036">
        <v>1</v>
      </c>
      <c r="CE2036">
        <v>0</v>
      </c>
      <c r="CF2036">
        <v>0</v>
      </c>
      <c r="CG2036">
        <v>1</v>
      </c>
      <c r="CH2036">
        <v>0</v>
      </c>
      <c r="CI2036">
        <v>0</v>
      </c>
      <c r="CJ2036">
        <v>0</v>
      </c>
      <c r="CK2036">
        <v>2</v>
      </c>
      <c r="CL2036">
        <v>0</v>
      </c>
      <c r="CM2036">
        <v>2</v>
      </c>
      <c r="CN2036">
        <v>0</v>
      </c>
      <c r="CO2036">
        <v>2</v>
      </c>
      <c r="CP2036" t="s">
        <v>119</v>
      </c>
      <c r="CQ2036">
        <v>179</v>
      </c>
      <c r="CR2036">
        <v>1</v>
      </c>
      <c r="CW2036">
        <v>8860942</v>
      </c>
      <c r="CY2036">
        <v>0</v>
      </c>
      <c r="CZ2036">
        <v>0</v>
      </c>
      <c r="DA2036">
        <v>1</v>
      </c>
      <c r="DB2036">
        <v>0</v>
      </c>
      <c r="DC2036">
        <v>0</v>
      </c>
      <c r="DD2036">
        <v>0</v>
      </c>
      <c r="DE2036">
        <v>0</v>
      </c>
      <c r="DF2036">
        <v>0</v>
      </c>
      <c r="DG2036">
        <v>0</v>
      </c>
      <c r="DH2036">
        <v>0</v>
      </c>
      <c r="DI2036">
        <v>0</v>
      </c>
    </row>
    <row r="2037" spans="1:113" x14ac:dyDescent="0.3">
      <c r="A2037" t="str">
        <f>"02/08/2021 20:25:14.706"</f>
        <v>02/08/2021 20:25:14.706</v>
      </c>
      <c r="C2037" t="str">
        <f t="shared" si="99"/>
        <v>FFDFD7C0</v>
      </c>
      <c r="D2037" t="s">
        <v>124</v>
      </c>
      <c r="E2037">
        <v>11</v>
      </c>
      <c r="F2037">
        <v>1011</v>
      </c>
      <c r="G2037" t="s">
        <v>590</v>
      </c>
      <c r="J2037" t="s">
        <v>125</v>
      </c>
      <c r="K2037">
        <v>0</v>
      </c>
      <c r="L2037">
        <v>3</v>
      </c>
      <c r="M2037">
        <v>0</v>
      </c>
      <c r="N2037">
        <v>2</v>
      </c>
      <c r="O2037">
        <v>1</v>
      </c>
      <c r="P2037">
        <v>0</v>
      </c>
      <c r="Q2037">
        <v>0</v>
      </c>
      <c r="S2037" t="str">
        <f>"20:25:17.031"</f>
        <v>20:25:17.031</v>
      </c>
      <c r="T2037" t="str">
        <f>"20:25:16.531"</f>
        <v>20:25:16.531</v>
      </c>
      <c r="U2037" t="str">
        <f t="shared" si="98"/>
        <v>AB01F4</v>
      </c>
      <c r="V2037">
        <v>0</v>
      </c>
      <c r="W2037">
        <v>0</v>
      </c>
      <c r="X2037">
        <v>2</v>
      </c>
      <c r="Z2037">
        <v>0</v>
      </c>
      <c r="AA2037">
        <v>9</v>
      </c>
      <c r="AB2037">
        <v>3</v>
      </c>
      <c r="AC2037">
        <v>0</v>
      </c>
      <c r="AD2037">
        <v>10</v>
      </c>
      <c r="AE2037">
        <v>0</v>
      </c>
      <c r="AF2037">
        <v>3</v>
      </c>
      <c r="AG2037">
        <v>2</v>
      </c>
      <c r="AH2037">
        <v>0</v>
      </c>
      <c r="AI2037" t="s">
        <v>1267</v>
      </c>
      <c r="AJ2037">
        <v>39.936891000000003</v>
      </c>
      <c r="AK2037" t="s">
        <v>1268</v>
      </c>
      <c r="AL2037">
        <v>-92.635345000000001</v>
      </c>
      <c r="AM2037">
        <v>100</v>
      </c>
      <c r="AN2037">
        <v>1700</v>
      </c>
      <c r="AO2037" t="s">
        <v>118</v>
      </c>
      <c r="AP2037">
        <v>-107</v>
      </c>
      <c r="AQ2037">
        <v>78</v>
      </c>
      <c r="AR2037">
        <v>256</v>
      </c>
      <c r="AZ2037">
        <v>1200</v>
      </c>
      <c r="BA2037">
        <v>1</v>
      </c>
      <c r="BB2037" t="str">
        <f t="shared" si="100"/>
        <v xml:space="preserve">N8080G  </v>
      </c>
      <c r="BC2037">
        <v>1</v>
      </c>
      <c r="BE2037">
        <v>0</v>
      </c>
      <c r="BF2037">
        <v>0</v>
      </c>
      <c r="BG2037">
        <v>0</v>
      </c>
      <c r="BH2037">
        <v>1700</v>
      </c>
      <c r="BI2037">
        <v>1</v>
      </c>
      <c r="BJ2037">
        <v>1</v>
      </c>
      <c r="BK2037">
        <v>1</v>
      </c>
      <c r="BL2037">
        <v>0</v>
      </c>
      <c r="BO2037">
        <v>0</v>
      </c>
      <c r="BP2037">
        <v>0</v>
      </c>
      <c r="BW2037" t="str">
        <f>"20:25:17.038"</f>
        <v>20:25:17.038</v>
      </c>
      <c r="BZ2037">
        <v>0</v>
      </c>
      <c r="CA2037">
        <v>2016</v>
      </c>
      <c r="CB2037">
        <v>224</v>
      </c>
      <c r="CD2037">
        <v>1</v>
      </c>
      <c r="CE2037">
        <v>0</v>
      </c>
      <c r="CF2037">
        <v>0</v>
      </c>
      <c r="CG2037">
        <v>1</v>
      </c>
      <c r="CH2037">
        <v>0</v>
      </c>
      <c r="CI2037">
        <v>0</v>
      </c>
      <c r="CJ2037">
        <v>0</v>
      </c>
      <c r="CK2037">
        <v>2</v>
      </c>
      <c r="CL2037">
        <v>0</v>
      </c>
      <c r="CM2037">
        <v>2</v>
      </c>
      <c r="CN2037">
        <v>0</v>
      </c>
      <c r="CO2037">
        <v>2</v>
      </c>
      <c r="CP2037" t="s">
        <v>119</v>
      </c>
      <c r="CQ2037">
        <v>179</v>
      </c>
      <c r="CR2037">
        <v>1</v>
      </c>
      <c r="CW2037">
        <v>8860942</v>
      </c>
      <c r="CY2037">
        <v>0</v>
      </c>
      <c r="CZ2037">
        <v>0</v>
      </c>
      <c r="DA2037">
        <v>1</v>
      </c>
      <c r="DB2037">
        <v>0</v>
      </c>
      <c r="DC2037">
        <v>0</v>
      </c>
      <c r="DD2037">
        <v>0</v>
      </c>
      <c r="DE2037">
        <v>0</v>
      </c>
      <c r="DF2037">
        <v>0</v>
      </c>
      <c r="DG2037">
        <v>0</v>
      </c>
      <c r="DH2037">
        <v>0</v>
      </c>
      <c r="DI2037">
        <v>0</v>
      </c>
    </row>
    <row r="2038" spans="1:113" x14ac:dyDescent="0.3">
      <c r="A2038" t="str">
        <f>"02/08/2021 20:25:14.706"</f>
        <v>02/08/2021 20:25:14.706</v>
      </c>
      <c r="C2038" t="str">
        <f t="shared" si="99"/>
        <v>FFDFD7C0</v>
      </c>
      <c r="D2038" t="s">
        <v>124</v>
      </c>
      <c r="E2038">
        <v>12</v>
      </c>
      <c r="F2038">
        <v>1012</v>
      </c>
      <c r="G2038" t="s">
        <v>675</v>
      </c>
      <c r="J2038" t="s">
        <v>125</v>
      </c>
      <c r="K2038">
        <v>0</v>
      </c>
      <c r="L2038">
        <v>3</v>
      </c>
      <c r="M2038">
        <v>0</v>
      </c>
      <c r="N2038">
        <v>2</v>
      </c>
      <c r="O2038">
        <v>1</v>
      </c>
      <c r="P2038">
        <v>0</v>
      </c>
      <c r="Q2038">
        <v>0</v>
      </c>
      <c r="S2038" t="str">
        <f>"20:25:17.031"</f>
        <v>20:25:17.031</v>
      </c>
      <c r="T2038" t="str">
        <f>"20:25:16.531"</f>
        <v>20:25:16.531</v>
      </c>
      <c r="U2038" t="str">
        <f t="shared" si="98"/>
        <v>AB01F4</v>
      </c>
      <c r="V2038">
        <v>0</v>
      </c>
      <c r="W2038">
        <v>0</v>
      </c>
      <c r="X2038">
        <v>2</v>
      </c>
      <c r="Z2038">
        <v>0</v>
      </c>
      <c r="AA2038">
        <v>9</v>
      </c>
      <c r="AB2038">
        <v>3</v>
      </c>
      <c r="AC2038">
        <v>0</v>
      </c>
      <c r="AD2038">
        <v>10</v>
      </c>
      <c r="AE2038">
        <v>0</v>
      </c>
      <c r="AF2038">
        <v>3</v>
      </c>
      <c r="AG2038">
        <v>2</v>
      </c>
      <c r="AH2038">
        <v>0</v>
      </c>
      <c r="AI2038" t="s">
        <v>1267</v>
      </c>
      <c r="AJ2038">
        <v>39.936891000000003</v>
      </c>
      <c r="AK2038" t="s">
        <v>1268</v>
      </c>
      <c r="AL2038">
        <v>-92.635345000000001</v>
      </c>
      <c r="AM2038">
        <v>100</v>
      </c>
      <c r="AN2038">
        <v>1700</v>
      </c>
      <c r="AO2038" t="s">
        <v>118</v>
      </c>
      <c r="AP2038">
        <v>-107</v>
      </c>
      <c r="AQ2038">
        <v>78</v>
      </c>
      <c r="AR2038">
        <v>256</v>
      </c>
      <c r="AZ2038">
        <v>1200</v>
      </c>
      <c r="BA2038">
        <v>1</v>
      </c>
      <c r="BB2038" t="str">
        <f t="shared" si="100"/>
        <v xml:space="preserve">N8080G  </v>
      </c>
      <c r="BC2038">
        <v>1</v>
      </c>
      <c r="BE2038">
        <v>0</v>
      </c>
      <c r="BF2038">
        <v>0</v>
      </c>
      <c r="BG2038">
        <v>0</v>
      </c>
      <c r="BH2038">
        <v>1700</v>
      </c>
      <c r="BI2038">
        <v>1</v>
      </c>
      <c r="BJ2038">
        <v>1</v>
      </c>
      <c r="BK2038">
        <v>1</v>
      </c>
      <c r="BL2038">
        <v>0</v>
      </c>
      <c r="BO2038">
        <v>0</v>
      </c>
      <c r="BP2038">
        <v>0</v>
      </c>
      <c r="BW2038" t="str">
        <f>"20:25:17.038"</f>
        <v>20:25:17.038</v>
      </c>
      <c r="BZ2038">
        <v>0</v>
      </c>
      <c r="CA2038">
        <v>2016</v>
      </c>
      <c r="CB2038">
        <v>224</v>
      </c>
      <c r="CD2038">
        <v>1</v>
      </c>
      <c r="CE2038">
        <v>0</v>
      </c>
      <c r="CF2038">
        <v>0</v>
      </c>
      <c r="CG2038">
        <v>1</v>
      </c>
      <c r="CH2038">
        <v>0</v>
      </c>
      <c r="CI2038">
        <v>0</v>
      </c>
      <c r="CJ2038">
        <v>0</v>
      </c>
      <c r="CK2038">
        <v>2</v>
      </c>
      <c r="CL2038">
        <v>0</v>
      </c>
      <c r="CM2038">
        <v>2</v>
      </c>
      <c r="CN2038">
        <v>0</v>
      </c>
      <c r="CO2038">
        <v>2</v>
      </c>
      <c r="CP2038" t="s">
        <v>119</v>
      </c>
      <c r="CQ2038">
        <v>179</v>
      </c>
      <c r="CR2038">
        <v>1</v>
      </c>
      <c r="CW2038">
        <v>8860942</v>
      </c>
      <c r="CY2038">
        <v>0</v>
      </c>
      <c r="CZ2038">
        <v>0</v>
      </c>
      <c r="DA2038">
        <v>1</v>
      </c>
      <c r="DB2038">
        <v>0</v>
      </c>
      <c r="DC2038">
        <v>0</v>
      </c>
      <c r="DD2038">
        <v>0</v>
      </c>
      <c r="DE2038">
        <v>0</v>
      </c>
      <c r="DF2038">
        <v>0</v>
      </c>
      <c r="DG2038">
        <v>0</v>
      </c>
      <c r="DH2038">
        <v>0</v>
      </c>
      <c r="DI2038">
        <v>0</v>
      </c>
    </row>
    <row r="2039" spans="1:113" x14ac:dyDescent="0.3">
      <c r="A2039" t="str">
        <f>"02/08/2021 20:25:15.728"</f>
        <v>02/08/2021 20:25:15.728</v>
      </c>
      <c r="C2039" t="str">
        <f t="shared" si="99"/>
        <v>FFDFD7C0</v>
      </c>
      <c r="D2039" t="s">
        <v>113</v>
      </c>
      <c r="E2039">
        <v>6</v>
      </c>
      <c r="H2039">
        <v>165</v>
      </c>
      <c r="I2039" t="s">
        <v>114</v>
      </c>
      <c r="J2039" t="s">
        <v>115</v>
      </c>
      <c r="K2039">
        <v>0</v>
      </c>
      <c r="L2039">
        <v>3</v>
      </c>
      <c r="M2039">
        <v>0</v>
      </c>
      <c r="N2039">
        <v>2</v>
      </c>
      <c r="O2039">
        <v>1</v>
      </c>
      <c r="P2039">
        <v>0</v>
      </c>
      <c r="Q2039">
        <v>0</v>
      </c>
      <c r="S2039" t="str">
        <f>"20:25:18.047"</f>
        <v>20:25:18.047</v>
      </c>
      <c r="T2039" t="str">
        <f>"20:25:17.547"</f>
        <v>20:25:17.547</v>
      </c>
      <c r="U2039" t="str">
        <f t="shared" si="98"/>
        <v>AB01F4</v>
      </c>
      <c r="V2039">
        <v>0</v>
      </c>
      <c r="W2039">
        <v>0</v>
      </c>
      <c r="X2039">
        <v>2</v>
      </c>
      <c r="Z2039">
        <v>0</v>
      </c>
      <c r="AA2039">
        <v>9</v>
      </c>
      <c r="AB2039">
        <v>3</v>
      </c>
      <c r="AC2039">
        <v>0</v>
      </c>
      <c r="AD2039">
        <v>10</v>
      </c>
      <c r="AE2039">
        <v>0</v>
      </c>
      <c r="AF2039">
        <v>3</v>
      </c>
      <c r="AG2039">
        <v>2</v>
      </c>
      <c r="AH2039">
        <v>0</v>
      </c>
      <c r="AI2039" t="s">
        <v>1269</v>
      </c>
      <c r="AJ2039">
        <v>39.937255</v>
      </c>
      <c r="AK2039" t="s">
        <v>1270</v>
      </c>
      <c r="AL2039">
        <v>-92.635968000000005</v>
      </c>
      <c r="AM2039">
        <v>100</v>
      </c>
      <c r="AN2039">
        <v>1700</v>
      </c>
      <c r="AO2039" t="s">
        <v>118</v>
      </c>
      <c r="AP2039">
        <v>-107</v>
      </c>
      <c r="AQ2039">
        <v>78</v>
      </c>
      <c r="AR2039">
        <v>128</v>
      </c>
      <c r="AZ2039">
        <v>1200</v>
      </c>
      <c r="BA2039">
        <v>1</v>
      </c>
      <c r="BB2039" t="str">
        <f t="shared" si="100"/>
        <v xml:space="preserve">N8080G  </v>
      </c>
      <c r="BC2039">
        <v>1</v>
      </c>
      <c r="BE2039">
        <v>0</v>
      </c>
      <c r="BF2039">
        <v>0</v>
      </c>
      <c r="BG2039">
        <v>0</v>
      </c>
      <c r="BH2039">
        <v>1700</v>
      </c>
      <c r="BI2039">
        <v>1</v>
      </c>
      <c r="BJ2039">
        <v>1</v>
      </c>
      <c r="BK2039">
        <v>1</v>
      </c>
      <c r="BL2039">
        <v>0</v>
      </c>
      <c r="BO2039">
        <v>0</v>
      </c>
      <c r="BP2039">
        <v>0</v>
      </c>
      <c r="BW2039" t="str">
        <f>"20:25:18.048"</f>
        <v>20:25:18.048</v>
      </c>
      <c r="BZ2039">
        <v>0</v>
      </c>
      <c r="CA2039">
        <v>2016</v>
      </c>
      <c r="CB2039">
        <v>224</v>
      </c>
      <c r="CD2039">
        <v>1</v>
      </c>
      <c r="CE2039">
        <v>0</v>
      </c>
      <c r="CF2039">
        <v>0</v>
      </c>
      <c r="CG2039">
        <v>1</v>
      </c>
      <c r="CH2039">
        <v>0</v>
      </c>
      <c r="CI2039">
        <v>0</v>
      </c>
      <c r="CJ2039">
        <v>0</v>
      </c>
      <c r="CK2039">
        <v>2</v>
      </c>
      <c r="CL2039">
        <v>0</v>
      </c>
      <c r="CM2039">
        <v>2</v>
      </c>
      <c r="CN2039">
        <v>0</v>
      </c>
      <c r="CO2039">
        <v>7</v>
      </c>
      <c r="CP2039" t="s">
        <v>119</v>
      </c>
      <c r="CQ2039">
        <v>180</v>
      </c>
      <c r="CR2039">
        <v>2</v>
      </c>
      <c r="CW2039">
        <v>8423558</v>
      </c>
      <c r="CY2039">
        <v>0</v>
      </c>
      <c r="CZ2039">
        <v>0</v>
      </c>
      <c r="DA2039">
        <v>0</v>
      </c>
      <c r="DB2039">
        <v>0</v>
      </c>
      <c r="DC2039">
        <v>0</v>
      </c>
      <c r="DD2039">
        <v>0</v>
      </c>
      <c r="DE2039">
        <v>0</v>
      </c>
      <c r="DF2039">
        <v>0</v>
      </c>
      <c r="DG2039">
        <v>0</v>
      </c>
      <c r="DH2039">
        <v>0</v>
      </c>
      <c r="DI2039">
        <v>0</v>
      </c>
    </row>
    <row r="2040" spans="1:113" x14ac:dyDescent="0.3">
      <c r="A2040" t="str">
        <f>"02/08/2021 20:25:15.728"</f>
        <v>02/08/2021 20:25:15.728</v>
      </c>
      <c r="C2040" t="str">
        <f t="shared" si="99"/>
        <v>FFDFD7C0</v>
      </c>
      <c r="D2040" t="s">
        <v>124</v>
      </c>
      <c r="E2040">
        <v>11</v>
      </c>
      <c r="F2040">
        <v>1011</v>
      </c>
      <c r="G2040" t="s">
        <v>590</v>
      </c>
      <c r="J2040" t="s">
        <v>125</v>
      </c>
      <c r="K2040">
        <v>0</v>
      </c>
      <c r="L2040">
        <v>3</v>
      </c>
      <c r="M2040">
        <v>0</v>
      </c>
      <c r="N2040">
        <v>2</v>
      </c>
      <c r="O2040">
        <v>1</v>
      </c>
      <c r="P2040">
        <v>0</v>
      </c>
      <c r="Q2040">
        <v>0</v>
      </c>
      <c r="S2040" t="str">
        <f>"20:25:18.047"</f>
        <v>20:25:18.047</v>
      </c>
      <c r="T2040" t="str">
        <f>"20:25:17.547"</f>
        <v>20:25:17.547</v>
      </c>
      <c r="U2040" t="str">
        <f t="shared" si="98"/>
        <v>AB01F4</v>
      </c>
      <c r="V2040">
        <v>0</v>
      </c>
      <c r="W2040">
        <v>0</v>
      </c>
      <c r="X2040">
        <v>2</v>
      </c>
      <c r="Z2040">
        <v>0</v>
      </c>
      <c r="AA2040">
        <v>9</v>
      </c>
      <c r="AB2040">
        <v>3</v>
      </c>
      <c r="AC2040">
        <v>0</v>
      </c>
      <c r="AD2040">
        <v>10</v>
      </c>
      <c r="AE2040">
        <v>0</v>
      </c>
      <c r="AF2040">
        <v>3</v>
      </c>
      <c r="AG2040">
        <v>2</v>
      </c>
      <c r="AH2040">
        <v>0</v>
      </c>
      <c r="AI2040" t="s">
        <v>1269</v>
      </c>
      <c r="AJ2040">
        <v>39.937255</v>
      </c>
      <c r="AK2040" t="s">
        <v>1270</v>
      </c>
      <c r="AL2040">
        <v>-92.635968000000005</v>
      </c>
      <c r="AM2040">
        <v>100</v>
      </c>
      <c r="AN2040">
        <v>1700</v>
      </c>
      <c r="AO2040" t="s">
        <v>118</v>
      </c>
      <c r="AP2040">
        <v>-107</v>
      </c>
      <c r="AQ2040">
        <v>78</v>
      </c>
      <c r="AR2040">
        <v>128</v>
      </c>
      <c r="AZ2040">
        <v>1200</v>
      </c>
      <c r="BA2040">
        <v>1</v>
      </c>
      <c r="BB2040" t="str">
        <f t="shared" si="100"/>
        <v xml:space="preserve">N8080G  </v>
      </c>
      <c r="BC2040">
        <v>1</v>
      </c>
      <c r="BE2040">
        <v>0</v>
      </c>
      <c r="BF2040">
        <v>0</v>
      </c>
      <c r="BG2040">
        <v>0</v>
      </c>
      <c r="BH2040">
        <v>1700</v>
      </c>
      <c r="BI2040">
        <v>1</v>
      </c>
      <c r="BJ2040">
        <v>1</v>
      </c>
      <c r="BK2040">
        <v>1</v>
      </c>
      <c r="BL2040">
        <v>0</v>
      </c>
      <c r="BO2040">
        <v>0</v>
      </c>
      <c r="BP2040">
        <v>0</v>
      </c>
      <c r="BW2040" t="str">
        <f>"20:25:18.048"</f>
        <v>20:25:18.048</v>
      </c>
      <c r="BZ2040">
        <v>0</v>
      </c>
      <c r="CA2040">
        <v>2016</v>
      </c>
      <c r="CB2040">
        <v>224</v>
      </c>
      <c r="CD2040">
        <v>1</v>
      </c>
      <c r="CE2040">
        <v>0</v>
      </c>
      <c r="CF2040">
        <v>0</v>
      </c>
      <c r="CG2040">
        <v>1</v>
      </c>
      <c r="CH2040">
        <v>0</v>
      </c>
      <c r="CI2040">
        <v>0</v>
      </c>
      <c r="CJ2040">
        <v>0</v>
      </c>
      <c r="CK2040">
        <v>2</v>
      </c>
      <c r="CL2040">
        <v>0</v>
      </c>
      <c r="CM2040">
        <v>2</v>
      </c>
      <c r="CN2040">
        <v>0</v>
      </c>
      <c r="CO2040">
        <v>7</v>
      </c>
      <c r="CP2040" t="s">
        <v>119</v>
      </c>
      <c r="CQ2040">
        <v>180</v>
      </c>
      <c r="CR2040">
        <v>2</v>
      </c>
      <c r="CW2040">
        <v>8423558</v>
      </c>
      <c r="CY2040">
        <v>0</v>
      </c>
      <c r="CZ2040">
        <v>0</v>
      </c>
      <c r="DA2040">
        <v>1</v>
      </c>
      <c r="DB2040">
        <v>0</v>
      </c>
      <c r="DC2040">
        <v>0</v>
      </c>
      <c r="DD2040">
        <v>0</v>
      </c>
      <c r="DE2040">
        <v>0</v>
      </c>
      <c r="DF2040">
        <v>0</v>
      </c>
      <c r="DG2040">
        <v>0</v>
      </c>
      <c r="DH2040">
        <v>0</v>
      </c>
      <c r="DI2040">
        <v>0</v>
      </c>
    </row>
    <row r="2041" spans="1:113" x14ac:dyDescent="0.3">
      <c r="A2041" t="str">
        <f>"02/08/2021 20:25:15.728"</f>
        <v>02/08/2021 20:25:15.728</v>
      </c>
      <c r="C2041" t="str">
        <f t="shared" si="99"/>
        <v>FFDFD7C0</v>
      </c>
      <c r="D2041" t="s">
        <v>124</v>
      </c>
      <c r="E2041">
        <v>12</v>
      </c>
      <c r="F2041">
        <v>1012</v>
      </c>
      <c r="G2041" t="s">
        <v>675</v>
      </c>
      <c r="J2041" t="s">
        <v>125</v>
      </c>
      <c r="K2041">
        <v>0</v>
      </c>
      <c r="L2041">
        <v>3</v>
      </c>
      <c r="M2041">
        <v>0</v>
      </c>
      <c r="N2041">
        <v>2</v>
      </c>
      <c r="O2041">
        <v>1</v>
      </c>
      <c r="P2041">
        <v>0</v>
      </c>
      <c r="Q2041">
        <v>0</v>
      </c>
      <c r="S2041" t="str">
        <f>"20:25:18.047"</f>
        <v>20:25:18.047</v>
      </c>
      <c r="T2041" t="str">
        <f>"20:25:17.547"</f>
        <v>20:25:17.547</v>
      </c>
      <c r="U2041" t="str">
        <f t="shared" si="98"/>
        <v>AB01F4</v>
      </c>
      <c r="V2041">
        <v>0</v>
      </c>
      <c r="W2041">
        <v>0</v>
      </c>
      <c r="X2041">
        <v>2</v>
      </c>
      <c r="Z2041">
        <v>0</v>
      </c>
      <c r="AA2041">
        <v>9</v>
      </c>
      <c r="AB2041">
        <v>3</v>
      </c>
      <c r="AC2041">
        <v>0</v>
      </c>
      <c r="AD2041">
        <v>10</v>
      </c>
      <c r="AE2041">
        <v>0</v>
      </c>
      <c r="AF2041">
        <v>3</v>
      </c>
      <c r="AG2041">
        <v>2</v>
      </c>
      <c r="AH2041">
        <v>0</v>
      </c>
      <c r="AI2041" t="s">
        <v>1269</v>
      </c>
      <c r="AJ2041">
        <v>39.937255</v>
      </c>
      <c r="AK2041" t="s">
        <v>1270</v>
      </c>
      <c r="AL2041">
        <v>-92.635968000000005</v>
      </c>
      <c r="AM2041">
        <v>100</v>
      </c>
      <c r="AN2041">
        <v>1700</v>
      </c>
      <c r="AO2041" t="s">
        <v>118</v>
      </c>
      <c r="AP2041">
        <v>-107</v>
      </c>
      <c r="AQ2041">
        <v>78</v>
      </c>
      <c r="AR2041">
        <v>128</v>
      </c>
      <c r="AZ2041">
        <v>1200</v>
      </c>
      <c r="BA2041">
        <v>1</v>
      </c>
      <c r="BB2041" t="str">
        <f t="shared" si="100"/>
        <v xml:space="preserve">N8080G  </v>
      </c>
      <c r="BC2041">
        <v>1</v>
      </c>
      <c r="BE2041">
        <v>0</v>
      </c>
      <c r="BF2041">
        <v>0</v>
      </c>
      <c r="BG2041">
        <v>0</v>
      </c>
      <c r="BH2041">
        <v>1700</v>
      </c>
      <c r="BI2041">
        <v>1</v>
      </c>
      <c r="BJ2041">
        <v>1</v>
      </c>
      <c r="BK2041">
        <v>1</v>
      </c>
      <c r="BL2041">
        <v>0</v>
      </c>
      <c r="BO2041">
        <v>0</v>
      </c>
      <c r="BP2041">
        <v>0</v>
      </c>
      <c r="BW2041" t="str">
        <f>"20:25:18.048"</f>
        <v>20:25:18.048</v>
      </c>
      <c r="BZ2041">
        <v>0</v>
      </c>
      <c r="CA2041">
        <v>2016</v>
      </c>
      <c r="CB2041">
        <v>224</v>
      </c>
      <c r="CD2041">
        <v>1</v>
      </c>
      <c r="CE2041">
        <v>0</v>
      </c>
      <c r="CF2041">
        <v>0</v>
      </c>
      <c r="CG2041">
        <v>1</v>
      </c>
      <c r="CH2041">
        <v>0</v>
      </c>
      <c r="CI2041">
        <v>0</v>
      </c>
      <c r="CJ2041">
        <v>0</v>
      </c>
      <c r="CK2041">
        <v>2</v>
      </c>
      <c r="CL2041">
        <v>0</v>
      </c>
      <c r="CM2041">
        <v>2</v>
      </c>
      <c r="CN2041">
        <v>0</v>
      </c>
      <c r="CO2041">
        <v>7</v>
      </c>
      <c r="CP2041" t="s">
        <v>119</v>
      </c>
      <c r="CQ2041">
        <v>180</v>
      </c>
      <c r="CR2041">
        <v>2</v>
      </c>
      <c r="CW2041">
        <v>8423558</v>
      </c>
      <c r="CY2041">
        <v>0</v>
      </c>
      <c r="CZ2041">
        <v>0</v>
      </c>
      <c r="DA2041">
        <v>1</v>
      </c>
      <c r="DB2041">
        <v>0</v>
      </c>
      <c r="DC2041">
        <v>0</v>
      </c>
      <c r="DD2041">
        <v>0</v>
      </c>
      <c r="DE2041">
        <v>0</v>
      </c>
      <c r="DF2041">
        <v>0</v>
      </c>
      <c r="DG2041">
        <v>0</v>
      </c>
      <c r="DH2041">
        <v>0</v>
      </c>
      <c r="DI2041">
        <v>0</v>
      </c>
    </row>
    <row r="2042" spans="1:113" x14ac:dyDescent="0.3">
      <c r="A2042" t="str">
        <f>"02/08/2021 20:25:15.728"</f>
        <v>02/08/2021 20:25:15.728</v>
      </c>
      <c r="C2042" t="str">
        <f t="shared" si="99"/>
        <v>FFDFD7C0</v>
      </c>
      <c r="D2042" t="s">
        <v>124</v>
      </c>
      <c r="E2042">
        <v>13</v>
      </c>
      <c r="F2042">
        <v>1013</v>
      </c>
      <c r="G2042" t="s">
        <v>114</v>
      </c>
      <c r="J2042" t="s">
        <v>125</v>
      </c>
      <c r="K2042">
        <v>0</v>
      </c>
      <c r="L2042">
        <v>3</v>
      </c>
      <c r="M2042">
        <v>0</v>
      </c>
      <c r="N2042">
        <v>2</v>
      </c>
      <c r="O2042">
        <v>1</v>
      </c>
      <c r="P2042">
        <v>0</v>
      </c>
      <c r="Q2042">
        <v>0</v>
      </c>
      <c r="S2042" t="str">
        <f>"20:25:18.047"</f>
        <v>20:25:18.047</v>
      </c>
      <c r="T2042" t="str">
        <f>"20:25:17.547"</f>
        <v>20:25:17.547</v>
      </c>
      <c r="U2042" t="str">
        <f t="shared" si="98"/>
        <v>AB01F4</v>
      </c>
      <c r="V2042">
        <v>0</v>
      </c>
      <c r="W2042">
        <v>0</v>
      </c>
      <c r="X2042">
        <v>2</v>
      </c>
      <c r="Z2042">
        <v>0</v>
      </c>
      <c r="AA2042">
        <v>9</v>
      </c>
      <c r="AB2042">
        <v>3</v>
      </c>
      <c r="AC2042">
        <v>0</v>
      </c>
      <c r="AD2042">
        <v>10</v>
      </c>
      <c r="AE2042">
        <v>0</v>
      </c>
      <c r="AF2042">
        <v>3</v>
      </c>
      <c r="AG2042">
        <v>2</v>
      </c>
      <c r="AH2042">
        <v>0</v>
      </c>
      <c r="AI2042" t="s">
        <v>1269</v>
      </c>
      <c r="AJ2042">
        <v>39.937255</v>
      </c>
      <c r="AK2042" t="s">
        <v>1270</v>
      </c>
      <c r="AL2042">
        <v>-92.635968000000005</v>
      </c>
      <c r="AM2042">
        <v>100</v>
      </c>
      <c r="AN2042">
        <v>1700</v>
      </c>
      <c r="AO2042" t="s">
        <v>118</v>
      </c>
      <c r="AP2042">
        <v>-107</v>
      </c>
      <c r="AQ2042">
        <v>78</v>
      </c>
      <c r="AR2042">
        <v>128</v>
      </c>
      <c r="AZ2042">
        <v>1200</v>
      </c>
      <c r="BA2042">
        <v>1</v>
      </c>
      <c r="BB2042" t="str">
        <f t="shared" si="100"/>
        <v xml:space="preserve">N8080G  </v>
      </c>
      <c r="BC2042">
        <v>1</v>
      </c>
      <c r="BE2042">
        <v>0</v>
      </c>
      <c r="BF2042">
        <v>0</v>
      </c>
      <c r="BG2042">
        <v>0</v>
      </c>
      <c r="BH2042">
        <v>1700</v>
      </c>
      <c r="BI2042">
        <v>1</v>
      </c>
      <c r="BJ2042">
        <v>1</v>
      </c>
      <c r="BK2042">
        <v>1</v>
      </c>
      <c r="BL2042">
        <v>0</v>
      </c>
      <c r="BO2042">
        <v>0</v>
      </c>
      <c r="BP2042">
        <v>0</v>
      </c>
      <c r="BW2042" t="str">
        <f>"20:25:18.048"</f>
        <v>20:25:18.048</v>
      </c>
      <c r="BZ2042">
        <v>0</v>
      </c>
      <c r="CA2042">
        <v>2016</v>
      </c>
      <c r="CB2042">
        <v>224</v>
      </c>
      <c r="CD2042">
        <v>1</v>
      </c>
      <c r="CE2042">
        <v>0</v>
      </c>
      <c r="CF2042">
        <v>0</v>
      </c>
      <c r="CG2042">
        <v>1</v>
      </c>
      <c r="CH2042">
        <v>0</v>
      </c>
      <c r="CI2042">
        <v>0</v>
      </c>
      <c r="CJ2042">
        <v>0</v>
      </c>
      <c r="CK2042">
        <v>2</v>
      </c>
      <c r="CL2042">
        <v>0</v>
      </c>
      <c r="CM2042">
        <v>2</v>
      </c>
      <c r="CN2042">
        <v>0</v>
      </c>
      <c r="CO2042">
        <v>7</v>
      </c>
      <c r="CP2042" t="s">
        <v>119</v>
      </c>
      <c r="CQ2042">
        <v>180</v>
      </c>
      <c r="CR2042">
        <v>2</v>
      </c>
      <c r="CW2042">
        <v>8423558</v>
      </c>
      <c r="CY2042">
        <v>0</v>
      </c>
      <c r="CZ2042">
        <v>0</v>
      </c>
      <c r="DA2042">
        <v>1</v>
      </c>
      <c r="DB2042">
        <v>0</v>
      </c>
      <c r="DC2042">
        <v>0</v>
      </c>
      <c r="DD2042">
        <v>0</v>
      </c>
      <c r="DE2042">
        <v>0</v>
      </c>
      <c r="DF2042">
        <v>0</v>
      </c>
      <c r="DG2042">
        <v>0</v>
      </c>
      <c r="DH2042">
        <v>0</v>
      </c>
      <c r="DI2042">
        <v>0</v>
      </c>
    </row>
    <row r="2043" spans="1:113" x14ac:dyDescent="0.3">
      <c r="A2043" t="str">
        <f>"02/08/2021 20:25:18.758"</f>
        <v>02/08/2021 20:25:18.758</v>
      </c>
      <c r="C2043" t="str">
        <f t="shared" si="99"/>
        <v>FFDFD7C0</v>
      </c>
      <c r="D2043" t="s">
        <v>124</v>
      </c>
      <c r="E2043">
        <v>11</v>
      </c>
      <c r="F2043">
        <v>1011</v>
      </c>
      <c r="G2043" t="s">
        <v>590</v>
      </c>
      <c r="J2043" t="s">
        <v>125</v>
      </c>
      <c r="K2043">
        <v>0</v>
      </c>
      <c r="L2043">
        <v>3</v>
      </c>
      <c r="M2043">
        <v>0</v>
      </c>
      <c r="N2043">
        <v>2</v>
      </c>
      <c r="O2043">
        <v>1</v>
      </c>
      <c r="P2043">
        <v>0</v>
      </c>
      <c r="Q2043">
        <v>0</v>
      </c>
      <c r="S2043" t="str">
        <f>"20:25:21.047"</f>
        <v>20:25:21.047</v>
      </c>
      <c r="T2043" t="str">
        <f>"20:25:20.647"</f>
        <v>20:25:20.647</v>
      </c>
      <c r="U2043" t="str">
        <f t="shared" si="98"/>
        <v>AB01F4</v>
      </c>
      <c r="V2043">
        <v>0</v>
      </c>
      <c r="W2043">
        <v>0</v>
      </c>
      <c r="X2043">
        <v>2</v>
      </c>
      <c r="Z2043">
        <v>0</v>
      </c>
      <c r="AA2043">
        <v>9</v>
      </c>
      <c r="AB2043">
        <v>3</v>
      </c>
      <c r="AC2043">
        <v>0</v>
      </c>
      <c r="AD2043">
        <v>10</v>
      </c>
      <c r="AE2043">
        <v>0</v>
      </c>
      <c r="AF2043">
        <v>3</v>
      </c>
      <c r="AG2043">
        <v>2</v>
      </c>
      <c r="AH2043">
        <v>0</v>
      </c>
      <c r="AI2043" t="s">
        <v>1271</v>
      </c>
      <c r="AJ2043">
        <v>39.938327999999998</v>
      </c>
      <c r="AK2043" t="s">
        <v>1272</v>
      </c>
      <c r="AL2043">
        <v>-92.637899000000004</v>
      </c>
      <c r="AM2043">
        <v>100</v>
      </c>
      <c r="AN2043">
        <v>1700</v>
      </c>
      <c r="AO2043" t="s">
        <v>118</v>
      </c>
      <c r="AP2043">
        <v>-108</v>
      </c>
      <c r="AQ2043">
        <v>78</v>
      </c>
      <c r="AR2043">
        <v>-128</v>
      </c>
      <c r="AZ2043">
        <v>1200</v>
      </c>
      <c r="BA2043">
        <v>1</v>
      </c>
      <c r="BB2043" t="str">
        <f t="shared" si="100"/>
        <v xml:space="preserve">N8080G  </v>
      </c>
      <c r="BC2043">
        <v>1</v>
      </c>
      <c r="BE2043">
        <v>0</v>
      </c>
      <c r="BF2043">
        <v>0</v>
      </c>
      <c r="BG2043">
        <v>0</v>
      </c>
      <c r="BH2043">
        <v>1700</v>
      </c>
      <c r="BI2043">
        <v>1</v>
      </c>
      <c r="BJ2043">
        <v>1</v>
      </c>
      <c r="BK2043">
        <v>1</v>
      </c>
      <c r="BL2043">
        <v>0</v>
      </c>
      <c r="BO2043">
        <v>0</v>
      </c>
      <c r="BP2043">
        <v>0</v>
      </c>
      <c r="BW2043" t="str">
        <f>"20:25:21.052"</f>
        <v>20:25:21.052</v>
      </c>
      <c r="BZ2043">
        <v>0</v>
      </c>
      <c r="CA2043">
        <v>2016</v>
      </c>
      <c r="CB2043">
        <v>224</v>
      </c>
      <c r="CD2043">
        <v>1</v>
      </c>
      <c r="CE2043">
        <v>0</v>
      </c>
      <c r="CF2043">
        <v>0</v>
      </c>
      <c r="CG2043">
        <v>1</v>
      </c>
      <c r="CH2043">
        <v>0</v>
      </c>
      <c r="CI2043">
        <v>0</v>
      </c>
      <c r="CJ2043">
        <v>0</v>
      </c>
      <c r="CK2043">
        <v>2</v>
      </c>
      <c r="CL2043">
        <v>0</v>
      </c>
      <c r="CM2043">
        <v>2</v>
      </c>
      <c r="CN2043">
        <v>0</v>
      </c>
      <c r="CO2043">
        <v>2</v>
      </c>
      <c r="CP2043" t="s">
        <v>119</v>
      </c>
      <c r="CQ2043">
        <v>179</v>
      </c>
      <c r="CR2043">
        <v>1</v>
      </c>
      <c r="CW2043">
        <v>8864551</v>
      </c>
      <c r="CY2043">
        <v>0</v>
      </c>
      <c r="CZ2043">
        <v>0</v>
      </c>
      <c r="DA2043">
        <v>0</v>
      </c>
      <c r="DB2043">
        <v>0</v>
      </c>
      <c r="DC2043">
        <v>0</v>
      </c>
      <c r="DD2043">
        <v>0</v>
      </c>
      <c r="DE2043">
        <v>0</v>
      </c>
      <c r="DF2043">
        <v>0</v>
      </c>
      <c r="DG2043">
        <v>0</v>
      </c>
      <c r="DH2043">
        <v>0</v>
      </c>
      <c r="DI2043">
        <v>0</v>
      </c>
    </row>
    <row r="2044" spans="1:113" x14ac:dyDescent="0.3">
      <c r="A2044" t="str">
        <f>"02/08/2021 20:25:18.758"</f>
        <v>02/08/2021 20:25:18.758</v>
      </c>
      <c r="C2044" t="str">
        <f t="shared" si="99"/>
        <v>FFDFD7C0</v>
      </c>
      <c r="D2044" t="s">
        <v>124</v>
      </c>
      <c r="E2044">
        <v>12</v>
      </c>
      <c r="F2044">
        <v>1012</v>
      </c>
      <c r="G2044" t="s">
        <v>675</v>
      </c>
      <c r="J2044" t="s">
        <v>125</v>
      </c>
      <c r="K2044">
        <v>0</v>
      </c>
      <c r="L2044">
        <v>3</v>
      </c>
      <c r="M2044">
        <v>0</v>
      </c>
      <c r="N2044">
        <v>2</v>
      </c>
      <c r="O2044">
        <v>1</v>
      </c>
      <c r="P2044">
        <v>0</v>
      </c>
      <c r="Q2044">
        <v>0</v>
      </c>
      <c r="S2044" t="str">
        <f>"20:25:21.047"</f>
        <v>20:25:21.047</v>
      </c>
      <c r="T2044" t="str">
        <f>"20:25:20.647"</f>
        <v>20:25:20.647</v>
      </c>
      <c r="U2044" t="str">
        <f t="shared" si="98"/>
        <v>AB01F4</v>
      </c>
      <c r="V2044">
        <v>0</v>
      </c>
      <c r="W2044">
        <v>0</v>
      </c>
      <c r="X2044">
        <v>2</v>
      </c>
      <c r="Z2044">
        <v>0</v>
      </c>
      <c r="AA2044">
        <v>9</v>
      </c>
      <c r="AB2044">
        <v>3</v>
      </c>
      <c r="AC2044">
        <v>0</v>
      </c>
      <c r="AD2044">
        <v>10</v>
      </c>
      <c r="AE2044">
        <v>0</v>
      </c>
      <c r="AF2044">
        <v>3</v>
      </c>
      <c r="AG2044">
        <v>2</v>
      </c>
      <c r="AH2044">
        <v>0</v>
      </c>
      <c r="AI2044" t="s">
        <v>1271</v>
      </c>
      <c r="AJ2044">
        <v>39.938327999999998</v>
      </c>
      <c r="AK2044" t="s">
        <v>1272</v>
      </c>
      <c r="AL2044">
        <v>-92.637899000000004</v>
      </c>
      <c r="AM2044">
        <v>100</v>
      </c>
      <c r="AN2044">
        <v>1700</v>
      </c>
      <c r="AO2044" t="s">
        <v>118</v>
      </c>
      <c r="AP2044">
        <v>-108</v>
      </c>
      <c r="AQ2044">
        <v>78</v>
      </c>
      <c r="AR2044">
        <v>-128</v>
      </c>
      <c r="AZ2044">
        <v>1200</v>
      </c>
      <c r="BA2044">
        <v>1</v>
      </c>
      <c r="BB2044" t="str">
        <f t="shared" si="100"/>
        <v xml:space="preserve">N8080G  </v>
      </c>
      <c r="BC2044">
        <v>1</v>
      </c>
      <c r="BE2044">
        <v>0</v>
      </c>
      <c r="BF2044">
        <v>0</v>
      </c>
      <c r="BG2044">
        <v>0</v>
      </c>
      <c r="BH2044">
        <v>1700</v>
      </c>
      <c r="BI2044">
        <v>1</v>
      </c>
      <c r="BJ2044">
        <v>1</v>
      </c>
      <c r="BK2044">
        <v>1</v>
      </c>
      <c r="BL2044">
        <v>0</v>
      </c>
      <c r="BO2044">
        <v>0</v>
      </c>
      <c r="BP2044">
        <v>0</v>
      </c>
      <c r="BW2044" t="str">
        <f>"20:25:21.052"</f>
        <v>20:25:21.052</v>
      </c>
      <c r="BZ2044">
        <v>0</v>
      </c>
      <c r="CA2044">
        <v>2016</v>
      </c>
      <c r="CB2044">
        <v>224</v>
      </c>
      <c r="CD2044">
        <v>1</v>
      </c>
      <c r="CE2044">
        <v>0</v>
      </c>
      <c r="CF2044">
        <v>0</v>
      </c>
      <c r="CG2044">
        <v>1</v>
      </c>
      <c r="CH2044">
        <v>0</v>
      </c>
      <c r="CI2044">
        <v>0</v>
      </c>
      <c r="CJ2044">
        <v>0</v>
      </c>
      <c r="CK2044">
        <v>2</v>
      </c>
      <c r="CL2044">
        <v>0</v>
      </c>
      <c r="CM2044">
        <v>2</v>
      </c>
      <c r="CN2044">
        <v>0</v>
      </c>
      <c r="CO2044">
        <v>2</v>
      </c>
      <c r="CP2044" t="s">
        <v>119</v>
      </c>
      <c r="CQ2044">
        <v>179</v>
      </c>
      <c r="CR2044">
        <v>1</v>
      </c>
      <c r="CW2044">
        <v>8864551</v>
      </c>
      <c r="CY2044">
        <v>0</v>
      </c>
      <c r="CZ2044">
        <v>0</v>
      </c>
      <c r="DA2044">
        <v>1</v>
      </c>
      <c r="DB2044">
        <v>0</v>
      </c>
      <c r="DC2044">
        <v>0</v>
      </c>
      <c r="DD2044">
        <v>0</v>
      </c>
      <c r="DE2044">
        <v>0</v>
      </c>
      <c r="DF2044">
        <v>0</v>
      </c>
      <c r="DG2044">
        <v>0</v>
      </c>
      <c r="DH2044">
        <v>0</v>
      </c>
      <c r="DI2044">
        <v>0</v>
      </c>
    </row>
    <row r="2045" spans="1:113" x14ac:dyDescent="0.3">
      <c r="A2045" t="str">
        <f>"02/08/2021 20:25:18.758"</f>
        <v>02/08/2021 20:25:18.758</v>
      </c>
      <c r="C2045" t="str">
        <f t="shared" si="99"/>
        <v>FFDFD7C0</v>
      </c>
      <c r="D2045" t="s">
        <v>113</v>
      </c>
      <c r="E2045">
        <v>6</v>
      </c>
      <c r="H2045">
        <v>165</v>
      </c>
      <c r="I2045" t="s">
        <v>114</v>
      </c>
      <c r="J2045" t="s">
        <v>115</v>
      </c>
      <c r="K2045">
        <v>0</v>
      </c>
      <c r="L2045">
        <v>3</v>
      </c>
      <c r="M2045">
        <v>0</v>
      </c>
      <c r="N2045">
        <v>2</v>
      </c>
      <c r="O2045">
        <v>1</v>
      </c>
      <c r="P2045">
        <v>0</v>
      </c>
      <c r="Q2045">
        <v>0</v>
      </c>
      <c r="S2045" t="str">
        <f>"20:25:21.047"</f>
        <v>20:25:21.047</v>
      </c>
      <c r="T2045" t="str">
        <f>"20:25:20.647"</f>
        <v>20:25:20.647</v>
      </c>
      <c r="U2045" t="str">
        <f t="shared" si="98"/>
        <v>AB01F4</v>
      </c>
      <c r="V2045">
        <v>0</v>
      </c>
      <c r="W2045">
        <v>0</v>
      </c>
      <c r="X2045">
        <v>2</v>
      </c>
      <c r="Z2045">
        <v>0</v>
      </c>
      <c r="AA2045">
        <v>9</v>
      </c>
      <c r="AB2045">
        <v>3</v>
      </c>
      <c r="AC2045">
        <v>0</v>
      </c>
      <c r="AD2045">
        <v>10</v>
      </c>
      <c r="AE2045">
        <v>0</v>
      </c>
      <c r="AF2045">
        <v>3</v>
      </c>
      <c r="AG2045">
        <v>2</v>
      </c>
      <c r="AH2045">
        <v>0</v>
      </c>
      <c r="AI2045" t="s">
        <v>1271</v>
      </c>
      <c r="AJ2045">
        <v>39.938327999999998</v>
      </c>
      <c r="AK2045" t="s">
        <v>1272</v>
      </c>
      <c r="AL2045">
        <v>-92.637899000000004</v>
      </c>
      <c r="AM2045">
        <v>100</v>
      </c>
      <c r="AN2045">
        <v>1700</v>
      </c>
      <c r="AO2045" t="s">
        <v>118</v>
      </c>
      <c r="AP2045">
        <v>-108</v>
      </c>
      <c r="AQ2045">
        <v>78</v>
      </c>
      <c r="AR2045">
        <v>-128</v>
      </c>
      <c r="AZ2045">
        <v>1200</v>
      </c>
      <c r="BA2045">
        <v>1</v>
      </c>
      <c r="BB2045" t="str">
        <f t="shared" si="100"/>
        <v xml:space="preserve">N8080G  </v>
      </c>
      <c r="BC2045">
        <v>1</v>
      </c>
      <c r="BE2045">
        <v>0</v>
      </c>
      <c r="BF2045">
        <v>0</v>
      </c>
      <c r="BG2045">
        <v>0</v>
      </c>
      <c r="BH2045">
        <v>1700</v>
      </c>
      <c r="BI2045">
        <v>1</v>
      </c>
      <c r="BJ2045">
        <v>1</v>
      </c>
      <c r="BK2045">
        <v>1</v>
      </c>
      <c r="BL2045">
        <v>0</v>
      </c>
      <c r="BO2045">
        <v>0</v>
      </c>
      <c r="BP2045">
        <v>0</v>
      </c>
      <c r="BW2045" t="str">
        <f>"20:25:21.052"</f>
        <v>20:25:21.052</v>
      </c>
      <c r="BZ2045">
        <v>0</v>
      </c>
      <c r="CA2045">
        <v>2016</v>
      </c>
      <c r="CB2045">
        <v>224</v>
      </c>
      <c r="CD2045">
        <v>1</v>
      </c>
      <c r="CE2045">
        <v>0</v>
      </c>
      <c r="CF2045">
        <v>0</v>
      </c>
      <c r="CG2045">
        <v>1</v>
      </c>
      <c r="CH2045">
        <v>0</v>
      </c>
      <c r="CI2045">
        <v>0</v>
      </c>
      <c r="CJ2045">
        <v>0</v>
      </c>
      <c r="CK2045">
        <v>2</v>
      </c>
      <c r="CL2045">
        <v>0</v>
      </c>
      <c r="CM2045">
        <v>2</v>
      </c>
      <c r="CN2045">
        <v>0</v>
      </c>
      <c r="CO2045">
        <v>2</v>
      </c>
      <c r="CP2045" t="s">
        <v>119</v>
      </c>
      <c r="CQ2045">
        <v>179</v>
      </c>
      <c r="CR2045">
        <v>1</v>
      </c>
      <c r="CW2045">
        <v>8864551</v>
      </c>
      <c r="CY2045">
        <v>0</v>
      </c>
      <c r="CZ2045">
        <v>0</v>
      </c>
      <c r="DA2045">
        <v>1</v>
      </c>
      <c r="DB2045">
        <v>0</v>
      </c>
      <c r="DC2045">
        <v>0</v>
      </c>
      <c r="DD2045">
        <v>0</v>
      </c>
      <c r="DE2045">
        <v>0</v>
      </c>
      <c r="DF2045">
        <v>0</v>
      </c>
      <c r="DG2045">
        <v>0</v>
      </c>
      <c r="DH2045">
        <v>0</v>
      </c>
      <c r="DI2045">
        <v>0</v>
      </c>
    </row>
    <row r="2046" spans="1:113" x14ac:dyDescent="0.3">
      <c r="A2046" t="str">
        <f>"02/08/2021 20:25:18.758"</f>
        <v>02/08/2021 20:25:18.758</v>
      </c>
      <c r="C2046" t="str">
        <f t="shared" si="99"/>
        <v>FFDFD7C0</v>
      </c>
      <c r="D2046" t="s">
        <v>124</v>
      </c>
      <c r="E2046">
        <v>13</v>
      </c>
      <c r="F2046">
        <v>1013</v>
      </c>
      <c r="G2046" t="s">
        <v>114</v>
      </c>
      <c r="J2046" t="s">
        <v>125</v>
      </c>
      <c r="K2046">
        <v>0</v>
      </c>
      <c r="L2046">
        <v>3</v>
      </c>
      <c r="M2046">
        <v>0</v>
      </c>
      <c r="N2046">
        <v>2</v>
      </c>
      <c r="O2046">
        <v>1</v>
      </c>
      <c r="P2046">
        <v>0</v>
      </c>
      <c r="Q2046">
        <v>0</v>
      </c>
      <c r="S2046" t="str">
        <f>"20:25:21.047"</f>
        <v>20:25:21.047</v>
      </c>
      <c r="T2046" t="str">
        <f>"20:25:20.647"</f>
        <v>20:25:20.647</v>
      </c>
      <c r="U2046" t="str">
        <f t="shared" si="98"/>
        <v>AB01F4</v>
      </c>
      <c r="V2046">
        <v>0</v>
      </c>
      <c r="W2046">
        <v>0</v>
      </c>
      <c r="X2046">
        <v>2</v>
      </c>
      <c r="Z2046">
        <v>0</v>
      </c>
      <c r="AA2046">
        <v>9</v>
      </c>
      <c r="AB2046">
        <v>3</v>
      </c>
      <c r="AC2046">
        <v>0</v>
      </c>
      <c r="AD2046">
        <v>10</v>
      </c>
      <c r="AE2046">
        <v>0</v>
      </c>
      <c r="AF2046">
        <v>3</v>
      </c>
      <c r="AG2046">
        <v>2</v>
      </c>
      <c r="AH2046">
        <v>0</v>
      </c>
      <c r="AI2046" t="s">
        <v>1271</v>
      </c>
      <c r="AJ2046">
        <v>39.938327999999998</v>
      </c>
      <c r="AK2046" t="s">
        <v>1272</v>
      </c>
      <c r="AL2046">
        <v>-92.637899000000004</v>
      </c>
      <c r="AM2046">
        <v>100</v>
      </c>
      <c r="AN2046">
        <v>1700</v>
      </c>
      <c r="AO2046" t="s">
        <v>118</v>
      </c>
      <c r="AP2046">
        <v>-108</v>
      </c>
      <c r="AQ2046">
        <v>78</v>
      </c>
      <c r="AR2046">
        <v>-128</v>
      </c>
      <c r="AZ2046">
        <v>1200</v>
      </c>
      <c r="BA2046">
        <v>1</v>
      </c>
      <c r="BB2046" t="str">
        <f t="shared" si="100"/>
        <v xml:space="preserve">N8080G  </v>
      </c>
      <c r="BC2046">
        <v>1</v>
      </c>
      <c r="BE2046">
        <v>0</v>
      </c>
      <c r="BF2046">
        <v>0</v>
      </c>
      <c r="BG2046">
        <v>0</v>
      </c>
      <c r="BH2046">
        <v>1700</v>
      </c>
      <c r="BI2046">
        <v>1</v>
      </c>
      <c r="BJ2046">
        <v>1</v>
      </c>
      <c r="BK2046">
        <v>1</v>
      </c>
      <c r="BL2046">
        <v>0</v>
      </c>
      <c r="BO2046">
        <v>0</v>
      </c>
      <c r="BP2046">
        <v>0</v>
      </c>
      <c r="BW2046" t="str">
        <f>"20:25:21.052"</f>
        <v>20:25:21.052</v>
      </c>
      <c r="BZ2046">
        <v>0</v>
      </c>
      <c r="CA2046">
        <v>2016</v>
      </c>
      <c r="CB2046">
        <v>224</v>
      </c>
      <c r="CD2046">
        <v>1</v>
      </c>
      <c r="CE2046">
        <v>0</v>
      </c>
      <c r="CF2046">
        <v>0</v>
      </c>
      <c r="CG2046">
        <v>1</v>
      </c>
      <c r="CH2046">
        <v>0</v>
      </c>
      <c r="CI2046">
        <v>0</v>
      </c>
      <c r="CJ2046">
        <v>0</v>
      </c>
      <c r="CK2046">
        <v>2</v>
      </c>
      <c r="CL2046">
        <v>0</v>
      </c>
      <c r="CM2046">
        <v>2</v>
      </c>
      <c r="CN2046">
        <v>0</v>
      </c>
      <c r="CO2046">
        <v>2</v>
      </c>
      <c r="CP2046" t="s">
        <v>119</v>
      </c>
      <c r="CQ2046">
        <v>179</v>
      </c>
      <c r="CR2046">
        <v>1</v>
      </c>
      <c r="CW2046">
        <v>8864551</v>
      </c>
      <c r="CY2046">
        <v>0</v>
      </c>
      <c r="CZ2046">
        <v>0</v>
      </c>
      <c r="DA2046">
        <v>1</v>
      </c>
      <c r="DB2046">
        <v>0</v>
      </c>
      <c r="DC2046">
        <v>0</v>
      </c>
      <c r="DD2046">
        <v>0</v>
      </c>
      <c r="DE2046">
        <v>0</v>
      </c>
      <c r="DF2046">
        <v>0</v>
      </c>
      <c r="DG2046">
        <v>0</v>
      </c>
      <c r="DH2046">
        <v>0</v>
      </c>
      <c r="DI2046">
        <v>0</v>
      </c>
    </row>
    <row r="2047" spans="1:113" x14ac:dyDescent="0.3">
      <c r="A2047" t="str">
        <f>"02/08/2021 20:25:19.714"</f>
        <v>02/08/2021 20:25:19.714</v>
      </c>
      <c r="C2047" t="str">
        <f t="shared" si="99"/>
        <v>FFDFD7C0</v>
      </c>
      <c r="D2047" t="s">
        <v>124</v>
      </c>
      <c r="E2047">
        <v>11</v>
      </c>
      <c r="F2047">
        <v>1011</v>
      </c>
      <c r="G2047" t="s">
        <v>590</v>
      </c>
      <c r="J2047" t="s">
        <v>125</v>
      </c>
      <c r="K2047">
        <v>0</v>
      </c>
      <c r="L2047">
        <v>3</v>
      </c>
      <c r="M2047">
        <v>0</v>
      </c>
      <c r="N2047">
        <v>2</v>
      </c>
      <c r="O2047">
        <v>1</v>
      </c>
      <c r="P2047">
        <v>0</v>
      </c>
      <c r="Q2047">
        <v>0</v>
      </c>
      <c r="S2047" t="str">
        <f>"20:25:22.016"</f>
        <v>20:25:22.016</v>
      </c>
      <c r="T2047" t="str">
        <f>"20:25:21.616"</f>
        <v>20:25:21.616</v>
      </c>
      <c r="U2047" t="str">
        <f t="shared" si="98"/>
        <v>AB01F4</v>
      </c>
      <c r="V2047">
        <v>0</v>
      </c>
      <c r="W2047">
        <v>0</v>
      </c>
      <c r="X2047">
        <v>2</v>
      </c>
      <c r="Z2047">
        <v>0</v>
      </c>
      <c r="AA2047">
        <v>9</v>
      </c>
      <c r="AB2047">
        <v>3</v>
      </c>
      <c r="AC2047">
        <v>0</v>
      </c>
      <c r="AD2047">
        <v>10</v>
      </c>
      <c r="AE2047">
        <v>0</v>
      </c>
      <c r="AF2047">
        <v>3</v>
      </c>
      <c r="AG2047">
        <v>2</v>
      </c>
      <c r="AH2047">
        <v>0</v>
      </c>
      <c r="AI2047" t="s">
        <v>1273</v>
      </c>
      <c r="AJ2047">
        <v>39.938693000000001</v>
      </c>
      <c r="AK2047" t="s">
        <v>1274</v>
      </c>
      <c r="AL2047">
        <v>-92.638586000000004</v>
      </c>
      <c r="AM2047">
        <v>100</v>
      </c>
      <c r="AN2047">
        <v>1700</v>
      </c>
      <c r="AO2047" t="s">
        <v>118</v>
      </c>
      <c r="AP2047">
        <v>-108</v>
      </c>
      <c r="AQ2047">
        <v>78</v>
      </c>
      <c r="AR2047">
        <v>-128</v>
      </c>
      <c r="AZ2047">
        <v>1200</v>
      </c>
      <c r="BA2047">
        <v>1</v>
      </c>
      <c r="BB2047" t="str">
        <f t="shared" si="100"/>
        <v xml:space="preserve">N8080G  </v>
      </c>
      <c r="BC2047">
        <v>1</v>
      </c>
      <c r="BE2047">
        <v>0</v>
      </c>
      <c r="BF2047">
        <v>0</v>
      </c>
      <c r="BG2047">
        <v>0</v>
      </c>
      <c r="BH2047">
        <v>1700</v>
      </c>
      <c r="BI2047">
        <v>1</v>
      </c>
      <c r="BJ2047">
        <v>1</v>
      </c>
      <c r="BK2047">
        <v>1</v>
      </c>
      <c r="BL2047">
        <v>0</v>
      </c>
      <c r="BO2047">
        <v>0</v>
      </c>
      <c r="BP2047">
        <v>0</v>
      </c>
      <c r="BW2047" t="str">
        <f>"20:25:22.022"</f>
        <v>20:25:22.022</v>
      </c>
      <c r="BZ2047">
        <v>0</v>
      </c>
      <c r="CA2047">
        <v>2016</v>
      </c>
      <c r="CB2047">
        <v>224</v>
      </c>
      <c r="CD2047">
        <v>1</v>
      </c>
      <c r="CE2047">
        <v>0</v>
      </c>
      <c r="CF2047">
        <v>0</v>
      </c>
      <c r="CG2047">
        <v>1</v>
      </c>
      <c r="CH2047">
        <v>0</v>
      </c>
      <c r="CI2047">
        <v>0</v>
      </c>
      <c r="CJ2047">
        <v>0</v>
      </c>
      <c r="CK2047">
        <v>2</v>
      </c>
      <c r="CL2047">
        <v>0</v>
      </c>
      <c r="CM2047">
        <v>2</v>
      </c>
      <c r="CN2047">
        <v>0</v>
      </c>
      <c r="CO2047">
        <v>2</v>
      </c>
      <c r="CP2047" t="s">
        <v>119</v>
      </c>
      <c r="CQ2047">
        <v>179</v>
      </c>
      <c r="CR2047">
        <v>1</v>
      </c>
      <c r="CW2047">
        <v>8865338</v>
      </c>
      <c r="CY2047">
        <v>0</v>
      </c>
      <c r="CZ2047">
        <v>0</v>
      </c>
      <c r="DA2047">
        <v>0</v>
      </c>
      <c r="DB2047">
        <v>0</v>
      </c>
      <c r="DC2047">
        <v>0</v>
      </c>
      <c r="DD2047">
        <v>0</v>
      </c>
      <c r="DE2047">
        <v>0</v>
      </c>
      <c r="DF2047">
        <v>0</v>
      </c>
      <c r="DG2047">
        <v>0</v>
      </c>
      <c r="DH2047">
        <v>0</v>
      </c>
      <c r="DI2047">
        <v>0</v>
      </c>
    </row>
    <row r="2048" spans="1:113" x14ac:dyDescent="0.3">
      <c r="A2048" t="str">
        <f>"02/08/2021 20:25:19.714"</f>
        <v>02/08/2021 20:25:19.714</v>
      </c>
      <c r="C2048" t="str">
        <f t="shared" si="99"/>
        <v>FFDFD7C0</v>
      </c>
      <c r="D2048" t="s">
        <v>124</v>
      </c>
      <c r="E2048">
        <v>12</v>
      </c>
      <c r="F2048">
        <v>1012</v>
      </c>
      <c r="G2048" t="s">
        <v>675</v>
      </c>
      <c r="J2048" t="s">
        <v>125</v>
      </c>
      <c r="K2048">
        <v>0</v>
      </c>
      <c r="L2048">
        <v>3</v>
      </c>
      <c r="M2048">
        <v>0</v>
      </c>
      <c r="N2048">
        <v>2</v>
      </c>
      <c r="O2048">
        <v>1</v>
      </c>
      <c r="P2048">
        <v>0</v>
      </c>
      <c r="Q2048">
        <v>0</v>
      </c>
      <c r="S2048" t="str">
        <f>"20:25:22.016"</f>
        <v>20:25:22.016</v>
      </c>
      <c r="T2048" t="str">
        <f>"20:25:21.616"</f>
        <v>20:25:21.616</v>
      </c>
      <c r="U2048" t="str">
        <f t="shared" si="98"/>
        <v>AB01F4</v>
      </c>
      <c r="V2048">
        <v>0</v>
      </c>
      <c r="W2048">
        <v>0</v>
      </c>
      <c r="X2048">
        <v>2</v>
      </c>
      <c r="Z2048">
        <v>0</v>
      </c>
      <c r="AA2048">
        <v>9</v>
      </c>
      <c r="AB2048">
        <v>3</v>
      </c>
      <c r="AC2048">
        <v>0</v>
      </c>
      <c r="AD2048">
        <v>10</v>
      </c>
      <c r="AE2048">
        <v>0</v>
      </c>
      <c r="AF2048">
        <v>3</v>
      </c>
      <c r="AG2048">
        <v>2</v>
      </c>
      <c r="AH2048">
        <v>0</v>
      </c>
      <c r="AI2048" t="s">
        <v>1273</v>
      </c>
      <c r="AJ2048">
        <v>39.938693000000001</v>
      </c>
      <c r="AK2048" t="s">
        <v>1274</v>
      </c>
      <c r="AL2048">
        <v>-92.638586000000004</v>
      </c>
      <c r="AM2048">
        <v>100</v>
      </c>
      <c r="AN2048">
        <v>1700</v>
      </c>
      <c r="AO2048" t="s">
        <v>118</v>
      </c>
      <c r="AP2048">
        <v>-108</v>
      </c>
      <c r="AQ2048">
        <v>78</v>
      </c>
      <c r="AR2048">
        <v>-128</v>
      </c>
      <c r="AZ2048">
        <v>1200</v>
      </c>
      <c r="BA2048">
        <v>1</v>
      </c>
      <c r="BB2048" t="str">
        <f t="shared" si="100"/>
        <v xml:space="preserve">N8080G  </v>
      </c>
      <c r="BC2048">
        <v>1</v>
      </c>
      <c r="BE2048">
        <v>0</v>
      </c>
      <c r="BF2048">
        <v>0</v>
      </c>
      <c r="BG2048">
        <v>0</v>
      </c>
      <c r="BH2048">
        <v>1700</v>
      </c>
      <c r="BI2048">
        <v>1</v>
      </c>
      <c r="BJ2048">
        <v>1</v>
      </c>
      <c r="BK2048">
        <v>1</v>
      </c>
      <c r="BL2048">
        <v>0</v>
      </c>
      <c r="BO2048">
        <v>0</v>
      </c>
      <c r="BP2048">
        <v>0</v>
      </c>
      <c r="BW2048" t="str">
        <f>"20:25:22.022"</f>
        <v>20:25:22.022</v>
      </c>
      <c r="BZ2048">
        <v>0</v>
      </c>
      <c r="CA2048">
        <v>2016</v>
      </c>
      <c r="CB2048">
        <v>224</v>
      </c>
      <c r="CD2048">
        <v>1</v>
      </c>
      <c r="CE2048">
        <v>0</v>
      </c>
      <c r="CF2048">
        <v>0</v>
      </c>
      <c r="CG2048">
        <v>1</v>
      </c>
      <c r="CH2048">
        <v>0</v>
      </c>
      <c r="CI2048">
        <v>0</v>
      </c>
      <c r="CJ2048">
        <v>0</v>
      </c>
      <c r="CK2048">
        <v>2</v>
      </c>
      <c r="CL2048">
        <v>0</v>
      </c>
      <c r="CM2048">
        <v>2</v>
      </c>
      <c r="CN2048">
        <v>0</v>
      </c>
      <c r="CO2048">
        <v>2</v>
      </c>
      <c r="CP2048" t="s">
        <v>119</v>
      </c>
      <c r="CQ2048">
        <v>179</v>
      </c>
      <c r="CR2048">
        <v>1</v>
      </c>
      <c r="CW2048">
        <v>8865338</v>
      </c>
      <c r="CY2048">
        <v>0</v>
      </c>
      <c r="CZ2048">
        <v>0</v>
      </c>
      <c r="DA2048">
        <v>1</v>
      </c>
      <c r="DB2048">
        <v>0</v>
      </c>
      <c r="DC2048">
        <v>0</v>
      </c>
      <c r="DD2048">
        <v>0</v>
      </c>
      <c r="DE2048">
        <v>0</v>
      </c>
      <c r="DF2048">
        <v>0</v>
      </c>
      <c r="DG2048">
        <v>0</v>
      </c>
      <c r="DH2048">
        <v>0</v>
      </c>
      <c r="DI2048">
        <v>0</v>
      </c>
    </row>
    <row r="2049" spans="1:113" x14ac:dyDescent="0.3">
      <c r="A2049" t="str">
        <f>"02/08/2021 20:25:19.714"</f>
        <v>02/08/2021 20:25:19.714</v>
      </c>
      <c r="C2049" t="str">
        <f t="shared" si="99"/>
        <v>FFDFD7C0</v>
      </c>
      <c r="D2049" t="s">
        <v>113</v>
      </c>
      <c r="E2049">
        <v>6</v>
      </c>
      <c r="H2049">
        <v>165</v>
      </c>
      <c r="I2049" t="s">
        <v>114</v>
      </c>
      <c r="J2049" t="s">
        <v>115</v>
      </c>
      <c r="K2049">
        <v>0</v>
      </c>
      <c r="L2049">
        <v>3</v>
      </c>
      <c r="M2049">
        <v>0</v>
      </c>
      <c r="N2049">
        <v>2</v>
      </c>
      <c r="O2049">
        <v>1</v>
      </c>
      <c r="P2049">
        <v>0</v>
      </c>
      <c r="Q2049">
        <v>0</v>
      </c>
      <c r="S2049" t="str">
        <f>"20:25:22.016"</f>
        <v>20:25:22.016</v>
      </c>
      <c r="T2049" t="str">
        <f>"20:25:21.616"</f>
        <v>20:25:21.616</v>
      </c>
      <c r="U2049" t="str">
        <f t="shared" si="98"/>
        <v>AB01F4</v>
      </c>
      <c r="V2049">
        <v>0</v>
      </c>
      <c r="W2049">
        <v>0</v>
      </c>
      <c r="X2049">
        <v>2</v>
      </c>
      <c r="Z2049">
        <v>0</v>
      </c>
      <c r="AA2049">
        <v>9</v>
      </c>
      <c r="AB2049">
        <v>3</v>
      </c>
      <c r="AC2049">
        <v>0</v>
      </c>
      <c r="AD2049">
        <v>10</v>
      </c>
      <c r="AE2049">
        <v>0</v>
      </c>
      <c r="AF2049">
        <v>3</v>
      </c>
      <c r="AG2049">
        <v>2</v>
      </c>
      <c r="AH2049">
        <v>0</v>
      </c>
      <c r="AI2049" t="s">
        <v>1273</v>
      </c>
      <c r="AJ2049">
        <v>39.938693000000001</v>
      </c>
      <c r="AK2049" t="s">
        <v>1274</v>
      </c>
      <c r="AL2049">
        <v>-92.638586000000004</v>
      </c>
      <c r="AM2049">
        <v>100</v>
      </c>
      <c r="AN2049">
        <v>1700</v>
      </c>
      <c r="AO2049" t="s">
        <v>118</v>
      </c>
      <c r="AP2049">
        <v>-108</v>
      </c>
      <c r="AQ2049">
        <v>78</v>
      </c>
      <c r="AR2049">
        <v>-128</v>
      </c>
      <c r="AZ2049">
        <v>1200</v>
      </c>
      <c r="BA2049">
        <v>1</v>
      </c>
      <c r="BB2049" t="str">
        <f t="shared" si="100"/>
        <v xml:space="preserve">N8080G  </v>
      </c>
      <c r="BC2049">
        <v>1</v>
      </c>
      <c r="BE2049">
        <v>0</v>
      </c>
      <c r="BF2049">
        <v>0</v>
      </c>
      <c r="BG2049">
        <v>0</v>
      </c>
      <c r="BH2049">
        <v>1700</v>
      </c>
      <c r="BI2049">
        <v>1</v>
      </c>
      <c r="BJ2049">
        <v>1</v>
      </c>
      <c r="BK2049">
        <v>1</v>
      </c>
      <c r="BL2049">
        <v>0</v>
      </c>
      <c r="BO2049">
        <v>0</v>
      </c>
      <c r="BP2049">
        <v>0</v>
      </c>
      <c r="BW2049" t="str">
        <f>"20:25:22.022"</f>
        <v>20:25:22.022</v>
      </c>
      <c r="BZ2049">
        <v>0</v>
      </c>
      <c r="CA2049">
        <v>2016</v>
      </c>
      <c r="CB2049">
        <v>224</v>
      </c>
      <c r="CD2049">
        <v>1</v>
      </c>
      <c r="CE2049">
        <v>0</v>
      </c>
      <c r="CF2049">
        <v>0</v>
      </c>
      <c r="CG2049">
        <v>1</v>
      </c>
      <c r="CH2049">
        <v>0</v>
      </c>
      <c r="CI2049">
        <v>0</v>
      </c>
      <c r="CJ2049">
        <v>0</v>
      </c>
      <c r="CK2049">
        <v>2</v>
      </c>
      <c r="CL2049">
        <v>0</v>
      </c>
      <c r="CM2049">
        <v>2</v>
      </c>
      <c r="CN2049">
        <v>0</v>
      </c>
      <c r="CO2049">
        <v>2</v>
      </c>
      <c r="CP2049" t="s">
        <v>119</v>
      </c>
      <c r="CQ2049">
        <v>179</v>
      </c>
      <c r="CR2049">
        <v>1</v>
      </c>
      <c r="CW2049">
        <v>8865338</v>
      </c>
      <c r="CY2049">
        <v>0</v>
      </c>
      <c r="CZ2049">
        <v>0</v>
      </c>
      <c r="DA2049">
        <v>1</v>
      </c>
      <c r="DB2049">
        <v>0</v>
      </c>
      <c r="DC2049">
        <v>0</v>
      </c>
      <c r="DD2049">
        <v>0</v>
      </c>
      <c r="DE2049">
        <v>0</v>
      </c>
      <c r="DF2049">
        <v>0</v>
      </c>
      <c r="DG2049">
        <v>0</v>
      </c>
      <c r="DH2049">
        <v>0</v>
      </c>
      <c r="DI2049">
        <v>0</v>
      </c>
    </row>
    <row r="2050" spans="1:113" x14ac:dyDescent="0.3">
      <c r="A2050" t="str">
        <f>"02/08/2021 20:25:19.714"</f>
        <v>02/08/2021 20:25:19.714</v>
      </c>
      <c r="C2050" t="str">
        <f t="shared" si="99"/>
        <v>FFDFD7C0</v>
      </c>
      <c r="D2050" t="s">
        <v>124</v>
      </c>
      <c r="E2050">
        <v>13</v>
      </c>
      <c r="F2050">
        <v>1013</v>
      </c>
      <c r="G2050" t="s">
        <v>114</v>
      </c>
      <c r="J2050" t="s">
        <v>125</v>
      </c>
      <c r="K2050">
        <v>0</v>
      </c>
      <c r="L2050">
        <v>3</v>
      </c>
      <c r="M2050">
        <v>0</v>
      </c>
      <c r="N2050">
        <v>2</v>
      </c>
      <c r="O2050">
        <v>1</v>
      </c>
      <c r="P2050">
        <v>0</v>
      </c>
      <c r="Q2050">
        <v>0</v>
      </c>
      <c r="S2050" t="str">
        <f>"20:25:22.016"</f>
        <v>20:25:22.016</v>
      </c>
      <c r="T2050" t="str">
        <f>"20:25:21.616"</f>
        <v>20:25:21.616</v>
      </c>
      <c r="U2050" t="str">
        <f t="shared" ref="U2050:U2113" si="101">"AB01F4"</f>
        <v>AB01F4</v>
      </c>
      <c r="V2050">
        <v>0</v>
      </c>
      <c r="W2050">
        <v>0</v>
      </c>
      <c r="X2050">
        <v>2</v>
      </c>
      <c r="Z2050">
        <v>0</v>
      </c>
      <c r="AA2050">
        <v>9</v>
      </c>
      <c r="AB2050">
        <v>3</v>
      </c>
      <c r="AC2050">
        <v>0</v>
      </c>
      <c r="AD2050">
        <v>10</v>
      </c>
      <c r="AE2050">
        <v>0</v>
      </c>
      <c r="AF2050">
        <v>3</v>
      </c>
      <c r="AG2050">
        <v>2</v>
      </c>
      <c r="AH2050">
        <v>0</v>
      </c>
      <c r="AI2050" t="s">
        <v>1273</v>
      </c>
      <c r="AJ2050">
        <v>39.938693000000001</v>
      </c>
      <c r="AK2050" t="s">
        <v>1274</v>
      </c>
      <c r="AL2050">
        <v>-92.638586000000004</v>
      </c>
      <c r="AM2050">
        <v>100</v>
      </c>
      <c r="AN2050">
        <v>1700</v>
      </c>
      <c r="AO2050" t="s">
        <v>118</v>
      </c>
      <c r="AP2050">
        <v>-108</v>
      </c>
      <c r="AQ2050">
        <v>78</v>
      </c>
      <c r="AR2050">
        <v>-128</v>
      </c>
      <c r="AZ2050">
        <v>1200</v>
      </c>
      <c r="BA2050">
        <v>1</v>
      </c>
      <c r="BB2050" t="str">
        <f t="shared" si="100"/>
        <v xml:space="preserve">N8080G  </v>
      </c>
      <c r="BC2050">
        <v>1</v>
      </c>
      <c r="BE2050">
        <v>0</v>
      </c>
      <c r="BF2050">
        <v>0</v>
      </c>
      <c r="BG2050">
        <v>0</v>
      </c>
      <c r="BH2050">
        <v>1700</v>
      </c>
      <c r="BI2050">
        <v>1</v>
      </c>
      <c r="BJ2050">
        <v>1</v>
      </c>
      <c r="BK2050">
        <v>1</v>
      </c>
      <c r="BL2050">
        <v>0</v>
      </c>
      <c r="BO2050">
        <v>0</v>
      </c>
      <c r="BP2050">
        <v>0</v>
      </c>
      <c r="BW2050" t="str">
        <f>"20:25:22.022"</f>
        <v>20:25:22.022</v>
      </c>
      <c r="BZ2050">
        <v>0</v>
      </c>
      <c r="CA2050">
        <v>2016</v>
      </c>
      <c r="CB2050">
        <v>224</v>
      </c>
      <c r="CD2050">
        <v>1</v>
      </c>
      <c r="CE2050">
        <v>0</v>
      </c>
      <c r="CF2050">
        <v>0</v>
      </c>
      <c r="CG2050">
        <v>1</v>
      </c>
      <c r="CH2050">
        <v>0</v>
      </c>
      <c r="CI2050">
        <v>0</v>
      </c>
      <c r="CJ2050">
        <v>0</v>
      </c>
      <c r="CK2050">
        <v>2</v>
      </c>
      <c r="CL2050">
        <v>0</v>
      </c>
      <c r="CM2050">
        <v>2</v>
      </c>
      <c r="CN2050">
        <v>0</v>
      </c>
      <c r="CO2050">
        <v>2</v>
      </c>
      <c r="CP2050" t="s">
        <v>119</v>
      </c>
      <c r="CQ2050">
        <v>179</v>
      </c>
      <c r="CR2050">
        <v>1</v>
      </c>
      <c r="CW2050">
        <v>8865338</v>
      </c>
      <c r="CY2050">
        <v>0</v>
      </c>
      <c r="CZ2050">
        <v>0</v>
      </c>
      <c r="DA2050">
        <v>1</v>
      </c>
      <c r="DB2050">
        <v>0</v>
      </c>
      <c r="DC2050">
        <v>0</v>
      </c>
      <c r="DD2050">
        <v>0</v>
      </c>
      <c r="DE2050">
        <v>0</v>
      </c>
      <c r="DF2050">
        <v>0</v>
      </c>
      <c r="DG2050">
        <v>0</v>
      </c>
      <c r="DH2050">
        <v>0</v>
      </c>
      <c r="DI2050">
        <v>0</v>
      </c>
    </row>
    <row r="2051" spans="1:113" x14ac:dyDescent="0.3">
      <c r="A2051" t="str">
        <f>"02/08/2021 20:25:20.618"</f>
        <v>02/08/2021 20:25:20.618</v>
      </c>
      <c r="C2051" t="str">
        <f t="shared" si="99"/>
        <v>FFDFD7C0</v>
      </c>
      <c r="D2051" t="s">
        <v>124</v>
      </c>
      <c r="E2051">
        <v>12</v>
      </c>
      <c r="F2051">
        <v>1012</v>
      </c>
      <c r="G2051" t="s">
        <v>675</v>
      </c>
      <c r="J2051" t="s">
        <v>125</v>
      </c>
      <c r="K2051">
        <v>0</v>
      </c>
      <c r="L2051">
        <v>3</v>
      </c>
      <c r="M2051">
        <v>0</v>
      </c>
      <c r="N2051">
        <v>2</v>
      </c>
      <c r="O2051">
        <v>1</v>
      </c>
      <c r="P2051">
        <v>0</v>
      </c>
      <c r="Q2051">
        <v>0</v>
      </c>
      <c r="S2051" t="str">
        <f>"20:25:22.953"</f>
        <v>20:25:22.953</v>
      </c>
      <c r="T2051" t="str">
        <f>"20:25:22.553"</f>
        <v>20:25:22.553</v>
      </c>
      <c r="U2051" t="str">
        <f t="shared" si="101"/>
        <v>AB01F4</v>
      </c>
      <c r="V2051">
        <v>0</v>
      </c>
      <c r="W2051">
        <v>0</v>
      </c>
      <c r="X2051">
        <v>2</v>
      </c>
      <c r="Z2051">
        <v>0</v>
      </c>
      <c r="AA2051">
        <v>9</v>
      </c>
      <c r="AB2051">
        <v>3</v>
      </c>
      <c r="AC2051">
        <v>0</v>
      </c>
      <c r="AD2051">
        <v>10</v>
      </c>
      <c r="AE2051">
        <v>0</v>
      </c>
      <c r="AF2051">
        <v>3</v>
      </c>
      <c r="AG2051">
        <v>2</v>
      </c>
      <c r="AH2051">
        <v>0</v>
      </c>
      <c r="AI2051" t="s">
        <v>1275</v>
      </c>
      <c r="AJ2051">
        <v>39.939014999999998</v>
      </c>
      <c r="AK2051" t="s">
        <v>1276</v>
      </c>
      <c r="AL2051">
        <v>-92.639165000000006</v>
      </c>
      <c r="AM2051">
        <v>100</v>
      </c>
      <c r="AN2051">
        <v>1700</v>
      </c>
      <c r="AO2051" t="s">
        <v>118</v>
      </c>
      <c r="AP2051">
        <v>-108</v>
      </c>
      <c r="AQ2051">
        <v>78</v>
      </c>
      <c r="AR2051">
        <v>-64</v>
      </c>
      <c r="AZ2051">
        <v>1200</v>
      </c>
      <c r="BA2051">
        <v>1</v>
      </c>
      <c r="BB2051" t="str">
        <f t="shared" si="100"/>
        <v xml:space="preserve">N8080G  </v>
      </c>
      <c r="BC2051">
        <v>1</v>
      </c>
      <c r="BE2051">
        <v>0</v>
      </c>
      <c r="BF2051">
        <v>0</v>
      </c>
      <c r="BG2051">
        <v>0</v>
      </c>
      <c r="BH2051">
        <v>1700</v>
      </c>
      <c r="BI2051">
        <v>1</v>
      </c>
      <c r="BJ2051">
        <v>1</v>
      </c>
      <c r="BK2051">
        <v>1</v>
      </c>
      <c r="BL2051">
        <v>0</v>
      </c>
      <c r="BO2051">
        <v>0</v>
      </c>
      <c r="BP2051">
        <v>0</v>
      </c>
      <c r="BW2051" t="str">
        <f>"20:25:22.954"</f>
        <v>20:25:22.954</v>
      </c>
      <c r="BZ2051">
        <v>0</v>
      </c>
      <c r="CA2051">
        <v>2016</v>
      </c>
      <c r="CB2051">
        <v>224</v>
      </c>
      <c r="CD2051">
        <v>1</v>
      </c>
      <c r="CE2051">
        <v>0</v>
      </c>
      <c r="CF2051">
        <v>0</v>
      </c>
      <c r="CG2051">
        <v>1</v>
      </c>
      <c r="CH2051">
        <v>0</v>
      </c>
      <c r="CI2051">
        <v>0</v>
      </c>
      <c r="CJ2051">
        <v>0</v>
      </c>
      <c r="CK2051">
        <v>2</v>
      </c>
      <c r="CL2051">
        <v>0</v>
      </c>
      <c r="CM2051">
        <v>2</v>
      </c>
      <c r="CN2051">
        <v>0</v>
      </c>
      <c r="CO2051">
        <v>2</v>
      </c>
      <c r="CP2051" t="s">
        <v>119</v>
      </c>
      <c r="CQ2051">
        <v>179</v>
      </c>
      <c r="CR2051">
        <v>1</v>
      </c>
      <c r="CW2051">
        <v>8866156</v>
      </c>
      <c r="CY2051">
        <v>0</v>
      </c>
      <c r="CZ2051">
        <v>0</v>
      </c>
      <c r="DA2051">
        <v>0</v>
      </c>
      <c r="DB2051">
        <v>0</v>
      </c>
      <c r="DC2051">
        <v>0</v>
      </c>
      <c r="DD2051">
        <v>0</v>
      </c>
      <c r="DE2051">
        <v>0</v>
      </c>
      <c r="DF2051">
        <v>0</v>
      </c>
      <c r="DG2051">
        <v>0</v>
      </c>
      <c r="DH2051">
        <v>0</v>
      </c>
      <c r="DI2051">
        <v>0</v>
      </c>
    </row>
    <row r="2052" spans="1:113" x14ac:dyDescent="0.3">
      <c r="A2052" t="str">
        <f>"02/08/2021 20:25:20.618"</f>
        <v>02/08/2021 20:25:20.618</v>
      </c>
      <c r="C2052" t="str">
        <f t="shared" si="99"/>
        <v>FFDFD7C0</v>
      </c>
      <c r="D2052" t="s">
        <v>124</v>
      </c>
      <c r="E2052">
        <v>11</v>
      </c>
      <c r="F2052">
        <v>1011</v>
      </c>
      <c r="G2052" t="s">
        <v>590</v>
      </c>
      <c r="J2052" t="s">
        <v>125</v>
      </c>
      <c r="K2052">
        <v>0</v>
      </c>
      <c r="L2052">
        <v>3</v>
      </c>
      <c r="M2052">
        <v>0</v>
      </c>
      <c r="N2052">
        <v>2</v>
      </c>
      <c r="O2052">
        <v>1</v>
      </c>
      <c r="P2052">
        <v>0</v>
      </c>
      <c r="Q2052">
        <v>0</v>
      </c>
      <c r="S2052" t="str">
        <f>"20:25:22.953"</f>
        <v>20:25:22.953</v>
      </c>
      <c r="T2052" t="str">
        <f>"20:25:22.553"</f>
        <v>20:25:22.553</v>
      </c>
      <c r="U2052" t="str">
        <f t="shared" si="101"/>
        <v>AB01F4</v>
      </c>
      <c r="V2052">
        <v>0</v>
      </c>
      <c r="W2052">
        <v>0</v>
      </c>
      <c r="X2052">
        <v>2</v>
      </c>
      <c r="Z2052">
        <v>0</v>
      </c>
      <c r="AA2052">
        <v>9</v>
      </c>
      <c r="AB2052">
        <v>3</v>
      </c>
      <c r="AC2052">
        <v>0</v>
      </c>
      <c r="AD2052">
        <v>10</v>
      </c>
      <c r="AE2052">
        <v>0</v>
      </c>
      <c r="AF2052">
        <v>3</v>
      </c>
      <c r="AG2052">
        <v>2</v>
      </c>
      <c r="AH2052">
        <v>0</v>
      </c>
      <c r="AI2052" t="s">
        <v>1275</v>
      </c>
      <c r="AJ2052">
        <v>39.939014999999998</v>
      </c>
      <c r="AK2052" t="s">
        <v>1276</v>
      </c>
      <c r="AL2052">
        <v>-92.639165000000006</v>
      </c>
      <c r="AM2052">
        <v>100</v>
      </c>
      <c r="AN2052">
        <v>1700</v>
      </c>
      <c r="AO2052" t="s">
        <v>118</v>
      </c>
      <c r="AP2052">
        <v>-108</v>
      </c>
      <c r="AQ2052">
        <v>78</v>
      </c>
      <c r="AR2052">
        <v>-64</v>
      </c>
      <c r="AZ2052">
        <v>1200</v>
      </c>
      <c r="BA2052">
        <v>1</v>
      </c>
      <c r="BB2052" t="str">
        <f t="shared" si="100"/>
        <v xml:space="preserve">N8080G  </v>
      </c>
      <c r="BC2052">
        <v>1</v>
      </c>
      <c r="BE2052">
        <v>0</v>
      </c>
      <c r="BF2052">
        <v>0</v>
      </c>
      <c r="BG2052">
        <v>0</v>
      </c>
      <c r="BH2052">
        <v>1700</v>
      </c>
      <c r="BI2052">
        <v>1</v>
      </c>
      <c r="BJ2052">
        <v>1</v>
      </c>
      <c r="BK2052">
        <v>1</v>
      </c>
      <c r="BL2052">
        <v>0</v>
      </c>
      <c r="BO2052">
        <v>0</v>
      </c>
      <c r="BP2052">
        <v>0</v>
      </c>
      <c r="BW2052" t="str">
        <f>"20:25:22.954"</f>
        <v>20:25:22.954</v>
      </c>
      <c r="BZ2052">
        <v>0</v>
      </c>
      <c r="CA2052">
        <v>2016</v>
      </c>
      <c r="CB2052">
        <v>224</v>
      </c>
      <c r="CD2052">
        <v>1</v>
      </c>
      <c r="CE2052">
        <v>0</v>
      </c>
      <c r="CF2052">
        <v>0</v>
      </c>
      <c r="CG2052">
        <v>1</v>
      </c>
      <c r="CH2052">
        <v>0</v>
      </c>
      <c r="CI2052">
        <v>0</v>
      </c>
      <c r="CJ2052">
        <v>0</v>
      </c>
      <c r="CK2052">
        <v>2</v>
      </c>
      <c r="CL2052">
        <v>0</v>
      </c>
      <c r="CM2052">
        <v>2</v>
      </c>
      <c r="CN2052">
        <v>0</v>
      </c>
      <c r="CO2052">
        <v>2</v>
      </c>
      <c r="CP2052" t="s">
        <v>119</v>
      </c>
      <c r="CQ2052">
        <v>179</v>
      </c>
      <c r="CR2052">
        <v>1</v>
      </c>
      <c r="CW2052">
        <v>8866156</v>
      </c>
      <c r="CY2052">
        <v>0</v>
      </c>
      <c r="CZ2052">
        <v>0</v>
      </c>
      <c r="DA2052">
        <v>1</v>
      </c>
      <c r="DB2052">
        <v>0</v>
      </c>
      <c r="DC2052">
        <v>0</v>
      </c>
      <c r="DD2052">
        <v>0</v>
      </c>
      <c r="DE2052">
        <v>0</v>
      </c>
      <c r="DF2052">
        <v>0</v>
      </c>
      <c r="DG2052">
        <v>0</v>
      </c>
      <c r="DH2052">
        <v>0</v>
      </c>
      <c r="DI2052">
        <v>0</v>
      </c>
    </row>
    <row r="2053" spans="1:113" x14ac:dyDescent="0.3">
      <c r="A2053" t="str">
        <f>"02/08/2021 20:25:20.618"</f>
        <v>02/08/2021 20:25:20.618</v>
      </c>
      <c r="C2053" t="str">
        <f t="shared" si="99"/>
        <v>FFDFD7C0</v>
      </c>
      <c r="D2053" t="s">
        <v>113</v>
      </c>
      <c r="E2053">
        <v>6</v>
      </c>
      <c r="H2053">
        <v>165</v>
      </c>
      <c r="I2053" t="s">
        <v>114</v>
      </c>
      <c r="J2053" t="s">
        <v>115</v>
      </c>
      <c r="K2053">
        <v>0</v>
      </c>
      <c r="L2053">
        <v>3</v>
      </c>
      <c r="M2053">
        <v>0</v>
      </c>
      <c r="N2053">
        <v>2</v>
      </c>
      <c r="O2053">
        <v>1</v>
      </c>
      <c r="P2053">
        <v>0</v>
      </c>
      <c r="Q2053">
        <v>0</v>
      </c>
      <c r="S2053" t="str">
        <f>"20:25:22.953"</f>
        <v>20:25:22.953</v>
      </c>
      <c r="T2053" t="str">
        <f>"20:25:22.553"</f>
        <v>20:25:22.553</v>
      </c>
      <c r="U2053" t="str">
        <f t="shared" si="101"/>
        <v>AB01F4</v>
      </c>
      <c r="V2053">
        <v>0</v>
      </c>
      <c r="W2053">
        <v>0</v>
      </c>
      <c r="X2053">
        <v>2</v>
      </c>
      <c r="Z2053">
        <v>0</v>
      </c>
      <c r="AA2053">
        <v>9</v>
      </c>
      <c r="AB2053">
        <v>3</v>
      </c>
      <c r="AC2053">
        <v>0</v>
      </c>
      <c r="AD2053">
        <v>10</v>
      </c>
      <c r="AE2053">
        <v>0</v>
      </c>
      <c r="AF2053">
        <v>3</v>
      </c>
      <c r="AG2053">
        <v>2</v>
      </c>
      <c r="AH2053">
        <v>0</v>
      </c>
      <c r="AI2053" t="s">
        <v>1275</v>
      </c>
      <c r="AJ2053">
        <v>39.939014999999998</v>
      </c>
      <c r="AK2053" t="s">
        <v>1276</v>
      </c>
      <c r="AL2053">
        <v>-92.639165000000006</v>
      </c>
      <c r="AM2053">
        <v>100</v>
      </c>
      <c r="AN2053">
        <v>1700</v>
      </c>
      <c r="AO2053" t="s">
        <v>118</v>
      </c>
      <c r="AP2053">
        <v>-108</v>
      </c>
      <c r="AQ2053">
        <v>78</v>
      </c>
      <c r="AR2053">
        <v>-64</v>
      </c>
      <c r="AZ2053">
        <v>1200</v>
      </c>
      <c r="BA2053">
        <v>1</v>
      </c>
      <c r="BB2053" t="str">
        <f t="shared" si="100"/>
        <v xml:space="preserve">N8080G  </v>
      </c>
      <c r="BC2053">
        <v>1</v>
      </c>
      <c r="BE2053">
        <v>0</v>
      </c>
      <c r="BF2053">
        <v>0</v>
      </c>
      <c r="BG2053">
        <v>0</v>
      </c>
      <c r="BH2053">
        <v>1700</v>
      </c>
      <c r="BI2053">
        <v>1</v>
      </c>
      <c r="BJ2053">
        <v>1</v>
      </c>
      <c r="BK2053">
        <v>1</v>
      </c>
      <c r="BL2053">
        <v>0</v>
      </c>
      <c r="BO2053">
        <v>0</v>
      </c>
      <c r="BP2053">
        <v>0</v>
      </c>
      <c r="BW2053" t="str">
        <f>"20:25:22.954"</f>
        <v>20:25:22.954</v>
      </c>
      <c r="BZ2053">
        <v>0</v>
      </c>
      <c r="CA2053">
        <v>2016</v>
      </c>
      <c r="CB2053">
        <v>224</v>
      </c>
      <c r="CD2053">
        <v>1</v>
      </c>
      <c r="CE2053">
        <v>0</v>
      </c>
      <c r="CF2053">
        <v>0</v>
      </c>
      <c r="CG2053">
        <v>1</v>
      </c>
      <c r="CH2053">
        <v>0</v>
      </c>
      <c r="CI2053">
        <v>0</v>
      </c>
      <c r="CJ2053">
        <v>0</v>
      </c>
      <c r="CK2053">
        <v>2</v>
      </c>
      <c r="CL2053">
        <v>0</v>
      </c>
      <c r="CM2053">
        <v>2</v>
      </c>
      <c r="CN2053">
        <v>0</v>
      </c>
      <c r="CO2053">
        <v>2</v>
      </c>
      <c r="CP2053" t="s">
        <v>119</v>
      </c>
      <c r="CQ2053">
        <v>179</v>
      </c>
      <c r="CR2053">
        <v>1</v>
      </c>
      <c r="CW2053">
        <v>8866156</v>
      </c>
      <c r="CY2053">
        <v>0</v>
      </c>
      <c r="CZ2053">
        <v>0</v>
      </c>
      <c r="DA2053">
        <v>1</v>
      </c>
      <c r="DB2053">
        <v>0</v>
      </c>
      <c r="DC2053">
        <v>0</v>
      </c>
      <c r="DD2053">
        <v>0</v>
      </c>
      <c r="DE2053">
        <v>0</v>
      </c>
      <c r="DF2053">
        <v>0</v>
      </c>
      <c r="DG2053">
        <v>0</v>
      </c>
      <c r="DH2053">
        <v>0</v>
      </c>
      <c r="DI2053">
        <v>0</v>
      </c>
    </row>
    <row r="2054" spans="1:113" x14ac:dyDescent="0.3">
      <c r="A2054" t="str">
        <f>"02/08/2021 20:25:20.618"</f>
        <v>02/08/2021 20:25:20.618</v>
      </c>
      <c r="C2054" t="str">
        <f t="shared" si="99"/>
        <v>FFDFD7C0</v>
      </c>
      <c r="D2054" t="s">
        <v>124</v>
      </c>
      <c r="E2054">
        <v>13</v>
      </c>
      <c r="F2054">
        <v>1013</v>
      </c>
      <c r="G2054" t="s">
        <v>114</v>
      </c>
      <c r="J2054" t="s">
        <v>125</v>
      </c>
      <c r="K2054">
        <v>0</v>
      </c>
      <c r="L2054">
        <v>3</v>
      </c>
      <c r="M2054">
        <v>0</v>
      </c>
      <c r="N2054">
        <v>2</v>
      </c>
      <c r="O2054">
        <v>1</v>
      </c>
      <c r="P2054">
        <v>0</v>
      </c>
      <c r="Q2054">
        <v>0</v>
      </c>
      <c r="S2054" t="str">
        <f>"20:25:22.953"</f>
        <v>20:25:22.953</v>
      </c>
      <c r="T2054" t="str">
        <f>"20:25:22.553"</f>
        <v>20:25:22.553</v>
      </c>
      <c r="U2054" t="str">
        <f t="shared" si="101"/>
        <v>AB01F4</v>
      </c>
      <c r="V2054">
        <v>0</v>
      </c>
      <c r="W2054">
        <v>0</v>
      </c>
      <c r="X2054">
        <v>2</v>
      </c>
      <c r="Z2054">
        <v>0</v>
      </c>
      <c r="AA2054">
        <v>9</v>
      </c>
      <c r="AB2054">
        <v>3</v>
      </c>
      <c r="AC2054">
        <v>0</v>
      </c>
      <c r="AD2054">
        <v>10</v>
      </c>
      <c r="AE2054">
        <v>0</v>
      </c>
      <c r="AF2054">
        <v>3</v>
      </c>
      <c r="AG2054">
        <v>2</v>
      </c>
      <c r="AH2054">
        <v>0</v>
      </c>
      <c r="AI2054" t="s">
        <v>1275</v>
      </c>
      <c r="AJ2054">
        <v>39.939014999999998</v>
      </c>
      <c r="AK2054" t="s">
        <v>1276</v>
      </c>
      <c r="AL2054">
        <v>-92.639165000000006</v>
      </c>
      <c r="AM2054">
        <v>100</v>
      </c>
      <c r="AN2054">
        <v>1700</v>
      </c>
      <c r="AO2054" t="s">
        <v>118</v>
      </c>
      <c r="AP2054">
        <v>-108</v>
      </c>
      <c r="AQ2054">
        <v>78</v>
      </c>
      <c r="AR2054">
        <v>-64</v>
      </c>
      <c r="AZ2054">
        <v>1200</v>
      </c>
      <c r="BA2054">
        <v>1</v>
      </c>
      <c r="BB2054" t="str">
        <f t="shared" si="100"/>
        <v xml:space="preserve">N8080G  </v>
      </c>
      <c r="BC2054">
        <v>1</v>
      </c>
      <c r="BE2054">
        <v>0</v>
      </c>
      <c r="BF2054">
        <v>0</v>
      </c>
      <c r="BG2054">
        <v>0</v>
      </c>
      <c r="BH2054">
        <v>1700</v>
      </c>
      <c r="BI2054">
        <v>1</v>
      </c>
      <c r="BJ2054">
        <v>1</v>
      </c>
      <c r="BK2054">
        <v>1</v>
      </c>
      <c r="BL2054">
        <v>0</v>
      </c>
      <c r="BO2054">
        <v>0</v>
      </c>
      <c r="BP2054">
        <v>0</v>
      </c>
      <c r="BW2054" t="str">
        <f>"20:25:22.954"</f>
        <v>20:25:22.954</v>
      </c>
      <c r="BZ2054">
        <v>0</v>
      </c>
      <c r="CA2054">
        <v>2016</v>
      </c>
      <c r="CB2054">
        <v>224</v>
      </c>
      <c r="CD2054">
        <v>1</v>
      </c>
      <c r="CE2054">
        <v>0</v>
      </c>
      <c r="CF2054">
        <v>0</v>
      </c>
      <c r="CG2054">
        <v>1</v>
      </c>
      <c r="CH2054">
        <v>0</v>
      </c>
      <c r="CI2054">
        <v>0</v>
      </c>
      <c r="CJ2054">
        <v>0</v>
      </c>
      <c r="CK2054">
        <v>2</v>
      </c>
      <c r="CL2054">
        <v>0</v>
      </c>
      <c r="CM2054">
        <v>2</v>
      </c>
      <c r="CN2054">
        <v>0</v>
      </c>
      <c r="CO2054">
        <v>2</v>
      </c>
      <c r="CP2054" t="s">
        <v>119</v>
      </c>
      <c r="CQ2054">
        <v>179</v>
      </c>
      <c r="CR2054">
        <v>1</v>
      </c>
      <c r="CW2054">
        <v>8866156</v>
      </c>
      <c r="CY2054">
        <v>0</v>
      </c>
      <c r="CZ2054">
        <v>0</v>
      </c>
      <c r="DA2054">
        <v>1</v>
      </c>
      <c r="DB2054">
        <v>0</v>
      </c>
      <c r="DC2054">
        <v>0</v>
      </c>
      <c r="DD2054">
        <v>0</v>
      </c>
      <c r="DE2054">
        <v>0</v>
      </c>
      <c r="DF2054">
        <v>0</v>
      </c>
      <c r="DG2054">
        <v>0</v>
      </c>
      <c r="DH2054">
        <v>0</v>
      </c>
      <c r="DI2054">
        <v>0</v>
      </c>
    </row>
    <row r="2055" spans="1:113" x14ac:dyDescent="0.3">
      <c r="A2055" t="str">
        <f>"02/08/2021 20:25:21.572"</f>
        <v>02/08/2021 20:25:21.572</v>
      </c>
      <c r="C2055" t="str">
        <f t="shared" si="99"/>
        <v>FFDFD7C0</v>
      </c>
      <c r="D2055" t="s">
        <v>124</v>
      </c>
      <c r="E2055">
        <v>12</v>
      </c>
      <c r="F2055">
        <v>1012</v>
      </c>
      <c r="G2055" t="s">
        <v>675</v>
      </c>
      <c r="J2055" t="s">
        <v>125</v>
      </c>
      <c r="K2055">
        <v>0</v>
      </c>
      <c r="L2055">
        <v>3</v>
      </c>
      <c r="M2055">
        <v>0</v>
      </c>
      <c r="N2055">
        <v>2</v>
      </c>
      <c r="O2055">
        <v>1</v>
      </c>
      <c r="P2055">
        <v>0</v>
      </c>
      <c r="Q2055">
        <v>0</v>
      </c>
      <c r="S2055" t="str">
        <f>"20:25:23.875"</f>
        <v>20:25:23.875</v>
      </c>
      <c r="T2055" t="str">
        <f>"20:25:23.475"</f>
        <v>20:25:23.475</v>
      </c>
      <c r="U2055" t="str">
        <f t="shared" si="101"/>
        <v>AB01F4</v>
      </c>
      <c r="V2055">
        <v>0</v>
      </c>
      <c r="W2055">
        <v>0</v>
      </c>
      <c r="X2055">
        <v>2</v>
      </c>
      <c r="Z2055">
        <v>0</v>
      </c>
      <c r="AA2055">
        <v>9</v>
      </c>
      <c r="AB2055">
        <v>3</v>
      </c>
      <c r="AC2055">
        <v>0</v>
      </c>
      <c r="AD2055">
        <v>10</v>
      </c>
      <c r="AE2055">
        <v>0</v>
      </c>
      <c r="AF2055">
        <v>3</v>
      </c>
      <c r="AG2055">
        <v>2</v>
      </c>
      <c r="AH2055">
        <v>0</v>
      </c>
      <c r="AI2055" t="s">
        <v>1277</v>
      </c>
      <c r="AJ2055">
        <v>39.939357999999999</v>
      </c>
      <c r="AK2055" t="s">
        <v>1278</v>
      </c>
      <c r="AL2055">
        <v>-92.639786999999998</v>
      </c>
      <c r="AM2055">
        <v>100</v>
      </c>
      <c r="AN2055">
        <v>1700</v>
      </c>
      <c r="AO2055" t="s">
        <v>118</v>
      </c>
      <c r="AP2055">
        <v>-108</v>
      </c>
      <c r="AQ2055">
        <v>78</v>
      </c>
      <c r="AR2055">
        <v>-128</v>
      </c>
      <c r="AZ2055">
        <v>1200</v>
      </c>
      <c r="BA2055">
        <v>1</v>
      </c>
      <c r="BB2055" t="str">
        <f t="shared" si="100"/>
        <v xml:space="preserve">N8080G  </v>
      </c>
      <c r="BC2055">
        <v>1</v>
      </c>
      <c r="BE2055">
        <v>0</v>
      </c>
      <c r="BF2055">
        <v>0</v>
      </c>
      <c r="BG2055">
        <v>0</v>
      </c>
      <c r="BH2055">
        <v>1700</v>
      </c>
      <c r="BI2055">
        <v>1</v>
      </c>
      <c r="BJ2055">
        <v>1</v>
      </c>
      <c r="BK2055">
        <v>1</v>
      </c>
      <c r="BL2055">
        <v>0</v>
      </c>
      <c r="BO2055">
        <v>0</v>
      </c>
      <c r="BP2055">
        <v>0</v>
      </c>
      <c r="BW2055" t="str">
        <f>"20:25:23.881"</f>
        <v>20:25:23.881</v>
      </c>
      <c r="BZ2055">
        <v>0</v>
      </c>
      <c r="CA2055">
        <v>2016</v>
      </c>
      <c r="CB2055">
        <v>224</v>
      </c>
      <c r="CD2055">
        <v>1</v>
      </c>
      <c r="CE2055">
        <v>0</v>
      </c>
      <c r="CF2055">
        <v>0</v>
      </c>
      <c r="CG2055">
        <v>1</v>
      </c>
      <c r="CH2055">
        <v>0</v>
      </c>
      <c r="CI2055">
        <v>0</v>
      </c>
      <c r="CJ2055">
        <v>0</v>
      </c>
      <c r="CK2055">
        <v>2</v>
      </c>
      <c r="CL2055">
        <v>0</v>
      </c>
      <c r="CM2055">
        <v>2</v>
      </c>
      <c r="CN2055">
        <v>0</v>
      </c>
      <c r="CO2055">
        <v>3</v>
      </c>
      <c r="CP2055" t="s">
        <v>119</v>
      </c>
      <c r="CQ2055">
        <v>179</v>
      </c>
      <c r="CR2055">
        <v>1</v>
      </c>
      <c r="CW2055">
        <v>8867081</v>
      </c>
      <c r="CY2055">
        <v>0</v>
      </c>
      <c r="CZ2055">
        <v>0</v>
      </c>
      <c r="DA2055">
        <v>0</v>
      </c>
      <c r="DB2055">
        <v>0</v>
      </c>
      <c r="DC2055">
        <v>0</v>
      </c>
      <c r="DD2055">
        <v>0</v>
      </c>
      <c r="DE2055">
        <v>0</v>
      </c>
      <c r="DF2055">
        <v>0</v>
      </c>
      <c r="DG2055">
        <v>0</v>
      </c>
      <c r="DH2055">
        <v>0</v>
      </c>
      <c r="DI2055">
        <v>0</v>
      </c>
    </row>
    <row r="2056" spans="1:113" x14ac:dyDescent="0.3">
      <c r="A2056" t="str">
        <f>"02/08/2021 20:25:21.572"</f>
        <v>02/08/2021 20:25:21.572</v>
      </c>
      <c r="C2056" t="str">
        <f t="shared" si="99"/>
        <v>FFDFD7C0</v>
      </c>
      <c r="D2056" t="s">
        <v>124</v>
      </c>
      <c r="E2056">
        <v>11</v>
      </c>
      <c r="F2056">
        <v>1011</v>
      </c>
      <c r="G2056" t="s">
        <v>590</v>
      </c>
      <c r="J2056" t="s">
        <v>125</v>
      </c>
      <c r="K2056">
        <v>0</v>
      </c>
      <c r="L2056">
        <v>3</v>
      </c>
      <c r="M2056">
        <v>0</v>
      </c>
      <c r="N2056">
        <v>2</v>
      </c>
      <c r="O2056">
        <v>1</v>
      </c>
      <c r="P2056">
        <v>0</v>
      </c>
      <c r="Q2056">
        <v>0</v>
      </c>
      <c r="S2056" t="str">
        <f>"20:25:23.875"</f>
        <v>20:25:23.875</v>
      </c>
      <c r="T2056" t="str">
        <f>"20:25:23.475"</f>
        <v>20:25:23.475</v>
      </c>
      <c r="U2056" t="str">
        <f t="shared" si="101"/>
        <v>AB01F4</v>
      </c>
      <c r="V2056">
        <v>0</v>
      </c>
      <c r="W2056">
        <v>0</v>
      </c>
      <c r="X2056">
        <v>2</v>
      </c>
      <c r="Z2056">
        <v>0</v>
      </c>
      <c r="AA2056">
        <v>9</v>
      </c>
      <c r="AB2056">
        <v>3</v>
      </c>
      <c r="AC2056">
        <v>0</v>
      </c>
      <c r="AD2056">
        <v>10</v>
      </c>
      <c r="AE2056">
        <v>0</v>
      </c>
      <c r="AF2056">
        <v>3</v>
      </c>
      <c r="AG2056">
        <v>2</v>
      </c>
      <c r="AH2056">
        <v>0</v>
      </c>
      <c r="AI2056" t="s">
        <v>1277</v>
      </c>
      <c r="AJ2056">
        <v>39.939357999999999</v>
      </c>
      <c r="AK2056" t="s">
        <v>1278</v>
      </c>
      <c r="AL2056">
        <v>-92.639786999999998</v>
      </c>
      <c r="AM2056">
        <v>100</v>
      </c>
      <c r="AN2056">
        <v>1700</v>
      </c>
      <c r="AO2056" t="s">
        <v>118</v>
      </c>
      <c r="AP2056">
        <v>-108</v>
      </c>
      <c r="AQ2056">
        <v>78</v>
      </c>
      <c r="AR2056">
        <v>-128</v>
      </c>
      <c r="AZ2056">
        <v>1200</v>
      </c>
      <c r="BA2056">
        <v>1</v>
      </c>
      <c r="BB2056" t="str">
        <f t="shared" si="100"/>
        <v xml:space="preserve">N8080G  </v>
      </c>
      <c r="BC2056">
        <v>1</v>
      </c>
      <c r="BE2056">
        <v>0</v>
      </c>
      <c r="BF2056">
        <v>0</v>
      </c>
      <c r="BG2056">
        <v>0</v>
      </c>
      <c r="BH2056">
        <v>1700</v>
      </c>
      <c r="BI2056">
        <v>1</v>
      </c>
      <c r="BJ2056">
        <v>1</v>
      </c>
      <c r="BK2056">
        <v>1</v>
      </c>
      <c r="BL2056">
        <v>0</v>
      </c>
      <c r="BO2056">
        <v>0</v>
      </c>
      <c r="BP2056">
        <v>0</v>
      </c>
      <c r="BW2056" t="str">
        <f>"20:25:23.881"</f>
        <v>20:25:23.881</v>
      </c>
      <c r="BZ2056">
        <v>0</v>
      </c>
      <c r="CA2056">
        <v>2016</v>
      </c>
      <c r="CB2056">
        <v>224</v>
      </c>
      <c r="CD2056">
        <v>1</v>
      </c>
      <c r="CE2056">
        <v>0</v>
      </c>
      <c r="CF2056">
        <v>0</v>
      </c>
      <c r="CG2056">
        <v>1</v>
      </c>
      <c r="CH2056">
        <v>0</v>
      </c>
      <c r="CI2056">
        <v>0</v>
      </c>
      <c r="CJ2056">
        <v>0</v>
      </c>
      <c r="CK2056">
        <v>2</v>
      </c>
      <c r="CL2056">
        <v>0</v>
      </c>
      <c r="CM2056">
        <v>2</v>
      </c>
      <c r="CN2056">
        <v>0</v>
      </c>
      <c r="CO2056">
        <v>3</v>
      </c>
      <c r="CP2056" t="s">
        <v>119</v>
      </c>
      <c r="CQ2056">
        <v>179</v>
      </c>
      <c r="CR2056">
        <v>1</v>
      </c>
      <c r="CW2056">
        <v>8867081</v>
      </c>
      <c r="CY2056">
        <v>0</v>
      </c>
      <c r="CZ2056">
        <v>0</v>
      </c>
      <c r="DA2056">
        <v>1</v>
      </c>
      <c r="DB2056">
        <v>0</v>
      </c>
      <c r="DC2056">
        <v>0</v>
      </c>
      <c r="DD2056">
        <v>0</v>
      </c>
      <c r="DE2056">
        <v>0</v>
      </c>
      <c r="DF2056">
        <v>0</v>
      </c>
      <c r="DG2056">
        <v>0</v>
      </c>
      <c r="DH2056">
        <v>0</v>
      </c>
      <c r="DI2056">
        <v>0</v>
      </c>
    </row>
    <row r="2057" spans="1:113" x14ac:dyDescent="0.3">
      <c r="A2057" t="str">
        <f>"02/08/2021 20:25:21.572"</f>
        <v>02/08/2021 20:25:21.572</v>
      </c>
      <c r="C2057" t="str">
        <f t="shared" si="99"/>
        <v>FFDFD7C0</v>
      </c>
      <c r="D2057" t="s">
        <v>113</v>
      </c>
      <c r="E2057">
        <v>6</v>
      </c>
      <c r="H2057">
        <v>165</v>
      </c>
      <c r="I2057" t="s">
        <v>114</v>
      </c>
      <c r="J2057" t="s">
        <v>115</v>
      </c>
      <c r="K2057">
        <v>0</v>
      </c>
      <c r="L2057">
        <v>3</v>
      </c>
      <c r="M2057">
        <v>0</v>
      </c>
      <c r="N2057">
        <v>2</v>
      </c>
      <c r="O2057">
        <v>1</v>
      </c>
      <c r="P2057">
        <v>0</v>
      </c>
      <c r="Q2057">
        <v>0</v>
      </c>
      <c r="S2057" t="str">
        <f>"20:25:23.875"</f>
        <v>20:25:23.875</v>
      </c>
      <c r="T2057" t="str">
        <f>"20:25:23.475"</f>
        <v>20:25:23.475</v>
      </c>
      <c r="U2057" t="str">
        <f t="shared" si="101"/>
        <v>AB01F4</v>
      </c>
      <c r="V2057">
        <v>0</v>
      </c>
      <c r="W2057">
        <v>0</v>
      </c>
      <c r="X2057">
        <v>2</v>
      </c>
      <c r="Z2057">
        <v>0</v>
      </c>
      <c r="AA2057">
        <v>9</v>
      </c>
      <c r="AB2057">
        <v>3</v>
      </c>
      <c r="AC2057">
        <v>0</v>
      </c>
      <c r="AD2057">
        <v>10</v>
      </c>
      <c r="AE2057">
        <v>0</v>
      </c>
      <c r="AF2057">
        <v>3</v>
      </c>
      <c r="AG2057">
        <v>2</v>
      </c>
      <c r="AH2057">
        <v>0</v>
      </c>
      <c r="AI2057" t="s">
        <v>1277</v>
      </c>
      <c r="AJ2057">
        <v>39.939357999999999</v>
      </c>
      <c r="AK2057" t="s">
        <v>1278</v>
      </c>
      <c r="AL2057">
        <v>-92.639786999999998</v>
      </c>
      <c r="AM2057">
        <v>100</v>
      </c>
      <c r="AN2057">
        <v>1700</v>
      </c>
      <c r="AO2057" t="s">
        <v>118</v>
      </c>
      <c r="AP2057">
        <v>-108</v>
      </c>
      <c r="AQ2057">
        <v>78</v>
      </c>
      <c r="AR2057">
        <v>-128</v>
      </c>
      <c r="AZ2057">
        <v>1200</v>
      </c>
      <c r="BA2057">
        <v>1</v>
      </c>
      <c r="BB2057" t="str">
        <f t="shared" si="100"/>
        <v xml:space="preserve">N8080G  </v>
      </c>
      <c r="BC2057">
        <v>1</v>
      </c>
      <c r="BE2057">
        <v>0</v>
      </c>
      <c r="BF2057">
        <v>0</v>
      </c>
      <c r="BG2057">
        <v>0</v>
      </c>
      <c r="BH2057">
        <v>1700</v>
      </c>
      <c r="BI2057">
        <v>1</v>
      </c>
      <c r="BJ2057">
        <v>1</v>
      </c>
      <c r="BK2057">
        <v>1</v>
      </c>
      <c r="BL2057">
        <v>0</v>
      </c>
      <c r="BO2057">
        <v>0</v>
      </c>
      <c r="BP2057">
        <v>0</v>
      </c>
      <c r="BW2057" t="str">
        <f>"20:25:23.881"</f>
        <v>20:25:23.881</v>
      </c>
      <c r="BZ2057">
        <v>0</v>
      </c>
      <c r="CA2057">
        <v>2016</v>
      </c>
      <c r="CB2057">
        <v>224</v>
      </c>
      <c r="CD2057">
        <v>1</v>
      </c>
      <c r="CE2057">
        <v>0</v>
      </c>
      <c r="CF2057">
        <v>0</v>
      </c>
      <c r="CG2057">
        <v>1</v>
      </c>
      <c r="CH2057">
        <v>0</v>
      </c>
      <c r="CI2057">
        <v>0</v>
      </c>
      <c r="CJ2057">
        <v>0</v>
      </c>
      <c r="CK2057">
        <v>2</v>
      </c>
      <c r="CL2057">
        <v>0</v>
      </c>
      <c r="CM2057">
        <v>2</v>
      </c>
      <c r="CN2057">
        <v>0</v>
      </c>
      <c r="CO2057">
        <v>3</v>
      </c>
      <c r="CP2057" t="s">
        <v>119</v>
      </c>
      <c r="CQ2057">
        <v>179</v>
      </c>
      <c r="CR2057">
        <v>1</v>
      </c>
      <c r="CW2057">
        <v>8867081</v>
      </c>
      <c r="CY2057">
        <v>0</v>
      </c>
      <c r="CZ2057">
        <v>0</v>
      </c>
      <c r="DA2057">
        <v>1</v>
      </c>
      <c r="DB2057">
        <v>0</v>
      </c>
      <c r="DC2057">
        <v>0</v>
      </c>
      <c r="DD2057">
        <v>0</v>
      </c>
      <c r="DE2057">
        <v>0</v>
      </c>
      <c r="DF2057">
        <v>0</v>
      </c>
      <c r="DG2057">
        <v>0</v>
      </c>
      <c r="DH2057">
        <v>0</v>
      </c>
      <c r="DI2057">
        <v>0</v>
      </c>
    </row>
    <row r="2058" spans="1:113" x14ac:dyDescent="0.3">
      <c r="A2058" t="str">
        <f>"02/08/2021 20:25:21.572"</f>
        <v>02/08/2021 20:25:21.572</v>
      </c>
      <c r="C2058" t="str">
        <f t="shared" si="99"/>
        <v>FFDFD7C0</v>
      </c>
      <c r="D2058" t="s">
        <v>124</v>
      </c>
      <c r="E2058">
        <v>13</v>
      </c>
      <c r="F2058">
        <v>1013</v>
      </c>
      <c r="G2058" t="s">
        <v>114</v>
      </c>
      <c r="J2058" t="s">
        <v>125</v>
      </c>
      <c r="K2058">
        <v>0</v>
      </c>
      <c r="L2058">
        <v>3</v>
      </c>
      <c r="M2058">
        <v>0</v>
      </c>
      <c r="N2058">
        <v>2</v>
      </c>
      <c r="O2058">
        <v>1</v>
      </c>
      <c r="P2058">
        <v>0</v>
      </c>
      <c r="Q2058">
        <v>0</v>
      </c>
      <c r="S2058" t="str">
        <f>"20:25:23.875"</f>
        <v>20:25:23.875</v>
      </c>
      <c r="T2058" t="str">
        <f>"20:25:23.475"</f>
        <v>20:25:23.475</v>
      </c>
      <c r="U2058" t="str">
        <f t="shared" si="101"/>
        <v>AB01F4</v>
      </c>
      <c r="V2058">
        <v>0</v>
      </c>
      <c r="W2058">
        <v>0</v>
      </c>
      <c r="X2058">
        <v>2</v>
      </c>
      <c r="Z2058">
        <v>0</v>
      </c>
      <c r="AA2058">
        <v>9</v>
      </c>
      <c r="AB2058">
        <v>3</v>
      </c>
      <c r="AC2058">
        <v>0</v>
      </c>
      <c r="AD2058">
        <v>10</v>
      </c>
      <c r="AE2058">
        <v>0</v>
      </c>
      <c r="AF2058">
        <v>3</v>
      </c>
      <c r="AG2058">
        <v>2</v>
      </c>
      <c r="AH2058">
        <v>0</v>
      </c>
      <c r="AI2058" t="s">
        <v>1277</v>
      </c>
      <c r="AJ2058">
        <v>39.939357999999999</v>
      </c>
      <c r="AK2058" t="s">
        <v>1278</v>
      </c>
      <c r="AL2058">
        <v>-92.639786999999998</v>
      </c>
      <c r="AM2058">
        <v>100</v>
      </c>
      <c r="AN2058">
        <v>1700</v>
      </c>
      <c r="AO2058" t="s">
        <v>118</v>
      </c>
      <c r="AP2058">
        <v>-108</v>
      </c>
      <c r="AQ2058">
        <v>78</v>
      </c>
      <c r="AR2058">
        <v>-128</v>
      </c>
      <c r="AZ2058">
        <v>1200</v>
      </c>
      <c r="BA2058">
        <v>1</v>
      </c>
      <c r="BB2058" t="str">
        <f t="shared" si="100"/>
        <v xml:space="preserve">N8080G  </v>
      </c>
      <c r="BC2058">
        <v>1</v>
      </c>
      <c r="BE2058">
        <v>0</v>
      </c>
      <c r="BF2058">
        <v>0</v>
      </c>
      <c r="BG2058">
        <v>0</v>
      </c>
      <c r="BH2058">
        <v>1700</v>
      </c>
      <c r="BI2058">
        <v>1</v>
      </c>
      <c r="BJ2058">
        <v>1</v>
      </c>
      <c r="BK2058">
        <v>1</v>
      </c>
      <c r="BL2058">
        <v>0</v>
      </c>
      <c r="BO2058">
        <v>0</v>
      </c>
      <c r="BP2058">
        <v>0</v>
      </c>
      <c r="BW2058" t="str">
        <f>"20:25:23.881"</f>
        <v>20:25:23.881</v>
      </c>
      <c r="BZ2058">
        <v>0</v>
      </c>
      <c r="CA2058">
        <v>2016</v>
      </c>
      <c r="CB2058">
        <v>224</v>
      </c>
      <c r="CD2058">
        <v>1</v>
      </c>
      <c r="CE2058">
        <v>0</v>
      </c>
      <c r="CF2058">
        <v>0</v>
      </c>
      <c r="CG2058">
        <v>1</v>
      </c>
      <c r="CH2058">
        <v>0</v>
      </c>
      <c r="CI2058">
        <v>0</v>
      </c>
      <c r="CJ2058">
        <v>0</v>
      </c>
      <c r="CK2058">
        <v>2</v>
      </c>
      <c r="CL2058">
        <v>0</v>
      </c>
      <c r="CM2058">
        <v>2</v>
      </c>
      <c r="CN2058">
        <v>0</v>
      </c>
      <c r="CO2058">
        <v>3</v>
      </c>
      <c r="CP2058" t="s">
        <v>119</v>
      </c>
      <c r="CQ2058">
        <v>179</v>
      </c>
      <c r="CR2058">
        <v>1</v>
      </c>
      <c r="CW2058">
        <v>8867081</v>
      </c>
      <c r="CY2058">
        <v>0</v>
      </c>
      <c r="CZ2058">
        <v>0</v>
      </c>
      <c r="DA2058">
        <v>1</v>
      </c>
      <c r="DB2058">
        <v>0</v>
      </c>
      <c r="DC2058">
        <v>0</v>
      </c>
      <c r="DD2058">
        <v>0</v>
      </c>
      <c r="DE2058">
        <v>0</v>
      </c>
      <c r="DF2058">
        <v>0</v>
      </c>
      <c r="DG2058">
        <v>0</v>
      </c>
      <c r="DH2058">
        <v>0</v>
      </c>
      <c r="DI2058">
        <v>0</v>
      </c>
    </row>
    <row r="2059" spans="1:113" x14ac:dyDescent="0.3">
      <c r="A2059" t="str">
        <f>"02/08/2021 20:25:22.536"</f>
        <v>02/08/2021 20:25:22.536</v>
      </c>
      <c r="C2059" t="str">
        <f t="shared" si="99"/>
        <v>FFDFD7C0</v>
      </c>
      <c r="D2059" t="s">
        <v>124</v>
      </c>
      <c r="E2059">
        <v>11</v>
      </c>
      <c r="F2059">
        <v>1011</v>
      </c>
      <c r="G2059" t="s">
        <v>590</v>
      </c>
      <c r="J2059" t="s">
        <v>125</v>
      </c>
      <c r="K2059">
        <v>0</v>
      </c>
      <c r="L2059">
        <v>3</v>
      </c>
      <c r="M2059">
        <v>0</v>
      </c>
      <c r="N2059">
        <v>2</v>
      </c>
      <c r="O2059">
        <v>1</v>
      </c>
      <c r="P2059">
        <v>0</v>
      </c>
      <c r="Q2059">
        <v>0</v>
      </c>
      <c r="S2059" t="str">
        <f>"20:25:24.883"</f>
        <v>20:25:24.883</v>
      </c>
      <c r="T2059" t="str">
        <f>"20:25:24.483"</f>
        <v>20:25:24.483</v>
      </c>
      <c r="U2059" t="str">
        <f t="shared" si="101"/>
        <v>AB01F4</v>
      </c>
      <c r="V2059">
        <v>0</v>
      </c>
      <c r="W2059">
        <v>0</v>
      </c>
      <c r="X2059">
        <v>2</v>
      </c>
      <c r="Z2059">
        <v>0</v>
      </c>
      <c r="AA2059">
        <v>9</v>
      </c>
      <c r="AB2059">
        <v>3</v>
      </c>
      <c r="AC2059">
        <v>0</v>
      </c>
      <c r="AD2059">
        <v>10</v>
      </c>
      <c r="AE2059">
        <v>0</v>
      </c>
      <c r="AF2059">
        <v>3</v>
      </c>
      <c r="AG2059">
        <v>2</v>
      </c>
      <c r="AH2059">
        <v>0</v>
      </c>
      <c r="AI2059" t="s">
        <v>1279</v>
      </c>
      <c r="AJ2059">
        <v>39.939723000000001</v>
      </c>
      <c r="AK2059" t="s">
        <v>1280</v>
      </c>
      <c r="AL2059">
        <v>-92.640409000000005</v>
      </c>
      <c r="AM2059">
        <v>100</v>
      </c>
      <c r="AN2059">
        <v>1700</v>
      </c>
      <c r="AO2059" t="s">
        <v>118</v>
      </c>
      <c r="AP2059">
        <v>-108</v>
      </c>
      <c r="AQ2059">
        <v>78</v>
      </c>
      <c r="AR2059">
        <v>-64</v>
      </c>
      <c r="AZ2059">
        <v>1200</v>
      </c>
      <c r="BA2059">
        <v>1</v>
      </c>
      <c r="BB2059" t="str">
        <f t="shared" si="100"/>
        <v xml:space="preserve">N8080G  </v>
      </c>
      <c r="BC2059">
        <v>1</v>
      </c>
      <c r="BE2059">
        <v>0</v>
      </c>
      <c r="BF2059">
        <v>0</v>
      </c>
      <c r="BG2059">
        <v>0</v>
      </c>
      <c r="BH2059">
        <v>1700</v>
      </c>
      <c r="BI2059">
        <v>1</v>
      </c>
      <c r="BJ2059">
        <v>1</v>
      </c>
      <c r="BK2059">
        <v>1</v>
      </c>
      <c r="BL2059">
        <v>0</v>
      </c>
      <c r="BO2059">
        <v>0</v>
      </c>
      <c r="BP2059">
        <v>0</v>
      </c>
      <c r="BW2059" t="str">
        <f>"20:25:24.890"</f>
        <v>20:25:24.890</v>
      </c>
      <c r="BZ2059">
        <v>0</v>
      </c>
      <c r="CA2059">
        <v>2016</v>
      </c>
      <c r="CB2059">
        <v>224</v>
      </c>
      <c r="CD2059">
        <v>1</v>
      </c>
      <c r="CE2059">
        <v>0</v>
      </c>
      <c r="CF2059">
        <v>0</v>
      </c>
      <c r="CG2059">
        <v>1</v>
      </c>
      <c r="CH2059">
        <v>0</v>
      </c>
      <c r="CI2059">
        <v>0</v>
      </c>
      <c r="CJ2059">
        <v>0</v>
      </c>
      <c r="CK2059">
        <v>2</v>
      </c>
      <c r="CL2059">
        <v>0</v>
      </c>
      <c r="CM2059">
        <v>2</v>
      </c>
      <c r="CN2059">
        <v>0</v>
      </c>
      <c r="CO2059">
        <v>7</v>
      </c>
      <c r="CP2059" t="s">
        <v>119</v>
      </c>
      <c r="CQ2059">
        <v>180</v>
      </c>
      <c r="CR2059">
        <v>2</v>
      </c>
      <c r="CW2059">
        <v>8429024</v>
      </c>
      <c r="CY2059">
        <v>1</v>
      </c>
      <c r="CZ2059">
        <v>0</v>
      </c>
      <c r="DA2059">
        <v>0</v>
      </c>
      <c r="DB2059">
        <v>0</v>
      </c>
      <c r="DC2059">
        <v>0</v>
      </c>
      <c r="DD2059">
        <v>0</v>
      </c>
      <c r="DE2059">
        <v>0</v>
      </c>
      <c r="DF2059">
        <v>0</v>
      </c>
      <c r="DG2059">
        <v>0</v>
      </c>
      <c r="DH2059">
        <v>0</v>
      </c>
      <c r="DI2059">
        <v>0</v>
      </c>
    </row>
    <row r="2060" spans="1:113" x14ac:dyDescent="0.3">
      <c r="A2060" t="str">
        <f>"02/08/2021 20:25:22.536"</f>
        <v>02/08/2021 20:25:22.536</v>
      </c>
      <c r="C2060" t="str">
        <f t="shared" si="99"/>
        <v>FFDFD7C0</v>
      </c>
      <c r="D2060" t="s">
        <v>124</v>
      </c>
      <c r="E2060">
        <v>13</v>
      </c>
      <c r="F2060">
        <v>1013</v>
      </c>
      <c r="G2060" t="s">
        <v>114</v>
      </c>
      <c r="J2060" t="s">
        <v>125</v>
      </c>
      <c r="K2060">
        <v>0</v>
      </c>
      <c r="L2060">
        <v>3</v>
      </c>
      <c r="M2060">
        <v>0</v>
      </c>
      <c r="N2060">
        <v>2</v>
      </c>
      <c r="O2060">
        <v>1</v>
      </c>
      <c r="P2060">
        <v>0</v>
      </c>
      <c r="Q2060">
        <v>0</v>
      </c>
      <c r="S2060" t="str">
        <f>"20:25:24.883"</f>
        <v>20:25:24.883</v>
      </c>
      <c r="T2060" t="str">
        <f>"20:25:24.483"</f>
        <v>20:25:24.483</v>
      </c>
      <c r="U2060" t="str">
        <f t="shared" si="101"/>
        <v>AB01F4</v>
      </c>
      <c r="V2060">
        <v>0</v>
      </c>
      <c r="W2060">
        <v>0</v>
      </c>
      <c r="X2060">
        <v>2</v>
      </c>
      <c r="Z2060">
        <v>0</v>
      </c>
      <c r="AA2060">
        <v>9</v>
      </c>
      <c r="AB2060">
        <v>3</v>
      </c>
      <c r="AC2060">
        <v>0</v>
      </c>
      <c r="AD2060">
        <v>10</v>
      </c>
      <c r="AE2060">
        <v>0</v>
      </c>
      <c r="AF2060">
        <v>3</v>
      </c>
      <c r="AG2060">
        <v>2</v>
      </c>
      <c r="AH2060">
        <v>0</v>
      </c>
      <c r="AI2060" t="s">
        <v>1279</v>
      </c>
      <c r="AJ2060">
        <v>39.939723000000001</v>
      </c>
      <c r="AK2060" t="s">
        <v>1280</v>
      </c>
      <c r="AL2060">
        <v>-92.640409000000005</v>
      </c>
      <c r="AM2060">
        <v>100</v>
      </c>
      <c r="AN2060">
        <v>1700</v>
      </c>
      <c r="AO2060" t="s">
        <v>118</v>
      </c>
      <c r="AP2060">
        <v>-108</v>
      </c>
      <c r="AQ2060">
        <v>78</v>
      </c>
      <c r="AR2060">
        <v>-64</v>
      </c>
      <c r="AZ2060">
        <v>1200</v>
      </c>
      <c r="BA2060">
        <v>1</v>
      </c>
      <c r="BB2060" t="str">
        <f t="shared" si="100"/>
        <v xml:space="preserve">N8080G  </v>
      </c>
      <c r="BC2060">
        <v>1</v>
      </c>
      <c r="BE2060">
        <v>0</v>
      </c>
      <c r="BF2060">
        <v>0</v>
      </c>
      <c r="BG2060">
        <v>0</v>
      </c>
      <c r="BH2060">
        <v>1700</v>
      </c>
      <c r="BI2060">
        <v>1</v>
      </c>
      <c r="BJ2060">
        <v>1</v>
      </c>
      <c r="BK2060">
        <v>1</v>
      </c>
      <c r="BL2060">
        <v>0</v>
      </c>
      <c r="BO2060">
        <v>0</v>
      </c>
      <c r="BP2060">
        <v>0</v>
      </c>
      <c r="BW2060" t="str">
        <f>"20:25:24.890"</f>
        <v>20:25:24.890</v>
      </c>
      <c r="BZ2060">
        <v>0</v>
      </c>
      <c r="CA2060">
        <v>2016</v>
      </c>
      <c r="CB2060">
        <v>224</v>
      </c>
      <c r="CD2060">
        <v>1</v>
      </c>
      <c r="CE2060">
        <v>0</v>
      </c>
      <c r="CF2060">
        <v>0</v>
      </c>
      <c r="CG2060">
        <v>1</v>
      </c>
      <c r="CH2060">
        <v>0</v>
      </c>
      <c r="CI2060">
        <v>0</v>
      </c>
      <c r="CJ2060">
        <v>0</v>
      </c>
      <c r="CK2060">
        <v>2</v>
      </c>
      <c r="CL2060">
        <v>0</v>
      </c>
      <c r="CM2060">
        <v>2</v>
      </c>
      <c r="CN2060">
        <v>0</v>
      </c>
      <c r="CO2060">
        <v>7</v>
      </c>
      <c r="CP2060" t="s">
        <v>119</v>
      </c>
      <c r="CQ2060">
        <v>180</v>
      </c>
      <c r="CR2060">
        <v>2</v>
      </c>
      <c r="CW2060">
        <v>8429024</v>
      </c>
      <c r="CY2060">
        <v>1</v>
      </c>
      <c r="CZ2060">
        <v>0</v>
      </c>
      <c r="DA2060">
        <v>1</v>
      </c>
      <c r="DB2060">
        <v>0</v>
      </c>
      <c r="DC2060">
        <v>0</v>
      </c>
      <c r="DD2060">
        <v>0</v>
      </c>
      <c r="DE2060">
        <v>0</v>
      </c>
      <c r="DF2060">
        <v>0</v>
      </c>
      <c r="DG2060">
        <v>0</v>
      </c>
      <c r="DH2060">
        <v>0</v>
      </c>
      <c r="DI2060">
        <v>0</v>
      </c>
    </row>
    <row r="2061" spans="1:113" x14ac:dyDescent="0.3">
      <c r="A2061" t="str">
        <f>"02/08/2021 20:25:22.536"</f>
        <v>02/08/2021 20:25:22.536</v>
      </c>
      <c r="C2061" t="str">
        <f t="shared" si="99"/>
        <v>FFDFD7C0</v>
      </c>
      <c r="D2061" t="s">
        <v>113</v>
      </c>
      <c r="E2061">
        <v>6</v>
      </c>
      <c r="H2061">
        <v>165</v>
      </c>
      <c r="I2061" t="s">
        <v>114</v>
      </c>
      <c r="J2061" t="s">
        <v>115</v>
      </c>
      <c r="K2061">
        <v>0</v>
      </c>
      <c r="L2061">
        <v>3</v>
      </c>
      <c r="M2061">
        <v>0</v>
      </c>
      <c r="N2061">
        <v>2</v>
      </c>
      <c r="O2061">
        <v>1</v>
      </c>
      <c r="P2061">
        <v>0</v>
      </c>
      <c r="Q2061">
        <v>0</v>
      </c>
      <c r="S2061" t="str">
        <f>"20:25:24.883"</f>
        <v>20:25:24.883</v>
      </c>
      <c r="T2061" t="str">
        <f>"20:25:24.483"</f>
        <v>20:25:24.483</v>
      </c>
      <c r="U2061" t="str">
        <f t="shared" si="101"/>
        <v>AB01F4</v>
      </c>
      <c r="V2061">
        <v>0</v>
      </c>
      <c r="W2061">
        <v>0</v>
      </c>
      <c r="X2061">
        <v>2</v>
      </c>
      <c r="Z2061">
        <v>0</v>
      </c>
      <c r="AA2061">
        <v>9</v>
      </c>
      <c r="AB2061">
        <v>3</v>
      </c>
      <c r="AC2061">
        <v>0</v>
      </c>
      <c r="AD2061">
        <v>10</v>
      </c>
      <c r="AE2061">
        <v>0</v>
      </c>
      <c r="AF2061">
        <v>3</v>
      </c>
      <c r="AG2061">
        <v>2</v>
      </c>
      <c r="AH2061">
        <v>0</v>
      </c>
      <c r="AI2061" t="s">
        <v>1279</v>
      </c>
      <c r="AJ2061">
        <v>39.939723000000001</v>
      </c>
      <c r="AK2061" t="s">
        <v>1280</v>
      </c>
      <c r="AL2061">
        <v>-92.640409000000005</v>
      </c>
      <c r="AM2061">
        <v>100</v>
      </c>
      <c r="AN2061">
        <v>1700</v>
      </c>
      <c r="AO2061" t="s">
        <v>118</v>
      </c>
      <c r="AP2061">
        <v>-108</v>
      </c>
      <c r="AQ2061">
        <v>78</v>
      </c>
      <c r="AR2061">
        <v>-64</v>
      </c>
      <c r="AZ2061">
        <v>1200</v>
      </c>
      <c r="BA2061">
        <v>1</v>
      </c>
      <c r="BB2061" t="str">
        <f t="shared" si="100"/>
        <v xml:space="preserve">N8080G  </v>
      </c>
      <c r="BC2061">
        <v>1</v>
      </c>
      <c r="BE2061">
        <v>0</v>
      </c>
      <c r="BF2061">
        <v>0</v>
      </c>
      <c r="BG2061">
        <v>0</v>
      </c>
      <c r="BH2061">
        <v>1700</v>
      </c>
      <c r="BI2061">
        <v>1</v>
      </c>
      <c r="BJ2061">
        <v>1</v>
      </c>
      <c r="BK2061">
        <v>1</v>
      </c>
      <c r="BL2061">
        <v>0</v>
      </c>
      <c r="BO2061">
        <v>0</v>
      </c>
      <c r="BP2061">
        <v>0</v>
      </c>
      <c r="BW2061" t="str">
        <f>"20:25:24.890"</f>
        <v>20:25:24.890</v>
      </c>
      <c r="BZ2061">
        <v>0</v>
      </c>
      <c r="CA2061">
        <v>2016</v>
      </c>
      <c r="CB2061">
        <v>224</v>
      </c>
      <c r="CD2061">
        <v>1</v>
      </c>
      <c r="CE2061">
        <v>0</v>
      </c>
      <c r="CF2061">
        <v>0</v>
      </c>
      <c r="CG2061">
        <v>1</v>
      </c>
      <c r="CH2061">
        <v>0</v>
      </c>
      <c r="CI2061">
        <v>0</v>
      </c>
      <c r="CJ2061">
        <v>0</v>
      </c>
      <c r="CK2061">
        <v>2</v>
      </c>
      <c r="CL2061">
        <v>0</v>
      </c>
      <c r="CM2061">
        <v>2</v>
      </c>
      <c r="CN2061">
        <v>0</v>
      </c>
      <c r="CO2061">
        <v>7</v>
      </c>
      <c r="CP2061" t="s">
        <v>119</v>
      </c>
      <c r="CQ2061">
        <v>180</v>
      </c>
      <c r="CR2061">
        <v>2</v>
      </c>
      <c r="CW2061">
        <v>8429024</v>
      </c>
      <c r="CY2061">
        <v>1</v>
      </c>
      <c r="CZ2061">
        <v>0</v>
      </c>
      <c r="DA2061">
        <v>1</v>
      </c>
      <c r="DB2061">
        <v>0</v>
      </c>
      <c r="DC2061">
        <v>0</v>
      </c>
      <c r="DD2061">
        <v>0</v>
      </c>
      <c r="DE2061">
        <v>0</v>
      </c>
      <c r="DF2061">
        <v>0</v>
      </c>
      <c r="DG2061">
        <v>0</v>
      </c>
      <c r="DH2061">
        <v>0</v>
      </c>
      <c r="DI2061">
        <v>0</v>
      </c>
    </row>
    <row r="2062" spans="1:113" x14ac:dyDescent="0.3">
      <c r="A2062" t="str">
        <f>"02/08/2021 20:25:22.536"</f>
        <v>02/08/2021 20:25:22.536</v>
      </c>
      <c r="C2062" t="str">
        <f t="shared" si="99"/>
        <v>FFDFD7C0</v>
      </c>
      <c r="D2062" t="s">
        <v>124</v>
      </c>
      <c r="E2062">
        <v>12</v>
      </c>
      <c r="F2062">
        <v>1012</v>
      </c>
      <c r="G2062" t="s">
        <v>675</v>
      </c>
      <c r="J2062" t="s">
        <v>125</v>
      </c>
      <c r="K2062">
        <v>0</v>
      </c>
      <c r="L2062">
        <v>3</v>
      </c>
      <c r="M2062">
        <v>0</v>
      </c>
      <c r="N2062">
        <v>2</v>
      </c>
      <c r="O2062">
        <v>1</v>
      </c>
      <c r="P2062">
        <v>0</v>
      </c>
      <c r="Q2062">
        <v>0</v>
      </c>
      <c r="S2062" t="str">
        <f>"20:25:24.883"</f>
        <v>20:25:24.883</v>
      </c>
      <c r="T2062" t="str">
        <f>"20:25:24.483"</f>
        <v>20:25:24.483</v>
      </c>
      <c r="U2062" t="str">
        <f t="shared" si="101"/>
        <v>AB01F4</v>
      </c>
      <c r="V2062">
        <v>0</v>
      </c>
      <c r="W2062">
        <v>0</v>
      </c>
      <c r="X2062">
        <v>2</v>
      </c>
      <c r="Z2062">
        <v>0</v>
      </c>
      <c r="AA2062">
        <v>9</v>
      </c>
      <c r="AB2062">
        <v>3</v>
      </c>
      <c r="AC2062">
        <v>0</v>
      </c>
      <c r="AD2062">
        <v>10</v>
      </c>
      <c r="AE2062">
        <v>0</v>
      </c>
      <c r="AF2062">
        <v>3</v>
      </c>
      <c r="AG2062">
        <v>2</v>
      </c>
      <c r="AH2062">
        <v>0</v>
      </c>
      <c r="AI2062" t="s">
        <v>1279</v>
      </c>
      <c r="AJ2062">
        <v>39.939723000000001</v>
      </c>
      <c r="AK2062" t="s">
        <v>1280</v>
      </c>
      <c r="AL2062">
        <v>-92.640409000000005</v>
      </c>
      <c r="AM2062">
        <v>100</v>
      </c>
      <c r="AN2062">
        <v>1700</v>
      </c>
      <c r="AO2062" t="s">
        <v>118</v>
      </c>
      <c r="AP2062">
        <v>-108</v>
      </c>
      <c r="AQ2062">
        <v>78</v>
      </c>
      <c r="AR2062">
        <v>-64</v>
      </c>
      <c r="AZ2062">
        <v>1200</v>
      </c>
      <c r="BA2062">
        <v>1</v>
      </c>
      <c r="BB2062" t="str">
        <f t="shared" si="100"/>
        <v xml:space="preserve">N8080G  </v>
      </c>
      <c r="BC2062">
        <v>1</v>
      </c>
      <c r="BE2062">
        <v>0</v>
      </c>
      <c r="BF2062">
        <v>0</v>
      </c>
      <c r="BG2062">
        <v>0</v>
      </c>
      <c r="BH2062">
        <v>1700</v>
      </c>
      <c r="BI2062">
        <v>1</v>
      </c>
      <c r="BJ2062">
        <v>1</v>
      </c>
      <c r="BK2062">
        <v>1</v>
      </c>
      <c r="BL2062">
        <v>0</v>
      </c>
      <c r="BO2062">
        <v>0</v>
      </c>
      <c r="BP2062">
        <v>0</v>
      </c>
      <c r="BW2062" t="str">
        <f>"20:25:24.890"</f>
        <v>20:25:24.890</v>
      </c>
      <c r="BZ2062">
        <v>0</v>
      </c>
      <c r="CA2062">
        <v>2016</v>
      </c>
      <c r="CB2062">
        <v>224</v>
      </c>
      <c r="CD2062">
        <v>1</v>
      </c>
      <c r="CE2062">
        <v>0</v>
      </c>
      <c r="CF2062">
        <v>0</v>
      </c>
      <c r="CG2062">
        <v>1</v>
      </c>
      <c r="CH2062">
        <v>0</v>
      </c>
      <c r="CI2062">
        <v>0</v>
      </c>
      <c r="CJ2062">
        <v>0</v>
      </c>
      <c r="CK2062">
        <v>2</v>
      </c>
      <c r="CL2062">
        <v>0</v>
      </c>
      <c r="CM2062">
        <v>2</v>
      </c>
      <c r="CN2062">
        <v>0</v>
      </c>
      <c r="CO2062">
        <v>7</v>
      </c>
      <c r="CP2062" t="s">
        <v>119</v>
      </c>
      <c r="CQ2062">
        <v>180</v>
      </c>
      <c r="CR2062">
        <v>2</v>
      </c>
      <c r="CW2062">
        <v>8429024</v>
      </c>
      <c r="CY2062">
        <v>1</v>
      </c>
      <c r="CZ2062">
        <v>0</v>
      </c>
      <c r="DA2062">
        <v>1</v>
      </c>
      <c r="DB2062">
        <v>0</v>
      </c>
      <c r="DC2062">
        <v>0</v>
      </c>
      <c r="DD2062">
        <v>0</v>
      </c>
      <c r="DE2062">
        <v>0</v>
      </c>
      <c r="DF2062">
        <v>0</v>
      </c>
      <c r="DG2062">
        <v>0</v>
      </c>
      <c r="DH2062">
        <v>0</v>
      </c>
      <c r="DI2062">
        <v>0</v>
      </c>
    </row>
    <row r="2063" spans="1:113" x14ac:dyDescent="0.3">
      <c r="A2063" t="str">
        <f>"02/08/2021 20:25:23.431"</f>
        <v>02/08/2021 20:25:23.431</v>
      </c>
      <c r="C2063" t="str">
        <f t="shared" si="99"/>
        <v>FFDFD7C0</v>
      </c>
      <c r="D2063" t="s">
        <v>124</v>
      </c>
      <c r="E2063">
        <v>12</v>
      </c>
      <c r="F2063">
        <v>1012</v>
      </c>
      <c r="G2063" t="s">
        <v>675</v>
      </c>
      <c r="J2063" t="s">
        <v>125</v>
      </c>
      <c r="K2063">
        <v>0</v>
      </c>
      <c r="L2063">
        <v>3</v>
      </c>
      <c r="M2063">
        <v>0</v>
      </c>
      <c r="N2063">
        <v>2</v>
      </c>
      <c r="O2063">
        <v>1</v>
      </c>
      <c r="P2063">
        <v>0</v>
      </c>
      <c r="Q2063">
        <v>0</v>
      </c>
      <c r="S2063" t="str">
        <f>"20:25:25.773"</f>
        <v>20:25:25.773</v>
      </c>
      <c r="T2063" t="str">
        <f>"20:25:25.373"</f>
        <v>20:25:25.373</v>
      </c>
      <c r="U2063" t="str">
        <f t="shared" si="101"/>
        <v>AB01F4</v>
      </c>
      <c r="V2063">
        <v>0</v>
      </c>
      <c r="W2063">
        <v>0</v>
      </c>
      <c r="X2063">
        <v>2</v>
      </c>
      <c r="Z2063">
        <v>0</v>
      </c>
      <c r="AA2063">
        <v>9</v>
      </c>
      <c r="AB2063">
        <v>3</v>
      </c>
      <c r="AC2063">
        <v>0</v>
      </c>
      <c r="AD2063">
        <v>10</v>
      </c>
      <c r="AE2063">
        <v>0</v>
      </c>
      <c r="AF2063">
        <v>3</v>
      </c>
      <c r="AG2063">
        <v>2</v>
      </c>
      <c r="AH2063">
        <v>0</v>
      </c>
      <c r="AI2063" t="s">
        <v>1281</v>
      </c>
      <c r="AJ2063">
        <v>39.940022999999997</v>
      </c>
      <c r="AK2063" t="s">
        <v>1282</v>
      </c>
      <c r="AL2063">
        <v>-92.640989000000005</v>
      </c>
      <c r="AM2063">
        <v>100</v>
      </c>
      <c r="AN2063">
        <v>1700</v>
      </c>
      <c r="AO2063" t="s">
        <v>118</v>
      </c>
      <c r="AP2063">
        <v>-108</v>
      </c>
      <c r="AQ2063">
        <v>78</v>
      </c>
      <c r="AR2063">
        <v>-64</v>
      </c>
      <c r="AZ2063">
        <v>1200</v>
      </c>
      <c r="BA2063">
        <v>1</v>
      </c>
      <c r="BB2063" t="str">
        <f t="shared" si="100"/>
        <v xml:space="preserve">N8080G  </v>
      </c>
      <c r="BC2063">
        <v>1</v>
      </c>
      <c r="BE2063">
        <v>0</v>
      </c>
      <c r="BF2063">
        <v>0</v>
      </c>
      <c r="BG2063">
        <v>0</v>
      </c>
      <c r="BH2063">
        <v>1700</v>
      </c>
      <c r="BI2063">
        <v>1</v>
      </c>
      <c r="BJ2063">
        <v>1</v>
      </c>
      <c r="BK2063">
        <v>1</v>
      </c>
      <c r="BL2063">
        <v>0</v>
      </c>
      <c r="BO2063">
        <v>0</v>
      </c>
      <c r="BP2063">
        <v>0</v>
      </c>
      <c r="BW2063" t="str">
        <f>"20:25:25.774"</f>
        <v>20:25:25.774</v>
      </c>
      <c r="BZ2063">
        <v>0</v>
      </c>
      <c r="CA2063">
        <v>2016</v>
      </c>
      <c r="CB2063">
        <v>224</v>
      </c>
      <c r="CD2063">
        <v>1</v>
      </c>
      <c r="CE2063">
        <v>0</v>
      </c>
      <c r="CF2063">
        <v>0</v>
      </c>
      <c r="CG2063">
        <v>1</v>
      </c>
      <c r="CH2063">
        <v>0</v>
      </c>
      <c r="CI2063">
        <v>0</v>
      </c>
      <c r="CJ2063">
        <v>0</v>
      </c>
      <c r="CK2063">
        <v>2</v>
      </c>
      <c r="CL2063">
        <v>0</v>
      </c>
      <c r="CM2063">
        <v>2</v>
      </c>
      <c r="CN2063">
        <v>0</v>
      </c>
      <c r="CO2063">
        <v>2</v>
      </c>
      <c r="CP2063" t="s">
        <v>119</v>
      </c>
      <c r="CQ2063">
        <v>179</v>
      </c>
      <c r="CR2063">
        <v>1</v>
      </c>
      <c r="CW2063">
        <v>8868694</v>
      </c>
      <c r="CY2063">
        <v>1</v>
      </c>
      <c r="CZ2063">
        <v>0</v>
      </c>
      <c r="DA2063">
        <v>0</v>
      </c>
      <c r="DB2063">
        <v>0</v>
      </c>
      <c r="DC2063">
        <v>0</v>
      </c>
      <c r="DD2063">
        <v>0</v>
      </c>
      <c r="DE2063">
        <v>0</v>
      </c>
      <c r="DF2063">
        <v>0</v>
      </c>
      <c r="DG2063">
        <v>0</v>
      </c>
      <c r="DH2063">
        <v>0</v>
      </c>
      <c r="DI2063">
        <v>0</v>
      </c>
    </row>
    <row r="2064" spans="1:113" x14ac:dyDescent="0.3">
      <c r="A2064" t="str">
        <f>"02/08/2021 20:25:23.431"</f>
        <v>02/08/2021 20:25:23.431</v>
      </c>
      <c r="C2064" t="str">
        <f t="shared" si="99"/>
        <v>FFDFD7C0</v>
      </c>
      <c r="D2064" t="s">
        <v>124</v>
      </c>
      <c r="E2064">
        <v>11</v>
      </c>
      <c r="F2064">
        <v>1011</v>
      </c>
      <c r="G2064" t="s">
        <v>590</v>
      </c>
      <c r="J2064" t="s">
        <v>125</v>
      </c>
      <c r="K2064">
        <v>0</v>
      </c>
      <c r="L2064">
        <v>3</v>
      </c>
      <c r="M2064">
        <v>0</v>
      </c>
      <c r="N2064">
        <v>2</v>
      </c>
      <c r="O2064">
        <v>1</v>
      </c>
      <c r="P2064">
        <v>0</v>
      </c>
      <c r="Q2064">
        <v>0</v>
      </c>
      <c r="S2064" t="str">
        <f>"20:25:25.773"</f>
        <v>20:25:25.773</v>
      </c>
      <c r="T2064" t="str">
        <f>"20:25:25.373"</f>
        <v>20:25:25.373</v>
      </c>
      <c r="U2064" t="str">
        <f t="shared" si="101"/>
        <v>AB01F4</v>
      </c>
      <c r="V2064">
        <v>0</v>
      </c>
      <c r="W2064">
        <v>0</v>
      </c>
      <c r="X2064">
        <v>2</v>
      </c>
      <c r="Z2064">
        <v>0</v>
      </c>
      <c r="AA2064">
        <v>9</v>
      </c>
      <c r="AB2064">
        <v>3</v>
      </c>
      <c r="AC2064">
        <v>0</v>
      </c>
      <c r="AD2064">
        <v>10</v>
      </c>
      <c r="AE2064">
        <v>0</v>
      </c>
      <c r="AF2064">
        <v>3</v>
      </c>
      <c r="AG2064">
        <v>2</v>
      </c>
      <c r="AH2064">
        <v>0</v>
      </c>
      <c r="AI2064" t="s">
        <v>1281</v>
      </c>
      <c r="AJ2064">
        <v>39.940022999999997</v>
      </c>
      <c r="AK2064" t="s">
        <v>1282</v>
      </c>
      <c r="AL2064">
        <v>-92.640989000000005</v>
      </c>
      <c r="AM2064">
        <v>100</v>
      </c>
      <c r="AN2064">
        <v>1700</v>
      </c>
      <c r="AO2064" t="s">
        <v>118</v>
      </c>
      <c r="AP2064">
        <v>-108</v>
      </c>
      <c r="AQ2064">
        <v>78</v>
      </c>
      <c r="AR2064">
        <v>-64</v>
      </c>
      <c r="AZ2064">
        <v>1200</v>
      </c>
      <c r="BA2064">
        <v>1</v>
      </c>
      <c r="BB2064" t="str">
        <f t="shared" si="100"/>
        <v xml:space="preserve">N8080G  </v>
      </c>
      <c r="BC2064">
        <v>1</v>
      </c>
      <c r="BE2064">
        <v>0</v>
      </c>
      <c r="BF2064">
        <v>0</v>
      </c>
      <c r="BG2064">
        <v>0</v>
      </c>
      <c r="BH2064">
        <v>1700</v>
      </c>
      <c r="BI2064">
        <v>1</v>
      </c>
      <c r="BJ2064">
        <v>1</v>
      </c>
      <c r="BK2064">
        <v>1</v>
      </c>
      <c r="BL2064">
        <v>0</v>
      </c>
      <c r="BO2064">
        <v>0</v>
      </c>
      <c r="BP2064">
        <v>0</v>
      </c>
      <c r="BW2064" t="str">
        <f>"20:25:25.774"</f>
        <v>20:25:25.774</v>
      </c>
      <c r="BZ2064">
        <v>0</v>
      </c>
      <c r="CA2064">
        <v>2016</v>
      </c>
      <c r="CB2064">
        <v>224</v>
      </c>
      <c r="CD2064">
        <v>1</v>
      </c>
      <c r="CE2064">
        <v>0</v>
      </c>
      <c r="CF2064">
        <v>0</v>
      </c>
      <c r="CG2064">
        <v>1</v>
      </c>
      <c r="CH2064">
        <v>0</v>
      </c>
      <c r="CI2064">
        <v>0</v>
      </c>
      <c r="CJ2064">
        <v>0</v>
      </c>
      <c r="CK2064">
        <v>2</v>
      </c>
      <c r="CL2064">
        <v>0</v>
      </c>
      <c r="CM2064">
        <v>2</v>
      </c>
      <c r="CN2064">
        <v>0</v>
      </c>
      <c r="CO2064">
        <v>2</v>
      </c>
      <c r="CP2064" t="s">
        <v>119</v>
      </c>
      <c r="CQ2064">
        <v>179</v>
      </c>
      <c r="CR2064">
        <v>1</v>
      </c>
      <c r="CW2064">
        <v>8868694</v>
      </c>
      <c r="CY2064">
        <v>1</v>
      </c>
      <c r="CZ2064">
        <v>0</v>
      </c>
      <c r="DA2064">
        <v>1</v>
      </c>
      <c r="DB2064">
        <v>0</v>
      </c>
      <c r="DC2064">
        <v>0</v>
      </c>
      <c r="DD2064">
        <v>0</v>
      </c>
      <c r="DE2064">
        <v>0</v>
      </c>
      <c r="DF2064">
        <v>0</v>
      </c>
      <c r="DG2064">
        <v>0</v>
      </c>
      <c r="DH2064">
        <v>0</v>
      </c>
      <c r="DI2064">
        <v>0</v>
      </c>
    </row>
    <row r="2065" spans="1:113" x14ac:dyDescent="0.3">
      <c r="A2065" t="str">
        <f>"02/08/2021 20:25:23.431"</f>
        <v>02/08/2021 20:25:23.431</v>
      </c>
      <c r="C2065" t="str">
        <f t="shared" si="99"/>
        <v>FFDFD7C0</v>
      </c>
      <c r="D2065" t="s">
        <v>124</v>
      </c>
      <c r="E2065">
        <v>13</v>
      </c>
      <c r="F2065">
        <v>1013</v>
      </c>
      <c r="G2065" t="s">
        <v>114</v>
      </c>
      <c r="J2065" t="s">
        <v>125</v>
      </c>
      <c r="K2065">
        <v>0</v>
      </c>
      <c r="L2065">
        <v>3</v>
      </c>
      <c r="M2065">
        <v>0</v>
      </c>
      <c r="N2065">
        <v>2</v>
      </c>
      <c r="O2065">
        <v>1</v>
      </c>
      <c r="P2065">
        <v>0</v>
      </c>
      <c r="Q2065">
        <v>0</v>
      </c>
      <c r="S2065" t="str">
        <f>"20:25:25.773"</f>
        <v>20:25:25.773</v>
      </c>
      <c r="T2065" t="str">
        <f>"20:25:25.373"</f>
        <v>20:25:25.373</v>
      </c>
      <c r="U2065" t="str">
        <f t="shared" si="101"/>
        <v>AB01F4</v>
      </c>
      <c r="V2065">
        <v>0</v>
      </c>
      <c r="W2065">
        <v>0</v>
      </c>
      <c r="X2065">
        <v>2</v>
      </c>
      <c r="Z2065">
        <v>0</v>
      </c>
      <c r="AA2065">
        <v>9</v>
      </c>
      <c r="AB2065">
        <v>3</v>
      </c>
      <c r="AC2065">
        <v>0</v>
      </c>
      <c r="AD2065">
        <v>10</v>
      </c>
      <c r="AE2065">
        <v>0</v>
      </c>
      <c r="AF2065">
        <v>3</v>
      </c>
      <c r="AG2065">
        <v>2</v>
      </c>
      <c r="AH2065">
        <v>0</v>
      </c>
      <c r="AI2065" t="s">
        <v>1281</v>
      </c>
      <c r="AJ2065">
        <v>39.940022999999997</v>
      </c>
      <c r="AK2065" t="s">
        <v>1282</v>
      </c>
      <c r="AL2065">
        <v>-92.640989000000005</v>
      </c>
      <c r="AM2065">
        <v>100</v>
      </c>
      <c r="AN2065">
        <v>1700</v>
      </c>
      <c r="AO2065" t="s">
        <v>118</v>
      </c>
      <c r="AP2065">
        <v>-108</v>
      </c>
      <c r="AQ2065">
        <v>78</v>
      </c>
      <c r="AR2065">
        <v>-64</v>
      </c>
      <c r="AZ2065">
        <v>1200</v>
      </c>
      <c r="BA2065">
        <v>1</v>
      </c>
      <c r="BB2065" t="str">
        <f t="shared" si="100"/>
        <v xml:space="preserve">N8080G  </v>
      </c>
      <c r="BC2065">
        <v>1</v>
      </c>
      <c r="BE2065">
        <v>0</v>
      </c>
      <c r="BF2065">
        <v>0</v>
      </c>
      <c r="BG2065">
        <v>0</v>
      </c>
      <c r="BH2065">
        <v>1700</v>
      </c>
      <c r="BI2065">
        <v>1</v>
      </c>
      <c r="BJ2065">
        <v>1</v>
      </c>
      <c r="BK2065">
        <v>1</v>
      </c>
      <c r="BL2065">
        <v>0</v>
      </c>
      <c r="BO2065">
        <v>0</v>
      </c>
      <c r="BP2065">
        <v>0</v>
      </c>
      <c r="BW2065" t="str">
        <f>"20:25:25.774"</f>
        <v>20:25:25.774</v>
      </c>
      <c r="BZ2065">
        <v>0</v>
      </c>
      <c r="CA2065">
        <v>2016</v>
      </c>
      <c r="CB2065">
        <v>224</v>
      </c>
      <c r="CD2065">
        <v>1</v>
      </c>
      <c r="CE2065">
        <v>0</v>
      </c>
      <c r="CF2065">
        <v>0</v>
      </c>
      <c r="CG2065">
        <v>1</v>
      </c>
      <c r="CH2065">
        <v>0</v>
      </c>
      <c r="CI2065">
        <v>0</v>
      </c>
      <c r="CJ2065">
        <v>0</v>
      </c>
      <c r="CK2065">
        <v>2</v>
      </c>
      <c r="CL2065">
        <v>0</v>
      </c>
      <c r="CM2065">
        <v>2</v>
      </c>
      <c r="CN2065">
        <v>0</v>
      </c>
      <c r="CO2065">
        <v>2</v>
      </c>
      <c r="CP2065" t="s">
        <v>119</v>
      </c>
      <c r="CQ2065">
        <v>179</v>
      </c>
      <c r="CR2065">
        <v>1</v>
      </c>
      <c r="CW2065">
        <v>8868694</v>
      </c>
      <c r="CY2065">
        <v>1</v>
      </c>
      <c r="CZ2065">
        <v>0</v>
      </c>
      <c r="DA2065">
        <v>1</v>
      </c>
      <c r="DB2065">
        <v>0</v>
      </c>
      <c r="DC2065">
        <v>0</v>
      </c>
      <c r="DD2065">
        <v>0</v>
      </c>
      <c r="DE2065">
        <v>0</v>
      </c>
      <c r="DF2065">
        <v>0</v>
      </c>
      <c r="DG2065">
        <v>0</v>
      </c>
      <c r="DH2065">
        <v>0</v>
      </c>
      <c r="DI2065">
        <v>0</v>
      </c>
    </row>
    <row r="2066" spans="1:113" x14ac:dyDescent="0.3">
      <c r="A2066" t="str">
        <f>"02/08/2021 20:25:23.431"</f>
        <v>02/08/2021 20:25:23.431</v>
      </c>
      <c r="C2066" t="str">
        <f t="shared" si="99"/>
        <v>FFDFD7C0</v>
      </c>
      <c r="D2066" t="s">
        <v>113</v>
      </c>
      <c r="E2066">
        <v>6</v>
      </c>
      <c r="H2066">
        <v>165</v>
      </c>
      <c r="I2066" t="s">
        <v>114</v>
      </c>
      <c r="J2066" t="s">
        <v>115</v>
      </c>
      <c r="K2066">
        <v>0</v>
      </c>
      <c r="L2066">
        <v>3</v>
      </c>
      <c r="M2066">
        <v>0</v>
      </c>
      <c r="N2066">
        <v>2</v>
      </c>
      <c r="O2066">
        <v>1</v>
      </c>
      <c r="P2066">
        <v>0</v>
      </c>
      <c r="Q2066">
        <v>0</v>
      </c>
      <c r="S2066" t="str">
        <f>"20:25:25.773"</f>
        <v>20:25:25.773</v>
      </c>
      <c r="T2066" t="str">
        <f>"20:25:25.373"</f>
        <v>20:25:25.373</v>
      </c>
      <c r="U2066" t="str">
        <f t="shared" si="101"/>
        <v>AB01F4</v>
      </c>
      <c r="V2066">
        <v>0</v>
      </c>
      <c r="W2066">
        <v>0</v>
      </c>
      <c r="X2066">
        <v>2</v>
      </c>
      <c r="Z2066">
        <v>0</v>
      </c>
      <c r="AA2066">
        <v>9</v>
      </c>
      <c r="AB2066">
        <v>3</v>
      </c>
      <c r="AC2066">
        <v>0</v>
      </c>
      <c r="AD2066">
        <v>10</v>
      </c>
      <c r="AE2066">
        <v>0</v>
      </c>
      <c r="AF2066">
        <v>3</v>
      </c>
      <c r="AG2066">
        <v>2</v>
      </c>
      <c r="AH2066">
        <v>0</v>
      </c>
      <c r="AI2066" t="s">
        <v>1281</v>
      </c>
      <c r="AJ2066">
        <v>39.940022999999997</v>
      </c>
      <c r="AK2066" t="s">
        <v>1282</v>
      </c>
      <c r="AL2066">
        <v>-92.640989000000005</v>
      </c>
      <c r="AM2066">
        <v>100</v>
      </c>
      <c r="AN2066">
        <v>1700</v>
      </c>
      <c r="AO2066" t="s">
        <v>118</v>
      </c>
      <c r="AP2066">
        <v>-108</v>
      </c>
      <c r="AQ2066">
        <v>78</v>
      </c>
      <c r="AR2066">
        <v>-64</v>
      </c>
      <c r="AZ2066">
        <v>1200</v>
      </c>
      <c r="BA2066">
        <v>1</v>
      </c>
      <c r="BB2066" t="str">
        <f t="shared" si="100"/>
        <v xml:space="preserve">N8080G  </v>
      </c>
      <c r="BC2066">
        <v>1</v>
      </c>
      <c r="BE2066">
        <v>0</v>
      </c>
      <c r="BF2066">
        <v>0</v>
      </c>
      <c r="BG2066">
        <v>0</v>
      </c>
      <c r="BH2066">
        <v>1700</v>
      </c>
      <c r="BI2066">
        <v>1</v>
      </c>
      <c r="BJ2066">
        <v>1</v>
      </c>
      <c r="BK2066">
        <v>1</v>
      </c>
      <c r="BL2066">
        <v>0</v>
      </c>
      <c r="BO2066">
        <v>0</v>
      </c>
      <c r="BP2066">
        <v>0</v>
      </c>
      <c r="BW2066" t="str">
        <f>"20:25:25.774"</f>
        <v>20:25:25.774</v>
      </c>
      <c r="BZ2066">
        <v>0</v>
      </c>
      <c r="CA2066">
        <v>2016</v>
      </c>
      <c r="CB2066">
        <v>224</v>
      </c>
      <c r="CD2066">
        <v>1</v>
      </c>
      <c r="CE2066">
        <v>0</v>
      </c>
      <c r="CF2066">
        <v>0</v>
      </c>
      <c r="CG2066">
        <v>1</v>
      </c>
      <c r="CH2066">
        <v>0</v>
      </c>
      <c r="CI2066">
        <v>0</v>
      </c>
      <c r="CJ2066">
        <v>0</v>
      </c>
      <c r="CK2066">
        <v>2</v>
      </c>
      <c r="CL2066">
        <v>0</v>
      </c>
      <c r="CM2066">
        <v>2</v>
      </c>
      <c r="CN2066">
        <v>0</v>
      </c>
      <c r="CO2066">
        <v>2</v>
      </c>
      <c r="CP2066" t="s">
        <v>119</v>
      </c>
      <c r="CQ2066">
        <v>179</v>
      </c>
      <c r="CR2066">
        <v>1</v>
      </c>
      <c r="CW2066">
        <v>8868694</v>
      </c>
      <c r="CY2066">
        <v>1</v>
      </c>
      <c r="CZ2066">
        <v>0</v>
      </c>
      <c r="DA2066">
        <v>1</v>
      </c>
      <c r="DB2066">
        <v>0</v>
      </c>
      <c r="DC2066">
        <v>0</v>
      </c>
      <c r="DD2066">
        <v>0</v>
      </c>
      <c r="DE2066">
        <v>0</v>
      </c>
      <c r="DF2066">
        <v>0</v>
      </c>
      <c r="DG2066">
        <v>0</v>
      </c>
      <c r="DH2066">
        <v>0</v>
      </c>
      <c r="DI2066">
        <v>0</v>
      </c>
    </row>
    <row r="2067" spans="1:113" x14ac:dyDescent="0.3">
      <c r="A2067" t="str">
        <f>"02/08/2021 20:25:26.468"</f>
        <v>02/08/2021 20:25:26.468</v>
      </c>
      <c r="C2067" t="str">
        <f t="shared" si="99"/>
        <v>FFDFD7C0</v>
      </c>
      <c r="D2067" t="s">
        <v>124</v>
      </c>
      <c r="E2067">
        <v>13</v>
      </c>
      <c r="F2067">
        <v>1013</v>
      </c>
      <c r="G2067" t="s">
        <v>114</v>
      </c>
      <c r="J2067" t="s">
        <v>125</v>
      </c>
      <c r="K2067">
        <v>0</v>
      </c>
      <c r="L2067">
        <v>3</v>
      </c>
      <c r="M2067">
        <v>0</v>
      </c>
      <c r="N2067">
        <v>2</v>
      </c>
      <c r="O2067">
        <v>1</v>
      </c>
      <c r="P2067">
        <v>0</v>
      </c>
      <c r="Q2067">
        <v>0</v>
      </c>
      <c r="S2067" t="str">
        <f>"20:25:28.781"</f>
        <v>20:25:28.781</v>
      </c>
      <c r="T2067" t="str">
        <f>"20:25:28.281"</f>
        <v>20:25:28.281</v>
      </c>
      <c r="U2067" t="str">
        <f t="shared" si="101"/>
        <v>AB01F4</v>
      </c>
      <c r="V2067">
        <v>0</v>
      </c>
      <c r="W2067">
        <v>0</v>
      </c>
      <c r="X2067">
        <v>2</v>
      </c>
      <c r="Z2067">
        <v>0</v>
      </c>
      <c r="AA2067">
        <v>9</v>
      </c>
      <c r="AB2067">
        <v>3</v>
      </c>
      <c r="AC2067">
        <v>0</v>
      </c>
      <c r="AD2067">
        <v>10</v>
      </c>
      <c r="AE2067">
        <v>0</v>
      </c>
      <c r="AF2067">
        <v>3</v>
      </c>
      <c r="AG2067">
        <v>2</v>
      </c>
      <c r="AH2067">
        <v>0</v>
      </c>
      <c r="AI2067" t="s">
        <v>1283</v>
      </c>
      <c r="AJ2067">
        <v>39.941118000000003</v>
      </c>
      <c r="AK2067" t="s">
        <v>1284</v>
      </c>
      <c r="AL2067">
        <v>-92.642940999999993</v>
      </c>
      <c r="AM2067">
        <v>100</v>
      </c>
      <c r="AN2067">
        <v>1700</v>
      </c>
      <c r="AO2067" t="s">
        <v>118</v>
      </c>
      <c r="AP2067">
        <v>-108</v>
      </c>
      <c r="AQ2067">
        <v>79</v>
      </c>
      <c r="AR2067">
        <v>0</v>
      </c>
      <c r="AZ2067">
        <v>1200</v>
      </c>
      <c r="BA2067">
        <v>1</v>
      </c>
      <c r="BB2067" t="str">
        <f t="shared" si="100"/>
        <v xml:space="preserve">N8080G  </v>
      </c>
      <c r="BC2067">
        <v>1</v>
      </c>
      <c r="BE2067">
        <v>0</v>
      </c>
      <c r="BF2067">
        <v>0</v>
      </c>
      <c r="BG2067">
        <v>0</v>
      </c>
      <c r="BH2067">
        <v>1700</v>
      </c>
      <c r="BI2067">
        <v>1</v>
      </c>
      <c r="BJ2067">
        <v>1</v>
      </c>
      <c r="BK2067">
        <v>1</v>
      </c>
      <c r="BL2067">
        <v>0</v>
      </c>
      <c r="BO2067">
        <v>0</v>
      </c>
      <c r="BP2067">
        <v>0</v>
      </c>
      <c r="BW2067" t="str">
        <f>"20:25:28.788"</f>
        <v>20:25:28.788</v>
      </c>
      <c r="BZ2067">
        <v>0</v>
      </c>
      <c r="CA2067">
        <v>2016</v>
      </c>
      <c r="CB2067">
        <v>224</v>
      </c>
      <c r="CD2067">
        <v>1</v>
      </c>
      <c r="CE2067">
        <v>0</v>
      </c>
      <c r="CF2067">
        <v>0</v>
      </c>
      <c r="CG2067">
        <v>1</v>
      </c>
      <c r="CH2067">
        <v>0</v>
      </c>
      <c r="CI2067">
        <v>0</v>
      </c>
      <c r="CJ2067">
        <v>0</v>
      </c>
      <c r="CK2067">
        <v>2</v>
      </c>
      <c r="CL2067">
        <v>0</v>
      </c>
      <c r="CM2067">
        <v>2</v>
      </c>
      <c r="CN2067">
        <v>0</v>
      </c>
      <c r="CO2067">
        <v>2</v>
      </c>
      <c r="CP2067" t="s">
        <v>119</v>
      </c>
      <c r="CQ2067">
        <v>179</v>
      </c>
      <c r="CR2067">
        <v>1</v>
      </c>
      <c r="CW2067">
        <v>8871395</v>
      </c>
      <c r="CY2067">
        <v>1</v>
      </c>
      <c r="CZ2067">
        <v>0</v>
      </c>
      <c r="DA2067">
        <v>0</v>
      </c>
      <c r="DB2067">
        <v>0</v>
      </c>
      <c r="DC2067">
        <v>0</v>
      </c>
      <c r="DD2067">
        <v>0</v>
      </c>
      <c r="DE2067">
        <v>0</v>
      </c>
      <c r="DF2067">
        <v>0</v>
      </c>
      <c r="DG2067">
        <v>0</v>
      </c>
      <c r="DH2067">
        <v>0</v>
      </c>
      <c r="DI2067">
        <v>0</v>
      </c>
    </row>
    <row r="2068" spans="1:113" x14ac:dyDescent="0.3">
      <c r="A2068" t="str">
        <f>"02/08/2021 20:25:26.468"</f>
        <v>02/08/2021 20:25:26.468</v>
      </c>
      <c r="C2068" t="str">
        <f t="shared" si="99"/>
        <v>FFDFD7C0</v>
      </c>
      <c r="D2068" t="s">
        <v>124</v>
      </c>
      <c r="E2068">
        <v>11</v>
      </c>
      <c r="F2068">
        <v>1011</v>
      </c>
      <c r="G2068" t="s">
        <v>590</v>
      </c>
      <c r="J2068" t="s">
        <v>125</v>
      </c>
      <c r="K2068">
        <v>0</v>
      </c>
      <c r="L2068">
        <v>3</v>
      </c>
      <c r="M2068">
        <v>0</v>
      </c>
      <c r="N2068">
        <v>2</v>
      </c>
      <c r="O2068">
        <v>1</v>
      </c>
      <c r="P2068">
        <v>0</v>
      </c>
      <c r="Q2068">
        <v>0</v>
      </c>
      <c r="S2068" t="str">
        <f>"20:25:28.781"</f>
        <v>20:25:28.781</v>
      </c>
      <c r="T2068" t="str">
        <f>"20:25:28.281"</f>
        <v>20:25:28.281</v>
      </c>
      <c r="U2068" t="str">
        <f t="shared" si="101"/>
        <v>AB01F4</v>
      </c>
      <c r="V2068">
        <v>0</v>
      </c>
      <c r="W2068">
        <v>0</v>
      </c>
      <c r="X2068">
        <v>2</v>
      </c>
      <c r="Z2068">
        <v>0</v>
      </c>
      <c r="AA2068">
        <v>9</v>
      </c>
      <c r="AB2068">
        <v>3</v>
      </c>
      <c r="AC2068">
        <v>0</v>
      </c>
      <c r="AD2068">
        <v>10</v>
      </c>
      <c r="AE2068">
        <v>0</v>
      </c>
      <c r="AF2068">
        <v>3</v>
      </c>
      <c r="AG2068">
        <v>2</v>
      </c>
      <c r="AH2068">
        <v>0</v>
      </c>
      <c r="AI2068" t="s">
        <v>1283</v>
      </c>
      <c r="AJ2068">
        <v>39.941118000000003</v>
      </c>
      <c r="AK2068" t="s">
        <v>1284</v>
      </c>
      <c r="AL2068">
        <v>-92.642940999999993</v>
      </c>
      <c r="AM2068">
        <v>100</v>
      </c>
      <c r="AN2068">
        <v>1700</v>
      </c>
      <c r="AO2068" t="s">
        <v>118</v>
      </c>
      <c r="AP2068">
        <v>-108</v>
      </c>
      <c r="AQ2068">
        <v>79</v>
      </c>
      <c r="AR2068">
        <v>0</v>
      </c>
      <c r="AZ2068">
        <v>1200</v>
      </c>
      <c r="BA2068">
        <v>1</v>
      </c>
      <c r="BB2068" t="str">
        <f t="shared" si="100"/>
        <v xml:space="preserve">N8080G  </v>
      </c>
      <c r="BC2068">
        <v>1</v>
      </c>
      <c r="BE2068">
        <v>0</v>
      </c>
      <c r="BF2068">
        <v>0</v>
      </c>
      <c r="BG2068">
        <v>0</v>
      </c>
      <c r="BH2068">
        <v>1700</v>
      </c>
      <c r="BI2068">
        <v>1</v>
      </c>
      <c r="BJ2068">
        <v>1</v>
      </c>
      <c r="BK2068">
        <v>1</v>
      </c>
      <c r="BL2068">
        <v>0</v>
      </c>
      <c r="BO2068">
        <v>0</v>
      </c>
      <c r="BP2068">
        <v>0</v>
      </c>
      <c r="BW2068" t="str">
        <f>"20:25:28.788"</f>
        <v>20:25:28.788</v>
      </c>
      <c r="BZ2068">
        <v>0</v>
      </c>
      <c r="CA2068">
        <v>2016</v>
      </c>
      <c r="CB2068">
        <v>224</v>
      </c>
      <c r="CD2068">
        <v>1</v>
      </c>
      <c r="CE2068">
        <v>0</v>
      </c>
      <c r="CF2068">
        <v>0</v>
      </c>
      <c r="CG2068">
        <v>1</v>
      </c>
      <c r="CH2068">
        <v>0</v>
      </c>
      <c r="CI2068">
        <v>0</v>
      </c>
      <c r="CJ2068">
        <v>0</v>
      </c>
      <c r="CK2068">
        <v>2</v>
      </c>
      <c r="CL2068">
        <v>0</v>
      </c>
      <c r="CM2068">
        <v>2</v>
      </c>
      <c r="CN2068">
        <v>0</v>
      </c>
      <c r="CO2068">
        <v>2</v>
      </c>
      <c r="CP2068" t="s">
        <v>119</v>
      </c>
      <c r="CQ2068">
        <v>179</v>
      </c>
      <c r="CR2068">
        <v>1</v>
      </c>
      <c r="CW2068">
        <v>8871395</v>
      </c>
      <c r="CY2068">
        <v>1</v>
      </c>
      <c r="CZ2068">
        <v>0</v>
      </c>
      <c r="DA2068">
        <v>1</v>
      </c>
      <c r="DB2068">
        <v>0</v>
      </c>
      <c r="DC2068">
        <v>0</v>
      </c>
      <c r="DD2068">
        <v>0</v>
      </c>
      <c r="DE2068">
        <v>0</v>
      </c>
      <c r="DF2068">
        <v>0</v>
      </c>
      <c r="DG2068">
        <v>0</v>
      </c>
      <c r="DH2068">
        <v>0</v>
      </c>
      <c r="DI2068">
        <v>0</v>
      </c>
    </row>
    <row r="2069" spans="1:113" x14ac:dyDescent="0.3">
      <c r="A2069" t="str">
        <f>"02/08/2021 20:25:26.468"</f>
        <v>02/08/2021 20:25:26.468</v>
      </c>
      <c r="C2069" t="str">
        <f t="shared" si="99"/>
        <v>FFDFD7C0</v>
      </c>
      <c r="D2069" t="s">
        <v>113</v>
      </c>
      <c r="E2069">
        <v>6</v>
      </c>
      <c r="H2069">
        <v>165</v>
      </c>
      <c r="I2069" t="s">
        <v>114</v>
      </c>
      <c r="J2069" t="s">
        <v>115</v>
      </c>
      <c r="K2069">
        <v>0</v>
      </c>
      <c r="L2069">
        <v>3</v>
      </c>
      <c r="M2069">
        <v>0</v>
      </c>
      <c r="N2069">
        <v>2</v>
      </c>
      <c r="O2069">
        <v>1</v>
      </c>
      <c r="P2069">
        <v>0</v>
      </c>
      <c r="Q2069">
        <v>0</v>
      </c>
      <c r="S2069" t="str">
        <f>"20:25:28.781"</f>
        <v>20:25:28.781</v>
      </c>
      <c r="T2069" t="str">
        <f>"20:25:28.281"</f>
        <v>20:25:28.281</v>
      </c>
      <c r="U2069" t="str">
        <f t="shared" si="101"/>
        <v>AB01F4</v>
      </c>
      <c r="V2069">
        <v>0</v>
      </c>
      <c r="W2069">
        <v>0</v>
      </c>
      <c r="X2069">
        <v>2</v>
      </c>
      <c r="Z2069">
        <v>0</v>
      </c>
      <c r="AA2069">
        <v>9</v>
      </c>
      <c r="AB2069">
        <v>3</v>
      </c>
      <c r="AC2069">
        <v>0</v>
      </c>
      <c r="AD2069">
        <v>10</v>
      </c>
      <c r="AE2069">
        <v>0</v>
      </c>
      <c r="AF2069">
        <v>3</v>
      </c>
      <c r="AG2069">
        <v>2</v>
      </c>
      <c r="AH2069">
        <v>0</v>
      </c>
      <c r="AI2069" t="s">
        <v>1283</v>
      </c>
      <c r="AJ2069">
        <v>39.941118000000003</v>
      </c>
      <c r="AK2069" t="s">
        <v>1284</v>
      </c>
      <c r="AL2069">
        <v>-92.642940999999993</v>
      </c>
      <c r="AM2069">
        <v>100</v>
      </c>
      <c r="AN2069">
        <v>1700</v>
      </c>
      <c r="AO2069" t="s">
        <v>118</v>
      </c>
      <c r="AP2069">
        <v>-108</v>
      </c>
      <c r="AQ2069">
        <v>79</v>
      </c>
      <c r="AR2069">
        <v>0</v>
      </c>
      <c r="AZ2069">
        <v>1200</v>
      </c>
      <c r="BA2069">
        <v>1</v>
      </c>
      <c r="BB2069" t="str">
        <f t="shared" si="100"/>
        <v xml:space="preserve">N8080G  </v>
      </c>
      <c r="BC2069">
        <v>1</v>
      </c>
      <c r="BE2069">
        <v>0</v>
      </c>
      <c r="BF2069">
        <v>0</v>
      </c>
      <c r="BG2069">
        <v>0</v>
      </c>
      <c r="BH2069">
        <v>1700</v>
      </c>
      <c r="BI2069">
        <v>1</v>
      </c>
      <c r="BJ2069">
        <v>1</v>
      </c>
      <c r="BK2069">
        <v>1</v>
      </c>
      <c r="BL2069">
        <v>0</v>
      </c>
      <c r="BO2069">
        <v>0</v>
      </c>
      <c r="BP2069">
        <v>0</v>
      </c>
      <c r="BW2069" t="str">
        <f>"20:25:28.788"</f>
        <v>20:25:28.788</v>
      </c>
      <c r="BZ2069">
        <v>0</v>
      </c>
      <c r="CA2069">
        <v>2016</v>
      </c>
      <c r="CB2069">
        <v>224</v>
      </c>
      <c r="CD2069">
        <v>1</v>
      </c>
      <c r="CE2069">
        <v>0</v>
      </c>
      <c r="CF2069">
        <v>0</v>
      </c>
      <c r="CG2069">
        <v>1</v>
      </c>
      <c r="CH2069">
        <v>0</v>
      </c>
      <c r="CI2069">
        <v>0</v>
      </c>
      <c r="CJ2069">
        <v>0</v>
      </c>
      <c r="CK2069">
        <v>2</v>
      </c>
      <c r="CL2069">
        <v>0</v>
      </c>
      <c r="CM2069">
        <v>2</v>
      </c>
      <c r="CN2069">
        <v>0</v>
      </c>
      <c r="CO2069">
        <v>2</v>
      </c>
      <c r="CP2069" t="s">
        <v>119</v>
      </c>
      <c r="CQ2069">
        <v>179</v>
      </c>
      <c r="CR2069">
        <v>1</v>
      </c>
      <c r="CW2069">
        <v>8871395</v>
      </c>
      <c r="CY2069">
        <v>1</v>
      </c>
      <c r="CZ2069">
        <v>0</v>
      </c>
      <c r="DA2069">
        <v>1</v>
      </c>
      <c r="DB2069">
        <v>0</v>
      </c>
      <c r="DC2069">
        <v>0</v>
      </c>
      <c r="DD2069">
        <v>0</v>
      </c>
      <c r="DE2069">
        <v>0</v>
      </c>
      <c r="DF2069">
        <v>0</v>
      </c>
      <c r="DG2069">
        <v>0</v>
      </c>
      <c r="DH2069">
        <v>0</v>
      </c>
      <c r="DI2069">
        <v>0</v>
      </c>
    </row>
    <row r="2070" spans="1:113" x14ac:dyDescent="0.3">
      <c r="A2070" t="str">
        <f>"02/08/2021 20:25:26.468"</f>
        <v>02/08/2021 20:25:26.468</v>
      </c>
      <c r="C2070" t="str">
        <f t="shared" si="99"/>
        <v>FFDFD7C0</v>
      </c>
      <c r="D2070" t="s">
        <v>124</v>
      </c>
      <c r="E2070">
        <v>12</v>
      </c>
      <c r="F2070">
        <v>1012</v>
      </c>
      <c r="G2070" t="s">
        <v>675</v>
      </c>
      <c r="J2070" t="s">
        <v>125</v>
      </c>
      <c r="K2070">
        <v>0</v>
      </c>
      <c r="L2070">
        <v>3</v>
      </c>
      <c r="M2070">
        <v>0</v>
      </c>
      <c r="N2070">
        <v>2</v>
      </c>
      <c r="O2070">
        <v>1</v>
      </c>
      <c r="P2070">
        <v>0</v>
      </c>
      <c r="Q2070">
        <v>0</v>
      </c>
      <c r="S2070" t="str">
        <f>"20:25:28.781"</f>
        <v>20:25:28.781</v>
      </c>
      <c r="T2070" t="str">
        <f>"20:25:28.281"</f>
        <v>20:25:28.281</v>
      </c>
      <c r="U2070" t="str">
        <f t="shared" si="101"/>
        <v>AB01F4</v>
      </c>
      <c r="V2070">
        <v>0</v>
      </c>
      <c r="W2070">
        <v>0</v>
      </c>
      <c r="X2070">
        <v>2</v>
      </c>
      <c r="Z2070">
        <v>0</v>
      </c>
      <c r="AA2070">
        <v>9</v>
      </c>
      <c r="AB2070">
        <v>3</v>
      </c>
      <c r="AC2070">
        <v>0</v>
      </c>
      <c r="AD2070">
        <v>10</v>
      </c>
      <c r="AE2070">
        <v>0</v>
      </c>
      <c r="AF2070">
        <v>3</v>
      </c>
      <c r="AG2070">
        <v>2</v>
      </c>
      <c r="AH2070">
        <v>0</v>
      </c>
      <c r="AI2070" t="s">
        <v>1283</v>
      </c>
      <c r="AJ2070">
        <v>39.941118000000003</v>
      </c>
      <c r="AK2070" t="s">
        <v>1284</v>
      </c>
      <c r="AL2070">
        <v>-92.642940999999993</v>
      </c>
      <c r="AM2070">
        <v>100</v>
      </c>
      <c r="AN2070">
        <v>1700</v>
      </c>
      <c r="AO2070" t="s">
        <v>118</v>
      </c>
      <c r="AP2070">
        <v>-108</v>
      </c>
      <c r="AQ2070">
        <v>79</v>
      </c>
      <c r="AR2070">
        <v>0</v>
      </c>
      <c r="AZ2070">
        <v>1200</v>
      </c>
      <c r="BA2070">
        <v>1</v>
      </c>
      <c r="BB2070" t="str">
        <f t="shared" si="100"/>
        <v xml:space="preserve">N8080G  </v>
      </c>
      <c r="BC2070">
        <v>1</v>
      </c>
      <c r="BE2070">
        <v>0</v>
      </c>
      <c r="BF2070">
        <v>0</v>
      </c>
      <c r="BG2070">
        <v>0</v>
      </c>
      <c r="BH2070">
        <v>1700</v>
      </c>
      <c r="BI2070">
        <v>1</v>
      </c>
      <c r="BJ2070">
        <v>1</v>
      </c>
      <c r="BK2070">
        <v>1</v>
      </c>
      <c r="BL2070">
        <v>0</v>
      </c>
      <c r="BO2070">
        <v>0</v>
      </c>
      <c r="BP2070">
        <v>0</v>
      </c>
      <c r="BW2070" t="str">
        <f>"20:25:28.788"</f>
        <v>20:25:28.788</v>
      </c>
      <c r="BZ2070">
        <v>0</v>
      </c>
      <c r="CA2070">
        <v>2016</v>
      </c>
      <c r="CB2070">
        <v>224</v>
      </c>
      <c r="CD2070">
        <v>1</v>
      </c>
      <c r="CE2070">
        <v>0</v>
      </c>
      <c r="CF2070">
        <v>0</v>
      </c>
      <c r="CG2070">
        <v>1</v>
      </c>
      <c r="CH2070">
        <v>0</v>
      </c>
      <c r="CI2070">
        <v>0</v>
      </c>
      <c r="CJ2070">
        <v>0</v>
      </c>
      <c r="CK2070">
        <v>2</v>
      </c>
      <c r="CL2070">
        <v>0</v>
      </c>
      <c r="CM2070">
        <v>2</v>
      </c>
      <c r="CN2070">
        <v>0</v>
      </c>
      <c r="CO2070">
        <v>2</v>
      </c>
      <c r="CP2070" t="s">
        <v>119</v>
      </c>
      <c r="CQ2070">
        <v>179</v>
      </c>
      <c r="CR2070">
        <v>1</v>
      </c>
      <c r="CW2070">
        <v>8871395</v>
      </c>
      <c r="CY2070">
        <v>1</v>
      </c>
      <c r="CZ2070">
        <v>0</v>
      </c>
      <c r="DA2070">
        <v>1</v>
      </c>
      <c r="DB2070">
        <v>0</v>
      </c>
      <c r="DC2070">
        <v>0</v>
      </c>
      <c r="DD2070">
        <v>0</v>
      </c>
      <c r="DE2070">
        <v>0</v>
      </c>
      <c r="DF2070">
        <v>0</v>
      </c>
      <c r="DG2070">
        <v>0</v>
      </c>
      <c r="DH2070">
        <v>0</v>
      </c>
      <c r="DI2070">
        <v>0</v>
      </c>
    </row>
    <row r="2071" spans="1:113" x14ac:dyDescent="0.3">
      <c r="A2071" t="str">
        <f>"02/08/2021 20:25:27.421"</f>
        <v>02/08/2021 20:25:27.421</v>
      </c>
      <c r="C2071" t="str">
        <f t="shared" si="99"/>
        <v>FFDFD7C0</v>
      </c>
      <c r="D2071" t="s">
        <v>124</v>
      </c>
      <c r="E2071">
        <v>13</v>
      </c>
      <c r="F2071">
        <v>1013</v>
      </c>
      <c r="G2071" t="s">
        <v>114</v>
      </c>
      <c r="J2071" t="s">
        <v>125</v>
      </c>
      <c r="K2071">
        <v>0</v>
      </c>
      <c r="L2071">
        <v>3</v>
      </c>
      <c r="M2071">
        <v>0</v>
      </c>
      <c r="N2071">
        <v>2</v>
      </c>
      <c r="O2071">
        <v>1</v>
      </c>
      <c r="P2071">
        <v>0</v>
      </c>
      <c r="Q2071">
        <v>0</v>
      </c>
      <c r="S2071" t="str">
        <f>"20:25:29.766"</f>
        <v>20:25:29.766</v>
      </c>
      <c r="T2071" t="str">
        <f>"20:25:29.366"</f>
        <v>20:25:29.366</v>
      </c>
      <c r="U2071" t="str">
        <f t="shared" si="101"/>
        <v>AB01F4</v>
      </c>
      <c r="V2071">
        <v>0</v>
      </c>
      <c r="W2071">
        <v>0</v>
      </c>
      <c r="X2071">
        <v>2</v>
      </c>
      <c r="Z2071">
        <v>0</v>
      </c>
      <c r="AA2071">
        <v>9</v>
      </c>
      <c r="AB2071">
        <v>3</v>
      </c>
      <c r="AC2071">
        <v>0</v>
      </c>
      <c r="AD2071">
        <v>10</v>
      </c>
      <c r="AE2071">
        <v>0</v>
      </c>
      <c r="AF2071">
        <v>3</v>
      </c>
      <c r="AG2071">
        <v>2</v>
      </c>
      <c r="AH2071">
        <v>0</v>
      </c>
      <c r="AI2071" t="s">
        <v>1285</v>
      </c>
      <c r="AJ2071">
        <v>39.941482999999998</v>
      </c>
      <c r="AK2071" t="s">
        <v>1286</v>
      </c>
      <c r="AL2071">
        <v>-92.643563999999998</v>
      </c>
      <c r="AM2071">
        <v>100</v>
      </c>
      <c r="AN2071">
        <v>1700</v>
      </c>
      <c r="AO2071" t="s">
        <v>118</v>
      </c>
      <c r="AP2071">
        <v>-108</v>
      </c>
      <c r="AQ2071">
        <v>79</v>
      </c>
      <c r="AR2071">
        <v>0</v>
      </c>
      <c r="AZ2071">
        <v>1200</v>
      </c>
      <c r="BA2071">
        <v>1</v>
      </c>
      <c r="BB2071" t="str">
        <f t="shared" si="100"/>
        <v xml:space="preserve">N8080G  </v>
      </c>
      <c r="BC2071">
        <v>1</v>
      </c>
      <c r="BE2071">
        <v>0</v>
      </c>
      <c r="BF2071">
        <v>0</v>
      </c>
      <c r="BG2071">
        <v>0</v>
      </c>
      <c r="BH2071">
        <v>1700</v>
      </c>
      <c r="BI2071">
        <v>1</v>
      </c>
      <c r="BJ2071">
        <v>1</v>
      </c>
      <c r="BK2071">
        <v>1</v>
      </c>
      <c r="BL2071">
        <v>0</v>
      </c>
      <c r="BO2071">
        <v>0</v>
      </c>
      <c r="BP2071">
        <v>0</v>
      </c>
      <c r="BW2071" t="str">
        <f>"20:25:29.770"</f>
        <v>20:25:29.770</v>
      </c>
      <c r="BZ2071">
        <v>0</v>
      </c>
      <c r="CA2071">
        <v>2016</v>
      </c>
      <c r="CB2071">
        <v>224</v>
      </c>
      <c r="CD2071">
        <v>1</v>
      </c>
      <c r="CE2071">
        <v>0</v>
      </c>
      <c r="CF2071">
        <v>0</v>
      </c>
      <c r="CG2071">
        <v>1</v>
      </c>
      <c r="CH2071">
        <v>0</v>
      </c>
      <c r="CI2071">
        <v>0</v>
      </c>
      <c r="CJ2071">
        <v>0</v>
      </c>
      <c r="CK2071">
        <v>2</v>
      </c>
      <c r="CL2071">
        <v>0</v>
      </c>
      <c r="CM2071">
        <v>2</v>
      </c>
      <c r="CN2071">
        <v>0</v>
      </c>
      <c r="CO2071">
        <v>7</v>
      </c>
      <c r="CP2071" t="s">
        <v>119</v>
      </c>
      <c r="CQ2071">
        <v>180</v>
      </c>
      <c r="CR2071">
        <v>2</v>
      </c>
      <c r="CW2071">
        <v>8432953</v>
      </c>
      <c r="CY2071">
        <v>1</v>
      </c>
      <c r="CZ2071">
        <v>0</v>
      </c>
      <c r="DA2071">
        <v>0</v>
      </c>
      <c r="DB2071">
        <v>0</v>
      </c>
      <c r="DC2071">
        <v>0</v>
      </c>
      <c r="DD2071">
        <v>0</v>
      </c>
      <c r="DE2071">
        <v>0</v>
      </c>
      <c r="DF2071">
        <v>0</v>
      </c>
      <c r="DG2071">
        <v>0</v>
      </c>
      <c r="DH2071">
        <v>0</v>
      </c>
      <c r="DI2071">
        <v>0</v>
      </c>
    </row>
    <row r="2072" spans="1:113" x14ac:dyDescent="0.3">
      <c r="A2072" t="str">
        <f>"02/08/2021 20:25:27.421"</f>
        <v>02/08/2021 20:25:27.421</v>
      </c>
      <c r="C2072" t="str">
        <f t="shared" si="99"/>
        <v>FFDFD7C0</v>
      </c>
      <c r="D2072" t="s">
        <v>124</v>
      </c>
      <c r="E2072">
        <v>11</v>
      </c>
      <c r="F2072">
        <v>1011</v>
      </c>
      <c r="G2072" t="s">
        <v>590</v>
      </c>
      <c r="J2072" t="s">
        <v>125</v>
      </c>
      <c r="K2072">
        <v>0</v>
      </c>
      <c r="L2072">
        <v>3</v>
      </c>
      <c r="M2072">
        <v>0</v>
      </c>
      <c r="N2072">
        <v>2</v>
      </c>
      <c r="O2072">
        <v>1</v>
      </c>
      <c r="P2072">
        <v>0</v>
      </c>
      <c r="Q2072">
        <v>0</v>
      </c>
      <c r="S2072" t="str">
        <f>"20:25:29.766"</f>
        <v>20:25:29.766</v>
      </c>
      <c r="T2072" t="str">
        <f>"20:25:29.366"</f>
        <v>20:25:29.366</v>
      </c>
      <c r="U2072" t="str">
        <f t="shared" si="101"/>
        <v>AB01F4</v>
      </c>
      <c r="V2072">
        <v>0</v>
      </c>
      <c r="W2072">
        <v>0</v>
      </c>
      <c r="X2072">
        <v>2</v>
      </c>
      <c r="Z2072">
        <v>0</v>
      </c>
      <c r="AA2072">
        <v>9</v>
      </c>
      <c r="AB2072">
        <v>3</v>
      </c>
      <c r="AC2072">
        <v>0</v>
      </c>
      <c r="AD2072">
        <v>10</v>
      </c>
      <c r="AE2072">
        <v>0</v>
      </c>
      <c r="AF2072">
        <v>3</v>
      </c>
      <c r="AG2072">
        <v>2</v>
      </c>
      <c r="AH2072">
        <v>0</v>
      </c>
      <c r="AI2072" t="s">
        <v>1285</v>
      </c>
      <c r="AJ2072">
        <v>39.941482999999998</v>
      </c>
      <c r="AK2072" t="s">
        <v>1286</v>
      </c>
      <c r="AL2072">
        <v>-92.643563999999998</v>
      </c>
      <c r="AM2072">
        <v>100</v>
      </c>
      <c r="AN2072">
        <v>1700</v>
      </c>
      <c r="AO2072" t="s">
        <v>118</v>
      </c>
      <c r="AP2072">
        <v>-108</v>
      </c>
      <c r="AQ2072">
        <v>79</v>
      </c>
      <c r="AR2072">
        <v>0</v>
      </c>
      <c r="AZ2072">
        <v>1200</v>
      </c>
      <c r="BA2072">
        <v>1</v>
      </c>
      <c r="BB2072" t="str">
        <f t="shared" si="100"/>
        <v xml:space="preserve">N8080G  </v>
      </c>
      <c r="BC2072">
        <v>1</v>
      </c>
      <c r="BE2072">
        <v>0</v>
      </c>
      <c r="BF2072">
        <v>0</v>
      </c>
      <c r="BG2072">
        <v>0</v>
      </c>
      <c r="BH2072">
        <v>1700</v>
      </c>
      <c r="BI2072">
        <v>1</v>
      </c>
      <c r="BJ2072">
        <v>1</v>
      </c>
      <c r="BK2072">
        <v>1</v>
      </c>
      <c r="BL2072">
        <v>0</v>
      </c>
      <c r="BO2072">
        <v>0</v>
      </c>
      <c r="BP2072">
        <v>0</v>
      </c>
      <c r="BW2072" t="str">
        <f>"20:25:29.770"</f>
        <v>20:25:29.770</v>
      </c>
      <c r="BZ2072">
        <v>0</v>
      </c>
      <c r="CA2072">
        <v>2016</v>
      </c>
      <c r="CB2072">
        <v>224</v>
      </c>
      <c r="CD2072">
        <v>1</v>
      </c>
      <c r="CE2072">
        <v>0</v>
      </c>
      <c r="CF2072">
        <v>0</v>
      </c>
      <c r="CG2072">
        <v>1</v>
      </c>
      <c r="CH2072">
        <v>0</v>
      </c>
      <c r="CI2072">
        <v>0</v>
      </c>
      <c r="CJ2072">
        <v>0</v>
      </c>
      <c r="CK2072">
        <v>2</v>
      </c>
      <c r="CL2072">
        <v>0</v>
      </c>
      <c r="CM2072">
        <v>2</v>
      </c>
      <c r="CN2072">
        <v>0</v>
      </c>
      <c r="CO2072">
        <v>7</v>
      </c>
      <c r="CP2072" t="s">
        <v>119</v>
      </c>
      <c r="CQ2072">
        <v>180</v>
      </c>
      <c r="CR2072">
        <v>2</v>
      </c>
      <c r="CW2072">
        <v>8432953</v>
      </c>
      <c r="CY2072">
        <v>1</v>
      </c>
      <c r="CZ2072">
        <v>0</v>
      </c>
      <c r="DA2072">
        <v>1</v>
      </c>
      <c r="DB2072">
        <v>0</v>
      </c>
      <c r="DC2072">
        <v>0</v>
      </c>
      <c r="DD2072">
        <v>0</v>
      </c>
      <c r="DE2072">
        <v>0</v>
      </c>
      <c r="DF2072">
        <v>0</v>
      </c>
      <c r="DG2072">
        <v>0</v>
      </c>
      <c r="DH2072">
        <v>0</v>
      </c>
      <c r="DI2072">
        <v>0</v>
      </c>
    </row>
    <row r="2073" spans="1:113" x14ac:dyDescent="0.3">
      <c r="A2073" t="str">
        <f>"02/08/2021 20:25:27.421"</f>
        <v>02/08/2021 20:25:27.421</v>
      </c>
      <c r="C2073" t="str">
        <f t="shared" si="99"/>
        <v>FFDFD7C0</v>
      </c>
      <c r="D2073" t="s">
        <v>113</v>
      </c>
      <c r="E2073">
        <v>6</v>
      </c>
      <c r="H2073">
        <v>165</v>
      </c>
      <c r="I2073" t="s">
        <v>114</v>
      </c>
      <c r="J2073" t="s">
        <v>115</v>
      </c>
      <c r="K2073">
        <v>0</v>
      </c>
      <c r="L2073">
        <v>3</v>
      </c>
      <c r="M2073">
        <v>0</v>
      </c>
      <c r="N2073">
        <v>2</v>
      </c>
      <c r="O2073">
        <v>1</v>
      </c>
      <c r="P2073">
        <v>0</v>
      </c>
      <c r="Q2073">
        <v>0</v>
      </c>
      <c r="S2073" t="str">
        <f>"20:25:29.766"</f>
        <v>20:25:29.766</v>
      </c>
      <c r="T2073" t="str">
        <f>"20:25:29.366"</f>
        <v>20:25:29.366</v>
      </c>
      <c r="U2073" t="str">
        <f t="shared" si="101"/>
        <v>AB01F4</v>
      </c>
      <c r="V2073">
        <v>0</v>
      </c>
      <c r="W2073">
        <v>0</v>
      </c>
      <c r="X2073">
        <v>2</v>
      </c>
      <c r="Z2073">
        <v>0</v>
      </c>
      <c r="AA2073">
        <v>9</v>
      </c>
      <c r="AB2073">
        <v>3</v>
      </c>
      <c r="AC2073">
        <v>0</v>
      </c>
      <c r="AD2073">
        <v>10</v>
      </c>
      <c r="AE2073">
        <v>0</v>
      </c>
      <c r="AF2073">
        <v>3</v>
      </c>
      <c r="AG2073">
        <v>2</v>
      </c>
      <c r="AH2073">
        <v>0</v>
      </c>
      <c r="AI2073" t="s">
        <v>1285</v>
      </c>
      <c r="AJ2073">
        <v>39.941482999999998</v>
      </c>
      <c r="AK2073" t="s">
        <v>1286</v>
      </c>
      <c r="AL2073">
        <v>-92.643563999999998</v>
      </c>
      <c r="AM2073">
        <v>100</v>
      </c>
      <c r="AN2073">
        <v>1700</v>
      </c>
      <c r="AO2073" t="s">
        <v>118</v>
      </c>
      <c r="AP2073">
        <v>-108</v>
      </c>
      <c r="AQ2073">
        <v>79</v>
      </c>
      <c r="AR2073">
        <v>0</v>
      </c>
      <c r="AZ2073">
        <v>1200</v>
      </c>
      <c r="BA2073">
        <v>1</v>
      </c>
      <c r="BB2073" t="str">
        <f t="shared" si="100"/>
        <v xml:space="preserve">N8080G  </v>
      </c>
      <c r="BC2073">
        <v>1</v>
      </c>
      <c r="BE2073">
        <v>0</v>
      </c>
      <c r="BF2073">
        <v>0</v>
      </c>
      <c r="BG2073">
        <v>0</v>
      </c>
      <c r="BH2073">
        <v>1700</v>
      </c>
      <c r="BI2073">
        <v>1</v>
      </c>
      <c r="BJ2073">
        <v>1</v>
      </c>
      <c r="BK2073">
        <v>1</v>
      </c>
      <c r="BL2073">
        <v>0</v>
      </c>
      <c r="BO2073">
        <v>0</v>
      </c>
      <c r="BP2073">
        <v>0</v>
      </c>
      <c r="BW2073" t="str">
        <f>"20:25:29.770"</f>
        <v>20:25:29.770</v>
      </c>
      <c r="BZ2073">
        <v>0</v>
      </c>
      <c r="CA2073">
        <v>2016</v>
      </c>
      <c r="CB2073">
        <v>224</v>
      </c>
      <c r="CD2073">
        <v>1</v>
      </c>
      <c r="CE2073">
        <v>0</v>
      </c>
      <c r="CF2073">
        <v>0</v>
      </c>
      <c r="CG2073">
        <v>1</v>
      </c>
      <c r="CH2073">
        <v>0</v>
      </c>
      <c r="CI2073">
        <v>0</v>
      </c>
      <c r="CJ2073">
        <v>0</v>
      </c>
      <c r="CK2073">
        <v>2</v>
      </c>
      <c r="CL2073">
        <v>0</v>
      </c>
      <c r="CM2073">
        <v>2</v>
      </c>
      <c r="CN2073">
        <v>0</v>
      </c>
      <c r="CO2073">
        <v>7</v>
      </c>
      <c r="CP2073" t="s">
        <v>119</v>
      </c>
      <c r="CQ2073">
        <v>180</v>
      </c>
      <c r="CR2073">
        <v>2</v>
      </c>
      <c r="CW2073">
        <v>8432953</v>
      </c>
      <c r="CY2073">
        <v>1</v>
      </c>
      <c r="CZ2073">
        <v>0</v>
      </c>
      <c r="DA2073">
        <v>1</v>
      </c>
      <c r="DB2073">
        <v>0</v>
      </c>
      <c r="DC2073">
        <v>0</v>
      </c>
      <c r="DD2073">
        <v>0</v>
      </c>
      <c r="DE2073">
        <v>0</v>
      </c>
      <c r="DF2073">
        <v>0</v>
      </c>
      <c r="DG2073">
        <v>0</v>
      </c>
      <c r="DH2073">
        <v>0</v>
      </c>
      <c r="DI2073">
        <v>0</v>
      </c>
    </row>
    <row r="2074" spans="1:113" x14ac:dyDescent="0.3">
      <c r="A2074" t="str">
        <f>"02/08/2021 20:25:27.421"</f>
        <v>02/08/2021 20:25:27.421</v>
      </c>
      <c r="C2074" t="str">
        <f t="shared" si="99"/>
        <v>FFDFD7C0</v>
      </c>
      <c r="D2074" t="s">
        <v>124</v>
      </c>
      <c r="E2074">
        <v>12</v>
      </c>
      <c r="F2074">
        <v>1012</v>
      </c>
      <c r="G2074" t="s">
        <v>675</v>
      </c>
      <c r="J2074" t="s">
        <v>125</v>
      </c>
      <c r="K2074">
        <v>0</v>
      </c>
      <c r="L2074">
        <v>3</v>
      </c>
      <c r="M2074">
        <v>0</v>
      </c>
      <c r="N2074">
        <v>2</v>
      </c>
      <c r="O2074">
        <v>1</v>
      </c>
      <c r="P2074">
        <v>0</v>
      </c>
      <c r="Q2074">
        <v>0</v>
      </c>
      <c r="S2074" t="str">
        <f>"20:25:29.766"</f>
        <v>20:25:29.766</v>
      </c>
      <c r="T2074" t="str">
        <f>"20:25:29.366"</f>
        <v>20:25:29.366</v>
      </c>
      <c r="U2074" t="str">
        <f t="shared" si="101"/>
        <v>AB01F4</v>
      </c>
      <c r="V2074">
        <v>0</v>
      </c>
      <c r="W2074">
        <v>0</v>
      </c>
      <c r="X2074">
        <v>2</v>
      </c>
      <c r="Z2074">
        <v>0</v>
      </c>
      <c r="AA2074">
        <v>9</v>
      </c>
      <c r="AB2074">
        <v>3</v>
      </c>
      <c r="AC2074">
        <v>0</v>
      </c>
      <c r="AD2074">
        <v>10</v>
      </c>
      <c r="AE2074">
        <v>0</v>
      </c>
      <c r="AF2074">
        <v>3</v>
      </c>
      <c r="AG2074">
        <v>2</v>
      </c>
      <c r="AH2074">
        <v>0</v>
      </c>
      <c r="AI2074" t="s">
        <v>1285</v>
      </c>
      <c r="AJ2074">
        <v>39.941482999999998</v>
      </c>
      <c r="AK2074" t="s">
        <v>1286</v>
      </c>
      <c r="AL2074">
        <v>-92.643563999999998</v>
      </c>
      <c r="AM2074">
        <v>100</v>
      </c>
      <c r="AN2074">
        <v>1700</v>
      </c>
      <c r="AO2074" t="s">
        <v>118</v>
      </c>
      <c r="AP2074">
        <v>-108</v>
      </c>
      <c r="AQ2074">
        <v>79</v>
      </c>
      <c r="AR2074">
        <v>0</v>
      </c>
      <c r="AZ2074">
        <v>1200</v>
      </c>
      <c r="BA2074">
        <v>1</v>
      </c>
      <c r="BB2074" t="str">
        <f t="shared" si="100"/>
        <v xml:space="preserve">N8080G  </v>
      </c>
      <c r="BC2074">
        <v>1</v>
      </c>
      <c r="BE2074">
        <v>0</v>
      </c>
      <c r="BF2074">
        <v>0</v>
      </c>
      <c r="BG2074">
        <v>0</v>
      </c>
      <c r="BH2074">
        <v>1700</v>
      </c>
      <c r="BI2074">
        <v>1</v>
      </c>
      <c r="BJ2074">
        <v>1</v>
      </c>
      <c r="BK2074">
        <v>1</v>
      </c>
      <c r="BL2074">
        <v>0</v>
      </c>
      <c r="BO2074">
        <v>0</v>
      </c>
      <c r="BP2074">
        <v>0</v>
      </c>
      <c r="BW2074" t="str">
        <f>"20:25:29.770"</f>
        <v>20:25:29.770</v>
      </c>
      <c r="BZ2074">
        <v>0</v>
      </c>
      <c r="CA2074">
        <v>2016</v>
      </c>
      <c r="CB2074">
        <v>224</v>
      </c>
      <c r="CD2074">
        <v>1</v>
      </c>
      <c r="CE2074">
        <v>0</v>
      </c>
      <c r="CF2074">
        <v>0</v>
      </c>
      <c r="CG2074">
        <v>1</v>
      </c>
      <c r="CH2074">
        <v>0</v>
      </c>
      <c r="CI2074">
        <v>0</v>
      </c>
      <c r="CJ2074">
        <v>0</v>
      </c>
      <c r="CK2074">
        <v>2</v>
      </c>
      <c r="CL2074">
        <v>0</v>
      </c>
      <c r="CM2074">
        <v>2</v>
      </c>
      <c r="CN2074">
        <v>0</v>
      </c>
      <c r="CO2074">
        <v>7</v>
      </c>
      <c r="CP2074" t="s">
        <v>119</v>
      </c>
      <c r="CQ2074">
        <v>180</v>
      </c>
      <c r="CR2074">
        <v>2</v>
      </c>
      <c r="CW2074">
        <v>8432953</v>
      </c>
      <c r="CY2074">
        <v>1</v>
      </c>
      <c r="CZ2074">
        <v>0</v>
      </c>
      <c r="DA2074">
        <v>1</v>
      </c>
      <c r="DB2074">
        <v>0</v>
      </c>
      <c r="DC2074">
        <v>0</v>
      </c>
      <c r="DD2074">
        <v>0</v>
      </c>
      <c r="DE2074">
        <v>0</v>
      </c>
      <c r="DF2074">
        <v>0</v>
      </c>
      <c r="DG2074">
        <v>0</v>
      </c>
      <c r="DH2074">
        <v>0</v>
      </c>
      <c r="DI2074">
        <v>0</v>
      </c>
    </row>
    <row r="2075" spans="1:113" x14ac:dyDescent="0.3">
      <c r="A2075" t="str">
        <f>"02/08/2021 20:25:28.577"</f>
        <v>02/08/2021 20:25:28.577</v>
      </c>
      <c r="C2075" t="str">
        <f t="shared" si="99"/>
        <v>FFDFD7C0</v>
      </c>
      <c r="D2075" t="s">
        <v>124</v>
      </c>
      <c r="E2075">
        <v>13</v>
      </c>
      <c r="F2075">
        <v>1013</v>
      </c>
      <c r="G2075" t="s">
        <v>114</v>
      </c>
      <c r="J2075" t="s">
        <v>125</v>
      </c>
      <c r="K2075">
        <v>0</v>
      </c>
      <c r="L2075">
        <v>3</v>
      </c>
      <c r="M2075">
        <v>0</v>
      </c>
      <c r="N2075">
        <v>2</v>
      </c>
      <c r="O2075">
        <v>1</v>
      </c>
      <c r="P2075">
        <v>0</v>
      </c>
      <c r="Q2075">
        <v>0</v>
      </c>
      <c r="S2075" t="str">
        <f>"20:25:30.898"</f>
        <v>20:25:30.898</v>
      </c>
      <c r="T2075" t="str">
        <f>"20:25:30.398"</f>
        <v>20:25:30.398</v>
      </c>
      <c r="U2075" t="str">
        <f t="shared" si="101"/>
        <v>AB01F4</v>
      </c>
      <c r="V2075">
        <v>0</v>
      </c>
      <c r="W2075">
        <v>0</v>
      </c>
      <c r="X2075">
        <v>2</v>
      </c>
      <c r="Z2075">
        <v>0</v>
      </c>
      <c r="AA2075">
        <v>9</v>
      </c>
      <c r="AB2075">
        <v>3</v>
      </c>
      <c r="AC2075">
        <v>0</v>
      </c>
      <c r="AD2075">
        <v>10</v>
      </c>
      <c r="AE2075">
        <v>0</v>
      </c>
      <c r="AF2075">
        <v>3</v>
      </c>
      <c r="AG2075">
        <v>2</v>
      </c>
      <c r="AH2075">
        <v>0</v>
      </c>
      <c r="AI2075" t="s">
        <v>1287</v>
      </c>
      <c r="AJ2075">
        <v>39.941912000000002</v>
      </c>
      <c r="AK2075" t="s">
        <v>1288</v>
      </c>
      <c r="AL2075">
        <v>-92.644272000000001</v>
      </c>
      <c r="AM2075">
        <v>100</v>
      </c>
      <c r="AN2075">
        <v>1700</v>
      </c>
      <c r="AO2075" t="s">
        <v>118</v>
      </c>
      <c r="AP2075">
        <v>-108</v>
      </c>
      <c r="AQ2075">
        <v>79</v>
      </c>
      <c r="AR2075">
        <v>0</v>
      </c>
      <c r="AZ2075">
        <v>1200</v>
      </c>
      <c r="BA2075">
        <v>1</v>
      </c>
      <c r="BB2075" t="str">
        <f t="shared" si="100"/>
        <v xml:space="preserve">N8080G  </v>
      </c>
      <c r="BC2075">
        <v>1</v>
      </c>
      <c r="BE2075">
        <v>0</v>
      </c>
      <c r="BF2075">
        <v>0</v>
      </c>
      <c r="BG2075">
        <v>0</v>
      </c>
      <c r="BH2075">
        <v>1700</v>
      </c>
      <c r="BI2075">
        <v>1</v>
      </c>
      <c r="BJ2075">
        <v>1</v>
      </c>
      <c r="BK2075">
        <v>1</v>
      </c>
      <c r="BL2075">
        <v>0</v>
      </c>
      <c r="BO2075">
        <v>0</v>
      </c>
      <c r="BP2075">
        <v>0</v>
      </c>
      <c r="BW2075" t="str">
        <f>"20:25:30.905"</f>
        <v>20:25:30.905</v>
      </c>
      <c r="BZ2075">
        <v>0</v>
      </c>
      <c r="CA2075">
        <v>2016</v>
      </c>
      <c r="CB2075">
        <v>224</v>
      </c>
      <c r="CD2075">
        <v>1</v>
      </c>
      <c r="CE2075">
        <v>0</v>
      </c>
      <c r="CF2075">
        <v>0</v>
      </c>
      <c r="CG2075">
        <v>1</v>
      </c>
      <c r="CH2075">
        <v>0</v>
      </c>
      <c r="CI2075">
        <v>0</v>
      </c>
      <c r="CJ2075">
        <v>0</v>
      </c>
      <c r="CK2075">
        <v>2</v>
      </c>
      <c r="CL2075">
        <v>0</v>
      </c>
      <c r="CM2075">
        <v>2</v>
      </c>
      <c r="CN2075">
        <v>0</v>
      </c>
      <c r="CO2075">
        <v>2</v>
      </c>
      <c r="CP2075" t="s">
        <v>119</v>
      </c>
      <c r="CQ2075">
        <v>179</v>
      </c>
      <c r="CR2075">
        <v>1</v>
      </c>
      <c r="CW2075">
        <v>8873109</v>
      </c>
      <c r="CY2075">
        <v>1</v>
      </c>
      <c r="CZ2075">
        <v>0</v>
      </c>
      <c r="DA2075">
        <v>0</v>
      </c>
      <c r="DB2075">
        <v>0</v>
      </c>
      <c r="DC2075">
        <v>0</v>
      </c>
      <c r="DD2075">
        <v>0</v>
      </c>
      <c r="DE2075">
        <v>0</v>
      </c>
      <c r="DF2075">
        <v>0</v>
      </c>
      <c r="DG2075">
        <v>0</v>
      </c>
      <c r="DH2075">
        <v>0</v>
      </c>
      <c r="DI2075">
        <v>0</v>
      </c>
    </row>
    <row r="2076" spans="1:113" x14ac:dyDescent="0.3">
      <c r="A2076" t="str">
        <f>"02/08/2021 20:25:28.577"</f>
        <v>02/08/2021 20:25:28.577</v>
      </c>
      <c r="C2076" t="str">
        <f t="shared" si="99"/>
        <v>FFDFD7C0</v>
      </c>
      <c r="D2076" t="s">
        <v>124</v>
      </c>
      <c r="E2076">
        <v>11</v>
      </c>
      <c r="F2076">
        <v>1011</v>
      </c>
      <c r="G2076" t="s">
        <v>590</v>
      </c>
      <c r="J2076" t="s">
        <v>125</v>
      </c>
      <c r="K2076">
        <v>0</v>
      </c>
      <c r="L2076">
        <v>3</v>
      </c>
      <c r="M2076">
        <v>0</v>
      </c>
      <c r="N2076">
        <v>2</v>
      </c>
      <c r="O2076">
        <v>1</v>
      </c>
      <c r="P2076">
        <v>0</v>
      </c>
      <c r="Q2076">
        <v>0</v>
      </c>
      <c r="S2076" t="str">
        <f>"20:25:30.898"</f>
        <v>20:25:30.898</v>
      </c>
      <c r="T2076" t="str">
        <f>"20:25:30.398"</f>
        <v>20:25:30.398</v>
      </c>
      <c r="U2076" t="str">
        <f t="shared" si="101"/>
        <v>AB01F4</v>
      </c>
      <c r="V2076">
        <v>0</v>
      </c>
      <c r="W2076">
        <v>0</v>
      </c>
      <c r="X2076">
        <v>2</v>
      </c>
      <c r="Z2076">
        <v>0</v>
      </c>
      <c r="AA2076">
        <v>9</v>
      </c>
      <c r="AB2076">
        <v>3</v>
      </c>
      <c r="AC2076">
        <v>0</v>
      </c>
      <c r="AD2076">
        <v>10</v>
      </c>
      <c r="AE2076">
        <v>0</v>
      </c>
      <c r="AF2076">
        <v>3</v>
      </c>
      <c r="AG2076">
        <v>2</v>
      </c>
      <c r="AH2076">
        <v>0</v>
      </c>
      <c r="AI2076" t="s">
        <v>1287</v>
      </c>
      <c r="AJ2076">
        <v>39.941912000000002</v>
      </c>
      <c r="AK2076" t="s">
        <v>1288</v>
      </c>
      <c r="AL2076">
        <v>-92.644272000000001</v>
      </c>
      <c r="AM2076">
        <v>100</v>
      </c>
      <c r="AN2076">
        <v>1700</v>
      </c>
      <c r="AO2076" t="s">
        <v>118</v>
      </c>
      <c r="AP2076">
        <v>-108</v>
      </c>
      <c r="AQ2076">
        <v>79</v>
      </c>
      <c r="AR2076">
        <v>0</v>
      </c>
      <c r="AZ2076">
        <v>1200</v>
      </c>
      <c r="BA2076">
        <v>1</v>
      </c>
      <c r="BB2076" t="str">
        <f t="shared" si="100"/>
        <v xml:space="preserve">N8080G  </v>
      </c>
      <c r="BC2076">
        <v>1</v>
      </c>
      <c r="BE2076">
        <v>0</v>
      </c>
      <c r="BF2076">
        <v>0</v>
      </c>
      <c r="BG2076">
        <v>0</v>
      </c>
      <c r="BH2076">
        <v>1700</v>
      </c>
      <c r="BI2076">
        <v>1</v>
      </c>
      <c r="BJ2076">
        <v>1</v>
      </c>
      <c r="BK2076">
        <v>1</v>
      </c>
      <c r="BL2076">
        <v>0</v>
      </c>
      <c r="BO2076">
        <v>0</v>
      </c>
      <c r="BP2076">
        <v>0</v>
      </c>
      <c r="BW2076" t="str">
        <f>"20:25:30.905"</f>
        <v>20:25:30.905</v>
      </c>
      <c r="BZ2076">
        <v>0</v>
      </c>
      <c r="CA2076">
        <v>2016</v>
      </c>
      <c r="CB2076">
        <v>224</v>
      </c>
      <c r="CD2076">
        <v>1</v>
      </c>
      <c r="CE2076">
        <v>0</v>
      </c>
      <c r="CF2076">
        <v>0</v>
      </c>
      <c r="CG2076">
        <v>1</v>
      </c>
      <c r="CH2076">
        <v>0</v>
      </c>
      <c r="CI2076">
        <v>0</v>
      </c>
      <c r="CJ2076">
        <v>0</v>
      </c>
      <c r="CK2076">
        <v>2</v>
      </c>
      <c r="CL2076">
        <v>0</v>
      </c>
      <c r="CM2076">
        <v>2</v>
      </c>
      <c r="CN2076">
        <v>0</v>
      </c>
      <c r="CO2076">
        <v>2</v>
      </c>
      <c r="CP2076" t="s">
        <v>119</v>
      </c>
      <c r="CQ2076">
        <v>179</v>
      </c>
      <c r="CR2076">
        <v>1</v>
      </c>
      <c r="CW2076">
        <v>8873109</v>
      </c>
      <c r="CY2076">
        <v>1</v>
      </c>
      <c r="CZ2076">
        <v>0</v>
      </c>
      <c r="DA2076">
        <v>1</v>
      </c>
      <c r="DB2076">
        <v>0</v>
      </c>
      <c r="DC2076">
        <v>0</v>
      </c>
      <c r="DD2076">
        <v>0</v>
      </c>
      <c r="DE2076">
        <v>0</v>
      </c>
      <c r="DF2076">
        <v>0</v>
      </c>
      <c r="DG2076">
        <v>0</v>
      </c>
      <c r="DH2076">
        <v>0</v>
      </c>
      <c r="DI2076">
        <v>0</v>
      </c>
    </row>
    <row r="2077" spans="1:113" x14ac:dyDescent="0.3">
      <c r="A2077" t="str">
        <f>"02/08/2021 20:25:28.577"</f>
        <v>02/08/2021 20:25:28.577</v>
      </c>
      <c r="C2077" t="str">
        <f t="shared" si="99"/>
        <v>FFDFD7C0</v>
      </c>
      <c r="D2077" t="s">
        <v>124</v>
      </c>
      <c r="E2077">
        <v>12</v>
      </c>
      <c r="F2077">
        <v>1012</v>
      </c>
      <c r="G2077" t="s">
        <v>675</v>
      </c>
      <c r="J2077" t="s">
        <v>125</v>
      </c>
      <c r="K2077">
        <v>0</v>
      </c>
      <c r="L2077">
        <v>3</v>
      </c>
      <c r="M2077">
        <v>0</v>
      </c>
      <c r="N2077">
        <v>2</v>
      </c>
      <c r="O2077">
        <v>1</v>
      </c>
      <c r="P2077">
        <v>0</v>
      </c>
      <c r="Q2077">
        <v>0</v>
      </c>
      <c r="S2077" t="str">
        <f>"20:25:30.898"</f>
        <v>20:25:30.898</v>
      </c>
      <c r="T2077" t="str">
        <f>"20:25:30.398"</f>
        <v>20:25:30.398</v>
      </c>
      <c r="U2077" t="str">
        <f t="shared" si="101"/>
        <v>AB01F4</v>
      </c>
      <c r="V2077">
        <v>0</v>
      </c>
      <c r="W2077">
        <v>0</v>
      </c>
      <c r="X2077">
        <v>2</v>
      </c>
      <c r="Z2077">
        <v>0</v>
      </c>
      <c r="AA2077">
        <v>9</v>
      </c>
      <c r="AB2077">
        <v>3</v>
      </c>
      <c r="AC2077">
        <v>0</v>
      </c>
      <c r="AD2077">
        <v>10</v>
      </c>
      <c r="AE2077">
        <v>0</v>
      </c>
      <c r="AF2077">
        <v>3</v>
      </c>
      <c r="AG2077">
        <v>2</v>
      </c>
      <c r="AH2077">
        <v>0</v>
      </c>
      <c r="AI2077" t="s">
        <v>1287</v>
      </c>
      <c r="AJ2077">
        <v>39.941912000000002</v>
      </c>
      <c r="AK2077" t="s">
        <v>1288</v>
      </c>
      <c r="AL2077">
        <v>-92.644272000000001</v>
      </c>
      <c r="AM2077">
        <v>100</v>
      </c>
      <c r="AN2077">
        <v>1700</v>
      </c>
      <c r="AO2077" t="s">
        <v>118</v>
      </c>
      <c r="AP2077">
        <v>-108</v>
      </c>
      <c r="AQ2077">
        <v>79</v>
      </c>
      <c r="AR2077">
        <v>0</v>
      </c>
      <c r="AZ2077">
        <v>1200</v>
      </c>
      <c r="BA2077">
        <v>1</v>
      </c>
      <c r="BB2077" t="str">
        <f t="shared" si="100"/>
        <v xml:space="preserve">N8080G  </v>
      </c>
      <c r="BC2077">
        <v>1</v>
      </c>
      <c r="BE2077">
        <v>0</v>
      </c>
      <c r="BF2077">
        <v>0</v>
      </c>
      <c r="BG2077">
        <v>0</v>
      </c>
      <c r="BH2077">
        <v>1700</v>
      </c>
      <c r="BI2077">
        <v>1</v>
      </c>
      <c r="BJ2077">
        <v>1</v>
      </c>
      <c r="BK2077">
        <v>1</v>
      </c>
      <c r="BL2077">
        <v>0</v>
      </c>
      <c r="BO2077">
        <v>0</v>
      </c>
      <c r="BP2077">
        <v>0</v>
      </c>
      <c r="BW2077" t="str">
        <f>"20:25:30.905"</f>
        <v>20:25:30.905</v>
      </c>
      <c r="BZ2077">
        <v>0</v>
      </c>
      <c r="CA2077">
        <v>2016</v>
      </c>
      <c r="CB2077">
        <v>224</v>
      </c>
      <c r="CD2077">
        <v>1</v>
      </c>
      <c r="CE2077">
        <v>0</v>
      </c>
      <c r="CF2077">
        <v>0</v>
      </c>
      <c r="CG2077">
        <v>1</v>
      </c>
      <c r="CH2077">
        <v>0</v>
      </c>
      <c r="CI2077">
        <v>0</v>
      </c>
      <c r="CJ2077">
        <v>0</v>
      </c>
      <c r="CK2077">
        <v>2</v>
      </c>
      <c r="CL2077">
        <v>0</v>
      </c>
      <c r="CM2077">
        <v>2</v>
      </c>
      <c r="CN2077">
        <v>0</v>
      </c>
      <c r="CO2077">
        <v>2</v>
      </c>
      <c r="CP2077" t="s">
        <v>119</v>
      </c>
      <c r="CQ2077">
        <v>179</v>
      </c>
      <c r="CR2077">
        <v>1</v>
      </c>
      <c r="CW2077">
        <v>8873109</v>
      </c>
      <c r="CY2077">
        <v>1</v>
      </c>
      <c r="CZ2077">
        <v>0</v>
      </c>
      <c r="DA2077">
        <v>1</v>
      </c>
      <c r="DB2077">
        <v>0</v>
      </c>
      <c r="DC2077">
        <v>0</v>
      </c>
      <c r="DD2077">
        <v>0</v>
      </c>
      <c r="DE2077">
        <v>0</v>
      </c>
      <c r="DF2077">
        <v>0</v>
      </c>
      <c r="DG2077">
        <v>0</v>
      </c>
      <c r="DH2077">
        <v>0</v>
      </c>
      <c r="DI2077">
        <v>0</v>
      </c>
    </row>
    <row r="2078" spans="1:113" x14ac:dyDescent="0.3">
      <c r="A2078" t="str">
        <f>"02/08/2021 20:25:28.577"</f>
        <v>02/08/2021 20:25:28.577</v>
      </c>
      <c r="C2078" t="str">
        <f t="shared" si="99"/>
        <v>FFDFD7C0</v>
      </c>
      <c r="D2078" t="s">
        <v>113</v>
      </c>
      <c r="E2078">
        <v>6</v>
      </c>
      <c r="H2078">
        <v>165</v>
      </c>
      <c r="I2078" t="s">
        <v>114</v>
      </c>
      <c r="J2078" t="s">
        <v>115</v>
      </c>
      <c r="K2078">
        <v>0</v>
      </c>
      <c r="L2078">
        <v>3</v>
      </c>
      <c r="M2078">
        <v>0</v>
      </c>
      <c r="N2078">
        <v>2</v>
      </c>
      <c r="O2078">
        <v>1</v>
      </c>
      <c r="P2078">
        <v>0</v>
      </c>
      <c r="Q2078">
        <v>0</v>
      </c>
      <c r="S2078" t="str">
        <f>"20:25:30.898"</f>
        <v>20:25:30.898</v>
      </c>
      <c r="T2078" t="str">
        <f>"20:25:30.398"</f>
        <v>20:25:30.398</v>
      </c>
      <c r="U2078" t="str">
        <f t="shared" si="101"/>
        <v>AB01F4</v>
      </c>
      <c r="V2078">
        <v>0</v>
      </c>
      <c r="W2078">
        <v>0</v>
      </c>
      <c r="X2078">
        <v>2</v>
      </c>
      <c r="Z2078">
        <v>0</v>
      </c>
      <c r="AA2078">
        <v>9</v>
      </c>
      <c r="AB2078">
        <v>3</v>
      </c>
      <c r="AC2078">
        <v>0</v>
      </c>
      <c r="AD2078">
        <v>10</v>
      </c>
      <c r="AE2078">
        <v>0</v>
      </c>
      <c r="AF2078">
        <v>3</v>
      </c>
      <c r="AG2078">
        <v>2</v>
      </c>
      <c r="AH2078">
        <v>0</v>
      </c>
      <c r="AI2078" t="s">
        <v>1287</v>
      </c>
      <c r="AJ2078">
        <v>39.941912000000002</v>
      </c>
      <c r="AK2078" t="s">
        <v>1288</v>
      </c>
      <c r="AL2078">
        <v>-92.644272000000001</v>
      </c>
      <c r="AM2078">
        <v>100</v>
      </c>
      <c r="AN2078">
        <v>1700</v>
      </c>
      <c r="AO2078" t="s">
        <v>118</v>
      </c>
      <c r="AP2078">
        <v>-108</v>
      </c>
      <c r="AQ2078">
        <v>79</v>
      </c>
      <c r="AR2078">
        <v>0</v>
      </c>
      <c r="AZ2078">
        <v>1200</v>
      </c>
      <c r="BA2078">
        <v>1</v>
      </c>
      <c r="BB2078" t="str">
        <f t="shared" si="100"/>
        <v xml:space="preserve">N8080G  </v>
      </c>
      <c r="BC2078">
        <v>1</v>
      </c>
      <c r="BE2078">
        <v>0</v>
      </c>
      <c r="BF2078">
        <v>0</v>
      </c>
      <c r="BG2078">
        <v>0</v>
      </c>
      <c r="BH2078">
        <v>1700</v>
      </c>
      <c r="BI2078">
        <v>1</v>
      </c>
      <c r="BJ2078">
        <v>1</v>
      </c>
      <c r="BK2078">
        <v>1</v>
      </c>
      <c r="BL2078">
        <v>0</v>
      </c>
      <c r="BO2078">
        <v>0</v>
      </c>
      <c r="BP2078">
        <v>0</v>
      </c>
      <c r="BW2078" t="str">
        <f>"20:25:30.905"</f>
        <v>20:25:30.905</v>
      </c>
      <c r="BZ2078">
        <v>0</v>
      </c>
      <c r="CA2078">
        <v>2016</v>
      </c>
      <c r="CB2078">
        <v>224</v>
      </c>
      <c r="CD2078">
        <v>1</v>
      </c>
      <c r="CE2078">
        <v>0</v>
      </c>
      <c r="CF2078">
        <v>0</v>
      </c>
      <c r="CG2078">
        <v>1</v>
      </c>
      <c r="CH2078">
        <v>0</v>
      </c>
      <c r="CI2078">
        <v>0</v>
      </c>
      <c r="CJ2078">
        <v>0</v>
      </c>
      <c r="CK2078">
        <v>2</v>
      </c>
      <c r="CL2078">
        <v>0</v>
      </c>
      <c r="CM2078">
        <v>2</v>
      </c>
      <c r="CN2078">
        <v>0</v>
      </c>
      <c r="CO2078">
        <v>2</v>
      </c>
      <c r="CP2078" t="s">
        <v>119</v>
      </c>
      <c r="CQ2078">
        <v>179</v>
      </c>
      <c r="CR2078">
        <v>1</v>
      </c>
      <c r="CW2078">
        <v>8873109</v>
      </c>
      <c r="CY2078">
        <v>1</v>
      </c>
      <c r="CZ2078">
        <v>0</v>
      </c>
      <c r="DA2078">
        <v>1</v>
      </c>
      <c r="DB2078">
        <v>0</v>
      </c>
      <c r="DC2078">
        <v>0</v>
      </c>
      <c r="DD2078">
        <v>0</v>
      </c>
      <c r="DE2078">
        <v>0</v>
      </c>
      <c r="DF2078">
        <v>0</v>
      </c>
      <c r="DG2078">
        <v>0</v>
      </c>
      <c r="DH2078">
        <v>0</v>
      </c>
      <c r="DI2078">
        <v>0</v>
      </c>
    </row>
    <row r="2079" spans="1:113" x14ac:dyDescent="0.3">
      <c r="A2079" t="str">
        <f>"02/08/2021 20:25:29.632"</f>
        <v>02/08/2021 20:25:29.632</v>
      </c>
      <c r="C2079" t="str">
        <f t="shared" si="99"/>
        <v>FFDFD7C0</v>
      </c>
      <c r="D2079" t="s">
        <v>124</v>
      </c>
      <c r="E2079">
        <v>13</v>
      </c>
      <c r="F2079">
        <v>1013</v>
      </c>
      <c r="G2079" t="s">
        <v>114</v>
      </c>
      <c r="J2079" t="s">
        <v>125</v>
      </c>
      <c r="K2079">
        <v>0</v>
      </c>
      <c r="L2079">
        <v>3</v>
      </c>
      <c r="M2079">
        <v>0</v>
      </c>
      <c r="N2079">
        <v>2</v>
      </c>
      <c r="O2079">
        <v>1</v>
      </c>
      <c r="P2079">
        <v>0</v>
      </c>
      <c r="Q2079">
        <v>0</v>
      </c>
      <c r="S2079" t="str">
        <f>"20:25:31.992"</f>
        <v>20:25:31.992</v>
      </c>
      <c r="T2079" t="str">
        <f>"20:25:30.992"</f>
        <v>20:25:30.992</v>
      </c>
      <c r="U2079" t="str">
        <f t="shared" si="101"/>
        <v>AB01F4</v>
      </c>
      <c r="V2079">
        <v>0</v>
      </c>
      <c r="W2079">
        <v>0</v>
      </c>
      <c r="X2079">
        <v>2</v>
      </c>
      <c r="Z2079">
        <v>0</v>
      </c>
      <c r="AA2079">
        <v>9</v>
      </c>
      <c r="AB2079">
        <v>3</v>
      </c>
      <c r="AC2079">
        <v>0</v>
      </c>
      <c r="AD2079">
        <v>10</v>
      </c>
      <c r="AE2079">
        <v>0</v>
      </c>
      <c r="AF2079">
        <v>3</v>
      </c>
      <c r="AG2079">
        <v>2</v>
      </c>
      <c r="AH2079">
        <v>0</v>
      </c>
      <c r="AI2079" t="s">
        <v>1289</v>
      </c>
      <c r="AJ2079">
        <v>39.942298000000001</v>
      </c>
      <c r="AK2079" t="s">
        <v>1290</v>
      </c>
      <c r="AL2079">
        <v>-92.645022999999995</v>
      </c>
      <c r="AM2079">
        <v>100</v>
      </c>
      <c r="AN2079">
        <v>1700</v>
      </c>
      <c r="AO2079" t="s">
        <v>118</v>
      </c>
      <c r="AP2079">
        <v>-108</v>
      </c>
      <c r="AQ2079">
        <v>79</v>
      </c>
      <c r="AR2079">
        <v>0</v>
      </c>
      <c r="AZ2079">
        <v>1200</v>
      </c>
      <c r="BA2079">
        <v>1</v>
      </c>
      <c r="BB2079" t="str">
        <f t="shared" si="100"/>
        <v xml:space="preserve">N8080G  </v>
      </c>
      <c r="BC2079">
        <v>1</v>
      </c>
      <c r="BE2079">
        <v>0</v>
      </c>
      <c r="BF2079">
        <v>0</v>
      </c>
      <c r="BG2079">
        <v>0</v>
      </c>
      <c r="BH2079">
        <v>1700</v>
      </c>
      <c r="BI2079">
        <v>1</v>
      </c>
      <c r="BJ2079">
        <v>1</v>
      </c>
      <c r="BK2079">
        <v>1</v>
      </c>
      <c r="BL2079">
        <v>0</v>
      </c>
      <c r="BO2079">
        <v>0</v>
      </c>
      <c r="BP2079">
        <v>0</v>
      </c>
      <c r="BW2079" t="str">
        <f>"20:25:31.995"</f>
        <v>20:25:31.995</v>
      </c>
      <c r="BZ2079">
        <v>0</v>
      </c>
      <c r="CA2079">
        <v>2016</v>
      </c>
      <c r="CB2079">
        <v>224</v>
      </c>
      <c r="CD2079">
        <v>1</v>
      </c>
      <c r="CE2079">
        <v>0</v>
      </c>
      <c r="CF2079">
        <v>0</v>
      </c>
      <c r="CG2079">
        <v>1</v>
      </c>
      <c r="CH2079">
        <v>0</v>
      </c>
      <c r="CI2079">
        <v>0</v>
      </c>
      <c r="CJ2079">
        <v>0</v>
      </c>
      <c r="CK2079">
        <v>2</v>
      </c>
      <c r="CL2079">
        <v>0</v>
      </c>
      <c r="CM2079">
        <v>2</v>
      </c>
      <c r="CN2079">
        <v>0</v>
      </c>
      <c r="CO2079">
        <v>2</v>
      </c>
      <c r="CP2079" t="s">
        <v>119</v>
      </c>
      <c r="CQ2079">
        <v>179</v>
      </c>
      <c r="CR2079">
        <v>1</v>
      </c>
      <c r="CW2079">
        <v>8874072</v>
      </c>
      <c r="CY2079">
        <v>1</v>
      </c>
      <c r="CZ2079">
        <v>0</v>
      </c>
      <c r="DA2079">
        <v>0</v>
      </c>
      <c r="DB2079">
        <v>0</v>
      </c>
      <c r="DC2079">
        <v>0</v>
      </c>
      <c r="DD2079">
        <v>0</v>
      </c>
      <c r="DE2079">
        <v>0</v>
      </c>
      <c r="DF2079">
        <v>0</v>
      </c>
      <c r="DG2079">
        <v>0</v>
      </c>
      <c r="DH2079">
        <v>0</v>
      </c>
      <c r="DI2079">
        <v>0</v>
      </c>
    </row>
    <row r="2080" spans="1:113" x14ac:dyDescent="0.3">
      <c r="A2080" t="str">
        <f>"02/08/2021 20:25:29.632"</f>
        <v>02/08/2021 20:25:29.632</v>
      </c>
      <c r="C2080" t="str">
        <f t="shared" si="99"/>
        <v>FFDFD7C0</v>
      </c>
      <c r="D2080" t="s">
        <v>124</v>
      </c>
      <c r="E2080">
        <v>11</v>
      </c>
      <c r="F2080">
        <v>1011</v>
      </c>
      <c r="G2080" t="s">
        <v>590</v>
      </c>
      <c r="J2080" t="s">
        <v>125</v>
      </c>
      <c r="K2080">
        <v>0</v>
      </c>
      <c r="L2080">
        <v>3</v>
      </c>
      <c r="M2080">
        <v>0</v>
      </c>
      <c r="N2080">
        <v>2</v>
      </c>
      <c r="O2080">
        <v>1</v>
      </c>
      <c r="P2080">
        <v>0</v>
      </c>
      <c r="Q2080">
        <v>0</v>
      </c>
      <c r="S2080" t="str">
        <f>"20:25:31.992"</f>
        <v>20:25:31.992</v>
      </c>
      <c r="T2080" t="str">
        <f>"20:25:30.992"</f>
        <v>20:25:30.992</v>
      </c>
      <c r="U2080" t="str">
        <f t="shared" si="101"/>
        <v>AB01F4</v>
      </c>
      <c r="V2080">
        <v>0</v>
      </c>
      <c r="W2080">
        <v>0</v>
      </c>
      <c r="X2080">
        <v>2</v>
      </c>
      <c r="Z2080">
        <v>0</v>
      </c>
      <c r="AA2080">
        <v>9</v>
      </c>
      <c r="AB2080">
        <v>3</v>
      </c>
      <c r="AC2080">
        <v>0</v>
      </c>
      <c r="AD2080">
        <v>10</v>
      </c>
      <c r="AE2080">
        <v>0</v>
      </c>
      <c r="AF2080">
        <v>3</v>
      </c>
      <c r="AG2080">
        <v>2</v>
      </c>
      <c r="AH2080">
        <v>0</v>
      </c>
      <c r="AI2080" t="s">
        <v>1289</v>
      </c>
      <c r="AJ2080">
        <v>39.942298000000001</v>
      </c>
      <c r="AK2080" t="s">
        <v>1290</v>
      </c>
      <c r="AL2080">
        <v>-92.645022999999995</v>
      </c>
      <c r="AM2080">
        <v>100</v>
      </c>
      <c r="AN2080">
        <v>1700</v>
      </c>
      <c r="AO2080" t="s">
        <v>118</v>
      </c>
      <c r="AP2080">
        <v>-108</v>
      </c>
      <c r="AQ2080">
        <v>79</v>
      </c>
      <c r="AR2080">
        <v>0</v>
      </c>
      <c r="AZ2080">
        <v>1200</v>
      </c>
      <c r="BA2080">
        <v>1</v>
      </c>
      <c r="BB2080" t="str">
        <f t="shared" si="100"/>
        <v xml:space="preserve">N8080G  </v>
      </c>
      <c r="BC2080">
        <v>1</v>
      </c>
      <c r="BE2080">
        <v>0</v>
      </c>
      <c r="BF2080">
        <v>0</v>
      </c>
      <c r="BG2080">
        <v>0</v>
      </c>
      <c r="BH2080">
        <v>1700</v>
      </c>
      <c r="BI2080">
        <v>1</v>
      </c>
      <c r="BJ2080">
        <v>1</v>
      </c>
      <c r="BK2080">
        <v>1</v>
      </c>
      <c r="BL2080">
        <v>0</v>
      </c>
      <c r="BO2080">
        <v>0</v>
      </c>
      <c r="BP2080">
        <v>0</v>
      </c>
      <c r="BW2080" t="str">
        <f>"20:25:31.995"</f>
        <v>20:25:31.995</v>
      </c>
      <c r="BZ2080">
        <v>0</v>
      </c>
      <c r="CA2080">
        <v>2016</v>
      </c>
      <c r="CB2080">
        <v>224</v>
      </c>
      <c r="CD2080">
        <v>1</v>
      </c>
      <c r="CE2080">
        <v>0</v>
      </c>
      <c r="CF2080">
        <v>0</v>
      </c>
      <c r="CG2080">
        <v>1</v>
      </c>
      <c r="CH2080">
        <v>0</v>
      </c>
      <c r="CI2080">
        <v>0</v>
      </c>
      <c r="CJ2080">
        <v>0</v>
      </c>
      <c r="CK2080">
        <v>2</v>
      </c>
      <c r="CL2080">
        <v>0</v>
      </c>
      <c r="CM2080">
        <v>2</v>
      </c>
      <c r="CN2080">
        <v>0</v>
      </c>
      <c r="CO2080">
        <v>2</v>
      </c>
      <c r="CP2080" t="s">
        <v>119</v>
      </c>
      <c r="CQ2080">
        <v>179</v>
      </c>
      <c r="CR2080">
        <v>1</v>
      </c>
      <c r="CW2080">
        <v>8874072</v>
      </c>
      <c r="CY2080">
        <v>1</v>
      </c>
      <c r="CZ2080">
        <v>0</v>
      </c>
      <c r="DA2080">
        <v>1</v>
      </c>
      <c r="DB2080">
        <v>0</v>
      </c>
      <c r="DC2080">
        <v>0</v>
      </c>
      <c r="DD2080">
        <v>0</v>
      </c>
      <c r="DE2080">
        <v>0</v>
      </c>
      <c r="DF2080">
        <v>0</v>
      </c>
      <c r="DG2080">
        <v>0</v>
      </c>
      <c r="DH2080">
        <v>0</v>
      </c>
      <c r="DI2080">
        <v>0</v>
      </c>
    </row>
    <row r="2081" spans="1:113" x14ac:dyDescent="0.3">
      <c r="A2081" t="str">
        <f>"02/08/2021 20:25:29.632"</f>
        <v>02/08/2021 20:25:29.632</v>
      </c>
      <c r="C2081" t="str">
        <f t="shared" si="99"/>
        <v>FFDFD7C0</v>
      </c>
      <c r="D2081" t="s">
        <v>124</v>
      </c>
      <c r="E2081">
        <v>12</v>
      </c>
      <c r="F2081">
        <v>1012</v>
      </c>
      <c r="G2081" t="s">
        <v>675</v>
      </c>
      <c r="J2081" t="s">
        <v>125</v>
      </c>
      <c r="K2081">
        <v>0</v>
      </c>
      <c r="L2081">
        <v>3</v>
      </c>
      <c r="M2081">
        <v>0</v>
      </c>
      <c r="N2081">
        <v>2</v>
      </c>
      <c r="O2081">
        <v>1</v>
      </c>
      <c r="P2081">
        <v>0</v>
      </c>
      <c r="Q2081">
        <v>0</v>
      </c>
      <c r="S2081" t="str">
        <f>"20:25:31.992"</f>
        <v>20:25:31.992</v>
      </c>
      <c r="T2081" t="str">
        <f>"20:25:30.992"</f>
        <v>20:25:30.992</v>
      </c>
      <c r="U2081" t="str">
        <f t="shared" si="101"/>
        <v>AB01F4</v>
      </c>
      <c r="V2081">
        <v>0</v>
      </c>
      <c r="W2081">
        <v>0</v>
      </c>
      <c r="X2081">
        <v>2</v>
      </c>
      <c r="Z2081">
        <v>0</v>
      </c>
      <c r="AA2081">
        <v>9</v>
      </c>
      <c r="AB2081">
        <v>3</v>
      </c>
      <c r="AC2081">
        <v>0</v>
      </c>
      <c r="AD2081">
        <v>10</v>
      </c>
      <c r="AE2081">
        <v>0</v>
      </c>
      <c r="AF2081">
        <v>3</v>
      </c>
      <c r="AG2081">
        <v>2</v>
      </c>
      <c r="AH2081">
        <v>0</v>
      </c>
      <c r="AI2081" t="s">
        <v>1289</v>
      </c>
      <c r="AJ2081">
        <v>39.942298000000001</v>
      </c>
      <c r="AK2081" t="s">
        <v>1290</v>
      </c>
      <c r="AL2081">
        <v>-92.645022999999995</v>
      </c>
      <c r="AM2081">
        <v>100</v>
      </c>
      <c r="AN2081">
        <v>1700</v>
      </c>
      <c r="AO2081" t="s">
        <v>118</v>
      </c>
      <c r="AP2081">
        <v>-108</v>
      </c>
      <c r="AQ2081">
        <v>79</v>
      </c>
      <c r="AR2081">
        <v>0</v>
      </c>
      <c r="AZ2081">
        <v>1200</v>
      </c>
      <c r="BA2081">
        <v>1</v>
      </c>
      <c r="BB2081" t="str">
        <f t="shared" si="100"/>
        <v xml:space="preserve">N8080G  </v>
      </c>
      <c r="BC2081">
        <v>1</v>
      </c>
      <c r="BE2081">
        <v>0</v>
      </c>
      <c r="BF2081">
        <v>0</v>
      </c>
      <c r="BG2081">
        <v>0</v>
      </c>
      <c r="BH2081">
        <v>1700</v>
      </c>
      <c r="BI2081">
        <v>1</v>
      </c>
      <c r="BJ2081">
        <v>1</v>
      </c>
      <c r="BK2081">
        <v>1</v>
      </c>
      <c r="BL2081">
        <v>0</v>
      </c>
      <c r="BO2081">
        <v>0</v>
      </c>
      <c r="BP2081">
        <v>0</v>
      </c>
      <c r="BW2081" t="str">
        <f>"20:25:31.995"</f>
        <v>20:25:31.995</v>
      </c>
      <c r="BZ2081">
        <v>0</v>
      </c>
      <c r="CA2081">
        <v>2016</v>
      </c>
      <c r="CB2081">
        <v>224</v>
      </c>
      <c r="CD2081">
        <v>1</v>
      </c>
      <c r="CE2081">
        <v>0</v>
      </c>
      <c r="CF2081">
        <v>0</v>
      </c>
      <c r="CG2081">
        <v>1</v>
      </c>
      <c r="CH2081">
        <v>0</v>
      </c>
      <c r="CI2081">
        <v>0</v>
      </c>
      <c r="CJ2081">
        <v>0</v>
      </c>
      <c r="CK2081">
        <v>2</v>
      </c>
      <c r="CL2081">
        <v>0</v>
      </c>
      <c r="CM2081">
        <v>2</v>
      </c>
      <c r="CN2081">
        <v>0</v>
      </c>
      <c r="CO2081">
        <v>2</v>
      </c>
      <c r="CP2081" t="s">
        <v>119</v>
      </c>
      <c r="CQ2081">
        <v>179</v>
      </c>
      <c r="CR2081">
        <v>1</v>
      </c>
      <c r="CW2081">
        <v>8874072</v>
      </c>
      <c r="CY2081">
        <v>1</v>
      </c>
      <c r="CZ2081">
        <v>0</v>
      </c>
      <c r="DA2081">
        <v>1</v>
      </c>
      <c r="DB2081">
        <v>0</v>
      </c>
      <c r="DC2081">
        <v>0</v>
      </c>
      <c r="DD2081">
        <v>0</v>
      </c>
      <c r="DE2081">
        <v>0</v>
      </c>
      <c r="DF2081">
        <v>0</v>
      </c>
      <c r="DG2081">
        <v>0</v>
      </c>
      <c r="DH2081">
        <v>0</v>
      </c>
      <c r="DI2081">
        <v>0</v>
      </c>
    </row>
    <row r="2082" spans="1:113" x14ac:dyDescent="0.3">
      <c r="A2082" t="str">
        <f>"02/08/2021 20:25:29.632"</f>
        <v>02/08/2021 20:25:29.632</v>
      </c>
      <c r="C2082" t="str">
        <f t="shared" si="99"/>
        <v>FFDFD7C0</v>
      </c>
      <c r="D2082" t="s">
        <v>113</v>
      </c>
      <c r="E2082">
        <v>6</v>
      </c>
      <c r="H2082">
        <v>165</v>
      </c>
      <c r="I2082" t="s">
        <v>114</v>
      </c>
      <c r="J2082" t="s">
        <v>115</v>
      </c>
      <c r="K2082">
        <v>0</v>
      </c>
      <c r="L2082">
        <v>3</v>
      </c>
      <c r="M2082">
        <v>0</v>
      </c>
      <c r="N2082">
        <v>2</v>
      </c>
      <c r="O2082">
        <v>1</v>
      </c>
      <c r="P2082">
        <v>0</v>
      </c>
      <c r="Q2082">
        <v>0</v>
      </c>
      <c r="S2082" t="str">
        <f>"20:25:31.992"</f>
        <v>20:25:31.992</v>
      </c>
      <c r="T2082" t="str">
        <f>"20:25:30.992"</f>
        <v>20:25:30.992</v>
      </c>
      <c r="U2082" t="str">
        <f t="shared" si="101"/>
        <v>AB01F4</v>
      </c>
      <c r="V2082">
        <v>0</v>
      </c>
      <c r="W2082">
        <v>0</v>
      </c>
      <c r="X2082">
        <v>2</v>
      </c>
      <c r="Z2082">
        <v>0</v>
      </c>
      <c r="AA2082">
        <v>9</v>
      </c>
      <c r="AB2082">
        <v>3</v>
      </c>
      <c r="AC2082">
        <v>0</v>
      </c>
      <c r="AD2082">
        <v>10</v>
      </c>
      <c r="AE2082">
        <v>0</v>
      </c>
      <c r="AF2082">
        <v>3</v>
      </c>
      <c r="AG2082">
        <v>2</v>
      </c>
      <c r="AH2082">
        <v>0</v>
      </c>
      <c r="AI2082" t="s">
        <v>1289</v>
      </c>
      <c r="AJ2082">
        <v>39.942298000000001</v>
      </c>
      <c r="AK2082" t="s">
        <v>1290</v>
      </c>
      <c r="AL2082">
        <v>-92.645022999999995</v>
      </c>
      <c r="AM2082">
        <v>100</v>
      </c>
      <c r="AN2082">
        <v>1700</v>
      </c>
      <c r="AO2082" t="s">
        <v>118</v>
      </c>
      <c r="AP2082">
        <v>-108</v>
      </c>
      <c r="AQ2082">
        <v>79</v>
      </c>
      <c r="AR2082">
        <v>0</v>
      </c>
      <c r="AZ2082">
        <v>1200</v>
      </c>
      <c r="BA2082">
        <v>1</v>
      </c>
      <c r="BB2082" t="str">
        <f t="shared" si="100"/>
        <v xml:space="preserve">N8080G  </v>
      </c>
      <c r="BC2082">
        <v>1</v>
      </c>
      <c r="BE2082">
        <v>0</v>
      </c>
      <c r="BF2082">
        <v>0</v>
      </c>
      <c r="BG2082">
        <v>0</v>
      </c>
      <c r="BH2082">
        <v>1700</v>
      </c>
      <c r="BI2082">
        <v>1</v>
      </c>
      <c r="BJ2082">
        <v>1</v>
      </c>
      <c r="BK2082">
        <v>1</v>
      </c>
      <c r="BL2082">
        <v>0</v>
      </c>
      <c r="BO2082">
        <v>0</v>
      </c>
      <c r="BP2082">
        <v>0</v>
      </c>
      <c r="BW2082" t="str">
        <f>"20:25:31.995"</f>
        <v>20:25:31.995</v>
      </c>
      <c r="BZ2082">
        <v>0</v>
      </c>
      <c r="CA2082">
        <v>2016</v>
      </c>
      <c r="CB2082">
        <v>224</v>
      </c>
      <c r="CD2082">
        <v>1</v>
      </c>
      <c r="CE2082">
        <v>0</v>
      </c>
      <c r="CF2082">
        <v>0</v>
      </c>
      <c r="CG2082">
        <v>1</v>
      </c>
      <c r="CH2082">
        <v>0</v>
      </c>
      <c r="CI2082">
        <v>0</v>
      </c>
      <c r="CJ2082">
        <v>0</v>
      </c>
      <c r="CK2082">
        <v>2</v>
      </c>
      <c r="CL2082">
        <v>0</v>
      </c>
      <c r="CM2082">
        <v>2</v>
      </c>
      <c r="CN2082">
        <v>0</v>
      </c>
      <c r="CO2082">
        <v>2</v>
      </c>
      <c r="CP2082" t="s">
        <v>119</v>
      </c>
      <c r="CQ2082">
        <v>179</v>
      </c>
      <c r="CR2082">
        <v>1</v>
      </c>
      <c r="CW2082">
        <v>8874072</v>
      </c>
      <c r="CY2082">
        <v>1</v>
      </c>
      <c r="CZ2082">
        <v>0</v>
      </c>
      <c r="DA2082">
        <v>1</v>
      </c>
      <c r="DB2082">
        <v>0</v>
      </c>
      <c r="DC2082">
        <v>0</v>
      </c>
      <c r="DD2082">
        <v>0</v>
      </c>
      <c r="DE2082">
        <v>0</v>
      </c>
      <c r="DF2082">
        <v>0</v>
      </c>
      <c r="DG2082">
        <v>0</v>
      </c>
      <c r="DH2082">
        <v>0</v>
      </c>
      <c r="DI2082">
        <v>0</v>
      </c>
    </row>
    <row r="2083" spans="1:113" x14ac:dyDescent="0.3">
      <c r="A2083" t="str">
        <f>"02/08/2021 20:25:30.671"</f>
        <v>02/08/2021 20:25:30.671</v>
      </c>
      <c r="C2083" t="str">
        <f t="shared" si="99"/>
        <v>FFDFD7C0</v>
      </c>
      <c r="D2083" t="s">
        <v>124</v>
      </c>
      <c r="E2083">
        <v>12</v>
      </c>
      <c r="F2083">
        <v>1012</v>
      </c>
      <c r="G2083" t="s">
        <v>675</v>
      </c>
      <c r="J2083" t="s">
        <v>125</v>
      </c>
      <c r="K2083">
        <v>0</v>
      </c>
      <c r="L2083">
        <v>3</v>
      </c>
      <c r="M2083">
        <v>0</v>
      </c>
      <c r="N2083">
        <v>2</v>
      </c>
      <c r="O2083">
        <v>1</v>
      </c>
      <c r="P2083">
        <v>0</v>
      </c>
      <c r="Q2083">
        <v>0</v>
      </c>
      <c r="S2083" t="str">
        <f>"20:25:33.000"</f>
        <v>20:25:33.000</v>
      </c>
      <c r="T2083" t="str">
        <f>"20:25:32.500"</f>
        <v>20:25:32.500</v>
      </c>
      <c r="U2083" t="str">
        <f t="shared" si="101"/>
        <v>AB01F4</v>
      </c>
      <c r="V2083">
        <v>0</v>
      </c>
      <c r="W2083">
        <v>0</v>
      </c>
      <c r="X2083">
        <v>2</v>
      </c>
      <c r="Z2083">
        <v>0</v>
      </c>
      <c r="AA2083">
        <v>9</v>
      </c>
      <c r="AB2083">
        <v>3</v>
      </c>
      <c r="AC2083">
        <v>0</v>
      </c>
      <c r="AD2083">
        <v>10</v>
      </c>
      <c r="AE2083">
        <v>0</v>
      </c>
      <c r="AF2083">
        <v>3</v>
      </c>
      <c r="AG2083">
        <v>2</v>
      </c>
      <c r="AH2083">
        <v>0</v>
      </c>
      <c r="AI2083" t="s">
        <v>1291</v>
      </c>
      <c r="AJ2083">
        <v>39.942663000000003</v>
      </c>
      <c r="AK2083" t="s">
        <v>1292</v>
      </c>
      <c r="AL2083">
        <v>-92.645623999999998</v>
      </c>
      <c r="AM2083">
        <v>100</v>
      </c>
      <c r="AN2083">
        <v>1700</v>
      </c>
      <c r="AO2083" t="s">
        <v>118</v>
      </c>
      <c r="AP2083">
        <v>-108</v>
      </c>
      <c r="AQ2083">
        <v>79</v>
      </c>
      <c r="AR2083">
        <v>0</v>
      </c>
      <c r="AZ2083">
        <v>1200</v>
      </c>
      <c r="BA2083">
        <v>1</v>
      </c>
      <c r="BB2083" t="str">
        <f t="shared" si="100"/>
        <v xml:space="preserve">N8080G  </v>
      </c>
      <c r="BC2083">
        <v>1</v>
      </c>
      <c r="BE2083">
        <v>0</v>
      </c>
      <c r="BF2083">
        <v>0</v>
      </c>
      <c r="BG2083">
        <v>0</v>
      </c>
      <c r="BH2083">
        <v>1700</v>
      </c>
      <c r="BI2083">
        <v>1</v>
      </c>
      <c r="BJ2083">
        <v>1</v>
      </c>
      <c r="BK2083">
        <v>1</v>
      </c>
      <c r="BL2083">
        <v>0</v>
      </c>
      <c r="BO2083">
        <v>0</v>
      </c>
      <c r="BP2083">
        <v>0</v>
      </c>
      <c r="BW2083" t="str">
        <f>"20:25:33.001"</f>
        <v>20:25:33.001</v>
      </c>
      <c r="BZ2083">
        <v>0</v>
      </c>
      <c r="CA2083">
        <v>2016</v>
      </c>
      <c r="CB2083">
        <v>224</v>
      </c>
      <c r="CD2083">
        <v>1</v>
      </c>
      <c r="CE2083">
        <v>0</v>
      </c>
      <c r="CF2083">
        <v>0</v>
      </c>
      <c r="CG2083">
        <v>1</v>
      </c>
      <c r="CH2083">
        <v>0</v>
      </c>
      <c r="CI2083">
        <v>0</v>
      </c>
      <c r="CJ2083">
        <v>0</v>
      </c>
      <c r="CK2083">
        <v>2</v>
      </c>
      <c r="CL2083">
        <v>0</v>
      </c>
      <c r="CM2083">
        <v>2</v>
      </c>
      <c r="CN2083">
        <v>0</v>
      </c>
      <c r="CO2083">
        <v>7</v>
      </c>
      <c r="CP2083" t="s">
        <v>119</v>
      </c>
      <c r="CQ2083">
        <v>180</v>
      </c>
      <c r="CR2083">
        <v>1</v>
      </c>
      <c r="CW2083">
        <v>11006473</v>
      </c>
      <c r="CY2083">
        <v>1</v>
      </c>
      <c r="CZ2083">
        <v>0</v>
      </c>
      <c r="DA2083">
        <v>0</v>
      </c>
      <c r="DB2083">
        <v>0</v>
      </c>
      <c r="DC2083">
        <v>0</v>
      </c>
      <c r="DD2083">
        <v>0</v>
      </c>
      <c r="DE2083">
        <v>0</v>
      </c>
      <c r="DF2083">
        <v>0</v>
      </c>
      <c r="DG2083">
        <v>0</v>
      </c>
      <c r="DH2083">
        <v>0</v>
      </c>
      <c r="DI2083">
        <v>0</v>
      </c>
    </row>
    <row r="2084" spans="1:113" x14ac:dyDescent="0.3">
      <c r="A2084" t="str">
        <f>"02/08/2021 20:25:30.671"</f>
        <v>02/08/2021 20:25:30.671</v>
      </c>
      <c r="C2084" t="str">
        <f t="shared" si="99"/>
        <v>FFDFD7C0</v>
      </c>
      <c r="D2084" t="s">
        <v>113</v>
      </c>
      <c r="E2084">
        <v>6</v>
      </c>
      <c r="H2084">
        <v>165</v>
      </c>
      <c r="I2084" t="s">
        <v>114</v>
      </c>
      <c r="J2084" t="s">
        <v>115</v>
      </c>
      <c r="K2084">
        <v>0</v>
      </c>
      <c r="L2084">
        <v>3</v>
      </c>
      <c r="M2084">
        <v>0</v>
      </c>
      <c r="N2084">
        <v>2</v>
      </c>
      <c r="O2084">
        <v>1</v>
      </c>
      <c r="P2084">
        <v>0</v>
      </c>
      <c r="Q2084">
        <v>0</v>
      </c>
      <c r="S2084" t="str">
        <f>"20:25:33.000"</f>
        <v>20:25:33.000</v>
      </c>
      <c r="T2084" t="str">
        <f>"20:25:32.500"</f>
        <v>20:25:32.500</v>
      </c>
      <c r="U2084" t="str">
        <f t="shared" si="101"/>
        <v>AB01F4</v>
      </c>
      <c r="V2084">
        <v>0</v>
      </c>
      <c r="W2084">
        <v>0</v>
      </c>
      <c r="X2084">
        <v>2</v>
      </c>
      <c r="Z2084">
        <v>0</v>
      </c>
      <c r="AA2084">
        <v>9</v>
      </c>
      <c r="AB2084">
        <v>3</v>
      </c>
      <c r="AC2084">
        <v>0</v>
      </c>
      <c r="AD2084">
        <v>10</v>
      </c>
      <c r="AE2084">
        <v>0</v>
      </c>
      <c r="AF2084">
        <v>3</v>
      </c>
      <c r="AG2084">
        <v>2</v>
      </c>
      <c r="AH2084">
        <v>0</v>
      </c>
      <c r="AI2084" t="s">
        <v>1291</v>
      </c>
      <c r="AJ2084">
        <v>39.942663000000003</v>
      </c>
      <c r="AK2084" t="s">
        <v>1292</v>
      </c>
      <c r="AL2084">
        <v>-92.645623999999998</v>
      </c>
      <c r="AM2084">
        <v>100</v>
      </c>
      <c r="AN2084">
        <v>1700</v>
      </c>
      <c r="AO2084" t="s">
        <v>118</v>
      </c>
      <c r="AP2084">
        <v>-108</v>
      </c>
      <c r="AQ2084">
        <v>79</v>
      </c>
      <c r="AR2084">
        <v>0</v>
      </c>
      <c r="AZ2084">
        <v>1200</v>
      </c>
      <c r="BA2084">
        <v>1</v>
      </c>
      <c r="BB2084" t="str">
        <f t="shared" si="100"/>
        <v xml:space="preserve">N8080G  </v>
      </c>
      <c r="BC2084">
        <v>1</v>
      </c>
      <c r="BE2084">
        <v>0</v>
      </c>
      <c r="BF2084">
        <v>0</v>
      </c>
      <c r="BG2084">
        <v>0</v>
      </c>
      <c r="BH2084">
        <v>1700</v>
      </c>
      <c r="BI2084">
        <v>1</v>
      </c>
      <c r="BJ2084">
        <v>1</v>
      </c>
      <c r="BK2084">
        <v>1</v>
      </c>
      <c r="BL2084">
        <v>0</v>
      </c>
      <c r="BO2084">
        <v>0</v>
      </c>
      <c r="BP2084">
        <v>0</v>
      </c>
      <c r="BW2084" t="str">
        <f>"20:25:33.001"</f>
        <v>20:25:33.001</v>
      </c>
      <c r="BZ2084">
        <v>0</v>
      </c>
      <c r="CA2084">
        <v>2016</v>
      </c>
      <c r="CB2084">
        <v>224</v>
      </c>
      <c r="CD2084">
        <v>1</v>
      </c>
      <c r="CE2084">
        <v>0</v>
      </c>
      <c r="CF2084">
        <v>0</v>
      </c>
      <c r="CG2084">
        <v>1</v>
      </c>
      <c r="CH2084">
        <v>0</v>
      </c>
      <c r="CI2084">
        <v>0</v>
      </c>
      <c r="CJ2084">
        <v>0</v>
      </c>
      <c r="CK2084">
        <v>2</v>
      </c>
      <c r="CL2084">
        <v>0</v>
      </c>
      <c r="CM2084">
        <v>2</v>
      </c>
      <c r="CN2084">
        <v>0</v>
      </c>
      <c r="CO2084">
        <v>7</v>
      </c>
      <c r="CP2084" t="s">
        <v>119</v>
      </c>
      <c r="CQ2084">
        <v>180</v>
      </c>
      <c r="CR2084">
        <v>1</v>
      </c>
      <c r="CW2084">
        <v>11006473</v>
      </c>
      <c r="CY2084">
        <v>1</v>
      </c>
      <c r="CZ2084">
        <v>0</v>
      </c>
      <c r="DA2084">
        <v>1</v>
      </c>
      <c r="DB2084">
        <v>0</v>
      </c>
      <c r="DC2084">
        <v>0</v>
      </c>
      <c r="DD2084">
        <v>0</v>
      </c>
      <c r="DE2084">
        <v>0</v>
      </c>
      <c r="DF2084">
        <v>0</v>
      </c>
      <c r="DG2084">
        <v>0</v>
      </c>
      <c r="DH2084">
        <v>0</v>
      </c>
      <c r="DI2084">
        <v>0</v>
      </c>
    </row>
    <row r="2085" spans="1:113" x14ac:dyDescent="0.3">
      <c r="A2085" t="str">
        <f>"02/08/2021 20:25:30.671"</f>
        <v>02/08/2021 20:25:30.671</v>
      </c>
      <c r="C2085" t="str">
        <f t="shared" si="99"/>
        <v>FFDFD7C0</v>
      </c>
      <c r="D2085" t="s">
        <v>124</v>
      </c>
      <c r="E2085">
        <v>13</v>
      </c>
      <c r="F2085">
        <v>1013</v>
      </c>
      <c r="G2085" t="s">
        <v>114</v>
      </c>
      <c r="J2085" t="s">
        <v>125</v>
      </c>
      <c r="K2085">
        <v>0</v>
      </c>
      <c r="L2085">
        <v>3</v>
      </c>
      <c r="M2085">
        <v>0</v>
      </c>
      <c r="N2085">
        <v>2</v>
      </c>
      <c r="O2085">
        <v>1</v>
      </c>
      <c r="P2085">
        <v>0</v>
      </c>
      <c r="Q2085">
        <v>0</v>
      </c>
      <c r="S2085" t="str">
        <f>"20:25:33.000"</f>
        <v>20:25:33.000</v>
      </c>
      <c r="T2085" t="str">
        <f>"20:25:32.500"</f>
        <v>20:25:32.500</v>
      </c>
      <c r="U2085" t="str">
        <f t="shared" si="101"/>
        <v>AB01F4</v>
      </c>
      <c r="V2085">
        <v>0</v>
      </c>
      <c r="W2085">
        <v>0</v>
      </c>
      <c r="X2085">
        <v>2</v>
      </c>
      <c r="Z2085">
        <v>0</v>
      </c>
      <c r="AA2085">
        <v>9</v>
      </c>
      <c r="AB2085">
        <v>3</v>
      </c>
      <c r="AC2085">
        <v>0</v>
      </c>
      <c r="AD2085">
        <v>10</v>
      </c>
      <c r="AE2085">
        <v>0</v>
      </c>
      <c r="AF2085">
        <v>3</v>
      </c>
      <c r="AG2085">
        <v>2</v>
      </c>
      <c r="AH2085">
        <v>0</v>
      </c>
      <c r="AI2085" t="s">
        <v>1291</v>
      </c>
      <c r="AJ2085">
        <v>39.942663000000003</v>
      </c>
      <c r="AK2085" t="s">
        <v>1292</v>
      </c>
      <c r="AL2085">
        <v>-92.645623999999998</v>
      </c>
      <c r="AM2085">
        <v>100</v>
      </c>
      <c r="AN2085">
        <v>1700</v>
      </c>
      <c r="AO2085" t="s">
        <v>118</v>
      </c>
      <c r="AP2085">
        <v>-108</v>
      </c>
      <c r="AQ2085">
        <v>79</v>
      </c>
      <c r="AR2085">
        <v>0</v>
      </c>
      <c r="AZ2085">
        <v>1200</v>
      </c>
      <c r="BA2085">
        <v>1</v>
      </c>
      <c r="BB2085" t="str">
        <f t="shared" si="100"/>
        <v xml:space="preserve">N8080G  </v>
      </c>
      <c r="BC2085">
        <v>1</v>
      </c>
      <c r="BE2085">
        <v>0</v>
      </c>
      <c r="BF2085">
        <v>0</v>
      </c>
      <c r="BG2085">
        <v>0</v>
      </c>
      <c r="BH2085">
        <v>1700</v>
      </c>
      <c r="BI2085">
        <v>1</v>
      </c>
      <c r="BJ2085">
        <v>1</v>
      </c>
      <c r="BK2085">
        <v>1</v>
      </c>
      <c r="BL2085">
        <v>0</v>
      </c>
      <c r="BO2085">
        <v>0</v>
      </c>
      <c r="BP2085">
        <v>0</v>
      </c>
      <c r="BW2085" t="str">
        <f>"20:25:33.001"</f>
        <v>20:25:33.001</v>
      </c>
      <c r="BZ2085">
        <v>0</v>
      </c>
      <c r="CA2085">
        <v>2016</v>
      </c>
      <c r="CB2085">
        <v>224</v>
      </c>
      <c r="CD2085">
        <v>1</v>
      </c>
      <c r="CE2085">
        <v>0</v>
      </c>
      <c r="CF2085">
        <v>0</v>
      </c>
      <c r="CG2085">
        <v>1</v>
      </c>
      <c r="CH2085">
        <v>0</v>
      </c>
      <c r="CI2085">
        <v>0</v>
      </c>
      <c r="CJ2085">
        <v>0</v>
      </c>
      <c r="CK2085">
        <v>2</v>
      </c>
      <c r="CL2085">
        <v>0</v>
      </c>
      <c r="CM2085">
        <v>2</v>
      </c>
      <c r="CN2085">
        <v>0</v>
      </c>
      <c r="CO2085">
        <v>7</v>
      </c>
      <c r="CP2085" t="s">
        <v>119</v>
      </c>
      <c r="CQ2085">
        <v>180</v>
      </c>
      <c r="CR2085">
        <v>1</v>
      </c>
      <c r="CW2085">
        <v>11006473</v>
      </c>
      <c r="CY2085">
        <v>1</v>
      </c>
      <c r="CZ2085">
        <v>0</v>
      </c>
      <c r="DA2085">
        <v>1</v>
      </c>
      <c r="DB2085">
        <v>0</v>
      </c>
      <c r="DC2085">
        <v>0</v>
      </c>
      <c r="DD2085">
        <v>0</v>
      </c>
      <c r="DE2085">
        <v>0</v>
      </c>
      <c r="DF2085">
        <v>0</v>
      </c>
      <c r="DG2085">
        <v>0</v>
      </c>
      <c r="DH2085">
        <v>0</v>
      </c>
      <c r="DI2085">
        <v>0</v>
      </c>
    </row>
    <row r="2086" spans="1:113" x14ac:dyDescent="0.3">
      <c r="A2086" t="str">
        <f>"02/08/2021 20:25:30.671"</f>
        <v>02/08/2021 20:25:30.671</v>
      </c>
      <c r="C2086" t="str">
        <f t="shared" si="99"/>
        <v>FFDFD7C0</v>
      </c>
      <c r="D2086" t="s">
        <v>124</v>
      </c>
      <c r="E2086">
        <v>11</v>
      </c>
      <c r="F2086">
        <v>1011</v>
      </c>
      <c r="G2086" t="s">
        <v>590</v>
      </c>
      <c r="J2086" t="s">
        <v>125</v>
      </c>
      <c r="K2086">
        <v>0</v>
      </c>
      <c r="L2086">
        <v>3</v>
      </c>
      <c r="M2086">
        <v>0</v>
      </c>
      <c r="N2086">
        <v>2</v>
      </c>
      <c r="O2086">
        <v>1</v>
      </c>
      <c r="P2086">
        <v>0</v>
      </c>
      <c r="Q2086">
        <v>0</v>
      </c>
      <c r="S2086" t="str">
        <f>"20:25:33.000"</f>
        <v>20:25:33.000</v>
      </c>
      <c r="T2086" t="str">
        <f>"20:25:32.500"</f>
        <v>20:25:32.500</v>
      </c>
      <c r="U2086" t="str">
        <f t="shared" si="101"/>
        <v>AB01F4</v>
      </c>
      <c r="V2086">
        <v>0</v>
      </c>
      <c r="W2086">
        <v>0</v>
      </c>
      <c r="X2086">
        <v>2</v>
      </c>
      <c r="Z2086">
        <v>0</v>
      </c>
      <c r="AA2086">
        <v>9</v>
      </c>
      <c r="AB2086">
        <v>3</v>
      </c>
      <c r="AC2086">
        <v>0</v>
      </c>
      <c r="AD2086">
        <v>10</v>
      </c>
      <c r="AE2086">
        <v>0</v>
      </c>
      <c r="AF2086">
        <v>3</v>
      </c>
      <c r="AG2086">
        <v>2</v>
      </c>
      <c r="AH2086">
        <v>0</v>
      </c>
      <c r="AI2086" t="s">
        <v>1291</v>
      </c>
      <c r="AJ2086">
        <v>39.942663000000003</v>
      </c>
      <c r="AK2086" t="s">
        <v>1292</v>
      </c>
      <c r="AL2086">
        <v>-92.645623999999998</v>
      </c>
      <c r="AM2086">
        <v>100</v>
      </c>
      <c r="AN2086">
        <v>1700</v>
      </c>
      <c r="AO2086" t="s">
        <v>118</v>
      </c>
      <c r="AP2086">
        <v>-108</v>
      </c>
      <c r="AQ2086">
        <v>79</v>
      </c>
      <c r="AR2086">
        <v>0</v>
      </c>
      <c r="AZ2086">
        <v>1200</v>
      </c>
      <c r="BA2086">
        <v>1</v>
      </c>
      <c r="BB2086" t="str">
        <f t="shared" si="100"/>
        <v xml:space="preserve">N8080G  </v>
      </c>
      <c r="BC2086">
        <v>1</v>
      </c>
      <c r="BE2086">
        <v>0</v>
      </c>
      <c r="BF2086">
        <v>0</v>
      </c>
      <c r="BG2086">
        <v>0</v>
      </c>
      <c r="BH2086">
        <v>1700</v>
      </c>
      <c r="BI2086">
        <v>1</v>
      </c>
      <c r="BJ2086">
        <v>1</v>
      </c>
      <c r="BK2086">
        <v>1</v>
      </c>
      <c r="BL2086">
        <v>0</v>
      </c>
      <c r="BO2086">
        <v>0</v>
      </c>
      <c r="BP2086">
        <v>0</v>
      </c>
      <c r="BW2086" t="str">
        <f>"20:25:33.001"</f>
        <v>20:25:33.001</v>
      </c>
      <c r="BZ2086">
        <v>0</v>
      </c>
      <c r="CA2086">
        <v>2016</v>
      </c>
      <c r="CB2086">
        <v>224</v>
      </c>
      <c r="CD2086">
        <v>1</v>
      </c>
      <c r="CE2086">
        <v>0</v>
      </c>
      <c r="CF2086">
        <v>0</v>
      </c>
      <c r="CG2086">
        <v>1</v>
      </c>
      <c r="CH2086">
        <v>0</v>
      </c>
      <c r="CI2086">
        <v>0</v>
      </c>
      <c r="CJ2086">
        <v>0</v>
      </c>
      <c r="CK2086">
        <v>2</v>
      </c>
      <c r="CL2086">
        <v>0</v>
      </c>
      <c r="CM2086">
        <v>2</v>
      </c>
      <c r="CN2086">
        <v>0</v>
      </c>
      <c r="CO2086">
        <v>7</v>
      </c>
      <c r="CP2086" t="s">
        <v>119</v>
      </c>
      <c r="CQ2086">
        <v>180</v>
      </c>
      <c r="CR2086">
        <v>1</v>
      </c>
      <c r="CW2086">
        <v>11006473</v>
      </c>
      <c r="CY2086">
        <v>1</v>
      </c>
      <c r="CZ2086">
        <v>0</v>
      </c>
      <c r="DA2086">
        <v>1</v>
      </c>
      <c r="DB2086">
        <v>0</v>
      </c>
      <c r="DC2086">
        <v>0</v>
      </c>
      <c r="DD2086">
        <v>0</v>
      </c>
      <c r="DE2086">
        <v>0</v>
      </c>
      <c r="DF2086">
        <v>0</v>
      </c>
      <c r="DG2086">
        <v>0</v>
      </c>
      <c r="DH2086">
        <v>0</v>
      </c>
      <c r="DI2086">
        <v>0</v>
      </c>
    </row>
    <row r="2087" spans="1:113" x14ac:dyDescent="0.3">
      <c r="A2087" t="str">
        <f>"02/08/2021 20:25:31.727"</f>
        <v>02/08/2021 20:25:31.727</v>
      </c>
      <c r="C2087" t="str">
        <f t="shared" si="99"/>
        <v>FFDFD7C0</v>
      </c>
      <c r="D2087" t="s">
        <v>124</v>
      </c>
      <c r="E2087">
        <v>12</v>
      </c>
      <c r="F2087">
        <v>1012</v>
      </c>
      <c r="G2087" t="s">
        <v>675</v>
      </c>
      <c r="J2087" t="s">
        <v>125</v>
      </c>
      <c r="K2087">
        <v>0</v>
      </c>
      <c r="L2087">
        <v>3</v>
      </c>
      <c r="M2087">
        <v>0</v>
      </c>
      <c r="N2087">
        <v>2</v>
      </c>
      <c r="O2087">
        <v>1</v>
      </c>
      <c r="P2087">
        <v>0</v>
      </c>
      <c r="Q2087">
        <v>0</v>
      </c>
      <c r="S2087" t="str">
        <f>"20:25:34.023"</f>
        <v>20:25:34.023</v>
      </c>
      <c r="T2087" t="str">
        <f>"20:25:33.523"</f>
        <v>20:25:33.523</v>
      </c>
      <c r="U2087" t="str">
        <f t="shared" si="101"/>
        <v>AB01F4</v>
      </c>
      <c r="V2087">
        <v>0</v>
      </c>
      <c r="W2087">
        <v>0</v>
      </c>
      <c r="X2087">
        <v>2</v>
      </c>
      <c r="Z2087">
        <v>0</v>
      </c>
      <c r="AA2087">
        <v>9</v>
      </c>
      <c r="AB2087">
        <v>3</v>
      </c>
      <c r="AC2087">
        <v>0</v>
      </c>
      <c r="AD2087">
        <v>10</v>
      </c>
      <c r="AE2087">
        <v>0</v>
      </c>
      <c r="AF2087">
        <v>3</v>
      </c>
      <c r="AG2087">
        <v>2</v>
      </c>
      <c r="AH2087">
        <v>0</v>
      </c>
      <c r="AI2087" t="s">
        <v>1293</v>
      </c>
      <c r="AJ2087">
        <v>39.943069999999999</v>
      </c>
      <c r="AK2087" t="s">
        <v>1294</v>
      </c>
      <c r="AL2087">
        <v>-92.646395999999996</v>
      </c>
      <c r="AM2087">
        <v>100</v>
      </c>
      <c r="AN2087">
        <v>1700</v>
      </c>
      <c r="AO2087" t="s">
        <v>118</v>
      </c>
      <c r="AP2087">
        <v>-108</v>
      </c>
      <c r="AQ2087">
        <v>78</v>
      </c>
      <c r="AR2087">
        <v>64</v>
      </c>
      <c r="AZ2087">
        <v>1200</v>
      </c>
      <c r="BA2087">
        <v>1</v>
      </c>
      <c r="BB2087" t="str">
        <f t="shared" si="100"/>
        <v xml:space="preserve">N8080G  </v>
      </c>
      <c r="BC2087">
        <v>1</v>
      </c>
      <c r="BE2087">
        <v>0</v>
      </c>
      <c r="BF2087">
        <v>0</v>
      </c>
      <c r="BG2087">
        <v>0</v>
      </c>
      <c r="BH2087">
        <v>1700</v>
      </c>
      <c r="BI2087">
        <v>1</v>
      </c>
      <c r="BJ2087">
        <v>1</v>
      </c>
      <c r="BK2087">
        <v>1</v>
      </c>
      <c r="BL2087">
        <v>0</v>
      </c>
      <c r="BO2087">
        <v>0</v>
      </c>
      <c r="BP2087">
        <v>0</v>
      </c>
      <c r="BW2087" t="str">
        <f>"20:25:34.027"</f>
        <v>20:25:34.027</v>
      </c>
      <c r="BZ2087">
        <v>0</v>
      </c>
      <c r="CA2087">
        <v>2016</v>
      </c>
      <c r="CB2087">
        <v>224</v>
      </c>
      <c r="CD2087">
        <v>1</v>
      </c>
      <c r="CE2087">
        <v>0</v>
      </c>
      <c r="CF2087">
        <v>0</v>
      </c>
      <c r="CG2087">
        <v>1</v>
      </c>
      <c r="CH2087">
        <v>0</v>
      </c>
      <c r="CI2087">
        <v>0</v>
      </c>
      <c r="CJ2087">
        <v>0</v>
      </c>
      <c r="CK2087">
        <v>2</v>
      </c>
      <c r="CL2087">
        <v>0</v>
      </c>
      <c r="CM2087">
        <v>2</v>
      </c>
      <c r="CN2087">
        <v>0</v>
      </c>
      <c r="CO2087">
        <v>2</v>
      </c>
      <c r="CP2087" t="s">
        <v>119</v>
      </c>
      <c r="CQ2087">
        <v>179</v>
      </c>
      <c r="CR2087">
        <v>1</v>
      </c>
      <c r="CW2087">
        <v>8875989</v>
      </c>
      <c r="CY2087">
        <v>1</v>
      </c>
      <c r="CZ2087">
        <v>0</v>
      </c>
      <c r="DA2087">
        <v>0</v>
      </c>
      <c r="DB2087">
        <v>0</v>
      </c>
      <c r="DC2087">
        <v>0</v>
      </c>
      <c r="DD2087">
        <v>0</v>
      </c>
      <c r="DE2087">
        <v>0</v>
      </c>
      <c r="DF2087">
        <v>0</v>
      </c>
      <c r="DG2087">
        <v>0</v>
      </c>
      <c r="DH2087">
        <v>0</v>
      </c>
      <c r="DI2087">
        <v>0</v>
      </c>
    </row>
    <row r="2088" spans="1:113" x14ac:dyDescent="0.3">
      <c r="A2088" t="str">
        <f>"02/08/2021 20:25:31.727"</f>
        <v>02/08/2021 20:25:31.727</v>
      </c>
      <c r="C2088" t="str">
        <f t="shared" si="99"/>
        <v>FFDFD7C0</v>
      </c>
      <c r="D2088" t="s">
        <v>124</v>
      </c>
      <c r="E2088">
        <v>13</v>
      </c>
      <c r="F2088">
        <v>1013</v>
      </c>
      <c r="G2088" t="s">
        <v>114</v>
      </c>
      <c r="J2088" t="s">
        <v>125</v>
      </c>
      <c r="K2088">
        <v>0</v>
      </c>
      <c r="L2088">
        <v>3</v>
      </c>
      <c r="M2088">
        <v>0</v>
      </c>
      <c r="N2088">
        <v>2</v>
      </c>
      <c r="O2088">
        <v>1</v>
      </c>
      <c r="P2088">
        <v>0</v>
      </c>
      <c r="Q2088">
        <v>0</v>
      </c>
      <c r="S2088" t="str">
        <f>"20:25:34.023"</f>
        <v>20:25:34.023</v>
      </c>
      <c r="T2088" t="str">
        <f>"20:25:33.523"</f>
        <v>20:25:33.523</v>
      </c>
      <c r="U2088" t="str">
        <f t="shared" si="101"/>
        <v>AB01F4</v>
      </c>
      <c r="V2088">
        <v>0</v>
      </c>
      <c r="W2088">
        <v>0</v>
      </c>
      <c r="X2088">
        <v>2</v>
      </c>
      <c r="Z2088">
        <v>0</v>
      </c>
      <c r="AA2088">
        <v>9</v>
      </c>
      <c r="AB2088">
        <v>3</v>
      </c>
      <c r="AC2088">
        <v>0</v>
      </c>
      <c r="AD2088">
        <v>10</v>
      </c>
      <c r="AE2088">
        <v>0</v>
      </c>
      <c r="AF2088">
        <v>3</v>
      </c>
      <c r="AG2088">
        <v>2</v>
      </c>
      <c r="AH2088">
        <v>0</v>
      </c>
      <c r="AI2088" t="s">
        <v>1293</v>
      </c>
      <c r="AJ2088">
        <v>39.943069999999999</v>
      </c>
      <c r="AK2088" t="s">
        <v>1294</v>
      </c>
      <c r="AL2088">
        <v>-92.646395999999996</v>
      </c>
      <c r="AM2088">
        <v>100</v>
      </c>
      <c r="AN2088">
        <v>1700</v>
      </c>
      <c r="AO2088" t="s">
        <v>118</v>
      </c>
      <c r="AP2088">
        <v>-108</v>
      </c>
      <c r="AQ2088">
        <v>78</v>
      </c>
      <c r="AR2088">
        <v>64</v>
      </c>
      <c r="AZ2088">
        <v>1200</v>
      </c>
      <c r="BA2088">
        <v>1</v>
      </c>
      <c r="BB2088" t="str">
        <f t="shared" si="100"/>
        <v xml:space="preserve">N8080G  </v>
      </c>
      <c r="BC2088">
        <v>1</v>
      </c>
      <c r="BE2088">
        <v>0</v>
      </c>
      <c r="BF2088">
        <v>0</v>
      </c>
      <c r="BG2088">
        <v>0</v>
      </c>
      <c r="BH2088">
        <v>1700</v>
      </c>
      <c r="BI2088">
        <v>1</v>
      </c>
      <c r="BJ2088">
        <v>1</v>
      </c>
      <c r="BK2088">
        <v>1</v>
      </c>
      <c r="BL2088">
        <v>0</v>
      </c>
      <c r="BO2088">
        <v>0</v>
      </c>
      <c r="BP2088">
        <v>0</v>
      </c>
      <c r="BW2088" t="str">
        <f>"20:25:34.027"</f>
        <v>20:25:34.027</v>
      </c>
      <c r="BZ2088">
        <v>0</v>
      </c>
      <c r="CA2088">
        <v>2016</v>
      </c>
      <c r="CB2088">
        <v>224</v>
      </c>
      <c r="CD2088">
        <v>1</v>
      </c>
      <c r="CE2088">
        <v>0</v>
      </c>
      <c r="CF2088">
        <v>0</v>
      </c>
      <c r="CG2088">
        <v>1</v>
      </c>
      <c r="CH2088">
        <v>0</v>
      </c>
      <c r="CI2088">
        <v>0</v>
      </c>
      <c r="CJ2088">
        <v>0</v>
      </c>
      <c r="CK2088">
        <v>2</v>
      </c>
      <c r="CL2088">
        <v>0</v>
      </c>
      <c r="CM2088">
        <v>2</v>
      </c>
      <c r="CN2088">
        <v>0</v>
      </c>
      <c r="CO2088">
        <v>2</v>
      </c>
      <c r="CP2088" t="s">
        <v>119</v>
      </c>
      <c r="CQ2088">
        <v>179</v>
      </c>
      <c r="CR2088">
        <v>1</v>
      </c>
      <c r="CW2088">
        <v>8875989</v>
      </c>
      <c r="CY2088">
        <v>1</v>
      </c>
      <c r="CZ2088">
        <v>0</v>
      </c>
      <c r="DA2088">
        <v>1</v>
      </c>
      <c r="DB2088">
        <v>0</v>
      </c>
      <c r="DC2088">
        <v>0</v>
      </c>
      <c r="DD2088">
        <v>0</v>
      </c>
      <c r="DE2088">
        <v>0</v>
      </c>
      <c r="DF2088">
        <v>0</v>
      </c>
      <c r="DG2088">
        <v>0</v>
      </c>
      <c r="DH2088">
        <v>0</v>
      </c>
      <c r="DI2088">
        <v>0</v>
      </c>
    </row>
    <row r="2089" spans="1:113" x14ac:dyDescent="0.3">
      <c r="A2089" t="str">
        <f>"02/08/2021 20:25:31.727"</f>
        <v>02/08/2021 20:25:31.727</v>
      </c>
      <c r="C2089" t="str">
        <f t="shared" si="99"/>
        <v>FFDFD7C0</v>
      </c>
      <c r="D2089" t="s">
        <v>113</v>
      </c>
      <c r="E2089">
        <v>6</v>
      </c>
      <c r="H2089">
        <v>165</v>
      </c>
      <c r="I2089" t="s">
        <v>114</v>
      </c>
      <c r="J2089" t="s">
        <v>115</v>
      </c>
      <c r="K2089">
        <v>0</v>
      </c>
      <c r="L2089">
        <v>3</v>
      </c>
      <c r="M2089">
        <v>0</v>
      </c>
      <c r="N2089">
        <v>2</v>
      </c>
      <c r="O2089">
        <v>1</v>
      </c>
      <c r="P2089">
        <v>0</v>
      </c>
      <c r="Q2089">
        <v>0</v>
      </c>
      <c r="S2089" t="str">
        <f>"20:25:34.023"</f>
        <v>20:25:34.023</v>
      </c>
      <c r="T2089" t="str">
        <f>"20:25:33.523"</f>
        <v>20:25:33.523</v>
      </c>
      <c r="U2089" t="str">
        <f t="shared" si="101"/>
        <v>AB01F4</v>
      </c>
      <c r="V2089">
        <v>0</v>
      </c>
      <c r="W2089">
        <v>0</v>
      </c>
      <c r="X2089">
        <v>2</v>
      </c>
      <c r="Z2089">
        <v>0</v>
      </c>
      <c r="AA2089">
        <v>9</v>
      </c>
      <c r="AB2089">
        <v>3</v>
      </c>
      <c r="AC2089">
        <v>0</v>
      </c>
      <c r="AD2089">
        <v>10</v>
      </c>
      <c r="AE2089">
        <v>0</v>
      </c>
      <c r="AF2089">
        <v>3</v>
      </c>
      <c r="AG2089">
        <v>2</v>
      </c>
      <c r="AH2089">
        <v>0</v>
      </c>
      <c r="AI2089" t="s">
        <v>1293</v>
      </c>
      <c r="AJ2089">
        <v>39.943069999999999</v>
      </c>
      <c r="AK2089" t="s">
        <v>1294</v>
      </c>
      <c r="AL2089">
        <v>-92.646395999999996</v>
      </c>
      <c r="AM2089">
        <v>100</v>
      </c>
      <c r="AN2089">
        <v>1700</v>
      </c>
      <c r="AO2089" t="s">
        <v>118</v>
      </c>
      <c r="AP2089">
        <v>-108</v>
      </c>
      <c r="AQ2089">
        <v>78</v>
      </c>
      <c r="AR2089">
        <v>64</v>
      </c>
      <c r="AZ2089">
        <v>1200</v>
      </c>
      <c r="BA2089">
        <v>1</v>
      </c>
      <c r="BB2089" t="str">
        <f t="shared" si="100"/>
        <v xml:space="preserve">N8080G  </v>
      </c>
      <c r="BC2089">
        <v>1</v>
      </c>
      <c r="BE2089">
        <v>0</v>
      </c>
      <c r="BF2089">
        <v>0</v>
      </c>
      <c r="BG2089">
        <v>0</v>
      </c>
      <c r="BH2089">
        <v>1700</v>
      </c>
      <c r="BI2089">
        <v>1</v>
      </c>
      <c r="BJ2089">
        <v>1</v>
      </c>
      <c r="BK2089">
        <v>1</v>
      </c>
      <c r="BL2089">
        <v>0</v>
      </c>
      <c r="BO2089">
        <v>0</v>
      </c>
      <c r="BP2089">
        <v>0</v>
      </c>
      <c r="BW2089" t="str">
        <f>"20:25:34.027"</f>
        <v>20:25:34.027</v>
      </c>
      <c r="BZ2089">
        <v>0</v>
      </c>
      <c r="CA2089">
        <v>2016</v>
      </c>
      <c r="CB2089">
        <v>224</v>
      </c>
      <c r="CD2089">
        <v>1</v>
      </c>
      <c r="CE2089">
        <v>0</v>
      </c>
      <c r="CF2089">
        <v>0</v>
      </c>
      <c r="CG2089">
        <v>1</v>
      </c>
      <c r="CH2089">
        <v>0</v>
      </c>
      <c r="CI2089">
        <v>0</v>
      </c>
      <c r="CJ2089">
        <v>0</v>
      </c>
      <c r="CK2089">
        <v>2</v>
      </c>
      <c r="CL2089">
        <v>0</v>
      </c>
      <c r="CM2089">
        <v>2</v>
      </c>
      <c r="CN2089">
        <v>0</v>
      </c>
      <c r="CO2089">
        <v>2</v>
      </c>
      <c r="CP2089" t="s">
        <v>119</v>
      </c>
      <c r="CQ2089">
        <v>179</v>
      </c>
      <c r="CR2089">
        <v>1</v>
      </c>
      <c r="CW2089">
        <v>8875989</v>
      </c>
      <c r="CY2089">
        <v>1</v>
      </c>
      <c r="CZ2089">
        <v>0</v>
      </c>
      <c r="DA2089">
        <v>1</v>
      </c>
      <c r="DB2089">
        <v>0</v>
      </c>
      <c r="DC2089">
        <v>0</v>
      </c>
      <c r="DD2089">
        <v>0</v>
      </c>
      <c r="DE2089">
        <v>0</v>
      </c>
      <c r="DF2089">
        <v>0</v>
      </c>
      <c r="DG2089">
        <v>0</v>
      </c>
      <c r="DH2089">
        <v>0</v>
      </c>
      <c r="DI2089">
        <v>0</v>
      </c>
    </row>
    <row r="2090" spans="1:113" x14ac:dyDescent="0.3">
      <c r="A2090" t="str">
        <f>"02/08/2021 20:25:31.727"</f>
        <v>02/08/2021 20:25:31.727</v>
      </c>
      <c r="C2090" t="str">
        <f t="shared" si="99"/>
        <v>FFDFD7C0</v>
      </c>
      <c r="D2090" t="s">
        <v>124</v>
      </c>
      <c r="E2090">
        <v>11</v>
      </c>
      <c r="F2090">
        <v>1011</v>
      </c>
      <c r="G2090" t="s">
        <v>590</v>
      </c>
      <c r="J2090" t="s">
        <v>125</v>
      </c>
      <c r="K2090">
        <v>0</v>
      </c>
      <c r="L2090">
        <v>3</v>
      </c>
      <c r="M2090">
        <v>0</v>
      </c>
      <c r="N2090">
        <v>2</v>
      </c>
      <c r="O2090">
        <v>1</v>
      </c>
      <c r="P2090">
        <v>0</v>
      </c>
      <c r="Q2090">
        <v>0</v>
      </c>
      <c r="S2090" t="str">
        <f>"20:25:34.023"</f>
        <v>20:25:34.023</v>
      </c>
      <c r="T2090" t="str">
        <f>"20:25:33.523"</f>
        <v>20:25:33.523</v>
      </c>
      <c r="U2090" t="str">
        <f t="shared" si="101"/>
        <v>AB01F4</v>
      </c>
      <c r="V2090">
        <v>0</v>
      </c>
      <c r="W2090">
        <v>0</v>
      </c>
      <c r="X2090">
        <v>2</v>
      </c>
      <c r="Z2090">
        <v>0</v>
      </c>
      <c r="AA2090">
        <v>9</v>
      </c>
      <c r="AB2090">
        <v>3</v>
      </c>
      <c r="AC2090">
        <v>0</v>
      </c>
      <c r="AD2090">
        <v>10</v>
      </c>
      <c r="AE2090">
        <v>0</v>
      </c>
      <c r="AF2090">
        <v>3</v>
      </c>
      <c r="AG2090">
        <v>2</v>
      </c>
      <c r="AH2090">
        <v>0</v>
      </c>
      <c r="AI2090" t="s">
        <v>1293</v>
      </c>
      <c r="AJ2090">
        <v>39.943069999999999</v>
      </c>
      <c r="AK2090" t="s">
        <v>1294</v>
      </c>
      <c r="AL2090">
        <v>-92.646395999999996</v>
      </c>
      <c r="AM2090">
        <v>100</v>
      </c>
      <c r="AN2090">
        <v>1700</v>
      </c>
      <c r="AO2090" t="s">
        <v>118</v>
      </c>
      <c r="AP2090">
        <v>-108</v>
      </c>
      <c r="AQ2090">
        <v>78</v>
      </c>
      <c r="AR2090">
        <v>64</v>
      </c>
      <c r="AZ2090">
        <v>1200</v>
      </c>
      <c r="BA2090">
        <v>1</v>
      </c>
      <c r="BB2090" t="str">
        <f t="shared" si="100"/>
        <v xml:space="preserve">N8080G  </v>
      </c>
      <c r="BC2090">
        <v>1</v>
      </c>
      <c r="BE2090">
        <v>0</v>
      </c>
      <c r="BF2090">
        <v>0</v>
      </c>
      <c r="BG2090">
        <v>0</v>
      </c>
      <c r="BH2090">
        <v>1700</v>
      </c>
      <c r="BI2090">
        <v>1</v>
      </c>
      <c r="BJ2090">
        <v>1</v>
      </c>
      <c r="BK2090">
        <v>1</v>
      </c>
      <c r="BL2090">
        <v>0</v>
      </c>
      <c r="BO2090">
        <v>0</v>
      </c>
      <c r="BP2090">
        <v>0</v>
      </c>
      <c r="BW2090" t="str">
        <f>"20:25:34.027"</f>
        <v>20:25:34.027</v>
      </c>
      <c r="BZ2090">
        <v>0</v>
      </c>
      <c r="CA2090">
        <v>2016</v>
      </c>
      <c r="CB2090">
        <v>224</v>
      </c>
      <c r="CD2090">
        <v>1</v>
      </c>
      <c r="CE2090">
        <v>0</v>
      </c>
      <c r="CF2090">
        <v>0</v>
      </c>
      <c r="CG2090">
        <v>1</v>
      </c>
      <c r="CH2090">
        <v>0</v>
      </c>
      <c r="CI2090">
        <v>0</v>
      </c>
      <c r="CJ2090">
        <v>0</v>
      </c>
      <c r="CK2090">
        <v>2</v>
      </c>
      <c r="CL2090">
        <v>0</v>
      </c>
      <c r="CM2090">
        <v>2</v>
      </c>
      <c r="CN2090">
        <v>0</v>
      </c>
      <c r="CO2090">
        <v>2</v>
      </c>
      <c r="CP2090" t="s">
        <v>119</v>
      </c>
      <c r="CQ2090">
        <v>179</v>
      </c>
      <c r="CR2090">
        <v>1</v>
      </c>
      <c r="CW2090">
        <v>8875989</v>
      </c>
      <c r="CY2090">
        <v>1</v>
      </c>
      <c r="CZ2090">
        <v>0</v>
      </c>
      <c r="DA2090">
        <v>1</v>
      </c>
      <c r="DB2090">
        <v>0</v>
      </c>
      <c r="DC2090">
        <v>0</v>
      </c>
      <c r="DD2090">
        <v>0</v>
      </c>
      <c r="DE2090">
        <v>0</v>
      </c>
      <c r="DF2090">
        <v>0</v>
      </c>
      <c r="DG2090">
        <v>0</v>
      </c>
      <c r="DH2090">
        <v>0</v>
      </c>
      <c r="DI2090">
        <v>0</v>
      </c>
    </row>
    <row r="2091" spans="1:113" x14ac:dyDescent="0.3">
      <c r="A2091" t="str">
        <f>"02/08/2021 20:25:32.480"</f>
        <v>02/08/2021 20:25:32.480</v>
      </c>
      <c r="C2091" t="str">
        <f t="shared" si="99"/>
        <v>FFDFD7C0</v>
      </c>
      <c r="D2091" t="s">
        <v>124</v>
      </c>
      <c r="E2091">
        <v>12</v>
      </c>
      <c r="F2091">
        <v>1012</v>
      </c>
      <c r="G2091" t="s">
        <v>675</v>
      </c>
      <c r="J2091" t="s">
        <v>125</v>
      </c>
      <c r="K2091">
        <v>0</v>
      </c>
      <c r="L2091">
        <v>3</v>
      </c>
      <c r="M2091">
        <v>0</v>
      </c>
      <c r="N2091">
        <v>2</v>
      </c>
      <c r="O2091">
        <v>1</v>
      </c>
      <c r="P2091">
        <v>0</v>
      </c>
      <c r="Q2091">
        <v>0</v>
      </c>
      <c r="S2091" t="str">
        <f>"20:25:34.836"</f>
        <v>20:25:34.836</v>
      </c>
      <c r="T2091" t="str">
        <f>"20:25:34.436"</f>
        <v>20:25:34.436</v>
      </c>
      <c r="U2091" t="str">
        <f t="shared" si="101"/>
        <v>AB01F4</v>
      </c>
      <c r="V2091">
        <v>0</v>
      </c>
      <c r="W2091">
        <v>0</v>
      </c>
      <c r="X2091">
        <v>2</v>
      </c>
      <c r="Z2091">
        <v>0</v>
      </c>
      <c r="AA2091">
        <v>9</v>
      </c>
      <c r="AB2091">
        <v>3</v>
      </c>
      <c r="AC2091">
        <v>0</v>
      </c>
      <c r="AD2091">
        <v>10</v>
      </c>
      <c r="AE2091">
        <v>0</v>
      </c>
      <c r="AF2091">
        <v>3</v>
      </c>
      <c r="AG2091">
        <v>2</v>
      </c>
      <c r="AH2091">
        <v>0</v>
      </c>
      <c r="AI2091" t="s">
        <v>1295</v>
      </c>
      <c r="AJ2091">
        <v>39.943348999999998</v>
      </c>
      <c r="AK2091" t="s">
        <v>1296</v>
      </c>
      <c r="AL2091">
        <v>-92.646889999999999</v>
      </c>
      <c r="AM2091">
        <v>100</v>
      </c>
      <c r="AN2091">
        <v>1700</v>
      </c>
      <c r="AO2091" t="s">
        <v>118</v>
      </c>
      <c r="AP2091">
        <v>-108</v>
      </c>
      <c r="AQ2091">
        <v>78</v>
      </c>
      <c r="AR2091">
        <v>64</v>
      </c>
      <c r="AZ2091">
        <v>1200</v>
      </c>
      <c r="BA2091">
        <v>1</v>
      </c>
      <c r="BB2091" t="str">
        <f t="shared" si="100"/>
        <v xml:space="preserve">N8080G  </v>
      </c>
      <c r="BC2091">
        <v>1</v>
      </c>
      <c r="BE2091">
        <v>0</v>
      </c>
      <c r="BF2091">
        <v>0</v>
      </c>
      <c r="BG2091">
        <v>0</v>
      </c>
      <c r="BH2091">
        <v>1700</v>
      </c>
      <c r="BI2091">
        <v>1</v>
      </c>
      <c r="BJ2091">
        <v>1</v>
      </c>
      <c r="BK2091">
        <v>1</v>
      </c>
      <c r="BL2091">
        <v>0</v>
      </c>
      <c r="BO2091">
        <v>0</v>
      </c>
      <c r="BP2091">
        <v>0</v>
      </c>
      <c r="BW2091" t="str">
        <f>"20:25:34.837"</f>
        <v>20:25:34.837</v>
      </c>
      <c r="BZ2091">
        <v>0</v>
      </c>
      <c r="CA2091">
        <v>2016</v>
      </c>
      <c r="CB2091">
        <v>224</v>
      </c>
      <c r="CD2091">
        <v>1</v>
      </c>
      <c r="CE2091">
        <v>0</v>
      </c>
      <c r="CF2091">
        <v>0</v>
      </c>
      <c r="CG2091">
        <v>1</v>
      </c>
      <c r="CH2091">
        <v>0</v>
      </c>
      <c r="CI2091">
        <v>0</v>
      </c>
      <c r="CJ2091">
        <v>0</v>
      </c>
      <c r="CK2091">
        <v>2</v>
      </c>
      <c r="CL2091">
        <v>0</v>
      </c>
      <c r="CM2091">
        <v>2</v>
      </c>
      <c r="CN2091">
        <v>0</v>
      </c>
      <c r="CO2091">
        <v>7</v>
      </c>
      <c r="CP2091" t="s">
        <v>119</v>
      </c>
      <c r="CQ2091">
        <v>180</v>
      </c>
      <c r="CR2091">
        <v>2</v>
      </c>
      <c r="CW2091">
        <v>8436935</v>
      </c>
      <c r="CY2091">
        <v>1</v>
      </c>
      <c r="CZ2091">
        <v>0</v>
      </c>
      <c r="DA2091">
        <v>0</v>
      </c>
      <c r="DB2091">
        <v>0</v>
      </c>
      <c r="DC2091">
        <v>0</v>
      </c>
      <c r="DD2091">
        <v>0</v>
      </c>
      <c r="DE2091">
        <v>0</v>
      </c>
      <c r="DF2091">
        <v>0</v>
      </c>
      <c r="DG2091">
        <v>0</v>
      </c>
      <c r="DH2091">
        <v>0</v>
      </c>
      <c r="DI2091">
        <v>0</v>
      </c>
    </row>
    <row r="2092" spans="1:113" x14ac:dyDescent="0.3">
      <c r="A2092" t="str">
        <f>"02/08/2021 20:25:32.480"</f>
        <v>02/08/2021 20:25:32.480</v>
      </c>
      <c r="C2092" t="str">
        <f t="shared" si="99"/>
        <v>FFDFD7C0</v>
      </c>
      <c r="D2092" t="s">
        <v>124</v>
      </c>
      <c r="E2092">
        <v>13</v>
      </c>
      <c r="F2092">
        <v>1013</v>
      </c>
      <c r="G2092" t="s">
        <v>114</v>
      </c>
      <c r="J2092" t="s">
        <v>125</v>
      </c>
      <c r="K2092">
        <v>0</v>
      </c>
      <c r="L2092">
        <v>3</v>
      </c>
      <c r="M2092">
        <v>0</v>
      </c>
      <c r="N2092">
        <v>2</v>
      </c>
      <c r="O2092">
        <v>1</v>
      </c>
      <c r="P2092">
        <v>0</v>
      </c>
      <c r="Q2092">
        <v>0</v>
      </c>
      <c r="S2092" t="str">
        <f>"20:25:34.836"</f>
        <v>20:25:34.836</v>
      </c>
      <c r="T2092" t="str">
        <f>"20:25:34.436"</f>
        <v>20:25:34.436</v>
      </c>
      <c r="U2092" t="str">
        <f t="shared" si="101"/>
        <v>AB01F4</v>
      </c>
      <c r="V2092">
        <v>0</v>
      </c>
      <c r="W2092">
        <v>0</v>
      </c>
      <c r="X2092">
        <v>2</v>
      </c>
      <c r="Z2092">
        <v>0</v>
      </c>
      <c r="AA2092">
        <v>9</v>
      </c>
      <c r="AB2092">
        <v>3</v>
      </c>
      <c r="AC2092">
        <v>0</v>
      </c>
      <c r="AD2092">
        <v>10</v>
      </c>
      <c r="AE2092">
        <v>0</v>
      </c>
      <c r="AF2092">
        <v>3</v>
      </c>
      <c r="AG2092">
        <v>2</v>
      </c>
      <c r="AH2092">
        <v>0</v>
      </c>
      <c r="AI2092" t="s">
        <v>1295</v>
      </c>
      <c r="AJ2092">
        <v>39.943348999999998</v>
      </c>
      <c r="AK2092" t="s">
        <v>1296</v>
      </c>
      <c r="AL2092">
        <v>-92.646889999999999</v>
      </c>
      <c r="AM2092">
        <v>100</v>
      </c>
      <c r="AN2092">
        <v>1700</v>
      </c>
      <c r="AO2092" t="s">
        <v>118</v>
      </c>
      <c r="AP2092">
        <v>-108</v>
      </c>
      <c r="AQ2092">
        <v>78</v>
      </c>
      <c r="AR2092">
        <v>64</v>
      </c>
      <c r="AZ2092">
        <v>1200</v>
      </c>
      <c r="BA2092">
        <v>1</v>
      </c>
      <c r="BB2092" t="str">
        <f t="shared" si="100"/>
        <v xml:space="preserve">N8080G  </v>
      </c>
      <c r="BC2092">
        <v>1</v>
      </c>
      <c r="BE2092">
        <v>0</v>
      </c>
      <c r="BF2092">
        <v>0</v>
      </c>
      <c r="BG2092">
        <v>0</v>
      </c>
      <c r="BH2092">
        <v>1700</v>
      </c>
      <c r="BI2092">
        <v>1</v>
      </c>
      <c r="BJ2092">
        <v>1</v>
      </c>
      <c r="BK2092">
        <v>1</v>
      </c>
      <c r="BL2092">
        <v>0</v>
      </c>
      <c r="BO2092">
        <v>0</v>
      </c>
      <c r="BP2092">
        <v>0</v>
      </c>
      <c r="BW2092" t="str">
        <f>"20:25:34.837"</f>
        <v>20:25:34.837</v>
      </c>
      <c r="BZ2092">
        <v>0</v>
      </c>
      <c r="CA2092">
        <v>2016</v>
      </c>
      <c r="CB2092">
        <v>224</v>
      </c>
      <c r="CD2092">
        <v>1</v>
      </c>
      <c r="CE2092">
        <v>0</v>
      </c>
      <c r="CF2092">
        <v>0</v>
      </c>
      <c r="CG2092">
        <v>1</v>
      </c>
      <c r="CH2092">
        <v>0</v>
      </c>
      <c r="CI2092">
        <v>0</v>
      </c>
      <c r="CJ2092">
        <v>0</v>
      </c>
      <c r="CK2092">
        <v>2</v>
      </c>
      <c r="CL2092">
        <v>0</v>
      </c>
      <c r="CM2092">
        <v>2</v>
      </c>
      <c r="CN2092">
        <v>0</v>
      </c>
      <c r="CO2092">
        <v>7</v>
      </c>
      <c r="CP2092" t="s">
        <v>119</v>
      </c>
      <c r="CQ2092">
        <v>180</v>
      </c>
      <c r="CR2092">
        <v>2</v>
      </c>
      <c r="CW2092">
        <v>8436935</v>
      </c>
      <c r="CY2092">
        <v>1</v>
      </c>
      <c r="CZ2092">
        <v>0</v>
      </c>
      <c r="DA2092">
        <v>1</v>
      </c>
      <c r="DB2092">
        <v>0</v>
      </c>
      <c r="DC2092">
        <v>0</v>
      </c>
      <c r="DD2092">
        <v>0</v>
      </c>
      <c r="DE2092">
        <v>0</v>
      </c>
      <c r="DF2092">
        <v>0</v>
      </c>
      <c r="DG2092">
        <v>0</v>
      </c>
      <c r="DH2092">
        <v>0</v>
      </c>
      <c r="DI2092">
        <v>0</v>
      </c>
    </row>
    <row r="2093" spans="1:113" x14ac:dyDescent="0.3">
      <c r="A2093" t="str">
        <f>"02/08/2021 20:25:32.480"</f>
        <v>02/08/2021 20:25:32.480</v>
      </c>
      <c r="C2093" t="str">
        <f t="shared" si="99"/>
        <v>FFDFD7C0</v>
      </c>
      <c r="D2093" t="s">
        <v>113</v>
      </c>
      <c r="E2093">
        <v>6</v>
      </c>
      <c r="H2093">
        <v>165</v>
      </c>
      <c r="I2093" t="s">
        <v>114</v>
      </c>
      <c r="J2093" t="s">
        <v>115</v>
      </c>
      <c r="K2093">
        <v>0</v>
      </c>
      <c r="L2093">
        <v>3</v>
      </c>
      <c r="M2093">
        <v>0</v>
      </c>
      <c r="N2093">
        <v>2</v>
      </c>
      <c r="O2093">
        <v>1</v>
      </c>
      <c r="P2093">
        <v>0</v>
      </c>
      <c r="Q2093">
        <v>0</v>
      </c>
      <c r="S2093" t="str">
        <f>"20:25:34.836"</f>
        <v>20:25:34.836</v>
      </c>
      <c r="T2093" t="str">
        <f>"20:25:34.436"</f>
        <v>20:25:34.436</v>
      </c>
      <c r="U2093" t="str">
        <f t="shared" si="101"/>
        <v>AB01F4</v>
      </c>
      <c r="V2093">
        <v>0</v>
      </c>
      <c r="W2093">
        <v>0</v>
      </c>
      <c r="X2093">
        <v>2</v>
      </c>
      <c r="Z2093">
        <v>0</v>
      </c>
      <c r="AA2093">
        <v>9</v>
      </c>
      <c r="AB2093">
        <v>3</v>
      </c>
      <c r="AC2093">
        <v>0</v>
      </c>
      <c r="AD2093">
        <v>10</v>
      </c>
      <c r="AE2093">
        <v>0</v>
      </c>
      <c r="AF2093">
        <v>3</v>
      </c>
      <c r="AG2093">
        <v>2</v>
      </c>
      <c r="AH2093">
        <v>0</v>
      </c>
      <c r="AI2093" t="s">
        <v>1295</v>
      </c>
      <c r="AJ2093">
        <v>39.943348999999998</v>
      </c>
      <c r="AK2093" t="s">
        <v>1296</v>
      </c>
      <c r="AL2093">
        <v>-92.646889999999999</v>
      </c>
      <c r="AM2093">
        <v>100</v>
      </c>
      <c r="AN2093">
        <v>1700</v>
      </c>
      <c r="AO2093" t="s">
        <v>118</v>
      </c>
      <c r="AP2093">
        <v>-108</v>
      </c>
      <c r="AQ2093">
        <v>78</v>
      </c>
      <c r="AR2093">
        <v>64</v>
      </c>
      <c r="AZ2093">
        <v>1200</v>
      </c>
      <c r="BA2093">
        <v>1</v>
      </c>
      <c r="BB2093" t="str">
        <f t="shared" si="100"/>
        <v xml:space="preserve">N8080G  </v>
      </c>
      <c r="BC2093">
        <v>1</v>
      </c>
      <c r="BE2093">
        <v>0</v>
      </c>
      <c r="BF2093">
        <v>0</v>
      </c>
      <c r="BG2093">
        <v>0</v>
      </c>
      <c r="BH2093">
        <v>1700</v>
      </c>
      <c r="BI2093">
        <v>1</v>
      </c>
      <c r="BJ2093">
        <v>1</v>
      </c>
      <c r="BK2093">
        <v>1</v>
      </c>
      <c r="BL2093">
        <v>0</v>
      </c>
      <c r="BO2093">
        <v>0</v>
      </c>
      <c r="BP2093">
        <v>0</v>
      </c>
      <c r="BW2093" t="str">
        <f>"20:25:34.837"</f>
        <v>20:25:34.837</v>
      </c>
      <c r="BZ2093">
        <v>0</v>
      </c>
      <c r="CA2093">
        <v>2016</v>
      </c>
      <c r="CB2093">
        <v>224</v>
      </c>
      <c r="CD2093">
        <v>1</v>
      </c>
      <c r="CE2093">
        <v>0</v>
      </c>
      <c r="CF2093">
        <v>0</v>
      </c>
      <c r="CG2093">
        <v>1</v>
      </c>
      <c r="CH2093">
        <v>0</v>
      </c>
      <c r="CI2093">
        <v>0</v>
      </c>
      <c r="CJ2093">
        <v>0</v>
      </c>
      <c r="CK2093">
        <v>2</v>
      </c>
      <c r="CL2093">
        <v>0</v>
      </c>
      <c r="CM2093">
        <v>2</v>
      </c>
      <c r="CN2093">
        <v>0</v>
      </c>
      <c r="CO2093">
        <v>7</v>
      </c>
      <c r="CP2093" t="s">
        <v>119</v>
      </c>
      <c r="CQ2093">
        <v>180</v>
      </c>
      <c r="CR2093">
        <v>2</v>
      </c>
      <c r="CW2093">
        <v>8436935</v>
      </c>
      <c r="CY2093">
        <v>1</v>
      </c>
      <c r="CZ2093">
        <v>0</v>
      </c>
      <c r="DA2093">
        <v>1</v>
      </c>
      <c r="DB2093">
        <v>0</v>
      </c>
      <c r="DC2093">
        <v>0</v>
      </c>
      <c r="DD2093">
        <v>0</v>
      </c>
      <c r="DE2093">
        <v>0</v>
      </c>
      <c r="DF2093">
        <v>0</v>
      </c>
      <c r="DG2093">
        <v>0</v>
      </c>
      <c r="DH2093">
        <v>0</v>
      </c>
      <c r="DI2093">
        <v>0</v>
      </c>
    </row>
    <row r="2094" spans="1:113" x14ac:dyDescent="0.3">
      <c r="A2094" t="str">
        <f>"02/08/2021 20:25:32.480"</f>
        <v>02/08/2021 20:25:32.480</v>
      </c>
      <c r="C2094" t="str">
        <f t="shared" si="99"/>
        <v>FFDFD7C0</v>
      </c>
      <c r="D2094" t="s">
        <v>124</v>
      </c>
      <c r="E2094">
        <v>11</v>
      </c>
      <c r="F2094">
        <v>1011</v>
      </c>
      <c r="G2094" t="s">
        <v>590</v>
      </c>
      <c r="J2094" t="s">
        <v>125</v>
      </c>
      <c r="K2094">
        <v>0</v>
      </c>
      <c r="L2094">
        <v>3</v>
      </c>
      <c r="M2094">
        <v>0</v>
      </c>
      <c r="N2094">
        <v>2</v>
      </c>
      <c r="O2094">
        <v>1</v>
      </c>
      <c r="P2094">
        <v>0</v>
      </c>
      <c r="Q2094">
        <v>0</v>
      </c>
      <c r="S2094" t="str">
        <f>"20:25:34.836"</f>
        <v>20:25:34.836</v>
      </c>
      <c r="T2094" t="str">
        <f>"20:25:34.436"</f>
        <v>20:25:34.436</v>
      </c>
      <c r="U2094" t="str">
        <f t="shared" si="101"/>
        <v>AB01F4</v>
      </c>
      <c r="V2094">
        <v>0</v>
      </c>
      <c r="W2094">
        <v>0</v>
      </c>
      <c r="X2094">
        <v>2</v>
      </c>
      <c r="Z2094">
        <v>0</v>
      </c>
      <c r="AA2094">
        <v>9</v>
      </c>
      <c r="AB2094">
        <v>3</v>
      </c>
      <c r="AC2094">
        <v>0</v>
      </c>
      <c r="AD2094">
        <v>10</v>
      </c>
      <c r="AE2094">
        <v>0</v>
      </c>
      <c r="AF2094">
        <v>3</v>
      </c>
      <c r="AG2094">
        <v>2</v>
      </c>
      <c r="AH2094">
        <v>0</v>
      </c>
      <c r="AI2094" t="s">
        <v>1295</v>
      </c>
      <c r="AJ2094">
        <v>39.943348999999998</v>
      </c>
      <c r="AK2094" t="s">
        <v>1296</v>
      </c>
      <c r="AL2094">
        <v>-92.646889999999999</v>
      </c>
      <c r="AM2094">
        <v>100</v>
      </c>
      <c r="AN2094">
        <v>1700</v>
      </c>
      <c r="AO2094" t="s">
        <v>118</v>
      </c>
      <c r="AP2094">
        <v>-108</v>
      </c>
      <c r="AQ2094">
        <v>78</v>
      </c>
      <c r="AR2094">
        <v>64</v>
      </c>
      <c r="AZ2094">
        <v>1200</v>
      </c>
      <c r="BA2094">
        <v>1</v>
      </c>
      <c r="BB2094" t="str">
        <f t="shared" si="100"/>
        <v xml:space="preserve">N8080G  </v>
      </c>
      <c r="BC2094">
        <v>1</v>
      </c>
      <c r="BE2094">
        <v>0</v>
      </c>
      <c r="BF2094">
        <v>0</v>
      </c>
      <c r="BG2094">
        <v>0</v>
      </c>
      <c r="BH2094">
        <v>1700</v>
      </c>
      <c r="BI2094">
        <v>1</v>
      </c>
      <c r="BJ2094">
        <v>1</v>
      </c>
      <c r="BK2094">
        <v>1</v>
      </c>
      <c r="BL2094">
        <v>0</v>
      </c>
      <c r="BO2094">
        <v>0</v>
      </c>
      <c r="BP2094">
        <v>0</v>
      </c>
      <c r="BW2094" t="str">
        <f>"20:25:34.837"</f>
        <v>20:25:34.837</v>
      </c>
      <c r="BZ2094">
        <v>0</v>
      </c>
      <c r="CA2094">
        <v>2016</v>
      </c>
      <c r="CB2094">
        <v>224</v>
      </c>
      <c r="CD2094">
        <v>1</v>
      </c>
      <c r="CE2094">
        <v>0</v>
      </c>
      <c r="CF2094">
        <v>0</v>
      </c>
      <c r="CG2094">
        <v>1</v>
      </c>
      <c r="CH2094">
        <v>0</v>
      </c>
      <c r="CI2094">
        <v>0</v>
      </c>
      <c r="CJ2094">
        <v>0</v>
      </c>
      <c r="CK2094">
        <v>2</v>
      </c>
      <c r="CL2094">
        <v>0</v>
      </c>
      <c r="CM2094">
        <v>2</v>
      </c>
      <c r="CN2094">
        <v>0</v>
      </c>
      <c r="CO2094">
        <v>7</v>
      </c>
      <c r="CP2094" t="s">
        <v>119</v>
      </c>
      <c r="CQ2094">
        <v>180</v>
      </c>
      <c r="CR2094">
        <v>2</v>
      </c>
      <c r="CW2094">
        <v>8436935</v>
      </c>
      <c r="CY2094">
        <v>1</v>
      </c>
      <c r="CZ2094">
        <v>0</v>
      </c>
      <c r="DA2094">
        <v>1</v>
      </c>
      <c r="DB2094">
        <v>0</v>
      </c>
      <c r="DC2094">
        <v>0</v>
      </c>
      <c r="DD2094">
        <v>0</v>
      </c>
      <c r="DE2094">
        <v>0</v>
      </c>
      <c r="DF2094">
        <v>0</v>
      </c>
      <c r="DG2094">
        <v>0</v>
      </c>
      <c r="DH2094">
        <v>0</v>
      </c>
      <c r="DI2094">
        <v>0</v>
      </c>
    </row>
    <row r="2095" spans="1:113" x14ac:dyDescent="0.3">
      <c r="A2095" t="str">
        <f>"02/08/2021 20:25:35.011"</f>
        <v>02/08/2021 20:25:35.011</v>
      </c>
      <c r="C2095" t="str">
        <f t="shared" ref="C2095:C2158" si="102">"FFDFD7C0"</f>
        <v>FFDFD7C0</v>
      </c>
      <c r="D2095" t="s">
        <v>124</v>
      </c>
      <c r="E2095">
        <v>13</v>
      </c>
      <c r="F2095">
        <v>1013</v>
      </c>
      <c r="G2095" t="s">
        <v>114</v>
      </c>
      <c r="J2095" t="s">
        <v>125</v>
      </c>
      <c r="K2095">
        <v>0</v>
      </c>
      <c r="L2095">
        <v>3</v>
      </c>
      <c r="M2095">
        <v>0</v>
      </c>
      <c r="N2095">
        <v>2</v>
      </c>
      <c r="O2095">
        <v>1</v>
      </c>
      <c r="P2095">
        <v>0</v>
      </c>
      <c r="Q2095">
        <v>0</v>
      </c>
      <c r="S2095" t="str">
        <f>"20:25:37.344"</f>
        <v>20:25:37.344</v>
      </c>
      <c r="T2095" t="str">
        <f>"20:25:36.944"</f>
        <v>20:25:36.944</v>
      </c>
      <c r="U2095" t="str">
        <f t="shared" si="101"/>
        <v>AB01F4</v>
      </c>
      <c r="V2095">
        <v>0</v>
      </c>
      <c r="W2095">
        <v>0</v>
      </c>
      <c r="X2095">
        <v>2</v>
      </c>
      <c r="Z2095">
        <v>0</v>
      </c>
      <c r="AA2095">
        <v>9</v>
      </c>
      <c r="AB2095">
        <v>3</v>
      </c>
      <c r="AC2095">
        <v>0</v>
      </c>
      <c r="AD2095">
        <v>10</v>
      </c>
      <c r="AE2095">
        <v>0</v>
      </c>
      <c r="AF2095">
        <v>3</v>
      </c>
      <c r="AG2095">
        <v>2</v>
      </c>
      <c r="AH2095">
        <v>0</v>
      </c>
      <c r="AI2095" t="s">
        <v>1297</v>
      </c>
      <c r="AJ2095">
        <v>39.944271999999998</v>
      </c>
      <c r="AK2095" t="s">
        <v>1298</v>
      </c>
      <c r="AL2095">
        <v>-92.648499000000001</v>
      </c>
      <c r="AM2095">
        <v>100</v>
      </c>
      <c r="AN2095">
        <v>1700</v>
      </c>
      <c r="AO2095" t="s">
        <v>118</v>
      </c>
      <c r="AP2095">
        <v>-108</v>
      </c>
      <c r="AQ2095">
        <v>79</v>
      </c>
      <c r="AR2095">
        <v>64</v>
      </c>
      <c r="AZ2095">
        <v>1200</v>
      </c>
      <c r="BA2095">
        <v>1</v>
      </c>
      <c r="BB2095" t="str">
        <f t="shared" ref="BB2095:BB2158" si="103">"N8080G  "</f>
        <v xml:space="preserve">N8080G  </v>
      </c>
      <c r="BC2095">
        <v>1</v>
      </c>
      <c r="BE2095">
        <v>0</v>
      </c>
      <c r="BF2095">
        <v>0</v>
      </c>
      <c r="BG2095">
        <v>0</v>
      </c>
      <c r="BH2095">
        <v>1700</v>
      </c>
      <c r="BI2095">
        <v>1</v>
      </c>
      <c r="BJ2095">
        <v>1</v>
      </c>
      <c r="BK2095">
        <v>1</v>
      </c>
      <c r="BL2095">
        <v>0</v>
      </c>
      <c r="BO2095">
        <v>0</v>
      </c>
      <c r="BP2095">
        <v>0</v>
      </c>
      <c r="BW2095" t="str">
        <f>"20:25:37.351"</f>
        <v>20:25:37.351</v>
      </c>
      <c r="BZ2095">
        <v>0</v>
      </c>
      <c r="CA2095">
        <v>2016</v>
      </c>
      <c r="CB2095">
        <v>224</v>
      </c>
      <c r="CD2095">
        <v>1</v>
      </c>
      <c r="CE2095">
        <v>0</v>
      </c>
      <c r="CF2095">
        <v>0</v>
      </c>
      <c r="CG2095">
        <v>1</v>
      </c>
      <c r="CH2095">
        <v>0</v>
      </c>
      <c r="CI2095">
        <v>0</v>
      </c>
      <c r="CJ2095">
        <v>0</v>
      </c>
      <c r="CK2095">
        <v>2</v>
      </c>
      <c r="CL2095">
        <v>0</v>
      </c>
      <c r="CM2095">
        <v>2</v>
      </c>
      <c r="CN2095">
        <v>0</v>
      </c>
      <c r="CO2095">
        <v>2</v>
      </c>
      <c r="CP2095" t="s">
        <v>119</v>
      </c>
      <c r="CQ2095">
        <v>179</v>
      </c>
      <c r="CR2095">
        <v>1</v>
      </c>
      <c r="CW2095">
        <v>8878818</v>
      </c>
      <c r="CY2095">
        <v>1</v>
      </c>
      <c r="CZ2095">
        <v>0</v>
      </c>
      <c r="DA2095">
        <v>0</v>
      </c>
      <c r="DB2095">
        <v>0</v>
      </c>
      <c r="DC2095">
        <v>0</v>
      </c>
      <c r="DD2095">
        <v>0</v>
      </c>
      <c r="DE2095">
        <v>0</v>
      </c>
      <c r="DF2095">
        <v>0</v>
      </c>
      <c r="DG2095">
        <v>0</v>
      </c>
      <c r="DH2095">
        <v>0</v>
      </c>
      <c r="DI2095">
        <v>0</v>
      </c>
    </row>
    <row r="2096" spans="1:113" x14ac:dyDescent="0.3">
      <c r="A2096" t="str">
        <f>"02/08/2021 20:25:35.011"</f>
        <v>02/08/2021 20:25:35.011</v>
      </c>
      <c r="C2096" t="str">
        <f t="shared" si="102"/>
        <v>FFDFD7C0</v>
      </c>
      <c r="D2096" t="s">
        <v>113</v>
      </c>
      <c r="E2096">
        <v>6</v>
      </c>
      <c r="H2096">
        <v>165</v>
      </c>
      <c r="I2096" t="s">
        <v>114</v>
      </c>
      <c r="J2096" t="s">
        <v>115</v>
      </c>
      <c r="K2096">
        <v>0</v>
      </c>
      <c r="L2096">
        <v>3</v>
      </c>
      <c r="M2096">
        <v>0</v>
      </c>
      <c r="N2096">
        <v>2</v>
      </c>
      <c r="O2096">
        <v>1</v>
      </c>
      <c r="P2096">
        <v>0</v>
      </c>
      <c r="Q2096">
        <v>0</v>
      </c>
      <c r="S2096" t="str">
        <f>"20:25:37.344"</f>
        <v>20:25:37.344</v>
      </c>
      <c r="T2096" t="str">
        <f>"20:25:36.944"</f>
        <v>20:25:36.944</v>
      </c>
      <c r="U2096" t="str">
        <f t="shared" si="101"/>
        <v>AB01F4</v>
      </c>
      <c r="V2096">
        <v>0</v>
      </c>
      <c r="W2096">
        <v>0</v>
      </c>
      <c r="X2096">
        <v>2</v>
      </c>
      <c r="Z2096">
        <v>0</v>
      </c>
      <c r="AA2096">
        <v>9</v>
      </c>
      <c r="AB2096">
        <v>3</v>
      </c>
      <c r="AC2096">
        <v>0</v>
      </c>
      <c r="AD2096">
        <v>10</v>
      </c>
      <c r="AE2096">
        <v>0</v>
      </c>
      <c r="AF2096">
        <v>3</v>
      </c>
      <c r="AG2096">
        <v>2</v>
      </c>
      <c r="AH2096">
        <v>0</v>
      </c>
      <c r="AI2096" t="s">
        <v>1297</v>
      </c>
      <c r="AJ2096">
        <v>39.944271999999998</v>
      </c>
      <c r="AK2096" t="s">
        <v>1298</v>
      </c>
      <c r="AL2096">
        <v>-92.648499000000001</v>
      </c>
      <c r="AM2096">
        <v>100</v>
      </c>
      <c r="AN2096">
        <v>1700</v>
      </c>
      <c r="AO2096" t="s">
        <v>118</v>
      </c>
      <c r="AP2096">
        <v>-108</v>
      </c>
      <c r="AQ2096">
        <v>79</v>
      </c>
      <c r="AR2096">
        <v>64</v>
      </c>
      <c r="AZ2096">
        <v>1200</v>
      </c>
      <c r="BA2096">
        <v>1</v>
      </c>
      <c r="BB2096" t="str">
        <f t="shared" si="103"/>
        <v xml:space="preserve">N8080G  </v>
      </c>
      <c r="BC2096">
        <v>1</v>
      </c>
      <c r="BE2096">
        <v>0</v>
      </c>
      <c r="BF2096">
        <v>0</v>
      </c>
      <c r="BG2096">
        <v>0</v>
      </c>
      <c r="BH2096">
        <v>1700</v>
      </c>
      <c r="BI2096">
        <v>1</v>
      </c>
      <c r="BJ2096">
        <v>1</v>
      </c>
      <c r="BK2096">
        <v>1</v>
      </c>
      <c r="BL2096">
        <v>0</v>
      </c>
      <c r="BO2096">
        <v>0</v>
      </c>
      <c r="BP2096">
        <v>0</v>
      </c>
      <c r="BW2096" t="str">
        <f>"20:25:37.351"</f>
        <v>20:25:37.351</v>
      </c>
      <c r="BZ2096">
        <v>0</v>
      </c>
      <c r="CA2096">
        <v>2016</v>
      </c>
      <c r="CB2096">
        <v>224</v>
      </c>
      <c r="CD2096">
        <v>1</v>
      </c>
      <c r="CE2096">
        <v>0</v>
      </c>
      <c r="CF2096">
        <v>0</v>
      </c>
      <c r="CG2096">
        <v>1</v>
      </c>
      <c r="CH2096">
        <v>0</v>
      </c>
      <c r="CI2096">
        <v>0</v>
      </c>
      <c r="CJ2096">
        <v>0</v>
      </c>
      <c r="CK2096">
        <v>2</v>
      </c>
      <c r="CL2096">
        <v>0</v>
      </c>
      <c r="CM2096">
        <v>2</v>
      </c>
      <c r="CN2096">
        <v>0</v>
      </c>
      <c r="CO2096">
        <v>2</v>
      </c>
      <c r="CP2096" t="s">
        <v>119</v>
      </c>
      <c r="CQ2096">
        <v>179</v>
      </c>
      <c r="CR2096">
        <v>1</v>
      </c>
      <c r="CW2096">
        <v>8878818</v>
      </c>
      <c r="CY2096">
        <v>1</v>
      </c>
      <c r="CZ2096">
        <v>0</v>
      </c>
      <c r="DA2096">
        <v>1</v>
      </c>
      <c r="DB2096">
        <v>0</v>
      </c>
      <c r="DC2096">
        <v>0</v>
      </c>
      <c r="DD2096">
        <v>0</v>
      </c>
      <c r="DE2096">
        <v>0</v>
      </c>
      <c r="DF2096">
        <v>0</v>
      </c>
      <c r="DG2096">
        <v>0</v>
      </c>
      <c r="DH2096">
        <v>0</v>
      </c>
      <c r="DI2096">
        <v>0</v>
      </c>
    </row>
    <row r="2097" spans="1:113" x14ac:dyDescent="0.3">
      <c r="A2097" t="str">
        <f>"02/08/2021 20:25:35.011"</f>
        <v>02/08/2021 20:25:35.011</v>
      </c>
      <c r="C2097" t="str">
        <f t="shared" si="102"/>
        <v>FFDFD7C0</v>
      </c>
      <c r="D2097" t="s">
        <v>124</v>
      </c>
      <c r="E2097">
        <v>11</v>
      </c>
      <c r="F2097">
        <v>1011</v>
      </c>
      <c r="G2097" t="s">
        <v>590</v>
      </c>
      <c r="J2097" t="s">
        <v>125</v>
      </c>
      <c r="K2097">
        <v>0</v>
      </c>
      <c r="L2097">
        <v>3</v>
      </c>
      <c r="M2097">
        <v>0</v>
      </c>
      <c r="N2097">
        <v>2</v>
      </c>
      <c r="O2097">
        <v>1</v>
      </c>
      <c r="P2097">
        <v>0</v>
      </c>
      <c r="Q2097">
        <v>0</v>
      </c>
      <c r="S2097" t="str">
        <f>"20:25:37.344"</f>
        <v>20:25:37.344</v>
      </c>
      <c r="T2097" t="str">
        <f>"20:25:36.944"</f>
        <v>20:25:36.944</v>
      </c>
      <c r="U2097" t="str">
        <f t="shared" si="101"/>
        <v>AB01F4</v>
      </c>
      <c r="V2097">
        <v>0</v>
      </c>
      <c r="W2097">
        <v>0</v>
      </c>
      <c r="X2097">
        <v>2</v>
      </c>
      <c r="Z2097">
        <v>0</v>
      </c>
      <c r="AA2097">
        <v>9</v>
      </c>
      <c r="AB2097">
        <v>3</v>
      </c>
      <c r="AC2097">
        <v>0</v>
      </c>
      <c r="AD2097">
        <v>10</v>
      </c>
      <c r="AE2097">
        <v>0</v>
      </c>
      <c r="AF2097">
        <v>3</v>
      </c>
      <c r="AG2097">
        <v>2</v>
      </c>
      <c r="AH2097">
        <v>0</v>
      </c>
      <c r="AI2097" t="s">
        <v>1297</v>
      </c>
      <c r="AJ2097">
        <v>39.944271999999998</v>
      </c>
      <c r="AK2097" t="s">
        <v>1298</v>
      </c>
      <c r="AL2097">
        <v>-92.648499000000001</v>
      </c>
      <c r="AM2097">
        <v>100</v>
      </c>
      <c r="AN2097">
        <v>1700</v>
      </c>
      <c r="AO2097" t="s">
        <v>118</v>
      </c>
      <c r="AP2097">
        <v>-108</v>
      </c>
      <c r="AQ2097">
        <v>79</v>
      </c>
      <c r="AR2097">
        <v>64</v>
      </c>
      <c r="AZ2097">
        <v>1200</v>
      </c>
      <c r="BA2097">
        <v>1</v>
      </c>
      <c r="BB2097" t="str">
        <f t="shared" si="103"/>
        <v xml:space="preserve">N8080G  </v>
      </c>
      <c r="BC2097">
        <v>1</v>
      </c>
      <c r="BE2097">
        <v>0</v>
      </c>
      <c r="BF2097">
        <v>0</v>
      </c>
      <c r="BG2097">
        <v>0</v>
      </c>
      <c r="BH2097">
        <v>1700</v>
      </c>
      <c r="BI2097">
        <v>1</v>
      </c>
      <c r="BJ2097">
        <v>1</v>
      </c>
      <c r="BK2097">
        <v>1</v>
      </c>
      <c r="BL2097">
        <v>0</v>
      </c>
      <c r="BO2097">
        <v>0</v>
      </c>
      <c r="BP2097">
        <v>0</v>
      </c>
      <c r="BW2097" t="str">
        <f>"20:25:37.351"</f>
        <v>20:25:37.351</v>
      </c>
      <c r="BZ2097">
        <v>0</v>
      </c>
      <c r="CA2097">
        <v>2016</v>
      </c>
      <c r="CB2097">
        <v>224</v>
      </c>
      <c r="CD2097">
        <v>1</v>
      </c>
      <c r="CE2097">
        <v>0</v>
      </c>
      <c r="CF2097">
        <v>0</v>
      </c>
      <c r="CG2097">
        <v>1</v>
      </c>
      <c r="CH2097">
        <v>0</v>
      </c>
      <c r="CI2097">
        <v>0</v>
      </c>
      <c r="CJ2097">
        <v>0</v>
      </c>
      <c r="CK2097">
        <v>2</v>
      </c>
      <c r="CL2097">
        <v>0</v>
      </c>
      <c r="CM2097">
        <v>2</v>
      </c>
      <c r="CN2097">
        <v>0</v>
      </c>
      <c r="CO2097">
        <v>2</v>
      </c>
      <c r="CP2097" t="s">
        <v>119</v>
      </c>
      <c r="CQ2097">
        <v>179</v>
      </c>
      <c r="CR2097">
        <v>1</v>
      </c>
      <c r="CW2097">
        <v>8878818</v>
      </c>
      <c r="CY2097">
        <v>1</v>
      </c>
      <c r="CZ2097">
        <v>0</v>
      </c>
      <c r="DA2097">
        <v>1</v>
      </c>
      <c r="DB2097">
        <v>0</v>
      </c>
      <c r="DC2097">
        <v>0</v>
      </c>
      <c r="DD2097">
        <v>0</v>
      </c>
      <c r="DE2097">
        <v>0</v>
      </c>
      <c r="DF2097">
        <v>0</v>
      </c>
      <c r="DG2097">
        <v>0</v>
      </c>
      <c r="DH2097">
        <v>0</v>
      </c>
      <c r="DI2097">
        <v>0</v>
      </c>
    </row>
    <row r="2098" spans="1:113" x14ac:dyDescent="0.3">
      <c r="A2098" t="str">
        <f>"02/08/2021 20:25:35.011"</f>
        <v>02/08/2021 20:25:35.011</v>
      </c>
      <c r="C2098" t="str">
        <f t="shared" si="102"/>
        <v>FFDFD7C0</v>
      </c>
      <c r="D2098" t="s">
        <v>124</v>
      </c>
      <c r="E2098">
        <v>12</v>
      </c>
      <c r="F2098">
        <v>1012</v>
      </c>
      <c r="G2098" t="s">
        <v>675</v>
      </c>
      <c r="J2098" t="s">
        <v>125</v>
      </c>
      <c r="K2098">
        <v>0</v>
      </c>
      <c r="L2098">
        <v>3</v>
      </c>
      <c r="M2098">
        <v>0</v>
      </c>
      <c r="N2098">
        <v>2</v>
      </c>
      <c r="O2098">
        <v>1</v>
      </c>
      <c r="P2098">
        <v>0</v>
      </c>
      <c r="Q2098">
        <v>0</v>
      </c>
      <c r="S2098" t="str">
        <f>"20:25:37.344"</f>
        <v>20:25:37.344</v>
      </c>
      <c r="T2098" t="str">
        <f>"20:25:36.944"</f>
        <v>20:25:36.944</v>
      </c>
      <c r="U2098" t="str">
        <f t="shared" si="101"/>
        <v>AB01F4</v>
      </c>
      <c r="V2098">
        <v>0</v>
      </c>
      <c r="W2098">
        <v>0</v>
      </c>
      <c r="X2098">
        <v>2</v>
      </c>
      <c r="Z2098">
        <v>0</v>
      </c>
      <c r="AA2098">
        <v>9</v>
      </c>
      <c r="AB2098">
        <v>3</v>
      </c>
      <c r="AC2098">
        <v>0</v>
      </c>
      <c r="AD2098">
        <v>10</v>
      </c>
      <c r="AE2098">
        <v>0</v>
      </c>
      <c r="AF2098">
        <v>3</v>
      </c>
      <c r="AG2098">
        <v>2</v>
      </c>
      <c r="AH2098">
        <v>0</v>
      </c>
      <c r="AI2098" t="s">
        <v>1297</v>
      </c>
      <c r="AJ2098">
        <v>39.944271999999998</v>
      </c>
      <c r="AK2098" t="s">
        <v>1298</v>
      </c>
      <c r="AL2098">
        <v>-92.648499000000001</v>
      </c>
      <c r="AM2098">
        <v>100</v>
      </c>
      <c r="AN2098">
        <v>1700</v>
      </c>
      <c r="AO2098" t="s">
        <v>118</v>
      </c>
      <c r="AP2098">
        <v>-108</v>
      </c>
      <c r="AQ2098">
        <v>79</v>
      </c>
      <c r="AR2098">
        <v>64</v>
      </c>
      <c r="AZ2098">
        <v>1200</v>
      </c>
      <c r="BA2098">
        <v>1</v>
      </c>
      <c r="BB2098" t="str">
        <f t="shared" si="103"/>
        <v xml:space="preserve">N8080G  </v>
      </c>
      <c r="BC2098">
        <v>1</v>
      </c>
      <c r="BE2098">
        <v>0</v>
      </c>
      <c r="BF2098">
        <v>0</v>
      </c>
      <c r="BG2098">
        <v>0</v>
      </c>
      <c r="BH2098">
        <v>1700</v>
      </c>
      <c r="BI2098">
        <v>1</v>
      </c>
      <c r="BJ2098">
        <v>1</v>
      </c>
      <c r="BK2098">
        <v>1</v>
      </c>
      <c r="BL2098">
        <v>0</v>
      </c>
      <c r="BO2098">
        <v>0</v>
      </c>
      <c r="BP2098">
        <v>0</v>
      </c>
      <c r="BW2098" t="str">
        <f>"20:25:37.351"</f>
        <v>20:25:37.351</v>
      </c>
      <c r="BZ2098">
        <v>0</v>
      </c>
      <c r="CA2098">
        <v>2016</v>
      </c>
      <c r="CB2098">
        <v>224</v>
      </c>
      <c r="CD2098">
        <v>1</v>
      </c>
      <c r="CE2098">
        <v>0</v>
      </c>
      <c r="CF2098">
        <v>0</v>
      </c>
      <c r="CG2098">
        <v>1</v>
      </c>
      <c r="CH2098">
        <v>0</v>
      </c>
      <c r="CI2098">
        <v>0</v>
      </c>
      <c r="CJ2098">
        <v>0</v>
      </c>
      <c r="CK2098">
        <v>2</v>
      </c>
      <c r="CL2098">
        <v>0</v>
      </c>
      <c r="CM2098">
        <v>2</v>
      </c>
      <c r="CN2098">
        <v>0</v>
      </c>
      <c r="CO2098">
        <v>2</v>
      </c>
      <c r="CP2098" t="s">
        <v>119</v>
      </c>
      <c r="CQ2098">
        <v>179</v>
      </c>
      <c r="CR2098">
        <v>1</v>
      </c>
      <c r="CW2098">
        <v>8878818</v>
      </c>
      <c r="CY2098">
        <v>1</v>
      </c>
      <c r="CZ2098">
        <v>0</v>
      </c>
      <c r="DA2098">
        <v>1</v>
      </c>
      <c r="DB2098">
        <v>0</v>
      </c>
      <c r="DC2098">
        <v>0</v>
      </c>
      <c r="DD2098">
        <v>0</v>
      </c>
      <c r="DE2098">
        <v>0</v>
      </c>
      <c r="DF2098">
        <v>0</v>
      </c>
      <c r="DG2098">
        <v>0</v>
      </c>
      <c r="DH2098">
        <v>0</v>
      </c>
      <c r="DI2098">
        <v>0</v>
      </c>
    </row>
    <row r="2099" spans="1:113" x14ac:dyDescent="0.3">
      <c r="A2099" t="str">
        <f>"02/08/2021 20:25:35.951"</f>
        <v>02/08/2021 20:25:35.951</v>
      </c>
      <c r="C2099" t="str">
        <f t="shared" si="102"/>
        <v>FFDFD7C0</v>
      </c>
      <c r="D2099" t="s">
        <v>124</v>
      </c>
      <c r="E2099">
        <v>12</v>
      </c>
      <c r="F2099">
        <v>1012</v>
      </c>
      <c r="G2099" t="s">
        <v>675</v>
      </c>
      <c r="J2099" t="s">
        <v>125</v>
      </c>
      <c r="K2099">
        <v>0</v>
      </c>
      <c r="L2099">
        <v>3</v>
      </c>
      <c r="M2099">
        <v>0</v>
      </c>
      <c r="N2099">
        <v>2</v>
      </c>
      <c r="O2099">
        <v>1</v>
      </c>
      <c r="P2099">
        <v>0</v>
      </c>
      <c r="Q2099">
        <v>0</v>
      </c>
      <c r="S2099" t="str">
        <f>"20:25:38.258"</f>
        <v>20:25:38.258</v>
      </c>
      <c r="T2099" t="str">
        <f>"20:25:37.358"</f>
        <v>20:25:37.358</v>
      </c>
      <c r="U2099" t="str">
        <f t="shared" si="101"/>
        <v>AB01F4</v>
      </c>
      <c r="V2099">
        <v>0</v>
      </c>
      <c r="W2099">
        <v>0</v>
      </c>
      <c r="X2099">
        <v>2</v>
      </c>
      <c r="Z2099">
        <v>0</v>
      </c>
      <c r="AA2099">
        <v>9</v>
      </c>
      <c r="AB2099">
        <v>3</v>
      </c>
      <c r="AC2099">
        <v>0</v>
      </c>
      <c r="AD2099">
        <v>10</v>
      </c>
      <c r="AE2099">
        <v>0</v>
      </c>
      <c r="AF2099">
        <v>3</v>
      </c>
      <c r="AG2099">
        <v>2</v>
      </c>
      <c r="AH2099">
        <v>0</v>
      </c>
      <c r="AI2099" t="s">
        <v>1299</v>
      </c>
      <c r="AJ2099">
        <v>39.944572000000001</v>
      </c>
      <c r="AK2099" t="s">
        <v>1300</v>
      </c>
      <c r="AL2099">
        <v>-92.649078000000003</v>
      </c>
      <c r="AM2099">
        <v>100</v>
      </c>
      <c r="AN2099">
        <v>1700</v>
      </c>
      <c r="AO2099" t="s">
        <v>118</v>
      </c>
      <c r="AP2099">
        <v>-108</v>
      </c>
      <c r="AQ2099">
        <v>79</v>
      </c>
      <c r="AR2099">
        <v>64</v>
      </c>
      <c r="AZ2099">
        <v>1200</v>
      </c>
      <c r="BA2099">
        <v>1</v>
      </c>
      <c r="BB2099" t="str">
        <f t="shared" si="103"/>
        <v xml:space="preserve">N8080G  </v>
      </c>
      <c r="BC2099">
        <v>1</v>
      </c>
      <c r="BE2099">
        <v>0</v>
      </c>
      <c r="BF2099">
        <v>0</v>
      </c>
      <c r="BG2099">
        <v>0</v>
      </c>
      <c r="BH2099">
        <v>1700</v>
      </c>
      <c r="BI2099">
        <v>1</v>
      </c>
      <c r="BJ2099">
        <v>1</v>
      </c>
      <c r="BK2099">
        <v>1</v>
      </c>
      <c r="BL2099">
        <v>0</v>
      </c>
      <c r="BO2099">
        <v>0</v>
      </c>
      <c r="BP2099">
        <v>0</v>
      </c>
      <c r="BW2099" t="str">
        <f>"20:25:38.263"</f>
        <v>20:25:38.263</v>
      </c>
      <c r="BZ2099">
        <v>0</v>
      </c>
      <c r="CA2099">
        <v>2016</v>
      </c>
      <c r="CB2099">
        <v>224</v>
      </c>
      <c r="CD2099">
        <v>1</v>
      </c>
      <c r="CE2099">
        <v>0</v>
      </c>
      <c r="CF2099">
        <v>0</v>
      </c>
      <c r="CG2099">
        <v>1</v>
      </c>
      <c r="CH2099">
        <v>0</v>
      </c>
      <c r="CI2099">
        <v>0</v>
      </c>
      <c r="CJ2099">
        <v>0</v>
      </c>
      <c r="CK2099">
        <v>2</v>
      </c>
      <c r="CL2099">
        <v>0</v>
      </c>
      <c r="CM2099">
        <v>2</v>
      </c>
      <c r="CN2099">
        <v>0</v>
      </c>
      <c r="CO2099">
        <v>2</v>
      </c>
      <c r="CP2099" t="s">
        <v>119</v>
      </c>
      <c r="CQ2099">
        <v>179</v>
      </c>
      <c r="CR2099">
        <v>1</v>
      </c>
      <c r="CW2099">
        <v>8879641</v>
      </c>
      <c r="CY2099">
        <v>1</v>
      </c>
      <c r="CZ2099">
        <v>0</v>
      </c>
      <c r="DA2099">
        <v>0</v>
      </c>
      <c r="DB2099">
        <v>0</v>
      </c>
      <c r="DC2099">
        <v>0</v>
      </c>
      <c r="DD2099">
        <v>0</v>
      </c>
      <c r="DE2099">
        <v>0</v>
      </c>
      <c r="DF2099">
        <v>0</v>
      </c>
      <c r="DG2099">
        <v>0</v>
      </c>
      <c r="DH2099">
        <v>0</v>
      </c>
      <c r="DI2099">
        <v>0</v>
      </c>
    </row>
    <row r="2100" spans="1:113" x14ac:dyDescent="0.3">
      <c r="A2100" t="str">
        <f>"02/08/2021 20:25:35.951"</f>
        <v>02/08/2021 20:25:35.951</v>
      </c>
      <c r="C2100" t="str">
        <f t="shared" si="102"/>
        <v>FFDFD7C0</v>
      </c>
      <c r="D2100" t="s">
        <v>124</v>
      </c>
      <c r="E2100">
        <v>13</v>
      </c>
      <c r="F2100">
        <v>1013</v>
      </c>
      <c r="G2100" t="s">
        <v>114</v>
      </c>
      <c r="J2100" t="s">
        <v>125</v>
      </c>
      <c r="K2100">
        <v>0</v>
      </c>
      <c r="L2100">
        <v>3</v>
      </c>
      <c r="M2100">
        <v>0</v>
      </c>
      <c r="N2100">
        <v>2</v>
      </c>
      <c r="O2100">
        <v>1</v>
      </c>
      <c r="P2100">
        <v>0</v>
      </c>
      <c r="Q2100">
        <v>0</v>
      </c>
      <c r="S2100" t="str">
        <f>"20:25:38.258"</f>
        <v>20:25:38.258</v>
      </c>
      <c r="T2100" t="str">
        <f>"20:25:37.358"</f>
        <v>20:25:37.358</v>
      </c>
      <c r="U2100" t="str">
        <f t="shared" si="101"/>
        <v>AB01F4</v>
      </c>
      <c r="V2100">
        <v>0</v>
      </c>
      <c r="W2100">
        <v>0</v>
      </c>
      <c r="X2100">
        <v>2</v>
      </c>
      <c r="Z2100">
        <v>0</v>
      </c>
      <c r="AA2100">
        <v>9</v>
      </c>
      <c r="AB2100">
        <v>3</v>
      </c>
      <c r="AC2100">
        <v>0</v>
      </c>
      <c r="AD2100">
        <v>10</v>
      </c>
      <c r="AE2100">
        <v>0</v>
      </c>
      <c r="AF2100">
        <v>3</v>
      </c>
      <c r="AG2100">
        <v>2</v>
      </c>
      <c r="AH2100">
        <v>0</v>
      </c>
      <c r="AI2100" t="s">
        <v>1299</v>
      </c>
      <c r="AJ2100">
        <v>39.944572000000001</v>
      </c>
      <c r="AK2100" t="s">
        <v>1300</v>
      </c>
      <c r="AL2100">
        <v>-92.649078000000003</v>
      </c>
      <c r="AM2100">
        <v>100</v>
      </c>
      <c r="AN2100">
        <v>1700</v>
      </c>
      <c r="AO2100" t="s">
        <v>118</v>
      </c>
      <c r="AP2100">
        <v>-108</v>
      </c>
      <c r="AQ2100">
        <v>79</v>
      </c>
      <c r="AR2100">
        <v>64</v>
      </c>
      <c r="AZ2100">
        <v>1200</v>
      </c>
      <c r="BA2100">
        <v>1</v>
      </c>
      <c r="BB2100" t="str">
        <f t="shared" si="103"/>
        <v xml:space="preserve">N8080G  </v>
      </c>
      <c r="BC2100">
        <v>1</v>
      </c>
      <c r="BE2100">
        <v>0</v>
      </c>
      <c r="BF2100">
        <v>0</v>
      </c>
      <c r="BG2100">
        <v>0</v>
      </c>
      <c r="BH2100">
        <v>1700</v>
      </c>
      <c r="BI2100">
        <v>1</v>
      </c>
      <c r="BJ2100">
        <v>1</v>
      </c>
      <c r="BK2100">
        <v>1</v>
      </c>
      <c r="BL2100">
        <v>0</v>
      </c>
      <c r="BO2100">
        <v>0</v>
      </c>
      <c r="BP2100">
        <v>0</v>
      </c>
      <c r="BW2100" t="str">
        <f>"20:25:38.263"</f>
        <v>20:25:38.263</v>
      </c>
      <c r="BZ2100">
        <v>0</v>
      </c>
      <c r="CA2100">
        <v>2016</v>
      </c>
      <c r="CB2100">
        <v>224</v>
      </c>
      <c r="CD2100">
        <v>1</v>
      </c>
      <c r="CE2100">
        <v>0</v>
      </c>
      <c r="CF2100">
        <v>0</v>
      </c>
      <c r="CG2100">
        <v>1</v>
      </c>
      <c r="CH2100">
        <v>0</v>
      </c>
      <c r="CI2100">
        <v>0</v>
      </c>
      <c r="CJ2100">
        <v>0</v>
      </c>
      <c r="CK2100">
        <v>2</v>
      </c>
      <c r="CL2100">
        <v>0</v>
      </c>
      <c r="CM2100">
        <v>2</v>
      </c>
      <c r="CN2100">
        <v>0</v>
      </c>
      <c r="CO2100">
        <v>2</v>
      </c>
      <c r="CP2100" t="s">
        <v>119</v>
      </c>
      <c r="CQ2100">
        <v>179</v>
      </c>
      <c r="CR2100">
        <v>1</v>
      </c>
      <c r="CW2100">
        <v>8879641</v>
      </c>
      <c r="CY2100">
        <v>1</v>
      </c>
      <c r="CZ2100">
        <v>0</v>
      </c>
      <c r="DA2100">
        <v>1</v>
      </c>
      <c r="DB2100">
        <v>0</v>
      </c>
      <c r="DC2100">
        <v>0</v>
      </c>
      <c r="DD2100">
        <v>0</v>
      </c>
      <c r="DE2100">
        <v>0</v>
      </c>
      <c r="DF2100">
        <v>0</v>
      </c>
      <c r="DG2100">
        <v>0</v>
      </c>
      <c r="DH2100">
        <v>0</v>
      </c>
      <c r="DI2100">
        <v>0</v>
      </c>
    </row>
    <row r="2101" spans="1:113" x14ac:dyDescent="0.3">
      <c r="A2101" t="str">
        <f>"02/08/2021 20:25:35.951"</f>
        <v>02/08/2021 20:25:35.951</v>
      </c>
      <c r="C2101" t="str">
        <f t="shared" si="102"/>
        <v>FFDFD7C0</v>
      </c>
      <c r="D2101" t="s">
        <v>113</v>
      </c>
      <c r="E2101">
        <v>6</v>
      </c>
      <c r="H2101">
        <v>165</v>
      </c>
      <c r="I2101" t="s">
        <v>114</v>
      </c>
      <c r="J2101" t="s">
        <v>115</v>
      </c>
      <c r="K2101">
        <v>0</v>
      </c>
      <c r="L2101">
        <v>3</v>
      </c>
      <c r="M2101">
        <v>0</v>
      </c>
      <c r="N2101">
        <v>2</v>
      </c>
      <c r="O2101">
        <v>1</v>
      </c>
      <c r="P2101">
        <v>0</v>
      </c>
      <c r="Q2101">
        <v>0</v>
      </c>
      <c r="S2101" t="str">
        <f>"20:25:38.258"</f>
        <v>20:25:38.258</v>
      </c>
      <c r="T2101" t="str">
        <f>"20:25:37.358"</f>
        <v>20:25:37.358</v>
      </c>
      <c r="U2101" t="str">
        <f t="shared" si="101"/>
        <v>AB01F4</v>
      </c>
      <c r="V2101">
        <v>0</v>
      </c>
      <c r="W2101">
        <v>0</v>
      </c>
      <c r="X2101">
        <v>2</v>
      </c>
      <c r="Z2101">
        <v>0</v>
      </c>
      <c r="AA2101">
        <v>9</v>
      </c>
      <c r="AB2101">
        <v>3</v>
      </c>
      <c r="AC2101">
        <v>0</v>
      </c>
      <c r="AD2101">
        <v>10</v>
      </c>
      <c r="AE2101">
        <v>0</v>
      </c>
      <c r="AF2101">
        <v>3</v>
      </c>
      <c r="AG2101">
        <v>2</v>
      </c>
      <c r="AH2101">
        <v>0</v>
      </c>
      <c r="AI2101" t="s">
        <v>1299</v>
      </c>
      <c r="AJ2101">
        <v>39.944572000000001</v>
      </c>
      <c r="AK2101" t="s">
        <v>1300</v>
      </c>
      <c r="AL2101">
        <v>-92.649078000000003</v>
      </c>
      <c r="AM2101">
        <v>100</v>
      </c>
      <c r="AN2101">
        <v>1700</v>
      </c>
      <c r="AO2101" t="s">
        <v>118</v>
      </c>
      <c r="AP2101">
        <v>-108</v>
      </c>
      <c r="AQ2101">
        <v>79</v>
      </c>
      <c r="AR2101">
        <v>64</v>
      </c>
      <c r="AZ2101">
        <v>1200</v>
      </c>
      <c r="BA2101">
        <v>1</v>
      </c>
      <c r="BB2101" t="str">
        <f t="shared" si="103"/>
        <v xml:space="preserve">N8080G  </v>
      </c>
      <c r="BC2101">
        <v>1</v>
      </c>
      <c r="BE2101">
        <v>0</v>
      </c>
      <c r="BF2101">
        <v>0</v>
      </c>
      <c r="BG2101">
        <v>0</v>
      </c>
      <c r="BH2101">
        <v>1700</v>
      </c>
      <c r="BI2101">
        <v>1</v>
      </c>
      <c r="BJ2101">
        <v>1</v>
      </c>
      <c r="BK2101">
        <v>1</v>
      </c>
      <c r="BL2101">
        <v>0</v>
      </c>
      <c r="BO2101">
        <v>0</v>
      </c>
      <c r="BP2101">
        <v>0</v>
      </c>
      <c r="BW2101" t="str">
        <f>"20:25:38.263"</f>
        <v>20:25:38.263</v>
      </c>
      <c r="BZ2101">
        <v>0</v>
      </c>
      <c r="CA2101">
        <v>2016</v>
      </c>
      <c r="CB2101">
        <v>224</v>
      </c>
      <c r="CD2101">
        <v>1</v>
      </c>
      <c r="CE2101">
        <v>0</v>
      </c>
      <c r="CF2101">
        <v>0</v>
      </c>
      <c r="CG2101">
        <v>1</v>
      </c>
      <c r="CH2101">
        <v>0</v>
      </c>
      <c r="CI2101">
        <v>0</v>
      </c>
      <c r="CJ2101">
        <v>0</v>
      </c>
      <c r="CK2101">
        <v>2</v>
      </c>
      <c r="CL2101">
        <v>0</v>
      </c>
      <c r="CM2101">
        <v>2</v>
      </c>
      <c r="CN2101">
        <v>0</v>
      </c>
      <c r="CO2101">
        <v>2</v>
      </c>
      <c r="CP2101" t="s">
        <v>119</v>
      </c>
      <c r="CQ2101">
        <v>179</v>
      </c>
      <c r="CR2101">
        <v>1</v>
      </c>
      <c r="CW2101">
        <v>8879641</v>
      </c>
      <c r="CY2101">
        <v>1</v>
      </c>
      <c r="CZ2101">
        <v>0</v>
      </c>
      <c r="DA2101">
        <v>1</v>
      </c>
      <c r="DB2101">
        <v>0</v>
      </c>
      <c r="DC2101">
        <v>0</v>
      </c>
      <c r="DD2101">
        <v>0</v>
      </c>
      <c r="DE2101">
        <v>0</v>
      </c>
      <c r="DF2101">
        <v>0</v>
      </c>
      <c r="DG2101">
        <v>0</v>
      </c>
      <c r="DH2101">
        <v>0</v>
      </c>
      <c r="DI2101">
        <v>0</v>
      </c>
    </row>
    <row r="2102" spans="1:113" x14ac:dyDescent="0.3">
      <c r="A2102" t="str">
        <f>"02/08/2021 20:25:35.951"</f>
        <v>02/08/2021 20:25:35.951</v>
      </c>
      <c r="C2102" t="str">
        <f t="shared" si="102"/>
        <v>FFDFD7C0</v>
      </c>
      <c r="D2102" t="s">
        <v>124</v>
      </c>
      <c r="E2102">
        <v>11</v>
      </c>
      <c r="F2102">
        <v>1011</v>
      </c>
      <c r="G2102" t="s">
        <v>590</v>
      </c>
      <c r="J2102" t="s">
        <v>125</v>
      </c>
      <c r="K2102">
        <v>0</v>
      </c>
      <c r="L2102">
        <v>3</v>
      </c>
      <c r="M2102">
        <v>0</v>
      </c>
      <c r="N2102">
        <v>2</v>
      </c>
      <c r="O2102">
        <v>1</v>
      </c>
      <c r="P2102">
        <v>0</v>
      </c>
      <c r="Q2102">
        <v>0</v>
      </c>
      <c r="S2102" t="str">
        <f>"20:25:38.258"</f>
        <v>20:25:38.258</v>
      </c>
      <c r="T2102" t="str">
        <f>"20:25:37.358"</f>
        <v>20:25:37.358</v>
      </c>
      <c r="U2102" t="str">
        <f t="shared" si="101"/>
        <v>AB01F4</v>
      </c>
      <c r="V2102">
        <v>0</v>
      </c>
      <c r="W2102">
        <v>0</v>
      </c>
      <c r="X2102">
        <v>2</v>
      </c>
      <c r="Z2102">
        <v>0</v>
      </c>
      <c r="AA2102">
        <v>9</v>
      </c>
      <c r="AB2102">
        <v>3</v>
      </c>
      <c r="AC2102">
        <v>0</v>
      </c>
      <c r="AD2102">
        <v>10</v>
      </c>
      <c r="AE2102">
        <v>0</v>
      </c>
      <c r="AF2102">
        <v>3</v>
      </c>
      <c r="AG2102">
        <v>2</v>
      </c>
      <c r="AH2102">
        <v>0</v>
      </c>
      <c r="AI2102" t="s">
        <v>1299</v>
      </c>
      <c r="AJ2102">
        <v>39.944572000000001</v>
      </c>
      <c r="AK2102" t="s">
        <v>1300</v>
      </c>
      <c r="AL2102">
        <v>-92.649078000000003</v>
      </c>
      <c r="AM2102">
        <v>100</v>
      </c>
      <c r="AN2102">
        <v>1700</v>
      </c>
      <c r="AO2102" t="s">
        <v>118</v>
      </c>
      <c r="AP2102">
        <v>-108</v>
      </c>
      <c r="AQ2102">
        <v>79</v>
      </c>
      <c r="AR2102">
        <v>64</v>
      </c>
      <c r="AZ2102">
        <v>1200</v>
      </c>
      <c r="BA2102">
        <v>1</v>
      </c>
      <c r="BB2102" t="str">
        <f t="shared" si="103"/>
        <v xml:space="preserve">N8080G  </v>
      </c>
      <c r="BC2102">
        <v>1</v>
      </c>
      <c r="BE2102">
        <v>0</v>
      </c>
      <c r="BF2102">
        <v>0</v>
      </c>
      <c r="BG2102">
        <v>0</v>
      </c>
      <c r="BH2102">
        <v>1700</v>
      </c>
      <c r="BI2102">
        <v>1</v>
      </c>
      <c r="BJ2102">
        <v>1</v>
      </c>
      <c r="BK2102">
        <v>1</v>
      </c>
      <c r="BL2102">
        <v>0</v>
      </c>
      <c r="BO2102">
        <v>0</v>
      </c>
      <c r="BP2102">
        <v>0</v>
      </c>
      <c r="BW2102" t="str">
        <f>"20:25:38.263"</f>
        <v>20:25:38.263</v>
      </c>
      <c r="BZ2102">
        <v>0</v>
      </c>
      <c r="CA2102">
        <v>2016</v>
      </c>
      <c r="CB2102">
        <v>224</v>
      </c>
      <c r="CD2102">
        <v>1</v>
      </c>
      <c r="CE2102">
        <v>0</v>
      </c>
      <c r="CF2102">
        <v>0</v>
      </c>
      <c r="CG2102">
        <v>1</v>
      </c>
      <c r="CH2102">
        <v>0</v>
      </c>
      <c r="CI2102">
        <v>0</v>
      </c>
      <c r="CJ2102">
        <v>0</v>
      </c>
      <c r="CK2102">
        <v>2</v>
      </c>
      <c r="CL2102">
        <v>0</v>
      </c>
      <c r="CM2102">
        <v>2</v>
      </c>
      <c r="CN2102">
        <v>0</v>
      </c>
      <c r="CO2102">
        <v>2</v>
      </c>
      <c r="CP2102" t="s">
        <v>119</v>
      </c>
      <c r="CQ2102">
        <v>179</v>
      </c>
      <c r="CR2102">
        <v>1</v>
      </c>
      <c r="CW2102">
        <v>8879641</v>
      </c>
      <c r="CY2102">
        <v>1</v>
      </c>
      <c r="CZ2102">
        <v>0</v>
      </c>
      <c r="DA2102">
        <v>1</v>
      </c>
      <c r="DB2102">
        <v>0</v>
      </c>
      <c r="DC2102">
        <v>0</v>
      </c>
      <c r="DD2102">
        <v>0</v>
      </c>
      <c r="DE2102">
        <v>0</v>
      </c>
      <c r="DF2102">
        <v>0</v>
      </c>
      <c r="DG2102">
        <v>0</v>
      </c>
      <c r="DH2102">
        <v>0</v>
      </c>
      <c r="DI2102">
        <v>0</v>
      </c>
    </row>
    <row r="2103" spans="1:113" x14ac:dyDescent="0.3">
      <c r="A2103" t="str">
        <f>"02/08/2021 20:25:36.824"</f>
        <v>02/08/2021 20:25:36.824</v>
      </c>
      <c r="C2103" t="str">
        <f t="shared" si="102"/>
        <v>FFDFD7C0</v>
      </c>
      <c r="D2103" t="s">
        <v>124</v>
      </c>
      <c r="E2103">
        <v>13</v>
      </c>
      <c r="F2103">
        <v>1013</v>
      </c>
      <c r="G2103" t="s">
        <v>114</v>
      </c>
      <c r="J2103" t="s">
        <v>125</v>
      </c>
      <c r="K2103">
        <v>0</v>
      </c>
      <c r="L2103">
        <v>3</v>
      </c>
      <c r="M2103">
        <v>0</v>
      </c>
      <c r="N2103">
        <v>2</v>
      </c>
      <c r="O2103">
        <v>1</v>
      </c>
      <c r="P2103">
        <v>0</v>
      </c>
      <c r="Q2103">
        <v>0</v>
      </c>
      <c r="S2103" t="str">
        <f>"20:25:39.156"</f>
        <v>20:25:39.156</v>
      </c>
      <c r="T2103" t="str">
        <f>"20:25:38.756"</f>
        <v>20:25:38.756</v>
      </c>
      <c r="U2103" t="str">
        <f t="shared" si="101"/>
        <v>AB01F4</v>
      </c>
      <c r="V2103">
        <v>0</v>
      </c>
      <c r="W2103">
        <v>0</v>
      </c>
      <c r="X2103">
        <v>2</v>
      </c>
      <c r="Z2103">
        <v>0</v>
      </c>
      <c r="AA2103">
        <v>9</v>
      </c>
      <c r="AB2103">
        <v>3</v>
      </c>
      <c r="AC2103">
        <v>0</v>
      </c>
      <c r="AD2103">
        <v>10</v>
      </c>
      <c r="AE2103">
        <v>0</v>
      </c>
      <c r="AF2103">
        <v>3</v>
      </c>
      <c r="AG2103">
        <v>2</v>
      </c>
      <c r="AH2103">
        <v>0</v>
      </c>
      <c r="AI2103" t="s">
        <v>1301</v>
      </c>
      <c r="AJ2103">
        <v>39.944915999999999</v>
      </c>
      <c r="AK2103" t="s">
        <v>1302</v>
      </c>
      <c r="AL2103">
        <v>-92.649658000000002</v>
      </c>
      <c r="AM2103">
        <v>100</v>
      </c>
      <c r="AN2103">
        <v>1700</v>
      </c>
      <c r="AO2103" t="s">
        <v>118</v>
      </c>
      <c r="AP2103">
        <v>-108</v>
      </c>
      <c r="AQ2103">
        <v>79</v>
      </c>
      <c r="AR2103">
        <v>64</v>
      </c>
      <c r="AZ2103">
        <v>1200</v>
      </c>
      <c r="BA2103">
        <v>1</v>
      </c>
      <c r="BB2103" t="str">
        <f t="shared" si="103"/>
        <v xml:space="preserve">N8080G  </v>
      </c>
      <c r="BC2103">
        <v>1</v>
      </c>
      <c r="BE2103">
        <v>0</v>
      </c>
      <c r="BF2103">
        <v>0</v>
      </c>
      <c r="BG2103">
        <v>0</v>
      </c>
      <c r="BH2103">
        <v>1700</v>
      </c>
      <c r="BI2103">
        <v>1</v>
      </c>
      <c r="BJ2103">
        <v>1</v>
      </c>
      <c r="BK2103">
        <v>1</v>
      </c>
      <c r="BL2103">
        <v>0</v>
      </c>
      <c r="BO2103">
        <v>0</v>
      </c>
      <c r="BP2103">
        <v>0</v>
      </c>
      <c r="BW2103" t="str">
        <f>"20:25:39.161"</f>
        <v>20:25:39.161</v>
      </c>
      <c r="BZ2103">
        <v>0</v>
      </c>
      <c r="CA2103">
        <v>2016</v>
      </c>
      <c r="CB2103">
        <v>224</v>
      </c>
      <c r="CD2103">
        <v>1</v>
      </c>
      <c r="CE2103">
        <v>0</v>
      </c>
      <c r="CF2103">
        <v>0</v>
      </c>
      <c r="CG2103">
        <v>1</v>
      </c>
      <c r="CH2103">
        <v>0</v>
      </c>
      <c r="CI2103">
        <v>0</v>
      </c>
      <c r="CJ2103">
        <v>0</v>
      </c>
      <c r="CK2103">
        <v>2</v>
      </c>
      <c r="CL2103">
        <v>0</v>
      </c>
      <c r="CM2103">
        <v>2</v>
      </c>
      <c r="CN2103">
        <v>0</v>
      </c>
      <c r="CO2103">
        <v>7</v>
      </c>
      <c r="CP2103" t="s">
        <v>119</v>
      </c>
      <c r="CQ2103">
        <v>180</v>
      </c>
      <c r="CR2103">
        <v>3</v>
      </c>
      <c r="CW2103">
        <v>792632</v>
      </c>
      <c r="CY2103">
        <v>1</v>
      </c>
      <c r="CZ2103">
        <v>0</v>
      </c>
      <c r="DA2103">
        <v>0</v>
      </c>
      <c r="DB2103">
        <v>0</v>
      </c>
      <c r="DC2103">
        <v>0</v>
      </c>
      <c r="DD2103">
        <v>0</v>
      </c>
      <c r="DE2103">
        <v>0</v>
      </c>
      <c r="DF2103">
        <v>0</v>
      </c>
      <c r="DG2103">
        <v>0</v>
      </c>
      <c r="DH2103">
        <v>0</v>
      </c>
      <c r="DI2103">
        <v>0</v>
      </c>
    </row>
    <row r="2104" spans="1:113" x14ac:dyDescent="0.3">
      <c r="A2104" t="str">
        <f>"02/08/2021 20:25:36.824"</f>
        <v>02/08/2021 20:25:36.824</v>
      </c>
      <c r="C2104" t="str">
        <f t="shared" si="102"/>
        <v>FFDFD7C0</v>
      </c>
      <c r="D2104" t="s">
        <v>124</v>
      </c>
      <c r="E2104">
        <v>11</v>
      </c>
      <c r="F2104">
        <v>1011</v>
      </c>
      <c r="G2104" t="s">
        <v>590</v>
      </c>
      <c r="J2104" t="s">
        <v>125</v>
      </c>
      <c r="K2104">
        <v>0</v>
      </c>
      <c r="L2104">
        <v>3</v>
      </c>
      <c r="M2104">
        <v>0</v>
      </c>
      <c r="N2104">
        <v>2</v>
      </c>
      <c r="O2104">
        <v>1</v>
      </c>
      <c r="P2104">
        <v>0</v>
      </c>
      <c r="Q2104">
        <v>0</v>
      </c>
      <c r="S2104" t="str">
        <f>"20:25:39.156"</f>
        <v>20:25:39.156</v>
      </c>
      <c r="T2104" t="str">
        <f>"20:25:38.756"</f>
        <v>20:25:38.756</v>
      </c>
      <c r="U2104" t="str">
        <f t="shared" si="101"/>
        <v>AB01F4</v>
      </c>
      <c r="V2104">
        <v>0</v>
      </c>
      <c r="W2104">
        <v>0</v>
      </c>
      <c r="X2104">
        <v>2</v>
      </c>
      <c r="Z2104">
        <v>0</v>
      </c>
      <c r="AA2104">
        <v>9</v>
      </c>
      <c r="AB2104">
        <v>3</v>
      </c>
      <c r="AC2104">
        <v>0</v>
      </c>
      <c r="AD2104">
        <v>10</v>
      </c>
      <c r="AE2104">
        <v>0</v>
      </c>
      <c r="AF2104">
        <v>3</v>
      </c>
      <c r="AG2104">
        <v>2</v>
      </c>
      <c r="AH2104">
        <v>0</v>
      </c>
      <c r="AI2104" t="s">
        <v>1301</v>
      </c>
      <c r="AJ2104">
        <v>39.944915999999999</v>
      </c>
      <c r="AK2104" t="s">
        <v>1302</v>
      </c>
      <c r="AL2104">
        <v>-92.649658000000002</v>
      </c>
      <c r="AM2104">
        <v>100</v>
      </c>
      <c r="AN2104">
        <v>1700</v>
      </c>
      <c r="AO2104" t="s">
        <v>118</v>
      </c>
      <c r="AP2104">
        <v>-108</v>
      </c>
      <c r="AQ2104">
        <v>79</v>
      </c>
      <c r="AR2104">
        <v>64</v>
      </c>
      <c r="AZ2104">
        <v>1200</v>
      </c>
      <c r="BA2104">
        <v>1</v>
      </c>
      <c r="BB2104" t="str">
        <f t="shared" si="103"/>
        <v xml:space="preserve">N8080G  </v>
      </c>
      <c r="BC2104">
        <v>1</v>
      </c>
      <c r="BE2104">
        <v>0</v>
      </c>
      <c r="BF2104">
        <v>0</v>
      </c>
      <c r="BG2104">
        <v>0</v>
      </c>
      <c r="BH2104">
        <v>1700</v>
      </c>
      <c r="BI2104">
        <v>1</v>
      </c>
      <c r="BJ2104">
        <v>1</v>
      </c>
      <c r="BK2104">
        <v>1</v>
      </c>
      <c r="BL2104">
        <v>0</v>
      </c>
      <c r="BO2104">
        <v>0</v>
      </c>
      <c r="BP2104">
        <v>0</v>
      </c>
      <c r="BW2104" t="str">
        <f>"20:25:39.161"</f>
        <v>20:25:39.161</v>
      </c>
      <c r="BZ2104">
        <v>0</v>
      </c>
      <c r="CA2104">
        <v>2016</v>
      </c>
      <c r="CB2104">
        <v>224</v>
      </c>
      <c r="CD2104">
        <v>1</v>
      </c>
      <c r="CE2104">
        <v>0</v>
      </c>
      <c r="CF2104">
        <v>0</v>
      </c>
      <c r="CG2104">
        <v>1</v>
      </c>
      <c r="CH2104">
        <v>0</v>
      </c>
      <c r="CI2104">
        <v>0</v>
      </c>
      <c r="CJ2104">
        <v>0</v>
      </c>
      <c r="CK2104">
        <v>2</v>
      </c>
      <c r="CL2104">
        <v>0</v>
      </c>
      <c r="CM2104">
        <v>2</v>
      </c>
      <c r="CN2104">
        <v>0</v>
      </c>
      <c r="CO2104">
        <v>7</v>
      </c>
      <c r="CP2104" t="s">
        <v>119</v>
      </c>
      <c r="CQ2104">
        <v>180</v>
      </c>
      <c r="CR2104">
        <v>3</v>
      </c>
      <c r="CW2104">
        <v>792632</v>
      </c>
      <c r="CY2104">
        <v>1</v>
      </c>
      <c r="CZ2104">
        <v>0</v>
      </c>
      <c r="DA2104">
        <v>1</v>
      </c>
      <c r="DB2104">
        <v>0</v>
      </c>
      <c r="DC2104">
        <v>0</v>
      </c>
      <c r="DD2104">
        <v>0</v>
      </c>
      <c r="DE2104">
        <v>0</v>
      </c>
      <c r="DF2104">
        <v>0</v>
      </c>
      <c r="DG2104">
        <v>0</v>
      </c>
      <c r="DH2104">
        <v>0</v>
      </c>
      <c r="DI2104">
        <v>0</v>
      </c>
    </row>
    <row r="2105" spans="1:113" x14ac:dyDescent="0.3">
      <c r="A2105" t="str">
        <f>"02/08/2021 20:25:36.824"</f>
        <v>02/08/2021 20:25:36.824</v>
      </c>
      <c r="C2105" t="str">
        <f t="shared" si="102"/>
        <v>FFDFD7C0</v>
      </c>
      <c r="D2105" t="s">
        <v>113</v>
      </c>
      <c r="E2105">
        <v>6</v>
      </c>
      <c r="H2105">
        <v>165</v>
      </c>
      <c r="I2105" t="s">
        <v>114</v>
      </c>
      <c r="J2105" t="s">
        <v>115</v>
      </c>
      <c r="K2105">
        <v>0</v>
      </c>
      <c r="L2105">
        <v>3</v>
      </c>
      <c r="M2105">
        <v>0</v>
      </c>
      <c r="N2105">
        <v>2</v>
      </c>
      <c r="O2105">
        <v>1</v>
      </c>
      <c r="P2105">
        <v>0</v>
      </c>
      <c r="Q2105">
        <v>0</v>
      </c>
      <c r="S2105" t="str">
        <f>"20:25:39.156"</f>
        <v>20:25:39.156</v>
      </c>
      <c r="T2105" t="str">
        <f>"20:25:38.756"</f>
        <v>20:25:38.756</v>
      </c>
      <c r="U2105" t="str">
        <f t="shared" si="101"/>
        <v>AB01F4</v>
      </c>
      <c r="V2105">
        <v>0</v>
      </c>
      <c r="W2105">
        <v>0</v>
      </c>
      <c r="X2105">
        <v>2</v>
      </c>
      <c r="Z2105">
        <v>0</v>
      </c>
      <c r="AA2105">
        <v>9</v>
      </c>
      <c r="AB2105">
        <v>3</v>
      </c>
      <c r="AC2105">
        <v>0</v>
      </c>
      <c r="AD2105">
        <v>10</v>
      </c>
      <c r="AE2105">
        <v>0</v>
      </c>
      <c r="AF2105">
        <v>3</v>
      </c>
      <c r="AG2105">
        <v>2</v>
      </c>
      <c r="AH2105">
        <v>0</v>
      </c>
      <c r="AI2105" t="s">
        <v>1301</v>
      </c>
      <c r="AJ2105">
        <v>39.944915999999999</v>
      </c>
      <c r="AK2105" t="s">
        <v>1302</v>
      </c>
      <c r="AL2105">
        <v>-92.649658000000002</v>
      </c>
      <c r="AM2105">
        <v>100</v>
      </c>
      <c r="AN2105">
        <v>1700</v>
      </c>
      <c r="AO2105" t="s">
        <v>118</v>
      </c>
      <c r="AP2105">
        <v>-108</v>
      </c>
      <c r="AQ2105">
        <v>79</v>
      </c>
      <c r="AR2105">
        <v>64</v>
      </c>
      <c r="AZ2105">
        <v>1200</v>
      </c>
      <c r="BA2105">
        <v>1</v>
      </c>
      <c r="BB2105" t="str">
        <f t="shared" si="103"/>
        <v xml:space="preserve">N8080G  </v>
      </c>
      <c r="BC2105">
        <v>1</v>
      </c>
      <c r="BE2105">
        <v>0</v>
      </c>
      <c r="BF2105">
        <v>0</v>
      </c>
      <c r="BG2105">
        <v>0</v>
      </c>
      <c r="BH2105">
        <v>1700</v>
      </c>
      <c r="BI2105">
        <v>1</v>
      </c>
      <c r="BJ2105">
        <v>1</v>
      </c>
      <c r="BK2105">
        <v>1</v>
      </c>
      <c r="BL2105">
        <v>0</v>
      </c>
      <c r="BO2105">
        <v>0</v>
      </c>
      <c r="BP2105">
        <v>0</v>
      </c>
      <c r="BW2105" t="str">
        <f>"20:25:39.161"</f>
        <v>20:25:39.161</v>
      </c>
      <c r="BZ2105">
        <v>0</v>
      </c>
      <c r="CA2105">
        <v>2016</v>
      </c>
      <c r="CB2105">
        <v>224</v>
      </c>
      <c r="CD2105">
        <v>1</v>
      </c>
      <c r="CE2105">
        <v>0</v>
      </c>
      <c r="CF2105">
        <v>0</v>
      </c>
      <c r="CG2105">
        <v>1</v>
      </c>
      <c r="CH2105">
        <v>0</v>
      </c>
      <c r="CI2105">
        <v>0</v>
      </c>
      <c r="CJ2105">
        <v>0</v>
      </c>
      <c r="CK2105">
        <v>2</v>
      </c>
      <c r="CL2105">
        <v>0</v>
      </c>
      <c r="CM2105">
        <v>2</v>
      </c>
      <c r="CN2105">
        <v>0</v>
      </c>
      <c r="CO2105">
        <v>7</v>
      </c>
      <c r="CP2105" t="s">
        <v>119</v>
      </c>
      <c r="CQ2105">
        <v>180</v>
      </c>
      <c r="CR2105">
        <v>3</v>
      </c>
      <c r="CW2105">
        <v>792632</v>
      </c>
      <c r="CY2105">
        <v>1</v>
      </c>
      <c r="CZ2105">
        <v>0</v>
      </c>
      <c r="DA2105">
        <v>1</v>
      </c>
      <c r="DB2105">
        <v>0</v>
      </c>
      <c r="DC2105">
        <v>0</v>
      </c>
      <c r="DD2105">
        <v>0</v>
      </c>
      <c r="DE2105">
        <v>0</v>
      </c>
      <c r="DF2105">
        <v>0</v>
      </c>
      <c r="DG2105">
        <v>0</v>
      </c>
      <c r="DH2105">
        <v>0</v>
      </c>
      <c r="DI2105">
        <v>0</v>
      </c>
    </row>
    <row r="2106" spans="1:113" x14ac:dyDescent="0.3">
      <c r="A2106" t="str">
        <f>"02/08/2021 20:25:36.824"</f>
        <v>02/08/2021 20:25:36.824</v>
      </c>
      <c r="C2106" t="str">
        <f t="shared" si="102"/>
        <v>FFDFD7C0</v>
      </c>
      <c r="D2106" t="s">
        <v>124</v>
      </c>
      <c r="E2106">
        <v>12</v>
      </c>
      <c r="F2106">
        <v>1012</v>
      </c>
      <c r="G2106" t="s">
        <v>675</v>
      </c>
      <c r="J2106" t="s">
        <v>125</v>
      </c>
      <c r="K2106">
        <v>0</v>
      </c>
      <c r="L2106">
        <v>3</v>
      </c>
      <c r="M2106">
        <v>0</v>
      </c>
      <c r="N2106">
        <v>2</v>
      </c>
      <c r="O2106">
        <v>1</v>
      </c>
      <c r="P2106">
        <v>0</v>
      </c>
      <c r="Q2106">
        <v>0</v>
      </c>
      <c r="S2106" t="str">
        <f>"20:25:39.156"</f>
        <v>20:25:39.156</v>
      </c>
      <c r="T2106" t="str">
        <f>"20:25:38.756"</f>
        <v>20:25:38.756</v>
      </c>
      <c r="U2106" t="str">
        <f t="shared" si="101"/>
        <v>AB01F4</v>
      </c>
      <c r="V2106">
        <v>0</v>
      </c>
      <c r="W2106">
        <v>0</v>
      </c>
      <c r="X2106">
        <v>2</v>
      </c>
      <c r="Z2106">
        <v>0</v>
      </c>
      <c r="AA2106">
        <v>9</v>
      </c>
      <c r="AB2106">
        <v>3</v>
      </c>
      <c r="AC2106">
        <v>0</v>
      </c>
      <c r="AD2106">
        <v>10</v>
      </c>
      <c r="AE2106">
        <v>0</v>
      </c>
      <c r="AF2106">
        <v>3</v>
      </c>
      <c r="AG2106">
        <v>2</v>
      </c>
      <c r="AH2106">
        <v>0</v>
      </c>
      <c r="AI2106" t="s">
        <v>1301</v>
      </c>
      <c r="AJ2106">
        <v>39.944915999999999</v>
      </c>
      <c r="AK2106" t="s">
        <v>1302</v>
      </c>
      <c r="AL2106">
        <v>-92.649658000000002</v>
      </c>
      <c r="AM2106">
        <v>100</v>
      </c>
      <c r="AN2106">
        <v>1700</v>
      </c>
      <c r="AO2106" t="s">
        <v>118</v>
      </c>
      <c r="AP2106">
        <v>-108</v>
      </c>
      <c r="AQ2106">
        <v>79</v>
      </c>
      <c r="AR2106">
        <v>64</v>
      </c>
      <c r="AZ2106">
        <v>1200</v>
      </c>
      <c r="BA2106">
        <v>1</v>
      </c>
      <c r="BB2106" t="str">
        <f t="shared" si="103"/>
        <v xml:space="preserve">N8080G  </v>
      </c>
      <c r="BC2106">
        <v>1</v>
      </c>
      <c r="BE2106">
        <v>0</v>
      </c>
      <c r="BF2106">
        <v>0</v>
      </c>
      <c r="BG2106">
        <v>0</v>
      </c>
      <c r="BH2106">
        <v>1700</v>
      </c>
      <c r="BI2106">
        <v>1</v>
      </c>
      <c r="BJ2106">
        <v>1</v>
      </c>
      <c r="BK2106">
        <v>1</v>
      </c>
      <c r="BL2106">
        <v>0</v>
      </c>
      <c r="BO2106">
        <v>0</v>
      </c>
      <c r="BP2106">
        <v>0</v>
      </c>
      <c r="BW2106" t="str">
        <f>"20:25:39.161"</f>
        <v>20:25:39.161</v>
      </c>
      <c r="BZ2106">
        <v>0</v>
      </c>
      <c r="CA2106">
        <v>2016</v>
      </c>
      <c r="CB2106">
        <v>224</v>
      </c>
      <c r="CD2106">
        <v>1</v>
      </c>
      <c r="CE2106">
        <v>0</v>
      </c>
      <c r="CF2106">
        <v>0</v>
      </c>
      <c r="CG2106">
        <v>1</v>
      </c>
      <c r="CH2106">
        <v>0</v>
      </c>
      <c r="CI2106">
        <v>0</v>
      </c>
      <c r="CJ2106">
        <v>0</v>
      </c>
      <c r="CK2106">
        <v>2</v>
      </c>
      <c r="CL2106">
        <v>0</v>
      </c>
      <c r="CM2106">
        <v>2</v>
      </c>
      <c r="CN2106">
        <v>0</v>
      </c>
      <c r="CO2106">
        <v>7</v>
      </c>
      <c r="CP2106" t="s">
        <v>119</v>
      </c>
      <c r="CQ2106">
        <v>180</v>
      </c>
      <c r="CR2106">
        <v>3</v>
      </c>
      <c r="CW2106">
        <v>792632</v>
      </c>
      <c r="CY2106">
        <v>1</v>
      </c>
      <c r="CZ2106">
        <v>0</v>
      </c>
      <c r="DA2106">
        <v>1</v>
      </c>
      <c r="DB2106">
        <v>0</v>
      </c>
      <c r="DC2106">
        <v>0</v>
      </c>
      <c r="DD2106">
        <v>0</v>
      </c>
      <c r="DE2106">
        <v>0</v>
      </c>
      <c r="DF2106">
        <v>0</v>
      </c>
      <c r="DG2106">
        <v>0</v>
      </c>
      <c r="DH2106">
        <v>0</v>
      </c>
      <c r="DI2106">
        <v>0</v>
      </c>
    </row>
    <row r="2107" spans="1:113" x14ac:dyDescent="0.3">
      <c r="A2107" t="str">
        <f>"02/08/2021 20:25:37.759"</f>
        <v>02/08/2021 20:25:37.759</v>
      </c>
      <c r="C2107" t="str">
        <f t="shared" si="102"/>
        <v>FFDFD7C0</v>
      </c>
      <c r="D2107" t="s">
        <v>124</v>
      </c>
      <c r="E2107">
        <v>11</v>
      </c>
      <c r="F2107">
        <v>1011</v>
      </c>
      <c r="G2107" t="s">
        <v>590</v>
      </c>
      <c r="J2107" t="s">
        <v>125</v>
      </c>
      <c r="K2107">
        <v>0</v>
      </c>
      <c r="L2107">
        <v>3</v>
      </c>
      <c r="M2107">
        <v>0</v>
      </c>
      <c r="N2107">
        <v>2</v>
      </c>
      <c r="O2107">
        <v>1</v>
      </c>
      <c r="P2107">
        <v>0</v>
      </c>
      <c r="Q2107">
        <v>0</v>
      </c>
      <c r="S2107" t="str">
        <f>"20:25:40.094"</f>
        <v>20:25:40.094</v>
      </c>
      <c r="T2107" t="str">
        <f>"20:25:39.694"</f>
        <v>20:25:39.694</v>
      </c>
      <c r="U2107" t="str">
        <f t="shared" si="101"/>
        <v>AB01F4</v>
      </c>
      <c r="V2107">
        <v>0</v>
      </c>
      <c r="W2107">
        <v>0</v>
      </c>
      <c r="X2107">
        <v>2</v>
      </c>
      <c r="Z2107">
        <v>0</v>
      </c>
      <c r="AA2107">
        <v>9</v>
      </c>
      <c r="AB2107">
        <v>3</v>
      </c>
      <c r="AC2107">
        <v>0</v>
      </c>
      <c r="AD2107">
        <v>10</v>
      </c>
      <c r="AE2107">
        <v>0</v>
      </c>
      <c r="AF2107">
        <v>3</v>
      </c>
      <c r="AG2107">
        <v>2</v>
      </c>
      <c r="AH2107">
        <v>0</v>
      </c>
      <c r="AI2107" t="s">
        <v>1303</v>
      </c>
      <c r="AJ2107">
        <v>39.945259</v>
      </c>
      <c r="AK2107" t="s">
        <v>1304</v>
      </c>
      <c r="AL2107">
        <v>-92.650259000000005</v>
      </c>
      <c r="AM2107">
        <v>100</v>
      </c>
      <c r="AN2107">
        <v>1700</v>
      </c>
      <c r="AO2107" t="s">
        <v>118</v>
      </c>
      <c r="AP2107">
        <v>-108</v>
      </c>
      <c r="AQ2107">
        <v>79</v>
      </c>
      <c r="AR2107">
        <v>64</v>
      </c>
      <c r="AZ2107">
        <v>1200</v>
      </c>
      <c r="BA2107">
        <v>1</v>
      </c>
      <c r="BB2107" t="str">
        <f t="shared" si="103"/>
        <v xml:space="preserve">N8080G  </v>
      </c>
      <c r="BC2107">
        <v>1</v>
      </c>
      <c r="BE2107">
        <v>0</v>
      </c>
      <c r="BF2107">
        <v>0</v>
      </c>
      <c r="BG2107">
        <v>0</v>
      </c>
      <c r="BH2107">
        <v>1700</v>
      </c>
      <c r="BI2107">
        <v>1</v>
      </c>
      <c r="BJ2107">
        <v>1</v>
      </c>
      <c r="BK2107">
        <v>1</v>
      </c>
      <c r="BL2107">
        <v>0</v>
      </c>
      <c r="BO2107">
        <v>0</v>
      </c>
      <c r="BP2107">
        <v>0</v>
      </c>
      <c r="BW2107" t="str">
        <f>"20:25:40.095"</f>
        <v>20:25:40.095</v>
      </c>
      <c r="BZ2107">
        <v>0</v>
      </c>
      <c r="CA2107">
        <v>2016</v>
      </c>
      <c r="CB2107">
        <v>224</v>
      </c>
      <c r="CD2107">
        <v>1</v>
      </c>
      <c r="CE2107">
        <v>0</v>
      </c>
      <c r="CF2107">
        <v>0</v>
      </c>
      <c r="CG2107">
        <v>1</v>
      </c>
      <c r="CH2107">
        <v>0</v>
      </c>
      <c r="CI2107">
        <v>0</v>
      </c>
      <c r="CJ2107">
        <v>0</v>
      </c>
      <c r="CK2107">
        <v>2</v>
      </c>
      <c r="CL2107">
        <v>0</v>
      </c>
      <c r="CM2107">
        <v>2</v>
      </c>
      <c r="CN2107">
        <v>0</v>
      </c>
      <c r="CO2107">
        <v>2</v>
      </c>
      <c r="CP2107" t="s">
        <v>119</v>
      </c>
      <c r="CQ2107">
        <v>179</v>
      </c>
      <c r="CR2107">
        <v>1</v>
      </c>
      <c r="CW2107">
        <v>8881142</v>
      </c>
      <c r="CY2107">
        <v>1</v>
      </c>
      <c r="CZ2107">
        <v>0</v>
      </c>
      <c r="DA2107">
        <v>0</v>
      </c>
      <c r="DB2107">
        <v>0</v>
      </c>
      <c r="DC2107">
        <v>0</v>
      </c>
      <c r="DD2107">
        <v>0</v>
      </c>
      <c r="DE2107">
        <v>0</v>
      </c>
      <c r="DF2107">
        <v>0</v>
      </c>
      <c r="DG2107">
        <v>0</v>
      </c>
      <c r="DH2107">
        <v>0</v>
      </c>
      <c r="DI2107">
        <v>0</v>
      </c>
    </row>
    <row r="2108" spans="1:113" x14ac:dyDescent="0.3">
      <c r="A2108" t="str">
        <f>"02/08/2021 20:25:37.759"</f>
        <v>02/08/2021 20:25:37.759</v>
      </c>
      <c r="C2108" t="str">
        <f t="shared" si="102"/>
        <v>FFDFD7C0</v>
      </c>
      <c r="D2108" t="s">
        <v>124</v>
      </c>
      <c r="E2108">
        <v>12</v>
      </c>
      <c r="F2108">
        <v>1012</v>
      </c>
      <c r="G2108" t="s">
        <v>675</v>
      </c>
      <c r="J2108" t="s">
        <v>125</v>
      </c>
      <c r="K2108">
        <v>0</v>
      </c>
      <c r="L2108">
        <v>3</v>
      </c>
      <c r="M2108">
        <v>0</v>
      </c>
      <c r="N2108">
        <v>2</v>
      </c>
      <c r="O2108">
        <v>1</v>
      </c>
      <c r="P2108">
        <v>0</v>
      </c>
      <c r="Q2108">
        <v>0</v>
      </c>
      <c r="S2108" t="str">
        <f>"20:25:40.094"</f>
        <v>20:25:40.094</v>
      </c>
      <c r="T2108" t="str">
        <f>"20:25:39.694"</f>
        <v>20:25:39.694</v>
      </c>
      <c r="U2108" t="str">
        <f t="shared" si="101"/>
        <v>AB01F4</v>
      </c>
      <c r="V2108">
        <v>0</v>
      </c>
      <c r="W2108">
        <v>0</v>
      </c>
      <c r="X2108">
        <v>2</v>
      </c>
      <c r="Z2108">
        <v>0</v>
      </c>
      <c r="AA2108">
        <v>9</v>
      </c>
      <c r="AB2108">
        <v>3</v>
      </c>
      <c r="AC2108">
        <v>0</v>
      </c>
      <c r="AD2108">
        <v>10</v>
      </c>
      <c r="AE2108">
        <v>0</v>
      </c>
      <c r="AF2108">
        <v>3</v>
      </c>
      <c r="AG2108">
        <v>2</v>
      </c>
      <c r="AH2108">
        <v>0</v>
      </c>
      <c r="AI2108" t="s">
        <v>1303</v>
      </c>
      <c r="AJ2108">
        <v>39.945259</v>
      </c>
      <c r="AK2108" t="s">
        <v>1304</v>
      </c>
      <c r="AL2108">
        <v>-92.650259000000005</v>
      </c>
      <c r="AM2108">
        <v>100</v>
      </c>
      <c r="AN2108">
        <v>1700</v>
      </c>
      <c r="AO2108" t="s">
        <v>118</v>
      </c>
      <c r="AP2108">
        <v>-108</v>
      </c>
      <c r="AQ2108">
        <v>79</v>
      </c>
      <c r="AR2108">
        <v>64</v>
      </c>
      <c r="AZ2108">
        <v>1200</v>
      </c>
      <c r="BA2108">
        <v>1</v>
      </c>
      <c r="BB2108" t="str">
        <f t="shared" si="103"/>
        <v xml:space="preserve">N8080G  </v>
      </c>
      <c r="BC2108">
        <v>1</v>
      </c>
      <c r="BE2108">
        <v>0</v>
      </c>
      <c r="BF2108">
        <v>0</v>
      </c>
      <c r="BG2108">
        <v>0</v>
      </c>
      <c r="BH2108">
        <v>1700</v>
      </c>
      <c r="BI2108">
        <v>1</v>
      </c>
      <c r="BJ2108">
        <v>1</v>
      </c>
      <c r="BK2108">
        <v>1</v>
      </c>
      <c r="BL2108">
        <v>0</v>
      </c>
      <c r="BO2108">
        <v>0</v>
      </c>
      <c r="BP2108">
        <v>0</v>
      </c>
      <c r="BW2108" t="str">
        <f>"20:25:40.095"</f>
        <v>20:25:40.095</v>
      </c>
      <c r="BZ2108">
        <v>0</v>
      </c>
      <c r="CA2108">
        <v>2016</v>
      </c>
      <c r="CB2108">
        <v>224</v>
      </c>
      <c r="CD2108">
        <v>1</v>
      </c>
      <c r="CE2108">
        <v>0</v>
      </c>
      <c r="CF2108">
        <v>0</v>
      </c>
      <c r="CG2108">
        <v>1</v>
      </c>
      <c r="CH2108">
        <v>0</v>
      </c>
      <c r="CI2108">
        <v>0</v>
      </c>
      <c r="CJ2108">
        <v>0</v>
      </c>
      <c r="CK2108">
        <v>2</v>
      </c>
      <c r="CL2108">
        <v>0</v>
      </c>
      <c r="CM2108">
        <v>2</v>
      </c>
      <c r="CN2108">
        <v>0</v>
      </c>
      <c r="CO2108">
        <v>2</v>
      </c>
      <c r="CP2108" t="s">
        <v>119</v>
      </c>
      <c r="CQ2108">
        <v>179</v>
      </c>
      <c r="CR2108">
        <v>1</v>
      </c>
      <c r="CW2108">
        <v>8881142</v>
      </c>
      <c r="CY2108">
        <v>1</v>
      </c>
      <c r="CZ2108">
        <v>0</v>
      </c>
      <c r="DA2108">
        <v>1</v>
      </c>
      <c r="DB2108">
        <v>0</v>
      </c>
      <c r="DC2108">
        <v>0</v>
      </c>
      <c r="DD2108">
        <v>0</v>
      </c>
      <c r="DE2108">
        <v>0</v>
      </c>
      <c r="DF2108">
        <v>0</v>
      </c>
      <c r="DG2108">
        <v>0</v>
      </c>
      <c r="DH2108">
        <v>0</v>
      </c>
      <c r="DI2108">
        <v>0</v>
      </c>
    </row>
    <row r="2109" spans="1:113" x14ac:dyDescent="0.3">
      <c r="A2109" t="str">
        <f>"02/08/2021 20:25:37.759"</f>
        <v>02/08/2021 20:25:37.759</v>
      </c>
      <c r="C2109" t="str">
        <f t="shared" si="102"/>
        <v>FFDFD7C0</v>
      </c>
      <c r="D2109" t="s">
        <v>113</v>
      </c>
      <c r="E2109">
        <v>6</v>
      </c>
      <c r="H2109">
        <v>165</v>
      </c>
      <c r="I2109" t="s">
        <v>114</v>
      </c>
      <c r="J2109" t="s">
        <v>115</v>
      </c>
      <c r="K2109">
        <v>0</v>
      </c>
      <c r="L2109">
        <v>3</v>
      </c>
      <c r="M2109">
        <v>0</v>
      </c>
      <c r="N2109">
        <v>2</v>
      </c>
      <c r="O2109">
        <v>1</v>
      </c>
      <c r="P2109">
        <v>0</v>
      </c>
      <c r="Q2109">
        <v>0</v>
      </c>
      <c r="S2109" t="str">
        <f>"20:25:40.094"</f>
        <v>20:25:40.094</v>
      </c>
      <c r="T2109" t="str">
        <f>"20:25:39.694"</f>
        <v>20:25:39.694</v>
      </c>
      <c r="U2109" t="str">
        <f t="shared" si="101"/>
        <v>AB01F4</v>
      </c>
      <c r="V2109">
        <v>0</v>
      </c>
      <c r="W2109">
        <v>0</v>
      </c>
      <c r="X2109">
        <v>2</v>
      </c>
      <c r="Z2109">
        <v>0</v>
      </c>
      <c r="AA2109">
        <v>9</v>
      </c>
      <c r="AB2109">
        <v>3</v>
      </c>
      <c r="AC2109">
        <v>0</v>
      </c>
      <c r="AD2109">
        <v>10</v>
      </c>
      <c r="AE2109">
        <v>0</v>
      </c>
      <c r="AF2109">
        <v>3</v>
      </c>
      <c r="AG2109">
        <v>2</v>
      </c>
      <c r="AH2109">
        <v>0</v>
      </c>
      <c r="AI2109" t="s">
        <v>1303</v>
      </c>
      <c r="AJ2109">
        <v>39.945259</v>
      </c>
      <c r="AK2109" t="s">
        <v>1304</v>
      </c>
      <c r="AL2109">
        <v>-92.650259000000005</v>
      </c>
      <c r="AM2109">
        <v>100</v>
      </c>
      <c r="AN2109">
        <v>1700</v>
      </c>
      <c r="AO2109" t="s">
        <v>118</v>
      </c>
      <c r="AP2109">
        <v>-108</v>
      </c>
      <c r="AQ2109">
        <v>79</v>
      </c>
      <c r="AR2109">
        <v>64</v>
      </c>
      <c r="AZ2109">
        <v>1200</v>
      </c>
      <c r="BA2109">
        <v>1</v>
      </c>
      <c r="BB2109" t="str">
        <f t="shared" si="103"/>
        <v xml:space="preserve">N8080G  </v>
      </c>
      <c r="BC2109">
        <v>1</v>
      </c>
      <c r="BE2109">
        <v>0</v>
      </c>
      <c r="BF2109">
        <v>0</v>
      </c>
      <c r="BG2109">
        <v>0</v>
      </c>
      <c r="BH2109">
        <v>1700</v>
      </c>
      <c r="BI2109">
        <v>1</v>
      </c>
      <c r="BJ2109">
        <v>1</v>
      </c>
      <c r="BK2109">
        <v>1</v>
      </c>
      <c r="BL2109">
        <v>0</v>
      </c>
      <c r="BO2109">
        <v>0</v>
      </c>
      <c r="BP2109">
        <v>0</v>
      </c>
      <c r="BW2109" t="str">
        <f>"20:25:40.095"</f>
        <v>20:25:40.095</v>
      </c>
      <c r="BZ2109">
        <v>0</v>
      </c>
      <c r="CA2109">
        <v>2016</v>
      </c>
      <c r="CB2109">
        <v>224</v>
      </c>
      <c r="CD2109">
        <v>1</v>
      </c>
      <c r="CE2109">
        <v>0</v>
      </c>
      <c r="CF2109">
        <v>0</v>
      </c>
      <c r="CG2109">
        <v>1</v>
      </c>
      <c r="CH2109">
        <v>0</v>
      </c>
      <c r="CI2109">
        <v>0</v>
      </c>
      <c r="CJ2109">
        <v>0</v>
      </c>
      <c r="CK2109">
        <v>2</v>
      </c>
      <c r="CL2109">
        <v>0</v>
      </c>
      <c r="CM2109">
        <v>2</v>
      </c>
      <c r="CN2109">
        <v>0</v>
      </c>
      <c r="CO2109">
        <v>2</v>
      </c>
      <c r="CP2109" t="s">
        <v>119</v>
      </c>
      <c r="CQ2109">
        <v>179</v>
      </c>
      <c r="CR2109">
        <v>1</v>
      </c>
      <c r="CW2109">
        <v>8881142</v>
      </c>
      <c r="CY2109">
        <v>1</v>
      </c>
      <c r="CZ2109">
        <v>0</v>
      </c>
      <c r="DA2109">
        <v>1</v>
      </c>
      <c r="DB2109">
        <v>0</v>
      </c>
      <c r="DC2109">
        <v>0</v>
      </c>
      <c r="DD2109">
        <v>0</v>
      </c>
      <c r="DE2109">
        <v>0</v>
      </c>
      <c r="DF2109">
        <v>0</v>
      </c>
      <c r="DG2109">
        <v>0</v>
      </c>
      <c r="DH2109">
        <v>0</v>
      </c>
      <c r="DI2109">
        <v>0</v>
      </c>
    </row>
    <row r="2110" spans="1:113" x14ac:dyDescent="0.3">
      <c r="A2110" t="str">
        <f>"02/08/2021 20:25:37.759"</f>
        <v>02/08/2021 20:25:37.759</v>
      </c>
      <c r="C2110" t="str">
        <f t="shared" si="102"/>
        <v>FFDFD7C0</v>
      </c>
      <c r="D2110" t="s">
        <v>124</v>
      </c>
      <c r="E2110">
        <v>13</v>
      </c>
      <c r="F2110">
        <v>1013</v>
      </c>
      <c r="G2110" t="s">
        <v>114</v>
      </c>
      <c r="J2110" t="s">
        <v>125</v>
      </c>
      <c r="K2110">
        <v>0</v>
      </c>
      <c r="L2110">
        <v>3</v>
      </c>
      <c r="M2110">
        <v>0</v>
      </c>
      <c r="N2110">
        <v>2</v>
      </c>
      <c r="O2110">
        <v>1</v>
      </c>
      <c r="P2110">
        <v>0</v>
      </c>
      <c r="Q2110">
        <v>0</v>
      </c>
      <c r="S2110" t="str">
        <f>"20:25:40.094"</f>
        <v>20:25:40.094</v>
      </c>
      <c r="T2110" t="str">
        <f>"20:25:39.694"</f>
        <v>20:25:39.694</v>
      </c>
      <c r="U2110" t="str">
        <f t="shared" si="101"/>
        <v>AB01F4</v>
      </c>
      <c r="V2110">
        <v>0</v>
      </c>
      <c r="W2110">
        <v>0</v>
      </c>
      <c r="X2110">
        <v>2</v>
      </c>
      <c r="Z2110">
        <v>0</v>
      </c>
      <c r="AA2110">
        <v>9</v>
      </c>
      <c r="AB2110">
        <v>3</v>
      </c>
      <c r="AC2110">
        <v>0</v>
      </c>
      <c r="AD2110">
        <v>10</v>
      </c>
      <c r="AE2110">
        <v>0</v>
      </c>
      <c r="AF2110">
        <v>3</v>
      </c>
      <c r="AG2110">
        <v>2</v>
      </c>
      <c r="AH2110">
        <v>0</v>
      </c>
      <c r="AI2110" t="s">
        <v>1303</v>
      </c>
      <c r="AJ2110">
        <v>39.945259</v>
      </c>
      <c r="AK2110" t="s">
        <v>1304</v>
      </c>
      <c r="AL2110">
        <v>-92.650259000000005</v>
      </c>
      <c r="AM2110">
        <v>100</v>
      </c>
      <c r="AN2110">
        <v>1700</v>
      </c>
      <c r="AO2110" t="s">
        <v>118</v>
      </c>
      <c r="AP2110">
        <v>-108</v>
      </c>
      <c r="AQ2110">
        <v>79</v>
      </c>
      <c r="AR2110">
        <v>64</v>
      </c>
      <c r="AZ2110">
        <v>1200</v>
      </c>
      <c r="BA2110">
        <v>1</v>
      </c>
      <c r="BB2110" t="str">
        <f t="shared" si="103"/>
        <v xml:space="preserve">N8080G  </v>
      </c>
      <c r="BC2110">
        <v>1</v>
      </c>
      <c r="BE2110">
        <v>0</v>
      </c>
      <c r="BF2110">
        <v>0</v>
      </c>
      <c r="BG2110">
        <v>0</v>
      </c>
      <c r="BH2110">
        <v>1700</v>
      </c>
      <c r="BI2110">
        <v>1</v>
      </c>
      <c r="BJ2110">
        <v>1</v>
      </c>
      <c r="BK2110">
        <v>1</v>
      </c>
      <c r="BL2110">
        <v>0</v>
      </c>
      <c r="BO2110">
        <v>0</v>
      </c>
      <c r="BP2110">
        <v>0</v>
      </c>
      <c r="BW2110" t="str">
        <f>"20:25:40.095"</f>
        <v>20:25:40.095</v>
      </c>
      <c r="BZ2110">
        <v>0</v>
      </c>
      <c r="CA2110">
        <v>2016</v>
      </c>
      <c r="CB2110">
        <v>224</v>
      </c>
      <c r="CD2110">
        <v>1</v>
      </c>
      <c r="CE2110">
        <v>0</v>
      </c>
      <c r="CF2110">
        <v>0</v>
      </c>
      <c r="CG2110">
        <v>1</v>
      </c>
      <c r="CH2110">
        <v>0</v>
      </c>
      <c r="CI2110">
        <v>0</v>
      </c>
      <c r="CJ2110">
        <v>0</v>
      </c>
      <c r="CK2110">
        <v>2</v>
      </c>
      <c r="CL2110">
        <v>0</v>
      </c>
      <c r="CM2110">
        <v>2</v>
      </c>
      <c r="CN2110">
        <v>0</v>
      </c>
      <c r="CO2110">
        <v>2</v>
      </c>
      <c r="CP2110" t="s">
        <v>119</v>
      </c>
      <c r="CQ2110">
        <v>179</v>
      </c>
      <c r="CR2110">
        <v>1</v>
      </c>
      <c r="CW2110">
        <v>8881142</v>
      </c>
      <c r="CY2110">
        <v>1</v>
      </c>
      <c r="CZ2110">
        <v>0</v>
      </c>
      <c r="DA2110">
        <v>1</v>
      </c>
      <c r="DB2110">
        <v>0</v>
      </c>
      <c r="DC2110">
        <v>0</v>
      </c>
      <c r="DD2110">
        <v>0</v>
      </c>
      <c r="DE2110">
        <v>0</v>
      </c>
      <c r="DF2110">
        <v>0</v>
      </c>
      <c r="DG2110">
        <v>0</v>
      </c>
      <c r="DH2110">
        <v>0</v>
      </c>
      <c r="DI2110">
        <v>0</v>
      </c>
    </row>
    <row r="2111" spans="1:113" x14ac:dyDescent="0.3">
      <c r="A2111" t="str">
        <f>"02/08/2021 20:25:38.868"</f>
        <v>02/08/2021 20:25:38.868</v>
      </c>
      <c r="C2111" t="str">
        <f t="shared" si="102"/>
        <v>FFDFD7C0</v>
      </c>
      <c r="D2111" t="s">
        <v>124</v>
      </c>
      <c r="E2111">
        <v>11</v>
      </c>
      <c r="F2111">
        <v>1011</v>
      </c>
      <c r="G2111" t="s">
        <v>590</v>
      </c>
      <c r="J2111" t="s">
        <v>125</v>
      </c>
      <c r="K2111">
        <v>0</v>
      </c>
      <c r="L2111">
        <v>3</v>
      </c>
      <c r="M2111">
        <v>0</v>
      </c>
      <c r="N2111">
        <v>2</v>
      </c>
      <c r="O2111">
        <v>1</v>
      </c>
      <c r="P2111">
        <v>0</v>
      </c>
      <c r="Q2111">
        <v>0</v>
      </c>
      <c r="S2111" t="str">
        <f>"20:25:41.172"</f>
        <v>20:25:41.172</v>
      </c>
      <c r="T2111" t="str">
        <f>"20:25:40.172"</f>
        <v>20:25:40.172</v>
      </c>
      <c r="U2111" t="str">
        <f t="shared" si="101"/>
        <v>AB01F4</v>
      </c>
      <c r="V2111">
        <v>0</v>
      </c>
      <c r="W2111">
        <v>0</v>
      </c>
      <c r="X2111">
        <v>2</v>
      </c>
      <c r="Z2111">
        <v>0</v>
      </c>
      <c r="AA2111">
        <v>9</v>
      </c>
      <c r="AB2111">
        <v>3</v>
      </c>
      <c r="AC2111">
        <v>0</v>
      </c>
      <c r="AD2111">
        <v>10</v>
      </c>
      <c r="AE2111">
        <v>0</v>
      </c>
      <c r="AF2111">
        <v>3</v>
      </c>
      <c r="AG2111">
        <v>2</v>
      </c>
      <c r="AH2111">
        <v>0</v>
      </c>
      <c r="AI2111" t="s">
        <v>1305</v>
      </c>
      <c r="AJ2111">
        <v>39.945644999999999</v>
      </c>
      <c r="AK2111" t="s">
        <v>1306</v>
      </c>
      <c r="AL2111">
        <v>-92.651009999999999</v>
      </c>
      <c r="AM2111">
        <v>100</v>
      </c>
      <c r="AN2111">
        <v>1700</v>
      </c>
      <c r="AO2111" t="s">
        <v>118</v>
      </c>
      <c r="AP2111">
        <v>-108</v>
      </c>
      <c r="AQ2111">
        <v>79</v>
      </c>
      <c r="AR2111">
        <v>64</v>
      </c>
      <c r="AZ2111">
        <v>1200</v>
      </c>
      <c r="BA2111">
        <v>1</v>
      </c>
      <c r="BB2111" t="str">
        <f t="shared" si="103"/>
        <v xml:space="preserve">N8080G  </v>
      </c>
      <c r="BC2111">
        <v>1</v>
      </c>
      <c r="BE2111">
        <v>0</v>
      </c>
      <c r="BF2111">
        <v>0</v>
      </c>
      <c r="BG2111">
        <v>0</v>
      </c>
      <c r="BH2111">
        <v>1700</v>
      </c>
      <c r="BI2111">
        <v>1</v>
      </c>
      <c r="BJ2111">
        <v>1</v>
      </c>
      <c r="BK2111">
        <v>1</v>
      </c>
      <c r="BL2111">
        <v>0</v>
      </c>
      <c r="BO2111">
        <v>0</v>
      </c>
      <c r="BP2111">
        <v>0</v>
      </c>
      <c r="BW2111" t="str">
        <f>"20:25:41.175"</f>
        <v>20:25:41.175</v>
      </c>
      <c r="BZ2111">
        <v>0</v>
      </c>
      <c r="CA2111">
        <v>2016</v>
      </c>
      <c r="CB2111">
        <v>224</v>
      </c>
      <c r="CD2111">
        <v>1</v>
      </c>
      <c r="CE2111">
        <v>0</v>
      </c>
      <c r="CF2111">
        <v>0</v>
      </c>
      <c r="CG2111">
        <v>1</v>
      </c>
      <c r="CH2111">
        <v>0</v>
      </c>
      <c r="CI2111">
        <v>0</v>
      </c>
      <c r="CJ2111">
        <v>0</v>
      </c>
      <c r="CK2111">
        <v>2</v>
      </c>
      <c r="CL2111">
        <v>0</v>
      </c>
      <c r="CM2111">
        <v>2</v>
      </c>
      <c r="CN2111">
        <v>0</v>
      </c>
      <c r="CO2111">
        <v>3</v>
      </c>
      <c r="CP2111" t="s">
        <v>119</v>
      </c>
      <c r="CQ2111">
        <v>179</v>
      </c>
      <c r="CR2111">
        <v>1</v>
      </c>
      <c r="CW2111">
        <v>8882105</v>
      </c>
      <c r="CY2111">
        <v>1</v>
      </c>
      <c r="CZ2111">
        <v>0</v>
      </c>
      <c r="DA2111">
        <v>0</v>
      </c>
      <c r="DB2111">
        <v>0</v>
      </c>
      <c r="DC2111">
        <v>0</v>
      </c>
      <c r="DD2111">
        <v>0</v>
      </c>
      <c r="DE2111">
        <v>0</v>
      </c>
      <c r="DF2111">
        <v>0</v>
      </c>
      <c r="DG2111">
        <v>0</v>
      </c>
      <c r="DH2111">
        <v>0</v>
      </c>
      <c r="DI2111">
        <v>0</v>
      </c>
    </row>
    <row r="2112" spans="1:113" x14ac:dyDescent="0.3">
      <c r="A2112" t="str">
        <f>"02/08/2021 20:25:38.868"</f>
        <v>02/08/2021 20:25:38.868</v>
      </c>
      <c r="C2112" t="str">
        <f t="shared" si="102"/>
        <v>FFDFD7C0</v>
      </c>
      <c r="D2112" t="s">
        <v>124</v>
      </c>
      <c r="E2112">
        <v>12</v>
      </c>
      <c r="F2112">
        <v>1012</v>
      </c>
      <c r="G2112" t="s">
        <v>675</v>
      </c>
      <c r="J2112" t="s">
        <v>125</v>
      </c>
      <c r="K2112">
        <v>0</v>
      </c>
      <c r="L2112">
        <v>3</v>
      </c>
      <c r="M2112">
        <v>0</v>
      </c>
      <c r="N2112">
        <v>2</v>
      </c>
      <c r="O2112">
        <v>1</v>
      </c>
      <c r="P2112">
        <v>0</v>
      </c>
      <c r="Q2112">
        <v>0</v>
      </c>
      <c r="S2112" t="str">
        <f>"20:25:41.172"</f>
        <v>20:25:41.172</v>
      </c>
      <c r="T2112" t="str">
        <f>"20:25:40.172"</f>
        <v>20:25:40.172</v>
      </c>
      <c r="U2112" t="str">
        <f t="shared" si="101"/>
        <v>AB01F4</v>
      </c>
      <c r="V2112">
        <v>0</v>
      </c>
      <c r="W2112">
        <v>0</v>
      </c>
      <c r="X2112">
        <v>2</v>
      </c>
      <c r="Z2112">
        <v>0</v>
      </c>
      <c r="AA2112">
        <v>9</v>
      </c>
      <c r="AB2112">
        <v>3</v>
      </c>
      <c r="AC2112">
        <v>0</v>
      </c>
      <c r="AD2112">
        <v>10</v>
      </c>
      <c r="AE2112">
        <v>0</v>
      </c>
      <c r="AF2112">
        <v>3</v>
      </c>
      <c r="AG2112">
        <v>2</v>
      </c>
      <c r="AH2112">
        <v>0</v>
      </c>
      <c r="AI2112" t="s">
        <v>1305</v>
      </c>
      <c r="AJ2112">
        <v>39.945644999999999</v>
      </c>
      <c r="AK2112" t="s">
        <v>1306</v>
      </c>
      <c r="AL2112">
        <v>-92.651009999999999</v>
      </c>
      <c r="AM2112">
        <v>100</v>
      </c>
      <c r="AN2112">
        <v>1700</v>
      </c>
      <c r="AO2112" t="s">
        <v>118</v>
      </c>
      <c r="AP2112">
        <v>-108</v>
      </c>
      <c r="AQ2112">
        <v>79</v>
      </c>
      <c r="AR2112">
        <v>64</v>
      </c>
      <c r="AZ2112">
        <v>1200</v>
      </c>
      <c r="BA2112">
        <v>1</v>
      </c>
      <c r="BB2112" t="str">
        <f t="shared" si="103"/>
        <v xml:space="preserve">N8080G  </v>
      </c>
      <c r="BC2112">
        <v>1</v>
      </c>
      <c r="BE2112">
        <v>0</v>
      </c>
      <c r="BF2112">
        <v>0</v>
      </c>
      <c r="BG2112">
        <v>0</v>
      </c>
      <c r="BH2112">
        <v>1700</v>
      </c>
      <c r="BI2112">
        <v>1</v>
      </c>
      <c r="BJ2112">
        <v>1</v>
      </c>
      <c r="BK2112">
        <v>1</v>
      </c>
      <c r="BL2112">
        <v>0</v>
      </c>
      <c r="BO2112">
        <v>0</v>
      </c>
      <c r="BP2112">
        <v>0</v>
      </c>
      <c r="BW2112" t="str">
        <f>"20:25:41.175"</f>
        <v>20:25:41.175</v>
      </c>
      <c r="BZ2112">
        <v>0</v>
      </c>
      <c r="CA2112">
        <v>2016</v>
      </c>
      <c r="CB2112">
        <v>224</v>
      </c>
      <c r="CD2112">
        <v>1</v>
      </c>
      <c r="CE2112">
        <v>0</v>
      </c>
      <c r="CF2112">
        <v>0</v>
      </c>
      <c r="CG2112">
        <v>1</v>
      </c>
      <c r="CH2112">
        <v>0</v>
      </c>
      <c r="CI2112">
        <v>0</v>
      </c>
      <c r="CJ2112">
        <v>0</v>
      </c>
      <c r="CK2112">
        <v>2</v>
      </c>
      <c r="CL2112">
        <v>0</v>
      </c>
      <c r="CM2112">
        <v>2</v>
      </c>
      <c r="CN2112">
        <v>0</v>
      </c>
      <c r="CO2112">
        <v>3</v>
      </c>
      <c r="CP2112" t="s">
        <v>119</v>
      </c>
      <c r="CQ2112">
        <v>179</v>
      </c>
      <c r="CR2112">
        <v>1</v>
      </c>
      <c r="CW2112">
        <v>8882105</v>
      </c>
      <c r="CY2112">
        <v>1</v>
      </c>
      <c r="CZ2112">
        <v>0</v>
      </c>
      <c r="DA2112">
        <v>1</v>
      </c>
      <c r="DB2112">
        <v>0</v>
      </c>
      <c r="DC2112">
        <v>0</v>
      </c>
      <c r="DD2112">
        <v>0</v>
      </c>
      <c r="DE2112">
        <v>0</v>
      </c>
      <c r="DF2112">
        <v>0</v>
      </c>
      <c r="DG2112">
        <v>0</v>
      </c>
      <c r="DH2112">
        <v>0</v>
      </c>
      <c r="DI2112">
        <v>0</v>
      </c>
    </row>
    <row r="2113" spans="1:113" x14ac:dyDescent="0.3">
      <c r="A2113" t="str">
        <f>"02/08/2021 20:25:38.868"</f>
        <v>02/08/2021 20:25:38.868</v>
      </c>
      <c r="C2113" t="str">
        <f t="shared" si="102"/>
        <v>FFDFD7C0</v>
      </c>
      <c r="D2113" t="s">
        <v>113</v>
      </c>
      <c r="E2113">
        <v>6</v>
      </c>
      <c r="H2113">
        <v>165</v>
      </c>
      <c r="I2113" t="s">
        <v>114</v>
      </c>
      <c r="J2113" t="s">
        <v>115</v>
      </c>
      <c r="K2113">
        <v>0</v>
      </c>
      <c r="L2113">
        <v>3</v>
      </c>
      <c r="M2113">
        <v>0</v>
      </c>
      <c r="N2113">
        <v>2</v>
      </c>
      <c r="O2113">
        <v>1</v>
      </c>
      <c r="P2113">
        <v>0</v>
      </c>
      <c r="Q2113">
        <v>0</v>
      </c>
      <c r="S2113" t="str">
        <f>"20:25:41.172"</f>
        <v>20:25:41.172</v>
      </c>
      <c r="T2113" t="str">
        <f>"20:25:40.172"</f>
        <v>20:25:40.172</v>
      </c>
      <c r="U2113" t="str">
        <f t="shared" si="101"/>
        <v>AB01F4</v>
      </c>
      <c r="V2113">
        <v>0</v>
      </c>
      <c r="W2113">
        <v>0</v>
      </c>
      <c r="X2113">
        <v>2</v>
      </c>
      <c r="Z2113">
        <v>0</v>
      </c>
      <c r="AA2113">
        <v>9</v>
      </c>
      <c r="AB2113">
        <v>3</v>
      </c>
      <c r="AC2113">
        <v>0</v>
      </c>
      <c r="AD2113">
        <v>10</v>
      </c>
      <c r="AE2113">
        <v>0</v>
      </c>
      <c r="AF2113">
        <v>3</v>
      </c>
      <c r="AG2113">
        <v>2</v>
      </c>
      <c r="AH2113">
        <v>0</v>
      </c>
      <c r="AI2113" t="s">
        <v>1305</v>
      </c>
      <c r="AJ2113">
        <v>39.945644999999999</v>
      </c>
      <c r="AK2113" t="s">
        <v>1306</v>
      </c>
      <c r="AL2113">
        <v>-92.651009999999999</v>
      </c>
      <c r="AM2113">
        <v>100</v>
      </c>
      <c r="AN2113">
        <v>1700</v>
      </c>
      <c r="AO2113" t="s">
        <v>118</v>
      </c>
      <c r="AP2113">
        <v>-108</v>
      </c>
      <c r="AQ2113">
        <v>79</v>
      </c>
      <c r="AR2113">
        <v>64</v>
      </c>
      <c r="AZ2113">
        <v>1200</v>
      </c>
      <c r="BA2113">
        <v>1</v>
      </c>
      <c r="BB2113" t="str">
        <f t="shared" si="103"/>
        <v xml:space="preserve">N8080G  </v>
      </c>
      <c r="BC2113">
        <v>1</v>
      </c>
      <c r="BE2113">
        <v>0</v>
      </c>
      <c r="BF2113">
        <v>0</v>
      </c>
      <c r="BG2113">
        <v>0</v>
      </c>
      <c r="BH2113">
        <v>1700</v>
      </c>
      <c r="BI2113">
        <v>1</v>
      </c>
      <c r="BJ2113">
        <v>1</v>
      </c>
      <c r="BK2113">
        <v>1</v>
      </c>
      <c r="BL2113">
        <v>0</v>
      </c>
      <c r="BO2113">
        <v>0</v>
      </c>
      <c r="BP2113">
        <v>0</v>
      </c>
      <c r="BW2113" t="str">
        <f>"20:25:41.175"</f>
        <v>20:25:41.175</v>
      </c>
      <c r="BZ2113">
        <v>0</v>
      </c>
      <c r="CA2113">
        <v>2016</v>
      </c>
      <c r="CB2113">
        <v>224</v>
      </c>
      <c r="CD2113">
        <v>1</v>
      </c>
      <c r="CE2113">
        <v>0</v>
      </c>
      <c r="CF2113">
        <v>0</v>
      </c>
      <c r="CG2113">
        <v>1</v>
      </c>
      <c r="CH2113">
        <v>0</v>
      </c>
      <c r="CI2113">
        <v>0</v>
      </c>
      <c r="CJ2113">
        <v>0</v>
      </c>
      <c r="CK2113">
        <v>2</v>
      </c>
      <c r="CL2113">
        <v>0</v>
      </c>
      <c r="CM2113">
        <v>2</v>
      </c>
      <c r="CN2113">
        <v>0</v>
      </c>
      <c r="CO2113">
        <v>3</v>
      </c>
      <c r="CP2113" t="s">
        <v>119</v>
      </c>
      <c r="CQ2113">
        <v>179</v>
      </c>
      <c r="CR2113">
        <v>1</v>
      </c>
      <c r="CW2113">
        <v>8882105</v>
      </c>
      <c r="CY2113">
        <v>1</v>
      </c>
      <c r="CZ2113">
        <v>0</v>
      </c>
      <c r="DA2113">
        <v>1</v>
      </c>
      <c r="DB2113">
        <v>0</v>
      </c>
      <c r="DC2113">
        <v>0</v>
      </c>
      <c r="DD2113">
        <v>0</v>
      </c>
      <c r="DE2113">
        <v>0</v>
      </c>
      <c r="DF2113">
        <v>0</v>
      </c>
      <c r="DG2113">
        <v>0</v>
      </c>
      <c r="DH2113">
        <v>0</v>
      </c>
      <c r="DI2113">
        <v>0</v>
      </c>
    </row>
    <row r="2114" spans="1:113" x14ac:dyDescent="0.3">
      <c r="A2114" t="str">
        <f>"02/08/2021 20:25:38.868"</f>
        <v>02/08/2021 20:25:38.868</v>
      </c>
      <c r="C2114" t="str">
        <f t="shared" si="102"/>
        <v>FFDFD7C0</v>
      </c>
      <c r="D2114" t="s">
        <v>124</v>
      </c>
      <c r="E2114">
        <v>13</v>
      </c>
      <c r="F2114">
        <v>1013</v>
      </c>
      <c r="G2114" t="s">
        <v>114</v>
      </c>
      <c r="J2114" t="s">
        <v>125</v>
      </c>
      <c r="K2114">
        <v>0</v>
      </c>
      <c r="L2114">
        <v>3</v>
      </c>
      <c r="M2114">
        <v>0</v>
      </c>
      <c r="N2114">
        <v>2</v>
      </c>
      <c r="O2114">
        <v>1</v>
      </c>
      <c r="P2114">
        <v>0</v>
      </c>
      <c r="Q2114">
        <v>0</v>
      </c>
      <c r="S2114" t="str">
        <f>"20:25:41.172"</f>
        <v>20:25:41.172</v>
      </c>
      <c r="T2114" t="str">
        <f>"20:25:40.172"</f>
        <v>20:25:40.172</v>
      </c>
      <c r="U2114" t="str">
        <f t="shared" ref="U2114:U2177" si="104">"AB01F4"</f>
        <v>AB01F4</v>
      </c>
      <c r="V2114">
        <v>0</v>
      </c>
      <c r="W2114">
        <v>0</v>
      </c>
      <c r="X2114">
        <v>2</v>
      </c>
      <c r="Z2114">
        <v>0</v>
      </c>
      <c r="AA2114">
        <v>9</v>
      </c>
      <c r="AB2114">
        <v>3</v>
      </c>
      <c r="AC2114">
        <v>0</v>
      </c>
      <c r="AD2114">
        <v>10</v>
      </c>
      <c r="AE2114">
        <v>0</v>
      </c>
      <c r="AF2114">
        <v>3</v>
      </c>
      <c r="AG2114">
        <v>2</v>
      </c>
      <c r="AH2114">
        <v>0</v>
      </c>
      <c r="AI2114" t="s">
        <v>1305</v>
      </c>
      <c r="AJ2114">
        <v>39.945644999999999</v>
      </c>
      <c r="AK2114" t="s">
        <v>1306</v>
      </c>
      <c r="AL2114">
        <v>-92.651009999999999</v>
      </c>
      <c r="AM2114">
        <v>100</v>
      </c>
      <c r="AN2114">
        <v>1700</v>
      </c>
      <c r="AO2114" t="s">
        <v>118</v>
      </c>
      <c r="AP2114">
        <v>-108</v>
      </c>
      <c r="AQ2114">
        <v>79</v>
      </c>
      <c r="AR2114">
        <v>64</v>
      </c>
      <c r="AZ2114">
        <v>1200</v>
      </c>
      <c r="BA2114">
        <v>1</v>
      </c>
      <c r="BB2114" t="str">
        <f t="shared" si="103"/>
        <v xml:space="preserve">N8080G  </v>
      </c>
      <c r="BC2114">
        <v>1</v>
      </c>
      <c r="BE2114">
        <v>0</v>
      </c>
      <c r="BF2114">
        <v>0</v>
      </c>
      <c r="BG2114">
        <v>0</v>
      </c>
      <c r="BH2114">
        <v>1700</v>
      </c>
      <c r="BI2114">
        <v>1</v>
      </c>
      <c r="BJ2114">
        <v>1</v>
      </c>
      <c r="BK2114">
        <v>1</v>
      </c>
      <c r="BL2114">
        <v>0</v>
      </c>
      <c r="BO2114">
        <v>0</v>
      </c>
      <c r="BP2114">
        <v>0</v>
      </c>
      <c r="BW2114" t="str">
        <f>"20:25:41.175"</f>
        <v>20:25:41.175</v>
      </c>
      <c r="BZ2114">
        <v>0</v>
      </c>
      <c r="CA2114">
        <v>2016</v>
      </c>
      <c r="CB2114">
        <v>224</v>
      </c>
      <c r="CD2114">
        <v>1</v>
      </c>
      <c r="CE2114">
        <v>0</v>
      </c>
      <c r="CF2114">
        <v>0</v>
      </c>
      <c r="CG2114">
        <v>1</v>
      </c>
      <c r="CH2114">
        <v>0</v>
      </c>
      <c r="CI2114">
        <v>0</v>
      </c>
      <c r="CJ2114">
        <v>0</v>
      </c>
      <c r="CK2114">
        <v>2</v>
      </c>
      <c r="CL2114">
        <v>0</v>
      </c>
      <c r="CM2114">
        <v>2</v>
      </c>
      <c r="CN2114">
        <v>0</v>
      </c>
      <c r="CO2114">
        <v>3</v>
      </c>
      <c r="CP2114" t="s">
        <v>119</v>
      </c>
      <c r="CQ2114">
        <v>179</v>
      </c>
      <c r="CR2114">
        <v>1</v>
      </c>
      <c r="CW2114">
        <v>8882105</v>
      </c>
      <c r="CY2114">
        <v>1</v>
      </c>
      <c r="CZ2114">
        <v>0</v>
      </c>
      <c r="DA2114">
        <v>1</v>
      </c>
      <c r="DB2114">
        <v>0</v>
      </c>
      <c r="DC2114">
        <v>0</v>
      </c>
      <c r="DD2114">
        <v>0</v>
      </c>
      <c r="DE2114">
        <v>0</v>
      </c>
      <c r="DF2114">
        <v>0</v>
      </c>
      <c r="DG2114">
        <v>0</v>
      </c>
      <c r="DH2114">
        <v>0</v>
      </c>
      <c r="DI2114">
        <v>0</v>
      </c>
    </row>
    <row r="2115" spans="1:113" x14ac:dyDescent="0.3">
      <c r="A2115" t="str">
        <f>"02/08/2021 20:25:39.989"</f>
        <v>02/08/2021 20:25:39.989</v>
      </c>
      <c r="C2115" t="str">
        <f t="shared" si="102"/>
        <v>FFDFD7C0</v>
      </c>
      <c r="D2115" t="s">
        <v>113</v>
      </c>
      <c r="E2115">
        <v>6</v>
      </c>
      <c r="H2115">
        <v>165</v>
      </c>
      <c r="I2115" t="s">
        <v>114</v>
      </c>
      <c r="J2115" t="s">
        <v>115</v>
      </c>
      <c r="K2115">
        <v>0</v>
      </c>
      <c r="L2115">
        <v>3</v>
      </c>
      <c r="M2115">
        <v>0</v>
      </c>
      <c r="N2115">
        <v>2</v>
      </c>
      <c r="O2115">
        <v>1</v>
      </c>
      <c r="P2115">
        <v>0</v>
      </c>
      <c r="Q2115">
        <v>0</v>
      </c>
      <c r="S2115" t="str">
        <f>"20:25:42.289"</f>
        <v>20:25:42.289</v>
      </c>
      <c r="T2115" t="str">
        <f>"20:25:41.789"</f>
        <v>20:25:41.789</v>
      </c>
      <c r="U2115" t="str">
        <f t="shared" si="104"/>
        <v>AB01F4</v>
      </c>
      <c r="V2115">
        <v>0</v>
      </c>
      <c r="W2115">
        <v>0</v>
      </c>
      <c r="X2115">
        <v>2</v>
      </c>
      <c r="Z2115">
        <v>0</v>
      </c>
      <c r="AA2115">
        <v>9</v>
      </c>
      <c r="AB2115">
        <v>3</v>
      </c>
      <c r="AC2115">
        <v>0</v>
      </c>
      <c r="AD2115">
        <v>10</v>
      </c>
      <c r="AE2115">
        <v>0</v>
      </c>
      <c r="AF2115">
        <v>3</v>
      </c>
      <c r="AG2115">
        <v>2</v>
      </c>
      <c r="AH2115">
        <v>0</v>
      </c>
      <c r="AI2115" t="s">
        <v>1307</v>
      </c>
      <c r="AJ2115">
        <v>39.946052999999999</v>
      </c>
      <c r="AK2115" t="s">
        <v>1308</v>
      </c>
      <c r="AL2115">
        <v>-92.651696000000001</v>
      </c>
      <c r="AM2115">
        <v>100</v>
      </c>
      <c r="AN2115">
        <v>1700</v>
      </c>
      <c r="AO2115" t="s">
        <v>118</v>
      </c>
      <c r="AP2115">
        <v>-108</v>
      </c>
      <c r="AQ2115">
        <v>79</v>
      </c>
      <c r="AR2115">
        <v>0</v>
      </c>
      <c r="AZ2115">
        <v>1200</v>
      </c>
      <c r="BA2115">
        <v>1</v>
      </c>
      <c r="BB2115" t="str">
        <f t="shared" si="103"/>
        <v xml:space="preserve">N8080G  </v>
      </c>
      <c r="BC2115">
        <v>1</v>
      </c>
      <c r="BE2115">
        <v>0</v>
      </c>
      <c r="BF2115">
        <v>0</v>
      </c>
      <c r="BG2115">
        <v>0</v>
      </c>
      <c r="BH2115">
        <v>1700</v>
      </c>
      <c r="BI2115">
        <v>1</v>
      </c>
      <c r="BJ2115">
        <v>1</v>
      </c>
      <c r="BK2115">
        <v>1</v>
      </c>
      <c r="BL2115">
        <v>0</v>
      </c>
      <c r="BO2115">
        <v>0</v>
      </c>
      <c r="BP2115">
        <v>0</v>
      </c>
      <c r="BW2115" t="str">
        <f>"20:25:42.294"</f>
        <v>20:25:42.294</v>
      </c>
      <c r="BZ2115">
        <v>0</v>
      </c>
      <c r="CA2115">
        <v>2016</v>
      </c>
      <c r="CB2115">
        <v>224</v>
      </c>
      <c r="CD2115">
        <v>1</v>
      </c>
      <c r="CE2115">
        <v>0</v>
      </c>
      <c r="CF2115">
        <v>0</v>
      </c>
      <c r="CG2115">
        <v>1</v>
      </c>
      <c r="CH2115">
        <v>0</v>
      </c>
      <c r="CI2115">
        <v>0</v>
      </c>
      <c r="CJ2115">
        <v>0</v>
      </c>
      <c r="CK2115">
        <v>2</v>
      </c>
      <c r="CL2115">
        <v>0</v>
      </c>
      <c r="CM2115">
        <v>2</v>
      </c>
      <c r="CN2115">
        <v>0</v>
      </c>
      <c r="CO2115">
        <v>7</v>
      </c>
      <c r="CP2115" t="s">
        <v>119</v>
      </c>
      <c r="CQ2115">
        <v>180</v>
      </c>
      <c r="CR2115">
        <v>2</v>
      </c>
      <c r="CW2115">
        <v>8442746</v>
      </c>
      <c r="CY2115">
        <v>1</v>
      </c>
      <c r="CZ2115">
        <v>0</v>
      </c>
      <c r="DA2115">
        <v>0</v>
      </c>
      <c r="DB2115">
        <v>0</v>
      </c>
      <c r="DC2115">
        <v>0</v>
      </c>
      <c r="DD2115">
        <v>0</v>
      </c>
      <c r="DE2115">
        <v>0</v>
      </c>
      <c r="DF2115">
        <v>0</v>
      </c>
      <c r="DG2115">
        <v>0</v>
      </c>
      <c r="DH2115">
        <v>0</v>
      </c>
      <c r="DI2115">
        <v>0</v>
      </c>
    </row>
    <row r="2116" spans="1:113" x14ac:dyDescent="0.3">
      <c r="A2116" t="str">
        <f>"02/08/2021 20:25:39.989"</f>
        <v>02/08/2021 20:25:39.989</v>
      </c>
      <c r="C2116" t="str">
        <f t="shared" si="102"/>
        <v>FFDFD7C0</v>
      </c>
      <c r="D2116" t="s">
        <v>124</v>
      </c>
      <c r="E2116">
        <v>13</v>
      </c>
      <c r="F2116">
        <v>1013</v>
      </c>
      <c r="G2116" t="s">
        <v>114</v>
      </c>
      <c r="J2116" t="s">
        <v>125</v>
      </c>
      <c r="K2116">
        <v>0</v>
      </c>
      <c r="L2116">
        <v>3</v>
      </c>
      <c r="M2116">
        <v>0</v>
      </c>
      <c r="N2116">
        <v>2</v>
      </c>
      <c r="O2116">
        <v>1</v>
      </c>
      <c r="P2116">
        <v>0</v>
      </c>
      <c r="Q2116">
        <v>0</v>
      </c>
      <c r="S2116" t="str">
        <f>"20:25:42.289"</f>
        <v>20:25:42.289</v>
      </c>
      <c r="T2116" t="str">
        <f>"20:25:41.789"</f>
        <v>20:25:41.789</v>
      </c>
      <c r="U2116" t="str">
        <f t="shared" si="104"/>
        <v>AB01F4</v>
      </c>
      <c r="V2116">
        <v>0</v>
      </c>
      <c r="W2116">
        <v>0</v>
      </c>
      <c r="X2116">
        <v>2</v>
      </c>
      <c r="Z2116">
        <v>0</v>
      </c>
      <c r="AA2116">
        <v>9</v>
      </c>
      <c r="AB2116">
        <v>3</v>
      </c>
      <c r="AC2116">
        <v>0</v>
      </c>
      <c r="AD2116">
        <v>10</v>
      </c>
      <c r="AE2116">
        <v>0</v>
      </c>
      <c r="AF2116">
        <v>3</v>
      </c>
      <c r="AG2116">
        <v>2</v>
      </c>
      <c r="AH2116">
        <v>0</v>
      </c>
      <c r="AI2116" t="s">
        <v>1307</v>
      </c>
      <c r="AJ2116">
        <v>39.946052999999999</v>
      </c>
      <c r="AK2116" t="s">
        <v>1308</v>
      </c>
      <c r="AL2116">
        <v>-92.651696000000001</v>
      </c>
      <c r="AM2116">
        <v>100</v>
      </c>
      <c r="AN2116">
        <v>1700</v>
      </c>
      <c r="AO2116" t="s">
        <v>118</v>
      </c>
      <c r="AP2116">
        <v>-108</v>
      </c>
      <c r="AQ2116">
        <v>79</v>
      </c>
      <c r="AR2116">
        <v>0</v>
      </c>
      <c r="AZ2116">
        <v>1200</v>
      </c>
      <c r="BA2116">
        <v>1</v>
      </c>
      <c r="BB2116" t="str">
        <f t="shared" si="103"/>
        <v xml:space="preserve">N8080G  </v>
      </c>
      <c r="BC2116">
        <v>1</v>
      </c>
      <c r="BE2116">
        <v>0</v>
      </c>
      <c r="BF2116">
        <v>0</v>
      </c>
      <c r="BG2116">
        <v>0</v>
      </c>
      <c r="BH2116">
        <v>1700</v>
      </c>
      <c r="BI2116">
        <v>1</v>
      </c>
      <c r="BJ2116">
        <v>1</v>
      </c>
      <c r="BK2116">
        <v>1</v>
      </c>
      <c r="BL2116">
        <v>0</v>
      </c>
      <c r="BO2116">
        <v>0</v>
      </c>
      <c r="BP2116">
        <v>0</v>
      </c>
      <c r="BW2116" t="str">
        <f>"20:25:42.294"</f>
        <v>20:25:42.294</v>
      </c>
      <c r="BZ2116">
        <v>0</v>
      </c>
      <c r="CA2116">
        <v>2016</v>
      </c>
      <c r="CB2116">
        <v>224</v>
      </c>
      <c r="CD2116">
        <v>1</v>
      </c>
      <c r="CE2116">
        <v>0</v>
      </c>
      <c r="CF2116">
        <v>0</v>
      </c>
      <c r="CG2116">
        <v>1</v>
      </c>
      <c r="CH2116">
        <v>0</v>
      </c>
      <c r="CI2116">
        <v>0</v>
      </c>
      <c r="CJ2116">
        <v>0</v>
      </c>
      <c r="CK2116">
        <v>2</v>
      </c>
      <c r="CL2116">
        <v>0</v>
      </c>
      <c r="CM2116">
        <v>2</v>
      </c>
      <c r="CN2116">
        <v>0</v>
      </c>
      <c r="CO2116">
        <v>7</v>
      </c>
      <c r="CP2116" t="s">
        <v>119</v>
      </c>
      <c r="CQ2116">
        <v>180</v>
      </c>
      <c r="CR2116">
        <v>2</v>
      </c>
      <c r="CW2116">
        <v>8442746</v>
      </c>
      <c r="CY2116">
        <v>1</v>
      </c>
      <c r="CZ2116">
        <v>0</v>
      </c>
      <c r="DA2116">
        <v>1</v>
      </c>
      <c r="DB2116">
        <v>0</v>
      </c>
      <c r="DC2116">
        <v>0</v>
      </c>
      <c r="DD2116">
        <v>0</v>
      </c>
      <c r="DE2116">
        <v>0</v>
      </c>
      <c r="DF2116">
        <v>0</v>
      </c>
      <c r="DG2116">
        <v>0</v>
      </c>
      <c r="DH2116">
        <v>0</v>
      </c>
      <c r="DI2116">
        <v>0</v>
      </c>
    </row>
    <row r="2117" spans="1:113" x14ac:dyDescent="0.3">
      <c r="A2117" t="str">
        <f>"02/08/2021 20:25:39.989"</f>
        <v>02/08/2021 20:25:39.989</v>
      </c>
      <c r="C2117" t="str">
        <f t="shared" si="102"/>
        <v>FFDFD7C0</v>
      </c>
      <c r="D2117" t="s">
        <v>124</v>
      </c>
      <c r="E2117">
        <v>12</v>
      </c>
      <c r="F2117">
        <v>1012</v>
      </c>
      <c r="G2117" t="s">
        <v>675</v>
      </c>
      <c r="J2117" t="s">
        <v>125</v>
      </c>
      <c r="K2117">
        <v>0</v>
      </c>
      <c r="L2117">
        <v>3</v>
      </c>
      <c r="M2117">
        <v>0</v>
      </c>
      <c r="N2117">
        <v>2</v>
      </c>
      <c r="O2117">
        <v>1</v>
      </c>
      <c r="P2117">
        <v>0</v>
      </c>
      <c r="Q2117">
        <v>0</v>
      </c>
      <c r="S2117" t="str">
        <f>"20:25:42.289"</f>
        <v>20:25:42.289</v>
      </c>
      <c r="T2117" t="str">
        <f>"20:25:41.789"</f>
        <v>20:25:41.789</v>
      </c>
      <c r="U2117" t="str">
        <f t="shared" si="104"/>
        <v>AB01F4</v>
      </c>
      <c r="V2117">
        <v>0</v>
      </c>
      <c r="W2117">
        <v>0</v>
      </c>
      <c r="X2117">
        <v>2</v>
      </c>
      <c r="Z2117">
        <v>0</v>
      </c>
      <c r="AA2117">
        <v>9</v>
      </c>
      <c r="AB2117">
        <v>3</v>
      </c>
      <c r="AC2117">
        <v>0</v>
      </c>
      <c r="AD2117">
        <v>10</v>
      </c>
      <c r="AE2117">
        <v>0</v>
      </c>
      <c r="AF2117">
        <v>3</v>
      </c>
      <c r="AG2117">
        <v>2</v>
      </c>
      <c r="AH2117">
        <v>0</v>
      </c>
      <c r="AI2117" t="s">
        <v>1307</v>
      </c>
      <c r="AJ2117">
        <v>39.946052999999999</v>
      </c>
      <c r="AK2117" t="s">
        <v>1308</v>
      </c>
      <c r="AL2117">
        <v>-92.651696000000001</v>
      </c>
      <c r="AM2117">
        <v>100</v>
      </c>
      <c r="AN2117">
        <v>1700</v>
      </c>
      <c r="AO2117" t="s">
        <v>118</v>
      </c>
      <c r="AP2117">
        <v>-108</v>
      </c>
      <c r="AQ2117">
        <v>79</v>
      </c>
      <c r="AR2117">
        <v>0</v>
      </c>
      <c r="AZ2117">
        <v>1200</v>
      </c>
      <c r="BA2117">
        <v>1</v>
      </c>
      <c r="BB2117" t="str">
        <f t="shared" si="103"/>
        <v xml:space="preserve">N8080G  </v>
      </c>
      <c r="BC2117">
        <v>1</v>
      </c>
      <c r="BE2117">
        <v>0</v>
      </c>
      <c r="BF2117">
        <v>0</v>
      </c>
      <c r="BG2117">
        <v>0</v>
      </c>
      <c r="BH2117">
        <v>1700</v>
      </c>
      <c r="BI2117">
        <v>1</v>
      </c>
      <c r="BJ2117">
        <v>1</v>
      </c>
      <c r="BK2117">
        <v>1</v>
      </c>
      <c r="BL2117">
        <v>0</v>
      </c>
      <c r="BO2117">
        <v>0</v>
      </c>
      <c r="BP2117">
        <v>0</v>
      </c>
      <c r="BW2117" t="str">
        <f>"20:25:42.294"</f>
        <v>20:25:42.294</v>
      </c>
      <c r="BZ2117">
        <v>0</v>
      </c>
      <c r="CA2117">
        <v>2016</v>
      </c>
      <c r="CB2117">
        <v>224</v>
      </c>
      <c r="CD2117">
        <v>1</v>
      </c>
      <c r="CE2117">
        <v>0</v>
      </c>
      <c r="CF2117">
        <v>0</v>
      </c>
      <c r="CG2117">
        <v>1</v>
      </c>
      <c r="CH2117">
        <v>0</v>
      </c>
      <c r="CI2117">
        <v>0</v>
      </c>
      <c r="CJ2117">
        <v>0</v>
      </c>
      <c r="CK2117">
        <v>2</v>
      </c>
      <c r="CL2117">
        <v>0</v>
      </c>
      <c r="CM2117">
        <v>2</v>
      </c>
      <c r="CN2117">
        <v>0</v>
      </c>
      <c r="CO2117">
        <v>7</v>
      </c>
      <c r="CP2117" t="s">
        <v>119</v>
      </c>
      <c r="CQ2117">
        <v>180</v>
      </c>
      <c r="CR2117">
        <v>2</v>
      </c>
      <c r="CW2117">
        <v>8442746</v>
      </c>
      <c r="CY2117">
        <v>1</v>
      </c>
      <c r="CZ2117">
        <v>0</v>
      </c>
      <c r="DA2117">
        <v>1</v>
      </c>
      <c r="DB2117">
        <v>0</v>
      </c>
      <c r="DC2117">
        <v>0</v>
      </c>
      <c r="DD2117">
        <v>0</v>
      </c>
      <c r="DE2117">
        <v>0</v>
      </c>
      <c r="DF2117">
        <v>0</v>
      </c>
      <c r="DG2117">
        <v>0</v>
      </c>
      <c r="DH2117">
        <v>0</v>
      </c>
      <c r="DI2117">
        <v>0</v>
      </c>
    </row>
    <row r="2118" spans="1:113" x14ac:dyDescent="0.3">
      <c r="A2118" t="str">
        <f>"02/08/2021 20:25:39.989"</f>
        <v>02/08/2021 20:25:39.989</v>
      </c>
      <c r="C2118" t="str">
        <f t="shared" si="102"/>
        <v>FFDFD7C0</v>
      </c>
      <c r="D2118" t="s">
        <v>124</v>
      </c>
      <c r="E2118">
        <v>11</v>
      </c>
      <c r="F2118">
        <v>1011</v>
      </c>
      <c r="G2118" t="s">
        <v>590</v>
      </c>
      <c r="J2118" t="s">
        <v>125</v>
      </c>
      <c r="K2118">
        <v>0</v>
      </c>
      <c r="L2118">
        <v>3</v>
      </c>
      <c r="M2118">
        <v>0</v>
      </c>
      <c r="N2118">
        <v>2</v>
      </c>
      <c r="O2118">
        <v>1</v>
      </c>
      <c r="P2118">
        <v>0</v>
      </c>
      <c r="Q2118">
        <v>0</v>
      </c>
      <c r="S2118" t="str">
        <f>"20:25:42.289"</f>
        <v>20:25:42.289</v>
      </c>
      <c r="T2118" t="str">
        <f>"20:25:41.789"</f>
        <v>20:25:41.789</v>
      </c>
      <c r="U2118" t="str">
        <f t="shared" si="104"/>
        <v>AB01F4</v>
      </c>
      <c r="V2118">
        <v>0</v>
      </c>
      <c r="W2118">
        <v>0</v>
      </c>
      <c r="X2118">
        <v>2</v>
      </c>
      <c r="Z2118">
        <v>0</v>
      </c>
      <c r="AA2118">
        <v>9</v>
      </c>
      <c r="AB2118">
        <v>3</v>
      </c>
      <c r="AC2118">
        <v>0</v>
      </c>
      <c r="AD2118">
        <v>10</v>
      </c>
      <c r="AE2118">
        <v>0</v>
      </c>
      <c r="AF2118">
        <v>3</v>
      </c>
      <c r="AG2118">
        <v>2</v>
      </c>
      <c r="AH2118">
        <v>0</v>
      </c>
      <c r="AI2118" t="s">
        <v>1307</v>
      </c>
      <c r="AJ2118">
        <v>39.946052999999999</v>
      </c>
      <c r="AK2118" t="s">
        <v>1308</v>
      </c>
      <c r="AL2118">
        <v>-92.651696000000001</v>
      </c>
      <c r="AM2118">
        <v>100</v>
      </c>
      <c r="AN2118">
        <v>1700</v>
      </c>
      <c r="AO2118" t="s">
        <v>118</v>
      </c>
      <c r="AP2118">
        <v>-108</v>
      </c>
      <c r="AQ2118">
        <v>79</v>
      </c>
      <c r="AR2118">
        <v>0</v>
      </c>
      <c r="AZ2118">
        <v>1200</v>
      </c>
      <c r="BA2118">
        <v>1</v>
      </c>
      <c r="BB2118" t="str">
        <f t="shared" si="103"/>
        <v xml:space="preserve">N8080G  </v>
      </c>
      <c r="BC2118">
        <v>1</v>
      </c>
      <c r="BE2118">
        <v>0</v>
      </c>
      <c r="BF2118">
        <v>0</v>
      </c>
      <c r="BG2118">
        <v>0</v>
      </c>
      <c r="BH2118">
        <v>1700</v>
      </c>
      <c r="BI2118">
        <v>1</v>
      </c>
      <c r="BJ2118">
        <v>1</v>
      </c>
      <c r="BK2118">
        <v>1</v>
      </c>
      <c r="BL2118">
        <v>0</v>
      </c>
      <c r="BO2118">
        <v>0</v>
      </c>
      <c r="BP2118">
        <v>0</v>
      </c>
      <c r="BW2118" t="str">
        <f>"20:25:42.294"</f>
        <v>20:25:42.294</v>
      </c>
      <c r="BZ2118">
        <v>0</v>
      </c>
      <c r="CA2118">
        <v>2016</v>
      </c>
      <c r="CB2118">
        <v>224</v>
      </c>
      <c r="CD2118">
        <v>1</v>
      </c>
      <c r="CE2118">
        <v>0</v>
      </c>
      <c r="CF2118">
        <v>0</v>
      </c>
      <c r="CG2118">
        <v>1</v>
      </c>
      <c r="CH2118">
        <v>0</v>
      </c>
      <c r="CI2118">
        <v>0</v>
      </c>
      <c r="CJ2118">
        <v>0</v>
      </c>
      <c r="CK2118">
        <v>2</v>
      </c>
      <c r="CL2118">
        <v>0</v>
      </c>
      <c r="CM2118">
        <v>2</v>
      </c>
      <c r="CN2118">
        <v>0</v>
      </c>
      <c r="CO2118">
        <v>7</v>
      </c>
      <c r="CP2118" t="s">
        <v>119</v>
      </c>
      <c r="CQ2118">
        <v>180</v>
      </c>
      <c r="CR2118">
        <v>2</v>
      </c>
      <c r="CW2118">
        <v>8442746</v>
      </c>
      <c r="CY2118">
        <v>1</v>
      </c>
      <c r="CZ2118">
        <v>0</v>
      </c>
      <c r="DA2118">
        <v>1</v>
      </c>
      <c r="DB2118">
        <v>0</v>
      </c>
      <c r="DC2118">
        <v>0</v>
      </c>
      <c r="DD2118">
        <v>0</v>
      </c>
      <c r="DE2118">
        <v>0</v>
      </c>
      <c r="DF2118">
        <v>0</v>
      </c>
      <c r="DG2118">
        <v>0</v>
      </c>
      <c r="DH2118">
        <v>0</v>
      </c>
      <c r="DI2118">
        <v>0</v>
      </c>
    </row>
    <row r="2119" spans="1:113" x14ac:dyDescent="0.3">
      <c r="A2119" t="str">
        <f>"02/08/2021 20:25:40.980"</f>
        <v>02/08/2021 20:25:40.980</v>
      </c>
      <c r="C2119" t="str">
        <f t="shared" si="102"/>
        <v>FFDFD7C0</v>
      </c>
      <c r="D2119" t="s">
        <v>124</v>
      </c>
      <c r="E2119">
        <v>12</v>
      </c>
      <c r="F2119">
        <v>1012</v>
      </c>
      <c r="G2119" t="s">
        <v>675</v>
      </c>
      <c r="J2119" t="s">
        <v>125</v>
      </c>
      <c r="K2119">
        <v>0</v>
      </c>
      <c r="L2119">
        <v>3</v>
      </c>
      <c r="M2119">
        <v>0</v>
      </c>
      <c r="N2119">
        <v>2</v>
      </c>
      <c r="O2119">
        <v>1</v>
      </c>
      <c r="P2119">
        <v>0</v>
      </c>
      <c r="Q2119">
        <v>0</v>
      </c>
      <c r="S2119" t="str">
        <f>"20:25:43.273"</f>
        <v>20:25:43.273</v>
      </c>
      <c r="T2119" t="str">
        <f>"20:25:42.773"</f>
        <v>20:25:42.773</v>
      </c>
      <c r="U2119" t="str">
        <f t="shared" si="104"/>
        <v>AB01F4</v>
      </c>
      <c r="V2119">
        <v>0</v>
      </c>
      <c r="W2119">
        <v>0</v>
      </c>
      <c r="X2119">
        <v>2</v>
      </c>
      <c r="Z2119">
        <v>0</v>
      </c>
      <c r="AA2119">
        <v>9</v>
      </c>
      <c r="AB2119">
        <v>3</v>
      </c>
      <c r="AC2119">
        <v>0</v>
      </c>
      <c r="AD2119">
        <v>10</v>
      </c>
      <c r="AE2119">
        <v>0</v>
      </c>
      <c r="AF2119">
        <v>3</v>
      </c>
      <c r="AG2119">
        <v>2</v>
      </c>
      <c r="AH2119">
        <v>0</v>
      </c>
      <c r="AI2119" t="s">
        <v>1309</v>
      </c>
      <c r="AJ2119">
        <v>39.946438999999998</v>
      </c>
      <c r="AK2119" t="s">
        <v>1310</v>
      </c>
      <c r="AL2119">
        <v>-92.652317999999994</v>
      </c>
      <c r="AM2119">
        <v>100</v>
      </c>
      <c r="AN2119">
        <v>1700</v>
      </c>
      <c r="AO2119" t="s">
        <v>118</v>
      </c>
      <c r="AP2119">
        <v>-108</v>
      </c>
      <c r="AQ2119">
        <v>79</v>
      </c>
      <c r="AR2119">
        <v>0</v>
      </c>
      <c r="AZ2119">
        <v>1200</v>
      </c>
      <c r="BA2119">
        <v>1</v>
      </c>
      <c r="BB2119" t="str">
        <f t="shared" si="103"/>
        <v xml:space="preserve">N8080G  </v>
      </c>
      <c r="BC2119">
        <v>1</v>
      </c>
      <c r="BE2119">
        <v>0</v>
      </c>
      <c r="BF2119">
        <v>0</v>
      </c>
      <c r="BG2119">
        <v>0</v>
      </c>
      <c r="BH2119">
        <v>1700</v>
      </c>
      <c r="BI2119">
        <v>1</v>
      </c>
      <c r="BJ2119">
        <v>1</v>
      </c>
      <c r="BK2119">
        <v>1</v>
      </c>
      <c r="BL2119">
        <v>0</v>
      </c>
      <c r="BO2119">
        <v>0</v>
      </c>
      <c r="BP2119">
        <v>0</v>
      </c>
      <c r="BW2119" t="str">
        <f>"20:25:43.279"</f>
        <v>20:25:43.279</v>
      </c>
      <c r="BZ2119">
        <v>0</v>
      </c>
      <c r="CA2119">
        <v>2016</v>
      </c>
      <c r="CB2119">
        <v>224</v>
      </c>
      <c r="CD2119">
        <v>1</v>
      </c>
      <c r="CE2119">
        <v>0</v>
      </c>
      <c r="CF2119">
        <v>0</v>
      </c>
      <c r="CG2119">
        <v>1</v>
      </c>
      <c r="CH2119">
        <v>0</v>
      </c>
      <c r="CI2119">
        <v>0</v>
      </c>
      <c r="CJ2119">
        <v>0</v>
      </c>
      <c r="CK2119">
        <v>2</v>
      </c>
      <c r="CL2119">
        <v>0</v>
      </c>
      <c r="CM2119">
        <v>2</v>
      </c>
      <c r="CN2119">
        <v>0</v>
      </c>
      <c r="CO2119">
        <v>3</v>
      </c>
      <c r="CP2119" t="s">
        <v>119</v>
      </c>
      <c r="CQ2119">
        <v>179</v>
      </c>
      <c r="CR2119">
        <v>1</v>
      </c>
      <c r="CW2119">
        <v>8884158</v>
      </c>
      <c r="CY2119">
        <v>1</v>
      </c>
      <c r="CZ2119">
        <v>0</v>
      </c>
      <c r="DA2119">
        <v>0</v>
      </c>
      <c r="DB2119">
        <v>0</v>
      </c>
      <c r="DC2119">
        <v>0</v>
      </c>
      <c r="DD2119">
        <v>0</v>
      </c>
      <c r="DE2119">
        <v>0</v>
      </c>
      <c r="DF2119">
        <v>0</v>
      </c>
      <c r="DG2119">
        <v>0</v>
      </c>
      <c r="DH2119">
        <v>0</v>
      </c>
      <c r="DI2119">
        <v>0</v>
      </c>
    </row>
    <row r="2120" spans="1:113" x14ac:dyDescent="0.3">
      <c r="A2120" t="str">
        <f>"02/08/2021 20:25:40.980"</f>
        <v>02/08/2021 20:25:40.980</v>
      </c>
      <c r="C2120" t="str">
        <f t="shared" si="102"/>
        <v>FFDFD7C0</v>
      </c>
      <c r="D2120" t="s">
        <v>124</v>
      </c>
      <c r="E2120">
        <v>11</v>
      </c>
      <c r="F2120">
        <v>1011</v>
      </c>
      <c r="G2120" t="s">
        <v>590</v>
      </c>
      <c r="J2120" t="s">
        <v>125</v>
      </c>
      <c r="K2120">
        <v>0</v>
      </c>
      <c r="L2120">
        <v>3</v>
      </c>
      <c r="M2120">
        <v>0</v>
      </c>
      <c r="N2120">
        <v>2</v>
      </c>
      <c r="O2120">
        <v>1</v>
      </c>
      <c r="P2120">
        <v>0</v>
      </c>
      <c r="Q2120">
        <v>0</v>
      </c>
      <c r="S2120" t="str">
        <f>"20:25:43.273"</f>
        <v>20:25:43.273</v>
      </c>
      <c r="T2120" t="str">
        <f>"20:25:42.773"</f>
        <v>20:25:42.773</v>
      </c>
      <c r="U2120" t="str">
        <f t="shared" si="104"/>
        <v>AB01F4</v>
      </c>
      <c r="V2120">
        <v>0</v>
      </c>
      <c r="W2120">
        <v>0</v>
      </c>
      <c r="X2120">
        <v>2</v>
      </c>
      <c r="Z2120">
        <v>0</v>
      </c>
      <c r="AA2120">
        <v>9</v>
      </c>
      <c r="AB2120">
        <v>3</v>
      </c>
      <c r="AC2120">
        <v>0</v>
      </c>
      <c r="AD2120">
        <v>10</v>
      </c>
      <c r="AE2120">
        <v>0</v>
      </c>
      <c r="AF2120">
        <v>3</v>
      </c>
      <c r="AG2120">
        <v>2</v>
      </c>
      <c r="AH2120">
        <v>0</v>
      </c>
      <c r="AI2120" t="s">
        <v>1309</v>
      </c>
      <c r="AJ2120">
        <v>39.946438999999998</v>
      </c>
      <c r="AK2120" t="s">
        <v>1310</v>
      </c>
      <c r="AL2120">
        <v>-92.652317999999994</v>
      </c>
      <c r="AM2120">
        <v>100</v>
      </c>
      <c r="AN2120">
        <v>1700</v>
      </c>
      <c r="AO2120" t="s">
        <v>118</v>
      </c>
      <c r="AP2120">
        <v>-108</v>
      </c>
      <c r="AQ2120">
        <v>79</v>
      </c>
      <c r="AR2120">
        <v>0</v>
      </c>
      <c r="AZ2120">
        <v>1200</v>
      </c>
      <c r="BA2120">
        <v>1</v>
      </c>
      <c r="BB2120" t="str">
        <f t="shared" si="103"/>
        <v xml:space="preserve">N8080G  </v>
      </c>
      <c r="BC2120">
        <v>1</v>
      </c>
      <c r="BE2120">
        <v>0</v>
      </c>
      <c r="BF2120">
        <v>0</v>
      </c>
      <c r="BG2120">
        <v>0</v>
      </c>
      <c r="BH2120">
        <v>1700</v>
      </c>
      <c r="BI2120">
        <v>1</v>
      </c>
      <c r="BJ2120">
        <v>1</v>
      </c>
      <c r="BK2120">
        <v>1</v>
      </c>
      <c r="BL2120">
        <v>0</v>
      </c>
      <c r="BO2120">
        <v>0</v>
      </c>
      <c r="BP2120">
        <v>0</v>
      </c>
      <c r="BW2120" t="str">
        <f>"20:25:43.279"</f>
        <v>20:25:43.279</v>
      </c>
      <c r="BZ2120">
        <v>0</v>
      </c>
      <c r="CA2120">
        <v>2016</v>
      </c>
      <c r="CB2120">
        <v>224</v>
      </c>
      <c r="CD2120">
        <v>1</v>
      </c>
      <c r="CE2120">
        <v>0</v>
      </c>
      <c r="CF2120">
        <v>0</v>
      </c>
      <c r="CG2120">
        <v>1</v>
      </c>
      <c r="CH2120">
        <v>0</v>
      </c>
      <c r="CI2120">
        <v>0</v>
      </c>
      <c r="CJ2120">
        <v>0</v>
      </c>
      <c r="CK2120">
        <v>2</v>
      </c>
      <c r="CL2120">
        <v>0</v>
      </c>
      <c r="CM2120">
        <v>2</v>
      </c>
      <c r="CN2120">
        <v>0</v>
      </c>
      <c r="CO2120">
        <v>3</v>
      </c>
      <c r="CP2120" t="s">
        <v>119</v>
      </c>
      <c r="CQ2120">
        <v>179</v>
      </c>
      <c r="CR2120">
        <v>1</v>
      </c>
      <c r="CW2120">
        <v>8884158</v>
      </c>
      <c r="CY2120">
        <v>1</v>
      </c>
      <c r="CZ2120">
        <v>0</v>
      </c>
      <c r="DA2120">
        <v>1</v>
      </c>
      <c r="DB2120">
        <v>0</v>
      </c>
      <c r="DC2120">
        <v>0</v>
      </c>
      <c r="DD2120">
        <v>0</v>
      </c>
      <c r="DE2120">
        <v>0</v>
      </c>
      <c r="DF2120">
        <v>0</v>
      </c>
      <c r="DG2120">
        <v>0</v>
      </c>
      <c r="DH2120">
        <v>0</v>
      </c>
      <c r="DI2120">
        <v>0</v>
      </c>
    </row>
    <row r="2121" spans="1:113" x14ac:dyDescent="0.3">
      <c r="A2121" t="str">
        <f>"02/08/2021 20:25:40.980"</f>
        <v>02/08/2021 20:25:40.980</v>
      </c>
      <c r="C2121" t="str">
        <f t="shared" si="102"/>
        <v>FFDFD7C0</v>
      </c>
      <c r="D2121" t="s">
        <v>124</v>
      </c>
      <c r="E2121">
        <v>13</v>
      </c>
      <c r="F2121">
        <v>1013</v>
      </c>
      <c r="G2121" t="s">
        <v>114</v>
      </c>
      <c r="J2121" t="s">
        <v>125</v>
      </c>
      <c r="K2121">
        <v>0</v>
      </c>
      <c r="L2121">
        <v>3</v>
      </c>
      <c r="M2121">
        <v>0</v>
      </c>
      <c r="N2121">
        <v>2</v>
      </c>
      <c r="O2121">
        <v>1</v>
      </c>
      <c r="P2121">
        <v>0</v>
      </c>
      <c r="Q2121">
        <v>0</v>
      </c>
      <c r="S2121" t="str">
        <f>"20:25:43.273"</f>
        <v>20:25:43.273</v>
      </c>
      <c r="T2121" t="str">
        <f>"20:25:42.773"</f>
        <v>20:25:42.773</v>
      </c>
      <c r="U2121" t="str">
        <f t="shared" si="104"/>
        <v>AB01F4</v>
      </c>
      <c r="V2121">
        <v>0</v>
      </c>
      <c r="W2121">
        <v>0</v>
      </c>
      <c r="X2121">
        <v>2</v>
      </c>
      <c r="Z2121">
        <v>0</v>
      </c>
      <c r="AA2121">
        <v>9</v>
      </c>
      <c r="AB2121">
        <v>3</v>
      </c>
      <c r="AC2121">
        <v>0</v>
      </c>
      <c r="AD2121">
        <v>10</v>
      </c>
      <c r="AE2121">
        <v>0</v>
      </c>
      <c r="AF2121">
        <v>3</v>
      </c>
      <c r="AG2121">
        <v>2</v>
      </c>
      <c r="AH2121">
        <v>0</v>
      </c>
      <c r="AI2121" t="s">
        <v>1309</v>
      </c>
      <c r="AJ2121">
        <v>39.946438999999998</v>
      </c>
      <c r="AK2121" t="s">
        <v>1310</v>
      </c>
      <c r="AL2121">
        <v>-92.652317999999994</v>
      </c>
      <c r="AM2121">
        <v>100</v>
      </c>
      <c r="AN2121">
        <v>1700</v>
      </c>
      <c r="AO2121" t="s">
        <v>118</v>
      </c>
      <c r="AP2121">
        <v>-108</v>
      </c>
      <c r="AQ2121">
        <v>79</v>
      </c>
      <c r="AR2121">
        <v>0</v>
      </c>
      <c r="AZ2121">
        <v>1200</v>
      </c>
      <c r="BA2121">
        <v>1</v>
      </c>
      <c r="BB2121" t="str">
        <f t="shared" si="103"/>
        <v xml:space="preserve">N8080G  </v>
      </c>
      <c r="BC2121">
        <v>1</v>
      </c>
      <c r="BE2121">
        <v>0</v>
      </c>
      <c r="BF2121">
        <v>0</v>
      </c>
      <c r="BG2121">
        <v>0</v>
      </c>
      <c r="BH2121">
        <v>1700</v>
      </c>
      <c r="BI2121">
        <v>1</v>
      </c>
      <c r="BJ2121">
        <v>1</v>
      </c>
      <c r="BK2121">
        <v>1</v>
      </c>
      <c r="BL2121">
        <v>0</v>
      </c>
      <c r="BO2121">
        <v>0</v>
      </c>
      <c r="BP2121">
        <v>0</v>
      </c>
      <c r="BW2121" t="str">
        <f>"20:25:43.279"</f>
        <v>20:25:43.279</v>
      </c>
      <c r="BZ2121">
        <v>0</v>
      </c>
      <c r="CA2121">
        <v>2016</v>
      </c>
      <c r="CB2121">
        <v>224</v>
      </c>
      <c r="CD2121">
        <v>1</v>
      </c>
      <c r="CE2121">
        <v>0</v>
      </c>
      <c r="CF2121">
        <v>0</v>
      </c>
      <c r="CG2121">
        <v>1</v>
      </c>
      <c r="CH2121">
        <v>0</v>
      </c>
      <c r="CI2121">
        <v>0</v>
      </c>
      <c r="CJ2121">
        <v>0</v>
      </c>
      <c r="CK2121">
        <v>2</v>
      </c>
      <c r="CL2121">
        <v>0</v>
      </c>
      <c r="CM2121">
        <v>2</v>
      </c>
      <c r="CN2121">
        <v>0</v>
      </c>
      <c r="CO2121">
        <v>3</v>
      </c>
      <c r="CP2121" t="s">
        <v>119</v>
      </c>
      <c r="CQ2121">
        <v>179</v>
      </c>
      <c r="CR2121">
        <v>1</v>
      </c>
      <c r="CW2121">
        <v>8884158</v>
      </c>
      <c r="CY2121">
        <v>1</v>
      </c>
      <c r="CZ2121">
        <v>0</v>
      </c>
      <c r="DA2121">
        <v>1</v>
      </c>
      <c r="DB2121">
        <v>0</v>
      </c>
      <c r="DC2121">
        <v>0</v>
      </c>
      <c r="DD2121">
        <v>0</v>
      </c>
      <c r="DE2121">
        <v>0</v>
      </c>
      <c r="DF2121">
        <v>0</v>
      </c>
      <c r="DG2121">
        <v>0</v>
      </c>
      <c r="DH2121">
        <v>0</v>
      </c>
      <c r="DI2121">
        <v>0</v>
      </c>
    </row>
    <row r="2122" spans="1:113" x14ac:dyDescent="0.3">
      <c r="A2122" t="str">
        <f>"02/08/2021 20:25:40.980"</f>
        <v>02/08/2021 20:25:40.980</v>
      </c>
      <c r="C2122" t="str">
        <f t="shared" si="102"/>
        <v>FFDFD7C0</v>
      </c>
      <c r="D2122" t="s">
        <v>113</v>
      </c>
      <c r="E2122">
        <v>6</v>
      </c>
      <c r="H2122">
        <v>165</v>
      </c>
      <c r="I2122" t="s">
        <v>114</v>
      </c>
      <c r="J2122" t="s">
        <v>115</v>
      </c>
      <c r="K2122">
        <v>0</v>
      </c>
      <c r="L2122">
        <v>3</v>
      </c>
      <c r="M2122">
        <v>0</v>
      </c>
      <c r="N2122">
        <v>2</v>
      </c>
      <c r="O2122">
        <v>1</v>
      </c>
      <c r="P2122">
        <v>0</v>
      </c>
      <c r="Q2122">
        <v>0</v>
      </c>
      <c r="S2122" t="str">
        <f>"20:25:43.273"</f>
        <v>20:25:43.273</v>
      </c>
      <c r="T2122" t="str">
        <f>"20:25:42.773"</f>
        <v>20:25:42.773</v>
      </c>
      <c r="U2122" t="str">
        <f t="shared" si="104"/>
        <v>AB01F4</v>
      </c>
      <c r="V2122">
        <v>0</v>
      </c>
      <c r="W2122">
        <v>0</v>
      </c>
      <c r="X2122">
        <v>2</v>
      </c>
      <c r="Z2122">
        <v>0</v>
      </c>
      <c r="AA2122">
        <v>9</v>
      </c>
      <c r="AB2122">
        <v>3</v>
      </c>
      <c r="AC2122">
        <v>0</v>
      </c>
      <c r="AD2122">
        <v>10</v>
      </c>
      <c r="AE2122">
        <v>0</v>
      </c>
      <c r="AF2122">
        <v>3</v>
      </c>
      <c r="AG2122">
        <v>2</v>
      </c>
      <c r="AH2122">
        <v>0</v>
      </c>
      <c r="AI2122" t="s">
        <v>1309</v>
      </c>
      <c r="AJ2122">
        <v>39.946438999999998</v>
      </c>
      <c r="AK2122" t="s">
        <v>1310</v>
      </c>
      <c r="AL2122">
        <v>-92.652317999999994</v>
      </c>
      <c r="AM2122">
        <v>100</v>
      </c>
      <c r="AN2122">
        <v>1700</v>
      </c>
      <c r="AO2122" t="s">
        <v>118</v>
      </c>
      <c r="AP2122">
        <v>-108</v>
      </c>
      <c r="AQ2122">
        <v>79</v>
      </c>
      <c r="AR2122">
        <v>0</v>
      </c>
      <c r="AZ2122">
        <v>1200</v>
      </c>
      <c r="BA2122">
        <v>1</v>
      </c>
      <c r="BB2122" t="str">
        <f t="shared" si="103"/>
        <v xml:space="preserve">N8080G  </v>
      </c>
      <c r="BC2122">
        <v>1</v>
      </c>
      <c r="BE2122">
        <v>0</v>
      </c>
      <c r="BF2122">
        <v>0</v>
      </c>
      <c r="BG2122">
        <v>0</v>
      </c>
      <c r="BH2122">
        <v>1700</v>
      </c>
      <c r="BI2122">
        <v>1</v>
      </c>
      <c r="BJ2122">
        <v>1</v>
      </c>
      <c r="BK2122">
        <v>1</v>
      </c>
      <c r="BL2122">
        <v>0</v>
      </c>
      <c r="BO2122">
        <v>0</v>
      </c>
      <c r="BP2122">
        <v>0</v>
      </c>
      <c r="BW2122" t="str">
        <f>"20:25:43.279"</f>
        <v>20:25:43.279</v>
      </c>
      <c r="BZ2122">
        <v>0</v>
      </c>
      <c r="CA2122">
        <v>2016</v>
      </c>
      <c r="CB2122">
        <v>224</v>
      </c>
      <c r="CD2122">
        <v>1</v>
      </c>
      <c r="CE2122">
        <v>0</v>
      </c>
      <c r="CF2122">
        <v>0</v>
      </c>
      <c r="CG2122">
        <v>1</v>
      </c>
      <c r="CH2122">
        <v>0</v>
      </c>
      <c r="CI2122">
        <v>0</v>
      </c>
      <c r="CJ2122">
        <v>0</v>
      </c>
      <c r="CK2122">
        <v>2</v>
      </c>
      <c r="CL2122">
        <v>0</v>
      </c>
      <c r="CM2122">
        <v>2</v>
      </c>
      <c r="CN2122">
        <v>0</v>
      </c>
      <c r="CO2122">
        <v>3</v>
      </c>
      <c r="CP2122" t="s">
        <v>119</v>
      </c>
      <c r="CQ2122">
        <v>179</v>
      </c>
      <c r="CR2122">
        <v>1</v>
      </c>
      <c r="CW2122">
        <v>8884158</v>
      </c>
      <c r="CY2122">
        <v>1</v>
      </c>
      <c r="CZ2122">
        <v>0</v>
      </c>
      <c r="DA2122">
        <v>1</v>
      </c>
      <c r="DB2122">
        <v>0</v>
      </c>
      <c r="DC2122">
        <v>0</v>
      </c>
      <c r="DD2122">
        <v>0</v>
      </c>
      <c r="DE2122">
        <v>0</v>
      </c>
      <c r="DF2122">
        <v>0</v>
      </c>
      <c r="DG2122">
        <v>0</v>
      </c>
      <c r="DH2122">
        <v>0</v>
      </c>
      <c r="DI2122">
        <v>0</v>
      </c>
    </row>
    <row r="2123" spans="1:113" x14ac:dyDescent="0.3">
      <c r="A2123" t="str">
        <f>"02/08/2021 20:25:41.833"</f>
        <v>02/08/2021 20:25:41.833</v>
      </c>
      <c r="C2123" t="str">
        <f t="shared" si="102"/>
        <v>FFDFD7C0</v>
      </c>
      <c r="D2123" t="s">
        <v>124</v>
      </c>
      <c r="E2123">
        <v>12</v>
      </c>
      <c r="F2123">
        <v>1012</v>
      </c>
      <c r="G2123" t="s">
        <v>675</v>
      </c>
      <c r="J2123" t="s">
        <v>125</v>
      </c>
      <c r="K2123">
        <v>0</v>
      </c>
      <c r="L2123">
        <v>3</v>
      </c>
      <c r="M2123">
        <v>0</v>
      </c>
      <c r="N2123">
        <v>2</v>
      </c>
      <c r="O2123">
        <v>1</v>
      </c>
      <c r="P2123">
        <v>0</v>
      </c>
      <c r="Q2123">
        <v>0</v>
      </c>
      <c r="S2123" t="str">
        <f>"20:25:44.164"</f>
        <v>20:25:44.164</v>
      </c>
      <c r="T2123" t="str">
        <f>"20:25:43.764"</f>
        <v>20:25:43.764</v>
      </c>
      <c r="U2123" t="str">
        <f t="shared" si="104"/>
        <v>AB01F4</v>
      </c>
      <c r="V2123">
        <v>0</v>
      </c>
      <c r="W2123">
        <v>0</v>
      </c>
      <c r="X2123">
        <v>2</v>
      </c>
      <c r="Z2123">
        <v>0</v>
      </c>
      <c r="AA2123">
        <v>9</v>
      </c>
      <c r="AB2123">
        <v>3</v>
      </c>
      <c r="AC2123">
        <v>0</v>
      </c>
      <c r="AD2123">
        <v>10</v>
      </c>
      <c r="AE2123">
        <v>0</v>
      </c>
      <c r="AF2123">
        <v>3</v>
      </c>
      <c r="AG2123">
        <v>2</v>
      </c>
      <c r="AH2123">
        <v>0</v>
      </c>
      <c r="AI2123" t="s">
        <v>1311</v>
      </c>
      <c r="AJ2123">
        <v>39.946739999999998</v>
      </c>
      <c r="AK2123" t="s">
        <v>1312</v>
      </c>
      <c r="AL2123">
        <v>-92.652962000000002</v>
      </c>
      <c r="AM2123">
        <v>100</v>
      </c>
      <c r="AN2123">
        <v>1700</v>
      </c>
      <c r="AO2123" t="s">
        <v>118</v>
      </c>
      <c r="AP2123">
        <v>-108</v>
      </c>
      <c r="AQ2123">
        <v>79</v>
      </c>
      <c r="AR2123">
        <v>0</v>
      </c>
      <c r="AZ2123">
        <v>1200</v>
      </c>
      <c r="BA2123">
        <v>1</v>
      </c>
      <c r="BB2123" t="str">
        <f t="shared" si="103"/>
        <v xml:space="preserve">N8080G  </v>
      </c>
      <c r="BC2123">
        <v>1</v>
      </c>
      <c r="BE2123">
        <v>0</v>
      </c>
      <c r="BF2123">
        <v>0</v>
      </c>
      <c r="BG2123">
        <v>0</v>
      </c>
      <c r="BH2123">
        <v>1700</v>
      </c>
      <c r="BI2123">
        <v>1</v>
      </c>
      <c r="BJ2123">
        <v>1</v>
      </c>
      <c r="BK2123">
        <v>1</v>
      </c>
      <c r="BL2123">
        <v>0</v>
      </c>
      <c r="BO2123">
        <v>0</v>
      </c>
      <c r="BP2123">
        <v>0</v>
      </c>
      <c r="BW2123" t="str">
        <f>"20:25:44.172"</f>
        <v>20:25:44.172</v>
      </c>
      <c r="BZ2123">
        <v>0</v>
      </c>
      <c r="CA2123">
        <v>2016</v>
      </c>
      <c r="CB2123">
        <v>224</v>
      </c>
      <c r="CD2123">
        <v>1</v>
      </c>
      <c r="CE2123">
        <v>0</v>
      </c>
      <c r="CF2123">
        <v>0</v>
      </c>
      <c r="CG2123">
        <v>1</v>
      </c>
      <c r="CH2123">
        <v>0</v>
      </c>
      <c r="CI2123">
        <v>0</v>
      </c>
      <c r="CJ2123">
        <v>0</v>
      </c>
      <c r="CK2123">
        <v>2</v>
      </c>
      <c r="CL2123">
        <v>0</v>
      </c>
      <c r="CM2123">
        <v>2</v>
      </c>
      <c r="CN2123">
        <v>0</v>
      </c>
      <c r="CO2123">
        <v>3</v>
      </c>
      <c r="CP2123" t="s">
        <v>119</v>
      </c>
      <c r="CQ2123">
        <v>179</v>
      </c>
      <c r="CR2123">
        <v>1</v>
      </c>
      <c r="CW2123">
        <v>8884940</v>
      </c>
      <c r="CY2123">
        <v>1</v>
      </c>
      <c r="CZ2123">
        <v>0</v>
      </c>
      <c r="DA2123">
        <v>0</v>
      </c>
      <c r="DB2123">
        <v>0</v>
      </c>
      <c r="DC2123">
        <v>0</v>
      </c>
      <c r="DD2123">
        <v>0</v>
      </c>
      <c r="DE2123">
        <v>0</v>
      </c>
      <c r="DF2123">
        <v>0</v>
      </c>
      <c r="DG2123">
        <v>0</v>
      </c>
      <c r="DH2123">
        <v>0</v>
      </c>
      <c r="DI2123">
        <v>0</v>
      </c>
    </row>
    <row r="2124" spans="1:113" x14ac:dyDescent="0.3">
      <c r="A2124" t="str">
        <f>"02/08/2021 20:25:41.833"</f>
        <v>02/08/2021 20:25:41.833</v>
      </c>
      <c r="C2124" t="str">
        <f t="shared" si="102"/>
        <v>FFDFD7C0</v>
      </c>
      <c r="D2124" t="s">
        <v>124</v>
      </c>
      <c r="E2124">
        <v>11</v>
      </c>
      <c r="F2124">
        <v>1011</v>
      </c>
      <c r="G2124" t="s">
        <v>590</v>
      </c>
      <c r="J2124" t="s">
        <v>125</v>
      </c>
      <c r="K2124">
        <v>0</v>
      </c>
      <c r="L2124">
        <v>3</v>
      </c>
      <c r="M2124">
        <v>0</v>
      </c>
      <c r="N2124">
        <v>2</v>
      </c>
      <c r="O2124">
        <v>1</v>
      </c>
      <c r="P2124">
        <v>0</v>
      </c>
      <c r="Q2124">
        <v>0</v>
      </c>
      <c r="S2124" t="str">
        <f>"20:25:44.164"</f>
        <v>20:25:44.164</v>
      </c>
      <c r="T2124" t="str">
        <f>"20:25:43.764"</f>
        <v>20:25:43.764</v>
      </c>
      <c r="U2124" t="str">
        <f t="shared" si="104"/>
        <v>AB01F4</v>
      </c>
      <c r="V2124">
        <v>0</v>
      </c>
      <c r="W2124">
        <v>0</v>
      </c>
      <c r="X2124">
        <v>2</v>
      </c>
      <c r="Z2124">
        <v>0</v>
      </c>
      <c r="AA2124">
        <v>9</v>
      </c>
      <c r="AB2124">
        <v>3</v>
      </c>
      <c r="AC2124">
        <v>0</v>
      </c>
      <c r="AD2124">
        <v>10</v>
      </c>
      <c r="AE2124">
        <v>0</v>
      </c>
      <c r="AF2124">
        <v>3</v>
      </c>
      <c r="AG2124">
        <v>2</v>
      </c>
      <c r="AH2124">
        <v>0</v>
      </c>
      <c r="AI2124" t="s">
        <v>1311</v>
      </c>
      <c r="AJ2124">
        <v>39.946739999999998</v>
      </c>
      <c r="AK2124" t="s">
        <v>1312</v>
      </c>
      <c r="AL2124">
        <v>-92.652962000000002</v>
      </c>
      <c r="AM2124">
        <v>100</v>
      </c>
      <c r="AN2124">
        <v>1700</v>
      </c>
      <c r="AO2124" t="s">
        <v>118</v>
      </c>
      <c r="AP2124">
        <v>-108</v>
      </c>
      <c r="AQ2124">
        <v>79</v>
      </c>
      <c r="AR2124">
        <v>0</v>
      </c>
      <c r="AZ2124">
        <v>1200</v>
      </c>
      <c r="BA2124">
        <v>1</v>
      </c>
      <c r="BB2124" t="str">
        <f t="shared" si="103"/>
        <v xml:space="preserve">N8080G  </v>
      </c>
      <c r="BC2124">
        <v>1</v>
      </c>
      <c r="BE2124">
        <v>0</v>
      </c>
      <c r="BF2124">
        <v>0</v>
      </c>
      <c r="BG2124">
        <v>0</v>
      </c>
      <c r="BH2124">
        <v>1700</v>
      </c>
      <c r="BI2124">
        <v>1</v>
      </c>
      <c r="BJ2124">
        <v>1</v>
      </c>
      <c r="BK2124">
        <v>1</v>
      </c>
      <c r="BL2124">
        <v>0</v>
      </c>
      <c r="BO2124">
        <v>0</v>
      </c>
      <c r="BP2124">
        <v>0</v>
      </c>
      <c r="BW2124" t="str">
        <f>"20:25:44.172"</f>
        <v>20:25:44.172</v>
      </c>
      <c r="BZ2124">
        <v>0</v>
      </c>
      <c r="CA2124">
        <v>2016</v>
      </c>
      <c r="CB2124">
        <v>224</v>
      </c>
      <c r="CD2124">
        <v>1</v>
      </c>
      <c r="CE2124">
        <v>0</v>
      </c>
      <c r="CF2124">
        <v>0</v>
      </c>
      <c r="CG2124">
        <v>1</v>
      </c>
      <c r="CH2124">
        <v>0</v>
      </c>
      <c r="CI2124">
        <v>0</v>
      </c>
      <c r="CJ2124">
        <v>0</v>
      </c>
      <c r="CK2124">
        <v>2</v>
      </c>
      <c r="CL2124">
        <v>0</v>
      </c>
      <c r="CM2124">
        <v>2</v>
      </c>
      <c r="CN2124">
        <v>0</v>
      </c>
      <c r="CO2124">
        <v>3</v>
      </c>
      <c r="CP2124" t="s">
        <v>119</v>
      </c>
      <c r="CQ2124">
        <v>179</v>
      </c>
      <c r="CR2124">
        <v>1</v>
      </c>
      <c r="CW2124">
        <v>8884940</v>
      </c>
      <c r="CY2124">
        <v>1</v>
      </c>
      <c r="CZ2124">
        <v>0</v>
      </c>
      <c r="DA2124">
        <v>1</v>
      </c>
      <c r="DB2124">
        <v>0</v>
      </c>
      <c r="DC2124">
        <v>0</v>
      </c>
      <c r="DD2124">
        <v>0</v>
      </c>
      <c r="DE2124">
        <v>0</v>
      </c>
      <c r="DF2124">
        <v>0</v>
      </c>
      <c r="DG2124">
        <v>0</v>
      </c>
      <c r="DH2124">
        <v>0</v>
      </c>
      <c r="DI2124">
        <v>0</v>
      </c>
    </row>
    <row r="2125" spans="1:113" x14ac:dyDescent="0.3">
      <c r="A2125" t="str">
        <f>"02/08/2021 20:25:41.833"</f>
        <v>02/08/2021 20:25:41.833</v>
      </c>
      <c r="C2125" t="str">
        <f t="shared" si="102"/>
        <v>FFDFD7C0</v>
      </c>
      <c r="D2125" t="s">
        <v>124</v>
      </c>
      <c r="E2125">
        <v>13</v>
      </c>
      <c r="F2125">
        <v>1013</v>
      </c>
      <c r="G2125" t="s">
        <v>114</v>
      </c>
      <c r="J2125" t="s">
        <v>125</v>
      </c>
      <c r="K2125">
        <v>0</v>
      </c>
      <c r="L2125">
        <v>3</v>
      </c>
      <c r="M2125">
        <v>0</v>
      </c>
      <c r="N2125">
        <v>2</v>
      </c>
      <c r="O2125">
        <v>1</v>
      </c>
      <c r="P2125">
        <v>0</v>
      </c>
      <c r="Q2125">
        <v>0</v>
      </c>
      <c r="S2125" t="str">
        <f>"20:25:44.164"</f>
        <v>20:25:44.164</v>
      </c>
      <c r="T2125" t="str">
        <f>"20:25:43.764"</f>
        <v>20:25:43.764</v>
      </c>
      <c r="U2125" t="str">
        <f t="shared" si="104"/>
        <v>AB01F4</v>
      </c>
      <c r="V2125">
        <v>0</v>
      </c>
      <c r="W2125">
        <v>0</v>
      </c>
      <c r="X2125">
        <v>2</v>
      </c>
      <c r="Z2125">
        <v>0</v>
      </c>
      <c r="AA2125">
        <v>9</v>
      </c>
      <c r="AB2125">
        <v>3</v>
      </c>
      <c r="AC2125">
        <v>0</v>
      </c>
      <c r="AD2125">
        <v>10</v>
      </c>
      <c r="AE2125">
        <v>0</v>
      </c>
      <c r="AF2125">
        <v>3</v>
      </c>
      <c r="AG2125">
        <v>2</v>
      </c>
      <c r="AH2125">
        <v>0</v>
      </c>
      <c r="AI2125" t="s">
        <v>1311</v>
      </c>
      <c r="AJ2125">
        <v>39.946739999999998</v>
      </c>
      <c r="AK2125" t="s">
        <v>1312</v>
      </c>
      <c r="AL2125">
        <v>-92.652962000000002</v>
      </c>
      <c r="AM2125">
        <v>100</v>
      </c>
      <c r="AN2125">
        <v>1700</v>
      </c>
      <c r="AO2125" t="s">
        <v>118</v>
      </c>
      <c r="AP2125">
        <v>-108</v>
      </c>
      <c r="AQ2125">
        <v>79</v>
      </c>
      <c r="AR2125">
        <v>0</v>
      </c>
      <c r="AZ2125">
        <v>1200</v>
      </c>
      <c r="BA2125">
        <v>1</v>
      </c>
      <c r="BB2125" t="str">
        <f t="shared" si="103"/>
        <v xml:space="preserve">N8080G  </v>
      </c>
      <c r="BC2125">
        <v>1</v>
      </c>
      <c r="BE2125">
        <v>0</v>
      </c>
      <c r="BF2125">
        <v>0</v>
      </c>
      <c r="BG2125">
        <v>0</v>
      </c>
      <c r="BH2125">
        <v>1700</v>
      </c>
      <c r="BI2125">
        <v>1</v>
      </c>
      <c r="BJ2125">
        <v>1</v>
      </c>
      <c r="BK2125">
        <v>1</v>
      </c>
      <c r="BL2125">
        <v>0</v>
      </c>
      <c r="BO2125">
        <v>0</v>
      </c>
      <c r="BP2125">
        <v>0</v>
      </c>
      <c r="BW2125" t="str">
        <f>"20:25:44.172"</f>
        <v>20:25:44.172</v>
      </c>
      <c r="BZ2125">
        <v>0</v>
      </c>
      <c r="CA2125">
        <v>2016</v>
      </c>
      <c r="CB2125">
        <v>224</v>
      </c>
      <c r="CD2125">
        <v>1</v>
      </c>
      <c r="CE2125">
        <v>0</v>
      </c>
      <c r="CF2125">
        <v>0</v>
      </c>
      <c r="CG2125">
        <v>1</v>
      </c>
      <c r="CH2125">
        <v>0</v>
      </c>
      <c r="CI2125">
        <v>0</v>
      </c>
      <c r="CJ2125">
        <v>0</v>
      </c>
      <c r="CK2125">
        <v>2</v>
      </c>
      <c r="CL2125">
        <v>0</v>
      </c>
      <c r="CM2125">
        <v>2</v>
      </c>
      <c r="CN2125">
        <v>0</v>
      </c>
      <c r="CO2125">
        <v>3</v>
      </c>
      <c r="CP2125" t="s">
        <v>119</v>
      </c>
      <c r="CQ2125">
        <v>179</v>
      </c>
      <c r="CR2125">
        <v>1</v>
      </c>
      <c r="CW2125">
        <v>8884940</v>
      </c>
      <c r="CY2125">
        <v>1</v>
      </c>
      <c r="CZ2125">
        <v>0</v>
      </c>
      <c r="DA2125">
        <v>1</v>
      </c>
      <c r="DB2125">
        <v>0</v>
      </c>
      <c r="DC2125">
        <v>0</v>
      </c>
      <c r="DD2125">
        <v>0</v>
      </c>
      <c r="DE2125">
        <v>0</v>
      </c>
      <c r="DF2125">
        <v>0</v>
      </c>
      <c r="DG2125">
        <v>0</v>
      </c>
      <c r="DH2125">
        <v>0</v>
      </c>
      <c r="DI2125">
        <v>0</v>
      </c>
    </row>
    <row r="2126" spans="1:113" x14ac:dyDescent="0.3">
      <c r="A2126" t="str">
        <f>"02/08/2021 20:25:41.833"</f>
        <v>02/08/2021 20:25:41.833</v>
      </c>
      <c r="C2126" t="str">
        <f t="shared" si="102"/>
        <v>FFDFD7C0</v>
      </c>
      <c r="D2126" t="s">
        <v>113</v>
      </c>
      <c r="E2126">
        <v>6</v>
      </c>
      <c r="H2126">
        <v>165</v>
      </c>
      <c r="I2126" t="s">
        <v>114</v>
      </c>
      <c r="J2126" t="s">
        <v>115</v>
      </c>
      <c r="K2126">
        <v>0</v>
      </c>
      <c r="L2126">
        <v>3</v>
      </c>
      <c r="M2126">
        <v>0</v>
      </c>
      <c r="N2126">
        <v>2</v>
      </c>
      <c r="O2126">
        <v>1</v>
      </c>
      <c r="P2126">
        <v>0</v>
      </c>
      <c r="Q2126">
        <v>0</v>
      </c>
      <c r="S2126" t="str">
        <f>"20:25:44.164"</f>
        <v>20:25:44.164</v>
      </c>
      <c r="T2126" t="str">
        <f>"20:25:43.764"</f>
        <v>20:25:43.764</v>
      </c>
      <c r="U2126" t="str">
        <f t="shared" si="104"/>
        <v>AB01F4</v>
      </c>
      <c r="V2126">
        <v>0</v>
      </c>
      <c r="W2126">
        <v>0</v>
      </c>
      <c r="X2126">
        <v>2</v>
      </c>
      <c r="Z2126">
        <v>0</v>
      </c>
      <c r="AA2126">
        <v>9</v>
      </c>
      <c r="AB2126">
        <v>3</v>
      </c>
      <c r="AC2126">
        <v>0</v>
      </c>
      <c r="AD2126">
        <v>10</v>
      </c>
      <c r="AE2126">
        <v>0</v>
      </c>
      <c r="AF2126">
        <v>3</v>
      </c>
      <c r="AG2126">
        <v>2</v>
      </c>
      <c r="AH2126">
        <v>0</v>
      </c>
      <c r="AI2126" t="s">
        <v>1311</v>
      </c>
      <c r="AJ2126">
        <v>39.946739999999998</v>
      </c>
      <c r="AK2126" t="s">
        <v>1312</v>
      </c>
      <c r="AL2126">
        <v>-92.652962000000002</v>
      </c>
      <c r="AM2126">
        <v>100</v>
      </c>
      <c r="AN2126">
        <v>1700</v>
      </c>
      <c r="AO2126" t="s">
        <v>118</v>
      </c>
      <c r="AP2126">
        <v>-108</v>
      </c>
      <c r="AQ2126">
        <v>79</v>
      </c>
      <c r="AR2126">
        <v>0</v>
      </c>
      <c r="AZ2126">
        <v>1200</v>
      </c>
      <c r="BA2126">
        <v>1</v>
      </c>
      <c r="BB2126" t="str">
        <f t="shared" si="103"/>
        <v xml:space="preserve">N8080G  </v>
      </c>
      <c r="BC2126">
        <v>1</v>
      </c>
      <c r="BE2126">
        <v>0</v>
      </c>
      <c r="BF2126">
        <v>0</v>
      </c>
      <c r="BG2126">
        <v>0</v>
      </c>
      <c r="BH2126">
        <v>1700</v>
      </c>
      <c r="BI2126">
        <v>1</v>
      </c>
      <c r="BJ2126">
        <v>1</v>
      </c>
      <c r="BK2126">
        <v>1</v>
      </c>
      <c r="BL2126">
        <v>0</v>
      </c>
      <c r="BO2126">
        <v>0</v>
      </c>
      <c r="BP2126">
        <v>0</v>
      </c>
      <c r="BW2126" t="str">
        <f>"20:25:44.172"</f>
        <v>20:25:44.172</v>
      </c>
      <c r="BZ2126">
        <v>0</v>
      </c>
      <c r="CA2126">
        <v>2016</v>
      </c>
      <c r="CB2126">
        <v>224</v>
      </c>
      <c r="CD2126">
        <v>1</v>
      </c>
      <c r="CE2126">
        <v>0</v>
      </c>
      <c r="CF2126">
        <v>0</v>
      </c>
      <c r="CG2126">
        <v>1</v>
      </c>
      <c r="CH2126">
        <v>0</v>
      </c>
      <c r="CI2126">
        <v>0</v>
      </c>
      <c r="CJ2126">
        <v>0</v>
      </c>
      <c r="CK2126">
        <v>2</v>
      </c>
      <c r="CL2126">
        <v>0</v>
      </c>
      <c r="CM2126">
        <v>2</v>
      </c>
      <c r="CN2126">
        <v>0</v>
      </c>
      <c r="CO2126">
        <v>3</v>
      </c>
      <c r="CP2126" t="s">
        <v>119</v>
      </c>
      <c r="CQ2126">
        <v>179</v>
      </c>
      <c r="CR2126">
        <v>1</v>
      </c>
      <c r="CW2126">
        <v>8884940</v>
      </c>
      <c r="CY2126">
        <v>1</v>
      </c>
      <c r="CZ2126">
        <v>0</v>
      </c>
      <c r="DA2126">
        <v>1</v>
      </c>
      <c r="DB2126">
        <v>0</v>
      </c>
      <c r="DC2126">
        <v>0</v>
      </c>
      <c r="DD2126">
        <v>0</v>
      </c>
      <c r="DE2126">
        <v>0</v>
      </c>
      <c r="DF2126">
        <v>0</v>
      </c>
      <c r="DG2126">
        <v>0</v>
      </c>
      <c r="DH2126">
        <v>0</v>
      </c>
      <c r="DI2126">
        <v>0</v>
      </c>
    </row>
    <row r="2127" spans="1:113" x14ac:dyDescent="0.3">
      <c r="A2127" t="str">
        <f>"02/08/2021 20:25:45.012"</f>
        <v>02/08/2021 20:25:45.012</v>
      </c>
      <c r="C2127" t="str">
        <f t="shared" si="102"/>
        <v>FFDFD7C0</v>
      </c>
      <c r="D2127" t="s">
        <v>124</v>
      </c>
      <c r="E2127">
        <v>13</v>
      </c>
      <c r="F2127">
        <v>1013</v>
      </c>
      <c r="G2127" t="s">
        <v>114</v>
      </c>
      <c r="J2127" t="s">
        <v>125</v>
      </c>
      <c r="K2127">
        <v>0</v>
      </c>
      <c r="L2127">
        <v>3</v>
      </c>
      <c r="M2127">
        <v>0</v>
      </c>
      <c r="N2127">
        <v>2</v>
      </c>
      <c r="O2127">
        <v>1</v>
      </c>
      <c r="P2127">
        <v>0</v>
      </c>
      <c r="Q2127">
        <v>0</v>
      </c>
      <c r="S2127" t="str">
        <f>"20:25:47.320"</f>
        <v>20:25:47.320</v>
      </c>
      <c r="T2127" t="str">
        <f>"20:25:46.820"</f>
        <v>20:25:46.820</v>
      </c>
      <c r="U2127" t="str">
        <f t="shared" si="104"/>
        <v>AB01F4</v>
      </c>
      <c r="V2127">
        <v>0</v>
      </c>
      <c r="W2127">
        <v>0</v>
      </c>
      <c r="X2127">
        <v>2</v>
      </c>
      <c r="Z2127">
        <v>0</v>
      </c>
      <c r="AA2127">
        <v>9</v>
      </c>
      <c r="AB2127">
        <v>3</v>
      </c>
      <c r="AC2127">
        <v>0</v>
      </c>
      <c r="AD2127">
        <v>10</v>
      </c>
      <c r="AE2127">
        <v>0</v>
      </c>
      <c r="AF2127">
        <v>3</v>
      </c>
      <c r="AG2127">
        <v>2</v>
      </c>
      <c r="AH2127">
        <v>0</v>
      </c>
      <c r="AI2127" t="s">
        <v>1313</v>
      </c>
      <c r="AJ2127">
        <v>39.947898000000002</v>
      </c>
      <c r="AK2127" t="s">
        <v>1314</v>
      </c>
      <c r="AL2127">
        <v>-92.655022000000002</v>
      </c>
      <c r="AM2127">
        <v>100</v>
      </c>
      <c r="AN2127">
        <v>1700</v>
      </c>
      <c r="AO2127" t="s">
        <v>118</v>
      </c>
      <c r="AP2127">
        <v>-108</v>
      </c>
      <c r="AQ2127">
        <v>79</v>
      </c>
      <c r="AR2127">
        <v>0</v>
      </c>
      <c r="AZ2127">
        <v>1200</v>
      </c>
      <c r="BA2127">
        <v>1</v>
      </c>
      <c r="BB2127" t="str">
        <f t="shared" si="103"/>
        <v xml:space="preserve">N8080G  </v>
      </c>
      <c r="BC2127">
        <v>1</v>
      </c>
      <c r="BE2127">
        <v>0</v>
      </c>
      <c r="BF2127">
        <v>0</v>
      </c>
      <c r="BG2127">
        <v>0</v>
      </c>
      <c r="BH2127">
        <v>1700</v>
      </c>
      <c r="BI2127">
        <v>1</v>
      </c>
      <c r="BJ2127">
        <v>1</v>
      </c>
      <c r="BK2127">
        <v>1</v>
      </c>
      <c r="BL2127">
        <v>0</v>
      </c>
      <c r="BO2127">
        <v>0</v>
      </c>
      <c r="BP2127">
        <v>0</v>
      </c>
      <c r="BW2127" t="str">
        <f>"20:25:47.324"</f>
        <v>20:25:47.324</v>
      </c>
      <c r="BZ2127">
        <v>0</v>
      </c>
      <c r="CA2127">
        <v>2016</v>
      </c>
      <c r="CB2127">
        <v>224</v>
      </c>
      <c r="CD2127">
        <v>1</v>
      </c>
      <c r="CE2127">
        <v>0</v>
      </c>
      <c r="CF2127">
        <v>0</v>
      </c>
      <c r="CG2127">
        <v>1</v>
      </c>
      <c r="CH2127">
        <v>0</v>
      </c>
      <c r="CI2127">
        <v>0</v>
      </c>
      <c r="CJ2127">
        <v>0</v>
      </c>
      <c r="CK2127">
        <v>2</v>
      </c>
      <c r="CL2127">
        <v>0</v>
      </c>
      <c r="CM2127">
        <v>2</v>
      </c>
      <c r="CN2127">
        <v>0</v>
      </c>
      <c r="CO2127">
        <v>2</v>
      </c>
      <c r="CP2127" t="s">
        <v>119</v>
      </c>
      <c r="CQ2127">
        <v>179</v>
      </c>
      <c r="CR2127">
        <v>1</v>
      </c>
      <c r="CW2127">
        <v>8887672</v>
      </c>
      <c r="CY2127">
        <v>1</v>
      </c>
      <c r="CZ2127">
        <v>0</v>
      </c>
      <c r="DA2127">
        <v>0</v>
      </c>
      <c r="DB2127">
        <v>0</v>
      </c>
      <c r="DC2127">
        <v>0</v>
      </c>
      <c r="DD2127">
        <v>0</v>
      </c>
      <c r="DE2127">
        <v>0</v>
      </c>
      <c r="DF2127">
        <v>0</v>
      </c>
      <c r="DG2127">
        <v>0</v>
      </c>
      <c r="DH2127">
        <v>0</v>
      </c>
      <c r="DI2127">
        <v>0</v>
      </c>
    </row>
    <row r="2128" spans="1:113" x14ac:dyDescent="0.3">
      <c r="A2128" t="str">
        <f>"02/08/2021 20:25:45.012"</f>
        <v>02/08/2021 20:25:45.012</v>
      </c>
      <c r="C2128" t="str">
        <f t="shared" si="102"/>
        <v>FFDFD7C0</v>
      </c>
      <c r="D2128" t="s">
        <v>124</v>
      </c>
      <c r="E2128">
        <v>11</v>
      </c>
      <c r="F2128">
        <v>1011</v>
      </c>
      <c r="G2128" t="s">
        <v>590</v>
      </c>
      <c r="J2128" t="s">
        <v>125</v>
      </c>
      <c r="K2128">
        <v>0</v>
      </c>
      <c r="L2128">
        <v>3</v>
      </c>
      <c r="M2128">
        <v>0</v>
      </c>
      <c r="N2128">
        <v>2</v>
      </c>
      <c r="O2128">
        <v>1</v>
      </c>
      <c r="P2128">
        <v>0</v>
      </c>
      <c r="Q2128">
        <v>0</v>
      </c>
      <c r="S2128" t="str">
        <f>"20:25:47.320"</f>
        <v>20:25:47.320</v>
      </c>
      <c r="T2128" t="str">
        <f>"20:25:46.820"</f>
        <v>20:25:46.820</v>
      </c>
      <c r="U2128" t="str">
        <f t="shared" si="104"/>
        <v>AB01F4</v>
      </c>
      <c r="V2128">
        <v>0</v>
      </c>
      <c r="W2128">
        <v>0</v>
      </c>
      <c r="X2128">
        <v>2</v>
      </c>
      <c r="Z2128">
        <v>0</v>
      </c>
      <c r="AA2128">
        <v>9</v>
      </c>
      <c r="AB2128">
        <v>3</v>
      </c>
      <c r="AC2128">
        <v>0</v>
      </c>
      <c r="AD2128">
        <v>10</v>
      </c>
      <c r="AE2128">
        <v>0</v>
      </c>
      <c r="AF2128">
        <v>3</v>
      </c>
      <c r="AG2128">
        <v>2</v>
      </c>
      <c r="AH2128">
        <v>0</v>
      </c>
      <c r="AI2128" t="s">
        <v>1313</v>
      </c>
      <c r="AJ2128">
        <v>39.947898000000002</v>
      </c>
      <c r="AK2128" t="s">
        <v>1314</v>
      </c>
      <c r="AL2128">
        <v>-92.655022000000002</v>
      </c>
      <c r="AM2128">
        <v>100</v>
      </c>
      <c r="AN2128">
        <v>1700</v>
      </c>
      <c r="AO2128" t="s">
        <v>118</v>
      </c>
      <c r="AP2128">
        <v>-108</v>
      </c>
      <c r="AQ2128">
        <v>79</v>
      </c>
      <c r="AR2128">
        <v>0</v>
      </c>
      <c r="AZ2128">
        <v>1200</v>
      </c>
      <c r="BA2128">
        <v>1</v>
      </c>
      <c r="BB2128" t="str">
        <f t="shared" si="103"/>
        <v xml:space="preserve">N8080G  </v>
      </c>
      <c r="BC2128">
        <v>1</v>
      </c>
      <c r="BE2128">
        <v>0</v>
      </c>
      <c r="BF2128">
        <v>0</v>
      </c>
      <c r="BG2128">
        <v>0</v>
      </c>
      <c r="BH2128">
        <v>1700</v>
      </c>
      <c r="BI2128">
        <v>1</v>
      </c>
      <c r="BJ2128">
        <v>1</v>
      </c>
      <c r="BK2128">
        <v>1</v>
      </c>
      <c r="BL2128">
        <v>0</v>
      </c>
      <c r="BO2128">
        <v>0</v>
      </c>
      <c r="BP2128">
        <v>0</v>
      </c>
      <c r="BW2128" t="str">
        <f>"20:25:47.324"</f>
        <v>20:25:47.324</v>
      </c>
      <c r="BZ2128">
        <v>0</v>
      </c>
      <c r="CA2128">
        <v>2016</v>
      </c>
      <c r="CB2128">
        <v>224</v>
      </c>
      <c r="CD2128">
        <v>1</v>
      </c>
      <c r="CE2128">
        <v>0</v>
      </c>
      <c r="CF2128">
        <v>0</v>
      </c>
      <c r="CG2128">
        <v>1</v>
      </c>
      <c r="CH2128">
        <v>0</v>
      </c>
      <c r="CI2128">
        <v>0</v>
      </c>
      <c r="CJ2128">
        <v>0</v>
      </c>
      <c r="CK2128">
        <v>2</v>
      </c>
      <c r="CL2128">
        <v>0</v>
      </c>
      <c r="CM2128">
        <v>2</v>
      </c>
      <c r="CN2128">
        <v>0</v>
      </c>
      <c r="CO2128">
        <v>2</v>
      </c>
      <c r="CP2128" t="s">
        <v>119</v>
      </c>
      <c r="CQ2128">
        <v>179</v>
      </c>
      <c r="CR2128">
        <v>1</v>
      </c>
      <c r="CW2128">
        <v>8887672</v>
      </c>
      <c r="CY2128">
        <v>1</v>
      </c>
      <c r="CZ2128">
        <v>0</v>
      </c>
      <c r="DA2128">
        <v>1</v>
      </c>
      <c r="DB2128">
        <v>0</v>
      </c>
      <c r="DC2128">
        <v>0</v>
      </c>
      <c r="DD2128">
        <v>0</v>
      </c>
      <c r="DE2128">
        <v>0</v>
      </c>
      <c r="DF2128">
        <v>0</v>
      </c>
      <c r="DG2128">
        <v>0</v>
      </c>
      <c r="DH2128">
        <v>0</v>
      </c>
      <c r="DI2128">
        <v>0</v>
      </c>
    </row>
    <row r="2129" spans="1:113" x14ac:dyDescent="0.3">
      <c r="A2129" t="str">
        <f>"02/08/2021 20:25:45.012"</f>
        <v>02/08/2021 20:25:45.012</v>
      </c>
      <c r="C2129" t="str">
        <f t="shared" si="102"/>
        <v>FFDFD7C0</v>
      </c>
      <c r="D2129" t="s">
        <v>113</v>
      </c>
      <c r="E2129">
        <v>6</v>
      </c>
      <c r="H2129">
        <v>165</v>
      </c>
      <c r="I2129" t="s">
        <v>114</v>
      </c>
      <c r="J2129" t="s">
        <v>115</v>
      </c>
      <c r="K2129">
        <v>0</v>
      </c>
      <c r="L2129">
        <v>3</v>
      </c>
      <c r="M2129">
        <v>0</v>
      </c>
      <c r="N2129">
        <v>2</v>
      </c>
      <c r="O2129">
        <v>1</v>
      </c>
      <c r="P2129">
        <v>0</v>
      </c>
      <c r="Q2129">
        <v>0</v>
      </c>
      <c r="S2129" t="str">
        <f>"20:25:47.320"</f>
        <v>20:25:47.320</v>
      </c>
      <c r="T2129" t="str">
        <f>"20:25:46.820"</f>
        <v>20:25:46.820</v>
      </c>
      <c r="U2129" t="str">
        <f t="shared" si="104"/>
        <v>AB01F4</v>
      </c>
      <c r="V2129">
        <v>0</v>
      </c>
      <c r="W2129">
        <v>0</v>
      </c>
      <c r="X2129">
        <v>2</v>
      </c>
      <c r="Z2129">
        <v>0</v>
      </c>
      <c r="AA2129">
        <v>9</v>
      </c>
      <c r="AB2129">
        <v>3</v>
      </c>
      <c r="AC2129">
        <v>0</v>
      </c>
      <c r="AD2129">
        <v>10</v>
      </c>
      <c r="AE2129">
        <v>0</v>
      </c>
      <c r="AF2129">
        <v>3</v>
      </c>
      <c r="AG2129">
        <v>2</v>
      </c>
      <c r="AH2129">
        <v>0</v>
      </c>
      <c r="AI2129" t="s">
        <v>1313</v>
      </c>
      <c r="AJ2129">
        <v>39.947898000000002</v>
      </c>
      <c r="AK2129" t="s">
        <v>1314</v>
      </c>
      <c r="AL2129">
        <v>-92.655022000000002</v>
      </c>
      <c r="AM2129">
        <v>100</v>
      </c>
      <c r="AN2129">
        <v>1700</v>
      </c>
      <c r="AO2129" t="s">
        <v>118</v>
      </c>
      <c r="AP2129">
        <v>-108</v>
      </c>
      <c r="AQ2129">
        <v>79</v>
      </c>
      <c r="AR2129">
        <v>0</v>
      </c>
      <c r="AZ2129">
        <v>1200</v>
      </c>
      <c r="BA2129">
        <v>1</v>
      </c>
      <c r="BB2129" t="str">
        <f t="shared" si="103"/>
        <v xml:space="preserve">N8080G  </v>
      </c>
      <c r="BC2129">
        <v>1</v>
      </c>
      <c r="BE2129">
        <v>0</v>
      </c>
      <c r="BF2129">
        <v>0</v>
      </c>
      <c r="BG2129">
        <v>0</v>
      </c>
      <c r="BH2129">
        <v>1700</v>
      </c>
      <c r="BI2129">
        <v>1</v>
      </c>
      <c r="BJ2129">
        <v>1</v>
      </c>
      <c r="BK2129">
        <v>1</v>
      </c>
      <c r="BL2129">
        <v>0</v>
      </c>
      <c r="BO2129">
        <v>0</v>
      </c>
      <c r="BP2129">
        <v>0</v>
      </c>
      <c r="BW2129" t="str">
        <f>"20:25:47.324"</f>
        <v>20:25:47.324</v>
      </c>
      <c r="BZ2129">
        <v>0</v>
      </c>
      <c r="CA2129">
        <v>2016</v>
      </c>
      <c r="CB2129">
        <v>224</v>
      </c>
      <c r="CD2129">
        <v>1</v>
      </c>
      <c r="CE2129">
        <v>0</v>
      </c>
      <c r="CF2129">
        <v>0</v>
      </c>
      <c r="CG2129">
        <v>1</v>
      </c>
      <c r="CH2129">
        <v>0</v>
      </c>
      <c r="CI2129">
        <v>0</v>
      </c>
      <c r="CJ2129">
        <v>0</v>
      </c>
      <c r="CK2129">
        <v>2</v>
      </c>
      <c r="CL2129">
        <v>0</v>
      </c>
      <c r="CM2129">
        <v>2</v>
      </c>
      <c r="CN2129">
        <v>0</v>
      </c>
      <c r="CO2129">
        <v>2</v>
      </c>
      <c r="CP2129" t="s">
        <v>119</v>
      </c>
      <c r="CQ2129">
        <v>179</v>
      </c>
      <c r="CR2129">
        <v>1</v>
      </c>
      <c r="CW2129">
        <v>8887672</v>
      </c>
      <c r="CY2129">
        <v>1</v>
      </c>
      <c r="CZ2129">
        <v>0</v>
      </c>
      <c r="DA2129">
        <v>1</v>
      </c>
      <c r="DB2129">
        <v>0</v>
      </c>
      <c r="DC2129">
        <v>0</v>
      </c>
      <c r="DD2129">
        <v>0</v>
      </c>
      <c r="DE2129">
        <v>0</v>
      </c>
      <c r="DF2129">
        <v>0</v>
      </c>
      <c r="DG2129">
        <v>0</v>
      </c>
      <c r="DH2129">
        <v>0</v>
      </c>
      <c r="DI2129">
        <v>0</v>
      </c>
    </row>
    <row r="2130" spans="1:113" x14ac:dyDescent="0.3">
      <c r="A2130" t="str">
        <f>"02/08/2021 20:25:45.012"</f>
        <v>02/08/2021 20:25:45.012</v>
      </c>
      <c r="C2130" t="str">
        <f t="shared" si="102"/>
        <v>FFDFD7C0</v>
      </c>
      <c r="D2130" t="s">
        <v>124</v>
      </c>
      <c r="E2130">
        <v>12</v>
      </c>
      <c r="F2130">
        <v>1012</v>
      </c>
      <c r="G2130" t="s">
        <v>675</v>
      </c>
      <c r="J2130" t="s">
        <v>125</v>
      </c>
      <c r="K2130">
        <v>0</v>
      </c>
      <c r="L2130">
        <v>3</v>
      </c>
      <c r="M2130">
        <v>0</v>
      </c>
      <c r="N2130">
        <v>2</v>
      </c>
      <c r="O2130">
        <v>1</v>
      </c>
      <c r="P2130">
        <v>0</v>
      </c>
      <c r="Q2130">
        <v>0</v>
      </c>
      <c r="S2130" t="str">
        <f>"20:25:47.320"</f>
        <v>20:25:47.320</v>
      </c>
      <c r="T2130" t="str">
        <f>"20:25:46.820"</f>
        <v>20:25:46.820</v>
      </c>
      <c r="U2130" t="str">
        <f t="shared" si="104"/>
        <v>AB01F4</v>
      </c>
      <c r="V2130">
        <v>0</v>
      </c>
      <c r="W2130">
        <v>0</v>
      </c>
      <c r="X2130">
        <v>2</v>
      </c>
      <c r="Z2130">
        <v>0</v>
      </c>
      <c r="AA2130">
        <v>9</v>
      </c>
      <c r="AB2130">
        <v>3</v>
      </c>
      <c r="AC2130">
        <v>0</v>
      </c>
      <c r="AD2130">
        <v>10</v>
      </c>
      <c r="AE2130">
        <v>0</v>
      </c>
      <c r="AF2130">
        <v>3</v>
      </c>
      <c r="AG2130">
        <v>2</v>
      </c>
      <c r="AH2130">
        <v>0</v>
      </c>
      <c r="AI2130" t="s">
        <v>1313</v>
      </c>
      <c r="AJ2130">
        <v>39.947898000000002</v>
      </c>
      <c r="AK2130" t="s">
        <v>1314</v>
      </c>
      <c r="AL2130">
        <v>-92.655022000000002</v>
      </c>
      <c r="AM2130">
        <v>100</v>
      </c>
      <c r="AN2130">
        <v>1700</v>
      </c>
      <c r="AO2130" t="s">
        <v>118</v>
      </c>
      <c r="AP2130">
        <v>-108</v>
      </c>
      <c r="AQ2130">
        <v>79</v>
      </c>
      <c r="AR2130">
        <v>0</v>
      </c>
      <c r="AZ2130">
        <v>1200</v>
      </c>
      <c r="BA2130">
        <v>1</v>
      </c>
      <c r="BB2130" t="str">
        <f t="shared" si="103"/>
        <v xml:space="preserve">N8080G  </v>
      </c>
      <c r="BC2130">
        <v>1</v>
      </c>
      <c r="BE2130">
        <v>0</v>
      </c>
      <c r="BF2130">
        <v>0</v>
      </c>
      <c r="BG2130">
        <v>0</v>
      </c>
      <c r="BH2130">
        <v>1700</v>
      </c>
      <c r="BI2130">
        <v>1</v>
      </c>
      <c r="BJ2130">
        <v>1</v>
      </c>
      <c r="BK2130">
        <v>1</v>
      </c>
      <c r="BL2130">
        <v>0</v>
      </c>
      <c r="BO2130">
        <v>0</v>
      </c>
      <c r="BP2130">
        <v>0</v>
      </c>
      <c r="BW2130" t="str">
        <f>"20:25:47.324"</f>
        <v>20:25:47.324</v>
      </c>
      <c r="BZ2130">
        <v>0</v>
      </c>
      <c r="CA2130">
        <v>2016</v>
      </c>
      <c r="CB2130">
        <v>224</v>
      </c>
      <c r="CD2130">
        <v>1</v>
      </c>
      <c r="CE2130">
        <v>0</v>
      </c>
      <c r="CF2130">
        <v>0</v>
      </c>
      <c r="CG2130">
        <v>1</v>
      </c>
      <c r="CH2130">
        <v>0</v>
      </c>
      <c r="CI2130">
        <v>0</v>
      </c>
      <c r="CJ2130">
        <v>0</v>
      </c>
      <c r="CK2130">
        <v>2</v>
      </c>
      <c r="CL2130">
        <v>0</v>
      </c>
      <c r="CM2130">
        <v>2</v>
      </c>
      <c r="CN2130">
        <v>0</v>
      </c>
      <c r="CO2130">
        <v>2</v>
      </c>
      <c r="CP2130" t="s">
        <v>119</v>
      </c>
      <c r="CQ2130">
        <v>179</v>
      </c>
      <c r="CR2130">
        <v>1</v>
      </c>
      <c r="CW2130">
        <v>8887672</v>
      </c>
      <c r="CY2130">
        <v>1</v>
      </c>
      <c r="CZ2130">
        <v>0</v>
      </c>
      <c r="DA2130">
        <v>1</v>
      </c>
      <c r="DB2130">
        <v>0</v>
      </c>
      <c r="DC2130">
        <v>0</v>
      </c>
      <c r="DD2130">
        <v>0</v>
      </c>
      <c r="DE2130">
        <v>0</v>
      </c>
      <c r="DF2130">
        <v>0</v>
      </c>
      <c r="DG2130">
        <v>0</v>
      </c>
      <c r="DH2130">
        <v>0</v>
      </c>
      <c r="DI2130">
        <v>0</v>
      </c>
    </row>
    <row r="2131" spans="1:113" x14ac:dyDescent="0.3">
      <c r="A2131" t="str">
        <f>"02/08/2021 20:25:46.003"</f>
        <v>02/08/2021 20:25:46.003</v>
      </c>
      <c r="C2131" t="str">
        <f t="shared" si="102"/>
        <v>FFDFD7C0</v>
      </c>
      <c r="D2131" t="s">
        <v>113</v>
      </c>
      <c r="E2131">
        <v>6</v>
      </c>
      <c r="H2131">
        <v>165</v>
      </c>
      <c r="I2131" t="s">
        <v>114</v>
      </c>
      <c r="J2131" t="s">
        <v>115</v>
      </c>
      <c r="K2131">
        <v>0</v>
      </c>
      <c r="L2131">
        <v>3</v>
      </c>
      <c r="M2131">
        <v>0</v>
      </c>
      <c r="N2131">
        <v>2</v>
      </c>
      <c r="O2131">
        <v>1</v>
      </c>
      <c r="P2131">
        <v>0</v>
      </c>
      <c r="Q2131">
        <v>0</v>
      </c>
      <c r="S2131" t="str">
        <f>"20:25:48.313"</f>
        <v>20:25:48.313</v>
      </c>
      <c r="T2131" t="str">
        <f>"20:25:47.913"</f>
        <v>20:25:47.913</v>
      </c>
      <c r="U2131" t="str">
        <f t="shared" si="104"/>
        <v>AB01F4</v>
      </c>
      <c r="V2131">
        <v>0</v>
      </c>
      <c r="W2131">
        <v>0</v>
      </c>
      <c r="X2131">
        <v>2</v>
      </c>
      <c r="Z2131">
        <v>0</v>
      </c>
      <c r="AA2131">
        <v>9</v>
      </c>
      <c r="AB2131">
        <v>3</v>
      </c>
      <c r="AC2131">
        <v>0</v>
      </c>
      <c r="AD2131">
        <v>10</v>
      </c>
      <c r="AE2131">
        <v>0</v>
      </c>
      <c r="AF2131">
        <v>3</v>
      </c>
      <c r="AG2131">
        <v>2</v>
      </c>
      <c r="AH2131">
        <v>0</v>
      </c>
      <c r="AI2131" t="s">
        <v>1315</v>
      </c>
      <c r="AJ2131">
        <v>39.948262999999997</v>
      </c>
      <c r="AK2131" t="s">
        <v>1316</v>
      </c>
      <c r="AL2131">
        <v>-92.655643999999995</v>
      </c>
      <c r="AM2131">
        <v>100</v>
      </c>
      <c r="AN2131">
        <v>1700</v>
      </c>
      <c r="AO2131" t="s">
        <v>118</v>
      </c>
      <c r="AP2131">
        <v>-108</v>
      </c>
      <c r="AQ2131">
        <v>79</v>
      </c>
      <c r="AR2131">
        <v>64</v>
      </c>
      <c r="AZ2131">
        <v>1200</v>
      </c>
      <c r="BA2131">
        <v>1</v>
      </c>
      <c r="BB2131" t="str">
        <f t="shared" si="103"/>
        <v xml:space="preserve">N8080G  </v>
      </c>
      <c r="BC2131">
        <v>1</v>
      </c>
      <c r="BE2131">
        <v>0</v>
      </c>
      <c r="BF2131">
        <v>0</v>
      </c>
      <c r="BG2131">
        <v>0</v>
      </c>
      <c r="BH2131">
        <v>1700</v>
      </c>
      <c r="BI2131">
        <v>1</v>
      </c>
      <c r="BJ2131">
        <v>1</v>
      </c>
      <c r="BK2131">
        <v>1</v>
      </c>
      <c r="BL2131">
        <v>0</v>
      </c>
      <c r="BO2131">
        <v>0</v>
      </c>
      <c r="BP2131">
        <v>0</v>
      </c>
      <c r="BW2131" t="str">
        <f>"20:25:48.320"</f>
        <v>20:25:48.320</v>
      </c>
      <c r="BZ2131">
        <v>0</v>
      </c>
      <c r="CA2131">
        <v>2016</v>
      </c>
      <c r="CB2131">
        <v>224</v>
      </c>
      <c r="CD2131">
        <v>1</v>
      </c>
      <c r="CE2131">
        <v>0</v>
      </c>
      <c r="CF2131">
        <v>0</v>
      </c>
      <c r="CG2131">
        <v>1</v>
      </c>
      <c r="CH2131">
        <v>0</v>
      </c>
      <c r="CI2131">
        <v>0</v>
      </c>
      <c r="CJ2131">
        <v>0</v>
      </c>
      <c r="CK2131">
        <v>2</v>
      </c>
      <c r="CL2131">
        <v>0</v>
      </c>
      <c r="CM2131">
        <v>2</v>
      </c>
      <c r="CN2131">
        <v>0</v>
      </c>
      <c r="CO2131">
        <v>7</v>
      </c>
      <c r="CP2131" t="s">
        <v>119</v>
      </c>
      <c r="CQ2131">
        <v>180</v>
      </c>
      <c r="CR2131">
        <v>1</v>
      </c>
      <c r="CW2131">
        <v>11019352</v>
      </c>
      <c r="CY2131">
        <v>1</v>
      </c>
      <c r="CZ2131">
        <v>0</v>
      </c>
      <c r="DA2131">
        <v>0</v>
      </c>
      <c r="DB2131">
        <v>0</v>
      </c>
      <c r="DC2131">
        <v>0</v>
      </c>
      <c r="DD2131">
        <v>0</v>
      </c>
      <c r="DE2131">
        <v>0</v>
      </c>
      <c r="DF2131">
        <v>0</v>
      </c>
      <c r="DG2131">
        <v>0</v>
      </c>
      <c r="DH2131">
        <v>0</v>
      </c>
      <c r="DI2131">
        <v>0</v>
      </c>
    </row>
    <row r="2132" spans="1:113" x14ac:dyDescent="0.3">
      <c r="A2132" t="str">
        <f>"02/08/2021 20:25:46.003"</f>
        <v>02/08/2021 20:25:46.003</v>
      </c>
      <c r="C2132" t="str">
        <f t="shared" si="102"/>
        <v>FFDFD7C0</v>
      </c>
      <c r="D2132" t="s">
        <v>124</v>
      </c>
      <c r="E2132">
        <v>12</v>
      </c>
      <c r="F2132">
        <v>1012</v>
      </c>
      <c r="G2132" t="s">
        <v>675</v>
      </c>
      <c r="J2132" t="s">
        <v>125</v>
      </c>
      <c r="K2132">
        <v>0</v>
      </c>
      <c r="L2132">
        <v>3</v>
      </c>
      <c r="M2132">
        <v>0</v>
      </c>
      <c r="N2132">
        <v>2</v>
      </c>
      <c r="O2132">
        <v>1</v>
      </c>
      <c r="P2132">
        <v>0</v>
      </c>
      <c r="Q2132">
        <v>0</v>
      </c>
      <c r="S2132" t="str">
        <f>"20:25:48.313"</f>
        <v>20:25:48.313</v>
      </c>
      <c r="T2132" t="str">
        <f>"20:25:47.913"</f>
        <v>20:25:47.913</v>
      </c>
      <c r="U2132" t="str">
        <f t="shared" si="104"/>
        <v>AB01F4</v>
      </c>
      <c r="V2132">
        <v>0</v>
      </c>
      <c r="W2132">
        <v>0</v>
      </c>
      <c r="X2132">
        <v>2</v>
      </c>
      <c r="Z2132">
        <v>0</v>
      </c>
      <c r="AA2132">
        <v>9</v>
      </c>
      <c r="AB2132">
        <v>3</v>
      </c>
      <c r="AC2132">
        <v>0</v>
      </c>
      <c r="AD2132">
        <v>10</v>
      </c>
      <c r="AE2132">
        <v>0</v>
      </c>
      <c r="AF2132">
        <v>3</v>
      </c>
      <c r="AG2132">
        <v>2</v>
      </c>
      <c r="AH2132">
        <v>0</v>
      </c>
      <c r="AI2132" t="s">
        <v>1315</v>
      </c>
      <c r="AJ2132">
        <v>39.948262999999997</v>
      </c>
      <c r="AK2132" t="s">
        <v>1316</v>
      </c>
      <c r="AL2132">
        <v>-92.655643999999995</v>
      </c>
      <c r="AM2132">
        <v>100</v>
      </c>
      <c r="AN2132">
        <v>1700</v>
      </c>
      <c r="AO2132" t="s">
        <v>118</v>
      </c>
      <c r="AP2132">
        <v>-108</v>
      </c>
      <c r="AQ2132">
        <v>79</v>
      </c>
      <c r="AR2132">
        <v>64</v>
      </c>
      <c r="AZ2132">
        <v>1200</v>
      </c>
      <c r="BA2132">
        <v>1</v>
      </c>
      <c r="BB2132" t="str">
        <f t="shared" si="103"/>
        <v xml:space="preserve">N8080G  </v>
      </c>
      <c r="BC2132">
        <v>1</v>
      </c>
      <c r="BE2132">
        <v>0</v>
      </c>
      <c r="BF2132">
        <v>0</v>
      </c>
      <c r="BG2132">
        <v>0</v>
      </c>
      <c r="BH2132">
        <v>1700</v>
      </c>
      <c r="BI2132">
        <v>1</v>
      </c>
      <c r="BJ2132">
        <v>1</v>
      </c>
      <c r="BK2132">
        <v>1</v>
      </c>
      <c r="BL2132">
        <v>0</v>
      </c>
      <c r="BO2132">
        <v>0</v>
      </c>
      <c r="BP2132">
        <v>0</v>
      </c>
      <c r="BW2132" t="str">
        <f>"20:25:48.320"</f>
        <v>20:25:48.320</v>
      </c>
      <c r="BZ2132">
        <v>0</v>
      </c>
      <c r="CA2132">
        <v>2016</v>
      </c>
      <c r="CB2132">
        <v>224</v>
      </c>
      <c r="CD2132">
        <v>1</v>
      </c>
      <c r="CE2132">
        <v>0</v>
      </c>
      <c r="CF2132">
        <v>0</v>
      </c>
      <c r="CG2132">
        <v>1</v>
      </c>
      <c r="CH2132">
        <v>0</v>
      </c>
      <c r="CI2132">
        <v>0</v>
      </c>
      <c r="CJ2132">
        <v>0</v>
      </c>
      <c r="CK2132">
        <v>2</v>
      </c>
      <c r="CL2132">
        <v>0</v>
      </c>
      <c r="CM2132">
        <v>2</v>
      </c>
      <c r="CN2132">
        <v>0</v>
      </c>
      <c r="CO2132">
        <v>7</v>
      </c>
      <c r="CP2132" t="s">
        <v>119</v>
      </c>
      <c r="CQ2132">
        <v>180</v>
      </c>
      <c r="CR2132">
        <v>1</v>
      </c>
      <c r="CW2132">
        <v>11019352</v>
      </c>
      <c r="CY2132">
        <v>1</v>
      </c>
      <c r="CZ2132">
        <v>0</v>
      </c>
      <c r="DA2132">
        <v>1</v>
      </c>
      <c r="DB2132">
        <v>0</v>
      </c>
      <c r="DC2132">
        <v>0</v>
      </c>
      <c r="DD2132">
        <v>0</v>
      </c>
      <c r="DE2132">
        <v>0</v>
      </c>
      <c r="DF2132">
        <v>0</v>
      </c>
      <c r="DG2132">
        <v>0</v>
      </c>
      <c r="DH2132">
        <v>0</v>
      </c>
      <c r="DI2132">
        <v>0</v>
      </c>
    </row>
    <row r="2133" spans="1:113" x14ac:dyDescent="0.3">
      <c r="A2133" t="str">
        <f>"02/08/2021 20:25:46.003"</f>
        <v>02/08/2021 20:25:46.003</v>
      </c>
      <c r="C2133" t="str">
        <f t="shared" si="102"/>
        <v>FFDFD7C0</v>
      </c>
      <c r="D2133" t="s">
        <v>124</v>
      </c>
      <c r="E2133">
        <v>13</v>
      </c>
      <c r="F2133">
        <v>1013</v>
      </c>
      <c r="G2133" t="s">
        <v>114</v>
      </c>
      <c r="J2133" t="s">
        <v>125</v>
      </c>
      <c r="K2133">
        <v>0</v>
      </c>
      <c r="L2133">
        <v>3</v>
      </c>
      <c r="M2133">
        <v>0</v>
      </c>
      <c r="N2133">
        <v>2</v>
      </c>
      <c r="O2133">
        <v>1</v>
      </c>
      <c r="P2133">
        <v>0</v>
      </c>
      <c r="Q2133">
        <v>0</v>
      </c>
      <c r="S2133" t="str">
        <f>"20:25:48.313"</f>
        <v>20:25:48.313</v>
      </c>
      <c r="T2133" t="str">
        <f>"20:25:47.913"</f>
        <v>20:25:47.913</v>
      </c>
      <c r="U2133" t="str">
        <f t="shared" si="104"/>
        <v>AB01F4</v>
      </c>
      <c r="V2133">
        <v>0</v>
      </c>
      <c r="W2133">
        <v>0</v>
      </c>
      <c r="X2133">
        <v>2</v>
      </c>
      <c r="Z2133">
        <v>0</v>
      </c>
      <c r="AA2133">
        <v>9</v>
      </c>
      <c r="AB2133">
        <v>3</v>
      </c>
      <c r="AC2133">
        <v>0</v>
      </c>
      <c r="AD2133">
        <v>10</v>
      </c>
      <c r="AE2133">
        <v>0</v>
      </c>
      <c r="AF2133">
        <v>3</v>
      </c>
      <c r="AG2133">
        <v>2</v>
      </c>
      <c r="AH2133">
        <v>0</v>
      </c>
      <c r="AI2133" t="s">
        <v>1315</v>
      </c>
      <c r="AJ2133">
        <v>39.948262999999997</v>
      </c>
      <c r="AK2133" t="s">
        <v>1316</v>
      </c>
      <c r="AL2133">
        <v>-92.655643999999995</v>
      </c>
      <c r="AM2133">
        <v>100</v>
      </c>
      <c r="AN2133">
        <v>1700</v>
      </c>
      <c r="AO2133" t="s">
        <v>118</v>
      </c>
      <c r="AP2133">
        <v>-108</v>
      </c>
      <c r="AQ2133">
        <v>79</v>
      </c>
      <c r="AR2133">
        <v>64</v>
      </c>
      <c r="AZ2133">
        <v>1200</v>
      </c>
      <c r="BA2133">
        <v>1</v>
      </c>
      <c r="BB2133" t="str">
        <f t="shared" si="103"/>
        <v xml:space="preserve">N8080G  </v>
      </c>
      <c r="BC2133">
        <v>1</v>
      </c>
      <c r="BE2133">
        <v>0</v>
      </c>
      <c r="BF2133">
        <v>0</v>
      </c>
      <c r="BG2133">
        <v>0</v>
      </c>
      <c r="BH2133">
        <v>1700</v>
      </c>
      <c r="BI2133">
        <v>1</v>
      </c>
      <c r="BJ2133">
        <v>1</v>
      </c>
      <c r="BK2133">
        <v>1</v>
      </c>
      <c r="BL2133">
        <v>0</v>
      </c>
      <c r="BO2133">
        <v>0</v>
      </c>
      <c r="BP2133">
        <v>0</v>
      </c>
      <c r="BW2133" t="str">
        <f>"20:25:48.320"</f>
        <v>20:25:48.320</v>
      </c>
      <c r="BZ2133">
        <v>0</v>
      </c>
      <c r="CA2133">
        <v>2016</v>
      </c>
      <c r="CB2133">
        <v>224</v>
      </c>
      <c r="CD2133">
        <v>1</v>
      </c>
      <c r="CE2133">
        <v>0</v>
      </c>
      <c r="CF2133">
        <v>0</v>
      </c>
      <c r="CG2133">
        <v>1</v>
      </c>
      <c r="CH2133">
        <v>0</v>
      </c>
      <c r="CI2133">
        <v>0</v>
      </c>
      <c r="CJ2133">
        <v>0</v>
      </c>
      <c r="CK2133">
        <v>2</v>
      </c>
      <c r="CL2133">
        <v>0</v>
      </c>
      <c r="CM2133">
        <v>2</v>
      </c>
      <c r="CN2133">
        <v>0</v>
      </c>
      <c r="CO2133">
        <v>7</v>
      </c>
      <c r="CP2133" t="s">
        <v>119</v>
      </c>
      <c r="CQ2133">
        <v>180</v>
      </c>
      <c r="CR2133">
        <v>1</v>
      </c>
      <c r="CW2133">
        <v>11019352</v>
      </c>
      <c r="CY2133">
        <v>1</v>
      </c>
      <c r="CZ2133">
        <v>0</v>
      </c>
      <c r="DA2133">
        <v>1</v>
      </c>
      <c r="DB2133">
        <v>0</v>
      </c>
      <c r="DC2133">
        <v>0</v>
      </c>
      <c r="DD2133">
        <v>0</v>
      </c>
      <c r="DE2133">
        <v>0</v>
      </c>
      <c r="DF2133">
        <v>0</v>
      </c>
      <c r="DG2133">
        <v>0</v>
      </c>
      <c r="DH2133">
        <v>0</v>
      </c>
      <c r="DI2133">
        <v>0</v>
      </c>
    </row>
    <row r="2134" spans="1:113" x14ac:dyDescent="0.3">
      <c r="A2134" t="str">
        <f>"02/08/2021 20:25:46.003"</f>
        <v>02/08/2021 20:25:46.003</v>
      </c>
      <c r="C2134" t="str">
        <f t="shared" si="102"/>
        <v>FFDFD7C0</v>
      </c>
      <c r="D2134" t="s">
        <v>124</v>
      </c>
      <c r="E2134">
        <v>11</v>
      </c>
      <c r="F2134">
        <v>1011</v>
      </c>
      <c r="G2134" t="s">
        <v>590</v>
      </c>
      <c r="J2134" t="s">
        <v>125</v>
      </c>
      <c r="K2134">
        <v>0</v>
      </c>
      <c r="L2134">
        <v>3</v>
      </c>
      <c r="M2134">
        <v>0</v>
      </c>
      <c r="N2134">
        <v>2</v>
      </c>
      <c r="O2134">
        <v>1</v>
      </c>
      <c r="P2134">
        <v>0</v>
      </c>
      <c r="Q2134">
        <v>0</v>
      </c>
      <c r="S2134" t="str">
        <f>"20:25:48.313"</f>
        <v>20:25:48.313</v>
      </c>
      <c r="T2134" t="str">
        <f>"20:25:47.913"</f>
        <v>20:25:47.913</v>
      </c>
      <c r="U2134" t="str">
        <f t="shared" si="104"/>
        <v>AB01F4</v>
      </c>
      <c r="V2134">
        <v>0</v>
      </c>
      <c r="W2134">
        <v>0</v>
      </c>
      <c r="X2134">
        <v>2</v>
      </c>
      <c r="Z2134">
        <v>0</v>
      </c>
      <c r="AA2134">
        <v>9</v>
      </c>
      <c r="AB2134">
        <v>3</v>
      </c>
      <c r="AC2134">
        <v>0</v>
      </c>
      <c r="AD2134">
        <v>10</v>
      </c>
      <c r="AE2134">
        <v>0</v>
      </c>
      <c r="AF2134">
        <v>3</v>
      </c>
      <c r="AG2134">
        <v>2</v>
      </c>
      <c r="AH2134">
        <v>0</v>
      </c>
      <c r="AI2134" t="s">
        <v>1315</v>
      </c>
      <c r="AJ2134">
        <v>39.948262999999997</v>
      </c>
      <c r="AK2134" t="s">
        <v>1316</v>
      </c>
      <c r="AL2134">
        <v>-92.655643999999995</v>
      </c>
      <c r="AM2134">
        <v>100</v>
      </c>
      <c r="AN2134">
        <v>1700</v>
      </c>
      <c r="AO2134" t="s">
        <v>118</v>
      </c>
      <c r="AP2134">
        <v>-108</v>
      </c>
      <c r="AQ2134">
        <v>79</v>
      </c>
      <c r="AR2134">
        <v>64</v>
      </c>
      <c r="AZ2134">
        <v>1200</v>
      </c>
      <c r="BA2134">
        <v>1</v>
      </c>
      <c r="BB2134" t="str">
        <f t="shared" si="103"/>
        <v xml:space="preserve">N8080G  </v>
      </c>
      <c r="BC2134">
        <v>1</v>
      </c>
      <c r="BE2134">
        <v>0</v>
      </c>
      <c r="BF2134">
        <v>0</v>
      </c>
      <c r="BG2134">
        <v>0</v>
      </c>
      <c r="BH2134">
        <v>1700</v>
      </c>
      <c r="BI2134">
        <v>1</v>
      </c>
      <c r="BJ2134">
        <v>1</v>
      </c>
      <c r="BK2134">
        <v>1</v>
      </c>
      <c r="BL2134">
        <v>0</v>
      </c>
      <c r="BO2134">
        <v>0</v>
      </c>
      <c r="BP2134">
        <v>0</v>
      </c>
      <c r="BW2134" t="str">
        <f>"20:25:48.320"</f>
        <v>20:25:48.320</v>
      </c>
      <c r="BZ2134">
        <v>0</v>
      </c>
      <c r="CA2134">
        <v>2016</v>
      </c>
      <c r="CB2134">
        <v>224</v>
      </c>
      <c r="CD2134">
        <v>1</v>
      </c>
      <c r="CE2134">
        <v>0</v>
      </c>
      <c r="CF2134">
        <v>0</v>
      </c>
      <c r="CG2134">
        <v>1</v>
      </c>
      <c r="CH2134">
        <v>0</v>
      </c>
      <c r="CI2134">
        <v>0</v>
      </c>
      <c r="CJ2134">
        <v>0</v>
      </c>
      <c r="CK2134">
        <v>2</v>
      </c>
      <c r="CL2134">
        <v>0</v>
      </c>
      <c r="CM2134">
        <v>2</v>
      </c>
      <c r="CN2134">
        <v>0</v>
      </c>
      <c r="CO2134">
        <v>7</v>
      </c>
      <c r="CP2134" t="s">
        <v>119</v>
      </c>
      <c r="CQ2134">
        <v>180</v>
      </c>
      <c r="CR2134">
        <v>1</v>
      </c>
      <c r="CW2134">
        <v>11019352</v>
      </c>
      <c r="CY2134">
        <v>1</v>
      </c>
      <c r="CZ2134">
        <v>0</v>
      </c>
      <c r="DA2134">
        <v>1</v>
      </c>
      <c r="DB2134">
        <v>0</v>
      </c>
      <c r="DC2134">
        <v>0</v>
      </c>
      <c r="DD2134">
        <v>0</v>
      </c>
      <c r="DE2134">
        <v>0</v>
      </c>
      <c r="DF2134">
        <v>0</v>
      </c>
      <c r="DG2134">
        <v>0</v>
      </c>
      <c r="DH2134">
        <v>0</v>
      </c>
      <c r="DI2134">
        <v>0</v>
      </c>
    </row>
    <row r="2135" spans="1:113" x14ac:dyDescent="0.3">
      <c r="A2135" t="str">
        <f>"02/08/2021 20:25:46.913"</f>
        <v>02/08/2021 20:25:46.913</v>
      </c>
      <c r="C2135" t="str">
        <f t="shared" si="102"/>
        <v>FFDFD7C0</v>
      </c>
      <c r="D2135" t="s">
        <v>113</v>
      </c>
      <c r="E2135">
        <v>6</v>
      </c>
      <c r="H2135">
        <v>165</v>
      </c>
      <c r="I2135" t="s">
        <v>114</v>
      </c>
      <c r="J2135" t="s">
        <v>115</v>
      </c>
      <c r="K2135">
        <v>0</v>
      </c>
      <c r="L2135">
        <v>3</v>
      </c>
      <c r="M2135">
        <v>0</v>
      </c>
      <c r="N2135">
        <v>2</v>
      </c>
      <c r="O2135">
        <v>1</v>
      </c>
      <c r="P2135">
        <v>0</v>
      </c>
      <c r="Q2135">
        <v>0</v>
      </c>
      <c r="S2135" t="str">
        <f>"20:25:49.250"</f>
        <v>20:25:49.250</v>
      </c>
      <c r="T2135" t="str">
        <f>"20:25:48.850"</f>
        <v>20:25:48.850</v>
      </c>
      <c r="U2135" t="str">
        <f t="shared" si="104"/>
        <v>AB01F4</v>
      </c>
      <c r="V2135">
        <v>0</v>
      </c>
      <c r="W2135">
        <v>0</v>
      </c>
      <c r="X2135">
        <v>2</v>
      </c>
      <c r="Z2135">
        <v>0</v>
      </c>
      <c r="AA2135">
        <v>9</v>
      </c>
      <c r="AB2135">
        <v>3</v>
      </c>
      <c r="AC2135">
        <v>0</v>
      </c>
      <c r="AD2135">
        <v>10</v>
      </c>
      <c r="AE2135">
        <v>0</v>
      </c>
      <c r="AF2135">
        <v>3</v>
      </c>
      <c r="AG2135">
        <v>2</v>
      </c>
      <c r="AH2135">
        <v>0</v>
      </c>
      <c r="AI2135" t="s">
        <v>1317</v>
      </c>
      <c r="AJ2135">
        <v>39.948605999999998</v>
      </c>
      <c r="AK2135" t="s">
        <v>1318</v>
      </c>
      <c r="AL2135">
        <v>-92.656267</v>
      </c>
      <c r="AM2135">
        <v>100</v>
      </c>
      <c r="AN2135">
        <v>1700</v>
      </c>
      <c r="AO2135" t="s">
        <v>118</v>
      </c>
      <c r="AP2135">
        <v>-108</v>
      </c>
      <c r="AQ2135">
        <v>79</v>
      </c>
      <c r="AR2135">
        <v>-64</v>
      </c>
      <c r="AZ2135">
        <v>1200</v>
      </c>
      <c r="BA2135">
        <v>1</v>
      </c>
      <c r="BB2135" t="str">
        <f t="shared" si="103"/>
        <v xml:space="preserve">N8080G  </v>
      </c>
      <c r="BC2135">
        <v>1</v>
      </c>
      <c r="BE2135">
        <v>0</v>
      </c>
      <c r="BF2135">
        <v>0</v>
      </c>
      <c r="BG2135">
        <v>0</v>
      </c>
      <c r="BH2135">
        <v>1700</v>
      </c>
      <c r="BI2135">
        <v>1</v>
      </c>
      <c r="BJ2135">
        <v>1</v>
      </c>
      <c r="BK2135">
        <v>1</v>
      </c>
      <c r="BL2135">
        <v>0</v>
      </c>
      <c r="BO2135">
        <v>0</v>
      </c>
      <c r="BP2135">
        <v>0</v>
      </c>
      <c r="BW2135" t="str">
        <f>"20:25:49.251"</f>
        <v>20:25:49.251</v>
      </c>
      <c r="BZ2135">
        <v>0</v>
      </c>
      <c r="CA2135">
        <v>2016</v>
      </c>
      <c r="CB2135">
        <v>224</v>
      </c>
      <c r="CD2135">
        <v>1</v>
      </c>
      <c r="CE2135">
        <v>0</v>
      </c>
      <c r="CF2135">
        <v>0</v>
      </c>
      <c r="CG2135">
        <v>1</v>
      </c>
      <c r="CH2135">
        <v>0</v>
      </c>
      <c r="CI2135">
        <v>0</v>
      </c>
      <c r="CJ2135">
        <v>0</v>
      </c>
      <c r="CK2135">
        <v>2</v>
      </c>
      <c r="CL2135">
        <v>0</v>
      </c>
      <c r="CM2135">
        <v>2</v>
      </c>
      <c r="CN2135">
        <v>0</v>
      </c>
      <c r="CO2135">
        <v>2</v>
      </c>
      <c r="CP2135" t="s">
        <v>119</v>
      </c>
      <c r="CQ2135">
        <v>179</v>
      </c>
      <c r="CR2135">
        <v>1</v>
      </c>
      <c r="CW2135">
        <v>8889249</v>
      </c>
      <c r="CY2135">
        <v>1</v>
      </c>
      <c r="CZ2135">
        <v>0</v>
      </c>
      <c r="DA2135">
        <v>0</v>
      </c>
      <c r="DB2135">
        <v>0</v>
      </c>
      <c r="DC2135">
        <v>0</v>
      </c>
      <c r="DD2135">
        <v>0</v>
      </c>
      <c r="DE2135">
        <v>0</v>
      </c>
      <c r="DF2135">
        <v>0</v>
      </c>
      <c r="DG2135">
        <v>0</v>
      </c>
      <c r="DH2135">
        <v>0</v>
      </c>
      <c r="DI2135">
        <v>0</v>
      </c>
    </row>
    <row r="2136" spans="1:113" x14ac:dyDescent="0.3">
      <c r="A2136" t="str">
        <f>"02/08/2021 20:25:46.913"</f>
        <v>02/08/2021 20:25:46.913</v>
      </c>
      <c r="C2136" t="str">
        <f t="shared" si="102"/>
        <v>FFDFD7C0</v>
      </c>
      <c r="D2136" t="s">
        <v>124</v>
      </c>
      <c r="E2136">
        <v>12</v>
      </c>
      <c r="F2136">
        <v>1012</v>
      </c>
      <c r="G2136" t="s">
        <v>675</v>
      </c>
      <c r="J2136" t="s">
        <v>125</v>
      </c>
      <c r="K2136">
        <v>0</v>
      </c>
      <c r="L2136">
        <v>3</v>
      </c>
      <c r="M2136">
        <v>0</v>
      </c>
      <c r="N2136">
        <v>2</v>
      </c>
      <c r="O2136">
        <v>1</v>
      </c>
      <c r="P2136">
        <v>0</v>
      </c>
      <c r="Q2136">
        <v>0</v>
      </c>
      <c r="S2136" t="str">
        <f>"20:25:49.250"</f>
        <v>20:25:49.250</v>
      </c>
      <c r="T2136" t="str">
        <f>"20:25:48.850"</f>
        <v>20:25:48.850</v>
      </c>
      <c r="U2136" t="str">
        <f t="shared" si="104"/>
        <v>AB01F4</v>
      </c>
      <c r="V2136">
        <v>0</v>
      </c>
      <c r="W2136">
        <v>0</v>
      </c>
      <c r="X2136">
        <v>2</v>
      </c>
      <c r="Z2136">
        <v>0</v>
      </c>
      <c r="AA2136">
        <v>9</v>
      </c>
      <c r="AB2136">
        <v>3</v>
      </c>
      <c r="AC2136">
        <v>0</v>
      </c>
      <c r="AD2136">
        <v>10</v>
      </c>
      <c r="AE2136">
        <v>0</v>
      </c>
      <c r="AF2136">
        <v>3</v>
      </c>
      <c r="AG2136">
        <v>2</v>
      </c>
      <c r="AH2136">
        <v>0</v>
      </c>
      <c r="AI2136" t="s">
        <v>1317</v>
      </c>
      <c r="AJ2136">
        <v>39.948605999999998</v>
      </c>
      <c r="AK2136" t="s">
        <v>1318</v>
      </c>
      <c r="AL2136">
        <v>-92.656267</v>
      </c>
      <c r="AM2136">
        <v>100</v>
      </c>
      <c r="AN2136">
        <v>1700</v>
      </c>
      <c r="AO2136" t="s">
        <v>118</v>
      </c>
      <c r="AP2136">
        <v>-108</v>
      </c>
      <c r="AQ2136">
        <v>79</v>
      </c>
      <c r="AR2136">
        <v>-64</v>
      </c>
      <c r="AZ2136">
        <v>1200</v>
      </c>
      <c r="BA2136">
        <v>1</v>
      </c>
      <c r="BB2136" t="str">
        <f t="shared" si="103"/>
        <v xml:space="preserve">N8080G  </v>
      </c>
      <c r="BC2136">
        <v>1</v>
      </c>
      <c r="BE2136">
        <v>0</v>
      </c>
      <c r="BF2136">
        <v>0</v>
      </c>
      <c r="BG2136">
        <v>0</v>
      </c>
      <c r="BH2136">
        <v>1700</v>
      </c>
      <c r="BI2136">
        <v>1</v>
      </c>
      <c r="BJ2136">
        <v>1</v>
      </c>
      <c r="BK2136">
        <v>1</v>
      </c>
      <c r="BL2136">
        <v>0</v>
      </c>
      <c r="BO2136">
        <v>0</v>
      </c>
      <c r="BP2136">
        <v>0</v>
      </c>
      <c r="BW2136" t="str">
        <f>"20:25:49.251"</f>
        <v>20:25:49.251</v>
      </c>
      <c r="BZ2136">
        <v>0</v>
      </c>
      <c r="CA2136">
        <v>2016</v>
      </c>
      <c r="CB2136">
        <v>224</v>
      </c>
      <c r="CD2136">
        <v>1</v>
      </c>
      <c r="CE2136">
        <v>0</v>
      </c>
      <c r="CF2136">
        <v>0</v>
      </c>
      <c r="CG2136">
        <v>1</v>
      </c>
      <c r="CH2136">
        <v>0</v>
      </c>
      <c r="CI2136">
        <v>0</v>
      </c>
      <c r="CJ2136">
        <v>0</v>
      </c>
      <c r="CK2136">
        <v>2</v>
      </c>
      <c r="CL2136">
        <v>0</v>
      </c>
      <c r="CM2136">
        <v>2</v>
      </c>
      <c r="CN2136">
        <v>0</v>
      </c>
      <c r="CO2136">
        <v>2</v>
      </c>
      <c r="CP2136" t="s">
        <v>119</v>
      </c>
      <c r="CQ2136">
        <v>179</v>
      </c>
      <c r="CR2136">
        <v>1</v>
      </c>
      <c r="CW2136">
        <v>8889249</v>
      </c>
      <c r="CY2136">
        <v>1</v>
      </c>
      <c r="CZ2136">
        <v>0</v>
      </c>
      <c r="DA2136">
        <v>1</v>
      </c>
      <c r="DB2136">
        <v>0</v>
      </c>
      <c r="DC2136">
        <v>0</v>
      </c>
      <c r="DD2136">
        <v>0</v>
      </c>
      <c r="DE2136">
        <v>0</v>
      </c>
      <c r="DF2136">
        <v>0</v>
      </c>
      <c r="DG2136">
        <v>0</v>
      </c>
      <c r="DH2136">
        <v>0</v>
      </c>
      <c r="DI2136">
        <v>0</v>
      </c>
    </row>
    <row r="2137" spans="1:113" x14ac:dyDescent="0.3">
      <c r="A2137" t="str">
        <f>"02/08/2021 20:25:46.913"</f>
        <v>02/08/2021 20:25:46.913</v>
      </c>
      <c r="C2137" t="str">
        <f t="shared" si="102"/>
        <v>FFDFD7C0</v>
      </c>
      <c r="D2137" t="s">
        <v>124</v>
      </c>
      <c r="E2137">
        <v>13</v>
      </c>
      <c r="F2137">
        <v>1013</v>
      </c>
      <c r="G2137" t="s">
        <v>114</v>
      </c>
      <c r="J2137" t="s">
        <v>125</v>
      </c>
      <c r="K2137">
        <v>0</v>
      </c>
      <c r="L2137">
        <v>3</v>
      </c>
      <c r="M2137">
        <v>0</v>
      </c>
      <c r="N2137">
        <v>2</v>
      </c>
      <c r="O2137">
        <v>1</v>
      </c>
      <c r="P2137">
        <v>0</v>
      </c>
      <c r="Q2137">
        <v>0</v>
      </c>
      <c r="S2137" t="str">
        <f>"20:25:49.250"</f>
        <v>20:25:49.250</v>
      </c>
      <c r="T2137" t="str">
        <f>"20:25:48.850"</f>
        <v>20:25:48.850</v>
      </c>
      <c r="U2137" t="str">
        <f t="shared" si="104"/>
        <v>AB01F4</v>
      </c>
      <c r="V2137">
        <v>0</v>
      </c>
      <c r="W2137">
        <v>0</v>
      </c>
      <c r="X2137">
        <v>2</v>
      </c>
      <c r="Z2137">
        <v>0</v>
      </c>
      <c r="AA2137">
        <v>9</v>
      </c>
      <c r="AB2137">
        <v>3</v>
      </c>
      <c r="AC2137">
        <v>0</v>
      </c>
      <c r="AD2137">
        <v>10</v>
      </c>
      <c r="AE2137">
        <v>0</v>
      </c>
      <c r="AF2137">
        <v>3</v>
      </c>
      <c r="AG2137">
        <v>2</v>
      </c>
      <c r="AH2137">
        <v>0</v>
      </c>
      <c r="AI2137" t="s">
        <v>1317</v>
      </c>
      <c r="AJ2137">
        <v>39.948605999999998</v>
      </c>
      <c r="AK2137" t="s">
        <v>1318</v>
      </c>
      <c r="AL2137">
        <v>-92.656267</v>
      </c>
      <c r="AM2137">
        <v>100</v>
      </c>
      <c r="AN2137">
        <v>1700</v>
      </c>
      <c r="AO2137" t="s">
        <v>118</v>
      </c>
      <c r="AP2137">
        <v>-108</v>
      </c>
      <c r="AQ2137">
        <v>79</v>
      </c>
      <c r="AR2137">
        <v>-64</v>
      </c>
      <c r="AZ2137">
        <v>1200</v>
      </c>
      <c r="BA2137">
        <v>1</v>
      </c>
      <c r="BB2137" t="str">
        <f t="shared" si="103"/>
        <v xml:space="preserve">N8080G  </v>
      </c>
      <c r="BC2137">
        <v>1</v>
      </c>
      <c r="BE2137">
        <v>0</v>
      </c>
      <c r="BF2137">
        <v>0</v>
      </c>
      <c r="BG2137">
        <v>0</v>
      </c>
      <c r="BH2137">
        <v>1700</v>
      </c>
      <c r="BI2137">
        <v>1</v>
      </c>
      <c r="BJ2137">
        <v>1</v>
      </c>
      <c r="BK2137">
        <v>1</v>
      </c>
      <c r="BL2137">
        <v>0</v>
      </c>
      <c r="BO2137">
        <v>0</v>
      </c>
      <c r="BP2137">
        <v>0</v>
      </c>
      <c r="BW2137" t="str">
        <f>"20:25:49.251"</f>
        <v>20:25:49.251</v>
      </c>
      <c r="BZ2137">
        <v>0</v>
      </c>
      <c r="CA2137">
        <v>2016</v>
      </c>
      <c r="CB2137">
        <v>224</v>
      </c>
      <c r="CD2137">
        <v>1</v>
      </c>
      <c r="CE2137">
        <v>0</v>
      </c>
      <c r="CF2137">
        <v>0</v>
      </c>
      <c r="CG2137">
        <v>1</v>
      </c>
      <c r="CH2137">
        <v>0</v>
      </c>
      <c r="CI2137">
        <v>0</v>
      </c>
      <c r="CJ2137">
        <v>0</v>
      </c>
      <c r="CK2137">
        <v>2</v>
      </c>
      <c r="CL2137">
        <v>0</v>
      </c>
      <c r="CM2137">
        <v>2</v>
      </c>
      <c r="CN2137">
        <v>0</v>
      </c>
      <c r="CO2137">
        <v>2</v>
      </c>
      <c r="CP2137" t="s">
        <v>119</v>
      </c>
      <c r="CQ2137">
        <v>179</v>
      </c>
      <c r="CR2137">
        <v>1</v>
      </c>
      <c r="CW2137">
        <v>8889249</v>
      </c>
      <c r="CY2137">
        <v>1</v>
      </c>
      <c r="CZ2137">
        <v>0</v>
      </c>
      <c r="DA2137">
        <v>1</v>
      </c>
      <c r="DB2137">
        <v>0</v>
      </c>
      <c r="DC2137">
        <v>0</v>
      </c>
      <c r="DD2137">
        <v>0</v>
      </c>
      <c r="DE2137">
        <v>0</v>
      </c>
      <c r="DF2137">
        <v>0</v>
      </c>
      <c r="DG2137">
        <v>0</v>
      </c>
      <c r="DH2137">
        <v>0</v>
      </c>
      <c r="DI2137">
        <v>0</v>
      </c>
    </row>
    <row r="2138" spans="1:113" x14ac:dyDescent="0.3">
      <c r="A2138" t="str">
        <f>"02/08/2021 20:25:46.913"</f>
        <v>02/08/2021 20:25:46.913</v>
      </c>
      <c r="C2138" t="str">
        <f t="shared" si="102"/>
        <v>FFDFD7C0</v>
      </c>
      <c r="D2138" t="s">
        <v>124</v>
      </c>
      <c r="E2138">
        <v>11</v>
      </c>
      <c r="F2138">
        <v>1011</v>
      </c>
      <c r="G2138" t="s">
        <v>590</v>
      </c>
      <c r="J2138" t="s">
        <v>125</v>
      </c>
      <c r="K2138">
        <v>0</v>
      </c>
      <c r="L2138">
        <v>3</v>
      </c>
      <c r="M2138">
        <v>0</v>
      </c>
      <c r="N2138">
        <v>2</v>
      </c>
      <c r="O2138">
        <v>1</v>
      </c>
      <c r="P2138">
        <v>0</v>
      </c>
      <c r="Q2138">
        <v>0</v>
      </c>
      <c r="S2138" t="str">
        <f>"20:25:49.250"</f>
        <v>20:25:49.250</v>
      </c>
      <c r="T2138" t="str">
        <f>"20:25:48.850"</f>
        <v>20:25:48.850</v>
      </c>
      <c r="U2138" t="str">
        <f t="shared" si="104"/>
        <v>AB01F4</v>
      </c>
      <c r="V2138">
        <v>0</v>
      </c>
      <c r="W2138">
        <v>0</v>
      </c>
      <c r="X2138">
        <v>2</v>
      </c>
      <c r="Z2138">
        <v>0</v>
      </c>
      <c r="AA2138">
        <v>9</v>
      </c>
      <c r="AB2138">
        <v>3</v>
      </c>
      <c r="AC2138">
        <v>0</v>
      </c>
      <c r="AD2138">
        <v>10</v>
      </c>
      <c r="AE2138">
        <v>0</v>
      </c>
      <c r="AF2138">
        <v>3</v>
      </c>
      <c r="AG2138">
        <v>2</v>
      </c>
      <c r="AH2138">
        <v>0</v>
      </c>
      <c r="AI2138" t="s">
        <v>1317</v>
      </c>
      <c r="AJ2138">
        <v>39.948605999999998</v>
      </c>
      <c r="AK2138" t="s">
        <v>1318</v>
      </c>
      <c r="AL2138">
        <v>-92.656267</v>
      </c>
      <c r="AM2138">
        <v>100</v>
      </c>
      <c r="AN2138">
        <v>1700</v>
      </c>
      <c r="AO2138" t="s">
        <v>118</v>
      </c>
      <c r="AP2138">
        <v>-108</v>
      </c>
      <c r="AQ2138">
        <v>79</v>
      </c>
      <c r="AR2138">
        <v>-64</v>
      </c>
      <c r="AZ2138">
        <v>1200</v>
      </c>
      <c r="BA2138">
        <v>1</v>
      </c>
      <c r="BB2138" t="str">
        <f t="shared" si="103"/>
        <v xml:space="preserve">N8080G  </v>
      </c>
      <c r="BC2138">
        <v>1</v>
      </c>
      <c r="BE2138">
        <v>0</v>
      </c>
      <c r="BF2138">
        <v>0</v>
      </c>
      <c r="BG2138">
        <v>0</v>
      </c>
      <c r="BH2138">
        <v>1700</v>
      </c>
      <c r="BI2138">
        <v>1</v>
      </c>
      <c r="BJ2138">
        <v>1</v>
      </c>
      <c r="BK2138">
        <v>1</v>
      </c>
      <c r="BL2138">
        <v>0</v>
      </c>
      <c r="BO2138">
        <v>0</v>
      </c>
      <c r="BP2138">
        <v>0</v>
      </c>
      <c r="BW2138" t="str">
        <f>"20:25:49.251"</f>
        <v>20:25:49.251</v>
      </c>
      <c r="BZ2138">
        <v>0</v>
      </c>
      <c r="CA2138">
        <v>2016</v>
      </c>
      <c r="CB2138">
        <v>224</v>
      </c>
      <c r="CD2138">
        <v>1</v>
      </c>
      <c r="CE2138">
        <v>0</v>
      </c>
      <c r="CF2138">
        <v>0</v>
      </c>
      <c r="CG2138">
        <v>1</v>
      </c>
      <c r="CH2138">
        <v>0</v>
      </c>
      <c r="CI2138">
        <v>0</v>
      </c>
      <c r="CJ2138">
        <v>0</v>
      </c>
      <c r="CK2138">
        <v>2</v>
      </c>
      <c r="CL2138">
        <v>0</v>
      </c>
      <c r="CM2138">
        <v>2</v>
      </c>
      <c r="CN2138">
        <v>0</v>
      </c>
      <c r="CO2138">
        <v>2</v>
      </c>
      <c r="CP2138" t="s">
        <v>119</v>
      </c>
      <c r="CQ2138">
        <v>179</v>
      </c>
      <c r="CR2138">
        <v>1</v>
      </c>
      <c r="CW2138">
        <v>8889249</v>
      </c>
      <c r="CY2138">
        <v>1</v>
      </c>
      <c r="CZ2138">
        <v>0</v>
      </c>
      <c r="DA2138">
        <v>1</v>
      </c>
      <c r="DB2138">
        <v>0</v>
      </c>
      <c r="DC2138">
        <v>0</v>
      </c>
      <c r="DD2138">
        <v>0</v>
      </c>
      <c r="DE2138">
        <v>0</v>
      </c>
      <c r="DF2138">
        <v>0</v>
      </c>
      <c r="DG2138">
        <v>0</v>
      </c>
      <c r="DH2138">
        <v>0</v>
      </c>
      <c r="DI2138">
        <v>0</v>
      </c>
    </row>
    <row r="2139" spans="1:113" x14ac:dyDescent="0.3">
      <c r="A2139" t="str">
        <f>"02/08/2021 20:25:47.898"</f>
        <v>02/08/2021 20:25:47.898</v>
      </c>
      <c r="C2139" t="str">
        <f t="shared" si="102"/>
        <v>FFDFD7C0</v>
      </c>
      <c r="D2139" t="s">
        <v>124</v>
      </c>
      <c r="E2139">
        <v>11</v>
      </c>
      <c r="F2139">
        <v>1011</v>
      </c>
      <c r="G2139" t="s">
        <v>590</v>
      </c>
      <c r="J2139" t="s">
        <v>125</v>
      </c>
      <c r="K2139">
        <v>0</v>
      </c>
      <c r="L2139">
        <v>3</v>
      </c>
      <c r="M2139">
        <v>0</v>
      </c>
      <c r="N2139">
        <v>2</v>
      </c>
      <c r="O2139">
        <v>1</v>
      </c>
      <c r="P2139">
        <v>0</v>
      </c>
      <c r="Q2139">
        <v>0</v>
      </c>
      <c r="S2139" t="str">
        <f>"20:25:50.234"</f>
        <v>20:25:50.234</v>
      </c>
      <c r="T2139" t="str">
        <f>"20:25:49.734"</f>
        <v>20:25:49.734</v>
      </c>
      <c r="U2139" t="str">
        <f t="shared" si="104"/>
        <v>AB01F4</v>
      </c>
      <c r="V2139">
        <v>0</v>
      </c>
      <c r="W2139">
        <v>0</v>
      </c>
      <c r="X2139">
        <v>2</v>
      </c>
      <c r="Z2139">
        <v>0</v>
      </c>
      <c r="AA2139">
        <v>9</v>
      </c>
      <c r="AB2139">
        <v>3</v>
      </c>
      <c r="AC2139">
        <v>0</v>
      </c>
      <c r="AD2139">
        <v>10</v>
      </c>
      <c r="AE2139">
        <v>0</v>
      </c>
      <c r="AF2139">
        <v>3</v>
      </c>
      <c r="AG2139">
        <v>2</v>
      </c>
      <c r="AH2139">
        <v>0</v>
      </c>
      <c r="AI2139" t="s">
        <v>1319</v>
      </c>
      <c r="AJ2139">
        <v>39.948993000000002</v>
      </c>
      <c r="AK2139" t="s">
        <v>1320</v>
      </c>
      <c r="AL2139">
        <v>-92.656889000000007</v>
      </c>
      <c r="AM2139">
        <v>100</v>
      </c>
      <c r="AN2139">
        <v>1700</v>
      </c>
      <c r="AO2139" t="s">
        <v>118</v>
      </c>
      <c r="AP2139">
        <v>-108</v>
      </c>
      <c r="AQ2139">
        <v>79</v>
      </c>
      <c r="AR2139">
        <v>-128</v>
      </c>
      <c r="AZ2139">
        <v>1200</v>
      </c>
      <c r="BA2139">
        <v>1</v>
      </c>
      <c r="BB2139" t="str">
        <f t="shared" si="103"/>
        <v xml:space="preserve">N8080G  </v>
      </c>
      <c r="BC2139">
        <v>1</v>
      </c>
      <c r="BE2139">
        <v>0</v>
      </c>
      <c r="BF2139">
        <v>0</v>
      </c>
      <c r="BG2139">
        <v>0</v>
      </c>
      <c r="BH2139">
        <v>1700</v>
      </c>
      <c r="BI2139">
        <v>1</v>
      </c>
      <c r="BJ2139">
        <v>1</v>
      </c>
      <c r="BK2139">
        <v>1</v>
      </c>
      <c r="BL2139">
        <v>0</v>
      </c>
      <c r="BO2139">
        <v>0</v>
      </c>
      <c r="BP2139">
        <v>0</v>
      </c>
      <c r="BW2139" t="str">
        <f>"20:25:50.242"</f>
        <v>20:25:50.242</v>
      </c>
      <c r="BZ2139">
        <v>0</v>
      </c>
      <c r="CA2139">
        <v>2016</v>
      </c>
      <c r="CB2139">
        <v>224</v>
      </c>
      <c r="CD2139">
        <v>1</v>
      </c>
      <c r="CE2139">
        <v>0</v>
      </c>
      <c r="CF2139">
        <v>0</v>
      </c>
      <c r="CG2139">
        <v>1</v>
      </c>
      <c r="CH2139">
        <v>0</v>
      </c>
      <c r="CI2139">
        <v>0</v>
      </c>
      <c r="CJ2139">
        <v>0</v>
      </c>
      <c r="CK2139">
        <v>2</v>
      </c>
      <c r="CL2139">
        <v>0</v>
      </c>
      <c r="CM2139">
        <v>2</v>
      </c>
      <c r="CN2139">
        <v>0</v>
      </c>
      <c r="CO2139">
        <v>7</v>
      </c>
      <c r="CP2139" t="s">
        <v>119</v>
      </c>
      <c r="CQ2139">
        <v>180</v>
      </c>
      <c r="CR2139">
        <v>2</v>
      </c>
      <c r="CW2139">
        <v>8448950</v>
      </c>
      <c r="CY2139">
        <v>1</v>
      </c>
      <c r="CZ2139">
        <v>0</v>
      </c>
      <c r="DA2139">
        <v>0</v>
      </c>
      <c r="DB2139">
        <v>0</v>
      </c>
      <c r="DC2139">
        <v>0</v>
      </c>
      <c r="DD2139">
        <v>0</v>
      </c>
      <c r="DE2139">
        <v>0</v>
      </c>
      <c r="DF2139">
        <v>0</v>
      </c>
      <c r="DG2139">
        <v>0</v>
      </c>
      <c r="DH2139">
        <v>0</v>
      </c>
      <c r="DI2139">
        <v>0</v>
      </c>
    </row>
    <row r="2140" spans="1:113" x14ac:dyDescent="0.3">
      <c r="A2140" t="str">
        <f>"02/08/2021 20:25:47.898"</f>
        <v>02/08/2021 20:25:47.898</v>
      </c>
      <c r="C2140" t="str">
        <f t="shared" si="102"/>
        <v>FFDFD7C0</v>
      </c>
      <c r="D2140" t="s">
        <v>124</v>
      </c>
      <c r="E2140">
        <v>12</v>
      </c>
      <c r="F2140">
        <v>1012</v>
      </c>
      <c r="G2140" t="s">
        <v>675</v>
      </c>
      <c r="J2140" t="s">
        <v>125</v>
      </c>
      <c r="K2140">
        <v>0</v>
      </c>
      <c r="L2140">
        <v>3</v>
      </c>
      <c r="M2140">
        <v>0</v>
      </c>
      <c r="N2140">
        <v>2</v>
      </c>
      <c r="O2140">
        <v>1</v>
      </c>
      <c r="P2140">
        <v>0</v>
      </c>
      <c r="Q2140">
        <v>0</v>
      </c>
      <c r="S2140" t="str">
        <f>"20:25:50.234"</f>
        <v>20:25:50.234</v>
      </c>
      <c r="T2140" t="str">
        <f>"20:25:49.734"</f>
        <v>20:25:49.734</v>
      </c>
      <c r="U2140" t="str">
        <f t="shared" si="104"/>
        <v>AB01F4</v>
      </c>
      <c r="V2140">
        <v>0</v>
      </c>
      <c r="W2140">
        <v>0</v>
      </c>
      <c r="X2140">
        <v>2</v>
      </c>
      <c r="Z2140">
        <v>0</v>
      </c>
      <c r="AA2140">
        <v>9</v>
      </c>
      <c r="AB2140">
        <v>3</v>
      </c>
      <c r="AC2140">
        <v>0</v>
      </c>
      <c r="AD2140">
        <v>10</v>
      </c>
      <c r="AE2140">
        <v>0</v>
      </c>
      <c r="AF2140">
        <v>3</v>
      </c>
      <c r="AG2140">
        <v>2</v>
      </c>
      <c r="AH2140">
        <v>0</v>
      </c>
      <c r="AI2140" t="s">
        <v>1319</v>
      </c>
      <c r="AJ2140">
        <v>39.948993000000002</v>
      </c>
      <c r="AK2140" t="s">
        <v>1320</v>
      </c>
      <c r="AL2140">
        <v>-92.656889000000007</v>
      </c>
      <c r="AM2140">
        <v>100</v>
      </c>
      <c r="AN2140">
        <v>1700</v>
      </c>
      <c r="AO2140" t="s">
        <v>118</v>
      </c>
      <c r="AP2140">
        <v>-108</v>
      </c>
      <c r="AQ2140">
        <v>79</v>
      </c>
      <c r="AR2140">
        <v>-128</v>
      </c>
      <c r="AZ2140">
        <v>1200</v>
      </c>
      <c r="BA2140">
        <v>1</v>
      </c>
      <c r="BB2140" t="str">
        <f t="shared" si="103"/>
        <v xml:space="preserve">N8080G  </v>
      </c>
      <c r="BC2140">
        <v>1</v>
      </c>
      <c r="BE2140">
        <v>0</v>
      </c>
      <c r="BF2140">
        <v>0</v>
      </c>
      <c r="BG2140">
        <v>0</v>
      </c>
      <c r="BH2140">
        <v>1700</v>
      </c>
      <c r="BI2140">
        <v>1</v>
      </c>
      <c r="BJ2140">
        <v>1</v>
      </c>
      <c r="BK2140">
        <v>1</v>
      </c>
      <c r="BL2140">
        <v>0</v>
      </c>
      <c r="BO2140">
        <v>0</v>
      </c>
      <c r="BP2140">
        <v>0</v>
      </c>
      <c r="BW2140" t="str">
        <f>"20:25:50.242"</f>
        <v>20:25:50.242</v>
      </c>
      <c r="BZ2140">
        <v>0</v>
      </c>
      <c r="CA2140">
        <v>2016</v>
      </c>
      <c r="CB2140">
        <v>224</v>
      </c>
      <c r="CD2140">
        <v>1</v>
      </c>
      <c r="CE2140">
        <v>0</v>
      </c>
      <c r="CF2140">
        <v>0</v>
      </c>
      <c r="CG2140">
        <v>1</v>
      </c>
      <c r="CH2140">
        <v>0</v>
      </c>
      <c r="CI2140">
        <v>0</v>
      </c>
      <c r="CJ2140">
        <v>0</v>
      </c>
      <c r="CK2140">
        <v>2</v>
      </c>
      <c r="CL2140">
        <v>0</v>
      </c>
      <c r="CM2140">
        <v>2</v>
      </c>
      <c r="CN2140">
        <v>0</v>
      </c>
      <c r="CO2140">
        <v>7</v>
      </c>
      <c r="CP2140" t="s">
        <v>119</v>
      </c>
      <c r="CQ2140">
        <v>180</v>
      </c>
      <c r="CR2140">
        <v>2</v>
      </c>
      <c r="CW2140">
        <v>8448950</v>
      </c>
      <c r="CY2140">
        <v>1</v>
      </c>
      <c r="CZ2140">
        <v>0</v>
      </c>
      <c r="DA2140">
        <v>1</v>
      </c>
      <c r="DB2140">
        <v>0</v>
      </c>
      <c r="DC2140">
        <v>0</v>
      </c>
      <c r="DD2140">
        <v>0</v>
      </c>
      <c r="DE2140">
        <v>0</v>
      </c>
      <c r="DF2140">
        <v>0</v>
      </c>
      <c r="DG2140">
        <v>0</v>
      </c>
      <c r="DH2140">
        <v>0</v>
      </c>
      <c r="DI2140">
        <v>0</v>
      </c>
    </row>
    <row r="2141" spans="1:113" x14ac:dyDescent="0.3">
      <c r="A2141" t="str">
        <f>"02/08/2021 20:25:47.898"</f>
        <v>02/08/2021 20:25:47.898</v>
      </c>
      <c r="C2141" t="str">
        <f t="shared" si="102"/>
        <v>FFDFD7C0</v>
      </c>
      <c r="D2141" t="s">
        <v>113</v>
      </c>
      <c r="E2141">
        <v>6</v>
      </c>
      <c r="H2141">
        <v>165</v>
      </c>
      <c r="I2141" t="s">
        <v>114</v>
      </c>
      <c r="J2141" t="s">
        <v>115</v>
      </c>
      <c r="K2141">
        <v>0</v>
      </c>
      <c r="L2141">
        <v>3</v>
      </c>
      <c r="M2141">
        <v>0</v>
      </c>
      <c r="N2141">
        <v>2</v>
      </c>
      <c r="O2141">
        <v>1</v>
      </c>
      <c r="P2141">
        <v>0</v>
      </c>
      <c r="Q2141">
        <v>0</v>
      </c>
      <c r="S2141" t="str">
        <f>"20:25:50.234"</f>
        <v>20:25:50.234</v>
      </c>
      <c r="T2141" t="str">
        <f>"20:25:49.734"</f>
        <v>20:25:49.734</v>
      </c>
      <c r="U2141" t="str">
        <f t="shared" si="104"/>
        <v>AB01F4</v>
      </c>
      <c r="V2141">
        <v>0</v>
      </c>
      <c r="W2141">
        <v>0</v>
      </c>
      <c r="X2141">
        <v>2</v>
      </c>
      <c r="Z2141">
        <v>0</v>
      </c>
      <c r="AA2141">
        <v>9</v>
      </c>
      <c r="AB2141">
        <v>3</v>
      </c>
      <c r="AC2141">
        <v>0</v>
      </c>
      <c r="AD2141">
        <v>10</v>
      </c>
      <c r="AE2141">
        <v>0</v>
      </c>
      <c r="AF2141">
        <v>3</v>
      </c>
      <c r="AG2141">
        <v>2</v>
      </c>
      <c r="AH2141">
        <v>0</v>
      </c>
      <c r="AI2141" t="s">
        <v>1319</v>
      </c>
      <c r="AJ2141">
        <v>39.948993000000002</v>
      </c>
      <c r="AK2141" t="s">
        <v>1320</v>
      </c>
      <c r="AL2141">
        <v>-92.656889000000007</v>
      </c>
      <c r="AM2141">
        <v>100</v>
      </c>
      <c r="AN2141">
        <v>1700</v>
      </c>
      <c r="AO2141" t="s">
        <v>118</v>
      </c>
      <c r="AP2141">
        <v>-108</v>
      </c>
      <c r="AQ2141">
        <v>79</v>
      </c>
      <c r="AR2141">
        <v>-128</v>
      </c>
      <c r="AZ2141">
        <v>1200</v>
      </c>
      <c r="BA2141">
        <v>1</v>
      </c>
      <c r="BB2141" t="str">
        <f t="shared" si="103"/>
        <v xml:space="preserve">N8080G  </v>
      </c>
      <c r="BC2141">
        <v>1</v>
      </c>
      <c r="BE2141">
        <v>0</v>
      </c>
      <c r="BF2141">
        <v>0</v>
      </c>
      <c r="BG2141">
        <v>0</v>
      </c>
      <c r="BH2141">
        <v>1700</v>
      </c>
      <c r="BI2141">
        <v>1</v>
      </c>
      <c r="BJ2141">
        <v>1</v>
      </c>
      <c r="BK2141">
        <v>1</v>
      </c>
      <c r="BL2141">
        <v>0</v>
      </c>
      <c r="BO2141">
        <v>0</v>
      </c>
      <c r="BP2141">
        <v>0</v>
      </c>
      <c r="BW2141" t="str">
        <f>"20:25:50.242"</f>
        <v>20:25:50.242</v>
      </c>
      <c r="BZ2141">
        <v>0</v>
      </c>
      <c r="CA2141">
        <v>2016</v>
      </c>
      <c r="CB2141">
        <v>224</v>
      </c>
      <c r="CD2141">
        <v>1</v>
      </c>
      <c r="CE2141">
        <v>0</v>
      </c>
      <c r="CF2141">
        <v>0</v>
      </c>
      <c r="CG2141">
        <v>1</v>
      </c>
      <c r="CH2141">
        <v>0</v>
      </c>
      <c r="CI2141">
        <v>0</v>
      </c>
      <c r="CJ2141">
        <v>0</v>
      </c>
      <c r="CK2141">
        <v>2</v>
      </c>
      <c r="CL2141">
        <v>0</v>
      </c>
      <c r="CM2141">
        <v>2</v>
      </c>
      <c r="CN2141">
        <v>0</v>
      </c>
      <c r="CO2141">
        <v>7</v>
      </c>
      <c r="CP2141" t="s">
        <v>119</v>
      </c>
      <c r="CQ2141">
        <v>180</v>
      </c>
      <c r="CR2141">
        <v>2</v>
      </c>
      <c r="CW2141">
        <v>8448950</v>
      </c>
      <c r="CY2141">
        <v>1</v>
      </c>
      <c r="CZ2141">
        <v>0</v>
      </c>
      <c r="DA2141">
        <v>1</v>
      </c>
      <c r="DB2141">
        <v>0</v>
      </c>
      <c r="DC2141">
        <v>0</v>
      </c>
      <c r="DD2141">
        <v>0</v>
      </c>
      <c r="DE2141">
        <v>0</v>
      </c>
      <c r="DF2141">
        <v>0</v>
      </c>
      <c r="DG2141">
        <v>0</v>
      </c>
      <c r="DH2141">
        <v>0</v>
      </c>
      <c r="DI2141">
        <v>0</v>
      </c>
    </row>
    <row r="2142" spans="1:113" x14ac:dyDescent="0.3">
      <c r="A2142" t="str">
        <f>"02/08/2021 20:25:47.898"</f>
        <v>02/08/2021 20:25:47.898</v>
      </c>
      <c r="C2142" t="str">
        <f t="shared" si="102"/>
        <v>FFDFD7C0</v>
      </c>
      <c r="D2142" t="s">
        <v>124</v>
      </c>
      <c r="E2142">
        <v>13</v>
      </c>
      <c r="F2142">
        <v>1013</v>
      </c>
      <c r="G2142" t="s">
        <v>114</v>
      </c>
      <c r="J2142" t="s">
        <v>125</v>
      </c>
      <c r="K2142">
        <v>0</v>
      </c>
      <c r="L2142">
        <v>3</v>
      </c>
      <c r="M2142">
        <v>0</v>
      </c>
      <c r="N2142">
        <v>2</v>
      </c>
      <c r="O2142">
        <v>1</v>
      </c>
      <c r="P2142">
        <v>0</v>
      </c>
      <c r="Q2142">
        <v>0</v>
      </c>
      <c r="S2142" t="str">
        <f>"20:25:50.234"</f>
        <v>20:25:50.234</v>
      </c>
      <c r="T2142" t="str">
        <f>"20:25:49.734"</f>
        <v>20:25:49.734</v>
      </c>
      <c r="U2142" t="str">
        <f t="shared" si="104"/>
        <v>AB01F4</v>
      </c>
      <c r="V2142">
        <v>0</v>
      </c>
      <c r="W2142">
        <v>0</v>
      </c>
      <c r="X2142">
        <v>2</v>
      </c>
      <c r="Z2142">
        <v>0</v>
      </c>
      <c r="AA2142">
        <v>9</v>
      </c>
      <c r="AB2142">
        <v>3</v>
      </c>
      <c r="AC2142">
        <v>0</v>
      </c>
      <c r="AD2142">
        <v>10</v>
      </c>
      <c r="AE2142">
        <v>0</v>
      </c>
      <c r="AF2142">
        <v>3</v>
      </c>
      <c r="AG2142">
        <v>2</v>
      </c>
      <c r="AH2142">
        <v>0</v>
      </c>
      <c r="AI2142" t="s">
        <v>1319</v>
      </c>
      <c r="AJ2142">
        <v>39.948993000000002</v>
      </c>
      <c r="AK2142" t="s">
        <v>1320</v>
      </c>
      <c r="AL2142">
        <v>-92.656889000000007</v>
      </c>
      <c r="AM2142">
        <v>100</v>
      </c>
      <c r="AN2142">
        <v>1700</v>
      </c>
      <c r="AO2142" t="s">
        <v>118</v>
      </c>
      <c r="AP2142">
        <v>-108</v>
      </c>
      <c r="AQ2142">
        <v>79</v>
      </c>
      <c r="AR2142">
        <v>-128</v>
      </c>
      <c r="AZ2142">
        <v>1200</v>
      </c>
      <c r="BA2142">
        <v>1</v>
      </c>
      <c r="BB2142" t="str">
        <f t="shared" si="103"/>
        <v xml:space="preserve">N8080G  </v>
      </c>
      <c r="BC2142">
        <v>1</v>
      </c>
      <c r="BE2142">
        <v>0</v>
      </c>
      <c r="BF2142">
        <v>0</v>
      </c>
      <c r="BG2142">
        <v>0</v>
      </c>
      <c r="BH2142">
        <v>1700</v>
      </c>
      <c r="BI2142">
        <v>1</v>
      </c>
      <c r="BJ2142">
        <v>1</v>
      </c>
      <c r="BK2142">
        <v>1</v>
      </c>
      <c r="BL2142">
        <v>0</v>
      </c>
      <c r="BO2142">
        <v>0</v>
      </c>
      <c r="BP2142">
        <v>0</v>
      </c>
      <c r="BW2142" t="str">
        <f>"20:25:50.242"</f>
        <v>20:25:50.242</v>
      </c>
      <c r="BZ2142">
        <v>0</v>
      </c>
      <c r="CA2142">
        <v>2016</v>
      </c>
      <c r="CB2142">
        <v>224</v>
      </c>
      <c r="CD2142">
        <v>1</v>
      </c>
      <c r="CE2142">
        <v>0</v>
      </c>
      <c r="CF2142">
        <v>0</v>
      </c>
      <c r="CG2142">
        <v>1</v>
      </c>
      <c r="CH2142">
        <v>0</v>
      </c>
      <c r="CI2142">
        <v>0</v>
      </c>
      <c r="CJ2142">
        <v>0</v>
      </c>
      <c r="CK2142">
        <v>2</v>
      </c>
      <c r="CL2142">
        <v>0</v>
      </c>
      <c r="CM2142">
        <v>2</v>
      </c>
      <c r="CN2142">
        <v>0</v>
      </c>
      <c r="CO2142">
        <v>7</v>
      </c>
      <c r="CP2142" t="s">
        <v>119</v>
      </c>
      <c r="CQ2142">
        <v>180</v>
      </c>
      <c r="CR2142">
        <v>2</v>
      </c>
      <c r="CW2142">
        <v>8448950</v>
      </c>
      <c r="CY2142">
        <v>1</v>
      </c>
      <c r="CZ2142">
        <v>0</v>
      </c>
      <c r="DA2142">
        <v>1</v>
      </c>
      <c r="DB2142">
        <v>0</v>
      </c>
      <c r="DC2142">
        <v>0</v>
      </c>
      <c r="DD2142">
        <v>0</v>
      </c>
      <c r="DE2142">
        <v>0</v>
      </c>
      <c r="DF2142">
        <v>0</v>
      </c>
      <c r="DG2142">
        <v>0</v>
      </c>
      <c r="DH2142">
        <v>0</v>
      </c>
      <c r="DI2142">
        <v>0</v>
      </c>
    </row>
    <row r="2143" spans="1:113" x14ac:dyDescent="0.3">
      <c r="A2143" t="str">
        <f>"02/08/2021 20:25:49.391"</f>
        <v>02/08/2021 20:25:49.391</v>
      </c>
      <c r="C2143" t="str">
        <f t="shared" si="102"/>
        <v>FFDFD7C0</v>
      </c>
      <c r="D2143" t="s">
        <v>113</v>
      </c>
      <c r="E2143">
        <v>6</v>
      </c>
      <c r="H2143">
        <v>165</v>
      </c>
      <c r="I2143" t="s">
        <v>114</v>
      </c>
      <c r="J2143" t="s">
        <v>115</v>
      </c>
      <c r="K2143">
        <v>0</v>
      </c>
      <c r="L2143">
        <v>3</v>
      </c>
      <c r="M2143">
        <v>0</v>
      </c>
      <c r="N2143">
        <v>2</v>
      </c>
      <c r="O2143">
        <v>1</v>
      </c>
      <c r="P2143">
        <v>0</v>
      </c>
      <c r="Q2143">
        <v>0</v>
      </c>
      <c r="S2143" t="str">
        <f>"20:25:51.727"</f>
        <v>20:25:51.727</v>
      </c>
      <c r="T2143" t="str">
        <f>"20:25:51.327"</f>
        <v>20:25:51.327</v>
      </c>
      <c r="U2143" t="str">
        <f t="shared" si="104"/>
        <v>AB01F4</v>
      </c>
      <c r="V2143">
        <v>0</v>
      </c>
      <c r="W2143">
        <v>0</v>
      </c>
      <c r="X2143">
        <v>2</v>
      </c>
      <c r="Z2143">
        <v>0</v>
      </c>
      <c r="AA2143">
        <v>9</v>
      </c>
      <c r="AB2143">
        <v>3</v>
      </c>
      <c r="AC2143">
        <v>0</v>
      </c>
      <c r="AD2143">
        <v>10</v>
      </c>
      <c r="AE2143">
        <v>0</v>
      </c>
      <c r="AF2143">
        <v>3</v>
      </c>
      <c r="AG2143">
        <v>2</v>
      </c>
      <c r="AH2143">
        <v>0</v>
      </c>
      <c r="AI2143" t="s">
        <v>1321</v>
      </c>
      <c r="AJ2143">
        <v>39.949528999999998</v>
      </c>
      <c r="AK2143" t="s">
        <v>1322</v>
      </c>
      <c r="AL2143">
        <v>-92.657897000000006</v>
      </c>
      <c r="AM2143">
        <v>100</v>
      </c>
      <c r="AN2143">
        <v>1700</v>
      </c>
      <c r="AO2143" t="s">
        <v>118</v>
      </c>
      <c r="AP2143">
        <v>-108</v>
      </c>
      <c r="AQ2143">
        <v>79</v>
      </c>
      <c r="AR2143">
        <v>-128</v>
      </c>
      <c r="AZ2143">
        <v>1200</v>
      </c>
      <c r="BA2143">
        <v>1</v>
      </c>
      <c r="BB2143" t="str">
        <f t="shared" si="103"/>
        <v xml:space="preserve">N8080G  </v>
      </c>
      <c r="BC2143">
        <v>1</v>
      </c>
      <c r="BE2143">
        <v>0</v>
      </c>
      <c r="BF2143">
        <v>0</v>
      </c>
      <c r="BG2143">
        <v>0</v>
      </c>
      <c r="BH2143">
        <v>1700</v>
      </c>
      <c r="BI2143">
        <v>1</v>
      </c>
      <c r="BJ2143">
        <v>1</v>
      </c>
      <c r="BK2143">
        <v>1</v>
      </c>
      <c r="BL2143">
        <v>0</v>
      </c>
      <c r="BO2143">
        <v>0</v>
      </c>
      <c r="BP2143">
        <v>0</v>
      </c>
      <c r="BW2143" t="str">
        <f>"20:25:51.728"</f>
        <v>20:25:51.728</v>
      </c>
      <c r="BZ2143">
        <v>0</v>
      </c>
      <c r="CA2143">
        <v>2016</v>
      </c>
      <c r="CB2143">
        <v>224</v>
      </c>
      <c r="CD2143">
        <v>1</v>
      </c>
      <c r="CE2143">
        <v>0</v>
      </c>
      <c r="CF2143">
        <v>0</v>
      </c>
      <c r="CG2143">
        <v>1</v>
      </c>
      <c r="CH2143">
        <v>0</v>
      </c>
      <c r="CI2143">
        <v>0</v>
      </c>
      <c r="CJ2143">
        <v>0</v>
      </c>
      <c r="CK2143">
        <v>2</v>
      </c>
      <c r="CL2143">
        <v>0</v>
      </c>
      <c r="CM2143">
        <v>2</v>
      </c>
      <c r="CN2143">
        <v>0</v>
      </c>
      <c r="CO2143">
        <v>7</v>
      </c>
      <c r="CP2143" t="s">
        <v>119</v>
      </c>
      <c r="CQ2143">
        <v>180</v>
      </c>
      <c r="CR2143">
        <v>2</v>
      </c>
      <c r="CW2143">
        <v>8450183</v>
      </c>
      <c r="CY2143">
        <v>1</v>
      </c>
      <c r="CZ2143">
        <v>0</v>
      </c>
      <c r="DA2143">
        <v>0</v>
      </c>
      <c r="DB2143">
        <v>0</v>
      </c>
      <c r="DC2143">
        <v>0</v>
      </c>
      <c r="DD2143">
        <v>0</v>
      </c>
      <c r="DE2143">
        <v>0</v>
      </c>
      <c r="DF2143">
        <v>0</v>
      </c>
      <c r="DG2143">
        <v>0</v>
      </c>
      <c r="DH2143">
        <v>0</v>
      </c>
      <c r="DI2143">
        <v>0</v>
      </c>
    </row>
    <row r="2144" spans="1:113" x14ac:dyDescent="0.3">
      <c r="A2144" t="str">
        <f>"02/08/2021 20:25:49.391"</f>
        <v>02/08/2021 20:25:49.391</v>
      </c>
      <c r="C2144" t="str">
        <f t="shared" si="102"/>
        <v>FFDFD7C0</v>
      </c>
      <c r="D2144" t="s">
        <v>124</v>
      </c>
      <c r="E2144">
        <v>13</v>
      </c>
      <c r="F2144">
        <v>1013</v>
      </c>
      <c r="G2144" t="s">
        <v>114</v>
      </c>
      <c r="J2144" t="s">
        <v>125</v>
      </c>
      <c r="K2144">
        <v>0</v>
      </c>
      <c r="L2144">
        <v>3</v>
      </c>
      <c r="M2144">
        <v>0</v>
      </c>
      <c r="N2144">
        <v>2</v>
      </c>
      <c r="O2144">
        <v>1</v>
      </c>
      <c r="P2144">
        <v>0</v>
      </c>
      <c r="Q2144">
        <v>0</v>
      </c>
      <c r="S2144" t="str">
        <f>"20:25:51.727"</f>
        <v>20:25:51.727</v>
      </c>
      <c r="T2144" t="str">
        <f>"20:25:51.327"</f>
        <v>20:25:51.327</v>
      </c>
      <c r="U2144" t="str">
        <f t="shared" si="104"/>
        <v>AB01F4</v>
      </c>
      <c r="V2144">
        <v>0</v>
      </c>
      <c r="W2144">
        <v>0</v>
      </c>
      <c r="X2144">
        <v>2</v>
      </c>
      <c r="Z2144">
        <v>0</v>
      </c>
      <c r="AA2144">
        <v>9</v>
      </c>
      <c r="AB2144">
        <v>3</v>
      </c>
      <c r="AC2144">
        <v>0</v>
      </c>
      <c r="AD2144">
        <v>10</v>
      </c>
      <c r="AE2144">
        <v>0</v>
      </c>
      <c r="AF2144">
        <v>3</v>
      </c>
      <c r="AG2144">
        <v>2</v>
      </c>
      <c r="AH2144">
        <v>0</v>
      </c>
      <c r="AI2144" t="s">
        <v>1321</v>
      </c>
      <c r="AJ2144">
        <v>39.949528999999998</v>
      </c>
      <c r="AK2144" t="s">
        <v>1322</v>
      </c>
      <c r="AL2144">
        <v>-92.657897000000006</v>
      </c>
      <c r="AM2144">
        <v>100</v>
      </c>
      <c r="AN2144">
        <v>1700</v>
      </c>
      <c r="AO2144" t="s">
        <v>118</v>
      </c>
      <c r="AP2144">
        <v>-108</v>
      </c>
      <c r="AQ2144">
        <v>79</v>
      </c>
      <c r="AR2144">
        <v>-128</v>
      </c>
      <c r="AZ2144">
        <v>1200</v>
      </c>
      <c r="BA2144">
        <v>1</v>
      </c>
      <c r="BB2144" t="str">
        <f t="shared" si="103"/>
        <v xml:space="preserve">N8080G  </v>
      </c>
      <c r="BC2144">
        <v>1</v>
      </c>
      <c r="BE2144">
        <v>0</v>
      </c>
      <c r="BF2144">
        <v>0</v>
      </c>
      <c r="BG2144">
        <v>0</v>
      </c>
      <c r="BH2144">
        <v>1700</v>
      </c>
      <c r="BI2144">
        <v>1</v>
      </c>
      <c r="BJ2144">
        <v>1</v>
      </c>
      <c r="BK2144">
        <v>1</v>
      </c>
      <c r="BL2144">
        <v>0</v>
      </c>
      <c r="BO2144">
        <v>0</v>
      </c>
      <c r="BP2144">
        <v>0</v>
      </c>
      <c r="BW2144" t="str">
        <f>"20:25:51.728"</f>
        <v>20:25:51.728</v>
      </c>
      <c r="BZ2144">
        <v>0</v>
      </c>
      <c r="CA2144">
        <v>2016</v>
      </c>
      <c r="CB2144">
        <v>224</v>
      </c>
      <c r="CD2144">
        <v>1</v>
      </c>
      <c r="CE2144">
        <v>0</v>
      </c>
      <c r="CF2144">
        <v>0</v>
      </c>
      <c r="CG2144">
        <v>1</v>
      </c>
      <c r="CH2144">
        <v>0</v>
      </c>
      <c r="CI2144">
        <v>0</v>
      </c>
      <c r="CJ2144">
        <v>0</v>
      </c>
      <c r="CK2144">
        <v>2</v>
      </c>
      <c r="CL2144">
        <v>0</v>
      </c>
      <c r="CM2144">
        <v>2</v>
      </c>
      <c r="CN2144">
        <v>0</v>
      </c>
      <c r="CO2144">
        <v>7</v>
      </c>
      <c r="CP2144" t="s">
        <v>119</v>
      </c>
      <c r="CQ2144">
        <v>180</v>
      </c>
      <c r="CR2144">
        <v>2</v>
      </c>
      <c r="CW2144">
        <v>8450183</v>
      </c>
      <c r="CY2144">
        <v>1</v>
      </c>
      <c r="CZ2144">
        <v>0</v>
      </c>
      <c r="DA2144">
        <v>1</v>
      </c>
      <c r="DB2144">
        <v>0</v>
      </c>
      <c r="DC2144">
        <v>0</v>
      </c>
      <c r="DD2144">
        <v>0</v>
      </c>
      <c r="DE2144">
        <v>0</v>
      </c>
      <c r="DF2144">
        <v>0</v>
      </c>
      <c r="DG2144">
        <v>0</v>
      </c>
      <c r="DH2144">
        <v>0</v>
      </c>
      <c r="DI2144">
        <v>0</v>
      </c>
    </row>
    <row r="2145" spans="1:113" x14ac:dyDescent="0.3">
      <c r="A2145" t="str">
        <f>"02/08/2021 20:25:49.391"</f>
        <v>02/08/2021 20:25:49.391</v>
      </c>
      <c r="C2145" t="str">
        <f t="shared" si="102"/>
        <v>FFDFD7C0</v>
      </c>
      <c r="D2145" t="s">
        <v>124</v>
      </c>
      <c r="E2145">
        <v>11</v>
      </c>
      <c r="F2145">
        <v>1011</v>
      </c>
      <c r="G2145" t="s">
        <v>590</v>
      </c>
      <c r="J2145" t="s">
        <v>125</v>
      </c>
      <c r="K2145">
        <v>0</v>
      </c>
      <c r="L2145">
        <v>3</v>
      </c>
      <c r="M2145">
        <v>0</v>
      </c>
      <c r="N2145">
        <v>2</v>
      </c>
      <c r="O2145">
        <v>1</v>
      </c>
      <c r="P2145">
        <v>0</v>
      </c>
      <c r="Q2145">
        <v>0</v>
      </c>
      <c r="S2145" t="str">
        <f>"20:25:51.727"</f>
        <v>20:25:51.727</v>
      </c>
      <c r="T2145" t="str">
        <f>"20:25:51.327"</f>
        <v>20:25:51.327</v>
      </c>
      <c r="U2145" t="str">
        <f t="shared" si="104"/>
        <v>AB01F4</v>
      </c>
      <c r="V2145">
        <v>0</v>
      </c>
      <c r="W2145">
        <v>0</v>
      </c>
      <c r="X2145">
        <v>2</v>
      </c>
      <c r="Z2145">
        <v>0</v>
      </c>
      <c r="AA2145">
        <v>9</v>
      </c>
      <c r="AB2145">
        <v>3</v>
      </c>
      <c r="AC2145">
        <v>0</v>
      </c>
      <c r="AD2145">
        <v>10</v>
      </c>
      <c r="AE2145">
        <v>0</v>
      </c>
      <c r="AF2145">
        <v>3</v>
      </c>
      <c r="AG2145">
        <v>2</v>
      </c>
      <c r="AH2145">
        <v>0</v>
      </c>
      <c r="AI2145" t="s">
        <v>1321</v>
      </c>
      <c r="AJ2145">
        <v>39.949528999999998</v>
      </c>
      <c r="AK2145" t="s">
        <v>1322</v>
      </c>
      <c r="AL2145">
        <v>-92.657897000000006</v>
      </c>
      <c r="AM2145">
        <v>100</v>
      </c>
      <c r="AN2145">
        <v>1700</v>
      </c>
      <c r="AO2145" t="s">
        <v>118</v>
      </c>
      <c r="AP2145">
        <v>-108</v>
      </c>
      <c r="AQ2145">
        <v>79</v>
      </c>
      <c r="AR2145">
        <v>-128</v>
      </c>
      <c r="AZ2145">
        <v>1200</v>
      </c>
      <c r="BA2145">
        <v>1</v>
      </c>
      <c r="BB2145" t="str">
        <f t="shared" si="103"/>
        <v xml:space="preserve">N8080G  </v>
      </c>
      <c r="BC2145">
        <v>1</v>
      </c>
      <c r="BE2145">
        <v>0</v>
      </c>
      <c r="BF2145">
        <v>0</v>
      </c>
      <c r="BG2145">
        <v>0</v>
      </c>
      <c r="BH2145">
        <v>1700</v>
      </c>
      <c r="BI2145">
        <v>1</v>
      </c>
      <c r="BJ2145">
        <v>1</v>
      </c>
      <c r="BK2145">
        <v>1</v>
      </c>
      <c r="BL2145">
        <v>0</v>
      </c>
      <c r="BO2145">
        <v>0</v>
      </c>
      <c r="BP2145">
        <v>0</v>
      </c>
      <c r="BW2145" t="str">
        <f>"20:25:51.728"</f>
        <v>20:25:51.728</v>
      </c>
      <c r="BZ2145">
        <v>0</v>
      </c>
      <c r="CA2145">
        <v>2016</v>
      </c>
      <c r="CB2145">
        <v>224</v>
      </c>
      <c r="CD2145">
        <v>1</v>
      </c>
      <c r="CE2145">
        <v>0</v>
      </c>
      <c r="CF2145">
        <v>0</v>
      </c>
      <c r="CG2145">
        <v>1</v>
      </c>
      <c r="CH2145">
        <v>0</v>
      </c>
      <c r="CI2145">
        <v>0</v>
      </c>
      <c r="CJ2145">
        <v>0</v>
      </c>
      <c r="CK2145">
        <v>2</v>
      </c>
      <c r="CL2145">
        <v>0</v>
      </c>
      <c r="CM2145">
        <v>2</v>
      </c>
      <c r="CN2145">
        <v>0</v>
      </c>
      <c r="CO2145">
        <v>7</v>
      </c>
      <c r="CP2145" t="s">
        <v>119</v>
      </c>
      <c r="CQ2145">
        <v>180</v>
      </c>
      <c r="CR2145">
        <v>2</v>
      </c>
      <c r="CW2145">
        <v>8450183</v>
      </c>
      <c r="CY2145">
        <v>1</v>
      </c>
      <c r="CZ2145">
        <v>0</v>
      </c>
      <c r="DA2145">
        <v>1</v>
      </c>
      <c r="DB2145">
        <v>0</v>
      </c>
      <c r="DC2145">
        <v>0</v>
      </c>
      <c r="DD2145">
        <v>0</v>
      </c>
      <c r="DE2145">
        <v>0</v>
      </c>
      <c r="DF2145">
        <v>0</v>
      </c>
      <c r="DG2145">
        <v>0</v>
      </c>
      <c r="DH2145">
        <v>0</v>
      </c>
      <c r="DI2145">
        <v>0</v>
      </c>
    </row>
    <row r="2146" spans="1:113" x14ac:dyDescent="0.3">
      <c r="A2146" t="str">
        <f>"02/08/2021 20:25:49.391"</f>
        <v>02/08/2021 20:25:49.391</v>
      </c>
      <c r="C2146" t="str">
        <f t="shared" si="102"/>
        <v>FFDFD7C0</v>
      </c>
      <c r="D2146" t="s">
        <v>124</v>
      </c>
      <c r="E2146">
        <v>12</v>
      </c>
      <c r="F2146">
        <v>1012</v>
      </c>
      <c r="G2146" t="s">
        <v>675</v>
      </c>
      <c r="J2146" t="s">
        <v>125</v>
      </c>
      <c r="K2146">
        <v>0</v>
      </c>
      <c r="L2146">
        <v>3</v>
      </c>
      <c r="M2146">
        <v>0</v>
      </c>
      <c r="N2146">
        <v>2</v>
      </c>
      <c r="O2146">
        <v>1</v>
      </c>
      <c r="P2146">
        <v>0</v>
      </c>
      <c r="Q2146">
        <v>0</v>
      </c>
      <c r="S2146" t="str">
        <f>"20:25:51.727"</f>
        <v>20:25:51.727</v>
      </c>
      <c r="T2146" t="str">
        <f>"20:25:51.327"</f>
        <v>20:25:51.327</v>
      </c>
      <c r="U2146" t="str">
        <f t="shared" si="104"/>
        <v>AB01F4</v>
      </c>
      <c r="V2146">
        <v>0</v>
      </c>
      <c r="W2146">
        <v>0</v>
      </c>
      <c r="X2146">
        <v>2</v>
      </c>
      <c r="Z2146">
        <v>0</v>
      </c>
      <c r="AA2146">
        <v>9</v>
      </c>
      <c r="AB2146">
        <v>3</v>
      </c>
      <c r="AC2146">
        <v>0</v>
      </c>
      <c r="AD2146">
        <v>10</v>
      </c>
      <c r="AE2146">
        <v>0</v>
      </c>
      <c r="AF2146">
        <v>3</v>
      </c>
      <c r="AG2146">
        <v>2</v>
      </c>
      <c r="AH2146">
        <v>0</v>
      </c>
      <c r="AI2146" t="s">
        <v>1321</v>
      </c>
      <c r="AJ2146">
        <v>39.949528999999998</v>
      </c>
      <c r="AK2146" t="s">
        <v>1322</v>
      </c>
      <c r="AL2146">
        <v>-92.657897000000006</v>
      </c>
      <c r="AM2146">
        <v>100</v>
      </c>
      <c r="AN2146">
        <v>1700</v>
      </c>
      <c r="AO2146" t="s">
        <v>118</v>
      </c>
      <c r="AP2146">
        <v>-108</v>
      </c>
      <c r="AQ2146">
        <v>79</v>
      </c>
      <c r="AR2146">
        <v>-128</v>
      </c>
      <c r="AZ2146">
        <v>1200</v>
      </c>
      <c r="BA2146">
        <v>1</v>
      </c>
      <c r="BB2146" t="str">
        <f t="shared" si="103"/>
        <v xml:space="preserve">N8080G  </v>
      </c>
      <c r="BC2146">
        <v>1</v>
      </c>
      <c r="BE2146">
        <v>0</v>
      </c>
      <c r="BF2146">
        <v>0</v>
      </c>
      <c r="BG2146">
        <v>0</v>
      </c>
      <c r="BH2146">
        <v>1700</v>
      </c>
      <c r="BI2146">
        <v>1</v>
      </c>
      <c r="BJ2146">
        <v>1</v>
      </c>
      <c r="BK2146">
        <v>1</v>
      </c>
      <c r="BL2146">
        <v>0</v>
      </c>
      <c r="BO2146">
        <v>0</v>
      </c>
      <c r="BP2146">
        <v>0</v>
      </c>
      <c r="BW2146" t="str">
        <f>"20:25:51.728"</f>
        <v>20:25:51.728</v>
      </c>
      <c r="BZ2146">
        <v>0</v>
      </c>
      <c r="CA2146">
        <v>2016</v>
      </c>
      <c r="CB2146">
        <v>224</v>
      </c>
      <c r="CD2146">
        <v>1</v>
      </c>
      <c r="CE2146">
        <v>0</v>
      </c>
      <c r="CF2146">
        <v>0</v>
      </c>
      <c r="CG2146">
        <v>1</v>
      </c>
      <c r="CH2146">
        <v>0</v>
      </c>
      <c r="CI2146">
        <v>0</v>
      </c>
      <c r="CJ2146">
        <v>0</v>
      </c>
      <c r="CK2146">
        <v>2</v>
      </c>
      <c r="CL2146">
        <v>0</v>
      </c>
      <c r="CM2146">
        <v>2</v>
      </c>
      <c r="CN2146">
        <v>0</v>
      </c>
      <c r="CO2146">
        <v>7</v>
      </c>
      <c r="CP2146" t="s">
        <v>119</v>
      </c>
      <c r="CQ2146">
        <v>180</v>
      </c>
      <c r="CR2146">
        <v>2</v>
      </c>
      <c r="CW2146">
        <v>8450183</v>
      </c>
      <c r="CY2146">
        <v>1</v>
      </c>
      <c r="CZ2146">
        <v>0</v>
      </c>
      <c r="DA2146">
        <v>1</v>
      </c>
      <c r="DB2146">
        <v>0</v>
      </c>
      <c r="DC2146">
        <v>0</v>
      </c>
      <c r="DD2146">
        <v>0</v>
      </c>
      <c r="DE2146">
        <v>0</v>
      </c>
      <c r="DF2146">
        <v>0</v>
      </c>
      <c r="DG2146">
        <v>0</v>
      </c>
      <c r="DH2146">
        <v>0</v>
      </c>
      <c r="DI2146">
        <v>0</v>
      </c>
    </row>
    <row r="2147" spans="1:113" x14ac:dyDescent="0.3">
      <c r="A2147" t="str">
        <f>"02/08/2021 20:25:53.991"</f>
        <v>02/08/2021 20:25:53.991</v>
      </c>
      <c r="C2147" t="str">
        <f t="shared" si="102"/>
        <v>FFDFD7C0</v>
      </c>
      <c r="D2147" t="s">
        <v>113</v>
      </c>
      <c r="E2147">
        <v>6</v>
      </c>
      <c r="H2147">
        <v>165</v>
      </c>
      <c r="I2147" t="s">
        <v>114</v>
      </c>
      <c r="J2147" t="s">
        <v>115</v>
      </c>
      <c r="K2147">
        <v>0</v>
      </c>
      <c r="L2147">
        <v>3</v>
      </c>
      <c r="M2147">
        <v>0</v>
      </c>
      <c r="N2147">
        <v>2</v>
      </c>
      <c r="O2147">
        <v>1</v>
      </c>
      <c r="P2147">
        <v>0</v>
      </c>
      <c r="Q2147">
        <v>0</v>
      </c>
      <c r="S2147" t="str">
        <f>"20:25:56.320"</f>
        <v>20:25:56.320</v>
      </c>
      <c r="T2147" t="str">
        <f>"20:25:55.920"</f>
        <v>20:25:55.920</v>
      </c>
      <c r="U2147" t="str">
        <f t="shared" si="104"/>
        <v>AB01F4</v>
      </c>
      <c r="V2147">
        <v>0</v>
      </c>
      <c r="W2147">
        <v>0</v>
      </c>
      <c r="X2147">
        <v>2</v>
      </c>
      <c r="Z2147">
        <v>0</v>
      </c>
      <c r="AA2147">
        <v>9</v>
      </c>
      <c r="AB2147">
        <v>3</v>
      </c>
      <c r="AC2147">
        <v>0</v>
      </c>
      <c r="AD2147">
        <v>10</v>
      </c>
      <c r="AE2147">
        <v>0</v>
      </c>
      <c r="AF2147">
        <v>3</v>
      </c>
      <c r="AG2147">
        <v>2</v>
      </c>
      <c r="AH2147">
        <v>0</v>
      </c>
      <c r="AI2147" t="s">
        <v>1323</v>
      </c>
      <c r="AJ2147">
        <v>39.951180999999998</v>
      </c>
      <c r="AK2147" t="s">
        <v>1324</v>
      </c>
      <c r="AL2147">
        <v>-92.660880000000006</v>
      </c>
      <c r="AM2147">
        <v>100</v>
      </c>
      <c r="AN2147">
        <v>1700</v>
      </c>
      <c r="AO2147" t="s">
        <v>118</v>
      </c>
      <c r="AP2147">
        <v>-108</v>
      </c>
      <c r="AQ2147">
        <v>79</v>
      </c>
      <c r="AR2147">
        <v>-128</v>
      </c>
      <c r="AZ2147">
        <v>1200</v>
      </c>
      <c r="BA2147">
        <v>1</v>
      </c>
      <c r="BB2147" t="str">
        <f t="shared" si="103"/>
        <v xml:space="preserve">N8080G  </v>
      </c>
      <c r="BC2147">
        <v>1</v>
      </c>
      <c r="BE2147">
        <v>0</v>
      </c>
      <c r="BF2147">
        <v>0</v>
      </c>
      <c r="BG2147">
        <v>0</v>
      </c>
      <c r="BH2147">
        <v>1675</v>
      </c>
      <c r="BI2147">
        <v>1</v>
      </c>
      <c r="BJ2147">
        <v>1</v>
      </c>
      <c r="BK2147">
        <v>1</v>
      </c>
      <c r="BL2147">
        <v>0</v>
      </c>
      <c r="BO2147">
        <v>0</v>
      </c>
      <c r="BP2147">
        <v>0</v>
      </c>
      <c r="BW2147" t="str">
        <f>"20:25:56.325"</f>
        <v>20:25:56.325</v>
      </c>
      <c r="BZ2147">
        <v>0</v>
      </c>
      <c r="CA2147">
        <v>2016</v>
      </c>
      <c r="CB2147">
        <v>224</v>
      </c>
      <c r="CD2147">
        <v>1</v>
      </c>
      <c r="CE2147">
        <v>0</v>
      </c>
      <c r="CF2147">
        <v>0</v>
      </c>
      <c r="CG2147">
        <v>1</v>
      </c>
      <c r="CH2147">
        <v>0</v>
      </c>
      <c r="CI2147">
        <v>0</v>
      </c>
      <c r="CJ2147">
        <v>0</v>
      </c>
      <c r="CK2147">
        <v>2</v>
      </c>
      <c r="CL2147">
        <v>0</v>
      </c>
      <c r="CM2147">
        <v>2</v>
      </c>
      <c r="CN2147">
        <v>0</v>
      </c>
      <c r="CO2147">
        <v>7</v>
      </c>
      <c r="CP2147" t="s">
        <v>119</v>
      </c>
      <c r="CQ2147">
        <v>180</v>
      </c>
      <c r="CR2147">
        <v>2</v>
      </c>
      <c r="CW2147">
        <v>8453849</v>
      </c>
      <c r="CY2147">
        <v>1</v>
      </c>
      <c r="CZ2147">
        <v>0</v>
      </c>
      <c r="DA2147">
        <v>0</v>
      </c>
      <c r="DB2147">
        <v>0</v>
      </c>
      <c r="DC2147">
        <v>0</v>
      </c>
      <c r="DD2147">
        <v>0</v>
      </c>
      <c r="DE2147">
        <v>0</v>
      </c>
      <c r="DF2147">
        <v>0</v>
      </c>
      <c r="DG2147">
        <v>0</v>
      </c>
      <c r="DH2147">
        <v>0</v>
      </c>
      <c r="DI2147">
        <v>0</v>
      </c>
    </row>
    <row r="2148" spans="1:113" x14ac:dyDescent="0.3">
      <c r="A2148" t="str">
        <f>"02/08/2021 20:25:53.991"</f>
        <v>02/08/2021 20:25:53.991</v>
      </c>
      <c r="C2148" t="str">
        <f t="shared" si="102"/>
        <v>FFDFD7C0</v>
      </c>
      <c r="D2148" t="s">
        <v>124</v>
      </c>
      <c r="E2148">
        <v>11</v>
      </c>
      <c r="F2148">
        <v>1011</v>
      </c>
      <c r="G2148" t="s">
        <v>590</v>
      </c>
      <c r="J2148" t="s">
        <v>125</v>
      </c>
      <c r="K2148">
        <v>0</v>
      </c>
      <c r="L2148">
        <v>3</v>
      </c>
      <c r="M2148">
        <v>0</v>
      </c>
      <c r="N2148">
        <v>2</v>
      </c>
      <c r="O2148">
        <v>1</v>
      </c>
      <c r="P2148">
        <v>0</v>
      </c>
      <c r="Q2148">
        <v>0</v>
      </c>
      <c r="S2148" t="str">
        <f>"20:25:56.320"</f>
        <v>20:25:56.320</v>
      </c>
      <c r="T2148" t="str">
        <f>"20:25:55.920"</f>
        <v>20:25:55.920</v>
      </c>
      <c r="U2148" t="str">
        <f t="shared" si="104"/>
        <v>AB01F4</v>
      </c>
      <c r="V2148">
        <v>0</v>
      </c>
      <c r="W2148">
        <v>0</v>
      </c>
      <c r="X2148">
        <v>2</v>
      </c>
      <c r="Z2148">
        <v>0</v>
      </c>
      <c r="AA2148">
        <v>9</v>
      </c>
      <c r="AB2148">
        <v>3</v>
      </c>
      <c r="AC2148">
        <v>0</v>
      </c>
      <c r="AD2148">
        <v>10</v>
      </c>
      <c r="AE2148">
        <v>0</v>
      </c>
      <c r="AF2148">
        <v>3</v>
      </c>
      <c r="AG2148">
        <v>2</v>
      </c>
      <c r="AH2148">
        <v>0</v>
      </c>
      <c r="AI2148" t="s">
        <v>1323</v>
      </c>
      <c r="AJ2148">
        <v>39.951180999999998</v>
      </c>
      <c r="AK2148" t="s">
        <v>1324</v>
      </c>
      <c r="AL2148">
        <v>-92.660880000000006</v>
      </c>
      <c r="AM2148">
        <v>100</v>
      </c>
      <c r="AN2148">
        <v>1700</v>
      </c>
      <c r="AO2148" t="s">
        <v>118</v>
      </c>
      <c r="AP2148">
        <v>-108</v>
      </c>
      <c r="AQ2148">
        <v>79</v>
      </c>
      <c r="AR2148">
        <v>-128</v>
      </c>
      <c r="AZ2148">
        <v>1200</v>
      </c>
      <c r="BA2148">
        <v>1</v>
      </c>
      <c r="BB2148" t="str">
        <f t="shared" si="103"/>
        <v xml:space="preserve">N8080G  </v>
      </c>
      <c r="BC2148">
        <v>1</v>
      </c>
      <c r="BE2148">
        <v>0</v>
      </c>
      <c r="BF2148">
        <v>0</v>
      </c>
      <c r="BG2148">
        <v>0</v>
      </c>
      <c r="BH2148">
        <v>1675</v>
      </c>
      <c r="BI2148">
        <v>1</v>
      </c>
      <c r="BJ2148">
        <v>1</v>
      </c>
      <c r="BK2148">
        <v>1</v>
      </c>
      <c r="BL2148">
        <v>0</v>
      </c>
      <c r="BO2148">
        <v>0</v>
      </c>
      <c r="BP2148">
        <v>0</v>
      </c>
      <c r="BW2148" t="str">
        <f>"20:25:56.325"</f>
        <v>20:25:56.325</v>
      </c>
      <c r="BZ2148">
        <v>0</v>
      </c>
      <c r="CA2148">
        <v>2016</v>
      </c>
      <c r="CB2148">
        <v>224</v>
      </c>
      <c r="CD2148">
        <v>1</v>
      </c>
      <c r="CE2148">
        <v>0</v>
      </c>
      <c r="CF2148">
        <v>0</v>
      </c>
      <c r="CG2148">
        <v>1</v>
      </c>
      <c r="CH2148">
        <v>0</v>
      </c>
      <c r="CI2148">
        <v>0</v>
      </c>
      <c r="CJ2148">
        <v>0</v>
      </c>
      <c r="CK2148">
        <v>2</v>
      </c>
      <c r="CL2148">
        <v>0</v>
      </c>
      <c r="CM2148">
        <v>2</v>
      </c>
      <c r="CN2148">
        <v>0</v>
      </c>
      <c r="CO2148">
        <v>7</v>
      </c>
      <c r="CP2148" t="s">
        <v>119</v>
      </c>
      <c r="CQ2148">
        <v>180</v>
      </c>
      <c r="CR2148">
        <v>2</v>
      </c>
      <c r="CW2148">
        <v>8453849</v>
      </c>
      <c r="CY2148">
        <v>1</v>
      </c>
      <c r="CZ2148">
        <v>0</v>
      </c>
      <c r="DA2148">
        <v>1</v>
      </c>
      <c r="DB2148">
        <v>0</v>
      </c>
      <c r="DC2148">
        <v>0</v>
      </c>
      <c r="DD2148">
        <v>0</v>
      </c>
      <c r="DE2148">
        <v>0</v>
      </c>
      <c r="DF2148">
        <v>0</v>
      </c>
      <c r="DG2148">
        <v>0</v>
      </c>
      <c r="DH2148">
        <v>0</v>
      </c>
      <c r="DI2148">
        <v>0</v>
      </c>
    </row>
    <row r="2149" spans="1:113" x14ac:dyDescent="0.3">
      <c r="A2149" t="str">
        <f>"02/08/2021 20:25:53.991"</f>
        <v>02/08/2021 20:25:53.991</v>
      </c>
      <c r="C2149" t="str">
        <f t="shared" si="102"/>
        <v>FFDFD7C0</v>
      </c>
      <c r="D2149" t="s">
        <v>124</v>
      </c>
      <c r="E2149">
        <v>12</v>
      </c>
      <c r="F2149">
        <v>1012</v>
      </c>
      <c r="G2149" t="s">
        <v>675</v>
      </c>
      <c r="J2149" t="s">
        <v>125</v>
      </c>
      <c r="K2149">
        <v>0</v>
      </c>
      <c r="L2149">
        <v>3</v>
      </c>
      <c r="M2149">
        <v>0</v>
      </c>
      <c r="N2149">
        <v>2</v>
      </c>
      <c r="O2149">
        <v>1</v>
      </c>
      <c r="P2149">
        <v>0</v>
      </c>
      <c r="Q2149">
        <v>0</v>
      </c>
      <c r="S2149" t="str">
        <f>"20:25:56.320"</f>
        <v>20:25:56.320</v>
      </c>
      <c r="T2149" t="str">
        <f>"20:25:55.920"</f>
        <v>20:25:55.920</v>
      </c>
      <c r="U2149" t="str">
        <f t="shared" si="104"/>
        <v>AB01F4</v>
      </c>
      <c r="V2149">
        <v>0</v>
      </c>
      <c r="W2149">
        <v>0</v>
      </c>
      <c r="X2149">
        <v>2</v>
      </c>
      <c r="Z2149">
        <v>0</v>
      </c>
      <c r="AA2149">
        <v>9</v>
      </c>
      <c r="AB2149">
        <v>3</v>
      </c>
      <c r="AC2149">
        <v>0</v>
      </c>
      <c r="AD2149">
        <v>10</v>
      </c>
      <c r="AE2149">
        <v>0</v>
      </c>
      <c r="AF2149">
        <v>3</v>
      </c>
      <c r="AG2149">
        <v>2</v>
      </c>
      <c r="AH2149">
        <v>0</v>
      </c>
      <c r="AI2149" t="s">
        <v>1323</v>
      </c>
      <c r="AJ2149">
        <v>39.951180999999998</v>
      </c>
      <c r="AK2149" t="s">
        <v>1324</v>
      </c>
      <c r="AL2149">
        <v>-92.660880000000006</v>
      </c>
      <c r="AM2149">
        <v>100</v>
      </c>
      <c r="AN2149">
        <v>1700</v>
      </c>
      <c r="AO2149" t="s">
        <v>118</v>
      </c>
      <c r="AP2149">
        <v>-108</v>
      </c>
      <c r="AQ2149">
        <v>79</v>
      </c>
      <c r="AR2149">
        <v>-128</v>
      </c>
      <c r="AZ2149">
        <v>1200</v>
      </c>
      <c r="BA2149">
        <v>1</v>
      </c>
      <c r="BB2149" t="str">
        <f t="shared" si="103"/>
        <v xml:space="preserve">N8080G  </v>
      </c>
      <c r="BC2149">
        <v>1</v>
      </c>
      <c r="BE2149">
        <v>0</v>
      </c>
      <c r="BF2149">
        <v>0</v>
      </c>
      <c r="BG2149">
        <v>0</v>
      </c>
      <c r="BH2149">
        <v>1675</v>
      </c>
      <c r="BI2149">
        <v>1</v>
      </c>
      <c r="BJ2149">
        <v>1</v>
      </c>
      <c r="BK2149">
        <v>1</v>
      </c>
      <c r="BL2149">
        <v>0</v>
      </c>
      <c r="BO2149">
        <v>0</v>
      </c>
      <c r="BP2149">
        <v>0</v>
      </c>
      <c r="BW2149" t="str">
        <f>"20:25:56.325"</f>
        <v>20:25:56.325</v>
      </c>
      <c r="BZ2149">
        <v>0</v>
      </c>
      <c r="CA2149">
        <v>2016</v>
      </c>
      <c r="CB2149">
        <v>224</v>
      </c>
      <c r="CD2149">
        <v>1</v>
      </c>
      <c r="CE2149">
        <v>0</v>
      </c>
      <c r="CF2149">
        <v>0</v>
      </c>
      <c r="CG2149">
        <v>1</v>
      </c>
      <c r="CH2149">
        <v>0</v>
      </c>
      <c r="CI2149">
        <v>0</v>
      </c>
      <c r="CJ2149">
        <v>0</v>
      </c>
      <c r="CK2149">
        <v>2</v>
      </c>
      <c r="CL2149">
        <v>0</v>
      </c>
      <c r="CM2149">
        <v>2</v>
      </c>
      <c r="CN2149">
        <v>0</v>
      </c>
      <c r="CO2149">
        <v>7</v>
      </c>
      <c r="CP2149" t="s">
        <v>119</v>
      </c>
      <c r="CQ2149">
        <v>180</v>
      </c>
      <c r="CR2149">
        <v>2</v>
      </c>
      <c r="CW2149">
        <v>8453849</v>
      </c>
      <c r="CY2149">
        <v>1</v>
      </c>
      <c r="CZ2149">
        <v>0</v>
      </c>
      <c r="DA2149">
        <v>1</v>
      </c>
      <c r="DB2149">
        <v>0</v>
      </c>
      <c r="DC2149">
        <v>0</v>
      </c>
      <c r="DD2149">
        <v>0</v>
      </c>
      <c r="DE2149">
        <v>0</v>
      </c>
      <c r="DF2149">
        <v>0</v>
      </c>
      <c r="DG2149">
        <v>0</v>
      </c>
      <c r="DH2149">
        <v>0</v>
      </c>
      <c r="DI2149">
        <v>0</v>
      </c>
    </row>
    <row r="2150" spans="1:113" x14ac:dyDescent="0.3">
      <c r="A2150" t="str">
        <f>"02/08/2021 20:25:53.991"</f>
        <v>02/08/2021 20:25:53.991</v>
      </c>
      <c r="C2150" t="str">
        <f t="shared" si="102"/>
        <v>FFDFD7C0</v>
      </c>
      <c r="D2150" t="s">
        <v>124</v>
      </c>
      <c r="E2150">
        <v>13</v>
      </c>
      <c r="F2150">
        <v>1013</v>
      </c>
      <c r="G2150" t="s">
        <v>114</v>
      </c>
      <c r="J2150" t="s">
        <v>125</v>
      </c>
      <c r="K2150">
        <v>0</v>
      </c>
      <c r="L2150">
        <v>3</v>
      </c>
      <c r="M2150">
        <v>0</v>
      </c>
      <c r="N2150">
        <v>2</v>
      </c>
      <c r="O2150">
        <v>1</v>
      </c>
      <c r="P2150">
        <v>0</v>
      </c>
      <c r="Q2150">
        <v>0</v>
      </c>
      <c r="S2150" t="str">
        <f>"20:25:56.320"</f>
        <v>20:25:56.320</v>
      </c>
      <c r="T2150" t="str">
        <f>"20:25:55.920"</f>
        <v>20:25:55.920</v>
      </c>
      <c r="U2150" t="str">
        <f t="shared" si="104"/>
        <v>AB01F4</v>
      </c>
      <c r="V2150">
        <v>0</v>
      </c>
      <c r="W2150">
        <v>0</v>
      </c>
      <c r="X2150">
        <v>2</v>
      </c>
      <c r="Z2150">
        <v>0</v>
      </c>
      <c r="AA2150">
        <v>9</v>
      </c>
      <c r="AB2150">
        <v>3</v>
      </c>
      <c r="AC2150">
        <v>0</v>
      </c>
      <c r="AD2150">
        <v>10</v>
      </c>
      <c r="AE2150">
        <v>0</v>
      </c>
      <c r="AF2150">
        <v>3</v>
      </c>
      <c r="AG2150">
        <v>2</v>
      </c>
      <c r="AH2150">
        <v>0</v>
      </c>
      <c r="AI2150" t="s">
        <v>1323</v>
      </c>
      <c r="AJ2150">
        <v>39.951180999999998</v>
      </c>
      <c r="AK2150" t="s">
        <v>1324</v>
      </c>
      <c r="AL2150">
        <v>-92.660880000000006</v>
      </c>
      <c r="AM2150">
        <v>100</v>
      </c>
      <c r="AN2150">
        <v>1700</v>
      </c>
      <c r="AO2150" t="s">
        <v>118</v>
      </c>
      <c r="AP2150">
        <v>-108</v>
      </c>
      <c r="AQ2150">
        <v>79</v>
      </c>
      <c r="AR2150">
        <v>-128</v>
      </c>
      <c r="AZ2150">
        <v>1200</v>
      </c>
      <c r="BA2150">
        <v>1</v>
      </c>
      <c r="BB2150" t="str">
        <f t="shared" si="103"/>
        <v xml:space="preserve">N8080G  </v>
      </c>
      <c r="BC2150">
        <v>1</v>
      </c>
      <c r="BE2150">
        <v>0</v>
      </c>
      <c r="BF2150">
        <v>0</v>
      </c>
      <c r="BG2150">
        <v>0</v>
      </c>
      <c r="BH2150">
        <v>1675</v>
      </c>
      <c r="BI2150">
        <v>1</v>
      </c>
      <c r="BJ2150">
        <v>1</v>
      </c>
      <c r="BK2150">
        <v>1</v>
      </c>
      <c r="BL2150">
        <v>0</v>
      </c>
      <c r="BO2150">
        <v>0</v>
      </c>
      <c r="BP2150">
        <v>0</v>
      </c>
      <c r="BW2150" t="str">
        <f>"20:25:56.325"</f>
        <v>20:25:56.325</v>
      </c>
      <c r="BZ2150">
        <v>0</v>
      </c>
      <c r="CA2150">
        <v>2016</v>
      </c>
      <c r="CB2150">
        <v>224</v>
      </c>
      <c r="CD2150">
        <v>1</v>
      </c>
      <c r="CE2150">
        <v>0</v>
      </c>
      <c r="CF2150">
        <v>0</v>
      </c>
      <c r="CG2150">
        <v>1</v>
      </c>
      <c r="CH2150">
        <v>0</v>
      </c>
      <c r="CI2150">
        <v>0</v>
      </c>
      <c r="CJ2150">
        <v>0</v>
      </c>
      <c r="CK2150">
        <v>2</v>
      </c>
      <c r="CL2150">
        <v>0</v>
      </c>
      <c r="CM2150">
        <v>2</v>
      </c>
      <c r="CN2150">
        <v>0</v>
      </c>
      <c r="CO2150">
        <v>7</v>
      </c>
      <c r="CP2150" t="s">
        <v>119</v>
      </c>
      <c r="CQ2150">
        <v>180</v>
      </c>
      <c r="CR2150">
        <v>2</v>
      </c>
      <c r="CW2150">
        <v>8453849</v>
      </c>
      <c r="CY2150">
        <v>1</v>
      </c>
      <c r="CZ2150">
        <v>0</v>
      </c>
      <c r="DA2150">
        <v>1</v>
      </c>
      <c r="DB2150">
        <v>0</v>
      </c>
      <c r="DC2150">
        <v>0</v>
      </c>
      <c r="DD2150">
        <v>0</v>
      </c>
      <c r="DE2150">
        <v>0</v>
      </c>
      <c r="DF2150">
        <v>0</v>
      </c>
      <c r="DG2150">
        <v>0</v>
      </c>
      <c r="DH2150">
        <v>0</v>
      </c>
      <c r="DI2150">
        <v>0</v>
      </c>
    </row>
    <row r="2151" spans="1:113" x14ac:dyDescent="0.3">
      <c r="A2151" t="str">
        <f>"02/08/2021 20:25:55.053"</f>
        <v>02/08/2021 20:25:55.053</v>
      </c>
      <c r="C2151" t="str">
        <f t="shared" si="102"/>
        <v>FFDFD7C0</v>
      </c>
      <c r="D2151" t="s">
        <v>113</v>
      </c>
      <c r="E2151">
        <v>6</v>
      </c>
      <c r="H2151">
        <v>165</v>
      </c>
      <c r="I2151" t="s">
        <v>114</v>
      </c>
      <c r="J2151" t="s">
        <v>115</v>
      </c>
      <c r="K2151">
        <v>0</v>
      </c>
      <c r="L2151">
        <v>3</v>
      </c>
      <c r="M2151">
        <v>0</v>
      </c>
      <c r="N2151">
        <v>2</v>
      </c>
      <c r="O2151">
        <v>1</v>
      </c>
      <c r="P2151">
        <v>0</v>
      </c>
      <c r="Q2151">
        <v>0</v>
      </c>
      <c r="S2151" t="str">
        <f>"20:25:57.336"</f>
        <v>20:25:57.336</v>
      </c>
      <c r="T2151" t="str">
        <f>"20:25:56.836"</f>
        <v>20:25:56.836</v>
      </c>
      <c r="U2151" t="str">
        <f t="shared" si="104"/>
        <v>AB01F4</v>
      </c>
      <c r="V2151">
        <v>0</v>
      </c>
      <c r="W2151">
        <v>0</v>
      </c>
      <c r="X2151">
        <v>2</v>
      </c>
      <c r="Z2151">
        <v>0</v>
      </c>
      <c r="AA2151">
        <v>9</v>
      </c>
      <c r="AB2151">
        <v>3</v>
      </c>
      <c r="AC2151">
        <v>0</v>
      </c>
      <c r="AD2151">
        <v>10</v>
      </c>
      <c r="AE2151">
        <v>0</v>
      </c>
      <c r="AF2151">
        <v>3</v>
      </c>
      <c r="AG2151">
        <v>2</v>
      </c>
      <c r="AH2151">
        <v>0</v>
      </c>
      <c r="AI2151" t="s">
        <v>1325</v>
      </c>
      <c r="AJ2151">
        <v>39.951546</v>
      </c>
      <c r="AK2151" t="s">
        <v>1326</v>
      </c>
      <c r="AL2151">
        <v>-92.661501999999999</v>
      </c>
      <c r="AM2151">
        <v>100</v>
      </c>
      <c r="AN2151">
        <v>1700</v>
      </c>
      <c r="AO2151" t="s">
        <v>118</v>
      </c>
      <c r="AP2151">
        <v>-108</v>
      </c>
      <c r="AQ2151">
        <v>79</v>
      </c>
      <c r="AR2151">
        <v>-64</v>
      </c>
      <c r="AZ2151">
        <v>1200</v>
      </c>
      <c r="BA2151">
        <v>1</v>
      </c>
      <c r="BB2151" t="str">
        <f t="shared" si="103"/>
        <v xml:space="preserve">N8080G  </v>
      </c>
      <c r="BC2151">
        <v>1</v>
      </c>
      <c r="BE2151">
        <v>0</v>
      </c>
      <c r="BF2151">
        <v>0</v>
      </c>
      <c r="BG2151">
        <v>0</v>
      </c>
      <c r="BH2151">
        <v>1675</v>
      </c>
      <c r="BI2151">
        <v>1</v>
      </c>
      <c r="BJ2151">
        <v>1</v>
      </c>
      <c r="BK2151">
        <v>1</v>
      </c>
      <c r="BL2151">
        <v>0</v>
      </c>
      <c r="BO2151">
        <v>0</v>
      </c>
      <c r="BP2151">
        <v>0</v>
      </c>
      <c r="BW2151" t="str">
        <f>"20:25:57.341"</f>
        <v>20:25:57.341</v>
      </c>
      <c r="BZ2151">
        <v>0</v>
      </c>
      <c r="CA2151">
        <v>2016</v>
      </c>
      <c r="CB2151">
        <v>224</v>
      </c>
      <c r="CD2151">
        <v>1</v>
      </c>
      <c r="CE2151">
        <v>0</v>
      </c>
      <c r="CF2151">
        <v>0</v>
      </c>
      <c r="CG2151">
        <v>1</v>
      </c>
      <c r="CH2151">
        <v>0</v>
      </c>
      <c r="CI2151">
        <v>0</v>
      </c>
      <c r="CJ2151">
        <v>0</v>
      </c>
      <c r="CK2151">
        <v>2</v>
      </c>
      <c r="CL2151">
        <v>0</v>
      </c>
      <c r="CM2151">
        <v>2</v>
      </c>
      <c r="CN2151">
        <v>0</v>
      </c>
      <c r="CO2151">
        <v>2</v>
      </c>
      <c r="CP2151" t="s">
        <v>119</v>
      </c>
      <c r="CQ2151">
        <v>179</v>
      </c>
      <c r="CR2151">
        <v>1</v>
      </c>
      <c r="CW2151">
        <v>8896424</v>
      </c>
      <c r="CY2151">
        <v>1</v>
      </c>
      <c r="CZ2151">
        <v>0</v>
      </c>
      <c r="DA2151">
        <v>0</v>
      </c>
      <c r="DB2151">
        <v>0</v>
      </c>
      <c r="DC2151">
        <v>0</v>
      </c>
      <c r="DD2151">
        <v>0</v>
      </c>
      <c r="DE2151">
        <v>0</v>
      </c>
      <c r="DF2151">
        <v>0</v>
      </c>
      <c r="DG2151">
        <v>0</v>
      </c>
      <c r="DH2151">
        <v>0</v>
      </c>
      <c r="DI2151">
        <v>0</v>
      </c>
    </row>
    <row r="2152" spans="1:113" x14ac:dyDescent="0.3">
      <c r="A2152" t="str">
        <f>"02/08/2021 20:25:55.053"</f>
        <v>02/08/2021 20:25:55.053</v>
      </c>
      <c r="C2152" t="str">
        <f t="shared" si="102"/>
        <v>FFDFD7C0</v>
      </c>
      <c r="D2152" t="s">
        <v>124</v>
      </c>
      <c r="E2152">
        <v>12</v>
      </c>
      <c r="F2152">
        <v>1012</v>
      </c>
      <c r="G2152" t="s">
        <v>675</v>
      </c>
      <c r="J2152" t="s">
        <v>125</v>
      </c>
      <c r="K2152">
        <v>0</v>
      </c>
      <c r="L2152">
        <v>3</v>
      </c>
      <c r="M2152">
        <v>0</v>
      </c>
      <c r="N2152">
        <v>2</v>
      </c>
      <c r="O2152">
        <v>1</v>
      </c>
      <c r="P2152">
        <v>0</v>
      </c>
      <c r="Q2152">
        <v>0</v>
      </c>
      <c r="S2152" t="str">
        <f>"20:25:57.336"</f>
        <v>20:25:57.336</v>
      </c>
      <c r="T2152" t="str">
        <f>"20:25:56.836"</f>
        <v>20:25:56.836</v>
      </c>
      <c r="U2152" t="str">
        <f t="shared" si="104"/>
        <v>AB01F4</v>
      </c>
      <c r="V2152">
        <v>0</v>
      </c>
      <c r="W2152">
        <v>0</v>
      </c>
      <c r="X2152">
        <v>2</v>
      </c>
      <c r="Z2152">
        <v>0</v>
      </c>
      <c r="AA2152">
        <v>9</v>
      </c>
      <c r="AB2152">
        <v>3</v>
      </c>
      <c r="AC2152">
        <v>0</v>
      </c>
      <c r="AD2152">
        <v>10</v>
      </c>
      <c r="AE2152">
        <v>0</v>
      </c>
      <c r="AF2152">
        <v>3</v>
      </c>
      <c r="AG2152">
        <v>2</v>
      </c>
      <c r="AH2152">
        <v>0</v>
      </c>
      <c r="AI2152" t="s">
        <v>1325</v>
      </c>
      <c r="AJ2152">
        <v>39.951546</v>
      </c>
      <c r="AK2152" t="s">
        <v>1326</v>
      </c>
      <c r="AL2152">
        <v>-92.661501999999999</v>
      </c>
      <c r="AM2152">
        <v>100</v>
      </c>
      <c r="AN2152">
        <v>1700</v>
      </c>
      <c r="AO2152" t="s">
        <v>118</v>
      </c>
      <c r="AP2152">
        <v>-108</v>
      </c>
      <c r="AQ2152">
        <v>79</v>
      </c>
      <c r="AR2152">
        <v>-64</v>
      </c>
      <c r="AZ2152">
        <v>1200</v>
      </c>
      <c r="BA2152">
        <v>1</v>
      </c>
      <c r="BB2152" t="str">
        <f t="shared" si="103"/>
        <v xml:space="preserve">N8080G  </v>
      </c>
      <c r="BC2152">
        <v>1</v>
      </c>
      <c r="BE2152">
        <v>0</v>
      </c>
      <c r="BF2152">
        <v>0</v>
      </c>
      <c r="BG2152">
        <v>0</v>
      </c>
      <c r="BH2152">
        <v>1675</v>
      </c>
      <c r="BI2152">
        <v>1</v>
      </c>
      <c r="BJ2152">
        <v>1</v>
      </c>
      <c r="BK2152">
        <v>1</v>
      </c>
      <c r="BL2152">
        <v>0</v>
      </c>
      <c r="BO2152">
        <v>0</v>
      </c>
      <c r="BP2152">
        <v>0</v>
      </c>
      <c r="BW2152" t="str">
        <f>"20:25:57.341"</f>
        <v>20:25:57.341</v>
      </c>
      <c r="BZ2152">
        <v>0</v>
      </c>
      <c r="CA2152">
        <v>2016</v>
      </c>
      <c r="CB2152">
        <v>224</v>
      </c>
      <c r="CD2152">
        <v>1</v>
      </c>
      <c r="CE2152">
        <v>0</v>
      </c>
      <c r="CF2152">
        <v>0</v>
      </c>
      <c r="CG2152">
        <v>1</v>
      </c>
      <c r="CH2152">
        <v>0</v>
      </c>
      <c r="CI2152">
        <v>0</v>
      </c>
      <c r="CJ2152">
        <v>0</v>
      </c>
      <c r="CK2152">
        <v>2</v>
      </c>
      <c r="CL2152">
        <v>0</v>
      </c>
      <c r="CM2152">
        <v>2</v>
      </c>
      <c r="CN2152">
        <v>0</v>
      </c>
      <c r="CO2152">
        <v>2</v>
      </c>
      <c r="CP2152" t="s">
        <v>119</v>
      </c>
      <c r="CQ2152">
        <v>179</v>
      </c>
      <c r="CR2152">
        <v>1</v>
      </c>
      <c r="CW2152">
        <v>8896424</v>
      </c>
      <c r="CY2152">
        <v>1</v>
      </c>
      <c r="CZ2152">
        <v>0</v>
      </c>
      <c r="DA2152">
        <v>1</v>
      </c>
      <c r="DB2152">
        <v>0</v>
      </c>
      <c r="DC2152">
        <v>0</v>
      </c>
      <c r="DD2152">
        <v>0</v>
      </c>
      <c r="DE2152">
        <v>0</v>
      </c>
      <c r="DF2152">
        <v>0</v>
      </c>
      <c r="DG2152">
        <v>0</v>
      </c>
      <c r="DH2152">
        <v>0</v>
      </c>
      <c r="DI2152">
        <v>0</v>
      </c>
    </row>
    <row r="2153" spans="1:113" x14ac:dyDescent="0.3">
      <c r="A2153" t="str">
        <f>"02/08/2021 20:25:55.053"</f>
        <v>02/08/2021 20:25:55.053</v>
      </c>
      <c r="C2153" t="str">
        <f t="shared" si="102"/>
        <v>FFDFD7C0</v>
      </c>
      <c r="D2153" t="s">
        <v>124</v>
      </c>
      <c r="E2153">
        <v>11</v>
      </c>
      <c r="F2153">
        <v>1011</v>
      </c>
      <c r="G2153" t="s">
        <v>590</v>
      </c>
      <c r="J2153" t="s">
        <v>125</v>
      </c>
      <c r="K2153">
        <v>0</v>
      </c>
      <c r="L2153">
        <v>3</v>
      </c>
      <c r="M2153">
        <v>0</v>
      </c>
      <c r="N2153">
        <v>2</v>
      </c>
      <c r="O2153">
        <v>1</v>
      </c>
      <c r="P2153">
        <v>0</v>
      </c>
      <c r="Q2153">
        <v>0</v>
      </c>
      <c r="S2153" t="str">
        <f>"20:25:57.336"</f>
        <v>20:25:57.336</v>
      </c>
      <c r="T2153" t="str">
        <f>"20:25:56.836"</f>
        <v>20:25:56.836</v>
      </c>
      <c r="U2153" t="str">
        <f t="shared" si="104"/>
        <v>AB01F4</v>
      </c>
      <c r="V2153">
        <v>0</v>
      </c>
      <c r="W2153">
        <v>0</v>
      </c>
      <c r="X2153">
        <v>2</v>
      </c>
      <c r="Z2153">
        <v>0</v>
      </c>
      <c r="AA2153">
        <v>9</v>
      </c>
      <c r="AB2153">
        <v>3</v>
      </c>
      <c r="AC2153">
        <v>0</v>
      </c>
      <c r="AD2153">
        <v>10</v>
      </c>
      <c r="AE2153">
        <v>0</v>
      </c>
      <c r="AF2153">
        <v>3</v>
      </c>
      <c r="AG2153">
        <v>2</v>
      </c>
      <c r="AH2153">
        <v>0</v>
      </c>
      <c r="AI2153" t="s">
        <v>1325</v>
      </c>
      <c r="AJ2153">
        <v>39.951546</v>
      </c>
      <c r="AK2153" t="s">
        <v>1326</v>
      </c>
      <c r="AL2153">
        <v>-92.661501999999999</v>
      </c>
      <c r="AM2153">
        <v>100</v>
      </c>
      <c r="AN2153">
        <v>1700</v>
      </c>
      <c r="AO2153" t="s">
        <v>118</v>
      </c>
      <c r="AP2153">
        <v>-108</v>
      </c>
      <c r="AQ2153">
        <v>79</v>
      </c>
      <c r="AR2153">
        <v>-64</v>
      </c>
      <c r="AZ2153">
        <v>1200</v>
      </c>
      <c r="BA2153">
        <v>1</v>
      </c>
      <c r="BB2153" t="str">
        <f t="shared" si="103"/>
        <v xml:space="preserve">N8080G  </v>
      </c>
      <c r="BC2153">
        <v>1</v>
      </c>
      <c r="BE2153">
        <v>0</v>
      </c>
      <c r="BF2153">
        <v>0</v>
      </c>
      <c r="BG2153">
        <v>0</v>
      </c>
      <c r="BH2153">
        <v>1675</v>
      </c>
      <c r="BI2153">
        <v>1</v>
      </c>
      <c r="BJ2153">
        <v>1</v>
      </c>
      <c r="BK2153">
        <v>1</v>
      </c>
      <c r="BL2153">
        <v>0</v>
      </c>
      <c r="BO2153">
        <v>0</v>
      </c>
      <c r="BP2153">
        <v>0</v>
      </c>
      <c r="BW2153" t="str">
        <f>"20:25:57.341"</f>
        <v>20:25:57.341</v>
      </c>
      <c r="BZ2153">
        <v>0</v>
      </c>
      <c r="CA2153">
        <v>2016</v>
      </c>
      <c r="CB2153">
        <v>224</v>
      </c>
      <c r="CD2153">
        <v>1</v>
      </c>
      <c r="CE2153">
        <v>0</v>
      </c>
      <c r="CF2153">
        <v>0</v>
      </c>
      <c r="CG2153">
        <v>1</v>
      </c>
      <c r="CH2153">
        <v>0</v>
      </c>
      <c r="CI2153">
        <v>0</v>
      </c>
      <c r="CJ2153">
        <v>0</v>
      </c>
      <c r="CK2153">
        <v>2</v>
      </c>
      <c r="CL2153">
        <v>0</v>
      </c>
      <c r="CM2153">
        <v>2</v>
      </c>
      <c r="CN2153">
        <v>0</v>
      </c>
      <c r="CO2153">
        <v>2</v>
      </c>
      <c r="CP2153" t="s">
        <v>119</v>
      </c>
      <c r="CQ2153">
        <v>179</v>
      </c>
      <c r="CR2153">
        <v>1</v>
      </c>
      <c r="CW2153">
        <v>8896424</v>
      </c>
      <c r="CY2153">
        <v>1</v>
      </c>
      <c r="CZ2153">
        <v>0</v>
      </c>
      <c r="DA2153">
        <v>1</v>
      </c>
      <c r="DB2153">
        <v>0</v>
      </c>
      <c r="DC2153">
        <v>0</v>
      </c>
      <c r="DD2153">
        <v>0</v>
      </c>
      <c r="DE2153">
        <v>0</v>
      </c>
      <c r="DF2153">
        <v>0</v>
      </c>
      <c r="DG2153">
        <v>0</v>
      </c>
      <c r="DH2153">
        <v>0</v>
      </c>
      <c r="DI2153">
        <v>0</v>
      </c>
    </row>
    <row r="2154" spans="1:113" x14ac:dyDescent="0.3">
      <c r="A2154" t="str">
        <f>"02/08/2021 20:25:55.053"</f>
        <v>02/08/2021 20:25:55.053</v>
      </c>
      <c r="C2154" t="str">
        <f t="shared" si="102"/>
        <v>FFDFD7C0</v>
      </c>
      <c r="D2154" t="s">
        <v>124</v>
      </c>
      <c r="E2154">
        <v>13</v>
      </c>
      <c r="F2154">
        <v>1013</v>
      </c>
      <c r="G2154" t="s">
        <v>114</v>
      </c>
      <c r="J2154" t="s">
        <v>125</v>
      </c>
      <c r="K2154">
        <v>0</v>
      </c>
      <c r="L2154">
        <v>3</v>
      </c>
      <c r="M2154">
        <v>0</v>
      </c>
      <c r="N2154">
        <v>2</v>
      </c>
      <c r="O2154">
        <v>1</v>
      </c>
      <c r="P2154">
        <v>0</v>
      </c>
      <c r="Q2154">
        <v>0</v>
      </c>
      <c r="S2154" t="str">
        <f>"20:25:57.336"</f>
        <v>20:25:57.336</v>
      </c>
      <c r="T2154" t="str">
        <f>"20:25:56.836"</f>
        <v>20:25:56.836</v>
      </c>
      <c r="U2154" t="str">
        <f t="shared" si="104"/>
        <v>AB01F4</v>
      </c>
      <c r="V2154">
        <v>0</v>
      </c>
      <c r="W2154">
        <v>0</v>
      </c>
      <c r="X2154">
        <v>2</v>
      </c>
      <c r="Z2154">
        <v>0</v>
      </c>
      <c r="AA2154">
        <v>9</v>
      </c>
      <c r="AB2154">
        <v>3</v>
      </c>
      <c r="AC2154">
        <v>0</v>
      </c>
      <c r="AD2154">
        <v>10</v>
      </c>
      <c r="AE2154">
        <v>0</v>
      </c>
      <c r="AF2154">
        <v>3</v>
      </c>
      <c r="AG2154">
        <v>2</v>
      </c>
      <c r="AH2154">
        <v>0</v>
      </c>
      <c r="AI2154" t="s">
        <v>1325</v>
      </c>
      <c r="AJ2154">
        <v>39.951546</v>
      </c>
      <c r="AK2154" t="s">
        <v>1326</v>
      </c>
      <c r="AL2154">
        <v>-92.661501999999999</v>
      </c>
      <c r="AM2154">
        <v>100</v>
      </c>
      <c r="AN2154">
        <v>1700</v>
      </c>
      <c r="AO2154" t="s">
        <v>118</v>
      </c>
      <c r="AP2154">
        <v>-108</v>
      </c>
      <c r="AQ2154">
        <v>79</v>
      </c>
      <c r="AR2154">
        <v>-64</v>
      </c>
      <c r="AZ2154">
        <v>1200</v>
      </c>
      <c r="BA2154">
        <v>1</v>
      </c>
      <c r="BB2154" t="str">
        <f t="shared" si="103"/>
        <v xml:space="preserve">N8080G  </v>
      </c>
      <c r="BC2154">
        <v>1</v>
      </c>
      <c r="BE2154">
        <v>0</v>
      </c>
      <c r="BF2154">
        <v>0</v>
      </c>
      <c r="BG2154">
        <v>0</v>
      </c>
      <c r="BH2154">
        <v>1675</v>
      </c>
      <c r="BI2154">
        <v>1</v>
      </c>
      <c r="BJ2154">
        <v>1</v>
      </c>
      <c r="BK2154">
        <v>1</v>
      </c>
      <c r="BL2154">
        <v>0</v>
      </c>
      <c r="BO2154">
        <v>0</v>
      </c>
      <c r="BP2154">
        <v>0</v>
      </c>
      <c r="BW2154" t="str">
        <f>"20:25:57.341"</f>
        <v>20:25:57.341</v>
      </c>
      <c r="BZ2154">
        <v>0</v>
      </c>
      <c r="CA2154">
        <v>2016</v>
      </c>
      <c r="CB2154">
        <v>224</v>
      </c>
      <c r="CD2154">
        <v>1</v>
      </c>
      <c r="CE2154">
        <v>0</v>
      </c>
      <c r="CF2154">
        <v>0</v>
      </c>
      <c r="CG2154">
        <v>1</v>
      </c>
      <c r="CH2154">
        <v>0</v>
      </c>
      <c r="CI2154">
        <v>0</v>
      </c>
      <c r="CJ2154">
        <v>0</v>
      </c>
      <c r="CK2154">
        <v>2</v>
      </c>
      <c r="CL2154">
        <v>0</v>
      </c>
      <c r="CM2154">
        <v>2</v>
      </c>
      <c r="CN2154">
        <v>0</v>
      </c>
      <c r="CO2154">
        <v>2</v>
      </c>
      <c r="CP2154" t="s">
        <v>119</v>
      </c>
      <c r="CQ2154">
        <v>179</v>
      </c>
      <c r="CR2154">
        <v>1</v>
      </c>
      <c r="CW2154">
        <v>8896424</v>
      </c>
      <c r="CY2154">
        <v>1</v>
      </c>
      <c r="CZ2154">
        <v>0</v>
      </c>
      <c r="DA2154">
        <v>1</v>
      </c>
      <c r="DB2154">
        <v>0</v>
      </c>
      <c r="DC2154">
        <v>0</v>
      </c>
      <c r="DD2154">
        <v>0</v>
      </c>
      <c r="DE2154">
        <v>0</v>
      </c>
      <c r="DF2154">
        <v>0</v>
      </c>
      <c r="DG2154">
        <v>0</v>
      </c>
      <c r="DH2154">
        <v>0</v>
      </c>
      <c r="DI2154">
        <v>0</v>
      </c>
    </row>
    <row r="2155" spans="1:113" x14ac:dyDescent="0.3">
      <c r="A2155" t="str">
        <f>"02/08/2021 20:25:55.911"</f>
        <v>02/08/2021 20:25:55.911</v>
      </c>
      <c r="C2155" t="str">
        <f t="shared" si="102"/>
        <v>FFDFD7C0</v>
      </c>
      <c r="D2155" t="s">
        <v>113</v>
      </c>
      <c r="E2155">
        <v>6</v>
      </c>
      <c r="H2155">
        <v>165</v>
      </c>
      <c r="I2155" t="s">
        <v>114</v>
      </c>
      <c r="J2155" t="s">
        <v>115</v>
      </c>
      <c r="K2155">
        <v>0</v>
      </c>
      <c r="L2155">
        <v>3</v>
      </c>
      <c r="M2155">
        <v>0</v>
      </c>
      <c r="N2155">
        <v>2</v>
      </c>
      <c r="O2155">
        <v>1</v>
      </c>
      <c r="P2155">
        <v>0</v>
      </c>
      <c r="Q2155">
        <v>0</v>
      </c>
      <c r="S2155" t="str">
        <f>"20:25:58.234"</f>
        <v>20:25:58.234</v>
      </c>
      <c r="T2155" t="str">
        <f>"20:25:57.834"</f>
        <v>20:25:57.834</v>
      </c>
      <c r="U2155" t="str">
        <f t="shared" si="104"/>
        <v>AB01F4</v>
      </c>
      <c r="V2155">
        <v>0</v>
      </c>
      <c r="W2155">
        <v>0</v>
      </c>
      <c r="X2155">
        <v>2</v>
      </c>
      <c r="Z2155">
        <v>0</v>
      </c>
      <c r="AA2155">
        <v>9</v>
      </c>
      <c r="AB2155">
        <v>3</v>
      </c>
      <c r="AC2155">
        <v>0</v>
      </c>
      <c r="AD2155">
        <v>10</v>
      </c>
      <c r="AE2155">
        <v>0</v>
      </c>
      <c r="AF2155">
        <v>3</v>
      </c>
      <c r="AG2155">
        <v>2</v>
      </c>
      <c r="AH2155">
        <v>0</v>
      </c>
      <c r="AI2155" t="s">
        <v>1327</v>
      </c>
      <c r="AJ2155">
        <v>39.951867999999997</v>
      </c>
      <c r="AK2155" t="s">
        <v>1328</v>
      </c>
      <c r="AL2155">
        <v>-92.662125000000003</v>
      </c>
      <c r="AM2155">
        <v>100</v>
      </c>
      <c r="AN2155">
        <v>1700</v>
      </c>
      <c r="AO2155" t="s">
        <v>118</v>
      </c>
      <c r="AP2155">
        <v>-108</v>
      </c>
      <c r="AQ2155">
        <v>78</v>
      </c>
      <c r="AR2155">
        <v>64</v>
      </c>
      <c r="AZ2155">
        <v>1200</v>
      </c>
      <c r="BA2155">
        <v>1</v>
      </c>
      <c r="BB2155" t="str">
        <f t="shared" si="103"/>
        <v xml:space="preserve">N8080G  </v>
      </c>
      <c r="BC2155">
        <v>1</v>
      </c>
      <c r="BE2155">
        <v>0</v>
      </c>
      <c r="BF2155">
        <v>0</v>
      </c>
      <c r="BG2155">
        <v>0</v>
      </c>
      <c r="BH2155">
        <v>1700</v>
      </c>
      <c r="BI2155">
        <v>1</v>
      </c>
      <c r="BJ2155">
        <v>1</v>
      </c>
      <c r="BK2155">
        <v>1</v>
      </c>
      <c r="BL2155">
        <v>0</v>
      </c>
      <c r="BO2155">
        <v>0</v>
      </c>
      <c r="BP2155">
        <v>0</v>
      </c>
      <c r="BW2155" t="str">
        <f>"20:25:58.237"</f>
        <v>20:25:58.237</v>
      </c>
      <c r="BZ2155">
        <v>0</v>
      </c>
      <c r="CA2155">
        <v>2016</v>
      </c>
      <c r="CB2155">
        <v>224</v>
      </c>
      <c r="CD2155">
        <v>1</v>
      </c>
      <c r="CE2155">
        <v>0</v>
      </c>
      <c r="CF2155">
        <v>0</v>
      </c>
      <c r="CG2155">
        <v>1</v>
      </c>
      <c r="CH2155">
        <v>0</v>
      </c>
      <c r="CI2155">
        <v>0</v>
      </c>
      <c r="CJ2155">
        <v>0</v>
      </c>
      <c r="CK2155">
        <v>2</v>
      </c>
      <c r="CL2155">
        <v>0</v>
      </c>
      <c r="CM2155">
        <v>2</v>
      </c>
      <c r="CN2155">
        <v>0</v>
      </c>
      <c r="CO2155">
        <v>2</v>
      </c>
      <c r="CP2155" t="s">
        <v>119</v>
      </c>
      <c r="CQ2155">
        <v>179</v>
      </c>
      <c r="CR2155">
        <v>1</v>
      </c>
      <c r="CW2155">
        <v>8897131</v>
      </c>
      <c r="CY2155">
        <v>1</v>
      </c>
      <c r="CZ2155">
        <v>0</v>
      </c>
      <c r="DA2155">
        <v>0</v>
      </c>
      <c r="DB2155">
        <v>0</v>
      </c>
      <c r="DC2155">
        <v>0</v>
      </c>
      <c r="DD2155">
        <v>0</v>
      </c>
      <c r="DE2155">
        <v>0</v>
      </c>
      <c r="DF2155">
        <v>0</v>
      </c>
      <c r="DG2155">
        <v>0</v>
      </c>
      <c r="DH2155">
        <v>0</v>
      </c>
      <c r="DI2155">
        <v>0</v>
      </c>
    </row>
    <row r="2156" spans="1:113" x14ac:dyDescent="0.3">
      <c r="A2156" t="str">
        <f>"02/08/2021 20:25:55.911"</f>
        <v>02/08/2021 20:25:55.911</v>
      </c>
      <c r="C2156" t="str">
        <f t="shared" si="102"/>
        <v>FFDFD7C0</v>
      </c>
      <c r="D2156" t="s">
        <v>124</v>
      </c>
      <c r="E2156">
        <v>12</v>
      </c>
      <c r="F2156">
        <v>1012</v>
      </c>
      <c r="G2156" t="s">
        <v>675</v>
      </c>
      <c r="J2156" t="s">
        <v>125</v>
      </c>
      <c r="K2156">
        <v>0</v>
      </c>
      <c r="L2156">
        <v>3</v>
      </c>
      <c r="M2156">
        <v>0</v>
      </c>
      <c r="N2156">
        <v>2</v>
      </c>
      <c r="O2156">
        <v>1</v>
      </c>
      <c r="P2156">
        <v>0</v>
      </c>
      <c r="Q2156">
        <v>0</v>
      </c>
      <c r="S2156" t="str">
        <f>"20:25:58.234"</f>
        <v>20:25:58.234</v>
      </c>
      <c r="T2156" t="str">
        <f>"20:25:57.834"</f>
        <v>20:25:57.834</v>
      </c>
      <c r="U2156" t="str">
        <f t="shared" si="104"/>
        <v>AB01F4</v>
      </c>
      <c r="V2156">
        <v>0</v>
      </c>
      <c r="W2156">
        <v>0</v>
      </c>
      <c r="X2156">
        <v>2</v>
      </c>
      <c r="Z2156">
        <v>0</v>
      </c>
      <c r="AA2156">
        <v>9</v>
      </c>
      <c r="AB2156">
        <v>3</v>
      </c>
      <c r="AC2156">
        <v>0</v>
      </c>
      <c r="AD2156">
        <v>10</v>
      </c>
      <c r="AE2156">
        <v>0</v>
      </c>
      <c r="AF2156">
        <v>3</v>
      </c>
      <c r="AG2156">
        <v>2</v>
      </c>
      <c r="AH2156">
        <v>0</v>
      </c>
      <c r="AI2156" t="s">
        <v>1327</v>
      </c>
      <c r="AJ2156">
        <v>39.951867999999997</v>
      </c>
      <c r="AK2156" t="s">
        <v>1328</v>
      </c>
      <c r="AL2156">
        <v>-92.662125000000003</v>
      </c>
      <c r="AM2156">
        <v>100</v>
      </c>
      <c r="AN2156">
        <v>1700</v>
      </c>
      <c r="AO2156" t="s">
        <v>118</v>
      </c>
      <c r="AP2156">
        <v>-108</v>
      </c>
      <c r="AQ2156">
        <v>78</v>
      </c>
      <c r="AR2156">
        <v>64</v>
      </c>
      <c r="AZ2156">
        <v>1200</v>
      </c>
      <c r="BA2156">
        <v>1</v>
      </c>
      <c r="BB2156" t="str">
        <f t="shared" si="103"/>
        <v xml:space="preserve">N8080G  </v>
      </c>
      <c r="BC2156">
        <v>1</v>
      </c>
      <c r="BE2156">
        <v>0</v>
      </c>
      <c r="BF2156">
        <v>0</v>
      </c>
      <c r="BG2156">
        <v>0</v>
      </c>
      <c r="BH2156">
        <v>1700</v>
      </c>
      <c r="BI2156">
        <v>1</v>
      </c>
      <c r="BJ2156">
        <v>1</v>
      </c>
      <c r="BK2156">
        <v>1</v>
      </c>
      <c r="BL2156">
        <v>0</v>
      </c>
      <c r="BO2156">
        <v>0</v>
      </c>
      <c r="BP2156">
        <v>0</v>
      </c>
      <c r="BW2156" t="str">
        <f>"20:25:58.237"</f>
        <v>20:25:58.237</v>
      </c>
      <c r="BZ2156">
        <v>0</v>
      </c>
      <c r="CA2156">
        <v>2016</v>
      </c>
      <c r="CB2156">
        <v>224</v>
      </c>
      <c r="CD2156">
        <v>1</v>
      </c>
      <c r="CE2156">
        <v>0</v>
      </c>
      <c r="CF2156">
        <v>0</v>
      </c>
      <c r="CG2156">
        <v>1</v>
      </c>
      <c r="CH2156">
        <v>0</v>
      </c>
      <c r="CI2156">
        <v>0</v>
      </c>
      <c r="CJ2156">
        <v>0</v>
      </c>
      <c r="CK2156">
        <v>2</v>
      </c>
      <c r="CL2156">
        <v>0</v>
      </c>
      <c r="CM2156">
        <v>2</v>
      </c>
      <c r="CN2156">
        <v>0</v>
      </c>
      <c r="CO2156">
        <v>2</v>
      </c>
      <c r="CP2156" t="s">
        <v>119</v>
      </c>
      <c r="CQ2156">
        <v>179</v>
      </c>
      <c r="CR2156">
        <v>1</v>
      </c>
      <c r="CW2156">
        <v>8897131</v>
      </c>
      <c r="CY2156">
        <v>1</v>
      </c>
      <c r="CZ2156">
        <v>0</v>
      </c>
      <c r="DA2156">
        <v>1</v>
      </c>
      <c r="DB2156">
        <v>0</v>
      </c>
      <c r="DC2156">
        <v>0</v>
      </c>
      <c r="DD2156">
        <v>0</v>
      </c>
      <c r="DE2156">
        <v>0</v>
      </c>
      <c r="DF2156">
        <v>0</v>
      </c>
      <c r="DG2156">
        <v>0</v>
      </c>
      <c r="DH2156">
        <v>0</v>
      </c>
      <c r="DI2156">
        <v>0</v>
      </c>
    </row>
    <row r="2157" spans="1:113" x14ac:dyDescent="0.3">
      <c r="A2157" t="str">
        <f>"02/08/2021 20:25:55.911"</f>
        <v>02/08/2021 20:25:55.911</v>
      </c>
      <c r="C2157" t="str">
        <f t="shared" si="102"/>
        <v>FFDFD7C0</v>
      </c>
      <c r="D2157" t="s">
        <v>124</v>
      </c>
      <c r="E2157">
        <v>11</v>
      </c>
      <c r="F2157">
        <v>1011</v>
      </c>
      <c r="G2157" t="s">
        <v>590</v>
      </c>
      <c r="J2157" t="s">
        <v>125</v>
      </c>
      <c r="K2157">
        <v>0</v>
      </c>
      <c r="L2157">
        <v>3</v>
      </c>
      <c r="M2157">
        <v>0</v>
      </c>
      <c r="N2157">
        <v>2</v>
      </c>
      <c r="O2157">
        <v>1</v>
      </c>
      <c r="P2157">
        <v>0</v>
      </c>
      <c r="Q2157">
        <v>0</v>
      </c>
      <c r="S2157" t="str">
        <f>"20:25:58.234"</f>
        <v>20:25:58.234</v>
      </c>
      <c r="T2157" t="str">
        <f>"20:25:57.834"</f>
        <v>20:25:57.834</v>
      </c>
      <c r="U2157" t="str">
        <f t="shared" si="104"/>
        <v>AB01F4</v>
      </c>
      <c r="V2157">
        <v>0</v>
      </c>
      <c r="W2157">
        <v>0</v>
      </c>
      <c r="X2157">
        <v>2</v>
      </c>
      <c r="Z2157">
        <v>0</v>
      </c>
      <c r="AA2157">
        <v>9</v>
      </c>
      <c r="AB2157">
        <v>3</v>
      </c>
      <c r="AC2157">
        <v>0</v>
      </c>
      <c r="AD2157">
        <v>10</v>
      </c>
      <c r="AE2157">
        <v>0</v>
      </c>
      <c r="AF2157">
        <v>3</v>
      </c>
      <c r="AG2157">
        <v>2</v>
      </c>
      <c r="AH2157">
        <v>0</v>
      </c>
      <c r="AI2157" t="s">
        <v>1327</v>
      </c>
      <c r="AJ2157">
        <v>39.951867999999997</v>
      </c>
      <c r="AK2157" t="s">
        <v>1328</v>
      </c>
      <c r="AL2157">
        <v>-92.662125000000003</v>
      </c>
      <c r="AM2157">
        <v>100</v>
      </c>
      <c r="AN2157">
        <v>1700</v>
      </c>
      <c r="AO2157" t="s">
        <v>118</v>
      </c>
      <c r="AP2157">
        <v>-108</v>
      </c>
      <c r="AQ2157">
        <v>78</v>
      </c>
      <c r="AR2157">
        <v>64</v>
      </c>
      <c r="AZ2157">
        <v>1200</v>
      </c>
      <c r="BA2157">
        <v>1</v>
      </c>
      <c r="BB2157" t="str">
        <f t="shared" si="103"/>
        <v xml:space="preserve">N8080G  </v>
      </c>
      <c r="BC2157">
        <v>1</v>
      </c>
      <c r="BE2157">
        <v>0</v>
      </c>
      <c r="BF2157">
        <v>0</v>
      </c>
      <c r="BG2157">
        <v>0</v>
      </c>
      <c r="BH2157">
        <v>1700</v>
      </c>
      <c r="BI2157">
        <v>1</v>
      </c>
      <c r="BJ2157">
        <v>1</v>
      </c>
      <c r="BK2157">
        <v>1</v>
      </c>
      <c r="BL2157">
        <v>0</v>
      </c>
      <c r="BO2157">
        <v>0</v>
      </c>
      <c r="BP2157">
        <v>0</v>
      </c>
      <c r="BW2157" t="str">
        <f>"20:25:58.237"</f>
        <v>20:25:58.237</v>
      </c>
      <c r="BZ2157">
        <v>0</v>
      </c>
      <c r="CA2157">
        <v>2016</v>
      </c>
      <c r="CB2157">
        <v>224</v>
      </c>
      <c r="CD2157">
        <v>1</v>
      </c>
      <c r="CE2157">
        <v>0</v>
      </c>
      <c r="CF2157">
        <v>0</v>
      </c>
      <c r="CG2157">
        <v>1</v>
      </c>
      <c r="CH2157">
        <v>0</v>
      </c>
      <c r="CI2157">
        <v>0</v>
      </c>
      <c r="CJ2157">
        <v>0</v>
      </c>
      <c r="CK2157">
        <v>2</v>
      </c>
      <c r="CL2157">
        <v>0</v>
      </c>
      <c r="CM2157">
        <v>2</v>
      </c>
      <c r="CN2157">
        <v>0</v>
      </c>
      <c r="CO2157">
        <v>2</v>
      </c>
      <c r="CP2157" t="s">
        <v>119</v>
      </c>
      <c r="CQ2157">
        <v>179</v>
      </c>
      <c r="CR2157">
        <v>1</v>
      </c>
      <c r="CW2157">
        <v>8897131</v>
      </c>
      <c r="CY2157">
        <v>1</v>
      </c>
      <c r="CZ2157">
        <v>0</v>
      </c>
      <c r="DA2157">
        <v>1</v>
      </c>
      <c r="DB2157">
        <v>0</v>
      </c>
      <c r="DC2157">
        <v>0</v>
      </c>
      <c r="DD2157">
        <v>0</v>
      </c>
      <c r="DE2157">
        <v>0</v>
      </c>
      <c r="DF2157">
        <v>0</v>
      </c>
      <c r="DG2157">
        <v>0</v>
      </c>
      <c r="DH2157">
        <v>0</v>
      </c>
      <c r="DI2157">
        <v>0</v>
      </c>
    </row>
    <row r="2158" spans="1:113" x14ac:dyDescent="0.3">
      <c r="A2158" t="str">
        <f>"02/08/2021 20:25:55.911"</f>
        <v>02/08/2021 20:25:55.911</v>
      </c>
      <c r="C2158" t="str">
        <f t="shared" si="102"/>
        <v>FFDFD7C0</v>
      </c>
      <c r="D2158" t="s">
        <v>124</v>
      </c>
      <c r="E2158">
        <v>13</v>
      </c>
      <c r="F2158">
        <v>1013</v>
      </c>
      <c r="G2158" t="s">
        <v>114</v>
      </c>
      <c r="J2158" t="s">
        <v>125</v>
      </c>
      <c r="K2158">
        <v>0</v>
      </c>
      <c r="L2158">
        <v>3</v>
      </c>
      <c r="M2158">
        <v>0</v>
      </c>
      <c r="N2158">
        <v>2</v>
      </c>
      <c r="O2158">
        <v>1</v>
      </c>
      <c r="P2158">
        <v>0</v>
      </c>
      <c r="Q2158">
        <v>0</v>
      </c>
      <c r="S2158" t="str">
        <f>"20:25:58.234"</f>
        <v>20:25:58.234</v>
      </c>
      <c r="T2158" t="str">
        <f>"20:25:57.834"</f>
        <v>20:25:57.834</v>
      </c>
      <c r="U2158" t="str">
        <f t="shared" si="104"/>
        <v>AB01F4</v>
      </c>
      <c r="V2158">
        <v>0</v>
      </c>
      <c r="W2158">
        <v>0</v>
      </c>
      <c r="X2158">
        <v>2</v>
      </c>
      <c r="Z2158">
        <v>0</v>
      </c>
      <c r="AA2158">
        <v>9</v>
      </c>
      <c r="AB2158">
        <v>3</v>
      </c>
      <c r="AC2158">
        <v>0</v>
      </c>
      <c r="AD2158">
        <v>10</v>
      </c>
      <c r="AE2158">
        <v>0</v>
      </c>
      <c r="AF2158">
        <v>3</v>
      </c>
      <c r="AG2158">
        <v>2</v>
      </c>
      <c r="AH2158">
        <v>0</v>
      </c>
      <c r="AI2158" t="s">
        <v>1327</v>
      </c>
      <c r="AJ2158">
        <v>39.951867999999997</v>
      </c>
      <c r="AK2158" t="s">
        <v>1328</v>
      </c>
      <c r="AL2158">
        <v>-92.662125000000003</v>
      </c>
      <c r="AM2158">
        <v>100</v>
      </c>
      <c r="AN2158">
        <v>1700</v>
      </c>
      <c r="AO2158" t="s">
        <v>118</v>
      </c>
      <c r="AP2158">
        <v>-108</v>
      </c>
      <c r="AQ2158">
        <v>78</v>
      </c>
      <c r="AR2158">
        <v>64</v>
      </c>
      <c r="AZ2158">
        <v>1200</v>
      </c>
      <c r="BA2158">
        <v>1</v>
      </c>
      <c r="BB2158" t="str">
        <f t="shared" si="103"/>
        <v xml:space="preserve">N8080G  </v>
      </c>
      <c r="BC2158">
        <v>1</v>
      </c>
      <c r="BE2158">
        <v>0</v>
      </c>
      <c r="BF2158">
        <v>0</v>
      </c>
      <c r="BG2158">
        <v>0</v>
      </c>
      <c r="BH2158">
        <v>1700</v>
      </c>
      <c r="BI2158">
        <v>1</v>
      </c>
      <c r="BJ2158">
        <v>1</v>
      </c>
      <c r="BK2158">
        <v>1</v>
      </c>
      <c r="BL2158">
        <v>0</v>
      </c>
      <c r="BO2158">
        <v>0</v>
      </c>
      <c r="BP2158">
        <v>0</v>
      </c>
      <c r="BW2158" t="str">
        <f>"20:25:58.237"</f>
        <v>20:25:58.237</v>
      </c>
      <c r="BZ2158">
        <v>0</v>
      </c>
      <c r="CA2158">
        <v>2016</v>
      </c>
      <c r="CB2158">
        <v>224</v>
      </c>
      <c r="CD2158">
        <v>1</v>
      </c>
      <c r="CE2158">
        <v>0</v>
      </c>
      <c r="CF2158">
        <v>0</v>
      </c>
      <c r="CG2158">
        <v>1</v>
      </c>
      <c r="CH2158">
        <v>0</v>
      </c>
      <c r="CI2158">
        <v>0</v>
      </c>
      <c r="CJ2158">
        <v>0</v>
      </c>
      <c r="CK2158">
        <v>2</v>
      </c>
      <c r="CL2158">
        <v>0</v>
      </c>
      <c r="CM2158">
        <v>2</v>
      </c>
      <c r="CN2158">
        <v>0</v>
      </c>
      <c r="CO2158">
        <v>2</v>
      </c>
      <c r="CP2158" t="s">
        <v>119</v>
      </c>
      <c r="CQ2158">
        <v>179</v>
      </c>
      <c r="CR2158">
        <v>1</v>
      </c>
      <c r="CW2158">
        <v>8897131</v>
      </c>
      <c r="CY2158">
        <v>1</v>
      </c>
      <c r="CZ2158">
        <v>0</v>
      </c>
      <c r="DA2158">
        <v>1</v>
      </c>
      <c r="DB2158">
        <v>0</v>
      </c>
      <c r="DC2158">
        <v>0</v>
      </c>
      <c r="DD2158">
        <v>0</v>
      </c>
      <c r="DE2158">
        <v>0</v>
      </c>
      <c r="DF2158">
        <v>0</v>
      </c>
      <c r="DG2158">
        <v>0</v>
      </c>
      <c r="DH2158">
        <v>0</v>
      </c>
      <c r="DI2158">
        <v>0</v>
      </c>
    </row>
    <row r="2159" spans="1:113" x14ac:dyDescent="0.3">
      <c r="A2159" t="str">
        <f>"02/08/2021 20:25:56.819"</f>
        <v>02/08/2021 20:25:56.819</v>
      </c>
      <c r="C2159" t="str">
        <f t="shared" ref="C2159:C2222" si="105">"FFDFD7C0"</f>
        <v>FFDFD7C0</v>
      </c>
      <c r="D2159" t="s">
        <v>124</v>
      </c>
      <c r="E2159">
        <v>12</v>
      </c>
      <c r="F2159">
        <v>1012</v>
      </c>
      <c r="G2159" t="s">
        <v>675</v>
      </c>
      <c r="J2159" t="s">
        <v>125</v>
      </c>
      <c r="K2159">
        <v>0</v>
      </c>
      <c r="L2159">
        <v>3</v>
      </c>
      <c r="M2159">
        <v>0</v>
      </c>
      <c r="N2159">
        <v>2</v>
      </c>
      <c r="O2159">
        <v>1</v>
      </c>
      <c r="P2159">
        <v>0</v>
      </c>
      <c r="Q2159">
        <v>0</v>
      </c>
      <c r="S2159" t="str">
        <f>"20:25:59.133"</f>
        <v>20:25:59.133</v>
      </c>
      <c r="T2159" t="str">
        <f>"20:25:58.733"</f>
        <v>20:25:58.733</v>
      </c>
      <c r="U2159" t="str">
        <f t="shared" si="104"/>
        <v>AB01F4</v>
      </c>
      <c r="V2159">
        <v>0</v>
      </c>
      <c r="W2159">
        <v>0</v>
      </c>
      <c r="X2159">
        <v>2</v>
      </c>
      <c r="Z2159">
        <v>0</v>
      </c>
      <c r="AA2159">
        <v>9</v>
      </c>
      <c r="AB2159">
        <v>3</v>
      </c>
      <c r="AC2159">
        <v>0</v>
      </c>
      <c r="AD2159">
        <v>10</v>
      </c>
      <c r="AE2159">
        <v>0</v>
      </c>
      <c r="AF2159">
        <v>3</v>
      </c>
      <c r="AG2159">
        <v>2</v>
      </c>
      <c r="AH2159">
        <v>0</v>
      </c>
      <c r="AI2159" t="s">
        <v>1329</v>
      </c>
      <c r="AJ2159">
        <v>39.952233</v>
      </c>
      <c r="AK2159" t="s">
        <v>1330</v>
      </c>
      <c r="AL2159">
        <v>-92.662724999999995</v>
      </c>
      <c r="AM2159">
        <v>100</v>
      </c>
      <c r="AN2159">
        <v>1700</v>
      </c>
      <c r="AO2159" t="s">
        <v>118</v>
      </c>
      <c r="AP2159">
        <v>-108</v>
      </c>
      <c r="AQ2159">
        <v>78</v>
      </c>
      <c r="AR2159">
        <v>128</v>
      </c>
      <c r="AZ2159">
        <v>1200</v>
      </c>
      <c r="BA2159">
        <v>1</v>
      </c>
      <c r="BB2159" t="str">
        <f t="shared" ref="BB2159:BB2222" si="106">"N8080G  "</f>
        <v xml:space="preserve">N8080G  </v>
      </c>
      <c r="BC2159">
        <v>1</v>
      </c>
      <c r="BE2159">
        <v>0</v>
      </c>
      <c r="BF2159">
        <v>0</v>
      </c>
      <c r="BG2159">
        <v>0</v>
      </c>
      <c r="BH2159">
        <v>1700</v>
      </c>
      <c r="BI2159">
        <v>1</v>
      </c>
      <c r="BJ2159">
        <v>1</v>
      </c>
      <c r="BK2159">
        <v>1</v>
      </c>
      <c r="BL2159">
        <v>0</v>
      </c>
      <c r="BO2159">
        <v>0</v>
      </c>
      <c r="BP2159">
        <v>0</v>
      </c>
      <c r="BW2159" t="str">
        <f>"20:25:59.137"</f>
        <v>20:25:59.137</v>
      </c>
      <c r="BZ2159">
        <v>0</v>
      </c>
      <c r="CA2159">
        <v>2016</v>
      </c>
      <c r="CB2159">
        <v>224</v>
      </c>
      <c r="CD2159">
        <v>1</v>
      </c>
      <c r="CE2159">
        <v>0</v>
      </c>
      <c r="CF2159">
        <v>0</v>
      </c>
      <c r="CG2159">
        <v>1</v>
      </c>
      <c r="CH2159">
        <v>0</v>
      </c>
      <c r="CI2159">
        <v>0</v>
      </c>
      <c r="CJ2159">
        <v>0</v>
      </c>
      <c r="CK2159">
        <v>2</v>
      </c>
      <c r="CL2159">
        <v>0</v>
      </c>
      <c r="CM2159">
        <v>2</v>
      </c>
      <c r="CN2159">
        <v>0</v>
      </c>
      <c r="CO2159">
        <v>2</v>
      </c>
      <c r="CP2159" t="s">
        <v>119</v>
      </c>
      <c r="CQ2159">
        <v>179</v>
      </c>
      <c r="CR2159">
        <v>1</v>
      </c>
      <c r="CW2159">
        <v>8897854</v>
      </c>
      <c r="CY2159">
        <v>1</v>
      </c>
      <c r="CZ2159">
        <v>0</v>
      </c>
      <c r="DA2159">
        <v>0</v>
      </c>
      <c r="DB2159">
        <v>0</v>
      </c>
      <c r="DC2159">
        <v>0</v>
      </c>
      <c r="DD2159">
        <v>0</v>
      </c>
      <c r="DE2159">
        <v>0</v>
      </c>
      <c r="DF2159">
        <v>0</v>
      </c>
      <c r="DG2159">
        <v>0</v>
      </c>
      <c r="DH2159">
        <v>0</v>
      </c>
      <c r="DI2159">
        <v>0</v>
      </c>
    </row>
    <row r="2160" spans="1:113" x14ac:dyDescent="0.3">
      <c r="A2160" t="str">
        <f>"02/08/2021 20:25:56.819"</f>
        <v>02/08/2021 20:25:56.819</v>
      </c>
      <c r="C2160" t="str">
        <f t="shared" si="105"/>
        <v>FFDFD7C0</v>
      </c>
      <c r="D2160" t="s">
        <v>124</v>
      </c>
      <c r="E2160">
        <v>11</v>
      </c>
      <c r="F2160">
        <v>1011</v>
      </c>
      <c r="G2160" t="s">
        <v>590</v>
      </c>
      <c r="J2160" t="s">
        <v>125</v>
      </c>
      <c r="K2160">
        <v>0</v>
      </c>
      <c r="L2160">
        <v>3</v>
      </c>
      <c r="M2160">
        <v>0</v>
      </c>
      <c r="N2160">
        <v>2</v>
      </c>
      <c r="O2160">
        <v>1</v>
      </c>
      <c r="P2160">
        <v>0</v>
      </c>
      <c r="Q2160">
        <v>0</v>
      </c>
      <c r="S2160" t="str">
        <f>"20:25:59.133"</f>
        <v>20:25:59.133</v>
      </c>
      <c r="T2160" t="str">
        <f>"20:25:58.733"</f>
        <v>20:25:58.733</v>
      </c>
      <c r="U2160" t="str">
        <f t="shared" si="104"/>
        <v>AB01F4</v>
      </c>
      <c r="V2160">
        <v>0</v>
      </c>
      <c r="W2160">
        <v>0</v>
      </c>
      <c r="X2160">
        <v>2</v>
      </c>
      <c r="Z2160">
        <v>0</v>
      </c>
      <c r="AA2160">
        <v>9</v>
      </c>
      <c r="AB2160">
        <v>3</v>
      </c>
      <c r="AC2160">
        <v>0</v>
      </c>
      <c r="AD2160">
        <v>10</v>
      </c>
      <c r="AE2160">
        <v>0</v>
      </c>
      <c r="AF2160">
        <v>3</v>
      </c>
      <c r="AG2160">
        <v>2</v>
      </c>
      <c r="AH2160">
        <v>0</v>
      </c>
      <c r="AI2160" t="s">
        <v>1329</v>
      </c>
      <c r="AJ2160">
        <v>39.952233</v>
      </c>
      <c r="AK2160" t="s">
        <v>1330</v>
      </c>
      <c r="AL2160">
        <v>-92.662724999999995</v>
      </c>
      <c r="AM2160">
        <v>100</v>
      </c>
      <c r="AN2160">
        <v>1700</v>
      </c>
      <c r="AO2160" t="s">
        <v>118</v>
      </c>
      <c r="AP2160">
        <v>-108</v>
      </c>
      <c r="AQ2160">
        <v>78</v>
      </c>
      <c r="AR2160">
        <v>128</v>
      </c>
      <c r="AZ2160">
        <v>1200</v>
      </c>
      <c r="BA2160">
        <v>1</v>
      </c>
      <c r="BB2160" t="str">
        <f t="shared" si="106"/>
        <v xml:space="preserve">N8080G  </v>
      </c>
      <c r="BC2160">
        <v>1</v>
      </c>
      <c r="BE2160">
        <v>0</v>
      </c>
      <c r="BF2160">
        <v>0</v>
      </c>
      <c r="BG2160">
        <v>0</v>
      </c>
      <c r="BH2160">
        <v>1700</v>
      </c>
      <c r="BI2160">
        <v>1</v>
      </c>
      <c r="BJ2160">
        <v>1</v>
      </c>
      <c r="BK2160">
        <v>1</v>
      </c>
      <c r="BL2160">
        <v>0</v>
      </c>
      <c r="BO2160">
        <v>0</v>
      </c>
      <c r="BP2160">
        <v>0</v>
      </c>
      <c r="BW2160" t="str">
        <f>"20:25:59.137"</f>
        <v>20:25:59.137</v>
      </c>
      <c r="BZ2160">
        <v>0</v>
      </c>
      <c r="CA2160">
        <v>2016</v>
      </c>
      <c r="CB2160">
        <v>224</v>
      </c>
      <c r="CD2160">
        <v>1</v>
      </c>
      <c r="CE2160">
        <v>0</v>
      </c>
      <c r="CF2160">
        <v>0</v>
      </c>
      <c r="CG2160">
        <v>1</v>
      </c>
      <c r="CH2160">
        <v>0</v>
      </c>
      <c r="CI2160">
        <v>0</v>
      </c>
      <c r="CJ2160">
        <v>0</v>
      </c>
      <c r="CK2160">
        <v>2</v>
      </c>
      <c r="CL2160">
        <v>0</v>
      </c>
      <c r="CM2160">
        <v>2</v>
      </c>
      <c r="CN2160">
        <v>0</v>
      </c>
      <c r="CO2160">
        <v>2</v>
      </c>
      <c r="CP2160" t="s">
        <v>119</v>
      </c>
      <c r="CQ2160">
        <v>179</v>
      </c>
      <c r="CR2160">
        <v>1</v>
      </c>
      <c r="CW2160">
        <v>8897854</v>
      </c>
      <c r="CY2160">
        <v>1</v>
      </c>
      <c r="CZ2160">
        <v>0</v>
      </c>
      <c r="DA2160">
        <v>1</v>
      </c>
      <c r="DB2160">
        <v>0</v>
      </c>
      <c r="DC2160">
        <v>0</v>
      </c>
      <c r="DD2160">
        <v>0</v>
      </c>
      <c r="DE2160">
        <v>0</v>
      </c>
      <c r="DF2160">
        <v>0</v>
      </c>
      <c r="DG2160">
        <v>0</v>
      </c>
      <c r="DH2160">
        <v>0</v>
      </c>
      <c r="DI2160">
        <v>0</v>
      </c>
    </row>
    <row r="2161" spans="1:113" x14ac:dyDescent="0.3">
      <c r="A2161" t="str">
        <f>"02/08/2021 20:25:56.819"</f>
        <v>02/08/2021 20:25:56.819</v>
      </c>
      <c r="C2161" t="str">
        <f t="shared" si="105"/>
        <v>FFDFD7C0</v>
      </c>
      <c r="D2161" t="s">
        <v>113</v>
      </c>
      <c r="E2161">
        <v>6</v>
      </c>
      <c r="H2161">
        <v>165</v>
      </c>
      <c r="I2161" t="s">
        <v>114</v>
      </c>
      <c r="J2161" t="s">
        <v>115</v>
      </c>
      <c r="K2161">
        <v>0</v>
      </c>
      <c r="L2161">
        <v>3</v>
      </c>
      <c r="M2161">
        <v>0</v>
      </c>
      <c r="N2161">
        <v>2</v>
      </c>
      <c r="O2161">
        <v>1</v>
      </c>
      <c r="P2161">
        <v>0</v>
      </c>
      <c r="Q2161">
        <v>0</v>
      </c>
      <c r="S2161" t="str">
        <f>"20:25:59.133"</f>
        <v>20:25:59.133</v>
      </c>
      <c r="T2161" t="str">
        <f>"20:25:58.733"</f>
        <v>20:25:58.733</v>
      </c>
      <c r="U2161" t="str">
        <f t="shared" si="104"/>
        <v>AB01F4</v>
      </c>
      <c r="V2161">
        <v>0</v>
      </c>
      <c r="W2161">
        <v>0</v>
      </c>
      <c r="X2161">
        <v>2</v>
      </c>
      <c r="Z2161">
        <v>0</v>
      </c>
      <c r="AA2161">
        <v>9</v>
      </c>
      <c r="AB2161">
        <v>3</v>
      </c>
      <c r="AC2161">
        <v>0</v>
      </c>
      <c r="AD2161">
        <v>10</v>
      </c>
      <c r="AE2161">
        <v>0</v>
      </c>
      <c r="AF2161">
        <v>3</v>
      </c>
      <c r="AG2161">
        <v>2</v>
      </c>
      <c r="AH2161">
        <v>0</v>
      </c>
      <c r="AI2161" t="s">
        <v>1329</v>
      </c>
      <c r="AJ2161">
        <v>39.952233</v>
      </c>
      <c r="AK2161" t="s">
        <v>1330</v>
      </c>
      <c r="AL2161">
        <v>-92.662724999999995</v>
      </c>
      <c r="AM2161">
        <v>100</v>
      </c>
      <c r="AN2161">
        <v>1700</v>
      </c>
      <c r="AO2161" t="s">
        <v>118</v>
      </c>
      <c r="AP2161">
        <v>-108</v>
      </c>
      <c r="AQ2161">
        <v>78</v>
      </c>
      <c r="AR2161">
        <v>128</v>
      </c>
      <c r="AZ2161">
        <v>1200</v>
      </c>
      <c r="BA2161">
        <v>1</v>
      </c>
      <c r="BB2161" t="str">
        <f t="shared" si="106"/>
        <v xml:space="preserve">N8080G  </v>
      </c>
      <c r="BC2161">
        <v>1</v>
      </c>
      <c r="BE2161">
        <v>0</v>
      </c>
      <c r="BF2161">
        <v>0</v>
      </c>
      <c r="BG2161">
        <v>0</v>
      </c>
      <c r="BH2161">
        <v>1700</v>
      </c>
      <c r="BI2161">
        <v>1</v>
      </c>
      <c r="BJ2161">
        <v>1</v>
      </c>
      <c r="BK2161">
        <v>1</v>
      </c>
      <c r="BL2161">
        <v>0</v>
      </c>
      <c r="BO2161">
        <v>0</v>
      </c>
      <c r="BP2161">
        <v>0</v>
      </c>
      <c r="BW2161" t="str">
        <f>"20:25:59.137"</f>
        <v>20:25:59.137</v>
      </c>
      <c r="BZ2161">
        <v>0</v>
      </c>
      <c r="CA2161">
        <v>2016</v>
      </c>
      <c r="CB2161">
        <v>224</v>
      </c>
      <c r="CD2161">
        <v>1</v>
      </c>
      <c r="CE2161">
        <v>0</v>
      </c>
      <c r="CF2161">
        <v>0</v>
      </c>
      <c r="CG2161">
        <v>1</v>
      </c>
      <c r="CH2161">
        <v>0</v>
      </c>
      <c r="CI2161">
        <v>0</v>
      </c>
      <c r="CJ2161">
        <v>0</v>
      </c>
      <c r="CK2161">
        <v>2</v>
      </c>
      <c r="CL2161">
        <v>0</v>
      </c>
      <c r="CM2161">
        <v>2</v>
      </c>
      <c r="CN2161">
        <v>0</v>
      </c>
      <c r="CO2161">
        <v>2</v>
      </c>
      <c r="CP2161" t="s">
        <v>119</v>
      </c>
      <c r="CQ2161">
        <v>179</v>
      </c>
      <c r="CR2161">
        <v>1</v>
      </c>
      <c r="CW2161">
        <v>8897854</v>
      </c>
      <c r="CY2161">
        <v>1</v>
      </c>
      <c r="CZ2161">
        <v>0</v>
      </c>
      <c r="DA2161">
        <v>1</v>
      </c>
      <c r="DB2161">
        <v>0</v>
      </c>
      <c r="DC2161">
        <v>0</v>
      </c>
      <c r="DD2161">
        <v>0</v>
      </c>
      <c r="DE2161">
        <v>0</v>
      </c>
      <c r="DF2161">
        <v>0</v>
      </c>
      <c r="DG2161">
        <v>0</v>
      </c>
      <c r="DH2161">
        <v>0</v>
      </c>
      <c r="DI2161">
        <v>0</v>
      </c>
    </row>
    <row r="2162" spans="1:113" x14ac:dyDescent="0.3">
      <c r="A2162" t="str">
        <f>"02/08/2021 20:25:56.819"</f>
        <v>02/08/2021 20:25:56.819</v>
      </c>
      <c r="C2162" t="str">
        <f t="shared" si="105"/>
        <v>FFDFD7C0</v>
      </c>
      <c r="D2162" t="s">
        <v>124</v>
      </c>
      <c r="E2162">
        <v>13</v>
      </c>
      <c r="F2162">
        <v>1013</v>
      </c>
      <c r="G2162" t="s">
        <v>114</v>
      </c>
      <c r="J2162" t="s">
        <v>125</v>
      </c>
      <c r="K2162">
        <v>0</v>
      </c>
      <c r="L2162">
        <v>3</v>
      </c>
      <c r="M2162">
        <v>0</v>
      </c>
      <c r="N2162">
        <v>2</v>
      </c>
      <c r="O2162">
        <v>1</v>
      </c>
      <c r="P2162">
        <v>0</v>
      </c>
      <c r="Q2162">
        <v>0</v>
      </c>
      <c r="S2162" t="str">
        <f>"20:25:59.133"</f>
        <v>20:25:59.133</v>
      </c>
      <c r="T2162" t="str">
        <f>"20:25:58.733"</f>
        <v>20:25:58.733</v>
      </c>
      <c r="U2162" t="str">
        <f t="shared" si="104"/>
        <v>AB01F4</v>
      </c>
      <c r="V2162">
        <v>0</v>
      </c>
      <c r="W2162">
        <v>0</v>
      </c>
      <c r="X2162">
        <v>2</v>
      </c>
      <c r="Z2162">
        <v>0</v>
      </c>
      <c r="AA2162">
        <v>9</v>
      </c>
      <c r="AB2162">
        <v>3</v>
      </c>
      <c r="AC2162">
        <v>0</v>
      </c>
      <c r="AD2162">
        <v>10</v>
      </c>
      <c r="AE2162">
        <v>0</v>
      </c>
      <c r="AF2162">
        <v>3</v>
      </c>
      <c r="AG2162">
        <v>2</v>
      </c>
      <c r="AH2162">
        <v>0</v>
      </c>
      <c r="AI2162" t="s">
        <v>1329</v>
      </c>
      <c r="AJ2162">
        <v>39.952233</v>
      </c>
      <c r="AK2162" t="s">
        <v>1330</v>
      </c>
      <c r="AL2162">
        <v>-92.662724999999995</v>
      </c>
      <c r="AM2162">
        <v>100</v>
      </c>
      <c r="AN2162">
        <v>1700</v>
      </c>
      <c r="AO2162" t="s">
        <v>118</v>
      </c>
      <c r="AP2162">
        <v>-108</v>
      </c>
      <c r="AQ2162">
        <v>78</v>
      </c>
      <c r="AR2162">
        <v>128</v>
      </c>
      <c r="AZ2162">
        <v>1200</v>
      </c>
      <c r="BA2162">
        <v>1</v>
      </c>
      <c r="BB2162" t="str">
        <f t="shared" si="106"/>
        <v xml:space="preserve">N8080G  </v>
      </c>
      <c r="BC2162">
        <v>1</v>
      </c>
      <c r="BE2162">
        <v>0</v>
      </c>
      <c r="BF2162">
        <v>0</v>
      </c>
      <c r="BG2162">
        <v>0</v>
      </c>
      <c r="BH2162">
        <v>1700</v>
      </c>
      <c r="BI2162">
        <v>1</v>
      </c>
      <c r="BJ2162">
        <v>1</v>
      </c>
      <c r="BK2162">
        <v>1</v>
      </c>
      <c r="BL2162">
        <v>0</v>
      </c>
      <c r="BO2162">
        <v>0</v>
      </c>
      <c r="BP2162">
        <v>0</v>
      </c>
      <c r="BW2162" t="str">
        <f>"20:25:59.137"</f>
        <v>20:25:59.137</v>
      </c>
      <c r="BZ2162">
        <v>0</v>
      </c>
      <c r="CA2162">
        <v>2016</v>
      </c>
      <c r="CB2162">
        <v>224</v>
      </c>
      <c r="CD2162">
        <v>1</v>
      </c>
      <c r="CE2162">
        <v>0</v>
      </c>
      <c r="CF2162">
        <v>0</v>
      </c>
      <c r="CG2162">
        <v>1</v>
      </c>
      <c r="CH2162">
        <v>0</v>
      </c>
      <c r="CI2162">
        <v>0</v>
      </c>
      <c r="CJ2162">
        <v>0</v>
      </c>
      <c r="CK2162">
        <v>2</v>
      </c>
      <c r="CL2162">
        <v>0</v>
      </c>
      <c r="CM2162">
        <v>2</v>
      </c>
      <c r="CN2162">
        <v>0</v>
      </c>
      <c r="CO2162">
        <v>2</v>
      </c>
      <c r="CP2162" t="s">
        <v>119</v>
      </c>
      <c r="CQ2162">
        <v>179</v>
      </c>
      <c r="CR2162">
        <v>1</v>
      </c>
      <c r="CW2162">
        <v>8897854</v>
      </c>
      <c r="CY2162">
        <v>1</v>
      </c>
      <c r="CZ2162">
        <v>0</v>
      </c>
      <c r="DA2162">
        <v>1</v>
      </c>
      <c r="DB2162">
        <v>0</v>
      </c>
      <c r="DC2162">
        <v>0</v>
      </c>
      <c r="DD2162">
        <v>0</v>
      </c>
      <c r="DE2162">
        <v>0</v>
      </c>
      <c r="DF2162">
        <v>0</v>
      </c>
      <c r="DG2162">
        <v>0</v>
      </c>
      <c r="DH2162">
        <v>0</v>
      </c>
      <c r="DI2162">
        <v>0</v>
      </c>
    </row>
    <row r="2163" spans="1:113" x14ac:dyDescent="0.3">
      <c r="A2163" t="str">
        <f>"02/08/2021 20:25:57.923"</f>
        <v>02/08/2021 20:25:57.923</v>
      </c>
      <c r="C2163" t="str">
        <f t="shared" si="105"/>
        <v>FFDFD7C0</v>
      </c>
      <c r="D2163" t="s">
        <v>124</v>
      </c>
      <c r="E2163">
        <v>12</v>
      </c>
      <c r="F2163">
        <v>1012</v>
      </c>
      <c r="G2163" t="s">
        <v>675</v>
      </c>
      <c r="J2163" t="s">
        <v>125</v>
      </c>
      <c r="K2163">
        <v>0</v>
      </c>
      <c r="L2163">
        <v>3</v>
      </c>
      <c r="M2163">
        <v>0</v>
      </c>
      <c r="N2163">
        <v>2</v>
      </c>
      <c r="O2163">
        <v>1</v>
      </c>
      <c r="P2163">
        <v>0</v>
      </c>
      <c r="Q2163">
        <v>0</v>
      </c>
      <c r="S2163" t="str">
        <f>"20:26:00.211"</f>
        <v>20:26:00.211</v>
      </c>
      <c r="T2163" t="str">
        <f>"20:25:59.711"</f>
        <v>20:25:59.711</v>
      </c>
      <c r="U2163" t="str">
        <f t="shared" si="104"/>
        <v>AB01F4</v>
      </c>
      <c r="V2163">
        <v>0</v>
      </c>
      <c r="W2163">
        <v>0</v>
      </c>
      <c r="X2163">
        <v>2</v>
      </c>
      <c r="Z2163">
        <v>0</v>
      </c>
      <c r="AA2163">
        <v>9</v>
      </c>
      <c r="AB2163">
        <v>3</v>
      </c>
      <c r="AC2163">
        <v>0</v>
      </c>
      <c r="AD2163">
        <v>10</v>
      </c>
      <c r="AE2163">
        <v>0</v>
      </c>
      <c r="AF2163">
        <v>3</v>
      </c>
      <c r="AG2163">
        <v>2</v>
      </c>
      <c r="AH2163">
        <v>0</v>
      </c>
      <c r="AI2163" t="s">
        <v>1331</v>
      </c>
      <c r="AJ2163">
        <v>39.952598000000002</v>
      </c>
      <c r="AK2163" t="s">
        <v>1332</v>
      </c>
      <c r="AL2163">
        <v>-92.663325999999998</v>
      </c>
      <c r="AM2163">
        <v>100</v>
      </c>
      <c r="AN2163">
        <v>1700</v>
      </c>
      <c r="AO2163" t="s">
        <v>118</v>
      </c>
      <c r="AP2163">
        <v>-108</v>
      </c>
      <c r="AQ2163">
        <v>78</v>
      </c>
      <c r="AR2163">
        <v>128</v>
      </c>
      <c r="AZ2163">
        <v>1200</v>
      </c>
      <c r="BA2163">
        <v>1</v>
      </c>
      <c r="BB2163" t="str">
        <f t="shared" si="106"/>
        <v xml:space="preserve">N8080G  </v>
      </c>
      <c r="BC2163">
        <v>1</v>
      </c>
      <c r="BE2163">
        <v>0</v>
      </c>
      <c r="BF2163">
        <v>0</v>
      </c>
      <c r="BG2163">
        <v>0</v>
      </c>
      <c r="BH2163">
        <v>1700</v>
      </c>
      <c r="BI2163">
        <v>1</v>
      </c>
      <c r="BJ2163">
        <v>1</v>
      </c>
      <c r="BK2163">
        <v>1</v>
      </c>
      <c r="BL2163">
        <v>0</v>
      </c>
      <c r="BO2163">
        <v>0</v>
      </c>
      <c r="BP2163">
        <v>0</v>
      </c>
      <c r="BW2163" t="str">
        <f>"20:26:00.213"</f>
        <v>20:26:00.213</v>
      </c>
      <c r="BZ2163">
        <v>0</v>
      </c>
      <c r="CA2163">
        <v>2016</v>
      </c>
      <c r="CB2163">
        <v>224</v>
      </c>
      <c r="CD2163">
        <v>1</v>
      </c>
      <c r="CE2163">
        <v>0</v>
      </c>
      <c r="CF2163">
        <v>0</v>
      </c>
      <c r="CG2163">
        <v>1</v>
      </c>
      <c r="CH2163">
        <v>0</v>
      </c>
      <c r="CI2163">
        <v>0</v>
      </c>
      <c r="CJ2163">
        <v>0</v>
      </c>
      <c r="CK2163">
        <v>2</v>
      </c>
      <c r="CL2163">
        <v>0</v>
      </c>
      <c r="CM2163">
        <v>2</v>
      </c>
      <c r="CN2163">
        <v>0</v>
      </c>
      <c r="CO2163">
        <v>2</v>
      </c>
      <c r="CP2163" t="s">
        <v>119</v>
      </c>
      <c r="CQ2163">
        <v>179</v>
      </c>
      <c r="CR2163">
        <v>1</v>
      </c>
      <c r="CW2163">
        <v>8898861</v>
      </c>
      <c r="CY2163">
        <v>1</v>
      </c>
      <c r="CZ2163">
        <v>0</v>
      </c>
      <c r="DA2163">
        <v>0</v>
      </c>
      <c r="DB2163">
        <v>0</v>
      </c>
      <c r="DC2163">
        <v>0</v>
      </c>
      <c r="DD2163">
        <v>0</v>
      </c>
      <c r="DE2163">
        <v>0</v>
      </c>
      <c r="DF2163">
        <v>0</v>
      </c>
      <c r="DG2163">
        <v>0</v>
      </c>
      <c r="DH2163">
        <v>0</v>
      </c>
      <c r="DI2163">
        <v>0</v>
      </c>
    </row>
    <row r="2164" spans="1:113" x14ac:dyDescent="0.3">
      <c r="A2164" t="str">
        <f>"02/08/2021 20:25:57.923"</f>
        <v>02/08/2021 20:25:57.923</v>
      </c>
      <c r="C2164" t="str">
        <f t="shared" si="105"/>
        <v>FFDFD7C0</v>
      </c>
      <c r="D2164" t="s">
        <v>124</v>
      </c>
      <c r="E2164">
        <v>11</v>
      </c>
      <c r="F2164">
        <v>1011</v>
      </c>
      <c r="G2164" t="s">
        <v>590</v>
      </c>
      <c r="J2164" t="s">
        <v>125</v>
      </c>
      <c r="K2164">
        <v>0</v>
      </c>
      <c r="L2164">
        <v>3</v>
      </c>
      <c r="M2164">
        <v>0</v>
      </c>
      <c r="N2164">
        <v>2</v>
      </c>
      <c r="O2164">
        <v>1</v>
      </c>
      <c r="P2164">
        <v>0</v>
      </c>
      <c r="Q2164">
        <v>0</v>
      </c>
      <c r="S2164" t="str">
        <f>"20:26:00.211"</f>
        <v>20:26:00.211</v>
      </c>
      <c r="T2164" t="str">
        <f>"20:25:59.711"</f>
        <v>20:25:59.711</v>
      </c>
      <c r="U2164" t="str">
        <f t="shared" si="104"/>
        <v>AB01F4</v>
      </c>
      <c r="V2164">
        <v>0</v>
      </c>
      <c r="W2164">
        <v>0</v>
      </c>
      <c r="X2164">
        <v>2</v>
      </c>
      <c r="Z2164">
        <v>0</v>
      </c>
      <c r="AA2164">
        <v>9</v>
      </c>
      <c r="AB2164">
        <v>3</v>
      </c>
      <c r="AC2164">
        <v>0</v>
      </c>
      <c r="AD2164">
        <v>10</v>
      </c>
      <c r="AE2164">
        <v>0</v>
      </c>
      <c r="AF2164">
        <v>3</v>
      </c>
      <c r="AG2164">
        <v>2</v>
      </c>
      <c r="AH2164">
        <v>0</v>
      </c>
      <c r="AI2164" t="s">
        <v>1331</v>
      </c>
      <c r="AJ2164">
        <v>39.952598000000002</v>
      </c>
      <c r="AK2164" t="s">
        <v>1332</v>
      </c>
      <c r="AL2164">
        <v>-92.663325999999998</v>
      </c>
      <c r="AM2164">
        <v>100</v>
      </c>
      <c r="AN2164">
        <v>1700</v>
      </c>
      <c r="AO2164" t="s">
        <v>118</v>
      </c>
      <c r="AP2164">
        <v>-108</v>
      </c>
      <c r="AQ2164">
        <v>78</v>
      </c>
      <c r="AR2164">
        <v>128</v>
      </c>
      <c r="AZ2164">
        <v>1200</v>
      </c>
      <c r="BA2164">
        <v>1</v>
      </c>
      <c r="BB2164" t="str">
        <f t="shared" si="106"/>
        <v xml:space="preserve">N8080G  </v>
      </c>
      <c r="BC2164">
        <v>1</v>
      </c>
      <c r="BE2164">
        <v>0</v>
      </c>
      <c r="BF2164">
        <v>0</v>
      </c>
      <c r="BG2164">
        <v>0</v>
      </c>
      <c r="BH2164">
        <v>1700</v>
      </c>
      <c r="BI2164">
        <v>1</v>
      </c>
      <c r="BJ2164">
        <v>1</v>
      </c>
      <c r="BK2164">
        <v>1</v>
      </c>
      <c r="BL2164">
        <v>0</v>
      </c>
      <c r="BO2164">
        <v>0</v>
      </c>
      <c r="BP2164">
        <v>0</v>
      </c>
      <c r="BW2164" t="str">
        <f>"20:26:00.213"</f>
        <v>20:26:00.213</v>
      </c>
      <c r="BZ2164">
        <v>0</v>
      </c>
      <c r="CA2164">
        <v>2016</v>
      </c>
      <c r="CB2164">
        <v>224</v>
      </c>
      <c r="CD2164">
        <v>1</v>
      </c>
      <c r="CE2164">
        <v>0</v>
      </c>
      <c r="CF2164">
        <v>0</v>
      </c>
      <c r="CG2164">
        <v>1</v>
      </c>
      <c r="CH2164">
        <v>0</v>
      </c>
      <c r="CI2164">
        <v>0</v>
      </c>
      <c r="CJ2164">
        <v>0</v>
      </c>
      <c r="CK2164">
        <v>2</v>
      </c>
      <c r="CL2164">
        <v>0</v>
      </c>
      <c r="CM2164">
        <v>2</v>
      </c>
      <c r="CN2164">
        <v>0</v>
      </c>
      <c r="CO2164">
        <v>2</v>
      </c>
      <c r="CP2164" t="s">
        <v>119</v>
      </c>
      <c r="CQ2164">
        <v>179</v>
      </c>
      <c r="CR2164">
        <v>1</v>
      </c>
      <c r="CW2164">
        <v>8898861</v>
      </c>
      <c r="CY2164">
        <v>1</v>
      </c>
      <c r="CZ2164">
        <v>0</v>
      </c>
      <c r="DA2164">
        <v>1</v>
      </c>
      <c r="DB2164">
        <v>0</v>
      </c>
      <c r="DC2164">
        <v>0</v>
      </c>
      <c r="DD2164">
        <v>0</v>
      </c>
      <c r="DE2164">
        <v>0</v>
      </c>
      <c r="DF2164">
        <v>0</v>
      </c>
      <c r="DG2164">
        <v>0</v>
      </c>
      <c r="DH2164">
        <v>0</v>
      </c>
      <c r="DI2164">
        <v>0</v>
      </c>
    </row>
    <row r="2165" spans="1:113" x14ac:dyDescent="0.3">
      <c r="A2165" t="str">
        <f>"02/08/2021 20:25:57.923"</f>
        <v>02/08/2021 20:25:57.923</v>
      </c>
      <c r="C2165" t="str">
        <f t="shared" si="105"/>
        <v>FFDFD7C0</v>
      </c>
      <c r="D2165" t="s">
        <v>113</v>
      </c>
      <c r="E2165">
        <v>6</v>
      </c>
      <c r="H2165">
        <v>165</v>
      </c>
      <c r="I2165" t="s">
        <v>114</v>
      </c>
      <c r="J2165" t="s">
        <v>115</v>
      </c>
      <c r="K2165">
        <v>0</v>
      </c>
      <c r="L2165">
        <v>3</v>
      </c>
      <c r="M2165">
        <v>0</v>
      </c>
      <c r="N2165">
        <v>2</v>
      </c>
      <c r="O2165">
        <v>1</v>
      </c>
      <c r="P2165">
        <v>0</v>
      </c>
      <c r="Q2165">
        <v>0</v>
      </c>
      <c r="S2165" t="str">
        <f>"20:26:00.211"</f>
        <v>20:26:00.211</v>
      </c>
      <c r="T2165" t="str">
        <f>"20:25:59.711"</f>
        <v>20:25:59.711</v>
      </c>
      <c r="U2165" t="str">
        <f t="shared" si="104"/>
        <v>AB01F4</v>
      </c>
      <c r="V2165">
        <v>0</v>
      </c>
      <c r="W2165">
        <v>0</v>
      </c>
      <c r="X2165">
        <v>2</v>
      </c>
      <c r="Z2165">
        <v>0</v>
      </c>
      <c r="AA2165">
        <v>9</v>
      </c>
      <c r="AB2165">
        <v>3</v>
      </c>
      <c r="AC2165">
        <v>0</v>
      </c>
      <c r="AD2165">
        <v>10</v>
      </c>
      <c r="AE2165">
        <v>0</v>
      </c>
      <c r="AF2165">
        <v>3</v>
      </c>
      <c r="AG2165">
        <v>2</v>
      </c>
      <c r="AH2165">
        <v>0</v>
      </c>
      <c r="AI2165" t="s">
        <v>1331</v>
      </c>
      <c r="AJ2165">
        <v>39.952598000000002</v>
      </c>
      <c r="AK2165" t="s">
        <v>1332</v>
      </c>
      <c r="AL2165">
        <v>-92.663325999999998</v>
      </c>
      <c r="AM2165">
        <v>100</v>
      </c>
      <c r="AN2165">
        <v>1700</v>
      </c>
      <c r="AO2165" t="s">
        <v>118</v>
      </c>
      <c r="AP2165">
        <v>-108</v>
      </c>
      <c r="AQ2165">
        <v>78</v>
      </c>
      <c r="AR2165">
        <v>128</v>
      </c>
      <c r="AZ2165">
        <v>1200</v>
      </c>
      <c r="BA2165">
        <v>1</v>
      </c>
      <c r="BB2165" t="str">
        <f t="shared" si="106"/>
        <v xml:space="preserve">N8080G  </v>
      </c>
      <c r="BC2165">
        <v>1</v>
      </c>
      <c r="BE2165">
        <v>0</v>
      </c>
      <c r="BF2165">
        <v>0</v>
      </c>
      <c r="BG2165">
        <v>0</v>
      </c>
      <c r="BH2165">
        <v>1700</v>
      </c>
      <c r="BI2165">
        <v>1</v>
      </c>
      <c r="BJ2165">
        <v>1</v>
      </c>
      <c r="BK2165">
        <v>1</v>
      </c>
      <c r="BL2165">
        <v>0</v>
      </c>
      <c r="BO2165">
        <v>0</v>
      </c>
      <c r="BP2165">
        <v>0</v>
      </c>
      <c r="BW2165" t="str">
        <f>"20:26:00.213"</f>
        <v>20:26:00.213</v>
      </c>
      <c r="BZ2165">
        <v>0</v>
      </c>
      <c r="CA2165">
        <v>2016</v>
      </c>
      <c r="CB2165">
        <v>224</v>
      </c>
      <c r="CD2165">
        <v>1</v>
      </c>
      <c r="CE2165">
        <v>0</v>
      </c>
      <c r="CF2165">
        <v>0</v>
      </c>
      <c r="CG2165">
        <v>1</v>
      </c>
      <c r="CH2165">
        <v>0</v>
      </c>
      <c r="CI2165">
        <v>0</v>
      </c>
      <c r="CJ2165">
        <v>0</v>
      </c>
      <c r="CK2165">
        <v>2</v>
      </c>
      <c r="CL2165">
        <v>0</v>
      </c>
      <c r="CM2165">
        <v>2</v>
      </c>
      <c r="CN2165">
        <v>0</v>
      </c>
      <c r="CO2165">
        <v>2</v>
      </c>
      <c r="CP2165" t="s">
        <v>119</v>
      </c>
      <c r="CQ2165">
        <v>179</v>
      </c>
      <c r="CR2165">
        <v>1</v>
      </c>
      <c r="CW2165">
        <v>8898861</v>
      </c>
      <c r="CY2165">
        <v>1</v>
      </c>
      <c r="CZ2165">
        <v>0</v>
      </c>
      <c r="DA2165">
        <v>1</v>
      </c>
      <c r="DB2165">
        <v>0</v>
      </c>
      <c r="DC2165">
        <v>0</v>
      </c>
      <c r="DD2165">
        <v>0</v>
      </c>
      <c r="DE2165">
        <v>0</v>
      </c>
      <c r="DF2165">
        <v>0</v>
      </c>
      <c r="DG2165">
        <v>0</v>
      </c>
      <c r="DH2165">
        <v>0</v>
      </c>
      <c r="DI2165">
        <v>0</v>
      </c>
    </row>
    <row r="2166" spans="1:113" x14ac:dyDescent="0.3">
      <c r="A2166" t="str">
        <f>"02/08/2021 20:25:57.923"</f>
        <v>02/08/2021 20:25:57.923</v>
      </c>
      <c r="C2166" t="str">
        <f t="shared" si="105"/>
        <v>FFDFD7C0</v>
      </c>
      <c r="D2166" t="s">
        <v>124</v>
      </c>
      <c r="E2166">
        <v>13</v>
      </c>
      <c r="F2166">
        <v>1013</v>
      </c>
      <c r="G2166" t="s">
        <v>114</v>
      </c>
      <c r="J2166" t="s">
        <v>125</v>
      </c>
      <c r="K2166">
        <v>0</v>
      </c>
      <c r="L2166">
        <v>3</v>
      </c>
      <c r="M2166">
        <v>0</v>
      </c>
      <c r="N2166">
        <v>2</v>
      </c>
      <c r="O2166">
        <v>1</v>
      </c>
      <c r="P2166">
        <v>0</v>
      </c>
      <c r="Q2166">
        <v>0</v>
      </c>
      <c r="S2166" t="str">
        <f>"20:26:00.211"</f>
        <v>20:26:00.211</v>
      </c>
      <c r="T2166" t="str">
        <f>"20:25:59.711"</f>
        <v>20:25:59.711</v>
      </c>
      <c r="U2166" t="str">
        <f t="shared" si="104"/>
        <v>AB01F4</v>
      </c>
      <c r="V2166">
        <v>0</v>
      </c>
      <c r="W2166">
        <v>0</v>
      </c>
      <c r="X2166">
        <v>2</v>
      </c>
      <c r="Z2166">
        <v>0</v>
      </c>
      <c r="AA2166">
        <v>9</v>
      </c>
      <c r="AB2166">
        <v>3</v>
      </c>
      <c r="AC2166">
        <v>0</v>
      </c>
      <c r="AD2166">
        <v>10</v>
      </c>
      <c r="AE2166">
        <v>0</v>
      </c>
      <c r="AF2166">
        <v>3</v>
      </c>
      <c r="AG2166">
        <v>2</v>
      </c>
      <c r="AH2166">
        <v>0</v>
      </c>
      <c r="AI2166" t="s">
        <v>1331</v>
      </c>
      <c r="AJ2166">
        <v>39.952598000000002</v>
      </c>
      <c r="AK2166" t="s">
        <v>1332</v>
      </c>
      <c r="AL2166">
        <v>-92.663325999999998</v>
      </c>
      <c r="AM2166">
        <v>100</v>
      </c>
      <c r="AN2166">
        <v>1700</v>
      </c>
      <c r="AO2166" t="s">
        <v>118</v>
      </c>
      <c r="AP2166">
        <v>-108</v>
      </c>
      <c r="AQ2166">
        <v>78</v>
      </c>
      <c r="AR2166">
        <v>128</v>
      </c>
      <c r="AZ2166">
        <v>1200</v>
      </c>
      <c r="BA2166">
        <v>1</v>
      </c>
      <c r="BB2166" t="str">
        <f t="shared" si="106"/>
        <v xml:space="preserve">N8080G  </v>
      </c>
      <c r="BC2166">
        <v>1</v>
      </c>
      <c r="BE2166">
        <v>0</v>
      </c>
      <c r="BF2166">
        <v>0</v>
      </c>
      <c r="BG2166">
        <v>0</v>
      </c>
      <c r="BH2166">
        <v>1700</v>
      </c>
      <c r="BI2166">
        <v>1</v>
      </c>
      <c r="BJ2166">
        <v>1</v>
      </c>
      <c r="BK2166">
        <v>1</v>
      </c>
      <c r="BL2166">
        <v>0</v>
      </c>
      <c r="BO2166">
        <v>0</v>
      </c>
      <c r="BP2166">
        <v>0</v>
      </c>
      <c r="BW2166" t="str">
        <f>"20:26:00.213"</f>
        <v>20:26:00.213</v>
      </c>
      <c r="BZ2166">
        <v>0</v>
      </c>
      <c r="CA2166">
        <v>2016</v>
      </c>
      <c r="CB2166">
        <v>224</v>
      </c>
      <c r="CD2166">
        <v>1</v>
      </c>
      <c r="CE2166">
        <v>0</v>
      </c>
      <c r="CF2166">
        <v>0</v>
      </c>
      <c r="CG2166">
        <v>1</v>
      </c>
      <c r="CH2166">
        <v>0</v>
      </c>
      <c r="CI2166">
        <v>0</v>
      </c>
      <c r="CJ2166">
        <v>0</v>
      </c>
      <c r="CK2166">
        <v>2</v>
      </c>
      <c r="CL2166">
        <v>0</v>
      </c>
      <c r="CM2166">
        <v>2</v>
      </c>
      <c r="CN2166">
        <v>0</v>
      </c>
      <c r="CO2166">
        <v>2</v>
      </c>
      <c r="CP2166" t="s">
        <v>119</v>
      </c>
      <c r="CQ2166">
        <v>179</v>
      </c>
      <c r="CR2166">
        <v>1</v>
      </c>
      <c r="CW2166">
        <v>8898861</v>
      </c>
      <c r="CY2166">
        <v>1</v>
      </c>
      <c r="CZ2166">
        <v>0</v>
      </c>
      <c r="DA2166">
        <v>1</v>
      </c>
      <c r="DB2166">
        <v>0</v>
      </c>
      <c r="DC2166">
        <v>0</v>
      </c>
      <c r="DD2166">
        <v>0</v>
      </c>
      <c r="DE2166">
        <v>0</v>
      </c>
      <c r="DF2166">
        <v>0</v>
      </c>
      <c r="DG2166">
        <v>0</v>
      </c>
      <c r="DH2166">
        <v>0</v>
      </c>
      <c r="DI2166">
        <v>0</v>
      </c>
    </row>
    <row r="2167" spans="1:113" x14ac:dyDescent="0.3">
      <c r="A2167" t="str">
        <f>"02/08/2021 20:25:58.930"</f>
        <v>02/08/2021 20:25:58.930</v>
      </c>
      <c r="C2167" t="str">
        <f t="shared" si="105"/>
        <v>FFDFD7C0</v>
      </c>
      <c r="D2167" t="s">
        <v>124</v>
      </c>
      <c r="E2167">
        <v>12</v>
      </c>
      <c r="F2167">
        <v>1012</v>
      </c>
      <c r="G2167" t="s">
        <v>675</v>
      </c>
      <c r="J2167" t="s">
        <v>125</v>
      </c>
      <c r="K2167">
        <v>0</v>
      </c>
      <c r="L2167">
        <v>3</v>
      </c>
      <c r="M2167">
        <v>0</v>
      </c>
      <c r="N2167">
        <v>2</v>
      </c>
      <c r="O2167">
        <v>1</v>
      </c>
      <c r="P2167">
        <v>0</v>
      </c>
      <c r="Q2167">
        <v>0</v>
      </c>
      <c r="S2167" t="str">
        <f>"20:26:01.258"</f>
        <v>20:26:01.258</v>
      </c>
      <c r="T2167" t="str">
        <f>"20:26:00.858"</f>
        <v>20:26:00.858</v>
      </c>
      <c r="U2167" t="str">
        <f t="shared" si="104"/>
        <v>AB01F4</v>
      </c>
      <c r="V2167">
        <v>0</v>
      </c>
      <c r="W2167">
        <v>0</v>
      </c>
      <c r="X2167">
        <v>2</v>
      </c>
      <c r="Z2167">
        <v>0</v>
      </c>
      <c r="AA2167">
        <v>9</v>
      </c>
      <c r="AB2167">
        <v>3</v>
      </c>
      <c r="AC2167">
        <v>0</v>
      </c>
      <c r="AD2167">
        <v>10</v>
      </c>
      <c r="AE2167">
        <v>0</v>
      </c>
      <c r="AF2167">
        <v>3</v>
      </c>
      <c r="AG2167">
        <v>2</v>
      </c>
      <c r="AH2167">
        <v>0</v>
      </c>
      <c r="AI2167" t="s">
        <v>1333</v>
      </c>
      <c r="AJ2167">
        <v>39.952984000000001</v>
      </c>
      <c r="AK2167" t="s">
        <v>1334</v>
      </c>
      <c r="AL2167">
        <v>-92.664056000000002</v>
      </c>
      <c r="AM2167">
        <v>100</v>
      </c>
      <c r="AN2167">
        <v>1700</v>
      </c>
      <c r="AO2167" t="s">
        <v>118</v>
      </c>
      <c r="AP2167">
        <v>-108</v>
      </c>
      <c r="AQ2167">
        <v>78</v>
      </c>
      <c r="AR2167">
        <v>128</v>
      </c>
      <c r="AZ2167">
        <v>1200</v>
      </c>
      <c r="BA2167">
        <v>1</v>
      </c>
      <c r="BB2167" t="str">
        <f t="shared" si="106"/>
        <v xml:space="preserve">N8080G  </v>
      </c>
      <c r="BC2167">
        <v>1</v>
      </c>
      <c r="BE2167">
        <v>0</v>
      </c>
      <c r="BF2167">
        <v>0</v>
      </c>
      <c r="BG2167">
        <v>0</v>
      </c>
      <c r="BH2167">
        <v>1700</v>
      </c>
      <c r="BI2167">
        <v>1</v>
      </c>
      <c r="BJ2167">
        <v>1</v>
      </c>
      <c r="BK2167">
        <v>1</v>
      </c>
      <c r="BL2167">
        <v>0</v>
      </c>
      <c r="BO2167">
        <v>0</v>
      </c>
      <c r="BP2167">
        <v>0</v>
      </c>
      <c r="BW2167" t="str">
        <f>"20:26:01.260"</f>
        <v>20:26:01.260</v>
      </c>
      <c r="BZ2167">
        <v>0</v>
      </c>
      <c r="CA2167">
        <v>2016</v>
      </c>
      <c r="CB2167">
        <v>224</v>
      </c>
      <c r="CD2167">
        <v>1</v>
      </c>
      <c r="CE2167">
        <v>0</v>
      </c>
      <c r="CF2167">
        <v>0</v>
      </c>
      <c r="CG2167">
        <v>1</v>
      </c>
      <c r="CH2167">
        <v>0</v>
      </c>
      <c r="CI2167">
        <v>0</v>
      </c>
      <c r="CJ2167">
        <v>0</v>
      </c>
      <c r="CK2167">
        <v>2</v>
      </c>
      <c r="CL2167">
        <v>0</v>
      </c>
      <c r="CM2167">
        <v>2</v>
      </c>
      <c r="CN2167">
        <v>0</v>
      </c>
      <c r="CO2167">
        <v>7</v>
      </c>
      <c r="CP2167" t="s">
        <v>119</v>
      </c>
      <c r="CQ2167">
        <v>180</v>
      </c>
      <c r="CR2167">
        <v>2</v>
      </c>
      <c r="CW2167">
        <v>8457723</v>
      </c>
      <c r="CY2167">
        <v>1</v>
      </c>
      <c r="CZ2167">
        <v>0</v>
      </c>
      <c r="DA2167">
        <v>0</v>
      </c>
      <c r="DB2167">
        <v>0</v>
      </c>
      <c r="DC2167">
        <v>0</v>
      </c>
      <c r="DD2167">
        <v>0</v>
      </c>
      <c r="DE2167">
        <v>0</v>
      </c>
      <c r="DF2167">
        <v>0</v>
      </c>
      <c r="DG2167">
        <v>0</v>
      </c>
      <c r="DH2167">
        <v>0</v>
      </c>
      <c r="DI2167">
        <v>0</v>
      </c>
    </row>
    <row r="2168" spans="1:113" x14ac:dyDescent="0.3">
      <c r="A2168" t="str">
        <f>"02/08/2021 20:25:58.930"</f>
        <v>02/08/2021 20:25:58.930</v>
      </c>
      <c r="C2168" t="str">
        <f t="shared" si="105"/>
        <v>FFDFD7C0</v>
      </c>
      <c r="D2168" t="s">
        <v>124</v>
      </c>
      <c r="E2168">
        <v>11</v>
      </c>
      <c r="F2168">
        <v>1011</v>
      </c>
      <c r="G2168" t="s">
        <v>590</v>
      </c>
      <c r="J2168" t="s">
        <v>125</v>
      </c>
      <c r="K2168">
        <v>0</v>
      </c>
      <c r="L2168">
        <v>3</v>
      </c>
      <c r="M2168">
        <v>0</v>
      </c>
      <c r="N2168">
        <v>2</v>
      </c>
      <c r="O2168">
        <v>1</v>
      </c>
      <c r="P2168">
        <v>0</v>
      </c>
      <c r="Q2168">
        <v>0</v>
      </c>
      <c r="S2168" t="str">
        <f>"20:26:01.258"</f>
        <v>20:26:01.258</v>
      </c>
      <c r="T2168" t="str">
        <f>"20:26:00.858"</f>
        <v>20:26:00.858</v>
      </c>
      <c r="U2168" t="str">
        <f t="shared" si="104"/>
        <v>AB01F4</v>
      </c>
      <c r="V2168">
        <v>0</v>
      </c>
      <c r="W2168">
        <v>0</v>
      </c>
      <c r="X2168">
        <v>2</v>
      </c>
      <c r="Z2168">
        <v>0</v>
      </c>
      <c r="AA2168">
        <v>9</v>
      </c>
      <c r="AB2168">
        <v>3</v>
      </c>
      <c r="AC2168">
        <v>0</v>
      </c>
      <c r="AD2168">
        <v>10</v>
      </c>
      <c r="AE2168">
        <v>0</v>
      </c>
      <c r="AF2168">
        <v>3</v>
      </c>
      <c r="AG2168">
        <v>2</v>
      </c>
      <c r="AH2168">
        <v>0</v>
      </c>
      <c r="AI2168" t="s">
        <v>1333</v>
      </c>
      <c r="AJ2168">
        <v>39.952984000000001</v>
      </c>
      <c r="AK2168" t="s">
        <v>1334</v>
      </c>
      <c r="AL2168">
        <v>-92.664056000000002</v>
      </c>
      <c r="AM2168">
        <v>100</v>
      </c>
      <c r="AN2168">
        <v>1700</v>
      </c>
      <c r="AO2168" t="s">
        <v>118</v>
      </c>
      <c r="AP2168">
        <v>-108</v>
      </c>
      <c r="AQ2168">
        <v>78</v>
      </c>
      <c r="AR2168">
        <v>128</v>
      </c>
      <c r="AZ2168">
        <v>1200</v>
      </c>
      <c r="BA2168">
        <v>1</v>
      </c>
      <c r="BB2168" t="str">
        <f t="shared" si="106"/>
        <v xml:space="preserve">N8080G  </v>
      </c>
      <c r="BC2168">
        <v>1</v>
      </c>
      <c r="BE2168">
        <v>0</v>
      </c>
      <c r="BF2168">
        <v>0</v>
      </c>
      <c r="BG2168">
        <v>0</v>
      </c>
      <c r="BH2168">
        <v>1700</v>
      </c>
      <c r="BI2168">
        <v>1</v>
      </c>
      <c r="BJ2168">
        <v>1</v>
      </c>
      <c r="BK2168">
        <v>1</v>
      </c>
      <c r="BL2168">
        <v>0</v>
      </c>
      <c r="BO2168">
        <v>0</v>
      </c>
      <c r="BP2168">
        <v>0</v>
      </c>
      <c r="BW2168" t="str">
        <f>"20:26:01.260"</f>
        <v>20:26:01.260</v>
      </c>
      <c r="BZ2168">
        <v>0</v>
      </c>
      <c r="CA2168">
        <v>2016</v>
      </c>
      <c r="CB2168">
        <v>224</v>
      </c>
      <c r="CD2168">
        <v>1</v>
      </c>
      <c r="CE2168">
        <v>0</v>
      </c>
      <c r="CF2168">
        <v>0</v>
      </c>
      <c r="CG2168">
        <v>1</v>
      </c>
      <c r="CH2168">
        <v>0</v>
      </c>
      <c r="CI2168">
        <v>0</v>
      </c>
      <c r="CJ2168">
        <v>0</v>
      </c>
      <c r="CK2168">
        <v>2</v>
      </c>
      <c r="CL2168">
        <v>0</v>
      </c>
      <c r="CM2168">
        <v>2</v>
      </c>
      <c r="CN2168">
        <v>0</v>
      </c>
      <c r="CO2168">
        <v>7</v>
      </c>
      <c r="CP2168" t="s">
        <v>119</v>
      </c>
      <c r="CQ2168">
        <v>180</v>
      </c>
      <c r="CR2168">
        <v>2</v>
      </c>
      <c r="CW2168">
        <v>8457723</v>
      </c>
      <c r="CY2168">
        <v>1</v>
      </c>
      <c r="CZ2168">
        <v>0</v>
      </c>
      <c r="DA2168">
        <v>1</v>
      </c>
      <c r="DB2168">
        <v>0</v>
      </c>
      <c r="DC2168">
        <v>0</v>
      </c>
      <c r="DD2168">
        <v>0</v>
      </c>
      <c r="DE2168">
        <v>0</v>
      </c>
      <c r="DF2168">
        <v>0</v>
      </c>
      <c r="DG2168">
        <v>0</v>
      </c>
      <c r="DH2168">
        <v>0</v>
      </c>
      <c r="DI2168">
        <v>0</v>
      </c>
    </row>
    <row r="2169" spans="1:113" x14ac:dyDescent="0.3">
      <c r="A2169" t="str">
        <f>"02/08/2021 20:25:58.930"</f>
        <v>02/08/2021 20:25:58.930</v>
      </c>
      <c r="C2169" t="str">
        <f t="shared" si="105"/>
        <v>FFDFD7C0</v>
      </c>
      <c r="D2169" t="s">
        <v>124</v>
      </c>
      <c r="E2169">
        <v>13</v>
      </c>
      <c r="F2169">
        <v>1013</v>
      </c>
      <c r="G2169" t="s">
        <v>114</v>
      </c>
      <c r="J2169" t="s">
        <v>125</v>
      </c>
      <c r="K2169">
        <v>0</v>
      </c>
      <c r="L2169">
        <v>3</v>
      </c>
      <c r="M2169">
        <v>0</v>
      </c>
      <c r="N2169">
        <v>2</v>
      </c>
      <c r="O2169">
        <v>1</v>
      </c>
      <c r="P2169">
        <v>0</v>
      </c>
      <c r="Q2169">
        <v>0</v>
      </c>
      <c r="S2169" t="str">
        <f>"20:26:01.258"</f>
        <v>20:26:01.258</v>
      </c>
      <c r="T2169" t="str">
        <f>"20:26:00.858"</f>
        <v>20:26:00.858</v>
      </c>
      <c r="U2169" t="str">
        <f t="shared" si="104"/>
        <v>AB01F4</v>
      </c>
      <c r="V2169">
        <v>0</v>
      </c>
      <c r="W2169">
        <v>0</v>
      </c>
      <c r="X2169">
        <v>2</v>
      </c>
      <c r="Z2169">
        <v>0</v>
      </c>
      <c r="AA2169">
        <v>9</v>
      </c>
      <c r="AB2169">
        <v>3</v>
      </c>
      <c r="AC2169">
        <v>0</v>
      </c>
      <c r="AD2169">
        <v>10</v>
      </c>
      <c r="AE2169">
        <v>0</v>
      </c>
      <c r="AF2169">
        <v>3</v>
      </c>
      <c r="AG2169">
        <v>2</v>
      </c>
      <c r="AH2169">
        <v>0</v>
      </c>
      <c r="AI2169" t="s">
        <v>1333</v>
      </c>
      <c r="AJ2169">
        <v>39.952984000000001</v>
      </c>
      <c r="AK2169" t="s">
        <v>1334</v>
      </c>
      <c r="AL2169">
        <v>-92.664056000000002</v>
      </c>
      <c r="AM2169">
        <v>100</v>
      </c>
      <c r="AN2169">
        <v>1700</v>
      </c>
      <c r="AO2169" t="s">
        <v>118</v>
      </c>
      <c r="AP2169">
        <v>-108</v>
      </c>
      <c r="AQ2169">
        <v>78</v>
      </c>
      <c r="AR2169">
        <v>128</v>
      </c>
      <c r="AZ2169">
        <v>1200</v>
      </c>
      <c r="BA2169">
        <v>1</v>
      </c>
      <c r="BB2169" t="str">
        <f t="shared" si="106"/>
        <v xml:space="preserve">N8080G  </v>
      </c>
      <c r="BC2169">
        <v>1</v>
      </c>
      <c r="BE2169">
        <v>0</v>
      </c>
      <c r="BF2169">
        <v>0</v>
      </c>
      <c r="BG2169">
        <v>0</v>
      </c>
      <c r="BH2169">
        <v>1700</v>
      </c>
      <c r="BI2169">
        <v>1</v>
      </c>
      <c r="BJ2169">
        <v>1</v>
      </c>
      <c r="BK2169">
        <v>1</v>
      </c>
      <c r="BL2169">
        <v>0</v>
      </c>
      <c r="BO2169">
        <v>0</v>
      </c>
      <c r="BP2169">
        <v>0</v>
      </c>
      <c r="BW2169" t="str">
        <f>"20:26:01.260"</f>
        <v>20:26:01.260</v>
      </c>
      <c r="BZ2169">
        <v>0</v>
      </c>
      <c r="CA2169">
        <v>2016</v>
      </c>
      <c r="CB2169">
        <v>224</v>
      </c>
      <c r="CD2169">
        <v>1</v>
      </c>
      <c r="CE2169">
        <v>0</v>
      </c>
      <c r="CF2169">
        <v>0</v>
      </c>
      <c r="CG2169">
        <v>1</v>
      </c>
      <c r="CH2169">
        <v>0</v>
      </c>
      <c r="CI2169">
        <v>0</v>
      </c>
      <c r="CJ2169">
        <v>0</v>
      </c>
      <c r="CK2169">
        <v>2</v>
      </c>
      <c r="CL2169">
        <v>0</v>
      </c>
      <c r="CM2169">
        <v>2</v>
      </c>
      <c r="CN2169">
        <v>0</v>
      </c>
      <c r="CO2169">
        <v>7</v>
      </c>
      <c r="CP2169" t="s">
        <v>119</v>
      </c>
      <c r="CQ2169">
        <v>180</v>
      </c>
      <c r="CR2169">
        <v>2</v>
      </c>
      <c r="CW2169">
        <v>8457723</v>
      </c>
      <c r="CY2169">
        <v>1</v>
      </c>
      <c r="CZ2169">
        <v>0</v>
      </c>
      <c r="DA2169">
        <v>1</v>
      </c>
      <c r="DB2169">
        <v>0</v>
      </c>
      <c r="DC2169">
        <v>0</v>
      </c>
      <c r="DD2169">
        <v>0</v>
      </c>
      <c r="DE2169">
        <v>0</v>
      </c>
      <c r="DF2169">
        <v>0</v>
      </c>
      <c r="DG2169">
        <v>0</v>
      </c>
      <c r="DH2169">
        <v>0</v>
      </c>
      <c r="DI2169">
        <v>0</v>
      </c>
    </row>
    <row r="2170" spans="1:113" x14ac:dyDescent="0.3">
      <c r="A2170" t="str">
        <f>"02/08/2021 20:25:58.930"</f>
        <v>02/08/2021 20:25:58.930</v>
      </c>
      <c r="C2170" t="str">
        <f t="shared" si="105"/>
        <v>FFDFD7C0</v>
      </c>
      <c r="D2170" t="s">
        <v>113</v>
      </c>
      <c r="E2170">
        <v>6</v>
      </c>
      <c r="H2170">
        <v>165</v>
      </c>
      <c r="I2170" t="s">
        <v>114</v>
      </c>
      <c r="J2170" t="s">
        <v>115</v>
      </c>
      <c r="K2170">
        <v>0</v>
      </c>
      <c r="L2170">
        <v>3</v>
      </c>
      <c r="M2170">
        <v>0</v>
      </c>
      <c r="N2170">
        <v>2</v>
      </c>
      <c r="O2170">
        <v>1</v>
      </c>
      <c r="P2170">
        <v>0</v>
      </c>
      <c r="Q2170">
        <v>0</v>
      </c>
      <c r="S2170" t="str">
        <f>"20:26:01.258"</f>
        <v>20:26:01.258</v>
      </c>
      <c r="T2170" t="str">
        <f>"20:26:00.858"</f>
        <v>20:26:00.858</v>
      </c>
      <c r="U2170" t="str">
        <f t="shared" si="104"/>
        <v>AB01F4</v>
      </c>
      <c r="V2170">
        <v>0</v>
      </c>
      <c r="W2170">
        <v>0</v>
      </c>
      <c r="X2170">
        <v>2</v>
      </c>
      <c r="Z2170">
        <v>0</v>
      </c>
      <c r="AA2170">
        <v>9</v>
      </c>
      <c r="AB2170">
        <v>3</v>
      </c>
      <c r="AC2170">
        <v>0</v>
      </c>
      <c r="AD2170">
        <v>10</v>
      </c>
      <c r="AE2170">
        <v>0</v>
      </c>
      <c r="AF2170">
        <v>3</v>
      </c>
      <c r="AG2170">
        <v>2</v>
      </c>
      <c r="AH2170">
        <v>0</v>
      </c>
      <c r="AI2170" t="s">
        <v>1333</v>
      </c>
      <c r="AJ2170">
        <v>39.952984000000001</v>
      </c>
      <c r="AK2170" t="s">
        <v>1334</v>
      </c>
      <c r="AL2170">
        <v>-92.664056000000002</v>
      </c>
      <c r="AM2170">
        <v>100</v>
      </c>
      <c r="AN2170">
        <v>1700</v>
      </c>
      <c r="AO2170" t="s">
        <v>118</v>
      </c>
      <c r="AP2170">
        <v>-108</v>
      </c>
      <c r="AQ2170">
        <v>78</v>
      </c>
      <c r="AR2170">
        <v>128</v>
      </c>
      <c r="AZ2170">
        <v>1200</v>
      </c>
      <c r="BA2170">
        <v>1</v>
      </c>
      <c r="BB2170" t="str">
        <f t="shared" si="106"/>
        <v xml:space="preserve">N8080G  </v>
      </c>
      <c r="BC2170">
        <v>1</v>
      </c>
      <c r="BE2170">
        <v>0</v>
      </c>
      <c r="BF2170">
        <v>0</v>
      </c>
      <c r="BG2170">
        <v>0</v>
      </c>
      <c r="BH2170">
        <v>1700</v>
      </c>
      <c r="BI2170">
        <v>1</v>
      </c>
      <c r="BJ2170">
        <v>1</v>
      </c>
      <c r="BK2170">
        <v>1</v>
      </c>
      <c r="BL2170">
        <v>0</v>
      </c>
      <c r="BO2170">
        <v>0</v>
      </c>
      <c r="BP2170">
        <v>0</v>
      </c>
      <c r="BW2170" t="str">
        <f>"20:26:01.260"</f>
        <v>20:26:01.260</v>
      </c>
      <c r="BZ2170">
        <v>0</v>
      </c>
      <c r="CA2170">
        <v>2016</v>
      </c>
      <c r="CB2170">
        <v>224</v>
      </c>
      <c r="CD2170">
        <v>1</v>
      </c>
      <c r="CE2170">
        <v>0</v>
      </c>
      <c r="CF2170">
        <v>0</v>
      </c>
      <c r="CG2170">
        <v>1</v>
      </c>
      <c r="CH2170">
        <v>0</v>
      </c>
      <c r="CI2170">
        <v>0</v>
      </c>
      <c r="CJ2170">
        <v>0</v>
      </c>
      <c r="CK2170">
        <v>2</v>
      </c>
      <c r="CL2170">
        <v>0</v>
      </c>
      <c r="CM2170">
        <v>2</v>
      </c>
      <c r="CN2170">
        <v>0</v>
      </c>
      <c r="CO2170">
        <v>7</v>
      </c>
      <c r="CP2170" t="s">
        <v>119</v>
      </c>
      <c r="CQ2170">
        <v>180</v>
      </c>
      <c r="CR2170">
        <v>2</v>
      </c>
      <c r="CW2170">
        <v>8457723</v>
      </c>
      <c r="CY2170">
        <v>1</v>
      </c>
      <c r="CZ2170">
        <v>0</v>
      </c>
      <c r="DA2170">
        <v>1</v>
      </c>
      <c r="DB2170">
        <v>0</v>
      </c>
      <c r="DC2170">
        <v>0</v>
      </c>
      <c r="DD2170">
        <v>0</v>
      </c>
      <c r="DE2170">
        <v>0</v>
      </c>
      <c r="DF2170">
        <v>0</v>
      </c>
      <c r="DG2170">
        <v>0</v>
      </c>
      <c r="DH2170">
        <v>0</v>
      </c>
      <c r="DI2170">
        <v>0</v>
      </c>
    </row>
    <row r="2171" spans="1:113" x14ac:dyDescent="0.3">
      <c r="A2171" t="str">
        <f>"02/08/2021 20:26:01.760"</f>
        <v>02/08/2021 20:26:01.760</v>
      </c>
      <c r="C2171" t="str">
        <f t="shared" si="105"/>
        <v>FFDFD7C0</v>
      </c>
      <c r="D2171" t="s">
        <v>124</v>
      </c>
      <c r="E2171">
        <v>13</v>
      </c>
      <c r="F2171">
        <v>1013</v>
      </c>
      <c r="G2171" t="s">
        <v>114</v>
      </c>
      <c r="J2171" t="s">
        <v>125</v>
      </c>
      <c r="K2171">
        <v>0</v>
      </c>
      <c r="L2171">
        <v>3</v>
      </c>
      <c r="M2171">
        <v>0</v>
      </c>
      <c r="N2171">
        <v>2</v>
      </c>
      <c r="O2171">
        <v>1</v>
      </c>
      <c r="P2171">
        <v>0</v>
      </c>
      <c r="Q2171">
        <v>0</v>
      </c>
      <c r="S2171" t="str">
        <f>"20:26:04.102"</f>
        <v>20:26:04.102</v>
      </c>
      <c r="T2171" t="str">
        <f>"20:26:03.702"</f>
        <v>20:26:03.702</v>
      </c>
      <c r="U2171" t="str">
        <f t="shared" si="104"/>
        <v>AB01F4</v>
      </c>
      <c r="V2171">
        <v>0</v>
      </c>
      <c r="W2171">
        <v>0</v>
      </c>
      <c r="X2171">
        <v>2</v>
      </c>
      <c r="Z2171">
        <v>0</v>
      </c>
      <c r="AA2171">
        <v>9</v>
      </c>
      <c r="AB2171">
        <v>3</v>
      </c>
      <c r="AC2171">
        <v>0</v>
      </c>
      <c r="AD2171">
        <v>10</v>
      </c>
      <c r="AE2171">
        <v>0</v>
      </c>
      <c r="AF2171">
        <v>3</v>
      </c>
      <c r="AG2171">
        <v>2</v>
      </c>
      <c r="AH2171">
        <v>0</v>
      </c>
      <c r="AI2171" t="s">
        <v>1335</v>
      </c>
      <c r="AJ2171">
        <v>39.953971000000003</v>
      </c>
      <c r="AK2171" t="s">
        <v>1336</v>
      </c>
      <c r="AL2171">
        <v>-92.665880000000001</v>
      </c>
      <c r="AM2171">
        <v>100</v>
      </c>
      <c r="AN2171">
        <v>1700</v>
      </c>
      <c r="AO2171" t="s">
        <v>118</v>
      </c>
      <c r="AP2171">
        <v>-108</v>
      </c>
      <c r="AQ2171">
        <v>78</v>
      </c>
      <c r="AR2171">
        <v>128</v>
      </c>
      <c r="AZ2171">
        <v>1200</v>
      </c>
      <c r="BA2171">
        <v>1</v>
      </c>
      <c r="BB2171" t="str">
        <f t="shared" si="106"/>
        <v xml:space="preserve">N8080G  </v>
      </c>
      <c r="BC2171">
        <v>1</v>
      </c>
      <c r="BE2171">
        <v>0</v>
      </c>
      <c r="BF2171">
        <v>0</v>
      </c>
      <c r="BG2171">
        <v>0</v>
      </c>
      <c r="BH2171">
        <v>1700</v>
      </c>
      <c r="BI2171">
        <v>1</v>
      </c>
      <c r="BJ2171">
        <v>1</v>
      </c>
      <c r="BK2171">
        <v>1</v>
      </c>
      <c r="BL2171">
        <v>0</v>
      </c>
      <c r="BO2171">
        <v>0</v>
      </c>
      <c r="BP2171">
        <v>0</v>
      </c>
      <c r="BW2171" t="str">
        <f>"20:26:04.103"</f>
        <v>20:26:04.103</v>
      </c>
      <c r="BZ2171">
        <v>0</v>
      </c>
      <c r="CA2171">
        <v>2016</v>
      </c>
      <c r="CB2171">
        <v>224</v>
      </c>
      <c r="CD2171">
        <v>1</v>
      </c>
      <c r="CE2171">
        <v>0</v>
      </c>
      <c r="CF2171">
        <v>0</v>
      </c>
      <c r="CG2171">
        <v>1</v>
      </c>
      <c r="CH2171">
        <v>0</v>
      </c>
      <c r="CI2171">
        <v>0</v>
      </c>
      <c r="CJ2171">
        <v>0</v>
      </c>
      <c r="CK2171">
        <v>2</v>
      </c>
      <c r="CL2171">
        <v>0</v>
      </c>
      <c r="CM2171">
        <v>2</v>
      </c>
      <c r="CN2171">
        <v>0</v>
      </c>
      <c r="CO2171">
        <v>7</v>
      </c>
      <c r="CP2171" t="s">
        <v>119</v>
      </c>
      <c r="CQ2171">
        <v>180</v>
      </c>
      <c r="CR2171">
        <v>3</v>
      </c>
      <c r="CW2171">
        <v>813693</v>
      </c>
      <c r="CY2171">
        <v>1</v>
      </c>
      <c r="CZ2171">
        <v>0</v>
      </c>
      <c r="DA2171">
        <v>0</v>
      </c>
      <c r="DB2171">
        <v>0</v>
      </c>
      <c r="DC2171">
        <v>0</v>
      </c>
      <c r="DD2171">
        <v>0</v>
      </c>
      <c r="DE2171">
        <v>0</v>
      </c>
      <c r="DF2171">
        <v>0</v>
      </c>
      <c r="DG2171">
        <v>0</v>
      </c>
      <c r="DH2171">
        <v>0</v>
      </c>
      <c r="DI2171">
        <v>0</v>
      </c>
    </row>
    <row r="2172" spans="1:113" x14ac:dyDescent="0.3">
      <c r="A2172" t="str">
        <f>"02/08/2021 20:26:01.760"</f>
        <v>02/08/2021 20:26:01.760</v>
      </c>
      <c r="C2172" t="str">
        <f t="shared" si="105"/>
        <v>FFDFD7C0</v>
      </c>
      <c r="D2172" t="s">
        <v>124</v>
      </c>
      <c r="E2172">
        <v>11</v>
      </c>
      <c r="F2172">
        <v>1011</v>
      </c>
      <c r="G2172" t="s">
        <v>590</v>
      </c>
      <c r="J2172" t="s">
        <v>125</v>
      </c>
      <c r="K2172">
        <v>0</v>
      </c>
      <c r="L2172">
        <v>3</v>
      </c>
      <c r="M2172">
        <v>0</v>
      </c>
      <c r="N2172">
        <v>2</v>
      </c>
      <c r="O2172">
        <v>1</v>
      </c>
      <c r="P2172">
        <v>0</v>
      </c>
      <c r="Q2172">
        <v>0</v>
      </c>
      <c r="S2172" t="str">
        <f>"20:26:04.102"</f>
        <v>20:26:04.102</v>
      </c>
      <c r="T2172" t="str">
        <f>"20:26:03.702"</f>
        <v>20:26:03.702</v>
      </c>
      <c r="U2172" t="str">
        <f t="shared" si="104"/>
        <v>AB01F4</v>
      </c>
      <c r="V2172">
        <v>0</v>
      </c>
      <c r="W2172">
        <v>0</v>
      </c>
      <c r="X2172">
        <v>2</v>
      </c>
      <c r="Z2172">
        <v>0</v>
      </c>
      <c r="AA2172">
        <v>9</v>
      </c>
      <c r="AB2172">
        <v>3</v>
      </c>
      <c r="AC2172">
        <v>0</v>
      </c>
      <c r="AD2172">
        <v>10</v>
      </c>
      <c r="AE2172">
        <v>0</v>
      </c>
      <c r="AF2172">
        <v>3</v>
      </c>
      <c r="AG2172">
        <v>2</v>
      </c>
      <c r="AH2172">
        <v>0</v>
      </c>
      <c r="AI2172" t="s">
        <v>1335</v>
      </c>
      <c r="AJ2172">
        <v>39.953971000000003</v>
      </c>
      <c r="AK2172" t="s">
        <v>1336</v>
      </c>
      <c r="AL2172">
        <v>-92.665880000000001</v>
      </c>
      <c r="AM2172">
        <v>100</v>
      </c>
      <c r="AN2172">
        <v>1700</v>
      </c>
      <c r="AO2172" t="s">
        <v>118</v>
      </c>
      <c r="AP2172">
        <v>-108</v>
      </c>
      <c r="AQ2172">
        <v>78</v>
      </c>
      <c r="AR2172">
        <v>128</v>
      </c>
      <c r="AZ2172">
        <v>1200</v>
      </c>
      <c r="BA2172">
        <v>1</v>
      </c>
      <c r="BB2172" t="str">
        <f t="shared" si="106"/>
        <v xml:space="preserve">N8080G  </v>
      </c>
      <c r="BC2172">
        <v>1</v>
      </c>
      <c r="BE2172">
        <v>0</v>
      </c>
      <c r="BF2172">
        <v>0</v>
      </c>
      <c r="BG2172">
        <v>0</v>
      </c>
      <c r="BH2172">
        <v>1700</v>
      </c>
      <c r="BI2172">
        <v>1</v>
      </c>
      <c r="BJ2172">
        <v>1</v>
      </c>
      <c r="BK2172">
        <v>1</v>
      </c>
      <c r="BL2172">
        <v>0</v>
      </c>
      <c r="BO2172">
        <v>0</v>
      </c>
      <c r="BP2172">
        <v>0</v>
      </c>
      <c r="BW2172" t="str">
        <f>"20:26:04.103"</f>
        <v>20:26:04.103</v>
      </c>
      <c r="BZ2172">
        <v>0</v>
      </c>
      <c r="CA2172">
        <v>2016</v>
      </c>
      <c r="CB2172">
        <v>224</v>
      </c>
      <c r="CD2172">
        <v>1</v>
      </c>
      <c r="CE2172">
        <v>0</v>
      </c>
      <c r="CF2172">
        <v>0</v>
      </c>
      <c r="CG2172">
        <v>1</v>
      </c>
      <c r="CH2172">
        <v>0</v>
      </c>
      <c r="CI2172">
        <v>0</v>
      </c>
      <c r="CJ2172">
        <v>0</v>
      </c>
      <c r="CK2172">
        <v>2</v>
      </c>
      <c r="CL2172">
        <v>0</v>
      </c>
      <c r="CM2172">
        <v>2</v>
      </c>
      <c r="CN2172">
        <v>0</v>
      </c>
      <c r="CO2172">
        <v>7</v>
      </c>
      <c r="CP2172" t="s">
        <v>119</v>
      </c>
      <c r="CQ2172">
        <v>180</v>
      </c>
      <c r="CR2172">
        <v>3</v>
      </c>
      <c r="CW2172">
        <v>813693</v>
      </c>
      <c r="CY2172">
        <v>1</v>
      </c>
      <c r="CZ2172">
        <v>0</v>
      </c>
      <c r="DA2172">
        <v>1</v>
      </c>
      <c r="DB2172">
        <v>0</v>
      </c>
      <c r="DC2172">
        <v>0</v>
      </c>
      <c r="DD2172">
        <v>0</v>
      </c>
      <c r="DE2172">
        <v>0</v>
      </c>
      <c r="DF2172">
        <v>0</v>
      </c>
      <c r="DG2172">
        <v>0</v>
      </c>
      <c r="DH2172">
        <v>0</v>
      </c>
      <c r="DI2172">
        <v>0</v>
      </c>
    </row>
    <row r="2173" spans="1:113" x14ac:dyDescent="0.3">
      <c r="A2173" t="str">
        <f>"02/08/2021 20:26:01.760"</f>
        <v>02/08/2021 20:26:01.760</v>
      </c>
      <c r="C2173" t="str">
        <f t="shared" si="105"/>
        <v>FFDFD7C0</v>
      </c>
      <c r="D2173" t="s">
        <v>113</v>
      </c>
      <c r="E2173">
        <v>6</v>
      </c>
      <c r="H2173">
        <v>165</v>
      </c>
      <c r="I2173" t="s">
        <v>114</v>
      </c>
      <c r="J2173" t="s">
        <v>115</v>
      </c>
      <c r="K2173">
        <v>0</v>
      </c>
      <c r="L2173">
        <v>3</v>
      </c>
      <c r="M2173">
        <v>0</v>
      </c>
      <c r="N2173">
        <v>2</v>
      </c>
      <c r="O2173">
        <v>1</v>
      </c>
      <c r="P2173">
        <v>0</v>
      </c>
      <c r="Q2173">
        <v>0</v>
      </c>
      <c r="S2173" t="str">
        <f>"20:26:04.102"</f>
        <v>20:26:04.102</v>
      </c>
      <c r="T2173" t="str">
        <f>"20:26:03.702"</f>
        <v>20:26:03.702</v>
      </c>
      <c r="U2173" t="str">
        <f t="shared" si="104"/>
        <v>AB01F4</v>
      </c>
      <c r="V2173">
        <v>0</v>
      </c>
      <c r="W2173">
        <v>0</v>
      </c>
      <c r="X2173">
        <v>2</v>
      </c>
      <c r="Z2173">
        <v>0</v>
      </c>
      <c r="AA2173">
        <v>9</v>
      </c>
      <c r="AB2173">
        <v>3</v>
      </c>
      <c r="AC2173">
        <v>0</v>
      </c>
      <c r="AD2173">
        <v>10</v>
      </c>
      <c r="AE2173">
        <v>0</v>
      </c>
      <c r="AF2173">
        <v>3</v>
      </c>
      <c r="AG2173">
        <v>2</v>
      </c>
      <c r="AH2173">
        <v>0</v>
      </c>
      <c r="AI2173" t="s">
        <v>1335</v>
      </c>
      <c r="AJ2173">
        <v>39.953971000000003</v>
      </c>
      <c r="AK2173" t="s">
        <v>1336</v>
      </c>
      <c r="AL2173">
        <v>-92.665880000000001</v>
      </c>
      <c r="AM2173">
        <v>100</v>
      </c>
      <c r="AN2173">
        <v>1700</v>
      </c>
      <c r="AO2173" t="s">
        <v>118</v>
      </c>
      <c r="AP2173">
        <v>-108</v>
      </c>
      <c r="AQ2173">
        <v>78</v>
      </c>
      <c r="AR2173">
        <v>128</v>
      </c>
      <c r="AZ2173">
        <v>1200</v>
      </c>
      <c r="BA2173">
        <v>1</v>
      </c>
      <c r="BB2173" t="str">
        <f t="shared" si="106"/>
        <v xml:space="preserve">N8080G  </v>
      </c>
      <c r="BC2173">
        <v>1</v>
      </c>
      <c r="BE2173">
        <v>0</v>
      </c>
      <c r="BF2173">
        <v>0</v>
      </c>
      <c r="BG2173">
        <v>0</v>
      </c>
      <c r="BH2173">
        <v>1700</v>
      </c>
      <c r="BI2173">
        <v>1</v>
      </c>
      <c r="BJ2173">
        <v>1</v>
      </c>
      <c r="BK2173">
        <v>1</v>
      </c>
      <c r="BL2173">
        <v>0</v>
      </c>
      <c r="BO2173">
        <v>0</v>
      </c>
      <c r="BP2173">
        <v>0</v>
      </c>
      <c r="BW2173" t="str">
        <f>"20:26:04.103"</f>
        <v>20:26:04.103</v>
      </c>
      <c r="BZ2173">
        <v>0</v>
      </c>
      <c r="CA2173">
        <v>2016</v>
      </c>
      <c r="CB2173">
        <v>224</v>
      </c>
      <c r="CD2173">
        <v>1</v>
      </c>
      <c r="CE2173">
        <v>0</v>
      </c>
      <c r="CF2173">
        <v>0</v>
      </c>
      <c r="CG2173">
        <v>1</v>
      </c>
      <c r="CH2173">
        <v>0</v>
      </c>
      <c r="CI2173">
        <v>0</v>
      </c>
      <c r="CJ2173">
        <v>0</v>
      </c>
      <c r="CK2173">
        <v>2</v>
      </c>
      <c r="CL2173">
        <v>0</v>
      </c>
      <c r="CM2173">
        <v>2</v>
      </c>
      <c r="CN2173">
        <v>0</v>
      </c>
      <c r="CO2173">
        <v>7</v>
      </c>
      <c r="CP2173" t="s">
        <v>119</v>
      </c>
      <c r="CQ2173">
        <v>180</v>
      </c>
      <c r="CR2173">
        <v>3</v>
      </c>
      <c r="CW2173">
        <v>813693</v>
      </c>
      <c r="CY2173">
        <v>1</v>
      </c>
      <c r="CZ2173">
        <v>0</v>
      </c>
      <c r="DA2173">
        <v>1</v>
      </c>
      <c r="DB2173">
        <v>0</v>
      </c>
      <c r="DC2173">
        <v>0</v>
      </c>
      <c r="DD2173">
        <v>0</v>
      </c>
      <c r="DE2173">
        <v>0</v>
      </c>
      <c r="DF2173">
        <v>0</v>
      </c>
      <c r="DG2173">
        <v>0</v>
      </c>
      <c r="DH2173">
        <v>0</v>
      </c>
      <c r="DI2173">
        <v>0</v>
      </c>
    </row>
    <row r="2174" spans="1:113" x14ac:dyDescent="0.3">
      <c r="A2174" t="str">
        <f>"02/08/2021 20:26:01.760"</f>
        <v>02/08/2021 20:26:01.760</v>
      </c>
      <c r="C2174" t="str">
        <f t="shared" si="105"/>
        <v>FFDFD7C0</v>
      </c>
      <c r="D2174" t="s">
        <v>124</v>
      </c>
      <c r="E2174">
        <v>12</v>
      </c>
      <c r="F2174">
        <v>1012</v>
      </c>
      <c r="G2174" t="s">
        <v>675</v>
      </c>
      <c r="J2174" t="s">
        <v>125</v>
      </c>
      <c r="K2174">
        <v>0</v>
      </c>
      <c r="L2174">
        <v>3</v>
      </c>
      <c r="M2174">
        <v>0</v>
      </c>
      <c r="N2174">
        <v>2</v>
      </c>
      <c r="O2174">
        <v>1</v>
      </c>
      <c r="P2174">
        <v>0</v>
      </c>
      <c r="Q2174">
        <v>0</v>
      </c>
      <c r="S2174" t="str">
        <f>"20:26:04.102"</f>
        <v>20:26:04.102</v>
      </c>
      <c r="T2174" t="str">
        <f>"20:26:03.702"</f>
        <v>20:26:03.702</v>
      </c>
      <c r="U2174" t="str">
        <f t="shared" si="104"/>
        <v>AB01F4</v>
      </c>
      <c r="V2174">
        <v>0</v>
      </c>
      <c r="W2174">
        <v>0</v>
      </c>
      <c r="X2174">
        <v>2</v>
      </c>
      <c r="Z2174">
        <v>0</v>
      </c>
      <c r="AA2174">
        <v>9</v>
      </c>
      <c r="AB2174">
        <v>3</v>
      </c>
      <c r="AC2174">
        <v>0</v>
      </c>
      <c r="AD2174">
        <v>10</v>
      </c>
      <c r="AE2174">
        <v>0</v>
      </c>
      <c r="AF2174">
        <v>3</v>
      </c>
      <c r="AG2174">
        <v>2</v>
      </c>
      <c r="AH2174">
        <v>0</v>
      </c>
      <c r="AI2174" t="s">
        <v>1335</v>
      </c>
      <c r="AJ2174">
        <v>39.953971000000003</v>
      </c>
      <c r="AK2174" t="s">
        <v>1336</v>
      </c>
      <c r="AL2174">
        <v>-92.665880000000001</v>
      </c>
      <c r="AM2174">
        <v>100</v>
      </c>
      <c r="AN2174">
        <v>1700</v>
      </c>
      <c r="AO2174" t="s">
        <v>118</v>
      </c>
      <c r="AP2174">
        <v>-108</v>
      </c>
      <c r="AQ2174">
        <v>78</v>
      </c>
      <c r="AR2174">
        <v>128</v>
      </c>
      <c r="AZ2174">
        <v>1200</v>
      </c>
      <c r="BA2174">
        <v>1</v>
      </c>
      <c r="BB2174" t="str">
        <f t="shared" si="106"/>
        <v xml:space="preserve">N8080G  </v>
      </c>
      <c r="BC2174">
        <v>1</v>
      </c>
      <c r="BE2174">
        <v>0</v>
      </c>
      <c r="BF2174">
        <v>0</v>
      </c>
      <c r="BG2174">
        <v>0</v>
      </c>
      <c r="BH2174">
        <v>1700</v>
      </c>
      <c r="BI2174">
        <v>1</v>
      </c>
      <c r="BJ2174">
        <v>1</v>
      </c>
      <c r="BK2174">
        <v>1</v>
      </c>
      <c r="BL2174">
        <v>0</v>
      </c>
      <c r="BO2174">
        <v>0</v>
      </c>
      <c r="BP2174">
        <v>0</v>
      </c>
      <c r="BW2174" t="str">
        <f>"20:26:04.103"</f>
        <v>20:26:04.103</v>
      </c>
      <c r="BZ2174">
        <v>0</v>
      </c>
      <c r="CA2174">
        <v>2016</v>
      </c>
      <c r="CB2174">
        <v>224</v>
      </c>
      <c r="CD2174">
        <v>1</v>
      </c>
      <c r="CE2174">
        <v>0</v>
      </c>
      <c r="CF2174">
        <v>0</v>
      </c>
      <c r="CG2174">
        <v>1</v>
      </c>
      <c r="CH2174">
        <v>0</v>
      </c>
      <c r="CI2174">
        <v>0</v>
      </c>
      <c r="CJ2174">
        <v>0</v>
      </c>
      <c r="CK2174">
        <v>2</v>
      </c>
      <c r="CL2174">
        <v>0</v>
      </c>
      <c r="CM2174">
        <v>2</v>
      </c>
      <c r="CN2174">
        <v>0</v>
      </c>
      <c r="CO2174">
        <v>7</v>
      </c>
      <c r="CP2174" t="s">
        <v>119</v>
      </c>
      <c r="CQ2174">
        <v>180</v>
      </c>
      <c r="CR2174">
        <v>3</v>
      </c>
      <c r="CW2174">
        <v>813693</v>
      </c>
      <c r="CY2174">
        <v>1</v>
      </c>
      <c r="CZ2174">
        <v>0</v>
      </c>
      <c r="DA2174">
        <v>1</v>
      </c>
      <c r="DB2174">
        <v>0</v>
      </c>
      <c r="DC2174">
        <v>0</v>
      </c>
      <c r="DD2174">
        <v>0</v>
      </c>
      <c r="DE2174">
        <v>0</v>
      </c>
      <c r="DF2174">
        <v>0</v>
      </c>
      <c r="DG2174">
        <v>0</v>
      </c>
      <c r="DH2174">
        <v>0</v>
      </c>
      <c r="DI2174">
        <v>0</v>
      </c>
    </row>
    <row r="2175" spans="1:113" x14ac:dyDescent="0.3">
      <c r="A2175" t="str">
        <f>"02/08/2021 20:26:02.664"</f>
        <v>02/08/2021 20:26:02.664</v>
      </c>
      <c r="C2175" t="str">
        <f t="shared" si="105"/>
        <v>FFDFD7C0</v>
      </c>
      <c r="D2175" t="s">
        <v>124</v>
      </c>
      <c r="E2175">
        <v>13</v>
      </c>
      <c r="F2175">
        <v>1013</v>
      </c>
      <c r="G2175" t="s">
        <v>114</v>
      </c>
      <c r="J2175" t="s">
        <v>125</v>
      </c>
      <c r="K2175">
        <v>0</v>
      </c>
      <c r="L2175">
        <v>3</v>
      </c>
      <c r="M2175">
        <v>0</v>
      </c>
      <c r="N2175">
        <v>2</v>
      </c>
      <c r="O2175">
        <v>1</v>
      </c>
      <c r="P2175">
        <v>0</v>
      </c>
      <c r="Q2175">
        <v>0</v>
      </c>
      <c r="S2175" t="str">
        <f>"20:26:04.984"</f>
        <v>20:26:04.984</v>
      </c>
      <c r="T2175" t="str">
        <f>"20:26:03.784"</f>
        <v>20:26:03.784</v>
      </c>
      <c r="U2175" t="str">
        <f t="shared" si="104"/>
        <v>AB01F4</v>
      </c>
      <c r="V2175">
        <v>0</v>
      </c>
      <c r="W2175">
        <v>0</v>
      </c>
      <c r="X2175">
        <v>2</v>
      </c>
      <c r="Z2175">
        <v>0</v>
      </c>
      <c r="AA2175">
        <v>9</v>
      </c>
      <c r="AB2175">
        <v>3</v>
      </c>
      <c r="AC2175">
        <v>0</v>
      </c>
      <c r="AD2175">
        <v>10</v>
      </c>
      <c r="AE2175">
        <v>0</v>
      </c>
      <c r="AF2175">
        <v>3</v>
      </c>
      <c r="AG2175">
        <v>2</v>
      </c>
      <c r="AH2175">
        <v>0</v>
      </c>
      <c r="AI2175" t="s">
        <v>1337</v>
      </c>
      <c r="AJ2175">
        <v>39.954293</v>
      </c>
      <c r="AK2175" t="s">
        <v>1338</v>
      </c>
      <c r="AL2175">
        <v>-92.666437999999999</v>
      </c>
      <c r="AM2175">
        <v>100</v>
      </c>
      <c r="AN2175">
        <v>1700</v>
      </c>
      <c r="AO2175" t="s">
        <v>118</v>
      </c>
      <c r="AP2175">
        <v>-108</v>
      </c>
      <c r="AQ2175">
        <v>78</v>
      </c>
      <c r="AR2175">
        <v>128</v>
      </c>
      <c r="AZ2175">
        <v>1200</v>
      </c>
      <c r="BA2175">
        <v>1</v>
      </c>
      <c r="BB2175" t="str">
        <f t="shared" si="106"/>
        <v xml:space="preserve">N8080G  </v>
      </c>
      <c r="BC2175">
        <v>1</v>
      </c>
      <c r="BE2175">
        <v>0</v>
      </c>
      <c r="BF2175">
        <v>0</v>
      </c>
      <c r="BG2175">
        <v>0</v>
      </c>
      <c r="BH2175">
        <v>1700</v>
      </c>
      <c r="BI2175">
        <v>1</v>
      </c>
      <c r="BJ2175">
        <v>1</v>
      </c>
      <c r="BK2175">
        <v>1</v>
      </c>
      <c r="BL2175">
        <v>0</v>
      </c>
      <c r="BO2175">
        <v>0</v>
      </c>
      <c r="BP2175">
        <v>0</v>
      </c>
      <c r="BW2175" t="str">
        <f>"20:26:04.985"</f>
        <v>20:26:04.985</v>
      </c>
      <c r="BZ2175">
        <v>0</v>
      </c>
      <c r="CA2175">
        <v>2016</v>
      </c>
      <c r="CB2175">
        <v>224</v>
      </c>
      <c r="CD2175">
        <v>1</v>
      </c>
      <c r="CE2175">
        <v>0</v>
      </c>
      <c r="CF2175">
        <v>0</v>
      </c>
      <c r="CG2175">
        <v>1</v>
      </c>
      <c r="CH2175">
        <v>0</v>
      </c>
      <c r="CI2175">
        <v>0</v>
      </c>
      <c r="CJ2175">
        <v>0</v>
      </c>
      <c r="CK2175">
        <v>2</v>
      </c>
      <c r="CL2175">
        <v>0</v>
      </c>
      <c r="CM2175">
        <v>2</v>
      </c>
      <c r="CN2175">
        <v>0</v>
      </c>
      <c r="CO2175">
        <v>2</v>
      </c>
      <c r="CP2175" t="s">
        <v>119</v>
      </c>
      <c r="CQ2175">
        <v>179</v>
      </c>
      <c r="CR2175">
        <v>1</v>
      </c>
      <c r="CW2175">
        <v>8903008</v>
      </c>
      <c r="CY2175">
        <v>1</v>
      </c>
      <c r="CZ2175">
        <v>0</v>
      </c>
      <c r="DA2175">
        <v>0</v>
      </c>
      <c r="DB2175">
        <v>0</v>
      </c>
      <c r="DC2175">
        <v>0</v>
      </c>
      <c r="DD2175">
        <v>0</v>
      </c>
      <c r="DE2175">
        <v>0</v>
      </c>
      <c r="DF2175">
        <v>0</v>
      </c>
      <c r="DG2175">
        <v>0</v>
      </c>
      <c r="DH2175">
        <v>0</v>
      </c>
      <c r="DI2175">
        <v>0</v>
      </c>
    </row>
    <row r="2176" spans="1:113" x14ac:dyDescent="0.3">
      <c r="A2176" t="str">
        <f>"02/08/2021 20:26:02.664"</f>
        <v>02/08/2021 20:26:02.664</v>
      </c>
      <c r="C2176" t="str">
        <f t="shared" si="105"/>
        <v>FFDFD7C0</v>
      </c>
      <c r="D2176" t="s">
        <v>124</v>
      </c>
      <c r="E2176">
        <v>11</v>
      </c>
      <c r="F2176">
        <v>1011</v>
      </c>
      <c r="G2176" t="s">
        <v>590</v>
      </c>
      <c r="J2176" t="s">
        <v>125</v>
      </c>
      <c r="K2176">
        <v>0</v>
      </c>
      <c r="L2176">
        <v>3</v>
      </c>
      <c r="M2176">
        <v>0</v>
      </c>
      <c r="N2176">
        <v>2</v>
      </c>
      <c r="O2176">
        <v>1</v>
      </c>
      <c r="P2176">
        <v>0</v>
      </c>
      <c r="Q2176">
        <v>0</v>
      </c>
      <c r="S2176" t="str">
        <f>"20:26:04.984"</f>
        <v>20:26:04.984</v>
      </c>
      <c r="T2176" t="str">
        <f>"20:26:03.784"</f>
        <v>20:26:03.784</v>
      </c>
      <c r="U2176" t="str">
        <f t="shared" si="104"/>
        <v>AB01F4</v>
      </c>
      <c r="V2176">
        <v>0</v>
      </c>
      <c r="W2176">
        <v>0</v>
      </c>
      <c r="X2176">
        <v>2</v>
      </c>
      <c r="Z2176">
        <v>0</v>
      </c>
      <c r="AA2176">
        <v>9</v>
      </c>
      <c r="AB2176">
        <v>3</v>
      </c>
      <c r="AC2176">
        <v>0</v>
      </c>
      <c r="AD2176">
        <v>10</v>
      </c>
      <c r="AE2176">
        <v>0</v>
      </c>
      <c r="AF2176">
        <v>3</v>
      </c>
      <c r="AG2176">
        <v>2</v>
      </c>
      <c r="AH2176">
        <v>0</v>
      </c>
      <c r="AI2176" t="s">
        <v>1337</v>
      </c>
      <c r="AJ2176">
        <v>39.954293</v>
      </c>
      <c r="AK2176" t="s">
        <v>1338</v>
      </c>
      <c r="AL2176">
        <v>-92.666437999999999</v>
      </c>
      <c r="AM2176">
        <v>100</v>
      </c>
      <c r="AN2176">
        <v>1700</v>
      </c>
      <c r="AO2176" t="s">
        <v>118</v>
      </c>
      <c r="AP2176">
        <v>-108</v>
      </c>
      <c r="AQ2176">
        <v>78</v>
      </c>
      <c r="AR2176">
        <v>128</v>
      </c>
      <c r="AZ2176">
        <v>1200</v>
      </c>
      <c r="BA2176">
        <v>1</v>
      </c>
      <c r="BB2176" t="str">
        <f t="shared" si="106"/>
        <v xml:space="preserve">N8080G  </v>
      </c>
      <c r="BC2176">
        <v>1</v>
      </c>
      <c r="BE2176">
        <v>0</v>
      </c>
      <c r="BF2176">
        <v>0</v>
      </c>
      <c r="BG2176">
        <v>0</v>
      </c>
      <c r="BH2176">
        <v>1700</v>
      </c>
      <c r="BI2176">
        <v>1</v>
      </c>
      <c r="BJ2176">
        <v>1</v>
      </c>
      <c r="BK2176">
        <v>1</v>
      </c>
      <c r="BL2176">
        <v>0</v>
      </c>
      <c r="BO2176">
        <v>0</v>
      </c>
      <c r="BP2176">
        <v>0</v>
      </c>
      <c r="BW2176" t="str">
        <f>"20:26:04.985"</f>
        <v>20:26:04.985</v>
      </c>
      <c r="BZ2176">
        <v>0</v>
      </c>
      <c r="CA2176">
        <v>2016</v>
      </c>
      <c r="CB2176">
        <v>224</v>
      </c>
      <c r="CD2176">
        <v>1</v>
      </c>
      <c r="CE2176">
        <v>0</v>
      </c>
      <c r="CF2176">
        <v>0</v>
      </c>
      <c r="CG2176">
        <v>1</v>
      </c>
      <c r="CH2176">
        <v>0</v>
      </c>
      <c r="CI2176">
        <v>0</v>
      </c>
      <c r="CJ2176">
        <v>0</v>
      </c>
      <c r="CK2176">
        <v>2</v>
      </c>
      <c r="CL2176">
        <v>0</v>
      </c>
      <c r="CM2176">
        <v>2</v>
      </c>
      <c r="CN2176">
        <v>0</v>
      </c>
      <c r="CO2176">
        <v>2</v>
      </c>
      <c r="CP2176" t="s">
        <v>119</v>
      </c>
      <c r="CQ2176">
        <v>179</v>
      </c>
      <c r="CR2176">
        <v>1</v>
      </c>
      <c r="CW2176">
        <v>8903008</v>
      </c>
      <c r="CY2176">
        <v>1</v>
      </c>
      <c r="CZ2176">
        <v>0</v>
      </c>
      <c r="DA2176">
        <v>1</v>
      </c>
      <c r="DB2176">
        <v>0</v>
      </c>
      <c r="DC2176">
        <v>0</v>
      </c>
      <c r="DD2176">
        <v>0</v>
      </c>
      <c r="DE2176">
        <v>0</v>
      </c>
      <c r="DF2176">
        <v>0</v>
      </c>
      <c r="DG2176">
        <v>0</v>
      </c>
      <c r="DH2176">
        <v>0</v>
      </c>
      <c r="DI2176">
        <v>0</v>
      </c>
    </row>
    <row r="2177" spans="1:113" x14ac:dyDescent="0.3">
      <c r="A2177" t="str">
        <f>"02/08/2021 20:26:02.664"</f>
        <v>02/08/2021 20:26:02.664</v>
      </c>
      <c r="C2177" t="str">
        <f t="shared" si="105"/>
        <v>FFDFD7C0</v>
      </c>
      <c r="D2177" t="s">
        <v>113</v>
      </c>
      <c r="E2177">
        <v>6</v>
      </c>
      <c r="H2177">
        <v>165</v>
      </c>
      <c r="I2177" t="s">
        <v>114</v>
      </c>
      <c r="J2177" t="s">
        <v>115</v>
      </c>
      <c r="K2177">
        <v>0</v>
      </c>
      <c r="L2177">
        <v>3</v>
      </c>
      <c r="M2177">
        <v>0</v>
      </c>
      <c r="N2177">
        <v>2</v>
      </c>
      <c r="O2177">
        <v>1</v>
      </c>
      <c r="P2177">
        <v>0</v>
      </c>
      <c r="Q2177">
        <v>0</v>
      </c>
      <c r="S2177" t="str">
        <f>"20:26:04.984"</f>
        <v>20:26:04.984</v>
      </c>
      <c r="T2177" t="str">
        <f>"20:26:03.784"</f>
        <v>20:26:03.784</v>
      </c>
      <c r="U2177" t="str">
        <f t="shared" si="104"/>
        <v>AB01F4</v>
      </c>
      <c r="V2177">
        <v>0</v>
      </c>
      <c r="W2177">
        <v>0</v>
      </c>
      <c r="X2177">
        <v>2</v>
      </c>
      <c r="Z2177">
        <v>0</v>
      </c>
      <c r="AA2177">
        <v>9</v>
      </c>
      <c r="AB2177">
        <v>3</v>
      </c>
      <c r="AC2177">
        <v>0</v>
      </c>
      <c r="AD2177">
        <v>10</v>
      </c>
      <c r="AE2177">
        <v>0</v>
      </c>
      <c r="AF2177">
        <v>3</v>
      </c>
      <c r="AG2177">
        <v>2</v>
      </c>
      <c r="AH2177">
        <v>0</v>
      </c>
      <c r="AI2177" t="s">
        <v>1337</v>
      </c>
      <c r="AJ2177">
        <v>39.954293</v>
      </c>
      <c r="AK2177" t="s">
        <v>1338</v>
      </c>
      <c r="AL2177">
        <v>-92.666437999999999</v>
      </c>
      <c r="AM2177">
        <v>100</v>
      </c>
      <c r="AN2177">
        <v>1700</v>
      </c>
      <c r="AO2177" t="s">
        <v>118</v>
      </c>
      <c r="AP2177">
        <v>-108</v>
      </c>
      <c r="AQ2177">
        <v>78</v>
      </c>
      <c r="AR2177">
        <v>128</v>
      </c>
      <c r="AZ2177">
        <v>1200</v>
      </c>
      <c r="BA2177">
        <v>1</v>
      </c>
      <c r="BB2177" t="str">
        <f t="shared" si="106"/>
        <v xml:space="preserve">N8080G  </v>
      </c>
      <c r="BC2177">
        <v>1</v>
      </c>
      <c r="BE2177">
        <v>0</v>
      </c>
      <c r="BF2177">
        <v>0</v>
      </c>
      <c r="BG2177">
        <v>0</v>
      </c>
      <c r="BH2177">
        <v>1700</v>
      </c>
      <c r="BI2177">
        <v>1</v>
      </c>
      <c r="BJ2177">
        <v>1</v>
      </c>
      <c r="BK2177">
        <v>1</v>
      </c>
      <c r="BL2177">
        <v>0</v>
      </c>
      <c r="BO2177">
        <v>0</v>
      </c>
      <c r="BP2177">
        <v>0</v>
      </c>
      <c r="BW2177" t="str">
        <f>"20:26:04.985"</f>
        <v>20:26:04.985</v>
      </c>
      <c r="BZ2177">
        <v>0</v>
      </c>
      <c r="CA2177">
        <v>2016</v>
      </c>
      <c r="CB2177">
        <v>224</v>
      </c>
      <c r="CD2177">
        <v>1</v>
      </c>
      <c r="CE2177">
        <v>0</v>
      </c>
      <c r="CF2177">
        <v>0</v>
      </c>
      <c r="CG2177">
        <v>1</v>
      </c>
      <c r="CH2177">
        <v>0</v>
      </c>
      <c r="CI2177">
        <v>0</v>
      </c>
      <c r="CJ2177">
        <v>0</v>
      </c>
      <c r="CK2177">
        <v>2</v>
      </c>
      <c r="CL2177">
        <v>0</v>
      </c>
      <c r="CM2177">
        <v>2</v>
      </c>
      <c r="CN2177">
        <v>0</v>
      </c>
      <c r="CO2177">
        <v>2</v>
      </c>
      <c r="CP2177" t="s">
        <v>119</v>
      </c>
      <c r="CQ2177">
        <v>179</v>
      </c>
      <c r="CR2177">
        <v>1</v>
      </c>
      <c r="CW2177">
        <v>8903008</v>
      </c>
      <c r="CY2177">
        <v>1</v>
      </c>
      <c r="CZ2177">
        <v>0</v>
      </c>
      <c r="DA2177">
        <v>1</v>
      </c>
      <c r="DB2177">
        <v>0</v>
      </c>
      <c r="DC2177">
        <v>0</v>
      </c>
      <c r="DD2177">
        <v>0</v>
      </c>
      <c r="DE2177">
        <v>0</v>
      </c>
      <c r="DF2177">
        <v>0</v>
      </c>
      <c r="DG2177">
        <v>0</v>
      </c>
      <c r="DH2177">
        <v>0</v>
      </c>
      <c r="DI2177">
        <v>0</v>
      </c>
    </row>
    <row r="2178" spans="1:113" x14ac:dyDescent="0.3">
      <c r="A2178" t="str">
        <f>"02/08/2021 20:26:02.664"</f>
        <v>02/08/2021 20:26:02.664</v>
      </c>
      <c r="C2178" t="str">
        <f t="shared" si="105"/>
        <v>FFDFD7C0</v>
      </c>
      <c r="D2178" t="s">
        <v>124</v>
      </c>
      <c r="E2178">
        <v>12</v>
      </c>
      <c r="F2178">
        <v>1012</v>
      </c>
      <c r="G2178" t="s">
        <v>675</v>
      </c>
      <c r="J2178" t="s">
        <v>125</v>
      </c>
      <c r="K2178">
        <v>0</v>
      </c>
      <c r="L2178">
        <v>3</v>
      </c>
      <c r="M2178">
        <v>0</v>
      </c>
      <c r="N2178">
        <v>2</v>
      </c>
      <c r="O2178">
        <v>1</v>
      </c>
      <c r="P2178">
        <v>0</v>
      </c>
      <c r="Q2178">
        <v>0</v>
      </c>
      <c r="S2178" t="str">
        <f>"20:26:04.984"</f>
        <v>20:26:04.984</v>
      </c>
      <c r="T2178" t="str">
        <f>"20:26:03.784"</f>
        <v>20:26:03.784</v>
      </c>
      <c r="U2178" t="str">
        <f t="shared" ref="U2178:U2241" si="107">"AB01F4"</f>
        <v>AB01F4</v>
      </c>
      <c r="V2178">
        <v>0</v>
      </c>
      <c r="W2178">
        <v>0</v>
      </c>
      <c r="X2178">
        <v>2</v>
      </c>
      <c r="Z2178">
        <v>0</v>
      </c>
      <c r="AA2178">
        <v>9</v>
      </c>
      <c r="AB2178">
        <v>3</v>
      </c>
      <c r="AC2178">
        <v>0</v>
      </c>
      <c r="AD2178">
        <v>10</v>
      </c>
      <c r="AE2178">
        <v>0</v>
      </c>
      <c r="AF2178">
        <v>3</v>
      </c>
      <c r="AG2178">
        <v>2</v>
      </c>
      <c r="AH2178">
        <v>0</v>
      </c>
      <c r="AI2178" t="s">
        <v>1337</v>
      </c>
      <c r="AJ2178">
        <v>39.954293</v>
      </c>
      <c r="AK2178" t="s">
        <v>1338</v>
      </c>
      <c r="AL2178">
        <v>-92.666437999999999</v>
      </c>
      <c r="AM2178">
        <v>100</v>
      </c>
      <c r="AN2178">
        <v>1700</v>
      </c>
      <c r="AO2178" t="s">
        <v>118</v>
      </c>
      <c r="AP2178">
        <v>-108</v>
      </c>
      <c r="AQ2178">
        <v>78</v>
      </c>
      <c r="AR2178">
        <v>128</v>
      </c>
      <c r="AZ2178">
        <v>1200</v>
      </c>
      <c r="BA2178">
        <v>1</v>
      </c>
      <c r="BB2178" t="str">
        <f t="shared" si="106"/>
        <v xml:space="preserve">N8080G  </v>
      </c>
      <c r="BC2178">
        <v>1</v>
      </c>
      <c r="BE2178">
        <v>0</v>
      </c>
      <c r="BF2178">
        <v>0</v>
      </c>
      <c r="BG2178">
        <v>0</v>
      </c>
      <c r="BH2178">
        <v>1700</v>
      </c>
      <c r="BI2178">
        <v>1</v>
      </c>
      <c r="BJ2178">
        <v>1</v>
      </c>
      <c r="BK2178">
        <v>1</v>
      </c>
      <c r="BL2178">
        <v>0</v>
      </c>
      <c r="BO2178">
        <v>0</v>
      </c>
      <c r="BP2178">
        <v>0</v>
      </c>
      <c r="BW2178" t="str">
        <f>"20:26:04.985"</f>
        <v>20:26:04.985</v>
      </c>
      <c r="BZ2178">
        <v>0</v>
      </c>
      <c r="CA2178">
        <v>2016</v>
      </c>
      <c r="CB2178">
        <v>224</v>
      </c>
      <c r="CD2178">
        <v>1</v>
      </c>
      <c r="CE2178">
        <v>0</v>
      </c>
      <c r="CF2178">
        <v>0</v>
      </c>
      <c r="CG2178">
        <v>1</v>
      </c>
      <c r="CH2178">
        <v>0</v>
      </c>
      <c r="CI2178">
        <v>0</v>
      </c>
      <c r="CJ2178">
        <v>0</v>
      </c>
      <c r="CK2178">
        <v>2</v>
      </c>
      <c r="CL2178">
        <v>0</v>
      </c>
      <c r="CM2178">
        <v>2</v>
      </c>
      <c r="CN2178">
        <v>0</v>
      </c>
      <c r="CO2178">
        <v>2</v>
      </c>
      <c r="CP2178" t="s">
        <v>119</v>
      </c>
      <c r="CQ2178">
        <v>179</v>
      </c>
      <c r="CR2178">
        <v>1</v>
      </c>
      <c r="CW2178">
        <v>8903008</v>
      </c>
      <c r="CY2178">
        <v>1</v>
      </c>
      <c r="CZ2178">
        <v>0</v>
      </c>
      <c r="DA2178">
        <v>1</v>
      </c>
      <c r="DB2178">
        <v>0</v>
      </c>
      <c r="DC2178">
        <v>0</v>
      </c>
      <c r="DD2178">
        <v>0</v>
      </c>
      <c r="DE2178">
        <v>0</v>
      </c>
      <c r="DF2178">
        <v>0</v>
      </c>
      <c r="DG2178">
        <v>0</v>
      </c>
      <c r="DH2178">
        <v>0</v>
      </c>
      <c r="DI2178">
        <v>0</v>
      </c>
    </row>
    <row r="2179" spans="1:113" x14ac:dyDescent="0.3">
      <c r="A2179" t="str">
        <f>"02/08/2021 20:26:03.668"</f>
        <v>02/08/2021 20:26:03.668</v>
      </c>
      <c r="C2179" t="str">
        <f t="shared" si="105"/>
        <v>FFDFD7C0</v>
      </c>
      <c r="D2179" t="s">
        <v>124</v>
      </c>
      <c r="E2179">
        <v>13</v>
      </c>
      <c r="F2179">
        <v>1013</v>
      </c>
      <c r="G2179" t="s">
        <v>114</v>
      </c>
      <c r="J2179" t="s">
        <v>125</v>
      </c>
      <c r="K2179">
        <v>0</v>
      </c>
      <c r="L2179">
        <v>3</v>
      </c>
      <c r="M2179">
        <v>0</v>
      </c>
      <c r="N2179">
        <v>2</v>
      </c>
      <c r="O2179">
        <v>1</v>
      </c>
      <c r="P2179">
        <v>0</v>
      </c>
      <c r="Q2179">
        <v>0</v>
      </c>
      <c r="S2179" t="str">
        <f>"20:26:06.008"</f>
        <v>20:26:06.008</v>
      </c>
      <c r="T2179" t="str">
        <f>"20:26:05.608"</f>
        <v>20:26:05.608</v>
      </c>
      <c r="U2179" t="str">
        <f t="shared" si="107"/>
        <v>AB01F4</v>
      </c>
      <c r="V2179">
        <v>0</v>
      </c>
      <c r="W2179">
        <v>0</v>
      </c>
      <c r="X2179">
        <v>2</v>
      </c>
      <c r="Z2179">
        <v>0</v>
      </c>
      <c r="AA2179">
        <v>9</v>
      </c>
      <c r="AB2179">
        <v>3</v>
      </c>
      <c r="AC2179">
        <v>0</v>
      </c>
      <c r="AD2179">
        <v>10</v>
      </c>
      <c r="AE2179">
        <v>0</v>
      </c>
      <c r="AF2179">
        <v>3</v>
      </c>
      <c r="AG2179">
        <v>2</v>
      </c>
      <c r="AH2179">
        <v>0</v>
      </c>
      <c r="AI2179" t="s">
        <v>1339</v>
      </c>
      <c r="AJ2179">
        <v>39.954658000000002</v>
      </c>
      <c r="AK2179" t="s">
        <v>1340</v>
      </c>
      <c r="AL2179">
        <v>-92.667124000000001</v>
      </c>
      <c r="AM2179">
        <v>100</v>
      </c>
      <c r="AN2179">
        <v>1700</v>
      </c>
      <c r="AO2179" t="s">
        <v>118</v>
      </c>
      <c r="AP2179">
        <v>-107</v>
      </c>
      <c r="AQ2179">
        <v>78</v>
      </c>
      <c r="AR2179">
        <v>128</v>
      </c>
      <c r="AZ2179">
        <v>1200</v>
      </c>
      <c r="BA2179">
        <v>1</v>
      </c>
      <c r="BB2179" t="str">
        <f t="shared" si="106"/>
        <v xml:space="preserve">N8080G  </v>
      </c>
      <c r="BC2179">
        <v>1</v>
      </c>
      <c r="BE2179">
        <v>0</v>
      </c>
      <c r="BF2179">
        <v>0</v>
      </c>
      <c r="BG2179">
        <v>0</v>
      </c>
      <c r="BH2179">
        <v>1700</v>
      </c>
      <c r="BI2179">
        <v>1</v>
      </c>
      <c r="BJ2179">
        <v>1</v>
      </c>
      <c r="BK2179">
        <v>1</v>
      </c>
      <c r="BL2179">
        <v>0</v>
      </c>
      <c r="BO2179">
        <v>0</v>
      </c>
      <c r="BP2179">
        <v>0</v>
      </c>
      <c r="BW2179" t="str">
        <f>"20:26:06.013"</f>
        <v>20:26:06.013</v>
      </c>
      <c r="BZ2179">
        <v>0</v>
      </c>
      <c r="CA2179">
        <v>2016</v>
      </c>
      <c r="CB2179">
        <v>224</v>
      </c>
      <c r="CD2179">
        <v>1</v>
      </c>
      <c r="CE2179">
        <v>0</v>
      </c>
      <c r="CF2179">
        <v>0</v>
      </c>
      <c r="CG2179">
        <v>1</v>
      </c>
      <c r="CH2179">
        <v>0</v>
      </c>
      <c r="CI2179">
        <v>0</v>
      </c>
      <c r="CJ2179">
        <v>0</v>
      </c>
      <c r="CK2179">
        <v>2</v>
      </c>
      <c r="CL2179">
        <v>0</v>
      </c>
      <c r="CM2179">
        <v>2</v>
      </c>
      <c r="CN2179">
        <v>0</v>
      </c>
      <c r="CO2179">
        <v>2</v>
      </c>
      <c r="CP2179" t="s">
        <v>119</v>
      </c>
      <c r="CQ2179">
        <v>179</v>
      </c>
      <c r="CR2179">
        <v>1</v>
      </c>
      <c r="CW2179">
        <v>8903959</v>
      </c>
      <c r="CY2179">
        <v>1</v>
      </c>
      <c r="CZ2179">
        <v>0</v>
      </c>
      <c r="DA2179">
        <v>0</v>
      </c>
      <c r="DB2179">
        <v>0</v>
      </c>
      <c r="DC2179">
        <v>0</v>
      </c>
      <c r="DD2179">
        <v>0</v>
      </c>
      <c r="DE2179">
        <v>0</v>
      </c>
      <c r="DF2179">
        <v>0</v>
      </c>
      <c r="DG2179">
        <v>0</v>
      </c>
      <c r="DH2179">
        <v>0</v>
      </c>
      <c r="DI2179">
        <v>0</v>
      </c>
    </row>
    <row r="2180" spans="1:113" x14ac:dyDescent="0.3">
      <c r="A2180" t="str">
        <f>"02/08/2021 20:26:03.668"</f>
        <v>02/08/2021 20:26:03.668</v>
      </c>
      <c r="C2180" t="str">
        <f t="shared" si="105"/>
        <v>FFDFD7C0</v>
      </c>
      <c r="D2180" t="s">
        <v>124</v>
      </c>
      <c r="E2180">
        <v>11</v>
      </c>
      <c r="F2180">
        <v>1011</v>
      </c>
      <c r="G2180" t="s">
        <v>590</v>
      </c>
      <c r="J2180" t="s">
        <v>125</v>
      </c>
      <c r="K2180">
        <v>0</v>
      </c>
      <c r="L2180">
        <v>3</v>
      </c>
      <c r="M2180">
        <v>0</v>
      </c>
      <c r="N2180">
        <v>2</v>
      </c>
      <c r="O2180">
        <v>1</v>
      </c>
      <c r="P2180">
        <v>0</v>
      </c>
      <c r="Q2180">
        <v>0</v>
      </c>
      <c r="S2180" t="str">
        <f>"20:26:06.008"</f>
        <v>20:26:06.008</v>
      </c>
      <c r="T2180" t="str">
        <f>"20:26:05.608"</f>
        <v>20:26:05.608</v>
      </c>
      <c r="U2180" t="str">
        <f t="shared" si="107"/>
        <v>AB01F4</v>
      </c>
      <c r="V2180">
        <v>0</v>
      </c>
      <c r="W2180">
        <v>0</v>
      </c>
      <c r="X2180">
        <v>2</v>
      </c>
      <c r="Z2180">
        <v>0</v>
      </c>
      <c r="AA2180">
        <v>9</v>
      </c>
      <c r="AB2180">
        <v>3</v>
      </c>
      <c r="AC2180">
        <v>0</v>
      </c>
      <c r="AD2180">
        <v>10</v>
      </c>
      <c r="AE2180">
        <v>0</v>
      </c>
      <c r="AF2180">
        <v>3</v>
      </c>
      <c r="AG2180">
        <v>2</v>
      </c>
      <c r="AH2180">
        <v>0</v>
      </c>
      <c r="AI2180" t="s">
        <v>1339</v>
      </c>
      <c r="AJ2180">
        <v>39.954658000000002</v>
      </c>
      <c r="AK2180" t="s">
        <v>1340</v>
      </c>
      <c r="AL2180">
        <v>-92.667124000000001</v>
      </c>
      <c r="AM2180">
        <v>100</v>
      </c>
      <c r="AN2180">
        <v>1700</v>
      </c>
      <c r="AO2180" t="s">
        <v>118</v>
      </c>
      <c r="AP2180">
        <v>-107</v>
      </c>
      <c r="AQ2180">
        <v>78</v>
      </c>
      <c r="AR2180">
        <v>128</v>
      </c>
      <c r="AZ2180">
        <v>1200</v>
      </c>
      <c r="BA2180">
        <v>1</v>
      </c>
      <c r="BB2180" t="str">
        <f t="shared" si="106"/>
        <v xml:space="preserve">N8080G  </v>
      </c>
      <c r="BC2180">
        <v>1</v>
      </c>
      <c r="BE2180">
        <v>0</v>
      </c>
      <c r="BF2180">
        <v>0</v>
      </c>
      <c r="BG2180">
        <v>0</v>
      </c>
      <c r="BH2180">
        <v>1700</v>
      </c>
      <c r="BI2180">
        <v>1</v>
      </c>
      <c r="BJ2180">
        <v>1</v>
      </c>
      <c r="BK2180">
        <v>1</v>
      </c>
      <c r="BL2180">
        <v>0</v>
      </c>
      <c r="BO2180">
        <v>0</v>
      </c>
      <c r="BP2180">
        <v>0</v>
      </c>
      <c r="BW2180" t="str">
        <f>"20:26:06.013"</f>
        <v>20:26:06.013</v>
      </c>
      <c r="BZ2180">
        <v>0</v>
      </c>
      <c r="CA2180">
        <v>2016</v>
      </c>
      <c r="CB2180">
        <v>224</v>
      </c>
      <c r="CD2180">
        <v>1</v>
      </c>
      <c r="CE2180">
        <v>0</v>
      </c>
      <c r="CF2180">
        <v>0</v>
      </c>
      <c r="CG2180">
        <v>1</v>
      </c>
      <c r="CH2180">
        <v>0</v>
      </c>
      <c r="CI2180">
        <v>0</v>
      </c>
      <c r="CJ2180">
        <v>0</v>
      </c>
      <c r="CK2180">
        <v>2</v>
      </c>
      <c r="CL2180">
        <v>0</v>
      </c>
      <c r="CM2180">
        <v>2</v>
      </c>
      <c r="CN2180">
        <v>0</v>
      </c>
      <c r="CO2180">
        <v>2</v>
      </c>
      <c r="CP2180" t="s">
        <v>119</v>
      </c>
      <c r="CQ2180">
        <v>179</v>
      </c>
      <c r="CR2180">
        <v>1</v>
      </c>
      <c r="CW2180">
        <v>8903959</v>
      </c>
      <c r="CY2180">
        <v>1</v>
      </c>
      <c r="CZ2180">
        <v>0</v>
      </c>
      <c r="DA2180">
        <v>1</v>
      </c>
      <c r="DB2180">
        <v>0</v>
      </c>
      <c r="DC2180">
        <v>0</v>
      </c>
      <c r="DD2180">
        <v>0</v>
      </c>
      <c r="DE2180">
        <v>0</v>
      </c>
      <c r="DF2180">
        <v>0</v>
      </c>
      <c r="DG2180">
        <v>0</v>
      </c>
      <c r="DH2180">
        <v>0</v>
      </c>
      <c r="DI2180">
        <v>0</v>
      </c>
    </row>
    <row r="2181" spans="1:113" x14ac:dyDescent="0.3">
      <c r="A2181" t="str">
        <f>"02/08/2021 20:26:03.668"</f>
        <v>02/08/2021 20:26:03.668</v>
      </c>
      <c r="C2181" t="str">
        <f t="shared" si="105"/>
        <v>FFDFD7C0</v>
      </c>
      <c r="D2181" t="s">
        <v>113</v>
      </c>
      <c r="E2181">
        <v>6</v>
      </c>
      <c r="H2181">
        <v>165</v>
      </c>
      <c r="I2181" t="s">
        <v>114</v>
      </c>
      <c r="J2181" t="s">
        <v>115</v>
      </c>
      <c r="K2181">
        <v>0</v>
      </c>
      <c r="L2181">
        <v>3</v>
      </c>
      <c r="M2181">
        <v>0</v>
      </c>
      <c r="N2181">
        <v>2</v>
      </c>
      <c r="O2181">
        <v>1</v>
      </c>
      <c r="P2181">
        <v>0</v>
      </c>
      <c r="Q2181">
        <v>0</v>
      </c>
      <c r="S2181" t="str">
        <f>"20:26:06.008"</f>
        <v>20:26:06.008</v>
      </c>
      <c r="T2181" t="str">
        <f>"20:26:05.608"</f>
        <v>20:26:05.608</v>
      </c>
      <c r="U2181" t="str">
        <f t="shared" si="107"/>
        <v>AB01F4</v>
      </c>
      <c r="V2181">
        <v>0</v>
      </c>
      <c r="W2181">
        <v>0</v>
      </c>
      <c r="X2181">
        <v>2</v>
      </c>
      <c r="Z2181">
        <v>0</v>
      </c>
      <c r="AA2181">
        <v>9</v>
      </c>
      <c r="AB2181">
        <v>3</v>
      </c>
      <c r="AC2181">
        <v>0</v>
      </c>
      <c r="AD2181">
        <v>10</v>
      </c>
      <c r="AE2181">
        <v>0</v>
      </c>
      <c r="AF2181">
        <v>3</v>
      </c>
      <c r="AG2181">
        <v>2</v>
      </c>
      <c r="AH2181">
        <v>0</v>
      </c>
      <c r="AI2181" t="s">
        <v>1339</v>
      </c>
      <c r="AJ2181">
        <v>39.954658000000002</v>
      </c>
      <c r="AK2181" t="s">
        <v>1340</v>
      </c>
      <c r="AL2181">
        <v>-92.667124000000001</v>
      </c>
      <c r="AM2181">
        <v>100</v>
      </c>
      <c r="AN2181">
        <v>1700</v>
      </c>
      <c r="AO2181" t="s">
        <v>118</v>
      </c>
      <c r="AP2181">
        <v>-107</v>
      </c>
      <c r="AQ2181">
        <v>78</v>
      </c>
      <c r="AR2181">
        <v>128</v>
      </c>
      <c r="AZ2181">
        <v>1200</v>
      </c>
      <c r="BA2181">
        <v>1</v>
      </c>
      <c r="BB2181" t="str">
        <f t="shared" si="106"/>
        <v xml:space="preserve">N8080G  </v>
      </c>
      <c r="BC2181">
        <v>1</v>
      </c>
      <c r="BE2181">
        <v>0</v>
      </c>
      <c r="BF2181">
        <v>0</v>
      </c>
      <c r="BG2181">
        <v>0</v>
      </c>
      <c r="BH2181">
        <v>1700</v>
      </c>
      <c r="BI2181">
        <v>1</v>
      </c>
      <c r="BJ2181">
        <v>1</v>
      </c>
      <c r="BK2181">
        <v>1</v>
      </c>
      <c r="BL2181">
        <v>0</v>
      </c>
      <c r="BO2181">
        <v>0</v>
      </c>
      <c r="BP2181">
        <v>0</v>
      </c>
      <c r="BW2181" t="str">
        <f>"20:26:06.013"</f>
        <v>20:26:06.013</v>
      </c>
      <c r="BZ2181">
        <v>0</v>
      </c>
      <c r="CA2181">
        <v>2016</v>
      </c>
      <c r="CB2181">
        <v>224</v>
      </c>
      <c r="CD2181">
        <v>1</v>
      </c>
      <c r="CE2181">
        <v>0</v>
      </c>
      <c r="CF2181">
        <v>0</v>
      </c>
      <c r="CG2181">
        <v>1</v>
      </c>
      <c r="CH2181">
        <v>0</v>
      </c>
      <c r="CI2181">
        <v>0</v>
      </c>
      <c r="CJ2181">
        <v>0</v>
      </c>
      <c r="CK2181">
        <v>2</v>
      </c>
      <c r="CL2181">
        <v>0</v>
      </c>
      <c r="CM2181">
        <v>2</v>
      </c>
      <c r="CN2181">
        <v>0</v>
      </c>
      <c r="CO2181">
        <v>2</v>
      </c>
      <c r="CP2181" t="s">
        <v>119</v>
      </c>
      <c r="CQ2181">
        <v>179</v>
      </c>
      <c r="CR2181">
        <v>1</v>
      </c>
      <c r="CW2181">
        <v>8903959</v>
      </c>
      <c r="CY2181">
        <v>1</v>
      </c>
      <c r="CZ2181">
        <v>0</v>
      </c>
      <c r="DA2181">
        <v>1</v>
      </c>
      <c r="DB2181">
        <v>0</v>
      </c>
      <c r="DC2181">
        <v>0</v>
      </c>
      <c r="DD2181">
        <v>0</v>
      </c>
      <c r="DE2181">
        <v>0</v>
      </c>
      <c r="DF2181">
        <v>0</v>
      </c>
      <c r="DG2181">
        <v>0</v>
      </c>
      <c r="DH2181">
        <v>0</v>
      </c>
      <c r="DI2181">
        <v>0</v>
      </c>
    </row>
    <row r="2182" spans="1:113" x14ac:dyDescent="0.3">
      <c r="A2182" t="str">
        <f>"02/08/2021 20:26:03.668"</f>
        <v>02/08/2021 20:26:03.668</v>
      </c>
      <c r="C2182" t="str">
        <f t="shared" si="105"/>
        <v>FFDFD7C0</v>
      </c>
      <c r="D2182" t="s">
        <v>124</v>
      </c>
      <c r="E2182">
        <v>12</v>
      </c>
      <c r="F2182">
        <v>1012</v>
      </c>
      <c r="G2182" t="s">
        <v>675</v>
      </c>
      <c r="J2182" t="s">
        <v>125</v>
      </c>
      <c r="K2182">
        <v>0</v>
      </c>
      <c r="L2182">
        <v>3</v>
      </c>
      <c r="M2182">
        <v>0</v>
      </c>
      <c r="N2182">
        <v>2</v>
      </c>
      <c r="O2182">
        <v>1</v>
      </c>
      <c r="P2182">
        <v>0</v>
      </c>
      <c r="Q2182">
        <v>0</v>
      </c>
      <c r="S2182" t="str">
        <f>"20:26:06.008"</f>
        <v>20:26:06.008</v>
      </c>
      <c r="T2182" t="str">
        <f>"20:26:05.608"</f>
        <v>20:26:05.608</v>
      </c>
      <c r="U2182" t="str">
        <f t="shared" si="107"/>
        <v>AB01F4</v>
      </c>
      <c r="V2182">
        <v>0</v>
      </c>
      <c r="W2182">
        <v>0</v>
      </c>
      <c r="X2182">
        <v>2</v>
      </c>
      <c r="Z2182">
        <v>0</v>
      </c>
      <c r="AA2182">
        <v>9</v>
      </c>
      <c r="AB2182">
        <v>3</v>
      </c>
      <c r="AC2182">
        <v>0</v>
      </c>
      <c r="AD2182">
        <v>10</v>
      </c>
      <c r="AE2182">
        <v>0</v>
      </c>
      <c r="AF2182">
        <v>3</v>
      </c>
      <c r="AG2182">
        <v>2</v>
      </c>
      <c r="AH2182">
        <v>0</v>
      </c>
      <c r="AI2182" t="s">
        <v>1339</v>
      </c>
      <c r="AJ2182">
        <v>39.954658000000002</v>
      </c>
      <c r="AK2182" t="s">
        <v>1340</v>
      </c>
      <c r="AL2182">
        <v>-92.667124000000001</v>
      </c>
      <c r="AM2182">
        <v>100</v>
      </c>
      <c r="AN2182">
        <v>1700</v>
      </c>
      <c r="AO2182" t="s">
        <v>118</v>
      </c>
      <c r="AP2182">
        <v>-107</v>
      </c>
      <c r="AQ2182">
        <v>78</v>
      </c>
      <c r="AR2182">
        <v>128</v>
      </c>
      <c r="AZ2182">
        <v>1200</v>
      </c>
      <c r="BA2182">
        <v>1</v>
      </c>
      <c r="BB2182" t="str">
        <f t="shared" si="106"/>
        <v xml:space="preserve">N8080G  </v>
      </c>
      <c r="BC2182">
        <v>1</v>
      </c>
      <c r="BE2182">
        <v>0</v>
      </c>
      <c r="BF2182">
        <v>0</v>
      </c>
      <c r="BG2182">
        <v>0</v>
      </c>
      <c r="BH2182">
        <v>1700</v>
      </c>
      <c r="BI2182">
        <v>1</v>
      </c>
      <c r="BJ2182">
        <v>1</v>
      </c>
      <c r="BK2182">
        <v>1</v>
      </c>
      <c r="BL2182">
        <v>0</v>
      </c>
      <c r="BO2182">
        <v>0</v>
      </c>
      <c r="BP2182">
        <v>0</v>
      </c>
      <c r="BW2182" t="str">
        <f>"20:26:06.013"</f>
        <v>20:26:06.013</v>
      </c>
      <c r="BZ2182">
        <v>0</v>
      </c>
      <c r="CA2182">
        <v>2016</v>
      </c>
      <c r="CB2182">
        <v>224</v>
      </c>
      <c r="CD2182">
        <v>1</v>
      </c>
      <c r="CE2182">
        <v>0</v>
      </c>
      <c r="CF2182">
        <v>0</v>
      </c>
      <c r="CG2182">
        <v>1</v>
      </c>
      <c r="CH2182">
        <v>0</v>
      </c>
      <c r="CI2182">
        <v>0</v>
      </c>
      <c r="CJ2182">
        <v>0</v>
      </c>
      <c r="CK2182">
        <v>2</v>
      </c>
      <c r="CL2182">
        <v>0</v>
      </c>
      <c r="CM2182">
        <v>2</v>
      </c>
      <c r="CN2182">
        <v>0</v>
      </c>
      <c r="CO2182">
        <v>2</v>
      </c>
      <c r="CP2182" t="s">
        <v>119</v>
      </c>
      <c r="CQ2182">
        <v>179</v>
      </c>
      <c r="CR2182">
        <v>1</v>
      </c>
      <c r="CW2182">
        <v>8903959</v>
      </c>
      <c r="CY2182">
        <v>1</v>
      </c>
      <c r="CZ2182">
        <v>0</v>
      </c>
      <c r="DA2182">
        <v>1</v>
      </c>
      <c r="DB2182">
        <v>0</v>
      </c>
      <c r="DC2182">
        <v>0</v>
      </c>
      <c r="DD2182">
        <v>0</v>
      </c>
      <c r="DE2182">
        <v>0</v>
      </c>
      <c r="DF2182">
        <v>0</v>
      </c>
      <c r="DG2182">
        <v>0</v>
      </c>
      <c r="DH2182">
        <v>0</v>
      </c>
      <c r="DI2182">
        <v>0</v>
      </c>
    </row>
    <row r="2183" spans="1:113" x14ac:dyDescent="0.3">
      <c r="A2183" t="str">
        <f>"02/08/2021 20:26:04.813"</f>
        <v>02/08/2021 20:26:04.813</v>
      </c>
      <c r="C2183" t="str">
        <f t="shared" si="105"/>
        <v>FFDFD7C0</v>
      </c>
      <c r="D2183" t="s">
        <v>113</v>
      </c>
      <c r="E2183">
        <v>6</v>
      </c>
      <c r="H2183">
        <v>165</v>
      </c>
      <c r="I2183" t="s">
        <v>114</v>
      </c>
      <c r="J2183" t="s">
        <v>115</v>
      </c>
      <c r="K2183">
        <v>0</v>
      </c>
      <c r="L2183">
        <v>3</v>
      </c>
      <c r="M2183">
        <v>0</v>
      </c>
      <c r="N2183">
        <v>2</v>
      </c>
      <c r="O2183">
        <v>1</v>
      </c>
      <c r="P2183">
        <v>0</v>
      </c>
      <c r="Q2183">
        <v>0</v>
      </c>
      <c r="S2183" t="str">
        <f>"20:26:07.164"</f>
        <v>20:26:07.164</v>
      </c>
      <c r="T2183" t="str">
        <f>"20:26:06.664"</f>
        <v>20:26:06.664</v>
      </c>
      <c r="U2183" t="str">
        <f t="shared" si="107"/>
        <v>AB01F4</v>
      </c>
      <c r="V2183">
        <v>0</v>
      </c>
      <c r="W2183">
        <v>0</v>
      </c>
      <c r="X2183">
        <v>2</v>
      </c>
      <c r="Z2183">
        <v>0</v>
      </c>
      <c r="AA2183">
        <v>9</v>
      </c>
      <c r="AB2183">
        <v>3</v>
      </c>
      <c r="AC2183">
        <v>0</v>
      </c>
      <c r="AD2183">
        <v>10</v>
      </c>
      <c r="AE2183">
        <v>0</v>
      </c>
      <c r="AF2183">
        <v>3</v>
      </c>
      <c r="AG2183">
        <v>2</v>
      </c>
      <c r="AH2183">
        <v>0</v>
      </c>
      <c r="AI2183" t="s">
        <v>1341</v>
      </c>
      <c r="AJ2183">
        <v>39.955129999999997</v>
      </c>
      <c r="AK2183" t="s">
        <v>1342</v>
      </c>
      <c r="AL2183">
        <v>-92.667918</v>
      </c>
      <c r="AM2183">
        <v>100</v>
      </c>
      <c r="AN2183">
        <v>1700</v>
      </c>
      <c r="AO2183" t="s">
        <v>118</v>
      </c>
      <c r="AP2183">
        <v>-107</v>
      </c>
      <c r="AQ2183">
        <v>78</v>
      </c>
      <c r="AR2183">
        <v>128</v>
      </c>
      <c r="AZ2183">
        <v>1200</v>
      </c>
      <c r="BA2183">
        <v>1</v>
      </c>
      <c r="BB2183" t="str">
        <f t="shared" si="106"/>
        <v xml:space="preserve">N8080G  </v>
      </c>
      <c r="BC2183">
        <v>1</v>
      </c>
      <c r="BE2183">
        <v>0</v>
      </c>
      <c r="BF2183">
        <v>0</v>
      </c>
      <c r="BG2183">
        <v>0</v>
      </c>
      <c r="BH2183">
        <v>1700</v>
      </c>
      <c r="BI2183">
        <v>1</v>
      </c>
      <c r="BJ2183">
        <v>1</v>
      </c>
      <c r="BK2183">
        <v>1</v>
      </c>
      <c r="BL2183">
        <v>0</v>
      </c>
      <c r="BO2183">
        <v>0</v>
      </c>
      <c r="BP2183">
        <v>0</v>
      </c>
      <c r="BW2183" t="str">
        <f>"20:26:07.170"</f>
        <v>20:26:07.170</v>
      </c>
      <c r="BZ2183">
        <v>0</v>
      </c>
      <c r="CA2183">
        <v>2016</v>
      </c>
      <c r="CB2183">
        <v>224</v>
      </c>
      <c r="CD2183">
        <v>1</v>
      </c>
      <c r="CE2183">
        <v>0</v>
      </c>
      <c r="CF2183">
        <v>0</v>
      </c>
      <c r="CG2183">
        <v>1</v>
      </c>
      <c r="CH2183">
        <v>0</v>
      </c>
      <c r="CI2183">
        <v>0</v>
      </c>
      <c r="CJ2183">
        <v>0</v>
      </c>
      <c r="CK2183">
        <v>2</v>
      </c>
      <c r="CL2183">
        <v>0</v>
      </c>
      <c r="CM2183">
        <v>2</v>
      </c>
      <c r="CN2183">
        <v>0</v>
      </c>
      <c r="CO2183">
        <v>7</v>
      </c>
      <c r="CP2183" t="s">
        <v>119</v>
      </c>
      <c r="CQ2183">
        <v>180</v>
      </c>
      <c r="CR2183">
        <v>2</v>
      </c>
      <c r="CW2183">
        <v>8462557</v>
      </c>
      <c r="CY2183">
        <v>1</v>
      </c>
      <c r="CZ2183">
        <v>0</v>
      </c>
      <c r="DA2183">
        <v>0</v>
      </c>
      <c r="DB2183">
        <v>0</v>
      </c>
      <c r="DC2183">
        <v>0</v>
      </c>
      <c r="DD2183">
        <v>0</v>
      </c>
      <c r="DE2183">
        <v>0</v>
      </c>
      <c r="DF2183">
        <v>0</v>
      </c>
      <c r="DG2183">
        <v>0</v>
      </c>
      <c r="DH2183">
        <v>0</v>
      </c>
      <c r="DI2183">
        <v>0</v>
      </c>
    </row>
    <row r="2184" spans="1:113" x14ac:dyDescent="0.3">
      <c r="A2184" t="str">
        <f>"02/08/2021 20:26:04.813"</f>
        <v>02/08/2021 20:26:04.813</v>
      </c>
      <c r="C2184" t="str">
        <f t="shared" si="105"/>
        <v>FFDFD7C0</v>
      </c>
      <c r="D2184" t="s">
        <v>124</v>
      </c>
      <c r="E2184">
        <v>13</v>
      </c>
      <c r="F2184">
        <v>1013</v>
      </c>
      <c r="G2184" t="s">
        <v>114</v>
      </c>
      <c r="J2184" t="s">
        <v>125</v>
      </c>
      <c r="K2184">
        <v>0</v>
      </c>
      <c r="L2184">
        <v>3</v>
      </c>
      <c r="M2184">
        <v>0</v>
      </c>
      <c r="N2184">
        <v>2</v>
      </c>
      <c r="O2184">
        <v>1</v>
      </c>
      <c r="P2184">
        <v>0</v>
      </c>
      <c r="Q2184">
        <v>0</v>
      </c>
      <c r="S2184" t="str">
        <f>"20:26:07.164"</f>
        <v>20:26:07.164</v>
      </c>
      <c r="T2184" t="str">
        <f>"20:26:06.664"</f>
        <v>20:26:06.664</v>
      </c>
      <c r="U2184" t="str">
        <f t="shared" si="107"/>
        <v>AB01F4</v>
      </c>
      <c r="V2184">
        <v>0</v>
      </c>
      <c r="W2184">
        <v>0</v>
      </c>
      <c r="X2184">
        <v>2</v>
      </c>
      <c r="Z2184">
        <v>0</v>
      </c>
      <c r="AA2184">
        <v>9</v>
      </c>
      <c r="AB2184">
        <v>3</v>
      </c>
      <c r="AC2184">
        <v>0</v>
      </c>
      <c r="AD2184">
        <v>10</v>
      </c>
      <c r="AE2184">
        <v>0</v>
      </c>
      <c r="AF2184">
        <v>3</v>
      </c>
      <c r="AG2184">
        <v>2</v>
      </c>
      <c r="AH2184">
        <v>0</v>
      </c>
      <c r="AI2184" t="s">
        <v>1341</v>
      </c>
      <c r="AJ2184">
        <v>39.955129999999997</v>
      </c>
      <c r="AK2184" t="s">
        <v>1342</v>
      </c>
      <c r="AL2184">
        <v>-92.667918</v>
      </c>
      <c r="AM2184">
        <v>100</v>
      </c>
      <c r="AN2184">
        <v>1700</v>
      </c>
      <c r="AO2184" t="s">
        <v>118</v>
      </c>
      <c r="AP2184">
        <v>-107</v>
      </c>
      <c r="AQ2184">
        <v>78</v>
      </c>
      <c r="AR2184">
        <v>128</v>
      </c>
      <c r="AZ2184">
        <v>1200</v>
      </c>
      <c r="BA2184">
        <v>1</v>
      </c>
      <c r="BB2184" t="str">
        <f t="shared" si="106"/>
        <v xml:space="preserve">N8080G  </v>
      </c>
      <c r="BC2184">
        <v>1</v>
      </c>
      <c r="BE2184">
        <v>0</v>
      </c>
      <c r="BF2184">
        <v>0</v>
      </c>
      <c r="BG2184">
        <v>0</v>
      </c>
      <c r="BH2184">
        <v>1700</v>
      </c>
      <c r="BI2184">
        <v>1</v>
      </c>
      <c r="BJ2184">
        <v>1</v>
      </c>
      <c r="BK2184">
        <v>1</v>
      </c>
      <c r="BL2184">
        <v>0</v>
      </c>
      <c r="BO2184">
        <v>0</v>
      </c>
      <c r="BP2184">
        <v>0</v>
      </c>
      <c r="BW2184" t="str">
        <f>"20:26:07.170"</f>
        <v>20:26:07.170</v>
      </c>
      <c r="BZ2184">
        <v>0</v>
      </c>
      <c r="CA2184">
        <v>2016</v>
      </c>
      <c r="CB2184">
        <v>224</v>
      </c>
      <c r="CD2184">
        <v>1</v>
      </c>
      <c r="CE2184">
        <v>0</v>
      </c>
      <c r="CF2184">
        <v>0</v>
      </c>
      <c r="CG2184">
        <v>1</v>
      </c>
      <c r="CH2184">
        <v>0</v>
      </c>
      <c r="CI2184">
        <v>0</v>
      </c>
      <c r="CJ2184">
        <v>0</v>
      </c>
      <c r="CK2184">
        <v>2</v>
      </c>
      <c r="CL2184">
        <v>0</v>
      </c>
      <c r="CM2184">
        <v>2</v>
      </c>
      <c r="CN2184">
        <v>0</v>
      </c>
      <c r="CO2184">
        <v>7</v>
      </c>
      <c r="CP2184" t="s">
        <v>119</v>
      </c>
      <c r="CQ2184">
        <v>180</v>
      </c>
      <c r="CR2184">
        <v>2</v>
      </c>
      <c r="CW2184">
        <v>8462557</v>
      </c>
      <c r="CY2184">
        <v>1</v>
      </c>
      <c r="CZ2184">
        <v>0</v>
      </c>
      <c r="DA2184">
        <v>1</v>
      </c>
      <c r="DB2184">
        <v>0</v>
      </c>
      <c r="DC2184">
        <v>0</v>
      </c>
      <c r="DD2184">
        <v>0</v>
      </c>
      <c r="DE2184">
        <v>0</v>
      </c>
      <c r="DF2184">
        <v>0</v>
      </c>
      <c r="DG2184">
        <v>0</v>
      </c>
      <c r="DH2184">
        <v>0</v>
      </c>
      <c r="DI2184">
        <v>0</v>
      </c>
    </row>
    <row r="2185" spans="1:113" x14ac:dyDescent="0.3">
      <c r="A2185" t="str">
        <f>"02/08/2021 20:26:04.813"</f>
        <v>02/08/2021 20:26:04.813</v>
      </c>
      <c r="C2185" t="str">
        <f t="shared" si="105"/>
        <v>FFDFD7C0</v>
      </c>
      <c r="D2185" t="s">
        <v>124</v>
      </c>
      <c r="E2185">
        <v>11</v>
      </c>
      <c r="F2185">
        <v>1011</v>
      </c>
      <c r="G2185" t="s">
        <v>590</v>
      </c>
      <c r="J2185" t="s">
        <v>125</v>
      </c>
      <c r="K2185">
        <v>0</v>
      </c>
      <c r="L2185">
        <v>3</v>
      </c>
      <c r="M2185">
        <v>0</v>
      </c>
      <c r="N2185">
        <v>2</v>
      </c>
      <c r="O2185">
        <v>1</v>
      </c>
      <c r="P2185">
        <v>0</v>
      </c>
      <c r="Q2185">
        <v>0</v>
      </c>
      <c r="S2185" t="str">
        <f>"20:26:07.164"</f>
        <v>20:26:07.164</v>
      </c>
      <c r="T2185" t="str">
        <f>"20:26:06.664"</f>
        <v>20:26:06.664</v>
      </c>
      <c r="U2185" t="str">
        <f t="shared" si="107"/>
        <v>AB01F4</v>
      </c>
      <c r="V2185">
        <v>0</v>
      </c>
      <c r="W2185">
        <v>0</v>
      </c>
      <c r="X2185">
        <v>2</v>
      </c>
      <c r="Z2185">
        <v>0</v>
      </c>
      <c r="AA2185">
        <v>9</v>
      </c>
      <c r="AB2185">
        <v>3</v>
      </c>
      <c r="AC2185">
        <v>0</v>
      </c>
      <c r="AD2185">
        <v>10</v>
      </c>
      <c r="AE2185">
        <v>0</v>
      </c>
      <c r="AF2185">
        <v>3</v>
      </c>
      <c r="AG2185">
        <v>2</v>
      </c>
      <c r="AH2185">
        <v>0</v>
      </c>
      <c r="AI2185" t="s">
        <v>1341</v>
      </c>
      <c r="AJ2185">
        <v>39.955129999999997</v>
      </c>
      <c r="AK2185" t="s">
        <v>1342</v>
      </c>
      <c r="AL2185">
        <v>-92.667918</v>
      </c>
      <c r="AM2185">
        <v>100</v>
      </c>
      <c r="AN2185">
        <v>1700</v>
      </c>
      <c r="AO2185" t="s">
        <v>118</v>
      </c>
      <c r="AP2185">
        <v>-107</v>
      </c>
      <c r="AQ2185">
        <v>78</v>
      </c>
      <c r="AR2185">
        <v>128</v>
      </c>
      <c r="AZ2185">
        <v>1200</v>
      </c>
      <c r="BA2185">
        <v>1</v>
      </c>
      <c r="BB2185" t="str">
        <f t="shared" si="106"/>
        <v xml:space="preserve">N8080G  </v>
      </c>
      <c r="BC2185">
        <v>1</v>
      </c>
      <c r="BE2185">
        <v>0</v>
      </c>
      <c r="BF2185">
        <v>0</v>
      </c>
      <c r="BG2185">
        <v>0</v>
      </c>
      <c r="BH2185">
        <v>1700</v>
      </c>
      <c r="BI2185">
        <v>1</v>
      </c>
      <c r="BJ2185">
        <v>1</v>
      </c>
      <c r="BK2185">
        <v>1</v>
      </c>
      <c r="BL2185">
        <v>0</v>
      </c>
      <c r="BO2185">
        <v>0</v>
      </c>
      <c r="BP2185">
        <v>0</v>
      </c>
      <c r="BW2185" t="str">
        <f>"20:26:07.170"</f>
        <v>20:26:07.170</v>
      </c>
      <c r="BZ2185">
        <v>0</v>
      </c>
      <c r="CA2185">
        <v>2016</v>
      </c>
      <c r="CB2185">
        <v>224</v>
      </c>
      <c r="CD2185">
        <v>1</v>
      </c>
      <c r="CE2185">
        <v>0</v>
      </c>
      <c r="CF2185">
        <v>0</v>
      </c>
      <c r="CG2185">
        <v>1</v>
      </c>
      <c r="CH2185">
        <v>0</v>
      </c>
      <c r="CI2185">
        <v>0</v>
      </c>
      <c r="CJ2185">
        <v>0</v>
      </c>
      <c r="CK2185">
        <v>2</v>
      </c>
      <c r="CL2185">
        <v>0</v>
      </c>
      <c r="CM2185">
        <v>2</v>
      </c>
      <c r="CN2185">
        <v>0</v>
      </c>
      <c r="CO2185">
        <v>7</v>
      </c>
      <c r="CP2185" t="s">
        <v>119</v>
      </c>
      <c r="CQ2185">
        <v>180</v>
      </c>
      <c r="CR2185">
        <v>2</v>
      </c>
      <c r="CW2185">
        <v>8462557</v>
      </c>
      <c r="CY2185">
        <v>1</v>
      </c>
      <c r="CZ2185">
        <v>0</v>
      </c>
      <c r="DA2185">
        <v>1</v>
      </c>
      <c r="DB2185">
        <v>0</v>
      </c>
      <c r="DC2185">
        <v>0</v>
      </c>
      <c r="DD2185">
        <v>0</v>
      </c>
      <c r="DE2185">
        <v>0</v>
      </c>
      <c r="DF2185">
        <v>0</v>
      </c>
      <c r="DG2185">
        <v>0</v>
      </c>
      <c r="DH2185">
        <v>0</v>
      </c>
      <c r="DI2185">
        <v>0</v>
      </c>
    </row>
    <row r="2186" spans="1:113" x14ac:dyDescent="0.3">
      <c r="A2186" t="str">
        <f>"02/08/2021 20:26:04.813"</f>
        <v>02/08/2021 20:26:04.813</v>
      </c>
      <c r="C2186" t="str">
        <f t="shared" si="105"/>
        <v>FFDFD7C0</v>
      </c>
      <c r="D2186" t="s">
        <v>124</v>
      </c>
      <c r="E2186">
        <v>12</v>
      </c>
      <c r="F2186">
        <v>1012</v>
      </c>
      <c r="G2186" t="s">
        <v>675</v>
      </c>
      <c r="J2186" t="s">
        <v>125</v>
      </c>
      <c r="K2186">
        <v>0</v>
      </c>
      <c r="L2186">
        <v>3</v>
      </c>
      <c r="M2186">
        <v>0</v>
      </c>
      <c r="N2186">
        <v>2</v>
      </c>
      <c r="O2186">
        <v>1</v>
      </c>
      <c r="P2186">
        <v>0</v>
      </c>
      <c r="Q2186">
        <v>0</v>
      </c>
      <c r="S2186" t="str">
        <f>"20:26:07.164"</f>
        <v>20:26:07.164</v>
      </c>
      <c r="T2186" t="str">
        <f>"20:26:06.664"</f>
        <v>20:26:06.664</v>
      </c>
      <c r="U2186" t="str">
        <f t="shared" si="107"/>
        <v>AB01F4</v>
      </c>
      <c r="V2186">
        <v>0</v>
      </c>
      <c r="W2186">
        <v>0</v>
      </c>
      <c r="X2186">
        <v>2</v>
      </c>
      <c r="Z2186">
        <v>0</v>
      </c>
      <c r="AA2186">
        <v>9</v>
      </c>
      <c r="AB2186">
        <v>3</v>
      </c>
      <c r="AC2186">
        <v>0</v>
      </c>
      <c r="AD2186">
        <v>10</v>
      </c>
      <c r="AE2186">
        <v>0</v>
      </c>
      <c r="AF2186">
        <v>3</v>
      </c>
      <c r="AG2186">
        <v>2</v>
      </c>
      <c r="AH2186">
        <v>0</v>
      </c>
      <c r="AI2186" t="s">
        <v>1341</v>
      </c>
      <c r="AJ2186">
        <v>39.955129999999997</v>
      </c>
      <c r="AK2186" t="s">
        <v>1342</v>
      </c>
      <c r="AL2186">
        <v>-92.667918</v>
      </c>
      <c r="AM2186">
        <v>100</v>
      </c>
      <c r="AN2186">
        <v>1700</v>
      </c>
      <c r="AO2186" t="s">
        <v>118</v>
      </c>
      <c r="AP2186">
        <v>-107</v>
      </c>
      <c r="AQ2186">
        <v>78</v>
      </c>
      <c r="AR2186">
        <v>128</v>
      </c>
      <c r="AZ2186">
        <v>1200</v>
      </c>
      <c r="BA2186">
        <v>1</v>
      </c>
      <c r="BB2186" t="str">
        <f t="shared" si="106"/>
        <v xml:space="preserve">N8080G  </v>
      </c>
      <c r="BC2186">
        <v>1</v>
      </c>
      <c r="BE2186">
        <v>0</v>
      </c>
      <c r="BF2186">
        <v>0</v>
      </c>
      <c r="BG2186">
        <v>0</v>
      </c>
      <c r="BH2186">
        <v>1700</v>
      </c>
      <c r="BI2186">
        <v>1</v>
      </c>
      <c r="BJ2186">
        <v>1</v>
      </c>
      <c r="BK2186">
        <v>1</v>
      </c>
      <c r="BL2186">
        <v>0</v>
      </c>
      <c r="BO2186">
        <v>0</v>
      </c>
      <c r="BP2186">
        <v>0</v>
      </c>
      <c r="BW2186" t="str">
        <f>"20:26:07.170"</f>
        <v>20:26:07.170</v>
      </c>
      <c r="BZ2186">
        <v>0</v>
      </c>
      <c r="CA2186">
        <v>2016</v>
      </c>
      <c r="CB2186">
        <v>224</v>
      </c>
      <c r="CD2186">
        <v>1</v>
      </c>
      <c r="CE2186">
        <v>0</v>
      </c>
      <c r="CF2186">
        <v>0</v>
      </c>
      <c r="CG2186">
        <v>1</v>
      </c>
      <c r="CH2186">
        <v>0</v>
      </c>
      <c r="CI2186">
        <v>0</v>
      </c>
      <c r="CJ2186">
        <v>0</v>
      </c>
      <c r="CK2186">
        <v>2</v>
      </c>
      <c r="CL2186">
        <v>0</v>
      </c>
      <c r="CM2186">
        <v>2</v>
      </c>
      <c r="CN2186">
        <v>0</v>
      </c>
      <c r="CO2186">
        <v>7</v>
      </c>
      <c r="CP2186" t="s">
        <v>119</v>
      </c>
      <c r="CQ2186">
        <v>180</v>
      </c>
      <c r="CR2186">
        <v>2</v>
      </c>
      <c r="CW2186">
        <v>8462557</v>
      </c>
      <c r="CY2186">
        <v>1</v>
      </c>
      <c r="CZ2186">
        <v>0</v>
      </c>
      <c r="DA2186">
        <v>1</v>
      </c>
      <c r="DB2186">
        <v>0</v>
      </c>
      <c r="DC2186">
        <v>0</v>
      </c>
      <c r="DD2186">
        <v>0</v>
      </c>
      <c r="DE2186">
        <v>0</v>
      </c>
      <c r="DF2186">
        <v>0</v>
      </c>
      <c r="DG2186">
        <v>0</v>
      </c>
      <c r="DH2186">
        <v>0</v>
      </c>
      <c r="DI2186">
        <v>0</v>
      </c>
    </row>
    <row r="2187" spans="1:113" x14ac:dyDescent="0.3">
      <c r="A2187" t="str">
        <f>"02/08/2021 20:26:05.830"</f>
        <v>02/08/2021 20:26:05.830</v>
      </c>
      <c r="C2187" t="str">
        <f t="shared" si="105"/>
        <v>FFDFD7C0</v>
      </c>
      <c r="D2187" t="s">
        <v>124</v>
      </c>
      <c r="E2187">
        <v>13</v>
      </c>
      <c r="F2187">
        <v>1013</v>
      </c>
      <c r="G2187" t="s">
        <v>114</v>
      </c>
      <c r="J2187" t="s">
        <v>125</v>
      </c>
      <c r="K2187">
        <v>0</v>
      </c>
      <c r="L2187">
        <v>3</v>
      </c>
      <c r="M2187">
        <v>0</v>
      </c>
      <c r="N2187">
        <v>2</v>
      </c>
      <c r="O2187">
        <v>1</v>
      </c>
      <c r="P2187">
        <v>0</v>
      </c>
      <c r="Q2187">
        <v>0</v>
      </c>
      <c r="S2187" t="str">
        <f>"20:26:08.164"</f>
        <v>20:26:08.164</v>
      </c>
      <c r="T2187" t="str">
        <f>"20:26:07.664"</f>
        <v>20:26:07.664</v>
      </c>
      <c r="U2187" t="str">
        <f t="shared" si="107"/>
        <v>AB01F4</v>
      </c>
      <c r="V2187">
        <v>0</v>
      </c>
      <c r="W2187">
        <v>0</v>
      </c>
      <c r="X2187">
        <v>2</v>
      </c>
      <c r="Z2187">
        <v>0</v>
      </c>
      <c r="AA2187">
        <v>9</v>
      </c>
      <c r="AB2187">
        <v>3</v>
      </c>
      <c r="AC2187">
        <v>0</v>
      </c>
      <c r="AD2187">
        <v>10</v>
      </c>
      <c r="AE2187">
        <v>0</v>
      </c>
      <c r="AF2187">
        <v>3</v>
      </c>
      <c r="AG2187">
        <v>2</v>
      </c>
      <c r="AH2187">
        <v>0</v>
      </c>
      <c r="AI2187" t="s">
        <v>1343</v>
      </c>
      <c r="AJ2187">
        <v>39.955494000000002</v>
      </c>
      <c r="AK2187" t="s">
        <v>1344</v>
      </c>
      <c r="AL2187">
        <v>-92.668519000000003</v>
      </c>
      <c r="AM2187">
        <v>100</v>
      </c>
      <c r="AN2187">
        <v>1700</v>
      </c>
      <c r="AO2187" t="s">
        <v>118</v>
      </c>
      <c r="AP2187">
        <v>-107</v>
      </c>
      <c r="AQ2187">
        <v>78</v>
      </c>
      <c r="AR2187">
        <v>64</v>
      </c>
      <c r="AZ2187">
        <v>1200</v>
      </c>
      <c r="BA2187">
        <v>1</v>
      </c>
      <c r="BB2187" t="str">
        <f t="shared" si="106"/>
        <v xml:space="preserve">N8080G  </v>
      </c>
      <c r="BC2187">
        <v>1</v>
      </c>
      <c r="BE2187">
        <v>0</v>
      </c>
      <c r="BF2187">
        <v>0</v>
      </c>
      <c r="BG2187">
        <v>0</v>
      </c>
      <c r="BH2187">
        <v>1700</v>
      </c>
      <c r="BI2187">
        <v>1</v>
      </c>
      <c r="BJ2187">
        <v>1</v>
      </c>
      <c r="BK2187">
        <v>1</v>
      </c>
      <c r="BL2187">
        <v>0</v>
      </c>
      <c r="BO2187">
        <v>0</v>
      </c>
      <c r="BP2187">
        <v>0</v>
      </c>
      <c r="BW2187" t="str">
        <f>"20:26:08.170"</f>
        <v>20:26:08.170</v>
      </c>
      <c r="BZ2187">
        <v>0</v>
      </c>
      <c r="CA2187">
        <v>2016</v>
      </c>
      <c r="CB2187">
        <v>224</v>
      </c>
      <c r="CD2187">
        <v>1</v>
      </c>
      <c r="CE2187">
        <v>0</v>
      </c>
      <c r="CF2187">
        <v>0</v>
      </c>
      <c r="CG2187">
        <v>1</v>
      </c>
      <c r="CH2187">
        <v>0</v>
      </c>
      <c r="CI2187">
        <v>0</v>
      </c>
      <c r="CJ2187">
        <v>0</v>
      </c>
      <c r="CK2187">
        <v>2</v>
      </c>
      <c r="CL2187">
        <v>0</v>
      </c>
      <c r="CM2187">
        <v>2</v>
      </c>
      <c r="CN2187">
        <v>0</v>
      </c>
      <c r="CO2187">
        <v>2</v>
      </c>
      <c r="CP2187" t="s">
        <v>119</v>
      </c>
      <c r="CQ2187">
        <v>179</v>
      </c>
      <c r="CR2187">
        <v>1</v>
      </c>
      <c r="CW2187">
        <v>8905799</v>
      </c>
      <c r="CY2187">
        <v>1</v>
      </c>
      <c r="CZ2187">
        <v>0</v>
      </c>
      <c r="DA2187">
        <v>0</v>
      </c>
      <c r="DB2187">
        <v>0</v>
      </c>
      <c r="DC2187">
        <v>0</v>
      </c>
      <c r="DD2187">
        <v>0</v>
      </c>
      <c r="DE2187">
        <v>0</v>
      </c>
      <c r="DF2187">
        <v>0</v>
      </c>
      <c r="DG2187">
        <v>0</v>
      </c>
      <c r="DH2187">
        <v>0</v>
      </c>
      <c r="DI2187">
        <v>0</v>
      </c>
    </row>
    <row r="2188" spans="1:113" x14ac:dyDescent="0.3">
      <c r="A2188" t="str">
        <f>"02/08/2021 20:26:05.830"</f>
        <v>02/08/2021 20:26:05.830</v>
      </c>
      <c r="C2188" t="str">
        <f t="shared" si="105"/>
        <v>FFDFD7C0</v>
      </c>
      <c r="D2188" t="s">
        <v>124</v>
      </c>
      <c r="E2188">
        <v>11</v>
      </c>
      <c r="F2188">
        <v>1011</v>
      </c>
      <c r="G2188" t="s">
        <v>590</v>
      </c>
      <c r="J2188" t="s">
        <v>125</v>
      </c>
      <c r="K2188">
        <v>0</v>
      </c>
      <c r="L2188">
        <v>3</v>
      </c>
      <c r="M2188">
        <v>0</v>
      </c>
      <c r="N2188">
        <v>2</v>
      </c>
      <c r="O2188">
        <v>1</v>
      </c>
      <c r="P2188">
        <v>0</v>
      </c>
      <c r="Q2188">
        <v>0</v>
      </c>
      <c r="S2188" t="str">
        <f>"20:26:08.164"</f>
        <v>20:26:08.164</v>
      </c>
      <c r="T2188" t="str">
        <f>"20:26:07.664"</f>
        <v>20:26:07.664</v>
      </c>
      <c r="U2188" t="str">
        <f t="shared" si="107"/>
        <v>AB01F4</v>
      </c>
      <c r="V2188">
        <v>0</v>
      </c>
      <c r="W2188">
        <v>0</v>
      </c>
      <c r="X2188">
        <v>2</v>
      </c>
      <c r="Z2188">
        <v>0</v>
      </c>
      <c r="AA2188">
        <v>9</v>
      </c>
      <c r="AB2188">
        <v>3</v>
      </c>
      <c r="AC2188">
        <v>0</v>
      </c>
      <c r="AD2188">
        <v>10</v>
      </c>
      <c r="AE2188">
        <v>0</v>
      </c>
      <c r="AF2188">
        <v>3</v>
      </c>
      <c r="AG2188">
        <v>2</v>
      </c>
      <c r="AH2188">
        <v>0</v>
      </c>
      <c r="AI2188" t="s">
        <v>1343</v>
      </c>
      <c r="AJ2188">
        <v>39.955494000000002</v>
      </c>
      <c r="AK2188" t="s">
        <v>1344</v>
      </c>
      <c r="AL2188">
        <v>-92.668519000000003</v>
      </c>
      <c r="AM2188">
        <v>100</v>
      </c>
      <c r="AN2188">
        <v>1700</v>
      </c>
      <c r="AO2188" t="s">
        <v>118</v>
      </c>
      <c r="AP2188">
        <v>-107</v>
      </c>
      <c r="AQ2188">
        <v>78</v>
      </c>
      <c r="AR2188">
        <v>64</v>
      </c>
      <c r="AZ2188">
        <v>1200</v>
      </c>
      <c r="BA2188">
        <v>1</v>
      </c>
      <c r="BB2188" t="str">
        <f t="shared" si="106"/>
        <v xml:space="preserve">N8080G  </v>
      </c>
      <c r="BC2188">
        <v>1</v>
      </c>
      <c r="BE2188">
        <v>0</v>
      </c>
      <c r="BF2188">
        <v>0</v>
      </c>
      <c r="BG2188">
        <v>0</v>
      </c>
      <c r="BH2188">
        <v>1700</v>
      </c>
      <c r="BI2188">
        <v>1</v>
      </c>
      <c r="BJ2188">
        <v>1</v>
      </c>
      <c r="BK2188">
        <v>1</v>
      </c>
      <c r="BL2188">
        <v>0</v>
      </c>
      <c r="BO2188">
        <v>0</v>
      </c>
      <c r="BP2188">
        <v>0</v>
      </c>
      <c r="BW2188" t="str">
        <f>"20:26:08.170"</f>
        <v>20:26:08.170</v>
      </c>
      <c r="BZ2188">
        <v>0</v>
      </c>
      <c r="CA2188">
        <v>2016</v>
      </c>
      <c r="CB2188">
        <v>224</v>
      </c>
      <c r="CD2188">
        <v>1</v>
      </c>
      <c r="CE2188">
        <v>0</v>
      </c>
      <c r="CF2188">
        <v>0</v>
      </c>
      <c r="CG2188">
        <v>1</v>
      </c>
      <c r="CH2188">
        <v>0</v>
      </c>
      <c r="CI2188">
        <v>0</v>
      </c>
      <c r="CJ2188">
        <v>0</v>
      </c>
      <c r="CK2188">
        <v>2</v>
      </c>
      <c r="CL2188">
        <v>0</v>
      </c>
      <c r="CM2188">
        <v>2</v>
      </c>
      <c r="CN2188">
        <v>0</v>
      </c>
      <c r="CO2188">
        <v>2</v>
      </c>
      <c r="CP2188" t="s">
        <v>119</v>
      </c>
      <c r="CQ2188">
        <v>179</v>
      </c>
      <c r="CR2188">
        <v>1</v>
      </c>
      <c r="CW2188">
        <v>8905799</v>
      </c>
      <c r="CY2188">
        <v>1</v>
      </c>
      <c r="CZ2188">
        <v>0</v>
      </c>
      <c r="DA2188">
        <v>1</v>
      </c>
      <c r="DB2188">
        <v>0</v>
      </c>
      <c r="DC2188">
        <v>0</v>
      </c>
      <c r="DD2188">
        <v>0</v>
      </c>
      <c r="DE2188">
        <v>0</v>
      </c>
      <c r="DF2188">
        <v>0</v>
      </c>
      <c r="DG2188">
        <v>0</v>
      </c>
      <c r="DH2188">
        <v>0</v>
      </c>
      <c r="DI2188">
        <v>0</v>
      </c>
    </row>
    <row r="2189" spans="1:113" x14ac:dyDescent="0.3">
      <c r="A2189" t="str">
        <f>"02/08/2021 20:26:05.830"</f>
        <v>02/08/2021 20:26:05.830</v>
      </c>
      <c r="C2189" t="str">
        <f t="shared" si="105"/>
        <v>FFDFD7C0</v>
      </c>
      <c r="D2189" t="s">
        <v>124</v>
      </c>
      <c r="E2189">
        <v>12</v>
      </c>
      <c r="F2189">
        <v>1012</v>
      </c>
      <c r="G2189" t="s">
        <v>675</v>
      </c>
      <c r="J2189" t="s">
        <v>125</v>
      </c>
      <c r="K2189">
        <v>0</v>
      </c>
      <c r="L2189">
        <v>3</v>
      </c>
      <c r="M2189">
        <v>0</v>
      </c>
      <c r="N2189">
        <v>2</v>
      </c>
      <c r="O2189">
        <v>1</v>
      </c>
      <c r="P2189">
        <v>0</v>
      </c>
      <c r="Q2189">
        <v>0</v>
      </c>
      <c r="S2189" t="str">
        <f>"20:26:08.164"</f>
        <v>20:26:08.164</v>
      </c>
      <c r="T2189" t="str">
        <f>"20:26:07.664"</f>
        <v>20:26:07.664</v>
      </c>
      <c r="U2189" t="str">
        <f t="shared" si="107"/>
        <v>AB01F4</v>
      </c>
      <c r="V2189">
        <v>0</v>
      </c>
      <c r="W2189">
        <v>0</v>
      </c>
      <c r="X2189">
        <v>2</v>
      </c>
      <c r="Z2189">
        <v>0</v>
      </c>
      <c r="AA2189">
        <v>9</v>
      </c>
      <c r="AB2189">
        <v>3</v>
      </c>
      <c r="AC2189">
        <v>0</v>
      </c>
      <c r="AD2189">
        <v>10</v>
      </c>
      <c r="AE2189">
        <v>0</v>
      </c>
      <c r="AF2189">
        <v>3</v>
      </c>
      <c r="AG2189">
        <v>2</v>
      </c>
      <c r="AH2189">
        <v>0</v>
      </c>
      <c r="AI2189" t="s">
        <v>1343</v>
      </c>
      <c r="AJ2189">
        <v>39.955494000000002</v>
      </c>
      <c r="AK2189" t="s">
        <v>1344</v>
      </c>
      <c r="AL2189">
        <v>-92.668519000000003</v>
      </c>
      <c r="AM2189">
        <v>100</v>
      </c>
      <c r="AN2189">
        <v>1700</v>
      </c>
      <c r="AO2189" t="s">
        <v>118</v>
      </c>
      <c r="AP2189">
        <v>-107</v>
      </c>
      <c r="AQ2189">
        <v>78</v>
      </c>
      <c r="AR2189">
        <v>64</v>
      </c>
      <c r="AZ2189">
        <v>1200</v>
      </c>
      <c r="BA2189">
        <v>1</v>
      </c>
      <c r="BB2189" t="str">
        <f t="shared" si="106"/>
        <v xml:space="preserve">N8080G  </v>
      </c>
      <c r="BC2189">
        <v>1</v>
      </c>
      <c r="BE2189">
        <v>0</v>
      </c>
      <c r="BF2189">
        <v>0</v>
      </c>
      <c r="BG2189">
        <v>0</v>
      </c>
      <c r="BH2189">
        <v>1700</v>
      </c>
      <c r="BI2189">
        <v>1</v>
      </c>
      <c r="BJ2189">
        <v>1</v>
      </c>
      <c r="BK2189">
        <v>1</v>
      </c>
      <c r="BL2189">
        <v>0</v>
      </c>
      <c r="BO2189">
        <v>0</v>
      </c>
      <c r="BP2189">
        <v>0</v>
      </c>
      <c r="BW2189" t="str">
        <f>"20:26:08.170"</f>
        <v>20:26:08.170</v>
      </c>
      <c r="BZ2189">
        <v>0</v>
      </c>
      <c r="CA2189">
        <v>2016</v>
      </c>
      <c r="CB2189">
        <v>224</v>
      </c>
      <c r="CD2189">
        <v>1</v>
      </c>
      <c r="CE2189">
        <v>0</v>
      </c>
      <c r="CF2189">
        <v>0</v>
      </c>
      <c r="CG2189">
        <v>1</v>
      </c>
      <c r="CH2189">
        <v>0</v>
      </c>
      <c r="CI2189">
        <v>0</v>
      </c>
      <c r="CJ2189">
        <v>0</v>
      </c>
      <c r="CK2189">
        <v>2</v>
      </c>
      <c r="CL2189">
        <v>0</v>
      </c>
      <c r="CM2189">
        <v>2</v>
      </c>
      <c r="CN2189">
        <v>0</v>
      </c>
      <c r="CO2189">
        <v>2</v>
      </c>
      <c r="CP2189" t="s">
        <v>119</v>
      </c>
      <c r="CQ2189">
        <v>179</v>
      </c>
      <c r="CR2189">
        <v>1</v>
      </c>
      <c r="CW2189">
        <v>8905799</v>
      </c>
      <c r="CY2189">
        <v>1</v>
      </c>
      <c r="CZ2189">
        <v>0</v>
      </c>
      <c r="DA2189">
        <v>1</v>
      </c>
      <c r="DB2189">
        <v>0</v>
      </c>
      <c r="DC2189">
        <v>0</v>
      </c>
      <c r="DD2189">
        <v>0</v>
      </c>
      <c r="DE2189">
        <v>0</v>
      </c>
      <c r="DF2189">
        <v>0</v>
      </c>
      <c r="DG2189">
        <v>0</v>
      </c>
      <c r="DH2189">
        <v>0</v>
      </c>
      <c r="DI2189">
        <v>0</v>
      </c>
    </row>
    <row r="2190" spans="1:113" x14ac:dyDescent="0.3">
      <c r="A2190" t="str">
        <f>"02/08/2021 20:26:05.830"</f>
        <v>02/08/2021 20:26:05.830</v>
      </c>
      <c r="C2190" t="str">
        <f t="shared" si="105"/>
        <v>FFDFD7C0</v>
      </c>
      <c r="D2190" t="s">
        <v>113</v>
      </c>
      <c r="E2190">
        <v>6</v>
      </c>
      <c r="H2190">
        <v>165</v>
      </c>
      <c r="I2190" t="s">
        <v>114</v>
      </c>
      <c r="J2190" t="s">
        <v>115</v>
      </c>
      <c r="K2190">
        <v>0</v>
      </c>
      <c r="L2190">
        <v>3</v>
      </c>
      <c r="M2190">
        <v>0</v>
      </c>
      <c r="N2190">
        <v>2</v>
      </c>
      <c r="O2190">
        <v>1</v>
      </c>
      <c r="P2190">
        <v>0</v>
      </c>
      <c r="Q2190">
        <v>0</v>
      </c>
      <c r="S2190" t="str">
        <f>"20:26:08.164"</f>
        <v>20:26:08.164</v>
      </c>
      <c r="T2190" t="str">
        <f>"20:26:07.664"</f>
        <v>20:26:07.664</v>
      </c>
      <c r="U2190" t="str">
        <f t="shared" si="107"/>
        <v>AB01F4</v>
      </c>
      <c r="V2190">
        <v>0</v>
      </c>
      <c r="W2190">
        <v>0</v>
      </c>
      <c r="X2190">
        <v>2</v>
      </c>
      <c r="Z2190">
        <v>0</v>
      </c>
      <c r="AA2190">
        <v>9</v>
      </c>
      <c r="AB2190">
        <v>3</v>
      </c>
      <c r="AC2190">
        <v>0</v>
      </c>
      <c r="AD2190">
        <v>10</v>
      </c>
      <c r="AE2190">
        <v>0</v>
      </c>
      <c r="AF2190">
        <v>3</v>
      </c>
      <c r="AG2190">
        <v>2</v>
      </c>
      <c r="AH2190">
        <v>0</v>
      </c>
      <c r="AI2190" t="s">
        <v>1343</v>
      </c>
      <c r="AJ2190">
        <v>39.955494000000002</v>
      </c>
      <c r="AK2190" t="s">
        <v>1344</v>
      </c>
      <c r="AL2190">
        <v>-92.668519000000003</v>
      </c>
      <c r="AM2190">
        <v>100</v>
      </c>
      <c r="AN2190">
        <v>1700</v>
      </c>
      <c r="AO2190" t="s">
        <v>118</v>
      </c>
      <c r="AP2190">
        <v>-107</v>
      </c>
      <c r="AQ2190">
        <v>78</v>
      </c>
      <c r="AR2190">
        <v>64</v>
      </c>
      <c r="AZ2190">
        <v>1200</v>
      </c>
      <c r="BA2190">
        <v>1</v>
      </c>
      <c r="BB2190" t="str">
        <f t="shared" si="106"/>
        <v xml:space="preserve">N8080G  </v>
      </c>
      <c r="BC2190">
        <v>1</v>
      </c>
      <c r="BE2190">
        <v>0</v>
      </c>
      <c r="BF2190">
        <v>0</v>
      </c>
      <c r="BG2190">
        <v>0</v>
      </c>
      <c r="BH2190">
        <v>1700</v>
      </c>
      <c r="BI2190">
        <v>1</v>
      </c>
      <c r="BJ2190">
        <v>1</v>
      </c>
      <c r="BK2190">
        <v>1</v>
      </c>
      <c r="BL2190">
        <v>0</v>
      </c>
      <c r="BO2190">
        <v>0</v>
      </c>
      <c r="BP2190">
        <v>0</v>
      </c>
      <c r="BW2190" t="str">
        <f>"20:26:08.170"</f>
        <v>20:26:08.170</v>
      </c>
      <c r="BZ2190">
        <v>0</v>
      </c>
      <c r="CA2190">
        <v>2016</v>
      </c>
      <c r="CB2190">
        <v>224</v>
      </c>
      <c r="CD2190">
        <v>1</v>
      </c>
      <c r="CE2190">
        <v>0</v>
      </c>
      <c r="CF2190">
        <v>0</v>
      </c>
      <c r="CG2190">
        <v>1</v>
      </c>
      <c r="CH2190">
        <v>0</v>
      </c>
      <c r="CI2190">
        <v>0</v>
      </c>
      <c r="CJ2190">
        <v>0</v>
      </c>
      <c r="CK2190">
        <v>2</v>
      </c>
      <c r="CL2190">
        <v>0</v>
      </c>
      <c r="CM2190">
        <v>2</v>
      </c>
      <c r="CN2190">
        <v>0</v>
      </c>
      <c r="CO2190">
        <v>2</v>
      </c>
      <c r="CP2190" t="s">
        <v>119</v>
      </c>
      <c r="CQ2190">
        <v>179</v>
      </c>
      <c r="CR2190">
        <v>1</v>
      </c>
      <c r="CW2190">
        <v>8905799</v>
      </c>
      <c r="CY2190">
        <v>1</v>
      </c>
      <c r="CZ2190">
        <v>0</v>
      </c>
      <c r="DA2190">
        <v>1</v>
      </c>
      <c r="DB2190">
        <v>0</v>
      </c>
      <c r="DC2190">
        <v>0</v>
      </c>
      <c r="DD2190">
        <v>0</v>
      </c>
      <c r="DE2190">
        <v>0</v>
      </c>
      <c r="DF2190">
        <v>0</v>
      </c>
      <c r="DG2190">
        <v>0</v>
      </c>
      <c r="DH2190">
        <v>0</v>
      </c>
      <c r="DI2190">
        <v>0</v>
      </c>
    </row>
    <row r="2191" spans="1:113" x14ac:dyDescent="0.3">
      <c r="A2191" t="str">
        <f>"02/08/2021 20:26:06.869"</f>
        <v>02/08/2021 20:26:06.869</v>
      </c>
      <c r="C2191" t="str">
        <f t="shared" si="105"/>
        <v>FFDFD7C0</v>
      </c>
      <c r="D2191" t="s">
        <v>124</v>
      </c>
      <c r="E2191">
        <v>12</v>
      </c>
      <c r="F2191">
        <v>1012</v>
      </c>
      <c r="G2191" t="s">
        <v>675</v>
      </c>
      <c r="J2191" t="s">
        <v>125</v>
      </c>
      <c r="K2191">
        <v>0</v>
      </c>
      <c r="L2191">
        <v>3</v>
      </c>
      <c r="M2191">
        <v>0</v>
      </c>
      <c r="N2191">
        <v>2</v>
      </c>
      <c r="O2191">
        <v>1</v>
      </c>
      <c r="P2191">
        <v>0</v>
      </c>
      <c r="Q2191">
        <v>0</v>
      </c>
      <c r="S2191" t="str">
        <f>"20:26:09.180"</f>
        <v>20:26:09.180</v>
      </c>
      <c r="T2191" t="str">
        <f>"20:26:08.780"</f>
        <v>20:26:08.780</v>
      </c>
      <c r="U2191" t="str">
        <f t="shared" si="107"/>
        <v>AB01F4</v>
      </c>
      <c r="V2191">
        <v>0</v>
      </c>
      <c r="W2191">
        <v>0</v>
      </c>
      <c r="X2191">
        <v>2</v>
      </c>
      <c r="Z2191">
        <v>0</v>
      </c>
      <c r="AA2191">
        <v>9</v>
      </c>
      <c r="AB2191">
        <v>3</v>
      </c>
      <c r="AC2191">
        <v>0</v>
      </c>
      <c r="AD2191">
        <v>10</v>
      </c>
      <c r="AE2191">
        <v>0</v>
      </c>
      <c r="AF2191">
        <v>3</v>
      </c>
      <c r="AG2191">
        <v>2</v>
      </c>
      <c r="AH2191">
        <v>0</v>
      </c>
      <c r="AI2191" t="s">
        <v>1345</v>
      </c>
      <c r="AJ2191">
        <v>39.955858999999997</v>
      </c>
      <c r="AK2191" t="s">
        <v>1346</v>
      </c>
      <c r="AL2191">
        <v>-92.669184000000001</v>
      </c>
      <c r="AM2191">
        <v>100</v>
      </c>
      <c r="AN2191">
        <v>1700</v>
      </c>
      <c r="AO2191" t="s">
        <v>118</v>
      </c>
      <c r="AP2191">
        <v>-107</v>
      </c>
      <c r="AQ2191">
        <v>78</v>
      </c>
      <c r="AR2191">
        <v>0</v>
      </c>
      <c r="AZ2191">
        <v>1200</v>
      </c>
      <c r="BA2191">
        <v>1</v>
      </c>
      <c r="BB2191" t="str">
        <f t="shared" si="106"/>
        <v xml:space="preserve">N8080G  </v>
      </c>
      <c r="BC2191">
        <v>1</v>
      </c>
      <c r="BE2191">
        <v>0</v>
      </c>
      <c r="BF2191">
        <v>0</v>
      </c>
      <c r="BG2191">
        <v>0</v>
      </c>
      <c r="BH2191">
        <v>1700</v>
      </c>
      <c r="BI2191">
        <v>1</v>
      </c>
      <c r="BJ2191">
        <v>1</v>
      </c>
      <c r="BK2191">
        <v>1</v>
      </c>
      <c r="BL2191">
        <v>0</v>
      </c>
      <c r="BO2191">
        <v>0</v>
      </c>
      <c r="BP2191">
        <v>0</v>
      </c>
      <c r="BW2191" t="str">
        <f>"20:26:09.187"</f>
        <v>20:26:09.187</v>
      </c>
      <c r="BZ2191">
        <v>0</v>
      </c>
      <c r="CA2191">
        <v>2016</v>
      </c>
      <c r="CB2191">
        <v>224</v>
      </c>
      <c r="CD2191">
        <v>1</v>
      </c>
      <c r="CE2191">
        <v>0</v>
      </c>
      <c r="CF2191">
        <v>0</v>
      </c>
      <c r="CG2191">
        <v>1</v>
      </c>
      <c r="CH2191">
        <v>0</v>
      </c>
      <c r="CI2191">
        <v>0</v>
      </c>
      <c r="CJ2191">
        <v>0</v>
      </c>
      <c r="CK2191">
        <v>2</v>
      </c>
      <c r="CL2191">
        <v>0</v>
      </c>
      <c r="CM2191">
        <v>2</v>
      </c>
      <c r="CN2191">
        <v>0</v>
      </c>
      <c r="CO2191">
        <v>2</v>
      </c>
      <c r="CP2191" t="s">
        <v>119</v>
      </c>
      <c r="CQ2191">
        <v>179</v>
      </c>
      <c r="CR2191">
        <v>1</v>
      </c>
      <c r="CW2191">
        <v>8906696</v>
      </c>
      <c r="CY2191">
        <v>1</v>
      </c>
      <c r="CZ2191">
        <v>0</v>
      </c>
      <c r="DA2191">
        <v>0</v>
      </c>
      <c r="DB2191">
        <v>0</v>
      </c>
      <c r="DC2191">
        <v>0</v>
      </c>
      <c r="DD2191">
        <v>0</v>
      </c>
      <c r="DE2191">
        <v>0</v>
      </c>
      <c r="DF2191">
        <v>0</v>
      </c>
      <c r="DG2191">
        <v>0</v>
      </c>
      <c r="DH2191">
        <v>0</v>
      </c>
      <c r="DI2191">
        <v>0</v>
      </c>
    </row>
    <row r="2192" spans="1:113" x14ac:dyDescent="0.3">
      <c r="A2192" t="str">
        <f>"02/08/2021 20:26:06.869"</f>
        <v>02/08/2021 20:26:06.869</v>
      </c>
      <c r="C2192" t="str">
        <f t="shared" si="105"/>
        <v>FFDFD7C0</v>
      </c>
      <c r="D2192" t="s">
        <v>124</v>
      </c>
      <c r="E2192">
        <v>13</v>
      </c>
      <c r="F2192">
        <v>1013</v>
      </c>
      <c r="G2192" t="s">
        <v>114</v>
      </c>
      <c r="J2192" t="s">
        <v>125</v>
      </c>
      <c r="K2192">
        <v>0</v>
      </c>
      <c r="L2192">
        <v>3</v>
      </c>
      <c r="M2192">
        <v>0</v>
      </c>
      <c r="N2192">
        <v>2</v>
      </c>
      <c r="O2192">
        <v>1</v>
      </c>
      <c r="P2192">
        <v>0</v>
      </c>
      <c r="Q2192">
        <v>0</v>
      </c>
      <c r="S2192" t="str">
        <f>"20:26:09.180"</f>
        <v>20:26:09.180</v>
      </c>
      <c r="T2192" t="str">
        <f>"20:26:08.780"</f>
        <v>20:26:08.780</v>
      </c>
      <c r="U2192" t="str">
        <f t="shared" si="107"/>
        <v>AB01F4</v>
      </c>
      <c r="V2192">
        <v>0</v>
      </c>
      <c r="W2192">
        <v>0</v>
      </c>
      <c r="X2192">
        <v>2</v>
      </c>
      <c r="Z2192">
        <v>0</v>
      </c>
      <c r="AA2192">
        <v>9</v>
      </c>
      <c r="AB2192">
        <v>3</v>
      </c>
      <c r="AC2192">
        <v>0</v>
      </c>
      <c r="AD2192">
        <v>10</v>
      </c>
      <c r="AE2192">
        <v>0</v>
      </c>
      <c r="AF2192">
        <v>3</v>
      </c>
      <c r="AG2192">
        <v>2</v>
      </c>
      <c r="AH2192">
        <v>0</v>
      </c>
      <c r="AI2192" t="s">
        <v>1345</v>
      </c>
      <c r="AJ2192">
        <v>39.955858999999997</v>
      </c>
      <c r="AK2192" t="s">
        <v>1346</v>
      </c>
      <c r="AL2192">
        <v>-92.669184000000001</v>
      </c>
      <c r="AM2192">
        <v>100</v>
      </c>
      <c r="AN2192">
        <v>1700</v>
      </c>
      <c r="AO2192" t="s">
        <v>118</v>
      </c>
      <c r="AP2192">
        <v>-107</v>
      </c>
      <c r="AQ2192">
        <v>78</v>
      </c>
      <c r="AR2192">
        <v>0</v>
      </c>
      <c r="AZ2192">
        <v>1200</v>
      </c>
      <c r="BA2192">
        <v>1</v>
      </c>
      <c r="BB2192" t="str">
        <f t="shared" si="106"/>
        <v xml:space="preserve">N8080G  </v>
      </c>
      <c r="BC2192">
        <v>1</v>
      </c>
      <c r="BE2192">
        <v>0</v>
      </c>
      <c r="BF2192">
        <v>0</v>
      </c>
      <c r="BG2192">
        <v>0</v>
      </c>
      <c r="BH2192">
        <v>1700</v>
      </c>
      <c r="BI2192">
        <v>1</v>
      </c>
      <c r="BJ2192">
        <v>1</v>
      </c>
      <c r="BK2192">
        <v>1</v>
      </c>
      <c r="BL2192">
        <v>0</v>
      </c>
      <c r="BO2192">
        <v>0</v>
      </c>
      <c r="BP2192">
        <v>0</v>
      </c>
      <c r="BW2192" t="str">
        <f>"20:26:09.187"</f>
        <v>20:26:09.187</v>
      </c>
      <c r="BZ2192">
        <v>0</v>
      </c>
      <c r="CA2192">
        <v>2016</v>
      </c>
      <c r="CB2192">
        <v>224</v>
      </c>
      <c r="CD2192">
        <v>1</v>
      </c>
      <c r="CE2192">
        <v>0</v>
      </c>
      <c r="CF2192">
        <v>0</v>
      </c>
      <c r="CG2192">
        <v>1</v>
      </c>
      <c r="CH2192">
        <v>0</v>
      </c>
      <c r="CI2192">
        <v>0</v>
      </c>
      <c r="CJ2192">
        <v>0</v>
      </c>
      <c r="CK2192">
        <v>2</v>
      </c>
      <c r="CL2192">
        <v>0</v>
      </c>
      <c r="CM2192">
        <v>2</v>
      </c>
      <c r="CN2192">
        <v>0</v>
      </c>
      <c r="CO2192">
        <v>2</v>
      </c>
      <c r="CP2192" t="s">
        <v>119</v>
      </c>
      <c r="CQ2192">
        <v>179</v>
      </c>
      <c r="CR2192">
        <v>1</v>
      </c>
      <c r="CW2192">
        <v>8906696</v>
      </c>
      <c r="CY2192">
        <v>1</v>
      </c>
      <c r="CZ2192">
        <v>0</v>
      </c>
      <c r="DA2192">
        <v>1</v>
      </c>
      <c r="DB2192">
        <v>0</v>
      </c>
      <c r="DC2192">
        <v>0</v>
      </c>
      <c r="DD2192">
        <v>0</v>
      </c>
      <c r="DE2192">
        <v>0</v>
      </c>
      <c r="DF2192">
        <v>0</v>
      </c>
      <c r="DG2192">
        <v>0</v>
      </c>
      <c r="DH2192">
        <v>0</v>
      </c>
      <c r="DI2192">
        <v>0</v>
      </c>
    </row>
    <row r="2193" spans="1:113" x14ac:dyDescent="0.3">
      <c r="A2193" t="str">
        <f>"02/08/2021 20:26:06.869"</f>
        <v>02/08/2021 20:26:06.869</v>
      </c>
      <c r="C2193" t="str">
        <f t="shared" si="105"/>
        <v>FFDFD7C0</v>
      </c>
      <c r="D2193" t="s">
        <v>113</v>
      </c>
      <c r="E2193">
        <v>6</v>
      </c>
      <c r="H2193">
        <v>165</v>
      </c>
      <c r="I2193" t="s">
        <v>114</v>
      </c>
      <c r="J2193" t="s">
        <v>115</v>
      </c>
      <c r="K2193">
        <v>0</v>
      </c>
      <c r="L2193">
        <v>3</v>
      </c>
      <c r="M2193">
        <v>0</v>
      </c>
      <c r="N2193">
        <v>2</v>
      </c>
      <c r="O2193">
        <v>1</v>
      </c>
      <c r="P2193">
        <v>0</v>
      </c>
      <c r="Q2193">
        <v>0</v>
      </c>
      <c r="S2193" t="str">
        <f>"20:26:09.180"</f>
        <v>20:26:09.180</v>
      </c>
      <c r="T2193" t="str">
        <f>"20:26:08.780"</f>
        <v>20:26:08.780</v>
      </c>
      <c r="U2193" t="str">
        <f t="shared" si="107"/>
        <v>AB01F4</v>
      </c>
      <c r="V2193">
        <v>0</v>
      </c>
      <c r="W2193">
        <v>0</v>
      </c>
      <c r="X2193">
        <v>2</v>
      </c>
      <c r="Z2193">
        <v>0</v>
      </c>
      <c r="AA2193">
        <v>9</v>
      </c>
      <c r="AB2193">
        <v>3</v>
      </c>
      <c r="AC2193">
        <v>0</v>
      </c>
      <c r="AD2193">
        <v>10</v>
      </c>
      <c r="AE2193">
        <v>0</v>
      </c>
      <c r="AF2193">
        <v>3</v>
      </c>
      <c r="AG2193">
        <v>2</v>
      </c>
      <c r="AH2193">
        <v>0</v>
      </c>
      <c r="AI2193" t="s">
        <v>1345</v>
      </c>
      <c r="AJ2193">
        <v>39.955858999999997</v>
      </c>
      <c r="AK2193" t="s">
        <v>1346</v>
      </c>
      <c r="AL2193">
        <v>-92.669184000000001</v>
      </c>
      <c r="AM2193">
        <v>100</v>
      </c>
      <c r="AN2193">
        <v>1700</v>
      </c>
      <c r="AO2193" t="s">
        <v>118</v>
      </c>
      <c r="AP2193">
        <v>-107</v>
      </c>
      <c r="AQ2193">
        <v>78</v>
      </c>
      <c r="AR2193">
        <v>0</v>
      </c>
      <c r="AZ2193">
        <v>1200</v>
      </c>
      <c r="BA2193">
        <v>1</v>
      </c>
      <c r="BB2193" t="str">
        <f t="shared" si="106"/>
        <v xml:space="preserve">N8080G  </v>
      </c>
      <c r="BC2193">
        <v>1</v>
      </c>
      <c r="BE2193">
        <v>0</v>
      </c>
      <c r="BF2193">
        <v>0</v>
      </c>
      <c r="BG2193">
        <v>0</v>
      </c>
      <c r="BH2193">
        <v>1700</v>
      </c>
      <c r="BI2193">
        <v>1</v>
      </c>
      <c r="BJ2193">
        <v>1</v>
      </c>
      <c r="BK2193">
        <v>1</v>
      </c>
      <c r="BL2193">
        <v>0</v>
      </c>
      <c r="BO2193">
        <v>0</v>
      </c>
      <c r="BP2193">
        <v>0</v>
      </c>
      <c r="BW2193" t="str">
        <f>"20:26:09.187"</f>
        <v>20:26:09.187</v>
      </c>
      <c r="BZ2193">
        <v>0</v>
      </c>
      <c r="CA2193">
        <v>2016</v>
      </c>
      <c r="CB2193">
        <v>224</v>
      </c>
      <c r="CD2193">
        <v>1</v>
      </c>
      <c r="CE2193">
        <v>0</v>
      </c>
      <c r="CF2193">
        <v>0</v>
      </c>
      <c r="CG2193">
        <v>1</v>
      </c>
      <c r="CH2193">
        <v>0</v>
      </c>
      <c r="CI2193">
        <v>0</v>
      </c>
      <c r="CJ2193">
        <v>0</v>
      </c>
      <c r="CK2193">
        <v>2</v>
      </c>
      <c r="CL2193">
        <v>0</v>
      </c>
      <c r="CM2193">
        <v>2</v>
      </c>
      <c r="CN2193">
        <v>0</v>
      </c>
      <c r="CO2193">
        <v>2</v>
      </c>
      <c r="CP2193" t="s">
        <v>119</v>
      </c>
      <c r="CQ2193">
        <v>179</v>
      </c>
      <c r="CR2193">
        <v>1</v>
      </c>
      <c r="CW2193">
        <v>8906696</v>
      </c>
      <c r="CY2193">
        <v>1</v>
      </c>
      <c r="CZ2193">
        <v>0</v>
      </c>
      <c r="DA2193">
        <v>1</v>
      </c>
      <c r="DB2193">
        <v>0</v>
      </c>
      <c r="DC2193">
        <v>0</v>
      </c>
      <c r="DD2193">
        <v>0</v>
      </c>
      <c r="DE2193">
        <v>0</v>
      </c>
      <c r="DF2193">
        <v>0</v>
      </c>
      <c r="DG2193">
        <v>0</v>
      </c>
      <c r="DH2193">
        <v>0</v>
      </c>
      <c r="DI2193">
        <v>0</v>
      </c>
    </row>
    <row r="2194" spans="1:113" x14ac:dyDescent="0.3">
      <c r="A2194" t="str">
        <f>"02/08/2021 20:26:06.869"</f>
        <v>02/08/2021 20:26:06.869</v>
      </c>
      <c r="C2194" t="str">
        <f t="shared" si="105"/>
        <v>FFDFD7C0</v>
      </c>
      <c r="D2194" t="s">
        <v>124</v>
      </c>
      <c r="E2194">
        <v>11</v>
      </c>
      <c r="F2194">
        <v>1011</v>
      </c>
      <c r="G2194" t="s">
        <v>590</v>
      </c>
      <c r="J2194" t="s">
        <v>125</v>
      </c>
      <c r="K2194">
        <v>0</v>
      </c>
      <c r="L2194">
        <v>3</v>
      </c>
      <c r="M2194">
        <v>0</v>
      </c>
      <c r="N2194">
        <v>2</v>
      </c>
      <c r="O2194">
        <v>1</v>
      </c>
      <c r="P2194">
        <v>0</v>
      </c>
      <c r="Q2194">
        <v>0</v>
      </c>
      <c r="S2194" t="str">
        <f>"20:26:09.180"</f>
        <v>20:26:09.180</v>
      </c>
      <c r="T2194" t="str">
        <f>"20:26:08.780"</f>
        <v>20:26:08.780</v>
      </c>
      <c r="U2194" t="str">
        <f t="shared" si="107"/>
        <v>AB01F4</v>
      </c>
      <c r="V2194">
        <v>0</v>
      </c>
      <c r="W2194">
        <v>0</v>
      </c>
      <c r="X2194">
        <v>2</v>
      </c>
      <c r="Z2194">
        <v>0</v>
      </c>
      <c r="AA2194">
        <v>9</v>
      </c>
      <c r="AB2194">
        <v>3</v>
      </c>
      <c r="AC2194">
        <v>0</v>
      </c>
      <c r="AD2194">
        <v>10</v>
      </c>
      <c r="AE2194">
        <v>0</v>
      </c>
      <c r="AF2194">
        <v>3</v>
      </c>
      <c r="AG2194">
        <v>2</v>
      </c>
      <c r="AH2194">
        <v>0</v>
      </c>
      <c r="AI2194" t="s">
        <v>1345</v>
      </c>
      <c r="AJ2194">
        <v>39.955858999999997</v>
      </c>
      <c r="AK2194" t="s">
        <v>1346</v>
      </c>
      <c r="AL2194">
        <v>-92.669184000000001</v>
      </c>
      <c r="AM2194">
        <v>100</v>
      </c>
      <c r="AN2194">
        <v>1700</v>
      </c>
      <c r="AO2194" t="s">
        <v>118</v>
      </c>
      <c r="AP2194">
        <v>-107</v>
      </c>
      <c r="AQ2194">
        <v>78</v>
      </c>
      <c r="AR2194">
        <v>0</v>
      </c>
      <c r="AZ2194">
        <v>1200</v>
      </c>
      <c r="BA2194">
        <v>1</v>
      </c>
      <c r="BB2194" t="str">
        <f t="shared" si="106"/>
        <v xml:space="preserve">N8080G  </v>
      </c>
      <c r="BC2194">
        <v>1</v>
      </c>
      <c r="BE2194">
        <v>0</v>
      </c>
      <c r="BF2194">
        <v>0</v>
      </c>
      <c r="BG2194">
        <v>0</v>
      </c>
      <c r="BH2194">
        <v>1700</v>
      </c>
      <c r="BI2194">
        <v>1</v>
      </c>
      <c r="BJ2194">
        <v>1</v>
      </c>
      <c r="BK2194">
        <v>1</v>
      </c>
      <c r="BL2194">
        <v>0</v>
      </c>
      <c r="BO2194">
        <v>0</v>
      </c>
      <c r="BP2194">
        <v>0</v>
      </c>
      <c r="BW2194" t="str">
        <f>"20:26:09.187"</f>
        <v>20:26:09.187</v>
      </c>
      <c r="BZ2194">
        <v>0</v>
      </c>
      <c r="CA2194">
        <v>2016</v>
      </c>
      <c r="CB2194">
        <v>224</v>
      </c>
      <c r="CD2194">
        <v>1</v>
      </c>
      <c r="CE2194">
        <v>0</v>
      </c>
      <c r="CF2194">
        <v>0</v>
      </c>
      <c r="CG2194">
        <v>1</v>
      </c>
      <c r="CH2194">
        <v>0</v>
      </c>
      <c r="CI2194">
        <v>0</v>
      </c>
      <c r="CJ2194">
        <v>0</v>
      </c>
      <c r="CK2194">
        <v>2</v>
      </c>
      <c r="CL2194">
        <v>0</v>
      </c>
      <c r="CM2194">
        <v>2</v>
      </c>
      <c r="CN2194">
        <v>0</v>
      </c>
      <c r="CO2194">
        <v>2</v>
      </c>
      <c r="CP2194" t="s">
        <v>119</v>
      </c>
      <c r="CQ2194">
        <v>179</v>
      </c>
      <c r="CR2194">
        <v>1</v>
      </c>
      <c r="CW2194">
        <v>8906696</v>
      </c>
      <c r="CY2194">
        <v>1</v>
      </c>
      <c r="CZ2194">
        <v>0</v>
      </c>
      <c r="DA2194">
        <v>1</v>
      </c>
      <c r="DB2194">
        <v>0</v>
      </c>
      <c r="DC2194">
        <v>0</v>
      </c>
      <c r="DD2194">
        <v>0</v>
      </c>
      <c r="DE2194">
        <v>0</v>
      </c>
      <c r="DF2194">
        <v>0</v>
      </c>
      <c r="DG2194">
        <v>0</v>
      </c>
      <c r="DH2194">
        <v>0</v>
      </c>
      <c r="DI2194">
        <v>0</v>
      </c>
    </row>
    <row r="2195" spans="1:113" x14ac:dyDescent="0.3">
      <c r="A2195" t="str">
        <f>"02/08/2021 20:26:10.073"</f>
        <v>02/08/2021 20:26:10.073</v>
      </c>
      <c r="C2195" t="str">
        <f t="shared" si="105"/>
        <v>FFDFD7C0</v>
      </c>
      <c r="D2195" t="s">
        <v>113</v>
      </c>
      <c r="E2195">
        <v>6</v>
      </c>
      <c r="H2195">
        <v>165</v>
      </c>
      <c r="I2195" t="s">
        <v>114</v>
      </c>
      <c r="J2195" t="s">
        <v>115</v>
      </c>
      <c r="K2195">
        <v>0</v>
      </c>
      <c r="L2195">
        <v>3</v>
      </c>
      <c r="M2195">
        <v>0</v>
      </c>
      <c r="N2195">
        <v>2</v>
      </c>
      <c r="O2195">
        <v>1</v>
      </c>
      <c r="P2195">
        <v>0</v>
      </c>
      <c r="Q2195">
        <v>0</v>
      </c>
      <c r="S2195" t="str">
        <f>"20:26:12.398"</f>
        <v>20:26:12.398</v>
      </c>
      <c r="T2195" t="str">
        <f>"20:26:11.898"</f>
        <v>20:26:11.898</v>
      </c>
      <c r="U2195" t="str">
        <f t="shared" si="107"/>
        <v>AB01F4</v>
      </c>
      <c r="V2195">
        <v>0</v>
      </c>
      <c r="W2195">
        <v>0</v>
      </c>
      <c r="X2195">
        <v>2</v>
      </c>
      <c r="Z2195">
        <v>0</v>
      </c>
      <c r="AA2195">
        <v>9</v>
      </c>
      <c r="AB2195">
        <v>3</v>
      </c>
      <c r="AC2195">
        <v>0</v>
      </c>
      <c r="AD2195">
        <v>10</v>
      </c>
      <c r="AE2195">
        <v>0</v>
      </c>
      <c r="AF2195">
        <v>3</v>
      </c>
      <c r="AG2195">
        <v>2</v>
      </c>
      <c r="AH2195">
        <v>0</v>
      </c>
      <c r="AI2195" t="s">
        <v>1347</v>
      </c>
      <c r="AJ2195">
        <v>39.956995999999997</v>
      </c>
      <c r="AK2195" t="s">
        <v>1348</v>
      </c>
      <c r="AL2195">
        <v>-92.671200999999996</v>
      </c>
      <c r="AM2195">
        <v>100</v>
      </c>
      <c r="AN2195">
        <v>1700</v>
      </c>
      <c r="AO2195" t="s">
        <v>118</v>
      </c>
      <c r="AP2195">
        <v>-107</v>
      </c>
      <c r="AQ2195">
        <v>79</v>
      </c>
      <c r="AR2195">
        <v>-128</v>
      </c>
      <c r="AZ2195">
        <v>1200</v>
      </c>
      <c r="BA2195">
        <v>1</v>
      </c>
      <c r="BB2195" t="str">
        <f t="shared" si="106"/>
        <v xml:space="preserve">N8080G  </v>
      </c>
      <c r="BC2195">
        <v>1</v>
      </c>
      <c r="BE2195">
        <v>0</v>
      </c>
      <c r="BF2195">
        <v>0</v>
      </c>
      <c r="BG2195">
        <v>0</v>
      </c>
      <c r="BH2195">
        <v>1700</v>
      </c>
      <c r="BI2195">
        <v>1</v>
      </c>
      <c r="BJ2195">
        <v>1</v>
      </c>
      <c r="BK2195">
        <v>1</v>
      </c>
      <c r="BL2195">
        <v>0</v>
      </c>
      <c r="BO2195">
        <v>0</v>
      </c>
      <c r="BP2195">
        <v>0</v>
      </c>
      <c r="BW2195" t="str">
        <f>"20:26:12.403"</f>
        <v>20:26:12.403</v>
      </c>
      <c r="BZ2195">
        <v>0</v>
      </c>
      <c r="CA2195">
        <v>2016</v>
      </c>
      <c r="CB2195">
        <v>224</v>
      </c>
      <c r="CD2195">
        <v>1</v>
      </c>
      <c r="CE2195">
        <v>0</v>
      </c>
      <c r="CF2195">
        <v>0</v>
      </c>
      <c r="CG2195">
        <v>1</v>
      </c>
      <c r="CH2195">
        <v>0</v>
      </c>
      <c r="CI2195">
        <v>0</v>
      </c>
      <c r="CJ2195">
        <v>0</v>
      </c>
      <c r="CK2195">
        <v>2</v>
      </c>
      <c r="CL2195">
        <v>0</v>
      </c>
      <c r="CM2195">
        <v>2</v>
      </c>
      <c r="CN2195">
        <v>0</v>
      </c>
      <c r="CO2195">
        <v>2</v>
      </c>
      <c r="CP2195" t="s">
        <v>119</v>
      </c>
      <c r="CQ2195">
        <v>179</v>
      </c>
      <c r="CR2195">
        <v>1</v>
      </c>
      <c r="CW2195">
        <v>8909455</v>
      </c>
      <c r="CY2195">
        <v>1</v>
      </c>
      <c r="CZ2195">
        <v>0</v>
      </c>
      <c r="DA2195">
        <v>0</v>
      </c>
      <c r="DB2195">
        <v>0</v>
      </c>
      <c r="DC2195">
        <v>0</v>
      </c>
      <c r="DD2195">
        <v>0</v>
      </c>
      <c r="DE2195">
        <v>0</v>
      </c>
      <c r="DF2195">
        <v>0</v>
      </c>
      <c r="DG2195">
        <v>0</v>
      </c>
      <c r="DH2195">
        <v>0</v>
      </c>
      <c r="DI2195">
        <v>0</v>
      </c>
    </row>
    <row r="2196" spans="1:113" x14ac:dyDescent="0.3">
      <c r="A2196" t="str">
        <f>"02/08/2021 20:26:10.073"</f>
        <v>02/08/2021 20:26:10.073</v>
      </c>
      <c r="C2196" t="str">
        <f t="shared" si="105"/>
        <v>FFDFD7C0</v>
      </c>
      <c r="D2196" t="s">
        <v>124</v>
      </c>
      <c r="E2196">
        <v>11</v>
      </c>
      <c r="F2196">
        <v>1011</v>
      </c>
      <c r="G2196" t="s">
        <v>590</v>
      </c>
      <c r="J2196" t="s">
        <v>125</v>
      </c>
      <c r="K2196">
        <v>0</v>
      </c>
      <c r="L2196">
        <v>3</v>
      </c>
      <c r="M2196">
        <v>0</v>
      </c>
      <c r="N2196">
        <v>2</v>
      </c>
      <c r="O2196">
        <v>1</v>
      </c>
      <c r="P2196">
        <v>0</v>
      </c>
      <c r="Q2196">
        <v>0</v>
      </c>
      <c r="S2196" t="str">
        <f>"20:26:12.398"</f>
        <v>20:26:12.398</v>
      </c>
      <c r="T2196" t="str">
        <f>"20:26:11.898"</f>
        <v>20:26:11.898</v>
      </c>
      <c r="U2196" t="str">
        <f t="shared" si="107"/>
        <v>AB01F4</v>
      </c>
      <c r="V2196">
        <v>0</v>
      </c>
      <c r="W2196">
        <v>0</v>
      </c>
      <c r="X2196">
        <v>2</v>
      </c>
      <c r="Z2196">
        <v>0</v>
      </c>
      <c r="AA2196">
        <v>9</v>
      </c>
      <c r="AB2196">
        <v>3</v>
      </c>
      <c r="AC2196">
        <v>0</v>
      </c>
      <c r="AD2196">
        <v>10</v>
      </c>
      <c r="AE2196">
        <v>0</v>
      </c>
      <c r="AF2196">
        <v>3</v>
      </c>
      <c r="AG2196">
        <v>2</v>
      </c>
      <c r="AH2196">
        <v>0</v>
      </c>
      <c r="AI2196" t="s">
        <v>1347</v>
      </c>
      <c r="AJ2196">
        <v>39.956995999999997</v>
      </c>
      <c r="AK2196" t="s">
        <v>1348</v>
      </c>
      <c r="AL2196">
        <v>-92.671200999999996</v>
      </c>
      <c r="AM2196">
        <v>100</v>
      </c>
      <c r="AN2196">
        <v>1700</v>
      </c>
      <c r="AO2196" t="s">
        <v>118</v>
      </c>
      <c r="AP2196">
        <v>-107</v>
      </c>
      <c r="AQ2196">
        <v>79</v>
      </c>
      <c r="AR2196">
        <v>-128</v>
      </c>
      <c r="AZ2196">
        <v>1200</v>
      </c>
      <c r="BA2196">
        <v>1</v>
      </c>
      <c r="BB2196" t="str">
        <f t="shared" si="106"/>
        <v xml:space="preserve">N8080G  </v>
      </c>
      <c r="BC2196">
        <v>1</v>
      </c>
      <c r="BE2196">
        <v>0</v>
      </c>
      <c r="BF2196">
        <v>0</v>
      </c>
      <c r="BG2196">
        <v>0</v>
      </c>
      <c r="BH2196">
        <v>1700</v>
      </c>
      <c r="BI2196">
        <v>1</v>
      </c>
      <c r="BJ2196">
        <v>1</v>
      </c>
      <c r="BK2196">
        <v>1</v>
      </c>
      <c r="BL2196">
        <v>0</v>
      </c>
      <c r="BO2196">
        <v>0</v>
      </c>
      <c r="BP2196">
        <v>0</v>
      </c>
      <c r="BW2196" t="str">
        <f>"20:26:12.403"</f>
        <v>20:26:12.403</v>
      </c>
      <c r="BZ2196">
        <v>0</v>
      </c>
      <c r="CA2196">
        <v>2016</v>
      </c>
      <c r="CB2196">
        <v>224</v>
      </c>
      <c r="CD2196">
        <v>1</v>
      </c>
      <c r="CE2196">
        <v>0</v>
      </c>
      <c r="CF2196">
        <v>0</v>
      </c>
      <c r="CG2196">
        <v>1</v>
      </c>
      <c r="CH2196">
        <v>0</v>
      </c>
      <c r="CI2196">
        <v>0</v>
      </c>
      <c r="CJ2196">
        <v>0</v>
      </c>
      <c r="CK2196">
        <v>2</v>
      </c>
      <c r="CL2196">
        <v>0</v>
      </c>
      <c r="CM2196">
        <v>2</v>
      </c>
      <c r="CN2196">
        <v>0</v>
      </c>
      <c r="CO2196">
        <v>2</v>
      </c>
      <c r="CP2196" t="s">
        <v>119</v>
      </c>
      <c r="CQ2196">
        <v>179</v>
      </c>
      <c r="CR2196">
        <v>1</v>
      </c>
      <c r="CW2196">
        <v>8909455</v>
      </c>
      <c r="CY2196">
        <v>1</v>
      </c>
      <c r="CZ2196">
        <v>0</v>
      </c>
      <c r="DA2196">
        <v>1</v>
      </c>
      <c r="DB2196">
        <v>0</v>
      </c>
      <c r="DC2196">
        <v>0</v>
      </c>
      <c r="DD2196">
        <v>0</v>
      </c>
      <c r="DE2196">
        <v>0</v>
      </c>
      <c r="DF2196">
        <v>0</v>
      </c>
      <c r="DG2196">
        <v>0</v>
      </c>
      <c r="DH2196">
        <v>0</v>
      </c>
      <c r="DI2196">
        <v>0</v>
      </c>
    </row>
    <row r="2197" spans="1:113" x14ac:dyDescent="0.3">
      <c r="A2197" t="str">
        <f>"02/08/2021 20:26:10.073"</f>
        <v>02/08/2021 20:26:10.073</v>
      </c>
      <c r="C2197" t="str">
        <f t="shared" si="105"/>
        <v>FFDFD7C0</v>
      </c>
      <c r="D2197" t="s">
        <v>124</v>
      </c>
      <c r="E2197">
        <v>12</v>
      </c>
      <c r="F2197">
        <v>1012</v>
      </c>
      <c r="G2197" t="s">
        <v>675</v>
      </c>
      <c r="J2197" t="s">
        <v>125</v>
      </c>
      <c r="K2197">
        <v>0</v>
      </c>
      <c r="L2197">
        <v>3</v>
      </c>
      <c r="M2197">
        <v>0</v>
      </c>
      <c r="N2197">
        <v>2</v>
      </c>
      <c r="O2197">
        <v>1</v>
      </c>
      <c r="P2197">
        <v>0</v>
      </c>
      <c r="Q2197">
        <v>0</v>
      </c>
      <c r="S2197" t="str">
        <f>"20:26:12.398"</f>
        <v>20:26:12.398</v>
      </c>
      <c r="T2197" t="str">
        <f>"20:26:11.898"</f>
        <v>20:26:11.898</v>
      </c>
      <c r="U2197" t="str">
        <f t="shared" si="107"/>
        <v>AB01F4</v>
      </c>
      <c r="V2197">
        <v>0</v>
      </c>
      <c r="W2197">
        <v>0</v>
      </c>
      <c r="X2197">
        <v>2</v>
      </c>
      <c r="Z2197">
        <v>0</v>
      </c>
      <c r="AA2197">
        <v>9</v>
      </c>
      <c r="AB2197">
        <v>3</v>
      </c>
      <c r="AC2197">
        <v>0</v>
      </c>
      <c r="AD2197">
        <v>10</v>
      </c>
      <c r="AE2197">
        <v>0</v>
      </c>
      <c r="AF2197">
        <v>3</v>
      </c>
      <c r="AG2197">
        <v>2</v>
      </c>
      <c r="AH2197">
        <v>0</v>
      </c>
      <c r="AI2197" t="s">
        <v>1347</v>
      </c>
      <c r="AJ2197">
        <v>39.956995999999997</v>
      </c>
      <c r="AK2197" t="s">
        <v>1348</v>
      </c>
      <c r="AL2197">
        <v>-92.671200999999996</v>
      </c>
      <c r="AM2197">
        <v>100</v>
      </c>
      <c r="AN2197">
        <v>1700</v>
      </c>
      <c r="AO2197" t="s">
        <v>118</v>
      </c>
      <c r="AP2197">
        <v>-107</v>
      </c>
      <c r="AQ2197">
        <v>79</v>
      </c>
      <c r="AR2197">
        <v>-128</v>
      </c>
      <c r="AZ2197">
        <v>1200</v>
      </c>
      <c r="BA2197">
        <v>1</v>
      </c>
      <c r="BB2197" t="str">
        <f t="shared" si="106"/>
        <v xml:space="preserve">N8080G  </v>
      </c>
      <c r="BC2197">
        <v>1</v>
      </c>
      <c r="BE2197">
        <v>0</v>
      </c>
      <c r="BF2197">
        <v>0</v>
      </c>
      <c r="BG2197">
        <v>0</v>
      </c>
      <c r="BH2197">
        <v>1700</v>
      </c>
      <c r="BI2197">
        <v>1</v>
      </c>
      <c r="BJ2197">
        <v>1</v>
      </c>
      <c r="BK2197">
        <v>1</v>
      </c>
      <c r="BL2197">
        <v>0</v>
      </c>
      <c r="BO2197">
        <v>0</v>
      </c>
      <c r="BP2197">
        <v>0</v>
      </c>
      <c r="BW2197" t="str">
        <f>"20:26:12.403"</f>
        <v>20:26:12.403</v>
      </c>
      <c r="BZ2197">
        <v>0</v>
      </c>
      <c r="CA2197">
        <v>2016</v>
      </c>
      <c r="CB2197">
        <v>224</v>
      </c>
      <c r="CD2197">
        <v>1</v>
      </c>
      <c r="CE2197">
        <v>0</v>
      </c>
      <c r="CF2197">
        <v>0</v>
      </c>
      <c r="CG2197">
        <v>1</v>
      </c>
      <c r="CH2197">
        <v>0</v>
      </c>
      <c r="CI2197">
        <v>0</v>
      </c>
      <c r="CJ2197">
        <v>0</v>
      </c>
      <c r="CK2197">
        <v>2</v>
      </c>
      <c r="CL2197">
        <v>0</v>
      </c>
      <c r="CM2197">
        <v>2</v>
      </c>
      <c r="CN2197">
        <v>0</v>
      </c>
      <c r="CO2197">
        <v>2</v>
      </c>
      <c r="CP2197" t="s">
        <v>119</v>
      </c>
      <c r="CQ2197">
        <v>179</v>
      </c>
      <c r="CR2197">
        <v>1</v>
      </c>
      <c r="CW2197">
        <v>8909455</v>
      </c>
      <c r="CY2197">
        <v>1</v>
      </c>
      <c r="CZ2197">
        <v>0</v>
      </c>
      <c r="DA2197">
        <v>1</v>
      </c>
      <c r="DB2197">
        <v>0</v>
      </c>
      <c r="DC2197">
        <v>0</v>
      </c>
      <c r="DD2197">
        <v>0</v>
      </c>
      <c r="DE2197">
        <v>0</v>
      </c>
      <c r="DF2197">
        <v>0</v>
      </c>
      <c r="DG2197">
        <v>0</v>
      </c>
      <c r="DH2197">
        <v>0</v>
      </c>
      <c r="DI2197">
        <v>0</v>
      </c>
    </row>
    <row r="2198" spans="1:113" x14ac:dyDescent="0.3">
      <c r="A2198" t="str">
        <f>"02/08/2021 20:26:10.073"</f>
        <v>02/08/2021 20:26:10.073</v>
      </c>
      <c r="C2198" t="str">
        <f t="shared" si="105"/>
        <v>FFDFD7C0</v>
      </c>
      <c r="D2198" t="s">
        <v>124</v>
      </c>
      <c r="E2198">
        <v>13</v>
      </c>
      <c r="F2198">
        <v>1013</v>
      </c>
      <c r="G2198" t="s">
        <v>114</v>
      </c>
      <c r="J2198" t="s">
        <v>125</v>
      </c>
      <c r="K2198">
        <v>0</v>
      </c>
      <c r="L2198">
        <v>3</v>
      </c>
      <c r="M2198">
        <v>0</v>
      </c>
      <c r="N2198">
        <v>2</v>
      </c>
      <c r="O2198">
        <v>1</v>
      </c>
      <c r="P2198">
        <v>0</v>
      </c>
      <c r="Q2198">
        <v>0</v>
      </c>
      <c r="S2198" t="str">
        <f>"20:26:12.398"</f>
        <v>20:26:12.398</v>
      </c>
      <c r="T2198" t="str">
        <f>"20:26:11.898"</f>
        <v>20:26:11.898</v>
      </c>
      <c r="U2198" t="str">
        <f t="shared" si="107"/>
        <v>AB01F4</v>
      </c>
      <c r="V2198">
        <v>0</v>
      </c>
      <c r="W2198">
        <v>0</v>
      </c>
      <c r="X2198">
        <v>2</v>
      </c>
      <c r="Z2198">
        <v>0</v>
      </c>
      <c r="AA2198">
        <v>9</v>
      </c>
      <c r="AB2198">
        <v>3</v>
      </c>
      <c r="AC2198">
        <v>0</v>
      </c>
      <c r="AD2198">
        <v>10</v>
      </c>
      <c r="AE2198">
        <v>0</v>
      </c>
      <c r="AF2198">
        <v>3</v>
      </c>
      <c r="AG2198">
        <v>2</v>
      </c>
      <c r="AH2198">
        <v>0</v>
      </c>
      <c r="AI2198" t="s">
        <v>1347</v>
      </c>
      <c r="AJ2198">
        <v>39.956995999999997</v>
      </c>
      <c r="AK2198" t="s">
        <v>1348</v>
      </c>
      <c r="AL2198">
        <v>-92.671200999999996</v>
      </c>
      <c r="AM2198">
        <v>100</v>
      </c>
      <c r="AN2198">
        <v>1700</v>
      </c>
      <c r="AO2198" t="s">
        <v>118</v>
      </c>
      <c r="AP2198">
        <v>-107</v>
      </c>
      <c r="AQ2198">
        <v>79</v>
      </c>
      <c r="AR2198">
        <v>-128</v>
      </c>
      <c r="AZ2198">
        <v>1200</v>
      </c>
      <c r="BA2198">
        <v>1</v>
      </c>
      <c r="BB2198" t="str">
        <f t="shared" si="106"/>
        <v xml:space="preserve">N8080G  </v>
      </c>
      <c r="BC2198">
        <v>1</v>
      </c>
      <c r="BE2198">
        <v>0</v>
      </c>
      <c r="BF2198">
        <v>0</v>
      </c>
      <c r="BG2198">
        <v>0</v>
      </c>
      <c r="BH2198">
        <v>1700</v>
      </c>
      <c r="BI2198">
        <v>1</v>
      </c>
      <c r="BJ2198">
        <v>1</v>
      </c>
      <c r="BK2198">
        <v>1</v>
      </c>
      <c r="BL2198">
        <v>0</v>
      </c>
      <c r="BO2198">
        <v>0</v>
      </c>
      <c r="BP2198">
        <v>0</v>
      </c>
      <c r="BW2198" t="str">
        <f>"20:26:12.403"</f>
        <v>20:26:12.403</v>
      </c>
      <c r="BZ2198">
        <v>0</v>
      </c>
      <c r="CA2198">
        <v>2016</v>
      </c>
      <c r="CB2198">
        <v>224</v>
      </c>
      <c r="CD2198">
        <v>1</v>
      </c>
      <c r="CE2198">
        <v>0</v>
      </c>
      <c r="CF2198">
        <v>0</v>
      </c>
      <c r="CG2198">
        <v>1</v>
      </c>
      <c r="CH2198">
        <v>0</v>
      </c>
      <c r="CI2198">
        <v>0</v>
      </c>
      <c r="CJ2198">
        <v>0</v>
      </c>
      <c r="CK2198">
        <v>2</v>
      </c>
      <c r="CL2198">
        <v>0</v>
      </c>
      <c r="CM2198">
        <v>2</v>
      </c>
      <c r="CN2198">
        <v>0</v>
      </c>
      <c r="CO2198">
        <v>2</v>
      </c>
      <c r="CP2198" t="s">
        <v>119</v>
      </c>
      <c r="CQ2198">
        <v>179</v>
      </c>
      <c r="CR2198">
        <v>1</v>
      </c>
      <c r="CW2198">
        <v>8909455</v>
      </c>
      <c r="CY2198">
        <v>1</v>
      </c>
      <c r="CZ2198">
        <v>0</v>
      </c>
      <c r="DA2198">
        <v>1</v>
      </c>
      <c r="DB2198">
        <v>0</v>
      </c>
      <c r="DC2198">
        <v>0</v>
      </c>
      <c r="DD2198">
        <v>0</v>
      </c>
      <c r="DE2198">
        <v>0</v>
      </c>
      <c r="DF2198">
        <v>0</v>
      </c>
      <c r="DG2198">
        <v>0</v>
      </c>
      <c r="DH2198">
        <v>0</v>
      </c>
      <c r="DI2198">
        <v>0</v>
      </c>
    </row>
    <row r="2199" spans="1:113" x14ac:dyDescent="0.3">
      <c r="A2199" t="str">
        <f>"02/08/2021 20:26:10.984"</f>
        <v>02/08/2021 20:26:10.984</v>
      </c>
      <c r="C2199" t="str">
        <f t="shared" si="105"/>
        <v>FFDFD7C0</v>
      </c>
      <c r="D2199" t="s">
        <v>124</v>
      </c>
      <c r="E2199">
        <v>11</v>
      </c>
      <c r="F2199">
        <v>1011</v>
      </c>
      <c r="G2199" t="s">
        <v>590</v>
      </c>
      <c r="J2199" t="s">
        <v>125</v>
      </c>
      <c r="K2199">
        <v>0</v>
      </c>
      <c r="L2199">
        <v>3</v>
      </c>
      <c r="M2199">
        <v>0</v>
      </c>
      <c r="N2199">
        <v>2</v>
      </c>
      <c r="O2199">
        <v>1</v>
      </c>
      <c r="P2199">
        <v>0</v>
      </c>
      <c r="Q2199">
        <v>0</v>
      </c>
      <c r="S2199" t="str">
        <f>"20:26:13.289"</f>
        <v>20:26:13.289</v>
      </c>
      <c r="T2199" t="str">
        <f>"20:26:12.889"</f>
        <v>20:26:12.889</v>
      </c>
      <c r="U2199" t="str">
        <f t="shared" si="107"/>
        <v>AB01F4</v>
      </c>
      <c r="V2199">
        <v>0</v>
      </c>
      <c r="W2199">
        <v>0</v>
      </c>
      <c r="X2199">
        <v>2</v>
      </c>
      <c r="Z2199">
        <v>0</v>
      </c>
      <c r="AA2199">
        <v>9</v>
      </c>
      <c r="AB2199">
        <v>3</v>
      </c>
      <c r="AC2199">
        <v>0</v>
      </c>
      <c r="AD2199">
        <v>10</v>
      </c>
      <c r="AE2199">
        <v>0</v>
      </c>
      <c r="AF2199">
        <v>3</v>
      </c>
      <c r="AG2199">
        <v>2</v>
      </c>
      <c r="AH2199">
        <v>0</v>
      </c>
      <c r="AI2199" t="s">
        <v>1349</v>
      </c>
      <c r="AJ2199">
        <v>39.957318000000001</v>
      </c>
      <c r="AK2199" t="s">
        <v>1350</v>
      </c>
      <c r="AL2199">
        <v>-92.671802</v>
      </c>
      <c r="AM2199">
        <v>100</v>
      </c>
      <c r="AN2199">
        <v>1700</v>
      </c>
      <c r="AO2199" t="s">
        <v>118</v>
      </c>
      <c r="AP2199">
        <v>-107</v>
      </c>
      <c r="AQ2199">
        <v>79</v>
      </c>
      <c r="AR2199">
        <v>-192</v>
      </c>
      <c r="AZ2199">
        <v>1200</v>
      </c>
      <c r="BA2199">
        <v>1</v>
      </c>
      <c r="BB2199" t="str">
        <f t="shared" si="106"/>
        <v xml:space="preserve">N8080G  </v>
      </c>
      <c r="BC2199">
        <v>1</v>
      </c>
      <c r="BE2199">
        <v>0</v>
      </c>
      <c r="BF2199">
        <v>0</v>
      </c>
      <c r="BG2199">
        <v>0</v>
      </c>
      <c r="BH2199">
        <v>1700</v>
      </c>
      <c r="BI2199">
        <v>1</v>
      </c>
      <c r="BJ2199">
        <v>1</v>
      </c>
      <c r="BK2199">
        <v>1</v>
      </c>
      <c r="BL2199">
        <v>0</v>
      </c>
      <c r="BO2199">
        <v>0</v>
      </c>
      <c r="BP2199">
        <v>0</v>
      </c>
      <c r="BW2199" t="str">
        <f>"20:26:13.289"</f>
        <v>20:26:13.289</v>
      </c>
      <c r="BZ2199">
        <v>0</v>
      </c>
      <c r="CA2199">
        <v>2016</v>
      </c>
      <c r="CB2199">
        <v>224</v>
      </c>
      <c r="CD2199">
        <v>1</v>
      </c>
      <c r="CE2199">
        <v>0</v>
      </c>
      <c r="CF2199">
        <v>0</v>
      </c>
      <c r="CG2199">
        <v>1</v>
      </c>
      <c r="CH2199">
        <v>0</v>
      </c>
      <c r="CI2199">
        <v>0</v>
      </c>
      <c r="CJ2199">
        <v>0</v>
      </c>
      <c r="CK2199">
        <v>2</v>
      </c>
      <c r="CL2199">
        <v>0</v>
      </c>
      <c r="CM2199">
        <v>2</v>
      </c>
      <c r="CN2199">
        <v>0</v>
      </c>
      <c r="CO2199">
        <v>7</v>
      </c>
      <c r="CP2199" t="s">
        <v>119</v>
      </c>
      <c r="CQ2199">
        <v>180</v>
      </c>
      <c r="CR2199">
        <v>2</v>
      </c>
      <c r="CW2199">
        <v>8467301</v>
      </c>
      <c r="CY2199">
        <v>1</v>
      </c>
      <c r="CZ2199">
        <v>0</v>
      </c>
      <c r="DA2199">
        <v>0</v>
      </c>
      <c r="DB2199">
        <v>0</v>
      </c>
      <c r="DC2199">
        <v>0</v>
      </c>
      <c r="DD2199">
        <v>0</v>
      </c>
      <c r="DE2199">
        <v>0</v>
      </c>
      <c r="DF2199">
        <v>0</v>
      </c>
      <c r="DG2199">
        <v>0</v>
      </c>
      <c r="DH2199">
        <v>0</v>
      </c>
      <c r="DI2199">
        <v>0</v>
      </c>
    </row>
    <row r="2200" spans="1:113" x14ac:dyDescent="0.3">
      <c r="A2200" t="str">
        <f>"02/08/2021 20:26:10.984"</f>
        <v>02/08/2021 20:26:10.984</v>
      </c>
      <c r="C2200" t="str">
        <f t="shared" si="105"/>
        <v>FFDFD7C0</v>
      </c>
      <c r="D2200" t="s">
        <v>113</v>
      </c>
      <c r="E2200">
        <v>6</v>
      </c>
      <c r="H2200">
        <v>165</v>
      </c>
      <c r="I2200" t="s">
        <v>114</v>
      </c>
      <c r="J2200" t="s">
        <v>115</v>
      </c>
      <c r="K2200">
        <v>0</v>
      </c>
      <c r="L2200">
        <v>3</v>
      </c>
      <c r="M2200">
        <v>0</v>
      </c>
      <c r="N2200">
        <v>2</v>
      </c>
      <c r="O2200">
        <v>1</v>
      </c>
      <c r="P2200">
        <v>0</v>
      </c>
      <c r="Q2200">
        <v>0</v>
      </c>
      <c r="S2200" t="str">
        <f>"20:26:13.289"</f>
        <v>20:26:13.289</v>
      </c>
      <c r="T2200" t="str">
        <f>"20:26:12.889"</f>
        <v>20:26:12.889</v>
      </c>
      <c r="U2200" t="str">
        <f t="shared" si="107"/>
        <v>AB01F4</v>
      </c>
      <c r="V2200">
        <v>0</v>
      </c>
      <c r="W2200">
        <v>0</v>
      </c>
      <c r="X2200">
        <v>2</v>
      </c>
      <c r="Z2200">
        <v>0</v>
      </c>
      <c r="AA2200">
        <v>9</v>
      </c>
      <c r="AB2200">
        <v>3</v>
      </c>
      <c r="AC2200">
        <v>0</v>
      </c>
      <c r="AD2200">
        <v>10</v>
      </c>
      <c r="AE2200">
        <v>0</v>
      </c>
      <c r="AF2200">
        <v>3</v>
      </c>
      <c r="AG2200">
        <v>2</v>
      </c>
      <c r="AH2200">
        <v>0</v>
      </c>
      <c r="AI2200" t="s">
        <v>1349</v>
      </c>
      <c r="AJ2200">
        <v>39.957318000000001</v>
      </c>
      <c r="AK2200" t="s">
        <v>1350</v>
      </c>
      <c r="AL2200">
        <v>-92.671802</v>
      </c>
      <c r="AM2200">
        <v>100</v>
      </c>
      <c r="AN2200">
        <v>1700</v>
      </c>
      <c r="AO2200" t="s">
        <v>118</v>
      </c>
      <c r="AP2200">
        <v>-107</v>
      </c>
      <c r="AQ2200">
        <v>79</v>
      </c>
      <c r="AR2200">
        <v>-192</v>
      </c>
      <c r="AZ2200">
        <v>1200</v>
      </c>
      <c r="BA2200">
        <v>1</v>
      </c>
      <c r="BB2200" t="str">
        <f t="shared" si="106"/>
        <v xml:space="preserve">N8080G  </v>
      </c>
      <c r="BC2200">
        <v>1</v>
      </c>
      <c r="BE2200">
        <v>0</v>
      </c>
      <c r="BF2200">
        <v>0</v>
      </c>
      <c r="BG2200">
        <v>0</v>
      </c>
      <c r="BH2200">
        <v>1700</v>
      </c>
      <c r="BI2200">
        <v>1</v>
      </c>
      <c r="BJ2200">
        <v>1</v>
      </c>
      <c r="BK2200">
        <v>1</v>
      </c>
      <c r="BL2200">
        <v>0</v>
      </c>
      <c r="BO2200">
        <v>0</v>
      </c>
      <c r="BP2200">
        <v>0</v>
      </c>
      <c r="BW2200" t="str">
        <f>"20:26:13.289"</f>
        <v>20:26:13.289</v>
      </c>
      <c r="BZ2200">
        <v>0</v>
      </c>
      <c r="CA2200">
        <v>2016</v>
      </c>
      <c r="CB2200">
        <v>224</v>
      </c>
      <c r="CD2200">
        <v>1</v>
      </c>
      <c r="CE2200">
        <v>0</v>
      </c>
      <c r="CF2200">
        <v>0</v>
      </c>
      <c r="CG2200">
        <v>1</v>
      </c>
      <c r="CH2200">
        <v>0</v>
      </c>
      <c r="CI2200">
        <v>0</v>
      </c>
      <c r="CJ2200">
        <v>0</v>
      </c>
      <c r="CK2200">
        <v>2</v>
      </c>
      <c r="CL2200">
        <v>0</v>
      </c>
      <c r="CM2200">
        <v>2</v>
      </c>
      <c r="CN2200">
        <v>0</v>
      </c>
      <c r="CO2200">
        <v>7</v>
      </c>
      <c r="CP2200" t="s">
        <v>119</v>
      </c>
      <c r="CQ2200">
        <v>180</v>
      </c>
      <c r="CR2200">
        <v>2</v>
      </c>
      <c r="CW2200">
        <v>8467301</v>
      </c>
      <c r="CY2200">
        <v>1</v>
      </c>
      <c r="CZ2200">
        <v>0</v>
      </c>
      <c r="DA2200">
        <v>1</v>
      </c>
      <c r="DB2200">
        <v>0</v>
      </c>
      <c r="DC2200">
        <v>0</v>
      </c>
      <c r="DD2200">
        <v>0</v>
      </c>
      <c r="DE2200">
        <v>0</v>
      </c>
      <c r="DF2200">
        <v>0</v>
      </c>
      <c r="DG2200">
        <v>0</v>
      </c>
      <c r="DH2200">
        <v>0</v>
      </c>
      <c r="DI2200">
        <v>0</v>
      </c>
    </row>
    <row r="2201" spans="1:113" x14ac:dyDescent="0.3">
      <c r="A2201" t="str">
        <f>"02/08/2021 20:26:10.984"</f>
        <v>02/08/2021 20:26:10.984</v>
      </c>
      <c r="C2201" t="str">
        <f t="shared" si="105"/>
        <v>FFDFD7C0</v>
      </c>
      <c r="D2201" t="s">
        <v>124</v>
      </c>
      <c r="E2201">
        <v>12</v>
      </c>
      <c r="F2201">
        <v>1012</v>
      </c>
      <c r="G2201" t="s">
        <v>675</v>
      </c>
      <c r="J2201" t="s">
        <v>125</v>
      </c>
      <c r="K2201">
        <v>0</v>
      </c>
      <c r="L2201">
        <v>3</v>
      </c>
      <c r="M2201">
        <v>0</v>
      </c>
      <c r="N2201">
        <v>2</v>
      </c>
      <c r="O2201">
        <v>1</v>
      </c>
      <c r="P2201">
        <v>0</v>
      </c>
      <c r="Q2201">
        <v>0</v>
      </c>
      <c r="S2201" t="str">
        <f>"20:26:13.289"</f>
        <v>20:26:13.289</v>
      </c>
      <c r="T2201" t="str">
        <f>"20:26:12.889"</f>
        <v>20:26:12.889</v>
      </c>
      <c r="U2201" t="str">
        <f t="shared" si="107"/>
        <v>AB01F4</v>
      </c>
      <c r="V2201">
        <v>0</v>
      </c>
      <c r="W2201">
        <v>0</v>
      </c>
      <c r="X2201">
        <v>2</v>
      </c>
      <c r="Z2201">
        <v>0</v>
      </c>
      <c r="AA2201">
        <v>9</v>
      </c>
      <c r="AB2201">
        <v>3</v>
      </c>
      <c r="AC2201">
        <v>0</v>
      </c>
      <c r="AD2201">
        <v>10</v>
      </c>
      <c r="AE2201">
        <v>0</v>
      </c>
      <c r="AF2201">
        <v>3</v>
      </c>
      <c r="AG2201">
        <v>2</v>
      </c>
      <c r="AH2201">
        <v>0</v>
      </c>
      <c r="AI2201" t="s">
        <v>1349</v>
      </c>
      <c r="AJ2201">
        <v>39.957318000000001</v>
      </c>
      <c r="AK2201" t="s">
        <v>1350</v>
      </c>
      <c r="AL2201">
        <v>-92.671802</v>
      </c>
      <c r="AM2201">
        <v>100</v>
      </c>
      <c r="AN2201">
        <v>1700</v>
      </c>
      <c r="AO2201" t="s">
        <v>118</v>
      </c>
      <c r="AP2201">
        <v>-107</v>
      </c>
      <c r="AQ2201">
        <v>79</v>
      </c>
      <c r="AR2201">
        <v>-192</v>
      </c>
      <c r="AZ2201">
        <v>1200</v>
      </c>
      <c r="BA2201">
        <v>1</v>
      </c>
      <c r="BB2201" t="str">
        <f t="shared" si="106"/>
        <v xml:space="preserve">N8080G  </v>
      </c>
      <c r="BC2201">
        <v>1</v>
      </c>
      <c r="BE2201">
        <v>0</v>
      </c>
      <c r="BF2201">
        <v>0</v>
      </c>
      <c r="BG2201">
        <v>0</v>
      </c>
      <c r="BH2201">
        <v>1700</v>
      </c>
      <c r="BI2201">
        <v>1</v>
      </c>
      <c r="BJ2201">
        <v>1</v>
      </c>
      <c r="BK2201">
        <v>1</v>
      </c>
      <c r="BL2201">
        <v>0</v>
      </c>
      <c r="BO2201">
        <v>0</v>
      </c>
      <c r="BP2201">
        <v>0</v>
      </c>
      <c r="BW2201" t="str">
        <f>"20:26:13.289"</f>
        <v>20:26:13.289</v>
      </c>
      <c r="BZ2201">
        <v>0</v>
      </c>
      <c r="CA2201">
        <v>2016</v>
      </c>
      <c r="CB2201">
        <v>224</v>
      </c>
      <c r="CD2201">
        <v>1</v>
      </c>
      <c r="CE2201">
        <v>0</v>
      </c>
      <c r="CF2201">
        <v>0</v>
      </c>
      <c r="CG2201">
        <v>1</v>
      </c>
      <c r="CH2201">
        <v>0</v>
      </c>
      <c r="CI2201">
        <v>0</v>
      </c>
      <c r="CJ2201">
        <v>0</v>
      </c>
      <c r="CK2201">
        <v>2</v>
      </c>
      <c r="CL2201">
        <v>0</v>
      </c>
      <c r="CM2201">
        <v>2</v>
      </c>
      <c r="CN2201">
        <v>0</v>
      </c>
      <c r="CO2201">
        <v>7</v>
      </c>
      <c r="CP2201" t="s">
        <v>119</v>
      </c>
      <c r="CQ2201">
        <v>180</v>
      </c>
      <c r="CR2201">
        <v>2</v>
      </c>
      <c r="CW2201">
        <v>8467301</v>
      </c>
      <c r="CY2201">
        <v>1</v>
      </c>
      <c r="CZ2201">
        <v>0</v>
      </c>
      <c r="DA2201">
        <v>1</v>
      </c>
      <c r="DB2201">
        <v>0</v>
      </c>
      <c r="DC2201">
        <v>0</v>
      </c>
      <c r="DD2201">
        <v>0</v>
      </c>
      <c r="DE2201">
        <v>0</v>
      </c>
      <c r="DF2201">
        <v>0</v>
      </c>
      <c r="DG2201">
        <v>0</v>
      </c>
      <c r="DH2201">
        <v>0</v>
      </c>
      <c r="DI2201">
        <v>0</v>
      </c>
    </row>
    <row r="2202" spans="1:113" x14ac:dyDescent="0.3">
      <c r="A2202" t="str">
        <f>"02/08/2021 20:26:10.984"</f>
        <v>02/08/2021 20:26:10.984</v>
      </c>
      <c r="C2202" t="str">
        <f t="shared" si="105"/>
        <v>FFDFD7C0</v>
      </c>
      <c r="D2202" t="s">
        <v>124</v>
      </c>
      <c r="E2202">
        <v>13</v>
      </c>
      <c r="F2202">
        <v>1013</v>
      </c>
      <c r="G2202" t="s">
        <v>114</v>
      </c>
      <c r="J2202" t="s">
        <v>125</v>
      </c>
      <c r="K2202">
        <v>0</v>
      </c>
      <c r="L2202">
        <v>3</v>
      </c>
      <c r="M2202">
        <v>0</v>
      </c>
      <c r="N2202">
        <v>2</v>
      </c>
      <c r="O2202">
        <v>1</v>
      </c>
      <c r="P2202">
        <v>0</v>
      </c>
      <c r="Q2202">
        <v>0</v>
      </c>
      <c r="S2202" t="str">
        <f>"20:26:13.289"</f>
        <v>20:26:13.289</v>
      </c>
      <c r="T2202" t="str">
        <f>"20:26:12.889"</f>
        <v>20:26:12.889</v>
      </c>
      <c r="U2202" t="str">
        <f t="shared" si="107"/>
        <v>AB01F4</v>
      </c>
      <c r="V2202">
        <v>0</v>
      </c>
      <c r="W2202">
        <v>0</v>
      </c>
      <c r="X2202">
        <v>2</v>
      </c>
      <c r="Z2202">
        <v>0</v>
      </c>
      <c r="AA2202">
        <v>9</v>
      </c>
      <c r="AB2202">
        <v>3</v>
      </c>
      <c r="AC2202">
        <v>0</v>
      </c>
      <c r="AD2202">
        <v>10</v>
      </c>
      <c r="AE2202">
        <v>0</v>
      </c>
      <c r="AF2202">
        <v>3</v>
      </c>
      <c r="AG2202">
        <v>2</v>
      </c>
      <c r="AH2202">
        <v>0</v>
      </c>
      <c r="AI2202" t="s">
        <v>1349</v>
      </c>
      <c r="AJ2202">
        <v>39.957318000000001</v>
      </c>
      <c r="AK2202" t="s">
        <v>1350</v>
      </c>
      <c r="AL2202">
        <v>-92.671802</v>
      </c>
      <c r="AM2202">
        <v>100</v>
      </c>
      <c r="AN2202">
        <v>1700</v>
      </c>
      <c r="AO2202" t="s">
        <v>118</v>
      </c>
      <c r="AP2202">
        <v>-107</v>
      </c>
      <c r="AQ2202">
        <v>79</v>
      </c>
      <c r="AR2202">
        <v>-192</v>
      </c>
      <c r="AZ2202">
        <v>1200</v>
      </c>
      <c r="BA2202">
        <v>1</v>
      </c>
      <c r="BB2202" t="str">
        <f t="shared" si="106"/>
        <v xml:space="preserve">N8080G  </v>
      </c>
      <c r="BC2202">
        <v>1</v>
      </c>
      <c r="BE2202">
        <v>0</v>
      </c>
      <c r="BF2202">
        <v>0</v>
      </c>
      <c r="BG2202">
        <v>0</v>
      </c>
      <c r="BH2202">
        <v>1700</v>
      </c>
      <c r="BI2202">
        <v>1</v>
      </c>
      <c r="BJ2202">
        <v>1</v>
      </c>
      <c r="BK2202">
        <v>1</v>
      </c>
      <c r="BL2202">
        <v>0</v>
      </c>
      <c r="BO2202">
        <v>0</v>
      </c>
      <c r="BP2202">
        <v>0</v>
      </c>
      <c r="BW2202" t="str">
        <f>"20:26:13.289"</f>
        <v>20:26:13.289</v>
      </c>
      <c r="BZ2202">
        <v>0</v>
      </c>
      <c r="CA2202">
        <v>2016</v>
      </c>
      <c r="CB2202">
        <v>224</v>
      </c>
      <c r="CD2202">
        <v>1</v>
      </c>
      <c r="CE2202">
        <v>0</v>
      </c>
      <c r="CF2202">
        <v>0</v>
      </c>
      <c r="CG2202">
        <v>1</v>
      </c>
      <c r="CH2202">
        <v>0</v>
      </c>
      <c r="CI2202">
        <v>0</v>
      </c>
      <c r="CJ2202">
        <v>0</v>
      </c>
      <c r="CK2202">
        <v>2</v>
      </c>
      <c r="CL2202">
        <v>0</v>
      </c>
      <c r="CM2202">
        <v>2</v>
      </c>
      <c r="CN2202">
        <v>0</v>
      </c>
      <c r="CO2202">
        <v>7</v>
      </c>
      <c r="CP2202" t="s">
        <v>119</v>
      </c>
      <c r="CQ2202">
        <v>180</v>
      </c>
      <c r="CR2202">
        <v>2</v>
      </c>
      <c r="CW2202">
        <v>8467301</v>
      </c>
      <c r="CY2202">
        <v>1</v>
      </c>
      <c r="CZ2202">
        <v>0</v>
      </c>
      <c r="DA2202">
        <v>1</v>
      </c>
      <c r="DB2202">
        <v>0</v>
      </c>
      <c r="DC2202">
        <v>0</v>
      </c>
      <c r="DD2202">
        <v>0</v>
      </c>
      <c r="DE2202">
        <v>0</v>
      </c>
      <c r="DF2202">
        <v>0</v>
      </c>
      <c r="DG2202">
        <v>0</v>
      </c>
      <c r="DH2202">
        <v>0</v>
      </c>
      <c r="DI2202">
        <v>0</v>
      </c>
    </row>
    <row r="2203" spans="1:113" x14ac:dyDescent="0.3">
      <c r="A2203" t="str">
        <f>"02/08/2021 20:26:12.094"</f>
        <v>02/08/2021 20:26:12.094</v>
      </c>
      <c r="C2203" t="str">
        <f t="shared" si="105"/>
        <v>FFDFD7C0</v>
      </c>
      <c r="D2203" t="s">
        <v>124</v>
      </c>
      <c r="E2203">
        <v>11</v>
      </c>
      <c r="F2203">
        <v>1011</v>
      </c>
      <c r="G2203" t="s">
        <v>590</v>
      </c>
      <c r="J2203" t="s">
        <v>125</v>
      </c>
      <c r="K2203">
        <v>0</v>
      </c>
      <c r="L2203">
        <v>3</v>
      </c>
      <c r="M2203">
        <v>0</v>
      </c>
      <c r="N2203">
        <v>2</v>
      </c>
      <c r="O2203">
        <v>1</v>
      </c>
      <c r="P2203">
        <v>0</v>
      </c>
      <c r="Q2203">
        <v>0</v>
      </c>
      <c r="S2203" t="str">
        <f>"20:26:14.406"</f>
        <v>20:26:14.406</v>
      </c>
      <c r="T2203" t="str">
        <f>"20:26:13.906"</f>
        <v>20:26:13.906</v>
      </c>
      <c r="U2203" t="str">
        <f t="shared" si="107"/>
        <v>AB01F4</v>
      </c>
      <c r="V2203">
        <v>0</v>
      </c>
      <c r="W2203">
        <v>0</v>
      </c>
      <c r="X2203">
        <v>2</v>
      </c>
      <c r="Z2203">
        <v>0</v>
      </c>
      <c r="AA2203">
        <v>9</v>
      </c>
      <c r="AB2203">
        <v>3</v>
      </c>
      <c r="AC2203">
        <v>0</v>
      </c>
      <c r="AD2203">
        <v>10</v>
      </c>
      <c r="AE2203">
        <v>0</v>
      </c>
      <c r="AF2203">
        <v>3</v>
      </c>
      <c r="AG2203">
        <v>2</v>
      </c>
      <c r="AH2203">
        <v>0</v>
      </c>
      <c r="AI2203" t="s">
        <v>1351</v>
      </c>
      <c r="AJ2203">
        <v>39.957726000000001</v>
      </c>
      <c r="AK2203" t="s">
        <v>1352</v>
      </c>
      <c r="AL2203">
        <v>-92.672552999999994</v>
      </c>
      <c r="AM2203">
        <v>100</v>
      </c>
      <c r="AN2203">
        <v>1700</v>
      </c>
      <c r="AO2203" t="s">
        <v>118</v>
      </c>
      <c r="AP2203">
        <v>-107</v>
      </c>
      <c r="AQ2203">
        <v>79</v>
      </c>
      <c r="AR2203">
        <v>-256</v>
      </c>
      <c r="AZ2203">
        <v>1200</v>
      </c>
      <c r="BA2203">
        <v>1</v>
      </c>
      <c r="BB2203" t="str">
        <f t="shared" si="106"/>
        <v xml:space="preserve">N8080G  </v>
      </c>
      <c r="BC2203">
        <v>1</v>
      </c>
      <c r="BE2203">
        <v>0</v>
      </c>
      <c r="BF2203">
        <v>0</v>
      </c>
      <c r="BG2203">
        <v>0</v>
      </c>
      <c r="BH2203">
        <v>1700</v>
      </c>
      <c r="BI2203">
        <v>1</v>
      </c>
      <c r="BJ2203">
        <v>1</v>
      </c>
      <c r="BK2203">
        <v>1</v>
      </c>
      <c r="BL2203">
        <v>0</v>
      </c>
      <c r="BO2203">
        <v>0</v>
      </c>
      <c r="BP2203">
        <v>0</v>
      </c>
      <c r="BW2203" t="str">
        <f>"20:26:14.410"</f>
        <v>20:26:14.410</v>
      </c>
      <c r="BZ2203">
        <v>0</v>
      </c>
      <c r="CA2203">
        <v>2016</v>
      </c>
      <c r="CB2203">
        <v>224</v>
      </c>
      <c r="CD2203">
        <v>1</v>
      </c>
      <c r="CE2203">
        <v>0</v>
      </c>
      <c r="CF2203">
        <v>0</v>
      </c>
      <c r="CG2203">
        <v>1</v>
      </c>
      <c r="CH2203">
        <v>0</v>
      </c>
      <c r="CI2203">
        <v>0</v>
      </c>
      <c r="CJ2203">
        <v>0</v>
      </c>
      <c r="CK2203">
        <v>2</v>
      </c>
      <c r="CL2203">
        <v>0</v>
      </c>
      <c r="CM2203">
        <v>2</v>
      </c>
      <c r="CN2203">
        <v>0</v>
      </c>
      <c r="CO2203">
        <v>2</v>
      </c>
      <c r="CP2203" t="s">
        <v>119</v>
      </c>
      <c r="CQ2203">
        <v>179</v>
      </c>
      <c r="CR2203">
        <v>1</v>
      </c>
      <c r="CW2203">
        <v>8911299</v>
      </c>
      <c r="CY2203">
        <v>1</v>
      </c>
      <c r="CZ2203">
        <v>0</v>
      </c>
      <c r="DA2203">
        <v>0</v>
      </c>
      <c r="DB2203">
        <v>0</v>
      </c>
      <c r="DC2203">
        <v>0</v>
      </c>
      <c r="DD2203">
        <v>0</v>
      </c>
      <c r="DE2203">
        <v>0</v>
      </c>
      <c r="DF2203">
        <v>0</v>
      </c>
      <c r="DG2203">
        <v>0</v>
      </c>
      <c r="DH2203">
        <v>0</v>
      </c>
      <c r="DI2203">
        <v>0</v>
      </c>
    </row>
    <row r="2204" spans="1:113" x14ac:dyDescent="0.3">
      <c r="A2204" t="str">
        <f>"02/08/2021 20:26:12.094"</f>
        <v>02/08/2021 20:26:12.094</v>
      </c>
      <c r="C2204" t="str">
        <f t="shared" si="105"/>
        <v>FFDFD7C0</v>
      </c>
      <c r="D2204" t="s">
        <v>124</v>
      </c>
      <c r="E2204">
        <v>12</v>
      </c>
      <c r="F2204">
        <v>1012</v>
      </c>
      <c r="G2204" t="s">
        <v>675</v>
      </c>
      <c r="J2204" t="s">
        <v>125</v>
      </c>
      <c r="K2204">
        <v>0</v>
      </c>
      <c r="L2204">
        <v>3</v>
      </c>
      <c r="M2204">
        <v>0</v>
      </c>
      <c r="N2204">
        <v>2</v>
      </c>
      <c r="O2204">
        <v>1</v>
      </c>
      <c r="P2204">
        <v>0</v>
      </c>
      <c r="Q2204">
        <v>0</v>
      </c>
      <c r="S2204" t="str">
        <f>"20:26:14.406"</f>
        <v>20:26:14.406</v>
      </c>
      <c r="T2204" t="str">
        <f>"20:26:13.906"</f>
        <v>20:26:13.906</v>
      </c>
      <c r="U2204" t="str">
        <f t="shared" si="107"/>
        <v>AB01F4</v>
      </c>
      <c r="V2204">
        <v>0</v>
      </c>
      <c r="W2204">
        <v>0</v>
      </c>
      <c r="X2204">
        <v>2</v>
      </c>
      <c r="Z2204">
        <v>0</v>
      </c>
      <c r="AA2204">
        <v>9</v>
      </c>
      <c r="AB2204">
        <v>3</v>
      </c>
      <c r="AC2204">
        <v>0</v>
      </c>
      <c r="AD2204">
        <v>10</v>
      </c>
      <c r="AE2204">
        <v>0</v>
      </c>
      <c r="AF2204">
        <v>3</v>
      </c>
      <c r="AG2204">
        <v>2</v>
      </c>
      <c r="AH2204">
        <v>0</v>
      </c>
      <c r="AI2204" t="s">
        <v>1351</v>
      </c>
      <c r="AJ2204">
        <v>39.957726000000001</v>
      </c>
      <c r="AK2204" t="s">
        <v>1352</v>
      </c>
      <c r="AL2204">
        <v>-92.672552999999994</v>
      </c>
      <c r="AM2204">
        <v>100</v>
      </c>
      <c r="AN2204">
        <v>1700</v>
      </c>
      <c r="AO2204" t="s">
        <v>118</v>
      </c>
      <c r="AP2204">
        <v>-107</v>
      </c>
      <c r="AQ2204">
        <v>79</v>
      </c>
      <c r="AR2204">
        <v>-256</v>
      </c>
      <c r="AZ2204">
        <v>1200</v>
      </c>
      <c r="BA2204">
        <v>1</v>
      </c>
      <c r="BB2204" t="str">
        <f t="shared" si="106"/>
        <v xml:space="preserve">N8080G  </v>
      </c>
      <c r="BC2204">
        <v>1</v>
      </c>
      <c r="BE2204">
        <v>0</v>
      </c>
      <c r="BF2204">
        <v>0</v>
      </c>
      <c r="BG2204">
        <v>0</v>
      </c>
      <c r="BH2204">
        <v>1700</v>
      </c>
      <c r="BI2204">
        <v>1</v>
      </c>
      <c r="BJ2204">
        <v>1</v>
      </c>
      <c r="BK2204">
        <v>1</v>
      </c>
      <c r="BL2204">
        <v>0</v>
      </c>
      <c r="BO2204">
        <v>0</v>
      </c>
      <c r="BP2204">
        <v>0</v>
      </c>
      <c r="BW2204" t="str">
        <f>"20:26:14.410"</f>
        <v>20:26:14.410</v>
      </c>
      <c r="BZ2204">
        <v>0</v>
      </c>
      <c r="CA2204">
        <v>2016</v>
      </c>
      <c r="CB2204">
        <v>224</v>
      </c>
      <c r="CD2204">
        <v>1</v>
      </c>
      <c r="CE2204">
        <v>0</v>
      </c>
      <c r="CF2204">
        <v>0</v>
      </c>
      <c r="CG2204">
        <v>1</v>
      </c>
      <c r="CH2204">
        <v>0</v>
      </c>
      <c r="CI2204">
        <v>0</v>
      </c>
      <c r="CJ2204">
        <v>0</v>
      </c>
      <c r="CK2204">
        <v>2</v>
      </c>
      <c r="CL2204">
        <v>0</v>
      </c>
      <c r="CM2204">
        <v>2</v>
      </c>
      <c r="CN2204">
        <v>0</v>
      </c>
      <c r="CO2204">
        <v>2</v>
      </c>
      <c r="CP2204" t="s">
        <v>119</v>
      </c>
      <c r="CQ2204">
        <v>179</v>
      </c>
      <c r="CR2204">
        <v>1</v>
      </c>
      <c r="CW2204">
        <v>8911299</v>
      </c>
      <c r="CY2204">
        <v>1</v>
      </c>
      <c r="CZ2204">
        <v>0</v>
      </c>
      <c r="DA2204">
        <v>1</v>
      </c>
      <c r="DB2204">
        <v>0</v>
      </c>
      <c r="DC2204">
        <v>0</v>
      </c>
      <c r="DD2204">
        <v>0</v>
      </c>
      <c r="DE2204">
        <v>0</v>
      </c>
      <c r="DF2204">
        <v>0</v>
      </c>
      <c r="DG2204">
        <v>0</v>
      </c>
      <c r="DH2204">
        <v>0</v>
      </c>
      <c r="DI2204">
        <v>0</v>
      </c>
    </row>
    <row r="2205" spans="1:113" x14ac:dyDescent="0.3">
      <c r="A2205" t="str">
        <f>"02/08/2021 20:26:12.094"</f>
        <v>02/08/2021 20:26:12.094</v>
      </c>
      <c r="C2205" t="str">
        <f t="shared" si="105"/>
        <v>FFDFD7C0</v>
      </c>
      <c r="D2205" t="s">
        <v>113</v>
      </c>
      <c r="E2205">
        <v>6</v>
      </c>
      <c r="H2205">
        <v>165</v>
      </c>
      <c r="I2205" t="s">
        <v>114</v>
      </c>
      <c r="J2205" t="s">
        <v>115</v>
      </c>
      <c r="K2205">
        <v>0</v>
      </c>
      <c r="L2205">
        <v>3</v>
      </c>
      <c r="M2205">
        <v>0</v>
      </c>
      <c r="N2205">
        <v>2</v>
      </c>
      <c r="O2205">
        <v>1</v>
      </c>
      <c r="P2205">
        <v>0</v>
      </c>
      <c r="Q2205">
        <v>0</v>
      </c>
      <c r="S2205" t="str">
        <f>"20:26:14.406"</f>
        <v>20:26:14.406</v>
      </c>
      <c r="T2205" t="str">
        <f>"20:26:13.906"</f>
        <v>20:26:13.906</v>
      </c>
      <c r="U2205" t="str">
        <f t="shared" si="107"/>
        <v>AB01F4</v>
      </c>
      <c r="V2205">
        <v>0</v>
      </c>
      <c r="W2205">
        <v>0</v>
      </c>
      <c r="X2205">
        <v>2</v>
      </c>
      <c r="Z2205">
        <v>0</v>
      </c>
      <c r="AA2205">
        <v>9</v>
      </c>
      <c r="AB2205">
        <v>3</v>
      </c>
      <c r="AC2205">
        <v>0</v>
      </c>
      <c r="AD2205">
        <v>10</v>
      </c>
      <c r="AE2205">
        <v>0</v>
      </c>
      <c r="AF2205">
        <v>3</v>
      </c>
      <c r="AG2205">
        <v>2</v>
      </c>
      <c r="AH2205">
        <v>0</v>
      </c>
      <c r="AI2205" t="s">
        <v>1351</v>
      </c>
      <c r="AJ2205">
        <v>39.957726000000001</v>
      </c>
      <c r="AK2205" t="s">
        <v>1352</v>
      </c>
      <c r="AL2205">
        <v>-92.672552999999994</v>
      </c>
      <c r="AM2205">
        <v>100</v>
      </c>
      <c r="AN2205">
        <v>1700</v>
      </c>
      <c r="AO2205" t="s">
        <v>118</v>
      </c>
      <c r="AP2205">
        <v>-107</v>
      </c>
      <c r="AQ2205">
        <v>79</v>
      </c>
      <c r="AR2205">
        <v>-256</v>
      </c>
      <c r="AZ2205">
        <v>1200</v>
      </c>
      <c r="BA2205">
        <v>1</v>
      </c>
      <c r="BB2205" t="str">
        <f t="shared" si="106"/>
        <v xml:space="preserve">N8080G  </v>
      </c>
      <c r="BC2205">
        <v>1</v>
      </c>
      <c r="BE2205">
        <v>0</v>
      </c>
      <c r="BF2205">
        <v>0</v>
      </c>
      <c r="BG2205">
        <v>0</v>
      </c>
      <c r="BH2205">
        <v>1700</v>
      </c>
      <c r="BI2205">
        <v>1</v>
      </c>
      <c r="BJ2205">
        <v>1</v>
      </c>
      <c r="BK2205">
        <v>1</v>
      </c>
      <c r="BL2205">
        <v>0</v>
      </c>
      <c r="BO2205">
        <v>0</v>
      </c>
      <c r="BP2205">
        <v>0</v>
      </c>
      <c r="BW2205" t="str">
        <f>"20:26:14.410"</f>
        <v>20:26:14.410</v>
      </c>
      <c r="BZ2205">
        <v>0</v>
      </c>
      <c r="CA2205">
        <v>2016</v>
      </c>
      <c r="CB2205">
        <v>224</v>
      </c>
      <c r="CD2205">
        <v>1</v>
      </c>
      <c r="CE2205">
        <v>0</v>
      </c>
      <c r="CF2205">
        <v>0</v>
      </c>
      <c r="CG2205">
        <v>1</v>
      </c>
      <c r="CH2205">
        <v>0</v>
      </c>
      <c r="CI2205">
        <v>0</v>
      </c>
      <c r="CJ2205">
        <v>0</v>
      </c>
      <c r="CK2205">
        <v>2</v>
      </c>
      <c r="CL2205">
        <v>0</v>
      </c>
      <c r="CM2205">
        <v>2</v>
      </c>
      <c r="CN2205">
        <v>0</v>
      </c>
      <c r="CO2205">
        <v>2</v>
      </c>
      <c r="CP2205" t="s">
        <v>119</v>
      </c>
      <c r="CQ2205">
        <v>179</v>
      </c>
      <c r="CR2205">
        <v>1</v>
      </c>
      <c r="CW2205">
        <v>8911299</v>
      </c>
      <c r="CY2205">
        <v>1</v>
      </c>
      <c r="CZ2205">
        <v>0</v>
      </c>
      <c r="DA2205">
        <v>1</v>
      </c>
      <c r="DB2205">
        <v>0</v>
      </c>
      <c r="DC2205">
        <v>0</v>
      </c>
      <c r="DD2205">
        <v>0</v>
      </c>
      <c r="DE2205">
        <v>0</v>
      </c>
      <c r="DF2205">
        <v>0</v>
      </c>
      <c r="DG2205">
        <v>0</v>
      </c>
      <c r="DH2205">
        <v>0</v>
      </c>
      <c r="DI2205">
        <v>0</v>
      </c>
    </row>
    <row r="2206" spans="1:113" x14ac:dyDescent="0.3">
      <c r="A2206" t="str">
        <f>"02/08/2021 20:26:12.094"</f>
        <v>02/08/2021 20:26:12.094</v>
      </c>
      <c r="C2206" t="str">
        <f t="shared" si="105"/>
        <v>FFDFD7C0</v>
      </c>
      <c r="D2206" t="s">
        <v>124</v>
      </c>
      <c r="E2206">
        <v>13</v>
      </c>
      <c r="F2206">
        <v>1013</v>
      </c>
      <c r="G2206" t="s">
        <v>114</v>
      </c>
      <c r="J2206" t="s">
        <v>125</v>
      </c>
      <c r="K2206">
        <v>0</v>
      </c>
      <c r="L2206">
        <v>3</v>
      </c>
      <c r="M2206">
        <v>0</v>
      </c>
      <c r="N2206">
        <v>2</v>
      </c>
      <c r="O2206">
        <v>1</v>
      </c>
      <c r="P2206">
        <v>0</v>
      </c>
      <c r="Q2206">
        <v>0</v>
      </c>
      <c r="S2206" t="str">
        <f>"20:26:14.406"</f>
        <v>20:26:14.406</v>
      </c>
      <c r="T2206" t="str">
        <f>"20:26:13.906"</f>
        <v>20:26:13.906</v>
      </c>
      <c r="U2206" t="str">
        <f t="shared" si="107"/>
        <v>AB01F4</v>
      </c>
      <c r="V2206">
        <v>0</v>
      </c>
      <c r="W2206">
        <v>0</v>
      </c>
      <c r="X2206">
        <v>2</v>
      </c>
      <c r="Z2206">
        <v>0</v>
      </c>
      <c r="AA2206">
        <v>9</v>
      </c>
      <c r="AB2206">
        <v>3</v>
      </c>
      <c r="AC2206">
        <v>0</v>
      </c>
      <c r="AD2206">
        <v>10</v>
      </c>
      <c r="AE2206">
        <v>0</v>
      </c>
      <c r="AF2206">
        <v>3</v>
      </c>
      <c r="AG2206">
        <v>2</v>
      </c>
      <c r="AH2206">
        <v>0</v>
      </c>
      <c r="AI2206" t="s">
        <v>1351</v>
      </c>
      <c r="AJ2206">
        <v>39.957726000000001</v>
      </c>
      <c r="AK2206" t="s">
        <v>1352</v>
      </c>
      <c r="AL2206">
        <v>-92.672552999999994</v>
      </c>
      <c r="AM2206">
        <v>100</v>
      </c>
      <c r="AN2206">
        <v>1700</v>
      </c>
      <c r="AO2206" t="s">
        <v>118</v>
      </c>
      <c r="AP2206">
        <v>-107</v>
      </c>
      <c r="AQ2206">
        <v>79</v>
      </c>
      <c r="AR2206">
        <v>-256</v>
      </c>
      <c r="AZ2206">
        <v>1200</v>
      </c>
      <c r="BA2206">
        <v>1</v>
      </c>
      <c r="BB2206" t="str">
        <f t="shared" si="106"/>
        <v xml:space="preserve">N8080G  </v>
      </c>
      <c r="BC2206">
        <v>1</v>
      </c>
      <c r="BE2206">
        <v>0</v>
      </c>
      <c r="BF2206">
        <v>0</v>
      </c>
      <c r="BG2206">
        <v>0</v>
      </c>
      <c r="BH2206">
        <v>1700</v>
      </c>
      <c r="BI2206">
        <v>1</v>
      </c>
      <c r="BJ2206">
        <v>1</v>
      </c>
      <c r="BK2206">
        <v>1</v>
      </c>
      <c r="BL2206">
        <v>0</v>
      </c>
      <c r="BO2206">
        <v>0</v>
      </c>
      <c r="BP2206">
        <v>0</v>
      </c>
      <c r="BW2206" t="str">
        <f>"20:26:14.410"</f>
        <v>20:26:14.410</v>
      </c>
      <c r="BZ2206">
        <v>0</v>
      </c>
      <c r="CA2206">
        <v>2016</v>
      </c>
      <c r="CB2206">
        <v>224</v>
      </c>
      <c r="CD2206">
        <v>1</v>
      </c>
      <c r="CE2206">
        <v>0</v>
      </c>
      <c r="CF2206">
        <v>0</v>
      </c>
      <c r="CG2206">
        <v>1</v>
      </c>
      <c r="CH2206">
        <v>0</v>
      </c>
      <c r="CI2206">
        <v>0</v>
      </c>
      <c r="CJ2206">
        <v>0</v>
      </c>
      <c r="CK2206">
        <v>2</v>
      </c>
      <c r="CL2206">
        <v>0</v>
      </c>
      <c r="CM2206">
        <v>2</v>
      </c>
      <c r="CN2206">
        <v>0</v>
      </c>
      <c r="CO2206">
        <v>2</v>
      </c>
      <c r="CP2206" t="s">
        <v>119</v>
      </c>
      <c r="CQ2206">
        <v>179</v>
      </c>
      <c r="CR2206">
        <v>1</v>
      </c>
      <c r="CW2206">
        <v>8911299</v>
      </c>
      <c r="CY2206">
        <v>1</v>
      </c>
      <c r="CZ2206">
        <v>0</v>
      </c>
      <c r="DA2206">
        <v>1</v>
      </c>
      <c r="DB2206">
        <v>0</v>
      </c>
      <c r="DC2206">
        <v>0</v>
      </c>
      <c r="DD2206">
        <v>0</v>
      </c>
      <c r="DE2206">
        <v>0</v>
      </c>
      <c r="DF2206">
        <v>0</v>
      </c>
      <c r="DG2206">
        <v>0</v>
      </c>
      <c r="DH2206">
        <v>0</v>
      </c>
      <c r="DI2206">
        <v>0</v>
      </c>
    </row>
    <row r="2207" spans="1:113" x14ac:dyDescent="0.3">
      <c r="A2207" t="str">
        <f>"02/08/2021 20:26:13.000"</f>
        <v>02/08/2021 20:26:13.000</v>
      </c>
      <c r="C2207" t="str">
        <f t="shared" si="105"/>
        <v>FFDFD7C0</v>
      </c>
      <c r="D2207" t="s">
        <v>124</v>
      </c>
      <c r="E2207">
        <v>12</v>
      </c>
      <c r="F2207">
        <v>1012</v>
      </c>
      <c r="G2207" t="s">
        <v>675</v>
      </c>
      <c r="J2207" t="s">
        <v>125</v>
      </c>
      <c r="K2207">
        <v>0</v>
      </c>
      <c r="L2207">
        <v>3</v>
      </c>
      <c r="M2207">
        <v>0</v>
      </c>
      <c r="N2207">
        <v>2</v>
      </c>
      <c r="O2207">
        <v>1</v>
      </c>
      <c r="P2207">
        <v>0</v>
      </c>
      <c r="Q2207">
        <v>0</v>
      </c>
      <c r="S2207" t="str">
        <f>"20:26:15.313"</f>
        <v>20:26:15.313</v>
      </c>
      <c r="T2207" t="str">
        <f>"20:26:14.913"</f>
        <v>20:26:14.913</v>
      </c>
      <c r="U2207" t="str">
        <f t="shared" si="107"/>
        <v>AB01F4</v>
      </c>
      <c r="V2207">
        <v>0</v>
      </c>
      <c r="W2207">
        <v>0</v>
      </c>
      <c r="X2207">
        <v>2</v>
      </c>
      <c r="Z2207">
        <v>0</v>
      </c>
      <c r="AA2207">
        <v>9</v>
      </c>
      <c r="AB2207">
        <v>3</v>
      </c>
      <c r="AC2207">
        <v>0</v>
      </c>
      <c r="AD2207">
        <v>10</v>
      </c>
      <c r="AE2207">
        <v>0</v>
      </c>
      <c r="AF2207">
        <v>3</v>
      </c>
      <c r="AG2207">
        <v>2</v>
      </c>
      <c r="AH2207">
        <v>0</v>
      </c>
      <c r="AI2207" t="s">
        <v>1353</v>
      </c>
      <c r="AJ2207">
        <v>39.958069000000002</v>
      </c>
      <c r="AK2207" t="s">
        <v>1354</v>
      </c>
      <c r="AL2207">
        <v>-92.673111000000006</v>
      </c>
      <c r="AM2207">
        <v>100</v>
      </c>
      <c r="AN2207">
        <v>1700</v>
      </c>
      <c r="AO2207" t="s">
        <v>118</v>
      </c>
      <c r="AP2207">
        <v>-107</v>
      </c>
      <c r="AQ2207">
        <v>79</v>
      </c>
      <c r="AR2207">
        <v>-256</v>
      </c>
      <c r="AZ2207">
        <v>1200</v>
      </c>
      <c r="BA2207">
        <v>1</v>
      </c>
      <c r="BB2207" t="str">
        <f t="shared" si="106"/>
        <v xml:space="preserve">N8080G  </v>
      </c>
      <c r="BC2207">
        <v>1</v>
      </c>
      <c r="BE2207">
        <v>0</v>
      </c>
      <c r="BF2207">
        <v>0</v>
      </c>
      <c r="BG2207">
        <v>0</v>
      </c>
      <c r="BH2207">
        <v>1700</v>
      </c>
      <c r="BI2207">
        <v>1</v>
      </c>
      <c r="BJ2207">
        <v>1</v>
      </c>
      <c r="BK2207">
        <v>1</v>
      </c>
      <c r="BL2207">
        <v>0</v>
      </c>
      <c r="BO2207">
        <v>0</v>
      </c>
      <c r="BP2207">
        <v>0</v>
      </c>
      <c r="BW2207" t="str">
        <f>"20:26:15.316"</f>
        <v>20:26:15.316</v>
      </c>
      <c r="BZ2207">
        <v>0</v>
      </c>
      <c r="CA2207">
        <v>2016</v>
      </c>
      <c r="CB2207">
        <v>224</v>
      </c>
      <c r="CD2207">
        <v>1</v>
      </c>
      <c r="CE2207">
        <v>0</v>
      </c>
      <c r="CF2207">
        <v>0</v>
      </c>
      <c r="CG2207">
        <v>1</v>
      </c>
      <c r="CH2207">
        <v>0</v>
      </c>
      <c r="CI2207">
        <v>0</v>
      </c>
      <c r="CJ2207">
        <v>0</v>
      </c>
      <c r="CK2207">
        <v>2</v>
      </c>
      <c r="CL2207">
        <v>0</v>
      </c>
      <c r="CM2207">
        <v>2</v>
      </c>
      <c r="CN2207">
        <v>0</v>
      </c>
      <c r="CO2207">
        <v>2</v>
      </c>
      <c r="CP2207" t="s">
        <v>119</v>
      </c>
      <c r="CQ2207">
        <v>179</v>
      </c>
      <c r="CR2207">
        <v>1</v>
      </c>
      <c r="CW2207">
        <v>8912084</v>
      </c>
      <c r="CY2207">
        <v>1</v>
      </c>
      <c r="CZ2207">
        <v>0</v>
      </c>
      <c r="DA2207">
        <v>0</v>
      </c>
      <c r="DB2207">
        <v>0</v>
      </c>
      <c r="DC2207">
        <v>0</v>
      </c>
      <c r="DD2207">
        <v>0</v>
      </c>
      <c r="DE2207">
        <v>0</v>
      </c>
      <c r="DF2207">
        <v>0</v>
      </c>
      <c r="DG2207">
        <v>0</v>
      </c>
      <c r="DH2207">
        <v>0</v>
      </c>
      <c r="DI2207">
        <v>0</v>
      </c>
    </row>
    <row r="2208" spans="1:113" x14ac:dyDescent="0.3">
      <c r="A2208" t="str">
        <f>"02/08/2021 20:26:13.000"</f>
        <v>02/08/2021 20:26:13.000</v>
      </c>
      <c r="C2208" t="str">
        <f t="shared" si="105"/>
        <v>FFDFD7C0</v>
      </c>
      <c r="D2208" t="s">
        <v>124</v>
      </c>
      <c r="E2208">
        <v>11</v>
      </c>
      <c r="F2208">
        <v>1011</v>
      </c>
      <c r="G2208" t="s">
        <v>590</v>
      </c>
      <c r="J2208" t="s">
        <v>125</v>
      </c>
      <c r="K2208">
        <v>0</v>
      </c>
      <c r="L2208">
        <v>3</v>
      </c>
      <c r="M2208">
        <v>0</v>
      </c>
      <c r="N2208">
        <v>2</v>
      </c>
      <c r="O2208">
        <v>1</v>
      </c>
      <c r="P2208">
        <v>0</v>
      </c>
      <c r="Q2208">
        <v>0</v>
      </c>
      <c r="S2208" t="str">
        <f>"20:26:15.313"</f>
        <v>20:26:15.313</v>
      </c>
      <c r="T2208" t="str">
        <f>"20:26:14.913"</f>
        <v>20:26:14.913</v>
      </c>
      <c r="U2208" t="str">
        <f t="shared" si="107"/>
        <v>AB01F4</v>
      </c>
      <c r="V2208">
        <v>0</v>
      </c>
      <c r="W2208">
        <v>0</v>
      </c>
      <c r="X2208">
        <v>2</v>
      </c>
      <c r="Z2208">
        <v>0</v>
      </c>
      <c r="AA2208">
        <v>9</v>
      </c>
      <c r="AB2208">
        <v>3</v>
      </c>
      <c r="AC2208">
        <v>0</v>
      </c>
      <c r="AD2208">
        <v>10</v>
      </c>
      <c r="AE2208">
        <v>0</v>
      </c>
      <c r="AF2208">
        <v>3</v>
      </c>
      <c r="AG2208">
        <v>2</v>
      </c>
      <c r="AH2208">
        <v>0</v>
      </c>
      <c r="AI2208" t="s">
        <v>1353</v>
      </c>
      <c r="AJ2208">
        <v>39.958069000000002</v>
      </c>
      <c r="AK2208" t="s">
        <v>1354</v>
      </c>
      <c r="AL2208">
        <v>-92.673111000000006</v>
      </c>
      <c r="AM2208">
        <v>100</v>
      </c>
      <c r="AN2208">
        <v>1700</v>
      </c>
      <c r="AO2208" t="s">
        <v>118</v>
      </c>
      <c r="AP2208">
        <v>-107</v>
      </c>
      <c r="AQ2208">
        <v>79</v>
      </c>
      <c r="AR2208">
        <v>-256</v>
      </c>
      <c r="AZ2208">
        <v>1200</v>
      </c>
      <c r="BA2208">
        <v>1</v>
      </c>
      <c r="BB2208" t="str">
        <f t="shared" si="106"/>
        <v xml:space="preserve">N8080G  </v>
      </c>
      <c r="BC2208">
        <v>1</v>
      </c>
      <c r="BE2208">
        <v>0</v>
      </c>
      <c r="BF2208">
        <v>0</v>
      </c>
      <c r="BG2208">
        <v>0</v>
      </c>
      <c r="BH2208">
        <v>1700</v>
      </c>
      <c r="BI2208">
        <v>1</v>
      </c>
      <c r="BJ2208">
        <v>1</v>
      </c>
      <c r="BK2208">
        <v>1</v>
      </c>
      <c r="BL2208">
        <v>0</v>
      </c>
      <c r="BO2208">
        <v>0</v>
      </c>
      <c r="BP2208">
        <v>0</v>
      </c>
      <c r="BW2208" t="str">
        <f>"20:26:15.316"</f>
        <v>20:26:15.316</v>
      </c>
      <c r="BZ2208">
        <v>0</v>
      </c>
      <c r="CA2208">
        <v>2016</v>
      </c>
      <c r="CB2208">
        <v>224</v>
      </c>
      <c r="CD2208">
        <v>1</v>
      </c>
      <c r="CE2208">
        <v>0</v>
      </c>
      <c r="CF2208">
        <v>0</v>
      </c>
      <c r="CG2208">
        <v>1</v>
      </c>
      <c r="CH2208">
        <v>0</v>
      </c>
      <c r="CI2208">
        <v>0</v>
      </c>
      <c r="CJ2208">
        <v>0</v>
      </c>
      <c r="CK2208">
        <v>2</v>
      </c>
      <c r="CL2208">
        <v>0</v>
      </c>
      <c r="CM2208">
        <v>2</v>
      </c>
      <c r="CN2208">
        <v>0</v>
      </c>
      <c r="CO2208">
        <v>2</v>
      </c>
      <c r="CP2208" t="s">
        <v>119</v>
      </c>
      <c r="CQ2208">
        <v>179</v>
      </c>
      <c r="CR2208">
        <v>1</v>
      </c>
      <c r="CW2208">
        <v>8912084</v>
      </c>
      <c r="CY2208">
        <v>1</v>
      </c>
      <c r="CZ2208">
        <v>0</v>
      </c>
      <c r="DA2208">
        <v>1</v>
      </c>
      <c r="DB2208">
        <v>0</v>
      </c>
      <c r="DC2208">
        <v>0</v>
      </c>
      <c r="DD2208">
        <v>0</v>
      </c>
      <c r="DE2208">
        <v>0</v>
      </c>
      <c r="DF2208">
        <v>0</v>
      </c>
      <c r="DG2208">
        <v>0</v>
      </c>
      <c r="DH2208">
        <v>0</v>
      </c>
      <c r="DI2208">
        <v>0</v>
      </c>
    </row>
    <row r="2209" spans="1:113" x14ac:dyDescent="0.3">
      <c r="A2209" t="str">
        <f>"02/08/2021 20:26:13.000"</f>
        <v>02/08/2021 20:26:13.000</v>
      </c>
      <c r="C2209" t="str">
        <f t="shared" si="105"/>
        <v>FFDFD7C0</v>
      </c>
      <c r="D2209" t="s">
        <v>113</v>
      </c>
      <c r="E2209">
        <v>6</v>
      </c>
      <c r="H2209">
        <v>165</v>
      </c>
      <c r="I2209" t="s">
        <v>114</v>
      </c>
      <c r="J2209" t="s">
        <v>115</v>
      </c>
      <c r="K2209">
        <v>0</v>
      </c>
      <c r="L2209">
        <v>3</v>
      </c>
      <c r="M2209">
        <v>0</v>
      </c>
      <c r="N2209">
        <v>2</v>
      </c>
      <c r="O2209">
        <v>1</v>
      </c>
      <c r="P2209">
        <v>0</v>
      </c>
      <c r="Q2209">
        <v>0</v>
      </c>
      <c r="S2209" t="str">
        <f>"20:26:15.313"</f>
        <v>20:26:15.313</v>
      </c>
      <c r="T2209" t="str">
        <f>"20:26:14.913"</f>
        <v>20:26:14.913</v>
      </c>
      <c r="U2209" t="str">
        <f t="shared" si="107"/>
        <v>AB01F4</v>
      </c>
      <c r="V2209">
        <v>0</v>
      </c>
      <c r="W2209">
        <v>0</v>
      </c>
      <c r="X2209">
        <v>2</v>
      </c>
      <c r="Z2209">
        <v>0</v>
      </c>
      <c r="AA2209">
        <v>9</v>
      </c>
      <c r="AB2209">
        <v>3</v>
      </c>
      <c r="AC2209">
        <v>0</v>
      </c>
      <c r="AD2209">
        <v>10</v>
      </c>
      <c r="AE2209">
        <v>0</v>
      </c>
      <c r="AF2209">
        <v>3</v>
      </c>
      <c r="AG2209">
        <v>2</v>
      </c>
      <c r="AH2209">
        <v>0</v>
      </c>
      <c r="AI2209" t="s">
        <v>1353</v>
      </c>
      <c r="AJ2209">
        <v>39.958069000000002</v>
      </c>
      <c r="AK2209" t="s">
        <v>1354</v>
      </c>
      <c r="AL2209">
        <v>-92.673111000000006</v>
      </c>
      <c r="AM2209">
        <v>100</v>
      </c>
      <c r="AN2209">
        <v>1700</v>
      </c>
      <c r="AO2209" t="s">
        <v>118</v>
      </c>
      <c r="AP2209">
        <v>-107</v>
      </c>
      <c r="AQ2209">
        <v>79</v>
      </c>
      <c r="AR2209">
        <v>-256</v>
      </c>
      <c r="AZ2209">
        <v>1200</v>
      </c>
      <c r="BA2209">
        <v>1</v>
      </c>
      <c r="BB2209" t="str">
        <f t="shared" si="106"/>
        <v xml:space="preserve">N8080G  </v>
      </c>
      <c r="BC2209">
        <v>1</v>
      </c>
      <c r="BE2209">
        <v>0</v>
      </c>
      <c r="BF2209">
        <v>0</v>
      </c>
      <c r="BG2209">
        <v>0</v>
      </c>
      <c r="BH2209">
        <v>1700</v>
      </c>
      <c r="BI2209">
        <v>1</v>
      </c>
      <c r="BJ2209">
        <v>1</v>
      </c>
      <c r="BK2209">
        <v>1</v>
      </c>
      <c r="BL2209">
        <v>0</v>
      </c>
      <c r="BO2209">
        <v>0</v>
      </c>
      <c r="BP2209">
        <v>0</v>
      </c>
      <c r="BW2209" t="str">
        <f>"20:26:15.316"</f>
        <v>20:26:15.316</v>
      </c>
      <c r="BZ2209">
        <v>0</v>
      </c>
      <c r="CA2209">
        <v>2016</v>
      </c>
      <c r="CB2209">
        <v>224</v>
      </c>
      <c r="CD2209">
        <v>1</v>
      </c>
      <c r="CE2209">
        <v>0</v>
      </c>
      <c r="CF2209">
        <v>0</v>
      </c>
      <c r="CG2209">
        <v>1</v>
      </c>
      <c r="CH2209">
        <v>0</v>
      </c>
      <c r="CI2209">
        <v>0</v>
      </c>
      <c r="CJ2209">
        <v>0</v>
      </c>
      <c r="CK2209">
        <v>2</v>
      </c>
      <c r="CL2209">
        <v>0</v>
      </c>
      <c r="CM2209">
        <v>2</v>
      </c>
      <c r="CN2209">
        <v>0</v>
      </c>
      <c r="CO2209">
        <v>2</v>
      </c>
      <c r="CP2209" t="s">
        <v>119</v>
      </c>
      <c r="CQ2209">
        <v>179</v>
      </c>
      <c r="CR2209">
        <v>1</v>
      </c>
      <c r="CW2209">
        <v>8912084</v>
      </c>
      <c r="CY2209">
        <v>1</v>
      </c>
      <c r="CZ2209">
        <v>0</v>
      </c>
      <c r="DA2209">
        <v>1</v>
      </c>
      <c r="DB2209">
        <v>0</v>
      </c>
      <c r="DC2209">
        <v>0</v>
      </c>
      <c r="DD2209">
        <v>0</v>
      </c>
      <c r="DE2209">
        <v>0</v>
      </c>
      <c r="DF2209">
        <v>0</v>
      </c>
      <c r="DG2209">
        <v>0</v>
      </c>
      <c r="DH2209">
        <v>0</v>
      </c>
      <c r="DI2209">
        <v>0</v>
      </c>
    </row>
    <row r="2210" spans="1:113" x14ac:dyDescent="0.3">
      <c r="A2210" t="str">
        <f>"02/08/2021 20:26:13.000"</f>
        <v>02/08/2021 20:26:13.000</v>
      </c>
      <c r="C2210" t="str">
        <f t="shared" si="105"/>
        <v>FFDFD7C0</v>
      </c>
      <c r="D2210" t="s">
        <v>124</v>
      </c>
      <c r="E2210">
        <v>13</v>
      </c>
      <c r="F2210">
        <v>1013</v>
      </c>
      <c r="G2210" t="s">
        <v>114</v>
      </c>
      <c r="J2210" t="s">
        <v>125</v>
      </c>
      <c r="K2210">
        <v>0</v>
      </c>
      <c r="L2210">
        <v>3</v>
      </c>
      <c r="M2210">
        <v>0</v>
      </c>
      <c r="N2210">
        <v>2</v>
      </c>
      <c r="O2210">
        <v>1</v>
      </c>
      <c r="P2210">
        <v>0</v>
      </c>
      <c r="Q2210">
        <v>0</v>
      </c>
      <c r="S2210" t="str">
        <f>"20:26:15.313"</f>
        <v>20:26:15.313</v>
      </c>
      <c r="T2210" t="str">
        <f>"20:26:14.913"</f>
        <v>20:26:14.913</v>
      </c>
      <c r="U2210" t="str">
        <f t="shared" si="107"/>
        <v>AB01F4</v>
      </c>
      <c r="V2210">
        <v>0</v>
      </c>
      <c r="W2210">
        <v>0</v>
      </c>
      <c r="X2210">
        <v>2</v>
      </c>
      <c r="Z2210">
        <v>0</v>
      </c>
      <c r="AA2210">
        <v>9</v>
      </c>
      <c r="AB2210">
        <v>3</v>
      </c>
      <c r="AC2210">
        <v>0</v>
      </c>
      <c r="AD2210">
        <v>10</v>
      </c>
      <c r="AE2210">
        <v>0</v>
      </c>
      <c r="AF2210">
        <v>3</v>
      </c>
      <c r="AG2210">
        <v>2</v>
      </c>
      <c r="AH2210">
        <v>0</v>
      </c>
      <c r="AI2210" t="s">
        <v>1353</v>
      </c>
      <c r="AJ2210">
        <v>39.958069000000002</v>
      </c>
      <c r="AK2210" t="s">
        <v>1354</v>
      </c>
      <c r="AL2210">
        <v>-92.673111000000006</v>
      </c>
      <c r="AM2210">
        <v>100</v>
      </c>
      <c r="AN2210">
        <v>1700</v>
      </c>
      <c r="AO2210" t="s">
        <v>118</v>
      </c>
      <c r="AP2210">
        <v>-107</v>
      </c>
      <c r="AQ2210">
        <v>79</v>
      </c>
      <c r="AR2210">
        <v>-256</v>
      </c>
      <c r="AZ2210">
        <v>1200</v>
      </c>
      <c r="BA2210">
        <v>1</v>
      </c>
      <c r="BB2210" t="str">
        <f t="shared" si="106"/>
        <v xml:space="preserve">N8080G  </v>
      </c>
      <c r="BC2210">
        <v>1</v>
      </c>
      <c r="BE2210">
        <v>0</v>
      </c>
      <c r="BF2210">
        <v>0</v>
      </c>
      <c r="BG2210">
        <v>0</v>
      </c>
      <c r="BH2210">
        <v>1700</v>
      </c>
      <c r="BI2210">
        <v>1</v>
      </c>
      <c r="BJ2210">
        <v>1</v>
      </c>
      <c r="BK2210">
        <v>1</v>
      </c>
      <c r="BL2210">
        <v>0</v>
      </c>
      <c r="BO2210">
        <v>0</v>
      </c>
      <c r="BP2210">
        <v>0</v>
      </c>
      <c r="BW2210" t="str">
        <f>"20:26:15.316"</f>
        <v>20:26:15.316</v>
      </c>
      <c r="BZ2210">
        <v>0</v>
      </c>
      <c r="CA2210">
        <v>2016</v>
      </c>
      <c r="CB2210">
        <v>224</v>
      </c>
      <c r="CD2210">
        <v>1</v>
      </c>
      <c r="CE2210">
        <v>0</v>
      </c>
      <c r="CF2210">
        <v>0</v>
      </c>
      <c r="CG2210">
        <v>1</v>
      </c>
      <c r="CH2210">
        <v>0</v>
      </c>
      <c r="CI2210">
        <v>0</v>
      </c>
      <c r="CJ2210">
        <v>0</v>
      </c>
      <c r="CK2210">
        <v>2</v>
      </c>
      <c r="CL2210">
        <v>0</v>
      </c>
      <c r="CM2210">
        <v>2</v>
      </c>
      <c r="CN2210">
        <v>0</v>
      </c>
      <c r="CO2210">
        <v>2</v>
      </c>
      <c r="CP2210" t="s">
        <v>119</v>
      </c>
      <c r="CQ2210">
        <v>179</v>
      </c>
      <c r="CR2210">
        <v>1</v>
      </c>
      <c r="CW2210">
        <v>8912084</v>
      </c>
      <c r="CY2210">
        <v>1</v>
      </c>
      <c r="CZ2210">
        <v>0</v>
      </c>
      <c r="DA2210">
        <v>1</v>
      </c>
      <c r="DB2210">
        <v>0</v>
      </c>
      <c r="DC2210">
        <v>0</v>
      </c>
      <c r="DD2210">
        <v>0</v>
      </c>
      <c r="DE2210">
        <v>0</v>
      </c>
      <c r="DF2210">
        <v>0</v>
      </c>
      <c r="DG2210">
        <v>0</v>
      </c>
      <c r="DH2210">
        <v>0</v>
      </c>
      <c r="DI2210">
        <v>0</v>
      </c>
    </row>
    <row r="2211" spans="1:113" x14ac:dyDescent="0.3">
      <c r="A2211" t="str">
        <f>"02/08/2021 20:26:14.006"</f>
        <v>02/08/2021 20:26:14.006</v>
      </c>
      <c r="C2211" t="str">
        <f t="shared" si="105"/>
        <v>FFDFD7C0</v>
      </c>
      <c r="D2211" t="s">
        <v>124</v>
      </c>
      <c r="E2211">
        <v>12</v>
      </c>
      <c r="F2211">
        <v>1012</v>
      </c>
      <c r="G2211" t="s">
        <v>675</v>
      </c>
      <c r="J2211" t="s">
        <v>125</v>
      </c>
      <c r="K2211">
        <v>0</v>
      </c>
      <c r="L2211">
        <v>3</v>
      </c>
      <c r="M2211">
        <v>0</v>
      </c>
      <c r="N2211">
        <v>2</v>
      </c>
      <c r="O2211">
        <v>1</v>
      </c>
      <c r="P2211">
        <v>0</v>
      </c>
      <c r="Q2211">
        <v>0</v>
      </c>
      <c r="S2211" t="str">
        <f>"20:26:16.352"</f>
        <v>20:26:16.352</v>
      </c>
      <c r="T2211" t="str">
        <f>"20:26:15.852"</f>
        <v>20:26:15.852</v>
      </c>
      <c r="U2211" t="str">
        <f t="shared" si="107"/>
        <v>AB01F4</v>
      </c>
      <c r="V2211">
        <v>0</v>
      </c>
      <c r="W2211">
        <v>0</v>
      </c>
      <c r="X2211">
        <v>2</v>
      </c>
      <c r="Z2211">
        <v>0</v>
      </c>
      <c r="AA2211">
        <v>9</v>
      </c>
      <c r="AB2211">
        <v>3</v>
      </c>
      <c r="AC2211">
        <v>0</v>
      </c>
      <c r="AD2211">
        <v>10</v>
      </c>
      <c r="AE2211">
        <v>0</v>
      </c>
      <c r="AF2211">
        <v>3</v>
      </c>
      <c r="AG2211">
        <v>2</v>
      </c>
      <c r="AH2211">
        <v>0</v>
      </c>
      <c r="AI2211" t="s">
        <v>1355</v>
      </c>
      <c r="AJ2211">
        <v>39.958455999999998</v>
      </c>
      <c r="AK2211" t="s">
        <v>1356</v>
      </c>
      <c r="AL2211">
        <v>-92.673818999999995</v>
      </c>
      <c r="AM2211">
        <v>100</v>
      </c>
      <c r="AN2211">
        <v>1700</v>
      </c>
      <c r="AO2211" t="s">
        <v>118</v>
      </c>
      <c r="AP2211">
        <v>-107</v>
      </c>
      <c r="AQ2211">
        <v>79</v>
      </c>
      <c r="AR2211">
        <v>-64</v>
      </c>
      <c r="AZ2211">
        <v>1200</v>
      </c>
      <c r="BA2211">
        <v>1</v>
      </c>
      <c r="BB2211" t="str">
        <f t="shared" si="106"/>
        <v xml:space="preserve">N8080G  </v>
      </c>
      <c r="BC2211">
        <v>1</v>
      </c>
      <c r="BE2211">
        <v>0</v>
      </c>
      <c r="BF2211">
        <v>0</v>
      </c>
      <c r="BG2211">
        <v>0</v>
      </c>
      <c r="BH2211">
        <v>1700</v>
      </c>
      <c r="BI2211">
        <v>1</v>
      </c>
      <c r="BJ2211">
        <v>1</v>
      </c>
      <c r="BK2211">
        <v>1</v>
      </c>
      <c r="BL2211">
        <v>0</v>
      </c>
      <c r="BO2211">
        <v>0</v>
      </c>
      <c r="BP2211">
        <v>0</v>
      </c>
      <c r="BW2211" t="str">
        <f>"20:26:16.352"</f>
        <v>20:26:16.352</v>
      </c>
      <c r="BZ2211">
        <v>0</v>
      </c>
      <c r="CA2211">
        <v>2016</v>
      </c>
      <c r="CB2211">
        <v>224</v>
      </c>
      <c r="CD2211">
        <v>1</v>
      </c>
      <c r="CE2211">
        <v>0</v>
      </c>
      <c r="CF2211">
        <v>0</v>
      </c>
      <c r="CG2211">
        <v>1</v>
      </c>
      <c r="CH2211">
        <v>0</v>
      </c>
      <c r="CI2211">
        <v>0</v>
      </c>
      <c r="CJ2211">
        <v>0</v>
      </c>
      <c r="CK2211">
        <v>2</v>
      </c>
      <c r="CL2211">
        <v>0</v>
      </c>
      <c r="CM2211">
        <v>2</v>
      </c>
      <c r="CN2211">
        <v>0</v>
      </c>
      <c r="CO2211">
        <v>7</v>
      </c>
      <c r="CP2211" t="s">
        <v>119</v>
      </c>
      <c r="CQ2211">
        <v>180</v>
      </c>
      <c r="CR2211">
        <v>2</v>
      </c>
      <c r="CW2211">
        <v>8469892</v>
      </c>
      <c r="CY2211">
        <v>1</v>
      </c>
      <c r="CZ2211">
        <v>0</v>
      </c>
      <c r="DA2211">
        <v>0</v>
      </c>
      <c r="DB2211">
        <v>0</v>
      </c>
      <c r="DC2211">
        <v>0</v>
      </c>
      <c r="DD2211">
        <v>0</v>
      </c>
      <c r="DE2211">
        <v>0</v>
      </c>
      <c r="DF2211">
        <v>0</v>
      </c>
      <c r="DG2211">
        <v>0</v>
      </c>
      <c r="DH2211">
        <v>0</v>
      </c>
      <c r="DI2211">
        <v>0</v>
      </c>
    </row>
    <row r="2212" spans="1:113" x14ac:dyDescent="0.3">
      <c r="A2212" t="str">
        <f>"02/08/2021 20:26:14.006"</f>
        <v>02/08/2021 20:26:14.006</v>
      </c>
      <c r="C2212" t="str">
        <f t="shared" si="105"/>
        <v>FFDFD7C0</v>
      </c>
      <c r="D2212" t="s">
        <v>124</v>
      </c>
      <c r="E2212">
        <v>11</v>
      </c>
      <c r="F2212">
        <v>1011</v>
      </c>
      <c r="G2212" t="s">
        <v>590</v>
      </c>
      <c r="J2212" t="s">
        <v>125</v>
      </c>
      <c r="K2212">
        <v>0</v>
      </c>
      <c r="L2212">
        <v>3</v>
      </c>
      <c r="M2212">
        <v>0</v>
      </c>
      <c r="N2212">
        <v>2</v>
      </c>
      <c r="O2212">
        <v>1</v>
      </c>
      <c r="P2212">
        <v>0</v>
      </c>
      <c r="Q2212">
        <v>0</v>
      </c>
      <c r="S2212" t="str">
        <f>"20:26:16.352"</f>
        <v>20:26:16.352</v>
      </c>
      <c r="T2212" t="str">
        <f>"20:26:15.852"</f>
        <v>20:26:15.852</v>
      </c>
      <c r="U2212" t="str">
        <f t="shared" si="107"/>
        <v>AB01F4</v>
      </c>
      <c r="V2212">
        <v>0</v>
      </c>
      <c r="W2212">
        <v>0</v>
      </c>
      <c r="X2212">
        <v>2</v>
      </c>
      <c r="Z2212">
        <v>0</v>
      </c>
      <c r="AA2212">
        <v>9</v>
      </c>
      <c r="AB2212">
        <v>3</v>
      </c>
      <c r="AC2212">
        <v>0</v>
      </c>
      <c r="AD2212">
        <v>10</v>
      </c>
      <c r="AE2212">
        <v>0</v>
      </c>
      <c r="AF2212">
        <v>3</v>
      </c>
      <c r="AG2212">
        <v>2</v>
      </c>
      <c r="AH2212">
        <v>0</v>
      </c>
      <c r="AI2212" t="s">
        <v>1355</v>
      </c>
      <c r="AJ2212">
        <v>39.958455999999998</v>
      </c>
      <c r="AK2212" t="s">
        <v>1356</v>
      </c>
      <c r="AL2212">
        <v>-92.673818999999995</v>
      </c>
      <c r="AM2212">
        <v>100</v>
      </c>
      <c r="AN2212">
        <v>1700</v>
      </c>
      <c r="AO2212" t="s">
        <v>118</v>
      </c>
      <c r="AP2212">
        <v>-107</v>
      </c>
      <c r="AQ2212">
        <v>79</v>
      </c>
      <c r="AR2212">
        <v>-64</v>
      </c>
      <c r="AZ2212">
        <v>1200</v>
      </c>
      <c r="BA2212">
        <v>1</v>
      </c>
      <c r="BB2212" t="str">
        <f t="shared" si="106"/>
        <v xml:space="preserve">N8080G  </v>
      </c>
      <c r="BC2212">
        <v>1</v>
      </c>
      <c r="BE2212">
        <v>0</v>
      </c>
      <c r="BF2212">
        <v>0</v>
      </c>
      <c r="BG2212">
        <v>0</v>
      </c>
      <c r="BH2212">
        <v>1700</v>
      </c>
      <c r="BI2212">
        <v>1</v>
      </c>
      <c r="BJ2212">
        <v>1</v>
      </c>
      <c r="BK2212">
        <v>1</v>
      </c>
      <c r="BL2212">
        <v>0</v>
      </c>
      <c r="BO2212">
        <v>0</v>
      </c>
      <c r="BP2212">
        <v>0</v>
      </c>
      <c r="BW2212" t="str">
        <f>"20:26:16.352"</f>
        <v>20:26:16.352</v>
      </c>
      <c r="BZ2212">
        <v>0</v>
      </c>
      <c r="CA2212">
        <v>2016</v>
      </c>
      <c r="CB2212">
        <v>224</v>
      </c>
      <c r="CD2212">
        <v>1</v>
      </c>
      <c r="CE2212">
        <v>0</v>
      </c>
      <c r="CF2212">
        <v>0</v>
      </c>
      <c r="CG2212">
        <v>1</v>
      </c>
      <c r="CH2212">
        <v>0</v>
      </c>
      <c r="CI2212">
        <v>0</v>
      </c>
      <c r="CJ2212">
        <v>0</v>
      </c>
      <c r="CK2212">
        <v>2</v>
      </c>
      <c r="CL2212">
        <v>0</v>
      </c>
      <c r="CM2212">
        <v>2</v>
      </c>
      <c r="CN2212">
        <v>0</v>
      </c>
      <c r="CO2212">
        <v>7</v>
      </c>
      <c r="CP2212" t="s">
        <v>119</v>
      </c>
      <c r="CQ2212">
        <v>180</v>
      </c>
      <c r="CR2212">
        <v>2</v>
      </c>
      <c r="CW2212">
        <v>8469892</v>
      </c>
      <c r="CY2212">
        <v>1</v>
      </c>
      <c r="CZ2212">
        <v>0</v>
      </c>
      <c r="DA2212">
        <v>1</v>
      </c>
      <c r="DB2212">
        <v>0</v>
      </c>
      <c r="DC2212">
        <v>0</v>
      </c>
      <c r="DD2212">
        <v>0</v>
      </c>
      <c r="DE2212">
        <v>0</v>
      </c>
      <c r="DF2212">
        <v>0</v>
      </c>
      <c r="DG2212">
        <v>0</v>
      </c>
      <c r="DH2212">
        <v>0</v>
      </c>
      <c r="DI2212">
        <v>0</v>
      </c>
    </row>
    <row r="2213" spans="1:113" x14ac:dyDescent="0.3">
      <c r="A2213" t="str">
        <f>"02/08/2021 20:26:14.006"</f>
        <v>02/08/2021 20:26:14.006</v>
      </c>
      <c r="C2213" t="str">
        <f t="shared" si="105"/>
        <v>FFDFD7C0</v>
      </c>
      <c r="D2213" t="s">
        <v>113</v>
      </c>
      <c r="E2213">
        <v>6</v>
      </c>
      <c r="H2213">
        <v>165</v>
      </c>
      <c r="I2213" t="s">
        <v>114</v>
      </c>
      <c r="J2213" t="s">
        <v>115</v>
      </c>
      <c r="K2213">
        <v>0</v>
      </c>
      <c r="L2213">
        <v>3</v>
      </c>
      <c r="M2213">
        <v>0</v>
      </c>
      <c r="N2213">
        <v>2</v>
      </c>
      <c r="O2213">
        <v>1</v>
      </c>
      <c r="P2213">
        <v>0</v>
      </c>
      <c r="Q2213">
        <v>0</v>
      </c>
      <c r="S2213" t="str">
        <f>"20:26:16.352"</f>
        <v>20:26:16.352</v>
      </c>
      <c r="T2213" t="str">
        <f>"20:26:15.852"</f>
        <v>20:26:15.852</v>
      </c>
      <c r="U2213" t="str">
        <f t="shared" si="107"/>
        <v>AB01F4</v>
      </c>
      <c r="V2213">
        <v>0</v>
      </c>
      <c r="W2213">
        <v>0</v>
      </c>
      <c r="X2213">
        <v>2</v>
      </c>
      <c r="Z2213">
        <v>0</v>
      </c>
      <c r="AA2213">
        <v>9</v>
      </c>
      <c r="AB2213">
        <v>3</v>
      </c>
      <c r="AC2213">
        <v>0</v>
      </c>
      <c r="AD2213">
        <v>10</v>
      </c>
      <c r="AE2213">
        <v>0</v>
      </c>
      <c r="AF2213">
        <v>3</v>
      </c>
      <c r="AG2213">
        <v>2</v>
      </c>
      <c r="AH2213">
        <v>0</v>
      </c>
      <c r="AI2213" t="s">
        <v>1355</v>
      </c>
      <c r="AJ2213">
        <v>39.958455999999998</v>
      </c>
      <c r="AK2213" t="s">
        <v>1356</v>
      </c>
      <c r="AL2213">
        <v>-92.673818999999995</v>
      </c>
      <c r="AM2213">
        <v>100</v>
      </c>
      <c r="AN2213">
        <v>1700</v>
      </c>
      <c r="AO2213" t="s">
        <v>118</v>
      </c>
      <c r="AP2213">
        <v>-107</v>
      </c>
      <c r="AQ2213">
        <v>79</v>
      </c>
      <c r="AR2213">
        <v>-64</v>
      </c>
      <c r="AZ2213">
        <v>1200</v>
      </c>
      <c r="BA2213">
        <v>1</v>
      </c>
      <c r="BB2213" t="str">
        <f t="shared" si="106"/>
        <v xml:space="preserve">N8080G  </v>
      </c>
      <c r="BC2213">
        <v>1</v>
      </c>
      <c r="BE2213">
        <v>0</v>
      </c>
      <c r="BF2213">
        <v>0</v>
      </c>
      <c r="BG2213">
        <v>0</v>
      </c>
      <c r="BH2213">
        <v>1700</v>
      </c>
      <c r="BI2213">
        <v>1</v>
      </c>
      <c r="BJ2213">
        <v>1</v>
      </c>
      <c r="BK2213">
        <v>1</v>
      </c>
      <c r="BL2213">
        <v>0</v>
      </c>
      <c r="BO2213">
        <v>0</v>
      </c>
      <c r="BP2213">
        <v>0</v>
      </c>
      <c r="BW2213" t="str">
        <f>"20:26:16.352"</f>
        <v>20:26:16.352</v>
      </c>
      <c r="BZ2213">
        <v>0</v>
      </c>
      <c r="CA2213">
        <v>2016</v>
      </c>
      <c r="CB2213">
        <v>224</v>
      </c>
      <c r="CD2213">
        <v>1</v>
      </c>
      <c r="CE2213">
        <v>0</v>
      </c>
      <c r="CF2213">
        <v>0</v>
      </c>
      <c r="CG2213">
        <v>1</v>
      </c>
      <c r="CH2213">
        <v>0</v>
      </c>
      <c r="CI2213">
        <v>0</v>
      </c>
      <c r="CJ2213">
        <v>0</v>
      </c>
      <c r="CK2213">
        <v>2</v>
      </c>
      <c r="CL2213">
        <v>0</v>
      </c>
      <c r="CM2213">
        <v>2</v>
      </c>
      <c r="CN2213">
        <v>0</v>
      </c>
      <c r="CO2213">
        <v>7</v>
      </c>
      <c r="CP2213" t="s">
        <v>119</v>
      </c>
      <c r="CQ2213">
        <v>180</v>
      </c>
      <c r="CR2213">
        <v>2</v>
      </c>
      <c r="CW2213">
        <v>8469892</v>
      </c>
      <c r="CY2213">
        <v>1</v>
      </c>
      <c r="CZ2213">
        <v>0</v>
      </c>
      <c r="DA2213">
        <v>1</v>
      </c>
      <c r="DB2213">
        <v>0</v>
      </c>
      <c r="DC2213">
        <v>0</v>
      </c>
      <c r="DD2213">
        <v>0</v>
      </c>
      <c r="DE2213">
        <v>0</v>
      </c>
      <c r="DF2213">
        <v>0</v>
      </c>
      <c r="DG2213">
        <v>0</v>
      </c>
      <c r="DH2213">
        <v>0</v>
      </c>
      <c r="DI2213">
        <v>0</v>
      </c>
    </row>
    <row r="2214" spans="1:113" x14ac:dyDescent="0.3">
      <c r="A2214" t="str">
        <f>"02/08/2021 20:26:14.006"</f>
        <v>02/08/2021 20:26:14.006</v>
      </c>
      <c r="C2214" t="str">
        <f t="shared" si="105"/>
        <v>FFDFD7C0</v>
      </c>
      <c r="D2214" t="s">
        <v>124</v>
      </c>
      <c r="E2214">
        <v>13</v>
      </c>
      <c r="F2214">
        <v>1013</v>
      </c>
      <c r="G2214" t="s">
        <v>114</v>
      </c>
      <c r="J2214" t="s">
        <v>125</v>
      </c>
      <c r="K2214">
        <v>0</v>
      </c>
      <c r="L2214">
        <v>3</v>
      </c>
      <c r="M2214">
        <v>0</v>
      </c>
      <c r="N2214">
        <v>2</v>
      </c>
      <c r="O2214">
        <v>1</v>
      </c>
      <c r="P2214">
        <v>0</v>
      </c>
      <c r="Q2214">
        <v>0</v>
      </c>
      <c r="S2214" t="str">
        <f>"20:26:16.352"</f>
        <v>20:26:16.352</v>
      </c>
      <c r="T2214" t="str">
        <f>"20:26:15.852"</f>
        <v>20:26:15.852</v>
      </c>
      <c r="U2214" t="str">
        <f t="shared" si="107"/>
        <v>AB01F4</v>
      </c>
      <c r="V2214">
        <v>0</v>
      </c>
      <c r="W2214">
        <v>0</v>
      </c>
      <c r="X2214">
        <v>2</v>
      </c>
      <c r="Z2214">
        <v>0</v>
      </c>
      <c r="AA2214">
        <v>9</v>
      </c>
      <c r="AB2214">
        <v>3</v>
      </c>
      <c r="AC2214">
        <v>0</v>
      </c>
      <c r="AD2214">
        <v>10</v>
      </c>
      <c r="AE2214">
        <v>0</v>
      </c>
      <c r="AF2214">
        <v>3</v>
      </c>
      <c r="AG2214">
        <v>2</v>
      </c>
      <c r="AH2214">
        <v>0</v>
      </c>
      <c r="AI2214" t="s">
        <v>1355</v>
      </c>
      <c r="AJ2214">
        <v>39.958455999999998</v>
      </c>
      <c r="AK2214" t="s">
        <v>1356</v>
      </c>
      <c r="AL2214">
        <v>-92.673818999999995</v>
      </c>
      <c r="AM2214">
        <v>100</v>
      </c>
      <c r="AN2214">
        <v>1700</v>
      </c>
      <c r="AO2214" t="s">
        <v>118</v>
      </c>
      <c r="AP2214">
        <v>-107</v>
      </c>
      <c r="AQ2214">
        <v>79</v>
      </c>
      <c r="AR2214">
        <v>-64</v>
      </c>
      <c r="AZ2214">
        <v>1200</v>
      </c>
      <c r="BA2214">
        <v>1</v>
      </c>
      <c r="BB2214" t="str">
        <f t="shared" si="106"/>
        <v xml:space="preserve">N8080G  </v>
      </c>
      <c r="BC2214">
        <v>1</v>
      </c>
      <c r="BE2214">
        <v>0</v>
      </c>
      <c r="BF2214">
        <v>0</v>
      </c>
      <c r="BG2214">
        <v>0</v>
      </c>
      <c r="BH2214">
        <v>1700</v>
      </c>
      <c r="BI2214">
        <v>1</v>
      </c>
      <c r="BJ2214">
        <v>1</v>
      </c>
      <c r="BK2214">
        <v>1</v>
      </c>
      <c r="BL2214">
        <v>0</v>
      </c>
      <c r="BO2214">
        <v>0</v>
      </c>
      <c r="BP2214">
        <v>0</v>
      </c>
      <c r="BW2214" t="str">
        <f>"20:26:16.352"</f>
        <v>20:26:16.352</v>
      </c>
      <c r="BZ2214">
        <v>0</v>
      </c>
      <c r="CA2214">
        <v>2016</v>
      </c>
      <c r="CB2214">
        <v>224</v>
      </c>
      <c r="CD2214">
        <v>1</v>
      </c>
      <c r="CE2214">
        <v>0</v>
      </c>
      <c r="CF2214">
        <v>0</v>
      </c>
      <c r="CG2214">
        <v>1</v>
      </c>
      <c r="CH2214">
        <v>0</v>
      </c>
      <c r="CI2214">
        <v>0</v>
      </c>
      <c r="CJ2214">
        <v>0</v>
      </c>
      <c r="CK2214">
        <v>2</v>
      </c>
      <c r="CL2214">
        <v>0</v>
      </c>
      <c r="CM2214">
        <v>2</v>
      </c>
      <c r="CN2214">
        <v>0</v>
      </c>
      <c r="CO2214">
        <v>7</v>
      </c>
      <c r="CP2214" t="s">
        <v>119</v>
      </c>
      <c r="CQ2214">
        <v>180</v>
      </c>
      <c r="CR2214">
        <v>2</v>
      </c>
      <c r="CW2214">
        <v>8469892</v>
      </c>
      <c r="CY2214">
        <v>1</v>
      </c>
      <c r="CZ2214">
        <v>0</v>
      </c>
      <c r="DA2214">
        <v>1</v>
      </c>
      <c r="DB2214">
        <v>0</v>
      </c>
      <c r="DC2214">
        <v>0</v>
      </c>
      <c r="DD2214">
        <v>0</v>
      </c>
      <c r="DE2214">
        <v>0</v>
      </c>
      <c r="DF2214">
        <v>0</v>
      </c>
      <c r="DG2214">
        <v>0</v>
      </c>
      <c r="DH2214">
        <v>0</v>
      </c>
      <c r="DI2214">
        <v>0</v>
      </c>
    </row>
    <row r="2215" spans="1:113" x14ac:dyDescent="0.3">
      <c r="A2215" t="str">
        <f>"02/08/2021 20:26:15.481"</f>
        <v>02/08/2021 20:26:15.481</v>
      </c>
      <c r="C2215" t="str">
        <f t="shared" si="105"/>
        <v>FFDFD7C0</v>
      </c>
      <c r="D2215" t="s">
        <v>124</v>
      </c>
      <c r="E2215">
        <v>13</v>
      </c>
      <c r="F2215">
        <v>1013</v>
      </c>
      <c r="G2215" t="s">
        <v>114</v>
      </c>
      <c r="J2215" t="s">
        <v>125</v>
      </c>
      <c r="K2215">
        <v>0</v>
      </c>
      <c r="L2215">
        <v>3</v>
      </c>
      <c r="M2215">
        <v>0</v>
      </c>
      <c r="N2215">
        <v>2</v>
      </c>
      <c r="O2215">
        <v>1</v>
      </c>
      <c r="P2215">
        <v>0</v>
      </c>
      <c r="Q2215">
        <v>0</v>
      </c>
      <c r="S2215" t="str">
        <f>"20:26:17.797"</f>
        <v>20:26:17.797</v>
      </c>
      <c r="T2215" t="str">
        <f>"20:26:17.297"</f>
        <v>20:26:17.297</v>
      </c>
      <c r="U2215" t="str">
        <f t="shared" si="107"/>
        <v>AB01F4</v>
      </c>
      <c r="V2215">
        <v>0</v>
      </c>
      <c r="W2215">
        <v>0</v>
      </c>
      <c r="X2215">
        <v>2</v>
      </c>
      <c r="Z2215">
        <v>0</v>
      </c>
      <c r="AA2215">
        <v>9</v>
      </c>
      <c r="AB2215">
        <v>3</v>
      </c>
      <c r="AC2215">
        <v>0</v>
      </c>
      <c r="AD2215">
        <v>10</v>
      </c>
      <c r="AE2215">
        <v>0</v>
      </c>
      <c r="AF2215">
        <v>3</v>
      </c>
      <c r="AG2215">
        <v>2</v>
      </c>
      <c r="AH2215">
        <v>0</v>
      </c>
      <c r="AI2215" t="s">
        <v>1357</v>
      </c>
      <c r="AJ2215">
        <v>39.958970999999998</v>
      </c>
      <c r="AK2215" t="s">
        <v>1358</v>
      </c>
      <c r="AL2215">
        <v>-92.674741999999995</v>
      </c>
      <c r="AM2215">
        <v>100</v>
      </c>
      <c r="AN2215">
        <v>1700</v>
      </c>
      <c r="AO2215" t="s">
        <v>118</v>
      </c>
      <c r="AP2215">
        <v>-107</v>
      </c>
      <c r="AQ2215">
        <v>79</v>
      </c>
      <c r="AR2215">
        <v>64</v>
      </c>
      <c r="AZ2215">
        <v>1200</v>
      </c>
      <c r="BA2215">
        <v>1</v>
      </c>
      <c r="BB2215" t="str">
        <f t="shared" si="106"/>
        <v xml:space="preserve">N8080G  </v>
      </c>
      <c r="BC2215">
        <v>1</v>
      </c>
      <c r="BE2215">
        <v>0</v>
      </c>
      <c r="BF2215">
        <v>0</v>
      </c>
      <c r="BG2215">
        <v>0</v>
      </c>
      <c r="BH2215">
        <v>1700</v>
      </c>
      <c r="BI2215">
        <v>1</v>
      </c>
      <c r="BJ2215">
        <v>1</v>
      </c>
      <c r="BK2215">
        <v>1</v>
      </c>
      <c r="BL2215">
        <v>0</v>
      </c>
      <c r="BO2215">
        <v>0</v>
      </c>
      <c r="BP2215">
        <v>0</v>
      </c>
      <c r="BW2215" t="str">
        <f>"20:26:17.803"</f>
        <v>20:26:17.803</v>
      </c>
      <c r="BZ2215">
        <v>0</v>
      </c>
      <c r="CA2215">
        <v>2016</v>
      </c>
      <c r="CB2215">
        <v>224</v>
      </c>
      <c r="CD2215">
        <v>1</v>
      </c>
      <c r="CE2215">
        <v>0</v>
      </c>
      <c r="CF2215">
        <v>0</v>
      </c>
      <c r="CG2215">
        <v>1</v>
      </c>
      <c r="CH2215">
        <v>0</v>
      </c>
      <c r="CI2215">
        <v>0</v>
      </c>
      <c r="CJ2215">
        <v>0</v>
      </c>
      <c r="CK2215">
        <v>2</v>
      </c>
      <c r="CL2215">
        <v>0</v>
      </c>
      <c r="CM2215">
        <v>2</v>
      </c>
      <c r="CN2215">
        <v>0</v>
      </c>
      <c r="CO2215">
        <v>7</v>
      </c>
      <c r="CP2215" t="s">
        <v>119</v>
      </c>
      <c r="CQ2215">
        <v>180</v>
      </c>
      <c r="CR2215">
        <v>2</v>
      </c>
      <c r="CW2215">
        <v>8471021</v>
      </c>
      <c r="CY2215">
        <v>1</v>
      </c>
      <c r="CZ2215">
        <v>0</v>
      </c>
      <c r="DA2215">
        <v>0</v>
      </c>
      <c r="DB2215">
        <v>0</v>
      </c>
      <c r="DC2215">
        <v>0</v>
      </c>
      <c r="DD2215">
        <v>0</v>
      </c>
      <c r="DE2215">
        <v>0</v>
      </c>
      <c r="DF2215">
        <v>0</v>
      </c>
      <c r="DG2215">
        <v>0</v>
      </c>
      <c r="DH2215">
        <v>0</v>
      </c>
      <c r="DI2215">
        <v>0</v>
      </c>
    </row>
    <row r="2216" spans="1:113" x14ac:dyDescent="0.3">
      <c r="A2216" t="str">
        <f>"02/08/2021 20:26:15.481"</f>
        <v>02/08/2021 20:26:15.481</v>
      </c>
      <c r="C2216" t="str">
        <f t="shared" si="105"/>
        <v>FFDFD7C0</v>
      </c>
      <c r="D2216" t="s">
        <v>113</v>
      </c>
      <c r="E2216">
        <v>6</v>
      </c>
      <c r="H2216">
        <v>165</v>
      </c>
      <c r="I2216" t="s">
        <v>114</v>
      </c>
      <c r="J2216" t="s">
        <v>115</v>
      </c>
      <c r="K2216">
        <v>0</v>
      </c>
      <c r="L2216">
        <v>3</v>
      </c>
      <c r="M2216">
        <v>0</v>
      </c>
      <c r="N2216">
        <v>2</v>
      </c>
      <c r="O2216">
        <v>1</v>
      </c>
      <c r="P2216">
        <v>0</v>
      </c>
      <c r="Q2216">
        <v>0</v>
      </c>
      <c r="S2216" t="str">
        <f>"20:26:17.797"</f>
        <v>20:26:17.797</v>
      </c>
      <c r="T2216" t="str">
        <f>"20:26:17.297"</f>
        <v>20:26:17.297</v>
      </c>
      <c r="U2216" t="str">
        <f t="shared" si="107"/>
        <v>AB01F4</v>
      </c>
      <c r="V2216">
        <v>0</v>
      </c>
      <c r="W2216">
        <v>0</v>
      </c>
      <c r="X2216">
        <v>2</v>
      </c>
      <c r="Z2216">
        <v>0</v>
      </c>
      <c r="AA2216">
        <v>9</v>
      </c>
      <c r="AB2216">
        <v>3</v>
      </c>
      <c r="AC2216">
        <v>0</v>
      </c>
      <c r="AD2216">
        <v>10</v>
      </c>
      <c r="AE2216">
        <v>0</v>
      </c>
      <c r="AF2216">
        <v>3</v>
      </c>
      <c r="AG2216">
        <v>2</v>
      </c>
      <c r="AH2216">
        <v>0</v>
      </c>
      <c r="AI2216" t="s">
        <v>1357</v>
      </c>
      <c r="AJ2216">
        <v>39.958970999999998</v>
      </c>
      <c r="AK2216" t="s">
        <v>1358</v>
      </c>
      <c r="AL2216">
        <v>-92.674741999999995</v>
      </c>
      <c r="AM2216">
        <v>100</v>
      </c>
      <c r="AN2216">
        <v>1700</v>
      </c>
      <c r="AO2216" t="s">
        <v>118</v>
      </c>
      <c r="AP2216">
        <v>-107</v>
      </c>
      <c r="AQ2216">
        <v>79</v>
      </c>
      <c r="AR2216">
        <v>64</v>
      </c>
      <c r="AZ2216">
        <v>1200</v>
      </c>
      <c r="BA2216">
        <v>1</v>
      </c>
      <c r="BB2216" t="str">
        <f t="shared" si="106"/>
        <v xml:space="preserve">N8080G  </v>
      </c>
      <c r="BC2216">
        <v>1</v>
      </c>
      <c r="BE2216">
        <v>0</v>
      </c>
      <c r="BF2216">
        <v>0</v>
      </c>
      <c r="BG2216">
        <v>0</v>
      </c>
      <c r="BH2216">
        <v>1700</v>
      </c>
      <c r="BI2216">
        <v>1</v>
      </c>
      <c r="BJ2216">
        <v>1</v>
      </c>
      <c r="BK2216">
        <v>1</v>
      </c>
      <c r="BL2216">
        <v>0</v>
      </c>
      <c r="BO2216">
        <v>0</v>
      </c>
      <c r="BP2216">
        <v>0</v>
      </c>
      <c r="BW2216" t="str">
        <f>"20:26:17.803"</f>
        <v>20:26:17.803</v>
      </c>
      <c r="BZ2216">
        <v>0</v>
      </c>
      <c r="CA2216">
        <v>2016</v>
      </c>
      <c r="CB2216">
        <v>224</v>
      </c>
      <c r="CD2216">
        <v>1</v>
      </c>
      <c r="CE2216">
        <v>0</v>
      </c>
      <c r="CF2216">
        <v>0</v>
      </c>
      <c r="CG2216">
        <v>1</v>
      </c>
      <c r="CH2216">
        <v>0</v>
      </c>
      <c r="CI2216">
        <v>0</v>
      </c>
      <c r="CJ2216">
        <v>0</v>
      </c>
      <c r="CK2216">
        <v>2</v>
      </c>
      <c r="CL2216">
        <v>0</v>
      </c>
      <c r="CM2216">
        <v>2</v>
      </c>
      <c r="CN2216">
        <v>0</v>
      </c>
      <c r="CO2216">
        <v>7</v>
      </c>
      <c r="CP2216" t="s">
        <v>119</v>
      </c>
      <c r="CQ2216">
        <v>180</v>
      </c>
      <c r="CR2216">
        <v>2</v>
      </c>
      <c r="CW2216">
        <v>8471021</v>
      </c>
      <c r="CY2216">
        <v>1</v>
      </c>
      <c r="CZ2216">
        <v>0</v>
      </c>
      <c r="DA2216">
        <v>1</v>
      </c>
      <c r="DB2216">
        <v>0</v>
      </c>
      <c r="DC2216">
        <v>0</v>
      </c>
      <c r="DD2216">
        <v>0</v>
      </c>
      <c r="DE2216">
        <v>0</v>
      </c>
      <c r="DF2216">
        <v>0</v>
      </c>
      <c r="DG2216">
        <v>0</v>
      </c>
      <c r="DH2216">
        <v>0</v>
      </c>
      <c r="DI2216">
        <v>0</v>
      </c>
    </row>
    <row r="2217" spans="1:113" x14ac:dyDescent="0.3">
      <c r="A2217" t="str">
        <f>"02/08/2021 20:26:15.481"</f>
        <v>02/08/2021 20:26:15.481</v>
      </c>
      <c r="C2217" t="str">
        <f t="shared" si="105"/>
        <v>FFDFD7C0</v>
      </c>
      <c r="D2217" t="s">
        <v>124</v>
      </c>
      <c r="E2217">
        <v>12</v>
      </c>
      <c r="F2217">
        <v>1012</v>
      </c>
      <c r="G2217" t="s">
        <v>675</v>
      </c>
      <c r="J2217" t="s">
        <v>125</v>
      </c>
      <c r="K2217">
        <v>0</v>
      </c>
      <c r="L2217">
        <v>3</v>
      </c>
      <c r="M2217">
        <v>0</v>
      </c>
      <c r="N2217">
        <v>2</v>
      </c>
      <c r="O2217">
        <v>1</v>
      </c>
      <c r="P2217">
        <v>0</v>
      </c>
      <c r="Q2217">
        <v>0</v>
      </c>
      <c r="S2217" t="str">
        <f>"20:26:17.797"</f>
        <v>20:26:17.797</v>
      </c>
      <c r="T2217" t="str">
        <f>"20:26:17.297"</f>
        <v>20:26:17.297</v>
      </c>
      <c r="U2217" t="str">
        <f t="shared" si="107"/>
        <v>AB01F4</v>
      </c>
      <c r="V2217">
        <v>0</v>
      </c>
      <c r="W2217">
        <v>0</v>
      </c>
      <c r="X2217">
        <v>2</v>
      </c>
      <c r="Z2217">
        <v>0</v>
      </c>
      <c r="AA2217">
        <v>9</v>
      </c>
      <c r="AB2217">
        <v>3</v>
      </c>
      <c r="AC2217">
        <v>0</v>
      </c>
      <c r="AD2217">
        <v>10</v>
      </c>
      <c r="AE2217">
        <v>0</v>
      </c>
      <c r="AF2217">
        <v>3</v>
      </c>
      <c r="AG2217">
        <v>2</v>
      </c>
      <c r="AH2217">
        <v>0</v>
      </c>
      <c r="AI2217" t="s">
        <v>1357</v>
      </c>
      <c r="AJ2217">
        <v>39.958970999999998</v>
      </c>
      <c r="AK2217" t="s">
        <v>1358</v>
      </c>
      <c r="AL2217">
        <v>-92.674741999999995</v>
      </c>
      <c r="AM2217">
        <v>100</v>
      </c>
      <c r="AN2217">
        <v>1700</v>
      </c>
      <c r="AO2217" t="s">
        <v>118</v>
      </c>
      <c r="AP2217">
        <v>-107</v>
      </c>
      <c r="AQ2217">
        <v>79</v>
      </c>
      <c r="AR2217">
        <v>64</v>
      </c>
      <c r="AZ2217">
        <v>1200</v>
      </c>
      <c r="BA2217">
        <v>1</v>
      </c>
      <c r="BB2217" t="str">
        <f t="shared" si="106"/>
        <v xml:space="preserve">N8080G  </v>
      </c>
      <c r="BC2217">
        <v>1</v>
      </c>
      <c r="BE2217">
        <v>0</v>
      </c>
      <c r="BF2217">
        <v>0</v>
      </c>
      <c r="BG2217">
        <v>0</v>
      </c>
      <c r="BH2217">
        <v>1700</v>
      </c>
      <c r="BI2217">
        <v>1</v>
      </c>
      <c r="BJ2217">
        <v>1</v>
      </c>
      <c r="BK2217">
        <v>1</v>
      </c>
      <c r="BL2217">
        <v>0</v>
      </c>
      <c r="BO2217">
        <v>0</v>
      </c>
      <c r="BP2217">
        <v>0</v>
      </c>
      <c r="BW2217" t="str">
        <f>"20:26:17.803"</f>
        <v>20:26:17.803</v>
      </c>
      <c r="BZ2217">
        <v>0</v>
      </c>
      <c r="CA2217">
        <v>2016</v>
      </c>
      <c r="CB2217">
        <v>224</v>
      </c>
      <c r="CD2217">
        <v>1</v>
      </c>
      <c r="CE2217">
        <v>0</v>
      </c>
      <c r="CF2217">
        <v>0</v>
      </c>
      <c r="CG2217">
        <v>1</v>
      </c>
      <c r="CH2217">
        <v>0</v>
      </c>
      <c r="CI2217">
        <v>0</v>
      </c>
      <c r="CJ2217">
        <v>0</v>
      </c>
      <c r="CK2217">
        <v>2</v>
      </c>
      <c r="CL2217">
        <v>0</v>
      </c>
      <c r="CM2217">
        <v>2</v>
      </c>
      <c r="CN2217">
        <v>0</v>
      </c>
      <c r="CO2217">
        <v>7</v>
      </c>
      <c r="CP2217" t="s">
        <v>119</v>
      </c>
      <c r="CQ2217">
        <v>180</v>
      </c>
      <c r="CR2217">
        <v>2</v>
      </c>
      <c r="CW2217">
        <v>8471021</v>
      </c>
      <c r="CY2217">
        <v>1</v>
      </c>
      <c r="CZ2217">
        <v>0</v>
      </c>
      <c r="DA2217">
        <v>1</v>
      </c>
      <c r="DB2217">
        <v>0</v>
      </c>
      <c r="DC2217">
        <v>0</v>
      </c>
      <c r="DD2217">
        <v>0</v>
      </c>
      <c r="DE2217">
        <v>0</v>
      </c>
      <c r="DF2217">
        <v>0</v>
      </c>
      <c r="DG2217">
        <v>0</v>
      </c>
      <c r="DH2217">
        <v>0</v>
      </c>
      <c r="DI2217">
        <v>0</v>
      </c>
    </row>
    <row r="2218" spans="1:113" x14ac:dyDescent="0.3">
      <c r="A2218" t="str">
        <f>"02/08/2021 20:26:15.481"</f>
        <v>02/08/2021 20:26:15.481</v>
      </c>
      <c r="C2218" t="str">
        <f t="shared" si="105"/>
        <v>FFDFD7C0</v>
      </c>
      <c r="D2218" t="s">
        <v>124</v>
      </c>
      <c r="E2218">
        <v>11</v>
      </c>
      <c r="F2218">
        <v>1011</v>
      </c>
      <c r="G2218" t="s">
        <v>590</v>
      </c>
      <c r="J2218" t="s">
        <v>125</v>
      </c>
      <c r="K2218">
        <v>0</v>
      </c>
      <c r="L2218">
        <v>3</v>
      </c>
      <c r="M2218">
        <v>0</v>
      </c>
      <c r="N2218">
        <v>2</v>
      </c>
      <c r="O2218">
        <v>1</v>
      </c>
      <c r="P2218">
        <v>0</v>
      </c>
      <c r="Q2218">
        <v>0</v>
      </c>
      <c r="S2218" t="str">
        <f>"20:26:17.797"</f>
        <v>20:26:17.797</v>
      </c>
      <c r="T2218" t="str">
        <f>"20:26:17.297"</f>
        <v>20:26:17.297</v>
      </c>
      <c r="U2218" t="str">
        <f t="shared" si="107"/>
        <v>AB01F4</v>
      </c>
      <c r="V2218">
        <v>0</v>
      </c>
      <c r="W2218">
        <v>0</v>
      </c>
      <c r="X2218">
        <v>2</v>
      </c>
      <c r="Z2218">
        <v>0</v>
      </c>
      <c r="AA2218">
        <v>9</v>
      </c>
      <c r="AB2218">
        <v>3</v>
      </c>
      <c r="AC2218">
        <v>0</v>
      </c>
      <c r="AD2218">
        <v>10</v>
      </c>
      <c r="AE2218">
        <v>0</v>
      </c>
      <c r="AF2218">
        <v>3</v>
      </c>
      <c r="AG2218">
        <v>2</v>
      </c>
      <c r="AH2218">
        <v>0</v>
      </c>
      <c r="AI2218" t="s">
        <v>1357</v>
      </c>
      <c r="AJ2218">
        <v>39.958970999999998</v>
      </c>
      <c r="AK2218" t="s">
        <v>1358</v>
      </c>
      <c r="AL2218">
        <v>-92.674741999999995</v>
      </c>
      <c r="AM2218">
        <v>100</v>
      </c>
      <c r="AN2218">
        <v>1700</v>
      </c>
      <c r="AO2218" t="s">
        <v>118</v>
      </c>
      <c r="AP2218">
        <v>-107</v>
      </c>
      <c r="AQ2218">
        <v>79</v>
      </c>
      <c r="AR2218">
        <v>64</v>
      </c>
      <c r="AZ2218">
        <v>1200</v>
      </c>
      <c r="BA2218">
        <v>1</v>
      </c>
      <c r="BB2218" t="str">
        <f t="shared" si="106"/>
        <v xml:space="preserve">N8080G  </v>
      </c>
      <c r="BC2218">
        <v>1</v>
      </c>
      <c r="BE2218">
        <v>0</v>
      </c>
      <c r="BF2218">
        <v>0</v>
      </c>
      <c r="BG2218">
        <v>0</v>
      </c>
      <c r="BH2218">
        <v>1700</v>
      </c>
      <c r="BI2218">
        <v>1</v>
      </c>
      <c r="BJ2218">
        <v>1</v>
      </c>
      <c r="BK2218">
        <v>1</v>
      </c>
      <c r="BL2218">
        <v>0</v>
      </c>
      <c r="BO2218">
        <v>0</v>
      </c>
      <c r="BP2218">
        <v>0</v>
      </c>
      <c r="BW2218" t="str">
        <f>"20:26:17.803"</f>
        <v>20:26:17.803</v>
      </c>
      <c r="BZ2218">
        <v>0</v>
      </c>
      <c r="CA2218">
        <v>2016</v>
      </c>
      <c r="CB2218">
        <v>224</v>
      </c>
      <c r="CD2218">
        <v>1</v>
      </c>
      <c r="CE2218">
        <v>0</v>
      </c>
      <c r="CF2218">
        <v>0</v>
      </c>
      <c r="CG2218">
        <v>1</v>
      </c>
      <c r="CH2218">
        <v>0</v>
      </c>
      <c r="CI2218">
        <v>0</v>
      </c>
      <c r="CJ2218">
        <v>0</v>
      </c>
      <c r="CK2218">
        <v>2</v>
      </c>
      <c r="CL2218">
        <v>0</v>
      </c>
      <c r="CM2218">
        <v>2</v>
      </c>
      <c r="CN2218">
        <v>0</v>
      </c>
      <c r="CO2218">
        <v>7</v>
      </c>
      <c r="CP2218" t="s">
        <v>119</v>
      </c>
      <c r="CQ2218">
        <v>180</v>
      </c>
      <c r="CR2218">
        <v>2</v>
      </c>
      <c r="CW2218">
        <v>8471021</v>
      </c>
      <c r="CY2218">
        <v>1</v>
      </c>
      <c r="CZ2218">
        <v>0</v>
      </c>
      <c r="DA2218">
        <v>1</v>
      </c>
      <c r="DB2218">
        <v>0</v>
      </c>
      <c r="DC2218">
        <v>0</v>
      </c>
      <c r="DD2218">
        <v>0</v>
      </c>
      <c r="DE2218">
        <v>0</v>
      </c>
      <c r="DF2218">
        <v>0</v>
      </c>
      <c r="DG2218">
        <v>0</v>
      </c>
      <c r="DH2218">
        <v>0</v>
      </c>
      <c r="DI2218">
        <v>0</v>
      </c>
    </row>
    <row r="2219" spans="1:113" x14ac:dyDescent="0.3">
      <c r="A2219" t="str">
        <f>"02/08/2021 20:26:16.445"</f>
        <v>02/08/2021 20:26:16.445</v>
      </c>
      <c r="C2219" t="str">
        <f t="shared" si="105"/>
        <v>FFDFD7C0</v>
      </c>
      <c r="D2219" t="s">
        <v>113</v>
      </c>
      <c r="E2219">
        <v>6</v>
      </c>
      <c r="H2219">
        <v>165</v>
      </c>
      <c r="I2219" t="s">
        <v>114</v>
      </c>
      <c r="J2219" t="s">
        <v>115</v>
      </c>
      <c r="K2219">
        <v>0</v>
      </c>
      <c r="L2219">
        <v>3</v>
      </c>
      <c r="M2219">
        <v>0</v>
      </c>
      <c r="N2219">
        <v>2</v>
      </c>
      <c r="O2219">
        <v>1</v>
      </c>
      <c r="P2219">
        <v>0</v>
      </c>
      <c r="Q2219">
        <v>0</v>
      </c>
      <c r="S2219" t="str">
        <f>"20:26:18.758"</f>
        <v>20:26:18.758</v>
      </c>
      <c r="T2219" t="str">
        <f>"20:26:17.858"</f>
        <v>20:26:17.858</v>
      </c>
      <c r="U2219" t="str">
        <f t="shared" si="107"/>
        <v>AB01F4</v>
      </c>
      <c r="V2219">
        <v>0</v>
      </c>
      <c r="W2219">
        <v>0</v>
      </c>
      <c r="X2219">
        <v>2</v>
      </c>
      <c r="Z2219">
        <v>0</v>
      </c>
      <c r="AA2219">
        <v>9</v>
      </c>
      <c r="AB2219">
        <v>3</v>
      </c>
      <c r="AC2219">
        <v>0</v>
      </c>
      <c r="AD2219">
        <v>10</v>
      </c>
      <c r="AE2219">
        <v>0</v>
      </c>
      <c r="AF2219">
        <v>3</v>
      </c>
      <c r="AG2219">
        <v>2</v>
      </c>
      <c r="AH2219">
        <v>0</v>
      </c>
      <c r="AI2219" t="s">
        <v>1359</v>
      </c>
      <c r="AJ2219">
        <v>39.959335000000003</v>
      </c>
      <c r="AK2219" t="s">
        <v>1360</v>
      </c>
      <c r="AL2219">
        <v>-92.675364000000002</v>
      </c>
      <c r="AM2219">
        <v>100</v>
      </c>
      <c r="AN2219">
        <v>1700</v>
      </c>
      <c r="AO2219" t="s">
        <v>118</v>
      </c>
      <c r="AP2219">
        <v>-107</v>
      </c>
      <c r="AQ2219">
        <v>79</v>
      </c>
      <c r="AR2219">
        <v>128</v>
      </c>
      <c r="AZ2219">
        <v>1200</v>
      </c>
      <c r="BA2219">
        <v>1</v>
      </c>
      <c r="BB2219" t="str">
        <f t="shared" si="106"/>
        <v xml:space="preserve">N8080G  </v>
      </c>
      <c r="BC2219">
        <v>1</v>
      </c>
      <c r="BE2219">
        <v>0</v>
      </c>
      <c r="BF2219">
        <v>0</v>
      </c>
      <c r="BG2219">
        <v>0</v>
      </c>
      <c r="BH2219">
        <v>1700</v>
      </c>
      <c r="BI2219">
        <v>1</v>
      </c>
      <c r="BJ2219">
        <v>1</v>
      </c>
      <c r="BK2219">
        <v>1</v>
      </c>
      <c r="BL2219">
        <v>0</v>
      </c>
      <c r="BO2219">
        <v>0</v>
      </c>
      <c r="BP2219">
        <v>0</v>
      </c>
      <c r="BW2219" t="str">
        <f>"20:26:18.760"</f>
        <v>20:26:18.760</v>
      </c>
      <c r="BZ2219">
        <v>0</v>
      </c>
      <c r="CA2219">
        <v>2016</v>
      </c>
      <c r="CB2219">
        <v>224</v>
      </c>
      <c r="CD2219">
        <v>1</v>
      </c>
      <c r="CE2219">
        <v>0</v>
      </c>
      <c r="CF2219">
        <v>0</v>
      </c>
      <c r="CG2219">
        <v>1</v>
      </c>
      <c r="CH2219">
        <v>0</v>
      </c>
      <c r="CI2219">
        <v>0</v>
      </c>
      <c r="CJ2219">
        <v>0</v>
      </c>
      <c r="CK2219">
        <v>2</v>
      </c>
      <c r="CL2219">
        <v>0</v>
      </c>
      <c r="CM2219">
        <v>2</v>
      </c>
      <c r="CN2219">
        <v>0</v>
      </c>
      <c r="CO2219">
        <v>2</v>
      </c>
      <c r="CP2219" t="s">
        <v>119</v>
      </c>
      <c r="CQ2219">
        <v>179</v>
      </c>
      <c r="CR2219">
        <v>2</v>
      </c>
      <c r="CW2219">
        <v>12080219</v>
      </c>
      <c r="CY2219">
        <v>1</v>
      </c>
      <c r="CZ2219">
        <v>0</v>
      </c>
      <c r="DA2219">
        <v>0</v>
      </c>
      <c r="DB2219">
        <v>0</v>
      </c>
      <c r="DC2219">
        <v>0</v>
      </c>
      <c r="DD2219">
        <v>0</v>
      </c>
      <c r="DE2219">
        <v>0</v>
      </c>
      <c r="DF2219">
        <v>0</v>
      </c>
      <c r="DG2219">
        <v>0</v>
      </c>
      <c r="DH2219">
        <v>0</v>
      </c>
      <c r="DI2219">
        <v>0</v>
      </c>
    </row>
    <row r="2220" spans="1:113" x14ac:dyDescent="0.3">
      <c r="A2220" t="str">
        <f>"02/08/2021 20:26:16.445"</f>
        <v>02/08/2021 20:26:16.445</v>
      </c>
      <c r="C2220" t="str">
        <f t="shared" si="105"/>
        <v>FFDFD7C0</v>
      </c>
      <c r="D2220" t="s">
        <v>124</v>
      </c>
      <c r="E2220">
        <v>12</v>
      </c>
      <c r="F2220">
        <v>1012</v>
      </c>
      <c r="G2220" t="s">
        <v>675</v>
      </c>
      <c r="J2220" t="s">
        <v>125</v>
      </c>
      <c r="K2220">
        <v>0</v>
      </c>
      <c r="L2220">
        <v>3</v>
      </c>
      <c r="M2220">
        <v>0</v>
      </c>
      <c r="N2220">
        <v>2</v>
      </c>
      <c r="O2220">
        <v>1</v>
      </c>
      <c r="P2220">
        <v>0</v>
      </c>
      <c r="Q2220">
        <v>0</v>
      </c>
      <c r="S2220" t="str">
        <f>"20:26:18.758"</f>
        <v>20:26:18.758</v>
      </c>
      <c r="T2220" t="str">
        <f>"20:26:17.858"</f>
        <v>20:26:17.858</v>
      </c>
      <c r="U2220" t="str">
        <f t="shared" si="107"/>
        <v>AB01F4</v>
      </c>
      <c r="V2220">
        <v>0</v>
      </c>
      <c r="W2220">
        <v>0</v>
      </c>
      <c r="X2220">
        <v>2</v>
      </c>
      <c r="Z2220">
        <v>0</v>
      </c>
      <c r="AA2220">
        <v>9</v>
      </c>
      <c r="AB2220">
        <v>3</v>
      </c>
      <c r="AC2220">
        <v>0</v>
      </c>
      <c r="AD2220">
        <v>10</v>
      </c>
      <c r="AE2220">
        <v>0</v>
      </c>
      <c r="AF2220">
        <v>3</v>
      </c>
      <c r="AG2220">
        <v>2</v>
      </c>
      <c r="AH2220">
        <v>0</v>
      </c>
      <c r="AI2220" t="s">
        <v>1359</v>
      </c>
      <c r="AJ2220">
        <v>39.959335000000003</v>
      </c>
      <c r="AK2220" t="s">
        <v>1360</v>
      </c>
      <c r="AL2220">
        <v>-92.675364000000002</v>
      </c>
      <c r="AM2220">
        <v>100</v>
      </c>
      <c r="AN2220">
        <v>1700</v>
      </c>
      <c r="AO2220" t="s">
        <v>118</v>
      </c>
      <c r="AP2220">
        <v>-107</v>
      </c>
      <c r="AQ2220">
        <v>79</v>
      </c>
      <c r="AR2220">
        <v>128</v>
      </c>
      <c r="AZ2220">
        <v>1200</v>
      </c>
      <c r="BA2220">
        <v>1</v>
      </c>
      <c r="BB2220" t="str">
        <f t="shared" si="106"/>
        <v xml:space="preserve">N8080G  </v>
      </c>
      <c r="BC2220">
        <v>1</v>
      </c>
      <c r="BE2220">
        <v>0</v>
      </c>
      <c r="BF2220">
        <v>0</v>
      </c>
      <c r="BG2220">
        <v>0</v>
      </c>
      <c r="BH2220">
        <v>1700</v>
      </c>
      <c r="BI2220">
        <v>1</v>
      </c>
      <c r="BJ2220">
        <v>1</v>
      </c>
      <c r="BK2220">
        <v>1</v>
      </c>
      <c r="BL2220">
        <v>0</v>
      </c>
      <c r="BO2220">
        <v>0</v>
      </c>
      <c r="BP2220">
        <v>0</v>
      </c>
      <c r="BW2220" t="str">
        <f>"20:26:18.760"</f>
        <v>20:26:18.760</v>
      </c>
      <c r="BZ2220">
        <v>0</v>
      </c>
      <c r="CA2220">
        <v>2016</v>
      </c>
      <c r="CB2220">
        <v>224</v>
      </c>
      <c r="CD2220">
        <v>1</v>
      </c>
      <c r="CE2220">
        <v>0</v>
      </c>
      <c r="CF2220">
        <v>0</v>
      </c>
      <c r="CG2220">
        <v>1</v>
      </c>
      <c r="CH2220">
        <v>0</v>
      </c>
      <c r="CI2220">
        <v>0</v>
      </c>
      <c r="CJ2220">
        <v>0</v>
      </c>
      <c r="CK2220">
        <v>2</v>
      </c>
      <c r="CL2220">
        <v>0</v>
      </c>
      <c r="CM2220">
        <v>2</v>
      </c>
      <c r="CN2220">
        <v>0</v>
      </c>
      <c r="CO2220">
        <v>2</v>
      </c>
      <c r="CP2220" t="s">
        <v>119</v>
      </c>
      <c r="CQ2220">
        <v>179</v>
      </c>
      <c r="CR2220">
        <v>2</v>
      </c>
      <c r="CW2220">
        <v>12080219</v>
      </c>
      <c r="CY2220">
        <v>1</v>
      </c>
      <c r="CZ2220">
        <v>0</v>
      </c>
      <c r="DA2220">
        <v>1</v>
      </c>
      <c r="DB2220">
        <v>0</v>
      </c>
      <c r="DC2220">
        <v>0</v>
      </c>
      <c r="DD2220">
        <v>0</v>
      </c>
      <c r="DE2220">
        <v>0</v>
      </c>
      <c r="DF2220">
        <v>0</v>
      </c>
      <c r="DG2220">
        <v>0</v>
      </c>
      <c r="DH2220">
        <v>0</v>
      </c>
      <c r="DI2220">
        <v>0</v>
      </c>
    </row>
    <row r="2221" spans="1:113" x14ac:dyDescent="0.3">
      <c r="A2221" t="str">
        <f>"02/08/2021 20:26:16.445"</f>
        <v>02/08/2021 20:26:16.445</v>
      </c>
      <c r="C2221" t="str">
        <f t="shared" si="105"/>
        <v>FFDFD7C0</v>
      </c>
      <c r="D2221" t="s">
        <v>124</v>
      </c>
      <c r="E2221">
        <v>11</v>
      </c>
      <c r="F2221">
        <v>1011</v>
      </c>
      <c r="G2221" t="s">
        <v>590</v>
      </c>
      <c r="J2221" t="s">
        <v>125</v>
      </c>
      <c r="K2221">
        <v>0</v>
      </c>
      <c r="L2221">
        <v>3</v>
      </c>
      <c r="M2221">
        <v>0</v>
      </c>
      <c r="N2221">
        <v>2</v>
      </c>
      <c r="O2221">
        <v>1</v>
      </c>
      <c r="P2221">
        <v>0</v>
      </c>
      <c r="Q2221">
        <v>0</v>
      </c>
      <c r="S2221" t="str">
        <f>"20:26:18.758"</f>
        <v>20:26:18.758</v>
      </c>
      <c r="T2221" t="str">
        <f>"20:26:17.858"</f>
        <v>20:26:17.858</v>
      </c>
      <c r="U2221" t="str">
        <f t="shared" si="107"/>
        <v>AB01F4</v>
      </c>
      <c r="V2221">
        <v>0</v>
      </c>
      <c r="W2221">
        <v>0</v>
      </c>
      <c r="X2221">
        <v>2</v>
      </c>
      <c r="Z2221">
        <v>0</v>
      </c>
      <c r="AA2221">
        <v>9</v>
      </c>
      <c r="AB2221">
        <v>3</v>
      </c>
      <c r="AC2221">
        <v>0</v>
      </c>
      <c r="AD2221">
        <v>10</v>
      </c>
      <c r="AE2221">
        <v>0</v>
      </c>
      <c r="AF2221">
        <v>3</v>
      </c>
      <c r="AG2221">
        <v>2</v>
      </c>
      <c r="AH2221">
        <v>0</v>
      </c>
      <c r="AI2221" t="s">
        <v>1359</v>
      </c>
      <c r="AJ2221">
        <v>39.959335000000003</v>
      </c>
      <c r="AK2221" t="s">
        <v>1360</v>
      </c>
      <c r="AL2221">
        <v>-92.675364000000002</v>
      </c>
      <c r="AM2221">
        <v>100</v>
      </c>
      <c r="AN2221">
        <v>1700</v>
      </c>
      <c r="AO2221" t="s">
        <v>118</v>
      </c>
      <c r="AP2221">
        <v>-107</v>
      </c>
      <c r="AQ2221">
        <v>79</v>
      </c>
      <c r="AR2221">
        <v>128</v>
      </c>
      <c r="AZ2221">
        <v>1200</v>
      </c>
      <c r="BA2221">
        <v>1</v>
      </c>
      <c r="BB2221" t="str">
        <f t="shared" si="106"/>
        <v xml:space="preserve">N8080G  </v>
      </c>
      <c r="BC2221">
        <v>1</v>
      </c>
      <c r="BE2221">
        <v>0</v>
      </c>
      <c r="BF2221">
        <v>0</v>
      </c>
      <c r="BG2221">
        <v>0</v>
      </c>
      <c r="BH2221">
        <v>1700</v>
      </c>
      <c r="BI2221">
        <v>1</v>
      </c>
      <c r="BJ2221">
        <v>1</v>
      </c>
      <c r="BK2221">
        <v>1</v>
      </c>
      <c r="BL2221">
        <v>0</v>
      </c>
      <c r="BO2221">
        <v>0</v>
      </c>
      <c r="BP2221">
        <v>0</v>
      </c>
      <c r="BW2221" t="str">
        <f>"20:26:18.760"</f>
        <v>20:26:18.760</v>
      </c>
      <c r="BZ2221">
        <v>0</v>
      </c>
      <c r="CA2221">
        <v>2016</v>
      </c>
      <c r="CB2221">
        <v>224</v>
      </c>
      <c r="CD2221">
        <v>1</v>
      </c>
      <c r="CE2221">
        <v>0</v>
      </c>
      <c r="CF2221">
        <v>0</v>
      </c>
      <c r="CG2221">
        <v>1</v>
      </c>
      <c r="CH2221">
        <v>0</v>
      </c>
      <c r="CI2221">
        <v>0</v>
      </c>
      <c r="CJ2221">
        <v>0</v>
      </c>
      <c r="CK2221">
        <v>2</v>
      </c>
      <c r="CL2221">
        <v>0</v>
      </c>
      <c r="CM2221">
        <v>2</v>
      </c>
      <c r="CN2221">
        <v>0</v>
      </c>
      <c r="CO2221">
        <v>2</v>
      </c>
      <c r="CP2221" t="s">
        <v>119</v>
      </c>
      <c r="CQ2221">
        <v>179</v>
      </c>
      <c r="CR2221">
        <v>2</v>
      </c>
      <c r="CW2221">
        <v>12080219</v>
      </c>
      <c r="CY2221">
        <v>1</v>
      </c>
      <c r="CZ2221">
        <v>0</v>
      </c>
      <c r="DA2221">
        <v>1</v>
      </c>
      <c r="DB2221">
        <v>0</v>
      </c>
      <c r="DC2221">
        <v>0</v>
      </c>
      <c r="DD2221">
        <v>0</v>
      </c>
      <c r="DE2221">
        <v>0</v>
      </c>
      <c r="DF2221">
        <v>0</v>
      </c>
      <c r="DG2221">
        <v>0</v>
      </c>
      <c r="DH2221">
        <v>0</v>
      </c>
      <c r="DI2221">
        <v>0</v>
      </c>
    </row>
    <row r="2222" spans="1:113" x14ac:dyDescent="0.3">
      <c r="A2222" t="str">
        <f>"02/08/2021 20:26:16.445"</f>
        <v>02/08/2021 20:26:16.445</v>
      </c>
      <c r="C2222" t="str">
        <f t="shared" si="105"/>
        <v>FFDFD7C0</v>
      </c>
      <c r="D2222" t="s">
        <v>124</v>
      </c>
      <c r="E2222">
        <v>13</v>
      </c>
      <c r="F2222">
        <v>1013</v>
      </c>
      <c r="G2222" t="s">
        <v>114</v>
      </c>
      <c r="J2222" t="s">
        <v>125</v>
      </c>
      <c r="K2222">
        <v>0</v>
      </c>
      <c r="L2222">
        <v>3</v>
      </c>
      <c r="M2222">
        <v>0</v>
      </c>
      <c r="N2222">
        <v>2</v>
      </c>
      <c r="O2222">
        <v>1</v>
      </c>
      <c r="P2222">
        <v>0</v>
      </c>
      <c r="Q2222">
        <v>0</v>
      </c>
      <c r="S2222" t="str">
        <f>"20:26:18.758"</f>
        <v>20:26:18.758</v>
      </c>
      <c r="T2222" t="str">
        <f>"20:26:17.858"</f>
        <v>20:26:17.858</v>
      </c>
      <c r="U2222" t="str">
        <f t="shared" si="107"/>
        <v>AB01F4</v>
      </c>
      <c r="V2222">
        <v>0</v>
      </c>
      <c r="W2222">
        <v>0</v>
      </c>
      <c r="X2222">
        <v>2</v>
      </c>
      <c r="Z2222">
        <v>0</v>
      </c>
      <c r="AA2222">
        <v>9</v>
      </c>
      <c r="AB2222">
        <v>3</v>
      </c>
      <c r="AC2222">
        <v>0</v>
      </c>
      <c r="AD2222">
        <v>10</v>
      </c>
      <c r="AE2222">
        <v>0</v>
      </c>
      <c r="AF2222">
        <v>3</v>
      </c>
      <c r="AG2222">
        <v>2</v>
      </c>
      <c r="AH2222">
        <v>0</v>
      </c>
      <c r="AI2222" t="s">
        <v>1359</v>
      </c>
      <c r="AJ2222">
        <v>39.959335000000003</v>
      </c>
      <c r="AK2222" t="s">
        <v>1360</v>
      </c>
      <c r="AL2222">
        <v>-92.675364000000002</v>
      </c>
      <c r="AM2222">
        <v>100</v>
      </c>
      <c r="AN2222">
        <v>1700</v>
      </c>
      <c r="AO2222" t="s">
        <v>118</v>
      </c>
      <c r="AP2222">
        <v>-107</v>
      </c>
      <c r="AQ2222">
        <v>79</v>
      </c>
      <c r="AR2222">
        <v>128</v>
      </c>
      <c r="AZ2222">
        <v>1200</v>
      </c>
      <c r="BA2222">
        <v>1</v>
      </c>
      <c r="BB2222" t="str">
        <f t="shared" si="106"/>
        <v xml:space="preserve">N8080G  </v>
      </c>
      <c r="BC2222">
        <v>1</v>
      </c>
      <c r="BE2222">
        <v>0</v>
      </c>
      <c r="BF2222">
        <v>0</v>
      </c>
      <c r="BG2222">
        <v>0</v>
      </c>
      <c r="BH2222">
        <v>1700</v>
      </c>
      <c r="BI2222">
        <v>1</v>
      </c>
      <c r="BJ2222">
        <v>1</v>
      </c>
      <c r="BK2222">
        <v>1</v>
      </c>
      <c r="BL2222">
        <v>0</v>
      </c>
      <c r="BO2222">
        <v>0</v>
      </c>
      <c r="BP2222">
        <v>0</v>
      </c>
      <c r="BW2222" t="str">
        <f>"20:26:18.760"</f>
        <v>20:26:18.760</v>
      </c>
      <c r="BZ2222">
        <v>0</v>
      </c>
      <c r="CA2222">
        <v>2016</v>
      </c>
      <c r="CB2222">
        <v>224</v>
      </c>
      <c r="CD2222">
        <v>1</v>
      </c>
      <c r="CE2222">
        <v>0</v>
      </c>
      <c r="CF2222">
        <v>0</v>
      </c>
      <c r="CG2222">
        <v>1</v>
      </c>
      <c r="CH2222">
        <v>0</v>
      </c>
      <c r="CI2222">
        <v>0</v>
      </c>
      <c r="CJ2222">
        <v>0</v>
      </c>
      <c r="CK2222">
        <v>2</v>
      </c>
      <c r="CL2222">
        <v>0</v>
      </c>
      <c r="CM2222">
        <v>2</v>
      </c>
      <c r="CN2222">
        <v>0</v>
      </c>
      <c r="CO2222">
        <v>2</v>
      </c>
      <c r="CP2222" t="s">
        <v>119</v>
      </c>
      <c r="CQ2222">
        <v>179</v>
      </c>
      <c r="CR2222">
        <v>2</v>
      </c>
      <c r="CW2222">
        <v>12080219</v>
      </c>
      <c r="CY2222">
        <v>1</v>
      </c>
      <c r="CZ2222">
        <v>0</v>
      </c>
      <c r="DA2222">
        <v>1</v>
      </c>
      <c r="DB2222">
        <v>0</v>
      </c>
      <c r="DC2222">
        <v>0</v>
      </c>
      <c r="DD2222">
        <v>0</v>
      </c>
      <c r="DE2222">
        <v>0</v>
      </c>
      <c r="DF2222">
        <v>0</v>
      </c>
      <c r="DG2222">
        <v>0</v>
      </c>
      <c r="DH2222">
        <v>0</v>
      </c>
      <c r="DI2222">
        <v>0</v>
      </c>
    </row>
    <row r="2223" spans="1:113" x14ac:dyDescent="0.3">
      <c r="A2223" t="str">
        <f>"02/08/2021 20:26:17.342"</f>
        <v>02/08/2021 20:26:17.342</v>
      </c>
      <c r="C2223" t="str">
        <f t="shared" ref="C2223:C2286" si="108">"FFDFD7C0"</f>
        <v>FFDFD7C0</v>
      </c>
      <c r="D2223" t="s">
        <v>124</v>
      </c>
      <c r="E2223">
        <v>13</v>
      </c>
      <c r="F2223">
        <v>1013</v>
      </c>
      <c r="G2223" t="s">
        <v>114</v>
      </c>
      <c r="J2223" t="s">
        <v>125</v>
      </c>
      <c r="K2223">
        <v>0</v>
      </c>
      <c r="L2223">
        <v>3</v>
      </c>
      <c r="M2223">
        <v>0</v>
      </c>
      <c r="N2223">
        <v>2</v>
      </c>
      <c r="O2223">
        <v>1</v>
      </c>
      <c r="P2223">
        <v>0</v>
      </c>
      <c r="Q2223">
        <v>0</v>
      </c>
      <c r="S2223" t="str">
        <f>"20:26:19.680"</f>
        <v>20:26:19.680</v>
      </c>
      <c r="T2223" t="str">
        <f>"20:26:19.180"</f>
        <v>20:26:19.180</v>
      </c>
      <c r="U2223" t="str">
        <f t="shared" si="107"/>
        <v>AB01F4</v>
      </c>
      <c r="V2223">
        <v>0</v>
      </c>
      <c r="W2223">
        <v>0</v>
      </c>
      <c r="X2223">
        <v>2</v>
      </c>
      <c r="Z2223">
        <v>0</v>
      </c>
      <c r="AA2223">
        <v>9</v>
      </c>
      <c r="AB2223">
        <v>3</v>
      </c>
      <c r="AC2223">
        <v>0</v>
      </c>
      <c r="AD2223">
        <v>10</v>
      </c>
      <c r="AE2223">
        <v>0</v>
      </c>
      <c r="AF2223">
        <v>3</v>
      </c>
      <c r="AG2223">
        <v>2</v>
      </c>
      <c r="AH2223">
        <v>0</v>
      </c>
      <c r="AI2223" t="s">
        <v>1361</v>
      </c>
      <c r="AJ2223">
        <v>39.959657</v>
      </c>
      <c r="AK2223" t="s">
        <v>1362</v>
      </c>
      <c r="AL2223">
        <v>-92.675922</v>
      </c>
      <c r="AM2223">
        <v>100</v>
      </c>
      <c r="AN2223">
        <v>1700</v>
      </c>
      <c r="AO2223" t="s">
        <v>118</v>
      </c>
      <c r="AP2223">
        <v>-107</v>
      </c>
      <c r="AQ2223">
        <v>79</v>
      </c>
      <c r="AR2223">
        <v>192</v>
      </c>
      <c r="AZ2223">
        <v>1200</v>
      </c>
      <c r="BA2223">
        <v>1</v>
      </c>
      <c r="BB2223" t="str">
        <f t="shared" ref="BB2223:BB2286" si="109">"N8080G  "</f>
        <v xml:space="preserve">N8080G  </v>
      </c>
      <c r="BC2223">
        <v>1</v>
      </c>
      <c r="BE2223">
        <v>0</v>
      </c>
      <c r="BF2223">
        <v>0</v>
      </c>
      <c r="BG2223">
        <v>0</v>
      </c>
      <c r="BH2223">
        <v>1700</v>
      </c>
      <c r="BI2223">
        <v>1</v>
      </c>
      <c r="BJ2223">
        <v>1</v>
      </c>
      <c r="BK2223">
        <v>1</v>
      </c>
      <c r="BL2223">
        <v>0</v>
      </c>
      <c r="BO2223">
        <v>0</v>
      </c>
      <c r="BP2223">
        <v>0</v>
      </c>
      <c r="BW2223" t="str">
        <f>"20:26:19.683"</f>
        <v>20:26:19.683</v>
      </c>
      <c r="BZ2223">
        <v>0</v>
      </c>
      <c r="CA2223">
        <v>2016</v>
      </c>
      <c r="CB2223">
        <v>224</v>
      </c>
      <c r="CD2223">
        <v>1</v>
      </c>
      <c r="CE2223">
        <v>0</v>
      </c>
      <c r="CF2223">
        <v>0</v>
      </c>
      <c r="CG2223">
        <v>1</v>
      </c>
      <c r="CH2223">
        <v>0</v>
      </c>
      <c r="CI2223">
        <v>0</v>
      </c>
      <c r="CJ2223">
        <v>0</v>
      </c>
      <c r="CK2223">
        <v>2</v>
      </c>
      <c r="CL2223">
        <v>0</v>
      </c>
      <c r="CM2223">
        <v>2</v>
      </c>
      <c r="CN2223">
        <v>0</v>
      </c>
      <c r="CO2223">
        <v>7</v>
      </c>
      <c r="CP2223" t="s">
        <v>119</v>
      </c>
      <c r="CQ2223">
        <v>180</v>
      </c>
      <c r="CR2223">
        <v>2</v>
      </c>
      <c r="CW2223">
        <v>8472632</v>
      </c>
      <c r="CY2223">
        <v>1</v>
      </c>
      <c r="CZ2223">
        <v>0</v>
      </c>
      <c r="DA2223">
        <v>0</v>
      </c>
      <c r="DB2223">
        <v>0</v>
      </c>
      <c r="DC2223">
        <v>0</v>
      </c>
      <c r="DD2223">
        <v>0</v>
      </c>
      <c r="DE2223">
        <v>0</v>
      </c>
      <c r="DF2223">
        <v>0</v>
      </c>
      <c r="DG2223">
        <v>0</v>
      </c>
      <c r="DH2223">
        <v>0</v>
      </c>
      <c r="DI2223">
        <v>0</v>
      </c>
    </row>
    <row r="2224" spans="1:113" x14ac:dyDescent="0.3">
      <c r="A2224" t="str">
        <f>"02/08/2021 20:26:17.342"</f>
        <v>02/08/2021 20:26:17.342</v>
      </c>
      <c r="C2224" t="str">
        <f t="shared" si="108"/>
        <v>FFDFD7C0</v>
      </c>
      <c r="D2224" t="s">
        <v>113</v>
      </c>
      <c r="E2224">
        <v>6</v>
      </c>
      <c r="H2224">
        <v>165</v>
      </c>
      <c r="I2224" t="s">
        <v>114</v>
      </c>
      <c r="J2224" t="s">
        <v>115</v>
      </c>
      <c r="K2224">
        <v>0</v>
      </c>
      <c r="L2224">
        <v>3</v>
      </c>
      <c r="M2224">
        <v>0</v>
      </c>
      <c r="N2224">
        <v>2</v>
      </c>
      <c r="O2224">
        <v>1</v>
      </c>
      <c r="P2224">
        <v>0</v>
      </c>
      <c r="Q2224">
        <v>0</v>
      </c>
      <c r="S2224" t="str">
        <f>"20:26:19.680"</f>
        <v>20:26:19.680</v>
      </c>
      <c r="T2224" t="str">
        <f>"20:26:19.180"</f>
        <v>20:26:19.180</v>
      </c>
      <c r="U2224" t="str">
        <f t="shared" si="107"/>
        <v>AB01F4</v>
      </c>
      <c r="V2224">
        <v>0</v>
      </c>
      <c r="W2224">
        <v>0</v>
      </c>
      <c r="X2224">
        <v>2</v>
      </c>
      <c r="Z2224">
        <v>0</v>
      </c>
      <c r="AA2224">
        <v>9</v>
      </c>
      <c r="AB2224">
        <v>3</v>
      </c>
      <c r="AC2224">
        <v>0</v>
      </c>
      <c r="AD2224">
        <v>10</v>
      </c>
      <c r="AE2224">
        <v>0</v>
      </c>
      <c r="AF2224">
        <v>3</v>
      </c>
      <c r="AG2224">
        <v>2</v>
      </c>
      <c r="AH2224">
        <v>0</v>
      </c>
      <c r="AI2224" t="s">
        <v>1361</v>
      </c>
      <c r="AJ2224">
        <v>39.959657</v>
      </c>
      <c r="AK2224" t="s">
        <v>1362</v>
      </c>
      <c r="AL2224">
        <v>-92.675922</v>
      </c>
      <c r="AM2224">
        <v>100</v>
      </c>
      <c r="AN2224">
        <v>1700</v>
      </c>
      <c r="AO2224" t="s">
        <v>118</v>
      </c>
      <c r="AP2224">
        <v>-107</v>
      </c>
      <c r="AQ2224">
        <v>79</v>
      </c>
      <c r="AR2224">
        <v>192</v>
      </c>
      <c r="AZ2224">
        <v>1200</v>
      </c>
      <c r="BA2224">
        <v>1</v>
      </c>
      <c r="BB2224" t="str">
        <f t="shared" si="109"/>
        <v xml:space="preserve">N8080G  </v>
      </c>
      <c r="BC2224">
        <v>1</v>
      </c>
      <c r="BE2224">
        <v>0</v>
      </c>
      <c r="BF2224">
        <v>0</v>
      </c>
      <c r="BG2224">
        <v>0</v>
      </c>
      <c r="BH2224">
        <v>1700</v>
      </c>
      <c r="BI2224">
        <v>1</v>
      </c>
      <c r="BJ2224">
        <v>1</v>
      </c>
      <c r="BK2224">
        <v>1</v>
      </c>
      <c r="BL2224">
        <v>0</v>
      </c>
      <c r="BO2224">
        <v>0</v>
      </c>
      <c r="BP2224">
        <v>0</v>
      </c>
      <c r="BW2224" t="str">
        <f>"20:26:19.683"</f>
        <v>20:26:19.683</v>
      </c>
      <c r="BZ2224">
        <v>0</v>
      </c>
      <c r="CA2224">
        <v>2016</v>
      </c>
      <c r="CB2224">
        <v>224</v>
      </c>
      <c r="CD2224">
        <v>1</v>
      </c>
      <c r="CE2224">
        <v>0</v>
      </c>
      <c r="CF2224">
        <v>0</v>
      </c>
      <c r="CG2224">
        <v>1</v>
      </c>
      <c r="CH2224">
        <v>0</v>
      </c>
      <c r="CI2224">
        <v>0</v>
      </c>
      <c r="CJ2224">
        <v>0</v>
      </c>
      <c r="CK2224">
        <v>2</v>
      </c>
      <c r="CL2224">
        <v>0</v>
      </c>
      <c r="CM2224">
        <v>2</v>
      </c>
      <c r="CN2224">
        <v>0</v>
      </c>
      <c r="CO2224">
        <v>7</v>
      </c>
      <c r="CP2224" t="s">
        <v>119</v>
      </c>
      <c r="CQ2224">
        <v>180</v>
      </c>
      <c r="CR2224">
        <v>2</v>
      </c>
      <c r="CW2224">
        <v>8472632</v>
      </c>
      <c r="CY2224">
        <v>1</v>
      </c>
      <c r="CZ2224">
        <v>0</v>
      </c>
      <c r="DA2224">
        <v>1</v>
      </c>
      <c r="DB2224">
        <v>0</v>
      </c>
      <c r="DC2224">
        <v>0</v>
      </c>
      <c r="DD2224">
        <v>0</v>
      </c>
      <c r="DE2224">
        <v>0</v>
      </c>
      <c r="DF2224">
        <v>0</v>
      </c>
      <c r="DG2224">
        <v>0</v>
      </c>
      <c r="DH2224">
        <v>0</v>
      </c>
      <c r="DI2224">
        <v>0</v>
      </c>
    </row>
    <row r="2225" spans="1:113" x14ac:dyDescent="0.3">
      <c r="A2225" t="str">
        <f>"02/08/2021 20:26:17.342"</f>
        <v>02/08/2021 20:26:17.342</v>
      </c>
      <c r="C2225" t="str">
        <f t="shared" si="108"/>
        <v>FFDFD7C0</v>
      </c>
      <c r="D2225" t="s">
        <v>124</v>
      </c>
      <c r="E2225">
        <v>12</v>
      </c>
      <c r="F2225">
        <v>1012</v>
      </c>
      <c r="G2225" t="s">
        <v>675</v>
      </c>
      <c r="J2225" t="s">
        <v>125</v>
      </c>
      <c r="K2225">
        <v>0</v>
      </c>
      <c r="L2225">
        <v>3</v>
      </c>
      <c r="M2225">
        <v>0</v>
      </c>
      <c r="N2225">
        <v>2</v>
      </c>
      <c r="O2225">
        <v>1</v>
      </c>
      <c r="P2225">
        <v>0</v>
      </c>
      <c r="Q2225">
        <v>0</v>
      </c>
      <c r="S2225" t="str">
        <f>"20:26:19.680"</f>
        <v>20:26:19.680</v>
      </c>
      <c r="T2225" t="str">
        <f>"20:26:19.180"</f>
        <v>20:26:19.180</v>
      </c>
      <c r="U2225" t="str">
        <f t="shared" si="107"/>
        <v>AB01F4</v>
      </c>
      <c r="V2225">
        <v>0</v>
      </c>
      <c r="W2225">
        <v>0</v>
      </c>
      <c r="X2225">
        <v>2</v>
      </c>
      <c r="Z2225">
        <v>0</v>
      </c>
      <c r="AA2225">
        <v>9</v>
      </c>
      <c r="AB2225">
        <v>3</v>
      </c>
      <c r="AC2225">
        <v>0</v>
      </c>
      <c r="AD2225">
        <v>10</v>
      </c>
      <c r="AE2225">
        <v>0</v>
      </c>
      <c r="AF2225">
        <v>3</v>
      </c>
      <c r="AG2225">
        <v>2</v>
      </c>
      <c r="AH2225">
        <v>0</v>
      </c>
      <c r="AI2225" t="s">
        <v>1361</v>
      </c>
      <c r="AJ2225">
        <v>39.959657</v>
      </c>
      <c r="AK2225" t="s">
        <v>1362</v>
      </c>
      <c r="AL2225">
        <v>-92.675922</v>
      </c>
      <c r="AM2225">
        <v>100</v>
      </c>
      <c r="AN2225">
        <v>1700</v>
      </c>
      <c r="AO2225" t="s">
        <v>118</v>
      </c>
      <c r="AP2225">
        <v>-107</v>
      </c>
      <c r="AQ2225">
        <v>79</v>
      </c>
      <c r="AR2225">
        <v>192</v>
      </c>
      <c r="AZ2225">
        <v>1200</v>
      </c>
      <c r="BA2225">
        <v>1</v>
      </c>
      <c r="BB2225" t="str">
        <f t="shared" si="109"/>
        <v xml:space="preserve">N8080G  </v>
      </c>
      <c r="BC2225">
        <v>1</v>
      </c>
      <c r="BE2225">
        <v>0</v>
      </c>
      <c r="BF2225">
        <v>0</v>
      </c>
      <c r="BG2225">
        <v>0</v>
      </c>
      <c r="BH2225">
        <v>1700</v>
      </c>
      <c r="BI2225">
        <v>1</v>
      </c>
      <c r="BJ2225">
        <v>1</v>
      </c>
      <c r="BK2225">
        <v>1</v>
      </c>
      <c r="BL2225">
        <v>0</v>
      </c>
      <c r="BO2225">
        <v>0</v>
      </c>
      <c r="BP2225">
        <v>0</v>
      </c>
      <c r="BW2225" t="str">
        <f>"20:26:19.683"</f>
        <v>20:26:19.683</v>
      </c>
      <c r="BZ2225">
        <v>0</v>
      </c>
      <c r="CA2225">
        <v>2016</v>
      </c>
      <c r="CB2225">
        <v>224</v>
      </c>
      <c r="CD2225">
        <v>1</v>
      </c>
      <c r="CE2225">
        <v>0</v>
      </c>
      <c r="CF2225">
        <v>0</v>
      </c>
      <c r="CG2225">
        <v>1</v>
      </c>
      <c r="CH2225">
        <v>0</v>
      </c>
      <c r="CI2225">
        <v>0</v>
      </c>
      <c r="CJ2225">
        <v>0</v>
      </c>
      <c r="CK2225">
        <v>2</v>
      </c>
      <c r="CL2225">
        <v>0</v>
      </c>
      <c r="CM2225">
        <v>2</v>
      </c>
      <c r="CN2225">
        <v>0</v>
      </c>
      <c r="CO2225">
        <v>7</v>
      </c>
      <c r="CP2225" t="s">
        <v>119</v>
      </c>
      <c r="CQ2225">
        <v>180</v>
      </c>
      <c r="CR2225">
        <v>2</v>
      </c>
      <c r="CW2225">
        <v>8472632</v>
      </c>
      <c r="CY2225">
        <v>1</v>
      </c>
      <c r="CZ2225">
        <v>0</v>
      </c>
      <c r="DA2225">
        <v>1</v>
      </c>
      <c r="DB2225">
        <v>0</v>
      </c>
      <c r="DC2225">
        <v>0</v>
      </c>
      <c r="DD2225">
        <v>0</v>
      </c>
      <c r="DE2225">
        <v>0</v>
      </c>
      <c r="DF2225">
        <v>0</v>
      </c>
      <c r="DG2225">
        <v>0</v>
      </c>
      <c r="DH2225">
        <v>0</v>
      </c>
      <c r="DI2225">
        <v>0</v>
      </c>
    </row>
    <row r="2226" spans="1:113" x14ac:dyDescent="0.3">
      <c r="A2226" t="str">
        <f>"02/08/2021 20:26:17.342"</f>
        <v>02/08/2021 20:26:17.342</v>
      </c>
      <c r="C2226" t="str">
        <f t="shared" si="108"/>
        <v>FFDFD7C0</v>
      </c>
      <c r="D2226" t="s">
        <v>124</v>
      </c>
      <c r="E2226">
        <v>11</v>
      </c>
      <c r="F2226">
        <v>1011</v>
      </c>
      <c r="G2226" t="s">
        <v>590</v>
      </c>
      <c r="J2226" t="s">
        <v>125</v>
      </c>
      <c r="K2226">
        <v>0</v>
      </c>
      <c r="L2226">
        <v>3</v>
      </c>
      <c r="M2226">
        <v>0</v>
      </c>
      <c r="N2226">
        <v>2</v>
      </c>
      <c r="O2226">
        <v>1</v>
      </c>
      <c r="P2226">
        <v>0</v>
      </c>
      <c r="Q2226">
        <v>0</v>
      </c>
      <c r="S2226" t="str">
        <f>"20:26:19.680"</f>
        <v>20:26:19.680</v>
      </c>
      <c r="T2226" t="str">
        <f>"20:26:19.180"</f>
        <v>20:26:19.180</v>
      </c>
      <c r="U2226" t="str">
        <f t="shared" si="107"/>
        <v>AB01F4</v>
      </c>
      <c r="V2226">
        <v>0</v>
      </c>
      <c r="W2226">
        <v>0</v>
      </c>
      <c r="X2226">
        <v>2</v>
      </c>
      <c r="Z2226">
        <v>0</v>
      </c>
      <c r="AA2226">
        <v>9</v>
      </c>
      <c r="AB2226">
        <v>3</v>
      </c>
      <c r="AC2226">
        <v>0</v>
      </c>
      <c r="AD2226">
        <v>10</v>
      </c>
      <c r="AE2226">
        <v>0</v>
      </c>
      <c r="AF2226">
        <v>3</v>
      </c>
      <c r="AG2226">
        <v>2</v>
      </c>
      <c r="AH2226">
        <v>0</v>
      </c>
      <c r="AI2226" t="s">
        <v>1361</v>
      </c>
      <c r="AJ2226">
        <v>39.959657</v>
      </c>
      <c r="AK2226" t="s">
        <v>1362</v>
      </c>
      <c r="AL2226">
        <v>-92.675922</v>
      </c>
      <c r="AM2226">
        <v>100</v>
      </c>
      <c r="AN2226">
        <v>1700</v>
      </c>
      <c r="AO2226" t="s">
        <v>118</v>
      </c>
      <c r="AP2226">
        <v>-107</v>
      </c>
      <c r="AQ2226">
        <v>79</v>
      </c>
      <c r="AR2226">
        <v>192</v>
      </c>
      <c r="AZ2226">
        <v>1200</v>
      </c>
      <c r="BA2226">
        <v>1</v>
      </c>
      <c r="BB2226" t="str">
        <f t="shared" si="109"/>
        <v xml:space="preserve">N8080G  </v>
      </c>
      <c r="BC2226">
        <v>1</v>
      </c>
      <c r="BE2226">
        <v>0</v>
      </c>
      <c r="BF2226">
        <v>0</v>
      </c>
      <c r="BG2226">
        <v>0</v>
      </c>
      <c r="BH2226">
        <v>1700</v>
      </c>
      <c r="BI2226">
        <v>1</v>
      </c>
      <c r="BJ2226">
        <v>1</v>
      </c>
      <c r="BK2226">
        <v>1</v>
      </c>
      <c r="BL2226">
        <v>0</v>
      </c>
      <c r="BO2226">
        <v>0</v>
      </c>
      <c r="BP2226">
        <v>0</v>
      </c>
      <c r="BW2226" t="str">
        <f>"20:26:19.683"</f>
        <v>20:26:19.683</v>
      </c>
      <c r="BZ2226">
        <v>0</v>
      </c>
      <c r="CA2226">
        <v>2016</v>
      </c>
      <c r="CB2226">
        <v>224</v>
      </c>
      <c r="CD2226">
        <v>1</v>
      </c>
      <c r="CE2226">
        <v>0</v>
      </c>
      <c r="CF2226">
        <v>0</v>
      </c>
      <c r="CG2226">
        <v>1</v>
      </c>
      <c r="CH2226">
        <v>0</v>
      </c>
      <c r="CI2226">
        <v>0</v>
      </c>
      <c r="CJ2226">
        <v>0</v>
      </c>
      <c r="CK2226">
        <v>2</v>
      </c>
      <c r="CL2226">
        <v>0</v>
      </c>
      <c r="CM2226">
        <v>2</v>
      </c>
      <c r="CN2226">
        <v>0</v>
      </c>
      <c r="CO2226">
        <v>7</v>
      </c>
      <c r="CP2226" t="s">
        <v>119</v>
      </c>
      <c r="CQ2226">
        <v>180</v>
      </c>
      <c r="CR2226">
        <v>2</v>
      </c>
      <c r="CW2226">
        <v>8472632</v>
      </c>
      <c r="CY2226">
        <v>1</v>
      </c>
      <c r="CZ2226">
        <v>0</v>
      </c>
      <c r="DA2226">
        <v>1</v>
      </c>
      <c r="DB2226">
        <v>0</v>
      </c>
      <c r="DC2226">
        <v>0</v>
      </c>
      <c r="DD2226">
        <v>0</v>
      </c>
      <c r="DE2226">
        <v>0</v>
      </c>
      <c r="DF2226">
        <v>0</v>
      </c>
      <c r="DG2226">
        <v>0</v>
      </c>
      <c r="DH2226">
        <v>0</v>
      </c>
      <c r="DI2226">
        <v>0</v>
      </c>
    </row>
    <row r="2227" spans="1:113" x14ac:dyDescent="0.3">
      <c r="A2227" t="str">
        <f>"02/08/2021 20:26:19.835"</f>
        <v>02/08/2021 20:26:19.835</v>
      </c>
      <c r="C2227" t="str">
        <f t="shared" si="108"/>
        <v>FFDFD7C0</v>
      </c>
      <c r="D2227" t="s">
        <v>124</v>
      </c>
      <c r="E2227">
        <v>12</v>
      </c>
      <c r="F2227">
        <v>1012</v>
      </c>
      <c r="G2227" t="s">
        <v>675</v>
      </c>
      <c r="J2227" t="s">
        <v>125</v>
      </c>
      <c r="K2227">
        <v>0</v>
      </c>
      <c r="L2227">
        <v>3</v>
      </c>
      <c r="M2227">
        <v>0</v>
      </c>
      <c r="N2227">
        <v>2</v>
      </c>
      <c r="O2227">
        <v>1</v>
      </c>
      <c r="P2227">
        <v>0</v>
      </c>
      <c r="Q2227">
        <v>0</v>
      </c>
      <c r="S2227" t="str">
        <f>"20:26:22.156"</f>
        <v>20:26:22.156</v>
      </c>
      <c r="T2227" t="str">
        <f>"20:26:21.656"</f>
        <v>20:26:21.656</v>
      </c>
      <c r="U2227" t="str">
        <f t="shared" si="107"/>
        <v>AB01F4</v>
      </c>
      <c r="V2227">
        <v>0</v>
      </c>
      <c r="W2227">
        <v>0</v>
      </c>
      <c r="X2227">
        <v>2</v>
      </c>
      <c r="Z2227">
        <v>0</v>
      </c>
      <c r="AA2227">
        <v>9</v>
      </c>
      <c r="AB2227">
        <v>3</v>
      </c>
      <c r="AC2227">
        <v>0</v>
      </c>
      <c r="AD2227">
        <v>10</v>
      </c>
      <c r="AE2227">
        <v>0</v>
      </c>
      <c r="AF2227">
        <v>3</v>
      </c>
      <c r="AG2227">
        <v>2</v>
      </c>
      <c r="AH2227">
        <v>0</v>
      </c>
      <c r="AI2227" t="s">
        <v>1363</v>
      </c>
      <c r="AJ2227">
        <v>39.96058</v>
      </c>
      <c r="AK2227" t="s">
        <v>1364</v>
      </c>
      <c r="AL2227">
        <v>-92.677553000000003</v>
      </c>
      <c r="AM2227">
        <v>100</v>
      </c>
      <c r="AN2227">
        <v>1700</v>
      </c>
      <c r="AO2227" t="s">
        <v>118</v>
      </c>
      <c r="AP2227">
        <v>-107</v>
      </c>
      <c r="AQ2227">
        <v>78</v>
      </c>
      <c r="AR2227">
        <v>128</v>
      </c>
      <c r="AZ2227">
        <v>1200</v>
      </c>
      <c r="BA2227">
        <v>1</v>
      </c>
      <c r="BB2227" t="str">
        <f t="shared" si="109"/>
        <v xml:space="preserve">N8080G  </v>
      </c>
      <c r="BC2227">
        <v>1</v>
      </c>
      <c r="BE2227">
        <v>0</v>
      </c>
      <c r="BF2227">
        <v>0</v>
      </c>
      <c r="BG2227">
        <v>0</v>
      </c>
      <c r="BH2227">
        <v>1700</v>
      </c>
      <c r="BI2227">
        <v>1</v>
      </c>
      <c r="BJ2227">
        <v>1</v>
      </c>
      <c r="BK2227">
        <v>1</v>
      </c>
      <c r="BL2227">
        <v>0</v>
      </c>
      <c r="BO2227">
        <v>0</v>
      </c>
      <c r="BP2227">
        <v>0</v>
      </c>
      <c r="BW2227" t="str">
        <f>"20:26:22.163"</f>
        <v>20:26:22.163</v>
      </c>
      <c r="BZ2227">
        <v>0</v>
      </c>
      <c r="CA2227">
        <v>2016</v>
      </c>
      <c r="CB2227">
        <v>224</v>
      </c>
      <c r="CD2227">
        <v>1</v>
      </c>
      <c r="CE2227">
        <v>0</v>
      </c>
      <c r="CF2227">
        <v>0</v>
      </c>
      <c r="CG2227">
        <v>1</v>
      </c>
      <c r="CH2227">
        <v>0</v>
      </c>
      <c r="CI2227">
        <v>0</v>
      </c>
      <c r="CJ2227">
        <v>0</v>
      </c>
      <c r="CK2227">
        <v>2</v>
      </c>
      <c r="CL2227">
        <v>0</v>
      </c>
      <c r="CM2227">
        <v>2</v>
      </c>
      <c r="CN2227">
        <v>0</v>
      </c>
      <c r="CO2227">
        <v>3</v>
      </c>
      <c r="CP2227" t="s">
        <v>119</v>
      </c>
      <c r="CQ2227">
        <v>179</v>
      </c>
      <c r="CR2227">
        <v>1</v>
      </c>
      <c r="CW2227">
        <v>8917930</v>
      </c>
      <c r="CY2227">
        <v>1</v>
      </c>
      <c r="CZ2227">
        <v>0</v>
      </c>
      <c r="DA2227">
        <v>0</v>
      </c>
      <c r="DB2227">
        <v>0</v>
      </c>
      <c r="DC2227">
        <v>0</v>
      </c>
      <c r="DD2227">
        <v>0</v>
      </c>
      <c r="DE2227">
        <v>0</v>
      </c>
      <c r="DF2227">
        <v>0</v>
      </c>
      <c r="DG2227">
        <v>0</v>
      </c>
      <c r="DH2227">
        <v>0</v>
      </c>
      <c r="DI2227">
        <v>0</v>
      </c>
    </row>
    <row r="2228" spans="1:113" x14ac:dyDescent="0.3">
      <c r="A2228" t="str">
        <f>"02/08/2021 20:26:19.835"</f>
        <v>02/08/2021 20:26:19.835</v>
      </c>
      <c r="C2228" t="str">
        <f t="shared" si="108"/>
        <v>FFDFD7C0</v>
      </c>
      <c r="D2228" t="s">
        <v>124</v>
      </c>
      <c r="E2228">
        <v>11</v>
      </c>
      <c r="F2228">
        <v>1011</v>
      </c>
      <c r="G2228" t="s">
        <v>590</v>
      </c>
      <c r="J2228" t="s">
        <v>125</v>
      </c>
      <c r="K2228">
        <v>0</v>
      </c>
      <c r="L2228">
        <v>3</v>
      </c>
      <c r="M2228">
        <v>0</v>
      </c>
      <c r="N2228">
        <v>2</v>
      </c>
      <c r="O2228">
        <v>1</v>
      </c>
      <c r="P2228">
        <v>0</v>
      </c>
      <c r="Q2228">
        <v>0</v>
      </c>
      <c r="S2228" t="str">
        <f>"20:26:22.156"</f>
        <v>20:26:22.156</v>
      </c>
      <c r="T2228" t="str">
        <f>"20:26:21.656"</f>
        <v>20:26:21.656</v>
      </c>
      <c r="U2228" t="str">
        <f t="shared" si="107"/>
        <v>AB01F4</v>
      </c>
      <c r="V2228">
        <v>0</v>
      </c>
      <c r="W2228">
        <v>0</v>
      </c>
      <c r="X2228">
        <v>2</v>
      </c>
      <c r="Z2228">
        <v>0</v>
      </c>
      <c r="AA2228">
        <v>9</v>
      </c>
      <c r="AB2228">
        <v>3</v>
      </c>
      <c r="AC2228">
        <v>0</v>
      </c>
      <c r="AD2228">
        <v>10</v>
      </c>
      <c r="AE2228">
        <v>0</v>
      </c>
      <c r="AF2228">
        <v>3</v>
      </c>
      <c r="AG2228">
        <v>2</v>
      </c>
      <c r="AH2228">
        <v>0</v>
      </c>
      <c r="AI2228" t="s">
        <v>1363</v>
      </c>
      <c r="AJ2228">
        <v>39.96058</v>
      </c>
      <c r="AK2228" t="s">
        <v>1364</v>
      </c>
      <c r="AL2228">
        <v>-92.677553000000003</v>
      </c>
      <c r="AM2228">
        <v>100</v>
      </c>
      <c r="AN2228">
        <v>1700</v>
      </c>
      <c r="AO2228" t="s">
        <v>118</v>
      </c>
      <c r="AP2228">
        <v>-107</v>
      </c>
      <c r="AQ2228">
        <v>78</v>
      </c>
      <c r="AR2228">
        <v>128</v>
      </c>
      <c r="AZ2228">
        <v>1200</v>
      </c>
      <c r="BA2228">
        <v>1</v>
      </c>
      <c r="BB2228" t="str">
        <f t="shared" si="109"/>
        <v xml:space="preserve">N8080G  </v>
      </c>
      <c r="BC2228">
        <v>1</v>
      </c>
      <c r="BE2228">
        <v>0</v>
      </c>
      <c r="BF2228">
        <v>0</v>
      </c>
      <c r="BG2228">
        <v>0</v>
      </c>
      <c r="BH2228">
        <v>1700</v>
      </c>
      <c r="BI2228">
        <v>1</v>
      </c>
      <c r="BJ2228">
        <v>1</v>
      </c>
      <c r="BK2228">
        <v>1</v>
      </c>
      <c r="BL2228">
        <v>0</v>
      </c>
      <c r="BO2228">
        <v>0</v>
      </c>
      <c r="BP2228">
        <v>0</v>
      </c>
      <c r="BW2228" t="str">
        <f>"20:26:22.163"</f>
        <v>20:26:22.163</v>
      </c>
      <c r="BZ2228">
        <v>0</v>
      </c>
      <c r="CA2228">
        <v>2016</v>
      </c>
      <c r="CB2228">
        <v>224</v>
      </c>
      <c r="CD2228">
        <v>1</v>
      </c>
      <c r="CE2228">
        <v>0</v>
      </c>
      <c r="CF2228">
        <v>0</v>
      </c>
      <c r="CG2228">
        <v>1</v>
      </c>
      <c r="CH2228">
        <v>0</v>
      </c>
      <c r="CI2228">
        <v>0</v>
      </c>
      <c r="CJ2228">
        <v>0</v>
      </c>
      <c r="CK2228">
        <v>2</v>
      </c>
      <c r="CL2228">
        <v>0</v>
      </c>
      <c r="CM2228">
        <v>2</v>
      </c>
      <c r="CN2228">
        <v>0</v>
      </c>
      <c r="CO2228">
        <v>3</v>
      </c>
      <c r="CP2228" t="s">
        <v>119</v>
      </c>
      <c r="CQ2228">
        <v>179</v>
      </c>
      <c r="CR2228">
        <v>1</v>
      </c>
      <c r="CW2228">
        <v>8917930</v>
      </c>
      <c r="CY2228">
        <v>1</v>
      </c>
      <c r="CZ2228">
        <v>0</v>
      </c>
      <c r="DA2228">
        <v>1</v>
      </c>
      <c r="DB2228">
        <v>0</v>
      </c>
      <c r="DC2228">
        <v>0</v>
      </c>
      <c r="DD2228">
        <v>0</v>
      </c>
      <c r="DE2228">
        <v>0</v>
      </c>
      <c r="DF2228">
        <v>0</v>
      </c>
      <c r="DG2228">
        <v>0</v>
      </c>
      <c r="DH2228">
        <v>0</v>
      </c>
      <c r="DI2228">
        <v>0</v>
      </c>
    </row>
    <row r="2229" spans="1:113" x14ac:dyDescent="0.3">
      <c r="A2229" t="str">
        <f>"02/08/2021 20:26:19.835"</f>
        <v>02/08/2021 20:26:19.835</v>
      </c>
      <c r="C2229" t="str">
        <f t="shared" si="108"/>
        <v>FFDFD7C0</v>
      </c>
      <c r="D2229" t="s">
        <v>124</v>
      </c>
      <c r="E2229">
        <v>13</v>
      </c>
      <c r="F2229">
        <v>1013</v>
      </c>
      <c r="G2229" t="s">
        <v>114</v>
      </c>
      <c r="J2229" t="s">
        <v>125</v>
      </c>
      <c r="K2229">
        <v>0</v>
      </c>
      <c r="L2229">
        <v>3</v>
      </c>
      <c r="M2229">
        <v>0</v>
      </c>
      <c r="N2229">
        <v>2</v>
      </c>
      <c r="O2229">
        <v>1</v>
      </c>
      <c r="P2229">
        <v>0</v>
      </c>
      <c r="Q2229">
        <v>0</v>
      </c>
      <c r="S2229" t="str">
        <f>"20:26:22.156"</f>
        <v>20:26:22.156</v>
      </c>
      <c r="T2229" t="str">
        <f>"20:26:21.656"</f>
        <v>20:26:21.656</v>
      </c>
      <c r="U2229" t="str">
        <f t="shared" si="107"/>
        <v>AB01F4</v>
      </c>
      <c r="V2229">
        <v>0</v>
      </c>
      <c r="W2229">
        <v>0</v>
      </c>
      <c r="X2229">
        <v>2</v>
      </c>
      <c r="Z2229">
        <v>0</v>
      </c>
      <c r="AA2229">
        <v>9</v>
      </c>
      <c r="AB2229">
        <v>3</v>
      </c>
      <c r="AC2229">
        <v>0</v>
      </c>
      <c r="AD2229">
        <v>10</v>
      </c>
      <c r="AE2229">
        <v>0</v>
      </c>
      <c r="AF2229">
        <v>3</v>
      </c>
      <c r="AG2229">
        <v>2</v>
      </c>
      <c r="AH2229">
        <v>0</v>
      </c>
      <c r="AI2229" t="s">
        <v>1363</v>
      </c>
      <c r="AJ2229">
        <v>39.96058</v>
      </c>
      <c r="AK2229" t="s">
        <v>1364</v>
      </c>
      <c r="AL2229">
        <v>-92.677553000000003</v>
      </c>
      <c r="AM2229">
        <v>100</v>
      </c>
      <c r="AN2229">
        <v>1700</v>
      </c>
      <c r="AO2229" t="s">
        <v>118</v>
      </c>
      <c r="AP2229">
        <v>-107</v>
      </c>
      <c r="AQ2229">
        <v>78</v>
      </c>
      <c r="AR2229">
        <v>128</v>
      </c>
      <c r="AZ2229">
        <v>1200</v>
      </c>
      <c r="BA2229">
        <v>1</v>
      </c>
      <c r="BB2229" t="str">
        <f t="shared" si="109"/>
        <v xml:space="preserve">N8080G  </v>
      </c>
      <c r="BC2229">
        <v>1</v>
      </c>
      <c r="BE2229">
        <v>0</v>
      </c>
      <c r="BF2229">
        <v>0</v>
      </c>
      <c r="BG2229">
        <v>0</v>
      </c>
      <c r="BH2229">
        <v>1700</v>
      </c>
      <c r="BI2229">
        <v>1</v>
      </c>
      <c r="BJ2229">
        <v>1</v>
      </c>
      <c r="BK2229">
        <v>1</v>
      </c>
      <c r="BL2229">
        <v>0</v>
      </c>
      <c r="BO2229">
        <v>0</v>
      </c>
      <c r="BP2229">
        <v>0</v>
      </c>
      <c r="BW2229" t="str">
        <f>"20:26:22.163"</f>
        <v>20:26:22.163</v>
      </c>
      <c r="BZ2229">
        <v>0</v>
      </c>
      <c r="CA2229">
        <v>2016</v>
      </c>
      <c r="CB2229">
        <v>224</v>
      </c>
      <c r="CD2229">
        <v>1</v>
      </c>
      <c r="CE2229">
        <v>0</v>
      </c>
      <c r="CF2229">
        <v>0</v>
      </c>
      <c r="CG2229">
        <v>1</v>
      </c>
      <c r="CH2229">
        <v>0</v>
      </c>
      <c r="CI2229">
        <v>0</v>
      </c>
      <c r="CJ2229">
        <v>0</v>
      </c>
      <c r="CK2229">
        <v>2</v>
      </c>
      <c r="CL2229">
        <v>0</v>
      </c>
      <c r="CM2229">
        <v>2</v>
      </c>
      <c r="CN2229">
        <v>0</v>
      </c>
      <c r="CO2229">
        <v>3</v>
      </c>
      <c r="CP2229" t="s">
        <v>119</v>
      </c>
      <c r="CQ2229">
        <v>179</v>
      </c>
      <c r="CR2229">
        <v>1</v>
      </c>
      <c r="CW2229">
        <v>8917930</v>
      </c>
      <c r="CY2229">
        <v>1</v>
      </c>
      <c r="CZ2229">
        <v>0</v>
      </c>
      <c r="DA2229">
        <v>1</v>
      </c>
      <c r="DB2229">
        <v>0</v>
      </c>
      <c r="DC2229">
        <v>0</v>
      </c>
      <c r="DD2229">
        <v>0</v>
      </c>
      <c r="DE2229">
        <v>0</v>
      </c>
      <c r="DF2229">
        <v>0</v>
      </c>
      <c r="DG2229">
        <v>0</v>
      </c>
      <c r="DH2229">
        <v>0</v>
      </c>
      <c r="DI2229">
        <v>0</v>
      </c>
    </row>
    <row r="2230" spans="1:113" x14ac:dyDescent="0.3">
      <c r="A2230" t="str">
        <f>"02/08/2021 20:26:19.835"</f>
        <v>02/08/2021 20:26:19.835</v>
      </c>
      <c r="C2230" t="str">
        <f t="shared" si="108"/>
        <v>FFDFD7C0</v>
      </c>
      <c r="D2230" t="s">
        <v>113</v>
      </c>
      <c r="E2230">
        <v>6</v>
      </c>
      <c r="H2230">
        <v>165</v>
      </c>
      <c r="I2230" t="s">
        <v>114</v>
      </c>
      <c r="J2230" t="s">
        <v>115</v>
      </c>
      <c r="K2230">
        <v>0</v>
      </c>
      <c r="L2230">
        <v>3</v>
      </c>
      <c r="M2230">
        <v>0</v>
      </c>
      <c r="N2230">
        <v>2</v>
      </c>
      <c r="O2230">
        <v>1</v>
      </c>
      <c r="P2230">
        <v>0</v>
      </c>
      <c r="Q2230">
        <v>0</v>
      </c>
      <c r="S2230" t="str">
        <f>"20:26:22.156"</f>
        <v>20:26:22.156</v>
      </c>
      <c r="T2230" t="str">
        <f>"20:26:21.656"</f>
        <v>20:26:21.656</v>
      </c>
      <c r="U2230" t="str">
        <f t="shared" si="107"/>
        <v>AB01F4</v>
      </c>
      <c r="V2230">
        <v>0</v>
      </c>
      <c r="W2230">
        <v>0</v>
      </c>
      <c r="X2230">
        <v>2</v>
      </c>
      <c r="Z2230">
        <v>0</v>
      </c>
      <c r="AA2230">
        <v>9</v>
      </c>
      <c r="AB2230">
        <v>3</v>
      </c>
      <c r="AC2230">
        <v>0</v>
      </c>
      <c r="AD2230">
        <v>10</v>
      </c>
      <c r="AE2230">
        <v>0</v>
      </c>
      <c r="AF2230">
        <v>3</v>
      </c>
      <c r="AG2230">
        <v>2</v>
      </c>
      <c r="AH2230">
        <v>0</v>
      </c>
      <c r="AI2230" t="s">
        <v>1363</v>
      </c>
      <c r="AJ2230">
        <v>39.96058</v>
      </c>
      <c r="AK2230" t="s">
        <v>1364</v>
      </c>
      <c r="AL2230">
        <v>-92.677553000000003</v>
      </c>
      <c r="AM2230">
        <v>100</v>
      </c>
      <c r="AN2230">
        <v>1700</v>
      </c>
      <c r="AO2230" t="s">
        <v>118</v>
      </c>
      <c r="AP2230">
        <v>-107</v>
      </c>
      <c r="AQ2230">
        <v>78</v>
      </c>
      <c r="AR2230">
        <v>128</v>
      </c>
      <c r="AZ2230">
        <v>1200</v>
      </c>
      <c r="BA2230">
        <v>1</v>
      </c>
      <c r="BB2230" t="str">
        <f t="shared" si="109"/>
        <v xml:space="preserve">N8080G  </v>
      </c>
      <c r="BC2230">
        <v>1</v>
      </c>
      <c r="BE2230">
        <v>0</v>
      </c>
      <c r="BF2230">
        <v>0</v>
      </c>
      <c r="BG2230">
        <v>0</v>
      </c>
      <c r="BH2230">
        <v>1700</v>
      </c>
      <c r="BI2230">
        <v>1</v>
      </c>
      <c r="BJ2230">
        <v>1</v>
      </c>
      <c r="BK2230">
        <v>1</v>
      </c>
      <c r="BL2230">
        <v>0</v>
      </c>
      <c r="BO2230">
        <v>0</v>
      </c>
      <c r="BP2230">
        <v>0</v>
      </c>
      <c r="BW2230" t="str">
        <f>"20:26:22.163"</f>
        <v>20:26:22.163</v>
      </c>
      <c r="BZ2230">
        <v>0</v>
      </c>
      <c r="CA2230">
        <v>2016</v>
      </c>
      <c r="CB2230">
        <v>224</v>
      </c>
      <c r="CD2230">
        <v>1</v>
      </c>
      <c r="CE2230">
        <v>0</v>
      </c>
      <c r="CF2230">
        <v>0</v>
      </c>
      <c r="CG2230">
        <v>1</v>
      </c>
      <c r="CH2230">
        <v>0</v>
      </c>
      <c r="CI2230">
        <v>0</v>
      </c>
      <c r="CJ2230">
        <v>0</v>
      </c>
      <c r="CK2230">
        <v>2</v>
      </c>
      <c r="CL2230">
        <v>0</v>
      </c>
      <c r="CM2230">
        <v>2</v>
      </c>
      <c r="CN2230">
        <v>0</v>
      </c>
      <c r="CO2230">
        <v>3</v>
      </c>
      <c r="CP2230" t="s">
        <v>119</v>
      </c>
      <c r="CQ2230">
        <v>179</v>
      </c>
      <c r="CR2230">
        <v>1</v>
      </c>
      <c r="CW2230">
        <v>8917930</v>
      </c>
      <c r="CY2230">
        <v>1</v>
      </c>
      <c r="CZ2230">
        <v>0</v>
      </c>
      <c r="DA2230">
        <v>1</v>
      </c>
      <c r="DB2230">
        <v>0</v>
      </c>
      <c r="DC2230">
        <v>0</v>
      </c>
      <c r="DD2230">
        <v>0</v>
      </c>
      <c r="DE2230">
        <v>0</v>
      </c>
      <c r="DF2230">
        <v>0</v>
      </c>
      <c r="DG2230">
        <v>0</v>
      </c>
      <c r="DH2230">
        <v>0</v>
      </c>
      <c r="DI2230">
        <v>0</v>
      </c>
    </row>
    <row r="2231" spans="1:113" x14ac:dyDescent="0.3">
      <c r="A2231" t="str">
        <f>"02/08/2021 20:26:20.761"</f>
        <v>02/08/2021 20:26:20.761</v>
      </c>
      <c r="C2231" t="str">
        <f t="shared" si="108"/>
        <v>FFDFD7C0</v>
      </c>
      <c r="D2231" t="s">
        <v>124</v>
      </c>
      <c r="E2231">
        <v>13</v>
      </c>
      <c r="F2231">
        <v>1013</v>
      </c>
      <c r="G2231" t="s">
        <v>114</v>
      </c>
      <c r="J2231" t="s">
        <v>125</v>
      </c>
      <c r="K2231">
        <v>0</v>
      </c>
      <c r="L2231">
        <v>3</v>
      </c>
      <c r="M2231">
        <v>0</v>
      </c>
      <c r="N2231">
        <v>2</v>
      </c>
      <c r="O2231">
        <v>1</v>
      </c>
      <c r="P2231">
        <v>0</v>
      </c>
      <c r="Q2231">
        <v>0</v>
      </c>
      <c r="S2231" t="str">
        <f>"20:26:23.094"</f>
        <v>20:26:23.094</v>
      </c>
      <c r="T2231" t="str">
        <f>"20:26:22.694"</f>
        <v>20:26:22.694</v>
      </c>
      <c r="U2231" t="str">
        <f t="shared" si="107"/>
        <v>AB01F4</v>
      </c>
      <c r="V2231">
        <v>0</v>
      </c>
      <c r="W2231">
        <v>0</v>
      </c>
      <c r="X2231">
        <v>2</v>
      </c>
      <c r="Z2231">
        <v>0</v>
      </c>
      <c r="AA2231">
        <v>9</v>
      </c>
      <c r="AB2231">
        <v>3</v>
      </c>
      <c r="AC2231">
        <v>0</v>
      </c>
      <c r="AD2231">
        <v>10</v>
      </c>
      <c r="AE2231">
        <v>0</v>
      </c>
      <c r="AF2231">
        <v>3</v>
      </c>
      <c r="AG2231">
        <v>2</v>
      </c>
      <c r="AH2231">
        <v>0</v>
      </c>
      <c r="AI2231" t="s">
        <v>1365</v>
      </c>
      <c r="AJ2231">
        <v>39.960901999999997</v>
      </c>
      <c r="AK2231" t="s">
        <v>1366</v>
      </c>
      <c r="AL2231">
        <v>-92.678174999999996</v>
      </c>
      <c r="AM2231">
        <v>100</v>
      </c>
      <c r="AN2231">
        <v>1700</v>
      </c>
      <c r="AO2231" t="s">
        <v>118</v>
      </c>
      <c r="AP2231">
        <v>-107</v>
      </c>
      <c r="AQ2231">
        <v>78</v>
      </c>
      <c r="AR2231">
        <v>64</v>
      </c>
      <c r="AZ2231">
        <v>1200</v>
      </c>
      <c r="BA2231">
        <v>1</v>
      </c>
      <c r="BB2231" t="str">
        <f t="shared" si="109"/>
        <v xml:space="preserve">N8080G  </v>
      </c>
      <c r="BC2231">
        <v>1</v>
      </c>
      <c r="BE2231">
        <v>0</v>
      </c>
      <c r="BF2231">
        <v>0</v>
      </c>
      <c r="BG2231">
        <v>0</v>
      </c>
      <c r="BH2231">
        <v>1700</v>
      </c>
      <c r="BI2231">
        <v>1</v>
      </c>
      <c r="BJ2231">
        <v>1</v>
      </c>
      <c r="BK2231">
        <v>1</v>
      </c>
      <c r="BL2231">
        <v>0</v>
      </c>
      <c r="BO2231">
        <v>0</v>
      </c>
      <c r="BP2231">
        <v>0</v>
      </c>
      <c r="BW2231" t="str">
        <f>"20:26:23.094"</f>
        <v>20:26:23.094</v>
      </c>
      <c r="BZ2231">
        <v>0</v>
      </c>
      <c r="CA2231">
        <v>2016</v>
      </c>
      <c r="CB2231">
        <v>224</v>
      </c>
      <c r="CD2231">
        <v>1</v>
      </c>
      <c r="CE2231">
        <v>0</v>
      </c>
      <c r="CF2231">
        <v>0</v>
      </c>
      <c r="CG2231">
        <v>1</v>
      </c>
      <c r="CH2231">
        <v>0</v>
      </c>
      <c r="CI2231">
        <v>0</v>
      </c>
      <c r="CJ2231">
        <v>0</v>
      </c>
      <c r="CK2231">
        <v>2</v>
      </c>
      <c r="CL2231">
        <v>0</v>
      </c>
      <c r="CM2231">
        <v>2</v>
      </c>
      <c r="CN2231">
        <v>0</v>
      </c>
      <c r="CO2231">
        <v>3</v>
      </c>
      <c r="CP2231" t="s">
        <v>119</v>
      </c>
      <c r="CQ2231">
        <v>179</v>
      </c>
      <c r="CR2231">
        <v>1</v>
      </c>
      <c r="CW2231">
        <v>8918763</v>
      </c>
      <c r="CY2231">
        <v>1</v>
      </c>
      <c r="CZ2231">
        <v>0</v>
      </c>
      <c r="DA2231">
        <v>0</v>
      </c>
      <c r="DB2231">
        <v>0</v>
      </c>
      <c r="DC2231">
        <v>0</v>
      </c>
      <c r="DD2231">
        <v>0</v>
      </c>
      <c r="DE2231">
        <v>0</v>
      </c>
      <c r="DF2231">
        <v>0</v>
      </c>
      <c r="DG2231">
        <v>0</v>
      </c>
      <c r="DH2231">
        <v>0</v>
      </c>
      <c r="DI2231">
        <v>0</v>
      </c>
    </row>
    <row r="2232" spans="1:113" x14ac:dyDescent="0.3">
      <c r="A2232" t="str">
        <f>"02/08/2021 20:26:20.761"</f>
        <v>02/08/2021 20:26:20.761</v>
      </c>
      <c r="C2232" t="str">
        <f t="shared" si="108"/>
        <v>FFDFD7C0</v>
      </c>
      <c r="D2232" t="s">
        <v>124</v>
      </c>
      <c r="E2232">
        <v>11</v>
      </c>
      <c r="F2232">
        <v>1011</v>
      </c>
      <c r="G2232" t="s">
        <v>590</v>
      </c>
      <c r="J2232" t="s">
        <v>125</v>
      </c>
      <c r="K2232">
        <v>0</v>
      </c>
      <c r="L2232">
        <v>3</v>
      </c>
      <c r="M2232">
        <v>0</v>
      </c>
      <c r="N2232">
        <v>2</v>
      </c>
      <c r="O2232">
        <v>1</v>
      </c>
      <c r="P2232">
        <v>0</v>
      </c>
      <c r="Q2232">
        <v>0</v>
      </c>
      <c r="S2232" t="str">
        <f>"20:26:23.094"</f>
        <v>20:26:23.094</v>
      </c>
      <c r="T2232" t="str">
        <f>"20:26:22.694"</f>
        <v>20:26:22.694</v>
      </c>
      <c r="U2232" t="str">
        <f t="shared" si="107"/>
        <v>AB01F4</v>
      </c>
      <c r="V2232">
        <v>0</v>
      </c>
      <c r="W2232">
        <v>0</v>
      </c>
      <c r="X2232">
        <v>2</v>
      </c>
      <c r="Z2232">
        <v>0</v>
      </c>
      <c r="AA2232">
        <v>9</v>
      </c>
      <c r="AB2232">
        <v>3</v>
      </c>
      <c r="AC2232">
        <v>0</v>
      </c>
      <c r="AD2232">
        <v>10</v>
      </c>
      <c r="AE2232">
        <v>0</v>
      </c>
      <c r="AF2232">
        <v>3</v>
      </c>
      <c r="AG2232">
        <v>2</v>
      </c>
      <c r="AH2232">
        <v>0</v>
      </c>
      <c r="AI2232" t="s">
        <v>1365</v>
      </c>
      <c r="AJ2232">
        <v>39.960901999999997</v>
      </c>
      <c r="AK2232" t="s">
        <v>1366</v>
      </c>
      <c r="AL2232">
        <v>-92.678174999999996</v>
      </c>
      <c r="AM2232">
        <v>100</v>
      </c>
      <c r="AN2232">
        <v>1700</v>
      </c>
      <c r="AO2232" t="s">
        <v>118</v>
      </c>
      <c r="AP2232">
        <v>-107</v>
      </c>
      <c r="AQ2232">
        <v>78</v>
      </c>
      <c r="AR2232">
        <v>64</v>
      </c>
      <c r="AZ2232">
        <v>1200</v>
      </c>
      <c r="BA2232">
        <v>1</v>
      </c>
      <c r="BB2232" t="str">
        <f t="shared" si="109"/>
        <v xml:space="preserve">N8080G  </v>
      </c>
      <c r="BC2232">
        <v>1</v>
      </c>
      <c r="BE2232">
        <v>0</v>
      </c>
      <c r="BF2232">
        <v>0</v>
      </c>
      <c r="BG2232">
        <v>0</v>
      </c>
      <c r="BH2232">
        <v>1700</v>
      </c>
      <c r="BI2232">
        <v>1</v>
      </c>
      <c r="BJ2232">
        <v>1</v>
      </c>
      <c r="BK2232">
        <v>1</v>
      </c>
      <c r="BL2232">
        <v>0</v>
      </c>
      <c r="BO2232">
        <v>0</v>
      </c>
      <c r="BP2232">
        <v>0</v>
      </c>
      <c r="BW2232" t="str">
        <f>"20:26:23.094"</f>
        <v>20:26:23.094</v>
      </c>
      <c r="BZ2232">
        <v>0</v>
      </c>
      <c r="CA2232">
        <v>2016</v>
      </c>
      <c r="CB2232">
        <v>224</v>
      </c>
      <c r="CD2232">
        <v>1</v>
      </c>
      <c r="CE2232">
        <v>0</v>
      </c>
      <c r="CF2232">
        <v>0</v>
      </c>
      <c r="CG2232">
        <v>1</v>
      </c>
      <c r="CH2232">
        <v>0</v>
      </c>
      <c r="CI2232">
        <v>0</v>
      </c>
      <c r="CJ2232">
        <v>0</v>
      </c>
      <c r="CK2232">
        <v>2</v>
      </c>
      <c r="CL2232">
        <v>0</v>
      </c>
      <c r="CM2232">
        <v>2</v>
      </c>
      <c r="CN2232">
        <v>0</v>
      </c>
      <c r="CO2232">
        <v>3</v>
      </c>
      <c r="CP2232" t="s">
        <v>119</v>
      </c>
      <c r="CQ2232">
        <v>179</v>
      </c>
      <c r="CR2232">
        <v>1</v>
      </c>
      <c r="CW2232">
        <v>8918763</v>
      </c>
      <c r="CY2232">
        <v>1</v>
      </c>
      <c r="CZ2232">
        <v>0</v>
      </c>
      <c r="DA2232">
        <v>1</v>
      </c>
      <c r="DB2232">
        <v>0</v>
      </c>
      <c r="DC2232">
        <v>0</v>
      </c>
      <c r="DD2232">
        <v>0</v>
      </c>
      <c r="DE2232">
        <v>0</v>
      </c>
      <c r="DF2232">
        <v>0</v>
      </c>
      <c r="DG2232">
        <v>0</v>
      </c>
      <c r="DH2232">
        <v>0</v>
      </c>
      <c r="DI2232">
        <v>0</v>
      </c>
    </row>
    <row r="2233" spans="1:113" x14ac:dyDescent="0.3">
      <c r="A2233" t="str">
        <f>"02/08/2021 20:26:20.761"</f>
        <v>02/08/2021 20:26:20.761</v>
      </c>
      <c r="C2233" t="str">
        <f t="shared" si="108"/>
        <v>FFDFD7C0</v>
      </c>
      <c r="D2233" t="s">
        <v>113</v>
      </c>
      <c r="E2233">
        <v>6</v>
      </c>
      <c r="H2233">
        <v>165</v>
      </c>
      <c r="I2233" t="s">
        <v>114</v>
      </c>
      <c r="J2233" t="s">
        <v>115</v>
      </c>
      <c r="K2233">
        <v>0</v>
      </c>
      <c r="L2233">
        <v>3</v>
      </c>
      <c r="M2233">
        <v>0</v>
      </c>
      <c r="N2233">
        <v>2</v>
      </c>
      <c r="O2233">
        <v>1</v>
      </c>
      <c r="P2233">
        <v>0</v>
      </c>
      <c r="Q2233">
        <v>0</v>
      </c>
      <c r="S2233" t="str">
        <f>"20:26:23.094"</f>
        <v>20:26:23.094</v>
      </c>
      <c r="T2233" t="str">
        <f>"20:26:22.694"</f>
        <v>20:26:22.694</v>
      </c>
      <c r="U2233" t="str">
        <f t="shared" si="107"/>
        <v>AB01F4</v>
      </c>
      <c r="V2233">
        <v>0</v>
      </c>
      <c r="W2233">
        <v>0</v>
      </c>
      <c r="X2233">
        <v>2</v>
      </c>
      <c r="Z2233">
        <v>0</v>
      </c>
      <c r="AA2233">
        <v>9</v>
      </c>
      <c r="AB2233">
        <v>3</v>
      </c>
      <c r="AC2233">
        <v>0</v>
      </c>
      <c r="AD2233">
        <v>10</v>
      </c>
      <c r="AE2233">
        <v>0</v>
      </c>
      <c r="AF2233">
        <v>3</v>
      </c>
      <c r="AG2233">
        <v>2</v>
      </c>
      <c r="AH2233">
        <v>0</v>
      </c>
      <c r="AI2233" t="s">
        <v>1365</v>
      </c>
      <c r="AJ2233">
        <v>39.960901999999997</v>
      </c>
      <c r="AK2233" t="s">
        <v>1366</v>
      </c>
      <c r="AL2233">
        <v>-92.678174999999996</v>
      </c>
      <c r="AM2233">
        <v>100</v>
      </c>
      <c r="AN2233">
        <v>1700</v>
      </c>
      <c r="AO2233" t="s">
        <v>118</v>
      </c>
      <c r="AP2233">
        <v>-107</v>
      </c>
      <c r="AQ2233">
        <v>78</v>
      </c>
      <c r="AR2233">
        <v>64</v>
      </c>
      <c r="AZ2233">
        <v>1200</v>
      </c>
      <c r="BA2233">
        <v>1</v>
      </c>
      <c r="BB2233" t="str">
        <f t="shared" si="109"/>
        <v xml:space="preserve">N8080G  </v>
      </c>
      <c r="BC2233">
        <v>1</v>
      </c>
      <c r="BE2233">
        <v>0</v>
      </c>
      <c r="BF2233">
        <v>0</v>
      </c>
      <c r="BG2233">
        <v>0</v>
      </c>
      <c r="BH2233">
        <v>1700</v>
      </c>
      <c r="BI2233">
        <v>1</v>
      </c>
      <c r="BJ2233">
        <v>1</v>
      </c>
      <c r="BK2233">
        <v>1</v>
      </c>
      <c r="BL2233">
        <v>0</v>
      </c>
      <c r="BO2233">
        <v>0</v>
      </c>
      <c r="BP2233">
        <v>0</v>
      </c>
      <c r="BW2233" t="str">
        <f>"20:26:23.094"</f>
        <v>20:26:23.094</v>
      </c>
      <c r="BZ2233">
        <v>0</v>
      </c>
      <c r="CA2233">
        <v>2016</v>
      </c>
      <c r="CB2233">
        <v>224</v>
      </c>
      <c r="CD2233">
        <v>1</v>
      </c>
      <c r="CE2233">
        <v>0</v>
      </c>
      <c r="CF2233">
        <v>0</v>
      </c>
      <c r="CG2233">
        <v>1</v>
      </c>
      <c r="CH2233">
        <v>0</v>
      </c>
      <c r="CI2233">
        <v>0</v>
      </c>
      <c r="CJ2233">
        <v>0</v>
      </c>
      <c r="CK2233">
        <v>2</v>
      </c>
      <c r="CL2233">
        <v>0</v>
      </c>
      <c r="CM2233">
        <v>2</v>
      </c>
      <c r="CN2233">
        <v>0</v>
      </c>
      <c r="CO2233">
        <v>3</v>
      </c>
      <c r="CP2233" t="s">
        <v>119</v>
      </c>
      <c r="CQ2233">
        <v>179</v>
      </c>
      <c r="CR2233">
        <v>1</v>
      </c>
      <c r="CW2233">
        <v>8918763</v>
      </c>
      <c r="CY2233">
        <v>1</v>
      </c>
      <c r="CZ2233">
        <v>0</v>
      </c>
      <c r="DA2233">
        <v>1</v>
      </c>
      <c r="DB2233">
        <v>0</v>
      </c>
      <c r="DC2233">
        <v>0</v>
      </c>
      <c r="DD2233">
        <v>0</v>
      </c>
      <c r="DE2233">
        <v>0</v>
      </c>
      <c r="DF2233">
        <v>0</v>
      </c>
      <c r="DG2233">
        <v>0</v>
      </c>
      <c r="DH2233">
        <v>0</v>
      </c>
      <c r="DI2233">
        <v>0</v>
      </c>
    </row>
    <row r="2234" spans="1:113" x14ac:dyDescent="0.3">
      <c r="A2234" t="str">
        <f>"02/08/2021 20:26:20.761"</f>
        <v>02/08/2021 20:26:20.761</v>
      </c>
      <c r="C2234" t="str">
        <f t="shared" si="108"/>
        <v>FFDFD7C0</v>
      </c>
      <c r="D2234" t="s">
        <v>124</v>
      </c>
      <c r="E2234">
        <v>12</v>
      </c>
      <c r="F2234">
        <v>1012</v>
      </c>
      <c r="G2234" t="s">
        <v>675</v>
      </c>
      <c r="J2234" t="s">
        <v>125</v>
      </c>
      <c r="K2234">
        <v>0</v>
      </c>
      <c r="L2234">
        <v>3</v>
      </c>
      <c r="M2234">
        <v>0</v>
      </c>
      <c r="N2234">
        <v>2</v>
      </c>
      <c r="O2234">
        <v>1</v>
      </c>
      <c r="P2234">
        <v>0</v>
      </c>
      <c r="Q2234">
        <v>0</v>
      </c>
      <c r="S2234" t="str">
        <f>"20:26:23.094"</f>
        <v>20:26:23.094</v>
      </c>
      <c r="T2234" t="str">
        <f>"20:26:22.694"</f>
        <v>20:26:22.694</v>
      </c>
      <c r="U2234" t="str">
        <f t="shared" si="107"/>
        <v>AB01F4</v>
      </c>
      <c r="V2234">
        <v>0</v>
      </c>
      <c r="W2234">
        <v>0</v>
      </c>
      <c r="X2234">
        <v>2</v>
      </c>
      <c r="Z2234">
        <v>0</v>
      </c>
      <c r="AA2234">
        <v>9</v>
      </c>
      <c r="AB2234">
        <v>3</v>
      </c>
      <c r="AC2234">
        <v>0</v>
      </c>
      <c r="AD2234">
        <v>10</v>
      </c>
      <c r="AE2234">
        <v>0</v>
      </c>
      <c r="AF2234">
        <v>3</v>
      </c>
      <c r="AG2234">
        <v>2</v>
      </c>
      <c r="AH2234">
        <v>0</v>
      </c>
      <c r="AI2234" t="s">
        <v>1365</v>
      </c>
      <c r="AJ2234">
        <v>39.960901999999997</v>
      </c>
      <c r="AK2234" t="s">
        <v>1366</v>
      </c>
      <c r="AL2234">
        <v>-92.678174999999996</v>
      </c>
      <c r="AM2234">
        <v>100</v>
      </c>
      <c r="AN2234">
        <v>1700</v>
      </c>
      <c r="AO2234" t="s">
        <v>118</v>
      </c>
      <c r="AP2234">
        <v>-107</v>
      </c>
      <c r="AQ2234">
        <v>78</v>
      </c>
      <c r="AR2234">
        <v>64</v>
      </c>
      <c r="AZ2234">
        <v>1200</v>
      </c>
      <c r="BA2234">
        <v>1</v>
      </c>
      <c r="BB2234" t="str">
        <f t="shared" si="109"/>
        <v xml:space="preserve">N8080G  </v>
      </c>
      <c r="BC2234">
        <v>1</v>
      </c>
      <c r="BE2234">
        <v>0</v>
      </c>
      <c r="BF2234">
        <v>0</v>
      </c>
      <c r="BG2234">
        <v>0</v>
      </c>
      <c r="BH2234">
        <v>1700</v>
      </c>
      <c r="BI2234">
        <v>1</v>
      </c>
      <c r="BJ2234">
        <v>1</v>
      </c>
      <c r="BK2234">
        <v>1</v>
      </c>
      <c r="BL2234">
        <v>0</v>
      </c>
      <c r="BO2234">
        <v>0</v>
      </c>
      <c r="BP2234">
        <v>0</v>
      </c>
      <c r="BW2234" t="str">
        <f>"20:26:23.094"</f>
        <v>20:26:23.094</v>
      </c>
      <c r="BZ2234">
        <v>0</v>
      </c>
      <c r="CA2234">
        <v>2016</v>
      </c>
      <c r="CB2234">
        <v>224</v>
      </c>
      <c r="CD2234">
        <v>1</v>
      </c>
      <c r="CE2234">
        <v>0</v>
      </c>
      <c r="CF2234">
        <v>0</v>
      </c>
      <c r="CG2234">
        <v>1</v>
      </c>
      <c r="CH2234">
        <v>0</v>
      </c>
      <c r="CI2234">
        <v>0</v>
      </c>
      <c r="CJ2234">
        <v>0</v>
      </c>
      <c r="CK2234">
        <v>2</v>
      </c>
      <c r="CL2234">
        <v>0</v>
      </c>
      <c r="CM2234">
        <v>2</v>
      </c>
      <c r="CN2234">
        <v>0</v>
      </c>
      <c r="CO2234">
        <v>3</v>
      </c>
      <c r="CP2234" t="s">
        <v>119</v>
      </c>
      <c r="CQ2234">
        <v>179</v>
      </c>
      <c r="CR2234">
        <v>1</v>
      </c>
      <c r="CW2234">
        <v>8918763</v>
      </c>
      <c r="CY2234">
        <v>1</v>
      </c>
      <c r="CZ2234">
        <v>0</v>
      </c>
      <c r="DA2234">
        <v>1</v>
      </c>
      <c r="DB2234">
        <v>0</v>
      </c>
      <c r="DC2234">
        <v>0</v>
      </c>
      <c r="DD2234">
        <v>0</v>
      </c>
      <c r="DE2234">
        <v>0</v>
      </c>
      <c r="DF2234">
        <v>0</v>
      </c>
      <c r="DG2234">
        <v>0</v>
      </c>
      <c r="DH2234">
        <v>0</v>
      </c>
      <c r="DI2234">
        <v>0</v>
      </c>
    </row>
    <row r="2235" spans="1:113" x14ac:dyDescent="0.3">
      <c r="A2235" t="str">
        <f>"02/08/2021 20:26:21.867"</f>
        <v>02/08/2021 20:26:21.867</v>
      </c>
      <c r="C2235" t="str">
        <f t="shared" si="108"/>
        <v>FFDFD7C0</v>
      </c>
      <c r="D2235" t="s">
        <v>124</v>
      </c>
      <c r="E2235">
        <v>13</v>
      </c>
      <c r="F2235">
        <v>1013</v>
      </c>
      <c r="G2235" t="s">
        <v>114</v>
      </c>
      <c r="J2235" t="s">
        <v>125</v>
      </c>
      <c r="K2235">
        <v>0</v>
      </c>
      <c r="L2235">
        <v>3</v>
      </c>
      <c r="M2235">
        <v>0</v>
      </c>
      <c r="N2235">
        <v>2</v>
      </c>
      <c r="O2235">
        <v>1</v>
      </c>
      <c r="P2235">
        <v>0</v>
      </c>
      <c r="Q2235">
        <v>0</v>
      </c>
      <c r="S2235" t="str">
        <f>"20:26:24.195"</f>
        <v>20:26:24.195</v>
      </c>
      <c r="T2235" t="str">
        <f>"20:26:23.695"</f>
        <v>20:26:23.695</v>
      </c>
      <c r="U2235" t="str">
        <f t="shared" si="107"/>
        <v>AB01F4</v>
      </c>
      <c r="V2235">
        <v>0</v>
      </c>
      <c r="W2235">
        <v>0</v>
      </c>
      <c r="X2235">
        <v>2</v>
      </c>
      <c r="Z2235">
        <v>0</v>
      </c>
      <c r="AA2235">
        <v>9</v>
      </c>
      <c r="AB2235">
        <v>3</v>
      </c>
      <c r="AC2235">
        <v>0</v>
      </c>
      <c r="AD2235">
        <v>10</v>
      </c>
      <c r="AE2235">
        <v>0</v>
      </c>
      <c r="AF2235">
        <v>3</v>
      </c>
      <c r="AG2235">
        <v>2</v>
      </c>
      <c r="AH2235">
        <v>0</v>
      </c>
      <c r="AI2235" t="s">
        <v>1367</v>
      </c>
      <c r="AJ2235">
        <v>39.961309</v>
      </c>
      <c r="AK2235" t="s">
        <v>1368</v>
      </c>
      <c r="AL2235">
        <v>-92.678839999999994</v>
      </c>
      <c r="AM2235">
        <v>100</v>
      </c>
      <c r="AN2235">
        <v>1700</v>
      </c>
      <c r="AO2235" t="s">
        <v>118</v>
      </c>
      <c r="AP2235">
        <v>-107</v>
      </c>
      <c r="AQ2235">
        <v>78</v>
      </c>
      <c r="AR2235">
        <v>0</v>
      </c>
      <c r="AZ2235">
        <v>1200</v>
      </c>
      <c r="BA2235">
        <v>1</v>
      </c>
      <c r="BB2235" t="str">
        <f t="shared" si="109"/>
        <v xml:space="preserve">N8080G  </v>
      </c>
      <c r="BC2235">
        <v>1</v>
      </c>
      <c r="BE2235">
        <v>0</v>
      </c>
      <c r="BF2235">
        <v>0</v>
      </c>
      <c r="BG2235">
        <v>0</v>
      </c>
      <c r="BH2235">
        <v>1700</v>
      </c>
      <c r="BI2235">
        <v>1</v>
      </c>
      <c r="BJ2235">
        <v>1</v>
      </c>
      <c r="BK2235">
        <v>1</v>
      </c>
      <c r="BL2235">
        <v>0</v>
      </c>
      <c r="BO2235">
        <v>0</v>
      </c>
      <c r="BP2235">
        <v>0</v>
      </c>
      <c r="BW2235" t="str">
        <f>"20:26:24.203"</f>
        <v>20:26:24.203</v>
      </c>
      <c r="BZ2235">
        <v>0</v>
      </c>
      <c r="CA2235">
        <v>2016</v>
      </c>
      <c r="CB2235">
        <v>224</v>
      </c>
      <c r="CD2235">
        <v>1</v>
      </c>
      <c r="CE2235">
        <v>0</v>
      </c>
      <c r="CF2235">
        <v>0</v>
      </c>
      <c r="CG2235">
        <v>1</v>
      </c>
      <c r="CH2235">
        <v>0</v>
      </c>
      <c r="CI2235">
        <v>0</v>
      </c>
      <c r="CJ2235">
        <v>0</v>
      </c>
      <c r="CK2235">
        <v>2</v>
      </c>
      <c r="CL2235">
        <v>0</v>
      </c>
      <c r="CM2235">
        <v>2</v>
      </c>
      <c r="CN2235">
        <v>0</v>
      </c>
      <c r="CO2235">
        <v>7</v>
      </c>
      <c r="CP2235" t="s">
        <v>119</v>
      </c>
      <c r="CQ2235">
        <v>180</v>
      </c>
      <c r="CR2235">
        <v>2</v>
      </c>
      <c r="CW2235">
        <v>8476247</v>
      </c>
      <c r="CY2235">
        <v>1</v>
      </c>
      <c r="CZ2235">
        <v>0</v>
      </c>
      <c r="DA2235">
        <v>0</v>
      </c>
      <c r="DB2235">
        <v>0</v>
      </c>
      <c r="DC2235">
        <v>0</v>
      </c>
      <c r="DD2235">
        <v>0</v>
      </c>
      <c r="DE2235">
        <v>0</v>
      </c>
      <c r="DF2235">
        <v>0</v>
      </c>
      <c r="DG2235">
        <v>0</v>
      </c>
      <c r="DH2235">
        <v>0</v>
      </c>
      <c r="DI2235">
        <v>0</v>
      </c>
    </row>
    <row r="2236" spans="1:113" x14ac:dyDescent="0.3">
      <c r="A2236" t="str">
        <f>"02/08/2021 20:26:21.867"</f>
        <v>02/08/2021 20:26:21.867</v>
      </c>
      <c r="C2236" t="str">
        <f t="shared" si="108"/>
        <v>FFDFD7C0</v>
      </c>
      <c r="D2236" t="s">
        <v>124</v>
      </c>
      <c r="E2236">
        <v>11</v>
      </c>
      <c r="F2236">
        <v>1011</v>
      </c>
      <c r="G2236" t="s">
        <v>590</v>
      </c>
      <c r="J2236" t="s">
        <v>125</v>
      </c>
      <c r="K2236">
        <v>0</v>
      </c>
      <c r="L2236">
        <v>3</v>
      </c>
      <c r="M2236">
        <v>0</v>
      </c>
      <c r="N2236">
        <v>2</v>
      </c>
      <c r="O2236">
        <v>1</v>
      </c>
      <c r="P2236">
        <v>0</v>
      </c>
      <c r="Q2236">
        <v>0</v>
      </c>
      <c r="S2236" t="str">
        <f>"20:26:24.195"</f>
        <v>20:26:24.195</v>
      </c>
      <c r="T2236" t="str">
        <f>"20:26:23.695"</f>
        <v>20:26:23.695</v>
      </c>
      <c r="U2236" t="str">
        <f t="shared" si="107"/>
        <v>AB01F4</v>
      </c>
      <c r="V2236">
        <v>0</v>
      </c>
      <c r="W2236">
        <v>0</v>
      </c>
      <c r="X2236">
        <v>2</v>
      </c>
      <c r="Z2236">
        <v>0</v>
      </c>
      <c r="AA2236">
        <v>9</v>
      </c>
      <c r="AB2236">
        <v>3</v>
      </c>
      <c r="AC2236">
        <v>0</v>
      </c>
      <c r="AD2236">
        <v>10</v>
      </c>
      <c r="AE2236">
        <v>0</v>
      </c>
      <c r="AF2236">
        <v>3</v>
      </c>
      <c r="AG2236">
        <v>2</v>
      </c>
      <c r="AH2236">
        <v>0</v>
      </c>
      <c r="AI2236" t="s">
        <v>1367</v>
      </c>
      <c r="AJ2236">
        <v>39.961309</v>
      </c>
      <c r="AK2236" t="s">
        <v>1368</v>
      </c>
      <c r="AL2236">
        <v>-92.678839999999994</v>
      </c>
      <c r="AM2236">
        <v>100</v>
      </c>
      <c r="AN2236">
        <v>1700</v>
      </c>
      <c r="AO2236" t="s">
        <v>118</v>
      </c>
      <c r="AP2236">
        <v>-107</v>
      </c>
      <c r="AQ2236">
        <v>78</v>
      </c>
      <c r="AR2236">
        <v>0</v>
      </c>
      <c r="AZ2236">
        <v>1200</v>
      </c>
      <c r="BA2236">
        <v>1</v>
      </c>
      <c r="BB2236" t="str">
        <f t="shared" si="109"/>
        <v xml:space="preserve">N8080G  </v>
      </c>
      <c r="BC2236">
        <v>1</v>
      </c>
      <c r="BE2236">
        <v>0</v>
      </c>
      <c r="BF2236">
        <v>0</v>
      </c>
      <c r="BG2236">
        <v>0</v>
      </c>
      <c r="BH2236">
        <v>1700</v>
      </c>
      <c r="BI2236">
        <v>1</v>
      </c>
      <c r="BJ2236">
        <v>1</v>
      </c>
      <c r="BK2236">
        <v>1</v>
      </c>
      <c r="BL2236">
        <v>0</v>
      </c>
      <c r="BO2236">
        <v>0</v>
      </c>
      <c r="BP2236">
        <v>0</v>
      </c>
      <c r="BW2236" t="str">
        <f>"20:26:24.203"</f>
        <v>20:26:24.203</v>
      </c>
      <c r="BZ2236">
        <v>0</v>
      </c>
      <c r="CA2236">
        <v>2016</v>
      </c>
      <c r="CB2236">
        <v>224</v>
      </c>
      <c r="CD2236">
        <v>1</v>
      </c>
      <c r="CE2236">
        <v>0</v>
      </c>
      <c r="CF2236">
        <v>0</v>
      </c>
      <c r="CG2236">
        <v>1</v>
      </c>
      <c r="CH2236">
        <v>0</v>
      </c>
      <c r="CI2236">
        <v>0</v>
      </c>
      <c r="CJ2236">
        <v>0</v>
      </c>
      <c r="CK2236">
        <v>2</v>
      </c>
      <c r="CL2236">
        <v>0</v>
      </c>
      <c r="CM2236">
        <v>2</v>
      </c>
      <c r="CN2236">
        <v>0</v>
      </c>
      <c r="CO2236">
        <v>7</v>
      </c>
      <c r="CP2236" t="s">
        <v>119</v>
      </c>
      <c r="CQ2236">
        <v>180</v>
      </c>
      <c r="CR2236">
        <v>2</v>
      </c>
      <c r="CW2236">
        <v>8476247</v>
      </c>
      <c r="CY2236">
        <v>1</v>
      </c>
      <c r="CZ2236">
        <v>0</v>
      </c>
      <c r="DA2236">
        <v>1</v>
      </c>
      <c r="DB2236">
        <v>0</v>
      </c>
      <c r="DC2236">
        <v>0</v>
      </c>
      <c r="DD2236">
        <v>0</v>
      </c>
      <c r="DE2236">
        <v>0</v>
      </c>
      <c r="DF2236">
        <v>0</v>
      </c>
      <c r="DG2236">
        <v>0</v>
      </c>
      <c r="DH2236">
        <v>0</v>
      </c>
      <c r="DI2236">
        <v>0</v>
      </c>
    </row>
    <row r="2237" spans="1:113" x14ac:dyDescent="0.3">
      <c r="A2237" t="str">
        <f>"02/08/2021 20:26:21.867"</f>
        <v>02/08/2021 20:26:21.867</v>
      </c>
      <c r="C2237" t="str">
        <f t="shared" si="108"/>
        <v>FFDFD7C0</v>
      </c>
      <c r="D2237" t="s">
        <v>124</v>
      </c>
      <c r="E2237">
        <v>12</v>
      </c>
      <c r="F2237">
        <v>1012</v>
      </c>
      <c r="G2237" t="s">
        <v>675</v>
      </c>
      <c r="J2237" t="s">
        <v>125</v>
      </c>
      <c r="K2237">
        <v>0</v>
      </c>
      <c r="L2237">
        <v>3</v>
      </c>
      <c r="M2237">
        <v>0</v>
      </c>
      <c r="N2237">
        <v>2</v>
      </c>
      <c r="O2237">
        <v>1</v>
      </c>
      <c r="P2237">
        <v>0</v>
      </c>
      <c r="Q2237">
        <v>0</v>
      </c>
      <c r="S2237" t="str">
        <f>"20:26:24.195"</f>
        <v>20:26:24.195</v>
      </c>
      <c r="T2237" t="str">
        <f>"20:26:23.695"</f>
        <v>20:26:23.695</v>
      </c>
      <c r="U2237" t="str">
        <f t="shared" si="107"/>
        <v>AB01F4</v>
      </c>
      <c r="V2237">
        <v>0</v>
      </c>
      <c r="W2237">
        <v>0</v>
      </c>
      <c r="X2237">
        <v>2</v>
      </c>
      <c r="Z2237">
        <v>0</v>
      </c>
      <c r="AA2237">
        <v>9</v>
      </c>
      <c r="AB2237">
        <v>3</v>
      </c>
      <c r="AC2237">
        <v>0</v>
      </c>
      <c r="AD2237">
        <v>10</v>
      </c>
      <c r="AE2237">
        <v>0</v>
      </c>
      <c r="AF2237">
        <v>3</v>
      </c>
      <c r="AG2237">
        <v>2</v>
      </c>
      <c r="AH2237">
        <v>0</v>
      </c>
      <c r="AI2237" t="s">
        <v>1367</v>
      </c>
      <c r="AJ2237">
        <v>39.961309</v>
      </c>
      <c r="AK2237" t="s">
        <v>1368</v>
      </c>
      <c r="AL2237">
        <v>-92.678839999999994</v>
      </c>
      <c r="AM2237">
        <v>100</v>
      </c>
      <c r="AN2237">
        <v>1700</v>
      </c>
      <c r="AO2237" t="s">
        <v>118</v>
      </c>
      <c r="AP2237">
        <v>-107</v>
      </c>
      <c r="AQ2237">
        <v>78</v>
      </c>
      <c r="AR2237">
        <v>0</v>
      </c>
      <c r="AZ2237">
        <v>1200</v>
      </c>
      <c r="BA2237">
        <v>1</v>
      </c>
      <c r="BB2237" t="str">
        <f t="shared" si="109"/>
        <v xml:space="preserve">N8080G  </v>
      </c>
      <c r="BC2237">
        <v>1</v>
      </c>
      <c r="BE2237">
        <v>0</v>
      </c>
      <c r="BF2237">
        <v>0</v>
      </c>
      <c r="BG2237">
        <v>0</v>
      </c>
      <c r="BH2237">
        <v>1700</v>
      </c>
      <c r="BI2237">
        <v>1</v>
      </c>
      <c r="BJ2237">
        <v>1</v>
      </c>
      <c r="BK2237">
        <v>1</v>
      </c>
      <c r="BL2237">
        <v>0</v>
      </c>
      <c r="BO2237">
        <v>0</v>
      </c>
      <c r="BP2237">
        <v>0</v>
      </c>
      <c r="BW2237" t="str">
        <f>"20:26:24.203"</f>
        <v>20:26:24.203</v>
      </c>
      <c r="BZ2237">
        <v>0</v>
      </c>
      <c r="CA2237">
        <v>2016</v>
      </c>
      <c r="CB2237">
        <v>224</v>
      </c>
      <c r="CD2237">
        <v>1</v>
      </c>
      <c r="CE2237">
        <v>0</v>
      </c>
      <c r="CF2237">
        <v>0</v>
      </c>
      <c r="CG2237">
        <v>1</v>
      </c>
      <c r="CH2237">
        <v>0</v>
      </c>
      <c r="CI2237">
        <v>0</v>
      </c>
      <c r="CJ2237">
        <v>0</v>
      </c>
      <c r="CK2237">
        <v>2</v>
      </c>
      <c r="CL2237">
        <v>0</v>
      </c>
      <c r="CM2237">
        <v>2</v>
      </c>
      <c r="CN2237">
        <v>0</v>
      </c>
      <c r="CO2237">
        <v>7</v>
      </c>
      <c r="CP2237" t="s">
        <v>119</v>
      </c>
      <c r="CQ2237">
        <v>180</v>
      </c>
      <c r="CR2237">
        <v>2</v>
      </c>
      <c r="CW2237">
        <v>8476247</v>
      </c>
      <c r="CY2237">
        <v>1</v>
      </c>
      <c r="CZ2237">
        <v>0</v>
      </c>
      <c r="DA2237">
        <v>1</v>
      </c>
      <c r="DB2237">
        <v>0</v>
      </c>
      <c r="DC2237">
        <v>0</v>
      </c>
      <c r="DD2237">
        <v>0</v>
      </c>
      <c r="DE2237">
        <v>0</v>
      </c>
      <c r="DF2237">
        <v>0</v>
      </c>
      <c r="DG2237">
        <v>0</v>
      </c>
      <c r="DH2237">
        <v>0</v>
      </c>
      <c r="DI2237">
        <v>0</v>
      </c>
    </row>
    <row r="2238" spans="1:113" x14ac:dyDescent="0.3">
      <c r="A2238" t="str">
        <f>"02/08/2021 20:26:21.867"</f>
        <v>02/08/2021 20:26:21.867</v>
      </c>
      <c r="C2238" t="str">
        <f t="shared" si="108"/>
        <v>FFDFD7C0</v>
      </c>
      <c r="D2238" t="s">
        <v>113</v>
      </c>
      <c r="E2238">
        <v>6</v>
      </c>
      <c r="H2238">
        <v>165</v>
      </c>
      <c r="I2238" t="s">
        <v>114</v>
      </c>
      <c r="J2238" t="s">
        <v>115</v>
      </c>
      <c r="K2238">
        <v>0</v>
      </c>
      <c r="L2238">
        <v>3</v>
      </c>
      <c r="M2238">
        <v>0</v>
      </c>
      <c r="N2238">
        <v>2</v>
      </c>
      <c r="O2238">
        <v>1</v>
      </c>
      <c r="P2238">
        <v>0</v>
      </c>
      <c r="Q2238">
        <v>0</v>
      </c>
      <c r="S2238" t="str">
        <f>"20:26:24.195"</f>
        <v>20:26:24.195</v>
      </c>
      <c r="T2238" t="str">
        <f>"20:26:23.695"</f>
        <v>20:26:23.695</v>
      </c>
      <c r="U2238" t="str">
        <f t="shared" si="107"/>
        <v>AB01F4</v>
      </c>
      <c r="V2238">
        <v>0</v>
      </c>
      <c r="W2238">
        <v>0</v>
      </c>
      <c r="X2238">
        <v>2</v>
      </c>
      <c r="Z2238">
        <v>0</v>
      </c>
      <c r="AA2238">
        <v>9</v>
      </c>
      <c r="AB2238">
        <v>3</v>
      </c>
      <c r="AC2238">
        <v>0</v>
      </c>
      <c r="AD2238">
        <v>10</v>
      </c>
      <c r="AE2238">
        <v>0</v>
      </c>
      <c r="AF2238">
        <v>3</v>
      </c>
      <c r="AG2238">
        <v>2</v>
      </c>
      <c r="AH2238">
        <v>0</v>
      </c>
      <c r="AI2238" t="s">
        <v>1367</v>
      </c>
      <c r="AJ2238">
        <v>39.961309</v>
      </c>
      <c r="AK2238" t="s">
        <v>1368</v>
      </c>
      <c r="AL2238">
        <v>-92.678839999999994</v>
      </c>
      <c r="AM2238">
        <v>100</v>
      </c>
      <c r="AN2238">
        <v>1700</v>
      </c>
      <c r="AO2238" t="s">
        <v>118</v>
      </c>
      <c r="AP2238">
        <v>-107</v>
      </c>
      <c r="AQ2238">
        <v>78</v>
      </c>
      <c r="AR2238">
        <v>0</v>
      </c>
      <c r="AZ2238">
        <v>1200</v>
      </c>
      <c r="BA2238">
        <v>1</v>
      </c>
      <c r="BB2238" t="str">
        <f t="shared" si="109"/>
        <v xml:space="preserve">N8080G  </v>
      </c>
      <c r="BC2238">
        <v>1</v>
      </c>
      <c r="BE2238">
        <v>0</v>
      </c>
      <c r="BF2238">
        <v>0</v>
      </c>
      <c r="BG2238">
        <v>0</v>
      </c>
      <c r="BH2238">
        <v>1700</v>
      </c>
      <c r="BI2238">
        <v>1</v>
      </c>
      <c r="BJ2238">
        <v>1</v>
      </c>
      <c r="BK2238">
        <v>1</v>
      </c>
      <c r="BL2238">
        <v>0</v>
      </c>
      <c r="BO2238">
        <v>0</v>
      </c>
      <c r="BP2238">
        <v>0</v>
      </c>
      <c r="BW2238" t="str">
        <f>"20:26:24.203"</f>
        <v>20:26:24.203</v>
      </c>
      <c r="BZ2238">
        <v>0</v>
      </c>
      <c r="CA2238">
        <v>2016</v>
      </c>
      <c r="CB2238">
        <v>224</v>
      </c>
      <c r="CD2238">
        <v>1</v>
      </c>
      <c r="CE2238">
        <v>0</v>
      </c>
      <c r="CF2238">
        <v>0</v>
      </c>
      <c r="CG2238">
        <v>1</v>
      </c>
      <c r="CH2238">
        <v>0</v>
      </c>
      <c r="CI2238">
        <v>0</v>
      </c>
      <c r="CJ2238">
        <v>0</v>
      </c>
      <c r="CK2238">
        <v>2</v>
      </c>
      <c r="CL2238">
        <v>0</v>
      </c>
      <c r="CM2238">
        <v>2</v>
      </c>
      <c r="CN2238">
        <v>0</v>
      </c>
      <c r="CO2238">
        <v>7</v>
      </c>
      <c r="CP2238" t="s">
        <v>119</v>
      </c>
      <c r="CQ2238">
        <v>180</v>
      </c>
      <c r="CR2238">
        <v>2</v>
      </c>
      <c r="CW2238">
        <v>8476247</v>
      </c>
      <c r="CY2238">
        <v>1</v>
      </c>
      <c r="CZ2238">
        <v>0</v>
      </c>
      <c r="DA2238">
        <v>1</v>
      </c>
      <c r="DB2238">
        <v>0</v>
      </c>
      <c r="DC2238">
        <v>0</v>
      </c>
      <c r="DD2238">
        <v>0</v>
      </c>
      <c r="DE2238">
        <v>0</v>
      </c>
      <c r="DF2238">
        <v>0</v>
      </c>
      <c r="DG2238">
        <v>0</v>
      </c>
      <c r="DH2238">
        <v>0</v>
      </c>
      <c r="DI2238">
        <v>0</v>
      </c>
    </row>
    <row r="2239" spans="1:113" x14ac:dyDescent="0.3">
      <c r="A2239" t="str">
        <f>"02/08/2021 20:26:23.481"</f>
        <v>02/08/2021 20:26:23.481</v>
      </c>
      <c r="C2239" t="str">
        <f t="shared" si="108"/>
        <v>FFDFD7C0</v>
      </c>
      <c r="D2239" t="s">
        <v>124</v>
      </c>
      <c r="E2239">
        <v>11</v>
      </c>
      <c r="F2239">
        <v>1011</v>
      </c>
      <c r="G2239" t="s">
        <v>590</v>
      </c>
      <c r="J2239" t="s">
        <v>125</v>
      </c>
      <c r="K2239">
        <v>0</v>
      </c>
      <c r="L2239">
        <v>3</v>
      </c>
      <c r="M2239">
        <v>0</v>
      </c>
      <c r="N2239">
        <v>2</v>
      </c>
      <c r="O2239">
        <v>1</v>
      </c>
      <c r="P2239">
        <v>0</v>
      </c>
      <c r="Q2239">
        <v>0</v>
      </c>
      <c r="S2239" t="str">
        <f>"20:26:25.813"</f>
        <v>20:26:25.813</v>
      </c>
      <c r="T2239" t="str">
        <f>"20:26:25.313"</f>
        <v>20:26:25.313</v>
      </c>
      <c r="U2239" t="str">
        <f t="shared" si="107"/>
        <v>AB01F4</v>
      </c>
      <c r="V2239">
        <v>0</v>
      </c>
      <c r="W2239">
        <v>0</v>
      </c>
      <c r="X2239">
        <v>2</v>
      </c>
      <c r="Z2239">
        <v>0</v>
      </c>
      <c r="AA2239">
        <v>9</v>
      </c>
      <c r="AB2239">
        <v>3</v>
      </c>
      <c r="AC2239">
        <v>0</v>
      </c>
      <c r="AD2239">
        <v>10</v>
      </c>
      <c r="AE2239">
        <v>0</v>
      </c>
      <c r="AF2239">
        <v>3</v>
      </c>
      <c r="AG2239">
        <v>2</v>
      </c>
      <c r="AH2239">
        <v>0</v>
      </c>
      <c r="AI2239" t="s">
        <v>1369</v>
      </c>
      <c r="AJ2239">
        <v>39.961931999999997</v>
      </c>
      <c r="AK2239" t="s">
        <v>1370</v>
      </c>
      <c r="AL2239">
        <v>-92.679976999999994</v>
      </c>
      <c r="AM2239">
        <v>100</v>
      </c>
      <c r="AN2239">
        <v>1700</v>
      </c>
      <c r="AO2239" t="s">
        <v>118</v>
      </c>
      <c r="AP2239">
        <v>-107</v>
      </c>
      <c r="AQ2239">
        <v>78</v>
      </c>
      <c r="AR2239">
        <v>0</v>
      </c>
      <c r="AZ2239">
        <v>1200</v>
      </c>
      <c r="BA2239">
        <v>1</v>
      </c>
      <c r="BB2239" t="str">
        <f t="shared" si="109"/>
        <v xml:space="preserve">N8080G  </v>
      </c>
      <c r="BC2239">
        <v>1</v>
      </c>
      <c r="BE2239">
        <v>0</v>
      </c>
      <c r="BF2239">
        <v>0</v>
      </c>
      <c r="BG2239">
        <v>0</v>
      </c>
      <c r="BH2239">
        <v>1700</v>
      </c>
      <c r="BI2239">
        <v>1</v>
      </c>
      <c r="BJ2239">
        <v>1</v>
      </c>
      <c r="BK2239">
        <v>1</v>
      </c>
      <c r="BL2239">
        <v>0</v>
      </c>
      <c r="BO2239">
        <v>0</v>
      </c>
      <c r="BP2239">
        <v>0</v>
      </c>
      <c r="BW2239" t="str">
        <f>"20:26:25.819"</f>
        <v>20:26:25.819</v>
      </c>
      <c r="BZ2239">
        <v>0</v>
      </c>
      <c r="CA2239">
        <v>2016</v>
      </c>
      <c r="CB2239">
        <v>224</v>
      </c>
      <c r="CD2239">
        <v>1</v>
      </c>
      <c r="CE2239">
        <v>0</v>
      </c>
      <c r="CF2239">
        <v>0</v>
      </c>
      <c r="CG2239">
        <v>1</v>
      </c>
      <c r="CH2239">
        <v>0</v>
      </c>
      <c r="CI2239">
        <v>0</v>
      </c>
      <c r="CJ2239">
        <v>0</v>
      </c>
      <c r="CK2239">
        <v>2</v>
      </c>
      <c r="CL2239">
        <v>0</v>
      </c>
      <c r="CM2239">
        <v>2</v>
      </c>
      <c r="CN2239">
        <v>0</v>
      </c>
      <c r="CO2239">
        <v>7</v>
      </c>
      <c r="CP2239" t="s">
        <v>119</v>
      </c>
      <c r="CQ2239">
        <v>180</v>
      </c>
      <c r="CR2239">
        <v>2</v>
      </c>
      <c r="CW2239">
        <v>8477531</v>
      </c>
      <c r="CY2239">
        <v>1</v>
      </c>
      <c r="CZ2239">
        <v>0</v>
      </c>
      <c r="DA2239">
        <v>0</v>
      </c>
      <c r="DB2239">
        <v>0</v>
      </c>
      <c r="DC2239">
        <v>0</v>
      </c>
      <c r="DD2239">
        <v>0</v>
      </c>
      <c r="DE2239">
        <v>0</v>
      </c>
      <c r="DF2239">
        <v>0</v>
      </c>
      <c r="DG2239">
        <v>0</v>
      </c>
      <c r="DH2239">
        <v>0</v>
      </c>
      <c r="DI2239">
        <v>0</v>
      </c>
    </row>
    <row r="2240" spans="1:113" x14ac:dyDescent="0.3">
      <c r="A2240" t="str">
        <f>"02/08/2021 20:26:23.481"</f>
        <v>02/08/2021 20:26:23.481</v>
      </c>
      <c r="C2240" t="str">
        <f t="shared" si="108"/>
        <v>FFDFD7C0</v>
      </c>
      <c r="D2240" t="s">
        <v>124</v>
      </c>
      <c r="E2240">
        <v>12</v>
      </c>
      <c r="F2240">
        <v>1012</v>
      </c>
      <c r="G2240" t="s">
        <v>675</v>
      </c>
      <c r="J2240" t="s">
        <v>125</v>
      </c>
      <c r="K2240">
        <v>0</v>
      </c>
      <c r="L2240">
        <v>3</v>
      </c>
      <c r="M2240">
        <v>0</v>
      </c>
      <c r="N2240">
        <v>2</v>
      </c>
      <c r="O2240">
        <v>1</v>
      </c>
      <c r="P2240">
        <v>0</v>
      </c>
      <c r="Q2240">
        <v>0</v>
      </c>
      <c r="S2240" t="str">
        <f>"20:26:25.813"</f>
        <v>20:26:25.813</v>
      </c>
      <c r="T2240" t="str">
        <f>"20:26:25.313"</f>
        <v>20:26:25.313</v>
      </c>
      <c r="U2240" t="str">
        <f t="shared" si="107"/>
        <v>AB01F4</v>
      </c>
      <c r="V2240">
        <v>0</v>
      </c>
      <c r="W2240">
        <v>0</v>
      </c>
      <c r="X2240">
        <v>2</v>
      </c>
      <c r="Z2240">
        <v>0</v>
      </c>
      <c r="AA2240">
        <v>9</v>
      </c>
      <c r="AB2240">
        <v>3</v>
      </c>
      <c r="AC2240">
        <v>0</v>
      </c>
      <c r="AD2240">
        <v>10</v>
      </c>
      <c r="AE2240">
        <v>0</v>
      </c>
      <c r="AF2240">
        <v>3</v>
      </c>
      <c r="AG2240">
        <v>2</v>
      </c>
      <c r="AH2240">
        <v>0</v>
      </c>
      <c r="AI2240" t="s">
        <v>1369</v>
      </c>
      <c r="AJ2240">
        <v>39.961931999999997</v>
      </c>
      <c r="AK2240" t="s">
        <v>1370</v>
      </c>
      <c r="AL2240">
        <v>-92.679976999999994</v>
      </c>
      <c r="AM2240">
        <v>100</v>
      </c>
      <c r="AN2240">
        <v>1700</v>
      </c>
      <c r="AO2240" t="s">
        <v>118</v>
      </c>
      <c r="AP2240">
        <v>-107</v>
      </c>
      <c r="AQ2240">
        <v>78</v>
      </c>
      <c r="AR2240">
        <v>0</v>
      </c>
      <c r="AZ2240">
        <v>1200</v>
      </c>
      <c r="BA2240">
        <v>1</v>
      </c>
      <c r="BB2240" t="str">
        <f t="shared" si="109"/>
        <v xml:space="preserve">N8080G  </v>
      </c>
      <c r="BC2240">
        <v>1</v>
      </c>
      <c r="BE2240">
        <v>0</v>
      </c>
      <c r="BF2240">
        <v>0</v>
      </c>
      <c r="BG2240">
        <v>0</v>
      </c>
      <c r="BH2240">
        <v>1700</v>
      </c>
      <c r="BI2240">
        <v>1</v>
      </c>
      <c r="BJ2240">
        <v>1</v>
      </c>
      <c r="BK2240">
        <v>1</v>
      </c>
      <c r="BL2240">
        <v>0</v>
      </c>
      <c r="BO2240">
        <v>0</v>
      </c>
      <c r="BP2240">
        <v>0</v>
      </c>
      <c r="BW2240" t="str">
        <f>"20:26:25.819"</f>
        <v>20:26:25.819</v>
      </c>
      <c r="BZ2240">
        <v>0</v>
      </c>
      <c r="CA2240">
        <v>2016</v>
      </c>
      <c r="CB2240">
        <v>224</v>
      </c>
      <c r="CD2240">
        <v>1</v>
      </c>
      <c r="CE2240">
        <v>0</v>
      </c>
      <c r="CF2240">
        <v>0</v>
      </c>
      <c r="CG2240">
        <v>1</v>
      </c>
      <c r="CH2240">
        <v>0</v>
      </c>
      <c r="CI2240">
        <v>0</v>
      </c>
      <c r="CJ2240">
        <v>0</v>
      </c>
      <c r="CK2240">
        <v>2</v>
      </c>
      <c r="CL2240">
        <v>0</v>
      </c>
      <c r="CM2240">
        <v>2</v>
      </c>
      <c r="CN2240">
        <v>0</v>
      </c>
      <c r="CO2240">
        <v>7</v>
      </c>
      <c r="CP2240" t="s">
        <v>119</v>
      </c>
      <c r="CQ2240">
        <v>180</v>
      </c>
      <c r="CR2240">
        <v>2</v>
      </c>
      <c r="CW2240">
        <v>8477531</v>
      </c>
      <c r="CY2240">
        <v>1</v>
      </c>
      <c r="CZ2240">
        <v>0</v>
      </c>
      <c r="DA2240">
        <v>1</v>
      </c>
      <c r="DB2240">
        <v>0</v>
      </c>
      <c r="DC2240">
        <v>0</v>
      </c>
      <c r="DD2240">
        <v>0</v>
      </c>
      <c r="DE2240">
        <v>0</v>
      </c>
      <c r="DF2240">
        <v>0</v>
      </c>
      <c r="DG2240">
        <v>0</v>
      </c>
      <c r="DH2240">
        <v>0</v>
      </c>
      <c r="DI2240">
        <v>0</v>
      </c>
    </row>
    <row r="2241" spans="1:113" x14ac:dyDescent="0.3">
      <c r="A2241" t="str">
        <f>"02/08/2021 20:26:23.481"</f>
        <v>02/08/2021 20:26:23.481</v>
      </c>
      <c r="C2241" t="str">
        <f t="shared" si="108"/>
        <v>FFDFD7C0</v>
      </c>
      <c r="D2241" t="s">
        <v>113</v>
      </c>
      <c r="E2241">
        <v>6</v>
      </c>
      <c r="H2241">
        <v>165</v>
      </c>
      <c r="I2241" t="s">
        <v>114</v>
      </c>
      <c r="J2241" t="s">
        <v>115</v>
      </c>
      <c r="K2241">
        <v>0</v>
      </c>
      <c r="L2241">
        <v>3</v>
      </c>
      <c r="M2241">
        <v>0</v>
      </c>
      <c r="N2241">
        <v>2</v>
      </c>
      <c r="O2241">
        <v>1</v>
      </c>
      <c r="P2241">
        <v>0</v>
      </c>
      <c r="Q2241">
        <v>0</v>
      </c>
      <c r="S2241" t="str">
        <f>"20:26:25.813"</f>
        <v>20:26:25.813</v>
      </c>
      <c r="T2241" t="str">
        <f>"20:26:25.313"</f>
        <v>20:26:25.313</v>
      </c>
      <c r="U2241" t="str">
        <f t="shared" si="107"/>
        <v>AB01F4</v>
      </c>
      <c r="V2241">
        <v>0</v>
      </c>
      <c r="W2241">
        <v>0</v>
      </c>
      <c r="X2241">
        <v>2</v>
      </c>
      <c r="Z2241">
        <v>0</v>
      </c>
      <c r="AA2241">
        <v>9</v>
      </c>
      <c r="AB2241">
        <v>3</v>
      </c>
      <c r="AC2241">
        <v>0</v>
      </c>
      <c r="AD2241">
        <v>10</v>
      </c>
      <c r="AE2241">
        <v>0</v>
      </c>
      <c r="AF2241">
        <v>3</v>
      </c>
      <c r="AG2241">
        <v>2</v>
      </c>
      <c r="AH2241">
        <v>0</v>
      </c>
      <c r="AI2241" t="s">
        <v>1369</v>
      </c>
      <c r="AJ2241">
        <v>39.961931999999997</v>
      </c>
      <c r="AK2241" t="s">
        <v>1370</v>
      </c>
      <c r="AL2241">
        <v>-92.679976999999994</v>
      </c>
      <c r="AM2241">
        <v>100</v>
      </c>
      <c r="AN2241">
        <v>1700</v>
      </c>
      <c r="AO2241" t="s">
        <v>118</v>
      </c>
      <c r="AP2241">
        <v>-107</v>
      </c>
      <c r="AQ2241">
        <v>78</v>
      </c>
      <c r="AR2241">
        <v>0</v>
      </c>
      <c r="AZ2241">
        <v>1200</v>
      </c>
      <c r="BA2241">
        <v>1</v>
      </c>
      <c r="BB2241" t="str">
        <f t="shared" si="109"/>
        <v xml:space="preserve">N8080G  </v>
      </c>
      <c r="BC2241">
        <v>1</v>
      </c>
      <c r="BE2241">
        <v>0</v>
      </c>
      <c r="BF2241">
        <v>0</v>
      </c>
      <c r="BG2241">
        <v>0</v>
      </c>
      <c r="BH2241">
        <v>1700</v>
      </c>
      <c r="BI2241">
        <v>1</v>
      </c>
      <c r="BJ2241">
        <v>1</v>
      </c>
      <c r="BK2241">
        <v>1</v>
      </c>
      <c r="BL2241">
        <v>0</v>
      </c>
      <c r="BO2241">
        <v>0</v>
      </c>
      <c r="BP2241">
        <v>0</v>
      </c>
      <c r="BW2241" t="str">
        <f>"20:26:25.819"</f>
        <v>20:26:25.819</v>
      </c>
      <c r="BZ2241">
        <v>0</v>
      </c>
      <c r="CA2241">
        <v>2016</v>
      </c>
      <c r="CB2241">
        <v>224</v>
      </c>
      <c r="CD2241">
        <v>1</v>
      </c>
      <c r="CE2241">
        <v>0</v>
      </c>
      <c r="CF2241">
        <v>0</v>
      </c>
      <c r="CG2241">
        <v>1</v>
      </c>
      <c r="CH2241">
        <v>0</v>
      </c>
      <c r="CI2241">
        <v>0</v>
      </c>
      <c r="CJ2241">
        <v>0</v>
      </c>
      <c r="CK2241">
        <v>2</v>
      </c>
      <c r="CL2241">
        <v>0</v>
      </c>
      <c r="CM2241">
        <v>2</v>
      </c>
      <c r="CN2241">
        <v>0</v>
      </c>
      <c r="CO2241">
        <v>7</v>
      </c>
      <c r="CP2241" t="s">
        <v>119</v>
      </c>
      <c r="CQ2241">
        <v>180</v>
      </c>
      <c r="CR2241">
        <v>2</v>
      </c>
      <c r="CW2241">
        <v>8477531</v>
      </c>
      <c r="CY2241">
        <v>1</v>
      </c>
      <c r="CZ2241">
        <v>0</v>
      </c>
      <c r="DA2241">
        <v>1</v>
      </c>
      <c r="DB2241">
        <v>0</v>
      </c>
      <c r="DC2241">
        <v>0</v>
      </c>
      <c r="DD2241">
        <v>0</v>
      </c>
      <c r="DE2241">
        <v>0</v>
      </c>
      <c r="DF2241">
        <v>0</v>
      </c>
      <c r="DG2241">
        <v>0</v>
      </c>
      <c r="DH2241">
        <v>0</v>
      </c>
      <c r="DI2241">
        <v>0</v>
      </c>
    </row>
    <row r="2242" spans="1:113" x14ac:dyDescent="0.3">
      <c r="A2242" t="str">
        <f>"02/08/2021 20:26:23.481"</f>
        <v>02/08/2021 20:26:23.481</v>
      </c>
      <c r="C2242" t="str">
        <f t="shared" si="108"/>
        <v>FFDFD7C0</v>
      </c>
      <c r="D2242" t="s">
        <v>124</v>
      </c>
      <c r="E2242">
        <v>13</v>
      </c>
      <c r="F2242">
        <v>1013</v>
      </c>
      <c r="G2242" t="s">
        <v>114</v>
      </c>
      <c r="J2242" t="s">
        <v>125</v>
      </c>
      <c r="K2242">
        <v>0</v>
      </c>
      <c r="L2242">
        <v>3</v>
      </c>
      <c r="M2242">
        <v>0</v>
      </c>
      <c r="N2242">
        <v>2</v>
      </c>
      <c r="O2242">
        <v>1</v>
      </c>
      <c r="P2242">
        <v>0</v>
      </c>
      <c r="Q2242">
        <v>0</v>
      </c>
      <c r="S2242" t="str">
        <f>"20:26:25.813"</f>
        <v>20:26:25.813</v>
      </c>
      <c r="T2242" t="str">
        <f>"20:26:25.313"</f>
        <v>20:26:25.313</v>
      </c>
      <c r="U2242" t="str">
        <f t="shared" ref="U2242:U2305" si="110">"AB01F4"</f>
        <v>AB01F4</v>
      </c>
      <c r="V2242">
        <v>0</v>
      </c>
      <c r="W2242">
        <v>0</v>
      </c>
      <c r="X2242">
        <v>2</v>
      </c>
      <c r="Z2242">
        <v>0</v>
      </c>
      <c r="AA2242">
        <v>9</v>
      </c>
      <c r="AB2242">
        <v>3</v>
      </c>
      <c r="AC2242">
        <v>0</v>
      </c>
      <c r="AD2242">
        <v>10</v>
      </c>
      <c r="AE2242">
        <v>0</v>
      </c>
      <c r="AF2242">
        <v>3</v>
      </c>
      <c r="AG2242">
        <v>2</v>
      </c>
      <c r="AH2242">
        <v>0</v>
      </c>
      <c r="AI2242" t="s">
        <v>1369</v>
      </c>
      <c r="AJ2242">
        <v>39.961931999999997</v>
      </c>
      <c r="AK2242" t="s">
        <v>1370</v>
      </c>
      <c r="AL2242">
        <v>-92.679976999999994</v>
      </c>
      <c r="AM2242">
        <v>100</v>
      </c>
      <c r="AN2242">
        <v>1700</v>
      </c>
      <c r="AO2242" t="s">
        <v>118</v>
      </c>
      <c r="AP2242">
        <v>-107</v>
      </c>
      <c r="AQ2242">
        <v>78</v>
      </c>
      <c r="AR2242">
        <v>0</v>
      </c>
      <c r="AZ2242">
        <v>1200</v>
      </c>
      <c r="BA2242">
        <v>1</v>
      </c>
      <c r="BB2242" t="str">
        <f t="shared" si="109"/>
        <v xml:space="preserve">N8080G  </v>
      </c>
      <c r="BC2242">
        <v>1</v>
      </c>
      <c r="BE2242">
        <v>0</v>
      </c>
      <c r="BF2242">
        <v>0</v>
      </c>
      <c r="BG2242">
        <v>0</v>
      </c>
      <c r="BH2242">
        <v>1700</v>
      </c>
      <c r="BI2242">
        <v>1</v>
      </c>
      <c r="BJ2242">
        <v>1</v>
      </c>
      <c r="BK2242">
        <v>1</v>
      </c>
      <c r="BL2242">
        <v>0</v>
      </c>
      <c r="BO2242">
        <v>0</v>
      </c>
      <c r="BP2242">
        <v>0</v>
      </c>
      <c r="BW2242" t="str">
        <f>"20:26:25.819"</f>
        <v>20:26:25.819</v>
      </c>
      <c r="BZ2242">
        <v>0</v>
      </c>
      <c r="CA2242">
        <v>2016</v>
      </c>
      <c r="CB2242">
        <v>224</v>
      </c>
      <c r="CD2242">
        <v>1</v>
      </c>
      <c r="CE2242">
        <v>0</v>
      </c>
      <c r="CF2242">
        <v>0</v>
      </c>
      <c r="CG2242">
        <v>1</v>
      </c>
      <c r="CH2242">
        <v>0</v>
      </c>
      <c r="CI2242">
        <v>0</v>
      </c>
      <c r="CJ2242">
        <v>0</v>
      </c>
      <c r="CK2242">
        <v>2</v>
      </c>
      <c r="CL2242">
        <v>0</v>
      </c>
      <c r="CM2242">
        <v>2</v>
      </c>
      <c r="CN2242">
        <v>0</v>
      </c>
      <c r="CO2242">
        <v>7</v>
      </c>
      <c r="CP2242" t="s">
        <v>119</v>
      </c>
      <c r="CQ2242">
        <v>180</v>
      </c>
      <c r="CR2242">
        <v>2</v>
      </c>
      <c r="CW2242">
        <v>8477531</v>
      </c>
      <c r="CY2242">
        <v>1</v>
      </c>
      <c r="CZ2242">
        <v>0</v>
      </c>
      <c r="DA2242">
        <v>1</v>
      </c>
      <c r="DB2242">
        <v>0</v>
      </c>
      <c r="DC2242">
        <v>0</v>
      </c>
      <c r="DD2242">
        <v>0</v>
      </c>
      <c r="DE2242">
        <v>0</v>
      </c>
      <c r="DF2242">
        <v>0</v>
      </c>
      <c r="DG2242">
        <v>0</v>
      </c>
      <c r="DH2242">
        <v>0</v>
      </c>
      <c r="DI2242">
        <v>0</v>
      </c>
    </row>
    <row r="2243" spans="1:113" x14ac:dyDescent="0.3">
      <c r="A2243" t="str">
        <f>"02/08/2021 20:26:24.861"</f>
        <v>02/08/2021 20:26:24.861</v>
      </c>
      <c r="C2243" t="str">
        <f t="shared" si="108"/>
        <v>FFDFD7C0</v>
      </c>
      <c r="D2243" t="s">
        <v>124</v>
      </c>
      <c r="E2243">
        <v>12</v>
      </c>
      <c r="F2243">
        <v>1012</v>
      </c>
      <c r="G2243" t="s">
        <v>675</v>
      </c>
      <c r="J2243" t="s">
        <v>125</v>
      </c>
      <c r="K2243">
        <v>0</v>
      </c>
      <c r="L2243">
        <v>3</v>
      </c>
      <c r="M2243">
        <v>0</v>
      </c>
      <c r="N2243">
        <v>2</v>
      </c>
      <c r="O2243">
        <v>1</v>
      </c>
      <c r="P2243">
        <v>0</v>
      </c>
      <c r="Q2243">
        <v>0</v>
      </c>
      <c r="S2243" t="str">
        <f>"20:26:27.156"</f>
        <v>20:26:27.156</v>
      </c>
      <c r="T2243" t="str">
        <f>"20:26:26.656"</f>
        <v>20:26:26.656</v>
      </c>
      <c r="U2243" t="str">
        <f t="shared" si="110"/>
        <v>AB01F4</v>
      </c>
      <c r="V2243">
        <v>0</v>
      </c>
      <c r="W2243">
        <v>0</v>
      </c>
      <c r="X2243">
        <v>2</v>
      </c>
      <c r="Z2243">
        <v>0</v>
      </c>
      <c r="AA2243">
        <v>9</v>
      </c>
      <c r="AB2243">
        <v>3</v>
      </c>
      <c r="AC2243">
        <v>0</v>
      </c>
      <c r="AD2243">
        <v>10</v>
      </c>
      <c r="AE2243">
        <v>0</v>
      </c>
      <c r="AF2243">
        <v>3</v>
      </c>
      <c r="AG2243">
        <v>2</v>
      </c>
      <c r="AH2243">
        <v>0</v>
      </c>
      <c r="AI2243" t="s">
        <v>1371</v>
      </c>
      <c r="AJ2243">
        <v>39.962403999999999</v>
      </c>
      <c r="AK2243" t="s">
        <v>1372</v>
      </c>
      <c r="AL2243">
        <v>-92.680792999999994</v>
      </c>
      <c r="AM2243">
        <v>100</v>
      </c>
      <c r="AN2243">
        <v>1700</v>
      </c>
      <c r="AO2243" t="s">
        <v>118</v>
      </c>
      <c r="AP2243">
        <v>-107</v>
      </c>
      <c r="AQ2243">
        <v>78</v>
      </c>
      <c r="AR2243">
        <v>-64</v>
      </c>
      <c r="AZ2243">
        <v>1200</v>
      </c>
      <c r="BA2243">
        <v>1</v>
      </c>
      <c r="BB2243" t="str">
        <f t="shared" si="109"/>
        <v xml:space="preserve">N8080G  </v>
      </c>
      <c r="BC2243">
        <v>1</v>
      </c>
      <c r="BE2243">
        <v>0</v>
      </c>
      <c r="BF2243">
        <v>0</v>
      </c>
      <c r="BG2243">
        <v>0</v>
      </c>
      <c r="BH2243">
        <v>1700</v>
      </c>
      <c r="BI2243">
        <v>1</v>
      </c>
      <c r="BJ2243">
        <v>1</v>
      </c>
      <c r="BK2243">
        <v>1</v>
      </c>
      <c r="BL2243">
        <v>0</v>
      </c>
      <c r="BO2243">
        <v>0</v>
      </c>
      <c r="BP2243">
        <v>0</v>
      </c>
      <c r="BW2243" t="str">
        <f>"20:26:27.160"</f>
        <v>20:26:27.160</v>
      </c>
      <c r="BZ2243">
        <v>0</v>
      </c>
      <c r="CA2243">
        <v>2016</v>
      </c>
      <c r="CB2243">
        <v>224</v>
      </c>
      <c r="CD2243">
        <v>1</v>
      </c>
      <c r="CE2243">
        <v>0</v>
      </c>
      <c r="CF2243">
        <v>0</v>
      </c>
      <c r="CG2243">
        <v>1</v>
      </c>
      <c r="CH2243">
        <v>0</v>
      </c>
      <c r="CI2243">
        <v>0</v>
      </c>
      <c r="CJ2243">
        <v>0</v>
      </c>
      <c r="CK2243">
        <v>2</v>
      </c>
      <c r="CL2243">
        <v>0</v>
      </c>
      <c r="CM2243">
        <v>2</v>
      </c>
      <c r="CN2243">
        <v>0</v>
      </c>
      <c r="CO2243">
        <v>7</v>
      </c>
      <c r="CP2243" t="s">
        <v>119</v>
      </c>
      <c r="CQ2243">
        <v>180</v>
      </c>
      <c r="CR2243">
        <v>2</v>
      </c>
      <c r="CW2243">
        <v>8478567</v>
      </c>
      <c r="CY2243">
        <v>1</v>
      </c>
      <c r="CZ2243">
        <v>0</v>
      </c>
      <c r="DA2243">
        <v>0</v>
      </c>
      <c r="DB2243">
        <v>0</v>
      </c>
      <c r="DC2243">
        <v>0</v>
      </c>
      <c r="DD2243">
        <v>0</v>
      </c>
      <c r="DE2243">
        <v>0</v>
      </c>
      <c r="DF2243">
        <v>0</v>
      </c>
      <c r="DG2243">
        <v>0</v>
      </c>
      <c r="DH2243">
        <v>0</v>
      </c>
      <c r="DI2243">
        <v>0</v>
      </c>
    </row>
    <row r="2244" spans="1:113" x14ac:dyDescent="0.3">
      <c r="A2244" t="str">
        <f>"02/08/2021 20:26:24.861"</f>
        <v>02/08/2021 20:26:24.861</v>
      </c>
      <c r="C2244" t="str">
        <f t="shared" si="108"/>
        <v>FFDFD7C0</v>
      </c>
      <c r="D2244" t="s">
        <v>113</v>
      </c>
      <c r="E2244">
        <v>6</v>
      </c>
      <c r="H2244">
        <v>165</v>
      </c>
      <c r="I2244" t="s">
        <v>114</v>
      </c>
      <c r="J2244" t="s">
        <v>115</v>
      </c>
      <c r="K2244">
        <v>0</v>
      </c>
      <c r="L2244">
        <v>3</v>
      </c>
      <c r="M2244">
        <v>0</v>
      </c>
      <c r="N2244">
        <v>2</v>
      </c>
      <c r="O2244">
        <v>1</v>
      </c>
      <c r="P2244">
        <v>0</v>
      </c>
      <c r="Q2244">
        <v>0</v>
      </c>
      <c r="S2244" t="str">
        <f>"20:26:27.156"</f>
        <v>20:26:27.156</v>
      </c>
      <c r="T2244" t="str">
        <f>"20:26:26.656"</f>
        <v>20:26:26.656</v>
      </c>
      <c r="U2244" t="str">
        <f t="shared" si="110"/>
        <v>AB01F4</v>
      </c>
      <c r="V2244">
        <v>0</v>
      </c>
      <c r="W2244">
        <v>0</v>
      </c>
      <c r="X2244">
        <v>2</v>
      </c>
      <c r="Z2244">
        <v>0</v>
      </c>
      <c r="AA2244">
        <v>9</v>
      </c>
      <c r="AB2244">
        <v>3</v>
      </c>
      <c r="AC2244">
        <v>0</v>
      </c>
      <c r="AD2244">
        <v>10</v>
      </c>
      <c r="AE2244">
        <v>0</v>
      </c>
      <c r="AF2244">
        <v>3</v>
      </c>
      <c r="AG2244">
        <v>2</v>
      </c>
      <c r="AH2244">
        <v>0</v>
      </c>
      <c r="AI2244" t="s">
        <v>1371</v>
      </c>
      <c r="AJ2244">
        <v>39.962403999999999</v>
      </c>
      <c r="AK2244" t="s">
        <v>1372</v>
      </c>
      <c r="AL2244">
        <v>-92.680792999999994</v>
      </c>
      <c r="AM2244">
        <v>100</v>
      </c>
      <c r="AN2244">
        <v>1700</v>
      </c>
      <c r="AO2244" t="s">
        <v>118</v>
      </c>
      <c r="AP2244">
        <v>-107</v>
      </c>
      <c r="AQ2244">
        <v>78</v>
      </c>
      <c r="AR2244">
        <v>-64</v>
      </c>
      <c r="AZ2244">
        <v>1200</v>
      </c>
      <c r="BA2244">
        <v>1</v>
      </c>
      <c r="BB2244" t="str">
        <f t="shared" si="109"/>
        <v xml:space="preserve">N8080G  </v>
      </c>
      <c r="BC2244">
        <v>1</v>
      </c>
      <c r="BE2244">
        <v>0</v>
      </c>
      <c r="BF2244">
        <v>0</v>
      </c>
      <c r="BG2244">
        <v>0</v>
      </c>
      <c r="BH2244">
        <v>1700</v>
      </c>
      <c r="BI2244">
        <v>1</v>
      </c>
      <c r="BJ2244">
        <v>1</v>
      </c>
      <c r="BK2244">
        <v>1</v>
      </c>
      <c r="BL2244">
        <v>0</v>
      </c>
      <c r="BO2244">
        <v>0</v>
      </c>
      <c r="BP2244">
        <v>0</v>
      </c>
      <c r="BW2244" t="str">
        <f>"20:26:27.160"</f>
        <v>20:26:27.160</v>
      </c>
      <c r="BZ2244">
        <v>0</v>
      </c>
      <c r="CA2244">
        <v>2016</v>
      </c>
      <c r="CB2244">
        <v>224</v>
      </c>
      <c r="CD2244">
        <v>1</v>
      </c>
      <c r="CE2244">
        <v>0</v>
      </c>
      <c r="CF2244">
        <v>0</v>
      </c>
      <c r="CG2244">
        <v>1</v>
      </c>
      <c r="CH2244">
        <v>0</v>
      </c>
      <c r="CI2244">
        <v>0</v>
      </c>
      <c r="CJ2244">
        <v>0</v>
      </c>
      <c r="CK2244">
        <v>2</v>
      </c>
      <c r="CL2244">
        <v>0</v>
      </c>
      <c r="CM2244">
        <v>2</v>
      </c>
      <c r="CN2244">
        <v>0</v>
      </c>
      <c r="CO2244">
        <v>7</v>
      </c>
      <c r="CP2244" t="s">
        <v>119</v>
      </c>
      <c r="CQ2244">
        <v>180</v>
      </c>
      <c r="CR2244">
        <v>2</v>
      </c>
      <c r="CW2244">
        <v>8478567</v>
      </c>
      <c r="CY2244">
        <v>1</v>
      </c>
      <c r="CZ2244">
        <v>0</v>
      </c>
      <c r="DA2244">
        <v>1</v>
      </c>
      <c r="DB2244">
        <v>0</v>
      </c>
      <c r="DC2244">
        <v>0</v>
      </c>
      <c r="DD2244">
        <v>0</v>
      </c>
      <c r="DE2244">
        <v>0</v>
      </c>
      <c r="DF2244">
        <v>0</v>
      </c>
      <c r="DG2244">
        <v>0</v>
      </c>
      <c r="DH2244">
        <v>0</v>
      </c>
      <c r="DI2244">
        <v>0</v>
      </c>
    </row>
    <row r="2245" spans="1:113" x14ac:dyDescent="0.3">
      <c r="A2245" t="str">
        <f>"02/08/2021 20:26:24.861"</f>
        <v>02/08/2021 20:26:24.861</v>
      </c>
      <c r="C2245" t="str">
        <f t="shared" si="108"/>
        <v>FFDFD7C0</v>
      </c>
      <c r="D2245" t="s">
        <v>124</v>
      </c>
      <c r="E2245">
        <v>13</v>
      </c>
      <c r="F2245">
        <v>1013</v>
      </c>
      <c r="G2245" t="s">
        <v>114</v>
      </c>
      <c r="J2245" t="s">
        <v>125</v>
      </c>
      <c r="K2245">
        <v>0</v>
      </c>
      <c r="L2245">
        <v>3</v>
      </c>
      <c r="M2245">
        <v>0</v>
      </c>
      <c r="N2245">
        <v>2</v>
      </c>
      <c r="O2245">
        <v>1</v>
      </c>
      <c r="P2245">
        <v>0</v>
      </c>
      <c r="Q2245">
        <v>0</v>
      </c>
      <c r="S2245" t="str">
        <f>"20:26:27.156"</f>
        <v>20:26:27.156</v>
      </c>
      <c r="T2245" t="str">
        <f>"20:26:26.656"</f>
        <v>20:26:26.656</v>
      </c>
      <c r="U2245" t="str">
        <f t="shared" si="110"/>
        <v>AB01F4</v>
      </c>
      <c r="V2245">
        <v>0</v>
      </c>
      <c r="W2245">
        <v>0</v>
      </c>
      <c r="X2245">
        <v>2</v>
      </c>
      <c r="Z2245">
        <v>0</v>
      </c>
      <c r="AA2245">
        <v>9</v>
      </c>
      <c r="AB2245">
        <v>3</v>
      </c>
      <c r="AC2245">
        <v>0</v>
      </c>
      <c r="AD2245">
        <v>10</v>
      </c>
      <c r="AE2245">
        <v>0</v>
      </c>
      <c r="AF2245">
        <v>3</v>
      </c>
      <c r="AG2245">
        <v>2</v>
      </c>
      <c r="AH2245">
        <v>0</v>
      </c>
      <c r="AI2245" t="s">
        <v>1371</v>
      </c>
      <c r="AJ2245">
        <v>39.962403999999999</v>
      </c>
      <c r="AK2245" t="s">
        <v>1372</v>
      </c>
      <c r="AL2245">
        <v>-92.680792999999994</v>
      </c>
      <c r="AM2245">
        <v>100</v>
      </c>
      <c r="AN2245">
        <v>1700</v>
      </c>
      <c r="AO2245" t="s">
        <v>118</v>
      </c>
      <c r="AP2245">
        <v>-107</v>
      </c>
      <c r="AQ2245">
        <v>78</v>
      </c>
      <c r="AR2245">
        <v>-64</v>
      </c>
      <c r="AZ2245">
        <v>1200</v>
      </c>
      <c r="BA2245">
        <v>1</v>
      </c>
      <c r="BB2245" t="str">
        <f t="shared" si="109"/>
        <v xml:space="preserve">N8080G  </v>
      </c>
      <c r="BC2245">
        <v>1</v>
      </c>
      <c r="BE2245">
        <v>0</v>
      </c>
      <c r="BF2245">
        <v>0</v>
      </c>
      <c r="BG2245">
        <v>0</v>
      </c>
      <c r="BH2245">
        <v>1700</v>
      </c>
      <c r="BI2245">
        <v>1</v>
      </c>
      <c r="BJ2245">
        <v>1</v>
      </c>
      <c r="BK2245">
        <v>1</v>
      </c>
      <c r="BL2245">
        <v>0</v>
      </c>
      <c r="BO2245">
        <v>0</v>
      </c>
      <c r="BP2245">
        <v>0</v>
      </c>
      <c r="BW2245" t="str">
        <f>"20:26:27.160"</f>
        <v>20:26:27.160</v>
      </c>
      <c r="BZ2245">
        <v>0</v>
      </c>
      <c r="CA2245">
        <v>2016</v>
      </c>
      <c r="CB2245">
        <v>224</v>
      </c>
      <c r="CD2245">
        <v>1</v>
      </c>
      <c r="CE2245">
        <v>0</v>
      </c>
      <c r="CF2245">
        <v>0</v>
      </c>
      <c r="CG2245">
        <v>1</v>
      </c>
      <c r="CH2245">
        <v>0</v>
      </c>
      <c r="CI2245">
        <v>0</v>
      </c>
      <c r="CJ2245">
        <v>0</v>
      </c>
      <c r="CK2245">
        <v>2</v>
      </c>
      <c r="CL2245">
        <v>0</v>
      </c>
      <c r="CM2245">
        <v>2</v>
      </c>
      <c r="CN2245">
        <v>0</v>
      </c>
      <c r="CO2245">
        <v>7</v>
      </c>
      <c r="CP2245" t="s">
        <v>119</v>
      </c>
      <c r="CQ2245">
        <v>180</v>
      </c>
      <c r="CR2245">
        <v>2</v>
      </c>
      <c r="CW2245">
        <v>8478567</v>
      </c>
      <c r="CY2245">
        <v>1</v>
      </c>
      <c r="CZ2245">
        <v>0</v>
      </c>
      <c r="DA2245">
        <v>1</v>
      </c>
      <c r="DB2245">
        <v>0</v>
      </c>
      <c r="DC2245">
        <v>0</v>
      </c>
      <c r="DD2245">
        <v>0</v>
      </c>
      <c r="DE2245">
        <v>0</v>
      </c>
      <c r="DF2245">
        <v>0</v>
      </c>
      <c r="DG2245">
        <v>0</v>
      </c>
      <c r="DH2245">
        <v>0</v>
      </c>
      <c r="DI2245">
        <v>0</v>
      </c>
    </row>
    <row r="2246" spans="1:113" x14ac:dyDescent="0.3">
      <c r="A2246" t="str">
        <f>"02/08/2021 20:26:24.861"</f>
        <v>02/08/2021 20:26:24.861</v>
      </c>
      <c r="C2246" t="str">
        <f t="shared" si="108"/>
        <v>FFDFD7C0</v>
      </c>
      <c r="D2246" t="s">
        <v>124</v>
      </c>
      <c r="E2246">
        <v>11</v>
      </c>
      <c r="F2246">
        <v>1011</v>
      </c>
      <c r="G2246" t="s">
        <v>590</v>
      </c>
      <c r="J2246" t="s">
        <v>125</v>
      </c>
      <c r="K2246">
        <v>0</v>
      </c>
      <c r="L2246">
        <v>3</v>
      </c>
      <c r="M2246">
        <v>0</v>
      </c>
      <c r="N2246">
        <v>2</v>
      </c>
      <c r="O2246">
        <v>1</v>
      </c>
      <c r="P2246">
        <v>0</v>
      </c>
      <c r="Q2246">
        <v>0</v>
      </c>
      <c r="S2246" t="str">
        <f>"20:26:27.156"</f>
        <v>20:26:27.156</v>
      </c>
      <c r="T2246" t="str">
        <f>"20:26:26.656"</f>
        <v>20:26:26.656</v>
      </c>
      <c r="U2246" t="str">
        <f t="shared" si="110"/>
        <v>AB01F4</v>
      </c>
      <c r="V2246">
        <v>0</v>
      </c>
      <c r="W2246">
        <v>0</v>
      </c>
      <c r="X2246">
        <v>2</v>
      </c>
      <c r="Z2246">
        <v>0</v>
      </c>
      <c r="AA2246">
        <v>9</v>
      </c>
      <c r="AB2246">
        <v>3</v>
      </c>
      <c r="AC2246">
        <v>0</v>
      </c>
      <c r="AD2246">
        <v>10</v>
      </c>
      <c r="AE2246">
        <v>0</v>
      </c>
      <c r="AF2246">
        <v>3</v>
      </c>
      <c r="AG2246">
        <v>2</v>
      </c>
      <c r="AH2246">
        <v>0</v>
      </c>
      <c r="AI2246" t="s">
        <v>1371</v>
      </c>
      <c r="AJ2246">
        <v>39.962403999999999</v>
      </c>
      <c r="AK2246" t="s">
        <v>1372</v>
      </c>
      <c r="AL2246">
        <v>-92.680792999999994</v>
      </c>
      <c r="AM2246">
        <v>100</v>
      </c>
      <c r="AN2246">
        <v>1700</v>
      </c>
      <c r="AO2246" t="s">
        <v>118</v>
      </c>
      <c r="AP2246">
        <v>-107</v>
      </c>
      <c r="AQ2246">
        <v>78</v>
      </c>
      <c r="AR2246">
        <v>-64</v>
      </c>
      <c r="AZ2246">
        <v>1200</v>
      </c>
      <c r="BA2246">
        <v>1</v>
      </c>
      <c r="BB2246" t="str">
        <f t="shared" si="109"/>
        <v xml:space="preserve">N8080G  </v>
      </c>
      <c r="BC2246">
        <v>1</v>
      </c>
      <c r="BE2246">
        <v>0</v>
      </c>
      <c r="BF2246">
        <v>0</v>
      </c>
      <c r="BG2246">
        <v>0</v>
      </c>
      <c r="BH2246">
        <v>1700</v>
      </c>
      <c r="BI2246">
        <v>1</v>
      </c>
      <c r="BJ2246">
        <v>1</v>
      </c>
      <c r="BK2246">
        <v>1</v>
      </c>
      <c r="BL2246">
        <v>0</v>
      </c>
      <c r="BO2246">
        <v>0</v>
      </c>
      <c r="BP2246">
        <v>0</v>
      </c>
      <c r="BW2246" t="str">
        <f>"20:26:27.160"</f>
        <v>20:26:27.160</v>
      </c>
      <c r="BZ2246">
        <v>0</v>
      </c>
      <c r="CA2246">
        <v>2016</v>
      </c>
      <c r="CB2246">
        <v>224</v>
      </c>
      <c r="CD2246">
        <v>1</v>
      </c>
      <c r="CE2246">
        <v>0</v>
      </c>
      <c r="CF2246">
        <v>0</v>
      </c>
      <c r="CG2246">
        <v>1</v>
      </c>
      <c r="CH2246">
        <v>0</v>
      </c>
      <c r="CI2246">
        <v>0</v>
      </c>
      <c r="CJ2246">
        <v>0</v>
      </c>
      <c r="CK2246">
        <v>2</v>
      </c>
      <c r="CL2246">
        <v>0</v>
      </c>
      <c r="CM2246">
        <v>2</v>
      </c>
      <c r="CN2246">
        <v>0</v>
      </c>
      <c r="CO2246">
        <v>7</v>
      </c>
      <c r="CP2246" t="s">
        <v>119</v>
      </c>
      <c r="CQ2246">
        <v>180</v>
      </c>
      <c r="CR2246">
        <v>2</v>
      </c>
      <c r="CW2246">
        <v>8478567</v>
      </c>
      <c r="CY2246">
        <v>1</v>
      </c>
      <c r="CZ2246">
        <v>0</v>
      </c>
      <c r="DA2246">
        <v>1</v>
      </c>
      <c r="DB2246">
        <v>0</v>
      </c>
      <c r="DC2246">
        <v>0</v>
      </c>
      <c r="DD2246">
        <v>0</v>
      </c>
      <c r="DE2246">
        <v>0</v>
      </c>
      <c r="DF2246">
        <v>0</v>
      </c>
      <c r="DG2246">
        <v>0</v>
      </c>
      <c r="DH2246">
        <v>0</v>
      </c>
      <c r="DI2246">
        <v>0</v>
      </c>
    </row>
    <row r="2247" spans="1:113" x14ac:dyDescent="0.3">
      <c r="A2247" t="str">
        <f>"02/08/2021 20:26:25.886"</f>
        <v>02/08/2021 20:26:25.886</v>
      </c>
      <c r="C2247" t="str">
        <f t="shared" si="108"/>
        <v>FFDFD7C0</v>
      </c>
      <c r="D2247" t="s">
        <v>124</v>
      </c>
      <c r="E2247">
        <v>13</v>
      </c>
      <c r="F2247">
        <v>1013</v>
      </c>
      <c r="G2247" t="s">
        <v>114</v>
      </c>
      <c r="J2247" t="s">
        <v>125</v>
      </c>
      <c r="K2247">
        <v>0</v>
      </c>
      <c r="L2247">
        <v>3</v>
      </c>
      <c r="M2247">
        <v>0</v>
      </c>
      <c r="N2247">
        <v>2</v>
      </c>
      <c r="O2247">
        <v>1</v>
      </c>
      <c r="P2247">
        <v>0</v>
      </c>
      <c r="Q2247">
        <v>0</v>
      </c>
      <c r="S2247" t="str">
        <f>"20:26:28.211"</f>
        <v>20:26:28.211</v>
      </c>
      <c r="T2247" t="str">
        <f>"20:26:27.211"</f>
        <v>20:26:27.211</v>
      </c>
      <c r="U2247" t="str">
        <f t="shared" si="110"/>
        <v>AB01F4</v>
      </c>
      <c r="V2247">
        <v>0</v>
      </c>
      <c r="W2247">
        <v>0</v>
      </c>
      <c r="X2247">
        <v>2</v>
      </c>
      <c r="Z2247">
        <v>0</v>
      </c>
      <c r="AA2247">
        <v>9</v>
      </c>
      <c r="AB2247">
        <v>3</v>
      </c>
      <c r="AC2247">
        <v>0</v>
      </c>
      <c r="AD2247">
        <v>10</v>
      </c>
      <c r="AE2247">
        <v>0</v>
      </c>
      <c r="AF2247">
        <v>3</v>
      </c>
      <c r="AG2247">
        <v>2</v>
      </c>
      <c r="AH2247">
        <v>0</v>
      </c>
      <c r="AI2247" t="s">
        <v>1373</v>
      </c>
      <c r="AJ2247">
        <v>39.962726000000004</v>
      </c>
      <c r="AK2247" t="s">
        <v>1374</v>
      </c>
      <c r="AL2247">
        <v>-92.681458000000006</v>
      </c>
      <c r="AM2247">
        <v>100</v>
      </c>
      <c r="AN2247">
        <v>1700</v>
      </c>
      <c r="AO2247" t="s">
        <v>118</v>
      </c>
      <c r="AP2247">
        <v>-108</v>
      </c>
      <c r="AQ2247">
        <v>78</v>
      </c>
      <c r="AR2247">
        <v>-64</v>
      </c>
      <c r="AZ2247">
        <v>1200</v>
      </c>
      <c r="BA2247">
        <v>1</v>
      </c>
      <c r="BB2247" t="str">
        <f t="shared" si="109"/>
        <v xml:space="preserve">N8080G  </v>
      </c>
      <c r="BC2247">
        <v>1</v>
      </c>
      <c r="BE2247">
        <v>0</v>
      </c>
      <c r="BF2247">
        <v>0</v>
      </c>
      <c r="BG2247">
        <v>0</v>
      </c>
      <c r="BH2247">
        <v>1700</v>
      </c>
      <c r="BI2247">
        <v>1</v>
      </c>
      <c r="BJ2247">
        <v>1</v>
      </c>
      <c r="BK2247">
        <v>1</v>
      </c>
      <c r="BL2247">
        <v>0</v>
      </c>
      <c r="BO2247">
        <v>0</v>
      </c>
      <c r="BP2247">
        <v>0</v>
      </c>
      <c r="BW2247" t="str">
        <f>"20:26:28.214"</f>
        <v>20:26:28.214</v>
      </c>
      <c r="BZ2247">
        <v>0</v>
      </c>
      <c r="CA2247">
        <v>2016</v>
      </c>
      <c r="CB2247">
        <v>224</v>
      </c>
      <c r="CD2247">
        <v>1</v>
      </c>
      <c r="CE2247">
        <v>0</v>
      </c>
      <c r="CF2247">
        <v>0</v>
      </c>
      <c r="CG2247">
        <v>1</v>
      </c>
      <c r="CH2247">
        <v>0</v>
      </c>
      <c r="CI2247">
        <v>0</v>
      </c>
      <c r="CJ2247">
        <v>0</v>
      </c>
      <c r="CK2247">
        <v>2</v>
      </c>
      <c r="CL2247">
        <v>0</v>
      </c>
      <c r="CM2247">
        <v>2</v>
      </c>
      <c r="CN2247">
        <v>0</v>
      </c>
      <c r="CO2247">
        <v>2</v>
      </c>
      <c r="CP2247" t="s">
        <v>119</v>
      </c>
      <c r="CQ2247">
        <v>179</v>
      </c>
      <c r="CR2247">
        <v>1</v>
      </c>
      <c r="CW2247">
        <v>8923272</v>
      </c>
      <c r="CY2247">
        <v>1</v>
      </c>
      <c r="CZ2247">
        <v>0</v>
      </c>
      <c r="DA2247">
        <v>0</v>
      </c>
      <c r="DB2247">
        <v>0</v>
      </c>
      <c r="DC2247">
        <v>0</v>
      </c>
      <c r="DD2247">
        <v>0</v>
      </c>
      <c r="DE2247">
        <v>0</v>
      </c>
      <c r="DF2247">
        <v>0</v>
      </c>
      <c r="DG2247">
        <v>0</v>
      </c>
      <c r="DH2247">
        <v>0</v>
      </c>
      <c r="DI2247">
        <v>0</v>
      </c>
    </row>
    <row r="2248" spans="1:113" x14ac:dyDescent="0.3">
      <c r="A2248" t="str">
        <f>"02/08/2021 20:26:25.886"</f>
        <v>02/08/2021 20:26:25.886</v>
      </c>
      <c r="C2248" t="str">
        <f t="shared" si="108"/>
        <v>FFDFD7C0</v>
      </c>
      <c r="D2248" t="s">
        <v>113</v>
      </c>
      <c r="E2248">
        <v>6</v>
      </c>
      <c r="H2248">
        <v>165</v>
      </c>
      <c r="I2248" t="s">
        <v>114</v>
      </c>
      <c r="J2248" t="s">
        <v>115</v>
      </c>
      <c r="K2248">
        <v>0</v>
      </c>
      <c r="L2248">
        <v>3</v>
      </c>
      <c r="M2248">
        <v>0</v>
      </c>
      <c r="N2248">
        <v>2</v>
      </c>
      <c r="O2248">
        <v>1</v>
      </c>
      <c r="P2248">
        <v>0</v>
      </c>
      <c r="Q2248">
        <v>0</v>
      </c>
      <c r="S2248" t="str">
        <f>"20:26:28.211"</f>
        <v>20:26:28.211</v>
      </c>
      <c r="T2248" t="str">
        <f>"20:26:27.211"</f>
        <v>20:26:27.211</v>
      </c>
      <c r="U2248" t="str">
        <f t="shared" si="110"/>
        <v>AB01F4</v>
      </c>
      <c r="V2248">
        <v>0</v>
      </c>
      <c r="W2248">
        <v>0</v>
      </c>
      <c r="X2248">
        <v>2</v>
      </c>
      <c r="Z2248">
        <v>0</v>
      </c>
      <c r="AA2248">
        <v>9</v>
      </c>
      <c r="AB2248">
        <v>3</v>
      </c>
      <c r="AC2248">
        <v>0</v>
      </c>
      <c r="AD2248">
        <v>10</v>
      </c>
      <c r="AE2248">
        <v>0</v>
      </c>
      <c r="AF2248">
        <v>3</v>
      </c>
      <c r="AG2248">
        <v>2</v>
      </c>
      <c r="AH2248">
        <v>0</v>
      </c>
      <c r="AI2248" t="s">
        <v>1373</v>
      </c>
      <c r="AJ2248">
        <v>39.962726000000004</v>
      </c>
      <c r="AK2248" t="s">
        <v>1374</v>
      </c>
      <c r="AL2248">
        <v>-92.681458000000006</v>
      </c>
      <c r="AM2248">
        <v>100</v>
      </c>
      <c r="AN2248">
        <v>1700</v>
      </c>
      <c r="AO2248" t="s">
        <v>118</v>
      </c>
      <c r="AP2248">
        <v>-108</v>
      </c>
      <c r="AQ2248">
        <v>78</v>
      </c>
      <c r="AR2248">
        <v>-64</v>
      </c>
      <c r="AZ2248">
        <v>1200</v>
      </c>
      <c r="BA2248">
        <v>1</v>
      </c>
      <c r="BB2248" t="str">
        <f t="shared" si="109"/>
        <v xml:space="preserve">N8080G  </v>
      </c>
      <c r="BC2248">
        <v>1</v>
      </c>
      <c r="BE2248">
        <v>0</v>
      </c>
      <c r="BF2248">
        <v>0</v>
      </c>
      <c r="BG2248">
        <v>0</v>
      </c>
      <c r="BH2248">
        <v>1700</v>
      </c>
      <c r="BI2248">
        <v>1</v>
      </c>
      <c r="BJ2248">
        <v>1</v>
      </c>
      <c r="BK2248">
        <v>1</v>
      </c>
      <c r="BL2248">
        <v>0</v>
      </c>
      <c r="BO2248">
        <v>0</v>
      </c>
      <c r="BP2248">
        <v>0</v>
      </c>
      <c r="BW2248" t="str">
        <f>"20:26:28.214"</f>
        <v>20:26:28.214</v>
      </c>
      <c r="BZ2248">
        <v>0</v>
      </c>
      <c r="CA2248">
        <v>2016</v>
      </c>
      <c r="CB2248">
        <v>224</v>
      </c>
      <c r="CD2248">
        <v>1</v>
      </c>
      <c r="CE2248">
        <v>0</v>
      </c>
      <c r="CF2248">
        <v>0</v>
      </c>
      <c r="CG2248">
        <v>1</v>
      </c>
      <c r="CH2248">
        <v>0</v>
      </c>
      <c r="CI2248">
        <v>0</v>
      </c>
      <c r="CJ2248">
        <v>0</v>
      </c>
      <c r="CK2248">
        <v>2</v>
      </c>
      <c r="CL2248">
        <v>0</v>
      </c>
      <c r="CM2248">
        <v>2</v>
      </c>
      <c r="CN2248">
        <v>0</v>
      </c>
      <c r="CO2248">
        <v>2</v>
      </c>
      <c r="CP2248" t="s">
        <v>119</v>
      </c>
      <c r="CQ2248">
        <v>179</v>
      </c>
      <c r="CR2248">
        <v>1</v>
      </c>
      <c r="CW2248">
        <v>8923272</v>
      </c>
      <c r="CY2248">
        <v>1</v>
      </c>
      <c r="CZ2248">
        <v>0</v>
      </c>
      <c r="DA2248">
        <v>1</v>
      </c>
      <c r="DB2248">
        <v>0</v>
      </c>
      <c r="DC2248">
        <v>0</v>
      </c>
      <c r="DD2248">
        <v>0</v>
      </c>
      <c r="DE2248">
        <v>0</v>
      </c>
      <c r="DF2248">
        <v>0</v>
      </c>
      <c r="DG2248">
        <v>0</v>
      </c>
      <c r="DH2248">
        <v>0</v>
      </c>
      <c r="DI2248">
        <v>0</v>
      </c>
    </row>
    <row r="2249" spans="1:113" x14ac:dyDescent="0.3">
      <c r="A2249" t="str">
        <f>"02/08/2021 20:26:25.886"</f>
        <v>02/08/2021 20:26:25.886</v>
      </c>
      <c r="C2249" t="str">
        <f t="shared" si="108"/>
        <v>FFDFD7C0</v>
      </c>
      <c r="D2249" t="s">
        <v>124</v>
      </c>
      <c r="E2249">
        <v>11</v>
      </c>
      <c r="F2249">
        <v>1011</v>
      </c>
      <c r="G2249" t="s">
        <v>590</v>
      </c>
      <c r="J2249" t="s">
        <v>125</v>
      </c>
      <c r="K2249">
        <v>0</v>
      </c>
      <c r="L2249">
        <v>3</v>
      </c>
      <c r="M2249">
        <v>0</v>
      </c>
      <c r="N2249">
        <v>2</v>
      </c>
      <c r="O2249">
        <v>1</v>
      </c>
      <c r="P2249">
        <v>0</v>
      </c>
      <c r="Q2249">
        <v>0</v>
      </c>
      <c r="S2249" t="str">
        <f>"20:26:28.211"</f>
        <v>20:26:28.211</v>
      </c>
      <c r="T2249" t="str">
        <f>"20:26:27.211"</f>
        <v>20:26:27.211</v>
      </c>
      <c r="U2249" t="str">
        <f t="shared" si="110"/>
        <v>AB01F4</v>
      </c>
      <c r="V2249">
        <v>0</v>
      </c>
      <c r="W2249">
        <v>0</v>
      </c>
      <c r="X2249">
        <v>2</v>
      </c>
      <c r="Z2249">
        <v>0</v>
      </c>
      <c r="AA2249">
        <v>9</v>
      </c>
      <c r="AB2249">
        <v>3</v>
      </c>
      <c r="AC2249">
        <v>0</v>
      </c>
      <c r="AD2249">
        <v>10</v>
      </c>
      <c r="AE2249">
        <v>0</v>
      </c>
      <c r="AF2249">
        <v>3</v>
      </c>
      <c r="AG2249">
        <v>2</v>
      </c>
      <c r="AH2249">
        <v>0</v>
      </c>
      <c r="AI2249" t="s">
        <v>1373</v>
      </c>
      <c r="AJ2249">
        <v>39.962726000000004</v>
      </c>
      <c r="AK2249" t="s">
        <v>1374</v>
      </c>
      <c r="AL2249">
        <v>-92.681458000000006</v>
      </c>
      <c r="AM2249">
        <v>100</v>
      </c>
      <c r="AN2249">
        <v>1700</v>
      </c>
      <c r="AO2249" t="s">
        <v>118</v>
      </c>
      <c r="AP2249">
        <v>-108</v>
      </c>
      <c r="AQ2249">
        <v>78</v>
      </c>
      <c r="AR2249">
        <v>-64</v>
      </c>
      <c r="AZ2249">
        <v>1200</v>
      </c>
      <c r="BA2249">
        <v>1</v>
      </c>
      <c r="BB2249" t="str">
        <f t="shared" si="109"/>
        <v xml:space="preserve">N8080G  </v>
      </c>
      <c r="BC2249">
        <v>1</v>
      </c>
      <c r="BE2249">
        <v>0</v>
      </c>
      <c r="BF2249">
        <v>0</v>
      </c>
      <c r="BG2249">
        <v>0</v>
      </c>
      <c r="BH2249">
        <v>1700</v>
      </c>
      <c r="BI2249">
        <v>1</v>
      </c>
      <c r="BJ2249">
        <v>1</v>
      </c>
      <c r="BK2249">
        <v>1</v>
      </c>
      <c r="BL2249">
        <v>0</v>
      </c>
      <c r="BO2249">
        <v>0</v>
      </c>
      <c r="BP2249">
        <v>0</v>
      </c>
      <c r="BW2249" t="str">
        <f>"20:26:28.214"</f>
        <v>20:26:28.214</v>
      </c>
      <c r="BZ2249">
        <v>0</v>
      </c>
      <c r="CA2249">
        <v>2016</v>
      </c>
      <c r="CB2249">
        <v>224</v>
      </c>
      <c r="CD2249">
        <v>1</v>
      </c>
      <c r="CE2249">
        <v>0</v>
      </c>
      <c r="CF2249">
        <v>0</v>
      </c>
      <c r="CG2249">
        <v>1</v>
      </c>
      <c r="CH2249">
        <v>0</v>
      </c>
      <c r="CI2249">
        <v>0</v>
      </c>
      <c r="CJ2249">
        <v>0</v>
      </c>
      <c r="CK2249">
        <v>2</v>
      </c>
      <c r="CL2249">
        <v>0</v>
      </c>
      <c r="CM2249">
        <v>2</v>
      </c>
      <c r="CN2249">
        <v>0</v>
      </c>
      <c r="CO2249">
        <v>2</v>
      </c>
      <c r="CP2249" t="s">
        <v>119</v>
      </c>
      <c r="CQ2249">
        <v>179</v>
      </c>
      <c r="CR2249">
        <v>1</v>
      </c>
      <c r="CW2249">
        <v>8923272</v>
      </c>
      <c r="CY2249">
        <v>1</v>
      </c>
      <c r="CZ2249">
        <v>0</v>
      </c>
      <c r="DA2249">
        <v>1</v>
      </c>
      <c r="DB2249">
        <v>0</v>
      </c>
      <c r="DC2249">
        <v>0</v>
      </c>
      <c r="DD2249">
        <v>0</v>
      </c>
      <c r="DE2249">
        <v>0</v>
      </c>
      <c r="DF2249">
        <v>0</v>
      </c>
      <c r="DG2249">
        <v>0</v>
      </c>
      <c r="DH2249">
        <v>0</v>
      </c>
      <c r="DI2249">
        <v>0</v>
      </c>
    </row>
    <row r="2250" spans="1:113" x14ac:dyDescent="0.3">
      <c r="A2250" t="str">
        <f>"02/08/2021 20:26:25.886"</f>
        <v>02/08/2021 20:26:25.886</v>
      </c>
      <c r="C2250" t="str">
        <f t="shared" si="108"/>
        <v>FFDFD7C0</v>
      </c>
      <c r="D2250" t="s">
        <v>124</v>
      </c>
      <c r="E2250">
        <v>12</v>
      </c>
      <c r="F2250">
        <v>1012</v>
      </c>
      <c r="G2250" t="s">
        <v>675</v>
      </c>
      <c r="J2250" t="s">
        <v>125</v>
      </c>
      <c r="K2250">
        <v>0</v>
      </c>
      <c r="L2250">
        <v>3</v>
      </c>
      <c r="M2250">
        <v>0</v>
      </c>
      <c r="N2250">
        <v>2</v>
      </c>
      <c r="O2250">
        <v>1</v>
      </c>
      <c r="P2250">
        <v>0</v>
      </c>
      <c r="Q2250">
        <v>0</v>
      </c>
      <c r="S2250" t="str">
        <f>"20:26:28.211"</f>
        <v>20:26:28.211</v>
      </c>
      <c r="T2250" t="str">
        <f>"20:26:27.211"</f>
        <v>20:26:27.211</v>
      </c>
      <c r="U2250" t="str">
        <f t="shared" si="110"/>
        <v>AB01F4</v>
      </c>
      <c r="V2250">
        <v>0</v>
      </c>
      <c r="W2250">
        <v>0</v>
      </c>
      <c r="X2250">
        <v>2</v>
      </c>
      <c r="Z2250">
        <v>0</v>
      </c>
      <c r="AA2250">
        <v>9</v>
      </c>
      <c r="AB2250">
        <v>3</v>
      </c>
      <c r="AC2250">
        <v>0</v>
      </c>
      <c r="AD2250">
        <v>10</v>
      </c>
      <c r="AE2250">
        <v>0</v>
      </c>
      <c r="AF2250">
        <v>3</v>
      </c>
      <c r="AG2250">
        <v>2</v>
      </c>
      <c r="AH2250">
        <v>0</v>
      </c>
      <c r="AI2250" t="s">
        <v>1373</v>
      </c>
      <c r="AJ2250">
        <v>39.962726000000004</v>
      </c>
      <c r="AK2250" t="s">
        <v>1374</v>
      </c>
      <c r="AL2250">
        <v>-92.681458000000006</v>
      </c>
      <c r="AM2250">
        <v>100</v>
      </c>
      <c r="AN2250">
        <v>1700</v>
      </c>
      <c r="AO2250" t="s">
        <v>118</v>
      </c>
      <c r="AP2250">
        <v>-108</v>
      </c>
      <c r="AQ2250">
        <v>78</v>
      </c>
      <c r="AR2250">
        <v>-64</v>
      </c>
      <c r="AZ2250">
        <v>1200</v>
      </c>
      <c r="BA2250">
        <v>1</v>
      </c>
      <c r="BB2250" t="str">
        <f t="shared" si="109"/>
        <v xml:space="preserve">N8080G  </v>
      </c>
      <c r="BC2250">
        <v>1</v>
      </c>
      <c r="BE2250">
        <v>0</v>
      </c>
      <c r="BF2250">
        <v>0</v>
      </c>
      <c r="BG2250">
        <v>0</v>
      </c>
      <c r="BH2250">
        <v>1700</v>
      </c>
      <c r="BI2250">
        <v>1</v>
      </c>
      <c r="BJ2250">
        <v>1</v>
      </c>
      <c r="BK2250">
        <v>1</v>
      </c>
      <c r="BL2250">
        <v>0</v>
      </c>
      <c r="BO2250">
        <v>0</v>
      </c>
      <c r="BP2250">
        <v>0</v>
      </c>
      <c r="BW2250" t="str">
        <f>"20:26:28.214"</f>
        <v>20:26:28.214</v>
      </c>
      <c r="BZ2250">
        <v>0</v>
      </c>
      <c r="CA2250">
        <v>2016</v>
      </c>
      <c r="CB2250">
        <v>224</v>
      </c>
      <c r="CD2250">
        <v>1</v>
      </c>
      <c r="CE2250">
        <v>0</v>
      </c>
      <c r="CF2250">
        <v>0</v>
      </c>
      <c r="CG2250">
        <v>1</v>
      </c>
      <c r="CH2250">
        <v>0</v>
      </c>
      <c r="CI2250">
        <v>0</v>
      </c>
      <c r="CJ2250">
        <v>0</v>
      </c>
      <c r="CK2250">
        <v>2</v>
      </c>
      <c r="CL2250">
        <v>0</v>
      </c>
      <c r="CM2250">
        <v>2</v>
      </c>
      <c r="CN2250">
        <v>0</v>
      </c>
      <c r="CO2250">
        <v>2</v>
      </c>
      <c r="CP2250" t="s">
        <v>119</v>
      </c>
      <c r="CQ2250">
        <v>179</v>
      </c>
      <c r="CR2250">
        <v>1</v>
      </c>
      <c r="CW2250">
        <v>8923272</v>
      </c>
      <c r="CY2250">
        <v>1</v>
      </c>
      <c r="CZ2250">
        <v>0</v>
      </c>
      <c r="DA2250">
        <v>1</v>
      </c>
      <c r="DB2250">
        <v>0</v>
      </c>
      <c r="DC2250">
        <v>0</v>
      </c>
      <c r="DD2250">
        <v>0</v>
      </c>
      <c r="DE2250">
        <v>0</v>
      </c>
      <c r="DF2250">
        <v>0</v>
      </c>
      <c r="DG2250">
        <v>0</v>
      </c>
      <c r="DH2250">
        <v>0</v>
      </c>
      <c r="DI2250">
        <v>0</v>
      </c>
    </row>
    <row r="2251" spans="1:113" x14ac:dyDescent="0.3">
      <c r="A2251" t="str">
        <f>"02/08/2021 20:26:26.874"</f>
        <v>02/08/2021 20:26:26.874</v>
      </c>
      <c r="C2251" t="str">
        <f t="shared" si="108"/>
        <v>FFDFD7C0</v>
      </c>
      <c r="D2251" t="s">
        <v>124</v>
      </c>
      <c r="E2251">
        <v>12</v>
      </c>
      <c r="F2251">
        <v>1012</v>
      </c>
      <c r="G2251" t="s">
        <v>675</v>
      </c>
      <c r="J2251" t="s">
        <v>125</v>
      </c>
      <c r="K2251">
        <v>0</v>
      </c>
      <c r="L2251">
        <v>3</v>
      </c>
      <c r="M2251">
        <v>0</v>
      </c>
      <c r="N2251">
        <v>2</v>
      </c>
      <c r="O2251">
        <v>1</v>
      </c>
      <c r="P2251">
        <v>0</v>
      </c>
      <c r="Q2251">
        <v>0</v>
      </c>
      <c r="S2251" t="str">
        <f>"20:26:29.203"</f>
        <v>20:26:29.203</v>
      </c>
      <c r="T2251" t="str">
        <f>"20:26:28.803"</f>
        <v>20:26:28.803</v>
      </c>
      <c r="U2251" t="str">
        <f t="shared" si="110"/>
        <v>AB01F4</v>
      </c>
      <c r="V2251">
        <v>0</v>
      </c>
      <c r="W2251">
        <v>0</v>
      </c>
      <c r="X2251">
        <v>2</v>
      </c>
      <c r="Z2251">
        <v>0</v>
      </c>
      <c r="AA2251">
        <v>9</v>
      </c>
      <c r="AB2251">
        <v>3</v>
      </c>
      <c r="AC2251">
        <v>0</v>
      </c>
      <c r="AD2251">
        <v>10</v>
      </c>
      <c r="AE2251">
        <v>0</v>
      </c>
      <c r="AF2251">
        <v>3</v>
      </c>
      <c r="AG2251">
        <v>2</v>
      </c>
      <c r="AH2251">
        <v>0</v>
      </c>
      <c r="AI2251" t="s">
        <v>1375</v>
      </c>
      <c r="AJ2251">
        <v>39.963090000000001</v>
      </c>
      <c r="AK2251" t="s">
        <v>1376</v>
      </c>
      <c r="AL2251">
        <v>-92.682058999999995</v>
      </c>
      <c r="AM2251">
        <v>100</v>
      </c>
      <c r="AN2251">
        <v>1700</v>
      </c>
      <c r="AO2251" t="s">
        <v>118</v>
      </c>
      <c r="AP2251">
        <v>-108</v>
      </c>
      <c r="AQ2251">
        <v>78</v>
      </c>
      <c r="AR2251">
        <v>0</v>
      </c>
      <c r="AZ2251">
        <v>1200</v>
      </c>
      <c r="BA2251">
        <v>1</v>
      </c>
      <c r="BB2251" t="str">
        <f t="shared" si="109"/>
        <v xml:space="preserve">N8080G  </v>
      </c>
      <c r="BC2251">
        <v>1</v>
      </c>
      <c r="BE2251">
        <v>0</v>
      </c>
      <c r="BF2251">
        <v>0</v>
      </c>
      <c r="BG2251">
        <v>0</v>
      </c>
      <c r="BH2251">
        <v>1700</v>
      </c>
      <c r="BI2251">
        <v>1</v>
      </c>
      <c r="BJ2251">
        <v>1</v>
      </c>
      <c r="BK2251">
        <v>1</v>
      </c>
      <c r="BL2251">
        <v>0</v>
      </c>
      <c r="BO2251">
        <v>0</v>
      </c>
      <c r="BP2251">
        <v>0</v>
      </c>
      <c r="BW2251" t="str">
        <f>"20:26:29.205"</f>
        <v>20:26:29.205</v>
      </c>
      <c r="BZ2251">
        <v>0</v>
      </c>
      <c r="CA2251">
        <v>2016</v>
      </c>
      <c r="CB2251">
        <v>224</v>
      </c>
      <c r="CD2251">
        <v>1</v>
      </c>
      <c r="CE2251">
        <v>0</v>
      </c>
      <c r="CF2251">
        <v>0</v>
      </c>
      <c r="CG2251">
        <v>1</v>
      </c>
      <c r="CH2251">
        <v>0</v>
      </c>
      <c r="CI2251">
        <v>0</v>
      </c>
      <c r="CJ2251">
        <v>0</v>
      </c>
      <c r="CK2251">
        <v>2</v>
      </c>
      <c r="CL2251">
        <v>0</v>
      </c>
      <c r="CM2251">
        <v>2</v>
      </c>
      <c r="CN2251">
        <v>0</v>
      </c>
      <c r="CO2251">
        <v>2</v>
      </c>
      <c r="CP2251" t="s">
        <v>119</v>
      </c>
      <c r="CQ2251">
        <v>179</v>
      </c>
      <c r="CR2251">
        <v>1</v>
      </c>
      <c r="CW2251">
        <v>8924164</v>
      </c>
      <c r="CY2251">
        <v>1</v>
      </c>
      <c r="CZ2251">
        <v>0</v>
      </c>
      <c r="DA2251">
        <v>0</v>
      </c>
      <c r="DB2251">
        <v>0</v>
      </c>
      <c r="DC2251">
        <v>0</v>
      </c>
      <c r="DD2251">
        <v>0</v>
      </c>
      <c r="DE2251">
        <v>0</v>
      </c>
      <c r="DF2251">
        <v>0</v>
      </c>
      <c r="DG2251">
        <v>0</v>
      </c>
      <c r="DH2251">
        <v>0</v>
      </c>
      <c r="DI2251">
        <v>0</v>
      </c>
    </row>
    <row r="2252" spans="1:113" x14ac:dyDescent="0.3">
      <c r="A2252" t="str">
        <f>"02/08/2021 20:26:26.874"</f>
        <v>02/08/2021 20:26:26.874</v>
      </c>
      <c r="C2252" t="str">
        <f t="shared" si="108"/>
        <v>FFDFD7C0</v>
      </c>
      <c r="D2252" t="s">
        <v>124</v>
      </c>
      <c r="E2252">
        <v>13</v>
      </c>
      <c r="F2252">
        <v>1013</v>
      </c>
      <c r="G2252" t="s">
        <v>114</v>
      </c>
      <c r="J2252" t="s">
        <v>125</v>
      </c>
      <c r="K2252">
        <v>0</v>
      </c>
      <c r="L2252">
        <v>3</v>
      </c>
      <c r="M2252">
        <v>0</v>
      </c>
      <c r="N2252">
        <v>2</v>
      </c>
      <c r="O2252">
        <v>1</v>
      </c>
      <c r="P2252">
        <v>0</v>
      </c>
      <c r="Q2252">
        <v>0</v>
      </c>
      <c r="S2252" t="str">
        <f>"20:26:29.203"</f>
        <v>20:26:29.203</v>
      </c>
      <c r="T2252" t="str">
        <f>"20:26:28.803"</f>
        <v>20:26:28.803</v>
      </c>
      <c r="U2252" t="str">
        <f t="shared" si="110"/>
        <v>AB01F4</v>
      </c>
      <c r="V2252">
        <v>0</v>
      </c>
      <c r="W2252">
        <v>0</v>
      </c>
      <c r="X2252">
        <v>2</v>
      </c>
      <c r="Z2252">
        <v>0</v>
      </c>
      <c r="AA2252">
        <v>9</v>
      </c>
      <c r="AB2252">
        <v>3</v>
      </c>
      <c r="AC2252">
        <v>0</v>
      </c>
      <c r="AD2252">
        <v>10</v>
      </c>
      <c r="AE2252">
        <v>0</v>
      </c>
      <c r="AF2252">
        <v>3</v>
      </c>
      <c r="AG2252">
        <v>2</v>
      </c>
      <c r="AH2252">
        <v>0</v>
      </c>
      <c r="AI2252" t="s">
        <v>1375</v>
      </c>
      <c r="AJ2252">
        <v>39.963090000000001</v>
      </c>
      <c r="AK2252" t="s">
        <v>1376</v>
      </c>
      <c r="AL2252">
        <v>-92.682058999999995</v>
      </c>
      <c r="AM2252">
        <v>100</v>
      </c>
      <c r="AN2252">
        <v>1700</v>
      </c>
      <c r="AO2252" t="s">
        <v>118</v>
      </c>
      <c r="AP2252">
        <v>-108</v>
      </c>
      <c r="AQ2252">
        <v>78</v>
      </c>
      <c r="AR2252">
        <v>0</v>
      </c>
      <c r="AZ2252">
        <v>1200</v>
      </c>
      <c r="BA2252">
        <v>1</v>
      </c>
      <c r="BB2252" t="str">
        <f t="shared" si="109"/>
        <v xml:space="preserve">N8080G  </v>
      </c>
      <c r="BC2252">
        <v>1</v>
      </c>
      <c r="BE2252">
        <v>0</v>
      </c>
      <c r="BF2252">
        <v>0</v>
      </c>
      <c r="BG2252">
        <v>0</v>
      </c>
      <c r="BH2252">
        <v>1700</v>
      </c>
      <c r="BI2252">
        <v>1</v>
      </c>
      <c r="BJ2252">
        <v>1</v>
      </c>
      <c r="BK2252">
        <v>1</v>
      </c>
      <c r="BL2252">
        <v>0</v>
      </c>
      <c r="BO2252">
        <v>0</v>
      </c>
      <c r="BP2252">
        <v>0</v>
      </c>
      <c r="BW2252" t="str">
        <f>"20:26:29.205"</f>
        <v>20:26:29.205</v>
      </c>
      <c r="BZ2252">
        <v>0</v>
      </c>
      <c r="CA2252">
        <v>2016</v>
      </c>
      <c r="CB2252">
        <v>224</v>
      </c>
      <c r="CD2252">
        <v>1</v>
      </c>
      <c r="CE2252">
        <v>0</v>
      </c>
      <c r="CF2252">
        <v>0</v>
      </c>
      <c r="CG2252">
        <v>1</v>
      </c>
      <c r="CH2252">
        <v>0</v>
      </c>
      <c r="CI2252">
        <v>0</v>
      </c>
      <c r="CJ2252">
        <v>0</v>
      </c>
      <c r="CK2252">
        <v>2</v>
      </c>
      <c r="CL2252">
        <v>0</v>
      </c>
      <c r="CM2252">
        <v>2</v>
      </c>
      <c r="CN2252">
        <v>0</v>
      </c>
      <c r="CO2252">
        <v>2</v>
      </c>
      <c r="CP2252" t="s">
        <v>119</v>
      </c>
      <c r="CQ2252">
        <v>179</v>
      </c>
      <c r="CR2252">
        <v>1</v>
      </c>
      <c r="CW2252">
        <v>8924164</v>
      </c>
      <c r="CY2252">
        <v>1</v>
      </c>
      <c r="CZ2252">
        <v>0</v>
      </c>
      <c r="DA2252">
        <v>1</v>
      </c>
      <c r="DB2252">
        <v>0</v>
      </c>
      <c r="DC2252">
        <v>0</v>
      </c>
      <c r="DD2252">
        <v>0</v>
      </c>
      <c r="DE2252">
        <v>0</v>
      </c>
      <c r="DF2252">
        <v>0</v>
      </c>
      <c r="DG2252">
        <v>0</v>
      </c>
      <c r="DH2252">
        <v>0</v>
      </c>
      <c r="DI2252">
        <v>0</v>
      </c>
    </row>
    <row r="2253" spans="1:113" x14ac:dyDescent="0.3">
      <c r="A2253" t="str">
        <f>"02/08/2021 20:26:26.874"</f>
        <v>02/08/2021 20:26:26.874</v>
      </c>
      <c r="C2253" t="str">
        <f t="shared" si="108"/>
        <v>FFDFD7C0</v>
      </c>
      <c r="D2253" t="s">
        <v>113</v>
      </c>
      <c r="E2253">
        <v>6</v>
      </c>
      <c r="H2253">
        <v>165</v>
      </c>
      <c r="I2253" t="s">
        <v>114</v>
      </c>
      <c r="J2253" t="s">
        <v>115</v>
      </c>
      <c r="K2253">
        <v>0</v>
      </c>
      <c r="L2253">
        <v>3</v>
      </c>
      <c r="M2253">
        <v>0</v>
      </c>
      <c r="N2253">
        <v>2</v>
      </c>
      <c r="O2253">
        <v>1</v>
      </c>
      <c r="P2253">
        <v>0</v>
      </c>
      <c r="Q2253">
        <v>0</v>
      </c>
      <c r="S2253" t="str">
        <f>"20:26:29.203"</f>
        <v>20:26:29.203</v>
      </c>
      <c r="T2253" t="str">
        <f>"20:26:28.803"</f>
        <v>20:26:28.803</v>
      </c>
      <c r="U2253" t="str">
        <f t="shared" si="110"/>
        <v>AB01F4</v>
      </c>
      <c r="V2253">
        <v>0</v>
      </c>
      <c r="W2253">
        <v>0</v>
      </c>
      <c r="X2253">
        <v>2</v>
      </c>
      <c r="Z2253">
        <v>0</v>
      </c>
      <c r="AA2253">
        <v>9</v>
      </c>
      <c r="AB2253">
        <v>3</v>
      </c>
      <c r="AC2253">
        <v>0</v>
      </c>
      <c r="AD2253">
        <v>10</v>
      </c>
      <c r="AE2253">
        <v>0</v>
      </c>
      <c r="AF2253">
        <v>3</v>
      </c>
      <c r="AG2253">
        <v>2</v>
      </c>
      <c r="AH2253">
        <v>0</v>
      </c>
      <c r="AI2253" t="s">
        <v>1375</v>
      </c>
      <c r="AJ2253">
        <v>39.963090000000001</v>
      </c>
      <c r="AK2253" t="s">
        <v>1376</v>
      </c>
      <c r="AL2253">
        <v>-92.682058999999995</v>
      </c>
      <c r="AM2253">
        <v>100</v>
      </c>
      <c r="AN2253">
        <v>1700</v>
      </c>
      <c r="AO2253" t="s">
        <v>118</v>
      </c>
      <c r="AP2253">
        <v>-108</v>
      </c>
      <c r="AQ2253">
        <v>78</v>
      </c>
      <c r="AR2253">
        <v>0</v>
      </c>
      <c r="AZ2253">
        <v>1200</v>
      </c>
      <c r="BA2253">
        <v>1</v>
      </c>
      <c r="BB2253" t="str">
        <f t="shared" si="109"/>
        <v xml:space="preserve">N8080G  </v>
      </c>
      <c r="BC2253">
        <v>1</v>
      </c>
      <c r="BE2253">
        <v>0</v>
      </c>
      <c r="BF2253">
        <v>0</v>
      </c>
      <c r="BG2253">
        <v>0</v>
      </c>
      <c r="BH2253">
        <v>1700</v>
      </c>
      <c r="BI2253">
        <v>1</v>
      </c>
      <c r="BJ2253">
        <v>1</v>
      </c>
      <c r="BK2253">
        <v>1</v>
      </c>
      <c r="BL2253">
        <v>0</v>
      </c>
      <c r="BO2253">
        <v>0</v>
      </c>
      <c r="BP2253">
        <v>0</v>
      </c>
      <c r="BW2253" t="str">
        <f>"20:26:29.205"</f>
        <v>20:26:29.205</v>
      </c>
      <c r="BZ2253">
        <v>0</v>
      </c>
      <c r="CA2253">
        <v>2016</v>
      </c>
      <c r="CB2253">
        <v>224</v>
      </c>
      <c r="CD2253">
        <v>1</v>
      </c>
      <c r="CE2253">
        <v>0</v>
      </c>
      <c r="CF2253">
        <v>0</v>
      </c>
      <c r="CG2253">
        <v>1</v>
      </c>
      <c r="CH2253">
        <v>0</v>
      </c>
      <c r="CI2253">
        <v>0</v>
      </c>
      <c r="CJ2253">
        <v>0</v>
      </c>
      <c r="CK2253">
        <v>2</v>
      </c>
      <c r="CL2253">
        <v>0</v>
      </c>
      <c r="CM2253">
        <v>2</v>
      </c>
      <c r="CN2253">
        <v>0</v>
      </c>
      <c r="CO2253">
        <v>2</v>
      </c>
      <c r="CP2253" t="s">
        <v>119</v>
      </c>
      <c r="CQ2253">
        <v>179</v>
      </c>
      <c r="CR2253">
        <v>1</v>
      </c>
      <c r="CW2253">
        <v>8924164</v>
      </c>
      <c r="CY2253">
        <v>1</v>
      </c>
      <c r="CZ2253">
        <v>0</v>
      </c>
      <c r="DA2253">
        <v>1</v>
      </c>
      <c r="DB2253">
        <v>0</v>
      </c>
      <c r="DC2253">
        <v>0</v>
      </c>
      <c r="DD2253">
        <v>0</v>
      </c>
      <c r="DE2253">
        <v>0</v>
      </c>
      <c r="DF2253">
        <v>0</v>
      </c>
      <c r="DG2253">
        <v>0</v>
      </c>
      <c r="DH2253">
        <v>0</v>
      </c>
      <c r="DI2253">
        <v>0</v>
      </c>
    </row>
    <row r="2254" spans="1:113" x14ac:dyDescent="0.3">
      <c r="A2254" t="str">
        <f>"02/08/2021 20:26:26.874"</f>
        <v>02/08/2021 20:26:26.874</v>
      </c>
      <c r="C2254" t="str">
        <f t="shared" si="108"/>
        <v>FFDFD7C0</v>
      </c>
      <c r="D2254" t="s">
        <v>124</v>
      </c>
      <c r="E2254">
        <v>11</v>
      </c>
      <c r="F2254">
        <v>1011</v>
      </c>
      <c r="G2254" t="s">
        <v>590</v>
      </c>
      <c r="J2254" t="s">
        <v>125</v>
      </c>
      <c r="K2254">
        <v>0</v>
      </c>
      <c r="L2254">
        <v>3</v>
      </c>
      <c r="M2254">
        <v>0</v>
      </c>
      <c r="N2254">
        <v>2</v>
      </c>
      <c r="O2254">
        <v>1</v>
      </c>
      <c r="P2254">
        <v>0</v>
      </c>
      <c r="Q2254">
        <v>0</v>
      </c>
      <c r="S2254" t="str">
        <f>"20:26:29.203"</f>
        <v>20:26:29.203</v>
      </c>
      <c r="T2254" t="str">
        <f>"20:26:28.803"</f>
        <v>20:26:28.803</v>
      </c>
      <c r="U2254" t="str">
        <f t="shared" si="110"/>
        <v>AB01F4</v>
      </c>
      <c r="V2254">
        <v>0</v>
      </c>
      <c r="W2254">
        <v>0</v>
      </c>
      <c r="X2254">
        <v>2</v>
      </c>
      <c r="Z2254">
        <v>0</v>
      </c>
      <c r="AA2254">
        <v>9</v>
      </c>
      <c r="AB2254">
        <v>3</v>
      </c>
      <c r="AC2254">
        <v>0</v>
      </c>
      <c r="AD2254">
        <v>10</v>
      </c>
      <c r="AE2254">
        <v>0</v>
      </c>
      <c r="AF2254">
        <v>3</v>
      </c>
      <c r="AG2254">
        <v>2</v>
      </c>
      <c r="AH2254">
        <v>0</v>
      </c>
      <c r="AI2254" t="s">
        <v>1375</v>
      </c>
      <c r="AJ2254">
        <v>39.963090000000001</v>
      </c>
      <c r="AK2254" t="s">
        <v>1376</v>
      </c>
      <c r="AL2254">
        <v>-92.682058999999995</v>
      </c>
      <c r="AM2254">
        <v>100</v>
      </c>
      <c r="AN2254">
        <v>1700</v>
      </c>
      <c r="AO2254" t="s">
        <v>118</v>
      </c>
      <c r="AP2254">
        <v>-108</v>
      </c>
      <c r="AQ2254">
        <v>78</v>
      </c>
      <c r="AR2254">
        <v>0</v>
      </c>
      <c r="AZ2254">
        <v>1200</v>
      </c>
      <c r="BA2254">
        <v>1</v>
      </c>
      <c r="BB2254" t="str">
        <f t="shared" si="109"/>
        <v xml:space="preserve">N8080G  </v>
      </c>
      <c r="BC2254">
        <v>1</v>
      </c>
      <c r="BE2254">
        <v>0</v>
      </c>
      <c r="BF2254">
        <v>0</v>
      </c>
      <c r="BG2254">
        <v>0</v>
      </c>
      <c r="BH2254">
        <v>1700</v>
      </c>
      <c r="BI2254">
        <v>1</v>
      </c>
      <c r="BJ2254">
        <v>1</v>
      </c>
      <c r="BK2254">
        <v>1</v>
      </c>
      <c r="BL2254">
        <v>0</v>
      </c>
      <c r="BO2254">
        <v>0</v>
      </c>
      <c r="BP2254">
        <v>0</v>
      </c>
      <c r="BW2254" t="str">
        <f>"20:26:29.205"</f>
        <v>20:26:29.205</v>
      </c>
      <c r="BZ2254">
        <v>0</v>
      </c>
      <c r="CA2254">
        <v>2016</v>
      </c>
      <c r="CB2254">
        <v>224</v>
      </c>
      <c r="CD2254">
        <v>1</v>
      </c>
      <c r="CE2254">
        <v>0</v>
      </c>
      <c r="CF2254">
        <v>0</v>
      </c>
      <c r="CG2254">
        <v>1</v>
      </c>
      <c r="CH2254">
        <v>0</v>
      </c>
      <c r="CI2254">
        <v>0</v>
      </c>
      <c r="CJ2254">
        <v>0</v>
      </c>
      <c r="CK2254">
        <v>2</v>
      </c>
      <c r="CL2254">
        <v>0</v>
      </c>
      <c r="CM2254">
        <v>2</v>
      </c>
      <c r="CN2254">
        <v>0</v>
      </c>
      <c r="CO2254">
        <v>2</v>
      </c>
      <c r="CP2254" t="s">
        <v>119</v>
      </c>
      <c r="CQ2254">
        <v>179</v>
      </c>
      <c r="CR2254">
        <v>1</v>
      </c>
      <c r="CW2254">
        <v>8924164</v>
      </c>
      <c r="CY2254">
        <v>1</v>
      </c>
      <c r="CZ2254">
        <v>0</v>
      </c>
      <c r="DA2254">
        <v>1</v>
      </c>
      <c r="DB2254">
        <v>0</v>
      </c>
      <c r="DC2254">
        <v>0</v>
      </c>
      <c r="DD2254">
        <v>0</v>
      </c>
      <c r="DE2254">
        <v>0</v>
      </c>
      <c r="DF2254">
        <v>0</v>
      </c>
      <c r="DG2254">
        <v>0</v>
      </c>
      <c r="DH2254">
        <v>0</v>
      </c>
      <c r="DI2254">
        <v>0</v>
      </c>
    </row>
    <row r="2255" spans="1:113" x14ac:dyDescent="0.3">
      <c r="A2255" t="str">
        <f>"02/08/2021 20:26:29.883"</f>
        <v>02/08/2021 20:26:29.883</v>
      </c>
      <c r="C2255" t="str">
        <f t="shared" si="108"/>
        <v>FFDFD7C0</v>
      </c>
      <c r="D2255" t="s">
        <v>113</v>
      </c>
      <c r="E2255">
        <v>6</v>
      </c>
      <c r="H2255">
        <v>165</v>
      </c>
      <c r="I2255" t="s">
        <v>114</v>
      </c>
      <c r="J2255" t="s">
        <v>115</v>
      </c>
      <c r="K2255">
        <v>0</v>
      </c>
      <c r="L2255">
        <v>3</v>
      </c>
      <c r="M2255">
        <v>0</v>
      </c>
      <c r="N2255">
        <v>2</v>
      </c>
      <c r="O2255">
        <v>1</v>
      </c>
      <c r="P2255">
        <v>0</v>
      </c>
      <c r="Q2255">
        <v>0</v>
      </c>
      <c r="S2255" t="str">
        <f>"20:26:32.227"</f>
        <v>20:26:32.227</v>
      </c>
      <c r="T2255" t="str">
        <f>"20:26:31.727"</f>
        <v>20:26:31.727</v>
      </c>
      <c r="U2255" t="str">
        <f t="shared" si="110"/>
        <v>AB01F4</v>
      </c>
      <c r="V2255">
        <v>0</v>
      </c>
      <c r="W2255">
        <v>0</v>
      </c>
      <c r="X2255">
        <v>2</v>
      </c>
      <c r="Z2255">
        <v>0</v>
      </c>
      <c r="AA2255">
        <v>9</v>
      </c>
      <c r="AB2255">
        <v>3</v>
      </c>
      <c r="AC2255">
        <v>0</v>
      </c>
      <c r="AD2255">
        <v>10</v>
      </c>
      <c r="AE2255">
        <v>0</v>
      </c>
      <c r="AF2255">
        <v>3</v>
      </c>
      <c r="AG2255">
        <v>2</v>
      </c>
      <c r="AH2255">
        <v>0</v>
      </c>
      <c r="AI2255" t="s">
        <v>1377</v>
      </c>
      <c r="AJ2255">
        <v>39.964205999999997</v>
      </c>
      <c r="AK2255" t="s">
        <v>1378</v>
      </c>
      <c r="AL2255">
        <v>-92.684096999999994</v>
      </c>
      <c r="AM2255">
        <v>100</v>
      </c>
      <c r="AN2255">
        <v>1700</v>
      </c>
      <c r="AO2255" t="s">
        <v>118</v>
      </c>
      <c r="AP2255">
        <v>-107</v>
      </c>
      <c r="AQ2255">
        <v>78</v>
      </c>
      <c r="AR2255">
        <v>0</v>
      </c>
      <c r="AZ2255">
        <v>1200</v>
      </c>
      <c r="BA2255">
        <v>1</v>
      </c>
      <c r="BB2255" t="str">
        <f t="shared" si="109"/>
        <v xml:space="preserve">N8080G  </v>
      </c>
      <c r="BC2255">
        <v>1</v>
      </c>
      <c r="BE2255">
        <v>0</v>
      </c>
      <c r="BF2255">
        <v>0</v>
      </c>
      <c r="BG2255">
        <v>0</v>
      </c>
      <c r="BH2255">
        <v>1700</v>
      </c>
      <c r="BI2255">
        <v>1</v>
      </c>
      <c r="BJ2255">
        <v>1</v>
      </c>
      <c r="BK2255">
        <v>1</v>
      </c>
      <c r="BL2255">
        <v>0</v>
      </c>
      <c r="BO2255">
        <v>0</v>
      </c>
      <c r="BP2255">
        <v>0</v>
      </c>
      <c r="BW2255" t="str">
        <f>"20:26:32.230"</f>
        <v>20:26:32.230</v>
      </c>
      <c r="BZ2255">
        <v>0</v>
      </c>
      <c r="CA2255">
        <v>2016</v>
      </c>
      <c r="CB2255">
        <v>224</v>
      </c>
      <c r="CD2255">
        <v>1</v>
      </c>
      <c r="CE2255">
        <v>0</v>
      </c>
      <c r="CF2255">
        <v>0</v>
      </c>
      <c r="CG2255">
        <v>1</v>
      </c>
      <c r="CH2255">
        <v>0</v>
      </c>
      <c r="CI2255">
        <v>0</v>
      </c>
      <c r="CJ2255">
        <v>0</v>
      </c>
      <c r="CK2255">
        <v>2</v>
      </c>
      <c r="CL2255">
        <v>0</v>
      </c>
      <c r="CM2255">
        <v>2</v>
      </c>
      <c r="CN2255">
        <v>0</v>
      </c>
      <c r="CO2255">
        <v>2</v>
      </c>
      <c r="CP2255" t="s">
        <v>119</v>
      </c>
      <c r="CQ2255">
        <v>179</v>
      </c>
      <c r="CR2255">
        <v>1</v>
      </c>
      <c r="CW2255">
        <v>8926728</v>
      </c>
      <c r="CY2255">
        <v>1</v>
      </c>
      <c r="CZ2255">
        <v>0</v>
      </c>
      <c r="DA2255">
        <v>0</v>
      </c>
      <c r="DB2255">
        <v>0</v>
      </c>
      <c r="DC2255">
        <v>0</v>
      </c>
      <c r="DD2255">
        <v>0</v>
      </c>
      <c r="DE2255">
        <v>0</v>
      </c>
      <c r="DF2255">
        <v>0</v>
      </c>
      <c r="DG2255">
        <v>0</v>
      </c>
      <c r="DH2255">
        <v>0</v>
      </c>
      <c r="DI2255">
        <v>0</v>
      </c>
    </row>
    <row r="2256" spans="1:113" x14ac:dyDescent="0.3">
      <c r="A2256" t="str">
        <f>"02/08/2021 20:26:29.883"</f>
        <v>02/08/2021 20:26:29.883</v>
      </c>
      <c r="C2256" t="str">
        <f t="shared" si="108"/>
        <v>FFDFD7C0</v>
      </c>
      <c r="D2256" t="s">
        <v>124</v>
      </c>
      <c r="E2256">
        <v>11</v>
      </c>
      <c r="F2256">
        <v>1011</v>
      </c>
      <c r="G2256" t="s">
        <v>590</v>
      </c>
      <c r="J2256" t="s">
        <v>125</v>
      </c>
      <c r="K2256">
        <v>0</v>
      </c>
      <c r="L2256">
        <v>3</v>
      </c>
      <c r="M2256">
        <v>0</v>
      </c>
      <c r="N2256">
        <v>2</v>
      </c>
      <c r="O2256">
        <v>1</v>
      </c>
      <c r="P2256">
        <v>0</v>
      </c>
      <c r="Q2256">
        <v>0</v>
      </c>
      <c r="S2256" t="str">
        <f>"20:26:32.227"</f>
        <v>20:26:32.227</v>
      </c>
      <c r="T2256" t="str">
        <f>"20:26:31.727"</f>
        <v>20:26:31.727</v>
      </c>
      <c r="U2256" t="str">
        <f t="shared" si="110"/>
        <v>AB01F4</v>
      </c>
      <c r="V2256">
        <v>0</v>
      </c>
      <c r="W2256">
        <v>0</v>
      </c>
      <c r="X2256">
        <v>2</v>
      </c>
      <c r="Z2256">
        <v>0</v>
      </c>
      <c r="AA2256">
        <v>9</v>
      </c>
      <c r="AB2256">
        <v>3</v>
      </c>
      <c r="AC2256">
        <v>0</v>
      </c>
      <c r="AD2256">
        <v>10</v>
      </c>
      <c r="AE2256">
        <v>0</v>
      </c>
      <c r="AF2256">
        <v>3</v>
      </c>
      <c r="AG2256">
        <v>2</v>
      </c>
      <c r="AH2256">
        <v>0</v>
      </c>
      <c r="AI2256" t="s">
        <v>1377</v>
      </c>
      <c r="AJ2256">
        <v>39.964205999999997</v>
      </c>
      <c r="AK2256" t="s">
        <v>1378</v>
      </c>
      <c r="AL2256">
        <v>-92.684096999999994</v>
      </c>
      <c r="AM2256">
        <v>100</v>
      </c>
      <c r="AN2256">
        <v>1700</v>
      </c>
      <c r="AO2256" t="s">
        <v>118</v>
      </c>
      <c r="AP2256">
        <v>-107</v>
      </c>
      <c r="AQ2256">
        <v>78</v>
      </c>
      <c r="AR2256">
        <v>0</v>
      </c>
      <c r="AZ2256">
        <v>1200</v>
      </c>
      <c r="BA2256">
        <v>1</v>
      </c>
      <c r="BB2256" t="str">
        <f t="shared" si="109"/>
        <v xml:space="preserve">N8080G  </v>
      </c>
      <c r="BC2256">
        <v>1</v>
      </c>
      <c r="BE2256">
        <v>0</v>
      </c>
      <c r="BF2256">
        <v>0</v>
      </c>
      <c r="BG2256">
        <v>0</v>
      </c>
      <c r="BH2256">
        <v>1700</v>
      </c>
      <c r="BI2256">
        <v>1</v>
      </c>
      <c r="BJ2256">
        <v>1</v>
      </c>
      <c r="BK2256">
        <v>1</v>
      </c>
      <c r="BL2256">
        <v>0</v>
      </c>
      <c r="BO2256">
        <v>0</v>
      </c>
      <c r="BP2256">
        <v>0</v>
      </c>
      <c r="BW2256" t="str">
        <f>"20:26:32.230"</f>
        <v>20:26:32.230</v>
      </c>
      <c r="BZ2256">
        <v>0</v>
      </c>
      <c r="CA2256">
        <v>2016</v>
      </c>
      <c r="CB2256">
        <v>224</v>
      </c>
      <c r="CD2256">
        <v>1</v>
      </c>
      <c r="CE2256">
        <v>0</v>
      </c>
      <c r="CF2256">
        <v>0</v>
      </c>
      <c r="CG2256">
        <v>1</v>
      </c>
      <c r="CH2256">
        <v>0</v>
      </c>
      <c r="CI2256">
        <v>0</v>
      </c>
      <c r="CJ2256">
        <v>0</v>
      </c>
      <c r="CK2256">
        <v>2</v>
      </c>
      <c r="CL2256">
        <v>0</v>
      </c>
      <c r="CM2256">
        <v>2</v>
      </c>
      <c r="CN2256">
        <v>0</v>
      </c>
      <c r="CO2256">
        <v>2</v>
      </c>
      <c r="CP2256" t="s">
        <v>119</v>
      </c>
      <c r="CQ2256">
        <v>179</v>
      </c>
      <c r="CR2256">
        <v>1</v>
      </c>
      <c r="CW2256">
        <v>8926728</v>
      </c>
      <c r="CY2256">
        <v>1</v>
      </c>
      <c r="CZ2256">
        <v>0</v>
      </c>
      <c r="DA2256">
        <v>1</v>
      </c>
      <c r="DB2256">
        <v>0</v>
      </c>
      <c r="DC2256">
        <v>0</v>
      </c>
      <c r="DD2256">
        <v>0</v>
      </c>
      <c r="DE2256">
        <v>0</v>
      </c>
      <c r="DF2256">
        <v>0</v>
      </c>
      <c r="DG2256">
        <v>0</v>
      </c>
      <c r="DH2256">
        <v>0</v>
      </c>
      <c r="DI2256">
        <v>0</v>
      </c>
    </row>
    <row r="2257" spans="1:113" x14ac:dyDescent="0.3">
      <c r="A2257" t="str">
        <f>"02/08/2021 20:26:29.883"</f>
        <v>02/08/2021 20:26:29.883</v>
      </c>
      <c r="C2257" t="str">
        <f t="shared" si="108"/>
        <v>FFDFD7C0</v>
      </c>
      <c r="D2257" t="s">
        <v>124</v>
      </c>
      <c r="E2257">
        <v>12</v>
      </c>
      <c r="F2257">
        <v>1012</v>
      </c>
      <c r="G2257" t="s">
        <v>675</v>
      </c>
      <c r="J2257" t="s">
        <v>125</v>
      </c>
      <c r="K2257">
        <v>0</v>
      </c>
      <c r="L2257">
        <v>3</v>
      </c>
      <c r="M2257">
        <v>0</v>
      </c>
      <c r="N2257">
        <v>2</v>
      </c>
      <c r="O2257">
        <v>1</v>
      </c>
      <c r="P2257">
        <v>0</v>
      </c>
      <c r="Q2257">
        <v>0</v>
      </c>
      <c r="S2257" t="str">
        <f>"20:26:32.227"</f>
        <v>20:26:32.227</v>
      </c>
      <c r="T2257" t="str">
        <f>"20:26:31.727"</f>
        <v>20:26:31.727</v>
      </c>
      <c r="U2257" t="str">
        <f t="shared" si="110"/>
        <v>AB01F4</v>
      </c>
      <c r="V2257">
        <v>0</v>
      </c>
      <c r="W2257">
        <v>0</v>
      </c>
      <c r="X2257">
        <v>2</v>
      </c>
      <c r="Z2257">
        <v>0</v>
      </c>
      <c r="AA2257">
        <v>9</v>
      </c>
      <c r="AB2257">
        <v>3</v>
      </c>
      <c r="AC2257">
        <v>0</v>
      </c>
      <c r="AD2257">
        <v>10</v>
      </c>
      <c r="AE2257">
        <v>0</v>
      </c>
      <c r="AF2257">
        <v>3</v>
      </c>
      <c r="AG2257">
        <v>2</v>
      </c>
      <c r="AH2257">
        <v>0</v>
      </c>
      <c r="AI2257" t="s">
        <v>1377</v>
      </c>
      <c r="AJ2257">
        <v>39.964205999999997</v>
      </c>
      <c r="AK2257" t="s">
        <v>1378</v>
      </c>
      <c r="AL2257">
        <v>-92.684096999999994</v>
      </c>
      <c r="AM2257">
        <v>100</v>
      </c>
      <c r="AN2257">
        <v>1700</v>
      </c>
      <c r="AO2257" t="s">
        <v>118</v>
      </c>
      <c r="AP2257">
        <v>-107</v>
      </c>
      <c r="AQ2257">
        <v>78</v>
      </c>
      <c r="AR2257">
        <v>0</v>
      </c>
      <c r="AZ2257">
        <v>1200</v>
      </c>
      <c r="BA2257">
        <v>1</v>
      </c>
      <c r="BB2257" t="str">
        <f t="shared" si="109"/>
        <v xml:space="preserve">N8080G  </v>
      </c>
      <c r="BC2257">
        <v>1</v>
      </c>
      <c r="BE2257">
        <v>0</v>
      </c>
      <c r="BF2257">
        <v>0</v>
      </c>
      <c r="BG2257">
        <v>0</v>
      </c>
      <c r="BH2257">
        <v>1700</v>
      </c>
      <c r="BI2257">
        <v>1</v>
      </c>
      <c r="BJ2257">
        <v>1</v>
      </c>
      <c r="BK2257">
        <v>1</v>
      </c>
      <c r="BL2257">
        <v>0</v>
      </c>
      <c r="BO2257">
        <v>0</v>
      </c>
      <c r="BP2257">
        <v>0</v>
      </c>
      <c r="BW2257" t="str">
        <f>"20:26:32.230"</f>
        <v>20:26:32.230</v>
      </c>
      <c r="BZ2257">
        <v>0</v>
      </c>
      <c r="CA2257">
        <v>2016</v>
      </c>
      <c r="CB2257">
        <v>224</v>
      </c>
      <c r="CD2257">
        <v>1</v>
      </c>
      <c r="CE2257">
        <v>0</v>
      </c>
      <c r="CF2257">
        <v>0</v>
      </c>
      <c r="CG2257">
        <v>1</v>
      </c>
      <c r="CH2257">
        <v>0</v>
      </c>
      <c r="CI2257">
        <v>0</v>
      </c>
      <c r="CJ2257">
        <v>0</v>
      </c>
      <c r="CK2257">
        <v>2</v>
      </c>
      <c r="CL2257">
        <v>0</v>
      </c>
      <c r="CM2257">
        <v>2</v>
      </c>
      <c r="CN2257">
        <v>0</v>
      </c>
      <c r="CO2257">
        <v>2</v>
      </c>
      <c r="CP2257" t="s">
        <v>119</v>
      </c>
      <c r="CQ2257">
        <v>179</v>
      </c>
      <c r="CR2257">
        <v>1</v>
      </c>
      <c r="CW2257">
        <v>8926728</v>
      </c>
      <c r="CY2257">
        <v>1</v>
      </c>
      <c r="CZ2257">
        <v>0</v>
      </c>
      <c r="DA2257">
        <v>1</v>
      </c>
      <c r="DB2257">
        <v>0</v>
      </c>
      <c r="DC2257">
        <v>0</v>
      </c>
      <c r="DD2257">
        <v>0</v>
      </c>
      <c r="DE2257">
        <v>0</v>
      </c>
      <c r="DF2257">
        <v>0</v>
      </c>
      <c r="DG2257">
        <v>0</v>
      </c>
      <c r="DH2257">
        <v>0</v>
      </c>
      <c r="DI2257">
        <v>0</v>
      </c>
    </row>
    <row r="2258" spans="1:113" x14ac:dyDescent="0.3">
      <c r="A2258" t="str">
        <f>"02/08/2021 20:26:29.883"</f>
        <v>02/08/2021 20:26:29.883</v>
      </c>
      <c r="C2258" t="str">
        <f t="shared" si="108"/>
        <v>FFDFD7C0</v>
      </c>
      <c r="D2258" t="s">
        <v>124</v>
      </c>
      <c r="E2258">
        <v>13</v>
      </c>
      <c r="F2258">
        <v>1013</v>
      </c>
      <c r="G2258" t="s">
        <v>114</v>
      </c>
      <c r="J2258" t="s">
        <v>125</v>
      </c>
      <c r="K2258">
        <v>0</v>
      </c>
      <c r="L2258">
        <v>3</v>
      </c>
      <c r="M2258">
        <v>0</v>
      </c>
      <c r="N2258">
        <v>2</v>
      </c>
      <c r="O2258">
        <v>1</v>
      </c>
      <c r="P2258">
        <v>0</v>
      </c>
      <c r="Q2258">
        <v>0</v>
      </c>
      <c r="S2258" t="str">
        <f>"20:26:32.227"</f>
        <v>20:26:32.227</v>
      </c>
      <c r="T2258" t="str">
        <f>"20:26:31.727"</f>
        <v>20:26:31.727</v>
      </c>
      <c r="U2258" t="str">
        <f t="shared" si="110"/>
        <v>AB01F4</v>
      </c>
      <c r="V2258">
        <v>0</v>
      </c>
      <c r="W2258">
        <v>0</v>
      </c>
      <c r="X2258">
        <v>2</v>
      </c>
      <c r="Z2258">
        <v>0</v>
      </c>
      <c r="AA2258">
        <v>9</v>
      </c>
      <c r="AB2258">
        <v>3</v>
      </c>
      <c r="AC2258">
        <v>0</v>
      </c>
      <c r="AD2258">
        <v>10</v>
      </c>
      <c r="AE2258">
        <v>0</v>
      </c>
      <c r="AF2258">
        <v>3</v>
      </c>
      <c r="AG2258">
        <v>2</v>
      </c>
      <c r="AH2258">
        <v>0</v>
      </c>
      <c r="AI2258" t="s">
        <v>1377</v>
      </c>
      <c r="AJ2258">
        <v>39.964205999999997</v>
      </c>
      <c r="AK2258" t="s">
        <v>1378</v>
      </c>
      <c r="AL2258">
        <v>-92.684096999999994</v>
      </c>
      <c r="AM2258">
        <v>100</v>
      </c>
      <c r="AN2258">
        <v>1700</v>
      </c>
      <c r="AO2258" t="s">
        <v>118</v>
      </c>
      <c r="AP2258">
        <v>-107</v>
      </c>
      <c r="AQ2258">
        <v>78</v>
      </c>
      <c r="AR2258">
        <v>0</v>
      </c>
      <c r="AZ2258">
        <v>1200</v>
      </c>
      <c r="BA2258">
        <v>1</v>
      </c>
      <c r="BB2258" t="str">
        <f t="shared" si="109"/>
        <v xml:space="preserve">N8080G  </v>
      </c>
      <c r="BC2258">
        <v>1</v>
      </c>
      <c r="BE2258">
        <v>0</v>
      </c>
      <c r="BF2258">
        <v>0</v>
      </c>
      <c r="BG2258">
        <v>0</v>
      </c>
      <c r="BH2258">
        <v>1700</v>
      </c>
      <c r="BI2258">
        <v>1</v>
      </c>
      <c r="BJ2258">
        <v>1</v>
      </c>
      <c r="BK2258">
        <v>1</v>
      </c>
      <c r="BL2258">
        <v>0</v>
      </c>
      <c r="BO2258">
        <v>0</v>
      </c>
      <c r="BP2258">
        <v>0</v>
      </c>
      <c r="BW2258" t="str">
        <f>"20:26:32.230"</f>
        <v>20:26:32.230</v>
      </c>
      <c r="BZ2258">
        <v>0</v>
      </c>
      <c r="CA2258">
        <v>2016</v>
      </c>
      <c r="CB2258">
        <v>224</v>
      </c>
      <c r="CD2258">
        <v>1</v>
      </c>
      <c r="CE2258">
        <v>0</v>
      </c>
      <c r="CF2258">
        <v>0</v>
      </c>
      <c r="CG2258">
        <v>1</v>
      </c>
      <c r="CH2258">
        <v>0</v>
      </c>
      <c r="CI2258">
        <v>0</v>
      </c>
      <c r="CJ2258">
        <v>0</v>
      </c>
      <c r="CK2258">
        <v>2</v>
      </c>
      <c r="CL2258">
        <v>0</v>
      </c>
      <c r="CM2258">
        <v>2</v>
      </c>
      <c r="CN2258">
        <v>0</v>
      </c>
      <c r="CO2258">
        <v>2</v>
      </c>
      <c r="CP2258" t="s">
        <v>119</v>
      </c>
      <c r="CQ2258">
        <v>179</v>
      </c>
      <c r="CR2258">
        <v>1</v>
      </c>
      <c r="CW2258">
        <v>8926728</v>
      </c>
      <c r="CY2258">
        <v>1</v>
      </c>
      <c r="CZ2258">
        <v>0</v>
      </c>
      <c r="DA2258">
        <v>1</v>
      </c>
      <c r="DB2258">
        <v>0</v>
      </c>
      <c r="DC2258">
        <v>0</v>
      </c>
      <c r="DD2258">
        <v>0</v>
      </c>
      <c r="DE2258">
        <v>0</v>
      </c>
      <c r="DF2258">
        <v>0</v>
      </c>
      <c r="DG2258">
        <v>0</v>
      </c>
      <c r="DH2258">
        <v>0</v>
      </c>
      <c r="DI2258">
        <v>0</v>
      </c>
    </row>
    <row r="2259" spans="1:113" x14ac:dyDescent="0.3">
      <c r="A2259" t="str">
        <f>"02/08/2021 20:26:30.793"</f>
        <v>02/08/2021 20:26:30.793</v>
      </c>
      <c r="C2259" t="str">
        <f t="shared" si="108"/>
        <v>FFDFD7C0</v>
      </c>
      <c r="D2259" t="s">
        <v>124</v>
      </c>
      <c r="E2259">
        <v>11</v>
      </c>
      <c r="F2259">
        <v>1011</v>
      </c>
      <c r="G2259" t="s">
        <v>590</v>
      </c>
      <c r="J2259" t="s">
        <v>125</v>
      </c>
      <c r="K2259">
        <v>0</v>
      </c>
      <c r="L2259">
        <v>3</v>
      </c>
      <c r="M2259">
        <v>0</v>
      </c>
      <c r="N2259">
        <v>2</v>
      </c>
      <c r="O2259">
        <v>1</v>
      </c>
      <c r="P2259">
        <v>0</v>
      </c>
      <c r="Q2259">
        <v>0</v>
      </c>
      <c r="S2259" t="str">
        <f>"20:26:33.117"</f>
        <v>20:26:33.117</v>
      </c>
      <c r="T2259" t="str">
        <f>"20:26:32.717"</f>
        <v>20:26:32.717</v>
      </c>
      <c r="U2259" t="str">
        <f t="shared" si="110"/>
        <v>AB01F4</v>
      </c>
      <c r="V2259">
        <v>0</v>
      </c>
      <c r="W2259">
        <v>0</v>
      </c>
      <c r="X2259">
        <v>2</v>
      </c>
      <c r="Z2259">
        <v>0</v>
      </c>
      <c r="AA2259">
        <v>9</v>
      </c>
      <c r="AB2259">
        <v>3</v>
      </c>
      <c r="AC2259">
        <v>0</v>
      </c>
      <c r="AD2259">
        <v>10</v>
      </c>
      <c r="AE2259">
        <v>0</v>
      </c>
      <c r="AF2259">
        <v>3</v>
      </c>
      <c r="AG2259">
        <v>2</v>
      </c>
      <c r="AH2259">
        <v>0</v>
      </c>
      <c r="AI2259" t="s">
        <v>1379</v>
      </c>
      <c r="AJ2259">
        <v>39.964550000000003</v>
      </c>
      <c r="AK2259" t="s">
        <v>1380</v>
      </c>
      <c r="AL2259">
        <v>-92.684697999999997</v>
      </c>
      <c r="AM2259">
        <v>100</v>
      </c>
      <c r="AN2259">
        <v>1700</v>
      </c>
      <c r="AO2259" t="s">
        <v>118</v>
      </c>
      <c r="AP2259">
        <v>-108</v>
      </c>
      <c r="AQ2259">
        <v>78</v>
      </c>
      <c r="AR2259">
        <v>-64</v>
      </c>
      <c r="AZ2259">
        <v>1200</v>
      </c>
      <c r="BA2259">
        <v>1</v>
      </c>
      <c r="BB2259" t="str">
        <f t="shared" si="109"/>
        <v xml:space="preserve">N8080G  </v>
      </c>
      <c r="BC2259">
        <v>1</v>
      </c>
      <c r="BE2259">
        <v>0</v>
      </c>
      <c r="BF2259">
        <v>0</v>
      </c>
      <c r="BG2259">
        <v>0</v>
      </c>
      <c r="BH2259">
        <v>1700</v>
      </c>
      <c r="BI2259">
        <v>1</v>
      </c>
      <c r="BJ2259">
        <v>1</v>
      </c>
      <c r="BK2259">
        <v>1</v>
      </c>
      <c r="BL2259">
        <v>0</v>
      </c>
      <c r="BO2259">
        <v>0</v>
      </c>
      <c r="BP2259">
        <v>0</v>
      </c>
      <c r="BW2259" t="str">
        <f>"20:26:33.123"</f>
        <v>20:26:33.123</v>
      </c>
      <c r="BZ2259">
        <v>0</v>
      </c>
      <c r="CA2259">
        <v>2016</v>
      </c>
      <c r="CB2259">
        <v>224</v>
      </c>
      <c r="CD2259">
        <v>1</v>
      </c>
      <c r="CE2259">
        <v>0</v>
      </c>
      <c r="CF2259">
        <v>0</v>
      </c>
      <c r="CG2259">
        <v>1</v>
      </c>
      <c r="CH2259">
        <v>0</v>
      </c>
      <c r="CI2259">
        <v>0</v>
      </c>
      <c r="CJ2259">
        <v>0</v>
      </c>
      <c r="CK2259">
        <v>2</v>
      </c>
      <c r="CL2259">
        <v>0</v>
      </c>
      <c r="CM2259">
        <v>2</v>
      </c>
      <c r="CN2259">
        <v>0</v>
      </c>
      <c r="CO2259">
        <v>7</v>
      </c>
      <c r="CP2259" t="s">
        <v>119</v>
      </c>
      <c r="CQ2259">
        <v>180</v>
      </c>
      <c r="CR2259">
        <v>2</v>
      </c>
      <c r="CW2259">
        <v>8483457</v>
      </c>
      <c r="CY2259">
        <v>1</v>
      </c>
      <c r="CZ2259">
        <v>0</v>
      </c>
      <c r="DA2259">
        <v>0</v>
      </c>
      <c r="DB2259">
        <v>0</v>
      </c>
      <c r="DC2259">
        <v>0</v>
      </c>
      <c r="DD2259">
        <v>0</v>
      </c>
      <c r="DE2259">
        <v>0</v>
      </c>
      <c r="DF2259">
        <v>0</v>
      </c>
      <c r="DG2259">
        <v>0</v>
      </c>
      <c r="DH2259">
        <v>0</v>
      </c>
      <c r="DI2259">
        <v>0</v>
      </c>
    </row>
    <row r="2260" spans="1:113" x14ac:dyDescent="0.3">
      <c r="A2260" t="str">
        <f>"02/08/2021 20:26:30.793"</f>
        <v>02/08/2021 20:26:30.793</v>
      </c>
      <c r="C2260" t="str">
        <f t="shared" si="108"/>
        <v>FFDFD7C0</v>
      </c>
      <c r="D2260" t="s">
        <v>113</v>
      </c>
      <c r="E2260">
        <v>6</v>
      </c>
      <c r="H2260">
        <v>165</v>
      </c>
      <c r="I2260" t="s">
        <v>114</v>
      </c>
      <c r="J2260" t="s">
        <v>115</v>
      </c>
      <c r="K2260">
        <v>0</v>
      </c>
      <c r="L2260">
        <v>3</v>
      </c>
      <c r="M2260">
        <v>0</v>
      </c>
      <c r="N2260">
        <v>2</v>
      </c>
      <c r="O2260">
        <v>1</v>
      </c>
      <c r="P2260">
        <v>0</v>
      </c>
      <c r="Q2260">
        <v>0</v>
      </c>
      <c r="S2260" t="str">
        <f>"20:26:33.117"</f>
        <v>20:26:33.117</v>
      </c>
      <c r="T2260" t="str">
        <f>"20:26:32.717"</f>
        <v>20:26:32.717</v>
      </c>
      <c r="U2260" t="str">
        <f t="shared" si="110"/>
        <v>AB01F4</v>
      </c>
      <c r="V2260">
        <v>0</v>
      </c>
      <c r="W2260">
        <v>0</v>
      </c>
      <c r="X2260">
        <v>2</v>
      </c>
      <c r="Z2260">
        <v>0</v>
      </c>
      <c r="AA2260">
        <v>9</v>
      </c>
      <c r="AB2260">
        <v>3</v>
      </c>
      <c r="AC2260">
        <v>0</v>
      </c>
      <c r="AD2260">
        <v>10</v>
      </c>
      <c r="AE2260">
        <v>0</v>
      </c>
      <c r="AF2260">
        <v>3</v>
      </c>
      <c r="AG2260">
        <v>2</v>
      </c>
      <c r="AH2260">
        <v>0</v>
      </c>
      <c r="AI2260" t="s">
        <v>1379</v>
      </c>
      <c r="AJ2260">
        <v>39.964550000000003</v>
      </c>
      <c r="AK2260" t="s">
        <v>1380</v>
      </c>
      <c r="AL2260">
        <v>-92.684697999999997</v>
      </c>
      <c r="AM2260">
        <v>100</v>
      </c>
      <c r="AN2260">
        <v>1700</v>
      </c>
      <c r="AO2260" t="s">
        <v>118</v>
      </c>
      <c r="AP2260">
        <v>-108</v>
      </c>
      <c r="AQ2260">
        <v>78</v>
      </c>
      <c r="AR2260">
        <v>-64</v>
      </c>
      <c r="AZ2260">
        <v>1200</v>
      </c>
      <c r="BA2260">
        <v>1</v>
      </c>
      <c r="BB2260" t="str">
        <f t="shared" si="109"/>
        <v xml:space="preserve">N8080G  </v>
      </c>
      <c r="BC2260">
        <v>1</v>
      </c>
      <c r="BE2260">
        <v>0</v>
      </c>
      <c r="BF2260">
        <v>0</v>
      </c>
      <c r="BG2260">
        <v>0</v>
      </c>
      <c r="BH2260">
        <v>1700</v>
      </c>
      <c r="BI2260">
        <v>1</v>
      </c>
      <c r="BJ2260">
        <v>1</v>
      </c>
      <c r="BK2260">
        <v>1</v>
      </c>
      <c r="BL2260">
        <v>0</v>
      </c>
      <c r="BO2260">
        <v>0</v>
      </c>
      <c r="BP2260">
        <v>0</v>
      </c>
      <c r="BW2260" t="str">
        <f>"20:26:33.123"</f>
        <v>20:26:33.123</v>
      </c>
      <c r="BZ2260">
        <v>0</v>
      </c>
      <c r="CA2260">
        <v>2016</v>
      </c>
      <c r="CB2260">
        <v>224</v>
      </c>
      <c r="CD2260">
        <v>1</v>
      </c>
      <c r="CE2260">
        <v>0</v>
      </c>
      <c r="CF2260">
        <v>0</v>
      </c>
      <c r="CG2260">
        <v>1</v>
      </c>
      <c r="CH2260">
        <v>0</v>
      </c>
      <c r="CI2260">
        <v>0</v>
      </c>
      <c r="CJ2260">
        <v>0</v>
      </c>
      <c r="CK2260">
        <v>2</v>
      </c>
      <c r="CL2260">
        <v>0</v>
      </c>
      <c r="CM2260">
        <v>2</v>
      </c>
      <c r="CN2260">
        <v>0</v>
      </c>
      <c r="CO2260">
        <v>7</v>
      </c>
      <c r="CP2260" t="s">
        <v>119</v>
      </c>
      <c r="CQ2260">
        <v>180</v>
      </c>
      <c r="CR2260">
        <v>2</v>
      </c>
      <c r="CW2260">
        <v>8483457</v>
      </c>
      <c r="CY2260">
        <v>1</v>
      </c>
      <c r="CZ2260">
        <v>0</v>
      </c>
      <c r="DA2260">
        <v>1</v>
      </c>
      <c r="DB2260">
        <v>0</v>
      </c>
      <c r="DC2260">
        <v>0</v>
      </c>
      <c r="DD2260">
        <v>0</v>
      </c>
      <c r="DE2260">
        <v>0</v>
      </c>
      <c r="DF2260">
        <v>0</v>
      </c>
      <c r="DG2260">
        <v>0</v>
      </c>
      <c r="DH2260">
        <v>0</v>
      </c>
      <c r="DI2260">
        <v>0</v>
      </c>
    </row>
    <row r="2261" spans="1:113" x14ac:dyDescent="0.3">
      <c r="A2261" t="str">
        <f>"02/08/2021 20:26:30.793"</f>
        <v>02/08/2021 20:26:30.793</v>
      </c>
      <c r="C2261" t="str">
        <f t="shared" si="108"/>
        <v>FFDFD7C0</v>
      </c>
      <c r="D2261" t="s">
        <v>124</v>
      </c>
      <c r="E2261">
        <v>12</v>
      </c>
      <c r="F2261">
        <v>1012</v>
      </c>
      <c r="G2261" t="s">
        <v>675</v>
      </c>
      <c r="J2261" t="s">
        <v>125</v>
      </c>
      <c r="K2261">
        <v>0</v>
      </c>
      <c r="L2261">
        <v>3</v>
      </c>
      <c r="M2261">
        <v>0</v>
      </c>
      <c r="N2261">
        <v>2</v>
      </c>
      <c r="O2261">
        <v>1</v>
      </c>
      <c r="P2261">
        <v>0</v>
      </c>
      <c r="Q2261">
        <v>0</v>
      </c>
      <c r="S2261" t="str">
        <f>"20:26:33.117"</f>
        <v>20:26:33.117</v>
      </c>
      <c r="T2261" t="str">
        <f>"20:26:32.717"</f>
        <v>20:26:32.717</v>
      </c>
      <c r="U2261" t="str">
        <f t="shared" si="110"/>
        <v>AB01F4</v>
      </c>
      <c r="V2261">
        <v>0</v>
      </c>
      <c r="W2261">
        <v>0</v>
      </c>
      <c r="X2261">
        <v>2</v>
      </c>
      <c r="Z2261">
        <v>0</v>
      </c>
      <c r="AA2261">
        <v>9</v>
      </c>
      <c r="AB2261">
        <v>3</v>
      </c>
      <c r="AC2261">
        <v>0</v>
      </c>
      <c r="AD2261">
        <v>10</v>
      </c>
      <c r="AE2261">
        <v>0</v>
      </c>
      <c r="AF2261">
        <v>3</v>
      </c>
      <c r="AG2261">
        <v>2</v>
      </c>
      <c r="AH2261">
        <v>0</v>
      </c>
      <c r="AI2261" t="s">
        <v>1379</v>
      </c>
      <c r="AJ2261">
        <v>39.964550000000003</v>
      </c>
      <c r="AK2261" t="s">
        <v>1380</v>
      </c>
      <c r="AL2261">
        <v>-92.684697999999997</v>
      </c>
      <c r="AM2261">
        <v>100</v>
      </c>
      <c r="AN2261">
        <v>1700</v>
      </c>
      <c r="AO2261" t="s">
        <v>118</v>
      </c>
      <c r="AP2261">
        <v>-108</v>
      </c>
      <c r="AQ2261">
        <v>78</v>
      </c>
      <c r="AR2261">
        <v>-64</v>
      </c>
      <c r="AZ2261">
        <v>1200</v>
      </c>
      <c r="BA2261">
        <v>1</v>
      </c>
      <c r="BB2261" t="str">
        <f t="shared" si="109"/>
        <v xml:space="preserve">N8080G  </v>
      </c>
      <c r="BC2261">
        <v>1</v>
      </c>
      <c r="BE2261">
        <v>0</v>
      </c>
      <c r="BF2261">
        <v>0</v>
      </c>
      <c r="BG2261">
        <v>0</v>
      </c>
      <c r="BH2261">
        <v>1700</v>
      </c>
      <c r="BI2261">
        <v>1</v>
      </c>
      <c r="BJ2261">
        <v>1</v>
      </c>
      <c r="BK2261">
        <v>1</v>
      </c>
      <c r="BL2261">
        <v>0</v>
      </c>
      <c r="BO2261">
        <v>0</v>
      </c>
      <c r="BP2261">
        <v>0</v>
      </c>
      <c r="BW2261" t="str">
        <f>"20:26:33.123"</f>
        <v>20:26:33.123</v>
      </c>
      <c r="BZ2261">
        <v>0</v>
      </c>
      <c r="CA2261">
        <v>2016</v>
      </c>
      <c r="CB2261">
        <v>224</v>
      </c>
      <c r="CD2261">
        <v>1</v>
      </c>
      <c r="CE2261">
        <v>0</v>
      </c>
      <c r="CF2261">
        <v>0</v>
      </c>
      <c r="CG2261">
        <v>1</v>
      </c>
      <c r="CH2261">
        <v>0</v>
      </c>
      <c r="CI2261">
        <v>0</v>
      </c>
      <c r="CJ2261">
        <v>0</v>
      </c>
      <c r="CK2261">
        <v>2</v>
      </c>
      <c r="CL2261">
        <v>0</v>
      </c>
      <c r="CM2261">
        <v>2</v>
      </c>
      <c r="CN2261">
        <v>0</v>
      </c>
      <c r="CO2261">
        <v>7</v>
      </c>
      <c r="CP2261" t="s">
        <v>119</v>
      </c>
      <c r="CQ2261">
        <v>180</v>
      </c>
      <c r="CR2261">
        <v>2</v>
      </c>
      <c r="CW2261">
        <v>8483457</v>
      </c>
      <c r="CY2261">
        <v>1</v>
      </c>
      <c r="CZ2261">
        <v>0</v>
      </c>
      <c r="DA2261">
        <v>1</v>
      </c>
      <c r="DB2261">
        <v>0</v>
      </c>
      <c r="DC2261">
        <v>0</v>
      </c>
      <c r="DD2261">
        <v>0</v>
      </c>
      <c r="DE2261">
        <v>0</v>
      </c>
      <c r="DF2261">
        <v>0</v>
      </c>
      <c r="DG2261">
        <v>0</v>
      </c>
      <c r="DH2261">
        <v>0</v>
      </c>
      <c r="DI2261">
        <v>0</v>
      </c>
    </row>
    <row r="2262" spans="1:113" x14ac:dyDescent="0.3">
      <c r="A2262" t="str">
        <f>"02/08/2021 20:26:30.793"</f>
        <v>02/08/2021 20:26:30.793</v>
      </c>
      <c r="C2262" t="str">
        <f t="shared" si="108"/>
        <v>FFDFD7C0</v>
      </c>
      <c r="D2262" t="s">
        <v>124</v>
      </c>
      <c r="E2262">
        <v>13</v>
      </c>
      <c r="F2262">
        <v>1013</v>
      </c>
      <c r="G2262" t="s">
        <v>114</v>
      </c>
      <c r="J2262" t="s">
        <v>125</v>
      </c>
      <c r="K2262">
        <v>0</v>
      </c>
      <c r="L2262">
        <v>3</v>
      </c>
      <c r="M2262">
        <v>0</v>
      </c>
      <c r="N2262">
        <v>2</v>
      </c>
      <c r="O2262">
        <v>1</v>
      </c>
      <c r="P2262">
        <v>0</v>
      </c>
      <c r="Q2262">
        <v>0</v>
      </c>
      <c r="S2262" t="str">
        <f>"20:26:33.117"</f>
        <v>20:26:33.117</v>
      </c>
      <c r="T2262" t="str">
        <f>"20:26:32.717"</f>
        <v>20:26:32.717</v>
      </c>
      <c r="U2262" t="str">
        <f t="shared" si="110"/>
        <v>AB01F4</v>
      </c>
      <c r="V2262">
        <v>0</v>
      </c>
      <c r="W2262">
        <v>0</v>
      </c>
      <c r="X2262">
        <v>2</v>
      </c>
      <c r="Z2262">
        <v>0</v>
      </c>
      <c r="AA2262">
        <v>9</v>
      </c>
      <c r="AB2262">
        <v>3</v>
      </c>
      <c r="AC2262">
        <v>0</v>
      </c>
      <c r="AD2262">
        <v>10</v>
      </c>
      <c r="AE2262">
        <v>0</v>
      </c>
      <c r="AF2262">
        <v>3</v>
      </c>
      <c r="AG2262">
        <v>2</v>
      </c>
      <c r="AH2262">
        <v>0</v>
      </c>
      <c r="AI2262" t="s">
        <v>1379</v>
      </c>
      <c r="AJ2262">
        <v>39.964550000000003</v>
      </c>
      <c r="AK2262" t="s">
        <v>1380</v>
      </c>
      <c r="AL2262">
        <v>-92.684697999999997</v>
      </c>
      <c r="AM2262">
        <v>100</v>
      </c>
      <c r="AN2262">
        <v>1700</v>
      </c>
      <c r="AO2262" t="s">
        <v>118</v>
      </c>
      <c r="AP2262">
        <v>-108</v>
      </c>
      <c r="AQ2262">
        <v>78</v>
      </c>
      <c r="AR2262">
        <v>-64</v>
      </c>
      <c r="AZ2262">
        <v>1200</v>
      </c>
      <c r="BA2262">
        <v>1</v>
      </c>
      <c r="BB2262" t="str">
        <f t="shared" si="109"/>
        <v xml:space="preserve">N8080G  </v>
      </c>
      <c r="BC2262">
        <v>1</v>
      </c>
      <c r="BE2262">
        <v>0</v>
      </c>
      <c r="BF2262">
        <v>0</v>
      </c>
      <c r="BG2262">
        <v>0</v>
      </c>
      <c r="BH2262">
        <v>1700</v>
      </c>
      <c r="BI2262">
        <v>1</v>
      </c>
      <c r="BJ2262">
        <v>1</v>
      </c>
      <c r="BK2262">
        <v>1</v>
      </c>
      <c r="BL2262">
        <v>0</v>
      </c>
      <c r="BO2262">
        <v>0</v>
      </c>
      <c r="BP2262">
        <v>0</v>
      </c>
      <c r="BW2262" t="str">
        <f>"20:26:33.123"</f>
        <v>20:26:33.123</v>
      </c>
      <c r="BZ2262">
        <v>0</v>
      </c>
      <c r="CA2262">
        <v>2016</v>
      </c>
      <c r="CB2262">
        <v>224</v>
      </c>
      <c r="CD2262">
        <v>1</v>
      </c>
      <c r="CE2262">
        <v>0</v>
      </c>
      <c r="CF2262">
        <v>0</v>
      </c>
      <c r="CG2262">
        <v>1</v>
      </c>
      <c r="CH2262">
        <v>0</v>
      </c>
      <c r="CI2262">
        <v>0</v>
      </c>
      <c r="CJ2262">
        <v>0</v>
      </c>
      <c r="CK2262">
        <v>2</v>
      </c>
      <c r="CL2262">
        <v>0</v>
      </c>
      <c r="CM2262">
        <v>2</v>
      </c>
      <c r="CN2262">
        <v>0</v>
      </c>
      <c r="CO2262">
        <v>7</v>
      </c>
      <c r="CP2262" t="s">
        <v>119</v>
      </c>
      <c r="CQ2262">
        <v>180</v>
      </c>
      <c r="CR2262">
        <v>2</v>
      </c>
      <c r="CW2262">
        <v>8483457</v>
      </c>
      <c r="CY2262">
        <v>1</v>
      </c>
      <c r="CZ2262">
        <v>0</v>
      </c>
      <c r="DA2262">
        <v>1</v>
      </c>
      <c r="DB2262">
        <v>0</v>
      </c>
      <c r="DC2262">
        <v>0</v>
      </c>
      <c r="DD2262">
        <v>0</v>
      </c>
      <c r="DE2262">
        <v>0</v>
      </c>
      <c r="DF2262">
        <v>0</v>
      </c>
      <c r="DG2262">
        <v>0</v>
      </c>
      <c r="DH2262">
        <v>0</v>
      </c>
      <c r="DI2262">
        <v>0</v>
      </c>
    </row>
    <row r="2263" spans="1:113" x14ac:dyDescent="0.3">
      <c r="A2263" t="str">
        <f>"02/08/2021 20:26:31.820"</f>
        <v>02/08/2021 20:26:31.820</v>
      </c>
      <c r="C2263" t="str">
        <f t="shared" si="108"/>
        <v>FFDFD7C0</v>
      </c>
      <c r="D2263" t="s">
        <v>124</v>
      </c>
      <c r="E2263">
        <v>13</v>
      </c>
      <c r="F2263">
        <v>1013</v>
      </c>
      <c r="G2263" t="s">
        <v>114</v>
      </c>
      <c r="J2263" t="s">
        <v>125</v>
      </c>
      <c r="K2263">
        <v>0</v>
      </c>
      <c r="L2263">
        <v>3</v>
      </c>
      <c r="M2263">
        <v>0</v>
      </c>
      <c r="N2263">
        <v>2</v>
      </c>
      <c r="O2263">
        <v>1</v>
      </c>
      <c r="P2263">
        <v>0</v>
      </c>
      <c r="Q2263">
        <v>0</v>
      </c>
      <c r="S2263" t="str">
        <f>"20:26:34.148"</f>
        <v>20:26:34.148</v>
      </c>
      <c r="T2263" t="str">
        <f>"20:26:33.648"</f>
        <v>20:26:33.648</v>
      </c>
      <c r="U2263" t="str">
        <f t="shared" si="110"/>
        <v>AB01F4</v>
      </c>
      <c r="V2263">
        <v>0</v>
      </c>
      <c r="W2263">
        <v>0</v>
      </c>
      <c r="X2263">
        <v>2</v>
      </c>
      <c r="Z2263">
        <v>0</v>
      </c>
      <c r="AA2263">
        <v>9</v>
      </c>
      <c r="AB2263">
        <v>3</v>
      </c>
      <c r="AC2263">
        <v>0</v>
      </c>
      <c r="AD2263">
        <v>10</v>
      </c>
      <c r="AE2263">
        <v>0</v>
      </c>
      <c r="AF2263">
        <v>3</v>
      </c>
      <c r="AG2263">
        <v>2</v>
      </c>
      <c r="AH2263">
        <v>0</v>
      </c>
      <c r="AI2263" t="s">
        <v>1381</v>
      </c>
      <c r="AJ2263">
        <v>39.964914</v>
      </c>
      <c r="AK2263" t="s">
        <v>1382</v>
      </c>
      <c r="AL2263">
        <v>-92.685299000000001</v>
      </c>
      <c r="AM2263">
        <v>100</v>
      </c>
      <c r="AN2263">
        <v>1700</v>
      </c>
      <c r="AO2263" t="s">
        <v>118</v>
      </c>
      <c r="AP2263">
        <v>-108</v>
      </c>
      <c r="AQ2263">
        <v>78</v>
      </c>
      <c r="AR2263">
        <v>0</v>
      </c>
      <c r="AZ2263">
        <v>1200</v>
      </c>
      <c r="BA2263">
        <v>1</v>
      </c>
      <c r="BB2263" t="str">
        <f t="shared" si="109"/>
        <v xml:space="preserve">N8080G  </v>
      </c>
      <c r="BC2263">
        <v>1</v>
      </c>
      <c r="BE2263">
        <v>0</v>
      </c>
      <c r="BF2263">
        <v>0</v>
      </c>
      <c r="BG2263">
        <v>0</v>
      </c>
      <c r="BH2263">
        <v>1700</v>
      </c>
      <c r="BI2263">
        <v>1</v>
      </c>
      <c r="BJ2263">
        <v>1</v>
      </c>
      <c r="BK2263">
        <v>1</v>
      </c>
      <c r="BL2263">
        <v>0</v>
      </c>
      <c r="BO2263">
        <v>0</v>
      </c>
      <c r="BP2263">
        <v>0</v>
      </c>
      <c r="BW2263" t="str">
        <f>"20:26:34.150"</f>
        <v>20:26:34.150</v>
      </c>
      <c r="BZ2263">
        <v>0</v>
      </c>
      <c r="CA2263">
        <v>2016</v>
      </c>
      <c r="CB2263">
        <v>224</v>
      </c>
      <c r="CD2263">
        <v>1</v>
      </c>
      <c r="CE2263">
        <v>0</v>
      </c>
      <c r="CF2263">
        <v>0</v>
      </c>
      <c r="CG2263">
        <v>1</v>
      </c>
      <c r="CH2263">
        <v>0</v>
      </c>
      <c r="CI2263">
        <v>0</v>
      </c>
      <c r="CJ2263">
        <v>0</v>
      </c>
      <c r="CK2263">
        <v>2</v>
      </c>
      <c r="CL2263">
        <v>0</v>
      </c>
      <c r="CM2263">
        <v>2</v>
      </c>
      <c r="CN2263">
        <v>0</v>
      </c>
      <c r="CO2263">
        <v>3</v>
      </c>
      <c r="CP2263" t="s">
        <v>119</v>
      </c>
      <c r="CQ2263">
        <v>179</v>
      </c>
      <c r="CR2263">
        <v>1</v>
      </c>
      <c r="CW2263">
        <v>8928439</v>
      </c>
      <c r="CY2263">
        <v>1</v>
      </c>
      <c r="CZ2263">
        <v>0</v>
      </c>
      <c r="DA2263">
        <v>0</v>
      </c>
      <c r="DB2263">
        <v>0</v>
      </c>
      <c r="DC2263">
        <v>0</v>
      </c>
      <c r="DD2263">
        <v>0</v>
      </c>
      <c r="DE2263">
        <v>0</v>
      </c>
      <c r="DF2263">
        <v>0</v>
      </c>
      <c r="DG2263">
        <v>0</v>
      </c>
      <c r="DH2263">
        <v>0</v>
      </c>
      <c r="DI2263">
        <v>0</v>
      </c>
    </row>
    <row r="2264" spans="1:113" x14ac:dyDescent="0.3">
      <c r="A2264" t="str">
        <f>"02/08/2021 20:26:31.820"</f>
        <v>02/08/2021 20:26:31.820</v>
      </c>
      <c r="C2264" t="str">
        <f t="shared" si="108"/>
        <v>FFDFD7C0</v>
      </c>
      <c r="D2264" t="s">
        <v>124</v>
      </c>
      <c r="E2264">
        <v>11</v>
      </c>
      <c r="F2264">
        <v>1011</v>
      </c>
      <c r="G2264" t="s">
        <v>590</v>
      </c>
      <c r="J2264" t="s">
        <v>125</v>
      </c>
      <c r="K2264">
        <v>0</v>
      </c>
      <c r="L2264">
        <v>3</v>
      </c>
      <c r="M2264">
        <v>0</v>
      </c>
      <c r="N2264">
        <v>2</v>
      </c>
      <c r="O2264">
        <v>1</v>
      </c>
      <c r="P2264">
        <v>0</v>
      </c>
      <c r="Q2264">
        <v>0</v>
      </c>
      <c r="S2264" t="str">
        <f>"20:26:34.148"</f>
        <v>20:26:34.148</v>
      </c>
      <c r="T2264" t="str">
        <f>"20:26:33.648"</f>
        <v>20:26:33.648</v>
      </c>
      <c r="U2264" t="str">
        <f t="shared" si="110"/>
        <v>AB01F4</v>
      </c>
      <c r="V2264">
        <v>0</v>
      </c>
      <c r="W2264">
        <v>0</v>
      </c>
      <c r="X2264">
        <v>2</v>
      </c>
      <c r="Z2264">
        <v>0</v>
      </c>
      <c r="AA2264">
        <v>9</v>
      </c>
      <c r="AB2264">
        <v>3</v>
      </c>
      <c r="AC2264">
        <v>0</v>
      </c>
      <c r="AD2264">
        <v>10</v>
      </c>
      <c r="AE2264">
        <v>0</v>
      </c>
      <c r="AF2264">
        <v>3</v>
      </c>
      <c r="AG2264">
        <v>2</v>
      </c>
      <c r="AH2264">
        <v>0</v>
      </c>
      <c r="AI2264" t="s">
        <v>1381</v>
      </c>
      <c r="AJ2264">
        <v>39.964914</v>
      </c>
      <c r="AK2264" t="s">
        <v>1382</v>
      </c>
      <c r="AL2264">
        <v>-92.685299000000001</v>
      </c>
      <c r="AM2264">
        <v>100</v>
      </c>
      <c r="AN2264">
        <v>1700</v>
      </c>
      <c r="AO2264" t="s">
        <v>118</v>
      </c>
      <c r="AP2264">
        <v>-108</v>
      </c>
      <c r="AQ2264">
        <v>78</v>
      </c>
      <c r="AR2264">
        <v>0</v>
      </c>
      <c r="AZ2264">
        <v>1200</v>
      </c>
      <c r="BA2264">
        <v>1</v>
      </c>
      <c r="BB2264" t="str">
        <f t="shared" si="109"/>
        <v xml:space="preserve">N8080G  </v>
      </c>
      <c r="BC2264">
        <v>1</v>
      </c>
      <c r="BE2264">
        <v>0</v>
      </c>
      <c r="BF2264">
        <v>0</v>
      </c>
      <c r="BG2264">
        <v>0</v>
      </c>
      <c r="BH2264">
        <v>1700</v>
      </c>
      <c r="BI2264">
        <v>1</v>
      </c>
      <c r="BJ2264">
        <v>1</v>
      </c>
      <c r="BK2264">
        <v>1</v>
      </c>
      <c r="BL2264">
        <v>0</v>
      </c>
      <c r="BO2264">
        <v>0</v>
      </c>
      <c r="BP2264">
        <v>0</v>
      </c>
      <c r="BW2264" t="str">
        <f>"20:26:34.150"</f>
        <v>20:26:34.150</v>
      </c>
      <c r="BZ2264">
        <v>0</v>
      </c>
      <c r="CA2264">
        <v>2016</v>
      </c>
      <c r="CB2264">
        <v>224</v>
      </c>
      <c r="CD2264">
        <v>1</v>
      </c>
      <c r="CE2264">
        <v>0</v>
      </c>
      <c r="CF2264">
        <v>0</v>
      </c>
      <c r="CG2264">
        <v>1</v>
      </c>
      <c r="CH2264">
        <v>0</v>
      </c>
      <c r="CI2264">
        <v>0</v>
      </c>
      <c r="CJ2264">
        <v>0</v>
      </c>
      <c r="CK2264">
        <v>2</v>
      </c>
      <c r="CL2264">
        <v>0</v>
      </c>
      <c r="CM2264">
        <v>2</v>
      </c>
      <c r="CN2264">
        <v>0</v>
      </c>
      <c r="CO2264">
        <v>3</v>
      </c>
      <c r="CP2264" t="s">
        <v>119</v>
      </c>
      <c r="CQ2264">
        <v>179</v>
      </c>
      <c r="CR2264">
        <v>1</v>
      </c>
      <c r="CW2264">
        <v>8928439</v>
      </c>
      <c r="CY2264">
        <v>1</v>
      </c>
      <c r="CZ2264">
        <v>0</v>
      </c>
      <c r="DA2264">
        <v>1</v>
      </c>
      <c r="DB2264">
        <v>0</v>
      </c>
      <c r="DC2264">
        <v>0</v>
      </c>
      <c r="DD2264">
        <v>0</v>
      </c>
      <c r="DE2264">
        <v>0</v>
      </c>
      <c r="DF2264">
        <v>0</v>
      </c>
      <c r="DG2264">
        <v>0</v>
      </c>
      <c r="DH2264">
        <v>0</v>
      </c>
      <c r="DI2264">
        <v>0</v>
      </c>
    </row>
    <row r="2265" spans="1:113" x14ac:dyDescent="0.3">
      <c r="A2265" t="str">
        <f>"02/08/2021 20:26:31.820"</f>
        <v>02/08/2021 20:26:31.820</v>
      </c>
      <c r="C2265" t="str">
        <f t="shared" si="108"/>
        <v>FFDFD7C0</v>
      </c>
      <c r="D2265" t="s">
        <v>124</v>
      </c>
      <c r="E2265">
        <v>12</v>
      </c>
      <c r="F2265">
        <v>1012</v>
      </c>
      <c r="G2265" t="s">
        <v>675</v>
      </c>
      <c r="J2265" t="s">
        <v>125</v>
      </c>
      <c r="K2265">
        <v>0</v>
      </c>
      <c r="L2265">
        <v>3</v>
      </c>
      <c r="M2265">
        <v>0</v>
      </c>
      <c r="N2265">
        <v>2</v>
      </c>
      <c r="O2265">
        <v>1</v>
      </c>
      <c r="P2265">
        <v>0</v>
      </c>
      <c r="Q2265">
        <v>0</v>
      </c>
      <c r="S2265" t="str">
        <f>"20:26:34.148"</f>
        <v>20:26:34.148</v>
      </c>
      <c r="T2265" t="str">
        <f>"20:26:33.648"</f>
        <v>20:26:33.648</v>
      </c>
      <c r="U2265" t="str">
        <f t="shared" si="110"/>
        <v>AB01F4</v>
      </c>
      <c r="V2265">
        <v>0</v>
      </c>
      <c r="W2265">
        <v>0</v>
      </c>
      <c r="X2265">
        <v>2</v>
      </c>
      <c r="Z2265">
        <v>0</v>
      </c>
      <c r="AA2265">
        <v>9</v>
      </c>
      <c r="AB2265">
        <v>3</v>
      </c>
      <c r="AC2265">
        <v>0</v>
      </c>
      <c r="AD2265">
        <v>10</v>
      </c>
      <c r="AE2265">
        <v>0</v>
      </c>
      <c r="AF2265">
        <v>3</v>
      </c>
      <c r="AG2265">
        <v>2</v>
      </c>
      <c r="AH2265">
        <v>0</v>
      </c>
      <c r="AI2265" t="s">
        <v>1381</v>
      </c>
      <c r="AJ2265">
        <v>39.964914</v>
      </c>
      <c r="AK2265" t="s">
        <v>1382</v>
      </c>
      <c r="AL2265">
        <v>-92.685299000000001</v>
      </c>
      <c r="AM2265">
        <v>100</v>
      </c>
      <c r="AN2265">
        <v>1700</v>
      </c>
      <c r="AO2265" t="s">
        <v>118</v>
      </c>
      <c r="AP2265">
        <v>-108</v>
      </c>
      <c r="AQ2265">
        <v>78</v>
      </c>
      <c r="AR2265">
        <v>0</v>
      </c>
      <c r="AZ2265">
        <v>1200</v>
      </c>
      <c r="BA2265">
        <v>1</v>
      </c>
      <c r="BB2265" t="str">
        <f t="shared" si="109"/>
        <v xml:space="preserve">N8080G  </v>
      </c>
      <c r="BC2265">
        <v>1</v>
      </c>
      <c r="BE2265">
        <v>0</v>
      </c>
      <c r="BF2265">
        <v>0</v>
      </c>
      <c r="BG2265">
        <v>0</v>
      </c>
      <c r="BH2265">
        <v>1700</v>
      </c>
      <c r="BI2265">
        <v>1</v>
      </c>
      <c r="BJ2265">
        <v>1</v>
      </c>
      <c r="BK2265">
        <v>1</v>
      </c>
      <c r="BL2265">
        <v>0</v>
      </c>
      <c r="BO2265">
        <v>0</v>
      </c>
      <c r="BP2265">
        <v>0</v>
      </c>
      <c r="BW2265" t="str">
        <f>"20:26:34.150"</f>
        <v>20:26:34.150</v>
      </c>
      <c r="BZ2265">
        <v>0</v>
      </c>
      <c r="CA2265">
        <v>2016</v>
      </c>
      <c r="CB2265">
        <v>224</v>
      </c>
      <c r="CD2265">
        <v>1</v>
      </c>
      <c r="CE2265">
        <v>0</v>
      </c>
      <c r="CF2265">
        <v>0</v>
      </c>
      <c r="CG2265">
        <v>1</v>
      </c>
      <c r="CH2265">
        <v>0</v>
      </c>
      <c r="CI2265">
        <v>0</v>
      </c>
      <c r="CJ2265">
        <v>0</v>
      </c>
      <c r="CK2265">
        <v>2</v>
      </c>
      <c r="CL2265">
        <v>0</v>
      </c>
      <c r="CM2265">
        <v>2</v>
      </c>
      <c r="CN2265">
        <v>0</v>
      </c>
      <c r="CO2265">
        <v>3</v>
      </c>
      <c r="CP2265" t="s">
        <v>119</v>
      </c>
      <c r="CQ2265">
        <v>179</v>
      </c>
      <c r="CR2265">
        <v>1</v>
      </c>
      <c r="CW2265">
        <v>8928439</v>
      </c>
      <c r="CY2265">
        <v>1</v>
      </c>
      <c r="CZ2265">
        <v>0</v>
      </c>
      <c r="DA2265">
        <v>1</v>
      </c>
      <c r="DB2265">
        <v>0</v>
      </c>
      <c r="DC2265">
        <v>0</v>
      </c>
      <c r="DD2265">
        <v>0</v>
      </c>
      <c r="DE2265">
        <v>0</v>
      </c>
      <c r="DF2265">
        <v>0</v>
      </c>
      <c r="DG2265">
        <v>0</v>
      </c>
      <c r="DH2265">
        <v>0</v>
      </c>
      <c r="DI2265">
        <v>0</v>
      </c>
    </row>
    <row r="2266" spans="1:113" x14ac:dyDescent="0.3">
      <c r="A2266" t="str">
        <f>"02/08/2021 20:26:31.820"</f>
        <v>02/08/2021 20:26:31.820</v>
      </c>
      <c r="C2266" t="str">
        <f t="shared" si="108"/>
        <v>FFDFD7C0</v>
      </c>
      <c r="D2266" t="s">
        <v>113</v>
      </c>
      <c r="E2266">
        <v>6</v>
      </c>
      <c r="H2266">
        <v>165</v>
      </c>
      <c r="I2266" t="s">
        <v>114</v>
      </c>
      <c r="J2266" t="s">
        <v>115</v>
      </c>
      <c r="K2266">
        <v>0</v>
      </c>
      <c r="L2266">
        <v>3</v>
      </c>
      <c r="M2266">
        <v>0</v>
      </c>
      <c r="N2266">
        <v>2</v>
      </c>
      <c r="O2266">
        <v>1</v>
      </c>
      <c r="P2266">
        <v>0</v>
      </c>
      <c r="Q2266">
        <v>0</v>
      </c>
      <c r="S2266" t="str">
        <f>"20:26:34.148"</f>
        <v>20:26:34.148</v>
      </c>
      <c r="T2266" t="str">
        <f>"20:26:33.648"</f>
        <v>20:26:33.648</v>
      </c>
      <c r="U2266" t="str">
        <f t="shared" si="110"/>
        <v>AB01F4</v>
      </c>
      <c r="V2266">
        <v>0</v>
      </c>
      <c r="W2266">
        <v>0</v>
      </c>
      <c r="X2266">
        <v>2</v>
      </c>
      <c r="Z2266">
        <v>0</v>
      </c>
      <c r="AA2266">
        <v>9</v>
      </c>
      <c r="AB2266">
        <v>3</v>
      </c>
      <c r="AC2266">
        <v>0</v>
      </c>
      <c r="AD2266">
        <v>10</v>
      </c>
      <c r="AE2266">
        <v>0</v>
      </c>
      <c r="AF2266">
        <v>3</v>
      </c>
      <c r="AG2266">
        <v>2</v>
      </c>
      <c r="AH2266">
        <v>0</v>
      </c>
      <c r="AI2266" t="s">
        <v>1381</v>
      </c>
      <c r="AJ2266">
        <v>39.964914</v>
      </c>
      <c r="AK2266" t="s">
        <v>1382</v>
      </c>
      <c r="AL2266">
        <v>-92.685299000000001</v>
      </c>
      <c r="AM2266">
        <v>100</v>
      </c>
      <c r="AN2266">
        <v>1700</v>
      </c>
      <c r="AO2266" t="s">
        <v>118</v>
      </c>
      <c r="AP2266">
        <v>-108</v>
      </c>
      <c r="AQ2266">
        <v>78</v>
      </c>
      <c r="AR2266">
        <v>0</v>
      </c>
      <c r="AZ2266">
        <v>1200</v>
      </c>
      <c r="BA2266">
        <v>1</v>
      </c>
      <c r="BB2266" t="str">
        <f t="shared" si="109"/>
        <v xml:space="preserve">N8080G  </v>
      </c>
      <c r="BC2266">
        <v>1</v>
      </c>
      <c r="BE2266">
        <v>0</v>
      </c>
      <c r="BF2266">
        <v>0</v>
      </c>
      <c r="BG2266">
        <v>0</v>
      </c>
      <c r="BH2266">
        <v>1700</v>
      </c>
      <c r="BI2266">
        <v>1</v>
      </c>
      <c r="BJ2266">
        <v>1</v>
      </c>
      <c r="BK2266">
        <v>1</v>
      </c>
      <c r="BL2266">
        <v>0</v>
      </c>
      <c r="BO2266">
        <v>0</v>
      </c>
      <c r="BP2266">
        <v>0</v>
      </c>
      <c r="BW2266" t="str">
        <f>"20:26:34.150"</f>
        <v>20:26:34.150</v>
      </c>
      <c r="BZ2266">
        <v>0</v>
      </c>
      <c r="CA2266">
        <v>2016</v>
      </c>
      <c r="CB2266">
        <v>224</v>
      </c>
      <c r="CD2266">
        <v>1</v>
      </c>
      <c r="CE2266">
        <v>0</v>
      </c>
      <c r="CF2266">
        <v>0</v>
      </c>
      <c r="CG2266">
        <v>1</v>
      </c>
      <c r="CH2266">
        <v>0</v>
      </c>
      <c r="CI2266">
        <v>0</v>
      </c>
      <c r="CJ2266">
        <v>0</v>
      </c>
      <c r="CK2266">
        <v>2</v>
      </c>
      <c r="CL2266">
        <v>0</v>
      </c>
      <c r="CM2266">
        <v>2</v>
      </c>
      <c r="CN2266">
        <v>0</v>
      </c>
      <c r="CO2266">
        <v>3</v>
      </c>
      <c r="CP2266" t="s">
        <v>119</v>
      </c>
      <c r="CQ2266">
        <v>179</v>
      </c>
      <c r="CR2266">
        <v>1</v>
      </c>
      <c r="CW2266">
        <v>8928439</v>
      </c>
      <c r="CY2266">
        <v>1</v>
      </c>
      <c r="CZ2266">
        <v>0</v>
      </c>
      <c r="DA2266">
        <v>1</v>
      </c>
      <c r="DB2266">
        <v>0</v>
      </c>
      <c r="DC2266">
        <v>0</v>
      </c>
      <c r="DD2266">
        <v>0</v>
      </c>
      <c r="DE2266">
        <v>0</v>
      </c>
      <c r="DF2266">
        <v>0</v>
      </c>
      <c r="DG2266">
        <v>0</v>
      </c>
      <c r="DH2266">
        <v>0</v>
      </c>
      <c r="DI2266">
        <v>0</v>
      </c>
    </row>
    <row r="2267" spans="1:113" x14ac:dyDescent="0.3">
      <c r="A2267" t="str">
        <f>"02/08/2021 20:26:33.361"</f>
        <v>02/08/2021 20:26:33.361</v>
      </c>
      <c r="C2267" t="str">
        <f t="shared" si="108"/>
        <v>FFDFD7C0</v>
      </c>
      <c r="D2267" t="s">
        <v>124</v>
      </c>
      <c r="E2267">
        <v>12</v>
      </c>
      <c r="F2267">
        <v>1012</v>
      </c>
      <c r="G2267" t="s">
        <v>675</v>
      </c>
      <c r="J2267" t="s">
        <v>125</v>
      </c>
      <c r="K2267">
        <v>0</v>
      </c>
      <c r="L2267">
        <v>3</v>
      </c>
      <c r="M2267">
        <v>0</v>
      </c>
      <c r="N2267">
        <v>2</v>
      </c>
      <c r="O2267">
        <v>1</v>
      </c>
      <c r="P2267">
        <v>0</v>
      </c>
      <c r="Q2267">
        <v>0</v>
      </c>
      <c r="S2267" t="str">
        <f>"20:26:35.672"</f>
        <v>20:26:35.672</v>
      </c>
      <c r="T2267" t="str">
        <f>"20:26:34.572"</f>
        <v>20:26:34.572</v>
      </c>
      <c r="U2267" t="str">
        <f t="shared" si="110"/>
        <v>AB01F4</v>
      </c>
      <c r="V2267">
        <v>0</v>
      </c>
      <c r="W2267">
        <v>0</v>
      </c>
      <c r="X2267">
        <v>2</v>
      </c>
      <c r="Z2267">
        <v>0</v>
      </c>
      <c r="AA2267">
        <v>9</v>
      </c>
      <c r="AB2267">
        <v>3</v>
      </c>
      <c r="AC2267">
        <v>0</v>
      </c>
      <c r="AD2267">
        <v>10</v>
      </c>
      <c r="AE2267">
        <v>0</v>
      </c>
      <c r="AF2267">
        <v>3</v>
      </c>
      <c r="AG2267">
        <v>2</v>
      </c>
      <c r="AH2267">
        <v>0</v>
      </c>
      <c r="AI2267" t="s">
        <v>1383</v>
      </c>
      <c r="AJ2267">
        <v>39.965471999999998</v>
      </c>
      <c r="AK2267" t="s">
        <v>1384</v>
      </c>
      <c r="AL2267">
        <v>-92.686285999999996</v>
      </c>
      <c r="AM2267">
        <v>100</v>
      </c>
      <c r="AN2267">
        <v>1700</v>
      </c>
      <c r="AO2267" t="s">
        <v>118</v>
      </c>
      <c r="AP2267">
        <v>-108</v>
      </c>
      <c r="AQ2267">
        <v>78</v>
      </c>
      <c r="AR2267">
        <v>0</v>
      </c>
      <c r="AZ2267">
        <v>1200</v>
      </c>
      <c r="BA2267">
        <v>1</v>
      </c>
      <c r="BB2267" t="str">
        <f t="shared" si="109"/>
        <v xml:space="preserve">N8080G  </v>
      </c>
      <c r="BC2267">
        <v>1</v>
      </c>
      <c r="BE2267">
        <v>0</v>
      </c>
      <c r="BF2267">
        <v>0</v>
      </c>
      <c r="BG2267">
        <v>0</v>
      </c>
      <c r="BH2267">
        <v>1700</v>
      </c>
      <c r="BI2267">
        <v>1</v>
      </c>
      <c r="BJ2267">
        <v>1</v>
      </c>
      <c r="BK2267">
        <v>1</v>
      </c>
      <c r="BL2267">
        <v>0</v>
      </c>
      <c r="BO2267">
        <v>0</v>
      </c>
      <c r="BP2267">
        <v>0</v>
      </c>
      <c r="BW2267" t="str">
        <f>"20:26:35.679"</f>
        <v>20:26:35.679</v>
      </c>
      <c r="BZ2267">
        <v>0</v>
      </c>
      <c r="CA2267">
        <v>2016</v>
      </c>
      <c r="CB2267">
        <v>224</v>
      </c>
      <c r="CD2267">
        <v>1</v>
      </c>
      <c r="CE2267">
        <v>0</v>
      </c>
      <c r="CF2267">
        <v>0</v>
      </c>
      <c r="CG2267">
        <v>1</v>
      </c>
      <c r="CH2267">
        <v>0</v>
      </c>
      <c r="CI2267">
        <v>0</v>
      </c>
      <c r="CJ2267">
        <v>0</v>
      </c>
      <c r="CK2267">
        <v>2</v>
      </c>
      <c r="CL2267">
        <v>0</v>
      </c>
      <c r="CM2267">
        <v>2</v>
      </c>
      <c r="CN2267">
        <v>0</v>
      </c>
      <c r="CO2267">
        <v>2</v>
      </c>
      <c r="CP2267" t="s">
        <v>119</v>
      </c>
      <c r="CQ2267">
        <v>179</v>
      </c>
      <c r="CR2267">
        <v>1</v>
      </c>
      <c r="CW2267">
        <v>8929625</v>
      </c>
      <c r="CY2267">
        <v>1</v>
      </c>
      <c r="CZ2267">
        <v>0</v>
      </c>
      <c r="DA2267">
        <v>0</v>
      </c>
      <c r="DB2267">
        <v>0</v>
      </c>
      <c r="DC2267">
        <v>0</v>
      </c>
      <c r="DD2267">
        <v>0</v>
      </c>
      <c r="DE2267">
        <v>0</v>
      </c>
      <c r="DF2267">
        <v>0</v>
      </c>
      <c r="DG2267">
        <v>0</v>
      </c>
      <c r="DH2267">
        <v>0</v>
      </c>
      <c r="DI2267">
        <v>0</v>
      </c>
    </row>
    <row r="2268" spans="1:113" x14ac:dyDescent="0.3">
      <c r="A2268" t="str">
        <f>"02/08/2021 20:26:33.361"</f>
        <v>02/08/2021 20:26:33.361</v>
      </c>
      <c r="C2268" t="str">
        <f t="shared" si="108"/>
        <v>FFDFD7C0</v>
      </c>
      <c r="D2268" t="s">
        <v>124</v>
      </c>
      <c r="E2268">
        <v>11</v>
      </c>
      <c r="F2268">
        <v>1011</v>
      </c>
      <c r="G2268" t="s">
        <v>590</v>
      </c>
      <c r="J2268" t="s">
        <v>125</v>
      </c>
      <c r="K2268">
        <v>0</v>
      </c>
      <c r="L2268">
        <v>3</v>
      </c>
      <c r="M2268">
        <v>0</v>
      </c>
      <c r="N2268">
        <v>2</v>
      </c>
      <c r="O2268">
        <v>1</v>
      </c>
      <c r="P2268">
        <v>0</v>
      </c>
      <c r="Q2268">
        <v>0</v>
      </c>
      <c r="S2268" t="str">
        <f>"20:26:35.672"</f>
        <v>20:26:35.672</v>
      </c>
      <c r="T2268" t="str">
        <f>"20:26:34.572"</f>
        <v>20:26:34.572</v>
      </c>
      <c r="U2268" t="str">
        <f t="shared" si="110"/>
        <v>AB01F4</v>
      </c>
      <c r="V2268">
        <v>0</v>
      </c>
      <c r="W2268">
        <v>0</v>
      </c>
      <c r="X2268">
        <v>2</v>
      </c>
      <c r="Z2268">
        <v>0</v>
      </c>
      <c r="AA2268">
        <v>9</v>
      </c>
      <c r="AB2268">
        <v>3</v>
      </c>
      <c r="AC2268">
        <v>0</v>
      </c>
      <c r="AD2268">
        <v>10</v>
      </c>
      <c r="AE2268">
        <v>0</v>
      </c>
      <c r="AF2268">
        <v>3</v>
      </c>
      <c r="AG2268">
        <v>2</v>
      </c>
      <c r="AH2268">
        <v>0</v>
      </c>
      <c r="AI2268" t="s">
        <v>1383</v>
      </c>
      <c r="AJ2268">
        <v>39.965471999999998</v>
      </c>
      <c r="AK2268" t="s">
        <v>1384</v>
      </c>
      <c r="AL2268">
        <v>-92.686285999999996</v>
      </c>
      <c r="AM2268">
        <v>100</v>
      </c>
      <c r="AN2268">
        <v>1700</v>
      </c>
      <c r="AO2268" t="s">
        <v>118</v>
      </c>
      <c r="AP2268">
        <v>-108</v>
      </c>
      <c r="AQ2268">
        <v>78</v>
      </c>
      <c r="AR2268">
        <v>0</v>
      </c>
      <c r="AZ2268">
        <v>1200</v>
      </c>
      <c r="BA2268">
        <v>1</v>
      </c>
      <c r="BB2268" t="str">
        <f t="shared" si="109"/>
        <v xml:space="preserve">N8080G  </v>
      </c>
      <c r="BC2268">
        <v>1</v>
      </c>
      <c r="BE2268">
        <v>0</v>
      </c>
      <c r="BF2268">
        <v>0</v>
      </c>
      <c r="BG2268">
        <v>0</v>
      </c>
      <c r="BH2268">
        <v>1700</v>
      </c>
      <c r="BI2268">
        <v>1</v>
      </c>
      <c r="BJ2268">
        <v>1</v>
      </c>
      <c r="BK2268">
        <v>1</v>
      </c>
      <c r="BL2268">
        <v>0</v>
      </c>
      <c r="BO2268">
        <v>0</v>
      </c>
      <c r="BP2268">
        <v>0</v>
      </c>
      <c r="BW2268" t="str">
        <f>"20:26:35.679"</f>
        <v>20:26:35.679</v>
      </c>
      <c r="BZ2268">
        <v>0</v>
      </c>
      <c r="CA2268">
        <v>2016</v>
      </c>
      <c r="CB2268">
        <v>224</v>
      </c>
      <c r="CD2268">
        <v>1</v>
      </c>
      <c r="CE2268">
        <v>0</v>
      </c>
      <c r="CF2268">
        <v>0</v>
      </c>
      <c r="CG2268">
        <v>1</v>
      </c>
      <c r="CH2268">
        <v>0</v>
      </c>
      <c r="CI2268">
        <v>0</v>
      </c>
      <c r="CJ2268">
        <v>0</v>
      </c>
      <c r="CK2268">
        <v>2</v>
      </c>
      <c r="CL2268">
        <v>0</v>
      </c>
      <c r="CM2268">
        <v>2</v>
      </c>
      <c r="CN2268">
        <v>0</v>
      </c>
      <c r="CO2268">
        <v>2</v>
      </c>
      <c r="CP2268" t="s">
        <v>119</v>
      </c>
      <c r="CQ2268">
        <v>179</v>
      </c>
      <c r="CR2268">
        <v>1</v>
      </c>
      <c r="CW2268">
        <v>8929625</v>
      </c>
      <c r="CY2268">
        <v>1</v>
      </c>
      <c r="CZ2268">
        <v>0</v>
      </c>
      <c r="DA2268">
        <v>1</v>
      </c>
      <c r="DB2268">
        <v>0</v>
      </c>
      <c r="DC2268">
        <v>0</v>
      </c>
      <c r="DD2268">
        <v>0</v>
      </c>
      <c r="DE2268">
        <v>0</v>
      </c>
      <c r="DF2268">
        <v>0</v>
      </c>
      <c r="DG2268">
        <v>0</v>
      </c>
      <c r="DH2268">
        <v>0</v>
      </c>
      <c r="DI2268">
        <v>0</v>
      </c>
    </row>
    <row r="2269" spans="1:113" x14ac:dyDescent="0.3">
      <c r="A2269" t="str">
        <f>"02/08/2021 20:26:33.361"</f>
        <v>02/08/2021 20:26:33.361</v>
      </c>
      <c r="C2269" t="str">
        <f t="shared" si="108"/>
        <v>FFDFD7C0</v>
      </c>
      <c r="D2269" t="s">
        <v>113</v>
      </c>
      <c r="E2269">
        <v>6</v>
      </c>
      <c r="H2269">
        <v>165</v>
      </c>
      <c r="I2269" t="s">
        <v>114</v>
      </c>
      <c r="J2269" t="s">
        <v>115</v>
      </c>
      <c r="K2269">
        <v>0</v>
      </c>
      <c r="L2269">
        <v>3</v>
      </c>
      <c r="M2269">
        <v>0</v>
      </c>
      <c r="N2269">
        <v>2</v>
      </c>
      <c r="O2269">
        <v>1</v>
      </c>
      <c r="P2269">
        <v>0</v>
      </c>
      <c r="Q2269">
        <v>0</v>
      </c>
      <c r="S2269" t="str">
        <f>"20:26:35.672"</f>
        <v>20:26:35.672</v>
      </c>
      <c r="T2269" t="str">
        <f>"20:26:34.572"</f>
        <v>20:26:34.572</v>
      </c>
      <c r="U2269" t="str">
        <f t="shared" si="110"/>
        <v>AB01F4</v>
      </c>
      <c r="V2269">
        <v>0</v>
      </c>
      <c r="W2269">
        <v>0</v>
      </c>
      <c r="X2269">
        <v>2</v>
      </c>
      <c r="Z2269">
        <v>0</v>
      </c>
      <c r="AA2269">
        <v>9</v>
      </c>
      <c r="AB2269">
        <v>3</v>
      </c>
      <c r="AC2269">
        <v>0</v>
      </c>
      <c r="AD2269">
        <v>10</v>
      </c>
      <c r="AE2269">
        <v>0</v>
      </c>
      <c r="AF2269">
        <v>3</v>
      </c>
      <c r="AG2269">
        <v>2</v>
      </c>
      <c r="AH2269">
        <v>0</v>
      </c>
      <c r="AI2269" t="s">
        <v>1383</v>
      </c>
      <c r="AJ2269">
        <v>39.965471999999998</v>
      </c>
      <c r="AK2269" t="s">
        <v>1384</v>
      </c>
      <c r="AL2269">
        <v>-92.686285999999996</v>
      </c>
      <c r="AM2269">
        <v>100</v>
      </c>
      <c r="AN2269">
        <v>1700</v>
      </c>
      <c r="AO2269" t="s">
        <v>118</v>
      </c>
      <c r="AP2269">
        <v>-108</v>
      </c>
      <c r="AQ2269">
        <v>78</v>
      </c>
      <c r="AR2269">
        <v>0</v>
      </c>
      <c r="AZ2269">
        <v>1200</v>
      </c>
      <c r="BA2269">
        <v>1</v>
      </c>
      <c r="BB2269" t="str">
        <f t="shared" si="109"/>
        <v xml:space="preserve">N8080G  </v>
      </c>
      <c r="BC2269">
        <v>1</v>
      </c>
      <c r="BE2269">
        <v>0</v>
      </c>
      <c r="BF2269">
        <v>0</v>
      </c>
      <c r="BG2269">
        <v>0</v>
      </c>
      <c r="BH2269">
        <v>1700</v>
      </c>
      <c r="BI2269">
        <v>1</v>
      </c>
      <c r="BJ2269">
        <v>1</v>
      </c>
      <c r="BK2269">
        <v>1</v>
      </c>
      <c r="BL2269">
        <v>0</v>
      </c>
      <c r="BO2269">
        <v>0</v>
      </c>
      <c r="BP2269">
        <v>0</v>
      </c>
      <c r="BW2269" t="str">
        <f>"20:26:35.679"</f>
        <v>20:26:35.679</v>
      </c>
      <c r="BZ2269">
        <v>0</v>
      </c>
      <c r="CA2269">
        <v>2016</v>
      </c>
      <c r="CB2269">
        <v>224</v>
      </c>
      <c r="CD2269">
        <v>1</v>
      </c>
      <c r="CE2269">
        <v>0</v>
      </c>
      <c r="CF2269">
        <v>0</v>
      </c>
      <c r="CG2269">
        <v>1</v>
      </c>
      <c r="CH2269">
        <v>0</v>
      </c>
      <c r="CI2269">
        <v>0</v>
      </c>
      <c r="CJ2269">
        <v>0</v>
      </c>
      <c r="CK2269">
        <v>2</v>
      </c>
      <c r="CL2269">
        <v>0</v>
      </c>
      <c r="CM2269">
        <v>2</v>
      </c>
      <c r="CN2269">
        <v>0</v>
      </c>
      <c r="CO2269">
        <v>2</v>
      </c>
      <c r="CP2269" t="s">
        <v>119</v>
      </c>
      <c r="CQ2269">
        <v>179</v>
      </c>
      <c r="CR2269">
        <v>1</v>
      </c>
      <c r="CW2269">
        <v>8929625</v>
      </c>
      <c r="CY2269">
        <v>1</v>
      </c>
      <c r="CZ2269">
        <v>0</v>
      </c>
      <c r="DA2269">
        <v>1</v>
      </c>
      <c r="DB2269">
        <v>0</v>
      </c>
      <c r="DC2269">
        <v>0</v>
      </c>
      <c r="DD2269">
        <v>0</v>
      </c>
      <c r="DE2269">
        <v>0</v>
      </c>
      <c r="DF2269">
        <v>0</v>
      </c>
      <c r="DG2269">
        <v>0</v>
      </c>
      <c r="DH2269">
        <v>0</v>
      </c>
      <c r="DI2269">
        <v>0</v>
      </c>
    </row>
    <row r="2270" spans="1:113" x14ac:dyDescent="0.3">
      <c r="A2270" t="str">
        <f>"02/08/2021 20:26:33.361"</f>
        <v>02/08/2021 20:26:33.361</v>
      </c>
      <c r="C2270" t="str">
        <f t="shared" si="108"/>
        <v>FFDFD7C0</v>
      </c>
      <c r="D2270" t="s">
        <v>124</v>
      </c>
      <c r="E2270">
        <v>13</v>
      </c>
      <c r="F2270">
        <v>1013</v>
      </c>
      <c r="G2270" t="s">
        <v>114</v>
      </c>
      <c r="J2270" t="s">
        <v>125</v>
      </c>
      <c r="K2270">
        <v>0</v>
      </c>
      <c r="L2270">
        <v>3</v>
      </c>
      <c r="M2270">
        <v>0</v>
      </c>
      <c r="N2270">
        <v>2</v>
      </c>
      <c r="O2270">
        <v>1</v>
      </c>
      <c r="P2270">
        <v>0</v>
      </c>
      <c r="Q2270">
        <v>0</v>
      </c>
      <c r="S2270" t="str">
        <f>"20:26:35.672"</f>
        <v>20:26:35.672</v>
      </c>
      <c r="T2270" t="str">
        <f>"20:26:34.572"</f>
        <v>20:26:34.572</v>
      </c>
      <c r="U2270" t="str">
        <f t="shared" si="110"/>
        <v>AB01F4</v>
      </c>
      <c r="V2270">
        <v>0</v>
      </c>
      <c r="W2270">
        <v>0</v>
      </c>
      <c r="X2270">
        <v>2</v>
      </c>
      <c r="Z2270">
        <v>0</v>
      </c>
      <c r="AA2270">
        <v>9</v>
      </c>
      <c r="AB2270">
        <v>3</v>
      </c>
      <c r="AC2270">
        <v>0</v>
      </c>
      <c r="AD2270">
        <v>10</v>
      </c>
      <c r="AE2270">
        <v>0</v>
      </c>
      <c r="AF2270">
        <v>3</v>
      </c>
      <c r="AG2270">
        <v>2</v>
      </c>
      <c r="AH2270">
        <v>0</v>
      </c>
      <c r="AI2270" t="s">
        <v>1383</v>
      </c>
      <c r="AJ2270">
        <v>39.965471999999998</v>
      </c>
      <c r="AK2270" t="s">
        <v>1384</v>
      </c>
      <c r="AL2270">
        <v>-92.686285999999996</v>
      </c>
      <c r="AM2270">
        <v>100</v>
      </c>
      <c r="AN2270">
        <v>1700</v>
      </c>
      <c r="AO2270" t="s">
        <v>118</v>
      </c>
      <c r="AP2270">
        <v>-108</v>
      </c>
      <c r="AQ2270">
        <v>78</v>
      </c>
      <c r="AR2270">
        <v>0</v>
      </c>
      <c r="AZ2270">
        <v>1200</v>
      </c>
      <c r="BA2270">
        <v>1</v>
      </c>
      <c r="BB2270" t="str">
        <f t="shared" si="109"/>
        <v xml:space="preserve">N8080G  </v>
      </c>
      <c r="BC2270">
        <v>1</v>
      </c>
      <c r="BE2270">
        <v>0</v>
      </c>
      <c r="BF2270">
        <v>0</v>
      </c>
      <c r="BG2270">
        <v>0</v>
      </c>
      <c r="BH2270">
        <v>1700</v>
      </c>
      <c r="BI2270">
        <v>1</v>
      </c>
      <c r="BJ2270">
        <v>1</v>
      </c>
      <c r="BK2270">
        <v>1</v>
      </c>
      <c r="BL2270">
        <v>0</v>
      </c>
      <c r="BO2270">
        <v>0</v>
      </c>
      <c r="BP2270">
        <v>0</v>
      </c>
      <c r="BW2270" t="str">
        <f>"20:26:35.679"</f>
        <v>20:26:35.679</v>
      </c>
      <c r="BZ2270">
        <v>0</v>
      </c>
      <c r="CA2270">
        <v>2016</v>
      </c>
      <c r="CB2270">
        <v>224</v>
      </c>
      <c r="CD2270">
        <v>1</v>
      </c>
      <c r="CE2270">
        <v>0</v>
      </c>
      <c r="CF2270">
        <v>0</v>
      </c>
      <c r="CG2270">
        <v>1</v>
      </c>
      <c r="CH2270">
        <v>0</v>
      </c>
      <c r="CI2270">
        <v>0</v>
      </c>
      <c r="CJ2270">
        <v>0</v>
      </c>
      <c r="CK2270">
        <v>2</v>
      </c>
      <c r="CL2270">
        <v>0</v>
      </c>
      <c r="CM2270">
        <v>2</v>
      </c>
      <c r="CN2270">
        <v>0</v>
      </c>
      <c r="CO2270">
        <v>2</v>
      </c>
      <c r="CP2270" t="s">
        <v>119</v>
      </c>
      <c r="CQ2270">
        <v>179</v>
      </c>
      <c r="CR2270">
        <v>1</v>
      </c>
      <c r="CW2270">
        <v>8929625</v>
      </c>
      <c r="CY2270">
        <v>1</v>
      </c>
      <c r="CZ2270">
        <v>0</v>
      </c>
      <c r="DA2270">
        <v>1</v>
      </c>
      <c r="DB2270">
        <v>0</v>
      </c>
      <c r="DC2270">
        <v>0</v>
      </c>
      <c r="DD2270">
        <v>0</v>
      </c>
      <c r="DE2270">
        <v>0</v>
      </c>
      <c r="DF2270">
        <v>0</v>
      </c>
      <c r="DG2270">
        <v>0</v>
      </c>
      <c r="DH2270">
        <v>0</v>
      </c>
      <c r="DI2270">
        <v>0</v>
      </c>
    </row>
    <row r="2271" spans="1:113" x14ac:dyDescent="0.3">
      <c r="A2271" t="str">
        <f>"02/08/2021 20:26:34.819"</f>
        <v>02/08/2021 20:26:34.819</v>
      </c>
      <c r="C2271" t="str">
        <f t="shared" si="108"/>
        <v>FFDFD7C0</v>
      </c>
      <c r="D2271" t="s">
        <v>124</v>
      </c>
      <c r="E2271">
        <v>12</v>
      </c>
      <c r="F2271">
        <v>1012</v>
      </c>
      <c r="G2271" t="s">
        <v>675</v>
      </c>
      <c r="J2271" t="s">
        <v>125</v>
      </c>
      <c r="K2271">
        <v>0</v>
      </c>
      <c r="L2271">
        <v>3</v>
      </c>
      <c r="M2271">
        <v>0</v>
      </c>
      <c r="N2271">
        <v>2</v>
      </c>
      <c r="O2271">
        <v>1</v>
      </c>
      <c r="P2271">
        <v>0</v>
      </c>
      <c r="Q2271">
        <v>0</v>
      </c>
      <c r="S2271" t="str">
        <f>"20:26:37.117"</f>
        <v>20:26:37.117</v>
      </c>
      <c r="T2271" t="str">
        <f>"20:26:36.217"</f>
        <v>20:26:36.217</v>
      </c>
      <c r="U2271" t="str">
        <f t="shared" si="110"/>
        <v>AB01F4</v>
      </c>
      <c r="V2271">
        <v>0</v>
      </c>
      <c r="W2271">
        <v>0</v>
      </c>
      <c r="X2271">
        <v>2</v>
      </c>
      <c r="Z2271">
        <v>0</v>
      </c>
      <c r="AA2271">
        <v>9</v>
      </c>
      <c r="AB2271">
        <v>3</v>
      </c>
      <c r="AC2271">
        <v>0</v>
      </c>
      <c r="AD2271">
        <v>10</v>
      </c>
      <c r="AE2271">
        <v>0</v>
      </c>
      <c r="AF2271">
        <v>3</v>
      </c>
      <c r="AG2271">
        <v>2</v>
      </c>
      <c r="AH2271">
        <v>0</v>
      </c>
      <c r="AI2271" t="s">
        <v>1385</v>
      </c>
      <c r="AJ2271">
        <v>39.965986999999998</v>
      </c>
      <c r="AK2271" t="s">
        <v>1386</v>
      </c>
      <c r="AL2271">
        <v>-92.687208999999996</v>
      </c>
      <c r="AM2271">
        <v>100</v>
      </c>
      <c r="AN2271">
        <v>1700</v>
      </c>
      <c r="AO2271" t="s">
        <v>118</v>
      </c>
      <c r="AP2271">
        <v>-107</v>
      </c>
      <c r="AQ2271">
        <v>78</v>
      </c>
      <c r="AR2271">
        <v>0</v>
      </c>
      <c r="AZ2271">
        <v>1200</v>
      </c>
      <c r="BA2271">
        <v>1</v>
      </c>
      <c r="BB2271" t="str">
        <f t="shared" si="109"/>
        <v xml:space="preserve">N8080G  </v>
      </c>
      <c r="BC2271">
        <v>1</v>
      </c>
      <c r="BE2271">
        <v>0</v>
      </c>
      <c r="BF2271">
        <v>0</v>
      </c>
      <c r="BG2271">
        <v>0</v>
      </c>
      <c r="BH2271">
        <v>1700</v>
      </c>
      <c r="BI2271">
        <v>1</v>
      </c>
      <c r="BJ2271">
        <v>1</v>
      </c>
      <c r="BK2271">
        <v>1</v>
      </c>
      <c r="BL2271">
        <v>0</v>
      </c>
      <c r="BO2271">
        <v>0</v>
      </c>
      <c r="BP2271">
        <v>0</v>
      </c>
      <c r="BW2271" t="str">
        <f>"20:26:37.117"</f>
        <v>20:26:37.117</v>
      </c>
      <c r="BZ2271">
        <v>0</v>
      </c>
      <c r="CA2271">
        <v>2016</v>
      </c>
      <c r="CB2271">
        <v>224</v>
      </c>
      <c r="CD2271">
        <v>1</v>
      </c>
      <c r="CE2271">
        <v>0</v>
      </c>
      <c r="CF2271">
        <v>0</v>
      </c>
      <c r="CG2271">
        <v>1</v>
      </c>
      <c r="CH2271">
        <v>0</v>
      </c>
      <c r="CI2271">
        <v>0</v>
      </c>
      <c r="CJ2271">
        <v>0</v>
      </c>
      <c r="CK2271">
        <v>2</v>
      </c>
      <c r="CL2271">
        <v>0</v>
      </c>
      <c r="CM2271">
        <v>2</v>
      </c>
      <c r="CN2271">
        <v>0</v>
      </c>
      <c r="CO2271">
        <v>2</v>
      </c>
      <c r="CP2271" t="s">
        <v>119</v>
      </c>
      <c r="CQ2271">
        <v>179</v>
      </c>
      <c r="CR2271">
        <v>1</v>
      </c>
      <c r="CW2271">
        <v>8930982</v>
      </c>
      <c r="CY2271">
        <v>1</v>
      </c>
      <c r="CZ2271">
        <v>0</v>
      </c>
      <c r="DA2271">
        <v>0</v>
      </c>
      <c r="DB2271">
        <v>0</v>
      </c>
      <c r="DC2271">
        <v>0</v>
      </c>
      <c r="DD2271">
        <v>0</v>
      </c>
      <c r="DE2271">
        <v>0</v>
      </c>
      <c r="DF2271">
        <v>0</v>
      </c>
      <c r="DG2271">
        <v>0</v>
      </c>
      <c r="DH2271">
        <v>0</v>
      </c>
      <c r="DI2271">
        <v>0</v>
      </c>
    </row>
    <row r="2272" spans="1:113" x14ac:dyDescent="0.3">
      <c r="A2272" t="str">
        <f>"02/08/2021 20:26:34.819"</f>
        <v>02/08/2021 20:26:34.819</v>
      </c>
      <c r="C2272" t="str">
        <f t="shared" si="108"/>
        <v>FFDFD7C0</v>
      </c>
      <c r="D2272" t="s">
        <v>124</v>
      </c>
      <c r="E2272">
        <v>11</v>
      </c>
      <c r="F2272">
        <v>1011</v>
      </c>
      <c r="G2272" t="s">
        <v>590</v>
      </c>
      <c r="J2272" t="s">
        <v>125</v>
      </c>
      <c r="K2272">
        <v>0</v>
      </c>
      <c r="L2272">
        <v>3</v>
      </c>
      <c r="M2272">
        <v>0</v>
      </c>
      <c r="N2272">
        <v>2</v>
      </c>
      <c r="O2272">
        <v>1</v>
      </c>
      <c r="P2272">
        <v>0</v>
      </c>
      <c r="Q2272">
        <v>0</v>
      </c>
      <c r="S2272" t="str">
        <f>"20:26:37.117"</f>
        <v>20:26:37.117</v>
      </c>
      <c r="T2272" t="str">
        <f>"20:26:36.217"</f>
        <v>20:26:36.217</v>
      </c>
      <c r="U2272" t="str">
        <f t="shared" si="110"/>
        <v>AB01F4</v>
      </c>
      <c r="V2272">
        <v>0</v>
      </c>
      <c r="W2272">
        <v>0</v>
      </c>
      <c r="X2272">
        <v>2</v>
      </c>
      <c r="Z2272">
        <v>0</v>
      </c>
      <c r="AA2272">
        <v>9</v>
      </c>
      <c r="AB2272">
        <v>3</v>
      </c>
      <c r="AC2272">
        <v>0</v>
      </c>
      <c r="AD2272">
        <v>10</v>
      </c>
      <c r="AE2272">
        <v>0</v>
      </c>
      <c r="AF2272">
        <v>3</v>
      </c>
      <c r="AG2272">
        <v>2</v>
      </c>
      <c r="AH2272">
        <v>0</v>
      </c>
      <c r="AI2272" t="s">
        <v>1385</v>
      </c>
      <c r="AJ2272">
        <v>39.965986999999998</v>
      </c>
      <c r="AK2272" t="s">
        <v>1386</v>
      </c>
      <c r="AL2272">
        <v>-92.687208999999996</v>
      </c>
      <c r="AM2272">
        <v>100</v>
      </c>
      <c r="AN2272">
        <v>1700</v>
      </c>
      <c r="AO2272" t="s">
        <v>118</v>
      </c>
      <c r="AP2272">
        <v>-107</v>
      </c>
      <c r="AQ2272">
        <v>78</v>
      </c>
      <c r="AR2272">
        <v>0</v>
      </c>
      <c r="AZ2272">
        <v>1200</v>
      </c>
      <c r="BA2272">
        <v>1</v>
      </c>
      <c r="BB2272" t="str">
        <f t="shared" si="109"/>
        <v xml:space="preserve">N8080G  </v>
      </c>
      <c r="BC2272">
        <v>1</v>
      </c>
      <c r="BE2272">
        <v>0</v>
      </c>
      <c r="BF2272">
        <v>0</v>
      </c>
      <c r="BG2272">
        <v>0</v>
      </c>
      <c r="BH2272">
        <v>1700</v>
      </c>
      <c r="BI2272">
        <v>1</v>
      </c>
      <c r="BJ2272">
        <v>1</v>
      </c>
      <c r="BK2272">
        <v>1</v>
      </c>
      <c r="BL2272">
        <v>0</v>
      </c>
      <c r="BO2272">
        <v>0</v>
      </c>
      <c r="BP2272">
        <v>0</v>
      </c>
      <c r="BW2272" t="str">
        <f>"20:26:37.117"</f>
        <v>20:26:37.117</v>
      </c>
      <c r="BZ2272">
        <v>0</v>
      </c>
      <c r="CA2272">
        <v>2016</v>
      </c>
      <c r="CB2272">
        <v>224</v>
      </c>
      <c r="CD2272">
        <v>1</v>
      </c>
      <c r="CE2272">
        <v>0</v>
      </c>
      <c r="CF2272">
        <v>0</v>
      </c>
      <c r="CG2272">
        <v>1</v>
      </c>
      <c r="CH2272">
        <v>0</v>
      </c>
      <c r="CI2272">
        <v>0</v>
      </c>
      <c r="CJ2272">
        <v>0</v>
      </c>
      <c r="CK2272">
        <v>2</v>
      </c>
      <c r="CL2272">
        <v>0</v>
      </c>
      <c r="CM2272">
        <v>2</v>
      </c>
      <c r="CN2272">
        <v>0</v>
      </c>
      <c r="CO2272">
        <v>2</v>
      </c>
      <c r="CP2272" t="s">
        <v>119</v>
      </c>
      <c r="CQ2272">
        <v>179</v>
      </c>
      <c r="CR2272">
        <v>1</v>
      </c>
      <c r="CW2272">
        <v>8930982</v>
      </c>
      <c r="CY2272">
        <v>1</v>
      </c>
      <c r="CZ2272">
        <v>0</v>
      </c>
      <c r="DA2272">
        <v>1</v>
      </c>
      <c r="DB2272">
        <v>0</v>
      </c>
      <c r="DC2272">
        <v>0</v>
      </c>
      <c r="DD2272">
        <v>0</v>
      </c>
      <c r="DE2272">
        <v>0</v>
      </c>
      <c r="DF2272">
        <v>0</v>
      </c>
      <c r="DG2272">
        <v>0</v>
      </c>
      <c r="DH2272">
        <v>0</v>
      </c>
      <c r="DI2272">
        <v>0</v>
      </c>
    </row>
    <row r="2273" spans="1:113" x14ac:dyDescent="0.3">
      <c r="A2273" t="str">
        <f>"02/08/2021 20:26:34.819"</f>
        <v>02/08/2021 20:26:34.819</v>
      </c>
      <c r="C2273" t="str">
        <f t="shared" si="108"/>
        <v>FFDFD7C0</v>
      </c>
      <c r="D2273" t="s">
        <v>124</v>
      </c>
      <c r="E2273">
        <v>13</v>
      </c>
      <c r="F2273">
        <v>1013</v>
      </c>
      <c r="G2273" t="s">
        <v>114</v>
      </c>
      <c r="J2273" t="s">
        <v>125</v>
      </c>
      <c r="K2273">
        <v>0</v>
      </c>
      <c r="L2273">
        <v>3</v>
      </c>
      <c r="M2273">
        <v>0</v>
      </c>
      <c r="N2273">
        <v>2</v>
      </c>
      <c r="O2273">
        <v>1</v>
      </c>
      <c r="P2273">
        <v>0</v>
      </c>
      <c r="Q2273">
        <v>0</v>
      </c>
      <c r="S2273" t="str">
        <f>"20:26:37.117"</f>
        <v>20:26:37.117</v>
      </c>
      <c r="T2273" t="str">
        <f>"20:26:36.217"</f>
        <v>20:26:36.217</v>
      </c>
      <c r="U2273" t="str">
        <f t="shared" si="110"/>
        <v>AB01F4</v>
      </c>
      <c r="V2273">
        <v>0</v>
      </c>
      <c r="W2273">
        <v>0</v>
      </c>
      <c r="X2273">
        <v>2</v>
      </c>
      <c r="Z2273">
        <v>0</v>
      </c>
      <c r="AA2273">
        <v>9</v>
      </c>
      <c r="AB2273">
        <v>3</v>
      </c>
      <c r="AC2273">
        <v>0</v>
      </c>
      <c r="AD2273">
        <v>10</v>
      </c>
      <c r="AE2273">
        <v>0</v>
      </c>
      <c r="AF2273">
        <v>3</v>
      </c>
      <c r="AG2273">
        <v>2</v>
      </c>
      <c r="AH2273">
        <v>0</v>
      </c>
      <c r="AI2273" t="s">
        <v>1385</v>
      </c>
      <c r="AJ2273">
        <v>39.965986999999998</v>
      </c>
      <c r="AK2273" t="s">
        <v>1386</v>
      </c>
      <c r="AL2273">
        <v>-92.687208999999996</v>
      </c>
      <c r="AM2273">
        <v>100</v>
      </c>
      <c r="AN2273">
        <v>1700</v>
      </c>
      <c r="AO2273" t="s">
        <v>118</v>
      </c>
      <c r="AP2273">
        <v>-107</v>
      </c>
      <c r="AQ2273">
        <v>78</v>
      </c>
      <c r="AR2273">
        <v>0</v>
      </c>
      <c r="AZ2273">
        <v>1200</v>
      </c>
      <c r="BA2273">
        <v>1</v>
      </c>
      <c r="BB2273" t="str">
        <f t="shared" si="109"/>
        <v xml:space="preserve">N8080G  </v>
      </c>
      <c r="BC2273">
        <v>1</v>
      </c>
      <c r="BE2273">
        <v>0</v>
      </c>
      <c r="BF2273">
        <v>0</v>
      </c>
      <c r="BG2273">
        <v>0</v>
      </c>
      <c r="BH2273">
        <v>1700</v>
      </c>
      <c r="BI2273">
        <v>1</v>
      </c>
      <c r="BJ2273">
        <v>1</v>
      </c>
      <c r="BK2273">
        <v>1</v>
      </c>
      <c r="BL2273">
        <v>0</v>
      </c>
      <c r="BO2273">
        <v>0</v>
      </c>
      <c r="BP2273">
        <v>0</v>
      </c>
      <c r="BW2273" t="str">
        <f>"20:26:37.117"</f>
        <v>20:26:37.117</v>
      </c>
      <c r="BZ2273">
        <v>0</v>
      </c>
      <c r="CA2273">
        <v>2016</v>
      </c>
      <c r="CB2273">
        <v>224</v>
      </c>
      <c r="CD2273">
        <v>1</v>
      </c>
      <c r="CE2273">
        <v>0</v>
      </c>
      <c r="CF2273">
        <v>0</v>
      </c>
      <c r="CG2273">
        <v>1</v>
      </c>
      <c r="CH2273">
        <v>0</v>
      </c>
      <c r="CI2273">
        <v>0</v>
      </c>
      <c r="CJ2273">
        <v>0</v>
      </c>
      <c r="CK2273">
        <v>2</v>
      </c>
      <c r="CL2273">
        <v>0</v>
      </c>
      <c r="CM2273">
        <v>2</v>
      </c>
      <c r="CN2273">
        <v>0</v>
      </c>
      <c r="CO2273">
        <v>2</v>
      </c>
      <c r="CP2273" t="s">
        <v>119</v>
      </c>
      <c r="CQ2273">
        <v>179</v>
      </c>
      <c r="CR2273">
        <v>1</v>
      </c>
      <c r="CW2273">
        <v>8930982</v>
      </c>
      <c r="CY2273">
        <v>1</v>
      </c>
      <c r="CZ2273">
        <v>0</v>
      </c>
      <c r="DA2273">
        <v>1</v>
      </c>
      <c r="DB2273">
        <v>0</v>
      </c>
      <c r="DC2273">
        <v>0</v>
      </c>
      <c r="DD2273">
        <v>0</v>
      </c>
      <c r="DE2273">
        <v>0</v>
      </c>
      <c r="DF2273">
        <v>0</v>
      </c>
      <c r="DG2273">
        <v>0</v>
      </c>
      <c r="DH2273">
        <v>0</v>
      </c>
      <c r="DI2273">
        <v>0</v>
      </c>
    </row>
    <row r="2274" spans="1:113" x14ac:dyDescent="0.3">
      <c r="A2274" t="str">
        <f>"02/08/2021 20:26:34.819"</f>
        <v>02/08/2021 20:26:34.819</v>
      </c>
      <c r="C2274" t="str">
        <f t="shared" si="108"/>
        <v>FFDFD7C0</v>
      </c>
      <c r="D2274" t="s">
        <v>113</v>
      </c>
      <c r="E2274">
        <v>6</v>
      </c>
      <c r="H2274">
        <v>165</v>
      </c>
      <c r="I2274" t="s">
        <v>114</v>
      </c>
      <c r="J2274" t="s">
        <v>115</v>
      </c>
      <c r="K2274">
        <v>0</v>
      </c>
      <c r="L2274">
        <v>3</v>
      </c>
      <c r="M2274">
        <v>0</v>
      </c>
      <c r="N2274">
        <v>2</v>
      </c>
      <c r="O2274">
        <v>1</v>
      </c>
      <c r="P2274">
        <v>0</v>
      </c>
      <c r="Q2274">
        <v>0</v>
      </c>
      <c r="S2274" t="str">
        <f>"20:26:37.117"</f>
        <v>20:26:37.117</v>
      </c>
      <c r="T2274" t="str">
        <f>"20:26:36.217"</f>
        <v>20:26:36.217</v>
      </c>
      <c r="U2274" t="str">
        <f t="shared" si="110"/>
        <v>AB01F4</v>
      </c>
      <c r="V2274">
        <v>0</v>
      </c>
      <c r="W2274">
        <v>0</v>
      </c>
      <c r="X2274">
        <v>2</v>
      </c>
      <c r="Z2274">
        <v>0</v>
      </c>
      <c r="AA2274">
        <v>9</v>
      </c>
      <c r="AB2274">
        <v>3</v>
      </c>
      <c r="AC2274">
        <v>0</v>
      </c>
      <c r="AD2274">
        <v>10</v>
      </c>
      <c r="AE2274">
        <v>0</v>
      </c>
      <c r="AF2274">
        <v>3</v>
      </c>
      <c r="AG2274">
        <v>2</v>
      </c>
      <c r="AH2274">
        <v>0</v>
      </c>
      <c r="AI2274" t="s">
        <v>1385</v>
      </c>
      <c r="AJ2274">
        <v>39.965986999999998</v>
      </c>
      <c r="AK2274" t="s">
        <v>1386</v>
      </c>
      <c r="AL2274">
        <v>-92.687208999999996</v>
      </c>
      <c r="AM2274">
        <v>100</v>
      </c>
      <c r="AN2274">
        <v>1700</v>
      </c>
      <c r="AO2274" t="s">
        <v>118</v>
      </c>
      <c r="AP2274">
        <v>-107</v>
      </c>
      <c r="AQ2274">
        <v>78</v>
      </c>
      <c r="AR2274">
        <v>0</v>
      </c>
      <c r="AZ2274">
        <v>1200</v>
      </c>
      <c r="BA2274">
        <v>1</v>
      </c>
      <c r="BB2274" t="str">
        <f t="shared" si="109"/>
        <v xml:space="preserve">N8080G  </v>
      </c>
      <c r="BC2274">
        <v>1</v>
      </c>
      <c r="BE2274">
        <v>0</v>
      </c>
      <c r="BF2274">
        <v>0</v>
      </c>
      <c r="BG2274">
        <v>0</v>
      </c>
      <c r="BH2274">
        <v>1700</v>
      </c>
      <c r="BI2274">
        <v>1</v>
      </c>
      <c r="BJ2274">
        <v>1</v>
      </c>
      <c r="BK2274">
        <v>1</v>
      </c>
      <c r="BL2274">
        <v>0</v>
      </c>
      <c r="BO2274">
        <v>0</v>
      </c>
      <c r="BP2274">
        <v>0</v>
      </c>
      <c r="BW2274" t="str">
        <f>"20:26:37.117"</f>
        <v>20:26:37.117</v>
      </c>
      <c r="BZ2274">
        <v>0</v>
      </c>
      <c r="CA2274">
        <v>2016</v>
      </c>
      <c r="CB2274">
        <v>224</v>
      </c>
      <c r="CD2274">
        <v>1</v>
      </c>
      <c r="CE2274">
        <v>0</v>
      </c>
      <c r="CF2274">
        <v>0</v>
      </c>
      <c r="CG2274">
        <v>1</v>
      </c>
      <c r="CH2274">
        <v>0</v>
      </c>
      <c r="CI2274">
        <v>0</v>
      </c>
      <c r="CJ2274">
        <v>0</v>
      </c>
      <c r="CK2274">
        <v>2</v>
      </c>
      <c r="CL2274">
        <v>0</v>
      </c>
      <c r="CM2274">
        <v>2</v>
      </c>
      <c r="CN2274">
        <v>0</v>
      </c>
      <c r="CO2274">
        <v>2</v>
      </c>
      <c r="CP2274" t="s">
        <v>119</v>
      </c>
      <c r="CQ2274">
        <v>179</v>
      </c>
      <c r="CR2274">
        <v>1</v>
      </c>
      <c r="CW2274">
        <v>8930982</v>
      </c>
      <c r="CY2274">
        <v>1</v>
      </c>
      <c r="CZ2274">
        <v>0</v>
      </c>
      <c r="DA2274">
        <v>1</v>
      </c>
      <c r="DB2274">
        <v>0</v>
      </c>
      <c r="DC2274">
        <v>0</v>
      </c>
      <c r="DD2274">
        <v>0</v>
      </c>
      <c r="DE2274">
        <v>0</v>
      </c>
      <c r="DF2274">
        <v>0</v>
      </c>
      <c r="DG2274">
        <v>0</v>
      </c>
      <c r="DH2274">
        <v>0</v>
      </c>
      <c r="DI2274">
        <v>0</v>
      </c>
    </row>
    <row r="2275" spans="1:113" x14ac:dyDescent="0.3">
      <c r="A2275" t="str">
        <f>"02/08/2021 20:26:37.618"</f>
        <v>02/08/2021 20:26:37.618</v>
      </c>
      <c r="C2275" t="str">
        <f t="shared" si="108"/>
        <v>FFDFD7C0</v>
      </c>
      <c r="D2275" t="s">
        <v>113</v>
      </c>
      <c r="E2275">
        <v>6</v>
      </c>
      <c r="H2275">
        <v>165</v>
      </c>
      <c r="I2275" t="s">
        <v>114</v>
      </c>
      <c r="J2275" t="s">
        <v>115</v>
      </c>
      <c r="K2275">
        <v>0</v>
      </c>
      <c r="L2275">
        <v>3</v>
      </c>
      <c r="M2275">
        <v>0</v>
      </c>
      <c r="N2275">
        <v>2</v>
      </c>
      <c r="O2275">
        <v>1</v>
      </c>
      <c r="P2275">
        <v>0</v>
      </c>
      <c r="Q2275">
        <v>0</v>
      </c>
      <c r="S2275" t="str">
        <f>"20:26:39.961"</f>
        <v>20:26:39.961</v>
      </c>
      <c r="T2275" t="str">
        <f>"20:26:39.461"</f>
        <v>20:26:39.461</v>
      </c>
      <c r="U2275" t="str">
        <f t="shared" si="110"/>
        <v>AB01F4</v>
      </c>
      <c r="V2275">
        <v>0</v>
      </c>
      <c r="W2275">
        <v>0</v>
      </c>
      <c r="X2275">
        <v>2</v>
      </c>
      <c r="Z2275">
        <v>0</v>
      </c>
      <c r="AA2275">
        <v>9</v>
      </c>
      <c r="AB2275">
        <v>3</v>
      </c>
      <c r="AC2275">
        <v>0</v>
      </c>
      <c r="AD2275">
        <v>10</v>
      </c>
      <c r="AE2275">
        <v>0</v>
      </c>
      <c r="AF2275">
        <v>3</v>
      </c>
      <c r="AG2275">
        <v>2</v>
      </c>
      <c r="AH2275">
        <v>0</v>
      </c>
      <c r="AI2275" t="s">
        <v>1387</v>
      </c>
      <c r="AJ2275">
        <v>39.967016999999998</v>
      </c>
      <c r="AK2275" t="s">
        <v>1388</v>
      </c>
      <c r="AL2275">
        <v>-92.689097000000004</v>
      </c>
      <c r="AM2275">
        <v>100</v>
      </c>
      <c r="AN2275">
        <v>1700</v>
      </c>
      <c r="AO2275" t="s">
        <v>118</v>
      </c>
      <c r="AP2275">
        <v>-108</v>
      </c>
      <c r="AQ2275">
        <v>78</v>
      </c>
      <c r="AR2275">
        <v>-128</v>
      </c>
      <c r="AZ2275">
        <v>1200</v>
      </c>
      <c r="BA2275">
        <v>1</v>
      </c>
      <c r="BB2275" t="str">
        <f t="shared" si="109"/>
        <v xml:space="preserve">N8080G  </v>
      </c>
      <c r="BC2275">
        <v>1</v>
      </c>
      <c r="BE2275">
        <v>0</v>
      </c>
      <c r="BF2275">
        <v>0</v>
      </c>
      <c r="BG2275">
        <v>0</v>
      </c>
      <c r="BH2275">
        <v>1700</v>
      </c>
      <c r="BI2275">
        <v>1</v>
      </c>
      <c r="BJ2275">
        <v>1</v>
      </c>
      <c r="BK2275">
        <v>1</v>
      </c>
      <c r="BL2275">
        <v>0</v>
      </c>
      <c r="BO2275">
        <v>0</v>
      </c>
      <c r="BP2275">
        <v>0</v>
      </c>
      <c r="BW2275" t="str">
        <f>"20:26:39.962"</f>
        <v>20:26:39.962</v>
      </c>
      <c r="BZ2275">
        <v>0</v>
      </c>
      <c r="CA2275">
        <v>2016</v>
      </c>
      <c r="CB2275">
        <v>224</v>
      </c>
      <c r="CD2275">
        <v>1</v>
      </c>
      <c r="CE2275">
        <v>0</v>
      </c>
      <c r="CF2275">
        <v>0</v>
      </c>
      <c r="CG2275">
        <v>1</v>
      </c>
      <c r="CH2275">
        <v>0</v>
      </c>
      <c r="CI2275">
        <v>0</v>
      </c>
      <c r="CJ2275">
        <v>0</v>
      </c>
      <c r="CK2275">
        <v>2</v>
      </c>
      <c r="CL2275">
        <v>0</v>
      </c>
      <c r="CM2275">
        <v>2</v>
      </c>
      <c r="CN2275">
        <v>0</v>
      </c>
      <c r="CO2275">
        <v>1</v>
      </c>
      <c r="CP2275" t="s">
        <v>119</v>
      </c>
      <c r="CQ2275">
        <v>179</v>
      </c>
      <c r="CR2275">
        <v>2</v>
      </c>
      <c r="CW2275">
        <v>12098490</v>
      </c>
      <c r="CY2275">
        <v>1</v>
      </c>
      <c r="CZ2275">
        <v>0</v>
      </c>
      <c r="DA2275">
        <v>0</v>
      </c>
      <c r="DB2275">
        <v>0</v>
      </c>
      <c r="DC2275">
        <v>0</v>
      </c>
      <c r="DD2275">
        <v>0</v>
      </c>
      <c r="DE2275">
        <v>0</v>
      </c>
      <c r="DF2275">
        <v>0</v>
      </c>
      <c r="DG2275">
        <v>0</v>
      </c>
      <c r="DH2275">
        <v>0</v>
      </c>
      <c r="DI2275">
        <v>0</v>
      </c>
    </row>
    <row r="2276" spans="1:113" x14ac:dyDescent="0.3">
      <c r="A2276" t="str">
        <f>"02/08/2021 20:26:37.618"</f>
        <v>02/08/2021 20:26:37.618</v>
      </c>
      <c r="C2276" t="str">
        <f t="shared" si="108"/>
        <v>FFDFD7C0</v>
      </c>
      <c r="D2276" t="s">
        <v>124</v>
      </c>
      <c r="E2276">
        <v>12</v>
      </c>
      <c r="F2276">
        <v>1012</v>
      </c>
      <c r="G2276" t="s">
        <v>675</v>
      </c>
      <c r="J2276" t="s">
        <v>125</v>
      </c>
      <c r="K2276">
        <v>0</v>
      </c>
      <c r="L2276">
        <v>3</v>
      </c>
      <c r="M2276">
        <v>0</v>
      </c>
      <c r="N2276">
        <v>2</v>
      </c>
      <c r="O2276">
        <v>1</v>
      </c>
      <c r="P2276">
        <v>0</v>
      </c>
      <c r="Q2276">
        <v>0</v>
      </c>
      <c r="S2276" t="str">
        <f>"20:26:39.961"</f>
        <v>20:26:39.961</v>
      </c>
      <c r="T2276" t="str">
        <f>"20:26:39.461"</f>
        <v>20:26:39.461</v>
      </c>
      <c r="U2276" t="str">
        <f t="shared" si="110"/>
        <v>AB01F4</v>
      </c>
      <c r="V2276">
        <v>0</v>
      </c>
      <c r="W2276">
        <v>0</v>
      </c>
      <c r="X2276">
        <v>2</v>
      </c>
      <c r="Z2276">
        <v>0</v>
      </c>
      <c r="AA2276">
        <v>9</v>
      </c>
      <c r="AB2276">
        <v>3</v>
      </c>
      <c r="AC2276">
        <v>0</v>
      </c>
      <c r="AD2276">
        <v>10</v>
      </c>
      <c r="AE2276">
        <v>0</v>
      </c>
      <c r="AF2276">
        <v>3</v>
      </c>
      <c r="AG2276">
        <v>2</v>
      </c>
      <c r="AH2276">
        <v>0</v>
      </c>
      <c r="AI2276" t="s">
        <v>1387</v>
      </c>
      <c r="AJ2276">
        <v>39.967016999999998</v>
      </c>
      <c r="AK2276" t="s">
        <v>1388</v>
      </c>
      <c r="AL2276">
        <v>-92.689097000000004</v>
      </c>
      <c r="AM2276">
        <v>100</v>
      </c>
      <c r="AN2276">
        <v>1700</v>
      </c>
      <c r="AO2276" t="s">
        <v>118</v>
      </c>
      <c r="AP2276">
        <v>-108</v>
      </c>
      <c r="AQ2276">
        <v>78</v>
      </c>
      <c r="AR2276">
        <v>-128</v>
      </c>
      <c r="AZ2276">
        <v>1200</v>
      </c>
      <c r="BA2276">
        <v>1</v>
      </c>
      <c r="BB2276" t="str">
        <f t="shared" si="109"/>
        <v xml:space="preserve">N8080G  </v>
      </c>
      <c r="BC2276">
        <v>1</v>
      </c>
      <c r="BE2276">
        <v>0</v>
      </c>
      <c r="BF2276">
        <v>0</v>
      </c>
      <c r="BG2276">
        <v>0</v>
      </c>
      <c r="BH2276">
        <v>1700</v>
      </c>
      <c r="BI2276">
        <v>1</v>
      </c>
      <c r="BJ2276">
        <v>1</v>
      </c>
      <c r="BK2276">
        <v>1</v>
      </c>
      <c r="BL2276">
        <v>0</v>
      </c>
      <c r="BO2276">
        <v>0</v>
      </c>
      <c r="BP2276">
        <v>0</v>
      </c>
      <c r="BW2276" t="str">
        <f>"20:26:39.962"</f>
        <v>20:26:39.962</v>
      </c>
      <c r="BZ2276">
        <v>0</v>
      </c>
      <c r="CA2276">
        <v>2016</v>
      </c>
      <c r="CB2276">
        <v>224</v>
      </c>
      <c r="CD2276">
        <v>1</v>
      </c>
      <c r="CE2276">
        <v>0</v>
      </c>
      <c r="CF2276">
        <v>0</v>
      </c>
      <c r="CG2276">
        <v>1</v>
      </c>
      <c r="CH2276">
        <v>0</v>
      </c>
      <c r="CI2276">
        <v>0</v>
      </c>
      <c r="CJ2276">
        <v>0</v>
      </c>
      <c r="CK2276">
        <v>2</v>
      </c>
      <c r="CL2276">
        <v>0</v>
      </c>
      <c r="CM2276">
        <v>2</v>
      </c>
      <c r="CN2276">
        <v>0</v>
      </c>
      <c r="CO2276">
        <v>1</v>
      </c>
      <c r="CP2276" t="s">
        <v>119</v>
      </c>
      <c r="CQ2276">
        <v>179</v>
      </c>
      <c r="CR2276">
        <v>2</v>
      </c>
      <c r="CW2276">
        <v>12098490</v>
      </c>
      <c r="CY2276">
        <v>1</v>
      </c>
      <c r="CZ2276">
        <v>0</v>
      </c>
      <c r="DA2276">
        <v>1</v>
      </c>
      <c r="DB2276">
        <v>0</v>
      </c>
      <c r="DC2276">
        <v>0</v>
      </c>
      <c r="DD2276">
        <v>0</v>
      </c>
      <c r="DE2276">
        <v>0</v>
      </c>
      <c r="DF2276">
        <v>0</v>
      </c>
      <c r="DG2276">
        <v>0</v>
      </c>
      <c r="DH2276">
        <v>0</v>
      </c>
      <c r="DI2276">
        <v>0</v>
      </c>
    </row>
    <row r="2277" spans="1:113" x14ac:dyDescent="0.3">
      <c r="A2277" t="str">
        <f>"02/08/2021 20:26:37.618"</f>
        <v>02/08/2021 20:26:37.618</v>
      </c>
      <c r="C2277" t="str">
        <f t="shared" si="108"/>
        <v>FFDFD7C0</v>
      </c>
      <c r="D2277" t="s">
        <v>124</v>
      </c>
      <c r="E2277">
        <v>11</v>
      </c>
      <c r="F2277">
        <v>1011</v>
      </c>
      <c r="G2277" t="s">
        <v>590</v>
      </c>
      <c r="J2277" t="s">
        <v>125</v>
      </c>
      <c r="K2277">
        <v>0</v>
      </c>
      <c r="L2277">
        <v>3</v>
      </c>
      <c r="M2277">
        <v>0</v>
      </c>
      <c r="N2277">
        <v>2</v>
      </c>
      <c r="O2277">
        <v>1</v>
      </c>
      <c r="P2277">
        <v>0</v>
      </c>
      <c r="Q2277">
        <v>0</v>
      </c>
      <c r="S2277" t="str">
        <f>"20:26:39.961"</f>
        <v>20:26:39.961</v>
      </c>
      <c r="T2277" t="str">
        <f>"20:26:39.461"</f>
        <v>20:26:39.461</v>
      </c>
      <c r="U2277" t="str">
        <f t="shared" si="110"/>
        <v>AB01F4</v>
      </c>
      <c r="V2277">
        <v>0</v>
      </c>
      <c r="W2277">
        <v>0</v>
      </c>
      <c r="X2277">
        <v>2</v>
      </c>
      <c r="Z2277">
        <v>0</v>
      </c>
      <c r="AA2277">
        <v>9</v>
      </c>
      <c r="AB2277">
        <v>3</v>
      </c>
      <c r="AC2277">
        <v>0</v>
      </c>
      <c r="AD2277">
        <v>10</v>
      </c>
      <c r="AE2277">
        <v>0</v>
      </c>
      <c r="AF2277">
        <v>3</v>
      </c>
      <c r="AG2277">
        <v>2</v>
      </c>
      <c r="AH2277">
        <v>0</v>
      </c>
      <c r="AI2277" t="s">
        <v>1387</v>
      </c>
      <c r="AJ2277">
        <v>39.967016999999998</v>
      </c>
      <c r="AK2277" t="s">
        <v>1388</v>
      </c>
      <c r="AL2277">
        <v>-92.689097000000004</v>
      </c>
      <c r="AM2277">
        <v>100</v>
      </c>
      <c r="AN2277">
        <v>1700</v>
      </c>
      <c r="AO2277" t="s">
        <v>118</v>
      </c>
      <c r="AP2277">
        <v>-108</v>
      </c>
      <c r="AQ2277">
        <v>78</v>
      </c>
      <c r="AR2277">
        <v>-128</v>
      </c>
      <c r="AZ2277">
        <v>1200</v>
      </c>
      <c r="BA2277">
        <v>1</v>
      </c>
      <c r="BB2277" t="str">
        <f t="shared" si="109"/>
        <v xml:space="preserve">N8080G  </v>
      </c>
      <c r="BC2277">
        <v>1</v>
      </c>
      <c r="BE2277">
        <v>0</v>
      </c>
      <c r="BF2277">
        <v>0</v>
      </c>
      <c r="BG2277">
        <v>0</v>
      </c>
      <c r="BH2277">
        <v>1700</v>
      </c>
      <c r="BI2277">
        <v>1</v>
      </c>
      <c r="BJ2277">
        <v>1</v>
      </c>
      <c r="BK2277">
        <v>1</v>
      </c>
      <c r="BL2277">
        <v>0</v>
      </c>
      <c r="BO2277">
        <v>0</v>
      </c>
      <c r="BP2277">
        <v>0</v>
      </c>
      <c r="BW2277" t="str">
        <f>"20:26:39.962"</f>
        <v>20:26:39.962</v>
      </c>
      <c r="BZ2277">
        <v>0</v>
      </c>
      <c r="CA2277">
        <v>2016</v>
      </c>
      <c r="CB2277">
        <v>224</v>
      </c>
      <c r="CD2277">
        <v>1</v>
      </c>
      <c r="CE2277">
        <v>0</v>
      </c>
      <c r="CF2277">
        <v>0</v>
      </c>
      <c r="CG2277">
        <v>1</v>
      </c>
      <c r="CH2277">
        <v>0</v>
      </c>
      <c r="CI2277">
        <v>0</v>
      </c>
      <c r="CJ2277">
        <v>0</v>
      </c>
      <c r="CK2277">
        <v>2</v>
      </c>
      <c r="CL2277">
        <v>0</v>
      </c>
      <c r="CM2277">
        <v>2</v>
      </c>
      <c r="CN2277">
        <v>0</v>
      </c>
      <c r="CO2277">
        <v>1</v>
      </c>
      <c r="CP2277" t="s">
        <v>119</v>
      </c>
      <c r="CQ2277">
        <v>179</v>
      </c>
      <c r="CR2277">
        <v>2</v>
      </c>
      <c r="CW2277">
        <v>12098490</v>
      </c>
      <c r="CY2277">
        <v>1</v>
      </c>
      <c r="CZ2277">
        <v>0</v>
      </c>
      <c r="DA2277">
        <v>1</v>
      </c>
      <c r="DB2277">
        <v>0</v>
      </c>
      <c r="DC2277">
        <v>0</v>
      </c>
      <c r="DD2277">
        <v>0</v>
      </c>
      <c r="DE2277">
        <v>0</v>
      </c>
      <c r="DF2277">
        <v>0</v>
      </c>
      <c r="DG2277">
        <v>0</v>
      </c>
      <c r="DH2277">
        <v>0</v>
      </c>
      <c r="DI2277">
        <v>0</v>
      </c>
    </row>
    <row r="2278" spans="1:113" x14ac:dyDescent="0.3">
      <c r="A2278" t="str">
        <f>"02/08/2021 20:26:37.618"</f>
        <v>02/08/2021 20:26:37.618</v>
      </c>
      <c r="C2278" t="str">
        <f t="shared" si="108"/>
        <v>FFDFD7C0</v>
      </c>
      <c r="D2278" t="s">
        <v>124</v>
      </c>
      <c r="E2278">
        <v>13</v>
      </c>
      <c r="F2278">
        <v>1013</v>
      </c>
      <c r="G2278" t="s">
        <v>114</v>
      </c>
      <c r="J2278" t="s">
        <v>125</v>
      </c>
      <c r="K2278">
        <v>0</v>
      </c>
      <c r="L2278">
        <v>3</v>
      </c>
      <c r="M2278">
        <v>0</v>
      </c>
      <c r="N2278">
        <v>2</v>
      </c>
      <c r="O2278">
        <v>1</v>
      </c>
      <c r="P2278">
        <v>0</v>
      </c>
      <c r="Q2278">
        <v>0</v>
      </c>
      <c r="S2278" t="str">
        <f>"20:26:39.961"</f>
        <v>20:26:39.961</v>
      </c>
      <c r="T2278" t="str">
        <f>"20:26:39.461"</f>
        <v>20:26:39.461</v>
      </c>
      <c r="U2278" t="str">
        <f t="shared" si="110"/>
        <v>AB01F4</v>
      </c>
      <c r="V2278">
        <v>0</v>
      </c>
      <c r="W2278">
        <v>0</v>
      </c>
      <c r="X2278">
        <v>2</v>
      </c>
      <c r="Z2278">
        <v>0</v>
      </c>
      <c r="AA2278">
        <v>9</v>
      </c>
      <c r="AB2278">
        <v>3</v>
      </c>
      <c r="AC2278">
        <v>0</v>
      </c>
      <c r="AD2278">
        <v>10</v>
      </c>
      <c r="AE2278">
        <v>0</v>
      </c>
      <c r="AF2278">
        <v>3</v>
      </c>
      <c r="AG2278">
        <v>2</v>
      </c>
      <c r="AH2278">
        <v>0</v>
      </c>
      <c r="AI2278" t="s">
        <v>1387</v>
      </c>
      <c r="AJ2278">
        <v>39.967016999999998</v>
      </c>
      <c r="AK2278" t="s">
        <v>1388</v>
      </c>
      <c r="AL2278">
        <v>-92.689097000000004</v>
      </c>
      <c r="AM2278">
        <v>100</v>
      </c>
      <c r="AN2278">
        <v>1700</v>
      </c>
      <c r="AO2278" t="s">
        <v>118</v>
      </c>
      <c r="AP2278">
        <v>-108</v>
      </c>
      <c r="AQ2278">
        <v>78</v>
      </c>
      <c r="AR2278">
        <v>-128</v>
      </c>
      <c r="AZ2278">
        <v>1200</v>
      </c>
      <c r="BA2278">
        <v>1</v>
      </c>
      <c r="BB2278" t="str">
        <f t="shared" si="109"/>
        <v xml:space="preserve">N8080G  </v>
      </c>
      <c r="BC2278">
        <v>1</v>
      </c>
      <c r="BE2278">
        <v>0</v>
      </c>
      <c r="BF2278">
        <v>0</v>
      </c>
      <c r="BG2278">
        <v>0</v>
      </c>
      <c r="BH2278">
        <v>1700</v>
      </c>
      <c r="BI2278">
        <v>1</v>
      </c>
      <c r="BJ2278">
        <v>1</v>
      </c>
      <c r="BK2278">
        <v>1</v>
      </c>
      <c r="BL2278">
        <v>0</v>
      </c>
      <c r="BO2278">
        <v>0</v>
      </c>
      <c r="BP2278">
        <v>0</v>
      </c>
      <c r="BW2278" t="str">
        <f>"20:26:39.962"</f>
        <v>20:26:39.962</v>
      </c>
      <c r="BZ2278">
        <v>0</v>
      </c>
      <c r="CA2278">
        <v>2016</v>
      </c>
      <c r="CB2278">
        <v>224</v>
      </c>
      <c r="CD2278">
        <v>1</v>
      </c>
      <c r="CE2278">
        <v>0</v>
      </c>
      <c r="CF2278">
        <v>0</v>
      </c>
      <c r="CG2278">
        <v>1</v>
      </c>
      <c r="CH2278">
        <v>0</v>
      </c>
      <c r="CI2278">
        <v>0</v>
      </c>
      <c r="CJ2278">
        <v>0</v>
      </c>
      <c r="CK2278">
        <v>2</v>
      </c>
      <c r="CL2278">
        <v>0</v>
      </c>
      <c r="CM2278">
        <v>2</v>
      </c>
      <c r="CN2278">
        <v>0</v>
      </c>
      <c r="CO2278">
        <v>1</v>
      </c>
      <c r="CP2278" t="s">
        <v>119</v>
      </c>
      <c r="CQ2278">
        <v>179</v>
      </c>
      <c r="CR2278">
        <v>2</v>
      </c>
      <c r="CW2278">
        <v>12098490</v>
      </c>
      <c r="CY2278">
        <v>1</v>
      </c>
      <c r="CZ2278">
        <v>0</v>
      </c>
      <c r="DA2278">
        <v>1</v>
      </c>
      <c r="DB2278">
        <v>0</v>
      </c>
      <c r="DC2278">
        <v>0</v>
      </c>
      <c r="DD2278">
        <v>0</v>
      </c>
      <c r="DE2278">
        <v>0</v>
      </c>
      <c r="DF2278">
        <v>0</v>
      </c>
      <c r="DG2278">
        <v>0</v>
      </c>
      <c r="DH2278">
        <v>0</v>
      </c>
      <c r="DI2278">
        <v>0</v>
      </c>
    </row>
    <row r="2279" spans="1:113" x14ac:dyDescent="0.3">
      <c r="A2279" t="str">
        <f>"02/08/2021 20:26:39.085"</f>
        <v>02/08/2021 20:26:39.085</v>
      </c>
      <c r="C2279" t="str">
        <f t="shared" si="108"/>
        <v>FFDFD7C0</v>
      </c>
      <c r="D2279" t="s">
        <v>113</v>
      </c>
      <c r="E2279">
        <v>6</v>
      </c>
      <c r="H2279">
        <v>165</v>
      </c>
      <c r="I2279" t="s">
        <v>114</v>
      </c>
      <c r="J2279" t="s">
        <v>115</v>
      </c>
      <c r="K2279">
        <v>0</v>
      </c>
      <c r="L2279">
        <v>3</v>
      </c>
      <c r="M2279">
        <v>0</v>
      </c>
      <c r="N2279">
        <v>2</v>
      </c>
      <c r="O2279">
        <v>1</v>
      </c>
      <c r="P2279">
        <v>0</v>
      </c>
      <c r="Q2279">
        <v>0</v>
      </c>
      <c r="S2279" t="str">
        <f>"20:26:41.398"</f>
        <v>20:26:41.398</v>
      </c>
      <c r="T2279" t="str">
        <f>"20:26:40.998"</f>
        <v>20:26:40.998</v>
      </c>
      <c r="U2279" t="str">
        <f t="shared" si="110"/>
        <v>AB01F4</v>
      </c>
      <c r="V2279">
        <v>0</v>
      </c>
      <c r="W2279">
        <v>0</v>
      </c>
      <c r="X2279">
        <v>2</v>
      </c>
      <c r="Z2279">
        <v>0</v>
      </c>
      <c r="AA2279">
        <v>9</v>
      </c>
      <c r="AB2279">
        <v>3</v>
      </c>
      <c r="AC2279">
        <v>0</v>
      </c>
      <c r="AD2279">
        <v>10</v>
      </c>
      <c r="AE2279">
        <v>0</v>
      </c>
      <c r="AF2279">
        <v>3</v>
      </c>
      <c r="AG2279">
        <v>2</v>
      </c>
      <c r="AH2279">
        <v>0</v>
      </c>
      <c r="AI2279" t="s">
        <v>1389</v>
      </c>
      <c r="AJ2279">
        <v>39.967531999999999</v>
      </c>
      <c r="AK2279" t="s">
        <v>1390</v>
      </c>
      <c r="AL2279">
        <v>-92.689998000000003</v>
      </c>
      <c r="AM2279">
        <v>100</v>
      </c>
      <c r="AN2279">
        <v>1700</v>
      </c>
      <c r="AO2279" t="s">
        <v>118</v>
      </c>
      <c r="AP2279">
        <v>-108</v>
      </c>
      <c r="AQ2279">
        <v>78</v>
      </c>
      <c r="AR2279">
        <v>-128</v>
      </c>
      <c r="AZ2279">
        <v>1200</v>
      </c>
      <c r="BA2279">
        <v>1</v>
      </c>
      <c r="BB2279" t="str">
        <f t="shared" si="109"/>
        <v xml:space="preserve">N8080G  </v>
      </c>
      <c r="BC2279">
        <v>1</v>
      </c>
      <c r="BE2279">
        <v>0</v>
      </c>
      <c r="BF2279">
        <v>0</v>
      </c>
      <c r="BG2279">
        <v>0</v>
      </c>
      <c r="BH2279">
        <v>1700</v>
      </c>
      <c r="BI2279">
        <v>1</v>
      </c>
      <c r="BJ2279">
        <v>1</v>
      </c>
      <c r="BK2279">
        <v>1</v>
      </c>
      <c r="BL2279">
        <v>0</v>
      </c>
      <c r="BO2279">
        <v>0</v>
      </c>
      <c r="BP2279">
        <v>0</v>
      </c>
      <c r="BW2279" t="str">
        <f>"20:26:41.403"</f>
        <v>20:26:41.403</v>
      </c>
      <c r="BZ2279">
        <v>0</v>
      </c>
      <c r="CA2279">
        <v>2016</v>
      </c>
      <c r="CB2279">
        <v>224</v>
      </c>
      <c r="CD2279">
        <v>1</v>
      </c>
      <c r="CE2279">
        <v>0</v>
      </c>
      <c r="CF2279">
        <v>0</v>
      </c>
      <c r="CG2279">
        <v>1</v>
      </c>
      <c r="CH2279">
        <v>0</v>
      </c>
      <c r="CI2279">
        <v>0</v>
      </c>
      <c r="CJ2279">
        <v>0</v>
      </c>
      <c r="CK2279">
        <v>2</v>
      </c>
      <c r="CL2279">
        <v>0</v>
      </c>
      <c r="CM2279">
        <v>2</v>
      </c>
      <c r="CN2279">
        <v>0</v>
      </c>
      <c r="CO2279">
        <v>3</v>
      </c>
      <c r="CP2279" t="s">
        <v>119</v>
      </c>
      <c r="CQ2279">
        <v>179</v>
      </c>
      <c r="CR2279">
        <v>1</v>
      </c>
      <c r="CW2279">
        <v>8934708</v>
      </c>
      <c r="CY2279">
        <v>1</v>
      </c>
      <c r="CZ2279">
        <v>0</v>
      </c>
      <c r="DA2279">
        <v>0</v>
      </c>
      <c r="DB2279">
        <v>0</v>
      </c>
      <c r="DC2279">
        <v>0</v>
      </c>
      <c r="DD2279">
        <v>0</v>
      </c>
      <c r="DE2279">
        <v>0</v>
      </c>
      <c r="DF2279">
        <v>0</v>
      </c>
      <c r="DG2279">
        <v>0</v>
      </c>
      <c r="DH2279">
        <v>0</v>
      </c>
      <c r="DI2279">
        <v>0</v>
      </c>
    </row>
    <row r="2280" spans="1:113" x14ac:dyDescent="0.3">
      <c r="A2280" t="str">
        <f>"02/08/2021 20:26:39.085"</f>
        <v>02/08/2021 20:26:39.085</v>
      </c>
      <c r="C2280" t="str">
        <f t="shared" si="108"/>
        <v>FFDFD7C0</v>
      </c>
      <c r="D2280" t="s">
        <v>124</v>
      </c>
      <c r="E2280">
        <v>12</v>
      </c>
      <c r="F2280">
        <v>1012</v>
      </c>
      <c r="G2280" t="s">
        <v>675</v>
      </c>
      <c r="J2280" t="s">
        <v>125</v>
      </c>
      <c r="K2280">
        <v>0</v>
      </c>
      <c r="L2280">
        <v>3</v>
      </c>
      <c r="M2280">
        <v>0</v>
      </c>
      <c r="N2280">
        <v>2</v>
      </c>
      <c r="O2280">
        <v>1</v>
      </c>
      <c r="P2280">
        <v>0</v>
      </c>
      <c r="Q2280">
        <v>0</v>
      </c>
      <c r="S2280" t="str">
        <f>"20:26:41.398"</f>
        <v>20:26:41.398</v>
      </c>
      <c r="T2280" t="str">
        <f>"20:26:40.998"</f>
        <v>20:26:40.998</v>
      </c>
      <c r="U2280" t="str">
        <f t="shared" si="110"/>
        <v>AB01F4</v>
      </c>
      <c r="V2280">
        <v>0</v>
      </c>
      <c r="W2280">
        <v>0</v>
      </c>
      <c r="X2280">
        <v>2</v>
      </c>
      <c r="Z2280">
        <v>0</v>
      </c>
      <c r="AA2280">
        <v>9</v>
      </c>
      <c r="AB2280">
        <v>3</v>
      </c>
      <c r="AC2280">
        <v>0</v>
      </c>
      <c r="AD2280">
        <v>10</v>
      </c>
      <c r="AE2280">
        <v>0</v>
      </c>
      <c r="AF2280">
        <v>3</v>
      </c>
      <c r="AG2280">
        <v>2</v>
      </c>
      <c r="AH2280">
        <v>0</v>
      </c>
      <c r="AI2280" t="s">
        <v>1389</v>
      </c>
      <c r="AJ2280">
        <v>39.967531999999999</v>
      </c>
      <c r="AK2280" t="s">
        <v>1390</v>
      </c>
      <c r="AL2280">
        <v>-92.689998000000003</v>
      </c>
      <c r="AM2280">
        <v>100</v>
      </c>
      <c r="AN2280">
        <v>1700</v>
      </c>
      <c r="AO2280" t="s">
        <v>118</v>
      </c>
      <c r="AP2280">
        <v>-108</v>
      </c>
      <c r="AQ2280">
        <v>78</v>
      </c>
      <c r="AR2280">
        <v>-128</v>
      </c>
      <c r="AZ2280">
        <v>1200</v>
      </c>
      <c r="BA2280">
        <v>1</v>
      </c>
      <c r="BB2280" t="str">
        <f t="shared" si="109"/>
        <v xml:space="preserve">N8080G  </v>
      </c>
      <c r="BC2280">
        <v>1</v>
      </c>
      <c r="BE2280">
        <v>0</v>
      </c>
      <c r="BF2280">
        <v>0</v>
      </c>
      <c r="BG2280">
        <v>0</v>
      </c>
      <c r="BH2280">
        <v>1700</v>
      </c>
      <c r="BI2280">
        <v>1</v>
      </c>
      <c r="BJ2280">
        <v>1</v>
      </c>
      <c r="BK2280">
        <v>1</v>
      </c>
      <c r="BL2280">
        <v>0</v>
      </c>
      <c r="BO2280">
        <v>0</v>
      </c>
      <c r="BP2280">
        <v>0</v>
      </c>
      <c r="BW2280" t="str">
        <f>"20:26:41.403"</f>
        <v>20:26:41.403</v>
      </c>
      <c r="BZ2280">
        <v>0</v>
      </c>
      <c r="CA2280">
        <v>2016</v>
      </c>
      <c r="CB2280">
        <v>224</v>
      </c>
      <c r="CD2280">
        <v>1</v>
      </c>
      <c r="CE2280">
        <v>0</v>
      </c>
      <c r="CF2280">
        <v>0</v>
      </c>
      <c r="CG2280">
        <v>1</v>
      </c>
      <c r="CH2280">
        <v>0</v>
      </c>
      <c r="CI2280">
        <v>0</v>
      </c>
      <c r="CJ2280">
        <v>0</v>
      </c>
      <c r="CK2280">
        <v>2</v>
      </c>
      <c r="CL2280">
        <v>0</v>
      </c>
      <c r="CM2280">
        <v>2</v>
      </c>
      <c r="CN2280">
        <v>0</v>
      </c>
      <c r="CO2280">
        <v>3</v>
      </c>
      <c r="CP2280" t="s">
        <v>119</v>
      </c>
      <c r="CQ2280">
        <v>179</v>
      </c>
      <c r="CR2280">
        <v>1</v>
      </c>
      <c r="CW2280">
        <v>8934708</v>
      </c>
      <c r="CY2280">
        <v>1</v>
      </c>
      <c r="CZ2280">
        <v>0</v>
      </c>
      <c r="DA2280">
        <v>1</v>
      </c>
      <c r="DB2280">
        <v>0</v>
      </c>
      <c r="DC2280">
        <v>0</v>
      </c>
      <c r="DD2280">
        <v>0</v>
      </c>
      <c r="DE2280">
        <v>0</v>
      </c>
      <c r="DF2280">
        <v>0</v>
      </c>
      <c r="DG2280">
        <v>0</v>
      </c>
      <c r="DH2280">
        <v>0</v>
      </c>
      <c r="DI2280">
        <v>0</v>
      </c>
    </row>
    <row r="2281" spans="1:113" x14ac:dyDescent="0.3">
      <c r="A2281" t="str">
        <f>"02/08/2021 20:26:39.085"</f>
        <v>02/08/2021 20:26:39.085</v>
      </c>
      <c r="C2281" t="str">
        <f t="shared" si="108"/>
        <v>FFDFD7C0</v>
      </c>
      <c r="D2281" t="s">
        <v>124</v>
      </c>
      <c r="E2281">
        <v>11</v>
      </c>
      <c r="F2281">
        <v>1011</v>
      </c>
      <c r="G2281" t="s">
        <v>590</v>
      </c>
      <c r="J2281" t="s">
        <v>125</v>
      </c>
      <c r="K2281">
        <v>0</v>
      </c>
      <c r="L2281">
        <v>3</v>
      </c>
      <c r="M2281">
        <v>0</v>
      </c>
      <c r="N2281">
        <v>2</v>
      </c>
      <c r="O2281">
        <v>1</v>
      </c>
      <c r="P2281">
        <v>0</v>
      </c>
      <c r="Q2281">
        <v>0</v>
      </c>
      <c r="S2281" t="str">
        <f>"20:26:41.398"</f>
        <v>20:26:41.398</v>
      </c>
      <c r="T2281" t="str">
        <f>"20:26:40.998"</f>
        <v>20:26:40.998</v>
      </c>
      <c r="U2281" t="str">
        <f t="shared" si="110"/>
        <v>AB01F4</v>
      </c>
      <c r="V2281">
        <v>0</v>
      </c>
      <c r="W2281">
        <v>0</v>
      </c>
      <c r="X2281">
        <v>2</v>
      </c>
      <c r="Z2281">
        <v>0</v>
      </c>
      <c r="AA2281">
        <v>9</v>
      </c>
      <c r="AB2281">
        <v>3</v>
      </c>
      <c r="AC2281">
        <v>0</v>
      </c>
      <c r="AD2281">
        <v>10</v>
      </c>
      <c r="AE2281">
        <v>0</v>
      </c>
      <c r="AF2281">
        <v>3</v>
      </c>
      <c r="AG2281">
        <v>2</v>
      </c>
      <c r="AH2281">
        <v>0</v>
      </c>
      <c r="AI2281" t="s">
        <v>1389</v>
      </c>
      <c r="AJ2281">
        <v>39.967531999999999</v>
      </c>
      <c r="AK2281" t="s">
        <v>1390</v>
      </c>
      <c r="AL2281">
        <v>-92.689998000000003</v>
      </c>
      <c r="AM2281">
        <v>100</v>
      </c>
      <c r="AN2281">
        <v>1700</v>
      </c>
      <c r="AO2281" t="s">
        <v>118</v>
      </c>
      <c r="AP2281">
        <v>-108</v>
      </c>
      <c r="AQ2281">
        <v>78</v>
      </c>
      <c r="AR2281">
        <v>-128</v>
      </c>
      <c r="AZ2281">
        <v>1200</v>
      </c>
      <c r="BA2281">
        <v>1</v>
      </c>
      <c r="BB2281" t="str">
        <f t="shared" si="109"/>
        <v xml:space="preserve">N8080G  </v>
      </c>
      <c r="BC2281">
        <v>1</v>
      </c>
      <c r="BE2281">
        <v>0</v>
      </c>
      <c r="BF2281">
        <v>0</v>
      </c>
      <c r="BG2281">
        <v>0</v>
      </c>
      <c r="BH2281">
        <v>1700</v>
      </c>
      <c r="BI2281">
        <v>1</v>
      </c>
      <c r="BJ2281">
        <v>1</v>
      </c>
      <c r="BK2281">
        <v>1</v>
      </c>
      <c r="BL2281">
        <v>0</v>
      </c>
      <c r="BO2281">
        <v>0</v>
      </c>
      <c r="BP2281">
        <v>0</v>
      </c>
      <c r="BW2281" t="str">
        <f>"20:26:41.403"</f>
        <v>20:26:41.403</v>
      </c>
      <c r="BZ2281">
        <v>0</v>
      </c>
      <c r="CA2281">
        <v>2016</v>
      </c>
      <c r="CB2281">
        <v>224</v>
      </c>
      <c r="CD2281">
        <v>1</v>
      </c>
      <c r="CE2281">
        <v>0</v>
      </c>
      <c r="CF2281">
        <v>0</v>
      </c>
      <c r="CG2281">
        <v>1</v>
      </c>
      <c r="CH2281">
        <v>0</v>
      </c>
      <c r="CI2281">
        <v>0</v>
      </c>
      <c r="CJ2281">
        <v>0</v>
      </c>
      <c r="CK2281">
        <v>2</v>
      </c>
      <c r="CL2281">
        <v>0</v>
      </c>
      <c r="CM2281">
        <v>2</v>
      </c>
      <c r="CN2281">
        <v>0</v>
      </c>
      <c r="CO2281">
        <v>3</v>
      </c>
      <c r="CP2281" t="s">
        <v>119</v>
      </c>
      <c r="CQ2281">
        <v>179</v>
      </c>
      <c r="CR2281">
        <v>1</v>
      </c>
      <c r="CW2281">
        <v>8934708</v>
      </c>
      <c r="CY2281">
        <v>1</v>
      </c>
      <c r="CZ2281">
        <v>0</v>
      </c>
      <c r="DA2281">
        <v>1</v>
      </c>
      <c r="DB2281">
        <v>0</v>
      </c>
      <c r="DC2281">
        <v>0</v>
      </c>
      <c r="DD2281">
        <v>0</v>
      </c>
      <c r="DE2281">
        <v>0</v>
      </c>
      <c r="DF2281">
        <v>0</v>
      </c>
      <c r="DG2281">
        <v>0</v>
      </c>
      <c r="DH2281">
        <v>0</v>
      </c>
      <c r="DI2281">
        <v>0</v>
      </c>
    </row>
    <row r="2282" spans="1:113" x14ac:dyDescent="0.3">
      <c r="A2282" t="str">
        <f>"02/08/2021 20:26:39.085"</f>
        <v>02/08/2021 20:26:39.085</v>
      </c>
      <c r="C2282" t="str">
        <f t="shared" si="108"/>
        <v>FFDFD7C0</v>
      </c>
      <c r="D2282" t="s">
        <v>124</v>
      </c>
      <c r="E2282">
        <v>13</v>
      </c>
      <c r="F2282">
        <v>1013</v>
      </c>
      <c r="G2282" t="s">
        <v>114</v>
      </c>
      <c r="J2282" t="s">
        <v>125</v>
      </c>
      <c r="K2282">
        <v>0</v>
      </c>
      <c r="L2282">
        <v>3</v>
      </c>
      <c r="M2282">
        <v>0</v>
      </c>
      <c r="N2282">
        <v>2</v>
      </c>
      <c r="O2282">
        <v>1</v>
      </c>
      <c r="P2282">
        <v>0</v>
      </c>
      <c r="Q2282">
        <v>0</v>
      </c>
      <c r="S2282" t="str">
        <f>"20:26:41.398"</f>
        <v>20:26:41.398</v>
      </c>
      <c r="T2282" t="str">
        <f>"20:26:40.998"</f>
        <v>20:26:40.998</v>
      </c>
      <c r="U2282" t="str">
        <f t="shared" si="110"/>
        <v>AB01F4</v>
      </c>
      <c r="V2282">
        <v>0</v>
      </c>
      <c r="W2282">
        <v>0</v>
      </c>
      <c r="X2282">
        <v>2</v>
      </c>
      <c r="Z2282">
        <v>0</v>
      </c>
      <c r="AA2282">
        <v>9</v>
      </c>
      <c r="AB2282">
        <v>3</v>
      </c>
      <c r="AC2282">
        <v>0</v>
      </c>
      <c r="AD2282">
        <v>10</v>
      </c>
      <c r="AE2282">
        <v>0</v>
      </c>
      <c r="AF2282">
        <v>3</v>
      </c>
      <c r="AG2282">
        <v>2</v>
      </c>
      <c r="AH2282">
        <v>0</v>
      </c>
      <c r="AI2282" t="s">
        <v>1389</v>
      </c>
      <c r="AJ2282">
        <v>39.967531999999999</v>
      </c>
      <c r="AK2282" t="s">
        <v>1390</v>
      </c>
      <c r="AL2282">
        <v>-92.689998000000003</v>
      </c>
      <c r="AM2282">
        <v>100</v>
      </c>
      <c r="AN2282">
        <v>1700</v>
      </c>
      <c r="AO2282" t="s">
        <v>118</v>
      </c>
      <c r="AP2282">
        <v>-108</v>
      </c>
      <c r="AQ2282">
        <v>78</v>
      </c>
      <c r="AR2282">
        <v>-128</v>
      </c>
      <c r="AZ2282">
        <v>1200</v>
      </c>
      <c r="BA2282">
        <v>1</v>
      </c>
      <c r="BB2282" t="str">
        <f t="shared" si="109"/>
        <v xml:space="preserve">N8080G  </v>
      </c>
      <c r="BC2282">
        <v>1</v>
      </c>
      <c r="BE2282">
        <v>0</v>
      </c>
      <c r="BF2282">
        <v>0</v>
      </c>
      <c r="BG2282">
        <v>0</v>
      </c>
      <c r="BH2282">
        <v>1700</v>
      </c>
      <c r="BI2282">
        <v>1</v>
      </c>
      <c r="BJ2282">
        <v>1</v>
      </c>
      <c r="BK2282">
        <v>1</v>
      </c>
      <c r="BL2282">
        <v>0</v>
      </c>
      <c r="BO2282">
        <v>0</v>
      </c>
      <c r="BP2282">
        <v>0</v>
      </c>
      <c r="BW2282" t="str">
        <f>"20:26:41.403"</f>
        <v>20:26:41.403</v>
      </c>
      <c r="BZ2282">
        <v>0</v>
      </c>
      <c r="CA2282">
        <v>2016</v>
      </c>
      <c r="CB2282">
        <v>224</v>
      </c>
      <c r="CD2282">
        <v>1</v>
      </c>
      <c r="CE2282">
        <v>0</v>
      </c>
      <c r="CF2282">
        <v>0</v>
      </c>
      <c r="CG2282">
        <v>1</v>
      </c>
      <c r="CH2282">
        <v>0</v>
      </c>
      <c r="CI2282">
        <v>0</v>
      </c>
      <c r="CJ2282">
        <v>0</v>
      </c>
      <c r="CK2282">
        <v>2</v>
      </c>
      <c r="CL2282">
        <v>0</v>
      </c>
      <c r="CM2282">
        <v>2</v>
      </c>
      <c r="CN2282">
        <v>0</v>
      </c>
      <c r="CO2282">
        <v>3</v>
      </c>
      <c r="CP2282" t="s">
        <v>119</v>
      </c>
      <c r="CQ2282">
        <v>179</v>
      </c>
      <c r="CR2282">
        <v>1</v>
      </c>
      <c r="CW2282">
        <v>8934708</v>
      </c>
      <c r="CY2282">
        <v>1</v>
      </c>
      <c r="CZ2282">
        <v>0</v>
      </c>
      <c r="DA2282">
        <v>1</v>
      </c>
      <c r="DB2282">
        <v>0</v>
      </c>
      <c r="DC2282">
        <v>0</v>
      </c>
      <c r="DD2282">
        <v>0</v>
      </c>
      <c r="DE2282">
        <v>0</v>
      </c>
      <c r="DF2282">
        <v>0</v>
      </c>
      <c r="DG2282">
        <v>0</v>
      </c>
      <c r="DH2282">
        <v>0</v>
      </c>
      <c r="DI2282">
        <v>0</v>
      </c>
    </row>
    <row r="2283" spans="1:113" x14ac:dyDescent="0.3">
      <c r="A2283" t="str">
        <f>"02/08/2021 20:26:39.945"</f>
        <v>02/08/2021 20:26:39.945</v>
      </c>
      <c r="C2283" t="str">
        <f t="shared" si="108"/>
        <v>FFDFD7C0</v>
      </c>
      <c r="D2283" t="s">
        <v>113</v>
      </c>
      <c r="E2283">
        <v>6</v>
      </c>
      <c r="H2283">
        <v>165</v>
      </c>
      <c r="I2283" t="s">
        <v>114</v>
      </c>
      <c r="J2283" t="s">
        <v>115</v>
      </c>
      <c r="K2283">
        <v>0</v>
      </c>
      <c r="L2283">
        <v>3</v>
      </c>
      <c r="M2283">
        <v>0</v>
      </c>
      <c r="N2283">
        <v>2</v>
      </c>
      <c r="O2283">
        <v>1</v>
      </c>
      <c r="P2283">
        <v>0</v>
      </c>
      <c r="Q2283">
        <v>0</v>
      </c>
      <c r="S2283" t="str">
        <f>"20:26:42.289"</f>
        <v>20:26:42.289</v>
      </c>
      <c r="T2283" t="str">
        <f>"20:26:41.889"</f>
        <v>20:26:41.889</v>
      </c>
      <c r="U2283" t="str">
        <f t="shared" si="110"/>
        <v>AB01F4</v>
      </c>
      <c r="V2283">
        <v>0</v>
      </c>
      <c r="W2283">
        <v>0</v>
      </c>
      <c r="X2283">
        <v>2</v>
      </c>
      <c r="Z2283">
        <v>0</v>
      </c>
      <c r="AA2283">
        <v>9</v>
      </c>
      <c r="AB2283">
        <v>3</v>
      </c>
      <c r="AC2283">
        <v>0</v>
      </c>
      <c r="AD2283">
        <v>10</v>
      </c>
      <c r="AE2283">
        <v>0</v>
      </c>
      <c r="AF2283">
        <v>3</v>
      </c>
      <c r="AG2283">
        <v>2</v>
      </c>
      <c r="AH2283">
        <v>0</v>
      </c>
      <c r="AI2283" t="s">
        <v>1391</v>
      </c>
      <c r="AJ2283">
        <v>39.967832999999999</v>
      </c>
      <c r="AK2283" t="s">
        <v>1392</v>
      </c>
      <c r="AL2283">
        <v>-92.690599000000006</v>
      </c>
      <c r="AM2283">
        <v>100</v>
      </c>
      <c r="AN2283">
        <v>1700</v>
      </c>
      <c r="AO2283" t="s">
        <v>118</v>
      </c>
      <c r="AP2283">
        <v>-108</v>
      </c>
      <c r="AQ2283">
        <v>78</v>
      </c>
      <c r="AR2283">
        <v>-128</v>
      </c>
      <c r="AZ2283">
        <v>1200</v>
      </c>
      <c r="BA2283">
        <v>1</v>
      </c>
      <c r="BB2283" t="str">
        <f t="shared" si="109"/>
        <v xml:space="preserve">N8080G  </v>
      </c>
      <c r="BC2283">
        <v>1</v>
      </c>
      <c r="BE2283">
        <v>0</v>
      </c>
      <c r="BF2283">
        <v>0</v>
      </c>
      <c r="BG2283">
        <v>0</v>
      </c>
      <c r="BH2283">
        <v>1700</v>
      </c>
      <c r="BI2283">
        <v>1</v>
      </c>
      <c r="BJ2283">
        <v>1</v>
      </c>
      <c r="BK2283">
        <v>1</v>
      </c>
      <c r="BL2283">
        <v>0</v>
      </c>
      <c r="BO2283">
        <v>0</v>
      </c>
      <c r="BP2283">
        <v>0</v>
      </c>
      <c r="BW2283" t="str">
        <f>"20:26:42.290"</f>
        <v>20:26:42.290</v>
      </c>
      <c r="BZ2283">
        <v>0</v>
      </c>
      <c r="CA2283">
        <v>2016</v>
      </c>
      <c r="CB2283">
        <v>224</v>
      </c>
      <c r="CD2283">
        <v>1</v>
      </c>
      <c r="CE2283">
        <v>0</v>
      </c>
      <c r="CF2283">
        <v>0</v>
      </c>
      <c r="CG2283">
        <v>1</v>
      </c>
      <c r="CH2283">
        <v>0</v>
      </c>
      <c r="CI2283">
        <v>0</v>
      </c>
      <c r="CJ2283">
        <v>0</v>
      </c>
      <c r="CK2283">
        <v>2</v>
      </c>
      <c r="CL2283">
        <v>0</v>
      </c>
      <c r="CM2283">
        <v>2</v>
      </c>
      <c r="CN2283">
        <v>0</v>
      </c>
      <c r="CO2283">
        <v>3</v>
      </c>
      <c r="CP2283" t="s">
        <v>119</v>
      </c>
      <c r="CQ2283">
        <v>179</v>
      </c>
      <c r="CR2283">
        <v>1</v>
      </c>
      <c r="CW2283">
        <v>8935625</v>
      </c>
      <c r="CY2283">
        <v>1</v>
      </c>
      <c r="CZ2283">
        <v>0</v>
      </c>
      <c r="DA2283">
        <v>0</v>
      </c>
      <c r="DB2283">
        <v>0</v>
      </c>
      <c r="DC2283">
        <v>0</v>
      </c>
      <c r="DD2283">
        <v>0</v>
      </c>
      <c r="DE2283">
        <v>0</v>
      </c>
      <c r="DF2283">
        <v>0</v>
      </c>
      <c r="DG2283">
        <v>0</v>
      </c>
      <c r="DH2283">
        <v>0</v>
      </c>
      <c r="DI2283">
        <v>0</v>
      </c>
    </row>
    <row r="2284" spans="1:113" x14ac:dyDescent="0.3">
      <c r="A2284" t="str">
        <f>"02/08/2021 20:26:39.945"</f>
        <v>02/08/2021 20:26:39.945</v>
      </c>
      <c r="C2284" t="str">
        <f t="shared" si="108"/>
        <v>FFDFD7C0</v>
      </c>
      <c r="D2284" t="s">
        <v>124</v>
      </c>
      <c r="E2284">
        <v>12</v>
      </c>
      <c r="F2284">
        <v>1012</v>
      </c>
      <c r="G2284" t="s">
        <v>675</v>
      </c>
      <c r="J2284" t="s">
        <v>125</v>
      </c>
      <c r="K2284">
        <v>0</v>
      </c>
      <c r="L2284">
        <v>3</v>
      </c>
      <c r="M2284">
        <v>0</v>
      </c>
      <c r="N2284">
        <v>2</v>
      </c>
      <c r="O2284">
        <v>1</v>
      </c>
      <c r="P2284">
        <v>0</v>
      </c>
      <c r="Q2284">
        <v>0</v>
      </c>
      <c r="S2284" t="str">
        <f>"20:26:42.289"</f>
        <v>20:26:42.289</v>
      </c>
      <c r="T2284" t="str">
        <f>"20:26:41.889"</f>
        <v>20:26:41.889</v>
      </c>
      <c r="U2284" t="str">
        <f t="shared" si="110"/>
        <v>AB01F4</v>
      </c>
      <c r="V2284">
        <v>0</v>
      </c>
      <c r="W2284">
        <v>0</v>
      </c>
      <c r="X2284">
        <v>2</v>
      </c>
      <c r="Z2284">
        <v>0</v>
      </c>
      <c r="AA2284">
        <v>9</v>
      </c>
      <c r="AB2284">
        <v>3</v>
      </c>
      <c r="AC2284">
        <v>0</v>
      </c>
      <c r="AD2284">
        <v>10</v>
      </c>
      <c r="AE2284">
        <v>0</v>
      </c>
      <c r="AF2284">
        <v>3</v>
      </c>
      <c r="AG2284">
        <v>2</v>
      </c>
      <c r="AH2284">
        <v>0</v>
      </c>
      <c r="AI2284" t="s">
        <v>1391</v>
      </c>
      <c r="AJ2284">
        <v>39.967832999999999</v>
      </c>
      <c r="AK2284" t="s">
        <v>1392</v>
      </c>
      <c r="AL2284">
        <v>-92.690599000000006</v>
      </c>
      <c r="AM2284">
        <v>100</v>
      </c>
      <c r="AN2284">
        <v>1700</v>
      </c>
      <c r="AO2284" t="s">
        <v>118</v>
      </c>
      <c r="AP2284">
        <v>-108</v>
      </c>
      <c r="AQ2284">
        <v>78</v>
      </c>
      <c r="AR2284">
        <v>-128</v>
      </c>
      <c r="AZ2284">
        <v>1200</v>
      </c>
      <c r="BA2284">
        <v>1</v>
      </c>
      <c r="BB2284" t="str">
        <f t="shared" si="109"/>
        <v xml:space="preserve">N8080G  </v>
      </c>
      <c r="BC2284">
        <v>1</v>
      </c>
      <c r="BE2284">
        <v>0</v>
      </c>
      <c r="BF2284">
        <v>0</v>
      </c>
      <c r="BG2284">
        <v>0</v>
      </c>
      <c r="BH2284">
        <v>1700</v>
      </c>
      <c r="BI2284">
        <v>1</v>
      </c>
      <c r="BJ2284">
        <v>1</v>
      </c>
      <c r="BK2284">
        <v>1</v>
      </c>
      <c r="BL2284">
        <v>0</v>
      </c>
      <c r="BO2284">
        <v>0</v>
      </c>
      <c r="BP2284">
        <v>0</v>
      </c>
      <c r="BW2284" t="str">
        <f>"20:26:42.290"</f>
        <v>20:26:42.290</v>
      </c>
      <c r="BZ2284">
        <v>0</v>
      </c>
      <c r="CA2284">
        <v>2016</v>
      </c>
      <c r="CB2284">
        <v>224</v>
      </c>
      <c r="CD2284">
        <v>1</v>
      </c>
      <c r="CE2284">
        <v>0</v>
      </c>
      <c r="CF2284">
        <v>0</v>
      </c>
      <c r="CG2284">
        <v>1</v>
      </c>
      <c r="CH2284">
        <v>0</v>
      </c>
      <c r="CI2284">
        <v>0</v>
      </c>
      <c r="CJ2284">
        <v>0</v>
      </c>
      <c r="CK2284">
        <v>2</v>
      </c>
      <c r="CL2284">
        <v>0</v>
      </c>
      <c r="CM2284">
        <v>2</v>
      </c>
      <c r="CN2284">
        <v>0</v>
      </c>
      <c r="CO2284">
        <v>3</v>
      </c>
      <c r="CP2284" t="s">
        <v>119</v>
      </c>
      <c r="CQ2284">
        <v>179</v>
      </c>
      <c r="CR2284">
        <v>1</v>
      </c>
      <c r="CW2284">
        <v>8935625</v>
      </c>
      <c r="CY2284">
        <v>1</v>
      </c>
      <c r="CZ2284">
        <v>0</v>
      </c>
      <c r="DA2284">
        <v>1</v>
      </c>
      <c r="DB2284">
        <v>0</v>
      </c>
      <c r="DC2284">
        <v>0</v>
      </c>
      <c r="DD2284">
        <v>0</v>
      </c>
      <c r="DE2284">
        <v>0</v>
      </c>
      <c r="DF2284">
        <v>0</v>
      </c>
      <c r="DG2284">
        <v>0</v>
      </c>
      <c r="DH2284">
        <v>0</v>
      </c>
      <c r="DI2284">
        <v>0</v>
      </c>
    </row>
    <row r="2285" spans="1:113" x14ac:dyDescent="0.3">
      <c r="A2285" t="str">
        <f>"02/08/2021 20:26:39.945"</f>
        <v>02/08/2021 20:26:39.945</v>
      </c>
      <c r="C2285" t="str">
        <f t="shared" si="108"/>
        <v>FFDFD7C0</v>
      </c>
      <c r="D2285" t="s">
        <v>124</v>
      </c>
      <c r="E2285">
        <v>11</v>
      </c>
      <c r="F2285">
        <v>1011</v>
      </c>
      <c r="G2285" t="s">
        <v>590</v>
      </c>
      <c r="J2285" t="s">
        <v>125</v>
      </c>
      <c r="K2285">
        <v>0</v>
      </c>
      <c r="L2285">
        <v>3</v>
      </c>
      <c r="M2285">
        <v>0</v>
      </c>
      <c r="N2285">
        <v>2</v>
      </c>
      <c r="O2285">
        <v>1</v>
      </c>
      <c r="P2285">
        <v>0</v>
      </c>
      <c r="Q2285">
        <v>0</v>
      </c>
      <c r="S2285" t="str">
        <f>"20:26:42.289"</f>
        <v>20:26:42.289</v>
      </c>
      <c r="T2285" t="str">
        <f>"20:26:41.889"</f>
        <v>20:26:41.889</v>
      </c>
      <c r="U2285" t="str">
        <f t="shared" si="110"/>
        <v>AB01F4</v>
      </c>
      <c r="V2285">
        <v>0</v>
      </c>
      <c r="W2285">
        <v>0</v>
      </c>
      <c r="X2285">
        <v>2</v>
      </c>
      <c r="Z2285">
        <v>0</v>
      </c>
      <c r="AA2285">
        <v>9</v>
      </c>
      <c r="AB2285">
        <v>3</v>
      </c>
      <c r="AC2285">
        <v>0</v>
      </c>
      <c r="AD2285">
        <v>10</v>
      </c>
      <c r="AE2285">
        <v>0</v>
      </c>
      <c r="AF2285">
        <v>3</v>
      </c>
      <c r="AG2285">
        <v>2</v>
      </c>
      <c r="AH2285">
        <v>0</v>
      </c>
      <c r="AI2285" t="s">
        <v>1391</v>
      </c>
      <c r="AJ2285">
        <v>39.967832999999999</v>
      </c>
      <c r="AK2285" t="s">
        <v>1392</v>
      </c>
      <c r="AL2285">
        <v>-92.690599000000006</v>
      </c>
      <c r="AM2285">
        <v>100</v>
      </c>
      <c r="AN2285">
        <v>1700</v>
      </c>
      <c r="AO2285" t="s">
        <v>118</v>
      </c>
      <c r="AP2285">
        <v>-108</v>
      </c>
      <c r="AQ2285">
        <v>78</v>
      </c>
      <c r="AR2285">
        <v>-128</v>
      </c>
      <c r="AZ2285">
        <v>1200</v>
      </c>
      <c r="BA2285">
        <v>1</v>
      </c>
      <c r="BB2285" t="str">
        <f t="shared" si="109"/>
        <v xml:space="preserve">N8080G  </v>
      </c>
      <c r="BC2285">
        <v>1</v>
      </c>
      <c r="BE2285">
        <v>0</v>
      </c>
      <c r="BF2285">
        <v>0</v>
      </c>
      <c r="BG2285">
        <v>0</v>
      </c>
      <c r="BH2285">
        <v>1700</v>
      </c>
      <c r="BI2285">
        <v>1</v>
      </c>
      <c r="BJ2285">
        <v>1</v>
      </c>
      <c r="BK2285">
        <v>1</v>
      </c>
      <c r="BL2285">
        <v>0</v>
      </c>
      <c r="BO2285">
        <v>0</v>
      </c>
      <c r="BP2285">
        <v>0</v>
      </c>
      <c r="BW2285" t="str">
        <f>"20:26:42.290"</f>
        <v>20:26:42.290</v>
      </c>
      <c r="BZ2285">
        <v>0</v>
      </c>
      <c r="CA2285">
        <v>2016</v>
      </c>
      <c r="CB2285">
        <v>224</v>
      </c>
      <c r="CD2285">
        <v>1</v>
      </c>
      <c r="CE2285">
        <v>0</v>
      </c>
      <c r="CF2285">
        <v>0</v>
      </c>
      <c r="CG2285">
        <v>1</v>
      </c>
      <c r="CH2285">
        <v>0</v>
      </c>
      <c r="CI2285">
        <v>0</v>
      </c>
      <c r="CJ2285">
        <v>0</v>
      </c>
      <c r="CK2285">
        <v>2</v>
      </c>
      <c r="CL2285">
        <v>0</v>
      </c>
      <c r="CM2285">
        <v>2</v>
      </c>
      <c r="CN2285">
        <v>0</v>
      </c>
      <c r="CO2285">
        <v>3</v>
      </c>
      <c r="CP2285" t="s">
        <v>119</v>
      </c>
      <c r="CQ2285">
        <v>179</v>
      </c>
      <c r="CR2285">
        <v>1</v>
      </c>
      <c r="CW2285">
        <v>8935625</v>
      </c>
      <c r="CY2285">
        <v>1</v>
      </c>
      <c r="CZ2285">
        <v>0</v>
      </c>
      <c r="DA2285">
        <v>1</v>
      </c>
      <c r="DB2285">
        <v>0</v>
      </c>
      <c r="DC2285">
        <v>0</v>
      </c>
      <c r="DD2285">
        <v>0</v>
      </c>
      <c r="DE2285">
        <v>0</v>
      </c>
      <c r="DF2285">
        <v>0</v>
      </c>
      <c r="DG2285">
        <v>0</v>
      </c>
      <c r="DH2285">
        <v>0</v>
      </c>
      <c r="DI2285">
        <v>0</v>
      </c>
    </row>
    <row r="2286" spans="1:113" x14ac:dyDescent="0.3">
      <c r="A2286" t="str">
        <f>"02/08/2021 20:26:39.945"</f>
        <v>02/08/2021 20:26:39.945</v>
      </c>
      <c r="C2286" t="str">
        <f t="shared" si="108"/>
        <v>FFDFD7C0</v>
      </c>
      <c r="D2286" t="s">
        <v>124</v>
      </c>
      <c r="E2286">
        <v>13</v>
      </c>
      <c r="F2286">
        <v>1013</v>
      </c>
      <c r="G2286" t="s">
        <v>114</v>
      </c>
      <c r="J2286" t="s">
        <v>125</v>
      </c>
      <c r="K2286">
        <v>0</v>
      </c>
      <c r="L2286">
        <v>3</v>
      </c>
      <c r="M2286">
        <v>0</v>
      </c>
      <c r="N2286">
        <v>2</v>
      </c>
      <c r="O2286">
        <v>1</v>
      </c>
      <c r="P2286">
        <v>0</v>
      </c>
      <c r="Q2286">
        <v>0</v>
      </c>
      <c r="S2286" t="str">
        <f>"20:26:42.289"</f>
        <v>20:26:42.289</v>
      </c>
      <c r="T2286" t="str">
        <f>"20:26:41.889"</f>
        <v>20:26:41.889</v>
      </c>
      <c r="U2286" t="str">
        <f t="shared" si="110"/>
        <v>AB01F4</v>
      </c>
      <c r="V2286">
        <v>0</v>
      </c>
      <c r="W2286">
        <v>0</v>
      </c>
      <c r="X2286">
        <v>2</v>
      </c>
      <c r="Z2286">
        <v>0</v>
      </c>
      <c r="AA2286">
        <v>9</v>
      </c>
      <c r="AB2286">
        <v>3</v>
      </c>
      <c r="AC2286">
        <v>0</v>
      </c>
      <c r="AD2286">
        <v>10</v>
      </c>
      <c r="AE2286">
        <v>0</v>
      </c>
      <c r="AF2286">
        <v>3</v>
      </c>
      <c r="AG2286">
        <v>2</v>
      </c>
      <c r="AH2286">
        <v>0</v>
      </c>
      <c r="AI2286" t="s">
        <v>1391</v>
      </c>
      <c r="AJ2286">
        <v>39.967832999999999</v>
      </c>
      <c r="AK2286" t="s">
        <v>1392</v>
      </c>
      <c r="AL2286">
        <v>-92.690599000000006</v>
      </c>
      <c r="AM2286">
        <v>100</v>
      </c>
      <c r="AN2286">
        <v>1700</v>
      </c>
      <c r="AO2286" t="s">
        <v>118</v>
      </c>
      <c r="AP2286">
        <v>-108</v>
      </c>
      <c r="AQ2286">
        <v>78</v>
      </c>
      <c r="AR2286">
        <v>-128</v>
      </c>
      <c r="AZ2286">
        <v>1200</v>
      </c>
      <c r="BA2286">
        <v>1</v>
      </c>
      <c r="BB2286" t="str">
        <f t="shared" si="109"/>
        <v xml:space="preserve">N8080G  </v>
      </c>
      <c r="BC2286">
        <v>1</v>
      </c>
      <c r="BE2286">
        <v>0</v>
      </c>
      <c r="BF2286">
        <v>0</v>
      </c>
      <c r="BG2286">
        <v>0</v>
      </c>
      <c r="BH2286">
        <v>1700</v>
      </c>
      <c r="BI2286">
        <v>1</v>
      </c>
      <c r="BJ2286">
        <v>1</v>
      </c>
      <c r="BK2286">
        <v>1</v>
      </c>
      <c r="BL2286">
        <v>0</v>
      </c>
      <c r="BO2286">
        <v>0</v>
      </c>
      <c r="BP2286">
        <v>0</v>
      </c>
      <c r="BW2286" t="str">
        <f>"20:26:42.290"</f>
        <v>20:26:42.290</v>
      </c>
      <c r="BZ2286">
        <v>0</v>
      </c>
      <c r="CA2286">
        <v>2016</v>
      </c>
      <c r="CB2286">
        <v>224</v>
      </c>
      <c r="CD2286">
        <v>1</v>
      </c>
      <c r="CE2286">
        <v>0</v>
      </c>
      <c r="CF2286">
        <v>0</v>
      </c>
      <c r="CG2286">
        <v>1</v>
      </c>
      <c r="CH2286">
        <v>0</v>
      </c>
      <c r="CI2286">
        <v>0</v>
      </c>
      <c r="CJ2286">
        <v>0</v>
      </c>
      <c r="CK2286">
        <v>2</v>
      </c>
      <c r="CL2286">
        <v>0</v>
      </c>
      <c r="CM2286">
        <v>2</v>
      </c>
      <c r="CN2286">
        <v>0</v>
      </c>
      <c r="CO2286">
        <v>3</v>
      </c>
      <c r="CP2286" t="s">
        <v>119</v>
      </c>
      <c r="CQ2286">
        <v>179</v>
      </c>
      <c r="CR2286">
        <v>1</v>
      </c>
      <c r="CW2286">
        <v>8935625</v>
      </c>
      <c r="CY2286">
        <v>1</v>
      </c>
      <c r="CZ2286">
        <v>0</v>
      </c>
      <c r="DA2286">
        <v>1</v>
      </c>
      <c r="DB2286">
        <v>0</v>
      </c>
      <c r="DC2286">
        <v>0</v>
      </c>
      <c r="DD2286">
        <v>0</v>
      </c>
      <c r="DE2286">
        <v>0</v>
      </c>
      <c r="DF2286">
        <v>0</v>
      </c>
      <c r="DG2286">
        <v>0</v>
      </c>
      <c r="DH2286">
        <v>0</v>
      </c>
      <c r="DI2286">
        <v>0</v>
      </c>
    </row>
    <row r="2287" spans="1:113" x14ac:dyDescent="0.3">
      <c r="A2287" t="str">
        <f>"02/08/2021 20:26:40.802"</f>
        <v>02/08/2021 20:26:40.802</v>
      </c>
      <c r="C2287" t="str">
        <f t="shared" ref="C2287:C2350" si="111">"FFDFD7C0"</f>
        <v>FFDFD7C0</v>
      </c>
      <c r="D2287" t="s">
        <v>124</v>
      </c>
      <c r="E2287">
        <v>12</v>
      </c>
      <c r="F2287">
        <v>1012</v>
      </c>
      <c r="G2287" t="s">
        <v>675</v>
      </c>
      <c r="J2287" t="s">
        <v>125</v>
      </c>
      <c r="K2287">
        <v>0</v>
      </c>
      <c r="L2287">
        <v>3</v>
      </c>
      <c r="M2287">
        <v>0</v>
      </c>
      <c r="N2287">
        <v>2</v>
      </c>
      <c r="O2287">
        <v>1</v>
      </c>
      <c r="P2287">
        <v>0</v>
      </c>
      <c r="Q2287">
        <v>0</v>
      </c>
      <c r="S2287" t="str">
        <f>"20:26:43.148"</f>
        <v>20:26:43.148</v>
      </c>
      <c r="T2287" t="str">
        <f>"20:26:42.748"</f>
        <v>20:26:42.748</v>
      </c>
      <c r="U2287" t="str">
        <f t="shared" si="110"/>
        <v>AB01F4</v>
      </c>
      <c r="V2287">
        <v>0</v>
      </c>
      <c r="W2287">
        <v>0</v>
      </c>
      <c r="X2287">
        <v>2</v>
      </c>
      <c r="Z2287">
        <v>0</v>
      </c>
      <c r="AA2287">
        <v>9</v>
      </c>
      <c r="AB2287">
        <v>3</v>
      </c>
      <c r="AC2287">
        <v>0</v>
      </c>
      <c r="AD2287">
        <v>10</v>
      </c>
      <c r="AE2287">
        <v>0</v>
      </c>
      <c r="AF2287">
        <v>3</v>
      </c>
      <c r="AG2287">
        <v>2</v>
      </c>
      <c r="AH2287">
        <v>0</v>
      </c>
      <c r="AI2287" t="s">
        <v>1393</v>
      </c>
      <c r="AJ2287">
        <v>39.968176</v>
      </c>
      <c r="AK2287" t="s">
        <v>1394</v>
      </c>
      <c r="AL2287">
        <v>-92.691157000000004</v>
      </c>
      <c r="AM2287">
        <v>100</v>
      </c>
      <c r="AN2287">
        <v>1700</v>
      </c>
      <c r="AO2287" t="s">
        <v>118</v>
      </c>
      <c r="AP2287">
        <v>-108</v>
      </c>
      <c r="AQ2287">
        <v>78</v>
      </c>
      <c r="AR2287">
        <v>-64</v>
      </c>
      <c r="AZ2287">
        <v>1200</v>
      </c>
      <c r="BA2287">
        <v>1</v>
      </c>
      <c r="BB2287" t="str">
        <f t="shared" ref="BB2287:BB2350" si="112">"N8080G  "</f>
        <v xml:space="preserve">N8080G  </v>
      </c>
      <c r="BC2287">
        <v>1</v>
      </c>
      <c r="BE2287">
        <v>0</v>
      </c>
      <c r="BF2287">
        <v>0</v>
      </c>
      <c r="BG2287">
        <v>0</v>
      </c>
      <c r="BH2287">
        <v>1700</v>
      </c>
      <c r="BI2287">
        <v>1</v>
      </c>
      <c r="BJ2287">
        <v>1</v>
      </c>
      <c r="BK2287">
        <v>1</v>
      </c>
      <c r="BL2287">
        <v>0</v>
      </c>
      <c r="BO2287">
        <v>0</v>
      </c>
      <c r="BP2287">
        <v>0</v>
      </c>
      <c r="BW2287" t="str">
        <f>"20:26:43.153"</f>
        <v>20:26:43.153</v>
      </c>
      <c r="BZ2287">
        <v>0</v>
      </c>
      <c r="CA2287">
        <v>2016</v>
      </c>
      <c r="CB2287">
        <v>224</v>
      </c>
      <c r="CD2287">
        <v>1</v>
      </c>
      <c r="CE2287">
        <v>0</v>
      </c>
      <c r="CF2287">
        <v>0</v>
      </c>
      <c r="CG2287">
        <v>1</v>
      </c>
      <c r="CH2287">
        <v>0</v>
      </c>
      <c r="CI2287">
        <v>0</v>
      </c>
      <c r="CJ2287">
        <v>0</v>
      </c>
      <c r="CK2287">
        <v>2</v>
      </c>
      <c r="CL2287">
        <v>0</v>
      </c>
      <c r="CM2287">
        <v>2</v>
      </c>
      <c r="CN2287">
        <v>0</v>
      </c>
      <c r="CO2287">
        <v>7</v>
      </c>
      <c r="CP2287" t="s">
        <v>119</v>
      </c>
      <c r="CQ2287">
        <v>180</v>
      </c>
      <c r="CR2287">
        <v>2</v>
      </c>
      <c r="CW2287">
        <v>8491525</v>
      </c>
      <c r="CY2287">
        <v>1</v>
      </c>
      <c r="CZ2287">
        <v>0</v>
      </c>
      <c r="DA2287">
        <v>0</v>
      </c>
      <c r="DB2287">
        <v>0</v>
      </c>
      <c r="DC2287">
        <v>0</v>
      </c>
      <c r="DD2287">
        <v>0</v>
      </c>
      <c r="DE2287">
        <v>0</v>
      </c>
      <c r="DF2287">
        <v>0</v>
      </c>
      <c r="DG2287">
        <v>0</v>
      </c>
      <c r="DH2287">
        <v>0</v>
      </c>
      <c r="DI2287">
        <v>0</v>
      </c>
    </row>
    <row r="2288" spans="1:113" x14ac:dyDescent="0.3">
      <c r="A2288" t="str">
        <f>"02/08/2021 20:26:40.802"</f>
        <v>02/08/2021 20:26:40.802</v>
      </c>
      <c r="C2288" t="str">
        <f t="shared" si="111"/>
        <v>FFDFD7C0</v>
      </c>
      <c r="D2288" t="s">
        <v>113</v>
      </c>
      <c r="E2288">
        <v>6</v>
      </c>
      <c r="H2288">
        <v>165</v>
      </c>
      <c r="I2288" t="s">
        <v>114</v>
      </c>
      <c r="J2288" t="s">
        <v>115</v>
      </c>
      <c r="K2288">
        <v>0</v>
      </c>
      <c r="L2288">
        <v>3</v>
      </c>
      <c r="M2288">
        <v>0</v>
      </c>
      <c r="N2288">
        <v>2</v>
      </c>
      <c r="O2288">
        <v>1</v>
      </c>
      <c r="P2288">
        <v>0</v>
      </c>
      <c r="Q2288">
        <v>0</v>
      </c>
      <c r="S2288" t="str">
        <f>"20:26:43.148"</f>
        <v>20:26:43.148</v>
      </c>
      <c r="T2288" t="str">
        <f>"20:26:42.748"</f>
        <v>20:26:42.748</v>
      </c>
      <c r="U2288" t="str">
        <f t="shared" si="110"/>
        <v>AB01F4</v>
      </c>
      <c r="V2288">
        <v>0</v>
      </c>
      <c r="W2288">
        <v>0</v>
      </c>
      <c r="X2288">
        <v>2</v>
      </c>
      <c r="Z2288">
        <v>0</v>
      </c>
      <c r="AA2288">
        <v>9</v>
      </c>
      <c r="AB2288">
        <v>3</v>
      </c>
      <c r="AC2288">
        <v>0</v>
      </c>
      <c r="AD2288">
        <v>10</v>
      </c>
      <c r="AE2288">
        <v>0</v>
      </c>
      <c r="AF2288">
        <v>3</v>
      </c>
      <c r="AG2288">
        <v>2</v>
      </c>
      <c r="AH2288">
        <v>0</v>
      </c>
      <c r="AI2288" t="s">
        <v>1393</v>
      </c>
      <c r="AJ2288">
        <v>39.968176</v>
      </c>
      <c r="AK2288" t="s">
        <v>1394</v>
      </c>
      <c r="AL2288">
        <v>-92.691157000000004</v>
      </c>
      <c r="AM2288">
        <v>100</v>
      </c>
      <c r="AN2288">
        <v>1700</v>
      </c>
      <c r="AO2288" t="s">
        <v>118</v>
      </c>
      <c r="AP2288">
        <v>-108</v>
      </c>
      <c r="AQ2288">
        <v>78</v>
      </c>
      <c r="AR2288">
        <v>-64</v>
      </c>
      <c r="AZ2288">
        <v>1200</v>
      </c>
      <c r="BA2288">
        <v>1</v>
      </c>
      <c r="BB2288" t="str">
        <f t="shared" si="112"/>
        <v xml:space="preserve">N8080G  </v>
      </c>
      <c r="BC2288">
        <v>1</v>
      </c>
      <c r="BE2288">
        <v>0</v>
      </c>
      <c r="BF2288">
        <v>0</v>
      </c>
      <c r="BG2288">
        <v>0</v>
      </c>
      <c r="BH2288">
        <v>1700</v>
      </c>
      <c r="BI2288">
        <v>1</v>
      </c>
      <c r="BJ2288">
        <v>1</v>
      </c>
      <c r="BK2288">
        <v>1</v>
      </c>
      <c r="BL2288">
        <v>0</v>
      </c>
      <c r="BO2288">
        <v>0</v>
      </c>
      <c r="BP2288">
        <v>0</v>
      </c>
      <c r="BW2288" t="str">
        <f>"20:26:43.153"</f>
        <v>20:26:43.153</v>
      </c>
      <c r="BZ2288">
        <v>0</v>
      </c>
      <c r="CA2288">
        <v>2016</v>
      </c>
      <c r="CB2288">
        <v>224</v>
      </c>
      <c r="CD2288">
        <v>1</v>
      </c>
      <c r="CE2288">
        <v>0</v>
      </c>
      <c r="CF2288">
        <v>0</v>
      </c>
      <c r="CG2288">
        <v>1</v>
      </c>
      <c r="CH2288">
        <v>0</v>
      </c>
      <c r="CI2288">
        <v>0</v>
      </c>
      <c r="CJ2288">
        <v>0</v>
      </c>
      <c r="CK2288">
        <v>2</v>
      </c>
      <c r="CL2288">
        <v>0</v>
      </c>
      <c r="CM2288">
        <v>2</v>
      </c>
      <c r="CN2288">
        <v>0</v>
      </c>
      <c r="CO2288">
        <v>7</v>
      </c>
      <c r="CP2288" t="s">
        <v>119</v>
      </c>
      <c r="CQ2288">
        <v>180</v>
      </c>
      <c r="CR2288">
        <v>2</v>
      </c>
      <c r="CW2288">
        <v>8491525</v>
      </c>
      <c r="CY2288">
        <v>1</v>
      </c>
      <c r="CZ2288">
        <v>0</v>
      </c>
      <c r="DA2288">
        <v>1</v>
      </c>
      <c r="DB2288">
        <v>0</v>
      </c>
      <c r="DC2288">
        <v>0</v>
      </c>
      <c r="DD2288">
        <v>0</v>
      </c>
      <c r="DE2288">
        <v>0</v>
      </c>
      <c r="DF2288">
        <v>0</v>
      </c>
      <c r="DG2288">
        <v>0</v>
      </c>
      <c r="DH2288">
        <v>0</v>
      </c>
      <c r="DI2288">
        <v>0</v>
      </c>
    </row>
    <row r="2289" spans="1:113" x14ac:dyDescent="0.3">
      <c r="A2289" t="str">
        <f>"02/08/2021 20:26:40.802"</f>
        <v>02/08/2021 20:26:40.802</v>
      </c>
      <c r="C2289" t="str">
        <f t="shared" si="111"/>
        <v>FFDFD7C0</v>
      </c>
      <c r="D2289" t="s">
        <v>124</v>
      </c>
      <c r="E2289">
        <v>13</v>
      </c>
      <c r="F2289">
        <v>1013</v>
      </c>
      <c r="G2289" t="s">
        <v>114</v>
      </c>
      <c r="J2289" t="s">
        <v>125</v>
      </c>
      <c r="K2289">
        <v>0</v>
      </c>
      <c r="L2289">
        <v>3</v>
      </c>
      <c r="M2289">
        <v>0</v>
      </c>
      <c r="N2289">
        <v>2</v>
      </c>
      <c r="O2289">
        <v>1</v>
      </c>
      <c r="P2289">
        <v>0</v>
      </c>
      <c r="Q2289">
        <v>0</v>
      </c>
      <c r="S2289" t="str">
        <f>"20:26:43.148"</f>
        <v>20:26:43.148</v>
      </c>
      <c r="T2289" t="str">
        <f>"20:26:42.748"</f>
        <v>20:26:42.748</v>
      </c>
      <c r="U2289" t="str">
        <f t="shared" si="110"/>
        <v>AB01F4</v>
      </c>
      <c r="V2289">
        <v>0</v>
      </c>
      <c r="W2289">
        <v>0</v>
      </c>
      <c r="X2289">
        <v>2</v>
      </c>
      <c r="Z2289">
        <v>0</v>
      </c>
      <c r="AA2289">
        <v>9</v>
      </c>
      <c r="AB2289">
        <v>3</v>
      </c>
      <c r="AC2289">
        <v>0</v>
      </c>
      <c r="AD2289">
        <v>10</v>
      </c>
      <c r="AE2289">
        <v>0</v>
      </c>
      <c r="AF2289">
        <v>3</v>
      </c>
      <c r="AG2289">
        <v>2</v>
      </c>
      <c r="AH2289">
        <v>0</v>
      </c>
      <c r="AI2289" t="s">
        <v>1393</v>
      </c>
      <c r="AJ2289">
        <v>39.968176</v>
      </c>
      <c r="AK2289" t="s">
        <v>1394</v>
      </c>
      <c r="AL2289">
        <v>-92.691157000000004</v>
      </c>
      <c r="AM2289">
        <v>100</v>
      </c>
      <c r="AN2289">
        <v>1700</v>
      </c>
      <c r="AO2289" t="s">
        <v>118</v>
      </c>
      <c r="AP2289">
        <v>-108</v>
      </c>
      <c r="AQ2289">
        <v>78</v>
      </c>
      <c r="AR2289">
        <v>-64</v>
      </c>
      <c r="AZ2289">
        <v>1200</v>
      </c>
      <c r="BA2289">
        <v>1</v>
      </c>
      <c r="BB2289" t="str">
        <f t="shared" si="112"/>
        <v xml:space="preserve">N8080G  </v>
      </c>
      <c r="BC2289">
        <v>1</v>
      </c>
      <c r="BE2289">
        <v>0</v>
      </c>
      <c r="BF2289">
        <v>0</v>
      </c>
      <c r="BG2289">
        <v>0</v>
      </c>
      <c r="BH2289">
        <v>1700</v>
      </c>
      <c r="BI2289">
        <v>1</v>
      </c>
      <c r="BJ2289">
        <v>1</v>
      </c>
      <c r="BK2289">
        <v>1</v>
      </c>
      <c r="BL2289">
        <v>0</v>
      </c>
      <c r="BO2289">
        <v>0</v>
      </c>
      <c r="BP2289">
        <v>0</v>
      </c>
      <c r="BW2289" t="str">
        <f>"20:26:43.153"</f>
        <v>20:26:43.153</v>
      </c>
      <c r="BZ2289">
        <v>0</v>
      </c>
      <c r="CA2289">
        <v>2016</v>
      </c>
      <c r="CB2289">
        <v>224</v>
      </c>
      <c r="CD2289">
        <v>1</v>
      </c>
      <c r="CE2289">
        <v>0</v>
      </c>
      <c r="CF2289">
        <v>0</v>
      </c>
      <c r="CG2289">
        <v>1</v>
      </c>
      <c r="CH2289">
        <v>0</v>
      </c>
      <c r="CI2289">
        <v>0</v>
      </c>
      <c r="CJ2289">
        <v>0</v>
      </c>
      <c r="CK2289">
        <v>2</v>
      </c>
      <c r="CL2289">
        <v>0</v>
      </c>
      <c r="CM2289">
        <v>2</v>
      </c>
      <c r="CN2289">
        <v>0</v>
      </c>
      <c r="CO2289">
        <v>7</v>
      </c>
      <c r="CP2289" t="s">
        <v>119</v>
      </c>
      <c r="CQ2289">
        <v>180</v>
      </c>
      <c r="CR2289">
        <v>2</v>
      </c>
      <c r="CW2289">
        <v>8491525</v>
      </c>
      <c r="CY2289">
        <v>1</v>
      </c>
      <c r="CZ2289">
        <v>0</v>
      </c>
      <c r="DA2289">
        <v>1</v>
      </c>
      <c r="DB2289">
        <v>0</v>
      </c>
      <c r="DC2289">
        <v>0</v>
      </c>
      <c r="DD2289">
        <v>0</v>
      </c>
      <c r="DE2289">
        <v>0</v>
      </c>
      <c r="DF2289">
        <v>0</v>
      </c>
      <c r="DG2289">
        <v>0</v>
      </c>
      <c r="DH2289">
        <v>0</v>
      </c>
      <c r="DI2289">
        <v>0</v>
      </c>
    </row>
    <row r="2290" spans="1:113" x14ac:dyDescent="0.3">
      <c r="A2290" t="str">
        <f>"02/08/2021 20:26:40.802"</f>
        <v>02/08/2021 20:26:40.802</v>
      </c>
      <c r="C2290" t="str">
        <f t="shared" si="111"/>
        <v>FFDFD7C0</v>
      </c>
      <c r="D2290" t="s">
        <v>124</v>
      </c>
      <c r="E2290">
        <v>11</v>
      </c>
      <c r="F2290">
        <v>1011</v>
      </c>
      <c r="G2290" t="s">
        <v>590</v>
      </c>
      <c r="J2290" t="s">
        <v>125</v>
      </c>
      <c r="K2290">
        <v>0</v>
      </c>
      <c r="L2290">
        <v>3</v>
      </c>
      <c r="M2290">
        <v>0</v>
      </c>
      <c r="N2290">
        <v>2</v>
      </c>
      <c r="O2290">
        <v>1</v>
      </c>
      <c r="P2290">
        <v>0</v>
      </c>
      <c r="Q2290">
        <v>0</v>
      </c>
      <c r="S2290" t="str">
        <f>"20:26:43.148"</f>
        <v>20:26:43.148</v>
      </c>
      <c r="T2290" t="str">
        <f>"20:26:42.748"</f>
        <v>20:26:42.748</v>
      </c>
      <c r="U2290" t="str">
        <f t="shared" si="110"/>
        <v>AB01F4</v>
      </c>
      <c r="V2290">
        <v>0</v>
      </c>
      <c r="W2290">
        <v>0</v>
      </c>
      <c r="X2290">
        <v>2</v>
      </c>
      <c r="Z2290">
        <v>0</v>
      </c>
      <c r="AA2290">
        <v>9</v>
      </c>
      <c r="AB2290">
        <v>3</v>
      </c>
      <c r="AC2290">
        <v>0</v>
      </c>
      <c r="AD2290">
        <v>10</v>
      </c>
      <c r="AE2290">
        <v>0</v>
      </c>
      <c r="AF2290">
        <v>3</v>
      </c>
      <c r="AG2290">
        <v>2</v>
      </c>
      <c r="AH2290">
        <v>0</v>
      </c>
      <c r="AI2290" t="s">
        <v>1393</v>
      </c>
      <c r="AJ2290">
        <v>39.968176</v>
      </c>
      <c r="AK2290" t="s">
        <v>1394</v>
      </c>
      <c r="AL2290">
        <v>-92.691157000000004</v>
      </c>
      <c r="AM2290">
        <v>100</v>
      </c>
      <c r="AN2290">
        <v>1700</v>
      </c>
      <c r="AO2290" t="s">
        <v>118</v>
      </c>
      <c r="AP2290">
        <v>-108</v>
      </c>
      <c r="AQ2290">
        <v>78</v>
      </c>
      <c r="AR2290">
        <v>-64</v>
      </c>
      <c r="AZ2290">
        <v>1200</v>
      </c>
      <c r="BA2290">
        <v>1</v>
      </c>
      <c r="BB2290" t="str">
        <f t="shared" si="112"/>
        <v xml:space="preserve">N8080G  </v>
      </c>
      <c r="BC2290">
        <v>1</v>
      </c>
      <c r="BE2290">
        <v>0</v>
      </c>
      <c r="BF2290">
        <v>0</v>
      </c>
      <c r="BG2290">
        <v>0</v>
      </c>
      <c r="BH2290">
        <v>1700</v>
      </c>
      <c r="BI2290">
        <v>1</v>
      </c>
      <c r="BJ2290">
        <v>1</v>
      </c>
      <c r="BK2290">
        <v>1</v>
      </c>
      <c r="BL2290">
        <v>0</v>
      </c>
      <c r="BO2290">
        <v>0</v>
      </c>
      <c r="BP2290">
        <v>0</v>
      </c>
      <c r="BW2290" t="str">
        <f>"20:26:43.153"</f>
        <v>20:26:43.153</v>
      </c>
      <c r="BZ2290">
        <v>0</v>
      </c>
      <c r="CA2290">
        <v>2016</v>
      </c>
      <c r="CB2290">
        <v>224</v>
      </c>
      <c r="CD2290">
        <v>1</v>
      </c>
      <c r="CE2290">
        <v>0</v>
      </c>
      <c r="CF2290">
        <v>0</v>
      </c>
      <c r="CG2290">
        <v>1</v>
      </c>
      <c r="CH2290">
        <v>0</v>
      </c>
      <c r="CI2290">
        <v>0</v>
      </c>
      <c r="CJ2290">
        <v>0</v>
      </c>
      <c r="CK2290">
        <v>2</v>
      </c>
      <c r="CL2290">
        <v>0</v>
      </c>
      <c r="CM2290">
        <v>2</v>
      </c>
      <c r="CN2290">
        <v>0</v>
      </c>
      <c r="CO2290">
        <v>7</v>
      </c>
      <c r="CP2290" t="s">
        <v>119</v>
      </c>
      <c r="CQ2290">
        <v>180</v>
      </c>
      <c r="CR2290">
        <v>2</v>
      </c>
      <c r="CW2290">
        <v>8491525</v>
      </c>
      <c r="CY2290">
        <v>1</v>
      </c>
      <c r="CZ2290">
        <v>0</v>
      </c>
      <c r="DA2290">
        <v>1</v>
      </c>
      <c r="DB2290">
        <v>0</v>
      </c>
      <c r="DC2290">
        <v>0</v>
      </c>
      <c r="DD2290">
        <v>0</v>
      </c>
      <c r="DE2290">
        <v>0</v>
      </c>
      <c r="DF2290">
        <v>0</v>
      </c>
      <c r="DG2290">
        <v>0</v>
      </c>
      <c r="DH2290">
        <v>0</v>
      </c>
      <c r="DI2290">
        <v>0</v>
      </c>
    </row>
    <row r="2291" spans="1:113" x14ac:dyDescent="0.3">
      <c r="A2291" t="str">
        <f>"02/08/2021 20:26:41.711"</f>
        <v>02/08/2021 20:26:41.711</v>
      </c>
      <c r="C2291" t="str">
        <f t="shared" si="111"/>
        <v>FFDFD7C0</v>
      </c>
      <c r="D2291" t="s">
        <v>124</v>
      </c>
      <c r="E2291">
        <v>12</v>
      </c>
      <c r="F2291">
        <v>1012</v>
      </c>
      <c r="G2291" t="s">
        <v>675</v>
      </c>
      <c r="J2291" t="s">
        <v>125</v>
      </c>
      <c r="K2291">
        <v>0</v>
      </c>
      <c r="L2291">
        <v>3</v>
      </c>
      <c r="M2291">
        <v>0</v>
      </c>
      <c r="N2291">
        <v>2</v>
      </c>
      <c r="O2291">
        <v>1</v>
      </c>
      <c r="P2291">
        <v>0</v>
      </c>
      <c r="Q2291">
        <v>0</v>
      </c>
      <c r="S2291" t="str">
        <f>"20:26:44.039"</f>
        <v>20:26:44.039</v>
      </c>
      <c r="T2291" t="str">
        <f>"20:26:43.639"</f>
        <v>20:26:43.639</v>
      </c>
      <c r="U2291" t="str">
        <f t="shared" si="110"/>
        <v>AB01F4</v>
      </c>
      <c r="V2291">
        <v>0</v>
      </c>
      <c r="W2291">
        <v>0</v>
      </c>
      <c r="X2291">
        <v>2</v>
      </c>
      <c r="Z2291">
        <v>0</v>
      </c>
      <c r="AA2291">
        <v>9</v>
      </c>
      <c r="AB2291">
        <v>3</v>
      </c>
      <c r="AC2291">
        <v>0</v>
      </c>
      <c r="AD2291">
        <v>10</v>
      </c>
      <c r="AE2291">
        <v>0</v>
      </c>
      <c r="AF2291">
        <v>3</v>
      </c>
      <c r="AG2291">
        <v>2</v>
      </c>
      <c r="AH2291">
        <v>0</v>
      </c>
      <c r="AI2291" t="s">
        <v>1395</v>
      </c>
      <c r="AJ2291">
        <v>39.968497999999997</v>
      </c>
      <c r="AK2291" t="s">
        <v>1396</v>
      </c>
      <c r="AL2291">
        <v>-92.691715000000002</v>
      </c>
      <c r="AM2291">
        <v>100</v>
      </c>
      <c r="AN2291">
        <v>1700</v>
      </c>
      <c r="AO2291" t="s">
        <v>118</v>
      </c>
      <c r="AP2291">
        <v>-108</v>
      </c>
      <c r="AQ2291">
        <v>78</v>
      </c>
      <c r="AR2291">
        <v>0</v>
      </c>
      <c r="AZ2291">
        <v>1200</v>
      </c>
      <c r="BA2291">
        <v>1</v>
      </c>
      <c r="BB2291" t="str">
        <f t="shared" si="112"/>
        <v xml:space="preserve">N8080G  </v>
      </c>
      <c r="BC2291">
        <v>1</v>
      </c>
      <c r="BE2291">
        <v>0</v>
      </c>
      <c r="BF2291">
        <v>0</v>
      </c>
      <c r="BG2291">
        <v>0</v>
      </c>
      <c r="BH2291">
        <v>1700</v>
      </c>
      <c r="BI2291">
        <v>1</v>
      </c>
      <c r="BJ2291">
        <v>1</v>
      </c>
      <c r="BK2291">
        <v>1</v>
      </c>
      <c r="BL2291">
        <v>0</v>
      </c>
      <c r="BO2291">
        <v>0</v>
      </c>
      <c r="BP2291">
        <v>0</v>
      </c>
      <c r="BW2291" t="str">
        <f>"20:26:44.041"</f>
        <v>20:26:44.041</v>
      </c>
      <c r="BZ2291">
        <v>0</v>
      </c>
      <c r="CA2291">
        <v>2016</v>
      </c>
      <c r="CB2291">
        <v>224</v>
      </c>
      <c r="CD2291">
        <v>1</v>
      </c>
      <c r="CE2291">
        <v>0</v>
      </c>
      <c r="CF2291">
        <v>0</v>
      </c>
      <c r="CG2291">
        <v>1</v>
      </c>
      <c r="CH2291">
        <v>0</v>
      </c>
      <c r="CI2291">
        <v>0</v>
      </c>
      <c r="CJ2291">
        <v>0</v>
      </c>
      <c r="CK2291">
        <v>2</v>
      </c>
      <c r="CL2291">
        <v>0</v>
      </c>
      <c r="CM2291">
        <v>2</v>
      </c>
      <c r="CN2291">
        <v>0</v>
      </c>
      <c r="CO2291">
        <v>3</v>
      </c>
      <c r="CP2291" t="s">
        <v>119</v>
      </c>
      <c r="CQ2291">
        <v>179</v>
      </c>
      <c r="CR2291">
        <v>1</v>
      </c>
      <c r="CW2291">
        <v>8937099</v>
      </c>
      <c r="CY2291">
        <v>1</v>
      </c>
      <c r="CZ2291">
        <v>0</v>
      </c>
      <c r="DA2291">
        <v>0</v>
      </c>
      <c r="DB2291">
        <v>0</v>
      </c>
      <c r="DC2291">
        <v>0</v>
      </c>
      <c r="DD2291">
        <v>0</v>
      </c>
      <c r="DE2291">
        <v>0</v>
      </c>
      <c r="DF2291">
        <v>0</v>
      </c>
      <c r="DG2291">
        <v>0</v>
      </c>
      <c r="DH2291">
        <v>0</v>
      </c>
      <c r="DI2291">
        <v>0</v>
      </c>
    </row>
    <row r="2292" spans="1:113" x14ac:dyDescent="0.3">
      <c r="A2292" t="str">
        <f>"02/08/2021 20:26:41.711"</f>
        <v>02/08/2021 20:26:41.711</v>
      </c>
      <c r="C2292" t="str">
        <f t="shared" si="111"/>
        <v>FFDFD7C0</v>
      </c>
      <c r="D2292" t="s">
        <v>113</v>
      </c>
      <c r="E2292">
        <v>6</v>
      </c>
      <c r="H2292">
        <v>165</v>
      </c>
      <c r="I2292" t="s">
        <v>114</v>
      </c>
      <c r="J2292" t="s">
        <v>115</v>
      </c>
      <c r="K2292">
        <v>0</v>
      </c>
      <c r="L2292">
        <v>3</v>
      </c>
      <c r="M2292">
        <v>0</v>
      </c>
      <c r="N2292">
        <v>2</v>
      </c>
      <c r="O2292">
        <v>1</v>
      </c>
      <c r="P2292">
        <v>0</v>
      </c>
      <c r="Q2292">
        <v>0</v>
      </c>
      <c r="S2292" t="str">
        <f>"20:26:44.039"</f>
        <v>20:26:44.039</v>
      </c>
      <c r="T2292" t="str">
        <f>"20:26:43.639"</f>
        <v>20:26:43.639</v>
      </c>
      <c r="U2292" t="str">
        <f t="shared" si="110"/>
        <v>AB01F4</v>
      </c>
      <c r="V2292">
        <v>0</v>
      </c>
      <c r="W2292">
        <v>0</v>
      </c>
      <c r="X2292">
        <v>2</v>
      </c>
      <c r="Z2292">
        <v>0</v>
      </c>
      <c r="AA2292">
        <v>9</v>
      </c>
      <c r="AB2292">
        <v>3</v>
      </c>
      <c r="AC2292">
        <v>0</v>
      </c>
      <c r="AD2292">
        <v>10</v>
      </c>
      <c r="AE2292">
        <v>0</v>
      </c>
      <c r="AF2292">
        <v>3</v>
      </c>
      <c r="AG2292">
        <v>2</v>
      </c>
      <c r="AH2292">
        <v>0</v>
      </c>
      <c r="AI2292" t="s">
        <v>1395</v>
      </c>
      <c r="AJ2292">
        <v>39.968497999999997</v>
      </c>
      <c r="AK2292" t="s">
        <v>1396</v>
      </c>
      <c r="AL2292">
        <v>-92.691715000000002</v>
      </c>
      <c r="AM2292">
        <v>100</v>
      </c>
      <c r="AN2292">
        <v>1700</v>
      </c>
      <c r="AO2292" t="s">
        <v>118</v>
      </c>
      <c r="AP2292">
        <v>-108</v>
      </c>
      <c r="AQ2292">
        <v>78</v>
      </c>
      <c r="AR2292">
        <v>0</v>
      </c>
      <c r="AZ2292">
        <v>1200</v>
      </c>
      <c r="BA2292">
        <v>1</v>
      </c>
      <c r="BB2292" t="str">
        <f t="shared" si="112"/>
        <v xml:space="preserve">N8080G  </v>
      </c>
      <c r="BC2292">
        <v>1</v>
      </c>
      <c r="BE2292">
        <v>0</v>
      </c>
      <c r="BF2292">
        <v>0</v>
      </c>
      <c r="BG2292">
        <v>0</v>
      </c>
      <c r="BH2292">
        <v>1700</v>
      </c>
      <c r="BI2292">
        <v>1</v>
      </c>
      <c r="BJ2292">
        <v>1</v>
      </c>
      <c r="BK2292">
        <v>1</v>
      </c>
      <c r="BL2292">
        <v>0</v>
      </c>
      <c r="BO2292">
        <v>0</v>
      </c>
      <c r="BP2292">
        <v>0</v>
      </c>
      <c r="BW2292" t="str">
        <f>"20:26:44.041"</f>
        <v>20:26:44.041</v>
      </c>
      <c r="BZ2292">
        <v>0</v>
      </c>
      <c r="CA2292">
        <v>2016</v>
      </c>
      <c r="CB2292">
        <v>224</v>
      </c>
      <c r="CD2292">
        <v>1</v>
      </c>
      <c r="CE2292">
        <v>0</v>
      </c>
      <c r="CF2292">
        <v>0</v>
      </c>
      <c r="CG2292">
        <v>1</v>
      </c>
      <c r="CH2292">
        <v>0</v>
      </c>
      <c r="CI2292">
        <v>0</v>
      </c>
      <c r="CJ2292">
        <v>0</v>
      </c>
      <c r="CK2292">
        <v>2</v>
      </c>
      <c r="CL2292">
        <v>0</v>
      </c>
      <c r="CM2292">
        <v>2</v>
      </c>
      <c r="CN2292">
        <v>0</v>
      </c>
      <c r="CO2292">
        <v>3</v>
      </c>
      <c r="CP2292" t="s">
        <v>119</v>
      </c>
      <c r="CQ2292">
        <v>179</v>
      </c>
      <c r="CR2292">
        <v>1</v>
      </c>
      <c r="CW2292">
        <v>8937099</v>
      </c>
      <c r="CY2292">
        <v>1</v>
      </c>
      <c r="CZ2292">
        <v>0</v>
      </c>
      <c r="DA2292">
        <v>1</v>
      </c>
      <c r="DB2292">
        <v>0</v>
      </c>
      <c r="DC2292">
        <v>0</v>
      </c>
      <c r="DD2292">
        <v>0</v>
      </c>
      <c r="DE2292">
        <v>0</v>
      </c>
      <c r="DF2292">
        <v>0</v>
      </c>
      <c r="DG2292">
        <v>0</v>
      </c>
      <c r="DH2292">
        <v>0</v>
      </c>
      <c r="DI2292">
        <v>0</v>
      </c>
    </row>
    <row r="2293" spans="1:113" x14ac:dyDescent="0.3">
      <c r="A2293" t="str">
        <f>"02/08/2021 20:26:41.711"</f>
        <v>02/08/2021 20:26:41.711</v>
      </c>
      <c r="C2293" t="str">
        <f t="shared" si="111"/>
        <v>FFDFD7C0</v>
      </c>
      <c r="D2293" t="s">
        <v>124</v>
      </c>
      <c r="E2293">
        <v>13</v>
      </c>
      <c r="F2293">
        <v>1013</v>
      </c>
      <c r="G2293" t="s">
        <v>114</v>
      </c>
      <c r="J2293" t="s">
        <v>125</v>
      </c>
      <c r="K2293">
        <v>0</v>
      </c>
      <c r="L2293">
        <v>3</v>
      </c>
      <c r="M2293">
        <v>0</v>
      </c>
      <c r="N2293">
        <v>2</v>
      </c>
      <c r="O2293">
        <v>1</v>
      </c>
      <c r="P2293">
        <v>0</v>
      </c>
      <c r="Q2293">
        <v>0</v>
      </c>
      <c r="S2293" t="str">
        <f>"20:26:44.039"</f>
        <v>20:26:44.039</v>
      </c>
      <c r="T2293" t="str">
        <f>"20:26:43.639"</f>
        <v>20:26:43.639</v>
      </c>
      <c r="U2293" t="str">
        <f t="shared" si="110"/>
        <v>AB01F4</v>
      </c>
      <c r="V2293">
        <v>0</v>
      </c>
      <c r="W2293">
        <v>0</v>
      </c>
      <c r="X2293">
        <v>2</v>
      </c>
      <c r="Z2293">
        <v>0</v>
      </c>
      <c r="AA2293">
        <v>9</v>
      </c>
      <c r="AB2293">
        <v>3</v>
      </c>
      <c r="AC2293">
        <v>0</v>
      </c>
      <c r="AD2293">
        <v>10</v>
      </c>
      <c r="AE2293">
        <v>0</v>
      </c>
      <c r="AF2293">
        <v>3</v>
      </c>
      <c r="AG2293">
        <v>2</v>
      </c>
      <c r="AH2293">
        <v>0</v>
      </c>
      <c r="AI2293" t="s">
        <v>1395</v>
      </c>
      <c r="AJ2293">
        <v>39.968497999999997</v>
      </c>
      <c r="AK2293" t="s">
        <v>1396</v>
      </c>
      <c r="AL2293">
        <v>-92.691715000000002</v>
      </c>
      <c r="AM2293">
        <v>100</v>
      </c>
      <c r="AN2293">
        <v>1700</v>
      </c>
      <c r="AO2293" t="s">
        <v>118</v>
      </c>
      <c r="AP2293">
        <v>-108</v>
      </c>
      <c r="AQ2293">
        <v>78</v>
      </c>
      <c r="AR2293">
        <v>0</v>
      </c>
      <c r="AZ2293">
        <v>1200</v>
      </c>
      <c r="BA2293">
        <v>1</v>
      </c>
      <c r="BB2293" t="str">
        <f t="shared" si="112"/>
        <v xml:space="preserve">N8080G  </v>
      </c>
      <c r="BC2293">
        <v>1</v>
      </c>
      <c r="BE2293">
        <v>0</v>
      </c>
      <c r="BF2293">
        <v>0</v>
      </c>
      <c r="BG2293">
        <v>0</v>
      </c>
      <c r="BH2293">
        <v>1700</v>
      </c>
      <c r="BI2293">
        <v>1</v>
      </c>
      <c r="BJ2293">
        <v>1</v>
      </c>
      <c r="BK2293">
        <v>1</v>
      </c>
      <c r="BL2293">
        <v>0</v>
      </c>
      <c r="BO2293">
        <v>0</v>
      </c>
      <c r="BP2293">
        <v>0</v>
      </c>
      <c r="BW2293" t="str">
        <f>"20:26:44.041"</f>
        <v>20:26:44.041</v>
      </c>
      <c r="BZ2293">
        <v>0</v>
      </c>
      <c r="CA2293">
        <v>2016</v>
      </c>
      <c r="CB2293">
        <v>224</v>
      </c>
      <c r="CD2293">
        <v>1</v>
      </c>
      <c r="CE2293">
        <v>0</v>
      </c>
      <c r="CF2293">
        <v>0</v>
      </c>
      <c r="CG2293">
        <v>1</v>
      </c>
      <c r="CH2293">
        <v>0</v>
      </c>
      <c r="CI2293">
        <v>0</v>
      </c>
      <c r="CJ2293">
        <v>0</v>
      </c>
      <c r="CK2293">
        <v>2</v>
      </c>
      <c r="CL2293">
        <v>0</v>
      </c>
      <c r="CM2293">
        <v>2</v>
      </c>
      <c r="CN2293">
        <v>0</v>
      </c>
      <c r="CO2293">
        <v>3</v>
      </c>
      <c r="CP2293" t="s">
        <v>119</v>
      </c>
      <c r="CQ2293">
        <v>179</v>
      </c>
      <c r="CR2293">
        <v>1</v>
      </c>
      <c r="CW2293">
        <v>8937099</v>
      </c>
      <c r="CY2293">
        <v>1</v>
      </c>
      <c r="CZ2293">
        <v>0</v>
      </c>
      <c r="DA2293">
        <v>1</v>
      </c>
      <c r="DB2293">
        <v>0</v>
      </c>
      <c r="DC2293">
        <v>0</v>
      </c>
      <c r="DD2293">
        <v>0</v>
      </c>
      <c r="DE2293">
        <v>0</v>
      </c>
      <c r="DF2293">
        <v>0</v>
      </c>
      <c r="DG2293">
        <v>0</v>
      </c>
      <c r="DH2293">
        <v>0</v>
      </c>
      <c r="DI2293">
        <v>0</v>
      </c>
    </row>
    <row r="2294" spans="1:113" x14ac:dyDescent="0.3">
      <c r="A2294" t="str">
        <f>"02/08/2021 20:26:41.711"</f>
        <v>02/08/2021 20:26:41.711</v>
      </c>
      <c r="C2294" t="str">
        <f t="shared" si="111"/>
        <v>FFDFD7C0</v>
      </c>
      <c r="D2294" t="s">
        <v>124</v>
      </c>
      <c r="E2294">
        <v>11</v>
      </c>
      <c r="F2294">
        <v>1011</v>
      </c>
      <c r="G2294" t="s">
        <v>590</v>
      </c>
      <c r="J2294" t="s">
        <v>125</v>
      </c>
      <c r="K2294">
        <v>0</v>
      </c>
      <c r="L2294">
        <v>3</v>
      </c>
      <c r="M2294">
        <v>0</v>
      </c>
      <c r="N2294">
        <v>2</v>
      </c>
      <c r="O2294">
        <v>1</v>
      </c>
      <c r="P2294">
        <v>0</v>
      </c>
      <c r="Q2294">
        <v>0</v>
      </c>
      <c r="S2294" t="str">
        <f>"20:26:44.039"</f>
        <v>20:26:44.039</v>
      </c>
      <c r="T2294" t="str">
        <f>"20:26:43.639"</f>
        <v>20:26:43.639</v>
      </c>
      <c r="U2294" t="str">
        <f t="shared" si="110"/>
        <v>AB01F4</v>
      </c>
      <c r="V2294">
        <v>0</v>
      </c>
      <c r="W2294">
        <v>0</v>
      </c>
      <c r="X2294">
        <v>2</v>
      </c>
      <c r="Z2294">
        <v>0</v>
      </c>
      <c r="AA2294">
        <v>9</v>
      </c>
      <c r="AB2294">
        <v>3</v>
      </c>
      <c r="AC2294">
        <v>0</v>
      </c>
      <c r="AD2294">
        <v>10</v>
      </c>
      <c r="AE2294">
        <v>0</v>
      </c>
      <c r="AF2294">
        <v>3</v>
      </c>
      <c r="AG2294">
        <v>2</v>
      </c>
      <c r="AH2294">
        <v>0</v>
      </c>
      <c r="AI2294" t="s">
        <v>1395</v>
      </c>
      <c r="AJ2294">
        <v>39.968497999999997</v>
      </c>
      <c r="AK2294" t="s">
        <v>1396</v>
      </c>
      <c r="AL2294">
        <v>-92.691715000000002</v>
      </c>
      <c r="AM2294">
        <v>100</v>
      </c>
      <c r="AN2294">
        <v>1700</v>
      </c>
      <c r="AO2294" t="s">
        <v>118</v>
      </c>
      <c r="AP2294">
        <v>-108</v>
      </c>
      <c r="AQ2294">
        <v>78</v>
      </c>
      <c r="AR2294">
        <v>0</v>
      </c>
      <c r="AZ2294">
        <v>1200</v>
      </c>
      <c r="BA2294">
        <v>1</v>
      </c>
      <c r="BB2294" t="str">
        <f t="shared" si="112"/>
        <v xml:space="preserve">N8080G  </v>
      </c>
      <c r="BC2294">
        <v>1</v>
      </c>
      <c r="BE2294">
        <v>0</v>
      </c>
      <c r="BF2294">
        <v>0</v>
      </c>
      <c r="BG2294">
        <v>0</v>
      </c>
      <c r="BH2294">
        <v>1700</v>
      </c>
      <c r="BI2294">
        <v>1</v>
      </c>
      <c r="BJ2294">
        <v>1</v>
      </c>
      <c r="BK2294">
        <v>1</v>
      </c>
      <c r="BL2294">
        <v>0</v>
      </c>
      <c r="BO2294">
        <v>0</v>
      </c>
      <c r="BP2294">
        <v>0</v>
      </c>
      <c r="BW2294" t="str">
        <f>"20:26:44.041"</f>
        <v>20:26:44.041</v>
      </c>
      <c r="BZ2294">
        <v>0</v>
      </c>
      <c r="CA2294">
        <v>2016</v>
      </c>
      <c r="CB2294">
        <v>224</v>
      </c>
      <c r="CD2294">
        <v>1</v>
      </c>
      <c r="CE2294">
        <v>0</v>
      </c>
      <c r="CF2294">
        <v>0</v>
      </c>
      <c r="CG2294">
        <v>1</v>
      </c>
      <c r="CH2294">
        <v>0</v>
      </c>
      <c r="CI2294">
        <v>0</v>
      </c>
      <c r="CJ2294">
        <v>0</v>
      </c>
      <c r="CK2294">
        <v>2</v>
      </c>
      <c r="CL2294">
        <v>0</v>
      </c>
      <c r="CM2294">
        <v>2</v>
      </c>
      <c r="CN2294">
        <v>0</v>
      </c>
      <c r="CO2294">
        <v>3</v>
      </c>
      <c r="CP2294" t="s">
        <v>119</v>
      </c>
      <c r="CQ2294">
        <v>179</v>
      </c>
      <c r="CR2294">
        <v>1</v>
      </c>
      <c r="CW2294">
        <v>8937099</v>
      </c>
      <c r="CY2294">
        <v>1</v>
      </c>
      <c r="CZ2294">
        <v>0</v>
      </c>
      <c r="DA2294">
        <v>1</v>
      </c>
      <c r="DB2294">
        <v>0</v>
      </c>
      <c r="DC2294">
        <v>0</v>
      </c>
      <c r="DD2294">
        <v>0</v>
      </c>
      <c r="DE2294">
        <v>0</v>
      </c>
      <c r="DF2294">
        <v>0</v>
      </c>
      <c r="DG2294">
        <v>0</v>
      </c>
      <c r="DH2294">
        <v>0</v>
      </c>
      <c r="DI2294">
        <v>0</v>
      </c>
    </row>
    <row r="2295" spans="1:113" x14ac:dyDescent="0.3">
      <c r="A2295" t="str">
        <f>"02/08/2021 20:26:42.725"</f>
        <v>02/08/2021 20:26:42.725</v>
      </c>
      <c r="C2295" t="str">
        <f t="shared" si="111"/>
        <v>FFDFD7C0</v>
      </c>
      <c r="D2295" t="s">
        <v>113</v>
      </c>
      <c r="E2295">
        <v>6</v>
      </c>
      <c r="H2295">
        <v>165</v>
      </c>
      <c r="I2295" t="s">
        <v>114</v>
      </c>
      <c r="J2295" t="s">
        <v>115</v>
      </c>
      <c r="K2295">
        <v>0</v>
      </c>
      <c r="L2295">
        <v>3</v>
      </c>
      <c r="M2295">
        <v>0</v>
      </c>
      <c r="N2295">
        <v>2</v>
      </c>
      <c r="O2295">
        <v>1</v>
      </c>
      <c r="P2295">
        <v>0</v>
      </c>
      <c r="Q2295">
        <v>0</v>
      </c>
      <c r="S2295" t="str">
        <f>"20:26:45.031"</f>
        <v>20:26:45.031</v>
      </c>
      <c r="T2295" t="str">
        <f>"20:26:44.631"</f>
        <v>20:26:44.631</v>
      </c>
      <c r="U2295" t="str">
        <f t="shared" si="110"/>
        <v>AB01F4</v>
      </c>
      <c r="V2295">
        <v>0</v>
      </c>
      <c r="W2295">
        <v>0</v>
      </c>
      <c r="X2295">
        <v>2</v>
      </c>
      <c r="Z2295">
        <v>0</v>
      </c>
      <c r="AA2295">
        <v>9</v>
      </c>
      <c r="AB2295">
        <v>3</v>
      </c>
      <c r="AC2295">
        <v>0</v>
      </c>
      <c r="AD2295">
        <v>10</v>
      </c>
      <c r="AE2295">
        <v>0</v>
      </c>
      <c r="AF2295">
        <v>3</v>
      </c>
      <c r="AG2295">
        <v>2</v>
      </c>
      <c r="AH2295">
        <v>0</v>
      </c>
      <c r="AI2295" t="s">
        <v>1397</v>
      </c>
      <c r="AJ2295">
        <v>39.968862999999999</v>
      </c>
      <c r="AK2295" t="s">
        <v>1398</v>
      </c>
      <c r="AL2295">
        <v>-92.692401000000004</v>
      </c>
      <c r="AM2295">
        <v>100</v>
      </c>
      <c r="AN2295">
        <v>1700</v>
      </c>
      <c r="AO2295" t="s">
        <v>118</v>
      </c>
      <c r="AP2295">
        <v>-108</v>
      </c>
      <c r="AQ2295">
        <v>78</v>
      </c>
      <c r="AR2295">
        <v>0</v>
      </c>
      <c r="AZ2295">
        <v>1200</v>
      </c>
      <c r="BA2295">
        <v>1</v>
      </c>
      <c r="BB2295" t="str">
        <f t="shared" si="112"/>
        <v xml:space="preserve">N8080G  </v>
      </c>
      <c r="BC2295">
        <v>1</v>
      </c>
      <c r="BE2295">
        <v>0</v>
      </c>
      <c r="BF2295">
        <v>0</v>
      </c>
      <c r="BG2295">
        <v>0</v>
      </c>
      <c r="BH2295">
        <v>1700</v>
      </c>
      <c r="BI2295">
        <v>1</v>
      </c>
      <c r="BJ2295">
        <v>1</v>
      </c>
      <c r="BK2295">
        <v>1</v>
      </c>
      <c r="BL2295">
        <v>0</v>
      </c>
      <c r="BO2295">
        <v>0</v>
      </c>
      <c r="BP2295">
        <v>0</v>
      </c>
      <c r="BW2295" t="str">
        <f>"20:26:45.036"</f>
        <v>20:26:45.036</v>
      </c>
      <c r="BZ2295">
        <v>0</v>
      </c>
      <c r="CA2295">
        <v>2016</v>
      </c>
      <c r="CB2295">
        <v>224</v>
      </c>
      <c r="CD2295">
        <v>1</v>
      </c>
      <c r="CE2295">
        <v>0</v>
      </c>
      <c r="CF2295">
        <v>0</v>
      </c>
      <c r="CG2295">
        <v>1</v>
      </c>
      <c r="CH2295">
        <v>0</v>
      </c>
      <c r="CI2295">
        <v>0</v>
      </c>
      <c r="CJ2295">
        <v>0</v>
      </c>
      <c r="CK2295">
        <v>2</v>
      </c>
      <c r="CL2295">
        <v>0</v>
      </c>
      <c r="CM2295">
        <v>2</v>
      </c>
      <c r="CN2295">
        <v>0</v>
      </c>
      <c r="CO2295">
        <v>2</v>
      </c>
      <c r="CP2295" t="s">
        <v>119</v>
      </c>
      <c r="CQ2295">
        <v>179</v>
      </c>
      <c r="CR2295">
        <v>1</v>
      </c>
      <c r="CW2295">
        <v>8937901</v>
      </c>
      <c r="CY2295">
        <v>1</v>
      </c>
      <c r="CZ2295">
        <v>0</v>
      </c>
      <c r="DA2295">
        <v>0</v>
      </c>
      <c r="DB2295">
        <v>0</v>
      </c>
      <c r="DC2295">
        <v>0</v>
      </c>
      <c r="DD2295">
        <v>0</v>
      </c>
      <c r="DE2295">
        <v>0</v>
      </c>
      <c r="DF2295">
        <v>0</v>
      </c>
      <c r="DG2295">
        <v>0</v>
      </c>
      <c r="DH2295">
        <v>0</v>
      </c>
      <c r="DI2295">
        <v>0</v>
      </c>
    </row>
    <row r="2296" spans="1:113" x14ac:dyDescent="0.3">
      <c r="A2296" t="str">
        <f>"02/08/2021 20:26:42.725"</f>
        <v>02/08/2021 20:26:42.725</v>
      </c>
      <c r="C2296" t="str">
        <f t="shared" si="111"/>
        <v>FFDFD7C0</v>
      </c>
      <c r="D2296" t="s">
        <v>124</v>
      </c>
      <c r="E2296">
        <v>13</v>
      </c>
      <c r="F2296">
        <v>1013</v>
      </c>
      <c r="G2296" t="s">
        <v>114</v>
      </c>
      <c r="J2296" t="s">
        <v>125</v>
      </c>
      <c r="K2296">
        <v>0</v>
      </c>
      <c r="L2296">
        <v>3</v>
      </c>
      <c r="M2296">
        <v>0</v>
      </c>
      <c r="N2296">
        <v>2</v>
      </c>
      <c r="O2296">
        <v>1</v>
      </c>
      <c r="P2296">
        <v>0</v>
      </c>
      <c r="Q2296">
        <v>0</v>
      </c>
      <c r="S2296" t="str">
        <f>"20:26:45.031"</f>
        <v>20:26:45.031</v>
      </c>
      <c r="T2296" t="str">
        <f>"20:26:44.631"</f>
        <v>20:26:44.631</v>
      </c>
      <c r="U2296" t="str">
        <f t="shared" si="110"/>
        <v>AB01F4</v>
      </c>
      <c r="V2296">
        <v>0</v>
      </c>
      <c r="W2296">
        <v>0</v>
      </c>
      <c r="X2296">
        <v>2</v>
      </c>
      <c r="Z2296">
        <v>0</v>
      </c>
      <c r="AA2296">
        <v>9</v>
      </c>
      <c r="AB2296">
        <v>3</v>
      </c>
      <c r="AC2296">
        <v>0</v>
      </c>
      <c r="AD2296">
        <v>10</v>
      </c>
      <c r="AE2296">
        <v>0</v>
      </c>
      <c r="AF2296">
        <v>3</v>
      </c>
      <c r="AG2296">
        <v>2</v>
      </c>
      <c r="AH2296">
        <v>0</v>
      </c>
      <c r="AI2296" t="s">
        <v>1397</v>
      </c>
      <c r="AJ2296">
        <v>39.968862999999999</v>
      </c>
      <c r="AK2296" t="s">
        <v>1398</v>
      </c>
      <c r="AL2296">
        <v>-92.692401000000004</v>
      </c>
      <c r="AM2296">
        <v>100</v>
      </c>
      <c r="AN2296">
        <v>1700</v>
      </c>
      <c r="AO2296" t="s">
        <v>118</v>
      </c>
      <c r="AP2296">
        <v>-108</v>
      </c>
      <c r="AQ2296">
        <v>78</v>
      </c>
      <c r="AR2296">
        <v>0</v>
      </c>
      <c r="AZ2296">
        <v>1200</v>
      </c>
      <c r="BA2296">
        <v>1</v>
      </c>
      <c r="BB2296" t="str">
        <f t="shared" si="112"/>
        <v xml:space="preserve">N8080G  </v>
      </c>
      <c r="BC2296">
        <v>1</v>
      </c>
      <c r="BE2296">
        <v>0</v>
      </c>
      <c r="BF2296">
        <v>0</v>
      </c>
      <c r="BG2296">
        <v>0</v>
      </c>
      <c r="BH2296">
        <v>1700</v>
      </c>
      <c r="BI2296">
        <v>1</v>
      </c>
      <c r="BJ2296">
        <v>1</v>
      </c>
      <c r="BK2296">
        <v>1</v>
      </c>
      <c r="BL2296">
        <v>0</v>
      </c>
      <c r="BO2296">
        <v>0</v>
      </c>
      <c r="BP2296">
        <v>0</v>
      </c>
      <c r="BW2296" t="str">
        <f>"20:26:45.036"</f>
        <v>20:26:45.036</v>
      </c>
      <c r="BZ2296">
        <v>0</v>
      </c>
      <c r="CA2296">
        <v>2016</v>
      </c>
      <c r="CB2296">
        <v>224</v>
      </c>
      <c r="CD2296">
        <v>1</v>
      </c>
      <c r="CE2296">
        <v>0</v>
      </c>
      <c r="CF2296">
        <v>0</v>
      </c>
      <c r="CG2296">
        <v>1</v>
      </c>
      <c r="CH2296">
        <v>0</v>
      </c>
      <c r="CI2296">
        <v>0</v>
      </c>
      <c r="CJ2296">
        <v>0</v>
      </c>
      <c r="CK2296">
        <v>2</v>
      </c>
      <c r="CL2296">
        <v>0</v>
      </c>
      <c r="CM2296">
        <v>2</v>
      </c>
      <c r="CN2296">
        <v>0</v>
      </c>
      <c r="CO2296">
        <v>2</v>
      </c>
      <c r="CP2296" t="s">
        <v>119</v>
      </c>
      <c r="CQ2296">
        <v>179</v>
      </c>
      <c r="CR2296">
        <v>1</v>
      </c>
      <c r="CW2296">
        <v>8937901</v>
      </c>
      <c r="CY2296">
        <v>1</v>
      </c>
      <c r="CZ2296">
        <v>0</v>
      </c>
      <c r="DA2296">
        <v>1</v>
      </c>
      <c r="DB2296">
        <v>0</v>
      </c>
      <c r="DC2296">
        <v>0</v>
      </c>
      <c r="DD2296">
        <v>0</v>
      </c>
      <c r="DE2296">
        <v>0</v>
      </c>
      <c r="DF2296">
        <v>0</v>
      </c>
      <c r="DG2296">
        <v>0</v>
      </c>
      <c r="DH2296">
        <v>0</v>
      </c>
      <c r="DI2296">
        <v>0</v>
      </c>
    </row>
    <row r="2297" spans="1:113" x14ac:dyDescent="0.3">
      <c r="A2297" t="str">
        <f>"02/08/2021 20:26:42.725"</f>
        <v>02/08/2021 20:26:42.725</v>
      </c>
      <c r="C2297" t="str">
        <f t="shared" si="111"/>
        <v>FFDFD7C0</v>
      </c>
      <c r="D2297" t="s">
        <v>124</v>
      </c>
      <c r="E2297">
        <v>11</v>
      </c>
      <c r="F2297">
        <v>1011</v>
      </c>
      <c r="G2297" t="s">
        <v>590</v>
      </c>
      <c r="J2297" t="s">
        <v>125</v>
      </c>
      <c r="K2297">
        <v>0</v>
      </c>
      <c r="L2297">
        <v>3</v>
      </c>
      <c r="M2297">
        <v>0</v>
      </c>
      <c r="N2297">
        <v>2</v>
      </c>
      <c r="O2297">
        <v>1</v>
      </c>
      <c r="P2297">
        <v>0</v>
      </c>
      <c r="Q2297">
        <v>0</v>
      </c>
      <c r="S2297" t="str">
        <f>"20:26:45.031"</f>
        <v>20:26:45.031</v>
      </c>
      <c r="T2297" t="str">
        <f>"20:26:44.631"</f>
        <v>20:26:44.631</v>
      </c>
      <c r="U2297" t="str">
        <f t="shared" si="110"/>
        <v>AB01F4</v>
      </c>
      <c r="V2297">
        <v>0</v>
      </c>
      <c r="W2297">
        <v>0</v>
      </c>
      <c r="X2297">
        <v>2</v>
      </c>
      <c r="Z2297">
        <v>0</v>
      </c>
      <c r="AA2297">
        <v>9</v>
      </c>
      <c r="AB2297">
        <v>3</v>
      </c>
      <c r="AC2297">
        <v>0</v>
      </c>
      <c r="AD2297">
        <v>10</v>
      </c>
      <c r="AE2297">
        <v>0</v>
      </c>
      <c r="AF2297">
        <v>3</v>
      </c>
      <c r="AG2297">
        <v>2</v>
      </c>
      <c r="AH2297">
        <v>0</v>
      </c>
      <c r="AI2297" t="s">
        <v>1397</v>
      </c>
      <c r="AJ2297">
        <v>39.968862999999999</v>
      </c>
      <c r="AK2297" t="s">
        <v>1398</v>
      </c>
      <c r="AL2297">
        <v>-92.692401000000004</v>
      </c>
      <c r="AM2297">
        <v>100</v>
      </c>
      <c r="AN2297">
        <v>1700</v>
      </c>
      <c r="AO2297" t="s">
        <v>118</v>
      </c>
      <c r="AP2297">
        <v>-108</v>
      </c>
      <c r="AQ2297">
        <v>78</v>
      </c>
      <c r="AR2297">
        <v>0</v>
      </c>
      <c r="AZ2297">
        <v>1200</v>
      </c>
      <c r="BA2297">
        <v>1</v>
      </c>
      <c r="BB2297" t="str">
        <f t="shared" si="112"/>
        <v xml:space="preserve">N8080G  </v>
      </c>
      <c r="BC2297">
        <v>1</v>
      </c>
      <c r="BE2297">
        <v>0</v>
      </c>
      <c r="BF2297">
        <v>0</v>
      </c>
      <c r="BG2297">
        <v>0</v>
      </c>
      <c r="BH2297">
        <v>1700</v>
      </c>
      <c r="BI2297">
        <v>1</v>
      </c>
      <c r="BJ2297">
        <v>1</v>
      </c>
      <c r="BK2297">
        <v>1</v>
      </c>
      <c r="BL2297">
        <v>0</v>
      </c>
      <c r="BO2297">
        <v>0</v>
      </c>
      <c r="BP2297">
        <v>0</v>
      </c>
      <c r="BW2297" t="str">
        <f>"20:26:45.036"</f>
        <v>20:26:45.036</v>
      </c>
      <c r="BZ2297">
        <v>0</v>
      </c>
      <c r="CA2297">
        <v>2016</v>
      </c>
      <c r="CB2297">
        <v>224</v>
      </c>
      <c r="CD2297">
        <v>1</v>
      </c>
      <c r="CE2297">
        <v>0</v>
      </c>
      <c r="CF2297">
        <v>0</v>
      </c>
      <c r="CG2297">
        <v>1</v>
      </c>
      <c r="CH2297">
        <v>0</v>
      </c>
      <c r="CI2297">
        <v>0</v>
      </c>
      <c r="CJ2297">
        <v>0</v>
      </c>
      <c r="CK2297">
        <v>2</v>
      </c>
      <c r="CL2297">
        <v>0</v>
      </c>
      <c r="CM2297">
        <v>2</v>
      </c>
      <c r="CN2297">
        <v>0</v>
      </c>
      <c r="CO2297">
        <v>2</v>
      </c>
      <c r="CP2297" t="s">
        <v>119</v>
      </c>
      <c r="CQ2297">
        <v>179</v>
      </c>
      <c r="CR2297">
        <v>1</v>
      </c>
      <c r="CW2297">
        <v>8937901</v>
      </c>
      <c r="CY2297">
        <v>1</v>
      </c>
      <c r="CZ2297">
        <v>0</v>
      </c>
      <c r="DA2297">
        <v>1</v>
      </c>
      <c r="DB2297">
        <v>0</v>
      </c>
      <c r="DC2297">
        <v>0</v>
      </c>
      <c r="DD2297">
        <v>0</v>
      </c>
      <c r="DE2297">
        <v>0</v>
      </c>
      <c r="DF2297">
        <v>0</v>
      </c>
      <c r="DG2297">
        <v>0</v>
      </c>
      <c r="DH2297">
        <v>0</v>
      </c>
      <c r="DI2297">
        <v>0</v>
      </c>
    </row>
    <row r="2298" spans="1:113" x14ac:dyDescent="0.3">
      <c r="A2298" t="str">
        <f>"02/08/2021 20:26:42.725"</f>
        <v>02/08/2021 20:26:42.725</v>
      </c>
      <c r="C2298" t="str">
        <f t="shared" si="111"/>
        <v>FFDFD7C0</v>
      </c>
      <c r="D2298" t="s">
        <v>124</v>
      </c>
      <c r="E2298">
        <v>12</v>
      </c>
      <c r="F2298">
        <v>1012</v>
      </c>
      <c r="G2298" t="s">
        <v>675</v>
      </c>
      <c r="J2298" t="s">
        <v>125</v>
      </c>
      <c r="K2298">
        <v>0</v>
      </c>
      <c r="L2298">
        <v>3</v>
      </c>
      <c r="M2298">
        <v>0</v>
      </c>
      <c r="N2298">
        <v>2</v>
      </c>
      <c r="O2298">
        <v>1</v>
      </c>
      <c r="P2298">
        <v>0</v>
      </c>
      <c r="Q2298">
        <v>0</v>
      </c>
      <c r="S2298" t="str">
        <f>"20:26:45.031"</f>
        <v>20:26:45.031</v>
      </c>
      <c r="T2298" t="str">
        <f>"20:26:44.631"</f>
        <v>20:26:44.631</v>
      </c>
      <c r="U2298" t="str">
        <f t="shared" si="110"/>
        <v>AB01F4</v>
      </c>
      <c r="V2298">
        <v>0</v>
      </c>
      <c r="W2298">
        <v>0</v>
      </c>
      <c r="X2298">
        <v>2</v>
      </c>
      <c r="Z2298">
        <v>0</v>
      </c>
      <c r="AA2298">
        <v>9</v>
      </c>
      <c r="AB2298">
        <v>3</v>
      </c>
      <c r="AC2298">
        <v>0</v>
      </c>
      <c r="AD2298">
        <v>10</v>
      </c>
      <c r="AE2298">
        <v>0</v>
      </c>
      <c r="AF2298">
        <v>3</v>
      </c>
      <c r="AG2298">
        <v>2</v>
      </c>
      <c r="AH2298">
        <v>0</v>
      </c>
      <c r="AI2298" t="s">
        <v>1397</v>
      </c>
      <c r="AJ2298">
        <v>39.968862999999999</v>
      </c>
      <c r="AK2298" t="s">
        <v>1398</v>
      </c>
      <c r="AL2298">
        <v>-92.692401000000004</v>
      </c>
      <c r="AM2298">
        <v>100</v>
      </c>
      <c r="AN2298">
        <v>1700</v>
      </c>
      <c r="AO2298" t="s">
        <v>118</v>
      </c>
      <c r="AP2298">
        <v>-108</v>
      </c>
      <c r="AQ2298">
        <v>78</v>
      </c>
      <c r="AR2298">
        <v>0</v>
      </c>
      <c r="AZ2298">
        <v>1200</v>
      </c>
      <c r="BA2298">
        <v>1</v>
      </c>
      <c r="BB2298" t="str">
        <f t="shared" si="112"/>
        <v xml:space="preserve">N8080G  </v>
      </c>
      <c r="BC2298">
        <v>1</v>
      </c>
      <c r="BE2298">
        <v>0</v>
      </c>
      <c r="BF2298">
        <v>0</v>
      </c>
      <c r="BG2298">
        <v>0</v>
      </c>
      <c r="BH2298">
        <v>1700</v>
      </c>
      <c r="BI2298">
        <v>1</v>
      </c>
      <c r="BJ2298">
        <v>1</v>
      </c>
      <c r="BK2298">
        <v>1</v>
      </c>
      <c r="BL2298">
        <v>0</v>
      </c>
      <c r="BO2298">
        <v>0</v>
      </c>
      <c r="BP2298">
        <v>0</v>
      </c>
      <c r="BW2298" t="str">
        <f>"20:26:45.036"</f>
        <v>20:26:45.036</v>
      </c>
      <c r="BZ2298">
        <v>0</v>
      </c>
      <c r="CA2298">
        <v>2016</v>
      </c>
      <c r="CB2298">
        <v>224</v>
      </c>
      <c r="CD2298">
        <v>1</v>
      </c>
      <c r="CE2298">
        <v>0</v>
      </c>
      <c r="CF2298">
        <v>0</v>
      </c>
      <c r="CG2298">
        <v>1</v>
      </c>
      <c r="CH2298">
        <v>0</v>
      </c>
      <c r="CI2298">
        <v>0</v>
      </c>
      <c r="CJ2298">
        <v>0</v>
      </c>
      <c r="CK2298">
        <v>2</v>
      </c>
      <c r="CL2298">
        <v>0</v>
      </c>
      <c r="CM2298">
        <v>2</v>
      </c>
      <c r="CN2298">
        <v>0</v>
      </c>
      <c r="CO2298">
        <v>2</v>
      </c>
      <c r="CP2298" t="s">
        <v>119</v>
      </c>
      <c r="CQ2298">
        <v>179</v>
      </c>
      <c r="CR2298">
        <v>1</v>
      </c>
      <c r="CW2298">
        <v>8937901</v>
      </c>
      <c r="CY2298">
        <v>1</v>
      </c>
      <c r="CZ2298">
        <v>0</v>
      </c>
      <c r="DA2298">
        <v>1</v>
      </c>
      <c r="DB2298">
        <v>0</v>
      </c>
      <c r="DC2298">
        <v>0</v>
      </c>
      <c r="DD2298">
        <v>0</v>
      </c>
      <c r="DE2298">
        <v>0</v>
      </c>
      <c r="DF2298">
        <v>0</v>
      </c>
      <c r="DG2298">
        <v>0</v>
      </c>
      <c r="DH2298">
        <v>0</v>
      </c>
      <c r="DI2298">
        <v>0</v>
      </c>
    </row>
    <row r="2299" spans="1:113" x14ac:dyDescent="0.3">
      <c r="A2299" t="str">
        <f>"02/08/2021 20:26:43.724"</f>
        <v>02/08/2021 20:26:43.724</v>
      </c>
      <c r="C2299" t="str">
        <f t="shared" si="111"/>
        <v>FFDFD7C0</v>
      </c>
      <c r="D2299" t="s">
        <v>124</v>
      </c>
      <c r="E2299">
        <v>12</v>
      </c>
      <c r="F2299">
        <v>1012</v>
      </c>
      <c r="G2299" t="s">
        <v>675</v>
      </c>
      <c r="J2299" t="s">
        <v>125</v>
      </c>
      <c r="K2299">
        <v>0</v>
      </c>
      <c r="L2299">
        <v>3</v>
      </c>
      <c r="M2299">
        <v>0</v>
      </c>
      <c r="N2299">
        <v>2</v>
      </c>
      <c r="O2299">
        <v>1</v>
      </c>
      <c r="P2299">
        <v>0</v>
      </c>
      <c r="Q2299">
        <v>0</v>
      </c>
      <c r="S2299" t="str">
        <f>"20:26:46.063"</f>
        <v>20:26:46.063</v>
      </c>
      <c r="T2299" t="str">
        <f>"20:26:45.663"</f>
        <v>20:26:45.663</v>
      </c>
      <c r="U2299" t="str">
        <f t="shared" si="110"/>
        <v>AB01F4</v>
      </c>
      <c r="V2299">
        <v>0</v>
      </c>
      <c r="W2299">
        <v>0</v>
      </c>
      <c r="X2299">
        <v>2</v>
      </c>
      <c r="Z2299">
        <v>0</v>
      </c>
      <c r="AA2299">
        <v>9</v>
      </c>
      <c r="AB2299">
        <v>3</v>
      </c>
      <c r="AC2299">
        <v>0</v>
      </c>
      <c r="AD2299">
        <v>10</v>
      </c>
      <c r="AE2299">
        <v>0</v>
      </c>
      <c r="AF2299">
        <v>3</v>
      </c>
      <c r="AG2299">
        <v>2</v>
      </c>
      <c r="AH2299">
        <v>0</v>
      </c>
      <c r="AI2299" t="s">
        <v>1399</v>
      </c>
      <c r="AJ2299">
        <v>39.969248999999998</v>
      </c>
      <c r="AK2299" t="s">
        <v>1400</v>
      </c>
      <c r="AL2299">
        <v>-92.693023999999994</v>
      </c>
      <c r="AM2299">
        <v>100</v>
      </c>
      <c r="AN2299">
        <v>1700</v>
      </c>
      <c r="AO2299" t="s">
        <v>118</v>
      </c>
      <c r="AP2299">
        <v>-108</v>
      </c>
      <c r="AQ2299">
        <v>78</v>
      </c>
      <c r="AR2299">
        <v>64</v>
      </c>
      <c r="AZ2299">
        <v>1200</v>
      </c>
      <c r="BA2299">
        <v>1</v>
      </c>
      <c r="BB2299" t="str">
        <f t="shared" si="112"/>
        <v xml:space="preserve">N8080G  </v>
      </c>
      <c r="BC2299">
        <v>1</v>
      </c>
      <c r="BE2299">
        <v>0</v>
      </c>
      <c r="BF2299">
        <v>0</v>
      </c>
      <c r="BG2299">
        <v>0</v>
      </c>
      <c r="BH2299">
        <v>1700</v>
      </c>
      <c r="BI2299">
        <v>1</v>
      </c>
      <c r="BJ2299">
        <v>1</v>
      </c>
      <c r="BK2299">
        <v>1</v>
      </c>
      <c r="BL2299">
        <v>0</v>
      </c>
      <c r="BO2299">
        <v>0</v>
      </c>
      <c r="BP2299">
        <v>0</v>
      </c>
      <c r="BW2299" t="str">
        <f>"20:26:46.063"</f>
        <v>20:26:46.063</v>
      </c>
      <c r="BZ2299">
        <v>0</v>
      </c>
      <c r="CA2299">
        <v>2016</v>
      </c>
      <c r="CB2299">
        <v>224</v>
      </c>
      <c r="CD2299">
        <v>1</v>
      </c>
      <c r="CE2299">
        <v>0</v>
      </c>
      <c r="CF2299">
        <v>0</v>
      </c>
      <c r="CG2299">
        <v>1</v>
      </c>
      <c r="CH2299">
        <v>0</v>
      </c>
      <c r="CI2299">
        <v>0</v>
      </c>
      <c r="CJ2299">
        <v>0</v>
      </c>
      <c r="CK2299">
        <v>2</v>
      </c>
      <c r="CL2299">
        <v>0</v>
      </c>
      <c r="CM2299">
        <v>2</v>
      </c>
      <c r="CN2299">
        <v>0</v>
      </c>
      <c r="CO2299">
        <v>7</v>
      </c>
      <c r="CP2299" t="s">
        <v>119</v>
      </c>
      <c r="CQ2299">
        <v>180</v>
      </c>
      <c r="CR2299">
        <v>2</v>
      </c>
      <c r="CW2299">
        <v>8493748</v>
      </c>
      <c r="CY2299">
        <v>1</v>
      </c>
      <c r="CZ2299">
        <v>0</v>
      </c>
      <c r="DA2299">
        <v>0</v>
      </c>
      <c r="DB2299">
        <v>0</v>
      </c>
      <c r="DC2299">
        <v>0</v>
      </c>
      <c r="DD2299">
        <v>0</v>
      </c>
      <c r="DE2299">
        <v>0</v>
      </c>
      <c r="DF2299">
        <v>0</v>
      </c>
      <c r="DG2299">
        <v>0</v>
      </c>
      <c r="DH2299">
        <v>0</v>
      </c>
      <c r="DI2299">
        <v>0</v>
      </c>
    </row>
    <row r="2300" spans="1:113" x14ac:dyDescent="0.3">
      <c r="A2300" t="str">
        <f>"02/08/2021 20:26:43.724"</f>
        <v>02/08/2021 20:26:43.724</v>
      </c>
      <c r="C2300" t="str">
        <f t="shared" si="111"/>
        <v>FFDFD7C0</v>
      </c>
      <c r="D2300" t="s">
        <v>113</v>
      </c>
      <c r="E2300">
        <v>6</v>
      </c>
      <c r="H2300">
        <v>165</v>
      </c>
      <c r="I2300" t="s">
        <v>114</v>
      </c>
      <c r="J2300" t="s">
        <v>115</v>
      </c>
      <c r="K2300">
        <v>0</v>
      </c>
      <c r="L2300">
        <v>3</v>
      </c>
      <c r="M2300">
        <v>0</v>
      </c>
      <c r="N2300">
        <v>2</v>
      </c>
      <c r="O2300">
        <v>1</v>
      </c>
      <c r="P2300">
        <v>0</v>
      </c>
      <c r="Q2300">
        <v>0</v>
      </c>
      <c r="S2300" t="str">
        <f>"20:26:46.063"</f>
        <v>20:26:46.063</v>
      </c>
      <c r="T2300" t="str">
        <f>"20:26:45.663"</f>
        <v>20:26:45.663</v>
      </c>
      <c r="U2300" t="str">
        <f t="shared" si="110"/>
        <v>AB01F4</v>
      </c>
      <c r="V2300">
        <v>0</v>
      </c>
      <c r="W2300">
        <v>0</v>
      </c>
      <c r="X2300">
        <v>2</v>
      </c>
      <c r="Z2300">
        <v>0</v>
      </c>
      <c r="AA2300">
        <v>9</v>
      </c>
      <c r="AB2300">
        <v>3</v>
      </c>
      <c r="AC2300">
        <v>0</v>
      </c>
      <c r="AD2300">
        <v>10</v>
      </c>
      <c r="AE2300">
        <v>0</v>
      </c>
      <c r="AF2300">
        <v>3</v>
      </c>
      <c r="AG2300">
        <v>2</v>
      </c>
      <c r="AH2300">
        <v>0</v>
      </c>
      <c r="AI2300" t="s">
        <v>1399</v>
      </c>
      <c r="AJ2300">
        <v>39.969248999999998</v>
      </c>
      <c r="AK2300" t="s">
        <v>1400</v>
      </c>
      <c r="AL2300">
        <v>-92.693023999999994</v>
      </c>
      <c r="AM2300">
        <v>100</v>
      </c>
      <c r="AN2300">
        <v>1700</v>
      </c>
      <c r="AO2300" t="s">
        <v>118</v>
      </c>
      <c r="AP2300">
        <v>-108</v>
      </c>
      <c r="AQ2300">
        <v>78</v>
      </c>
      <c r="AR2300">
        <v>64</v>
      </c>
      <c r="AZ2300">
        <v>1200</v>
      </c>
      <c r="BA2300">
        <v>1</v>
      </c>
      <c r="BB2300" t="str">
        <f t="shared" si="112"/>
        <v xml:space="preserve">N8080G  </v>
      </c>
      <c r="BC2300">
        <v>1</v>
      </c>
      <c r="BE2300">
        <v>0</v>
      </c>
      <c r="BF2300">
        <v>0</v>
      </c>
      <c r="BG2300">
        <v>0</v>
      </c>
      <c r="BH2300">
        <v>1700</v>
      </c>
      <c r="BI2300">
        <v>1</v>
      </c>
      <c r="BJ2300">
        <v>1</v>
      </c>
      <c r="BK2300">
        <v>1</v>
      </c>
      <c r="BL2300">
        <v>0</v>
      </c>
      <c r="BO2300">
        <v>0</v>
      </c>
      <c r="BP2300">
        <v>0</v>
      </c>
      <c r="BW2300" t="str">
        <f>"20:26:46.063"</f>
        <v>20:26:46.063</v>
      </c>
      <c r="BZ2300">
        <v>0</v>
      </c>
      <c r="CA2300">
        <v>2016</v>
      </c>
      <c r="CB2300">
        <v>224</v>
      </c>
      <c r="CD2300">
        <v>1</v>
      </c>
      <c r="CE2300">
        <v>0</v>
      </c>
      <c r="CF2300">
        <v>0</v>
      </c>
      <c r="CG2300">
        <v>1</v>
      </c>
      <c r="CH2300">
        <v>0</v>
      </c>
      <c r="CI2300">
        <v>0</v>
      </c>
      <c r="CJ2300">
        <v>0</v>
      </c>
      <c r="CK2300">
        <v>2</v>
      </c>
      <c r="CL2300">
        <v>0</v>
      </c>
      <c r="CM2300">
        <v>2</v>
      </c>
      <c r="CN2300">
        <v>0</v>
      </c>
      <c r="CO2300">
        <v>7</v>
      </c>
      <c r="CP2300" t="s">
        <v>119</v>
      </c>
      <c r="CQ2300">
        <v>180</v>
      </c>
      <c r="CR2300">
        <v>2</v>
      </c>
      <c r="CW2300">
        <v>8493748</v>
      </c>
      <c r="CY2300">
        <v>1</v>
      </c>
      <c r="CZ2300">
        <v>0</v>
      </c>
      <c r="DA2300">
        <v>1</v>
      </c>
      <c r="DB2300">
        <v>0</v>
      </c>
      <c r="DC2300">
        <v>0</v>
      </c>
      <c r="DD2300">
        <v>0</v>
      </c>
      <c r="DE2300">
        <v>0</v>
      </c>
      <c r="DF2300">
        <v>0</v>
      </c>
      <c r="DG2300">
        <v>0</v>
      </c>
      <c r="DH2300">
        <v>0</v>
      </c>
      <c r="DI2300">
        <v>0</v>
      </c>
    </row>
    <row r="2301" spans="1:113" x14ac:dyDescent="0.3">
      <c r="A2301" t="str">
        <f>"02/08/2021 20:26:43.724"</f>
        <v>02/08/2021 20:26:43.724</v>
      </c>
      <c r="C2301" t="str">
        <f t="shared" si="111"/>
        <v>FFDFD7C0</v>
      </c>
      <c r="D2301" t="s">
        <v>124</v>
      </c>
      <c r="E2301">
        <v>13</v>
      </c>
      <c r="F2301">
        <v>1013</v>
      </c>
      <c r="G2301" t="s">
        <v>114</v>
      </c>
      <c r="J2301" t="s">
        <v>125</v>
      </c>
      <c r="K2301">
        <v>0</v>
      </c>
      <c r="L2301">
        <v>3</v>
      </c>
      <c r="M2301">
        <v>0</v>
      </c>
      <c r="N2301">
        <v>2</v>
      </c>
      <c r="O2301">
        <v>1</v>
      </c>
      <c r="P2301">
        <v>0</v>
      </c>
      <c r="Q2301">
        <v>0</v>
      </c>
      <c r="S2301" t="str">
        <f>"20:26:46.063"</f>
        <v>20:26:46.063</v>
      </c>
      <c r="T2301" t="str">
        <f>"20:26:45.663"</f>
        <v>20:26:45.663</v>
      </c>
      <c r="U2301" t="str">
        <f t="shared" si="110"/>
        <v>AB01F4</v>
      </c>
      <c r="V2301">
        <v>0</v>
      </c>
      <c r="W2301">
        <v>0</v>
      </c>
      <c r="X2301">
        <v>2</v>
      </c>
      <c r="Z2301">
        <v>0</v>
      </c>
      <c r="AA2301">
        <v>9</v>
      </c>
      <c r="AB2301">
        <v>3</v>
      </c>
      <c r="AC2301">
        <v>0</v>
      </c>
      <c r="AD2301">
        <v>10</v>
      </c>
      <c r="AE2301">
        <v>0</v>
      </c>
      <c r="AF2301">
        <v>3</v>
      </c>
      <c r="AG2301">
        <v>2</v>
      </c>
      <c r="AH2301">
        <v>0</v>
      </c>
      <c r="AI2301" t="s">
        <v>1399</v>
      </c>
      <c r="AJ2301">
        <v>39.969248999999998</v>
      </c>
      <c r="AK2301" t="s">
        <v>1400</v>
      </c>
      <c r="AL2301">
        <v>-92.693023999999994</v>
      </c>
      <c r="AM2301">
        <v>100</v>
      </c>
      <c r="AN2301">
        <v>1700</v>
      </c>
      <c r="AO2301" t="s">
        <v>118</v>
      </c>
      <c r="AP2301">
        <v>-108</v>
      </c>
      <c r="AQ2301">
        <v>78</v>
      </c>
      <c r="AR2301">
        <v>64</v>
      </c>
      <c r="AZ2301">
        <v>1200</v>
      </c>
      <c r="BA2301">
        <v>1</v>
      </c>
      <c r="BB2301" t="str">
        <f t="shared" si="112"/>
        <v xml:space="preserve">N8080G  </v>
      </c>
      <c r="BC2301">
        <v>1</v>
      </c>
      <c r="BE2301">
        <v>0</v>
      </c>
      <c r="BF2301">
        <v>0</v>
      </c>
      <c r="BG2301">
        <v>0</v>
      </c>
      <c r="BH2301">
        <v>1700</v>
      </c>
      <c r="BI2301">
        <v>1</v>
      </c>
      <c r="BJ2301">
        <v>1</v>
      </c>
      <c r="BK2301">
        <v>1</v>
      </c>
      <c r="BL2301">
        <v>0</v>
      </c>
      <c r="BO2301">
        <v>0</v>
      </c>
      <c r="BP2301">
        <v>0</v>
      </c>
      <c r="BW2301" t="str">
        <f>"20:26:46.063"</f>
        <v>20:26:46.063</v>
      </c>
      <c r="BZ2301">
        <v>0</v>
      </c>
      <c r="CA2301">
        <v>2016</v>
      </c>
      <c r="CB2301">
        <v>224</v>
      </c>
      <c r="CD2301">
        <v>1</v>
      </c>
      <c r="CE2301">
        <v>0</v>
      </c>
      <c r="CF2301">
        <v>0</v>
      </c>
      <c r="CG2301">
        <v>1</v>
      </c>
      <c r="CH2301">
        <v>0</v>
      </c>
      <c r="CI2301">
        <v>0</v>
      </c>
      <c r="CJ2301">
        <v>0</v>
      </c>
      <c r="CK2301">
        <v>2</v>
      </c>
      <c r="CL2301">
        <v>0</v>
      </c>
      <c r="CM2301">
        <v>2</v>
      </c>
      <c r="CN2301">
        <v>0</v>
      </c>
      <c r="CO2301">
        <v>7</v>
      </c>
      <c r="CP2301" t="s">
        <v>119</v>
      </c>
      <c r="CQ2301">
        <v>180</v>
      </c>
      <c r="CR2301">
        <v>2</v>
      </c>
      <c r="CW2301">
        <v>8493748</v>
      </c>
      <c r="CY2301">
        <v>1</v>
      </c>
      <c r="CZ2301">
        <v>0</v>
      </c>
      <c r="DA2301">
        <v>1</v>
      </c>
      <c r="DB2301">
        <v>0</v>
      </c>
      <c r="DC2301">
        <v>0</v>
      </c>
      <c r="DD2301">
        <v>0</v>
      </c>
      <c r="DE2301">
        <v>0</v>
      </c>
      <c r="DF2301">
        <v>0</v>
      </c>
      <c r="DG2301">
        <v>0</v>
      </c>
      <c r="DH2301">
        <v>0</v>
      </c>
      <c r="DI2301">
        <v>0</v>
      </c>
    </row>
    <row r="2302" spans="1:113" x14ac:dyDescent="0.3">
      <c r="A2302" t="str">
        <f>"02/08/2021 20:26:43.724"</f>
        <v>02/08/2021 20:26:43.724</v>
      </c>
      <c r="C2302" t="str">
        <f t="shared" si="111"/>
        <v>FFDFD7C0</v>
      </c>
      <c r="D2302" t="s">
        <v>124</v>
      </c>
      <c r="E2302">
        <v>11</v>
      </c>
      <c r="F2302">
        <v>1011</v>
      </c>
      <c r="G2302" t="s">
        <v>590</v>
      </c>
      <c r="J2302" t="s">
        <v>125</v>
      </c>
      <c r="K2302">
        <v>0</v>
      </c>
      <c r="L2302">
        <v>3</v>
      </c>
      <c r="M2302">
        <v>0</v>
      </c>
      <c r="N2302">
        <v>2</v>
      </c>
      <c r="O2302">
        <v>1</v>
      </c>
      <c r="P2302">
        <v>0</v>
      </c>
      <c r="Q2302">
        <v>0</v>
      </c>
      <c r="S2302" t="str">
        <f>"20:26:46.063"</f>
        <v>20:26:46.063</v>
      </c>
      <c r="T2302" t="str">
        <f>"20:26:45.663"</f>
        <v>20:26:45.663</v>
      </c>
      <c r="U2302" t="str">
        <f t="shared" si="110"/>
        <v>AB01F4</v>
      </c>
      <c r="V2302">
        <v>0</v>
      </c>
      <c r="W2302">
        <v>0</v>
      </c>
      <c r="X2302">
        <v>2</v>
      </c>
      <c r="Z2302">
        <v>0</v>
      </c>
      <c r="AA2302">
        <v>9</v>
      </c>
      <c r="AB2302">
        <v>3</v>
      </c>
      <c r="AC2302">
        <v>0</v>
      </c>
      <c r="AD2302">
        <v>10</v>
      </c>
      <c r="AE2302">
        <v>0</v>
      </c>
      <c r="AF2302">
        <v>3</v>
      </c>
      <c r="AG2302">
        <v>2</v>
      </c>
      <c r="AH2302">
        <v>0</v>
      </c>
      <c r="AI2302" t="s">
        <v>1399</v>
      </c>
      <c r="AJ2302">
        <v>39.969248999999998</v>
      </c>
      <c r="AK2302" t="s">
        <v>1400</v>
      </c>
      <c r="AL2302">
        <v>-92.693023999999994</v>
      </c>
      <c r="AM2302">
        <v>100</v>
      </c>
      <c r="AN2302">
        <v>1700</v>
      </c>
      <c r="AO2302" t="s">
        <v>118</v>
      </c>
      <c r="AP2302">
        <v>-108</v>
      </c>
      <c r="AQ2302">
        <v>78</v>
      </c>
      <c r="AR2302">
        <v>64</v>
      </c>
      <c r="AZ2302">
        <v>1200</v>
      </c>
      <c r="BA2302">
        <v>1</v>
      </c>
      <c r="BB2302" t="str">
        <f t="shared" si="112"/>
        <v xml:space="preserve">N8080G  </v>
      </c>
      <c r="BC2302">
        <v>1</v>
      </c>
      <c r="BE2302">
        <v>0</v>
      </c>
      <c r="BF2302">
        <v>0</v>
      </c>
      <c r="BG2302">
        <v>0</v>
      </c>
      <c r="BH2302">
        <v>1700</v>
      </c>
      <c r="BI2302">
        <v>1</v>
      </c>
      <c r="BJ2302">
        <v>1</v>
      </c>
      <c r="BK2302">
        <v>1</v>
      </c>
      <c r="BL2302">
        <v>0</v>
      </c>
      <c r="BO2302">
        <v>0</v>
      </c>
      <c r="BP2302">
        <v>0</v>
      </c>
      <c r="BW2302" t="str">
        <f>"20:26:46.063"</f>
        <v>20:26:46.063</v>
      </c>
      <c r="BZ2302">
        <v>0</v>
      </c>
      <c r="CA2302">
        <v>2016</v>
      </c>
      <c r="CB2302">
        <v>224</v>
      </c>
      <c r="CD2302">
        <v>1</v>
      </c>
      <c r="CE2302">
        <v>0</v>
      </c>
      <c r="CF2302">
        <v>0</v>
      </c>
      <c r="CG2302">
        <v>1</v>
      </c>
      <c r="CH2302">
        <v>0</v>
      </c>
      <c r="CI2302">
        <v>0</v>
      </c>
      <c r="CJ2302">
        <v>0</v>
      </c>
      <c r="CK2302">
        <v>2</v>
      </c>
      <c r="CL2302">
        <v>0</v>
      </c>
      <c r="CM2302">
        <v>2</v>
      </c>
      <c r="CN2302">
        <v>0</v>
      </c>
      <c r="CO2302">
        <v>7</v>
      </c>
      <c r="CP2302" t="s">
        <v>119</v>
      </c>
      <c r="CQ2302">
        <v>180</v>
      </c>
      <c r="CR2302">
        <v>2</v>
      </c>
      <c r="CW2302">
        <v>8493748</v>
      </c>
      <c r="CY2302">
        <v>1</v>
      </c>
      <c r="CZ2302">
        <v>0</v>
      </c>
      <c r="DA2302">
        <v>1</v>
      </c>
      <c r="DB2302">
        <v>0</v>
      </c>
      <c r="DC2302">
        <v>0</v>
      </c>
      <c r="DD2302">
        <v>0</v>
      </c>
      <c r="DE2302">
        <v>0</v>
      </c>
      <c r="DF2302">
        <v>0</v>
      </c>
      <c r="DG2302">
        <v>0</v>
      </c>
      <c r="DH2302">
        <v>0</v>
      </c>
      <c r="DI2302">
        <v>0</v>
      </c>
    </row>
    <row r="2303" spans="1:113" x14ac:dyDescent="0.3">
      <c r="A2303" t="str">
        <f>"02/08/2021 20:26:45.583"</f>
        <v>02/08/2021 20:26:45.583</v>
      </c>
      <c r="C2303" t="str">
        <f t="shared" si="111"/>
        <v>FFDFD7C0</v>
      </c>
      <c r="D2303" t="s">
        <v>124</v>
      </c>
      <c r="E2303">
        <v>12</v>
      </c>
      <c r="F2303">
        <v>1012</v>
      </c>
      <c r="G2303" t="s">
        <v>675</v>
      </c>
      <c r="J2303" t="s">
        <v>125</v>
      </c>
      <c r="K2303">
        <v>0</v>
      </c>
      <c r="L2303">
        <v>3</v>
      </c>
      <c r="M2303">
        <v>0</v>
      </c>
      <c r="N2303">
        <v>2</v>
      </c>
      <c r="O2303">
        <v>1</v>
      </c>
      <c r="P2303">
        <v>0</v>
      </c>
      <c r="Q2303">
        <v>0</v>
      </c>
      <c r="S2303" t="str">
        <f>"20:26:47.930"</f>
        <v>20:26:47.930</v>
      </c>
      <c r="T2303" t="str">
        <f>"20:26:47.530"</f>
        <v>20:26:47.530</v>
      </c>
      <c r="U2303" t="str">
        <f t="shared" si="110"/>
        <v>AB01F4</v>
      </c>
      <c r="V2303">
        <v>0</v>
      </c>
      <c r="W2303">
        <v>0</v>
      </c>
      <c r="X2303">
        <v>2</v>
      </c>
      <c r="Z2303">
        <v>0</v>
      </c>
      <c r="AA2303">
        <v>9</v>
      </c>
      <c r="AB2303">
        <v>3</v>
      </c>
      <c r="AC2303">
        <v>0</v>
      </c>
      <c r="AD2303">
        <v>10</v>
      </c>
      <c r="AE2303">
        <v>0</v>
      </c>
      <c r="AF2303">
        <v>3</v>
      </c>
      <c r="AG2303">
        <v>2</v>
      </c>
      <c r="AH2303">
        <v>0</v>
      </c>
      <c r="AI2303" t="s">
        <v>1401</v>
      </c>
      <c r="AJ2303">
        <v>39.969914000000003</v>
      </c>
      <c r="AK2303" t="s">
        <v>1402</v>
      </c>
      <c r="AL2303">
        <v>-92.694267999999994</v>
      </c>
      <c r="AM2303">
        <v>100</v>
      </c>
      <c r="AN2303">
        <v>1700</v>
      </c>
      <c r="AO2303" t="s">
        <v>118</v>
      </c>
      <c r="AP2303">
        <v>-107</v>
      </c>
      <c r="AQ2303">
        <v>78</v>
      </c>
      <c r="AR2303">
        <v>64</v>
      </c>
      <c r="AZ2303">
        <v>1200</v>
      </c>
      <c r="BA2303">
        <v>1</v>
      </c>
      <c r="BB2303" t="str">
        <f t="shared" si="112"/>
        <v xml:space="preserve">N8080G  </v>
      </c>
      <c r="BC2303">
        <v>1</v>
      </c>
      <c r="BE2303">
        <v>0</v>
      </c>
      <c r="BF2303">
        <v>0</v>
      </c>
      <c r="BG2303">
        <v>0</v>
      </c>
      <c r="BH2303">
        <v>1700</v>
      </c>
      <c r="BI2303">
        <v>1</v>
      </c>
      <c r="BJ2303">
        <v>1</v>
      </c>
      <c r="BK2303">
        <v>1</v>
      </c>
      <c r="BL2303">
        <v>0</v>
      </c>
      <c r="BO2303">
        <v>0</v>
      </c>
      <c r="BP2303">
        <v>0</v>
      </c>
      <c r="BW2303" t="str">
        <f>"20:26:47.931"</f>
        <v>20:26:47.931</v>
      </c>
      <c r="BZ2303">
        <v>0</v>
      </c>
      <c r="CA2303">
        <v>2016</v>
      </c>
      <c r="CB2303">
        <v>224</v>
      </c>
      <c r="CD2303">
        <v>1</v>
      </c>
      <c r="CE2303">
        <v>0</v>
      </c>
      <c r="CF2303">
        <v>0</v>
      </c>
      <c r="CG2303">
        <v>1</v>
      </c>
      <c r="CH2303">
        <v>0</v>
      </c>
      <c r="CI2303">
        <v>0</v>
      </c>
      <c r="CJ2303">
        <v>0</v>
      </c>
      <c r="CK2303">
        <v>2</v>
      </c>
      <c r="CL2303">
        <v>0</v>
      </c>
      <c r="CM2303">
        <v>2</v>
      </c>
      <c r="CN2303">
        <v>0</v>
      </c>
      <c r="CO2303">
        <v>3</v>
      </c>
      <c r="CP2303" t="s">
        <v>119</v>
      </c>
      <c r="CQ2303">
        <v>179</v>
      </c>
      <c r="CR2303">
        <v>1</v>
      </c>
      <c r="CW2303">
        <v>8940547</v>
      </c>
      <c r="CY2303">
        <v>1</v>
      </c>
      <c r="CZ2303">
        <v>0</v>
      </c>
      <c r="DA2303">
        <v>0</v>
      </c>
      <c r="DB2303">
        <v>0</v>
      </c>
      <c r="DC2303">
        <v>0</v>
      </c>
      <c r="DD2303">
        <v>0</v>
      </c>
      <c r="DE2303">
        <v>0</v>
      </c>
      <c r="DF2303">
        <v>0</v>
      </c>
      <c r="DG2303">
        <v>0</v>
      </c>
      <c r="DH2303">
        <v>0</v>
      </c>
      <c r="DI2303">
        <v>0</v>
      </c>
    </row>
    <row r="2304" spans="1:113" x14ac:dyDescent="0.3">
      <c r="A2304" t="str">
        <f>"02/08/2021 20:26:45.583"</f>
        <v>02/08/2021 20:26:45.583</v>
      </c>
      <c r="C2304" t="str">
        <f t="shared" si="111"/>
        <v>FFDFD7C0</v>
      </c>
      <c r="D2304" t="s">
        <v>124</v>
      </c>
      <c r="E2304">
        <v>13</v>
      </c>
      <c r="F2304">
        <v>1013</v>
      </c>
      <c r="G2304" t="s">
        <v>114</v>
      </c>
      <c r="J2304" t="s">
        <v>125</v>
      </c>
      <c r="K2304">
        <v>0</v>
      </c>
      <c r="L2304">
        <v>3</v>
      </c>
      <c r="M2304">
        <v>0</v>
      </c>
      <c r="N2304">
        <v>2</v>
      </c>
      <c r="O2304">
        <v>1</v>
      </c>
      <c r="P2304">
        <v>0</v>
      </c>
      <c r="Q2304">
        <v>0</v>
      </c>
      <c r="S2304" t="str">
        <f>"20:26:47.930"</f>
        <v>20:26:47.930</v>
      </c>
      <c r="T2304" t="str">
        <f>"20:26:47.530"</f>
        <v>20:26:47.530</v>
      </c>
      <c r="U2304" t="str">
        <f t="shared" si="110"/>
        <v>AB01F4</v>
      </c>
      <c r="V2304">
        <v>0</v>
      </c>
      <c r="W2304">
        <v>0</v>
      </c>
      <c r="X2304">
        <v>2</v>
      </c>
      <c r="Z2304">
        <v>0</v>
      </c>
      <c r="AA2304">
        <v>9</v>
      </c>
      <c r="AB2304">
        <v>3</v>
      </c>
      <c r="AC2304">
        <v>0</v>
      </c>
      <c r="AD2304">
        <v>10</v>
      </c>
      <c r="AE2304">
        <v>0</v>
      </c>
      <c r="AF2304">
        <v>3</v>
      </c>
      <c r="AG2304">
        <v>2</v>
      </c>
      <c r="AH2304">
        <v>0</v>
      </c>
      <c r="AI2304" t="s">
        <v>1401</v>
      </c>
      <c r="AJ2304">
        <v>39.969914000000003</v>
      </c>
      <c r="AK2304" t="s">
        <v>1402</v>
      </c>
      <c r="AL2304">
        <v>-92.694267999999994</v>
      </c>
      <c r="AM2304">
        <v>100</v>
      </c>
      <c r="AN2304">
        <v>1700</v>
      </c>
      <c r="AO2304" t="s">
        <v>118</v>
      </c>
      <c r="AP2304">
        <v>-107</v>
      </c>
      <c r="AQ2304">
        <v>78</v>
      </c>
      <c r="AR2304">
        <v>64</v>
      </c>
      <c r="AZ2304">
        <v>1200</v>
      </c>
      <c r="BA2304">
        <v>1</v>
      </c>
      <c r="BB2304" t="str">
        <f t="shared" si="112"/>
        <v xml:space="preserve">N8080G  </v>
      </c>
      <c r="BC2304">
        <v>1</v>
      </c>
      <c r="BE2304">
        <v>0</v>
      </c>
      <c r="BF2304">
        <v>0</v>
      </c>
      <c r="BG2304">
        <v>0</v>
      </c>
      <c r="BH2304">
        <v>1700</v>
      </c>
      <c r="BI2304">
        <v>1</v>
      </c>
      <c r="BJ2304">
        <v>1</v>
      </c>
      <c r="BK2304">
        <v>1</v>
      </c>
      <c r="BL2304">
        <v>0</v>
      </c>
      <c r="BO2304">
        <v>0</v>
      </c>
      <c r="BP2304">
        <v>0</v>
      </c>
      <c r="BW2304" t="str">
        <f>"20:26:47.931"</f>
        <v>20:26:47.931</v>
      </c>
      <c r="BZ2304">
        <v>0</v>
      </c>
      <c r="CA2304">
        <v>2016</v>
      </c>
      <c r="CB2304">
        <v>224</v>
      </c>
      <c r="CD2304">
        <v>1</v>
      </c>
      <c r="CE2304">
        <v>0</v>
      </c>
      <c r="CF2304">
        <v>0</v>
      </c>
      <c r="CG2304">
        <v>1</v>
      </c>
      <c r="CH2304">
        <v>0</v>
      </c>
      <c r="CI2304">
        <v>0</v>
      </c>
      <c r="CJ2304">
        <v>0</v>
      </c>
      <c r="CK2304">
        <v>2</v>
      </c>
      <c r="CL2304">
        <v>0</v>
      </c>
      <c r="CM2304">
        <v>2</v>
      </c>
      <c r="CN2304">
        <v>0</v>
      </c>
      <c r="CO2304">
        <v>3</v>
      </c>
      <c r="CP2304" t="s">
        <v>119</v>
      </c>
      <c r="CQ2304">
        <v>179</v>
      </c>
      <c r="CR2304">
        <v>1</v>
      </c>
      <c r="CW2304">
        <v>8940547</v>
      </c>
      <c r="CY2304">
        <v>1</v>
      </c>
      <c r="CZ2304">
        <v>0</v>
      </c>
      <c r="DA2304">
        <v>1</v>
      </c>
      <c r="DB2304">
        <v>0</v>
      </c>
      <c r="DC2304">
        <v>0</v>
      </c>
      <c r="DD2304">
        <v>0</v>
      </c>
      <c r="DE2304">
        <v>0</v>
      </c>
      <c r="DF2304">
        <v>0</v>
      </c>
      <c r="DG2304">
        <v>0</v>
      </c>
      <c r="DH2304">
        <v>0</v>
      </c>
      <c r="DI2304">
        <v>0</v>
      </c>
    </row>
    <row r="2305" spans="1:113" x14ac:dyDescent="0.3">
      <c r="A2305" t="str">
        <f>"02/08/2021 20:26:45.583"</f>
        <v>02/08/2021 20:26:45.583</v>
      </c>
      <c r="C2305" t="str">
        <f t="shared" si="111"/>
        <v>FFDFD7C0</v>
      </c>
      <c r="D2305" t="s">
        <v>113</v>
      </c>
      <c r="E2305">
        <v>6</v>
      </c>
      <c r="H2305">
        <v>165</v>
      </c>
      <c r="I2305" t="s">
        <v>114</v>
      </c>
      <c r="J2305" t="s">
        <v>115</v>
      </c>
      <c r="K2305">
        <v>0</v>
      </c>
      <c r="L2305">
        <v>3</v>
      </c>
      <c r="M2305">
        <v>0</v>
      </c>
      <c r="N2305">
        <v>2</v>
      </c>
      <c r="O2305">
        <v>1</v>
      </c>
      <c r="P2305">
        <v>0</v>
      </c>
      <c r="Q2305">
        <v>0</v>
      </c>
      <c r="S2305" t="str">
        <f>"20:26:47.930"</f>
        <v>20:26:47.930</v>
      </c>
      <c r="T2305" t="str">
        <f>"20:26:47.530"</f>
        <v>20:26:47.530</v>
      </c>
      <c r="U2305" t="str">
        <f t="shared" si="110"/>
        <v>AB01F4</v>
      </c>
      <c r="V2305">
        <v>0</v>
      </c>
      <c r="W2305">
        <v>0</v>
      </c>
      <c r="X2305">
        <v>2</v>
      </c>
      <c r="Z2305">
        <v>0</v>
      </c>
      <c r="AA2305">
        <v>9</v>
      </c>
      <c r="AB2305">
        <v>3</v>
      </c>
      <c r="AC2305">
        <v>0</v>
      </c>
      <c r="AD2305">
        <v>10</v>
      </c>
      <c r="AE2305">
        <v>0</v>
      </c>
      <c r="AF2305">
        <v>3</v>
      </c>
      <c r="AG2305">
        <v>2</v>
      </c>
      <c r="AH2305">
        <v>0</v>
      </c>
      <c r="AI2305" t="s">
        <v>1401</v>
      </c>
      <c r="AJ2305">
        <v>39.969914000000003</v>
      </c>
      <c r="AK2305" t="s">
        <v>1402</v>
      </c>
      <c r="AL2305">
        <v>-92.694267999999994</v>
      </c>
      <c r="AM2305">
        <v>100</v>
      </c>
      <c r="AN2305">
        <v>1700</v>
      </c>
      <c r="AO2305" t="s">
        <v>118</v>
      </c>
      <c r="AP2305">
        <v>-107</v>
      </c>
      <c r="AQ2305">
        <v>78</v>
      </c>
      <c r="AR2305">
        <v>64</v>
      </c>
      <c r="AZ2305">
        <v>1200</v>
      </c>
      <c r="BA2305">
        <v>1</v>
      </c>
      <c r="BB2305" t="str">
        <f t="shared" si="112"/>
        <v xml:space="preserve">N8080G  </v>
      </c>
      <c r="BC2305">
        <v>1</v>
      </c>
      <c r="BE2305">
        <v>0</v>
      </c>
      <c r="BF2305">
        <v>0</v>
      </c>
      <c r="BG2305">
        <v>0</v>
      </c>
      <c r="BH2305">
        <v>1700</v>
      </c>
      <c r="BI2305">
        <v>1</v>
      </c>
      <c r="BJ2305">
        <v>1</v>
      </c>
      <c r="BK2305">
        <v>1</v>
      </c>
      <c r="BL2305">
        <v>0</v>
      </c>
      <c r="BO2305">
        <v>0</v>
      </c>
      <c r="BP2305">
        <v>0</v>
      </c>
      <c r="BW2305" t="str">
        <f>"20:26:47.931"</f>
        <v>20:26:47.931</v>
      </c>
      <c r="BZ2305">
        <v>0</v>
      </c>
      <c r="CA2305">
        <v>2016</v>
      </c>
      <c r="CB2305">
        <v>224</v>
      </c>
      <c r="CD2305">
        <v>1</v>
      </c>
      <c r="CE2305">
        <v>0</v>
      </c>
      <c r="CF2305">
        <v>0</v>
      </c>
      <c r="CG2305">
        <v>1</v>
      </c>
      <c r="CH2305">
        <v>0</v>
      </c>
      <c r="CI2305">
        <v>0</v>
      </c>
      <c r="CJ2305">
        <v>0</v>
      </c>
      <c r="CK2305">
        <v>2</v>
      </c>
      <c r="CL2305">
        <v>0</v>
      </c>
      <c r="CM2305">
        <v>2</v>
      </c>
      <c r="CN2305">
        <v>0</v>
      </c>
      <c r="CO2305">
        <v>3</v>
      </c>
      <c r="CP2305" t="s">
        <v>119</v>
      </c>
      <c r="CQ2305">
        <v>179</v>
      </c>
      <c r="CR2305">
        <v>1</v>
      </c>
      <c r="CW2305">
        <v>8940547</v>
      </c>
      <c r="CY2305">
        <v>1</v>
      </c>
      <c r="CZ2305">
        <v>0</v>
      </c>
      <c r="DA2305">
        <v>1</v>
      </c>
      <c r="DB2305">
        <v>0</v>
      </c>
      <c r="DC2305">
        <v>0</v>
      </c>
      <c r="DD2305">
        <v>0</v>
      </c>
      <c r="DE2305">
        <v>0</v>
      </c>
      <c r="DF2305">
        <v>0</v>
      </c>
      <c r="DG2305">
        <v>0</v>
      </c>
      <c r="DH2305">
        <v>0</v>
      </c>
      <c r="DI2305">
        <v>0</v>
      </c>
    </row>
    <row r="2306" spans="1:113" x14ac:dyDescent="0.3">
      <c r="A2306" t="str">
        <f>"02/08/2021 20:26:45.583"</f>
        <v>02/08/2021 20:26:45.583</v>
      </c>
      <c r="C2306" t="str">
        <f t="shared" si="111"/>
        <v>FFDFD7C0</v>
      </c>
      <c r="D2306" t="s">
        <v>124</v>
      </c>
      <c r="E2306">
        <v>11</v>
      </c>
      <c r="F2306">
        <v>1011</v>
      </c>
      <c r="G2306" t="s">
        <v>590</v>
      </c>
      <c r="J2306" t="s">
        <v>125</v>
      </c>
      <c r="K2306">
        <v>0</v>
      </c>
      <c r="L2306">
        <v>3</v>
      </c>
      <c r="M2306">
        <v>0</v>
      </c>
      <c r="N2306">
        <v>2</v>
      </c>
      <c r="O2306">
        <v>1</v>
      </c>
      <c r="P2306">
        <v>0</v>
      </c>
      <c r="Q2306">
        <v>0</v>
      </c>
      <c r="S2306" t="str">
        <f>"20:26:47.930"</f>
        <v>20:26:47.930</v>
      </c>
      <c r="T2306" t="str">
        <f>"20:26:47.530"</f>
        <v>20:26:47.530</v>
      </c>
      <c r="U2306" t="str">
        <f t="shared" ref="U2306:U2369" si="113">"AB01F4"</f>
        <v>AB01F4</v>
      </c>
      <c r="V2306">
        <v>0</v>
      </c>
      <c r="W2306">
        <v>0</v>
      </c>
      <c r="X2306">
        <v>2</v>
      </c>
      <c r="Z2306">
        <v>0</v>
      </c>
      <c r="AA2306">
        <v>9</v>
      </c>
      <c r="AB2306">
        <v>3</v>
      </c>
      <c r="AC2306">
        <v>0</v>
      </c>
      <c r="AD2306">
        <v>10</v>
      </c>
      <c r="AE2306">
        <v>0</v>
      </c>
      <c r="AF2306">
        <v>3</v>
      </c>
      <c r="AG2306">
        <v>2</v>
      </c>
      <c r="AH2306">
        <v>0</v>
      </c>
      <c r="AI2306" t="s">
        <v>1401</v>
      </c>
      <c r="AJ2306">
        <v>39.969914000000003</v>
      </c>
      <c r="AK2306" t="s">
        <v>1402</v>
      </c>
      <c r="AL2306">
        <v>-92.694267999999994</v>
      </c>
      <c r="AM2306">
        <v>100</v>
      </c>
      <c r="AN2306">
        <v>1700</v>
      </c>
      <c r="AO2306" t="s">
        <v>118</v>
      </c>
      <c r="AP2306">
        <v>-107</v>
      </c>
      <c r="AQ2306">
        <v>78</v>
      </c>
      <c r="AR2306">
        <v>64</v>
      </c>
      <c r="AZ2306">
        <v>1200</v>
      </c>
      <c r="BA2306">
        <v>1</v>
      </c>
      <c r="BB2306" t="str">
        <f t="shared" si="112"/>
        <v xml:space="preserve">N8080G  </v>
      </c>
      <c r="BC2306">
        <v>1</v>
      </c>
      <c r="BE2306">
        <v>0</v>
      </c>
      <c r="BF2306">
        <v>0</v>
      </c>
      <c r="BG2306">
        <v>0</v>
      </c>
      <c r="BH2306">
        <v>1700</v>
      </c>
      <c r="BI2306">
        <v>1</v>
      </c>
      <c r="BJ2306">
        <v>1</v>
      </c>
      <c r="BK2306">
        <v>1</v>
      </c>
      <c r="BL2306">
        <v>0</v>
      </c>
      <c r="BO2306">
        <v>0</v>
      </c>
      <c r="BP2306">
        <v>0</v>
      </c>
      <c r="BW2306" t="str">
        <f>"20:26:47.931"</f>
        <v>20:26:47.931</v>
      </c>
      <c r="BZ2306">
        <v>0</v>
      </c>
      <c r="CA2306">
        <v>2016</v>
      </c>
      <c r="CB2306">
        <v>224</v>
      </c>
      <c r="CD2306">
        <v>1</v>
      </c>
      <c r="CE2306">
        <v>0</v>
      </c>
      <c r="CF2306">
        <v>0</v>
      </c>
      <c r="CG2306">
        <v>1</v>
      </c>
      <c r="CH2306">
        <v>0</v>
      </c>
      <c r="CI2306">
        <v>0</v>
      </c>
      <c r="CJ2306">
        <v>0</v>
      </c>
      <c r="CK2306">
        <v>2</v>
      </c>
      <c r="CL2306">
        <v>0</v>
      </c>
      <c r="CM2306">
        <v>2</v>
      </c>
      <c r="CN2306">
        <v>0</v>
      </c>
      <c r="CO2306">
        <v>3</v>
      </c>
      <c r="CP2306" t="s">
        <v>119</v>
      </c>
      <c r="CQ2306">
        <v>179</v>
      </c>
      <c r="CR2306">
        <v>1</v>
      </c>
      <c r="CW2306">
        <v>8940547</v>
      </c>
      <c r="CY2306">
        <v>1</v>
      </c>
      <c r="CZ2306">
        <v>0</v>
      </c>
      <c r="DA2306">
        <v>1</v>
      </c>
      <c r="DB2306">
        <v>0</v>
      </c>
      <c r="DC2306">
        <v>0</v>
      </c>
      <c r="DD2306">
        <v>0</v>
      </c>
      <c r="DE2306">
        <v>0</v>
      </c>
      <c r="DF2306">
        <v>0</v>
      </c>
      <c r="DG2306">
        <v>0</v>
      </c>
      <c r="DH2306">
        <v>0</v>
      </c>
      <c r="DI2306">
        <v>0</v>
      </c>
    </row>
    <row r="2307" spans="1:113" x14ac:dyDescent="0.3">
      <c r="A2307" t="str">
        <f>"02/08/2021 20:26:46.667"</f>
        <v>02/08/2021 20:26:46.667</v>
      </c>
      <c r="C2307" t="str">
        <f t="shared" si="111"/>
        <v>FFDFD7C0</v>
      </c>
      <c r="D2307" t="s">
        <v>124</v>
      </c>
      <c r="E2307">
        <v>11</v>
      </c>
      <c r="F2307">
        <v>1011</v>
      </c>
      <c r="G2307" t="s">
        <v>590</v>
      </c>
      <c r="J2307" t="s">
        <v>125</v>
      </c>
      <c r="K2307">
        <v>0</v>
      </c>
      <c r="L2307">
        <v>3</v>
      </c>
      <c r="M2307">
        <v>0</v>
      </c>
      <c r="N2307">
        <v>2</v>
      </c>
      <c r="O2307">
        <v>1</v>
      </c>
      <c r="P2307">
        <v>0</v>
      </c>
      <c r="Q2307">
        <v>0</v>
      </c>
      <c r="S2307" t="str">
        <f>"20:26:48.992"</f>
        <v>20:26:48.992</v>
      </c>
      <c r="T2307" t="str">
        <f>"20:26:48.592"</f>
        <v>20:26:48.592</v>
      </c>
      <c r="U2307" t="str">
        <f t="shared" si="113"/>
        <v>AB01F4</v>
      </c>
      <c r="V2307">
        <v>0</v>
      </c>
      <c r="W2307">
        <v>0</v>
      </c>
      <c r="X2307">
        <v>2</v>
      </c>
      <c r="Z2307">
        <v>0</v>
      </c>
      <c r="AA2307">
        <v>9</v>
      </c>
      <c r="AB2307">
        <v>3</v>
      </c>
      <c r="AC2307">
        <v>0</v>
      </c>
      <c r="AD2307">
        <v>10</v>
      </c>
      <c r="AE2307">
        <v>0</v>
      </c>
      <c r="AF2307">
        <v>3</v>
      </c>
      <c r="AG2307">
        <v>2</v>
      </c>
      <c r="AH2307">
        <v>0</v>
      </c>
      <c r="AI2307" t="s">
        <v>1403</v>
      </c>
      <c r="AJ2307">
        <v>39.970278999999998</v>
      </c>
      <c r="AK2307" t="s">
        <v>1404</v>
      </c>
      <c r="AL2307">
        <v>-92.694890000000001</v>
      </c>
      <c r="AM2307">
        <v>100</v>
      </c>
      <c r="AN2307">
        <v>1700</v>
      </c>
      <c r="AO2307" t="s">
        <v>118</v>
      </c>
      <c r="AP2307">
        <v>-107</v>
      </c>
      <c r="AQ2307">
        <v>78</v>
      </c>
      <c r="AR2307">
        <v>128</v>
      </c>
      <c r="AZ2307">
        <v>1200</v>
      </c>
      <c r="BA2307">
        <v>1</v>
      </c>
      <c r="BB2307" t="str">
        <f t="shared" si="112"/>
        <v xml:space="preserve">N8080G  </v>
      </c>
      <c r="BC2307">
        <v>1</v>
      </c>
      <c r="BE2307">
        <v>0</v>
      </c>
      <c r="BF2307">
        <v>0</v>
      </c>
      <c r="BG2307">
        <v>0</v>
      </c>
      <c r="BH2307">
        <v>1700</v>
      </c>
      <c r="BI2307">
        <v>1</v>
      </c>
      <c r="BJ2307">
        <v>1</v>
      </c>
      <c r="BK2307">
        <v>1</v>
      </c>
      <c r="BL2307">
        <v>0</v>
      </c>
      <c r="BO2307">
        <v>0</v>
      </c>
      <c r="BP2307">
        <v>0</v>
      </c>
      <c r="BW2307" t="str">
        <f>"20:26:48.997"</f>
        <v>20:26:48.997</v>
      </c>
      <c r="BZ2307">
        <v>0</v>
      </c>
      <c r="CA2307">
        <v>2016</v>
      </c>
      <c r="CB2307">
        <v>224</v>
      </c>
      <c r="CD2307">
        <v>1</v>
      </c>
      <c r="CE2307">
        <v>0</v>
      </c>
      <c r="CF2307">
        <v>0</v>
      </c>
      <c r="CG2307">
        <v>1</v>
      </c>
      <c r="CH2307">
        <v>0</v>
      </c>
      <c r="CI2307">
        <v>0</v>
      </c>
      <c r="CJ2307">
        <v>0</v>
      </c>
      <c r="CK2307">
        <v>2</v>
      </c>
      <c r="CL2307">
        <v>0</v>
      </c>
      <c r="CM2307">
        <v>2</v>
      </c>
      <c r="CN2307">
        <v>0</v>
      </c>
      <c r="CO2307">
        <v>7</v>
      </c>
      <c r="CP2307" t="s">
        <v>119</v>
      </c>
      <c r="CQ2307">
        <v>180</v>
      </c>
      <c r="CR2307">
        <v>2</v>
      </c>
      <c r="CW2307">
        <v>8496101</v>
      </c>
      <c r="CY2307">
        <v>1</v>
      </c>
      <c r="CZ2307">
        <v>0</v>
      </c>
      <c r="DA2307">
        <v>0</v>
      </c>
      <c r="DB2307">
        <v>0</v>
      </c>
      <c r="DC2307">
        <v>0</v>
      </c>
      <c r="DD2307">
        <v>0</v>
      </c>
      <c r="DE2307">
        <v>0</v>
      </c>
      <c r="DF2307">
        <v>0</v>
      </c>
      <c r="DG2307">
        <v>0</v>
      </c>
      <c r="DH2307">
        <v>0</v>
      </c>
      <c r="DI2307">
        <v>0</v>
      </c>
    </row>
    <row r="2308" spans="1:113" x14ac:dyDescent="0.3">
      <c r="A2308" t="str">
        <f>"02/08/2021 20:26:46.667"</f>
        <v>02/08/2021 20:26:46.667</v>
      </c>
      <c r="C2308" t="str">
        <f t="shared" si="111"/>
        <v>FFDFD7C0</v>
      </c>
      <c r="D2308" t="s">
        <v>113</v>
      </c>
      <c r="E2308">
        <v>6</v>
      </c>
      <c r="H2308">
        <v>165</v>
      </c>
      <c r="I2308" t="s">
        <v>114</v>
      </c>
      <c r="J2308" t="s">
        <v>115</v>
      </c>
      <c r="K2308">
        <v>0</v>
      </c>
      <c r="L2308">
        <v>3</v>
      </c>
      <c r="M2308">
        <v>0</v>
      </c>
      <c r="N2308">
        <v>2</v>
      </c>
      <c r="O2308">
        <v>1</v>
      </c>
      <c r="P2308">
        <v>0</v>
      </c>
      <c r="Q2308">
        <v>0</v>
      </c>
      <c r="S2308" t="str">
        <f>"20:26:48.992"</f>
        <v>20:26:48.992</v>
      </c>
      <c r="T2308" t="str">
        <f>"20:26:48.592"</f>
        <v>20:26:48.592</v>
      </c>
      <c r="U2308" t="str">
        <f t="shared" si="113"/>
        <v>AB01F4</v>
      </c>
      <c r="V2308">
        <v>0</v>
      </c>
      <c r="W2308">
        <v>0</v>
      </c>
      <c r="X2308">
        <v>2</v>
      </c>
      <c r="Z2308">
        <v>0</v>
      </c>
      <c r="AA2308">
        <v>9</v>
      </c>
      <c r="AB2308">
        <v>3</v>
      </c>
      <c r="AC2308">
        <v>0</v>
      </c>
      <c r="AD2308">
        <v>10</v>
      </c>
      <c r="AE2308">
        <v>0</v>
      </c>
      <c r="AF2308">
        <v>3</v>
      </c>
      <c r="AG2308">
        <v>2</v>
      </c>
      <c r="AH2308">
        <v>0</v>
      </c>
      <c r="AI2308" t="s">
        <v>1403</v>
      </c>
      <c r="AJ2308">
        <v>39.970278999999998</v>
      </c>
      <c r="AK2308" t="s">
        <v>1404</v>
      </c>
      <c r="AL2308">
        <v>-92.694890000000001</v>
      </c>
      <c r="AM2308">
        <v>100</v>
      </c>
      <c r="AN2308">
        <v>1700</v>
      </c>
      <c r="AO2308" t="s">
        <v>118</v>
      </c>
      <c r="AP2308">
        <v>-107</v>
      </c>
      <c r="AQ2308">
        <v>78</v>
      </c>
      <c r="AR2308">
        <v>128</v>
      </c>
      <c r="AZ2308">
        <v>1200</v>
      </c>
      <c r="BA2308">
        <v>1</v>
      </c>
      <c r="BB2308" t="str">
        <f t="shared" si="112"/>
        <v xml:space="preserve">N8080G  </v>
      </c>
      <c r="BC2308">
        <v>1</v>
      </c>
      <c r="BE2308">
        <v>0</v>
      </c>
      <c r="BF2308">
        <v>0</v>
      </c>
      <c r="BG2308">
        <v>0</v>
      </c>
      <c r="BH2308">
        <v>1700</v>
      </c>
      <c r="BI2308">
        <v>1</v>
      </c>
      <c r="BJ2308">
        <v>1</v>
      </c>
      <c r="BK2308">
        <v>1</v>
      </c>
      <c r="BL2308">
        <v>0</v>
      </c>
      <c r="BO2308">
        <v>0</v>
      </c>
      <c r="BP2308">
        <v>0</v>
      </c>
      <c r="BW2308" t="str">
        <f>"20:26:48.997"</f>
        <v>20:26:48.997</v>
      </c>
      <c r="BZ2308">
        <v>0</v>
      </c>
      <c r="CA2308">
        <v>2016</v>
      </c>
      <c r="CB2308">
        <v>224</v>
      </c>
      <c r="CD2308">
        <v>1</v>
      </c>
      <c r="CE2308">
        <v>0</v>
      </c>
      <c r="CF2308">
        <v>0</v>
      </c>
      <c r="CG2308">
        <v>1</v>
      </c>
      <c r="CH2308">
        <v>0</v>
      </c>
      <c r="CI2308">
        <v>0</v>
      </c>
      <c r="CJ2308">
        <v>0</v>
      </c>
      <c r="CK2308">
        <v>2</v>
      </c>
      <c r="CL2308">
        <v>0</v>
      </c>
      <c r="CM2308">
        <v>2</v>
      </c>
      <c r="CN2308">
        <v>0</v>
      </c>
      <c r="CO2308">
        <v>7</v>
      </c>
      <c r="CP2308" t="s">
        <v>119</v>
      </c>
      <c r="CQ2308">
        <v>180</v>
      </c>
      <c r="CR2308">
        <v>2</v>
      </c>
      <c r="CW2308">
        <v>8496101</v>
      </c>
      <c r="CY2308">
        <v>1</v>
      </c>
      <c r="CZ2308">
        <v>0</v>
      </c>
      <c r="DA2308">
        <v>1</v>
      </c>
      <c r="DB2308">
        <v>0</v>
      </c>
      <c r="DC2308">
        <v>0</v>
      </c>
      <c r="DD2308">
        <v>0</v>
      </c>
      <c r="DE2308">
        <v>0</v>
      </c>
      <c r="DF2308">
        <v>0</v>
      </c>
      <c r="DG2308">
        <v>0</v>
      </c>
      <c r="DH2308">
        <v>0</v>
      </c>
      <c r="DI2308">
        <v>0</v>
      </c>
    </row>
    <row r="2309" spans="1:113" x14ac:dyDescent="0.3">
      <c r="A2309" t="str">
        <f>"02/08/2021 20:26:46.667"</f>
        <v>02/08/2021 20:26:46.667</v>
      </c>
      <c r="C2309" t="str">
        <f t="shared" si="111"/>
        <v>FFDFD7C0</v>
      </c>
      <c r="D2309" t="s">
        <v>124</v>
      </c>
      <c r="E2309">
        <v>12</v>
      </c>
      <c r="F2309">
        <v>1012</v>
      </c>
      <c r="G2309" t="s">
        <v>675</v>
      </c>
      <c r="J2309" t="s">
        <v>125</v>
      </c>
      <c r="K2309">
        <v>0</v>
      </c>
      <c r="L2309">
        <v>3</v>
      </c>
      <c r="M2309">
        <v>0</v>
      </c>
      <c r="N2309">
        <v>2</v>
      </c>
      <c r="O2309">
        <v>1</v>
      </c>
      <c r="P2309">
        <v>0</v>
      </c>
      <c r="Q2309">
        <v>0</v>
      </c>
      <c r="S2309" t="str">
        <f>"20:26:48.992"</f>
        <v>20:26:48.992</v>
      </c>
      <c r="T2309" t="str">
        <f>"20:26:48.592"</f>
        <v>20:26:48.592</v>
      </c>
      <c r="U2309" t="str">
        <f t="shared" si="113"/>
        <v>AB01F4</v>
      </c>
      <c r="V2309">
        <v>0</v>
      </c>
      <c r="W2309">
        <v>0</v>
      </c>
      <c r="X2309">
        <v>2</v>
      </c>
      <c r="Z2309">
        <v>0</v>
      </c>
      <c r="AA2309">
        <v>9</v>
      </c>
      <c r="AB2309">
        <v>3</v>
      </c>
      <c r="AC2309">
        <v>0</v>
      </c>
      <c r="AD2309">
        <v>10</v>
      </c>
      <c r="AE2309">
        <v>0</v>
      </c>
      <c r="AF2309">
        <v>3</v>
      </c>
      <c r="AG2309">
        <v>2</v>
      </c>
      <c r="AH2309">
        <v>0</v>
      </c>
      <c r="AI2309" t="s">
        <v>1403</v>
      </c>
      <c r="AJ2309">
        <v>39.970278999999998</v>
      </c>
      <c r="AK2309" t="s">
        <v>1404</v>
      </c>
      <c r="AL2309">
        <v>-92.694890000000001</v>
      </c>
      <c r="AM2309">
        <v>100</v>
      </c>
      <c r="AN2309">
        <v>1700</v>
      </c>
      <c r="AO2309" t="s">
        <v>118</v>
      </c>
      <c r="AP2309">
        <v>-107</v>
      </c>
      <c r="AQ2309">
        <v>78</v>
      </c>
      <c r="AR2309">
        <v>128</v>
      </c>
      <c r="AZ2309">
        <v>1200</v>
      </c>
      <c r="BA2309">
        <v>1</v>
      </c>
      <c r="BB2309" t="str">
        <f t="shared" si="112"/>
        <v xml:space="preserve">N8080G  </v>
      </c>
      <c r="BC2309">
        <v>1</v>
      </c>
      <c r="BE2309">
        <v>0</v>
      </c>
      <c r="BF2309">
        <v>0</v>
      </c>
      <c r="BG2309">
        <v>0</v>
      </c>
      <c r="BH2309">
        <v>1700</v>
      </c>
      <c r="BI2309">
        <v>1</v>
      </c>
      <c r="BJ2309">
        <v>1</v>
      </c>
      <c r="BK2309">
        <v>1</v>
      </c>
      <c r="BL2309">
        <v>0</v>
      </c>
      <c r="BO2309">
        <v>0</v>
      </c>
      <c r="BP2309">
        <v>0</v>
      </c>
      <c r="BW2309" t="str">
        <f>"20:26:48.997"</f>
        <v>20:26:48.997</v>
      </c>
      <c r="BZ2309">
        <v>0</v>
      </c>
      <c r="CA2309">
        <v>2016</v>
      </c>
      <c r="CB2309">
        <v>224</v>
      </c>
      <c r="CD2309">
        <v>1</v>
      </c>
      <c r="CE2309">
        <v>0</v>
      </c>
      <c r="CF2309">
        <v>0</v>
      </c>
      <c r="CG2309">
        <v>1</v>
      </c>
      <c r="CH2309">
        <v>0</v>
      </c>
      <c r="CI2309">
        <v>0</v>
      </c>
      <c r="CJ2309">
        <v>0</v>
      </c>
      <c r="CK2309">
        <v>2</v>
      </c>
      <c r="CL2309">
        <v>0</v>
      </c>
      <c r="CM2309">
        <v>2</v>
      </c>
      <c r="CN2309">
        <v>0</v>
      </c>
      <c r="CO2309">
        <v>7</v>
      </c>
      <c r="CP2309" t="s">
        <v>119</v>
      </c>
      <c r="CQ2309">
        <v>180</v>
      </c>
      <c r="CR2309">
        <v>2</v>
      </c>
      <c r="CW2309">
        <v>8496101</v>
      </c>
      <c r="CY2309">
        <v>1</v>
      </c>
      <c r="CZ2309">
        <v>0</v>
      </c>
      <c r="DA2309">
        <v>1</v>
      </c>
      <c r="DB2309">
        <v>0</v>
      </c>
      <c r="DC2309">
        <v>0</v>
      </c>
      <c r="DD2309">
        <v>0</v>
      </c>
      <c r="DE2309">
        <v>0</v>
      </c>
      <c r="DF2309">
        <v>0</v>
      </c>
      <c r="DG2309">
        <v>0</v>
      </c>
      <c r="DH2309">
        <v>0</v>
      </c>
      <c r="DI2309">
        <v>0</v>
      </c>
    </row>
    <row r="2310" spans="1:113" x14ac:dyDescent="0.3">
      <c r="A2310" t="str">
        <f>"02/08/2021 20:26:46.667"</f>
        <v>02/08/2021 20:26:46.667</v>
      </c>
      <c r="C2310" t="str">
        <f t="shared" si="111"/>
        <v>FFDFD7C0</v>
      </c>
      <c r="D2310" t="s">
        <v>124</v>
      </c>
      <c r="E2310">
        <v>13</v>
      </c>
      <c r="F2310">
        <v>1013</v>
      </c>
      <c r="G2310" t="s">
        <v>114</v>
      </c>
      <c r="J2310" t="s">
        <v>125</v>
      </c>
      <c r="K2310">
        <v>0</v>
      </c>
      <c r="L2310">
        <v>3</v>
      </c>
      <c r="M2310">
        <v>0</v>
      </c>
      <c r="N2310">
        <v>2</v>
      </c>
      <c r="O2310">
        <v>1</v>
      </c>
      <c r="P2310">
        <v>0</v>
      </c>
      <c r="Q2310">
        <v>0</v>
      </c>
      <c r="S2310" t="str">
        <f>"20:26:48.992"</f>
        <v>20:26:48.992</v>
      </c>
      <c r="T2310" t="str">
        <f>"20:26:48.592"</f>
        <v>20:26:48.592</v>
      </c>
      <c r="U2310" t="str">
        <f t="shared" si="113"/>
        <v>AB01F4</v>
      </c>
      <c r="V2310">
        <v>0</v>
      </c>
      <c r="W2310">
        <v>0</v>
      </c>
      <c r="X2310">
        <v>2</v>
      </c>
      <c r="Z2310">
        <v>0</v>
      </c>
      <c r="AA2310">
        <v>9</v>
      </c>
      <c r="AB2310">
        <v>3</v>
      </c>
      <c r="AC2310">
        <v>0</v>
      </c>
      <c r="AD2310">
        <v>10</v>
      </c>
      <c r="AE2310">
        <v>0</v>
      </c>
      <c r="AF2310">
        <v>3</v>
      </c>
      <c r="AG2310">
        <v>2</v>
      </c>
      <c r="AH2310">
        <v>0</v>
      </c>
      <c r="AI2310" t="s">
        <v>1403</v>
      </c>
      <c r="AJ2310">
        <v>39.970278999999998</v>
      </c>
      <c r="AK2310" t="s">
        <v>1404</v>
      </c>
      <c r="AL2310">
        <v>-92.694890000000001</v>
      </c>
      <c r="AM2310">
        <v>100</v>
      </c>
      <c r="AN2310">
        <v>1700</v>
      </c>
      <c r="AO2310" t="s">
        <v>118</v>
      </c>
      <c r="AP2310">
        <v>-107</v>
      </c>
      <c r="AQ2310">
        <v>78</v>
      </c>
      <c r="AR2310">
        <v>128</v>
      </c>
      <c r="AZ2310">
        <v>1200</v>
      </c>
      <c r="BA2310">
        <v>1</v>
      </c>
      <c r="BB2310" t="str">
        <f t="shared" si="112"/>
        <v xml:space="preserve">N8080G  </v>
      </c>
      <c r="BC2310">
        <v>1</v>
      </c>
      <c r="BE2310">
        <v>0</v>
      </c>
      <c r="BF2310">
        <v>0</v>
      </c>
      <c r="BG2310">
        <v>0</v>
      </c>
      <c r="BH2310">
        <v>1700</v>
      </c>
      <c r="BI2310">
        <v>1</v>
      </c>
      <c r="BJ2310">
        <v>1</v>
      </c>
      <c r="BK2310">
        <v>1</v>
      </c>
      <c r="BL2310">
        <v>0</v>
      </c>
      <c r="BO2310">
        <v>0</v>
      </c>
      <c r="BP2310">
        <v>0</v>
      </c>
      <c r="BW2310" t="str">
        <f>"20:26:48.997"</f>
        <v>20:26:48.997</v>
      </c>
      <c r="BZ2310">
        <v>0</v>
      </c>
      <c r="CA2310">
        <v>2016</v>
      </c>
      <c r="CB2310">
        <v>224</v>
      </c>
      <c r="CD2310">
        <v>1</v>
      </c>
      <c r="CE2310">
        <v>0</v>
      </c>
      <c r="CF2310">
        <v>0</v>
      </c>
      <c r="CG2310">
        <v>1</v>
      </c>
      <c r="CH2310">
        <v>0</v>
      </c>
      <c r="CI2310">
        <v>0</v>
      </c>
      <c r="CJ2310">
        <v>0</v>
      </c>
      <c r="CK2310">
        <v>2</v>
      </c>
      <c r="CL2310">
        <v>0</v>
      </c>
      <c r="CM2310">
        <v>2</v>
      </c>
      <c r="CN2310">
        <v>0</v>
      </c>
      <c r="CO2310">
        <v>7</v>
      </c>
      <c r="CP2310" t="s">
        <v>119</v>
      </c>
      <c r="CQ2310">
        <v>180</v>
      </c>
      <c r="CR2310">
        <v>2</v>
      </c>
      <c r="CW2310">
        <v>8496101</v>
      </c>
      <c r="CY2310">
        <v>1</v>
      </c>
      <c r="CZ2310">
        <v>0</v>
      </c>
      <c r="DA2310">
        <v>1</v>
      </c>
      <c r="DB2310">
        <v>0</v>
      </c>
      <c r="DC2310">
        <v>0</v>
      </c>
      <c r="DD2310">
        <v>0</v>
      </c>
      <c r="DE2310">
        <v>0</v>
      </c>
      <c r="DF2310">
        <v>0</v>
      </c>
      <c r="DG2310">
        <v>0</v>
      </c>
      <c r="DH2310">
        <v>0</v>
      </c>
      <c r="DI2310">
        <v>0</v>
      </c>
    </row>
    <row r="2311" spans="1:113" x14ac:dyDescent="0.3">
      <c r="A2311" t="str">
        <f>"02/08/2021 20:26:47.478"</f>
        <v>02/08/2021 20:26:47.478</v>
      </c>
      <c r="C2311" t="str">
        <f t="shared" si="111"/>
        <v>FFDFD7C0</v>
      </c>
      <c r="D2311" t="s">
        <v>113</v>
      </c>
      <c r="E2311">
        <v>6</v>
      </c>
      <c r="H2311">
        <v>165</v>
      </c>
      <c r="I2311" t="s">
        <v>114</v>
      </c>
      <c r="J2311" t="s">
        <v>115</v>
      </c>
      <c r="K2311">
        <v>0</v>
      </c>
      <c r="L2311">
        <v>3</v>
      </c>
      <c r="M2311">
        <v>0</v>
      </c>
      <c r="N2311">
        <v>2</v>
      </c>
      <c r="O2311">
        <v>1</v>
      </c>
      <c r="P2311">
        <v>0</v>
      </c>
      <c r="Q2311">
        <v>0</v>
      </c>
      <c r="S2311" t="str">
        <f>"20:26:49.828"</f>
        <v>20:26:49.828</v>
      </c>
      <c r="T2311" t="str">
        <f>"20:26:49.428"</f>
        <v>20:26:49.428</v>
      </c>
      <c r="U2311" t="str">
        <f t="shared" si="113"/>
        <v>AB01F4</v>
      </c>
      <c r="V2311">
        <v>0</v>
      </c>
      <c r="W2311">
        <v>0</v>
      </c>
      <c r="X2311">
        <v>2</v>
      </c>
      <c r="Z2311">
        <v>0</v>
      </c>
      <c r="AA2311">
        <v>9</v>
      </c>
      <c r="AB2311">
        <v>3</v>
      </c>
      <c r="AC2311">
        <v>0</v>
      </c>
      <c r="AD2311">
        <v>10</v>
      </c>
      <c r="AE2311">
        <v>0</v>
      </c>
      <c r="AF2311">
        <v>3</v>
      </c>
      <c r="AG2311">
        <v>2</v>
      </c>
      <c r="AH2311">
        <v>0</v>
      </c>
      <c r="AI2311" t="s">
        <v>1405</v>
      </c>
      <c r="AJ2311">
        <v>39.970579000000001</v>
      </c>
      <c r="AK2311" t="s">
        <v>1406</v>
      </c>
      <c r="AL2311">
        <v>-92.695447999999999</v>
      </c>
      <c r="AM2311">
        <v>100</v>
      </c>
      <c r="AN2311">
        <v>1700</v>
      </c>
      <c r="AO2311" t="s">
        <v>118</v>
      </c>
      <c r="AP2311">
        <v>-108</v>
      </c>
      <c r="AQ2311">
        <v>78</v>
      </c>
      <c r="AR2311">
        <v>128</v>
      </c>
      <c r="AZ2311">
        <v>1200</v>
      </c>
      <c r="BA2311">
        <v>1</v>
      </c>
      <c r="BB2311" t="str">
        <f t="shared" si="112"/>
        <v xml:space="preserve">N8080G  </v>
      </c>
      <c r="BC2311">
        <v>1</v>
      </c>
      <c r="BE2311">
        <v>0</v>
      </c>
      <c r="BF2311">
        <v>0</v>
      </c>
      <c r="BG2311">
        <v>0</v>
      </c>
      <c r="BH2311">
        <v>1700</v>
      </c>
      <c r="BI2311">
        <v>1</v>
      </c>
      <c r="BJ2311">
        <v>1</v>
      </c>
      <c r="BK2311">
        <v>1</v>
      </c>
      <c r="BL2311">
        <v>0</v>
      </c>
      <c r="BO2311">
        <v>0</v>
      </c>
      <c r="BP2311">
        <v>0</v>
      </c>
      <c r="BW2311" t="str">
        <f>"20:26:49.835"</f>
        <v>20:26:49.835</v>
      </c>
      <c r="BZ2311">
        <v>0</v>
      </c>
      <c r="CA2311">
        <v>2016</v>
      </c>
      <c r="CB2311">
        <v>224</v>
      </c>
      <c r="CD2311">
        <v>1</v>
      </c>
      <c r="CE2311">
        <v>0</v>
      </c>
      <c r="CF2311">
        <v>0</v>
      </c>
      <c r="CG2311">
        <v>1</v>
      </c>
      <c r="CH2311">
        <v>0</v>
      </c>
      <c r="CI2311">
        <v>0</v>
      </c>
      <c r="CJ2311">
        <v>0</v>
      </c>
      <c r="CK2311">
        <v>2</v>
      </c>
      <c r="CL2311">
        <v>0</v>
      </c>
      <c r="CM2311">
        <v>2</v>
      </c>
      <c r="CN2311">
        <v>0</v>
      </c>
      <c r="CO2311">
        <v>3</v>
      </c>
      <c r="CP2311" t="s">
        <v>119</v>
      </c>
      <c r="CQ2311">
        <v>179</v>
      </c>
      <c r="CR2311">
        <v>1</v>
      </c>
      <c r="CW2311">
        <v>8942111</v>
      </c>
      <c r="CY2311">
        <v>1</v>
      </c>
      <c r="CZ2311">
        <v>0</v>
      </c>
      <c r="DA2311">
        <v>0</v>
      </c>
      <c r="DB2311">
        <v>0</v>
      </c>
      <c r="DC2311">
        <v>0</v>
      </c>
      <c r="DD2311">
        <v>0</v>
      </c>
      <c r="DE2311">
        <v>0</v>
      </c>
      <c r="DF2311">
        <v>0</v>
      </c>
      <c r="DG2311">
        <v>0</v>
      </c>
      <c r="DH2311">
        <v>0</v>
      </c>
      <c r="DI2311">
        <v>0</v>
      </c>
    </row>
    <row r="2312" spans="1:113" x14ac:dyDescent="0.3">
      <c r="A2312" t="str">
        <f>"02/08/2021 20:26:47.478"</f>
        <v>02/08/2021 20:26:47.478</v>
      </c>
      <c r="C2312" t="str">
        <f t="shared" si="111"/>
        <v>FFDFD7C0</v>
      </c>
      <c r="D2312" t="s">
        <v>124</v>
      </c>
      <c r="E2312">
        <v>12</v>
      </c>
      <c r="F2312">
        <v>1012</v>
      </c>
      <c r="G2312" t="s">
        <v>675</v>
      </c>
      <c r="J2312" t="s">
        <v>125</v>
      </c>
      <c r="K2312">
        <v>0</v>
      </c>
      <c r="L2312">
        <v>3</v>
      </c>
      <c r="M2312">
        <v>0</v>
      </c>
      <c r="N2312">
        <v>2</v>
      </c>
      <c r="O2312">
        <v>1</v>
      </c>
      <c r="P2312">
        <v>0</v>
      </c>
      <c r="Q2312">
        <v>0</v>
      </c>
      <c r="S2312" t="str">
        <f>"20:26:49.828"</f>
        <v>20:26:49.828</v>
      </c>
      <c r="T2312" t="str">
        <f>"20:26:49.428"</f>
        <v>20:26:49.428</v>
      </c>
      <c r="U2312" t="str">
        <f t="shared" si="113"/>
        <v>AB01F4</v>
      </c>
      <c r="V2312">
        <v>0</v>
      </c>
      <c r="W2312">
        <v>0</v>
      </c>
      <c r="X2312">
        <v>2</v>
      </c>
      <c r="Z2312">
        <v>0</v>
      </c>
      <c r="AA2312">
        <v>9</v>
      </c>
      <c r="AB2312">
        <v>3</v>
      </c>
      <c r="AC2312">
        <v>0</v>
      </c>
      <c r="AD2312">
        <v>10</v>
      </c>
      <c r="AE2312">
        <v>0</v>
      </c>
      <c r="AF2312">
        <v>3</v>
      </c>
      <c r="AG2312">
        <v>2</v>
      </c>
      <c r="AH2312">
        <v>0</v>
      </c>
      <c r="AI2312" t="s">
        <v>1405</v>
      </c>
      <c r="AJ2312">
        <v>39.970579000000001</v>
      </c>
      <c r="AK2312" t="s">
        <v>1406</v>
      </c>
      <c r="AL2312">
        <v>-92.695447999999999</v>
      </c>
      <c r="AM2312">
        <v>100</v>
      </c>
      <c r="AN2312">
        <v>1700</v>
      </c>
      <c r="AO2312" t="s">
        <v>118</v>
      </c>
      <c r="AP2312">
        <v>-108</v>
      </c>
      <c r="AQ2312">
        <v>78</v>
      </c>
      <c r="AR2312">
        <v>128</v>
      </c>
      <c r="AZ2312">
        <v>1200</v>
      </c>
      <c r="BA2312">
        <v>1</v>
      </c>
      <c r="BB2312" t="str">
        <f t="shared" si="112"/>
        <v xml:space="preserve">N8080G  </v>
      </c>
      <c r="BC2312">
        <v>1</v>
      </c>
      <c r="BE2312">
        <v>0</v>
      </c>
      <c r="BF2312">
        <v>0</v>
      </c>
      <c r="BG2312">
        <v>0</v>
      </c>
      <c r="BH2312">
        <v>1700</v>
      </c>
      <c r="BI2312">
        <v>1</v>
      </c>
      <c r="BJ2312">
        <v>1</v>
      </c>
      <c r="BK2312">
        <v>1</v>
      </c>
      <c r="BL2312">
        <v>0</v>
      </c>
      <c r="BO2312">
        <v>0</v>
      </c>
      <c r="BP2312">
        <v>0</v>
      </c>
      <c r="BW2312" t="str">
        <f>"20:26:49.835"</f>
        <v>20:26:49.835</v>
      </c>
      <c r="BZ2312">
        <v>0</v>
      </c>
      <c r="CA2312">
        <v>2016</v>
      </c>
      <c r="CB2312">
        <v>224</v>
      </c>
      <c r="CD2312">
        <v>1</v>
      </c>
      <c r="CE2312">
        <v>0</v>
      </c>
      <c r="CF2312">
        <v>0</v>
      </c>
      <c r="CG2312">
        <v>1</v>
      </c>
      <c r="CH2312">
        <v>0</v>
      </c>
      <c r="CI2312">
        <v>0</v>
      </c>
      <c r="CJ2312">
        <v>0</v>
      </c>
      <c r="CK2312">
        <v>2</v>
      </c>
      <c r="CL2312">
        <v>0</v>
      </c>
      <c r="CM2312">
        <v>2</v>
      </c>
      <c r="CN2312">
        <v>0</v>
      </c>
      <c r="CO2312">
        <v>3</v>
      </c>
      <c r="CP2312" t="s">
        <v>119</v>
      </c>
      <c r="CQ2312">
        <v>179</v>
      </c>
      <c r="CR2312">
        <v>1</v>
      </c>
      <c r="CW2312">
        <v>8942111</v>
      </c>
      <c r="CY2312">
        <v>1</v>
      </c>
      <c r="CZ2312">
        <v>0</v>
      </c>
      <c r="DA2312">
        <v>1</v>
      </c>
      <c r="DB2312">
        <v>0</v>
      </c>
      <c r="DC2312">
        <v>0</v>
      </c>
      <c r="DD2312">
        <v>0</v>
      </c>
      <c r="DE2312">
        <v>0</v>
      </c>
      <c r="DF2312">
        <v>0</v>
      </c>
      <c r="DG2312">
        <v>0</v>
      </c>
      <c r="DH2312">
        <v>0</v>
      </c>
      <c r="DI2312">
        <v>0</v>
      </c>
    </row>
    <row r="2313" spans="1:113" x14ac:dyDescent="0.3">
      <c r="A2313" t="str">
        <f>"02/08/2021 20:26:47.478"</f>
        <v>02/08/2021 20:26:47.478</v>
      </c>
      <c r="C2313" t="str">
        <f t="shared" si="111"/>
        <v>FFDFD7C0</v>
      </c>
      <c r="D2313" t="s">
        <v>124</v>
      </c>
      <c r="E2313">
        <v>13</v>
      </c>
      <c r="F2313">
        <v>1013</v>
      </c>
      <c r="G2313" t="s">
        <v>114</v>
      </c>
      <c r="J2313" t="s">
        <v>125</v>
      </c>
      <c r="K2313">
        <v>0</v>
      </c>
      <c r="L2313">
        <v>3</v>
      </c>
      <c r="M2313">
        <v>0</v>
      </c>
      <c r="N2313">
        <v>2</v>
      </c>
      <c r="O2313">
        <v>1</v>
      </c>
      <c r="P2313">
        <v>0</v>
      </c>
      <c r="Q2313">
        <v>0</v>
      </c>
      <c r="S2313" t="str">
        <f>"20:26:49.828"</f>
        <v>20:26:49.828</v>
      </c>
      <c r="T2313" t="str">
        <f>"20:26:49.428"</f>
        <v>20:26:49.428</v>
      </c>
      <c r="U2313" t="str">
        <f t="shared" si="113"/>
        <v>AB01F4</v>
      </c>
      <c r="V2313">
        <v>0</v>
      </c>
      <c r="W2313">
        <v>0</v>
      </c>
      <c r="X2313">
        <v>2</v>
      </c>
      <c r="Z2313">
        <v>0</v>
      </c>
      <c r="AA2313">
        <v>9</v>
      </c>
      <c r="AB2313">
        <v>3</v>
      </c>
      <c r="AC2313">
        <v>0</v>
      </c>
      <c r="AD2313">
        <v>10</v>
      </c>
      <c r="AE2313">
        <v>0</v>
      </c>
      <c r="AF2313">
        <v>3</v>
      </c>
      <c r="AG2313">
        <v>2</v>
      </c>
      <c r="AH2313">
        <v>0</v>
      </c>
      <c r="AI2313" t="s">
        <v>1405</v>
      </c>
      <c r="AJ2313">
        <v>39.970579000000001</v>
      </c>
      <c r="AK2313" t="s">
        <v>1406</v>
      </c>
      <c r="AL2313">
        <v>-92.695447999999999</v>
      </c>
      <c r="AM2313">
        <v>100</v>
      </c>
      <c r="AN2313">
        <v>1700</v>
      </c>
      <c r="AO2313" t="s">
        <v>118</v>
      </c>
      <c r="AP2313">
        <v>-108</v>
      </c>
      <c r="AQ2313">
        <v>78</v>
      </c>
      <c r="AR2313">
        <v>128</v>
      </c>
      <c r="AZ2313">
        <v>1200</v>
      </c>
      <c r="BA2313">
        <v>1</v>
      </c>
      <c r="BB2313" t="str">
        <f t="shared" si="112"/>
        <v xml:space="preserve">N8080G  </v>
      </c>
      <c r="BC2313">
        <v>1</v>
      </c>
      <c r="BE2313">
        <v>0</v>
      </c>
      <c r="BF2313">
        <v>0</v>
      </c>
      <c r="BG2313">
        <v>0</v>
      </c>
      <c r="BH2313">
        <v>1700</v>
      </c>
      <c r="BI2313">
        <v>1</v>
      </c>
      <c r="BJ2313">
        <v>1</v>
      </c>
      <c r="BK2313">
        <v>1</v>
      </c>
      <c r="BL2313">
        <v>0</v>
      </c>
      <c r="BO2313">
        <v>0</v>
      </c>
      <c r="BP2313">
        <v>0</v>
      </c>
      <c r="BW2313" t="str">
        <f>"20:26:49.835"</f>
        <v>20:26:49.835</v>
      </c>
      <c r="BZ2313">
        <v>0</v>
      </c>
      <c r="CA2313">
        <v>2016</v>
      </c>
      <c r="CB2313">
        <v>224</v>
      </c>
      <c r="CD2313">
        <v>1</v>
      </c>
      <c r="CE2313">
        <v>0</v>
      </c>
      <c r="CF2313">
        <v>0</v>
      </c>
      <c r="CG2313">
        <v>1</v>
      </c>
      <c r="CH2313">
        <v>0</v>
      </c>
      <c r="CI2313">
        <v>0</v>
      </c>
      <c r="CJ2313">
        <v>0</v>
      </c>
      <c r="CK2313">
        <v>2</v>
      </c>
      <c r="CL2313">
        <v>0</v>
      </c>
      <c r="CM2313">
        <v>2</v>
      </c>
      <c r="CN2313">
        <v>0</v>
      </c>
      <c r="CO2313">
        <v>3</v>
      </c>
      <c r="CP2313" t="s">
        <v>119</v>
      </c>
      <c r="CQ2313">
        <v>179</v>
      </c>
      <c r="CR2313">
        <v>1</v>
      </c>
      <c r="CW2313">
        <v>8942111</v>
      </c>
      <c r="CY2313">
        <v>1</v>
      </c>
      <c r="CZ2313">
        <v>0</v>
      </c>
      <c r="DA2313">
        <v>1</v>
      </c>
      <c r="DB2313">
        <v>0</v>
      </c>
      <c r="DC2313">
        <v>0</v>
      </c>
      <c r="DD2313">
        <v>0</v>
      </c>
      <c r="DE2313">
        <v>0</v>
      </c>
      <c r="DF2313">
        <v>0</v>
      </c>
      <c r="DG2313">
        <v>0</v>
      </c>
      <c r="DH2313">
        <v>0</v>
      </c>
      <c r="DI2313">
        <v>0</v>
      </c>
    </row>
    <row r="2314" spans="1:113" x14ac:dyDescent="0.3">
      <c r="A2314" t="str">
        <f>"02/08/2021 20:26:47.478"</f>
        <v>02/08/2021 20:26:47.478</v>
      </c>
      <c r="C2314" t="str">
        <f t="shared" si="111"/>
        <v>FFDFD7C0</v>
      </c>
      <c r="D2314" t="s">
        <v>124</v>
      </c>
      <c r="E2314">
        <v>11</v>
      </c>
      <c r="F2314">
        <v>1011</v>
      </c>
      <c r="G2314" t="s">
        <v>590</v>
      </c>
      <c r="J2314" t="s">
        <v>125</v>
      </c>
      <c r="K2314">
        <v>0</v>
      </c>
      <c r="L2314">
        <v>3</v>
      </c>
      <c r="M2314">
        <v>0</v>
      </c>
      <c r="N2314">
        <v>2</v>
      </c>
      <c r="O2314">
        <v>1</v>
      </c>
      <c r="P2314">
        <v>0</v>
      </c>
      <c r="Q2314">
        <v>0</v>
      </c>
      <c r="S2314" t="str">
        <f>"20:26:49.828"</f>
        <v>20:26:49.828</v>
      </c>
      <c r="T2314" t="str">
        <f>"20:26:49.428"</f>
        <v>20:26:49.428</v>
      </c>
      <c r="U2314" t="str">
        <f t="shared" si="113"/>
        <v>AB01F4</v>
      </c>
      <c r="V2314">
        <v>0</v>
      </c>
      <c r="W2314">
        <v>0</v>
      </c>
      <c r="X2314">
        <v>2</v>
      </c>
      <c r="Z2314">
        <v>0</v>
      </c>
      <c r="AA2314">
        <v>9</v>
      </c>
      <c r="AB2314">
        <v>3</v>
      </c>
      <c r="AC2314">
        <v>0</v>
      </c>
      <c r="AD2314">
        <v>10</v>
      </c>
      <c r="AE2314">
        <v>0</v>
      </c>
      <c r="AF2314">
        <v>3</v>
      </c>
      <c r="AG2314">
        <v>2</v>
      </c>
      <c r="AH2314">
        <v>0</v>
      </c>
      <c r="AI2314" t="s">
        <v>1405</v>
      </c>
      <c r="AJ2314">
        <v>39.970579000000001</v>
      </c>
      <c r="AK2314" t="s">
        <v>1406</v>
      </c>
      <c r="AL2314">
        <v>-92.695447999999999</v>
      </c>
      <c r="AM2314">
        <v>100</v>
      </c>
      <c r="AN2314">
        <v>1700</v>
      </c>
      <c r="AO2314" t="s">
        <v>118</v>
      </c>
      <c r="AP2314">
        <v>-108</v>
      </c>
      <c r="AQ2314">
        <v>78</v>
      </c>
      <c r="AR2314">
        <v>128</v>
      </c>
      <c r="AZ2314">
        <v>1200</v>
      </c>
      <c r="BA2314">
        <v>1</v>
      </c>
      <c r="BB2314" t="str">
        <f t="shared" si="112"/>
        <v xml:space="preserve">N8080G  </v>
      </c>
      <c r="BC2314">
        <v>1</v>
      </c>
      <c r="BE2314">
        <v>0</v>
      </c>
      <c r="BF2314">
        <v>0</v>
      </c>
      <c r="BG2314">
        <v>0</v>
      </c>
      <c r="BH2314">
        <v>1700</v>
      </c>
      <c r="BI2314">
        <v>1</v>
      </c>
      <c r="BJ2314">
        <v>1</v>
      </c>
      <c r="BK2314">
        <v>1</v>
      </c>
      <c r="BL2314">
        <v>0</v>
      </c>
      <c r="BO2314">
        <v>0</v>
      </c>
      <c r="BP2314">
        <v>0</v>
      </c>
      <c r="BW2314" t="str">
        <f>"20:26:49.835"</f>
        <v>20:26:49.835</v>
      </c>
      <c r="BZ2314">
        <v>0</v>
      </c>
      <c r="CA2314">
        <v>2016</v>
      </c>
      <c r="CB2314">
        <v>224</v>
      </c>
      <c r="CD2314">
        <v>1</v>
      </c>
      <c r="CE2314">
        <v>0</v>
      </c>
      <c r="CF2314">
        <v>0</v>
      </c>
      <c r="CG2314">
        <v>1</v>
      </c>
      <c r="CH2314">
        <v>0</v>
      </c>
      <c r="CI2314">
        <v>0</v>
      </c>
      <c r="CJ2314">
        <v>0</v>
      </c>
      <c r="CK2314">
        <v>2</v>
      </c>
      <c r="CL2314">
        <v>0</v>
      </c>
      <c r="CM2314">
        <v>2</v>
      </c>
      <c r="CN2314">
        <v>0</v>
      </c>
      <c r="CO2314">
        <v>3</v>
      </c>
      <c r="CP2314" t="s">
        <v>119</v>
      </c>
      <c r="CQ2314">
        <v>179</v>
      </c>
      <c r="CR2314">
        <v>1</v>
      </c>
      <c r="CW2314">
        <v>8942111</v>
      </c>
      <c r="CY2314">
        <v>1</v>
      </c>
      <c r="CZ2314">
        <v>0</v>
      </c>
      <c r="DA2314">
        <v>1</v>
      </c>
      <c r="DB2314">
        <v>0</v>
      </c>
      <c r="DC2314">
        <v>0</v>
      </c>
      <c r="DD2314">
        <v>0</v>
      </c>
      <c r="DE2314">
        <v>0</v>
      </c>
      <c r="DF2314">
        <v>0</v>
      </c>
      <c r="DG2314">
        <v>0</v>
      </c>
      <c r="DH2314">
        <v>0</v>
      </c>
      <c r="DI2314">
        <v>0</v>
      </c>
    </row>
    <row r="2315" spans="1:113" x14ac:dyDescent="0.3">
      <c r="A2315" t="str">
        <f>"02/08/2021 20:26:48.330"</f>
        <v>02/08/2021 20:26:48.330</v>
      </c>
      <c r="C2315" t="str">
        <f t="shared" si="111"/>
        <v>FFDFD7C0</v>
      </c>
      <c r="D2315" t="s">
        <v>124</v>
      </c>
      <c r="E2315">
        <v>11</v>
      </c>
      <c r="F2315">
        <v>1011</v>
      </c>
      <c r="G2315" t="s">
        <v>590</v>
      </c>
      <c r="J2315" t="s">
        <v>125</v>
      </c>
      <c r="K2315">
        <v>0</v>
      </c>
      <c r="L2315">
        <v>3</v>
      </c>
      <c r="M2315">
        <v>0</v>
      </c>
      <c r="N2315">
        <v>2</v>
      </c>
      <c r="O2315">
        <v>1</v>
      </c>
      <c r="P2315">
        <v>0</v>
      </c>
      <c r="Q2315">
        <v>0</v>
      </c>
      <c r="S2315" t="str">
        <f>"20:26:50.672"</f>
        <v>20:26:50.672</v>
      </c>
      <c r="T2315" t="str">
        <f>"20:26:50.272"</f>
        <v>20:26:50.272</v>
      </c>
      <c r="U2315" t="str">
        <f t="shared" si="113"/>
        <v>AB01F4</v>
      </c>
      <c r="V2315">
        <v>0</v>
      </c>
      <c r="W2315">
        <v>0</v>
      </c>
      <c r="X2315">
        <v>2</v>
      </c>
      <c r="Z2315">
        <v>0</v>
      </c>
      <c r="AA2315">
        <v>9</v>
      </c>
      <c r="AB2315">
        <v>3</v>
      </c>
      <c r="AC2315">
        <v>0</v>
      </c>
      <c r="AD2315">
        <v>10</v>
      </c>
      <c r="AE2315">
        <v>0</v>
      </c>
      <c r="AF2315">
        <v>3</v>
      </c>
      <c r="AG2315">
        <v>2</v>
      </c>
      <c r="AH2315">
        <v>0</v>
      </c>
      <c r="AI2315" t="s">
        <v>1407</v>
      </c>
      <c r="AJ2315">
        <v>39.970858</v>
      </c>
      <c r="AK2315" t="s">
        <v>1408</v>
      </c>
      <c r="AL2315">
        <v>-92.696027999999998</v>
      </c>
      <c r="AM2315">
        <v>100</v>
      </c>
      <c r="AN2315">
        <v>1700</v>
      </c>
      <c r="AO2315" t="s">
        <v>118</v>
      </c>
      <c r="AP2315">
        <v>-108</v>
      </c>
      <c r="AQ2315">
        <v>78</v>
      </c>
      <c r="AR2315">
        <v>128</v>
      </c>
      <c r="AZ2315">
        <v>1200</v>
      </c>
      <c r="BA2315">
        <v>1</v>
      </c>
      <c r="BB2315" t="str">
        <f t="shared" si="112"/>
        <v xml:space="preserve">N8080G  </v>
      </c>
      <c r="BC2315">
        <v>1</v>
      </c>
      <c r="BE2315">
        <v>0</v>
      </c>
      <c r="BF2315">
        <v>0</v>
      </c>
      <c r="BG2315">
        <v>0</v>
      </c>
      <c r="BH2315">
        <v>1700</v>
      </c>
      <c r="BI2315">
        <v>1</v>
      </c>
      <c r="BJ2315">
        <v>1</v>
      </c>
      <c r="BK2315">
        <v>1</v>
      </c>
      <c r="BL2315">
        <v>0</v>
      </c>
      <c r="BO2315">
        <v>0</v>
      </c>
      <c r="BP2315">
        <v>0</v>
      </c>
      <c r="BW2315" t="str">
        <f>"20:26:50.677"</f>
        <v>20:26:50.677</v>
      </c>
      <c r="BZ2315">
        <v>0</v>
      </c>
      <c r="CA2315">
        <v>2016</v>
      </c>
      <c r="CB2315">
        <v>224</v>
      </c>
      <c r="CD2315">
        <v>1</v>
      </c>
      <c r="CE2315">
        <v>0</v>
      </c>
      <c r="CF2315">
        <v>0</v>
      </c>
      <c r="CG2315">
        <v>1</v>
      </c>
      <c r="CH2315">
        <v>0</v>
      </c>
      <c r="CI2315">
        <v>0</v>
      </c>
      <c r="CJ2315">
        <v>0</v>
      </c>
      <c r="CK2315">
        <v>2</v>
      </c>
      <c r="CL2315">
        <v>0</v>
      </c>
      <c r="CM2315">
        <v>2</v>
      </c>
      <c r="CN2315">
        <v>0</v>
      </c>
      <c r="CO2315">
        <v>7</v>
      </c>
      <c r="CP2315" t="s">
        <v>119</v>
      </c>
      <c r="CQ2315">
        <v>180</v>
      </c>
      <c r="CR2315">
        <v>2</v>
      </c>
      <c r="CW2315">
        <v>8497403</v>
      </c>
      <c r="CY2315">
        <v>1</v>
      </c>
      <c r="CZ2315">
        <v>0</v>
      </c>
      <c r="DA2315">
        <v>0</v>
      </c>
      <c r="DB2315">
        <v>0</v>
      </c>
      <c r="DC2315">
        <v>0</v>
      </c>
      <c r="DD2315">
        <v>0</v>
      </c>
      <c r="DE2315">
        <v>0</v>
      </c>
      <c r="DF2315">
        <v>0</v>
      </c>
      <c r="DG2315">
        <v>0</v>
      </c>
      <c r="DH2315">
        <v>0</v>
      </c>
      <c r="DI2315">
        <v>0</v>
      </c>
    </row>
    <row r="2316" spans="1:113" x14ac:dyDescent="0.3">
      <c r="A2316" t="str">
        <f>"02/08/2021 20:26:48.330"</f>
        <v>02/08/2021 20:26:48.330</v>
      </c>
      <c r="C2316" t="str">
        <f t="shared" si="111"/>
        <v>FFDFD7C0</v>
      </c>
      <c r="D2316" t="s">
        <v>113</v>
      </c>
      <c r="E2316">
        <v>6</v>
      </c>
      <c r="H2316">
        <v>165</v>
      </c>
      <c r="I2316" t="s">
        <v>114</v>
      </c>
      <c r="J2316" t="s">
        <v>115</v>
      </c>
      <c r="K2316">
        <v>0</v>
      </c>
      <c r="L2316">
        <v>3</v>
      </c>
      <c r="M2316">
        <v>0</v>
      </c>
      <c r="N2316">
        <v>2</v>
      </c>
      <c r="O2316">
        <v>1</v>
      </c>
      <c r="P2316">
        <v>0</v>
      </c>
      <c r="Q2316">
        <v>0</v>
      </c>
      <c r="S2316" t="str">
        <f>"20:26:50.672"</f>
        <v>20:26:50.672</v>
      </c>
      <c r="T2316" t="str">
        <f>"20:26:50.272"</f>
        <v>20:26:50.272</v>
      </c>
      <c r="U2316" t="str">
        <f t="shared" si="113"/>
        <v>AB01F4</v>
      </c>
      <c r="V2316">
        <v>0</v>
      </c>
      <c r="W2316">
        <v>0</v>
      </c>
      <c r="X2316">
        <v>2</v>
      </c>
      <c r="Z2316">
        <v>0</v>
      </c>
      <c r="AA2316">
        <v>9</v>
      </c>
      <c r="AB2316">
        <v>3</v>
      </c>
      <c r="AC2316">
        <v>0</v>
      </c>
      <c r="AD2316">
        <v>10</v>
      </c>
      <c r="AE2316">
        <v>0</v>
      </c>
      <c r="AF2316">
        <v>3</v>
      </c>
      <c r="AG2316">
        <v>2</v>
      </c>
      <c r="AH2316">
        <v>0</v>
      </c>
      <c r="AI2316" t="s">
        <v>1407</v>
      </c>
      <c r="AJ2316">
        <v>39.970858</v>
      </c>
      <c r="AK2316" t="s">
        <v>1408</v>
      </c>
      <c r="AL2316">
        <v>-92.696027999999998</v>
      </c>
      <c r="AM2316">
        <v>100</v>
      </c>
      <c r="AN2316">
        <v>1700</v>
      </c>
      <c r="AO2316" t="s">
        <v>118</v>
      </c>
      <c r="AP2316">
        <v>-108</v>
      </c>
      <c r="AQ2316">
        <v>78</v>
      </c>
      <c r="AR2316">
        <v>128</v>
      </c>
      <c r="AZ2316">
        <v>1200</v>
      </c>
      <c r="BA2316">
        <v>1</v>
      </c>
      <c r="BB2316" t="str">
        <f t="shared" si="112"/>
        <v xml:space="preserve">N8080G  </v>
      </c>
      <c r="BC2316">
        <v>1</v>
      </c>
      <c r="BE2316">
        <v>0</v>
      </c>
      <c r="BF2316">
        <v>0</v>
      </c>
      <c r="BG2316">
        <v>0</v>
      </c>
      <c r="BH2316">
        <v>1700</v>
      </c>
      <c r="BI2316">
        <v>1</v>
      </c>
      <c r="BJ2316">
        <v>1</v>
      </c>
      <c r="BK2316">
        <v>1</v>
      </c>
      <c r="BL2316">
        <v>0</v>
      </c>
      <c r="BO2316">
        <v>0</v>
      </c>
      <c r="BP2316">
        <v>0</v>
      </c>
      <c r="BW2316" t="str">
        <f>"20:26:50.677"</f>
        <v>20:26:50.677</v>
      </c>
      <c r="BZ2316">
        <v>0</v>
      </c>
      <c r="CA2316">
        <v>2016</v>
      </c>
      <c r="CB2316">
        <v>224</v>
      </c>
      <c r="CD2316">
        <v>1</v>
      </c>
      <c r="CE2316">
        <v>0</v>
      </c>
      <c r="CF2316">
        <v>0</v>
      </c>
      <c r="CG2316">
        <v>1</v>
      </c>
      <c r="CH2316">
        <v>0</v>
      </c>
      <c r="CI2316">
        <v>0</v>
      </c>
      <c r="CJ2316">
        <v>0</v>
      </c>
      <c r="CK2316">
        <v>2</v>
      </c>
      <c r="CL2316">
        <v>0</v>
      </c>
      <c r="CM2316">
        <v>2</v>
      </c>
      <c r="CN2316">
        <v>0</v>
      </c>
      <c r="CO2316">
        <v>7</v>
      </c>
      <c r="CP2316" t="s">
        <v>119</v>
      </c>
      <c r="CQ2316">
        <v>180</v>
      </c>
      <c r="CR2316">
        <v>2</v>
      </c>
      <c r="CW2316">
        <v>8497403</v>
      </c>
      <c r="CY2316">
        <v>1</v>
      </c>
      <c r="CZ2316">
        <v>0</v>
      </c>
      <c r="DA2316">
        <v>1</v>
      </c>
      <c r="DB2316">
        <v>0</v>
      </c>
      <c r="DC2316">
        <v>0</v>
      </c>
      <c r="DD2316">
        <v>0</v>
      </c>
      <c r="DE2316">
        <v>0</v>
      </c>
      <c r="DF2316">
        <v>0</v>
      </c>
      <c r="DG2316">
        <v>0</v>
      </c>
      <c r="DH2316">
        <v>0</v>
      </c>
      <c r="DI2316">
        <v>0</v>
      </c>
    </row>
    <row r="2317" spans="1:113" x14ac:dyDescent="0.3">
      <c r="A2317" t="str">
        <f>"02/08/2021 20:26:48.330"</f>
        <v>02/08/2021 20:26:48.330</v>
      </c>
      <c r="C2317" t="str">
        <f t="shared" si="111"/>
        <v>FFDFD7C0</v>
      </c>
      <c r="D2317" t="s">
        <v>124</v>
      </c>
      <c r="E2317">
        <v>12</v>
      </c>
      <c r="F2317">
        <v>1012</v>
      </c>
      <c r="G2317" t="s">
        <v>675</v>
      </c>
      <c r="J2317" t="s">
        <v>125</v>
      </c>
      <c r="K2317">
        <v>0</v>
      </c>
      <c r="L2317">
        <v>3</v>
      </c>
      <c r="M2317">
        <v>0</v>
      </c>
      <c r="N2317">
        <v>2</v>
      </c>
      <c r="O2317">
        <v>1</v>
      </c>
      <c r="P2317">
        <v>0</v>
      </c>
      <c r="Q2317">
        <v>0</v>
      </c>
      <c r="S2317" t="str">
        <f>"20:26:50.672"</f>
        <v>20:26:50.672</v>
      </c>
      <c r="T2317" t="str">
        <f>"20:26:50.272"</f>
        <v>20:26:50.272</v>
      </c>
      <c r="U2317" t="str">
        <f t="shared" si="113"/>
        <v>AB01F4</v>
      </c>
      <c r="V2317">
        <v>0</v>
      </c>
      <c r="W2317">
        <v>0</v>
      </c>
      <c r="X2317">
        <v>2</v>
      </c>
      <c r="Z2317">
        <v>0</v>
      </c>
      <c r="AA2317">
        <v>9</v>
      </c>
      <c r="AB2317">
        <v>3</v>
      </c>
      <c r="AC2317">
        <v>0</v>
      </c>
      <c r="AD2317">
        <v>10</v>
      </c>
      <c r="AE2317">
        <v>0</v>
      </c>
      <c r="AF2317">
        <v>3</v>
      </c>
      <c r="AG2317">
        <v>2</v>
      </c>
      <c r="AH2317">
        <v>0</v>
      </c>
      <c r="AI2317" t="s">
        <v>1407</v>
      </c>
      <c r="AJ2317">
        <v>39.970858</v>
      </c>
      <c r="AK2317" t="s">
        <v>1408</v>
      </c>
      <c r="AL2317">
        <v>-92.696027999999998</v>
      </c>
      <c r="AM2317">
        <v>100</v>
      </c>
      <c r="AN2317">
        <v>1700</v>
      </c>
      <c r="AO2317" t="s">
        <v>118</v>
      </c>
      <c r="AP2317">
        <v>-108</v>
      </c>
      <c r="AQ2317">
        <v>78</v>
      </c>
      <c r="AR2317">
        <v>128</v>
      </c>
      <c r="AZ2317">
        <v>1200</v>
      </c>
      <c r="BA2317">
        <v>1</v>
      </c>
      <c r="BB2317" t="str">
        <f t="shared" si="112"/>
        <v xml:space="preserve">N8080G  </v>
      </c>
      <c r="BC2317">
        <v>1</v>
      </c>
      <c r="BE2317">
        <v>0</v>
      </c>
      <c r="BF2317">
        <v>0</v>
      </c>
      <c r="BG2317">
        <v>0</v>
      </c>
      <c r="BH2317">
        <v>1700</v>
      </c>
      <c r="BI2317">
        <v>1</v>
      </c>
      <c r="BJ2317">
        <v>1</v>
      </c>
      <c r="BK2317">
        <v>1</v>
      </c>
      <c r="BL2317">
        <v>0</v>
      </c>
      <c r="BO2317">
        <v>0</v>
      </c>
      <c r="BP2317">
        <v>0</v>
      </c>
      <c r="BW2317" t="str">
        <f>"20:26:50.677"</f>
        <v>20:26:50.677</v>
      </c>
      <c r="BZ2317">
        <v>0</v>
      </c>
      <c r="CA2317">
        <v>2016</v>
      </c>
      <c r="CB2317">
        <v>224</v>
      </c>
      <c r="CD2317">
        <v>1</v>
      </c>
      <c r="CE2317">
        <v>0</v>
      </c>
      <c r="CF2317">
        <v>0</v>
      </c>
      <c r="CG2317">
        <v>1</v>
      </c>
      <c r="CH2317">
        <v>0</v>
      </c>
      <c r="CI2317">
        <v>0</v>
      </c>
      <c r="CJ2317">
        <v>0</v>
      </c>
      <c r="CK2317">
        <v>2</v>
      </c>
      <c r="CL2317">
        <v>0</v>
      </c>
      <c r="CM2317">
        <v>2</v>
      </c>
      <c r="CN2317">
        <v>0</v>
      </c>
      <c r="CO2317">
        <v>7</v>
      </c>
      <c r="CP2317" t="s">
        <v>119</v>
      </c>
      <c r="CQ2317">
        <v>180</v>
      </c>
      <c r="CR2317">
        <v>2</v>
      </c>
      <c r="CW2317">
        <v>8497403</v>
      </c>
      <c r="CY2317">
        <v>1</v>
      </c>
      <c r="CZ2317">
        <v>0</v>
      </c>
      <c r="DA2317">
        <v>1</v>
      </c>
      <c r="DB2317">
        <v>0</v>
      </c>
      <c r="DC2317">
        <v>0</v>
      </c>
      <c r="DD2317">
        <v>0</v>
      </c>
      <c r="DE2317">
        <v>0</v>
      </c>
      <c r="DF2317">
        <v>0</v>
      </c>
      <c r="DG2317">
        <v>0</v>
      </c>
      <c r="DH2317">
        <v>0</v>
      </c>
      <c r="DI2317">
        <v>0</v>
      </c>
    </row>
    <row r="2318" spans="1:113" x14ac:dyDescent="0.3">
      <c r="A2318" t="str">
        <f>"02/08/2021 20:26:48.330"</f>
        <v>02/08/2021 20:26:48.330</v>
      </c>
      <c r="C2318" t="str">
        <f t="shared" si="111"/>
        <v>FFDFD7C0</v>
      </c>
      <c r="D2318" t="s">
        <v>124</v>
      </c>
      <c r="E2318">
        <v>13</v>
      </c>
      <c r="F2318">
        <v>1013</v>
      </c>
      <c r="G2318" t="s">
        <v>114</v>
      </c>
      <c r="J2318" t="s">
        <v>125</v>
      </c>
      <c r="K2318">
        <v>0</v>
      </c>
      <c r="L2318">
        <v>3</v>
      </c>
      <c r="M2318">
        <v>0</v>
      </c>
      <c r="N2318">
        <v>2</v>
      </c>
      <c r="O2318">
        <v>1</v>
      </c>
      <c r="P2318">
        <v>0</v>
      </c>
      <c r="Q2318">
        <v>0</v>
      </c>
      <c r="S2318" t="str">
        <f>"20:26:50.672"</f>
        <v>20:26:50.672</v>
      </c>
      <c r="T2318" t="str">
        <f>"20:26:50.272"</f>
        <v>20:26:50.272</v>
      </c>
      <c r="U2318" t="str">
        <f t="shared" si="113"/>
        <v>AB01F4</v>
      </c>
      <c r="V2318">
        <v>0</v>
      </c>
      <c r="W2318">
        <v>0</v>
      </c>
      <c r="X2318">
        <v>2</v>
      </c>
      <c r="Z2318">
        <v>0</v>
      </c>
      <c r="AA2318">
        <v>9</v>
      </c>
      <c r="AB2318">
        <v>3</v>
      </c>
      <c r="AC2318">
        <v>0</v>
      </c>
      <c r="AD2318">
        <v>10</v>
      </c>
      <c r="AE2318">
        <v>0</v>
      </c>
      <c r="AF2318">
        <v>3</v>
      </c>
      <c r="AG2318">
        <v>2</v>
      </c>
      <c r="AH2318">
        <v>0</v>
      </c>
      <c r="AI2318" t="s">
        <v>1407</v>
      </c>
      <c r="AJ2318">
        <v>39.970858</v>
      </c>
      <c r="AK2318" t="s">
        <v>1408</v>
      </c>
      <c r="AL2318">
        <v>-92.696027999999998</v>
      </c>
      <c r="AM2318">
        <v>100</v>
      </c>
      <c r="AN2318">
        <v>1700</v>
      </c>
      <c r="AO2318" t="s">
        <v>118</v>
      </c>
      <c r="AP2318">
        <v>-108</v>
      </c>
      <c r="AQ2318">
        <v>78</v>
      </c>
      <c r="AR2318">
        <v>128</v>
      </c>
      <c r="AZ2318">
        <v>1200</v>
      </c>
      <c r="BA2318">
        <v>1</v>
      </c>
      <c r="BB2318" t="str">
        <f t="shared" si="112"/>
        <v xml:space="preserve">N8080G  </v>
      </c>
      <c r="BC2318">
        <v>1</v>
      </c>
      <c r="BE2318">
        <v>0</v>
      </c>
      <c r="BF2318">
        <v>0</v>
      </c>
      <c r="BG2318">
        <v>0</v>
      </c>
      <c r="BH2318">
        <v>1700</v>
      </c>
      <c r="BI2318">
        <v>1</v>
      </c>
      <c r="BJ2318">
        <v>1</v>
      </c>
      <c r="BK2318">
        <v>1</v>
      </c>
      <c r="BL2318">
        <v>0</v>
      </c>
      <c r="BO2318">
        <v>0</v>
      </c>
      <c r="BP2318">
        <v>0</v>
      </c>
      <c r="BW2318" t="str">
        <f>"20:26:50.677"</f>
        <v>20:26:50.677</v>
      </c>
      <c r="BZ2318">
        <v>0</v>
      </c>
      <c r="CA2318">
        <v>2016</v>
      </c>
      <c r="CB2318">
        <v>224</v>
      </c>
      <c r="CD2318">
        <v>1</v>
      </c>
      <c r="CE2318">
        <v>0</v>
      </c>
      <c r="CF2318">
        <v>0</v>
      </c>
      <c r="CG2318">
        <v>1</v>
      </c>
      <c r="CH2318">
        <v>0</v>
      </c>
      <c r="CI2318">
        <v>0</v>
      </c>
      <c r="CJ2318">
        <v>0</v>
      </c>
      <c r="CK2318">
        <v>2</v>
      </c>
      <c r="CL2318">
        <v>0</v>
      </c>
      <c r="CM2318">
        <v>2</v>
      </c>
      <c r="CN2318">
        <v>0</v>
      </c>
      <c r="CO2318">
        <v>7</v>
      </c>
      <c r="CP2318" t="s">
        <v>119</v>
      </c>
      <c r="CQ2318">
        <v>180</v>
      </c>
      <c r="CR2318">
        <v>2</v>
      </c>
      <c r="CW2318">
        <v>8497403</v>
      </c>
      <c r="CY2318">
        <v>1</v>
      </c>
      <c r="CZ2318">
        <v>0</v>
      </c>
      <c r="DA2318">
        <v>1</v>
      </c>
      <c r="DB2318">
        <v>0</v>
      </c>
      <c r="DC2318">
        <v>0</v>
      </c>
      <c r="DD2318">
        <v>0</v>
      </c>
      <c r="DE2318">
        <v>0</v>
      </c>
      <c r="DF2318">
        <v>0</v>
      </c>
      <c r="DG2318">
        <v>0</v>
      </c>
      <c r="DH2318">
        <v>0</v>
      </c>
      <c r="DI2318">
        <v>0</v>
      </c>
    </row>
    <row r="2319" spans="1:113" x14ac:dyDescent="0.3">
      <c r="A2319" t="str">
        <f>"02/08/2021 20:26:49.490"</f>
        <v>02/08/2021 20:26:49.490</v>
      </c>
      <c r="C2319" t="str">
        <f t="shared" si="111"/>
        <v>FFDFD7C0</v>
      </c>
      <c r="D2319" t="s">
        <v>124</v>
      </c>
      <c r="E2319">
        <v>11</v>
      </c>
      <c r="F2319">
        <v>1011</v>
      </c>
      <c r="G2319" t="s">
        <v>590</v>
      </c>
      <c r="J2319" t="s">
        <v>125</v>
      </c>
      <c r="K2319">
        <v>0</v>
      </c>
      <c r="L2319">
        <v>3</v>
      </c>
      <c r="M2319">
        <v>0</v>
      </c>
      <c r="N2319">
        <v>2</v>
      </c>
      <c r="O2319">
        <v>1</v>
      </c>
      <c r="P2319">
        <v>0</v>
      </c>
      <c r="Q2319">
        <v>0</v>
      </c>
      <c r="S2319" t="str">
        <f>"20:26:51.781"</f>
        <v>20:26:51.781</v>
      </c>
      <c r="T2319" t="str">
        <f>"20:26:51.281"</f>
        <v>20:26:51.281</v>
      </c>
      <c r="U2319" t="str">
        <f t="shared" si="113"/>
        <v>AB01F4</v>
      </c>
      <c r="V2319">
        <v>0</v>
      </c>
      <c r="W2319">
        <v>0</v>
      </c>
      <c r="X2319">
        <v>2</v>
      </c>
      <c r="Z2319">
        <v>0</v>
      </c>
      <c r="AA2319">
        <v>9</v>
      </c>
      <c r="AB2319">
        <v>3</v>
      </c>
      <c r="AC2319">
        <v>0</v>
      </c>
      <c r="AD2319">
        <v>10</v>
      </c>
      <c r="AE2319">
        <v>0</v>
      </c>
      <c r="AF2319">
        <v>3</v>
      </c>
      <c r="AG2319">
        <v>2</v>
      </c>
      <c r="AH2319">
        <v>0</v>
      </c>
      <c r="AI2319" t="s">
        <v>1409</v>
      </c>
      <c r="AJ2319">
        <v>39.971286999999997</v>
      </c>
      <c r="AK2319" t="s">
        <v>1410</v>
      </c>
      <c r="AL2319">
        <v>-92.696714</v>
      </c>
      <c r="AM2319">
        <v>100</v>
      </c>
      <c r="AN2319">
        <v>1700</v>
      </c>
      <c r="AO2319" t="s">
        <v>118</v>
      </c>
      <c r="AP2319">
        <v>-108</v>
      </c>
      <c r="AQ2319">
        <v>78</v>
      </c>
      <c r="AR2319">
        <v>64</v>
      </c>
      <c r="AZ2319">
        <v>1200</v>
      </c>
      <c r="BA2319">
        <v>1</v>
      </c>
      <c r="BB2319" t="str">
        <f t="shared" si="112"/>
        <v xml:space="preserve">N8080G  </v>
      </c>
      <c r="BC2319">
        <v>1</v>
      </c>
      <c r="BE2319">
        <v>0</v>
      </c>
      <c r="BF2319">
        <v>0</v>
      </c>
      <c r="BG2319">
        <v>0</v>
      </c>
      <c r="BH2319">
        <v>1700</v>
      </c>
      <c r="BI2319">
        <v>1</v>
      </c>
      <c r="BJ2319">
        <v>1</v>
      </c>
      <c r="BK2319">
        <v>1</v>
      </c>
      <c r="BL2319">
        <v>0</v>
      </c>
      <c r="BO2319">
        <v>0</v>
      </c>
      <c r="BP2319">
        <v>0</v>
      </c>
      <c r="BW2319" t="str">
        <f>"20:26:51.783"</f>
        <v>20:26:51.783</v>
      </c>
      <c r="BZ2319">
        <v>0</v>
      </c>
      <c r="CA2319">
        <v>2016</v>
      </c>
      <c r="CB2319">
        <v>224</v>
      </c>
      <c r="CD2319">
        <v>1</v>
      </c>
      <c r="CE2319">
        <v>0</v>
      </c>
      <c r="CF2319">
        <v>0</v>
      </c>
      <c r="CG2319">
        <v>1</v>
      </c>
      <c r="CH2319">
        <v>0</v>
      </c>
      <c r="CI2319">
        <v>0</v>
      </c>
      <c r="CJ2319">
        <v>0</v>
      </c>
      <c r="CK2319">
        <v>2</v>
      </c>
      <c r="CL2319">
        <v>0</v>
      </c>
      <c r="CM2319">
        <v>2</v>
      </c>
      <c r="CN2319">
        <v>0</v>
      </c>
      <c r="CO2319">
        <v>3</v>
      </c>
      <c r="CP2319" t="s">
        <v>119</v>
      </c>
      <c r="CQ2319">
        <v>179</v>
      </c>
      <c r="CR2319">
        <v>1</v>
      </c>
      <c r="CW2319">
        <v>8944050</v>
      </c>
      <c r="CY2319">
        <v>1</v>
      </c>
      <c r="CZ2319">
        <v>0</v>
      </c>
      <c r="DA2319">
        <v>0</v>
      </c>
      <c r="DB2319">
        <v>0</v>
      </c>
      <c r="DC2319">
        <v>0</v>
      </c>
      <c r="DD2319">
        <v>0</v>
      </c>
      <c r="DE2319">
        <v>0</v>
      </c>
      <c r="DF2319">
        <v>0</v>
      </c>
      <c r="DG2319">
        <v>0</v>
      </c>
      <c r="DH2319">
        <v>0</v>
      </c>
      <c r="DI2319">
        <v>0</v>
      </c>
    </row>
    <row r="2320" spans="1:113" x14ac:dyDescent="0.3">
      <c r="A2320" t="str">
        <f>"02/08/2021 20:26:49.490"</f>
        <v>02/08/2021 20:26:49.490</v>
      </c>
      <c r="C2320" t="str">
        <f t="shared" si="111"/>
        <v>FFDFD7C0</v>
      </c>
      <c r="D2320" t="s">
        <v>113</v>
      </c>
      <c r="E2320">
        <v>6</v>
      </c>
      <c r="H2320">
        <v>165</v>
      </c>
      <c r="I2320" t="s">
        <v>114</v>
      </c>
      <c r="J2320" t="s">
        <v>115</v>
      </c>
      <c r="K2320">
        <v>0</v>
      </c>
      <c r="L2320">
        <v>3</v>
      </c>
      <c r="M2320">
        <v>0</v>
      </c>
      <c r="N2320">
        <v>2</v>
      </c>
      <c r="O2320">
        <v>1</v>
      </c>
      <c r="P2320">
        <v>0</v>
      </c>
      <c r="Q2320">
        <v>0</v>
      </c>
      <c r="S2320" t="str">
        <f>"20:26:51.781"</f>
        <v>20:26:51.781</v>
      </c>
      <c r="T2320" t="str">
        <f>"20:26:51.281"</f>
        <v>20:26:51.281</v>
      </c>
      <c r="U2320" t="str">
        <f t="shared" si="113"/>
        <v>AB01F4</v>
      </c>
      <c r="V2320">
        <v>0</v>
      </c>
      <c r="W2320">
        <v>0</v>
      </c>
      <c r="X2320">
        <v>2</v>
      </c>
      <c r="Z2320">
        <v>0</v>
      </c>
      <c r="AA2320">
        <v>9</v>
      </c>
      <c r="AB2320">
        <v>3</v>
      </c>
      <c r="AC2320">
        <v>0</v>
      </c>
      <c r="AD2320">
        <v>10</v>
      </c>
      <c r="AE2320">
        <v>0</v>
      </c>
      <c r="AF2320">
        <v>3</v>
      </c>
      <c r="AG2320">
        <v>2</v>
      </c>
      <c r="AH2320">
        <v>0</v>
      </c>
      <c r="AI2320" t="s">
        <v>1409</v>
      </c>
      <c r="AJ2320">
        <v>39.971286999999997</v>
      </c>
      <c r="AK2320" t="s">
        <v>1410</v>
      </c>
      <c r="AL2320">
        <v>-92.696714</v>
      </c>
      <c r="AM2320">
        <v>100</v>
      </c>
      <c r="AN2320">
        <v>1700</v>
      </c>
      <c r="AO2320" t="s">
        <v>118</v>
      </c>
      <c r="AP2320">
        <v>-108</v>
      </c>
      <c r="AQ2320">
        <v>78</v>
      </c>
      <c r="AR2320">
        <v>64</v>
      </c>
      <c r="AZ2320">
        <v>1200</v>
      </c>
      <c r="BA2320">
        <v>1</v>
      </c>
      <c r="BB2320" t="str">
        <f t="shared" si="112"/>
        <v xml:space="preserve">N8080G  </v>
      </c>
      <c r="BC2320">
        <v>1</v>
      </c>
      <c r="BE2320">
        <v>0</v>
      </c>
      <c r="BF2320">
        <v>0</v>
      </c>
      <c r="BG2320">
        <v>0</v>
      </c>
      <c r="BH2320">
        <v>1700</v>
      </c>
      <c r="BI2320">
        <v>1</v>
      </c>
      <c r="BJ2320">
        <v>1</v>
      </c>
      <c r="BK2320">
        <v>1</v>
      </c>
      <c r="BL2320">
        <v>0</v>
      </c>
      <c r="BO2320">
        <v>0</v>
      </c>
      <c r="BP2320">
        <v>0</v>
      </c>
      <c r="BW2320" t="str">
        <f>"20:26:51.783"</f>
        <v>20:26:51.783</v>
      </c>
      <c r="BZ2320">
        <v>0</v>
      </c>
      <c r="CA2320">
        <v>2016</v>
      </c>
      <c r="CB2320">
        <v>224</v>
      </c>
      <c r="CD2320">
        <v>1</v>
      </c>
      <c r="CE2320">
        <v>0</v>
      </c>
      <c r="CF2320">
        <v>0</v>
      </c>
      <c r="CG2320">
        <v>1</v>
      </c>
      <c r="CH2320">
        <v>0</v>
      </c>
      <c r="CI2320">
        <v>0</v>
      </c>
      <c r="CJ2320">
        <v>0</v>
      </c>
      <c r="CK2320">
        <v>2</v>
      </c>
      <c r="CL2320">
        <v>0</v>
      </c>
      <c r="CM2320">
        <v>2</v>
      </c>
      <c r="CN2320">
        <v>0</v>
      </c>
      <c r="CO2320">
        <v>3</v>
      </c>
      <c r="CP2320" t="s">
        <v>119</v>
      </c>
      <c r="CQ2320">
        <v>179</v>
      </c>
      <c r="CR2320">
        <v>1</v>
      </c>
      <c r="CW2320">
        <v>8944050</v>
      </c>
      <c r="CY2320">
        <v>1</v>
      </c>
      <c r="CZ2320">
        <v>0</v>
      </c>
      <c r="DA2320">
        <v>1</v>
      </c>
      <c r="DB2320">
        <v>0</v>
      </c>
      <c r="DC2320">
        <v>0</v>
      </c>
      <c r="DD2320">
        <v>0</v>
      </c>
      <c r="DE2320">
        <v>0</v>
      </c>
      <c r="DF2320">
        <v>0</v>
      </c>
      <c r="DG2320">
        <v>0</v>
      </c>
      <c r="DH2320">
        <v>0</v>
      </c>
      <c r="DI2320">
        <v>0</v>
      </c>
    </row>
    <row r="2321" spans="1:113" x14ac:dyDescent="0.3">
      <c r="A2321" t="str">
        <f>"02/08/2021 20:26:49.490"</f>
        <v>02/08/2021 20:26:49.490</v>
      </c>
      <c r="C2321" t="str">
        <f t="shared" si="111"/>
        <v>FFDFD7C0</v>
      </c>
      <c r="D2321" t="s">
        <v>124</v>
      </c>
      <c r="E2321">
        <v>12</v>
      </c>
      <c r="F2321">
        <v>1012</v>
      </c>
      <c r="G2321" t="s">
        <v>675</v>
      </c>
      <c r="J2321" t="s">
        <v>125</v>
      </c>
      <c r="K2321">
        <v>0</v>
      </c>
      <c r="L2321">
        <v>3</v>
      </c>
      <c r="M2321">
        <v>0</v>
      </c>
      <c r="N2321">
        <v>2</v>
      </c>
      <c r="O2321">
        <v>1</v>
      </c>
      <c r="P2321">
        <v>0</v>
      </c>
      <c r="Q2321">
        <v>0</v>
      </c>
      <c r="S2321" t="str">
        <f>"20:26:51.781"</f>
        <v>20:26:51.781</v>
      </c>
      <c r="T2321" t="str">
        <f>"20:26:51.281"</f>
        <v>20:26:51.281</v>
      </c>
      <c r="U2321" t="str">
        <f t="shared" si="113"/>
        <v>AB01F4</v>
      </c>
      <c r="V2321">
        <v>0</v>
      </c>
      <c r="W2321">
        <v>0</v>
      </c>
      <c r="X2321">
        <v>2</v>
      </c>
      <c r="Z2321">
        <v>0</v>
      </c>
      <c r="AA2321">
        <v>9</v>
      </c>
      <c r="AB2321">
        <v>3</v>
      </c>
      <c r="AC2321">
        <v>0</v>
      </c>
      <c r="AD2321">
        <v>10</v>
      </c>
      <c r="AE2321">
        <v>0</v>
      </c>
      <c r="AF2321">
        <v>3</v>
      </c>
      <c r="AG2321">
        <v>2</v>
      </c>
      <c r="AH2321">
        <v>0</v>
      </c>
      <c r="AI2321" t="s">
        <v>1409</v>
      </c>
      <c r="AJ2321">
        <v>39.971286999999997</v>
      </c>
      <c r="AK2321" t="s">
        <v>1410</v>
      </c>
      <c r="AL2321">
        <v>-92.696714</v>
      </c>
      <c r="AM2321">
        <v>100</v>
      </c>
      <c r="AN2321">
        <v>1700</v>
      </c>
      <c r="AO2321" t="s">
        <v>118</v>
      </c>
      <c r="AP2321">
        <v>-108</v>
      </c>
      <c r="AQ2321">
        <v>78</v>
      </c>
      <c r="AR2321">
        <v>64</v>
      </c>
      <c r="AZ2321">
        <v>1200</v>
      </c>
      <c r="BA2321">
        <v>1</v>
      </c>
      <c r="BB2321" t="str">
        <f t="shared" si="112"/>
        <v xml:space="preserve">N8080G  </v>
      </c>
      <c r="BC2321">
        <v>1</v>
      </c>
      <c r="BE2321">
        <v>0</v>
      </c>
      <c r="BF2321">
        <v>0</v>
      </c>
      <c r="BG2321">
        <v>0</v>
      </c>
      <c r="BH2321">
        <v>1700</v>
      </c>
      <c r="BI2321">
        <v>1</v>
      </c>
      <c r="BJ2321">
        <v>1</v>
      </c>
      <c r="BK2321">
        <v>1</v>
      </c>
      <c r="BL2321">
        <v>0</v>
      </c>
      <c r="BO2321">
        <v>0</v>
      </c>
      <c r="BP2321">
        <v>0</v>
      </c>
      <c r="BW2321" t="str">
        <f>"20:26:51.783"</f>
        <v>20:26:51.783</v>
      </c>
      <c r="BZ2321">
        <v>0</v>
      </c>
      <c r="CA2321">
        <v>2016</v>
      </c>
      <c r="CB2321">
        <v>224</v>
      </c>
      <c r="CD2321">
        <v>1</v>
      </c>
      <c r="CE2321">
        <v>0</v>
      </c>
      <c r="CF2321">
        <v>0</v>
      </c>
      <c r="CG2321">
        <v>1</v>
      </c>
      <c r="CH2321">
        <v>0</v>
      </c>
      <c r="CI2321">
        <v>0</v>
      </c>
      <c r="CJ2321">
        <v>0</v>
      </c>
      <c r="CK2321">
        <v>2</v>
      </c>
      <c r="CL2321">
        <v>0</v>
      </c>
      <c r="CM2321">
        <v>2</v>
      </c>
      <c r="CN2321">
        <v>0</v>
      </c>
      <c r="CO2321">
        <v>3</v>
      </c>
      <c r="CP2321" t="s">
        <v>119</v>
      </c>
      <c r="CQ2321">
        <v>179</v>
      </c>
      <c r="CR2321">
        <v>1</v>
      </c>
      <c r="CW2321">
        <v>8944050</v>
      </c>
      <c r="CY2321">
        <v>1</v>
      </c>
      <c r="CZ2321">
        <v>0</v>
      </c>
      <c r="DA2321">
        <v>1</v>
      </c>
      <c r="DB2321">
        <v>0</v>
      </c>
      <c r="DC2321">
        <v>0</v>
      </c>
      <c r="DD2321">
        <v>0</v>
      </c>
      <c r="DE2321">
        <v>0</v>
      </c>
      <c r="DF2321">
        <v>0</v>
      </c>
      <c r="DG2321">
        <v>0</v>
      </c>
      <c r="DH2321">
        <v>0</v>
      </c>
      <c r="DI2321">
        <v>0</v>
      </c>
    </row>
    <row r="2322" spans="1:113" x14ac:dyDescent="0.3">
      <c r="A2322" t="str">
        <f>"02/08/2021 20:26:49.490"</f>
        <v>02/08/2021 20:26:49.490</v>
      </c>
      <c r="C2322" t="str">
        <f t="shared" si="111"/>
        <v>FFDFD7C0</v>
      </c>
      <c r="D2322" t="s">
        <v>124</v>
      </c>
      <c r="E2322">
        <v>13</v>
      </c>
      <c r="F2322">
        <v>1013</v>
      </c>
      <c r="G2322" t="s">
        <v>114</v>
      </c>
      <c r="J2322" t="s">
        <v>125</v>
      </c>
      <c r="K2322">
        <v>0</v>
      </c>
      <c r="L2322">
        <v>3</v>
      </c>
      <c r="M2322">
        <v>0</v>
      </c>
      <c r="N2322">
        <v>2</v>
      </c>
      <c r="O2322">
        <v>1</v>
      </c>
      <c r="P2322">
        <v>0</v>
      </c>
      <c r="Q2322">
        <v>0</v>
      </c>
      <c r="S2322" t="str">
        <f>"20:26:51.781"</f>
        <v>20:26:51.781</v>
      </c>
      <c r="T2322" t="str">
        <f>"20:26:51.281"</f>
        <v>20:26:51.281</v>
      </c>
      <c r="U2322" t="str">
        <f t="shared" si="113"/>
        <v>AB01F4</v>
      </c>
      <c r="V2322">
        <v>0</v>
      </c>
      <c r="W2322">
        <v>0</v>
      </c>
      <c r="X2322">
        <v>2</v>
      </c>
      <c r="Z2322">
        <v>0</v>
      </c>
      <c r="AA2322">
        <v>9</v>
      </c>
      <c r="AB2322">
        <v>3</v>
      </c>
      <c r="AC2322">
        <v>0</v>
      </c>
      <c r="AD2322">
        <v>10</v>
      </c>
      <c r="AE2322">
        <v>0</v>
      </c>
      <c r="AF2322">
        <v>3</v>
      </c>
      <c r="AG2322">
        <v>2</v>
      </c>
      <c r="AH2322">
        <v>0</v>
      </c>
      <c r="AI2322" t="s">
        <v>1409</v>
      </c>
      <c r="AJ2322">
        <v>39.971286999999997</v>
      </c>
      <c r="AK2322" t="s">
        <v>1410</v>
      </c>
      <c r="AL2322">
        <v>-92.696714</v>
      </c>
      <c r="AM2322">
        <v>100</v>
      </c>
      <c r="AN2322">
        <v>1700</v>
      </c>
      <c r="AO2322" t="s">
        <v>118</v>
      </c>
      <c r="AP2322">
        <v>-108</v>
      </c>
      <c r="AQ2322">
        <v>78</v>
      </c>
      <c r="AR2322">
        <v>64</v>
      </c>
      <c r="AZ2322">
        <v>1200</v>
      </c>
      <c r="BA2322">
        <v>1</v>
      </c>
      <c r="BB2322" t="str">
        <f t="shared" si="112"/>
        <v xml:space="preserve">N8080G  </v>
      </c>
      <c r="BC2322">
        <v>1</v>
      </c>
      <c r="BE2322">
        <v>0</v>
      </c>
      <c r="BF2322">
        <v>0</v>
      </c>
      <c r="BG2322">
        <v>0</v>
      </c>
      <c r="BH2322">
        <v>1700</v>
      </c>
      <c r="BI2322">
        <v>1</v>
      </c>
      <c r="BJ2322">
        <v>1</v>
      </c>
      <c r="BK2322">
        <v>1</v>
      </c>
      <c r="BL2322">
        <v>0</v>
      </c>
      <c r="BO2322">
        <v>0</v>
      </c>
      <c r="BP2322">
        <v>0</v>
      </c>
      <c r="BW2322" t="str">
        <f>"20:26:51.783"</f>
        <v>20:26:51.783</v>
      </c>
      <c r="BZ2322">
        <v>0</v>
      </c>
      <c r="CA2322">
        <v>2016</v>
      </c>
      <c r="CB2322">
        <v>224</v>
      </c>
      <c r="CD2322">
        <v>1</v>
      </c>
      <c r="CE2322">
        <v>0</v>
      </c>
      <c r="CF2322">
        <v>0</v>
      </c>
      <c r="CG2322">
        <v>1</v>
      </c>
      <c r="CH2322">
        <v>0</v>
      </c>
      <c r="CI2322">
        <v>0</v>
      </c>
      <c r="CJ2322">
        <v>0</v>
      </c>
      <c r="CK2322">
        <v>2</v>
      </c>
      <c r="CL2322">
        <v>0</v>
      </c>
      <c r="CM2322">
        <v>2</v>
      </c>
      <c r="CN2322">
        <v>0</v>
      </c>
      <c r="CO2322">
        <v>3</v>
      </c>
      <c r="CP2322" t="s">
        <v>119</v>
      </c>
      <c r="CQ2322">
        <v>179</v>
      </c>
      <c r="CR2322">
        <v>1</v>
      </c>
      <c r="CW2322">
        <v>8944050</v>
      </c>
      <c r="CY2322">
        <v>1</v>
      </c>
      <c r="CZ2322">
        <v>0</v>
      </c>
      <c r="DA2322">
        <v>1</v>
      </c>
      <c r="DB2322">
        <v>0</v>
      </c>
      <c r="DC2322">
        <v>0</v>
      </c>
      <c r="DD2322">
        <v>0</v>
      </c>
      <c r="DE2322">
        <v>0</v>
      </c>
      <c r="DF2322">
        <v>0</v>
      </c>
      <c r="DG2322">
        <v>0</v>
      </c>
      <c r="DH2322">
        <v>0</v>
      </c>
      <c r="DI2322">
        <v>0</v>
      </c>
    </row>
    <row r="2323" spans="1:113" x14ac:dyDescent="0.3">
      <c r="A2323" t="str">
        <f>"02/08/2021 20:26:50.575"</f>
        <v>02/08/2021 20:26:50.575</v>
      </c>
      <c r="C2323" t="str">
        <f t="shared" si="111"/>
        <v>FFDFD7C0</v>
      </c>
      <c r="D2323" t="s">
        <v>124</v>
      </c>
      <c r="E2323">
        <v>13</v>
      </c>
      <c r="F2323">
        <v>1013</v>
      </c>
      <c r="G2323" t="s">
        <v>114</v>
      </c>
      <c r="J2323" t="s">
        <v>125</v>
      </c>
      <c r="K2323">
        <v>0</v>
      </c>
      <c r="L2323">
        <v>3</v>
      </c>
      <c r="M2323">
        <v>0</v>
      </c>
      <c r="N2323">
        <v>2</v>
      </c>
      <c r="O2323">
        <v>1</v>
      </c>
      <c r="P2323">
        <v>0</v>
      </c>
      <c r="Q2323">
        <v>0</v>
      </c>
      <c r="S2323" t="str">
        <f>"20:26:52.898"</f>
        <v>20:26:52.898</v>
      </c>
      <c r="T2323" t="str">
        <f>"20:26:52.398"</f>
        <v>20:26:52.398</v>
      </c>
      <c r="U2323" t="str">
        <f t="shared" si="113"/>
        <v>AB01F4</v>
      </c>
      <c r="V2323">
        <v>0</v>
      </c>
      <c r="W2323">
        <v>0</v>
      </c>
      <c r="X2323">
        <v>2</v>
      </c>
      <c r="Z2323">
        <v>0</v>
      </c>
      <c r="AA2323">
        <v>9</v>
      </c>
      <c r="AB2323">
        <v>3</v>
      </c>
      <c r="AC2323">
        <v>0</v>
      </c>
      <c r="AD2323">
        <v>10</v>
      </c>
      <c r="AE2323">
        <v>0</v>
      </c>
      <c r="AF2323">
        <v>3</v>
      </c>
      <c r="AG2323">
        <v>2</v>
      </c>
      <c r="AH2323">
        <v>0</v>
      </c>
      <c r="AI2323" t="s">
        <v>1411</v>
      </c>
      <c r="AJ2323">
        <v>39.971651999999999</v>
      </c>
      <c r="AK2323" t="s">
        <v>1412</v>
      </c>
      <c r="AL2323">
        <v>-92.697464999999994</v>
      </c>
      <c r="AM2323">
        <v>100</v>
      </c>
      <c r="AN2323">
        <v>1700</v>
      </c>
      <c r="AO2323" t="s">
        <v>118</v>
      </c>
      <c r="AP2323">
        <v>-107</v>
      </c>
      <c r="AQ2323">
        <v>78</v>
      </c>
      <c r="AR2323">
        <v>64</v>
      </c>
      <c r="AZ2323">
        <v>1200</v>
      </c>
      <c r="BA2323">
        <v>1</v>
      </c>
      <c r="BB2323" t="str">
        <f t="shared" si="112"/>
        <v xml:space="preserve">N8080G  </v>
      </c>
      <c r="BC2323">
        <v>1</v>
      </c>
      <c r="BE2323">
        <v>0</v>
      </c>
      <c r="BF2323">
        <v>0</v>
      </c>
      <c r="BG2323">
        <v>0</v>
      </c>
      <c r="BH2323">
        <v>1700</v>
      </c>
      <c r="BI2323">
        <v>1</v>
      </c>
      <c r="BJ2323">
        <v>1</v>
      </c>
      <c r="BK2323">
        <v>1</v>
      </c>
      <c r="BL2323">
        <v>0</v>
      </c>
      <c r="BO2323">
        <v>0</v>
      </c>
      <c r="BP2323">
        <v>0</v>
      </c>
      <c r="BW2323" t="str">
        <f>"20:26:52.900"</f>
        <v>20:26:52.900</v>
      </c>
      <c r="BZ2323">
        <v>0</v>
      </c>
      <c r="CA2323">
        <v>2016</v>
      </c>
      <c r="CB2323">
        <v>224</v>
      </c>
      <c r="CD2323">
        <v>1</v>
      </c>
      <c r="CE2323">
        <v>0</v>
      </c>
      <c r="CF2323">
        <v>0</v>
      </c>
      <c r="CG2323">
        <v>1</v>
      </c>
      <c r="CH2323">
        <v>0</v>
      </c>
      <c r="CI2323">
        <v>0</v>
      </c>
      <c r="CJ2323">
        <v>0</v>
      </c>
      <c r="CK2323">
        <v>2</v>
      </c>
      <c r="CL2323">
        <v>0</v>
      </c>
      <c r="CM2323">
        <v>2</v>
      </c>
      <c r="CN2323">
        <v>0</v>
      </c>
      <c r="CO2323">
        <v>3</v>
      </c>
      <c r="CP2323" t="s">
        <v>119</v>
      </c>
      <c r="CQ2323">
        <v>179</v>
      </c>
      <c r="CR2323">
        <v>1</v>
      </c>
      <c r="CW2323">
        <v>8945009</v>
      </c>
      <c r="CY2323">
        <v>1</v>
      </c>
      <c r="CZ2323">
        <v>0</v>
      </c>
      <c r="DA2323">
        <v>0</v>
      </c>
      <c r="DB2323">
        <v>0</v>
      </c>
      <c r="DC2323">
        <v>0</v>
      </c>
      <c r="DD2323">
        <v>0</v>
      </c>
      <c r="DE2323">
        <v>0</v>
      </c>
      <c r="DF2323">
        <v>0</v>
      </c>
      <c r="DG2323">
        <v>0</v>
      </c>
      <c r="DH2323">
        <v>0</v>
      </c>
      <c r="DI2323">
        <v>0</v>
      </c>
    </row>
    <row r="2324" spans="1:113" x14ac:dyDescent="0.3">
      <c r="A2324" t="str">
        <f>"02/08/2021 20:26:50.575"</f>
        <v>02/08/2021 20:26:50.575</v>
      </c>
      <c r="C2324" t="str">
        <f t="shared" si="111"/>
        <v>FFDFD7C0</v>
      </c>
      <c r="D2324" t="s">
        <v>124</v>
      </c>
      <c r="E2324">
        <v>11</v>
      </c>
      <c r="F2324">
        <v>1011</v>
      </c>
      <c r="G2324" t="s">
        <v>590</v>
      </c>
      <c r="J2324" t="s">
        <v>125</v>
      </c>
      <c r="K2324">
        <v>0</v>
      </c>
      <c r="L2324">
        <v>3</v>
      </c>
      <c r="M2324">
        <v>0</v>
      </c>
      <c r="N2324">
        <v>2</v>
      </c>
      <c r="O2324">
        <v>1</v>
      </c>
      <c r="P2324">
        <v>0</v>
      </c>
      <c r="Q2324">
        <v>0</v>
      </c>
      <c r="S2324" t="str">
        <f>"20:26:52.898"</f>
        <v>20:26:52.898</v>
      </c>
      <c r="T2324" t="str">
        <f>"20:26:52.398"</f>
        <v>20:26:52.398</v>
      </c>
      <c r="U2324" t="str">
        <f t="shared" si="113"/>
        <v>AB01F4</v>
      </c>
      <c r="V2324">
        <v>0</v>
      </c>
      <c r="W2324">
        <v>0</v>
      </c>
      <c r="X2324">
        <v>2</v>
      </c>
      <c r="Z2324">
        <v>0</v>
      </c>
      <c r="AA2324">
        <v>9</v>
      </c>
      <c r="AB2324">
        <v>3</v>
      </c>
      <c r="AC2324">
        <v>0</v>
      </c>
      <c r="AD2324">
        <v>10</v>
      </c>
      <c r="AE2324">
        <v>0</v>
      </c>
      <c r="AF2324">
        <v>3</v>
      </c>
      <c r="AG2324">
        <v>2</v>
      </c>
      <c r="AH2324">
        <v>0</v>
      </c>
      <c r="AI2324" t="s">
        <v>1411</v>
      </c>
      <c r="AJ2324">
        <v>39.971651999999999</v>
      </c>
      <c r="AK2324" t="s">
        <v>1412</v>
      </c>
      <c r="AL2324">
        <v>-92.697464999999994</v>
      </c>
      <c r="AM2324">
        <v>100</v>
      </c>
      <c r="AN2324">
        <v>1700</v>
      </c>
      <c r="AO2324" t="s">
        <v>118</v>
      </c>
      <c r="AP2324">
        <v>-107</v>
      </c>
      <c r="AQ2324">
        <v>78</v>
      </c>
      <c r="AR2324">
        <v>64</v>
      </c>
      <c r="AZ2324">
        <v>1200</v>
      </c>
      <c r="BA2324">
        <v>1</v>
      </c>
      <c r="BB2324" t="str">
        <f t="shared" si="112"/>
        <v xml:space="preserve">N8080G  </v>
      </c>
      <c r="BC2324">
        <v>1</v>
      </c>
      <c r="BE2324">
        <v>0</v>
      </c>
      <c r="BF2324">
        <v>0</v>
      </c>
      <c r="BG2324">
        <v>0</v>
      </c>
      <c r="BH2324">
        <v>1700</v>
      </c>
      <c r="BI2324">
        <v>1</v>
      </c>
      <c r="BJ2324">
        <v>1</v>
      </c>
      <c r="BK2324">
        <v>1</v>
      </c>
      <c r="BL2324">
        <v>0</v>
      </c>
      <c r="BO2324">
        <v>0</v>
      </c>
      <c r="BP2324">
        <v>0</v>
      </c>
      <c r="BW2324" t="str">
        <f>"20:26:52.900"</f>
        <v>20:26:52.900</v>
      </c>
      <c r="BZ2324">
        <v>0</v>
      </c>
      <c r="CA2324">
        <v>2016</v>
      </c>
      <c r="CB2324">
        <v>224</v>
      </c>
      <c r="CD2324">
        <v>1</v>
      </c>
      <c r="CE2324">
        <v>0</v>
      </c>
      <c r="CF2324">
        <v>0</v>
      </c>
      <c r="CG2324">
        <v>1</v>
      </c>
      <c r="CH2324">
        <v>0</v>
      </c>
      <c r="CI2324">
        <v>0</v>
      </c>
      <c r="CJ2324">
        <v>0</v>
      </c>
      <c r="CK2324">
        <v>2</v>
      </c>
      <c r="CL2324">
        <v>0</v>
      </c>
      <c r="CM2324">
        <v>2</v>
      </c>
      <c r="CN2324">
        <v>0</v>
      </c>
      <c r="CO2324">
        <v>3</v>
      </c>
      <c r="CP2324" t="s">
        <v>119</v>
      </c>
      <c r="CQ2324">
        <v>179</v>
      </c>
      <c r="CR2324">
        <v>1</v>
      </c>
      <c r="CW2324">
        <v>8945009</v>
      </c>
      <c r="CY2324">
        <v>1</v>
      </c>
      <c r="CZ2324">
        <v>0</v>
      </c>
      <c r="DA2324">
        <v>1</v>
      </c>
      <c r="DB2324">
        <v>0</v>
      </c>
      <c r="DC2324">
        <v>0</v>
      </c>
      <c r="DD2324">
        <v>0</v>
      </c>
      <c r="DE2324">
        <v>0</v>
      </c>
      <c r="DF2324">
        <v>0</v>
      </c>
      <c r="DG2324">
        <v>0</v>
      </c>
      <c r="DH2324">
        <v>0</v>
      </c>
      <c r="DI2324">
        <v>0</v>
      </c>
    </row>
    <row r="2325" spans="1:113" x14ac:dyDescent="0.3">
      <c r="A2325" t="str">
        <f>"02/08/2021 20:26:50.575"</f>
        <v>02/08/2021 20:26:50.575</v>
      </c>
      <c r="C2325" t="str">
        <f t="shared" si="111"/>
        <v>FFDFD7C0</v>
      </c>
      <c r="D2325" t="s">
        <v>124</v>
      </c>
      <c r="E2325">
        <v>12</v>
      </c>
      <c r="F2325">
        <v>1012</v>
      </c>
      <c r="G2325" t="s">
        <v>675</v>
      </c>
      <c r="J2325" t="s">
        <v>125</v>
      </c>
      <c r="K2325">
        <v>0</v>
      </c>
      <c r="L2325">
        <v>3</v>
      </c>
      <c r="M2325">
        <v>0</v>
      </c>
      <c r="N2325">
        <v>2</v>
      </c>
      <c r="O2325">
        <v>1</v>
      </c>
      <c r="P2325">
        <v>0</v>
      </c>
      <c r="Q2325">
        <v>0</v>
      </c>
      <c r="S2325" t="str">
        <f>"20:26:52.898"</f>
        <v>20:26:52.898</v>
      </c>
      <c r="T2325" t="str">
        <f>"20:26:52.398"</f>
        <v>20:26:52.398</v>
      </c>
      <c r="U2325" t="str">
        <f t="shared" si="113"/>
        <v>AB01F4</v>
      </c>
      <c r="V2325">
        <v>0</v>
      </c>
      <c r="W2325">
        <v>0</v>
      </c>
      <c r="X2325">
        <v>2</v>
      </c>
      <c r="Z2325">
        <v>0</v>
      </c>
      <c r="AA2325">
        <v>9</v>
      </c>
      <c r="AB2325">
        <v>3</v>
      </c>
      <c r="AC2325">
        <v>0</v>
      </c>
      <c r="AD2325">
        <v>10</v>
      </c>
      <c r="AE2325">
        <v>0</v>
      </c>
      <c r="AF2325">
        <v>3</v>
      </c>
      <c r="AG2325">
        <v>2</v>
      </c>
      <c r="AH2325">
        <v>0</v>
      </c>
      <c r="AI2325" t="s">
        <v>1411</v>
      </c>
      <c r="AJ2325">
        <v>39.971651999999999</v>
      </c>
      <c r="AK2325" t="s">
        <v>1412</v>
      </c>
      <c r="AL2325">
        <v>-92.697464999999994</v>
      </c>
      <c r="AM2325">
        <v>100</v>
      </c>
      <c r="AN2325">
        <v>1700</v>
      </c>
      <c r="AO2325" t="s">
        <v>118</v>
      </c>
      <c r="AP2325">
        <v>-107</v>
      </c>
      <c r="AQ2325">
        <v>78</v>
      </c>
      <c r="AR2325">
        <v>64</v>
      </c>
      <c r="AZ2325">
        <v>1200</v>
      </c>
      <c r="BA2325">
        <v>1</v>
      </c>
      <c r="BB2325" t="str">
        <f t="shared" si="112"/>
        <v xml:space="preserve">N8080G  </v>
      </c>
      <c r="BC2325">
        <v>1</v>
      </c>
      <c r="BE2325">
        <v>0</v>
      </c>
      <c r="BF2325">
        <v>0</v>
      </c>
      <c r="BG2325">
        <v>0</v>
      </c>
      <c r="BH2325">
        <v>1700</v>
      </c>
      <c r="BI2325">
        <v>1</v>
      </c>
      <c r="BJ2325">
        <v>1</v>
      </c>
      <c r="BK2325">
        <v>1</v>
      </c>
      <c r="BL2325">
        <v>0</v>
      </c>
      <c r="BO2325">
        <v>0</v>
      </c>
      <c r="BP2325">
        <v>0</v>
      </c>
      <c r="BW2325" t="str">
        <f>"20:26:52.900"</f>
        <v>20:26:52.900</v>
      </c>
      <c r="BZ2325">
        <v>0</v>
      </c>
      <c r="CA2325">
        <v>2016</v>
      </c>
      <c r="CB2325">
        <v>224</v>
      </c>
      <c r="CD2325">
        <v>1</v>
      </c>
      <c r="CE2325">
        <v>0</v>
      </c>
      <c r="CF2325">
        <v>0</v>
      </c>
      <c r="CG2325">
        <v>1</v>
      </c>
      <c r="CH2325">
        <v>0</v>
      </c>
      <c r="CI2325">
        <v>0</v>
      </c>
      <c r="CJ2325">
        <v>0</v>
      </c>
      <c r="CK2325">
        <v>2</v>
      </c>
      <c r="CL2325">
        <v>0</v>
      </c>
      <c r="CM2325">
        <v>2</v>
      </c>
      <c r="CN2325">
        <v>0</v>
      </c>
      <c r="CO2325">
        <v>3</v>
      </c>
      <c r="CP2325" t="s">
        <v>119</v>
      </c>
      <c r="CQ2325">
        <v>179</v>
      </c>
      <c r="CR2325">
        <v>1</v>
      </c>
      <c r="CW2325">
        <v>8945009</v>
      </c>
      <c r="CY2325">
        <v>1</v>
      </c>
      <c r="CZ2325">
        <v>0</v>
      </c>
      <c r="DA2325">
        <v>1</v>
      </c>
      <c r="DB2325">
        <v>0</v>
      </c>
      <c r="DC2325">
        <v>0</v>
      </c>
      <c r="DD2325">
        <v>0</v>
      </c>
      <c r="DE2325">
        <v>0</v>
      </c>
      <c r="DF2325">
        <v>0</v>
      </c>
      <c r="DG2325">
        <v>0</v>
      </c>
      <c r="DH2325">
        <v>0</v>
      </c>
      <c r="DI2325">
        <v>0</v>
      </c>
    </row>
    <row r="2326" spans="1:113" x14ac:dyDescent="0.3">
      <c r="A2326" t="str">
        <f>"02/08/2021 20:26:50.575"</f>
        <v>02/08/2021 20:26:50.575</v>
      </c>
      <c r="C2326" t="str">
        <f t="shared" si="111"/>
        <v>FFDFD7C0</v>
      </c>
      <c r="D2326" t="s">
        <v>113</v>
      </c>
      <c r="E2326">
        <v>6</v>
      </c>
      <c r="H2326">
        <v>165</v>
      </c>
      <c r="I2326" t="s">
        <v>114</v>
      </c>
      <c r="J2326" t="s">
        <v>115</v>
      </c>
      <c r="K2326">
        <v>0</v>
      </c>
      <c r="L2326">
        <v>3</v>
      </c>
      <c r="M2326">
        <v>0</v>
      </c>
      <c r="N2326">
        <v>2</v>
      </c>
      <c r="O2326">
        <v>1</v>
      </c>
      <c r="P2326">
        <v>0</v>
      </c>
      <c r="Q2326">
        <v>0</v>
      </c>
      <c r="S2326" t="str">
        <f>"20:26:52.898"</f>
        <v>20:26:52.898</v>
      </c>
      <c r="T2326" t="str">
        <f>"20:26:52.398"</f>
        <v>20:26:52.398</v>
      </c>
      <c r="U2326" t="str">
        <f t="shared" si="113"/>
        <v>AB01F4</v>
      </c>
      <c r="V2326">
        <v>0</v>
      </c>
      <c r="W2326">
        <v>0</v>
      </c>
      <c r="X2326">
        <v>2</v>
      </c>
      <c r="Z2326">
        <v>0</v>
      </c>
      <c r="AA2326">
        <v>9</v>
      </c>
      <c r="AB2326">
        <v>3</v>
      </c>
      <c r="AC2326">
        <v>0</v>
      </c>
      <c r="AD2326">
        <v>10</v>
      </c>
      <c r="AE2326">
        <v>0</v>
      </c>
      <c r="AF2326">
        <v>3</v>
      </c>
      <c r="AG2326">
        <v>2</v>
      </c>
      <c r="AH2326">
        <v>0</v>
      </c>
      <c r="AI2326" t="s">
        <v>1411</v>
      </c>
      <c r="AJ2326">
        <v>39.971651999999999</v>
      </c>
      <c r="AK2326" t="s">
        <v>1412</v>
      </c>
      <c r="AL2326">
        <v>-92.697464999999994</v>
      </c>
      <c r="AM2326">
        <v>100</v>
      </c>
      <c r="AN2326">
        <v>1700</v>
      </c>
      <c r="AO2326" t="s">
        <v>118</v>
      </c>
      <c r="AP2326">
        <v>-107</v>
      </c>
      <c r="AQ2326">
        <v>78</v>
      </c>
      <c r="AR2326">
        <v>64</v>
      </c>
      <c r="AZ2326">
        <v>1200</v>
      </c>
      <c r="BA2326">
        <v>1</v>
      </c>
      <c r="BB2326" t="str">
        <f t="shared" si="112"/>
        <v xml:space="preserve">N8080G  </v>
      </c>
      <c r="BC2326">
        <v>1</v>
      </c>
      <c r="BE2326">
        <v>0</v>
      </c>
      <c r="BF2326">
        <v>0</v>
      </c>
      <c r="BG2326">
        <v>0</v>
      </c>
      <c r="BH2326">
        <v>1700</v>
      </c>
      <c r="BI2326">
        <v>1</v>
      </c>
      <c r="BJ2326">
        <v>1</v>
      </c>
      <c r="BK2326">
        <v>1</v>
      </c>
      <c r="BL2326">
        <v>0</v>
      </c>
      <c r="BO2326">
        <v>0</v>
      </c>
      <c r="BP2326">
        <v>0</v>
      </c>
      <c r="BW2326" t="str">
        <f>"20:26:52.900"</f>
        <v>20:26:52.900</v>
      </c>
      <c r="BZ2326">
        <v>0</v>
      </c>
      <c r="CA2326">
        <v>2016</v>
      </c>
      <c r="CB2326">
        <v>224</v>
      </c>
      <c r="CD2326">
        <v>1</v>
      </c>
      <c r="CE2326">
        <v>0</v>
      </c>
      <c r="CF2326">
        <v>0</v>
      </c>
      <c r="CG2326">
        <v>1</v>
      </c>
      <c r="CH2326">
        <v>0</v>
      </c>
      <c r="CI2326">
        <v>0</v>
      </c>
      <c r="CJ2326">
        <v>0</v>
      </c>
      <c r="CK2326">
        <v>2</v>
      </c>
      <c r="CL2326">
        <v>0</v>
      </c>
      <c r="CM2326">
        <v>2</v>
      </c>
      <c r="CN2326">
        <v>0</v>
      </c>
      <c r="CO2326">
        <v>3</v>
      </c>
      <c r="CP2326" t="s">
        <v>119</v>
      </c>
      <c r="CQ2326">
        <v>179</v>
      </c>
      <c r="CR2326">
        <v>1</v>
      </c>
      <c r="CW2326">
        <v>8945009</v>
      </c>
      <c r="CY2326">
        <v>1</v>
      </c>
      <c r="CZ2326">
        <v>0</v>
      </c>
      <c r="DA2326">
        <v>1</v>
      </c>
      <c r="DB2326">
        <v>0</v>
      </c>
      <c r="DC2326">
        <v>0</v>
      </c>
      <c r="DD2326">
        <v>0</v>
      </c>
      <c r="DE2326">
        <v>0</v>
      </c>
      <c r="DF2326">
        <v>0</v>
      </c>
      <c r="DG2326">
        <v>0</v>
      </c>
      <c r="DH2326">
        <v>0</v>
      </c>
      <c r="DI2326">
        <v>0</v>
      </c>
    </row>
    <row r="2327" spans="1:113" x14ac:dyDescent="0.3">
      <c r="A2327" t="str">
        <f>"02/08/2021 20:26:51.575"</f>
        <v>02/08/2021 20:26:51.575</v>
      </c>
      <c r="C2327" t="str">
        <f t="shared" si="111"/>
        <v>FFDFD7C0</v>
      </c>
      <c r="D2327" t="s">
        <v>113</v>
      </c>
      <c r="E2327">
        <v>6</v>
      </c>
      <c r="H2327">
        <v>165</v>
      </c>
      <c r="I2327" t="s">
        <v>114</v>
      </c>
      <c r="J2327" t="s">
        <v>115</v>
      </c>
      <c r="K2327">
        <v>0</v>
      </c>
      <c r="L2327">
        <v>3</v>
      </c>
      <c r="M2327">
        <v>0</v>
      </c>
      <c r="N2327">
        <v>2</v>
      </c>
      <c r="O2327">
        <v>1</v>
      </c>
      <c r="P2327">
        <v>0</v>
      </c>
      <c r="Q2327">
        <v>0</v>
      </c>
      <c r="S2327" t="str">
        <f>"20:26:53.922"</f>
        <v>20:26:53.922</v>
      </c>
      <c r="T2327" t="str">
        <f>"20:26:53.422"</f>
        <v>20:26:53.422</v>
      </c>
      <c r="U2327" t="str">
        <f t="shared" si="113"/>
        <v>AB01F4</v>
      </c>
      <c r="V2327">
        <v>0</v>
      </c>
      <c r="W2327">
        <v>0</v>
      </c>
      <c r="X2327">
        <v>2</v>
      </c>
      <c r="Z2327">
        <v>0</v>
      </c>
      <c r="AA2327">
        <v>9</v>
      </c>
      <c r="AB2327">
        <v>3</v>
      </c>
      <c r="AC2327">
        <v>0</v>
      </c>
      <c r="AD2327">
        <v>10</v>
      </c>
      <c r="AE2327">
        <v>0</v>
      </c>
      <c r="AF2327">
        <v>3</v>
      </c>
      <c r="AG2327">
        <v>2</v>
      </c>
      <c r="AH2327">
        <v>0</v>
      </c>
      <c r="AI2327" t="s">
        <v>1413</v>
      </c>
      <c r="AJ2327">
        <v>39.972059999999999</v>
      </c>
      <c r="AK2327" t="s">
        <v>1414</v>
      </c>
      <c r="AL2327">
        <v>-92.698131000000004</v>
      </c>
      <c r="AM2327">
        <v>100</v>
      </c>
      <c r="AN2327">
        <v>1700</v>
      </c>
      <c r="AO2327" t="s">
        <v>118</v>
      </c>
      <c r="AP2327">
        <v>-107</v>
      </c>
      <c r="AQ2327">
        <v>78</v>
      </c>
      <c r="AR2327">
        <v>64</v>
      </c>
      <c r="AZ2327">
        <v>1200</v>
      </c>
      <c r="BA2327">
        <v>1</v>
      </c>
      <c r="BB2327" t="str">
        <f t="shared" si="112"/>
        <v xml:space="preserve">N8080G  </v>
      </c>
      <c r="BC2327">
        <v>1</v>
      </c>
      <c r="BE2327">
        <v>0</v>
      </c>
      <c r="BF2327">
        <v>0</v>
      </c>
      <c r="BG2327">
        <v>0</v>
      </c>
      <c r="BH2327">
        <v>1700</v>
      </c>
      <c r="BI2327">
        <v>1</v>
      </c>
      <c r="BJ2327">
        <v>1</v>
      </c>
      <c r="BK2327">
        <v>1</v>
      </c>
      <c r="BL2327">
        <v>0</v>
      </c>
      <c r="BO2327">
        <v>0</v>
      </c>
      <c r="BP2327">
        <v>0</v>
      </c>
      <c r="BW2327" t="str">
        <f>"20:26:53.926"</f>
        <v>20:26:53.926</v>
      </c>
      <c r="BZ2327">
        <v>0</v>
      </c>
      <c r="CA2327">
        <v>2016</v>
      </c>
      <c r="CB2327">
        <v>224</v>
      </c>
      <c r="CD2327">
        <v>1</v>
      </c>
      <c r="CE2327">
        <v>0</v>
      </c>
      <c r="CF2327">
        <v>0</v>
      </c>
      <c r="CG2327">
        <v>1</v>
      </c>
      <c r="CH2327">
        <v>0</v>
      </c>
      <c r="CI2327">
        <v>0</v>
      </c>
      <c r="CJ2327">
        <v>0</v>
      </c>
      <c r="CK2327">
        <v>2</v>
      </c>
      <c r="CL2327">
        <v>0</v>
      </c>
      <c r="CM2327">
        <v>2</v>
      </c>
      <c r="CN2327">
        <v>0</v>
      </c>
      <c r="CO2327">
        <v>7</v>
      </c>
      <c r="CP2327" t="s">
        <v>119</v>
      </c>
      <c r="CQ2327">
        <v>180</v>
      </c>
      <c r="CR2327">
        <v>2</v>
      </c>
      <c r="CW2327">
        <v>8500107</v>
      </c>
      <c r="CY2327">
        <v>1</v>
      </c>
      <c r="CZ2327">
        <v>0</v>
      </c>
      <c r="DA2327">
        <v>0</v>
      </c>
      <c r="DB2327">
        <v>0</v>
      </c>
      <c r="DC2327">
        <v>0</v>
      </c>
      <c r="DD2327">
        <v>0</v>
      </c>
      <c r="DE2327">
        <v>0</v>
      </c>
      <c r="DF2327">
        <v>0</v>
      </c>
      <c r="DG2327">
        <v>0</v>
      </c>
      <c r="DH2327">
        <v>0</v>
      </c>
      <c r="DI2327">
        <v>0</v>
      </c>
    </row>
    <row r="2328" spans="1:113" x14ac:dyDescent="0.3">
      <c r="A2328" t="str">
        <f>"02/08/2021 20:26:51.575"</f>
        <v>02/08/2021 20:26:51.575</v>
      </c>
      <c r="C2328" t="str">
        <f t="shared" si="111"/>
        <v>FFDFD7C0</v>
      </c>
      <c r="D2328" t="s">
        <v>124</v>
      </c>
      <c r="E2328">
        <v>13</v>
      </c>
      <c r="F2328">
        <v>1013</v>
      </c>
      <c r="G2328" t="s">
        <v>114</v>
      </c>
      <c r="J2328" t="s">
        <v>125</v>
      </c>
      <c r="K2328">
        <v>0</v>
      </c>
      <c r="L2328">
        <v>3</v>
      </c>
      <c r="M2328">
        <v>0</v>
      </c>
      <c r="N2328">
        <v>2</v>
      </c>
      <c r="O2328">
        <v>1</v>
      </c>
      <c r="P2328">
        <v>0</v>
      </c>
      <c r="Q2328">
        <v>0</v>
      </c>
      <c r="S2328" t="str">
        <f>"20:26:53.922"</f>
        <v>20:26:53.922</v>
      </c>
      <c r="T2328" t="str">
        <f>"20:26:53.422"</f>
        <v>20:26:53.422</v>
      </c>
      <c r="U2328" t="str">
        <f t="shared" si="113"/>
        <v>AB01F4</v>
      </c>
      <c r="V2328">
        <v>0</v>
      </c>
      <c r="W2328">
        <v>0</v>
      </c>
      <c r="X2328">
        <v>2</v>
      </c>
      <c r="Z2328">
        <v>0</v>
      </c>
      <c r="AA2328">
        <v>9</v>
      </c>
      <c r="AB2328">
        <v>3</v>
      </c>
      <c r="AC2328">
        <v>0</v>
      </c>
      <c r="AD2328">
        <v>10</v>
      </c>
      <c r="AE2328">
        <v>0</v>
      </c>
      <c r="AF2328">
        <v>3</v>
      </c>
      <c r="AG2328">
        <v>2</v>
      </c>
      <c r="AH2328">
        <v>0</v>
      </c>
      <c r="AI2328" t="s">
        <v>1413</v>
      </c>
      <c r="AJ2328">
        <v>39.972059999999999</v>
      </c>
      <c r="AK2328" t="s">
        <v>1414</v>
      </c>
      <c r="AL2328">
        <v>-92.698131000000004</v>
      </c>
      <c r="AM2328">
        <v>100</v>
      </c>
      <c r="AN2328">
        <v>1700</v>
      </c>
      <c r="AO2328" t="s">
        <v>118</v>
      </c>
      <c r="AP2328">
        <v>-107</v>
      </c>
      <c r="AQ2328">
        <v>78</v>
      </c>
      <c r="AR2328">
        <v>64</v>
      </c>
      <c r="AZ2328">
        <v>1200</v>
      </c>
      <c r="BA2328">
        <v>1</v>
      </c>
      <c r="BB2328" t="str">
        <f t="shared" si="112"/>
        <v xml:space="preserve">N8080G  </v>
      </c>
      <c r="BC2328">
        <v>1</v>
      </c>
      <c r="BE2328">
        <v>0</v>
      </c>
      <c r="BF2328">
        <v>0</v>
      </c>
      <c r="BG2328">
        <v>0</v>
      </c>
      <c r="BH2328">
        <v>1700</v>
      </c>
      <c r="BI2328">
        <v>1</v>
      </c>
      <c r="BJ2328">
        <v>1</v>
      </c>
      <c r="BK2328">
        <v>1</v>
      </c>
      <c r="BL2328">
        <v>0</v>
      </c>
      <c r="BO2328">
        <v>0</v>
      </c>
      <c r="BP2328">
        <v>0</v>
      </c>
      <c r="BW2328" t="str">
        <f>"20:26:53.926"</f>
        <v>20:26:53.926</v>
      </c>
      <c r="BZ2328">
        <v>0</v>
      </c>
      <c r="CA2328">
        <v>2016</v>
      </c>
      <c r="CB2328">
        <v>224</v>
      </c>
      <c r="CD2328">
        <v>1</v>
      </c>
      <c r="CE2328">
        <v>0</v>
      </c>
      <c r="CF2328">
        <v>0</v>
      </c>
      <c r="CG2328">
        <v>1</v>
      </c>
      <c r="CH2328">
        <v>0</v>
      </c>
      <c r="CI2328">
        <v>0</v>
      </c>
      <c r="CJ2328">
        <v>0</v>
      </c>
      <c r="CK2328">
        <v>2</v>
      </c>
      <c r="CL2328">
        <v>0</v>
      </c>
      <c r="CM2328">
        <v>2</v>
      </c>
      <c r="CN2328">
        <v>0</v>
      </c>
      <c r="CO2328">
        <v>7</v>
      </c>
      <c r="CP2328" t="s">
        <v>119</v>
      </c>
      <c r="CQ2328">
        <v>180</v>
      </c>
      <c r="CR2328">
        <v>2</v>
      </c>
      <c r="CW2328">
        <v>8500107</v>
      </c>
      <c r="CY2328">
        <v>1</v>
      </c>
      <c r="CZ2328">
        <v>0</v>
      </c>
      <c r="DA2328">
        <v>1</v>
      </c>
      <c r="DB2328">
        <v>0</v>
      </c>
      <c r="DC2328">
        <v>0</v>
      </c>
      <c r="DD2328">
        <v>0</v>
      </c>
      <c r="DE2328">
        <v>0</v>
      </c>
      <c r="DF2328">
        <v>0</v>
      </c>
      <c r="DG2328">
        <v>0</v>
      </c>
      <c r="DH2328">
        <v>0</v>
      </c>
      <c r="DI2328">
        <v>0</v>
      </c>
    </row>
    <row r="2329" spans="1:113" x14ac:dyDescent="0.3">
      <c r="A2329" t="str">
        <f>"02/08/2021 20:26:51.575"</f>
        <v>02/08/2021 20:26:51.575</v>
      </c>
      <c r="C2329" t="str">
        <f t="shared" si="111"/>
        <v>FFDFD7C0</v>
      </c>
      <c r="D2329" t="s">
        <v>124</v>
      </c>
      <c r="E2329">
        <v>11</v>
      </c>
      <c r="F2329">
        <v>1011</v>
      </c>
      <c r="G2329" t="s">
        <v>590</v>
      </c>
      <c r="J2329" t="s">
        <v>125</v>
      </c>
      <c r="K2329">
        <v>0</v>
      </c>
      <c r="L2329">
        <v>3</v>
      </c>
      <c r="M2329">
        <v>0</v>
      </c>
      <c r="N2329">
        <v>2</v>
      </c>
      <c r="O2329">
        <v>1</v>
      </c>
      <c r="P2329">
        <v>0</v>
      </c>
      <c r="Q2329">
        <v>0</v>
      </c>
      <c r="S2329" t="str">
        <f>"20:26:53.922"</f>
        <v>20:26:53.922</v>
      </c>
      <c r="T2329" t="str">
        <f>"20:26:53.422"</f>
        <v>20:26:53.422</v>
      </c>
      <c r="U2329" t="str">
        <f t="shared" si="113"/>
        <v>AB01F4</v>
      </c>
      <c r="V2329">
        <v>0</v>
      </c>
      <c r="W2329">
        <v>0</v>
      </c>
      <c r="X2329">
        <v>2</v>
      </c>
      <c r="Z2329">
        <v>0</v>
      </c>
      <c r="AA2329">
        <v>9</v>
      </c>
      <c r="AB2329">
        <v>3</v>
      </c>
      <c r="AC2329">
        <v>0</v>
      </c>
      <c r="AD2329">
        <v>10</v>
      </c>
      <c r="AE2329">
        <v>0</v>
      </c>
      <c r="AF2329">
        <v>3</v>
      </c>
      <c r="AG2329">
        <v>2</v>
      </c>
      <c r="AH2329">
        <v>0</v>
      </c>
      <c r="AI2329" t="s">
        <v>1413</v>
      </c>
      <c r="AJ2329">
        <v>39.972059999999999</v>
      </c>
      <c r="AK2329" t="s">
        <v>1414</v>
      </c>
      <c r="AL2329">
        <v>-92.698131000000004</v>
      </c>
      <c r="AM2329">
        <v>100</v>
      </c>
      <c r="AN2329">
        <v>1700</v>
      </c>
      <c r="AO2329" t="s">
        <v>118</v>
      </c>
      <c r="AP2329">
        <v>-107</v>
      </c>
      <c r="AQ2329">
        <v>78</v>
      </c>
      <c r="AR2329">
        <v>64</v>
      </c>
      <c r="AZ2329">
        <v>1200</v>
      </c>
      <c r="BA2329">
        <v>1</v>
      </c>
      <c r="BB2329" t="str">
        <f t="shared" si="112"/>
        <v xml:space="preserve">N8080G  </v>
      </c>
      <c r="BC2329">
        <v>1</v>
      </c>
      <c r="BE2329">
        <v>0</v>
      </c>
      <c r="BF2329">
        <v>0</v>
      </c>
      <c r="BG2329">
        <v>0</v>
      </c>
      <c r="BH2329">
        <v>1700</v>
      </c>
      <c r="BI2329">
        <v>1</v>
      </c>
      <c r="BJ2329">
        <v>1</v>
      </c>
      <c r="BK2329">
        <v>1</v>
      </c>
      <c r="BL2329">
        <v>0</v>
      </c>
      <c r="BO2329">
        <v>0</v>
      </c>
      <c r="BP2329">
        <v>0</v>
      </c>
      <c r="BW2329" t="str">
        <f>"20:26:53.926"</f>
        <v>20:26:53.926</v>
      </c>
      <c r="BZ2329">
        <v>0</v>
      </c>
      <c r="CA2329">
        <v>2016</v>
      </c>
      <c r="CB2329">
        <v>224</v>
      </c>
      <c r="CD2329">
        <v>1</v>
      </c>
      <c r="CE2329">
        <v>0</v>
      </c>
      <c r="CF2329">
        <v>0</v>
      </c>
      <c r="CG2329">
        <v>1</v>
      </c>
      <c r="CH2329">
        <v>0</v>
      </c>
      <c r="CI2329">
        <v>0</v>
      </c>
      <c r="CJ2329">
        <v>0</v>
      </c>
      <c r="CK2329">
        <v>2</v>
      </c>
      <c r="CL2329">
        <v>0</v>
      </c>
      <c r="CM2329">
        <v>2</v>
      </c>
      <c r="CN2329">
        <v>0</v>
      </c>
      <c r="CO2329">
        <v>7</v>
      </c>
      <c r="CP2329" t="s">
        <v>119</v>
      </c>
      <c r="CQ2329">
        <v>180</v>
      </c>
      <c r="CR2329">
        <v>2</v>
      </c>
      <c r="CW2329">
        <v>8500107</v>
      </c>
      <c r="CY2329">
        <v>1</v>
      </c>
      <c r="CZ2329">
        <v>0</v>
      </c>
      <c r="DA2329">
        <v>1</v>
      </c>
      <c r="DB2329">
        <v>0</v>
      </c>
      <c r="DC2329">
        <v>0</v>
      </c>
      <c r="DD2329">
        <v>0</v>
      </c>
      <c r="DE2329">
        <v>0</v>
      </c>
      <c r="DF2329">
        <v>0</v>
      </c>
      <c r="DG2329">
        <v>0</v>
      </c>
      <c r="DH2329">
        <v>0</v>
      </c>
      <c r="DI2329">
        <v>0</v>
      </c>
    </row>
    <row r="2330" spans="1:113" x14ac:dyDescent="0.3">
      <c r="A2330" t="str">
        <f>"02/08/2021 20:26:51.575"</f>
        <v>02/08/2021 20:26:51.575</v>
      </c>
      <c r="C2330" t="str">
        <f t="shared" si="111"/>
        <v>FFDFD7C0</v>
      </c>
      <c r="D2330" t="s">
        <v>124</v>
      </c>
      <c r="E2330">
        <v>12</v>
      </c>
      <c r="F2330">
        <v>1012</v>
      </c>
      <c r="G2330" t="s">
        <v>675</v>
      </c>
      <c r="J2330" t="s">
        <v>125</v>
      </c>
      <c r="K2330">
        <v>0</v>
      </c>
      <c r="L2330">
        <v>3</v>
      </c>
      <c r="M2330">
        <v>0</v>
      </c>
      <c r="N2330">
        <v>2</v>
      </c>
      <c r="O2330">
        <v>1</v>
      </c>
      <c r="P2330">
        <v>0</v>
      </c>
      <c r="Q2330">
        <v>0</v>
      </c>
      <c r="S2330" t="str">
        <f>"20:26:53.922"</f>
        <v>20:26:53.922</v>
      </c>
      <c r="T2330" t="str">
        <f>"20:26:53.422"</f>
        <v>20:26:53.422</v>
      </c>
      <c r="U2330" t="str">
        <f t="shared" si="113"/>
        <v>AB01F4</v>
      </c>
      <c r="V2330">
        <v>0</v>
      </c>
      <c r="W2330">
        <v>0</v>
      </c>
      <c r="X2330">
        <v>2</v>
      </c>
      <c r="Z2330">
        <v>0</v>
      </c>
      <c r="AA2330">
        <v>9</v>
      </c>
      <c r="AB2330">
        <v>3</v>
      </c>
      <c r="AC2330">
        <v>0</v>
      </c>
      <c r="AD2330">
        <v>10</v>
      </c>
      <c r="AE2330">
        <v>0</v>
      </c>
      <c r="AF2330">
        <v>3</v>
      </c>
      <c r="AG2330">
        <v>2</v>
      </c>
      <c r="AH2330">
        <v>0</v>
      </c>
      <c r="AI2330" t="s">
        <v>1413</v>
      </c>
      <c r="AJ2330">
        <v>39.972059999999999</v>
      </c>
      <c r="AK2330" t="s">
        <v>1414</v>
      </c>
      <c r="AL2330">
        <v>-92.698131000000004</v>
      </c>
      <c r="AM2330">
        <v>100</v>
      </c>
      <c r="AN2330">
        <v>1700</v>
      </c>
      <c r="AO2330" t="s">
        <v>118</v>
      </c>
      <c r="AP2330">
        <v>-107</v>
      </c>
      <c r="AQ2330">
        <v>78</v>
      </c>
      <c r="AR2330">
        <v>64</v>
      </c>
      <c r="AZ2330">
        <v>1200</v>
      </c>
      <c r="BA2330">
        <v>1</v>
      </c>
      <c r="BB2330" t="str">
        <f t="shared" si="112"/>
        <v xml:space="preserve">N8080G  </v>
      </c>
      <c r="BC2330">
        <v>1</v>
      </c>
      <c r="BE2330">
        <v>0</v>
      </c>
      <c r="BF2330">
        <v>0</v>
      </c>
      <c r="BG2330">
        <v>0</v>
      </c>
      <c r="BH2330">
        <v>1700</v>
      </c>
      <c r="BI2330">
        <v>1</v>
      </c>
      <c r="BJ2330">
        <v>1</v>
      </c>
      <c r="BK2330">
        <v>1</v>
      </c>
      <c r="BL2330">
        <v>0</v>
      </c>
      <c r="BO2330">
        <v>0</v>
      </c>
      <c r="BP2330">
        <v>0</v>
      </c>
      <c r="BW2330" t="str">
        <f>"20:26:53.926"</f>
        <v>20:26:53.926</v>
      </c>
      <c r="BZ2330">
        <v>0</v>
      </c>
      <c r="CA2330">
        <v>2016</v>
      </c>
      <c r="CB2330">
        <v>224</v>
      </c>
      <c r="CD2330">
        <v>1</v>
      </c>
      <c r="CE2330">
        <v>0</v>
      </c>
      <c r="CF2330">
        <v>0</v>
      </c>
      <c r="CG2330">
        <v>1</v>
      </c>
      <c r="CH2330">
        <v>0</v>
      </c>
      <c r="CI2330">
        <v>0</v>
      </c>
      <c r="CJ2330">
        <v>0</v>
      </c>
      <c r="CK2330">
        <v>2</v>
      </c>
      <c r="CL2330">
        <v>0</v>
      </c>
      <c r="CM2330">
        <v>2</v>
      </c>
      <c r="CN2330">
        <v>0</v>
      </c>
      <c r="CO2330">
        <v>7</v>
      </c>
      <c r="CP2330" t="s">
        <v>119</v>
      </c>
      <c r="CQ2330">
        <v>180</v>
      </c>
      <c r="CR2330">
        <v>2</v>
      </c>
      <c r="CW2330">
        <v>8500107</v>
      </c>
      <c r="CY2330">
        <v>1</v>
      </c>
      <c r="CZ2330">
        <v>0</v>
      </c>
      <c r="DA2330">
        <v>1</v>
      </c>
      <c r="DB2330">
        <v>0</v>
      </c>
      <c r="DC2330">
        <v>0</v>
      </c>
      <c r="DD2330">
        <v>0</v>
      </c>
      <c r="DE2330">
        <v>0</v>
      </c>
      <c r="DF2330">
        <v>0</v>
      </c>
      <c r="DG2330">
        <v>0</v>
      </c>
      <c r="DH2330">
        <v>0</v>
      </c>
      <c r="DI2330">
        <v>0</v>
      </c>
    </row>
    <row r="2331" spans="1:113" x14ac:dyDescent="0.3">
      <c r="A2331" t="str">
        <f>"02/08/2021 20:26:54.557"</f>
        <v>02/08/2021 20:26:54.557</v>
      </c>
      <c r="C2331" t="str">
        <f t="shared" si="111"/>
        <v>FFDFD7C0</v>
      </c>
      <c r="D2331" t="s">
        <v>113</v>
      </c>
      <c r="E2331">
        <v>6</v>
      </c>
      <c r="H2331">
        <v>165</v>
      </c>
      <c r="I2331" t="s">
        <v>114</v>
      </c>
      <c r="J2331" t="s">
        <v>115</v>
      </c>
      <c r="K2331">
        <v>0</v>
      </c>
      <c r="L2331">
        <v>3</v>
      </c>
      <c r="M2331">
        <v>0</v>
      </c>
      <c r="N2331">
        <v>2</v>
      </c>
      <c r="O2331">
        <v>1</v>
      </c>
      <c r="P2331">
        <v>0</v>
      </c>
      <c r="Q2331">
        <v>0</v>
      </c>
      <c r="S2331" t="str">
        <f>"20:26:56.898"</f>
        <v>20:26:56.898</v>
      </c>
      <c r="T2331" t="str">
        <f>"20:26:56.398"</f>
        <v>20:26:56.398</v>
      </c>
      <c r="U2331" t="str">
        <f t="shared" si="113"/>
        <v>AB01F4</v>
      </c>
      <c r="V2331">
        <v>0</v>
      </c>
      <c r="W2331">
        <v>0</v>
      </c>
      <c r="X2331">
        <v>2</v>
      </c>
      <c r="Z2331">
        <v>0</v>
      </c>
      <c r="AA2331">
        <v>9</v>
      </c>
      <c r="AB2331">
        <v>3</v>
      </c>
      <c r="AC2331">
        <v>0</v>
      </c>
      <c r="AD2331">
        <v>10</v>
      </c>
      <c r="AE2331">
        <v>0</v>
      </c>
      <c r="AF2331">
        <v>3</v>
      </c>
      <c r="AG2331">
        <v>2</v>
      </c>
      <c r="AH2331">
        <v>0</v>
      </c>
      <c r="AI2331" t="s">
        <v>1415</v>
      </c>
      <c r="AJ2331">
        <v>39.973154000000001</v>
      </c>
      <c r="AK2331" t="s">
        <v>1416</v>
      </c>
      <c r="AL2331">
        <v>-92.700018999999998</v>
      </c>
      <c r="AM2331">
        <v>100</v>
      </c>
      <c r="AN2331">
        <v>1700</v>
      </c>
      <c r="AO2331" t="s">
        <v>118</v>
      </c>
      <c r="AP2331">
        <v>-108</v>
      </c>
      <c r="AQ2331">
        <v>78</v>
      </c>
      <c r="AR2331">
        <v>0</v>
      </c>
      <c r="AZ2331">
        <v>1200</v>
      </c>
      <c r="BA2331">
        <v>1</v>
      </c>
      <c r="BB2331" t="str">
        <f t="shared" si="112"/>
        <v xml:space="preserve">N8080G  </v>
      </c>
      <c r="BC2331">
        <v>1</v>
      </c>
      <c r="BE2331">
        <v>0</v>
      </c>
      <c r="BF2331">
        <v>0</v>
      </c>
      <c r="BG2331">
        <v>0</v>
      </c>
      <c r="BH2331">
        <v>1700</v>
      </c>
      <c r="BI2331">
        <v>1</v>
      </c>
      <c r="BJ2331">
        <v>1</v>
      </c>
      <c r="BK2331">
        <v>1</v>
      </c>
      <c r="BL2331">
        <v>0</v>
      </c>
      <c r="BO2331">
        <v>0</v>
      </c>
      <c r="BP2331">
        <v>0</v>
      </c>
      <c r="BW2331" t="str">
        <f>"20:26:56.899"</f>
        <v>20:26:56.899</v>
      </c>
      <c r="BZ2331">
        <v>0</v>
      </c>
      <c r="CA2331">
        <v>2016</v>
      </c>
      <c r="CB2331">
        <v>224</v>
      </c>
      <c r="CD2331">
        <v>1</v>
      </c>
      <c r="CE2331">
        <v>0</v>
      </c>
      <c r="CF2331">
        <v>0</v>
      </c>
      <c r="CG2331">
        <v>1</v>
      </c>
      <c r="CH2331">
        <v>0</v>
      </c>
      <c r="CI2331">
        <v>0</v>
      </c>
      <c r="CJ2331">
        <v>0</v>
      </c>
      <c r="CK2331">
        <v>2</v>
      </c>
      <c r="CL2331">
        <v>0</v>
      </c>
      <c r="CM2331">
        <v>2</v>
      </c>
      <c r="CN2331">
        <v>0</v>
      </c>
      <c r="CO2331">
        <v>7</v>
      </c>
      <c r="CP2331" t="s">
        <v>119</v>
      </c>
      <c r="CQ2331">
        <v>180</v>
      </c>
      <c r="CR2331">
        <v>2</v>
      </c>
      <c r="CW2331">
        <v>8502613</v>
      </c>
      <c r="CY2331">
        <v>1</v>
      </c>
      <c r="CZ2331">
        <v>0</v>
      </c>
      <c r="DA2331">
        <v>0</v>
      </c>
      <c r="DB2331">
        <v>0</v>
      </c>
      <c r="DC2331">
        <v>0</v>
      </c>
      <c r="DD2331">
        <v>0</v>
      </c>
      <c r="DE2331">
        <v>0</v>
      </c>
      <c r="DF2331">
        <v>0</v>
      </c>
      <c r="DG2331">
        <v>0</v>
      </c>
      <c r="DH2331">
        <v>0</v>
      </c>
      <c r="DI2331">
        <v>0</v>
      </c>
    </row>
    <row r="2332" spans="1:113" x14ac:dyDescent="0.3">
      <c r="A2332" t="str">
        <f>"02/08/2021 20:26:54.557"</f>
        <v>02/08/2021 20:26:54.557</v>
      </c>
      <c r="C2332" t="str">
        <f t="shared" si="111"/>
        <v>FFDFD7C0</v>
      </c>
      <c r="D2332" t="s">
        <v>124</v>
      </c>
      <c r="E2332">
        <v>11</v>
      </c>
      <c r="F2332">
        <v>1011</v>
      </c>
      <c r="G2332" t="s">
        <v>590</v>
      </c>
      <c r="J2332" t="s">
        <v>125</v>
      </c>
      <c r="K2332">
        <v>0</v>
      </c>
      <c r="L2332">
        <v>3</v>
      </c>
      <c r="M2332">
        <v>0</v>
      </c>
      <c r="N2332">
        <v>2</v>
      </c>
      <c r="O2332">
        <v>1</v>
      </c>
      <c r="P2332">
        <v>0</v>
      </c>
      <c r="Q2332">
        <v>0</v>
      </c>
      <c r="S2332" t="str">
        <f>"20:26:56.898"</f>
        <v>20:26:56.898</v>
      </c>
      <c r="T2332" t="str">
        <f>"20:26:56.398"</f>
        <v>20:26:56.398</v>
      </c>
      <c r="U2332" t="str">
        <f t="shared" si="113"/>
        <v>AB01F4</v>
      </c>
      <c r="V2332">
        <v>0</v>
      </c>
      <c r="W2332">
        <v>0</v>
      </c>
      <c r="X2332">
        <v>2</v>
      </c>
      <c r="Z2332">
        <v>0</v>
      </c>
      <c r="AA2332">
        <v>9</v>
      </c>
      <c r="AB2332">
        <v>3</v>
      </c>
      <c r="AC2332">
        <v>0</v>
      </c>
      <c r="AD2332">
        <v>10</v>
      </c>
      <c r="AE2332">
        <v>0</v>
      </c>
      <c r="AF2332">
        <v>3</v>
      </c>
      <c r="AG2332">
        <v>2</v>
      </c>
      <c r="AH2332">
        <v>0</v>
      </c>
      <c r="AI2332" t="s">
        <v>1415</v>
      </c>
      <c r="AJ2332">
        <v>39.973154000000001</v>
      </c>
      <c r="AK2332" t="s">
        <v>1416</v>
      </c>
      <c r="AL2332">
        <v>-92.700018999999998</v>
      </c>
      <c r="AM2332">
        <v>100</v>
      </c>
      <c r="AN2332">
        <v>1700</v>
      </c>
      <c r="AO2332" t="s">
        <v>118</v>
      </c>
      <c r="AP2332">
        <v>-108</v>
      </c>
      <c r="AQ2332">
        <v>78</v>
      </c>
      <c r="AR2332">
        <v>0</v>
      </c>
      <c r="AZ2332">
        <v>1200</v>
      </c>
      <c r="BA2332">
        <v>1</v>
      </c>
      <c r="BB2332" t="str">
        <f t="shared" si="112"/>
        <v xml:space="preserve">N8080G  </v>
      </c>
      <c r="BC2332">
        <v>1</v>
      </c>
      <c r="BE2332">
        <v>0</v>
      </c>
      <c r="BF2332">
        <v>0</v>
      </c>
      <c r="BG2332">
        <v>0</v>
      </c>
      <c r="BH2332">
        <v>1700</v>
      </c>
      <c r="BI2332">
        <v>1</v>
      </c>
      <c r="BJ2332">
        <v>1</v>
      </c>
      <c r="BK2332">
        <v>1</v>
      </c>
      <c r="BL2332">
        <v>0</v>
      </c>
      <c r="BO2332">
        <v>0</v>
      </c>
      <c r="BP2332">
        <v>0</v>
      </c>
      <c r="BW2332" t="str">
        <f>"20:26:56.899"</f>
        <v>20:26:56.899</v>
      </c>
      <c r="BZ2332">
        <v>0</v>
      </c>
      <c r="CA2332">
        <v>2016</v>
      </c>
      <c r="CB2332">
        <v>224</v>
      </c>
      <c r="CD2332">
        <v>1</v>
      </c>
      <c r="CE2332">
        <v>0</v>
      </c>
      <c r="CF2332">
        <v>0</v>
      </c>
      <c r="CG2332">
        <v>1</v>
      </c>
      <c r="CH2332">
        <v>0</v>
      </c>
      <c r="CI2332">
        <v>0</v>
      </c>
      <c r="CJ2332">
        <v>0</v>
      </c>
      <c r="CK2332">
        <v>2</v>
      </c>
      <c r="CL2332">
        <v>0</v>
      </c>
      <c r="CM2332">
        <v>2</v>
      </c>
      <c r="CN2332">
        <v>0</v>
      </c>
      <c r="CO2332">
        <v>7</v>
      </c>
      <c r="CP2332" t="s">
        <v>119</v>
      </c>
      <c r="CQ2332">
        <v>180</v>
      </c>
      <c r="CR2332">
        <v>2</v>
      </c>
      <c r="CW2332">
        <v>8502613</v>
      </c>
      <c r="CY2332">
        <v>1</v>
      </c>
      <c r="CZ2332">
        <v>0</v>
      </c>
      <c r="DA2332">
        <v>1</v>
      </c>
      <c r="DB2332">
        <v>0</v>
      </c>
      <c r="DC2332">
        <v>0</v>
      </c>
      <c r="DD2332">
        <v>0</v>
      </c>
      <c r="DE2332">
        <v>0</v>
      </c>
      <c r="DF2332">
        <v>0</v>
      </c>
      <c r="DG2332">
        <v>0</v>
      </c>
      <c r="DH2332">
        <v>0</v>
      </c>
      <c r="DI2332">
        <v>0</v>
      </c>
    </row>
    <row r="2333" spans="1:113" x14ac:dyDescent="0.3">
      <c r="A2333" t="str">
        <f>"02/08/2021 20:26:54.557"</f>
        <v>02/08/2021 20:26:54.557</v>
      </c>
      <c r="C2333" t="str">
        <f t="shared" si="111"/>
        <v>FFDFD7C0</v>
      </c>
      <c r="D2333" t="s">
        <v>124</v>
      </c>
      <c r="E2333">
        <v>12</v>
      </c>
      <c r="F2333">
        <v>1012</v>
      </c>
      <c r="G2333" t="s">
        <v>675</v>
      </c>
      <c r="J2333" t="s">
        <v>125</v>
      </c>
      <c r="K2333">
        <v>0</v>
      </c>
      <c r="L2333">
        <v>3</v>
      </c>
      <c r="M2333">
        <v>0</v>
      </c>
      <c r="N2333">
        <v>2</v>
      </c>
      <c r="O2333">
        <v>1</v>
      </c>
      <c r="P2333">
        <v>0</v>
      </c>
      <c r="Q2333">
        <v>0</v>
      </c>
      <c r="S2333" t="str">
        <f>"20:26:56.898"</f>
        <v>20:26:56.898</v>
      </c>
      <c r="T2333" t="str">
        <f>"20:26:56.398"</f>
        <v>20:26:56.398</v>
      </c>
      <c r="U2333" t="str">
        <f t="shared" si="113"/>
        <v>AB01F4</v>
      </c>
      <c r="V2333">
        <v>0</v>
      </c>
      <c r="W2333">
        <v>0</v>
      </c>
      <c r="X2333">
        <v>2</v>
      </c>
      <c r="Z2333">
        <v>0</v>
      </c>
      <c r="AA2333">
        <v>9</v>
      </c>
      <c r="AB2333">
        <v>3</v>
      </c>
      <c r="AC2333">
        <v>0</v>
      </c>
      <c r="AD2333">
        <v>10</v>
      </c>
      <c r="AE2333">
        <v>0</v>
      </c>
      <c r="AF2333">
        <v>3</v>
      </c>
      <c r="AG2333">
        <v>2</v>
      </c>
      <c r="AH2333">
        <v>0</v>
      </c>
      <c r="AI2333" t="s">
        <v>1415</v>
      </c>
      <c r="AJ2333">
        <v>39.973154000000001</v>
      </c>
      <c r="AK2333" t="s">
        <v>1416</v>
      </c>
      <c r="AL2333">
        <v>-92.700018999999998</v>
      </c>
      <c r="AM2333">
        <v>100</v>
      </c>
      <c r="AN2333">
        <v>1700</v>
      </c>
      <c r="AO2333" t="s">
        <v>118</v>
      </c>
      <c r="AP2333">
        <v>-108</v>
      </c>
      <c r="AQ2333">
        <v>78</v>
      </c>
      <c r="AR2333">
        <v>0</v>
      </c>
      <c r="AZ2333">
        <v>1200</v>
      </c>
      <c r="BA2333">
        <v>1</v>
      </c>
      <c r="BB2333" t="str">
        <f t="shared" si="112"/>
        <v xml:space="preserve">N8080G  </v>
      </c>
      <c r="BC2333">
        <v>1</v>
      </c>
      <c r="BE2333">
        <v>0</v>
      </c>
      <c r="BF2333">
        <v>0</v>
      </c>
      <c r="BG2333">
        <v>0</v>
      </c>
      <c r="BH2333">
        <v>1700</v>
      </c>
      <c r="BI2333">
        <v>1</v>
      </c>
      <c r="BJ2333">
        <v>1</v>
      </c>
      <c r="BK2333">
        <v>1</v>
      </c>
      <c r="BL2333">
        <v>0</v>
      </c>
      <c r="BO2333">
        <v>0</v>
      </c>
      <c r="BP2333">
        <v>0</v>
      </c>
      <c r="BW2333" t="str">
        <f>"20:26:56.899"</f>
        <v>20:26:56.899</v>
      </c>
      <c r="BZ2333">
        <v>0</v>
      </c>
      <c r="CA2333">
        <v>2016</v>
      </c>
      <c r="CB2333">
        <v>224</v>
      </c>
      <c r="CD2333">
        <v>1</v>
      </c>
      <c r="CE2333">
        <v>0</v>
      </c>
      <c r="CF2333">
        <v>0</v>
      </c>
      <c r="CG2333">
        <v>1</v>
      </c>
      <c r="CH2333">
        <v>0</v>
      </c>
      <c r="CI2333">
        <v>0</v>
      </c>
      <c r="CJ2333">
        <v>0</v>
      </c>
      <c r="CK2333">
        <v>2</v>
      </c>
      <c r="CL2333">
        <v>0</v>
      </c>
      <c r="CM2333">
        <v>2</v>
      </c>
      <c r="CN2333">
        <v>0</v>
      </c>
      <c r="CO2333">
        <v>7</v>
      </c>
      <c r="CP2333" t="s">
        <v>119</v>
      </c>
      <c r="CQ2333">
        <v>180</v>
      </c>
      <c r="CR2333">
        <v>2</v>
      </c>
      <c r="CW2333">
        <v>8502613</v>
      </c>
      <c r="CY2333">
        <v>1</v>
      </c>
      <c r="CZ2333">
        <v>0</v>
      </c>
      <c r="DA2333">
        <v>1</v>
      </c>
      <c r="DB2333">
        <v>0</v>
      </c>
      <c r="DC2333">
        <v>0</v>
      </c>
      <c r="DD2333">
        <v>0</v>
      </c>
      <c r="DE2333">
        <v>0</v>
      </c>
      <c r="DF2333">
        <v>0</v>
      </c>
      <c r="DG2333">
        <v>0</v>
      </c>
      <c r="DH2333">
        <v>0</v>
      </c>
      <c r="DI2333">
        <v>0</v>
      </c>
    </row>
    <row r="2334" spans="1:113" x14ac:dyDescent="0.3">
      <c r="A2334" t="str">
        <f>"02/08/2021 20:26:54.557"</f>
        <v>02/08/2021 20:26:54.557</v>
      </c>
      <c r="C2334" t="str">
        <f t="shared" si="111"/>
        <v>FFDFD7C0</v>
      </c>
      <c r="D2334" t="s">
        <v>124</v>
      </c>
      <c r="E2334">
        <v>13</v>
      </c>
      <c r="F2334">
        <v>1013</v>
      </c>
      <c r="G2334" t="s">
        <v>114</v>
      </c>
      <c r="J2334" t="s">
        <v>125</v>
      </c>
      <c r="K2334">
        <v>0</v>
      </c>
      <c r="L2334">
        <v>3</v>
      </c>
      <c r="M2334">
        <v>0</v>
      </c>
      <c r="N2334">
        <v>2</v>
      </c>
      <c r="O2334">
        <v>1</v>
      </c>
      <c r="P2334">
        <v>0</v>
      </c>
      <c r="Q2334">
        <v>0</v>
      </c>
      <c r="S2334" t="str">
        <f>"20:26:56.898"</f>
        <v>20:26:56.898</v>
      </c>
      <c r="T2334" t="str">
        <f>"20:26:56.398"</f>
        <v>20:26:56.398</v>
      </c>
      <c r="U2334" t="str">
        <f t="shared" si="113"/>
        <v>AB01F4</v>
      </c>
      <c r="V2334">
        <v>0</v>
      </c>
      <c r="W2334">
        <v>0</v>
      </c>
      <c r="X2334">
        <v>2</v>
      </c>
      <c r="Z2334">
        <v>0</v>
      </c>
      <c r="AA2334">
        <v>9</v>
      </c>
      <c r="AB2334">
        <v>3</v>
      </c>
      <c r="AC2334">
        <v>0</v>
      </c>
      <c r="AD2334">
        <v>10</v>
      </c>
      <c r="AE2334">
        <v>0</v>
      </c>
      <c r="AF2334">
        <v>3</v>
      </c>
      <c r="AG2334">
        <v>2</v>
      </c>
      <c r="AH2334">
        <v>0</v>
      </c>
      <c r="AI2334" t="s">
        <v>1415</v>
      </c>
      <c r="AJ2334">
        <v>39.973154000000001</v>
      </c>
      <c r="AK2334" t="s">
        <v>1416</v>
      </c>
      <c r="AL2334">
        <v>-92.700018999999998</v>
      </c>
      <c r="AM2334">
        <v>100</v>
      </c>
      <c r="AN2334">
        <v>1700</v>
      </c>
      <c r="AO2334" t="s">
        <v>118</v>
      </c>
      <c r="AP2334">
        <v>-108</v>
      </c>
      <c r="AQ2334">
        <v>78</v>
      </c>
      <c r="AR2334">
        <v>0</v>
      </c>
      <c r="AZ2334">
        <v>1200</v>
      </c>
      <c r="BA2334">
        <v>1</v>
      </c>
      <c r="BB2334" t="str">
        <f t="shared" si="112"/>
        <v xml:space="preserve">N8080G  </v>
      </c>
      <c r="BC2334">
        <v>1</v>
      </c>
      <c r="BE2334">
        <v>0</v>
      </c>
      <c r="BF2334">
        <v>0</v>
      </c>
      <c r="BG2334">
        <v>0</v>
      </c>
      <c r="BH2334">
        <v>1700</v>
      </c>
      <c r="BI2334">
        <v>1</v>
      </c>
      <c r="BJ2334">
        <v>1</v>
      </c>
      <c r="BK2334">
        <v>1</v>
      </c>
      <c r="BL2334">
        <v>0</v>
      </c>
      <c r="BO2334">
        <v>0</v>
      </c>
      <c r="BP2334">
        <v>0</v>
      </c>
      <c r="BW2334" t="str">
        <f>"20:26:56.899"</f>
        <v>20:26:56.899</v>
      </c>
      <c r="BZ2334">
        <v>0</v>
      </c>
      <c r="CA2334">
        <v>2016</v>
      </c>
      <c r="CB2334">
        <v>224</v>
      </c>
      <c r="CD2334">
        <v>1</v>
      </c>
      <c r="CE2334">
        <v>0</v>
      </c>
      <c r="CF2334">
        <v>0</v>
      </c>
      <c r="CG2334">
        <v>1</v>
      </c>
      <c r="CH2334">
        <v>0</v>
      </c>
      <c r="CI2334">
        <v>0</v>
      </c>
      <c r="CJ2334">
        <v>0</v>
      </c>
      <c r="CK2334">
        <v>2</v>
      </c>
      <c r="CL2334">
        <v>0</v>
      </c>
      <c r="CM2334">
        <v>2</v>
      </c>
      <c r="CN2334">
        <v>0</v>
      </c>
      <c r="CO2334">
        <v>7</v>
      </c>
      <c r="CP2334" t="s">
        <v>119</v>
      </c>
      <c r="CQ2334">
        <v>180</v>
      </c>
      <c r="CR2334">
        <v>2</v>
      </c>
      <c r="CW2334">
        <v>8502613</v>
      </c>
      <c r="CY2334">
        <v>1</v>
      </c>
      <c r="CZ2334">
        <v>0</v>
      </c>
      <c r="DA2334">
        <v>1</v>
      </c>
      <c r="DB2334">
        <v>0</v>
      </c>
      <c r="DC2334">
        <v>0</v>
      </c>
      <c r="DD2334">
        <v>0</v>
      </c>
      <c r="DE2334">
        <v>0</v>
      </c>
      <c r="DF2334">
        <v>0</v>
      </c>
      <c r="DG2334">
        <v>0</v>
      </c>
      <c r="DH2334">
        <v>0</v>
      </c>
      <c r="DI2334">
        <v>0</v>
      </c>
    </row>
    <row r="2335" spans="1:113" x14ac:dyDescent="0.3">
      <c r="A2335" t="str">
        <f>"02/08/2021 20:26:55.487"</f>
        <v>02/08/2021 20:26:55.487</v>
      </c>
      <c r="C2335" t="str">
        <f t="shared" si="111"/>
        <v>FFDFD7C0</v>
      </c>
      <c r="D2335" t="s">
        <v>124</v>
      </c>
      <c r="E2335">
        <v>12</v>
      </c>
      <c r="F2335">
        <v>1012</v>
      </c>
      <c r="G2335" t="s">
        <v>675</v>
      </c>
      <c r="J2335" t="s">
        <v>125</v>
      </c>
      <c r="K2335">
        <v>0</v>
      </c>
      <c r="L2335">
        <v>3</v>
      </c>
      <c r="M2335">
        <v>0</v>
      </c>
      <c r="N2335">
        <v>2</v>
      </c>
      <c r="O2335">
        <v>1</v>
      </c>
      <c r="P2335">
        <v>0</v>
      </c>
      <c r="Q2335">
        <v>0</v>
      </c>
      <c r="S2335" t="str">
        <f>"20:26:57.828"</f>
        <v>20:26:57.828</v>
      </c>
      <c r="T2335" t="str">
        <f>"20:26:57.428"</f>
        <v>20:26:57.428</v>
      </c>
      <c r="U2335" t="str">
        <f t="shared" si="113"/>
        <v>AB01F4</v>
      </c>
      <c r="V2335">
        <v>0</v>
      </c>
      <c r="W2335">
        <v>0</v>
      </c>
      <c r="X2335">
        <v>2</v>
      </c>
      <c r="Z2335">
        <v>0</v>
      </c>
      <c r="AA2335">
        <v>9</v>
      </c>
      <c r="AB2335">
        <v>3</v>
      </c>
      <c r="AC2335">
        <v>0</v>
      </c>
      <c r="AD2335">
        <v>10</v>
      </c>
      <c r="AE2335">
        <v>0</v>
      </c>
      <c r="AF2335">
        <v>3</v>
      </c>
      <c r="AG2335">
        <v>2</v>
      </c>
      <c r="AH2335">
        <v>0</v>
      </c>
      <c r="AI2335" t="s">
        <v>1417</v>
      </c>
      <c r="AJ2335">
        <v>39.973475999999998</v>
      </c>
      <c r="AK2335" t="s">
        <v>1418</v>
      </c>
      <c r="AL2335">
        <v>-92.700641000000005</v>
      </c>
      <c r="AM2335">
        <v>100</v>
      </c>
      <c r="AN2335">
        <v>1700</v>
      </c>
      <c r="AO2335" t="s">
        <v>118</v>
      </c>
      <c r="AP2335">
        <v>-108</v>
      </c>
      <c r="AQ2335">
        <v>78</v>
      </c>
      <c r="AR2335">
        <v>0</v>
      </c>
      <c r="AZ2335">
        <v>1200</v>
      </c>
      <c r="BA2335">
        <v>1</v>
      </c>
      <c r="BB2335" t="str">
        <f t="shared" si="112"/>
        <v xml:space="preserve">N8080G  </v>
      </c>
      <c r="BC2335">
        <v>1</v>
      </c>
      <c r="BE2335">
        <v>0</v>
      </c>
      <c r="BF2335">
        <v>0</v>
      </c>
      <c r="BG2335">
        <v>0</v>
      </c>
      <c r="BH2335">
        <v>1700</v>
      </c>
      <c r="BI2335">
        <v>1</v>
      </c>
      <c r="BJ2335">
        <v>1</v>
      </c>
      <c r="BK2335">
        <v>1</v>
      </c>
      <c r="BL2335">
        <v>0</v>
      </c>
      <c r="BO2335">
        <v>0</v>
      </c>
      <c r="BP2335">
        <v>0</v>
      </c>
      <c r="BW2335" t="str">
        <f>"20:26:57.830"</f>
        <v>20:26:57.830</v>
      </c>
      <c r="BZ2335">
        <v>0</v>
      </c>
      <c r="CA2335">
        <v>2016</v>
      </c>
      <c r="CB2335">
        <v>224</v>
      </c>
      <c r="CD2335">
        <v>1</v>
      </c>
      <c r="CE2335">
        <v>0</v>
      </c>
      <c r="CF2335">
        <v>0</v>
      </c>
      <c r="CG2335">
        <v>1</v>
      </c>
      <c r="CH2335">
        <v>0</v>
      </c>
      <c r="CI2335">
        <v>0</v>
      </c>
      <c r="CJ2335">
        <v>0</v>
      </c>
      <c r="CK2335">
        <v>2</v>
      </c>
      <c r="CL2335">
        <v>0</v>
      </c>
      <c r="CM2335">
        <v>2</v>
      </c>
      <c r="CN2335">
        <v>0</v>
      </c>
      <c r="CO2335">
        <v>3</v>
      </c>
      <c r="CP2335" t="s">
        <v>119</v>
      </c>
      <c r="CQ2335">
        <v>179</v>
      </c>
      <c r="CR2335">
        <v>1</v>
      </c>
      <c r="CW2335">
        <v>8949400</v>
      </c>
      <c r="CY2335">
        <v>1</v>
      </c>
      <c r="CZ2335">
        <v>0</v>
      </c>
      <c r="DA2335">
        <v>0</v>
      </c>
      <c r="DB2335">
        <v>0</v>
      </c>
      <c r="DC2335">
        <v>0</v>
      </c>
      <c r="DD2335">
        <v>0</v>
      </c>
      <c r="DE2335">
        <v>0</v>
      </c>
      <c r="DF2335">
        <v>0</v>
      </c>
      <c r="DG2335">
        <v>0</v>
      </c>
      <c r="DH2335">
        <v>0</v>
      </c>
      <c r="DI2335">
        <v>0</v>
      </c>
    </row>
    <row r="2336" spans="1:113" x14ac:dyDescent="0.3">
      <c r="A2336" t="str">
        <f>"02/08/2021 20:26:55.487"</f>
        <v>02/08/2021 20:26:55.487</v>
      </c>
      <c r="C2336" t="str">
        <f t="shared" si="111"/>
        <v>FFDFD7C0</v>
      </c>
      <c r="D2336" t="s">
        <v>124</v>
      </c>
      <c r="E2336">
        <v>11</v>
      </c>
      <c r="F2336">
        <v>1011</v>
      </c>
      <c r="G2336" t="s">
        <v>590</v>
      </c>
      <c r="J2336" t="s">
        <v>125</v>
      </c>
      <c r="K2336">
        <v>0</v>
      </c>
      <c r="L2336">
        <v>3</v>
      </c>
      <c r="M2336">
        <v>0</v>
      </c>
      <c r="N2336">
        <v>2</v>
      </c>
      <c r="O2336">
        <v>1</v>
      </c>
      <c r="P2336">
        <v>0</v>
      </c>
      <c r="Q2336">
        <v>0</v>
      </c>
      <c r="S2336" t="str">
        <f>"20:26:57.828"</f>
        <v>20:26:57.828</v>
      </c>
      <c r="T2336" t="str">
        <f>"20:26:57.428"</f>
        <v>20:26:57.428</v>
      </c>
      <c r="U2336" t="str">
        <f t="shared" si="113"/>
        <v>AB01F4</v>
      </c>
      <c r="V2336">
        <v>0</v>
      </c>
      <c r="W2336">
        <v>0</v>
      </c>
      <c r="X2336">
        <v>2</v>
      </c>
      <c r="Z2336">
        <v>0</v>
      </c>
      <c r="AA2336">
        <v>9</v>
      </c>
      <c r="AB2336">
        <v>3</v>
      </c>
      <c r="AC2336">
        <v>0</v>
      </c>
      <c r="AD2336">
        <v>10</v>
      </c>
      <c r="AE2336">
        <v>0</v>
      </c>
      <c r="AF2336">
        <v>3</v>
      </c>
      <c r="AG2336">
        <v>2</v>
      </c>
      <c r="AH2336">
        <v>0</v>
      </c>
      <c r="AI2336" t="s">
        <v>1417</v>
      </c>
      <c r="AJ2336">
        <v>39.973475999999998</v>
      </c>
      <c r="AK2336" t="s">
        <v>1418</v>
      </c>
      <c r="AL2336">
        <v>-92.700641000000005</v>
      </c>
      <c r="AM2336">
        <v>100</v>
      </c>
      <c r="AN2336">
        <v>1700</v>
      </c>
      <c r="AO2336" t="s">
        <v>118</v>
      </c>
      <c r="AP2336">
        <v>-108</v>
      </c>
      <c r="AQ2336">
        <v>78</v>
      </c>
      <c r="AR2336">
        <v>0</v>
      </c>
      <c r="AZ2336">
        <v>1200</v>
      </c>
      <c r="BA2336">
        <v>1</v>
      </c>
      <c r="BB2336" t="str">
        <f t="shared" si="112"/>
        <v xml:space="preserve">N8080G  </v>
      </c>
      <c r="BC2336">
        <v>1</v>
      </c>
      <c r="BE2336">
        <v>0</v>
      </c>
      <c r="BF2336">
        <v>0</v>
      </c>
      <c r="BG2336">
        <v>0</v>
      </c>
      <c r="BH2336">
        <v>1700</v>
      </c>
      <c r="BI2336">
        <v>1</v>
      </c>
      <c r="BJ2336">
        <v>1</v>
      </c>
      <c r="BK2336">
        <v>1</v>
      </c>
      <c r="BL2336">
        <v>0</v>
      </c>
      <c r="BO2336">
        <v>0</v>
      </c>
      <c r="BP2336">
        <v>0</v>
      </c>
      <c r="BW2336" t="str">
        <f>"20:26:57.830"</f>
        <v>20:26:57.830</v>
      </c>
      <c r="BZ2336">
        <v>0</v>
      </c>
      <c r="CA2336">
        <v>2016</v>
      </c>
      <c r="CB2336">
        <v>224</v>
      </c>
      <c r="CD2336">
        <v>1</v>
      </c>
      <c r="CE2336">
        <v>0</v>
      </c>
      <c r="CF2336">
        <v>0</v>
      </c>
      <c r="CG2336">
        <v>1</v>
      </c>
      <c r="CH2336">
        <v>0</v>
      </c>
      <c r="CI2336">
        <v>0</v>
      </c>
      <c r="CJ2336">
        <v>0</v>
      </c>
      <c r="CK2336">
        <v>2</v>
      </c>
      <c r="CL2336">
        <v>0</v>
      </c>
      <c r="CM2336">
        <v>2</v>
      </c>
      <c r="CN2336">
        <v>0</v>
      </c>
      <c r="CO2336">
        <v>3</v>
      </c>
      <c r="CP2336" t="s">
        <v>119</v>
      </c>
      <c r="CQ2336">
        <v>179</v>
      </c>
      <c r="CR2336">
        <v>1</v>
      </c>
      <c r="CW2336">
        <v>8949400</v>
      </c>
      <c r="CY2336">
        <v>1</v>
      </c>
      <c r="CZ2336">
        <v>0</v>
      </c>
      <c r="DA2336">
        <v>1</v>
      </c>
      <c r="DB2336">
        <v>0</v>
      </c>
      <c r="DC2336">
        <v>0</v>
      </c>
      <c r="DD2336">
        <v>0</v>
      </c>
      <c r="DE2336">
        <v>0</v>
      </c>
      <c r="DF2336">
        <v>0</v>
      </c>
      <c r="DG2336">
        <v>0</v>
      </c>
      <c r="DH2336">
        <v>0</v>
      </c>
      <c r="DI2336">
        <v>0</v>
      </c>
    </row>
    <row r="2337" spans="1:113" x14ac:dyDescent="0.3">
      <c r="A2337" t="str">
        <f>"02/08/2021 20:26:55.487"</f>
        <v>02/08/2021 20:26:55.487</v>
      </c>
      <c r="C2337" t="str">
        <f t="shared" si="111"/>
        <v>FFDFD7C0</v>
      </c>
      <c r="D2337" t="s">
        <v>124</v>
      </c>
      <c r="E2337">
        <v>13</v>
      </c>
      <c r="F2337">
        <v>1013</v>
      </c>
      <c r="G2337" t="s">
        <v>114</v>
      </c>
      <c r="J2337" t="s">
        <v>125</v>
      </c>
      <c r="K2337">
        <v>0</v>
      </c>
      <c r="L2337">
        <v>3</v>
      </c>
      <c r="M2337">
        <v>0</v>
      </c>
      <c r="N2337">
        <v>2</v>
      </c>
      <c r="O2337">
        <v>1</v>
      </c>
      <c r="P2337">
        <v>0</v>
      </c>
      <c r="Q2337">
        <v>0</v>
      </c>
      <c r="S2337" t="str">
        <f>"20:26:57.828"</f>
        <v>20:26:57.828</v>
      </c>
      <c r="T2337" t="str">
        <f>"20:26:57.428"</f>
        <v>20:26:57.428</v>
      </c>
      <c r="U2337" t="str">
        <f t="shared" si="113"/>
        <v>AB01F4</v>
      </c>
      <c r="V2337">
        <v>0</v>
      </c>
      <c r="W2337">
        <v>0</v>
      </c>
      <c r="X2337">
        <v>2</v>
      </c>
      <c r="Z2337">
        <v>0</v>
      </c>
      <c r="AA2337">
        <v>9</v>
      </c>
      <c r="AB2337">
        <v>3</v>
      </c>
      <c r="AC2337">
        <v>0</v>
      </c>
      <c r="AD2337">
        <v>10</v>
      </c>
      <c r="AE2337">
        <v>0</v>
      </c>
      <c r="AF2337">
        <v>3</v>
      </c>
      <c r="AG2337">
        <v>2</v>
      </c>
      <c r="AH2337">
        <v>0</v>
      </c>
      <c r="AI2337" t="s">
        <v>1417</v>
      </c>
      <c r="AJ2337">
        <v>39.973475999999998</v>
      </c>
      <c r="AK2337" t="s">
        <v>1418</v>
      </c>
      <c r="AL2337">
        <v>-92.700641000000005</v>
      </c>
      <c r="AM2337">
        <v>100</v>
      </c>
      <c r="AN2337">
        <v>1700</v>
      </c>
      <c r="AO2337" t="s">
        <v>118</v>
      </c>
      <c r="AP2337">
        <v>-108</v>
      </c>
      <c r="AQ2337">
        <v>78</v>
      </c>
      <c r="AR2337">
        <v>0</v>
      </c>
      <c r="AZ2337">
        <v>1200</v>
      </c>
      <c r="BA2337">
        <v>1</v>
      </c>
      <c r="BB2337" t="str">
        <f t="shared" si="112"/>
        <v xml:space="preserve">N8080G  </v>
      </c>
      <c r="BC2337">
        <v>1</v>
      </c>
      <c r="BE2337">
        <v>0</v>
      </c>
      <c r="BF2337">
        <v>0</v>
      </c>
      <c r="BG2337">
        <v>0</v>
      </c>
      <c r="BH2337">
        <v>1700</v>
      </c>
      <c r="BI2337">
        <v>1</v>
      </c>
      <c r="BJ2337">
        <v>1</v>
      </c>
      <c r="BK2337">
        <v>1</v>
      </c>
      <c r="BL2337">
        <v>0</v>
      </c>
      <c r="BO2337">
        <v>0</v>
      </c>
      <c r="BP2337">
        <v>0</v>
      </c>
      <c r="BW2337" t="str">
        <f>"20:26:57.830"</f>
        <v>20:26:57.830</v>
      </c>
      <c r="BZ2337">
        <v>0</v>
      </c>
      <c r="CA2337">
        <v>2016</v>
      </c>
      <c r="CB2337">
        <v>224</v>
      </c>
      <c r="CD2337">
        <v>1</v>
      </c>
      <c r="CE2337">
        <v>0</v>
      </c>
      <c r="CF2337">
        <v>0</v>
      </c>
      <c r="CG2337">
        <v>1</v>
      </c>
      <c r="CH2337">
        <v>0</v>
      </c>
      <c r="CI2337">
        <v>0</v>
      </c>
      <c r="CJ2337">
        <v>0</v>
      </c>
      <c r="CK2337">
        <v>2</v>
      </c>
      <c r="CL2337">
        <v>0</v>
      </c>
      <c r="CM2337">
        <v>2</v>
      </c>
      <c r="CN2337">
        <v>0</v>
      </c>
      <c r="CO2337">
        <v>3</v>
      </c>
      <c r="CP2337" t="s">
        <v>119</v>
      </c>
      <c r="CQ2337">
        <v>179</v>
      </c>
      <c r="CR2337">
        <v>1</v>
      </c>
      <c r="CW2337">
        <v>8949400</v>
      </c>
      <c r="CY2337">
        <v>1</v>
      </c>
      <c r="CZ2337">
        <v>0</v>
      </c>
      <c r="DA2337">
        <v>1</v>
      </c>
      <c r="DB2337">
        <v>0</v>
      </c>
      <c r="DC2337">
        <v>0</v>
      </c>
      <c r="DD2337">
        <v>0</v>
      </c>
      <c r="DE2337">
        <v>0</v>
      </c>
      <c r="DF2337">
        <v>0</v>
      </c>
      <c r="DG2337">
        <v>0</v>
      </c>
      <c r="DH2337">
        <v>0</v>
      </c>
      <c r="DI2337">
        <v>0</v>
      </c>
    </row>
    <row r="2338" spans="1:113" x14ac:dyDescent="0.3">
      <c r="A2338" t="str">
        <f>"02/08/2021 20:26:55.487"</f>
        <v>02/08/2021 20:26:55.487</v>
      </c>
      <c r="C2338" t="str">
        <f t="shared" si="111"/>
        <v>FFDFD7C0</v>
      </c>
      <c r="D2338" t="s">
        <v>113</v>
      </c>
      <c r="E2338">
        <v>6</v>
      </c>
      <c r="H2338">
        <v>165</v>
      </c>
      <c r="I2338" t="s">
        <v>114</v>
      </c>
      <c r="J2338" t="s">
        <v>115</v>
      </c>
      <c r="K2338">
        <v>0</v>
      </c>
      <c r="L2338">
        <v>3</v>
      </c>
      <c r="M2338">
        <v>0</v>
      </c>
      <c r="N2338">
        <v>2</v>
      </c>
      <c r="O2338">
        <v>1</v>
      </c>
      <c r="P2338">
        <v>0</v>
      </c>
      <c r="Q2338">
        <v>0</v>
      </c>
      <c r="S2338" t="str">
        <f>"20:26:57.828"</f>
        <v>20:26:57.828</v>
      </c>
      <c r="T2338" t="str">
        <f>"20:26:57.428"</f>
        <v>20:26:57.428</v>
      </c>
      <c r="U2338" t="str">
        <f t="shared" si="113"/>
        <v>AB01F4</v>
      </c>
      <c r="V2338">
        <v>0</v>
      </c>
      <c r="W2338">
        <v>0</v>
      </c>
      <c r="X2338">
        <v>2</v>
      </c>
      <c r="Z2338">
        <v>0</v>
      </c>
      <c r="AA2338">
        <v>9</v>
      </c>
      <c r="AB2338">
        <v>3</v>
      </c>
      <c r="AC2338">
        <v>0</v>
      </c>
      <c r="AD2338">
        <v>10</v>
      </c>
      <c r="AE2338">
        <v>0</v>
      </c>
      <c r="AF2338">
        <v>3</v>
      </c>
      <c r="AG2338">
        <v>2</v>
      </c>
      <c r="AH2338">
        <v>0</v>
      </c>
      <c r="AI2338" t="s">
        <v>1417</v>
      </c>
      <c r="AJ2338">
        <v>39.973475999999998</v>
      </c>
      <c r="AK2338" t="s">
        <v>1418</v>
      </c>
      <c r="AL2338">
        <v>-92.700641000000005</v>
      </c>
      <c r="AM2338">
        <v>100</v>
      </c>
      <c r="AN2338">
        <v>1700</v>
      </c>
      <c r="AO2338" t="s">
        <v>118</v>
      </c>
      <c r="AP2338">
        <v>-108</v>
      </c>
      <c r="AQ2338">
        <v>78</v>
      </c>
      <c r="AR2338">
        <v>0</v>
      </c>
      <c r="AZ2338">
        <v>1200</v>
      </c>
      <c r="BA2338">
        <v>1</v>
      </c>
      <c r="BB2338" t="str">
        <f t="shared" si="112"/>
        <v xml:space="preserve">N8080G  </v>
      </c>
      <c r="BC2338">
        <v>1</v>
      </c>
      <c r="BE2338">
        <v>0</v>
      </c>
      <c r="BF2338">
        <v>0</v>
      </c>
      <c r="BG2338">
        <v>0</v>
      </c>
      <c r="BH2338">
        <v>1700</v>
      </c>
      <c r="BI2338">
        <v>1</v>
      </c>
      <c r="BJ2338">
        <v>1</v>
      </c>
      <c r="BK2338">
        <v>1</v>
      </c>
      <c r="BL2338">
        <v>0</v>
      </c>
      <c r="BO2338">
        <v>0</v>
      </c>
      <c r="BP2338">
        <v>0</v>
      </c>
      <c r="BW2338" t="str">
        <f>"20:26:57.830"</f>
        <v>20:26:57.830</v>
      </c>
      <c r="BZ2338">
        <v>0</v>
      </c>
      <c r="CA2338">
        <v>2016</v>
      </c>
      <c r="CB2338">
        <v>224</v>
      </c>
      <c r="CD2338">
        <v>1</v>
      </c>
      <c r="CE2338">
        <v>0</v>
      </c>
      <c r="CF2338">
        <v>0</v>
      </c>
      <c r="CG2338">
        <v>1</v>
      </c>
      <c r="CH2338">
        <v>0</v>
      </c>
      <c r="CI2338">
        <v>0</v>
      </c>
      <c r="CJ2338">
        <v>0</v>
      </c>
      <c r="CK2338">
        <v>2</v>
      </c>
      <c r="CL2338">
        <v>0</v>
      </c>
      <c r="CM2338">
        <v>2</v>
      </c>
      <c r="CN2338">
        <v>0</v>
      </c>
      <c r="CO2338">
        <v>3</v>
      </c>
      <c r="CP2338" t="s">
        <v>119</v>
      </c>
      <c r="CQ2338">
        <v>179</v>
      </c>
      <c r="CR2338">
        <v>1</v>
      </c>
      <c r="CW2338">
        <v>8949400</v>
      </c>
      <c r="CY2338">
        <v>1</v>
      </c>
      <c r="CZ2338">
        <v>0</v>
      </c>
      <c r="DA2338">
        <v>1</v>
      </c>
      <c r="DB2338">
        <v>0</v>
      </c>
      <c r="DC2338">
        <v>0</v>
      </c>
      <c r="DD2338">
        <v>0</v>
      </c>
      <c r="DE2338">
        <v>0</v>
      </c>
      <c r="DF2338">
        <v>0</v>
      </c>
      <c r="DG2338">
        <v>0</v>
      </c>
      <c r="DH2338">
        <v>0</v>
      </c>
      <c r="DI2338">
        <v>0</v>
      </c>
    </row>
    <row r="2339" spans="1:113" x14ac:dyDescent="0.3">
      <c r="A2339" t="str">
        <f>"02/08/2021 20:26:56.692"</f>
        <v>02/08/2021 20:26:56.692</v>
      </c>
      <c r="C2339" t="str">
        <f t="shared" si="111"/>
        <v>FFDFD7C0</v>
      </c>
      <c r="D2339" t="s">
        <v>124</v>
      </c>
      <c r="E2339">
        <v>12</v>
      </c>
      <c r="F2339">
        <v>1012</v>
      </c>
      <c r="G2339" t="s">
        <v>675</v>
      </c>
      <c r="J2339" t="s">
        <v>125</v>
      </c>
      <c r="K2339">
        <v>0</v>
      </c>
      <c r="L2339">
        <v>3</v>
      </c>
      <c r="M2339">
        <v>0</v>
      </c>
      <c r="N2339">
        <v>2</v>
      </c>
      <c r="O2339">
        <v>1</v>
      </c>
      <c r="P2339">
        <v>0</v>
      </c>
      <c r="Q2339">
        <v>0</v>
      </c>
      <c r="S2339" t="str">
        <f>"20:26:58.992"</f>
        <v>20:26:58.992</v>
      </c>
      <c r="T2339" t="str">
        <f>"20:26:58.492"</f>
        <v>20:26:58.492</v>
      </c>
      <c r="U2339" t="str">
        <f t="shared" si="113"/>
        <v>AB01F4</v>
      </c>
      <c r="V2339">
        <v>0</v>
      </c>
      <c r="W2339">
        <v>0</v>
      </c>
      <c r="X2339">
        <v>2</v>
      </c>
      <c r="Z2339">
        <v>0</v>
      </c>
      <c r="AA2339">
        <v>9</v>
      </c>
      <c r="AB2339">
        <v>3</v>
      </c>
      <c r="AC2339">
        <v>0</v>
      </c>
      <c r="AD2339">
        <v>10</v>
      </c>
      <c r="AE2339">
        <v>0</v>
      </c>
      <c r="AF2339">
        <v>3</v>
      </c>
      <c r="AG2339">
        <v>2</v>
      </c>
      <c r="AH2339">
        <v>0</v>
      </c>
      <c r="AI2339" t="s">
        <v>1419</v>
      </c>
      <c r="AJ2339">
        <v>39.973883999999998</v>
      </c>
      <c r="AK2339" t="s">
        <v>1420</v>
      </c>
      <c r="AL2339">
        <v>-92.701348999999993</v>
      </c>
      <c r="AM2339">
        <v>100</v>
      </c>
      <c r="AN2339">
        <v>1700</v>
      </c>
      <c r="AO2339" t="s">
        <v>118</v>
      </c>
      <c r="AP2339">
        <v>-108</v>
      </c>
      <c r="AQ2339">
        <v>78</v>
      </c>
      <c r="AR2339">
        <v>0</v>
      </c>
      <c r="AZ2339">
        <v>1200</v>
      </c>
      <c r="BA2339">
        <v>1</v>
      </c>
      <c r="BB2339" t="str">
        <f t="shared" si="112"/>
        <v xml:space="preserve">N8080G  </v>
      </c>
      <c r="BC2339">
        <v>1</v>
      </c>
      <c r="BE2339">
        <v>0</v>
      </c>
      <c r="BF2339">
        <v>0</v>
      </c>
      <c r="BG2339">
        <v>0</v>
      </c>
      <c r="BH2339">
        <v>1700</v>
      </c>
      <c r="BI2339">
        <v>1</v>
      </c>
      <c r="BJ2339">
        <v>1</v>
      </c>
      <c r="BK2339">
        <v>1</v>
      </c>
      <c r="BL2339">
        <v>0</v>
      </c>
      <c r="BO2339">
        <v>0</v>
      </c>
      <c r="BP2339">
        <v>0</v>
      </c>
      <c r="BW2339" t="str">
        <f>"20:26:58.997"</f>
        <v>20:26:58.997</v>
      </c>
      <c r="BZ2339">
        <v>0</v>
      </c>
      <c r="CA2339">
        <v>2016</v>
      </c>
      <c r="CB2339">
        <v>224</v>
      </c>
      <c r="CD2339">
        <v>1</v>
      </c>
      <c r="CE2339">
        <v>0</v>
      </c>
      <c r="CF2339">
        <v>0</v>
      </c>
      <c r="CG2339">
        <v>1</v>
      </c>
      <c r="CH2339">
        <v>0</v>
      </c>
      <c r="CI2339">
        <v>0</v>
      </c>
      <c r="CJ2339">
        <v>0</v>
      </c>
      <c r="CK2339">
        <v>2</v>
      </c>
      <c r="CL2339">
        <v>0</v>
      </c>
      <c r="CM2339">
        <v>2</v>
      </c>
      <c r="CN2339">
        <v>0</v>
      </c>
      <c r="CO2339">
        <v>3</v>
      </c>
      <c r="CP2339" t="s">
        <v>119</v>
      </c>
      <c r="CQ2339">
        <v>179</v>
      </c>
      <c r="CR2339">
        <v>1</v>
      </c>
      <c r="CW2339">
        <v>8950349</v>
      </c>
      <c r="CY2339">
        <v>1</v>
      </c>
      <c r="CZ2339">
        <v>0</v>
      </c>
      <c r="DA2339">
        <v>0</v>
      </c>
      <c r="DB2339">
        <v>0</v>
      </c>
      <c r="DC2339">
        <v>0</v>
      </c>
      <c r="DD2339">
        <v>0</v>
      </c>
      <c r="DE2339">
        <v>0</v>
      </c>
      <c r="DF2339">
        <v>0</v>
      </c>
      <c r="DG2339">
        <v>0</v>
      </c>
      <c r="DH2339">
        <v>0</v>
      </c>
      <c r="DI2339">
        <v>0</v>
      </c>
    </row>
    <row r="2340" spans="1:113" x14ac:dyDescent="0.3">
      <c r="A2340" t="str">
        <f>"02/08/2021 20:26:56.692"</f>
        <v>02/08/2021 20:26:56.692</v>
      </c>
      <c r="C2340" t="str">
        <f t="shared" si="111"/>
        <v>FFDFD7C0</v>
      </c>
      <c r="D2340" t="s">
        <v>124</v>
      </c>
      <c r="E2340">
        <v>11</v>
      </c>
      <c r="F2340">
        <v>1011</v>
      </c>
      <c r="G2340" t="s">
        <v>590</v>
      </c>
      <c r="J2340" t="s">
        <v>125</v>
      </c>
      <c r="K2340">
        <v>0</v>
      </c>
      <c r="L2340">
        <v>3</v>
      </c>
      <c r="M2340">
        <v>0</v>
      </c>
      <c r="N2340">
        <v>2</v>
      </c>
      <c r="O2340">
        <v>1</v>
      </c>
      <c r="P2340">
        <v>0</v>
      </c>
      <c r="Q2340">
        <v>0</v>
      </c>
      <c r="S2340" t="str">
        <f>"20:26:58.992"</f>
        <v>20:26:58.992</v>
      </c>
      <c r="T2340" t="str">
        <f>"20:26:58.492"</f>
        <v>20:26:58.492</v>
      </c>
      <c r="U2340" t="str">
        <f t="shared" si="113"/>
        <v>AB01F4</v>
      </c>
      <c r="V2340">
        <v>0</v>
      </c>
      <c r="W2340">
        <v>0</v>
      </c>
      <c r="X2340">
        <v>2</v>
      </c>
      <c r="Z2340">
        <v>0</v>
      </c>
      <c r="AA2340">
        <v>9</v>
      </c>
      <c r="AB2340">
        <v>3</v>
      </c>
      <c r="AC2340">
        <v>0</v>
      </c>
      <c r="AD2340">
        <v>10</v>
      </c>
      <c r="AE2340">
        <v>0</v>
      </c>
      <c r="AF2340">
        <v>3</v>
      </c>
      <c r="AG2340">
        <v>2</v>
      </c>
      <c r="AH2340">
        <v>0</v>
      </c>
      <c r="AI2340" t="s">
        <v>1419</v>
      </c>
      <c r="AJ2340">
        <v>39.973883999999998</v>
      </c>
      <c r="AK2340" t="s">
        <v>1420</v>
      </c>
      <c r="AL2340">
        <v>-92.701348999999993</v>
      </c>
      <c r="AM2340">
        <v>100</v>
      </c>
      <c r="AN2340">
        <v>1700</v>
      </c>
      <c r="AO2340" t="s">
        <v>118</v>
      </c>
      <c r="AP2340">
        <v>-108</v>
      </c>
      <c r="AQ2340">
        <v>78</v>
      </c>
      <c r="AR2340">
        <v>0</v>
      </c>
      <c r="AZ2340">
        <v>1200</v>
      </c>
      <c r="BA2340">
        <v>1</v>
      </c>
      <c r="BB2340" t="str">
        <f t="shared" si="112"/>
        <v xml:space="preserve">N8080G  </v>
      </c>
      <c r="BC2340">
        <v>1</v>
      </c>
      <c r="BE2340">
        <v>0</v>
      </c>
      <c r="BF2340">
        <v>0</v>
      </c>
      <c r="BG2340">
        <v>0</v>
      </c>
      <c r="BH2340">
        <v>1700</v>
      </c>
      <c r="BI2340">
        <v>1</v>
      </c>
      <c r="BJ2340">
        <v>1</v>
      </c>
      <c r="BK2340">
        <v>1</v>
      </c>
      <c r="BL2340">
        <v>0</v>
      </c>
      <c r="BO2340">
        <v>0</v>
      </c>
      <c r="BP2340">
        <v>0</v>
      </c>
      <c r="BW2340" t="str">
        <f>"20:26:58.997"</f>
        <v>20:26:58.997</v>
      </c>
      <c r="BZ2340">
        <v>0</v>
      </c>
      <c r="CA2340">
        <v>2016</v>
      </c>
      <c r="CB2340">
        <v>224</v>
      </c>
      <c r="CD2340">
        <v>1</v>
      </c>
      <c r="CE2340">
        <v>0</v>
      </c>
      <c r="CF2340">
        <v>0</v>
      </c>
      <c r="CG2340">
        <v>1</v>
      </c>
      <c r="CH2340">
        <v>0</v>
      </c>
      <c r="CI2340">
        <v>0</v>
      </c>
      <c r="CJ2340">
        <v>0</v>
      </c>
      <c r="CK2340">
        <v>2</v>
      </c>
      <c r="CL2340">
        <v>0</v>
      </c>
      <c r="CM2340">
        <v>2</v>
      </c>
      <c r="CN2340">
        <v>0</v>
      </c>
      <c r="CO2340">
        <v>3</v>
      </c>
      <c r="CP2340" t="s">
        <v>119</v>
      </c>
      <c r="CQ2340">
        <v>179</v>
      </c>
      <c r="CR2340">
        <v>1</v>
      </c>
      <c r="CW2340">
        <v>8950349</v>
      </c>
      <c r="CY2340">
        <v>1</v>
      </c>
      <c r="CZ2340">
        <v>0</v>
      </c>
      <c r="DA2340">
        <v>1</v>
      </c>
      <c r="DB2340">
        <v>0</v>
      </c>
      <c r="DC2340">
        <v>0</v>
      </c>
      <c r="DD2340">
        <v>0</v>
      </c>
      <c r="DE2340">
        <v>0</v>
      </c>
      <c r="DF2340">
        <v>0</v>
      </c>
      <c r="DG2340">
        <v>0</v>
      </c>
      <c r="DH2340">
        <v>0</v>
      </c>
      <c r="DI2340">
        <v>0</v>
      </c>
    </row>
    <row r="2341" spans="1:113" x14ac:dyDescent="0.3">
      <c r="A2341" t="str">
        <f>"02/08/2021 20:26:56.692"</f>
        <v>02/08/2021 20:26:56.692</v>
      </c>
      <c r="C2341" t="str">
        <f t="shared" si="111"/>
        <v>FFDFD7C0</v>
      </c>
      <c r="D2341" t="s">
        <v>124</v>
      </c>
      <c r="E2341">
        <v>13</v>
      </c>
      <c r="F2341">
        <v>1013</v>
      </c>
      <c r="G2341" t="s">
        <v>114</v>
      </c>
      <c r="J2341" t="s">
        <v>125</v>
      </c>
      <c r="K2341">
        <v>0</v>
      </c>
      <c r="L2341">
        <v>3</v>
      </c>
      <c r="M2341">
        <v>0</v>
      </c>
      <c r="N2341">
        <v>2</v>
      </c>
      <c r="O2341">
        <v>1</v>
      </c>
      <c r="P2341">
        <v>0</v>
      </c>
      <c r="Q2341">
        <v>0</v>
      </c>
      <c r="S2341" t="str">
        <f>"20:26:58.992"</f>
        <v>20:26:58.992</v>
      </c>
      <c r="T2341" t="str">
        <f>"20:26:58.492"</f>
        <v>20:26:58.492</v>
      </c>
      <c r="U2341" t="str">
        <f t="shared" si="113"/>
        <v>AB01F4</v>
      </c>
      <c r="V2341">
        <v>0</v>
      </c>
      <c r="W2341">
        <v>0</v>
      </c>
      <c r="X2341">
        <v>2</v>
      </c>
      <c r="Z2341">
        <v>0</v>
      </c>
      <c r="AA2341">
        <v>9</v>
      </c>
      <c r="AB2341">
        <v>3</v>
      </c>
      <c r="AC2341">
        <v>0</v>
      </c>
      <c r="AD2341">
        <v>10</v>
      </c>
      <c r="AE2341">
        <v>0</v>
      </c>
      <c r="AF2341">
        <v>3</v>
      </c>
      <c r="AG2341">
        <v>2</v>
      </c>
      <c r="AH2341">
        <v>0</v>
      </c>
      <c r="AI2341" t="s">
        <v>1419</v>
      </c>
      <c r="AJ2341">
        <v>39.973883999999998</v>
      </c>
      <c r="AK2341" t="s">
        <v>1420</v>
      </c>
      <c r="AL2341">
        <v>-92.701348999999993</v>
      </c>
      <c r="AM2341">
        <v>100</v>
      </c>
      <c r="AN2341">
        <v>1700</v>
      </c>
      <c r="AO2341" t="s">
        <v>118</v>
      </c>
      <c r="AP2341">
        <v>-108</v>
      </c>
      <c r="AQ2341">
        <v>78</v>
      </c>
      <c r="AR2341">
        <v>0</v>
      </c>
      <c r="AZ2341">
        <v>1200</v>
      </c>
      <c r="BA2341">
        <v>1</v>
      </c>
      <c r="BB2341" t="str">
        <f t="shared" si="112"/>
        <v xml:space="preserve">N8080G  </v>
      </c>
      <c r="BC2341">
        <v>1</v>
      </c>
      <c r="BE2341">
        <v>0</v>
      </c>
      <c r="BF2341">
        <v>0</v>
      </c>
      <c r="BG2341">
        <v>0</v>
      </c>
      <c r="BH2341">
        <v>1700</v>
      </c>
      <c r="BI2341">
        <v>1</v>
      </c>
      <c r="BJ2341">
        <v>1</v>
      </c>
      <c r="BK2341">
        <v>1</v>
      </c>
      <c r="BL2341">
        <v>0</v>
      </c>
      <c r="BO2341">
        <v>0</v>
      </c>
      <c r="BP2341">
        <v>0</v>
      </c>
      <c r="BW2341" t="str">
        <f>"20:26:58.997"</f>
        <v>20:26:58.997</v>
      </c>
      <c r="BZ2341">
        <v>0</v>
      </c>
      <c r="CA2341">
        <v>2016</v>
      </c>
      <c r="CB2341">
        <v>224</v>
      </c>
      <c r="CD2341">
        <v>1</v>
      </c>
      <c r="CE2341">
        <v>0</v>
      </c>
      <c r="CF2341">
        <v>0</v>
      </c>
      <c r="CG2341">
        <v>1</v>
      </c>
      <c r="CH2341">
        <v>0</v>
      </c>
      <c r="CI2341">
        <v>0</v>
      </c>
      <c r="CJ2341">
        <v>0</v>
      </c>
      <c r="CK2341">
        <v>2</v>
      </c>
      <c r="CL2341">
        <v>0</v>
      </c>
      <c r="CM2341">
        <v>2</v>
      </c>
      <c r="CN2341">
        <v>0</v>
      </c>
      <c r="CO2341">
        <v>3</v>
      </c>
      <c r="CP2341" t="s">
        <v>119</v>
      </c>
      <c r="CQ2341">
        <v>179</v>
      </c>
      <c r="CR2341">
        <v>1</v>
      </c>
      <c r="CW2341">
        <v>8950349</v>
      </c>
      <c r="CY2341">
        <v>1</v>
      </c>
      <c r="CZ2341">
        <v>0</v>
      </c>
      <c r="DA2341">
        <v>1</v>
      </c>
      <c r="DB2341">
        <v>0</v>
      </c>
      <c r="DC2341">
        <v>0</v>
      </c>
      <c r="DD2341">
        <v>0</v>
      </c>
      <c r="DE2341">
        <v>0</v>
      </c>
      <c r="DF2341">
        <v>0</v>
      </c>
      <c r="DG2341">
        <v>0</v>
      </c>
      <c r="DH2341">
        <v>0</v>
      </c>
      <c r="DI2341">
        <v>0</v>
      </c>
    </row>
    <row r="2342" spans="1:113" x14ac:dyDescent="0.3">
      <c r="A2342" t="str">
        <f>"02/08/2021 20:26:56.692"</f>
        <v>02/08/2021 20:26:56.692</v>
      </c>
      <c r="C2342" t="str">
        <f t="shared" si="111"/>
        <v>FFDFD7C0</v>
      </c>
      <c r="D2342" t="s">
        <v>113</v>
      </c>
      <c r="E2342">
        <v>6</v>
      </c>
      <c r="H2342">
        <v>165</v>
      </c>
      <c r="I2342" t="s">
        <v>114</v>
      </c>
      <c r="J2342" t="s">
        <v>115</v>
      </c>
      <c r="K2342">
        <v>0</v>
      </c>
      <c r="L2342">
        <v>3</v>
      </c>
      <c r="M2342">
        <v>0</v>
      </c>
      <c r="N2342">
        <v>2</v>
      </c>
      <c r="O2342">
        <v>1</v>
      </c>
      <c r="P2342">
        <v>0</v>
      </c>
      <c r="Q2342">
        <v>0</v>
      </c>
      <c r="S2342" t="str">
        <f>"20:26:58.992"</f>
        <v>20:26:58.992</v>
      </c>
      <c r="T2342" t="str">
        <f>"20:26:58.492"</f>
        <v>20:26:58.492</v>
      </c>
      <c r="U2342" t="str">
        <f t="shared" si="113"/>
        <v>AB01F4</v>
      </c>
      <c r="V2342">
        <v>0</v>
      </c>
      <c r="W2342">
        <v>0</v>
      </c>
      <c r="X2342">
        <v>2</v>
      </c>
      <c r="Z2342">
        <v>0</v>
      </c>
      <c r="AA2342">
        <v>9</v>
      </c>
      <c r="AB2342">
        <v>3</v>
      </c>
      <c r="AC2342">
        <v>0</v>
      </c>
      <c r="AD2342">
        <v>10</v>
      </c>
      <c r="AE2342">
        <v>0</v>
      </c>
      <c r="AF2342">
        <v>3</v>
      </c>
      <c r="AG2342">
        <v>2</v>
      </c>
      <c r="AH2342">
        <v>0</v>
      </c>
      <c r="AI2342" t="s">
        <v>1419</v>
      </c>
      <c r="AJ2342">
        <v>39.973883999999998</v>
      </c>
      <c r="AK2342" t="s">
        <v>1420</v>
      </c>
      <c r="AL2342">
        <v>-92.701348999999993</v>
      </c>
      <c r="AM2342">
        <v>100</v>
      </c>
      <c r="AN2342">
        <v>1700</v>
      </c>
      <c r="AO2342" t="s">
        <v>118</v>
      </c>
      <c r="AP2342">
        <v>-108</v>
      </c>
      <c r="AQ2342">
        <v>78</v>
      </c>
      <c r="AR2342">
        <v>0</v>
      </c>
      <c r="AZ2342">
        <v>1200</v>
      </c>
      <c r="BA2342">
        <v>1</v>
      </c>
      <c r="BB2342" t="str">
        <f t="shared" si="112"/>
        <v xml:space="preserve">N8080G  </v>
      </c>
      <c r="BC2342">
        <v>1</v>
      </c>
      <c r="BE2342">
        <v>0</v>
      </c>
      <c r="BF2342">
        <v>0</v>
      </c>
      <c r="BG2342">
        <v>0</v>
      </c>
      <c r="BH2342">
        <v>1700</v>
      </c>
      <c r="BI2342">
        <v>1</v>
      </c>
      <c r="BJ2342">
        <v>1</v>
      </c>
      <c r="BK2342">
        <v>1</v>
      </c>
      <c r="BL2342">
        <v>0</v>
      </c>
      <c r="BO2342">
        <v>0</v>
      </c>
      <c r="BP2342">
        <v>0</v>
      </c>
      <c r="BW2342" t="str">
        <f>"20:26:58.997"</f>
        <v>20:26:58.997</v>
      </c>
      <c r="BZ2342">
        <v>0</v>
      </c>
      <c r="CA2342">
        <v>2016</v>
      </c>
      <c r="CB2342">
        <v>224</v>
      </c>
      <c r="CD2342">
        <v>1</v>
      </c>
      <c r="CE2342">
        <v>0</v>
      </c>
      <c r="CF2342">
        <v>0</v>
      </c>
      <c r="CG2342">
        <v>1</v>
      </c>
      <c r="CH2342">
        <v>0</v>
      </c>
      <c r="CI2342">
        <v>0</v>
      </c>
      <c r="CJ2342">
        <v>0</v>
      </c>
      <c r="CK2342">
        <v>2</v>
      </c>
      <c r="CL2342">
        <v>0</v>
      </c>
      <c r="CM2342">
        <v>2</v>
      </c>
      <c r="CN2342">
        <v>0</v>
      </c>
      <c r="CO2342">
        <v>3</v>
      </c>
      <c r="CP2342" t="s">
        <v>119</v>
      </c>
      <c r="CQ2342">
        <v>179</v>
      </c>
      <c r="CR2342">
        <v>1</v>
      </c>
      <c r="CW2342">
        <v>8950349</v>
      </c>
      <c r="CY2342">
        <v>1</v>
      </c>
      <c r="CZ2342">
        <v>0</v>
      </c>
      <c r="DA2342">
        <v>1</v>
      </c>
      <c r="DB2342">
        <v>0</v>
      </c>
      <c r="DC2342">
        <v>0</v>
      </c>
      <c r="DD2342">
        <v>0</v>
      </c>
      <c r="DE2342">
        <v>0</v>
      </c>
      <c r="DF2342">
        <v>0</v>
      </c>
      <c r="DG2342">
        <v>0</v>
      </c>
      <c r="DH2342">
        <v>0</v>
      </c>
      <c r="DI2342">
        <v>0</v>
      </c>
    </row>
    <row r="2343" spans="1:113" x14ac:dyDescent="0.3">
      <c r="A2343" t="str">
        <f>"02/08/2021 20:26:57.646"</f>
        <v>02/08/2021 20:26:57.646</v>
      </c>
      <c r="C2343" t="str">
        <f t="shared" si="111"/>
        <v>FFDFD7C0</v>
      </c>
      <c r="D2343" t="s">
        <v>124</v>
      </c>
      <c r="E2343">
        <v>12</v>
      </c>
      <c r="F2343">
        <v>1012</v>
      </c>
      <c r="G2343" t="s">
        <v>675</v>
      </c>
      <c r="J2343" t="s">
        <v>125</v>
      </c>
      <c r="K2343">
        <v>0</v>
      </c>
      <c r="L2343">
        <v>3</v>
      </c>
      <c r="M2343">
        <v>0</v>
      </c>
      <c r="N2343">
        <v>2</v>
      </c>
      <c r="O2343">
        <v>1</v>
      </c>
      <c r="P2343">
        <v>0</v>
      </c>
      <c r="Q2343">
        <v>0</v>
      </c>
      <c r="S2343" t="str">
        <f>"20:26:59.984"</f>
        <v>20:26:59.984</v>
      </c>
      <c r="T2343" t="str">
        <f>"20:26:59.584"</f>
        <v>20:26:59.584</v>
      </c>
      <c r="U2343" t="str">
        <f t="shared" si="113"/>
        <v>AB01F4</v>
      </c>
      <c r="V2343">
        <v>0</v>
      </c>
      <c r="W2343">
        <v>0</v>
      </c>
      <c r="X2343">
        <v>2</v>
      </c>
      <c r="Z2343">
        <v>0</v>
      </c>
      <c r="AA2343">
        <v>9</v>
      </c>
      <c r="AB2343">
        <v>3</v>
      </c>
      <c r="AC2343">
        <v>0</v>
      </c>
      <c r="AD2343">
        <v>10</v>
      </c>
      <c r="AE2343">
        <v>0</v>
      </c>
      <c r="AF2343">
        <v>3</v>
      </c>
      <c r="AG2343">
        <v>2</v>
      </c>
      <c r="AH2343">
        <v>0</v>
      </c>
      <c r="AI2343" t="s">
        <v>1421</v>
      </c>
      <c r="AJ2343">
        <v>39.974248000000003</v>
      </c>
      <c r="AK2343" t="s">
        <v>1422</v>
      </c>
      <c r="AL2343">
        <v>-92.702036000000007</v>
      </c>
      <c r="AM2343">
        <v>100</v>
      </c>
      <c r="AN2343">
        <v>1700</v>
      </c>
      <c r="AO2343" t="s">
        <v>118</v>
      </c>
      <c r="AP2343">
        <v>-108</v>
      </c>
      <c r="AQ2343">
        <v>78</v>
      </c>
      <c r="AR2343">
        <v>0</v>
      </c>
      <c r="AZ2343">
        <v>1200</v>
      </c>
      <c r="BA2343">
        <v>1</v>
      </c>
      <c r="BB2343" t="str">
        <f t="shared" si="112"/>
        <v xml:space="preserve">N8080G  </v>
      </c>
      <c r="BC2343">
        <v>1</v>
      </c>
      <c r="BE2343">
        <v>0</v>
      </c>
      <c r="BF2343">
        <v>0</v>
      </c>
      <c r="BG2343">
        <v>0</v>
      </c>
      <c r="BH2343">
        <v>1700</v>
      </c>
      <c r="BI2343">
        <v>1</v>
      </c>
      <c r="BJ2343">
        <v>1</v>
      </c>
      <c r="BK2343">
        <v>1</v>
      </c>
      <c r="BL2343">
        <v>0</v>
      </c>
      <c r="BO2343">
        <v>0</v>
      </c>
      <c r="BP2343">
        <v>0</v>
      </c>
      <c r="BW2343" t="str">
        <f>"20:26:59.990"</f>
        <v>20:26:59.990</v>
      </c>
      <c r="BZ2343">
        <v>0</v>
      </c>
      <c r="CA2343">
        <v>2016</v>
      </c>
      <c r="CB2343">
        <v>224</v>
      </c>
      <c r="CD2343">
        <v>1</v>
      </c>
      <c r="CE2343">
        <v>0</v>
      </c>
      <c r="CF2343">
        <v>0</v>
      </c>
      <c r="CG2343">
        <v>1</v>
      </c>
      <c r="CH2343">
        <v>0</v>
      </c>
      <c r="CI2343">
        <v>0</v>
      </c>
      <c r="CJ2343">
        <v>0</v>
      </c>
      <c r="CK2343">
        <v>2</v>
      </c>
      <c r="CL2343">
        <v>0</v>
      </c>
      <c r="CM2343">
        <v>2</v>
      </c>
      <c r="CN2343">
        <v>0</v>
      </c>
      <c r="CO2343">
        <v>3</v>
      </c>
      <c r="CP2343" t="s">
        <v>119</v>
      </c>
      <c r="CQ2343">
        <v>179</v>
      </c>
      <c r="CR2343">
        <v>1</v>
      </c>
      <c r="CW2343">
        <v>8951270</v>
      </c>
      <c r="CY2343">
        <v>1</v>
      </c>
      <c r="CZ2343">
        <v>0</v>
      </c>
      <c r="DA2343">
        <v>0</v>
      </c>
      <c r="DB2343">
        <v>0</v>
      </c>
      <c r="DC2343">
        <v>0</v>
      </c>
      <c r="DD2343">
        <v>0</v>
      </c>
      <c r="DE2343">
        <v>0</v>
      </c>
      <c r="DF2343">
        <v>0</v>
      </c>
      <c r="DG2343">
        <v>0</v>
      </c>
      <c r="DH2343">
        <v>0</v>
      </c>
      <c r="DI2343">
        <v>0</v>
      </c>
    </row>
    <row r="2344" spans="1:113" x14ac:dyDescent="0.3">
      <c r="A2344" t="str">
        <f>"02/08/2021 20:26:57.646"</f>
        <v>02/08/2021 20:26:57.646</v>
      </c>
      <c r="C2344" t="str">
        <f t="shared" si="111"/>
        <v>FFDFD7C0</v>
      </c>
      <c r="D2344" t="s">
        <v>124</v>
      </c>
      <c r="E2344">
        <v>11</v>
      </c>
      <c r="F2344">
        <v>1011</v>
      </c>
      <c r="G2344" t="s">
        <v>590</v>
      </c>
      <c r="J2344" t="s">
        <v>125</v>
      </c>
      <c r="K2344">
        <v>0</v>
      </c>
      <c r="L2344">
        <v>3</v>
      </c>
      <c r="M2344">
        <v>0</v>
      </c>
      <c r="N2344">
        <v>2</v>
      </c>
      <c r="O2344">
        <v>1</v>
      </c>
      <c r="P2344">
        <v>0</v>
      </c>
      <c r="Q2344">
        <v>0</v>
      </c>
      <c r="S2344" t="str">
        <f>"20:26:59.984"</f>
        <v>20:26:59.984</v>
      </c>
      <c r="T2344" t="str">
        <f>"20:26:59.584"</f>
        <v>20:26:59.584</v>
      </c>
      <c r="U2344" t="str">
        <f t="shared" si="113"/>
        <v>AB01F4</v>
      </c>
      <c r="V2344">
        <v>0</v>
      </c>
      <c r="W2344">
        <v>0</v>
      </c>
      <c r="X2344">
        <v>2</v>
      </c>
      <c r="Z2344">
        <v>0</v>
      </c>
      <c r="AA2344">
        <v>9</v>
      </c>
      <c r="AB2344">
        <v>3</v>
      </c>
      <c r="AC2344">
        <v>0</v>
      </c>
      <c r="AD2344">
        <v>10</v>
      </c>
      <c r="AE2344">
        <v>0</v>
      </c>
      <c r="AF2344">
        <v>3</v>
      </c>
      <c r="AG2344">
        <v>2</v>
      </c>
      <c r="AH2344">
        <v>0</v>
      </c>
      <c r="AI2344" t="s">
        <v>1421</v>
      </c>
      <c r="AJ2344">
        <v>39.974248000000003</v>
      </c>
      <c r="AK2344" t="s">
        <v>1422</v>
      </c>
      <c r="AL2344">
        <v>-92.702036000000007</v>
      </c>
      <c r="AM2344">
        <v>100</v>
      </c>
      <c r="AN2344">
        <v>1700</v>
      </c>
      <c r="AO2344" t="s">
        <v>118</v>
      </c>
      <c r="AP2344">
        <v>-108</v>
      </c>
      <c r="AQ2344">
        <v>78</v>
      </c>
      <c r="AR2344">
        <v>0</v>
      </c>
      <c r="AZ2344">
        <v>1200</v>
      </c>
      <c r="BA2344">
        <v>1</v>
      </c>
      <c r="BB2344" t="str">
        <f t="shared" si="112"/>
        <v xml:space="preserve">N8080G  </v>
      </c>
      <c r="BC2344">
        <v>1</v>
      </c>
      <c r="BE2344">
        <v>0</v>
      </c>
      <c r="BF2344">
        <v>0</v>
      </c>
      <c r="BG2344">
        <v>0</v>
      </c>
      <c r="BH2344">
        <v>1700</v>
      </c>
      <c r="BI2344">
        <v>1</v>
      </c>
      <c r="BJ2344">
        <v>1</v>
      </c>
      <c r="BK2344">
        <v>1</v>
      </c>
      <c r="BL2344">
        <v>0</v>
      </c>
      <c r="BO2344">
        <v>0</v>
      </c>
      <c r="BP2344">
        <v>0</v>
      </c>
      <c r="BW2344" t="str">
        <f>"20:26:59.990"</f>
        <v>20:26:59.990</v>
      </c>
      <c r="BZ2344">
        <v>0</v>
      </c>
      <c r="CA2344">
        <v>2016</v>
      </c>
      <c r="CB2344">
        <v>224</v>
      </c>
      <c r="CD2344">
        <v>1</v>
      </c>
      <c r="CE2344">
        <v>0</v>
      </c>
      <c r="CF2344">
        <v>0</v>
      </c>
      <c r="CG2344">
        <v>1</v>
      </c>
      <c r="CH2344">
        <v>0</v>
      </c>
      <c r="CI2344">
        <v>0</v>
      </c>
      <c r="CJ2344">
        <v>0</v>
      </c>
      <c r="CK2344">
        <v>2</v>
      </c>
      <c r="CL2344">
        <v>0</v>
      </c>
      <c r="CM2344">
        <v>2</v>
      </c>
      <c r="CN2344">
        <v>0</v>
      </c>
      <c r="CO2344">
        <v>3</v>
      </c>
      <c r="CP2344" t="s">
        <v>119</v>
      </c>
      <c r="CQ2344">
        <v>179</v>
      </c>
      <c r="CR2344">
        <v>1</v>
      </c>
      <c r="CW2344">
        <v>8951270</v>
      </c>
      <c r="CY2344">
        <v>1</v>
      </c>
      <c r="CZ2344">
        <v>0</v>
      </c>
      <c r="DA2344">
        <v>1</v>
      </c>
      <c r="DB2344">
        <v>0</v>
      </c>
      <c r="DC2344">
        <v>0</v>
      </c>
      <c r="DD2344">
        <v>0</v>
      </c>
      <c r="DE2344">
        <v>0</v>
      </c>
      <c r="DF2344">
        <v>0</v>
      </c>
      <c r="DG2344">
        <v>0</v>
      </c>
      <c r="DH2344">
        <v>0</v>
      </c>
      <c r="DI2344">
        <v>0</v>
      </c>
    </row>
    <row r="2345" spans="1:113" x14ac:dyDescent="0.3">
      <c r="A2345" t="str">
        <f>"02/08/2021 20:26:57.646"</f>
        <v>02/08/2021 20:26:57.646</v>
      </c>
      <c r="C2345" t="str">
        <f t="shared" si="111"/>
        <v>FFDFD7C0</v>
      </c>
      <c r="D2345" t="s">
        <v>124</v>
      </c>
      <c r="E2345">
        <v>13</v>
      </c>
      <c r="F2345">
        <v>1013</v>
      </c>
      <c r="G2345" t="s">
        <v>114</v>
      </c>
      <c r="J2345" t="s">
        <v>125</v>
      </c>
      <c r="K2345">
        <v>0</v>
      </c>
      <c r="L2345">
        <v>3</v>
      </c>
      <c r="M2345">
        <v>0</v>
      </c>
      <c r="N2345">
        <v>2</v>
      </c>
      <c r="O2345">
        <v>1</v>
      </c>
      <c r="P2345">
        <v>0</v>
      </c>
      <c r="Q2345">
        <v>0</v>
      </c>
      <c r="S2345" t="str">
        <f>"20:26:59.984"</f>
        <v>20:26:59.984</v>
      </c>
      <c r="T2345" t="str">
        <f>"20:26:59.584"</f>
        <v>20:26:59.584</v>
      </c>
      <c r="U2345" t="str">
        <f t="shared" si="113"/>
        <v>AB01F4</v>
      </c>
      <c r="V2345">
        <v>0</v>
      </c>
      <c r="W2345">
        <v>0</v>
      </c>
      <c r="X2345">
        <v>2</v>
      </c>
      <c r="Z2345">
        <v>0</v>
      </c>
      <c r="AA2345">
        <v>9</v>
      </c>
      <c r="AB2345">
        <v>3</v>
      </c>
      <c r="AC2345">
        <v>0</v>
      </c>
      <c r="AD2345">
        <v>10</v>
      </c>
      <c r="AE2345">
        <v>0</v>
      </c>
      <c r="AF2345">
        <v>3</v>
      </c>
      <c r="AG2345">
        <v>2</v>
      </c>
      <c r="AH2345">
        <v>0</v>
      </c>
      <c r="AI2345" t="s">
        <v>1421</v>
      </c>
      <c r="AJ2345">
        <v>39.974248000000003</v>
      </c>
      <c r="AK2345" t="s">
        <v>1422</v>
      </c>
      <c r="AL2345">
        <v>-92.702036000000007</v>
      </c>
      <c r="AM2345">
        <v>100</v>
      </c>
      <c r="AN2345">
        <v>1700</v>
      </c>
      <c r="AO2345" t="s">
        <v>118</v>
      </c>
      <c r="AP2345">
        <v>-108</v>
      </c>
      <c r="AQ2345">
        <v>78</v>
      </c>
      <c r="AR2345">
        <v>0</v>
      </c>
      <c r="AZ2345">
        <v>1200</v>
      </c>
      <c r="BA2345">
        <v>1</v>
      </c>
      <c r="BB2345" t="str">
        <f t="shared" si="112"/>
        <v xml:space="preserve">N8080G  </v>
      </c>
      <c r="BC2345">
        <v>1</v>
      </c>
      <c r="BE2345">
        <v>0</v>
      </c>
      <c r="BF2345">
        <v>0</v>
      </c>
      <c r="BG2345">
        <v>0</v>
      </c>
      <c r="BH2345">
        <v>1700</v>
      </c>
      <c r="BI2345">
        <v>1</v>
      </c>
      <c r="BJ2345">
        <v>1</v>
      </c>
      <c r="BK2345">
        <v>1</v>
      </c>
      <c r="BL2345">
        <v>0</v>
      </c>
      <c r="BO2345">
        <v>0</v>
      </c>
      <c r="BP2345">
        <v>0</v>
      </c>
      <c r="BW2345" t="str">
        <f>"20:26:59.990"</f>
        <v>20:26:59.990</v>
      </c>
      <c r="BZ2345">
        <v>0</v>
      </c>
      <c r="CA2345">
        <v>2016</v>
      </c>
      <c r="CB2345">
        <v>224</v>
      </c>
      <c r="CD2345">
        <v>1</v>
      </c>
      <c r="CE2345">
        <v>0</v>
      </c>
      <c r="CF2345">
        <v>0</v>
      </c>
      <c r="CG2345">
        <v>1</v>
      </c>
      <c r="CH2345">
        <v>0</v>
      </c>
      <c r="CI2345">
        <v>0</v>
      </c>
      <c r="CJ2345">
        <v>0</v>
      </c>
      <c r="CK2345">
        <v>2</v>
      </c>
      <c r="CL2345">
        <v>0</v>
      </c>
      <c r="CM2345">
        <v>2</v>
      </c>
      <c r="CN2345">
        <v>0</v>
      </c>
      <c r="CO2345">
        <v>3</v>
      </c>
      <c r="CP2345" t="s">
        <v>119</v>
      </c>
      <c r="CQ2345">
        <v>179</v>
      </c>
      <c r="CR2345">
        <v>1</v>
      </c>
      <c r="CW2345">
        <v>8951270</v>
      </c>
      <c r="CY2345">
        <v>1</v>
      </c>
      <c r="CZ2345">
        <v>0</v>
      </c>
      <c r="DA2345">
        <v>1</v>
      </c>
      <c r="DB2345">
        <v>0</v>
      </c>
      <c r="DC2345">
        <v>0</v>
      </c>
      <c r="DD2345">
        <v>0</v>
      </c>
      <c r="DE2345">
        <v>0</v>
      </c>
      <c r="DF2345">
        <v>0</v>
      </c>
      <c r="DG2345">
        <v>0</v>
      </c>
      <c r="DH2345">
        <v>0</v>
      </c>
      <c r="DI2345">
        <v>0</v>
      </c>
    </row>
    <row r="2346" spans="1:113" x14ac:dyDescent="0.3">
      <c r="A2346" t="str">
        <f>"02/08/2021 20:26:57.646"</f>
        <v>02/08/2021 20:26:57.646</v>
      </c>
      <c r="C2346" t="str">
        <f t="shared" si="111"/>
        <v>FFDFD7C0</v>
      </c>
      <c r="D2346" t="s">
        <v>113</v>
      </c>
      <c r="E2346">
        <v>6</v>
      </c>
      <c r="H2346">
        <v>165</v>
      </c>
      <c r="I2346" t="s">
        <v>114</v>
      </c>
      <c r="J2346" t="s">
        <v>115</v>
      </c>
      <c r="K2346">
        <v>0</v>
      </c>
      <c r="L2346">
        <v>3</v>
      </c>
      <c r="M2346">
        <v>0</v>
      </c>
      <c r="N2346">
        <v>2</v>
      </c>
      <c r="O2346">
        <v>1</v>
      </c>
      <c r="P2346">
        <v>0</v>
      </c>
      <c r="Q2346">
        <v>0</v>
      </c>
      <c r="S2346" t="str">
        <f>"20:26:59.984"</f>
        <v>20:26:59.984</v>
      </c>
      <c r="T2346" t="str">
        <f>"20:26:59.584"</f>
        <v>20:26:59.584</v>
      </c>
      <c r="U2346" t="str">
        <f t="shared" si="113"/>
        <v>AB01F4</v>
      </c>
      <c r="V2346">
        <v>0</v>
      </c>
      <c r="W2346">
        <v>0</v>
      </c>
      <c r="X2346">
        <v>2</v>
      </c>
      <c r="Z2346">
        <v>0</v>
      </c>
      <c r="AA2346">
        <v>9</v>
      </c>
      <c r="AB2346">
        <v>3</v>
      </c>
      <c r="AC2346">
        <v>0</v>
      </c>
      <c r="AD2346">
        <v>10</v>
      </c>
      <c r="AE2346">
        <v>0</v>
      </c>
      <c r="AF2346">
        <v>3</v>
      </c>
      <c r="AG2346">
        <v>2</v>
      </c>
      <c r="AH2346">
        <v>0</v>
      </c>
      <c r="AI2346" t="s">
        <v>1421</v>
      </c>
      <c r="AJ2346">
        <v>39.974248000000003</v>
      </c>
      <c r="AK2346" t="s">
        <v>1422</v>
      </c>
      <c r="AL2346">
        <v>-92.702036000000007</v>
      </c>
      <c r="AM2346">
        <v>100</v>
      </c>
      <c r="AN2346">
        <v>1700</v>
      </c>
      <c r="AO2346" t="s">
        <v>118</v>
      </c>
      <c r="AP2346">
        <v>-108</v>
      </c>
      <c r="AQ2346">
        <v>78</v>
      </c>
      <c r="AR2346">
        <v>0</v>
      </c>
      <c r="AZ2346">
        <v>1200</v>
      </c>
      <c r="BA2346">
        <v>1</v>
      </c>
      <c r="BB2346" t="str">
        <f t="shared" si="112"/>
        <v xml:space="preserve">N8080G  </v>
      </c>
      <c r="BC2346">
        <v>1</v>
      </c>
      <c r="BE2346">
        <v>0</v>
      </c>
      <c r="BF2346">
        <v>0</v>
      </c>
      <c r="BG2346">
        <v>0</v>
      </c>
      <c r="BH2346">
        <v>1700</v>
      </c>
      <c r="BI2346">
        <v>1</v>
      </c>
      <c r="BJ2346">
        <v>1</v>
      </c>
      <c r="BK2346">
        <v>1</v>
      </c>
      <c r="BL2346">
        <v>0</v>
      </c>
      <c r="BO2346">
        <v>0</v>
      </c>
      <c r="BP2346">
        <v>0</v>
      </c>
      <c r="BW2346" t="str">
        <f>"20:26:59.990"</f>
        <v>20:26:59.990</v>
      </c>
      <c r="BZ2346">
        <v>0</v>
      </c>
      <c r="CA2346">
        <v>2016</v>
      </c>
      <c r="CB2346">
        <v>224</v>
      </c>
      <c r="CD2346">
        <v>1</v>
      </c>
      <c r="CE2346">
        <v>0</v>
      </c>
      <c r="CF2346">
        <v>0</v>
      </c>
      <c r="CG2346">
        <v>1</v>
      </c>
      <c r="CH2346">
        <v>0</v>
      </c>
      <c r="CI2346">
        <v>0</v>
      </c>
      <c r="CJ2346">
        <v>0</v>
      </c>
      <c r="CK2346">
        <v>2</v>
      </c>
      <c r="CL2346">
        <v>0</v>
      </c>
      <c r="CM2346">
        <v>2</v>
      </c>
      <c r="CN2346">
        <v>0</v>
      </c>
      <c r="CO2346">
        <v>3</v>
      </c>
      <c r="CP2346" t="s">
        <v>119</v>
      </c>
      <c r="CQ2346">
        <v>179</v>
      </c>
      <c r="CR2346">
        <v>1</v>
      </c>
      <c r="CW2346">
        <v>8951270</v>
      </c>
      <c r="CY2346">
        <v>1</v>
      </c>
      <c r="CZ2346">
        <v>0</v>
      </c>
      <c r="DA2346">
        <v>1</v>
      </c>
      <c r="DB2346">
        <v>0</v>
      </c>
      <c r="DC2346">
        <v>0</v>
      </c>
      <c r="DD2346">
        <v>0</v>
      </c>
      <c r="DE2346">
        <v>0</v>
      </c>
      <c r="DF2346">
        <v>0</v>
      </c>
      <c r="DG2346">
        <v>0</v>
      </c>
      <c r="DH2346">
        <v>0</v>
      </c>
      <c r="DI2346">
        <v>0</v>
      </c>
    </row>
    <row r="2347" spans="1:113" x14ac:dyDescent="0.3">
      <c r="A2347" t="str">
        <f>"02/08/2021 20:26:58.623"</f>
        <v>02/08/2021 20:26:58.623</v>
      </c>
      <c r="C2347" t="str">
        <f t="shared" si="111"/>
        <v>FFDFD7C0</v>
      </c>
      <c r="D2347" t="s">
        <v>124</v>
      </c>
      <c r="E2347">
        <v>13</v>
      </c>
      <c r="F2347">
        <v>1013</v>
      </c>
      <c r="G2347" t="s">
        <v>114</v>
      </c>
      <c r="J2347" t="s">
        <v>125</v>
      </c>
      <c r="K2347">
        <v>0</v>
      </c>
      <c r="L2347">
        <v>3</v>
      </c>
      <c r="M2347">
        <v>0</v>
      </c>
      <c r="N2347">
        <v>2</v>
      </c>
      <c r="O2347">
        <v>1</v>
      </c>
      <c r="P2347">
        <v>0</v>
      </c>
      <c r="Q2347">
        <v>0</v>
      </c>
      <c r="S2347" t="str">
        <f>"20:27:00.953"</f>
        <v>20:27:00.953</v>
      </c>
      <c r="T2347" t="str">
        <f>"20:27:00.453"</f>
        <v>20:27:00.453</v>
      </c>
      <c r="U2347" t="str">
        <f t="shared" si="113"/>
        <v>AB01F4</v>
      </c>
      <c r="V2347">
        <v>0</v>
      </c>
      <c r="W2347">
        <v>0</v>
      </c>
      <c r="X2347">
        <v>2</v>
      </c>
      <c r="Z2347">
        <v>0</v>
      </c>
      <c r="AA2347">
        <v>9</v>
      </c>
      <c r="AB2347">
        <v>3</v>
      </c>
      <c r="AC2347">
        <v>0</v>
      </c>
      <c r="AD2347">
        <v>10</v>
      </c>
      <c r="AE2347">
        <v>0</v>
      </c>
      <c r="AF2347">
        <v>3</v>
      </c>
      <c r="AG2347">
        <v>2</v>
      </c>
      <c r="AH2347">
        <v>0</v>
      </c>
      <c r="AI2347" t="s">
        <v>1423</v>
      </c>
      <c r="AJ2347">
        <v>39.974634999999999</v>
      </c>
      <c r="AK2347" t="s">
        <v>1424</v>
      </c>
      <c r="AL2347">
        <v>-92.702701000000005</v>
      </c>
      <c r="AM2347">
        <v>100</v>
      </c>
      <c r="AN2347">
        <v>1700</v>
      </c>
      <c r="AO2347" t="s">
        <v>118</v>
      </c>
      <c r="AP2347">
        <v>-108</v>
      </c>
      <c r="AQ2347">
        <v>78</v>
      </c>
      <c r="AR2347">
        <v>0</v>
      </c>
      <c r="AZ2347">
        <v>1200</v>
      </c>
      <c r="BA2347">
        <v>1</v>
      </c>
      <c r="BB2347" t="str">
        <f t="shared" si="112"/>
        <v xml:space="preserve">N8080G  </v>
      </c>
      <c r="BC2347">
        <v>1</v>
      </c>
      <c r="BE2347">
        <v>0</v>
      </c>
      <c r="BF2347">
        <v>0</v>
      </c>
      <c r="BG2347">
        <v>0</v>
      </c>
      <c r="BH2347">
        <v>1700</v>
      </c>
      <c r="BI2347">
        <v>1</v>
      </c>
      <c r="BJ2347">
        <v>1</v>
      </c>
      <c r="BK2347">
        <v>1</v>
      </c>
      <c r="BL2347">
        <v>0</v>
      </c>
      <c r="BO2347">
        <v>0</v>
      </c>
      <c r="BP2347">
        <v>0</v>
      </c>
      <c r="BW2347" t="str">
        <f>"20:27:00.959"</f>
        <v>20:27:00.959</v>
      </c>
      <c r="BZ2347">
        <v>0</v>
      </c>
      <c r="CA2347">
        <v>2016</v>
      </c>
      <c r="CB2347">
        <v>224</v>
      </c>
      <c r="CD2347">
        <v>1</v>
      </c>
      <c r="CE2347">
        <v>0</v>
      </c>
      <c r="CF2347">
        <v>0</v>
      </c>
      <c r="CG2347">
        <v>1</v>
      </c>
      <c r="CH2347">
        <v>0</v>
      </c>
      <c r="CI2347">
        <v>0</v>
      </c>
      <c r="CJ2347">
        <v>0</v>
      </c>
      <c r="CK2347">
        <v>2</v>
      </c>
      <c r="CL2347">
        <v>0</v>
      </c>
      <c r="CM2347">
        <v>2</v>
      </c>
      <c r="CN2347">
        <v>0</v>
      </c>
      <c r="CO2347">
        <v>7</v>
      </c>
      <c r="CP2347" t="s">
        <v>119</v>
      </c>
      <c r="CQ2347">
        <v>180</v>
      </c>
      <c r="CR2347">
        <v>2</v>
      </c>
      <c r="CW2347">
        <v>8505860</v>
      </c>
      <c r="CY2347">
        <v>1</v>
      </c>
      <c r="CZ2347">
        <v>0</v>
      </c>
      <c r="DA2347">
        <v>0</v>
      </c>
      <c r="DB2347">
        <v>0</v>
      </c>
      <c r="DC2347">
        <v>0</v>
      </c>
      <c r="DD2347">
        <v>0</v>
      </c>
      <c r="DE2347">
        <v>0</v>
      </c>
      <c r="DF2347">
        <v>0</v>
      </c>
      <c r="DG2347">
        <v>0</v>
      </c>
      <c r="DH2347">
        <v>0</v>
      </c>
      <c r="DI2347">
        <v>0</v>
      </c>
    </row>
    <row r="2348" spans="1:113" x14ac:dyDescent="0.3">
      <c r="A2348" t="str">
        <f>"02/08/2021 20:26:58.623"</f>
        <v>02/08/2021 20:26:58.623</v>
      </c>
      <c r="C2348" t="str">
        <f t="shared" si="111"/>
        <v>FFDFD7C0</v>
      </c>
      <c r="D2348" t="s">
        <v>124</v>
      </c>
      <c r="E2348">
        <v>12</v>
      </c>
      <c r="F2348">
        <v>1012</v>
      </c>
      <c r="G2348" t="s">
        <v>675</v>
      </c>
      <c r="J2348" t="s">
        <v>125</v>
      </c>
      <c r="K2348">
        <v>0</v>
      </c>
      <c r="L2348">
        <v>3</v>
      </c>
      <c r="M2348">
        <v>0</v>
      </c>
      <c r="N2348">
        <v>2</v>
      </c>
      <c r="O2348">
        <v>1</v>
      </c>
      <c r="P2348">
        <v>0</v>
      </c>
      <c r="Q2348">
        <v>0</v>
      </c>
      <c r="S2348" t="str">
        <f>"20:27:00.953"</f>
        <v>20:27:00.953</v>
      </c>
      <c r="T2348" t="str">
        <f>"20:27:00.453"</f>
        <v>20:27:00.453</v>
      </c>
      <c r="U2348" t="str">
        <f t="shared" si="113"/>
        <v>AB01F4</v>
      </c>
      <c r="V2348">
        <v>0</v>
      </c>
      <c r="W2348">
        <v>0</v>
      </c>
      <c r="X2348">
        <v>2</v>
      </c>
      <c r="Z2348">
        <v>0</v>
      </c>
      <c r="AA2348">
        <v>9</v>
      </c>
      <c r="AB2348">
        <v>3</v>
      </c>
      <c r="AC2348">
        <v>0</v>
      </c>
      <c r="AD2348">
        <v>10</v>
      </c>
      <c r="AE2348">
        <v>0</v>
      </c>
      <c r="AF2348">
        <v>3</v>
      </c>
      <c r="AG2348">
        <v>2</v>
      </c>
      <c r="AH2348">
        <v>0</v>
      </c>
      <c r="AI2348" t="s">
        <v>1423</v>
      </c>
      <c r="AJ2348">
        <v>39.974634999999999</v>
      </c>
      <c r="AK2348" t="s">
        <v>1424</v>
      </c>
      <c r="AL2348">
        <v>-92.702701000000005</v>
      </c>
      <c r="AM2348">
        <v>100</v>
      </c>
      <c r="AN2348">
        <v>1700</v>
      </c>
      <c r="AO2348" t="s">
        <v>118</v>
      </c>
      <c r="AP2348">
        <v>-108</v>
      </c>
      <c r="AQ2348">
        <v>78</v>
      </c>
      <c r="AR2348">
        <v>0</v>
      </c>
      <c r="AZ2348">
        <v>1200</v>
      </c>
      <c r="BA2348">
        <v>1</v>
      </c>
      <c r="BB2348" t="str">
        <f t="shared" si="112"/>
        <v xml:space="preserve">N8080G  </v>
      </c>
      <c r="BC2348">
        <v>1</v>
      </c>
      <c r="BE2348">
        <v>0</v>
      </c>
      <c r="BF2348">
        <v>0</v>
      </c>
      <c r="BG2348">
        <v>0</v>
      </c>
      <c r="BH2348">
        <v>1700</v>
      </c>
      <c r="BI2348">
        <v>1</v>
      </c>
      <c r="BJ2348">
        <v>1</v>
      </c>
      <c r="BK2348">
        <v>1</v>
      </c>
      <c r="BL2348">
        <v>0</v>
      </c>
      <c r="BO2348">
        <v>0</v>
      </c>
      <c r="BP2348">
        <v>0</v>
      </c>
      <c r="BW2348" t="str">
        <f>"20:27:00.959"</f>
        <v>20:27:00.959</v>
      </c>
      <c r="BZ2348">
        <v>0</v>
      </c>
      <c r="CA2348">
        <v>2016</v>
      </c>
      <c r="CB2348">
        <v>224</v>
      </c>
      <c r="CD2348">
        <v>1</v>
      </c>
      <c r="CE2348">
        <v>0</v>
      </c>
      <c r="CF2348">
        <v>0</v>
      </c>
      <c r="CG2348">
        <v>1</v>
      </c>
      <c r="CH2348">
        <v>0</v>
      </c>
      <c r="CI2348">
        <v>0</v>
      </c>
      <c r="CJ2348">
        <v>0</v>
      </c>
      <c r="CK2348">
        <v>2</v>
      </c>
      <c r="CL2348">
        <v>0</v>
      </c>
      <c r="CM2348">
        <v>2</v>
      </c>
      <c r="CN2348">
        <v>0</v>
      </c>
      <c r="CO2348">
        <v>7</v>
      </c>
      <c r="CP2348" t="s">
        <v>119</v>
      </c>
      <c r="CQ2348">
        <v>180</v>
      </c>
      <c r="CR2348">
        <v>2</v>
      </c>
      <c r="CW2348">
        <v>8505860</v>
      </c>
      <c r="CY2348">
        <v>1</v>
      </c>
      <c r="CZ2348">
        <v>0</v>
      </c>
      <c r="DA2348">
        <v>1</v>
      </c>
      <c r="DB2348">
        <v>0</v>
      </c>
      <c r="DC2348">
        <v>0</v>
      </c>
      <c r="DD2348">
        <v>0</v>
      </c>
      <c r="DE2348">
        <v>0</v>
      </c>
      <c r="DF2348">
        <v>0</v>
      </c>
      <c r="DG2348">
        <v>0</v>
      </c>
      <c r="DH2348">
        <v>0</v>
      </c>
      <c r="DI2348">
        <v>0</v>
      </c>
    </row>
    <row r="2349" spans="1:113" x14ac:dyDescent="0.3">
      <c r="A2349" t="str">
        <f>"02/08/2021 20:26:58.623"</f>
        <v>02/08/2021 20:26:58.623</v>
      </c>
      <c r="C2349" t="str">
        <f t="shared" si="111"/>
        <v>FFDFD7C0</v>
      </c>
      <c r="D2349" t="s">
        <v>113</v>
      </c>
      <c r="E2349">
        <v>6</v>
      </c>
      <c r="H2349">
        <v>165</v>
      </c>
      <c r="I2349" t="s">
        <v>114</v>
      </c>
      <c r="J2349" t="s">
        <v>115</v>
      </c>
      <c r="K2349">
        <v>0</v>
      </c>
      <c r="L2349">
        <v>3</v>
      </c>
      <c r="M2349">
        <v>0</v>
      </c>
      <c r="N2349">
        <v>2</v>
      </c>
      <c r="O2349">
        <v>1</v>
      </c>
      <c r="P2349">
        <v>0</v>
      </c>
      <c r="Q2349">
        <v>0</v>
      </c>
      <c r="S2349" t="str">
        <f>"20:27:00.953"</f>
        <v>20:27:00.953</v>
      </c>
      <c r="T2349" t="str">
        <f>"20:27:00.453"</f>
        <v>20:27:00.453</v>
      </c>
      <c r="U2349" t="str">
        <f t="shared" si="113"/>
        <v>AB01F4</v>
      </c>
      <c r="V2349">
        <v>0</v>
      </c>
      <c r="W2349">
        <v>0</v>
      </c>
      <c r="X2349">
        <v>2</v>
      </c>
      <c r="Z2349">
        <v>0</v>
      </c>
      <c r="AA2349">
        <v>9</v>
      </c>
      <c r="AB2349">
        <v>3</v>
      </c>
      <c r="AC2349">
        <v>0</v>
      </c>
      <c r="AD2349">
        <v>10</v>
      </c>
      <c r="AE2349">
        <v>0</v>
      </c>
      <c r="AF2349">
        <v>3</v>
      </c>
      <c r="AG2349">
        <v>2</v>
      </c>
      <c r="AH2349">
        <v>0</v>
      </c>
      <c r="AI2349" t="s">
        <v>1423</v>
      </c>
      <c r="AJ2349">
        <v>39.974634999999999</v>
      </c>
      <c r="AK2349" t="s">
        <v>1424</v>
      </c>
      <c r="AL2349">
        <v>-92.702701000000005</v>
      </c>
      <c r="AM2349">
        <v>100</v>
      </c>
      <c r="AN2349">
        <v>1700</v>
      </c>
      <c r="AO2349" t="s">
        <v>118</v>
      </c>
      <c r="AP2349">
        <v>-108</v>
      </c>
      <c r="AQ2349">
        <v>78</v>
      </c>
      <c r="AR2349">
        <v>0</v>
      </c>
      <c r="AZ2349">
        <v>1200</v>
      </c>
      <c r="BA2349">
        <v>1</v>
      </c>
      <c r="BB2349" t="str">
        <f t="shared" si="112"/>
        <v xml:space="preserve">N8080G  </v>
      </c>
      <c r="BC2349">
        <v>1</v>
      </c>
      <c r="BE2349">
        <v>0</v>
      </c>
      <c r="BF2349">
        <v>0</v>
      </c>
      <c r="BG2349">
        <v>0</v>
      </c>
      <c r="BH2349">
        <v>1700</v>
      </c>
      <c r="BI2349">
        <v>1</v>
      </c>
      <c r="BJ2349">
        <v>1</v>
      </c>
      <c r="BK2349">
        <v>1</v>
      </c>
      <c r="BL2349">
        <v>0</v>
      </c>
      <c r="BO2349">
        <v>0</v>
      </c>
      <c r="BP2349">
        <v>0</v>
      </c>
      <c r="BW2349" t="str">
        <f>"20:27:00.959"</f>
        <v>20:27:00.959</v>
      </c>
      <c r="BZ2349">
        <v>0</v>
      </c>
      <c r="CA2349">
        <v>2016</v>
      </c>
      <c r="CB2349">
        <v>224</v>
      </c>
      <c r="CD2349">
        <v>1</v>
      </c>
      <c r="CE2349">
        <v>0</v>
      </c>
      <c r="CF2349">
        <v>0</v>
      </c>
      <c r="CG2349">
        <v>1</v>
      </c>
      <c r="CH2349">
        <v>0</v>
      </c>
      <c r="CI2349">
        <v>0</v>
      </c>
      <c r="CJ2349">
        <v>0</v>
      </c>
      <c r="CK2349">
        <v>2</v>
      </c>
      <c r="CL2349">
        <v>0</v>
      </c>
      <c r="CM2349">
        <v>2</v>
      </c>
      <c r="CN2349">
        <v>0</v>
      </c>
      <c r="CO2349">
        <v>7</v>
      </c>
      <c r="CP2349" t="s">
        <v>119</v>
      </c>
      <c r="CQ2349">
        <v>180</v>
      </c>
      <c r="CR2349">
        <v>2</v>
      </c>
      <c r="CW2349">
        <v>8505860</v>
      </c>
      <c r="CY2349">
        <v>1</v>
      </c>
      <c r="CZ2349">
        <v>0</v>
      </c>
      <c r="DA2349">
        <v>1</v>
      </c>
      <c r="DB2349">
        <v>0</v>
      </c>
      <c r="DC2349">
        <v>0</v>
      </c>
      <c r="DD2349">
        <v>0</v>
      </c>
      <c r="DE2349">
        <v>0</v>
      </c>
      <c r="DF2349">
        <v>0</v>
      </c>
      <c r="DG2349">
        <v>0</v>
      </c>
      <c r="DH2349">
        <v>0</v>
      </c>
      <c r="DI2349">
        <v>0</v>
      </c>
    </row>
    <row r="2350" spans="1:113" x14ac:dyDescent="0.3">
      <c r="A2350" t="str">
        <f>"02/08/2021 20:26:58.623"</f>
        <v>02/08/2021 20:26:58.623</v>
      </c>
      <c r="C2350" t="str">
        <f t="shared" si="111"/>
        <v>FFDFD7C0</v>
      </c>
      <c r="D2350" t="s">
        <v>124</v>
      </c>
      <c r="E2350">
        <v>11</v>
      </c>
      <c r="F2350">
        <v>1011</v>
      </c>
      <c r="G2350" t="s">
        <v>590</v>
      </c>
      <c r="J2350" t="s">
        <v>125</v>
      </c>
      <c r="K2350">
        <v>0</v>
      </c>
      <c r="L2350">
        <v>3</v>
      </c>
      <c r="M2350">
        <v>0</v>
      </c>
      <c r="N2350">
        <v>2</v>
      </c>
      <c r="O2350">
        <v>1</v>
      </c>
      <c r="P2350">
        <v>0</v>
      </c>
      <c r="Q2350">
        <v>0</v>
      </c>
      <c r="S2350" t="str">
        <f>"20:27:00.953"</f>
        <v>20:27:00.953</v>
      </c>
      <c r="T2350" t="str">
        <f>"20:27:00.453"</f>
        <v>20:27:00.453</v>
      </c>
      <c r="U2350" t="str">
        <f t="shared" si="113"/>
        <v>AB01F4</v>
      </c>
      <c r="V2350">
        <v>0</v>
      </c>
      <c r="W2350">
        <v>0</v>
      </c>
      <c r="X2350">
        <v>2</v>
      </c>
      <c r="Z2350">
        <v>0</v>
      </c>
      <c r="AA2350">
        <v>9</v>
      </c>
      <c r="AB2350">
        <v>3</v>
      </c>
      <c r="AC2350">
        <v>0</v>
      </c>
      <c r="AD2350">
        <v>10</v>
      </c>
      <c r="AE2350">
        <v>0</v>
      </c>
      <c r="AF2350">
        <v>3</v>
      </c>
      <c r="AG2350">
        <v>2</v>
      </c>
      <c r="AH2350">
        <v>0</v>
      </c>
      <c r="AI2350" t="s">
        <v>1423</v>
      </c>
      <c r="AJ2350">
        <v>39.974634999999999</v>
      </c>
      <c r="AK2350" t="s">
        <v>1424</v>
      </c>
      <c r="AL2350">
        <v>-92.702701000000005</v>
      </c>
      <c r="AM2350">
        <v>100</v>
      </c>
      <c r="AN2350">
        <v>1700</v>
      </c>
      <c r="AO2350" t="s">
        <v>118</v>
      </c>
      <c r="AP2350">
        <v>-108</v>
      </c>
      <c r="AQ2350">
        <v>78</v>
      </c>
      <c r="AR2350">
        <v>0</v>
      </c>
      <c r="AZ2350">
        <v>1200</v>
      </c>
      <c r="BA2350">
        <v>1</v>
      </c>
      <c r="BB2350" t="str">
        <f t="shared" si="112"/>
        <v xml:space="preserve">N8080G  </v>
      </c>
      <c r="BC2350">
        <v>1</v>
      </c>
      <c r="BE2350">
        <v>0</v>
      </c>
      <c r="BF2350">
        <v>0</v>
      </c>
      <c r="BG2350">
        <v>0</v>
      </c>
      <c r="BH2350">
        <v>1700</v>
      </c>
      <c r="BI2350">
        <v>1</v>
      </c>
      <c r="BJ2350">
        <v>1</v>
      </c>
      <c r="BK2350">
        <v>1</v>
      </c>
      <c r="BL2350">
        <v>0</v>
      </c>
      <c r="BO2350">
        <v>0</v>
      </c>
      <c r="BP2350">
        <v>0</v>
      </c>
      <c r="BW2350" t="str">
        <f>"20:27:00.959"</f>
        <v>20:27:00.959</v>
      </c>
      <c r="BZ2350">
        <v>0</v>
      </c>
      <c r="CA2350">
        <v>2016</v>
      </c>
      <c r="CB2350">
        <v>224</v>
      </c>
      <c r="CD2350">
        <v>1</v>
      </c>
      <c r="CE2350">
        <v>0</v>
      </c>
      <c r="CF2350">
        <v>0</v>
      </c>
      <c r="CG2350">
        <v>1</v>
      </c>
      <c r="CH2350">
        <v>0</v>
      </c>
      <c r="CI2350">
        <v>0</v>
      </c>
      <c r="CJ2350">
        <v>0</v>
      </c>
      <c r="CK2350">
        <v>2</v>
      </c>
      <c r="CL2350">
        <v>0</v>
      </c>
      <c r="CM2350">
        <v>2</v>
      </c>
      <c r="CN2350">
        <v>0</v>
      </c>
      <c r="CO2350">
        <v>7</v>
      </c>
      <c r="CP2350" t="s">
        <v>119</v>
      </c>
      <c r="CQ2350">
        <v>180</v>
      </c>
      <c r="CR2350">
        <v>2</v>
      </c>
      <c r="CW2350">
        <v>8505860</v>
      </c>
      <c r="CY2350">
        <v>1</v>
      </c>
      <c r="CZ2350">
        <v>0</v>
      </c>
      <c r="DA2350">
        <v>1</v>
      </c>
      <c r="DB2350">
        <v>0</v>
      </c>
      <c r="DC2350">
        <v>0</v>
      </c>
      <c r="DD2350">
        <v>0</v>
      </c>
      <c r="DE2350">
        <v>0</v>
      </c>
      <c r="DF2350">
        <v>0</v>
      </c>
      <c r="DG2350">
        <v>0</v>
      </c>
      <c r="DH2350">
        <v>0</v>
      </c>
      <c r="DI2350">
        <v>0</v>
      </c>
    </row>
    <row r="2351" spans="1:113" x14ac:dyDescent="0.3">
      <c r="A2351" t="str">
        <f>"02/08/2021 20:26:59.673"</f>
        <v>02/08/2021 20:26:59.673</v>
      </c>
      <c r="C2351" t="str">
        <f t="shared" ref="C2351:C2414" si="114">"FFDFD7C0"</f>
        <v>FFDFD7C0</v>
      </c>
      <c r="D2351" t="s">
        <v>124</v>
      </c>
      <c r="E2351">
        <v>11</v>
      </c>
      <c r="F2351">
        <v>1011</v>
      </c>
      <c r="G2351" t="s">
        <v>590</v>
      </c>
      <c r="J2351" t="s">
        <v>125</v>
      </c>
      <c r="K2351">
        <v>0</v>
      </c>
      <c r="L2351">
        <v>3</v>
      </c>
      <c r="M2351">
        <v>0</v>
      </c>
      <c r="N2351">
        <v>2</v>
      </c>
      <c r="O2351">
        <v>1</v>
      </c>
      <c r="P2351">
        <v>0</v>
      </c>
      <c r="Q2351">
        <v>0</v>
      </c>
      <c r="S2351" t="str">
        <f>"20:27:02.023"</f>
        <v>20:27:02.023</v>
      </c>
      <c r="T2351" t="str">
        <f>"20:27:01.523"</f>
        <v>20:27:01.523</v>
      </c>
      <c r="U2351" t="str">
        <f t="shared" si="113"/>
        <v>AB01F4</v>
      </c>
      <c r="V2351">
        <v>0</v>
      </c>
      <c r="W2351">
        <v>0</v>
      </c>
      <c r="X2351">
        <v>2</v>
      </c>
      <c r="Z2351">
        <v>0</v>
      </c>
      <c r="AA2351">
        <v>9</v>
      </c>
      <c r="AB2351">
        <v>3</v>
      </c>
      <c r="AC2351">
        <v>0</v>
      </c>
      <c r="AD2351">
        <v>10</v>
      </c>
      <c r="AE2351">
        <v>0</v>
      </c>
      <c r="AF2351">
        <v>3</v>
      </c>
      <c r="AG2351">
        <v>2</v>
      </c>
      <c r="AH2351">
        <v>0</v>
      </c>
      <c r="AI2351" t="s">
        <v>1425</v>
      </c>
      <c r="AJ2351">
        <v>39.975020999999998</v>
      </c>
      <c r="AK2351" t="s">
        <v>1426</v>
      </c>
      <c r="AL2351">
        <v>-92.703388000000004</v>
      </c>
      <c r="AM2351">
        <v>100</v>
      </c>
      <c r="AN2351">
        <v>1700</v>
      </c>
      <c r="AO2351" t="s">
        <v>118</v>
      </c>
      <c r="AP2351">
        <v>-108</v>
      </c>
      <c r="AQ2351">
        <v>78</v>
      </c>
      <c r="AR2351">
        <v>0</v>
      </c>
      <c r="AZ2351">
        <v>1200</v>
      </c>
      <c r="BA2351">
        <v>1</v>
      </c>
      <c r="BB2351" t="str">
        <f t="shared" ref="BB2351:BB2414" si="115">"N8080G  "</f>
        <v xml:space="preserve">N8080G  </v>
      </c>
      <c r="BC2351">
        <v>1</v>
      </c>
      <c r="BE2351">
        <v>0</v>
      </c>
      <c r="BF2351">
        <v>0</v>
      </c>
      <c r="BG2351">
        <v>0</v>
      </c>
      <c r="BH2351">
        <v>1700</v>
      </c>
      <c r="BI2351">
        <v>1</v>
      </c>
      <c r="BJ2351">
        <v>1</v>
      </c>
      <c r="BK2351">
        <v>1</v>
      </c>
      <c r="BL2351">
        <v>0</v>
      </c>
      <c r="BO2351">
        <v>0</v>
      </c>
      <c r="BP2351">
        <v>0</v>
      </c>
      <c r="BW2351" t="str">
        <f>"20:27:02.031"</f>
        <v>20:27:02.031</v>
      </c>
      <c r="BZ2351">
        <v>0</v>
      </c>
      <c r="CA2351">
        <v>2016</v>
      </c>
      <c r="CB2351">
        <v>224</v>
      </c>
      <c r="CD2351">
        <v>1</v>
      </c>
      <c r="CE2351">
        <v>0</v>
      </c>
      <c r="CF2351">
        <v>0</v>
      </c>
      <c r="CG2351">
        <v>1</v>
      </c>
      <c r="CH2351">
        <v>0</v>
      </c>
      <c r="CI2351">
        <v>0</v>
      </c>
      <c r="CJ2351">
        <v>0</v>
      </c>
      <c r="CK2351">
        <v>2</v>
      </c>
      <c r="CL2351">
        <v>0</v>
      </c>
      <c r="CM2351">
        <v>2</v>
      </c>
      <c r="CN2351">
        <v>0</v>
      </c>
      <c r="CO2351">
        <v>7</v>
      </c>
      <c r="CP2351" t="s">
        <v>119</v>
      </c>
      <c r="CQ2351">
        <v>180</v>
      </c>
      <c r="CR2351">
        <v>3</v>
      </c>
      <c r="CW2351">
        <v>862150</v>
      </c>
      <c r="CY2351">
        <v>1</v>
      </c>
      <c r="CZ2351">
        <v>0</v>
      </c>
      <c r="DA2351">
        <v>0</v>
      </c>
      <c r="DB2351">
        <v>0</v>
      </c>
      <c r="DC2351">
        <v>0</v>
      </c>
      <c r="DD2351">
        <v>0</v>
      </c>
      <c r="DE2351">
        <v>0</v>
      </c>
      <c r="DF2351">
        <v>0</v>
      </c>
      <c r="DG2351">
        <v>0</v>
      </c>
      <c r="DH2351">
        <v>0</v>
      </c>
      <c r="DI2351">
        <v>0</v>
      </c>
    </row>
    <row r="2352" spans="1:113" x14ac:dyDescent="0.3">
      <c r="A2352" t="str">
        <f>"02/08/2021 20:26:59.673"</f>
        <v>02/08/2021 20:26:59.673</v>
      </c>
      <c r="C2352" t="str">
        <f t="shared" si="114"/>
        <v>FFDFD7C0</v>
      </c>
      <c r="D2352" t="s">
        <v>124</v>
      </c>
      <c r="E2352">
        <v>13</v>
      </c>
      <c r="F2352">
        <v>1013</v>
      </c>
      <c r="G2352" t="s">
        <v>114</v>
      </c>
      <c r="J2352" t="s">
        <v>125</v>
      </c>
      <c r="K2352">
        <v>0</v>
      </c>
      <c r="L2352">
        <v>3</v>
      </c>
      <c r="M2352">
        <v>0</v>
      </c>
      <c r="N2352">
        <v>2</v>
      </c>
      <c r="O2352">
        <v>1</v>
      </c>
      <c r="P2352">
        <v>0</v>
      </c>
      <c r="Q2352">
        <v>0</v>
      </c>
      <c r="S2352" t="str">
        <f>"20:27:02.023"</f>
        <v>20:27:02.023</v>
      </c>
      <c r="T2352" t="str">
        <f>"20:27:01.523"</f>
        <v>20:27:01.523</v>
      </c>
      <c r="U2352" t="str">
        <f t="shared" si="113"/>
        <v>AB01F4</v>
      </c>
      <c r="V2352">
        <v>0</v>
      </c>
      <c r="W2352">
        <v>0</v>
      </c>
      <c r="X2352">
        <v>2</v>
      </c>
      <c r="Z2352">
        <v>0</v>
      </c>
      <c r="AA2352">
        <v>9</v>
      </c>
      <c r="AB2352">
        <v>3</v>
      </c>
      <c r="AC2352">
        <v>0</v>
      </c>
      <c r="AD2352">
        <v>10</v>
      </c>
      <c r="AE2352">
        <v>0</v>
      </c>
      <c r="AF2352">
        <v>3</v>
      </c>
      <c r="AG2352">
        <v>2</v>
      </c>
      <c r="AH2352">
        <v>0</v>
      </c>
      <c r="AI2352" t="s">
        <v>1425</v>
      </c>
      <c r="AJ2352">
        <v>39.975020999999998</v>
      </c>
      <c r="AK2352" t="s">
        <v>1426</v>
      </c>
      <c r="AL2352">
        <v>-92.703388000000004</v>
      </c>
      <c r="AM2352">
        <v>100</v>
      </c>
      <c r="AN2352">
        <v>1700</v>
      </c>
      <c r="AO2352" t="s">
        <v>118</v>
      </c>
      <c r="AP2352">
        <v>-108</v>
      </c>
      <c r="AQ2352">
        <v>78</v>
      </c>
      <c r="AR2352">
        <v>0</v>
      </c>
      <c r="AZ2352">
        <v>1200</v>
      </c>
      <c r="BA2352">
        <v>1</v>
      </c>
      <c r="BB2352" t="str">
        <f t="shared" si="115"/>
        <v xml:space="preserve">N8080G  </v>
      </c>
      <c r="BC2352">
        <v>1</v>
      </c>
      <c r="BE2352">
        <v>0</v>
      </c>
      <c r="BF2352">
        <v>0</v>
      </c>
      <c r="BG2352">
        <v>0</v>
      </c>
      <c r="BH2352">
        <v>1700</v>
      </c>
      <c r="BI2352">
        <v>1</v>
      </c>
      <c r="BJ2352">
        <v>1</v>
      </c>
      <c r="BK2352">
        <v>1</v>
      </c>
      <c r="BL2352">
        <v>0</v>
      </c>
      <c r="BO2352">
        <v>0</v>
      </c>
      <c r="BP2352">
        <v>0</v>
      </c>
      <c r="BW2352" t="str">
        <f>"20:27:02.031"</f>
        <v>20:27:02.031</v>
      </c>
      <c r="BZ2352">
        <v>0</v>
      </c>
      <c r="CA2352">
        <v>2016</v>
      </c>
      <c r="CB2352">
        <v>224</v>
      </c>
      <c r="CD2352">
        <v>1</v>
      </c>
      <c r="CE2352">
        <v>0</v>
      </c>
      <c r="CF2352">
        <v>0</v>
      </c>
      <c r="CG2352">
        <v>1</v>
      </c>
      <c r="CH2352">
        <v>0</v>
      </c>
      <c r="CI2352">
        <v>0</v>
      </c>
      <c r="CJ2352">
        <v>0</v>
      </c>
      <c r="CK2352">
        <v>2</v>
      </c>
      <c r="CL2352">
        <v>0</v>
      </c>
      <c r="CM2352">
        <v>2</v>
      </c>
      <c r="CN2352">
        <v>0</v>
      </c>
      <c r="CO2352">
        <v>7</v>
      </c>
      <c r="CP2352" t="s">
        <v>119</v>
      </c>
      <c r="CQ2352">
        <v>180</v>
      </c>
      <c r="CR2352">
        <v>3</v>
      </c>
      <c r="CW2352">
        <v>862150</v>
      </c>
      <c r="CY2352">
        <v>1</v>
      </c>
      <c r="CZ2352">
        <v>0</v>
      </c>
      <c r="DA2352">
        <v>1</v>
      </c>
      <c r="DB2352">
        <v>0</v>
      </c>
      <c r="DC2352">
        <v>0</v>
      </c>
      <c r="DD2352">
        <v>0</v>
      </c>
      <c r="DE2352">
        <v>0</v>
      </c>
      <c r="DF2352">
        <v>0</v>
      </c>
      <c r="DG2352">
        <v>0</v>
      </c>
      <c r="DH2352">
        <v>0</v>
      </c>
      <c r="DI2352">
        <v>0</v>
      </c>
    </row>
    <row r="2353" spans="1:113" x14ac:dyDescent="0.3">
      <c r="A2353" t="str">
        <f>"02/08/2021 20:26:59.673"</f>
        <v>02/08/2021 20:26:59.673</v>
      </c>
      <c r="C2353" t="str">
        <f t="shared" si="114"/>
        <v>FFDFD7C0</v>
      </c>
      <c r="D2353" t="s">
        <v>124</v>
      </c>
      <c r="E2353">
        <v>12</v>
      </c>
      <c r="F2353">
        <v>1012</v>
      </c>
      <c r="G2353" t="s">
        <v>675</v>
      </c>
      <c r="J2353" t="s">
        <v>125</v>
      </c>
      <c r="K2353">
        <v>0</v>
      </c>
      <c r="L2353">
        <v>3</v>
      </c>
      <c r="M2353">
        <v>0</v>
      </c>
      <c r="N2353">
        <v>2</v>
      </c>
      <c r="O2353">
        <v>1</v>
      </c>
      <c r="P2353">
        <v>0</v>
      </c>
      <c r="Q2353">
        <v>0</v>
      </c>
      <c r="S2353" t="str">
        <f>"20:27:02.023"</f>
        <v>20:27:02.023</v>
      </c>
      <c r="T2353" t="str">
        <f>"20:27:01.523"</f>
        <v>20:27:01.523</v>
      </c>
      <c r="U2353" t="str">
        <f t="shared" si="113"/>
        <v>AB01F4</v>
      </c>
      <c r="V2353">
        <v>0</v>
      </c>
      <c r="W2353">
        <v>0</v>
      </c>
      <c r="X2353">
        <v>2</v>
      </c>
      <c r="Z2353">
        <v>0</v>
      </c>
      <c r="AA2353">
        <v>9</v>
      </c>
      <c r="AB2353">
        <v>3</v>
      </c>
      <c r="AC2353">
        <v>0</v>
      </c>
      <c r="AD2353">
        <v>10</v>
      </c>
      <c r="AE2353">
        <v>0</v>
      </c>
      <c r="AF2353">
        <v>3</v>
      </c>
      <c r="AG2353">
        <v>2</v>
      </c>
      <c r="AH2353">
        <v>0</v>
      </c>
      <c r="AI2353" t="s">
        <v>1425</v>
      </c>
      <c r="AJ2353">
        <v>39.975020999999998</v>
      </c>
      <c r="AK2353" t="s">
        <v>1426</v>
      </c>
      <c r="AL2353">
        <v>-92.703388000000004</v>
      </c>
      <c r="AM2353">
        <v>100</v>
      </c>
      <c r="AN2353">
        <v>1700</v>
      </c>
      <c r="AO2353" t="s">
        <v>118</v>
      </c>
      <c r="AP2353">
        <v>-108</v>
      </c>
      <c r="AQ2353">
        <v>78</v>
      </c>
      <c r="AR2353">
        <v>0</v>
      </c>
      <c r="AZ2353">
        <v>1200</v>
      </c>
      <c r="BA2353">
        <v>1</v>
      </c>
      <c r="BB2353" t="str">
        <f t="shared" si="115"/>
        <v xml:space="preserve">N8080G  </v>
      </c>
      <c r="BC2353">
        <v>1</v>
      </c>
      <c r="BE2353">
        <v>0</v>
      </c>
      <c r="BF2353">
        <v>0</v>
      </c>
      <c r="BG2353">
        <v>0</v>
      </c>
      <c r="BH2353">
        <v>1700</v>
      </c>
      <c r="BI2353">
        <v>1</v>
      </c>
      <c r="BJ2353">
        <v>1</v>
      </c>
      <c r="BK2353">
        <v>1</v>
      </c>
      <c r="BL2353">
        <v>0</v>
      </c>
      <c r="BO2353">
        <v>0</v>
      </c>
      <c r="BP2353">
        <v>0</v>
      </c>
      <c r="BW2353" t="str">
        <f>"20:27:02.031"</f>
        <v>20:27:02.031</v>
      </c>
      <c r="BZ2353">
        <v>0</v>
      </c>
      <c r="CA2353">
        <v>2016</v>
      </c>
      <c r="CB2353">
        <v>224</v>
      </c>
      <c r="CD2353">
        <v>1</v>
      </c>
      <c r="CE2353">
        <v>0</v>
      </c>
      <c r="CF2353">
        <v>0</v>
      </c>
      <c r="CG2353">
        <v>1</v>
      </c>
      <c r="CH2353">
        <v>0</v>
      </c>
      <c r="CI2353">
        <v>0</v>
      </c>
      <c r="CJ2353">
        <v>0</v>
      </c>
      <c r="CK2353">
        <v>2</v>
      </c>
      <c r="CL2353">
        <v>0</v>
      </c>
      <c r="CM2353">
        <v>2</v>
      </c>
      <c r="CN2353">
        <v>0</v>
      </c>
      <c r="CO2353">
        <v>7</v>
      </c>
      <c r="CP2353" t="s">
        <v>119</v>
      </c>
      <c r="CQ2353">
        <v>180</v>
      </c>
      <c r="CR2353">
        <v>3</v>
      </c>
      <c r="CW2353">
        <v>862150</v>
      </c>
      <c r="CY2353">
        <v>1</v>
      </c>
      <c r="CZ2353">
        <v>0</v>
      </c>
      <c r="DA2353">
        <v>1</v>
      </c>
      <c r="DB2353">
        <v>0</v>
      </c>
      <c r="DC2353">
        <v>0</v>
      </c>
      <c r="DD2353">
        <v>0</v>
      </c>
      <c r="DE2353">
        <v>0</v>
      </c>
      <c r="DF2353">
        <v>0</v>
      </c>
      <c r="DG2353">
        <v>0</v>
      </c>
      <c r="DH2353">
        <v>0</v>
      </c>
      <c r="DI2353">
        <v>0</v>
      </c>
    </row>
    <row r="2354" spans="1:113" x14ac:dyDescent="0.3">
      <c r="A2354" t="str">
        <f>"02/08/2021 20:26:59.673"</f>
        <v>02/08/2021 20:26:59.673</v>
      </c>
      <c r="C2354" t="str">
        <f t="shared" si="114"/>
        <v>FFDFD7C0</v>
      </c>
      <c r="D2354" t="s">
        <v>113</v>
      </c>
      <c r="E2354">
        <v>6</v>
      </c>
      <c r="H2354">
        <v>165</v>
      </c>
      <c r="I2354" t="s">
        <v>114</v>
      </c>
      <c r="J2354" t="s">
        <v>115</v>
      </c>
      <c r="K2354">
        <v>0</v>
      </c>
      <c r="L2354">
        <v>3</v>
      </c>
      <c r="M2354">
        <v>0</v>
      </c>
      <c r="N2354">
        <v>2</v>
      </c>
      <c r="O2354">
        <v>1</v>
      </c>
      <c r="P2354">
        <v>0</v>
      </c>
      <c r="Q2354">
        <v>0</v>
      </c>
      <c r="S2354" t="str">
        <f>"20:27:02.023"</f>
        <v>20:27:02.023</v>
      </c>
      <c r="T2354" t="str">
        <f>"20:27:01.523"</f>
        <v>20:27:01.523</v>
      </c>
      <c r="U2354" t="str">
        <f t="shared" si="113"/>
        <v>AB01F4</v>
      </c>
      <c r="V2354">
        <v>0</v>
      </c>
      <c r="W2354">
        <v>0</v>
      </c>
      <c r="X2354">
        <v>2</v>
      </c>
      <c r="Z2354">
        <v>0</v>
      </c>
      <c r="AA2354">
        <v>9</v>
      </c>
      <c r="AB2354">
        <v>3</v>
      </c>
      <c r="AC2354">
        <v>0</v>
      </c>
      <c r="AD2354">
        <v>10</v>
      </c>
      <c r="AE2354">
        <v>0</v>
      </c>
      <c r="AF2354">
        <v>3</v>
      </c>
      <c r="AG2354">
        <v>2</v>
      </c>
      <c r="AH2354">
        <v>0</v>
      </c>
      <c r="AI2354" t="s">
        <v>1425</v>
      </c>
      <c r="AJ2354">
        <v>39.975020999999998</v>
      </c>
      <c r="AK2354" t="s">
        <v>1426</v>
      </c>
      <c r="AL2354">
        <v>-92.703388000000004</v>
      </c>
      <c r="AM2354">
        <v>100</v>
      </c>
      <c r="AN2354">
        <v>1700</v>
      </c>
      <c r="AO2354" t="s">
        <v>118</v>
      </c>
      <c r="AP2354">
        <v>-108</v>
      </c>
      <c r="AQ2354">
        <v>78</v>
      </c>
      <c r="AR2354">
        <v>0</v>
      </c>
      <c r="AZ2354">
        <v>1200</v>
      </c>
      <c r="BA2354">
        <v>1</v>
      </c>
      <c r="BB2354" t="str">
        <f t="shared" si="115"/>
        <v xml:space="preserve">N8080G  </v>
      </c>
      <c r="BC2354">
        <v>1</v>
      </c>
      <c r="BE2354">
        <v>0</v>
      </c>
      <c r="BF2354">
        <v>0</v>
      </c>
      <c r="BG2354">
        <v>0</v>
      </c>
      <c r="BH2354">
        <v>1700</v>
      </c>
      <c r="BI2354">
        <v>1</v>
      </c>
      <c r="BJ2354">
        <v>1</v>
      </c>
      <c r="BK2354">
        <v>1</v>
      </c>
      <c r="BL2354">
        <v>0</v>
      </c>
      <c r="BO2354">
        <v>0</v>
      </c>
      <c r="BP2354">
        <v>0</v>
      </c>
      <c r="BW2354" t="str">
        <f>"20:27:02.031"</f>
        <v>20:27:02.031</v>
      </c>
      <c r="BZ2354">
        <v>0</v>
      </c>
      <c r="CA2354">
        <v>2016</v>
      </c>
      <c r="CB2354">
        <v>224</v>
      </c>
      <c r="CD2354">
        <v>1</v>
      </c>
      <c r="CE2354">
        <v>0</v>
      </c>
      <c r="CF2354">
        <v>0</v>
      </c>
      <c r="CG2354">
        <v>1</v>
      </c>
      <c r="CH2354">
        <v>0</v>
      </c>
      <c r="CI2354">
        <v>0</v>
      </c>
      <c r="CJ2354">
        <v>0</v>
      </c>
      <c r="CK2354">
        <v>2</v>
      </c>
      <c r="CL2354">
        <v>0</v>
      </c>
      <c r="CM2354">
        <v>2</v>
      </c>
      <c r="CN2354">
        <v>0</v>
      </c>
      <c r="CO2354">
        <v>7</v>
      </c>
      <c r="CP2354" t="s">
        <v>119</v>
      </c>
      <c r="CQ2354">
        <v>180</v>
      </c>
      <c r="CR2354">
        <v>3</v>
      </c>
      <c r="CW2354">
        <v>862150</v>
      </c>
      <c r="CY2354">
        <v>1</v>
      </c>
      <c r="CZ2354">
        <v>0</v>
      </c>
      <c r="DA2354">
        <v>1</v>
      </c>
      <c r="DB2354">
        <v>0</v>
      </c>
      <c r="DC2354">
        <v>0</v>
      </c>
      <c r="DD2354">
        <v>0</v>
      </c>
      <c r="DE2354">
        <v>0</v>
      </c>
      <c r="DF2354">
        <v>0</v>
      </c>
      <c r="DG2354">
        <v>0</v>
      </c>
      <c r="DH2354">
        <v>0</v>
      </c>
      <c r="DI2354">
        <v>0</v>
      </c>
    </row>
    <row r="2355" spans="1:113" x14ac:dyDescent="0.3">
      <c r="A2355" t="str">
        <f>"02/08/2021 20:27:00.761"</f>
        <v>02/08/2021 20:27:00.761</v>
      </c>
      <c r="C2355" t="str">
        <f t="shared" si="114"/>
        <v>FFDFD7C0</v>
      </c>
      <c r="D2355" t="s">
        <v>124</v>
      </c>
      <c r="E2355">
        <v>12</v>
      </c>
      <c r="F2355">
        <v>1012</v>
      </c>
      <c r="G2355" t="s">
        <v>675</v>
      </c>
      <c r="J2355" t="s">
        <v>125</v>
      </c>
      <c r="K2355">
        <v>0</v>
      </c>
      <c r="L2355">
        <v>3</v>
      </c>
      <c r="M2355">
        <v>0</v>
      </c>
      <c r="N2355">
        <v>2</v>
      </c>
      <c r="O2355">
        <v>1</v>
      </c>
      <c r="P2355">
        <v>0</v>
      </c>
      <c r="Q2355">
        <v>0</v>
      </c>
      <c r="S2355" t="str">
        <f>"20:27:03.094"</f>
        <v>20:27:03.094</v>
      </c>
      <c r="T2355" t="str">
        <f>"20:27:02.594"</f>
        <v>20:27:02.594</v>
      </c>
      <c r="U2355" t="str">
        <f t="shared" si="113"/>
        <v>AB01F4</v>
      </c>
      <c r="V2355">
        <v>0</v>
      </c>
      <c r="W2355">
        <v>0</v>
      </c>
      <c r="X2355">
        <v>2</v>
      </c>
      <c r="Z2355">
        <v>0</v>
      </c>
      <c r="AA2355">
        <v>9</v>
      </c>
      <c r="AB2355">
        <v>3</v>
      </c>
      <c r="AC2355">
        <v>0</v>
      </c>
      <c r="AD2355">
        <v>10</v>
      </c>
      <c r="AE2355">
        <v>0</v>
      </c>
      <c r="AF2355">
        <v>3</v>
      </c>
      <c r="AG2355">
        <v>2</v>
      </c>
      <c r="AH2355">
        <v>0</v>
      </c>
      <c r="AI2355" t="s">
        <v>1427</v>
      </c>
      <c r="AJ2355">
        <v>39.975386</v>
      </c>
      <c r="AK2355" t="s">
        <v>1428</v>
      </c>
      <c r="AL2355">
        <v>-92.704009999999997</v>
      </c>
      <c r="AM2355">
        <v>100</v>
      </c>
      <c r="AN2355">
        <v>1700</v>
      </c>
      <c r="AO2355" t="s">
        <v>118</v>
      </c>
      <c r="AP2355">
        <v>-107</v>
      </c>
      <c r="AQ2355">
        <v>78</v>
      </c>
      <c r="AR2355">
        <v>-64</v>
      </c>
      <c r="AZ2355">
        <v>1200</v>
      </c>
      <c r="BA2355">
        <v>1</v>
      </c>
      <c r="BB2355" t="str">
        <f t="shared" si="115"/>
        <v xml:space="preserve">N8080G  </v>
      </c>
      <c r="BC2355">
        <v>1</v>
      </c>
      <c r="BE2355">
        <v>0</v>
      </c>
      <c r="BF2355">
        <v>0</v>
      </c>
      <c r="BG2355">
        <v>0</v>
      </c>
      <c r="BH2355">
        <v>1700</v>
      </c>
      <c r="BI2355">
        <v>1</v>
      </c>
      <c r="BJ2355">
        <v>1</v>
      </c>
      <c r="BK2355">
        <v>1</v>
      </c>
      <c r="BL2355">
        <v>0</v>
      </c>
      <c r="BO2355">
        <v>0</v>
      </c>
      <c r="BP2355">
        <v>0</v>
      </c>
      <c r="BW2355" t="str">
        <f>"20:27:03.096"</f>
        <v>20:27:03.096</v>
      </c>
      <c r="BZ2355">
        <v>0</v>
      </c>
      <c r="CA2355">
        <v>2016</v>
      </c>
      <c r="CB2355">
        <v>224</v>
      </c>
      <c r="CD2355">
        <v>1</v>
      </c>
      <c r="CE2355">
        <v>0</v>
      </c>
      <c r="CF2355">
        <v>0</v>
      </c>
      <c r="CG2355">
        <v>1</v>
      </c>
      <c r="CH2355">
        <v>0</v>
      </c>
      <c r="CI2355">
        <v>0</v>
      </c>
      <c r="CJ2355">
        <v>0</v>
      </c>
      <c r="CK2355">
        <v>2</v>
      </c>
      <c r="CL2355">
        <v>0</v>
      </c>
      <c r="CM2355">
        <v>2</v>
      </c>
      <c r="CN2355">
        <v>0</v>
      </c>
      <c r="CO2355">
        <v>7</v>
      </c>
      <c r="CP2355" t="s">
        <v>119</v>
      </c>
      <c r="CQ2355">
        <v>180</v>
      </c>
      <c r="CR2355">
        <v>3</v>
      </c>
      <c r="CW2355">
        <v>862939</v>
      </c>
      <c r="CY2355">
        <v>1</v>
      </c>
      <c r="CZ2355">
        <v>0</v>
      </c>
      <c r="DA2355">
        <v>0</v>
      </c>
      <c r="DB2355">
        <v>0</v>
      </c>
      <c r="DC2355">
        <v>0</v>
      </c>
      <c r="DD2355">
        <v>0</v>
      </c>
      <c r="DE2355">
        <v>0</v>
      </c>
      <c r="DF2355">
        <v>0</v>
      </c>
      <c r="DG2355">
        <v>0</v>
      </c>
      <c r="DH2355">
        <v>0</v>
      </c>
      <c r="DI2355">
        <v>0</v>
      </c>
    </row>
    <row r="2356" spans="1:113" x14ac:dyDescent="0.3">
      <c r="A2356" t="str">
        <f>"02/08/2021 20:27:00.761"</f>
        <v>02/08/2021 20:27:00.761</v>
      </c>
      <c r="C2356" t="str">
        <f t="shared" si="114"/>
        <v>FFDFD7C0</v>
      </c>
      <c r="D2356" t="s">
        <v>113</v>
      </c>
      <c r="E2356">
        <v>6</v>
      </c>
      <c r="H2356">
        <v>165</v>
      </c>
      <c r="I2356" t="s">
        <v>114</v>
      </c>
      <c r="J2356" t="s">
        <v>115</v>
      </c>
      <c r="K2356">
        <v>0</v>
      </c>
      <c r="L2356">
        <v>3</v>
      </c>
      <c r="M2356">
        <v>0</v>
      </c>
      <c r="N2356">
        <v>2</v>
      </c>
      <c r="O2356">
        <v>1</v>
      </c>
      <c r="P2356">
        <v>0</v>
      </c>
      <c r="Q2356">
        <v>0</v>
      </c>
      <c r="S2356" t="str">
        <f>"20:27:03.094"</f>
        <v>20:27:03.094</v>
      </c>
      <c r="T2356" t="str">
        <f>"20:27:02.594"</f>
        <v>20:27:02.594</v>
      </c>
      <c r="U2356" t="str">
        <f t="shared" si="113"/>
        <v>AB01F4</v>
      </c>
      <c r="V2356">
        <v>0</v>
      </c>
      <c r="W2356">
        <v>0</v>
      </c>
      <c r="X2356">
        <v>2</v>
      </c>
      <c r="Z2356">
        <v>0</v>
      </c>
      <c r="AA2356">
        <v>9</v>
      </c>
      <c r="AB2356">
        <v>3</v>
      </c>
      <c r="AC2356">
        <v>0</v>
      </c>
      <c r="AD2356">
        <v>10</v>
      </c>
      <c r="AE2356">
        <v>0</v>
      </c>
      <c r="AF2356">
        <v>3</v>
      </c>
      <c r="AG2356">
        <v>2</v>
      </c>
      <c r="AH2356">
        <v>0</v>
      </c>
      <c r="AI2356" t="s">
        <v>1427</v>
      </c>
      <c r="AJ2356">
        <v>39.975386</v>
      </c>
      <c r="AK2356" t="s">
        <v>1428</v>
      </c>
      <c r="AL2356">
        <v>-92.704009999999997</v>
      </c>
      <c r="AM2356">
        <v>100</v>
      </c>
      <c r="AN2356">
        <v>1700</v>
      </c>
      <c r="AO2356" t="s">
        <v>118</v>
      </c>
      <c r="AP2356">
        <v>-107</v>
      </c>
      <c r="AQ2356">
        <v>78</v>
      </c>
      <c r="AR2356">
        <v>-64</v>
      </c>
      <c r="AZ2356">
        <v>1200</v>
      </c>
      <c r="BA2356">
        <v>1</v>
      </c>
      <c r="BB2356" t="str">
        <f t="shared" si="115"/>
        <v xml:space="preserve">N8080G  </v>
      </c>
      <c r="BC2356">
        <v>1</v>
      </c>
      <c r="BE2356">
        <v>0</v>
      </c>
      <c r="BF2356">
        <v>0</v>
      </c>
      <c r="BG2356">
        <v>0</v>
      </c>
      <c r="BH2356">
        <v>1700</v>
      </c>
      <c r="BI2356">
        <v>1</v>
      </c>
      <c r="BJ2356">
        <v>1</v>
      </c>
      <c r="BK2356">
        <v>1</v>
      </c>
      <c r="BL2356">
        <v>0</v>
      </c>
      <c r="BO2356">
        <v>0</v>
      </c>
      <c r="BP2356">
        <v>0</v>
      </c>
      <c r="BW2356" t="str">
        <f>"20:27:03.096"</f>
        <v>20:27:03.096</v>
      </c>
      <c r="BZ2356">
        <v>0</v>
      </c>
      <c r="CA2356">
        <v>2016</v>
      </c>
      <c r="CB2356">
        <v>224</v>
      </c>
      <c r="CD2356">
        <v>1</v>
      </c>
      <c r="CE2356">
        <v>0</v>
      </c>
      <c r="CF2356">
        <v>0</v>
      </c>
      <c r="CG2356">
        <v>1</v>
      </c>
      <c r="CH2356">
        <v>0</v>
      </c>
      <c r="CI2356">
        <v>0</v>
      </c>
      <c r="CJ2356">
        <v>0</v>
      </c>
      <c r="CK2356">
        <v>2</v>
      </c>
      <c r="CL2356">
        <v>0</v>
      </c>
      <c r="CM2356">
        <v>2</v>
      </c>
      <c r="CN2356">
        <v>0</v>
      </c>
      <c r="CO2356">
        <v>7</v>
      </c>
      <c r="CP2356" t="s">
        <v>119</v>
      </c>
      <c r="CQ2356">
        <v>180</v>
      </c>
      <c r="CR2356">
        <v>3</v>
      </c>
      <c r="CW2356">
        <v>862939</v>
      </c>
      <c r="CY2356">
        <v>1</v>
      </c>
      <c r="CZ2356">
        <v>0</v>
      </c>
      <c r="DA2356">
        <v>1</v>
      </c>
      <c r="DB2356">
        <v>0</v>
      </c>
      <c r="DC2356">
        <v>0</v>
      </c>
      <c r="DD2356">
        <v>0</v>
      </c>
      <c r="DE2356">
        <v>0</v>
      </c>
      <c r="DF2356">
        <v>0</v>
      </c>
      <c r="DG2356">
        <v>0</v>
      </c>
      <c r="DH2356">
        <v>0</v>
      </c>
      <c r="DI2356">
        <v>0</v>
      </c>
    </row>
    <row r="2357" spans="1:113" x14ac:dyDescent="0.3">
      <c r="A2357" t="str">
        <f>"02/08/2021 20:27:00.761"</f>
        <v>02/08/2021 20:27:00.761</v>
      </c>
      <c r="C2357" t="str">
        <f t="shared" si="114"/>
        <v>FFDFD7C0</v>
      </c>
      <c r="D2357" t="s">
        <v>124</v>
      </c>
      <c r="E2357">
        <v>11</v>
      </c>
      <c r="F2357">
        <v>1011</v>
      </c>
      <c r="G2357" t="s">
        <v>590</v>
      </c>
      <c r="J2357" t="s">
        <v>125</v>
      </c>
      <c r="K2357">
        <v>0</v>
      </c>
      <c r="L2357">
        <v>3</v>
      </c>
      <c r="M2357">
        <v>0</v>
      </c>
      <c r="N2357">
        <v>2</v>
      </c>
      <c r="O2357">
        <v>1</v>
      </c>
      <c r="P2357">
        <v>0</v>
      </c>
      <c r="Q2357">
        <v>0</v>
      </c>
      <c r="S2357" t="str">
        <f>"20:27:03.094"</f>
        <v>20:27:03.094</v>
      </c>
      <c r="T2357" t="str">
        <f>"20:27:02.594"</f>
        <v>20:27:02.594</v>
      </c>
      <c r="U2357" t="str">
        <f t="shared" si="113"/>
        <v>AB01F4</v>
      </c>
      <c r="V2357">
        <v>0</v>
      </c>
      <c r="W2357">
        <v>0</v>
      </c>
      <c r="X2357">
        <v>2</v>
      </c>
      <c r="Z2357">
        <v>0</v>
      </c>
      <c r="AA2357">
        <v>9</v>
      </c>
      <c r="AB2357">
        <v>3</v>
      </c>
      <c r="AC2357">
        <v>0</v>
      </c>
      <c r="AD2357">
        <v>10</v>
      </c>
      <c r="AE2357">
        <v>0</v>
      </c>
      <c r="AF2357">
        <v>3</v>
      </c>
      <c r="AG2357">
        <v>2</v>
      </c>
      <c r="AH2357">
        <v>0</v>
      </c>
      <c r="AI2357" t="s">
        <v>1427</v>
      </c>
      <c r="AJ2357">
        <v>39.975386</v>
      </c>
      <c r="AK2357" t="s">
        <v>1428</v>
      </c>
      <c r="AL2357">
        <v>-92.704009999999997</v>
      </c>
      <c r="AM2357">
        <v>100</v>
      </c>
      <c r="AN2357">
        <v>1700</v>
      </c>
      <c r="AO2357" t="s">
        <v>118</v>
      </c>
      <c r="AP2357">
        <v>-107</v>
      </c>
      <c r="AQ2357">
        <v>78</v>
      </c>
      <c r="AR2357">
        <v>-64</v>
      </c>
      <c r="AZ2357">
        <v>1200</v>
      </c>
      <c r="BA2357">
        <v>1</v>
      </c>
      <c r="BB2357" t="str">
        <f t="shared" si="115"/>
        <v xml:space="preserve">N8080G  </v>
      </c>
      <c r="BC2357">
        <v>1</v>
      </c>
      <c r="BE2357">
        <v>0</v>
      </c>
      <c r="BF2357">
        <v>0</v>
      </c>
      <c r="BG2357">
        <v>0</v>
      </c>
      <c r="BH2357">
        <v>1700</v>
      </c>
      <c r="BI2357">
        <v>1</v>
      </c>
      <c r="BJ2357">
        <v>1</v>
      </c>
      <c r="BK2357">
        <v>1</v>
      </c>
      <c r="BL2357">
        <v>0</v>
      </c>
      <c r="BO2357">
        <v>0</v>
      </c>
      <c r="BP2357">
        <v>0</v>
      </c>
      <c r="BW2357" t="str">
        <f>"20:27:03.096"</f>
        <v>20:27:03.096</v>
      </c>
      <c r="BZ2357">
        <v>0</v>
      </c>
      <c r="CA2357">
        <v>2016</v>
      </c>
      <c r="CB2357">
        <v>224</v>
      </c>
      <c r="CD2357">
        <v>1</v>
      </c>
      <c r="CE2357">
        <v>0</v>
      </c>
      <c r="CF2357">
        <v>0</v>
      </c>
      <c r="CG2357">
        <v>1</v>
      </c>
      <c r="CH2357">
        <v>0</v>
      </c>
      <c r="CI2357">
        <v>0</v>
      </c>
      <c r="CJ2357">
        <v>0</v>
      </c>
      <c r="CK2357">
        <v>2</v>
      </c>
      <c r="CL2357">
        <v>0</v>
      </c>
      <c r="CM2357">
        <v>2</v>
      </c>
      <c r="CN2357">
        <v>0</v>
      </c>
      <c r="CO2357">
        <v>7</v>
      </c>
      <c r="CP2357" t="s">
        <v>119</v>
      </c>
      <c r="CQ2357">
        <v>180</v>
      </c>
      <c r="CR2357">
        <v>3</v>
      </c>
      <c r="CW2357">
        <v>862939</v>
      </c>
      <c r="CY2357">
        <v>1</v>
      </c>
      <c r="CZ2357">
        <v>0</v>
      </c>
      <c r="DA2357">
        <v>1</v>
      </c>
      <c r="DB2357">
        <v>0</v>
      </c>
      <c r="DC2357">
        <v>0</v>
      </c>
      <c r="DD2357">
        <v>0</v>
      </c>
      <c r="DE2357">
        <v>0</v>
      </c>
      <c r="DF2357">
        <v>0</v>
      </c>
      <c r="DG2357">
        <v>0</v>
      </c>
      <c r="DH2357">
        <v>0</v>
      </c>
      <c r="DI2357">
        <v>0</v>
      </c>
    </row>
    <row r="2358" spans="1:113" x14ac:dyDescent="0.3">
      <c r="A2358" t="str">
        <f>"02/08/2021 20:27:00.761"</f>
        <v>02/08/2021 20:27:00.761</v>
      </c>
      <c r="C2358" t="str">
        <f t="shared" si="114"/>
        <v>FFDFD7C0</v>
      </c>
      <c r="D2358" t="s">
        <v>124</v>
      </c>
      <c r="E2358">
        <v>13</v>
      </c>
      <c r="F2358">
        <v>1013</v>
      </c>
      <c r="G2358" t="s">
        <v>114</v>
      </c>
      <c r="J2358" t="s">
        <v>125</v>
      </c>
      <c r="K2358">
        <v>0</v>
      </c>
      <c r="L2358">
        <v>3</v>
      </c>
      <c r="M2358">
        <v>0</v>
      </c>
      <c r="N2358">
        <v>2</v>
      </c>
      <c r="O2358">
        <v>1</v>
      </c>
      <c r="P2358">
        <v>0</v>
      </c>
      <c r="Q2358">
        <v>0</v>
      </c>
      <c r="S2358" t="str">
        <f>"20:27:03.094"</f>
        <v>20:27:03.094</v>
      </c>
      <c r="T2358" t="str">
        <f>"20:27:02.594"</f>
        <v>20:27:02.594</v>
      </c>
      <c r="U2358" t="str">
        <f t="shared" si="113"/>
        <v>AB01F4</v>
      </c>
      <c r="V2358">
        <v>0</v>
      </c>
      <c r="W2358">
        <v>0</v>
      </c>
      <c r="X2358">
        <v>2</v>
      </c>
      <c r="Z2358">
        <v>0</v>
      </c>
      <c r="AA2358">
        <v>9</v>
      </c>
      <c r="AB2358">
        <v>3</v>
      </c>
      <c r="AC2358">
        <v>0</v>
      </c>
      <c r="AD2358">
        <v>10</v>
      </c>
      <c r="AE2358">
        <v>0</v>
      </c>
      <c r="AF2358">
        <v>3</v>
      </c>
      <c r="AG2358">
        <v>2</v>
      </c>
      <c r="AH2358">
        <v>0</v>
      </c>
      <c r="AI2358" t="s">
        <v>1427</v>
      </c>
      <c r="AJ2358">
        <v>39.975386</v>
      </c>
      <c r="AK2358" t="s">
        <v>1428</v>
      </c>
      <c r="AL2358">
        <v>-92.704009999999997</v>
      </c>
      <c r="AM2358">
        <v>100</v>
      </c>
      <c r="AN2358">
        <v>1700</v>
      </c>
      <c r="AO2358" t="s">
        <v>118</v>
      </c>
      <c r="AP2358">
        <v>-107</v>
      </c>
      <c r="AQ2358">
        <v>78</v>
      </c>
      <c r="AR2358">
        <v>-64</v>
      </c>
      <c r="AZ2358">
        <v>1200</v>
      </c>
      <c r="BA2358">
        <v>1</v>
      </c>
      <c r="BB2358" t="str">
        <f t="shared" si="115"/>
        <v xml:space="preserve">N8080G  </v>
      </c>
      <c r="BC2358">
        <v>1</v>
      </c>
      <c r="BE2358">
        <v>0</v>
      </c>
      <c r="BF2358">
        <v>0</v>
      </c>
      <c r="BG2358">
        <v>0</v>
      </c>
      <c r="BH2358">
        <v>1700</v>
      </c>
      <c r="BI2358">
        <v>1</v>
      </c>
      <c r="BJ2358">
        <v>1</v>
      </c>
      <c r="BK2358">
        <v>1</v>
      </c>
      <c r="BL2358">
        <v>0</v>
      </c>
      <c r="BO2358">
        <v>0</v>
      </c>
      <c r="BP2358">
        <v>0</v>
      </c>
      <c r="BW2358" t="str">
        <f>"20:27:03.096"</f>
        <v>20:27:03.096</v>
      </c>
      <c r="BZ2358">
        <v>0</v>
      </c>
      <c r="CA2358">
        <v>2016</v>
      </c>
      <c r="CB2358">
        <v>224</v>
      </c>
      <c r="CD2358">
        <v>1</v>
      </c>
      <c r="CE2358">
        <v>0</v>
      </c>
      <c r="CF2358">
        <v>0</v>
      </c>
      <c r="CG2358">
        <v>1</v>
      </c>
      <c r="CH2358">
        <v>0</v>
      </c>
      <c r="CI2358">
        <v>0</v>
      </c>
      <c r="CJ2358">
        <v>0</v>
      </c>
      <c r="CK2358">
        <v>2</v>
      </c>
      <c r="CL2358">
        <v>0</v>
      </c>
      <c r="CM2358">
        <v>2</v>
      </c>
      <c r="CN2358">
        <v>0</v>
      </c>
      <c r="CO2358">
        <v>7</v>
      </c>
      <c r="CP2358" t="s">
        <v>119</v>
      </c>
      <c r="CQ2358">
        <v>180</v>
      </c>
      <c r="CR2358">
        <v>3</v>
      </c>
      <c r="CW2358">
        <v>862939</v>
      </c>
      <c r="CY2358">
        <v>1</v>
      </c>
      <c r="CZ2358">
        <v>0</v>
      </c>
      <c r="DA2358">
        <v>1</v>
      </c>
      <c r="DB2358">
        <v>0</v>
      </c>
      <c r="DC2358">
        <v>0</v>
      </c>
      <c r="DD2358">
        <v>0</v>
      </c>
      <c r="DE2358">
        <v>0</v>
      </c>
      <c r="DF2358">
        <v>0</v>
      </c>
      <c r="DG2358">
        <v>0</v>
      </c>
      <c r="DH2358">
        <v>0</v>
      </c>
      <c r="DI2358">
        <v>0</v>
      </c>
    </row>
    <row r="2359" spans="1:113" x14ac:dyDescent="0.3">
      <c r="A2359" t="str">
        <f>"02/08/2021 20:27:04.053"</f>
        <v>02/08/2021 20:27:04.053</v>
      </c>
      <c r="C2359" t="str">
        <f t="shared" si="114"/>
        <v>FFDFD7C0</v>
      </c>
      <c r="D2359" t="s">
        <v>124</v>
      </c>
      <c r="E2359">
        <v>13</v>
      </c>
      <c r="F2359">
        <v>1013</v>
      </c>
      <c r="G2359" t="s">
        <v>114</v>
      </c>
      <c r="J2359" t="s">
        <v>125</v>
      </c>
      <c r="K2359">
        <v>0</v>
      </c>
      <c r="L2359">
        <v>3</v>
      </c>
      <c r="M2359">
        <v>0</v>
      </c>
      <c r="N2359">
        <v>2</v>
      </c>
      <c r="O2359">
        <v>1</v>
      </c>
      <c r="P2359">
        <v>0</v>
      </c>
      <c r="Q2359">
        <v>0</v>
      </c>
      <c r="S2359" t="str">
        <f>"20:27:06.383"</f>
        <v>20:27:06.383</v>
      </c>
      <c r="T2359" t="str">
        <f>"20:27:05.883"</f>
        <v>20:27:05.883</v>
      </c>
      <c r="U2359" t="str">
        <f t="shared" si="113"/>
        <v>AB01F4</v>
      </c>
      <c r="V2359">
        <v>0</v>
      </c>
      <c r="W2359">
        <v>0</v>
      </c>
      <c r="X2359">
        <v>2</v>
      </c>
      <c r="Z2359">
        <v>0</v>
      </c>
      <c r="AA2359">
        <v>9</v>
      </c>
      <c r="AB2359">
        <v>3</v>
      </c>
      <c r="AC2359">
        <v>0</v>
      </c>
      <c r="AD2359">
        <v>10</v>
      </c>
      <c r="AE2359">
        <v>0</v>
      </c>
      <c r="AF2359">
        <v>3</v>
      </c>
      <c r="AG2359">
        <v>2</v>
      </c>
      <c r="AH2359">
        <v>0</v>
      </c>
      <c r="AI2359" t="s">
        <v>1429</v>
      </c>
      <c r="AJ2359">
        <v>39.976543999999997</v>
      </c>
      <c r="AK2359" t="s">
        <v>1430</v>
      </c>
      <c r="AL2359">
        <v>-92.706176999999997</v>
      </c>
      <c r="AM2359">
        <v>100</v>
      </c>
      <c r="AN2359">
        <v>1700</v>
      </c>
      <c r="AO2359" t="s">
        <v>118</v>
      </c>
      <c r="AP2359">
        <v>-107</v>
      </c>
      <c r="AQ2359">
        <v>78</v>
      </c>
      <c r="AR2359">
        <v>-192</v>
      </c>
      <c r="AZ2359">
        <v>1200</v>
      </c>
      <c r="BA2359">
        <v>1</v>
      </c>
      <c r="BB2359" t="str">
        <f t="shared" si="115"/>
        <v xml:space="preserve">N8080G  </v>
      </c>
      <c r="BC2359">
        <v>1</v>
      </c>
      <c r="BE2359">
        <v>0</v>
      </c>
      <c r="BF2359">
        <v>0</v>
      </c>
      <c r="BG2359">
        <v>0</v>
      </c>
      <c r="BH2359">
        <v>1700</v>
      </c>
      <c r="BI2359">
        <v>1</v>
      </c>
      <c r="BJ2359">
        <v>1</v>
      </c>
      <c r="BK2359">
        <v>1</v>
      </c>
      <c r="BL2359">
        <v>0</v>
      </c>
      <c r="BO2359">
        <v>0</v>
      </c>
      <c r="BP2359">
        <v>0</v>
      </c>
      <c r="BW2359" t="str">
        <f>"20:27:06.386"</f>
        <v>20:27:06.386</v>
      </c>
      <c r="BZ2359">
        <v>0</v>
      </c>
      <c r="CA2359">
        <v>2016</v>
      </c>
      <c r="CB2359">
        <v>224</v>
      </c>
      <c r="CD2359">
        <v>1</v>
      </c>
      <c r="CE2359">
        <v>0</v>
      </c>
      <c r="CF2359">
        <v>0</v>
      </c>
      <c r="CG2359">
        <v>1</v>
      </c>
      <c r="CH2359">
        <v>0</v>
      </c>
      <c r="CI2359">
        <v>0</v>
      </c>
      <c r="CJ2359">
        <v>0</v>
      </c>
      <c r="CK2359">
        <v>2</v>
      </c>
      <c r="CL2359">
        <v>0</v>
      </c>
      <c r="CM2359">
        <v>2</v>
      </c>
      <c r="CN2359">
        <v>0</v>
      </c>
      <c r="CO2359">
        <v>7</v>
      </c>
      <c r="CP2359" t="s">
        <v>119</v>
      </c>
      <c r="CQ2359">
        <v>180</v>
      </c>
      <c r="CR2359">
        <v>3</v>
      </c>
      <c r="CW2359">
        <v>865776</v>
      </c>
      <c r="CY2359">
        <v>1</v>
      </c>
      <c r="CZ2359">
        <v>0</v>
      </c>
      <c r="DA2359">
        <v>0</v>
      </c>
      <c r="DB2359">
        <v>0</v>
      </c>
      <c r="DC2359">
        <v>0</v>
      </c>
      <c r="DD2359">
        <v>0</v>
      </c>
      <c r="DE2359">
        <v>0</v>
      </c>
      <c r="DF2359">
        <v>0</v>
      </c>
      <c r="DG2359">
        <v>0</v>
      </c>
      <c r="DH2359">
        <v>0</v>
      </c>
      <c r="DI2359">
        <v>0</v>
      </c>
    </row>
    <row r="2360" spans="1:113" x14ac:dyDescent="0.3">
      <c r="A2360" t="str">
        <f>"02/08/2021 20:27:04.053"</f>
        <v>02/08/2021 20:27:04.053</v>
      </c>
      <c r="C2360" t="str">
        <f t="shared" si="114"/>
        <v>FFDFD7C0</v>
      </c>
      <c r="D2360" t="s">
        <v>124</v>
      </c>
      <c r="E2360">
        <v>11</v>
      </c>
      <c r="F2360">
        <v>1011</v>
      </c>
      <c r="G2360" t="s">
        <v>590</v>
      </c>
      <c r="J2360" t="s">
        <v>125</v>
      </c>
      <c r="K2360">
        <v>0</v>
      </c>
      <c r="L2360">
        <v>3</v>
      </c>
      <c r="M2360">
        <v>0</v>
      </c>
      <c r="N2360">
        <v>2</v>
      </c>
      <c r="O2360">
        <v>1</v>
      </c>
      <c r="P2360">
        <v>0</v>
      </c>
      <c r="Q2360">
        <v>0</v>
      </c>
      <c r="S2360" t="str">
        <f>"20:27:06.383"</f>
        <v>20:27:06.383</v>
      </c>
      <c r="T2360" t="str">
        <f>"20:27:05.883"</f>
        <v>20:27:05.883</v>
      </c>
      <c r="U2360" t="str">
        <f t="shared" si="113"/>
        <v>AB01F4</v>
      </c>
      <c r="V2360">
        <v>0</v>
      </c>
      <c r="W2360">
        <v>0</v>
      </c>
      <c r="X2360">
        <v>2</v>
      </c>
      <c r="Z2360">
        <v>0</v>
      </c>
      <c r="AA2360">
        <v>9</v>
      </c>
      <c r="AB2360">
        <v>3</v>
      </c>
      <c r="AC2360">
        <v>0</v>
      </c>
      <c r="AD2360">
        <v>10</v>
      </c>
      <c r="AE2360">
        <v>0</v>
      </c>
      <c r="AF2360">
        <v>3</v>
      </c>
      <c r="AG2360">
        <v>2</v>
      </c>
      <c r="AH2360">
        <v>0</v>
      </c>
      <c r="AI2360" t="s">
        <v>1429</v>
      </c>
      <c r="AJ2360">
        <v>39.976543999999997</v>
      </c>
      <c r="AK2360" t="s">
        <v>1430</v>
      </c>
      <c r="AL2360">
        <v>-92.706176999999997</v>
      </c>
      <c r="AM2360">
        <v>100</v>
      </c>
      <c r="AN2360">
        <v>1700</v>
      </c>
      <c r="AO2360" t="s">
        <v>118</v>
      </c>
      <c r="AP2360">
        <v>-107</v>
      </c>
      <c r="AQ2360">
        <v>78</v>
      </c>
      <c r="AR2360">
        <v>-192</v>
      </c>
      <c r="AZ2360">
        <v>1200</v>
      </c>
      <c r="BA2360">
        <v>1</v>
      </c>
      <c r="BB2360" t="str">
        <f t="shared" si="115"/>
        <v xml:space="preserve">N8080G  </v>
      </c>
      <c r="BC2360">
        <v>1</v>
      </c>
      <c r="BE2360">
        <v>0</v>
      </c>
      <c r="BF2360">
        <v>0</v>
      </c>
      <c r="BG2360">
        <v>0</v>
      </c>
      <c r="BH2360">
        <v>1700</v>
      </c>
      <c r="BI2360">
        <v>1</v>
      </c>
      <c r="BJ2360">
        <v>1</v>
      </c>
      <c r="BK2360">
        <v>1</v>
      </c>
      <c r="BL2360">
        <v>0</v>
      </c>
      <c r="BO2360">
        <v>0</v>
      </c>
      <c r="BP2360">
        <v>0</v>
      </c>
      <c r="BW2360" t="str">
        <f>"20:27:06.386"</f>
        <v>20:27:06.386</v>
      </c>
      <c r="BZ2360">
        <v>0</v>
      </c>
      <c r="CA2360">
        <v>2016</v>
      </c>
      <c r="CB2360">
        <v>224</v>
      </c>
      <c r="CD2360">
        <v>1</v>
      </c>
      <c r="CE2360">
        <v>0</v>
      </c>
      <c r="CF2360">
        <v>0</v>
      </c>
      <c r="CG2360">
        <v>1</v>
      </c>
      <c r="CH2360">
        <v>0</v>
      </c>
      <c r="CI2360">
        <v>0</v>
      </c>
      <c r="CJ2360">
        <v>0</v>
      </c>
      <c r="CK2360">
        <v>2</v>
      </c>
      <c r="CL2360">
        <v>0</v>
      </c>
      <c r="CM2360">
        <v>2</v>
      </c>
      <c r="CN2360">
        <v>0</v>
      </c>
      <c r="CO2360">
        <v>7</v>
      </c>
      <c r="CP2360" t="s">
        <v>119</v>
      </c>
      <c r="CQ2360">
        <v>180</v>
      </c>
      <c r="CR2360">
        <v>3</v>
      </c>
      <c r="CW2360">
        <v>865776</v>
      </c>
      <c r="CY2360">
        <v>1</v>
      </c>
      <c r="CZ2360">
        <v>0</v>
      </c>
      <c r="DA2360">
        <v>1</v>
      </c>
      <c r="DB2360">
        <v>0</v>
      </c>
      <c r="DC2360">
        <v>0</v>
      </c>
      <c r="DD2360">
        <v>0</v>
      </c>
      <c r="DE2360">
        <v>0</v>
      </c>
      <c r="DF2360">
        <v>0</v>
      </c>
      <c r="DG2360">
        <v>0</v>
      </c>
      <c r="DH2360">
        <v>0</v>
      </c>
      <c r="DI2360">
        <v>0</v>
      </c>
    </row>
    <row r="2361" spans="1:113" x14ac:dyDescent="0.3">
      <c r="A2361" t="str">
        <f>"02/08/2021 20:27:04.053"</f>
        <v>02/08/2021 20:27:04.053</v>
      </c>
      <c r="C2361" t="str">
        <f t="shared" si="114"/>
        <v>FFDFD7C0</v>
      </c>
      <c r="D2361" t="s">
        <v>113</v>
      </c>
      <c r="E2361">
        <v>6</v>
      </c>
      <c r="H2361">
        <v>165</v>
      </c>
      <c r="I2361" t="s">
        <v>114</v>
      </c>
      <c r="J2361" t="s">
        <v>115</v>
      </c>
      <c r="K2361">
        <v>0</v>
      </c>
      <c r="L2361">
        <v>3</v>
      </c>
      <c r="M2361">
        <v>0</v>
      </c>
      <c r="N2361">
        <v>2</v>
      </c>
      <c r="O2361">
        <v>1</v>
      </c>
      <c r="P2361">
        <v>0</v>
      </c>
      <c r="Q2361">
        <v>0</v>
      </c>
      <c r="S2361" t="str">
        <f>"20:27:06.383"</f>
        <v>20:27:06.383</v>
      </c>
      <c r="T2361" t="str">
        <f>"20:27:05.883"</f>
        <v>20:27:05.883</v>
      </c>
      <c r="U2361" t="str">
        <f t="shared" si="113"/>
        <v>AB01F4</v>
      </c>
      <c r="V2361">
        <v>0</v>
      </c>
      <c r="W2361">
        <v>0</v>
      </c>
      <c r="X2361">
        <v>2</v>
      </c>
      <c r="Z2361">
        <v>0</v>
      </c>
      <c r="AA2361">
        <v>9</v>
      </c>
      <c r="AB2361">
        <v>3</v>
      </c>
      <c r="AC2361">
        <v>0</v>
      </c>
      <c r="AD2361">
        <v>10</v>
      </c>
      <c r="AE2361">
        <v>0</v>
      </c>
      <c r="AF2361">
        <v>3</v>
      </c>
      <c r="AG2361">
        <v>2</v>
      </c>
      <c r="AH2361">
        <v>0</v>
      </c>
      <c r="AI2361" t="s">
        <v>1429</v>
      </c>
      <c r="AJ2361">
        <v>39.976543999999997</v>
      </c>
      <c r="AK2361" t="s">
        <v>1430</v>
      </c>
      <c r="AL2361">
        <v>-92.706176999999997</v>
      </c>
      <c r="AM2361">
        <v>100</v>
      </c>
      <c r="AN2361">
        <v>1700</v>
      </c>
      <c r="AO2361" t="s">
        <v>118</v>
      </c>
      <c r="AP2361">
        <v>-107</v>
      </c>
      <c r="AQ2361">
        <v>78</v>
      </c>
      <c r="AR2361">
        <v>-192</v>
      </c>
      <c r="AZ2361">
        <v>1200</v>
      </c>
      <c r="BA2361">
        <v>1</v>
      </c>
      <c r="BB2361" t="str">
        <f t="shared" si="115"/>
        <v xml:space="preserve">N8080G  </v>
      </c>
      <c r="BC2361">
        <v>1</v>
      </c>
      <c r="BE2361">
        <v>0</v>
      </c>
      <c r="BF2361">
        <v>0</v>
      </c>
      <c r="BG2361">
        <v>0</v>
      </c>
      <c r="BH2361">
        <v>1700</v>
      </c>
      <c r="BI2361">
        <v>1</v>
      </c>
      <c r="BJ2361">
        <v>1</v>
      </c>
      <c r="BK2361">
        <v>1</v>
      </c>
      <c r="BL2361">
        <v>0</v>
      </c>
      <c r="BO2361">
        <v>0</v>
      </c>
      <c r="BP2361">
        <v>0</v>
      </c>
      <c r="BW2361" t="str">
        <f>"20:27:06.386"</f>
        <v>20:27:06.386</v>
      </c>
      <c r="BZ2361">
        <v>0</v>
      </c>
      <c r="CA2361">
        <v>2016</v>
      </c>
      <c r="CB2361">
        <v>224</v>
      </c>
      <c r="CD2361">
        <v>1</v>
      </c>
      <c r="CE2361">
        <v>0</v>
      </c>
      <c r="CF2361">
        <v>0</v>
      </c>
      <c r="CG2361">
        <v>1</v>
      </c>
      <c r="CH2361">
        <v>0</v>
      </c>
      <c r="CI2361">
        <v>0</v>
      </c>
      <c r="CJ2361">
        <v>0</v>
      </c>
      <c r="CK2361">
        <v>2</v>
      </c>
      <c r="CL2361">
        <v>0</v>
      </c>
      <c r="CM2361">
        <v>2</v>
      </c>
      <c r="CN2361">
        <v>0</v>
      </c>
      <c r="CO2361">
        <v>7</v>
      </c>
      <c r="CP2361" t="s">
        <v>119</v>
      </c>
      <c r="CQ2361">
        <v>180</v>
      </c>
      <c r="CR2361">
        <v>3</v>
      </c>
      <c r="CW2361">
        <v>865776</v>
      </c>
      <c r="CY2361">
        <v>1</v>
      </c>
      <c r="CZ2361">
        <v>0</v>
      </c>
      <c r="DA2361">
        <v>1</v>
      </c>
      <c r="DB2361">
        <v>0</v>
      </c>
      <c r="DC2361">
        <v>0</v>
      </c>
      <c r="DD2361">
        <v>0</v>
      </c>
      <c r="DE2361">
        <v>0</v>
      </c>
      <c r="DF2361">
        <v>0</v>
      </c>
      <c r="DG2361">
        <v>0</v>
      </c>
      <c r="DH2361">
        <v>0</v>
      </c>
      <c r="DI2361">
        <v>0</v>
      </c>
    </row>
    <row r="2362" spans="1:113" x14ac:dyDescent="0.3">
      <c r="A2362" t="str">
        <f>"02/08/2021 20:27:04.053"</f>
        <v>02/08/2021 20:27:04.053</v>
      </c>
      <c r="C2362" t="str">
        <f t="shared" si="114"/>
        <v>FFDFD7C0</v>
      </c>
      <c r="D2362" t="s">
        <v>124</v>
      </c>
      <c r="E2362">
        <v>12</v>
      </c>
      <c r="F2362">
        <v>1012</v>
      </c>
      <c r="G2362" t="s">
        <v>675</v>
      </c>
      <c r="J2362" t="s">
        <v>125</v>
      </c>
      <c r="K2362">
        <v>0</v>
      </c>
      <c r="L2362">
        <v>3</v>
      </c>
      <c r="M2362">
        <v>0</v>
      </c>
      <c r="N2362">
        <v>2</v>
      </c>
      <c r="O2362">
        <v>1</v>
      </c>
      <c r="P2362">
        <v>0</v>
      </c>
      <c r="Q2362">
        <v>0</v>
      </c>
      <c r="S2362" t="str">
        <f>"20:27:06.383"</f>
        <v>20:27:06.383</v>
      </c>
      <c r="T2362" t="str">
        <f>"20:27:05.883"</f>
        <v>20:27:05.883</v>
      </c>
      <c r="U2362" t="str">
        <f t="shared" si="113"/>
        <v>AB01F4</v>
      </c>
      <c r="V2362">
        <v>0</v>
      </c>
      <c r="W2362">
        <v>0</v>
      </c>
      <c r="X2362">
        <v>2</v>
      </c>
      <c r="Z2362">
        <v>0</v>
      </c>
      <c r="AA2362">
        <v>9</v>
      </c>
      <c r="AB2362">
        <v>3</v>
      </c>
      <c r="AC2362">
        <v>0</v>
      </c>
      <c r="AD2362">
        <v>10</v>
      </c>
      <c r="AE2362">
        <v>0</v>
      </c>
      <c r="AF2362">
        <v>3</v>
      </c>
      <c r="AG2362">
        <v>2</v>
      </c>
      <c r="AH2362">
        <v>0</v>
      </c>
      <c r="AI2362" t="s">
        <v>1429</v>
      </c>
      <c r="AJ2362">
        <v>39.976543999999997</v>
      </c>
      <c r="AK2362" t="s">
        <v>1430</v>
      </c>
      <c r="AL2362">
        <v>-92.706176999999997</v>
      </c>
      <c r="AM2362">
        <v>100</v>
      </c>
      <c r="AN2362">
        <v>1700</v>
      </c>
      <c r="AO2362" t="s">
        <v>118</v>
      </c>
      <c r="AP2362">
        <v>-107</v>
      </c>
      <c r="AQ2362">
        <v>78</v>
      </c>
      <c r="AR2362">
        <v>-192</v>
      </c>
      <c r="AZ2362">
        <v>1200</v>
      </c>
      <c r="BA2362">
        <v>1</v>
      </c>
      <c r="BB2362" t="str">
        <f t="shared" si="115"/>
        <v xml:space="preserve">N8080G  </v>
      </c>
      <c r="BC2362">
        <v>1</v>
      </c>
      <c r="BE2362">
        <v>0</v>
      </c>
      <c r="BF2362">
        <v>0</v>
      </c>
      <c r="BG2362">
        <v>0</v>
      </c>
      <c r="BH2362">
        <v>1700</v>
      </c>
      <c r="BI2362">
        <v>1</v>
      </c>
      <c r="BJ2362">
        <v>1</v>
      </c>
      <c r="BK2362">
        <v>1</v>
      </c>
      <c r="BL2362">
        <v>0</v>
      </c>
      <c r="BO2362">
        <v>0</v>
      </c>
      <c r="BP2362">
        <v>0</v>
      </c>
      <c r="BW2362" t="str">
        <f>"20:27:06.386"</f>
        <v>20:27:06.386</v>
      </c>
      <c r="BZ2362">
        <v>0</v>
      </c>
      <c r="CA2362">
        <v>2016</v>
      </c>
      <c r="CB2362">
        <v>224</v>
      </c>
      <c r="CD2362">
        <v>1</v>
      </c>
      <c r="CE2362">
        <v>0</v>
      </c>
      <c r="CF2362">
        <v>0</v>
      </c>
      <c r="CG2362">
        <v>1</v>
      </c>
      <c r="CH2362">
        <v>0</v>
      </c>
      <c r="CI2362">
        <v>0</v>
      </c>
      <c r="CJ2362">
        <v>0</v>
      </c>
      <c r="CK2362">
        <v>2</v>
      </c>
      <c r="CL2362">
        <v>0</v>
      </c>
      <c r="CM2362">
        <v>2</v>
      </c>
      <c r="CN2362">
        <v>0</v>
      </c>
      <c r="CO2362">
        <v>7</v>
      </c>
      <c r="CP2362" t="s">
        <v>119</v>
      </c>
      <c r="CQ2362">
        <v>180</v>
      </c>
      <c r="CR2362">
        <v>3</v>
      </c>
      <c r="CW2362">
        <v>865776</v>
      </c>
      <c r="CY2362">
        <v>1</v>
      </c>
      <c r="CZ2362">
        <v>0</v>
      </c>
      <c r="DA2362">
        <v>1</v>
      </c>
      <c r="DB2362">
        <v>0</v>
      </c>
      <c r="DC2362">
        <v>0</v>
      </c>
      <c r="DD2362">
        <v>0</v>
      </c>
      <c r="DE2362">
        <v>0</v>
      </c>
      <c r="DF2362">
        <v>0</v>
      </c>
      <c r="DG2362">
        <v>0</v>
      </c>
      <c r="DH2362">
        <v>0</v>
      </c>
      <c r="DI2362">
        <v>0</v>
      </c>
    </row>
    <row r="2363" spans="1:113" x14ac:dyDescent="0.3">
      <c r="A2363" t="str">
        <f>"02/08/2021 20:27:05.109"</f>
        <v>02/08/2021 20:27:05.109</v>
      </c>
      <c r="C2363" t="str">
        <f t="shared" si="114"/>
        <v>FFDFD7C0</v>
      </c>
      <c r="D2363" t="s">
        <v>124</v>
      </c>
      <c r="E2363">
        <v>13</v>
      </c>
      <c r="F2363">
        <v>1013</v>
      </c>
      <c r="G2363" t="s">
        <v>114</v>
      </c>
      <c r="J2363" t="s">
        <v>125</v>
      </c>
      <c r="K2363">
        <v>0</v>
      </c>
      <c r="L2363">
        <v>3</v>
      </c>
      <c r="M2363">
        <v>0</v>
      </c>
      <c r="N2363">
        <v>2</v>
      </c>
      <c r="O2363">
        <v>1</v>
      </c>
      <c r="P2363">
        <v>0</v>
      </c>
      <c r="Q2363">
        <v>0</v>
      </c>
      <c r="S2363" t="str">
        <f>"20:27:07.414"</f>
        <v>20:27:07.414</v>
      </c>
      <c r="T2363" t="str">
        <f>"20:27:05.914"</f>
        <v>20:27:05.914</v>
      </c>
      <c r="U2363" t="str">
        <f t="shared" si="113"/>
        <v>AB01F4</v>
      </c>
      <c r="V2363">
        <v>0</v>
      </c>
      <c r="W2363">
        <v>0</v>
      </c>
      <c r="X2363">
        <v>2</v>
      </c>
      <c r="Z2363">
        <v>0</v>
      </c>
      <c r="AA2363">
        <v>9</v>
      </c>
      <c r="AB2363">
        <v>3</v>
      </c>
      <c r="AC2363">
        <v>0</v>
      </c>
      <c r="AD2363">
        <v>10</v>
      </c>
      <c r="AE2363">
        <v>0</v>
      </c>
      <c r="AF2363">
        <v>3</v>
      </c>
      <c r="AG2363">
        <v>2</v>
      </c>
      <c r="AH2363">
        <v>0</v>
      </c>
      <c r="AI2363" t="s">
        <v>1431</v>
      </c>
      <c r="AJ2363">
        <v>39.976908999999999</v>
      </c>
      <c r="AK2363" t="s">
        <v>1432</v>
      </c>
      <c r="AL2363">
        <v>-92.706841999999995</v>
      </c>
      <c r="AM2363">
        <v>100</v>
      </c>
      <c r="AN2363">
        <v>1700</v>
      </c>
      <c r="AO2363" t="s">
        <v>118</v>
      </c>
      <c r="AP2363">
        <v>-107</v>
      </c>
      <c r="AQ2363">
        <v>78</v>
      </c>
      <c r="AR2363">
        <v>-192</v>
      </c>
      <c r="AZ2363">
        <v>1200</v>
      </c>
      <c r="BA2363">
        <v>1</v>
      </c>
      <c r="BB2363" t="str">
        <f t="shared" si="115"/>
        <v xml:space="preserve">N8080G  </v>
      </c>
      <c r="BC2363">
        <v>1</v>
      </c>
      <c r="BE2363">
        <v>0</v>
      </c>
      <c r="BF2363">
        <v>0</v>
      </c>
      <c r="BG2363">
        <v>0</v>
      </c>
      <c r="BH2363">
        <v>1700</v>
      </c>
      <c r="BI2363">
        <v>1</v>
      </c>
      <c r="BJ2363">
        <v>1</v>
      </c>
      <c r="BK2363">
        <v>1</v>
      </c>
      <c r="BL2363">
        <v>0</v>
      </c>
      <c r="BO2363">
        <v>0</v>
      </c>
      <c r="BP2363">
        <v>0</v>
      </c>
      <c r="BW2363" t="str">
        <f>"20:27:07.417"</f>
        <v>20:27:07.417</v>
      </c>
      <c r="BZ2363">
        <v>0</v>
      </c>
      <c r="CA2363">
        <v>2016</v>
      </c>
      <c r="CB2363">
        <v>224</v>
      </c>
      <c r="CD2363">
        <v>1</v>
      </c>
      <c r="CE2363">
        <v>0</v>
      </c>
      <c r="CF2363">
        <v>0</v>
      </c>
      <c r="CG2363">
        <v>1</v>
      </c>
      <c r="CH2363">
        <v>0</v>
      </c>
      <c r="CI2363">
        <v>0</v>
      </c>
      <c r="CJ2363">
        <v>0</v>
      </c>
      <c r="CK2363">
        <v>2</v>
      </c>
      <c r="CL2363">
        <v>0</v>
      </c>
      <c r="CM2363">
        <v>2</v>
      </c>
      <c r="CN2363">
        <v>0</v>
      </c>
      <c r="CO2363">
        <v>4</v>
      </c>
      <c r="CP2363" t="s">
        <v>119</v>
      </c>
      <c r="CQ2363">
        <v>179</v>
      </c>
      <c r="CR2363">
        <v>1</v>
      </c>
      <c r="CW2363">
        <v>8957896</v>
      </c>
      <c r="CY2363">
        <v>1</v>
      </c>
      <c r="CZ2363">
        <v>0</v>
      </c>
      <c r="DA2363">
        <v>0</v>
      </c>
      <c r="DB2363">
        <v>0</v>
      </c>
      <c r="DC2363">
        <v>0</v>
      </c>
      <c r="DD2363">
        <v>0</v>
      </c>
      <c r="DE2363">
        <v>0</v>
      </c>
      <c r="DF2363">
        <v>0</v>
      </c>
      <c r="DG2363">
        <v>0</v>
      </c>
      <c r="DH2363">
        <v>0</v>
      </c>
      <c r="DI2363">
        <v>0</v>
      </c>
    </row>
    <row r="2364" spans="1:113" x14ac:dyDescent="0.3">
      <c r="A2364" t="str">
        <f>"02/08/2021 20:27:05.109"</f>
        <v>02/08/2021 20:27:05.109</v>
      </c>
      <c r="C2364" t="str">
        <f t="shared" si="114"/>
        <v>FFDFD7C0</v>
      </c>
      <c r="D2364" t="s">
        <v>124</v>
      </c>
      <c r="E2364">
        <v>11</v>
      </c>
      <c r="F2364">
        <v>1011</v>
      </c>
      <c r="G2364" t="s">
        <v>590</v>
      </c>
      <c r="J2364" t="s">
        <v>125</v>
      </c>
      <c r="K2364">
        <v>0</v>
      </c>
      <c r="L2364">
        <v>3</v>
      </c>
      <c r="M2364">
        <v>0</v>
      </c>
      <c r="N2364">
        <v>2</v>
      </c>
      <c r="O2364">
        <v>1</v>
      </c>
      <c r="P2364">
        <v>0</v>
      </c>
      <c r="Q2364">
        <v>0</v>
      </c>
      <c r="S2364" t="str">
        <f>"20:27:07.414"</f>
        <v>20:27:07.414</v>
      </c>
      <c r="T2364" t="str">
        <f>"20:27:05.914"</f>
        <v>20:27:05.914</v>
      </c>
      <c r="U2364" t="str">
        <f t="shared" si="113"/>
        <v>AB01F4</v>
      </c>
      <c r="V2364">
        <v>0</v>
      </c>
      <c r="W2364">
        <v>0</v>
      </c>
      <c r="X2364">
        <v>2</v>
      </c>
      <c r="Z2364">
        <v>0</v>
      </c>
      <c r="AA2364">
        <v>9</v>
      </c>
      <c r="AB2364">
        <v>3</v>
      </c>
      <c r="AC2364">
        <v>0</v>
      </c>
      <c r="AD2364">
        <v>10</v>
      </c>
      <c r="AE2364">
        <v>0</v>
      </c>
      <c r="AF2364">
        <v>3</v>
      </c>
      <c r="AG2364">
        <v>2</v>
      </c>
      <c r="AH2364">
        <v>0</v>
      </c>
      <c r="AI2364" t="s">
        <v>1431</v>
      </c>
      <c r="AJ2364">
        <v>39.976908999999999</v>
      </c>
      <c r="AK2364" t="s">
        <v>1432</v>
      </c>
      <c r="AL2364">
        <v>-92.706841999999995</v>
      </c>
      <c r="AM2364">
        <v>100</v>
      </c>
      <c r="AN2364">
        <v>1700</v>
      </c>
      <c r="AO2364" t="s">
        <v>118</v>
      </c>
      <c r="AP2364">
        <v>-107</v>
      </c>
      <c r="AQ2364">
        <v>78</v>
      </c>
      <c r="AR2364">
        <v>-192</v>
      </c>
      <c r="AZ2364">
        <v>1200</v>
      </c>
      <c r="BA2364">
        <v>1</v>
      </c>
      <c r="BB2364" t="str">
        <f t="shared" si="115"/>
        <v xml:space="preserve">N8080G  </v>
      </c>
      <c r="BC2364">
        <v>1</v>
      </c>
      <c r="BE2364">
        <v>0</v>
      </c>
      <c r="BF2364">
        <v>0</v>
      </c>
      <c r="BG2364">
        <v>0</v>
      </c>
      <c r="BH2364">
        <v>1700</v>
      </c>
      <c r="BI2364">
        <v>1</v>
      </c>
      <c r="BJ2364">
        <v>1</v>
      </c>
      <c r="BK2364">
        <v>1</v>
      </c>
      <c r="BL2364">
        <v>0</v>
      </c>
      <c r="BO2364">
        <v>0</v>
      </c>
      <c r="BP2364">
        <v>0</v>
      </c>
      <c r="BW2364" t="str">
        <f>"20:27:07.417"</f>
        <v>20:27:07.417</v>
      </c>
      <c r="BZ2364">
        <v>0</v>
      </c>
      <c r="CA2364">
        <v>2016</v>
      </c>
      <c r="CB2364">
        <v>224</v>
      </c>
      <c r="CD2364">
        <v>1</v>
      </c>
      <c r="CE2364">
        <v>0</v>
      </c>
      <c r="CF2364">
        <v>0</v>
      </c>
      <c r="CG2364">
        <v>1</v>
      </c>
      <c r="CH2364">
        <v>0</v>
      </c>
      <c r="CI2364">
        <v>0</v>
      </c>
      <c r="CJ2364">
        <v>0</v>
      </c>
      <c r="CK2364">
        <v>2</v>
      </c>
      <c r="CL2364">
        <v>0</v>
      </c>
      <c r="CM2364">
        <v>2</v>
      </c>
      <c r="CN2364">
        <v>0</v>
      </c>
      <c r="CO2364">
        <v>4</v>
      </c>
      <c r="CP2364" t="s">
        <v>119</v>
      </c>
      <c r="CQ2364">
        <v>179</v>
      </c>
      <c r="CR2364">
        <v>1</v>
      </c>
      <c r="CW2364">
        <v>8957896</v>
      </c>
      <c r="CY2364">
        <v>1</v>
      </c>
      <c r="CZ2364">
        <v>0</v>
      </c>
      <c r="DA2364">
        <v>1</v>
      </c>
      <c r="DB2364">
        <v>0</v>
      </c>
      <c r="DC2364">
        <v>0</v>
      </c>
      <c r="DD2364">
        <v>0</v>
      </c>
      <c r="DE2364">
        <v>0</v>
      </c>
      <c r="DF2364">
        <v>0</v>
      </c>
      <c r="DG2364">
        <v>0</v>
      </c>
      <c r="DH2364">
        <v>0</v>
      </c>
      <c r="DI2364">
        <v>0</v>
      </c>
    </row>
    <row r="2365" spans="1:113" x14ac:dyDescent="0.3">
      <c r="A2365" t="str">
        <f>"02/08/2021 20:27:05.109"</f>
        <v>02/08/2021 20:27:05.109</v>
      </c>
      <c r="C2365" t="str">
        <f t="shared" si="114"/>
        <v>FFDFD7C0</v>
      </c>
      <c r="D2365" t="s">
        <v>113</v>
      </c>
      <c r="E2365">
        <v>6</v>
      </c>
      <c r="H2365">
        <v>165</v>
      </c>
      <c r="I2365" t="s">
        <v>114</v>
      </c>
      <c r="J2365" t="s">
        <v>115</v>
      </c>
      <c r="K2365">
        <v>0</v>
      </c>
      <c r="L2365">
        <v>3</v>
      </c>
      <c r="M2365">
        <v>0</v>
      </c>
      <c r="N2365">
        <v>2</v>
      </c>
      <c r="O2365">
        <v>1</v>
      </c>
      <c r="P2365">
        <v>0</v>
      </c>
      <c r="Q2365">
        <v>0</v>
      </c>
      <c r="S2365" t="str">
        <f>"20:27:07.414"</f>
        <v>20:27:07.414</v>
      </c>
      <c r="T2365" t="str">
        <f>"20:27:05.914"</f>
        <v>20:27:05.914</v>
      </c>
      <c r="U2365" t="str">
        <f t="shared" si="113"/>
        <v>AB01F4</v>
      </c>
      <c r="V2365">
        <v>0</v>
      </c>
      <c r="W2365">
        <v>0</v>
      </c>
      <c r="X2365">
        <v>2</v>
      </c>
      <c r="Z2365">
        <v>0</v>
      </c>
      <c r="AA2365">
        <v>9</v>
      </c>
      <c r="AB2365">
        <v>3</v>
      </c>
      <c r="AC2365">
        <v>0</v>
      </c>
      <c r="AD2365">
        <v>10</v>
      </c>
      <c r="AE2365">
        <v>0</v>
      </c>
      <c r="AF2365">
        <v>3</v>
      </c>
      <c r="AG2365">
        <v>2</v>
      </c>
      <c r="AH2365">
        <v>0</v>
      </c>
      <c r="AI2365" t="s">
        <v>1431</v>
      </c>
      <c r="AJ2365">
        <v>39.976908999999999</v>
      </c>
      <c r="AK2365" t="s">
        <v>1432</v>
      </c>
      <c r="AL2365">
        <v>-92.706841999999995</v>
      </c>
      <c r="AM2365">
        <v>100</v>
      </c>
      <c r="AN2365">
        <v>1700</v>
      </c>
      <c r="AO2365" t="s">
        <v>118</v>
      </c>
      <c r="AP2365">
        <v>-107</v>
      </c>
      <c r="AQ2365">
        <v>78</v>
      </c>
      <c r="AR2365">
        <v>-192</v>
      </c>
      <c r="AZ2365">
        <v>1200</v>
      </c>
      <c r="BA2365">
        <v>1</v>
      </c>
      <c r="BB2365" t="str">
        <f t="shared" si="115"/>
        <v xml:space="preserve">N8080G  </v>
      </c>
      <c r="BC2365">
        <v>1</v>
      </c>
      <c r="BE2365">
        <v>0</v>
      </c>
      <c r="BF2365">
        <v>0</v>
      </c>
      <c r="BG2365">
        <v>0</v>
      </c>
      <c r="BH2365">
        <v>1700</v>
      </c>
      <c r="BI2365">
        <v>1</v>
      </c>
      <c r="BJ2365">
        <v>1</v>
      </c>
      <c r="BK2365">
        <v>1</v>
      </c>
      <c r="BL2365">
        <v>0</v>
      </c>
      <c r="BO2365">
        <v>0</v>
      </c>
      <c r="BP2365">
        <v>0</v>
      </c>
      <c r="BW2365" t="str">
        <f>"20:27:07.417"</f>
        <v>20:27:07.417</v>
      </c>
      <c r="BZ2365">
        <v>0</v>
      </c>
      <c r="CA2365">
        <v>2016</v>
      </c>
      <c r="CB2365">
        <v>224</v>
      </c>
      <c r="CD2365">
        <v>1</v>
      </c>
      <c r="CE2365">
        <v>0</v>
      </c>
      <c r="CF2365">
        <v>0</v>
      </c>
      <c r="CG2365">
        <v>1</v>
      </c>
      <c r="CH2365">
        <v>0</v>
      </c>
      <c r="CI2365">
        <v>0</v>
      </c>
      <c r="CJ2365">
        <v>0</v>
      </c>
      <c r="CK2365">
        <v>2</v>
      </c>
      <c r="CL2365">
        <v>0</v>
      </c>
      <c r="CM2365">
        <v>2</v>
      </c>
      <c r="CN2365">
        <v>0</v>
      </c>
      <c r="CO2365">
        <v>4</v>
      </c>
      <c r="CP2365" t="s">
        <v>119</v>
      </c>
      <c r="CQ2365">
        <v>179</v>
      </c>
      <c r="CR2365">
        <v>1</v>
      </c>
      <c r="CW2365">
        <v>8957896</v>
      </c>
      <c r="CY2365">
        <v>1</v>
      </c>
      <c r="CZ2365">
        <v>0</v>
      </c>
      <c r="DA2365">
        <v>1</v>
      </c>
      <c r="DB2365">
        <v>0</v>
      </c>
      <c r="DC2365">
        <v>0</v>
      </c>
      <c r="DD2365">
        <v>0</v>
      </c>
      <c r="DE2365">
        <v>0</v>
      </c>
      <c r="DF2365">
        <v>0</v>
      </c>
      <c r="DG2365">
        <v>0</v>
      </c>
      <c r="DH2365">
        <v>0</v>
      </c>
      <c r="DI2365">
        <v>0</v>
      </c>
    </row>
    <row r="2366" spans="1:113" x14ac:dyDescent="0.3">
      <c r="A2366" t="str">
        <f>"02/08/2021 20:27:05.109"</f>
        <v>02/08/2021 20:27:05.109</v>
      </c>
      <c r="C2366" t="str">
        <f t="shared" si="114"/>
        <v>FFDFD7C0</v>
      </c>
      <c r="D2366" t="s">
        <v>124</v>
      </c>
      <c r="E2366">
        <v>12</v>
      </c>
      <c r="F2366">
        <v>1012</v>
      </c>
      <c r="G2366" t="s">
        <v>675</v>
      </c>
      <c r="J2366" t="s">
        <v>125</v>
      </c>
      <c r="K2366">
        <v>0</v>
      </c>
      <c r="L2366">
        <v>3</v>
      </c>
      <c r="M2366">
        <v>0</v>
      </c>
      <c r="N2366">
        <v>2</v>
      </c>
      <c r="O2366">
        <v>1</v>
      </c>
      <c r="P2366">
        <v>0</v>
      </c>
      <c r="Q2366">
        <v>0</v>
      </c>
      <c r="S2366" t="str">
        <f>"20:27:07.414"</f>
        <v>20:27:07.414</v>
      </c>
      <c r="T2366" t="str">
        <f>"20:27:05.914"</f>
        <v>20:27:05.914</v>
      </c>
      <c r="U2366" t="str">
        <f t="shared" si="113"/>
        <v>AB01F4</v>
      </c>
      <c r="V2366">
        <v>0</v>
      </c>
      <c r="W2366">
        <v>0</v>
      </c>
      <c r="X2366">
        <v>2</v>
      </c>
      <c r="Z2366">
        <v>0</v>
      </c>
      <c r="AA2366">
        <v>9</v>
      </c>
      <c r="AB2366">
        <v>3</v>
      </c>
      <c r="AC2366">
        <v>0</v>
      </c>
      <c r="AD2366">
        <v>10</v>
      </c>
      <c r="AE2366">
        <v>0</v>
      </c>
      <c r="AF2366">
        <v>3</v>
      </c>
      <c r="AG2366">
        <v>2</v>
      </c>
      <c r="AH2366">
        <v>0</v>
      </c>
      <c r="AI2366" t="s">
        <v>1431</v>
      </c>
      <c r="AJ2366">
        <v>39.976908999999999</v>
      </c>
      <c r="AK2366" t="s">
        <v>1432</v>
      </c>
      <c r="AL2366">
        <v>-92.706841999999995</v>
      </c>
      <c r="AM2366">
        <v>100</v>
      </c>
      <c r="AN2366">
        <v>1700</v>
      </c>
      <c r="AO2366" t="s">
        <v>118</v>
      </c>
      <c r="AP2366">
        <v>-107</v>
      </c>
      <c r="AQ2366">
        <v>78</v>
      </c>
      <c r="AR2366">
        <v>-192</v>
      </c>
      <c r="AZ2366">
        <v>1200</v>
      </c>
      <c r="BA2366">
        <v>1</v>
      </c>
      <c r="BB2366" t="str">
        <f t="shared" si="115"/>
        <v xml:space="preserve">N8080G  </v>
      </c>
      <c r="BC2366">
        <v>1</v>
      </c>
      <c r="BE2366">
        <v>0</v>
      </c>
      <c r="BF2366">
        <v>0</v>
      </c>
      <c r="BG2366">
        <v>0</v>
      </c>
      <c r="BH2366">
        <v>1700</v>
      </c>
      <c r="BI2366">
        <v>1</v>
      </c>
      <c r="BJ2366">
        <v>1</v>
      </c>
      <c r="BK2366">
        <v>1</v>
      </c>
      <c r="BL2366">
        <v>0</v>
      </c>
      <c r="BO2366">
        <v>0</v>
      </c>
      <c r="BP2366">
        <v>0</v>
      </c>
      <c r="BW2366" t="str">
        <f>"20:27:07.417"</f>
        <v>20:27:07.417</v>
      </c>
      <c r="BZ2366">
        <v>0</v>
      </c>
      <c r="CA2366">
        <v>2016</v>
      </c>
      <c r="CB2366">
        <v>224</v>
      </c>
      <c r="CD2366">
        <v>1</v>
      </c>
      <c r="CE2366">
        <v>0</v>
      </c>
      <c r="CF2366">
        <v>0</v>
      </c>
      <c r="CG2366">
        <v>1</v>
      </c>
      <c r="CH2366">
        <v>0</v>
      </c>
      <c r="CI2366">
        <v>0</v>
      </c>
      <c r="CJ2366">
        <v>0</v>
      </c>
      <c r="CK2366">
        <v>2</v>
      </c>
      <c r="CL2366">
        <v>0</v>
      </c>
      <c r="CM2366">
        <v>2</v>
      </c>
      <c r="CN2366">
        <v>0</v>
      </c>
      <c r="CO2366">
        <v>4</v>
      </c>
      <c r="CP2366" t="s">
        <v>119</v>
      </c>
      <c r="CQ2366">
        <v>179</v>
      </c>
      <c r="CR2366">
        <v>1</v>
      </c>
      <c r="CW2366">
        <v>8957896</v>
      </c>
      <c r="CY2366">
        <v>1</v>
      </c>
      <c r="CZ2366">
        <v>0</v>
      </c>
      <c r="DA2366">
        <v>1</v>
      </c>
      <c r="DB2366">
        <v>0</v>
      </c>
      <c r="DC2366">
        <v>0</v>
      </c>
      <c r="DD2366">
        <v>0</v>
      </c>
      <c r="DE2366">
        <v>0</v>
      </c>
      <c r="DF2366">
        <v>0</v>
      </c>
      <c r="DG2366">
        <v>0</v>
      </c>
      <c r="DH2366">
        <v>0</v>
      </c>
      <c r="DI2366">
        <v>0</v>
      </c>
    </row>
    <row r="2367" spans="1:113" x14ac:dyDescent="0.3">
      <c r="A2367" t="str">
        <f>"02/08/2021 20:27:06.013"</f>
        <v>02/08/2021 20:27:06.013</v>
      </c>
      <c r="C2367" t="str">
        <f t="shared" si="114"/>
        <v>FFDFD7C0</v>
      </c>
      <c r="D2367" t="s">
        <v>124</v>
      </c>
      <c r="E2367">
        <v>13</v>
      </c>
      <c r="F2367">
        <v>1013</v>
      </c>
      <c r="G2367" t="s">
        <v>114</v>
      </c>
      <c r="J2367" t="s">
        <v>125</v>
      </c>
      <c r="K2367">
        <v>0</v>
      </c>
      <c r="L2367">
        <v>3</v>
      </c>
      <c r="M2367">
        <v>0</v>
      </c>
      <c r="N2367">
        <v>2</v>
      </c>
      <c r="O2367">
        <v>1</v>
      </c>
      <c r="P2367">
        <v>0</v>
      </c>
      <c r="Q2367">
        <v>0</v>
      </c>
      <c r="S2367" t="str">
        <f>"20:27:08.336"</f>
        <v>20:27:08.336</v>
      </c>
      <c r="T2367" t="str">
        <f>"20:27:07.436"</f>
        <v>20:27:07.436</v>
      </c>
      <c r="U2367" t="str">
        <f t="shared" si="113"/>
        <v>AB01F4</v>
      </c>
      <c r="V2367">
        <v>0</v>
      </c>
      <c r="W2367">
        <v>0</v>
      </c>
      <c r="X2367">
        <v>2</v>
      </c>
      <c r="Z2367">
        <v>0</v>
      </c>
      <c r="AA2367">
        <v>9</v>
      </c>
      <c r="AB2367">
        <v>3</v>
      </c>
      <c r="AC2367">
        <v>0</v>
      </c>
      <c r="AD2367">
        <v>10</v>
      </c>
      <c r="AE2367">
        <v>0</v>
      </c>
      <c r="AF2367">
        <v>3</v>
      </c>
      <c r="AG2367">
        <v>2</v>
      </c>
      <c r="AH2367">
        <v>0</v>
      </c>
      <c r="AI2367" t="s">
        <v>1433</v>
      </c>
      <c r="AJ2367">
        <v>39.977274000000001</v>
      </c>
      <c r="AK2367" t="s">
        <v>1434</v>
      </c>
      <c r="AL2367">
        <v>-92.707464999999999</v>
      </c>
      <c r="AM2367">
        <v>100</v>
      </c>
      <c r="AN2367">
        <v>1700</v>
      </c>
      <c r="AO2367" t="s">
        <v>118</v>
      </c>
      <c r="AP2367">
        <v>-108</v>
      </c>
      <c r="AQ2367">
        <v>78</v>
      </c>
      <c r="AR2367">
        <v>-192</v>
      </c>
      <c r="AZ2367">
        <v>1200</v>
      </c>
      <c r="BA2367">
        <v>1</v>
      </c>
      <c r="BB2367" t="str">
        <f t="shared" si="115"/>
        <v xml:space="preserve">N8080G  </v>
      </c>
      <c r="BC2367">
        <v>1</v>
      </c>
      <c r="BE2367">
        <v>0</v>
      </c>
      <c r="BF2367">
        <v>0</v>
      </c>
      <c r="BG2367">
        <v>0</v>
      </c>
      <c r="BH2367">
        <v>1675</v>
      </c>
      <c r="BI2367">
        <v>1</v>
      </c>
      <c r="BJ2367">
        <v>1</v>
      </c>
      <c r="BK2367">
        <v>1</v>
      </c>
      <c r="BL2367">
        <v>0</v>
      </c>
      <c r="BO2367">
        <v>0</v>
      </c>
      <c r="BP2367">
        <v>0</v>
      </c>
      <c r="BW2367" t="str">
        <f>"20:27:08.341"</f>
        <v>20:27:08.341</v>
      </c>
      <c r="BZ2367">
        <v>0</v>
      </c>
      <c r="CA2367">
        <v>2016</v>
      </c>
      <c r="CB2367">
        <v>224</v>
      </c>
      <c r="CD2367">
        <v>1</v>
      </c>
      <c r="CE2367">
        <v>0</v>
      </c>
      <c r="CF2367">
        <v>0</v>
      </c>
      <c r="CG2367">
        <v>1</v>
      </c>
      <c r="CH2367">
        <v>0</v>
      </c>
      <c r="CI2367">
        <v>0</v>
      </c>
      <c r="CJ2367">
        <v>0</v>
      </c>
      <c r="CK2367">
        <v>2</v>
      </c>
      <c r="CL2367">
        <v>0</v>
      </c>
      <c r="CM2367">
        <v>2</v>
      </c>
      <c r="CN2367">
        <v>0</v>
      </c>
      <c r="CO2367">
        <v>3</v>
      </c>
      <c r="CP2367" t="s">
        <v>119</v>
      </c>
      <c r="CQ2367">
        <v>179</v>
      </c>
      <c r="CR2367">
        <v>1</v>
      </c>
      <c r="CW2367">
        <v>8958683</v>
      </c>
      <c r="CY2367">
        <v>1</v>
      </c>
      <c r="CZ2367">
        <v>0</v>
      </c>
      <c r="DA2367">
        <v>0</v>
      </c>
      <c r="DB2367">
        <v>0</v>
      </c>
      <c r="DC2367">
        <v>0</v>
      </c>
      <c r="DD2367">
        <v>0</v>
      </c>
      <c r="DE2367">
        <v>0</v>
      </c>
      <c r="DF2367">
        <v>0</v>
      </c>
      <c r="DG2367">
        <v>0</v>
      </c>
      <c r="DH2367">
        <v>0</v>
      </c>
      <c r="DI2367">
        <v>0</v>
      </c>
    </row>
    <row r="2368" spans="1:113" x14ac:dyDescent="0.3">
      <c r="A2368" t="str">
        <f>"02/08/2021 20:27:06.013"</f>
        <v>02/08/2021 20:27:06.013</v>
      </c>
      <c r="C2368" t="str">
        <f t="shared" si="114"/>
        <v>FFDFD7C0</v>
      </c>
      <c r="D2368" t="s">
        <v>124</v>
      </c>
      <c r="E2368">
        <v>11</v>
      </c>
      <c r="F2368">
        <v>1011</v>
      </c>
      <c r="G2368" t="s">
        <v>590</v>
      </c>
      <c r="J2368" t="s">
        <v>125</v>
      </c>
      <c r="K2368">
        <v>0</v>
      </c>
      <c r="L2368">
        <v>3</v>
      </c>
      <c r="M2368">
        <v>0</v>
      </c>
      <c r="N2368">
        <v>2</v>
      </c>
      <c r="O2368">
        <v>1</v>
      </c>
      <c r="P2368">
        <v>0</v>
      </c>
      <c r="Q2368">
        <v>0</v>
      </c>
      <c r="S2368" t="str">
        <f>"20:27:08.336"</f>
        <v>20:27:08.336</v>
      </c>
      <c r="T2368" t="str">
        <f>"20:27:07.436"</f>
        <v>20:27:07.436</v>
      </c>
      <c r="U2368" t="str">
        <f t="shared" si="113"/>
        <v>AB01F4</v>
      </c>
      <c r="V2368">
        <v>0</v>
      </c>
      <c r="W2368">
        <v>0</v>
      </c>
      <c r="X2368">
        <v>2</v>
      </c>
      <c r="Z2368">
        <v>0</v>
      </c>
      <c r="AA2368">
        <v>9</v>
      </c>
      <c r="AB2368">
        <v>3</v>
      </c>
      <c r="AC2368">
        <v>0</v>
      </c>
      <c r="AD2368">
        <v>10</v>
      </c>
      <c r="AE2368">
        <v>0</v>
      </c>
      <c r="AF2368">
        <v>3</v>
      </c>
      <c r="AG2368">
        <v>2</v>
      </c>
      <c r="AH2368">
        <v>0</v>
      </c>
      <c r="AI2368" t="s">
        <v>1433</v>
      </c>
      <c r="AJ2368">
        <v>39.977274000000001</v>
      </c>
      <c r="AK2368" t="s">
        <v>1434</v>
      </c>
      <c r="AL2368">
        <v>-92.707464999999999</v>
      </c>
      <c r="AM2368">
        <v>100</v>
      </c>
      <c r="AN2368">
        <v>1700</v>
      </c>
      <c r="AO2368" t="s">
        <v>118</v>
      </c>
      <c r="AP2368">
        <v>-108</v>
      </c>
      <c r="AQ2368">
        <v>78</v>
      </c>
      <c r="AR2368">
        <v>-192</v>
      </c>
      <c r="AZ2368">
        <v>1200</v>
      </c>
      <c r="BA2368">
        <v>1</v>
      </c>
      <c r="BB2368" t="str">
        <f t="shared" si="115"/>
        <v xml:space="preserve">N8080G  </v>
      </c>
      <c r="BC2368">
        <v>1</v>
      </c>
      <c r="BE2368">
        <v>0</v>
      </c>
      <c r="BF2368">
        <v>0</v>
      </c>
      <c r="BG2368">
        <v>0</v>
      </c>
      <c r="BH2368">
        <v>1675</v>
      </c>
      <c r="BI2368">
        <v>1</v>
      </c>
      <c r="BJ2368">
        <v>1</v>
      </c>
      <c r="BK2368">
        <v>1</v>
      </c>
      <c r="BL2368">
        <v>0</v>
      </c>
      <c r="BO2368">
        <v>0</v>
      </c>
      <c r="BP2368">
        <v>0</v>
      </c>
      <c r="BW2368" t="str">
        <f>"20:27:08.341"</f>
        <v>20:27:08.341</v>
      </c>
      <c r="BZ2368">
        <v>0</v>
      </c>
      <c r="CA2368">
        <v>2016</v>
      </c>
      <c r="CB2368">
        <v>224</v>
      </c>
      <c r="CD2368">
        <v>1</v>
      </c>
      <c r="CE2368">
        <v>0</v>
      </c>
      <c r="CF2368">
        <v>0</v>
      </c>
      <c r="CG2368">
        <v>1</v>
      </c>
      <c r="CH2368">
        <v>0</v>
      </c>
      <c r="CI2368">
        <v>0</v>
      </c>
      <c r="CJ2368">
        <v>0</v>
      </c>
      <c r="CK2368">
        <v>2</v>
      </c>
      <c r="CL2368">
        <v>0</v>
      </c>
      <c r="CM2368">
        <v>2</v>
      </c>
      <c r="CN2368">
        <v>0</v>
      </c>
      <c r="CO2368">
        <v>3</v>
      </c>
      <c r="CP2368" t="s">
        <v>119</v>
      </c>
      <c r="CQ2368">
        <v>179</v>
      </c>
      <c r="CR2368">
        <v>1</v>
      </c>
      <c r="CW2368">
        <v>8958683</v>
      </c>
      <c r="CY2368">
        <v>1</v>
      </c>
      <c r="CZ2368">
        <v>0</v>
      </c>
      <c r="DA2368">
        <v>1</v>
      </c>
      <c r="DB2368">
        <v>0</v>
      </c>
      <c r="DC2368">
        <v>0</v>
      </c>
      <c r="DD2368">
        <v>0</v>
      </c>
      <c r="DE2368">
        <v>0</v>
      </c>
      <c r="DF2368">
        <v>0</v>
      </c>
      <c r="DG2368">
        <v>0</v>
      </c>
      <c r="DH2368">
        <v>0</v>
      </c>
      <c r="DI2368">
        <v>0</v>
      </c>
    </row>
    <row r="2369" spans="1:113" x14ac:dyDescent="0.3">
      <c r="A2369" t="str">
        <f>"02/08/2021 20:27:06.013"</f>
        <v>02/08/2021 20:27:06.013</v>
      </c>
      <c r="C2369" t="str">
        <f t="shared" si="114"/>
        <v>FFDFD7C0</v>
      </c>
      <c r="D2369" t="s">
        <v>113</v>
      </c>
      <c r="E2369">
        <v>6</v>
      </c>
      <c r="H2369">
        <v>165</v>
      </c>
      <c r="I2369" t="s">
        <v>114</v>
      </c>
      <c r="J2369" t="s">
        <v>115</v>
      </c>
      <c r="K2369">
        <v>0</v>
      </c>
      <c r="L2369">
        <v>3</v>
      </c>
      <c r="M2369">
        <v>0</v>
      </c>
      <c r="N2369">
        <v>2</v>
      </c>
      <c r="O2369">
        <v>1</v>
      </c>
      <c r="P2369">
        <v>0</v>
      </c>
      <c r="Q2369">
        <v>0</v>
      </c>
      <c r="S2369" t="str">
        <f>"20:27:08.336"</f>
        <v>20:27:08.336</v>
      </c>
      <c r="T2369" t="str">
        <f>"20:27:07.436"</f>
        <v>20:27:07.436</v>
      </c>
      <c r="U2369" t="str">
        <f t="shared" si="113"/>
        <v>AB01F4</v>
      </c>
      <c r="V2369">
        <v>0</v>
      </c>
      <c r="W2369">
        <v>0</v>
      </c>
      <c r="X2369">
        <v>2</v>
      </c>
      <c r="Z2369">
        <v>0</v>
      </c>
      <c r="AA2369">
        <v>9</v>
      </c>
      <c r="AB2369">
        <v>3</v>
      </c>
      <c r="AC2369">
        <v>0</v>
      </c>
      <c r="AD2369">
        <v>10</v>
      </c>
      <c r="AE2369">
        <v>0</v>
      </c>
      <c r="AF2369">
        <v>3</v>
      </c>
      <c r="AG2369">
        <v>2</v>
      </c>
      <c r="AH2369">
        <v>0</v>
      </c>
      <c r="AI2369" t="s">
        <v>1433</v>
      </c>
      <c r="AJ2369">
        <v>39.977274000000001</v>
      </c>
      <c r="AK2369" t="s">
        <v>1434</v>
      </c>
      <c r="AL2369">
        <v>-92.707464999999999</v>
      </c>
      <c r="AM2369">
        <v>100</v>
      </c>
      <c r="AN2369">
        <v>1700</v>
      </c>
      <c r="AO2369" t="s">
        <v>118</v>
      </c>
      <c r="AP2369">
        <v>-108</v>
      </c>
      <c r="AQ2369">
        <v>78</v>
      </c>
      <c r="AR2369">
        <v>-192</v>
      </c>
      <c r="AZ2369">
        <v>1200</v>
      </c>
      <c r="BA2369">
        <v>1</v>
      </c>
      <c r="BB2369" t="str">
        <f t="shared" si="115"/>
        <v xml:space="preserve">N8080G  </v>
      </c>
      <c r="BC2369">
        <v>1</v>
      </c>
      <c r="BE2369">
        <v>0</v>
      </c>
      <c r="BF2369">
        <v>0</v>
      </c>
      <c r="BG2369">
        <v>0</v>
      </c>
      <c r="BH2369">
        <v>1675</v>
      </c>
      <c r="BI2369">
        <v>1</v>
      </c>
      <c r="BJ2369">
        <v>1</v>
      </c>
      <c r="BK2369">
        <v>1</v>
      </c>
      <c r="BL2369">
        <v>0</v>
      </c>
      <c r="BO2369">
        <v>0</v>
      </c>
      <c r="BP2369">
        <v>0</v>
      </c>
      <c r="BW2369" t="str">
        <f>"20:27:08.341"</f>
        <v>20:27:08.341</v>
      </c>
      <c r="BZ2369">
        <v>0</v>
      </c>
      <c r="CA2369">
        <v>2016</v>
      </c>
      <c r="CB2369">
        <v>224</v>
      </c>
      <c r="CD2369">
        <v>1</v>
      </c>
      <c r="CE2369">
        <v>0</v>
      </c>
      <c r="CF2369">
        <v>0</v>
      </c>
      <c r="CG2369">
        <v>1</v>
      </c>
      <c r="CH2369">
        <v>0</v>
      </c>
      <c r="CI2369">
        <v>0</v>
      </c>
      <c r="CJ2369">
        <v>0</v>
      </c>
      <c r="CK2369">
        <v>2</v>
      </c>
      <c r="CL2369">
        <v>0</v>
      </c>
      <c r="CM2369">
        <v>2</v>
      </c>
      <c r="CN2369">
        <v>0</v>
      </c>
      <c r="CO2369">
        <v>3</v>
      </c>
      <c r="CP2369" t="s">
        <v>119</v>
      </c>
      <c r="CQ2369">
        <v>179</v>
      </c>
      <c r="CR2369">
        <v>1</v>
      </c>
      <c r="CW2369">
        <v>8958683</v>
      </c>
      <c r="CY2369">
        <v>1</v>
      </c>
      <c r="CZ2369">
        <v>0</v>
      </c>
      <c r="DA2369">
        <v>1</v>
      </c>
      <c r="DB2369">
        <v>0</v>
      </c>
      <c r="DC2369">
        <v>0</v>
      </c>
      <c r="DD2369">
        <v>0</v>
      </c>
      <c r="DE2369">
        <v>0</v>
      </c>
      <c r="DF2369">
        <v>0</v>
      </c>
      <c r="DG2369">
        <v>0</v>
      </c>
      <c r="DH2369">
        <v>0</v>
      </c>
      <c r="DI2369">
        <v>0</v>
      </c>
    </row>
    <row r="2370" spans="1:113" x14ac:dyDescent="0.3">
      <c r="A2370" t="str">
        <f>"02/08/2021 20:27:06.013"</f>
        <v>02/08/2021 20:27:06.013</v>
      </c>
      <c r="C2370" t="str">
        <f t="shared" si="114"/>
        <v>FFDFD7C0</v>
      </c>
      <c r="D2370" t="s">
        <v>124</v>
      </c>
      <c r="E2370">
        <v>12</v>
      </c>
      <c r="F2370">
        <v>1012</v>
      </c>
      <c r="G2370" t="s">
        <v>675</v>
      </c>
      <c r="J2370" t="s">
        <v>125</v>
      </c>
      <c r="K2370">
        <v>0</v>
      </c>
      <c r="L2370">
        <v>3</v>
      </c>
      <c r="M2370">
        <v>0</v>
      </c>
      <c r="N2370">
        <v>2</v>
      </c>
      <c r="O2370">
        <v>1</v>
      </c>
      <c r="P2370">
        <v>0</v>
      </c>
      <c r="Q2370">
        <v>0</v>
      </c>
      <c r="S2370" t="str">
        <f>"20:27:08.336"</f>
        <v>20:27:08.336</v>
      </c>
      <c r="T2370" t="str">
        <f>"20:27:07.436"</f>
        <v>20:27:07.436</v>
      </c>
      <c r="U2370" t="str">
        <f t="shared" ref="U2370:U2433" si="116">"AB01F4"</f>
        <v>AB01F4</v>
      </c>
      <c r="V2370">
        <v>0</v>
      </c>
      <c r="W2370">
        <v>0</v>
      </c>
      <c r="X2370">
        <v>2</v>
      </c>
      <c r="Z2370">
        <v>0</v>
      </c>
      <c r="AA2370">
        <v>9</v>
      </c>
      <c r="AB2370">
        <v>3</v>
      </c>
      <c r="AC2370">
        <v>0</v>
      </c>
      <c r="AD2370">
        <v>10</v>
      </c>
      <c r="AE2370">
        <v>0</v>
      </c>
      <c r="AF2370">
        <v>3</v>
      </c>
      <c r="AG2370">
        <v>2</v>
      </c>
      <c r="AH2370">
        <v>0</v>
      </c>
      <c r="AI2370" t="s">
        <v>1433</v>
      </c>
      <c r="AJ2370">
        <v>39.977274000000001</v>
      </c>
      <c r="AK2370" t="s">
        <v>1434</v>
      </c>
      <c r="AL2370">
        <v>-92.707464999999999</v>
      </c>
      <c r="AM2370">
        <v>100</v>
      </c>
      <c r="AN2370">
        <v>1700</v>
      </c>
      <c r="AO2370" t="s">
        <v>118</v>
      </c>
      <c r="AP2370">
        <v>-108</v>
      </c>
      <c r="AQ2370">
        <v>78</v>
      </c>
      <c r="AR2370">
        <v>-192</v>
      </c>
      <c r="AZ2370">
        <v>1200</v>
      </c>
      <c r="BA2370">
        <v>1</v>
      </c>
      <c r="BB2370" t="str">
        <f t="shared" si="115"/>
        <v xml:space="preserve">N8080G  </v>
      </c>
      <c r="BC2370">
        <v>1</v>
      </c>
      <c r="BE2370">
        <v>0</v>
      </c>
      <c r="BF2370">
        <v>0</v>
      </c>
      <c r="BG2370">
        <v>0</v>
      </c>
      <c r="BH2370">
        <v>1675</v>
      </c>
      <c r="BI2370">
        <v>1</v>
      </c>
      <c r="BJ2370">
        <v>1</v>
      </c>
      <c r="BK2370">
        <v>1</v>
      </c>
      <c r="BL2370">
        <v>0</v>
      </c>
      <c r="BO2370">
        <v>0</v>
      </c>
      <c r="BP2370">
        <v>0</v>
      </c>
      <c r="BW2370" t="str">
        <f>"20:27:08.341"</f>
        <v>20:27:08.341</v>
      </c>
      <c r="BZ2370">
        <v>0</v>
      </c>
      <c r="CA2370">
        <v>2016</v>
      </c>
      <c r="CB2370">
        <v>224</v>
      </c>
      <c r="CD2370">
        <v>1</v>
      </c>
      <c r="CE2370">
        <v>0</v>
      </c>
      <c r="CF2370">
        <v>0</v>
      </c>
      <c r="CG2370">
        <v>1</v>
      </c>
      <c r="CH2370">
        <v>0</v>
      </c>
      <c r="CI2370">
        <v>0</v>
      </c>
      <c r="CJ2370">
        <v>0</v>
      </c>
      <c r="CK2370">
        <v>2</v>
      </c>
      <c r="CL2370">
        <v>0</v>
      </c>
      <c r="CM2370">
        <v>2</v>
      </c>
      <c r="CN2370">
        <v>0</v>
      </c>
      <c r="CO2370">
        <v>3</v>
      </c>
      <c r="CP2370" t="s">
        <v>119</v>
      </c>
      <c r="CQ2370">
        <v>179</v>
      </c>
      <c r="CR2370">
        <v>1</v>
      </c>
      <c r="CW2370">
        <v>8958683</v>
      </c>
      <c r="CY2370">
        <v>1</v>
      </c>
      <c r="CZ2370">
        <v>0</v>
      </c>
      <c r="DA2370">
        <v>1</v>
      </c>
      <c r="DB2370">
        <v>0</v>
      </c>
      <c r="DC2370">
        <v>0</v>
      </c>
      <c r="DD2370">
        <v>0</v>
      </c>
      <c r="DE2370">
        <v>0</v>
      </c>
      <c r="DF2370">
        <v>0</v>
      </c>
      <c r="DG2370">
        <v>0</v>
      </c>
      <c r="DH2370">
        <v>0</v>
      </c>
      <c r="DI2370">
        <v>0</v>
      </c>
    </row>
    <row r="2371" spans="1:113" x14ac:dyDescent="0.3">
      <c r="A2371" t="str">
        <f>"02/08/2021 20:27:06.946"</f>
        <v>02/08/2021 20:27:06.946</v>
      </c>
      <c r="C2371" t="str">
        <f t="shared" si="114"/>
        <v>FFDFD7C0</v>
      </c>
      <c r="D2371" t="s">
        <v>113</v>
      </c>
      <c r="E2371">
        <v>6</v>
      </c>
      <c r="H2371">
        <v>165</v>
      </c>
      <c r="I2371" t="s">
        <v>114</v>
      </c>
      <c r="J2371" t="s">
        <v>115</v>
      </c>
      <c r="K2371">
        <v>0</v>
      </c>
      <c r="L2371">
        <v>3</v>
      </c>
      <c r="M2371">
        <v>0</v>
      </c>
      <c r="N2371">
        <v>2</v>
      </c>
      <c r="O2371">
        <v>1</v>
      </c>
      <c r="P2371">
        <v>0</v>
      </c>
      <c r="Q2371">
        <v>0</v>
      </c>
      <c r="S2371" t="str">
        <f>"20:27:09.289"</f>
        <v>20:27:09.289</v>
      </c>
      <c r="T2371" t="str">
        <f>"20:27:08.889"</f>
        <v>20:27:08.889</v>
      </c>
      <c r="U2371" t="str">
        <f t="shared" si="116"/>
        <v>AB01F4</v>
      </c>
      <c r="V2371">
        <v>0</v>
      </c>
      <c r="W2371">
        <v>0</v>
      </c>
      <c r="X2371">
        <v>2</v>
      </c>
      <c r="Z2371">
        <v>0</v>
      </c>
      <c r="AA2371">
        <v>9</v>
      </c>
      <c r="AB2371">
        <v>3</v>
      </c>
      <c r="AC2371">
        <v>0</v>
      </c>
      <c r="AD2371">
        <v>10</v>
      </c>
      <c r="AE2371">
        <v>0</v>
      </c>
      <c r="AF2371">
        <v>3</v>
      </c>
      <c r="AG2371">
        <v>2</v>
      </c>
      <c r="AH2371">
        <v>0</v>
      </c>
      <c r="AI2371" t="s">
        <v>1435</v>
      </c>
      <c r="AJ2371">
        <v>39.977617000000002</v>
      </c>
      <c r="AK2371" t="s">
        <v>1436</v>
      </c>
      <c r="AL2371">
        <v>-92.708066000000002</v>
      </c>
      <c r="AM2371">
        <v>100</v>
      </c>
      <c r="AN2371">
        <v>1700</v>
      </c>
      <c r="AO2371" t="s">
        <v>118</v>
      </c>
      <c r="AP2371">
        <v>-108</v>
      </c>
      <c r="AQ2371">
        <v>77</v>
      </c>
      <c r="AR2371">
        <v>-128</v>
      </c>
      <c r="AZ2371">
        <v>1200</v>
      </c>
      <c r="BA2371">
        <v>1</v>
      </c>
      <c r="BB2371" t="str">
        <f t="shared" si="115"/>
        <v xml:space="preserve">N8080G  </v>
      </c>
      <c r="BC2371">
        <v>1</v>
      </c>
      <c r="BE2371">
        <v>0</v>
      </c>
      <c r="BF2371">
        <v>0</v>
      </c>
      <c r="BG2371">
        <v>0</v>
      </c>
      <c r="BH2371">
        <v>1675</v>
      </c>
      <c r="BI2371">
        <v>1</v>
      </c>
      <c r="BJ2371">
        <v>1</v>
      </c>
      <c r="BK2371">
        <v>1</v>
      </c>
      <c r="BL2371">
        <v>0</v>
      </c>
      <c r="BO2371">
        <v>0</v>
      </c>
      <c r="BP2371">
        <v>0</v>
      </c>
      <c r="BW2371" t="str">
        <f>"20:27:09.293"</f>
        <v>20:27:09.293</v>
      </c>
      <c r="BZ2371">
        <v>0</v>
      </c>
      <c r="CA2371">
        <v>2016</v>
      </c>
      <c r="CB2371">
        <v>224</v>
      </c>
      <c r="CD2371">
        <v>1</v>
      </c>
      <c r="CE2371">
        <v>0</v>
      </c>
      <c r="CF2371">
        <v>0</v>
      </c>
      <c r="CG2371">
        <v>1</v>
      </c>
      <c r="CH2371">
        <v>0</v>
      </c>
      <c r="CI2371">
        <v>0</v>
      </c>
      <c r="CJ2371">
        <v>0</v>
      </c>
      <c r="CK2371">
        <v>2</v>
      </c>
      <c r="CL2371">
        <v>0</v>
      </c>
      <c r="CM2371">
        <v>2</v>
      </c>
      <c r="CN2371">
        <v>0</v>
      </c>
      <c r="CO2371">
        <v>3</v>
      </c>
      <c r="CP2371" t="s">
        <v>119</v>
      </c>
      <c r="CQ2371">
        <v>179</v>
      </c>
      <c r="CR2371">
        <v>1</v>
      </c>
      <c r="CW2371">
        <v>8959598</v>
      </c>
      <c r="CY2371">
        <v>1</v>
      </c>
      <c r="CZ2371">
        <v>0</v>
      </c>
      <c r="DA2371">
        <v>0</v>
      </c>
      <c r="DB2371">
        <v>0</v>
      </c>
      <c r="DC2371">
        <v>0</v>
      </c>
      <c r="DD2371">
        <v>0</v>
      </c>
      <c r="DE2371">
        <v>0</v>
      </c>
      <c r="DF2371">
        <v>0</v>
      </c>
      <c r="DG2371">
        <v>0</v>
      </c>
      <c r="DH2371">
        <v>0</v>
      </c>
      <c r="DI2371">
        <v>0</v>
      </c>
    </row>
    <row r="2372" spans="1:113" x14ac:dyDescent="0.3">
      <c r="A2372" t="str">
        <f>"02/08/2021 20:27:06.946"</f>
        <v>02/08/2021 20:27:06.946</v>
      </c>
      <c r="C2372" t="str">
        <f t="shared" si="114"/>
        <v>FFDFD7C0</v>
      </c>
      <c r="D2372" t="s">
        <v>124</v>
      </c>
      <c r="E2372">
        <v>13</v>
      </c>
      <c r="F2372">
        <v>1013</v>
      </c>
      <c r="G2372" t="s">
        <v>114</v>
      </c>
      <c r="J2372" t="s">
        <v>125</v>
      </c>
      <c r="K2372">
        <v>0</v>
      </c>
      <c r="L2372">
        <v>3</v>
      </c>
      <c r="M2372">
        <v>0</v>
      </c>
      <c r="N2372">
        <v>2</v>
      </c>
      <c r="O2372">
        <v>1</v>
      </c>
      <c r="P2372">
        <v>0</v>
      </c>
      <c r="Q2372">
        <v>0</v>
      </c>
      <c r="S2372" t="str">
        <f>"20:27:09.289"</f>
        <v>20:27:09.289</v>
      </c>
      <c r="T2372" t="str">
        <f>"20:27:08.889"</f>
        <v>20:27:08.889</v>
      </c>
      <c r="U2372" t="str">
        <f t="shared" si="116"/>
        <v>AB01F4</v>
      </c>
      <c r="V2372">
        <v>0</v>
      </c>
      <c r="W2372">
        <v>0</v>
      </c>
      <c r="X2372">
        <v>2</v>
      </c>
      <c r="Z2372">
        <v>0</v>
      </c>
      <c r="AA2372">
        <v>9</v>
      </c>
      <c r="AB2372">
        <v>3</v>
      </c>
      <c r="AC2372">
        <v>0</v>
      </c>
      <c r="AD2372">
        <v>10</v>
      </c>
      <c r="AE2372">
        <v>0</v>
      </c>
      <c r="AF2372">
        <v>3</v>
      </c>
      <c r="AG2372">
        <v>2</v>
      </c>
      <c r="AH2372">
        <v>0</v>
      </c>
      <c r="AI2372" t="s">
        <v>1435</v>
      </c>
      <c r="AJ2372">
        <v>39.977617000000002</v>
      </c>
      <c r="AK2372" t="s">
        <v>1436</v>
      </c>
      <c r="AL2372">
        <v>-92.708066000000002</v>
      </c>
      <c r="AM2372">
        <v>100</v>
      </c>
      <c r="AN2372">
        <v>1700</v>
      </c>
      <c r="AO2372" t="s">
        <v>118</v>
      </c>
      <c r="AP2372">
        <v>-108</v>
      </c>
      <c r="AQ2372">
        <v>77</v>
      </c>
      <c r="AR2372">
        <v>-128</v>
      </c>
      <c r="AZ2372">
        <v>1200</v>
      </c>
      <c r="BA2372">
        <v>1</v>
      </c>
      <c r="BB2372" t="str">
        <f t="shared" si="115"/>
        <v xml:space="preserve">N8080G  </v>
      </c>
      <c r="BC2372">
        <v>1</v>
      </c>
      <c r="BE2372">
        <v>0</v>
      </c>
      <c r="BF2372">
        <v>0</v>
      </c>
      <c r="BG2372">
        <v>0</v>
      </c>
      <c r="BH2372">
        <v>1675</v>
      </c>
      <c r="BI2372">
        <v>1</v>
      </c>
      <c r="BJ2372">
        <v>1</v>
      </c>
      <c r="BK2372">
        <v>1</v>
      </c>
      <c r="BL2372">
        <v>0</v>
      </c>
      <c r="BO2372">
        <v>0</v>
      </c>
      <c r="BP2372">
        <v>0</v>
      </c>
      <c r="BW2372" t="str">
        <f>"20:27:09.293"</f>
        <v>20:27:09.293</v>
      </c>
      <c r="BZ2372">
        <v>0</v>
      </c>
      <c r="CA2372">
        <v>2016</v>
      </c>
      <c r="CB2372">
        <v>224</v>
      </c>
      <c r="CD2372">
        <v>1</v>
      </c>
      <c r="CE2372">
        <v>0</v>
      </c>
      <c r="CF2372">
        <v>0</v>
      </c>
      <c r="CG2372">
        <v>1</v>
      </c>
      <c r="CH2372">
        <v>0</v>
      </c>
      <c r="CI2372">
        <v>0</v>
      </c>
      <c r="CJ2372">
        <v>0</v>
      </c>
      <c r="CK2372">
        <v>2</v>
      </c>
      <c r="CL2372">
        <v>0</v>
      </c>
      <c r="CM2372">
        <v>2</v>
      </c>
      <c r="CN2372">
        <v>0</v>
      </c>
      <c r="CO2372">
        <v>3</v>
      </c>
      <c r="CP2372" t="s">
        <v>119</v>
      </c>
      <c r="CQ2372">
        <v>179</v>
      </c>
      <c r="CR2372">
        <v>1</v>
      </c>
      <c r="CW2372">
        <v>8959598</v>
      </c>
      <c r="CY2372">
        <v>1</v>
      </c>
      <c r="CZ2372">
        <v>0</v>
      </c>
      <c r="DA2372">
        <v>1</v>
      </c>
      <c r="DB2372">
        <v>0</v>
      </c>
      <c r="DC2372">
        <v>0</v>
      </c>
      <c r="DD2372">
        <v>0</v>
      </c>
      <c r="DE2372">
        <v>0</v>
      </c>
      <c r="DF2372">
        <v>0</v>
      </c>
      <c r="DG2372">
        <v>0</v>
      </c>
      <c r="DH2372">
        <v>0</v>
      </c>
      <c r="DI2372">
        <v>0</v>
      </c>
    </row>
    <row r="2373" spans="1:113" x14ac:dyDescent="0.3">
      <c r="A2373" t="str">
        <f>"02/08/2021 20:27:06.946"</f>
        <v>02/08/2021 20:27:06.946</v>
      </c>
      <c r="C2373" t="str">
        <f t="shared" si="114"/>
        <v>FFDFD7C0</v>
      </c>
      <c r="D2373" t="s">
        <v>124</v>
      </c>
      <c r="E2373">
        <v>11</v>
      </c>
      <c r="F2373">
        <v>1011</v>
      </c>
      <c r="G2373" t="s">
        <v>590</v>
      </c>
      <c r="J2373" t="s">
        <v>125</v>
      </c>
      <c r="K2373">
        <v>0</v>
      </c>
      <c r="L2373">
        <v>3</v>
      </c>
      <c r="M2373">
        <v>0</v>
      </c>
      <c r="N2373">
        <v>2</v>
      </c>
      <c r="O2373">
        <v>1</v>
      </c>
      <c r="P2373">
        <v>0</v>
      </c>
      <c r="Q2373">
        <v>0</v>
      </c>
      <c r="S2373" t="str">
        <f>"20:27:09.289"</f>
        <v>20:27:09.289</v>
      </c>
      <c r="T2373" t="str">
        <f>"20:27:08.889"</f>
        <v>20:27:08.889</v>
      </c>
      <c r="U2373" t="str">
        <f t="shared" si="116"/>
        <v>AB01F4</v>
      </c>
      <c r="V2373">
        <v>0</v>
      </c>
      <c r="W2373">
        <v>0</v>
      </c>
      <c r="X2373">
        <v>2</v>
      </c>
      <c r="Z2373">
        <v>0</v>
      </c>
      <c r="AA2373">
        <v>9</v>
      </c>
      <c r="AB2373">
        <v>3</v>
      </c>
      <c r="AC2373">
        <v>0</v>
      </c>
      <c r="AD2373">
        <v>10</v>
      </c>
      <c r="AE2373">
        <v>0</v>
      </c>
      <c r="AF2373">
        <v>3</v>
      </c>
      <c r="AG2373">
        <v>2</v>
      </c>
      <c r="AH2373">
        <v>0</v>
      </c>
      <c r="AI2373" t="s">
        <v>1435</v>
      </c>
      <c r="AJ2373">
        <v>39.977617000000002</v>
      </c>
      <c r="AK2373" t="s">
        <v>1436</v>
      </c>
      <c r="AL2373">
        <v>-92.708066000000002</v>
      </c>
      <c r="AM2373">
        <v>100</v>
      </c>
      <c r="AN2373">
        <v>1700</v>
      </c>
      <c r="AO2373" t="s">
        <v>118</v>
      </c>
      <c r="AP2373">
        <v>-108</v>
      </c>
      <c r="AQ2373">
        <v>77</v>
      </c>
      <c r="AR2373">
        <v>-128</v>
      </c>
      <c r="AZ2373">
        <v>1200</v>
      </c>
      <c r="BA2373">
        <v>1</v>
      </c>
      <c r="BB2373" t="str">
        <f t="shared" si="115"/>
        <v xml:space="preserve">N8080G  </v>
      </c>
      <c r="BC2373">
        <v>1</v>
      </c>
      <c r="BE2373">
        <v>0</v>
      </c>
      <c r="BF2373">
        <v>0</v>
      </c>
      <c r="BG2373">
        <v>0</v>
      </c>
      <c r="BH2373">
        <v>1675</v>
      </c>
      <c r="BI2373">
        <v>1</v>
      </c>
      <c r="BJ2373">
        <v>1</v>
      </c>
      <c r="BK2373">
        <v>1</v>
      </c>
      <c r="BL2373">
        <v>0</v>
      </c>
      <c r="BO2373">
        <v>0</v>
      </c>
      <c r="BP2373">
        <v>0</v>
      </c>
      <c r="BW2373" t="str">
        <f>"20:27:09.293"</f>
        <v>20:27:09.293</v>
      </c>
      <c r="BZ2373">
        <v>0</v>
      </c>
      <c r="CA2373">
        <v>2016</v>
      </c>
      <c r="CB2373">
        <v>224</v>
      </c>
      <c r="CD2373">
        <v>1</v>
      </c>
      <c r="CE2373">
        <v>0</v>
      </c>
      <c r="CF2373">
        <v>0</v>
      </c>
      <c r="CG2373">
        <v>1</v>
      </c>
      <c r="CH2373">
        <v>0</v>
      </c>
      <c r="CI2373">
        <v>0</v>
      </c>
      <c r="CJ2373">
        <v>0</v>
      </c>
      <c r="CK2373">
        <v>2</v>
      </c>
      <c r="CL2373">
        <v>0</v>
      </c>
      <c r="CM2373">
        <v>2</v>
      </c>
      <c r="CN2373">
        <v>0</v>
      </c>
      <c r="CO2373">
        <v>3</v>
      </c>
      <c r="CP2373" t="s">
        <v>119</v>
      </c>
      <c r="CQ2373">
        <v>179</v>
      </c>
      <c r="CR2373">
        <v>1</v>
      </c>
      <c r="CW2373">
        <v>8959598</v>
      </c>
      <c r="CY2373">
        <v>1</v>
      </c>
      <c r="CZ2373">
        <v>0</v>
      </c>
      <c r="DA2373">
        <v>1</v>
      </c>
      <c r="DB2373">
        <v>0</v>
      </c>
      <c r="DC2373">
        <v>0</v>
      </c>
      <c r="DD2373">
        <v>0</v>
      </c>
      <c r="DE2373">
        <v>0</v>
      </c>
      <c r="DF2373">
        <v>0</v>
      </c>
      <c r="DG2373">
        <v>0</v>
      </c>
      <c r="DH2373">
        <v>0</v>
      </c>
      <c r="DI2373">
        <v>0</v>
      </c>
    </row>
    <row r="2374" spans="1:113" x14ac:dyDescent="0.3">
      <c r="A2374" t="str">
        <f>"02/08/2021 20:27:06.946"</f>
        <v>02/08/2021 20:27:06.946</v>
      </c>
      <c r="C2374" t="str">
        <f t="shared" si="114"/>
        <v>FFDFD7C0</v>
      </c>
      <c r="D2374" t="s">
        <v>124</v>
      </c>
      <c r="E2374">
        <v>12</v>
      </c>
      <c r="F2374">
        <v>1012</v>
      </c>
      <c r="G2374" t="s">
        <v>675</v>
      </c>
      <c r="J2374" t="s">
        <v>125</v>
      </c>
      <c r="K2374">
        <v>0</v>
      </c>
      <c r="L2374">
        <v>3</v>
      </c>
      <c r="M2374">
        <v>0</v>
      </c>
      <c r="N2374">
        <v>2</v>
      </c>
      <c r="O2374">
        <v>1</v>
      </c>
      <c r="P2374">
        <v>0</v>
      </c>
      <c r="Q2374">
        <v>0</v>
      </c>
      <c r="S2374" t="str">
        <f>"20:27:09.289"</f>
        <v>20:27:09.289</v>
      </c>
      <c r="T2374" t="str">
        <f>"20:27:08.889"</f>
        <v>20:27:08.889</v>
      </c>
      <c r="U2374" t="str">
        <f t="shared" si="116"/>
        <v>AB01F4</v>
      </c>
      <c r="V2374">
        <v>0</v>
      </c>
      <c r="W2374">
        <v>0</v>
      </c>
      <c r="X2374">
        <v>2</v>
      </c>
      <c r="Z2374">
        <v>0</v>
      </c>
      <c r="AA2374">
        <v>9</v>
      </c>
      <c r="AB2374">
        <v>3</v>
      </c>
      <c r="AC2374">
        <v>0</v>
      </c>
      <c r="AD2374">
        <v>10</v>
      </c>
      <c r="AE2374">
        <v>0</v>
      </c>
      <c r="AF2374">
        <v>3</v>
      </c>
      <c r="AG2374">
        <v>2</v>
      </c>
      <c r="AH2374">
        <v>0</v>
      </c>
      <c r="AI2374" t="s">
        <v>1435</v>
      </c>
      <c r="AJ2374">
        <v>39.977617000000002</v>
      </c>
      <c r="AK2374" t="s">
        <v>1436</v>
      </c>
      <c r="AL2374">
        <v>-92.708066000000002</v>
      </c>
      <c r="AM2374">
        <v>100</v>
      </c>
      <c r="AN2374">
        <v>1700</v>
      </c>
      <c r="AO2374" t="s">
        <v>118</v>
      </c>
      <c r="AP2374">
        <v>-108</v>
      </c>
      <c r="AQ2374">
        <v>77</v>
      </c>
      <c r="AR2374">
        <v>-128</v>
      </c>
      <c r="AZ2374">
        <v>1200</v>
      </c>
      <c r="BA2374">
        <v>1</v>
      </c>
      <c r="BB2374" t="str">
        <f t="shared" si="115"/>
        <v xml:space="preserve">N8080G  </v>
      </c>
      <c r="BC2374">
        <v>1</v>
      </c>
      <c r="BE2374">
        <v>0</v>
      </c>
      <c r="BF2374">
        <v>0</v>
      </c>
      <c r="BG2374">
        <v>0</v>
      </c>
      <c r="BH2374">
        <v>1675</v>
      </c>
      <c r="BI2374">
        <v>1</v>
      </c>
      <c r="BJ2374">
        <v>1</v>
      </c>
      <c r="BK2374">
        <v>1</v>
      </c>
      <c r="BL2374">
        <v>0</v>
      </c>
      <c r="BO2374">
        <v>0</v>
      </c>
      <c r="BP2374">
        <v>0</v>
      </c>
      <c r="BW2374" t="str">
        <f>"20:27:09.293"</f>
        <v>20:27:09.293</v>
      </c>
      <c r="BZ2374">
        <v>0</v>
      </c>
      <c r="CA2374">
        <v>2016</v>
      </c>
      <c r="CB2374">
        <v>224</v>
      </c>
      <c r="CD2374">
        <v>1</v>
      </c>
      <c r="CE2374">
        <v>0</v>
      </c>
      <c r="CF2374">
        <v>0</v>
      </c>
      <c r="CG2374">
        <v>1</v>
      </c>
      <c r="CH2374">
        <v>0</v>
      </c>
      <c r="CI2374">
        <v>0</v>
      </c>
      <c r="CJ2374">
        <v>0</v>
      </c>
      <c r="CK2374">
        <v>2</v>
      </c>
      <c r="CL2374">
        <v>0</v>
      </c>
      <c r="CM2374">
        <v>2</v>
      </c>
      <c r="CN2374">
        <v>0</v>
      </c>
      <c r="CO2374">
        <v>3</v>
      </c>
      <c r="CP2374" t="s">
        <v>119</v>
      </c>
      <c r="CQ2374">
        <v>179</v>
      </c>
      <c r="CR2374">
        <v>1</v>
      </c>
      <c r="CW2374">
        <v>8959598</v>
      </c>
      <c r="CY2374">
        <v>1</v>
      </c>
      <c r="CZ2374">
        <v>0</v>
      </c>
      <c r="DA2374">
        <v>1</v>
      </c>
      <c r="DB2374">
        <v>0</v>
      </c>
      <c r="DC2374">
        <v>0</v>
      </c>
      <c r="DD2374">
        <v>0</v>
      </c>
      <c r="DE2374">
        <v>0</v>
      </c>
      <c r="DF2374">
        <v>0</v>
      </c>
      <c r="DG2374">
        <v>0</v>
      </c>
      <c r="DH2374">
        <v>0</v>
      </c>
      <c r="DI2374">
        <v>0</v>
      </c>
    </row>
    <row r="2375" spans="1:113" x14ac:dyDescent="0.3">
      <c r="A2375" t="str">
        <f>"02/08/2021 20:27:07.873"</f>
        <v>02/08/2021 20:27:07.873</v>
      </c>
      <c r="C2375" t="str">
        <f t="shared" si="114"/>
        <v>FFDFD7C0</v>
      </c>
      <c r="D2375" t="s">
        <v>124</v>
      </c>
      <c r="E2375">
        <v>13</v>
      </c>
      <c r="F2375">
        <v>1013</v>
      </c>
      <c r="G2375" t="s">
        <v>114</v>
      </c>
      <c r="J2375" t="s">
        <v>125</v>
      </c>
      <c r="K2375">
        <v>0</v>
      </c>
      <c r="L2375">
        <v>3</v>
      </c>
      <c r="M2375">
        <v>0</v>
      </c>
      <c r="N2375">
        <v>2</v>
      </c>
      <c r="O2375">
        <v>1</v>
      </c>
      <c r="P2375">
        <v>0</v>
      </c>
      <c r="Q2375">
        <v>0</v>
      </c>
      <c r="S2375" t="str">
        <f>"20:27:10.172"</f>
        <v>20:27:10.172</v>
      </c>
      <c r="T2375" t="str">
        <f>"20:27:09.772"</f>
        <v>20:27:09.772</v>
      </c>
      <c r="U2375" t="str">
        <f t="shared" si="116"/>
        <v>AB01F4</v>
      </c>
      <c r="V2375">
        <v>0</v>
      </c>
      <c r="W2375">
        <v>0</v>
      </c>
      <c r="X2375">
        <v>2</v>
      </c>
      <c r="Z2375">
        <v>0</v>
      </c>
      <c r="AA2375">
        <v>9</v>
      </c>
      <c r="AB2375">
        <v>3</v>
      </c>
      <c r="AC2375">
        <v>0</v>
      </c>
      <c r="AD2375">
        <v>10</v>
      </c>
      <c r="AE2375">
        <v>0</v>
      </c>
      <c r="AF2375">
        <v>3</v>
      </c>
      <c r="AG2375">
        <v>2</v>
      </c>
      <c r="AH2375">
        <v>0</v>
      </c>
      <c r="AI2375" t="s">
        <v>1437</v>
      </c>
      <c r="AJ2375">
        <v>39.977918000000003</v>
      </c>
      <c r="AK2375" t="s">
        <v>1438</v>
      </c>
      <c r="AL2375">
        <v>-92.708623000000003</v>
      </c>
      <c r="AM2375">
        <v>100</v>
      </c>
      <c r="AN2375">
        <v>1700</v>
      </c>
      <c r="AO2375" t="s">
        <v>118</v>
      </c>
      <c r="AP2375">
        <v>-107</v>
      </c>
      <c r="AQ2375">
        <v>77</v>
      </c>
      <c r="AR2375">
        <v>0</v>
      </c>
      <c r="AZ2375">
        <v>1200</v>
      </c>
      <c r="BA2375">
        <v>1</v>
      </c>
      <c r="BB2375" t="str">
        <f t="shared" si="115"/>
        <v xml:space="preserve">N8080G  </v>
      </c>
      <c r="BC2375">
        <v>1</v>
      </c>
      <c r="BE2375">
        <v>0</v>
      </c>
      <c r="BF2375">
        <v>0</v>
      </c>
      <c r="BG2375">
        <v>0</v>
      </c>
      <c r="BH2375">
        <v>1700</v>
      </c>
      <c r="BI2375">
        <v>1</v>
      </c>
      <c r="BJ2375">
        <v>1</v>
      </c>
      <c r="BK2375">
        <v>1</v>
      </c>
      <c r="BL2375">
        <v>0</v>
      </c>
      <c r="BO2375">
        <v>0</v>
      </c>
      <c r="BP2375">
        <v>0</v>
      </c>
      <c r="BW2375" t="str">
        <f>"20:27:10.172"</f>
        <v>20:27:10.172</v>
      </c>
      <c r="BZ2375">
        <v>0</v>
      </c>
      <c r="CA2375">
        <v>2016</v>
      </c>
      <c r="CB2375">
        <v>224</v>
      </c>
      <c r="CD2375">
        <v>1</v>
      </c>
      <c r="CE2375">
        <v>0</v>
      </c>
      <c r="CF2375">
        <v>0</v>
      </c>
      <c r="CG2375">
        <v>1</v>
      </c>
      <c r="CH2375">
        <v>0</v>
      </c>
      <c r="CI2375">
        <v>0</v>
      </c>
      <c r="CJ2375">
        <v>0</v>
      </c>
      <c r="CK2375">
        <v>2</v>
      </c>
      <c r="CL2375">
        <v>0</v>
      </c>
      <c r="CM2375">
        <v>2</v>
      </c>
      <c r="CN2375">
        <v>0</v>
      </c>
      <c r="CO2375">
        <v>7</v>
      </c>
      <c r="CP2375" t="s">
        <v>119</v>
      </c>
      <c r="CQ2375">
        <v>180</v>
      </c>
      <c r="CR2375">
        <v>3</v>
      </c>
      <c r="CW2375">
        <v>868774</v>
      </c>
      <c r="CY2375">
        <v>1</v>
      </c>
      <c r="CZ2375">
        <v>0</v>
      </c>
      <c r="DA2375">
        <v>0</v>
      </c>
      <c r="DB2375">
        <v>0</v>
      </c>
      <c r="DC2375">
        <v>0</v>
      </c>
      <c r="DD2375">
        <v>0</v>
      </c>
      <c r="DE2375">
        <v>0</v>
      </c>
      <c r="DF2375">
        <v>0</v>
      </c>
      <c r="DG2375">
        <v>0</v>
      </c>
      <c r="DH2375">
        <v>0</v>
      </c>
      <c r="DI2375">
        <v>0</v>
      </c>
    </row>
    <row r="2376" spans="1:113" x14ac:dyDescent="0.3">
      <c r="A2376" t="str">
        <f>"02/08/2021 20:27:07.873"</f>
        <v>02/08/2021 20:27:07.873</v>
      </c>
      <c r="C2376" t="str">
        <f t="shared" si="114"/>
        <v>FFDFD7C0</v>
      </c>
      <c r="D2376" t="s">
        <v>124</v>
      </c>
      <c r="E2376">
        <v>11</v>
      </c>
      <c r="F2376">
        <v>1011</v>
      </c>
      <c r="G2376" t="s">
        <v>590</v>
      </c>
      <c r="J2376" t="s">
        <v>125</v>
      </c>
      <c r="K2376">
        <v>0</v>
      </c>
      <c r="L2376">
        <v>3</v>
      </c>
      <c r="M2376">
        <v>0</v>
      </c>
      <c r="N2376">
        <v>2</v>
      </c>
      <c r="O2376">
        <v>1</v>
      </c>
      <c r="P2376">
        <v>0</v>
      </c>
      <c r="Q2376">
        <v>0</v>
      </c>
      <c r="S2376" t="str">
        <f>"20:27:10.172"</f>
        <v>20:27:10.172</v>
      </c>
      <c r="T2376" t="str">
        <f>"20:27:09.772"</f>
        <v>20:27:09.772</v>
      </c>
      <c r="U2376" t="str">
        <f t="shared" si="116"/>
        <v>AB01F4</v>
      </c>
      <c r="V2376">
        <v>0</v>
      </c>
      <c r="W2376">
        <v>0</v>
      </c>
      <c r="X2376">
        <v>2</v>
      </c>
      <c r="Z2376">
        <v>0</v>
      </c>
      <c r="AA2376">
        <v>9</v>
      </c>
      <c r="AB2376">
        <v>3</v>
      </c>
      <c r="AC2376">
        <v>0</v>
      </c>
      <c r="AD2376">
        <v>10</v>
      </c>
      <c r="AE2376">
        <v>0</v>
      </c>
      <c r="AF2376">
        <v>3</v>
      </c>
      <c r="AG2376">
        <v>2</v>
      </c>
      <c r="AH2376">
        <v>0</v>
      </c>
      <c r="AI2376" t="s">
        <v>1437</v>
      </c>
      <c r="AJ2376">
        <v>39.977918000000003</v>
      </c>
      <c r="AK2376" t="s">
        <v>1438</v>
      </c>
      <c r="AL2376">
        <v>-92.708623000000003</v>
      </c>
      <c r="AM2376">
        <v>100</v>
      </c>
      <c r="AN2376">
        <v>1700</v>
      </c>
      <c r="AO2376" t="s">
        <v>118</v>
      </c>
      <c r="AP2376">
        <v>-107</v>
      </c>
      <c r="AQ2376">
        <v>77</v>
      </c>
      <c r="AR2376">
        <v>0</v>
      </c>
      <c r="AZ2376">
        <v>1200</v>
      </c>
      <c r="BA2376">
        <v>1</v>
      </c>
      <c r="BB2376" t="str">
        <f t="shared" si="115"/>
        <v xml:space="preserve">N8080G  </v>
      </c>
      <c r="BC2376">
        <v>1</v>
      </c>
      <c r="BE2376">
        <v>0</v>
      </c>
      <c r="BF2376">
        <v>0</v>
      </c>
      <c r="BG2376">
        <v>0</v>
      </c>
      <c r="BH2376">
        <v>1700</v>
      </c>
      <c r="BI2376">
        <v>1</v>
      </c>
      <c r="BJ2376">
        <v>1</v>
      </c>
      <c r="BK2376">
        <v>1</v>
      </c>
      <c r="BL2376">
        <v>0</v>
      </c>
      <c r="BO2376">
        <v>0</v>
      </c>
      <c r="BP2376">
        <v>0</v>
      </c>
      <c r="BW2376" t="str">
        <f>"20:27:10.172"</f>
        <v>20:27:10.172</v>
      </c>
      <c r="BZ2376">
        <v>0</v>
      </c>
      <c r="CA2376">
        <v>2016</v>
      </c>
      <c r="CB2376">
        <v>224</v>
      </c>
      <c r="CD2376">
        <v>1</v>
      </c>
      <c r="CE2376">
        <v>0</v>
      </c>
      <c r="CF2376">
        <v>0</v>
      </c>
      <c r="CG2376">
        <v>1</v>
      </c>
      <c r="CH2376">
        <v>0</v>
      </c>
      <c r="CI2376">
        <v>0</v>
      </c>
      <c r="CJ2376">
        <v>0</v>
      </c>
      <c r="CK2376">
        <v>2</v>
      </c>
      <c r="CL2376">
        <v>0</v>
      </c>
      <c r="CM2376">
        <v>2</v>
      </c>
      <c r="CN2376">
        <v>0</v>
      </c>
      <c r="CO2376">
        <v>7</v>
      </c>
      <c r="CP2376" t="s">
        <v>119</v>
      </c>
      <c r="CQ2376">
        <v>180</v>
      </c>
      <c r="CR2376">
        <v>3</v>
      </c>
      <c r="CW2376">
        <v>868774</v>
      </c>
      <c r="CY2376">
        <v>1</v>
      </c>
      <c r="CZ2376">
        <v>0</v>
      </c>
      <c r="DA2376">
        <v>1</v>
      </c>
      <c r="DB2376">
        <v>0</v>
      </c>
      <c r="DC2376">
        <v>0</v>
      </c>
      <c r="DD2376">
        <v>0</v>
      </c>
      <c r="DE2376">
        <v>0</v>
      </c>
      <c r="DF2376">
        <v>0</v>
      </c>
      <c r="DG2376">
        <v>0</v>
      </c>
      <c r="DH2376">
        <v>0</v>
      </c>
      <c r="DI2376">
        <v>0</v>
      </c>
    </row>
    <row r="2377" spans="1:113" x14ac:dyDescent="0.3">
      <c r="A2377" t="str">
        <f>"02/08/2021 20:27:07.873"</f>
        <v>02/08/2021 20:27:07.873</v>
      </c>
      <c r="C2377" t="str">
        <f t="shared" si="114"/>
        <v>FFDFD7C0</v>
      </c>
      <c r="D2377" t="s">
        <v>124</v>
      </c>
      <c r="E2377">
        <v>12</v>
      </c>
      <c r="F2377">
        <v>1012</v>
      </c>
      <c r="G2377" t="s">
        <v>675</v>
      </c>
      <c r="J2377" t="s">
        <v>125</v>
      </c>
      <c r="K2377">
        <v>0</v>
      </c>
      <c r="L2377">
        <v>3</v>
      </c>
      <c r="M2377">
        <v>0</v>
      </c>
      <c r="N2377">
        <v>2</v>
      </c>
      <c r="O2377">
        <v>1</v>
      </c>
      <c r="P2377">
        <v>0</v>
      </c>
      <c r="Q2377">
        <v>0</v>
      </c>
      <c r="S2377" t="str">
        <f>"20:27:10.172"</f>
        <v>20:27:10.172</v>
      </c>
      <c r="T2377" t="str">
        <f>"20:27:09.772"</f>
        <v>20:27:09.772</v>
      </c>
      <c r="U2377" t="str">
        <f t="shared" si="116"/>
        <v>AB01F4</v>
      </c>
      <c r="V2377">
        <v>0</v>
      </c>
      <c r="W2377">
        <v>0</v>
      </c>
      <c r="X2377">
        <v>2</v>
      </c>
      <c r="Z2377">
        <v>0</v>
      </c>
      <c r="AA2377">
        <v>9</v>
      </c>
      <c r="AB2377">
        <v>3</v>
      </c>
      <c r="AC2377">
        <v>0</v>
      </c>
      <c r="AD2377">
        <v>10</v>
      </c>
      <c r="AE2377">
        <v>0</v>
      </c>
      <c r="AF2377">
        <v>3</v>
      </c>
      <c r="AG2377">
        <v>2</v>
      </c>
      <c r="AH2377">
        <v>0</v>
      </c>
      <c r="AI2377" t="s">
        <v>1437</v>
      </c>
      <c r="AJ2377">
        <v>39.977918000000003</v>
      </c>
      <c r="AK2377" t="s">
        <v>1438</v>
      </c>
      <c r="AL2377">
        <v>-92.708623000000003</v>
      </c>
      <c r="AM2377">
        <v>100</v>
      </c>
      <c r="AN2377">
        <v>1700</v>
      </c>
      <c r="AO2377" t="s">
        <v>118</v>
      </c>
      <c r="AP2377">
        <v>-107</v>
      </c>
      <c r="AQ2377">
        <v>77</v>
      </c>
      <c r="AR2377">
        <v>0</v>
      </c>
      <c r="AZ2377">
        <v>1200</v>
      </c>
      <c r="BA2377">
        <v>1</v>
      </c>
      <c r="BB2377" t="str">
        <f t="shared" si="115"/>
        <v xml:space="preserve">N8080G  </v>
      </c>
      <c r="BC2377">
        <v>1</v>
      </c>
      <c r="BE2377">
        <v>0</v>
      </c>
      <c r="BF2377">
        <v>0</v>
      </c>
      <c r="BG2377">
        <v>0</v>
      </c>
      <c r="BH2377">
        <v>1700</v>
      </c>
      <c r="BI2377">
        <v>1</v>
      </c>
      <c r="BJ2377">
        <v>1</v>
      </c>
      <c r="BK2377">
        <v>1</v>
      </c>
      <c r="BL2377">
        <v>0</v>
      </c>
      <c r="BO2377">
        <v>0</v>
      </c>
      <c r="BP2377">
        <v>0</v>
      </c>
      <c r="BW2377" t="str">
        <f>"20:27:10.172"</f>
        <v>20:27:10.172</v>
      </c>
      <c r="BZ2377">
        <v>0</v>
      </c>
      <c r="CA2377">
        <v>2016</v>
      </c>
      <c r="CB2377">
        <v>224</v>
      </c>
      <c r="CD2377">
        <v>1</v>
      </c>
      <c r="CE2377">
        <v>0</v>
      </c>
      <c r="CF2377">
        <v>0</v>
      </c>
      <c r="CG2377">
        <v>1</v>
      </c>
      <c r="CH2377">
        <v>0</v>
      </c>
      <c r="CI2377">
        <v>0</v>
      </c>
      <c r="CJ2377">
        <v>0</v>
      </c>
      <c r="CK2377">
        <v>2</v>
      </c>
      <c r="CL2377">
        <v>0</v>
      </c>
      <c r="CM2377">
        <v>2</v>
      </c>
      <c r="CN2377">
        <v>0</v>
      </c>
      <c r="CO2377">
        <v>7</v>
      </c>
      <c r="CP2377" t="s">
        <v>119</v>
      </c>
      <c r="CQ2377">
        <v>180</v>
      </c>
      <c r="CR2377">
        <v>3</v>
      </c>
      <c r="CW2377">
        <v>868774</v>
      </c>
      <c r="CY2377">
        <v>1</v>
      </c>
      <c r="CZ2377">
        <v>0</v>
      </c>
      <c r="DA2377">
        <v>1</v>
      </c>
      <c r="DB2377">
        <v>0</v>
      </c>
      <c r="DC2377">
        <v>0</v>
      </c>
      <c r="DD2377">
        <v>0</v>
      </c>
      <c r="DE2377">
        <v>0</v>
      </c>
      <c r="DF2377">
        <v>0</v>
      </c>
      <c r="DG2377">
        <v>0</v>
      </c>
      <c r="DH2377">
        <v>0</v>
      </c>
      <c r="DI2377">
        <v>0</v>
      </c>
    </row>
    <row r="2378" spans="1:113" x14ac:dyDescent="0.3">
      <c r="A2378" t="str">
        <f>"02/08/2021 20:27:07.873"</f>
        <v>02/08/2021 20:27:07.873</v>
      </c>
      <c r="C2378" t="str">
        <f t="shared" si="114"/>
        <v>FFDFD7C0</v>
      </c>
      <c r="D2378" t="s">
        <v>113</v>
      </c>
      <c r="E2378">
        <v>6</v>
      </c>
      <c r="H2378">
        <v>165</v>
      </c>
      <c r="I2378" t="s">
        <v>114</v>
      </c>
      <c r="J2378" t="s">
        <v>115</v>
      </c>
      <c r="K2378">
        <v>0</v>
      </c>
      <c r="L2378">
        <v>3</v>
      </c>
      <c r="M2378">
        <v>0</v>
      </c>
      <c r="N2378">
        <v>2</v>
      </c>
      <c r="O2378">
        <v>1</v>
      </c>
      <c r="P2378">
        <v>0</v>
      </c>
      <c r="Q2378">
        <v>0</v>
      </c>
      <c r="S2378" t="str">
        <f>"20:27:10.172"</f>
        <v>20:27:10.172</v>
      </c>
      <c r="T2378" t="str">
        <f>"20:27:09.772"</f>
        <v>20:27:09.772</v>
      </c>
      <c r="U2378" t="str">
        <f t="shared" si="116"/>
        <v>AB01F4</v>
      </c>
      <c r="V2378">
        <v>0</v>
      </c>
      <c r="W2378">
        <v>0</v>
      </c>
      <c r="X2378">
        <v>2</v>
      </c>
      <c r="Z2378">
        <v>0</v>
      </c>
      <c r="AA2378">
        <v>9</v>
      </c>
      <c r="AB2378">
        <v>3</v>
      </c>
      <c r="AC2378">
        <v>0</v>
      </c>
      <c r="AD2378">
        <v>10</v>
      </c>
      <c r="AE2378">
        <v>0</v>
      </c>
      <c r="AF2378">
        <v>3</v>
      </c>
      <c r="AG2378">
        <v>2</v>
      </c>
      <c r="AH2378">
        <v>0</v>
      </c>
      <c r="AI2378" t="s">
        <v>1437</v>
      </c>
      <c r="AJ2378">
        <v>39.977918000000003</v>
      </c>
      <c r="AK2378" t="s">
        <v>1438</v>
      </c>
      <c r="AL2378">
        <v>-92.708623000000003</v>
      </c>
      <c r="AM2378">
        <v>100</v>
      </c>
      <c r="AN2378">
        <v>1700</v>
      </c>
      <c r="AO2378" t="s">
        <v>118</v>
      </c>
      <c r="AP2378">
        <v>-107</v>
      </c>
      <c r="AQ2378">
        <v>77</v>
      </c>
      <c r="AR2378">
        <v>0</v>
      </c>
      <c r="AZ2378">
        <v>1200</v>
      </c>
      <c r="BA2378">
        <v>1</v>
      </c>
      <c r="BB2378" t="str">
        <f t="shared" si="115"/>
        <v xml:space="preserve">N8080G  </v>
      </c>
      <c r="BC2378">
        <v>1</v>
      </c>
      <c r="BE2378">
        <v>0</v>
      </c>
      <c r="BF2378">
        <v>0</v>
      </c>
      <c r="BG2378">
        <v>0</v>
      </c>
      <c r="BH2378">
        <v>1700</v>
      </c>
      <c r="BI2378">
        <v>1</v>
      </c>
      <c r="BJ2378">
        <v>1</v>
      </c>
      <c r="BK2378">
        <v>1</v>
      </c>
      <c r="BL2378">
        <v>0</v>
      </c>
      <c r="BO2378">
        <v>0</v>
      </c>
      <c r="BP2378">
        <v>0</v>
      </c>
      <c r="BW2378" t="str">
        <f>"20:27:10.172"</f>
        <v>20:27:10.172</v>
      </c>
      <c r="BZ2378">
        <v>0</v>
      </c>
      <c r="CA2378">
        <v>2016</v>
      </c>
      <c r="CB2378">
        <v>224</v>
      </c>
      <c r="CD2378">
        <v>1</v>
      </c>
      <c r="CE2378">
        <v>0</v>
      </c>
      <c r="CF2378">
        <v>0</v>
      </c>
      <c r="CG2378">
        <v>1</v>
      </c>
      <c r="CH2378">
        <v>0</v>
      </c>
      <c r="CI2378">
        <v>0</v>
      </c>
      <c r="CJ2378">
        <v>0</v>
      </c>
      <c r="CK2378">
        <v>2</v>
      </c>
      <c r="CL2378">
        <v>0</v>
      </c>
      <c r="CM2378">
        <v>2</v>
      </c>
      <c r="CN2378">
        <v>0</v>
      </c>
      <c r="CO2378">
        <v>7</v>
      </c>
      <c r="CP2378" t="s">
        <v>119</v>
      </c>
      <c r="CQ2378">
        <v>180</v>
      </c>
      <c r="CR2378">
        <v>3</v>
      </c>
      <c r="CW2378">
        <v>868774</v>
      </c>
      <c r="CY2378">
        <v>1</v>
      </c>
      <c r="CZ2378">
        <v>0</v>
      </c>
      <c r="DA2378">
        <v>1</v>
      </c>
      <c r="DB2378">
        <v>0</v>
      </c>
      <c r="DC2378">
        <v>0</v>
      </c>
      <c r="DD2378">
        <v>0</v>
      </c>
      <c r="DE2378">
        <v>0</v>
      </c>
      <c r="DF2378">
        <v>0</v>
      </c>
      <c r="DG2378">
        <v>0</v>
      </c>
      <c r="DH2378">
        <v>0</v>
      </c>
      <c r="DI2378">
        <v>0</v>
      </c>
    </row>
    <row r="2379" spans="1:113" x14ac:dyDescent="0.3">
      <c r="A2379" t="str">
        <f>"02/08/2021 20:27:08.954"</f>
        <v>02/08/2021 20:27:08.954</v>
      </c>
      <c r="C2379" t="str">
        <f t="shared" si="114"/>
        <v>FFDFD7C0</v>
      </c>
      <c r="D2379" t="s">
        <v>124</v>
      </c>
      <c r="E2379">
        <v>12</v>
      </c>
      <c r="F2379">
        <v>1012</v>
      </c>
      <c r="G2379" t="s">
        <v>675</v>
      </c>
      <c r="J2379" t="s">
        <v>125</v>
      </c>
      <c r="K2379">
        <v>0</v>
      </c>
      <c r="L2379">
        <v>3</v>
      </c>
      <c r="M2379">
        <v>0</v>
      </c>
      <c r="N2379">
        <v>2</v>
      </c>
      <c r="O2379">
        <v>1</v>
      </c>
      <c r="P2379">
        <v>0</v>
      </c>
      <c r="Q2379">
        <v>0</v>
      </c>
      <c r="S2379" t="str">
        <f>"20:27:11.258"</f>
        <v>20:27:11.258</v>
      </c>
      <c r="T2379" t="str">
        <f>"20:27:10.758"</f>
        <v>20:27:10.758</v>
      </c>
      <c r="U2379" t="str">
        <f t="shared" si="116"/>
        <v>AB01F4</v>
      </c>
      <c r="V2379">
        <v>0</v>
      </c>
      <c r="W2379">
        <v>0</v>
      </c>
      <c r="X2379">
        <v>2</v>
      </c>
      <c r="Z2379">
        <v>0</v>
      </c>
      <c r="AA2379">
        <v>9</v>
      </c>
      <c r="AB2379">
        <v>3</v>
      </c>
      <c r="AC2379">
        <v>0</v>
      </c>
      <c r="AD2379">
        <v>10</v>
      </c>
      <c r="AE2379">
        <v>0</v>
      </c>
      <c r="AF2379">
        <v>3</v>
      </c>
      <c r="AG2379">
        <v>2</v>
      </c>
      <c r="AH2379">
        <v>0</v>
      </c>
      <c r="AI2379" t="s">
        <v>1439</v>
      </c>
      <c r="AJ2379">
        <v>39.978324999999998</v>
      </c>
      <c r="AK2379" t="s">
        <v>1440</v>
      </c>
      <c r="AL2379">
        <v>-92.709310000000002</v>
      </c>
      <c r="AM2379">
        <v>100</v>
      </c>
      <c r="AN2379">
        <v>1700</v>
      </c>
      <c r="AO2379" t="s">
        <v>118</v>
      </c>
      <c r="AP2379">
        <v>-107</v>
      </c>
      <c r="AQ2379">
        <v>77</v>
      </c>
      <c r="AR2379">
        <v>128</v>
      </c>
      <c r="AZ2379">
        <v>1200</v>
      </c>
      <c r="BA2379">
        <v>1</v>
      </c>
      <c r="BB2379" t="str">
        <f t="shared" si="115"/>
        <v xml:space="preserve">N8080G  </v>
      </c>
      <c r="BC2379">
        <v>1</v>
      </c>
      <c r="BE2379">
        <v>0</v>
      </c>
      <c r="BF2379">
        <v>0</v>
      </c>
      <c r="BG2379">
        <v>0</v>
      </c>
      <c r="BH2379">
        <v>1700</v>
      </c>
      <c r="BI2379">
        <v>1</v>
      </c>
      <c r="BJ2379">
        <v>1</v>
      </c>
      <c r="BK2379">
        <v>1</v>
      </c>
      <c r="BL2379">
        <v>0</v>
      </c>
      <c r="BO2379">
        <v>0</v>
      </c>
      <c r="BP2379">
        <v>0</v>
      </c>
      <c r="BW2379" t="str">
        <f>"20:27:11.263"</f>
        <v>20:27:11.263</v>
      </c>
      <c r="BZ2379">
        <v>0</v>
      </c>
      <c r="CA2379">
        <v>2016</v>
      </c>
      <c r="CB2379">
        <v>224</v>
      </c>
      <c r="CD2379">
        <v>1</v>
      </c>
      <c r="CE2379">
        <v>0</v>
      </c>
      <c r="CF2379">
        <v>0</v>
      </c>
      <c r="CG2379">
        <v>1</v>
      </c>
      <c r="CH2379">
        <v>0</v>
      </c>
      <c r="CI2379">
        <v>0</v>
      </c>
      <c r="CJ2379">
        <v>0</v>
      </c>
      <c r="CK2379">
        <v>2</v>
      </c>
      <c r="CL2379">
        <v>0</v>
      </c>
      <c r="CM2379">
        <v>2</v>
      </c>
      <c r="CN2379">
        <v>0</v>
      </c>
      <c r="CO2379">
        <v>7</v>
      </c>
      <c r="CP2379" t="s">
        <v>119</v>
      </c>
      <c r="CQ2379">
        <v>180</v>
      </c>
      <c r="CR2379">
        <v>2</v>
      </c>
      <c r="CW2379">
        <v>8514388</v>
      </c>
      <c r="CY2379">
        <v>1</v>
      </c>
      <c r="CZ2379">
        <v>0</v>
      </c>
      <c r="DA2379">
        <v>0</v>
      </c>
      <c r="DB2379">
        <v>0</v>
      </c>
      <c r="DC2379">
        <v>0</v>
      </c>
      <c r="DD2379">
        <v>0</v>
      </c>
      <c r="DE2379">
        <v>0</v>
      </c>
      <c r="DF2379">
        <v>0</v>
      </c>
      <c r="DG2379">
        <v>0</v>
      </c>
      <c r="DH2379">
        <v>0</v>
      </c>
      <c r="DI2379">
        <v>0</v>
      </c>
    </row>
    <row r="2380" spans="1:113" x14ac:dyDescent="0.3">
      <c r="A2380" t="str">
        <f>"02/08/2021 20:27:08.954"</f>
        <v>02/08/2021 20:27:08.954</v>
      </c>
      <c r="C2380" t="str">
        <f t="shared" si="114"/>
        <v>FFDFD7C0</v>
      </c>
      <c r="D2380" t="s">
        <v>113</v>
      </c>
      <c r="E2380">
        <v>6</v>
      </c>
      <c r="H2380">
        <v>165</v>
      </c>
      <c r="I2380" t="s">
        <v>114</v>
      </c>
      <c r="J2380" t="s">
        <v>115</v>
      </c>
      <c r="K2380">
        <v>0</v>
      </c>
      <c r="L2380">
        <v>3</v>
      </c>
      <c r="M2380">
        <v>0</v>
      </c>
      <c r="N2380">
        <v>2</v>
      </c>
      <c r="O2380">
        <v>1</v>
      </c>
      <c r="P2380">
        <v>0</v>
      </c>
      <c r="Q2380">
        <v>0</v>
      </c>
      <c r="S2380" t="str">
        <f>"20:27:11.258"</f>
        <v>20:27:11.258</v>
      </c>
      <c r="T2380" t="str">
        <f>"20:27:10.758"</f>
        <v>20:27:10.758</v>
      </c>
      <c r="U2380" t="str">
        <f t="shared" si="116"/>
        <v>AB01F4</v>
      </c>
      <c r="V2380">
        <v>0</v>
      </c>
      <c r="W2380">
        <v>0</v>
      </c>
      <c r="X2380">
        <v>2</v>
      </c>
      <c r="Z2380">
        <v>0</v>
      </c>
      <c r="AA2380">
        <v>9</v>
      </c>
      <c r="AB2380">
        <v>3</v>
      </c>
      <c r="AC2380">
        <v>0</v>
      </c>
      <c r="AD2380">
        <v>10</v>
      </c>
      <c r="AE2380">
        <v>0</v>
      </c>
      <c r="AF2380">
        <v>3</v>
      </c>
      <c r="AG2380">
        <v>2</v>
      </c>
      <c r="AH2380">
        <v>0</v>
      </c>
      <c r="AI2380" t="s">
        <v>1439</v>
      </c>
      <c r="AJ2380">
        <v>39.978324999999998</v>
      </c>
      <c r="AK2380" t="s">
        <v>1440</v>
      </c>
      <c r="AL2380">
        <v>-92.709310000000002</v>
      </c>
      <c r="AM2380">
        <v>100</v>
      </c>
      <c r="AN2380">
        <v>1700</v>
      </c>
      <c r="AO2380" t="s">
        <v>118</v>
      </c>
      <c r="AP2380">
        <v>-107</v>
      </c>
      <c r="AQ2380">
        <v>77</v>
      </c>
      <c r="AR2380">
        <v>128</v>
      </c>
      <c r="AZ2380">
        <v>1200</v>
      </c>
      <c r="BA2380">
        <v>1</v>
      </c>
      <c r="BB2380" t="str">
        <f t="shared" si="115"/>
        <v xml:space="preserve">N8080G  </v>
      </c>
      <c r="BC2380">
        <v>1</v>
      </c>
      <c r="BE2380">
        <v>0</v>
      </c>
      <c r="BF2380">
        <v>0</v>
      </c>
      <c r="BG2380">
        <v>0</v>
      </c>
      <c r="BH2380">
        <v>1700</v>
      </c>
      <c r="BI2380">
        <v>1</v>
      </c>
      <c r="BJ2380">
        <v>1</v>
      </c>
      <c r="BK2380">
        <v>1</v>
      </c>
      <c r="BL2380">
        <v>0</v>
      </c>
      <c r="BO2380">
        <v>0</v>
      </c>
      <c r="BP2380">
        <v>0</v>
      </c>
      <c r="BW2380" t="str">
        <f>"20:27:11.263"</f>
        <v>20:27:11.263</v>
      </c>
      <c r="BZ2380">
        <v>0</v>
      </c>
      <c r="CA2380">
        <v>2016</v>
      </c>
      <c r="CB2380">
        <v>224</v>
      </c>
      <c r="CD2380">
        <v>1</v>
      </c>
      <c r="CE2380">
        <v>0</v>
      </c>
      <c r="CF2380">
        <v>0</v>
      </c>
      <c r="CG2380">
        <v>1</v>
      </c>
      <c r="CH2380">
        <v>0</v>
      </c>
      <c r="CI2380">
        <v>0</v>
      </c>
      <c r="CJ2380">
        <v>0</v>
      </c>
      <c r="CK2380">
        <v>2</v>
      </c>
      <c r="CL2380">
        <v>0</v>
      </c>
      <c r="CM2380">
        <v>2</v>
      </c>
      <c r="CN2380">
        <v>0</v>
      </c>
      <c r="CO2380">
        <v>7</v>
      </c>
      <c r="CP2380" t="s">
        <v>119</v>
      </c>
      <c r="CQ2380">
        <v>180</v>
      </c>
      <c r="CR2380">
        <v>2</v>
      </c>
      <c r="CW2380">
        <v>8514388</v>
      </c>
      <c r="CY2380">
        <v>1</v>
      </c>
      <c r="CZ2380">
        <v>0</v>
      </c>
      <c r="DA2380">
        <v>1</v>
      </c>
      <c r="DB2380">
        <v>0</v>
      </c>
      <c r="DC2380">
        <v>0</v>
      </c>
      <c r="DD2380">
        <v>0</v>
      </c>
      <c r="DE2380">
        <v>0</v>
      </c>
      <c r="DF2380">
        <v>0</v>
      </c>
      <c r="DG2380">
        <v>0</v>
      </c>
      <c r="DH2380">
        <v>0</v>
      </c>
      <c r="DI2380">
        <v>0</v>
      </c>
    </row>
    <row r="2381" spans="1:113" x14ac:dyDescent="0.3">
      <c r="A2381" t="str">
        <f>"02/08/2021 20:27:08.954"</f>
        <v>02/08/2021 20:27:08.954</v>
      </c>
      <c r="C2381" t="str">
        <f t="shared" si="114"/>
        <v>FFDFD7C0</v>
      </c>
      <c r="D2381" t="s">
        <v>124</v>
      </c>
      <c r="E2381">
        <v>13</v>
      </c>
      <c r="F2381">
        <v>1013</v>
      </c>
      <c r="G2381" t="s">
        <v>114</v>
      </c>
      <c r="J2381" t="s">
        <v>125</v>
      </c>
      <c r="K2381">
        <v>0</v>
      </c>
      <c r="L2381">
        <v>3</v>
      </c>
      <c r="M2381">
        <v>0</v>
      </c>
      <c r="N2381">
        <v>2</v>
      </c>
      <c r="O2381">
        <v>1</v>
      </c>
      <c r="P2381">
        <v>0</v>
      </c>
      <c r="Q2381">
        <v>0</v>
      </c>
      <c r="S2381" t="str">
        <f>"20:27:11.258"</f>
        <v>20:27:11.258</v>
      </c>
      <c r="T2381" t="str">
        <f>"20:27:10.758"</f>
        <v>20:27:10.758</v>
      </c>
      <c r="U2381" t="str">
        <f t="shared" si="116"/>
        <v>AB01F4</v>
      </c>
      <c r="V2381">
        <v>0</v>
      </c>
      <c r="W2381">
        <v>0</v>
      </c>
      <c r="X2381">
        <v>2</v>
      </c>
      <c r="Z2381">
        <v>0</v>
      </c>
      <c r="AA2381">
        <v>9</v>
      </c>
      <c r="AB2381">
        <v>3</v>
      </c>
      <c r="AC2381">
        <v>0</v>
      </c>
      <c r="AD2381">
        <v>10</v>
      </c>
      <c r="AE2381">
        <v>0</v>
      </c>
      <c r="AF2381">
        <v>3</v>
      </c>
      <c r="AG2381">
        <v>2</v>
      </c>
      <c r="AH2381">
        <v>0</v>
      </c>
      <c r="AI2381" t="s">
        <v>1439</v>
      </c>
      <c r="AJ2381">
        <v>39.978324999999998</v>
      </c>
      <c r="AK2381" t="s">
        <v>1440</v>
      </c>
      <c r="AL2381">
        <v>-92.709310000000002</v>
      </c>
      <c r="AM2381">
        <v>100</v>
      </c>
      <c r="AN2381">
        <v>1700</v>
      </c>
      <c r="AO2381" t="s">
        <v>118</v>
      </c>
      <c r="AP2381">
        <v>-107</v>
      </c>
      <c r="AQ2381">
        <v>77</v>
      </c>
      <c r="AR2381">
        <v>128</v>
      </c>
      <c r="AZ2381">
        <v>1200</v>
      </c>
      <c r="BA2381">
        <v>1</v>
      </c>
      <c r="BB2381" t="str">
        <f t="shared" si="115"/>
        <v xml:space="preserve">N8080G  </v>
      </c>
      <c r="BC2381">
        <v>1</v>
      </c>
      <c r="BE2381">
        <v>0</v>
      </c>
      <c r="BF2381">
        <v>0</v>
      </c>
      <c r="BG2381">
        <v>0</v>
      </c>
      <c r="BH2381">
        <v>1700</v>
      </c>
      <c r="BI2381">
        <v>1</v>
      </c>
      <c r="BJ2381">
        <v>1</v>
      </c>
      <c r="BK2381">
        <v>1</v>
      </c>
      <c r="BL2381">
        <v>0</v>
      </c>
      <c r="BO2381">
        <v>0</v>
      </c>
      <c r="BP2381">
        <v>0</v>
      </c>
      <c r="BW2381" t="str">
        <f>"20:27:11.263"</f>
        <v>20:27:11.263</v>
      </c>
      <c r="BZ2381">
        <v>0</v>
      </c>
      <c r="CA2381">
        <v>2016</v>
      </c>
      <c r="CB2381">
        <v>224</v>
      </c>
      <c r="CD2381">
        <v>1</v>
      </c>
      <c r="CE2381">
        <v>0</v>
      </c>
      <c r="CF2381">
        <v>0</v>
      </c>
      <c r="CG2381">
        <v>1</v>
      </c>
      <c r="CH2381">
        <v>0</v>
      </c>
      <c r="CI2381">
        <v>0</v>
      </c>
      <c r="CJ2381">
        <v>0</v>
      </c>
      <c r="CK2381">
        <v>2</v>
      </c>
      <c r="CL2381">
        <v>0</v>
      </c>
      <c r="CM2381">
        <v>2</v>
      </c>
      <c r="CN2381">
        <v>0</v>
      </c>
      <c r="CO2381">
        <v>7</v>
      </c>
      <c r="CP2381" t="s">
        <v>119</v>
      </c>
      <c r="CQ2381">
        <v>180</v>
      </c>
      <c r="CR2381">
        <v>2</v>
      </c>
      <c r="CW2381">
        <v>8514388</v>
      </c>
      <c r="CY2381">
        <v>1</v>
      </c>
      <c r="CZ2381">
        <v>0</v>
      </c>
      <c r="DA2381">
        <v>1</v>
      </c>
      <c r="DB2381">
        <v>0</v>
      </c>
      <c r="DC2381">
        <v>0</v>
      </c>
      <c r="DD2381">
        <v>0</v>
      </c>
      <c r="DE2381">
        <v>0</v>
      </c>
      <c r="DF2381">
        <v>0</v>
      </c>
      <c r="DG2381">
        <v>0</v>
      </c>
      <c r="DH2381">
        <v>0</v>
      </c>
      <c r="DI2381">
        <v>0</v>
      </c>
    </row>
    <row r="2382" spans="1:113" x14ac:dyDescent="0.3">
      <c r="A2382" t="str">
        <f>"02/08/2021 20:27:08.954"</f>
        <v>02/08/2021 20:27:08.954</v>
      </c>
      <c r="C2382" t="str">
        <f t="shared" si="114"/>
        <v>FFDFD7C0</v>
      </c>
      <c r="D2382" t="s">
        <v>124</v>
      </c>
      <c r="E2382">
        <v>11</v>
      </c>
      <c r="F2382">
        <v>1011</v>
      </c>
      <c r="G2382" t="s">
        <v>590</v>
      </c>
      <c r="J2382" t="s">
        <v>125</v>
      </c>
      <c r="K2382">
        <v>0</v>
      </c>
      <c r="L2382">
        <v>3</v>
      </c>
      <c r="M2382">
        <v>0</v>
      </c>
      <c r="N2382">
        <v>2</v>
      </c>
      <c r="O2382">
        <v>1</v>
      </c>
      <c r="P2382">
        <v>0</v>
      </c>
      <c r="Q2382">
        <v>0</v>
      </c>
      <c r="S2382" t="str">
        <f>"20:27:11.258"</f>
        <v>20:27:11.258</v>
      </c>
      <c r="T2382" t="str">
        <f>"20:27:10.758"</f>
        <v>20:27:10.758</v>
      </c>
      <c r="U2382" t="str">
        <f t="shared" si="116"/>
        <v>AB01F4</v>
      </c>
      <c r="V2382">
        <v>0</v>
      </c>
      <c r="W2382">
        <v>0</v>
      </c>
      <c r="X2382">
        <v>2</v>
      </c>
      <c r="Z2382">
        <v>0</v>
      </c>
      <c r="AA2382">
        <v>9</v>
      </c>
      <c r="AB2382">
        <v>3</v>
      </c>
      <c r="AC2382">
        <v>0</v>
      </c>
      <c r="AD2382">
        <v>10</v>
      </c>
      <c r="AE2382">
        <v>0</v>
      </c>
      <c r="AF2382">
        <v>3</v>
      </c>
      <c r="AG2382">
        <v>2</v>
      </c>
      <c r="AH2382">
        <v>0</v>
      </c>
      <c r="AI2382" t="s">
        <v>1439</v>
      </c>
      <c r="AJ2382">
        <v>39.978324999999998</v>
      </c>
      <c r="AK2382" t="s">
        <v>1440</v>
      </c>
      <c r="AL2382">
        <v>-92.709310000000002</v>
      </c>
      <c r="AM2382">
        <v>100</v>
      </c>
      <c r="AN2382">
        <v>1700</v>
      </c>
      <c r="AO2382" t="s">
        <v>118</v>
      </c>
      <c r="AP2382">
        <v>-107</v>
      </c>
      <c r="AQ2382">
        <v>77</v>
      </c>
      <c r="AR2382">
        <v>128</v>
      </c>
      <c r="AZ2382">
        <v>1200</v>
      </c>
      <c r="BA2382">
        <v>1</v>
      </c>
      <c r="BB2382" t="str">
        <f t="shared" si="115"/>
        <v xml:space="preserve">N8080G  </v>
      </c>
      <c r="BC2382">
        <v>1</v>
      </c>
      <c r="BE2382">
        <v>0</v>
      </c>
      <c r="BF2382">
        <v>0</v>
      </c>
      <c r="BG2382">
        <v>0</v>
      </c>
      <c r="BH2382">
        <v>1700</v>
      </c>
      <c r="BI2382">
        <v>1</v>
      </c>
      <c r="BJ2382">
        <v>1</v>
      </c>
      <c r="BK2382">
        <v>1</v>
      </c>
      <c r="BL2382">
        <v>0</v>
      </c>
      <c r="BO2382">
        <v>0</v>
      </c>
      <c r="BP2382">
        <v>0</v>
      </c>
      <c r="BW2382" t="str">
        <f>"20:27:11.263"</f>
        <v>20:27:11.263</v>
      </c>
      <c r="BZ2382">
        <v>0</v>
      </c>
      <c r="CA2382">
        <v>2016</v>
      </c>
      <c r="CB2382">
        <v>224</v>
      </c>
      <c r="CD2382">
        <v>1</v>
      </c>
      <c r="CE2382">
        <v>0</v>
      </c>
      <c r="CF2382">
        <v>0</v>
      </c>
      <c r="CG2382">
        <v>1</v>
      </c>
      <c r="CH2382">
        <v>0</v>
      </c>
      <c r="CI2382">
        <v>0</v>
      </c>
      <c r="CJ2382">
        <v>0</v>
      </c>
      <c r="CK2382">
        <v>2</v>
      </c>
      <c r="CL2382">
        <v>0</v>
      </c>
      <c r="CM2382">
        <v>2</v>
      </c>
      <c r="CN2382">
        <v>0</v>
      </c>
      <c r="CO2382">
        <v>7</v>
      </c>
      <c r="CP2382" t="s">
        <v>119</v>
      </c>
      <c r="CQ2382">
        <v>180</v>
      </c>
      <c r="CR2382">
        <v>2</v>
      </c>
      <c r="CW2382">
        <v>8514388</v>
      </c>
      <c r="CY2382">
        <v>1</v>
      </c>
      <c r="CZ2382">
        <v>0</v>
      </c>
      <c r="DA2382">
        <v>1</v>
      </c>
      <c r="DB2382">
        <v>0</v>
      </c>
      <c r="DC2382">
        <v>0</v>
      </c>
      <c r="DD2382">
        <v>0</v>
      </c>
      <c r="DE2382">
        <v>0</v>
      </c>
      <c r="DF2382">
        <v>0</v>
      </c>
      <c r="DG2382">
        <v>0</v>
      </c>
      <c r="DH2382">
        <v>0</v>
      </c>
      <c r="DI2382">
        <v>0</v>
      </c>
    </row>
    <row r="2383" spans="1:113" x14ac:dyDescent="0.3">
      <c r="A2383" t="str">
        <f>"02/08/2021 20:27:12.042"</f>
        <v>02/08/2021 20:27:12.042</v>
      </c>
      <c r="C2383" t="str">
        <f t="shared" si="114"/>
        <v>FFDFD7C0</v>
      </c>
      <c r="D2383" t="s">
        <v>124</v>
      </c>
      <c r="E2383">
        <v>13</v>
      </c>
      <c r="F2383">
        <v>1013</v>
      </c>
      <c r="G2383" t="s">
        <v>114</v>
      </c>
      <c r="J2383" t="s">
        <v>125</v>
      </c>
      <c r="K2383">
        <v>0</v>
      </c>
      <c r="L2383">
        <v>3</v>
      </c>
      <c r="M2383">
        <v>0</v>
      </c>
      <c r="N2383">
        <v>2</v>
      </c>
      <c r="O2383">
        <v>1</v>
      </c>
      <c r="P2383">
        <v>0</v>
      </c>
      <c r="Q2383">
        <v>0</v>
      </c>
      <c r="S2383" t="str">
        <f>"20:27:14.383"</f>
        <v>20:27:14.383</v>
      </c>
      <c r="T2383" t="str">
        <f>"20:27:13.883"</f>
        <v>20:27:13.883</v>
      </c>
      <c r="U2383" t="str">
        <f t="shared" si="116"/>
        <v>AB01F4</v>
      </c>
      <c r="V2383">
        <v>0</v>
      </c>
      <c r="W2383">
        <v>0</v>
      </c>
      <c r="X2383">
        <v>2</v>
      </c>
      <c r="Z2383">
        <v>0</v>
      </c>
      <c r="AA2383">
        <v>9</v>
      </c>
      <c r="AB2383">
        <v>3</v>
      </c>
      <c r="AC2383">
        <v>0</v>
      </c>
      <c r="AD2383">
        <v>10</v>
      </c>
      <c r="AE2383">
        <v>0</v>
      </c>
      <c r="AF2383">
        <v>3</v>
      </c>
      <c r="AG2383">
        <v>2</v>
      </c>
      <c r="AH2383">
        <v>0</v>
      </c>
      <c r="AI2383" t="s">
        <v>1441</v>
      </c>
      <c r="AJ2383">
        <v>39.979441000000001</v>
      </c>
      <c r="AK2383" t="s">
        <v>1442</v>
      </c>
      <c r="AL2383">
        <v>-92.711305999999993</v>
      </c>
      <c r="AM2383">
        <v>100</v>
      </c>
      <c r="AN2383">
        <v>1700</v>
      </c>
      <c r="AO2383" t="s">
        <v>118</v>
      </c>
      <c r="AP2383">
        <v>-106</v>
      </c>
      <c r="AQ2383">
        <v>77</v>
      </c>
      <c r="AR2383">
        <v>192</v>
      </c>
      <c r="AZ2383">
        <v>1200</v>
      </c>
      <c r="BA2383">
        <v>1</v>
      </c>
      <c r="BB2383" t="str">
        <f t="shared" si="115"/>
        <v xml:space="preserve">N8080G  </v>
      </c>
      <c r="BC2383">
        <v>1</v>
      </c>
      <c r="BE2383">
        <v>0</v>
      </c>
      <c r="BF2383">
        <v>0</v>
      </c>
      <c r="BG2383">
        <v>0</v>
      </c>
      <c r="BH2383">
        <v>1700</v>
      </c>
      <c r="BI2383">
        <v>1</v>
      </c>
      <c r="BJ2383">
        <v>1</v>
      </c>
      <c r="BK2383">
        <v>1</v>
      </c>
      <c r="BL2383">
        <v>0</v>
      </c>
      <c r="BO2383">
        <v>0</v>
      </c>
      <c r="BP2383">
        <v>0</v>
      </c>
      <c r="BW2383" t="str">
        <f>"20:27:14.390"</f>
        <v>20:27:14.390</v>
      </c>
      <c r="BZ2383">
        <v>0</v>
      </c>
      <c r="CA2383">
        <v>2016</v>
      </c>
      <c r="CB2383">
        <v>224</v>
      </c>
      <c r="CD2383">
        <v>1</v>
      </c>
      <c r="CE2383">
        <v>0</v>
      </c>
      <c r="CF2383">
        <v>0</v>
      </c>
      <c r="CG2383">
        <v>1</v>
      </c>
      <c r="CH2383">
        <v>0</v>
      </c>
      <c r="CI2383">
        <v>0</v>
      </c>
      <c r="CJ2383">
        <v>0</v>
      </c>
      <c r="CK2383">
        <v>2</v>
      </c>
      <c r="CL2383">
        <v>0</v>
      </c>
      <c r="CM2383">
        <v>2</v>
      </c>
      <c r="CN2383">
        <v>0</v>
      </c>
      <c r="CO2383">
        <v>4</v>
      </c>
      <c r="CP2383" t="s">
        <v>119</v>
      </c>
      <c r="CQ2383">
        <v>179</v>
      </c>
      <c r="CR2383">
        <v>1</v>
      </c>
      <c r="CW2383">
        <v>8964169</v>
      </c>
      <c r="CY2383">
        <v>1</v>
      </c>
      <c r="CZ2383">
        <v>0</v>
      </c>
      <c r="DA2383">
        <v>0</v>
      </c>
      <c r="DB2383">
        <v>0</v>
      </c>
      <c r="DC2383">
        <v>0</v>
      </c>
      <c r="DD2383">
        <v>0</v>
      </c>
      <c r="DE2383">
        <v>0</v>
      </c>
      <c r="DF2383">
        <v>0</v>
      </c>
      <c r="DG2383">
        <v>0</v>
      </c>
      <c r="DH2383">
        <v>0</v>
      </c>
      <c r="DI2383">
        <v>0</v>
      </c>
    </row>
    <row r="2384" spans="1:113" x14ac:dyDescent="0.3">
      <c r="A2384" t="str">
        <f>"02/08/2021 20:27:12.042"</f>
        <v>02/08/2021 20:27:12.042</v>
      </c>
      <c r="C2384" t="str">
        <f t="shared" si="114"/>
        <v>FFDFD7C0</v>
      </c>
      <c r="D2384" t="s">
        <v>113</v>
      </c>
      <c r="E2384">
        <v>6</v>
      </c>
      <c r="H2384">
        <v>165</v>
      </c>
      <c r="I2384" t="s">
        <v>114</v>
      </c>
      <c r="J2384" t="s">
        <v>115</v>
      </c>
      <c r="K2384">
        <v>0</v>
      </c>
      <c r="L2384">
        <v>3</v>
      </c>
      <c r="M2384">
        <v>0</v>
      </c>
      <c r="N2384">
        <v>2</v>
      </c>
      <c r="O2384">
        <v>1</v>
      </c>
      <c r="P2384">
        <v>0</v>
      </c>
      <c r="Q2384">
        <v>0</v>
      </c>
      <c r="S2384" t="str">
        <f>"20:27:14.383"</f>
        <v>20:27:14.383</v>
      </c>
      <c r="T2384" t="str">
        <f>"20:27:13.883"</f>
        <v>20:27:13.883</v>
      </c>
      <c r="U2384" t="str">
        <f t="shared" si="116"/>
        <v>AB01F4</v>
      </c>
      <c r="V2384">
        <v>0</v>
      </c>
      <c r="W2384">
        <v>0</v>
      </c>
      <c r="X2384">
        <v>2</v>
      </c>
      <c r="Z2384">
        <v>0</v>
      </c>
      <c r="AA2384">
        <v>9</v>
      </c>
      <c r="AB2384">
        <v>3</v>
      </c>
      <c r="AC2384">
        <v>0</v>
      </c>
      <c r="AD2384">
        <v>10</v>
      </c>
      <c r="AE2384">
        <v>0</v>
      </c>
      <c r="AF2384">
        <v>3</v>
      </c>
      <c r="AG2384">
        <v>2</v>
      </c>
      <c r="AH2384">
        <v>0</v>
      </c>
      <c r="AI2384" t="s">
        <v>1441</v>
      </c>
      <c r="AJ2384">
        <v>39.979441000000001</v>
      </c>
      <c r="AK2384" t="s">
        <v>1442</v>
      </c>
      <c r="AL2384">
        <v>-92.711305999999993</v>
      </c>
      <c r="AM2384">
        <v>100</v>
      </c>
      <c r="AN2384">
        <v>1700</v>
      </c>
      <c r="AO2384" t="s">
        <v>118</v>
      </c>
      <c r="AP2384">
        <v>-106</v>
      </c>
      <c r="AQ2384">
        <v>77</v>
      </c>
      <c r="AR2384">
        <v>192</v>
      </c>
      <c r="AZ2384">
        <v>1200</v>
      </c>
      <c r="BA2384">
        <v>1</v>
      </c>
      <c r="BB2384" t="str">
        <f t="shared" si="115"/>
        <v xml:space="preserve">N8080G  </v>
      </c>
      <c r="BC2384">
        <v>1</v>
      </c>
      <c r="BE2384">
        <v>0</v>
      </c>
      <c r="BF2384">
        <v>0</v>
      </c>
      <c r="BG2384">
        <v>0</v>
      </c>
      <c r="BH2384">
        <v>1700</v>
      </c>
      <c r="BI2384">
        <v>1</v>
      </c>
      <c r="BJ2384">
        <v>1</v>
      </c>
      <c r="BK2384">
        <v>1</v>
      </c>
      <c r="BL2384">
        <v>0</v>
      </c>
      <c r="BO2384">
        <v>0</v>
      </c>
      <c r="BP2384">
        <v>0</v>
      </c>
      <c r="BW2384" t="str">
        <f>"20:27:14.390"</f>
        <v>20:27:14.390</v>
      </c>
      <c r="BZ2384">
        <v>0</v>
      </c>
      <c r="CA2384">
        <v>2016</v>
      </c>
      <c r="CB2384">
        <v>224</v>
      </c>
      <c r="CD2384">
        <v>1</v>
      </c>
      <c r="CE2384">
        <v>0</v>
      </c>
      <c r="CF2384">
        <v>0</v>
      </c>
      <c r="CG2384">
        <v>1</v>
      </c>
      <c r="CH2384">
        <v>0</v>
      </c>
      <c r="CI2384">
        <v>0</v>
      </c>
      <c r="CJ2384">
        <v>0</v>
      </c>
      <c r="CK2384">
        <v>2</v>
      </c>
      <c r="CL2384">
        <v>0</v>
      </c>
      <c r="CM2384">
        <v>2</v>
      </c>
      <c r="CN2384">
        <v>0</v>
      </c>
      <c r="CO2384">
        <v>4</v>
      </c>
      <c r="CP2384" t="s">
        <v>119</v>
      </c>
      <c r="CQ2384">
        <v>179</v>
      </c>
      <c r="CR2384">
        <v>1</v>
      </c>
      <c r="CW2384">
        <v>8964169</v>
      </c>
      <c r="CY2384">
        <v>1</v>
      </c>
      <c r="CZ2384">
        <v>0</v>
      </c>
      <c r="DA2384">
        <v>1</v>
      </c>
      <c r="DB2384">
        <v>0</v>
      </c>
      <c r="DC2384">
        <v>0</v>
      </c>
      <c r="DD2384">
        <v>0</v>
      </c>
      <c r="DE2384">
        <v>0</v>
      </c>
      <c r="DF2384">
        <v>0</v>
      </c>
      <c r="DG2384">
        <v>0</v>
      </c>
      <c r="DH2384">
        <v>0</v>
      </c>
      <c r="DI2384">
        <v>0</v>
      </c>
    </row>
    <row r="2385" spans="1:113" x14ac:dyDescent="0.3">
      <c r="A2385" t="str">
        <f>"02/08/2021 20:27:12.042"</f>
        <v>02/08/2021 20:27:12.042</v>
      </c>
      <c r="C2385" t="str">
        <f t="shared" si="114"/>
        <v>FFDFD7C0</v>
      </c>
      <c r="D2385" t="s">
        <v>124</v>
      </c>
      <c r="E2385">
        <v>12</v>
      </c>
      <c r="F2385">
        <v>1012</v>
      </c>
      <c r="G2385" t="s">
        <v>675</v>
      </c>
      <c r="J2385" t="s">
        <v>125</v>
      </c>
      <c r="K2385">
        <v>0</v>
      </c>
      <c r="L2385">
        <v>3</v>
      </c>
      <c r="M2385">
        <v>0</v>
      </c>
      <c r="N2385">
        <v>2</v>
      </c>
      <c r="O2385">
        <v>1</v>
      </c>
      <c r="P2385">
        <v>0</v>
      </c>
      <c r="Q2385">
        <v>0</v>
      </c>
      <c r="S2385" t="str">
        <f>"20:27:14.383"</f>
        <v>20:27:14.383</v>
      </c>
      <c r="T2385" t="str">
        <f>"20:27:13.883"</f>
        <v>20:27:13.883</v>
      </c>
      <c r="U2385" t="str">
        <f t="shared" si="116"/>
        <v>AB01F4</v>
      </c>
      <c r="V2385">
        <v>0</v>
      </c>
      <c r="W2385">
        <v>0</v>
      </c>
      <c r="X2385">
        <v>2</v>
      </c>
      <c r="Z2385">
        <v>0</v>
      </c>
      <c r="AA2385">
        <v>9</v>
      </c>
      <c r="AB2385">
        <v>3</v>
      </c>
      <c r="AC2385">
        <v>0</v>
      </c>
      <c r="AD2385">
        <v>10</v>
      </c>
      <c r="AE2385">
        <v>0</v>
      </c>
      <c r="AF2385">
        <v>3</v>
      </c>
      <c r="AG2385">
        <v>2</v>
      </c>
      <c r="AH2385">
        <v>0</v>
      </c>
      <c r="AI2385" t="s">
        <v>1441</v>
      </c>
      <c r="AJ2385">
        <v>39.979441000000001</v>
      </c>
      <c r="AK2385" t="s">
        <v>1442</v>
      </c>
      <c r="AL2385">
        <v>-92.711305999999993</v>
      </c>
      <c r="AM2385">
        <v>100</v>
      </c>
      <c r="AN2385">
        <v>1700</v>
      </c>
      <c r="AO2385" t="s">
        <v>118</v>
      </c>
      <c r="AP2385">
        <v>-106</v>
      </c>
      <c r="AQ2385">
        <v>77</v>
      </c>
      <c r="AR2385">
        <v>192</v>
      </c>
      <c r="AZ2385">
        <v>1200</v>
      </c>
      <c r="BA2385">
        <v>1</v>
      </c>
      <c r="BB2385" t="str">
        <f t="shared" si="115"/>
        <v xml:space="preserve">N8080G  </v>
      </c>
      <c r="BC2385">
        <v>1</v>
      </c>
      <c r="BE2385">
        <v>0</v>
      </c>
      <c r="BF2385">
        <v>0</v>
      </c>
      <c r="BG2385">
        <v>0</v>
      </c>
      <c r="BH2385">
        <v>1700</v>
      </c>
      <c r="BI2385">
        <v>1</v>
      </c>
      <c r="BJ2385">
        <v>1</v>
      </c>
      <c r="BK2385">
        <v>1</v>
      </c>
      <c r="BL2385">
        <v>0</v>
      </c>
      <c r="BO2385">
        <v>0</v>
      </c>
      <c r="BP2385">
        <v>0</v>
      </c>
      <c r="BW2385" t="str">
        <f>"20:27:14.390"</f>
        <v>20:27:14.390</v>
      </c>
      <c r="BZ2385">
        <v>0</v>
      </c>
      <c r="CA2385">
        <v>2016</v>
      </c>
      <c r="CB2385">
        <v>224</v>
      </c>
      <c r="CD2385">
        <v>1</v>
      </c>
      <c r="CE2385">
        <v>0</v>
      </c>
      <c r="CF2385">
        <v>0</v>
      </c>
      <c r="CG2385">
        <v>1</v>
      </c>
      <c r="CH2385">
        <v>0</v>
      </c>
      <c r="CI2385">
        <v>0</v>
      </c>
      <c r="CJ2385">
        <v>0</v>
      </c>
      <c r="CK2385">
        <v>2</v>
      </c>
      <c r="CL2385">
        <v>0</v>
      </c>
      <c r="CM2385">
        <v>2</v>
      </c>
      <c r="CN2385">
        <v>0</v>
      </c>
      <c r="CO2385">
        <v>4</v>
      </c>
      <c r="CP2385" t="s">
        <v>119</v>
      </c>
      <c r="CQ2385">
        <v>179</v>
      </c>
      <c r="CR2385">
        <v>1</v>
      </c>
      <c r="CW2385">
        <v>8964169</v>
      </c>
      <c r="CY2385">
        <v>1</v>
      </c>
      <c r="CZ2385">
        <v>0</v>
      </c>
      <c r="DA2385">
        <v>1</v>
      </c>
      <c r="DB2385">
        <v>0</v>
      </c>
      <c r="DC2385">
        <v>0</v>
      </c>
      <c r="DD2385">
        <v>0</v>
      </c>
      <c r="DE2385">
        <v>0</v>
      </c>
      <c r="DF2385">
        <v>0</v>
      </c>
      <c r="DG2385">
        <v>0</v>
      </c>
      <c r="DH2385">
        <v>0</v>
      </c>
      <c r="DI2385">
        <v>0</v>
      </c>
    </row>
    <row r="2386" spans="1:113" x14ac:dyDescent="0.3">
      <c r="A2386" t="str">
        <f>"02/08/2021 20:27:12.042"</f>
        <v>02/08/2021 20:27:12.042</v>
      </c>
      <c r="C2386" t="str">
        <f t="shared" si="114"/>
        <v>FFDFD7C0</v>
      </c>
      <c r="D2386" t="s">
        <v>124</v>
      </c>
      <c r="E2386">
        <v>11</v>
      </c>
      <c r="F2386">
        <v>1011</v>
      </c>
      <c r="G2386" t="s">
        <v>590</v>
      </c>
      <c r="J2386" t="s">
        <v>125</v>
      </c>
      <c r="K2386">
        <v>0</v>
      </c>
      <c r="L2386">
        <v>3</v>
      </c>
      <c r="M2386">
        <v>0</v>
      </c>
      <c r="N2386">
        <v>2</v>
      </c>
      <c r="O2386">
        <v>1</v>
      </c>
      <c r="P2386">
        <v>0</v>
      </c>
      <c r="Q2386">
        <v>0</v>
      </c>
      <c r="S2386" t="str">
        <f>"20:27:14.383"</f>
        <v>20:27:14.383</v>
      </c>
      <c r="T2386" t="str">
        <f>"20:27:13.883"</f>
        <v>20:27:13.883</v>
      </c>
      <c r="U2386" t="str">
        <f t="shared" si="116"/>
        <v>AB01F4</v>
      </c>
      <c r="V2386">
        <v>0</v>
      </c>
      <c r="W2386">
        <v>0</v>
      </c>
      <c r="X2386">
        <v>2</v>
      </c>
      <c r="Z2386">
        <v>0</v>
      </c>
      <c r="AA2386">
        <v>9</v>
      </c>
      <c r="AB2386">
        <v>3</v>
      </c>
      <c r="AC2386">
        <v>0</v>
      </c>
      <c r="AD2386">
        <v>10</v>
      </c>
      <c r="AE2386">
        <v>0</v>
      </c>
      <c r="AF2386">
        <v>3</v>
      </c>
      <c r="AG2386">
        <v>2</v>
      </c>
      <c r="AH2386">
        <v>0</v>
      </c>
      <c r="AI2386" t="s">
        <v>1441</v>
      </c>
      <c r="AJ2386">
        <v>39.979441000000001</v>
      </c>
      <c r="AK2386" t="s">
        <v>1442</v>
      </c>
      <c r="AL2386">
        <v>-92.711305999999993</v>
      </c>
      <c r="AM2386">
        <v>100</v>
      </c>
      <c r="AN2386">
        <v>1700</v>
      </c>
      <c r="AO2386" t="s">
        <v>118</v>
      </c>
      <c r="AP2386">
        <v>-106</v>
      </c>
      <c r="AQ2386">
        <v>77</v>
      </c>
      <c r="AR2386">
        <v>192</v>
      </c>
      <c r="AZ2386">
        <v>1200</v>
      </c>
      <c r="BA2386">
        <v>1</v>
      </c>
      <c r="BB2386" t="str">
        <f t="shared" si="115"/>
        <v xml:space="preserve">N8080G  </v>
      </c>
      <c r="BC2386">
        <v>1</v>
      </c>
      <c r="BE2386">
        <v>0</v>
      </c>
      <c r="BF2386">
        <v>0</v>
      </c>
      <c r="BG2386">
        <v>0</v>
      </c>
      <c r="BH2386">
        <v>1700</v>
      </c>
      <c r="BI2386">
        <v>1</v>
      </c>
      <c r="BJ2386">
        <v>1</v>
      </c>
      <c r="BK2386">
        <v>1</v>
      </c>
      <c r="BL2386">
        <v>0</v>
      </c>
      <c r="BO2386">
        <v>0</v>
      </c>
      <c r="BP2386">
        <v>0</v>
      </c>
      <c r="BW2386" t="str">
        <f>"20:27:14.390"</f>
        <v>20:27:14.390</v>
      </c>
      <c r="BZ2386">
        <v>0</v>
      </c>
      <c r="CA2386">
        <v>2016</v>
      </c>
      <c r="CB2386">
        <v>224</v>
      </c>
      <c r="CD2386">
        <v>1</v>
      </c>
      <c r="CE2386">
        <v>0</v>
      </c>
      <c r="CF2386">
        <v>0</v>
      </c>
      <c r="CG2386">
        <v>1</v>
      </c>
      <c r="CH2386">
        <v>0</v>
      </c>
      <c r="CI2386">
        <v>0</v>
      </c>
      <c r="CJ2386">
        <v>0</v>
      </c>
      <c r="CK2386">
        <v>2</v>
      </c>
      <c r="CL2386">
        <v>0</v>
      </c>
      <c r="CM2386">
        <v>2</v>
      </c>
      <c r="CN2386">
        <v>0</v>
      </c>
      <c r="CO2386">
        <v>4</v>
      </c>
      <c r="CP2386" t="s">
        <v>119</v>
      </c>
      <c r="CQ2386">
        <v>179</v>
      </c>
      <c r="CR2386">
        <v>1</v>
      </c>
      <c r="CW2386">
        <v>8964169</v>
      </c>
      <c r="CY2386">
        <v>1</v>
      </c>
      <c r="CZ2386">
        <v>0</v>
      </c>
      <c r="DA2386">
        <v>1</v>
      </c>
      <c r="DB2386">
        <v>0</v>
      </c>
      <c r="DC2386">
        <v>0</v>
      </c>
      <c r="DD2386">
        <v>0</v>
      </c>
      <c r="DE2386">
        <v>0</v>
      </c>
      <c r="DF2386">
        <v>0</v>
      </c>
      <c r="DG2386">
        <v>0</v>
      </c>
      <c r="DH2386">
        <v>0</v>
      </c>
      <c r="DI2386">
        <v>0</v>
      </c>
    </row>
    <row r="2387" spans="1:113" x14ac:dyDescent="0.3">
      <c r="A2387" t="str">
        <f>"02/08/2021 20:27:12.912"</f>
        <v>02/08/2021 20:27:12.912</v>
      </c>
      <c r="C2387" t="str">
        <f t="shared" si="114"/>
        <v>FFDFD7C0</v>
      </c>
      <c r="D2387" t="s">
        <v>113</v>
      </c>
      <c r="E2387">
        <v>6</v>
      </c>
      <c r="H2387">
        <v>165</v>
      </c>
      <c r="I2387" t="s">
        <v>114</v>
      </c>
      <c r="J2387" t="s">
        <v>115</v>
      </c>
      <c r="K2387">
        <v>0</v>
      </c>
      <c r="L2387">
        <v>3</v>
      </c>
      <c r="M2387">
        <v>0</v>
      </c>
      <c r="N2387">
        <v>2</v>
      </c>
      <c r="O2387">
        <v>1</v>
      </c>
      <c r="P2387">
        <v>0</v>
      </c>
      <c r="Q2387">
        <v>0</v>
      </c>
      <c r="S2387" t="str">
        <f>"20:27:15.234"</f>
        <v>20:27:15.234</v>
      </c>
      <c r="T2387" t="str">
        <f>"20:27:14.834"</f>
        <v>20:27:14.834</v>
      </c>
      <c r="U2387" t="str">
        <f t="shared" si="116"/>
        <v>AB01F4</v>
      </c>
      <c r="V2387">
        <v>0</v>
      </c>
      <c r="W2387">
        <v>0</v>
      </c>
      <c r="X2387">
        <v>2</v>
      </c>
      <c r="Z2387">
        <v>0</v>
      </c>
      <c r="AA2387">
        <v>9</v>
      </c>
      <c r="AB2387">
        <v>3</v>
      </c>
      <c r="AC2387">
        <v>0</v>
      </c>
      <c r="AD2387">
        <v>10</v>
      </c>
      <c r="AE2387">
        <v>0</v>
      </c>
      <c r="AF2387">
        <v>3</v>
      </c>
      <c r="AG2387">
        <v>2</v>
      </c>
      <c r="AH2387">
        <v>0</v>
      </c>
      <c r="AI2387" t="s">
        <v>1443</v>
      </c>
      <c r="AJ2387">
        <v>39.979762999999998</v>
      </c>
      <c r="AK2387" t="s">
        <v>1444</v>
      </c>
      <c r="AL2387">
        <v>-92.711928</v>
      </c>
      <c r="AM2387">
        <v>100</v>
      </c>
      <c r="AN2387">
        <v>1700</v>
      </c>
      <c r="AO2387" t="s">
        <v>118</v>
      </c>
      <c r="AP2387">
        <v>-106</v>
      </c>
      <c r="AQ2387">
        <v>77</v>
      </c>
      <c r="AR2387">
        <v>0</v>
      </c>
      <c r="AZ2387">
        <v>1200</v>
      </c>
      <c r="BA2387">
        <v>1</v>
      </c>
      <c r="BB2387" t="str">
        <f t="shared" si="115"/>
        <v xml:space="preserve">N8080G  </v>
      </c>
      <c r="BC2387">
        <v>1</v>
      </c>
      <c r="BE2387">
        <v>0</v>
      </c>
      <c r="BF2387">
        <v>0</v>
      </c>
      <c r="BG2387">
        <v>0</v>
      </c>
      <c r="BH2387">
        <v>1700</v>
      </c>
      <c r="BI2387">
        <v>1</v>
      </c>
      <c r="BJ2387">
        <v>1</v>
      </c>
      <c r="BK2387">
        <v>1</v>
      </c>
      <c r="BL2387">
        <v>0</v>
      </c>
      <c r="BO2387">
        <v>0</v>
      </c>
      <c r="BP2387">
        <v>0</v>
      </c>
      <c r="BW2387" t="str">
        <f>"20:27:15.237"</f>
        <v>20:27:15.237</v>
      </c>
      <c r="BZ2387">
        <v>0</v>
      </c>
      <c r="CA2387">
        <v>2016</v>
      </c>
      <c r="CB2387">
        <v>224</v>
      </c>
      <c r="CD2387">
        <v>1</v>
      </c>
      <c r="CE2387">
        <v>0</v>
      </c>
      <c r="CF2387">
        <v>0</v>
      </c>
      <c r="CG2387">
        <v>1</v>
      </c>
      <c r="CH2387">
        <v>0</v>
      </c>
      <c r="CI2387">
        <v>0</v>
      </c>
      <c r="CJ2387">
        <v>0</v>
      </c>
      <c r="CK2387">
        <v>2</v>
      </c>
      <c r="CL2387">
        <v>0</v>
      </c>
      <c r="CM2387">
        <v>2</v>
      </c>
      <c r="CN2387">
        <v>0</v>
      </c>
      <c r="CO2387">
        <v>7</v>
      </c>
      <c r="CP2387" t="s">
        <v>119</v>
      </c>
      <c r="CQ2387">
        <v>180</v>
      </c>
      <c r="CR2387">
        <v>3</v>
      </c>
      <c r="CW2387">
        <v>872869</v>
      </c>
      <c r="CY2387">
        <v>1</v>
      </c>
      <c r="CZ2387">
        <v>0</v>
      </c>
      <c r="DA2387">
        <v>0</v>
      </c>
      <c r="DB2387">
        <v>0</v>
      </c>
      <c r="DC2387">
        <v>0</v>
      </c>
      <c r="DD2387">
        <v>0</v>
      </c>
      <c r="DE2387">
        <v>0</v>
      </c>
      <c r="DF2387">
        <v>0</v>
      </c>
      <c r="DG2387">
        <v>0</v>
      </c>
      <c r="DH2387">
        <v>0</v>
      </c>
      <c r="DI2387">
        <v>0</v>
      </c>
    </row>
    <row r="2388" spans="1:113" x14ac:dyDescent="0.3">
      <c r="A2388" t="str">
        <f>"02/08/2021 20:27:12.912"</f>
        <v>02/08/2021 20:27:12.912</v>
      </c>
      <c r="C2388" t="str">
        <f t="shared" si="114"/>
        <v>FFDFD7C0</v>
      </c>
      <c r="D2388" t="s">
        <v>124</v>
      </c>
      <c r="E2388">
        <v>12</v>
      </c>
      <c r="F2388">
        <v>1012</v>
      </c>
      <c r="G2388" t="s">
        <v>675</v>
      </c>
      <c r="J2388" t="s">
        <v>125</v>
      </c>
      <c r="K2388">
        <v>0</v>
      </c>
      <c r="L2388">
        <v>3</v>
      </c>
      <c r="M2388">
        <v>0</v>
      </c>
      <c r="N2388">
        <v>2</v>
      </c>
      <c r="O2388">
        <v>1</v>
      </c>
      <c r="P2388">
        <v>0</v>
      </c>
      <c r="Q2388">
        <v>0</v>
      </c>
      <c r="S2388" t="str">
        <f>"20:27:15.234"</f>
        <v>20:27:15.234</v>
      </c>
      <c r="T2388" t="str">
        <f>"20:27:14.834"</f>
        <v>20:27:14.834</v>
      </c>
      <c r="U2388" t="str">
        <f t="shared" si="116"/>
        <v>AB01F4</v>
      </c>
      <c r="V2388">
        <v>0</v>
      </c>
      <c r="W2388">
        <v>0</v>
      </c>
      <c r="X2388">
        <v>2</v>
      </c>
      <c r="Z2388">
        <v>0</v>
      </c>
      <c r="AA2388">
        <v>9</v>
      </c>
      <c r="AB2388">
        <v>3</v>
      </c>
      <c r="AC2388">
        <v>0</v>
      </c>
      <c r="AD2388">
        <v>10</v>
      </c>
      <c r="AE2388">
        <v>0</v>
      </c>
      <c r="AF2388">
        <v>3</v>
      </c>
      <c r="AG2388">
        <v>2</v>
      </c>
      <c r="AH2388">
        <v>0</v>
      </c>
      <c r="AI2388" t="s">
        <v>1443</v>
      </c>
      <c r="AJ2388">
        <v>39.979762999999998</v>
      </c>
      <c r="AK2388" t="s">
        <v>1444</v>
      </c>
      <c r="AL2388">
        <v>-92.711928</v>
      </c>
      <c r="AM2388">
        <v>100</v>
      </c>
      <c r="AN2388">
        <v>1700</v>
      </c>
      <c r="AO2388" t="s">
        <v>118</v>
      </c>
      <c r="AP2388">
        <v>-106</v>
      </c>
      <c r="AQ2388">
        <v>77</v>
      </c>
      <c r="AR2388">
        <v>0</v>
      </c>
      <c r="AZ2388">
        <v>1200</v>
      </c>
      <c r="BA2388">
        <v>1</v>
      </c>
      <c r="BB2388" t="str">
        <f t="shared" si="115"/>
        <v xml:space="preserve">N8080G  </v>
      </c>
      <c r="BC2388">
        <v>1</v>
      </c>
      <c r="BE2388">
        <v>0</v>
      </c>
      <c r="BF2388">
        <v>0</v>
      </c>
      <c r="BG2388">
        <v>0</v>
      </c>
      <c r="BH2388">
        <v>1700</v>
      </c>
      <c r="BI2388">
        <v>1</v>
      </c>
      <c r="BJ2388">
        <v>1</v>
      </c>
      <c r="BK2388">
        <v>1</v>
      </c>
      <c r="BL2388">
        <v>0</v>
      </c>
      <c r="BO2388">
        <v>0</v>
      </c>
      <c r="BP2388">
        <v>0</v>
      </c>
      <c r="BW2388" t="str">
        <f>"20:27:15.237"</f>
        <v>20:27:15.237</v>
      </c>
      <c r="BZ2388">
        <v>0</v>
      </c>
      <c r="CA2388">
        <v>2016</v>
      </c>
      <c r="CB2388">
        <v>224</v>
      </c>
      <c r="CD2388">
        <v>1</v>
      </c>
      <c r="CE2388">
        <v>0</v>
      </c>
      <c r="CF2388">
        <v>0</v>
      </c>
      <c r="CG2388">
        <v>1</v>
      </c>
      <c r="CH2388">
        <v>0</v>
      </c>
      <c r="CI2388">
        <v>0</v>
      </c>
      <c r="CJ2388">
        <v>0</v>
      </c>
      <c r="CK2388">
        <v>2</v>
      </c>
      <c r="CL2388">
        <v>0</v>
      </c>
      <c r="CM2388">
        <v>2</v>
      </c>
      <c r="CN2388">
        <v>0</v>
      </c>
      <c r="CO2388">
        <v>7</v>
      </c>
      <c r="CP2388" t="s">
        <v>119</v>
      </c>
      <c r="CQ2388">
        <v>180</v>
      </c>
      <c r="CR2388">
        <v>3</v>
      </c>
      <c r="CW2388">
        <v>872869</v>
      </c>
      <c r="CY2388">
        <v>1</v>
      </c>
      <c r="CZ2388">
        <v>0</v>
      </c>
      <c r="DA2388">
        <v>1</v>
      </c>
      <c r="DB2388">
        <v>0</v>
      </c>
      <c r="DC2388">
        <v>0</v>
      </c>
      <c r="DD2388">
        <v>0</v>
      </c>
      <c r="DE2388">
        <v>0</v>
      </c>
      <c r="DF2388">
        <v>0</v>
      </c>
      <c r="DG2388">
        <v>0</v>
      </c>
      <c r="DH2388">
        <v>0</v>
      </c>
      <c r="DI2388">
        <v>0</v>
      </c>
    </row>
    <row r="2389" spans="1:113" x14ac:dyDescent="0.3">
      <c r="A2389" t="str">
        <f>"02/08/2021 20:27:12.912"</f>
        <v>02/08/2021 20:27:12.912</v>
      </c>
      <c r="C2389" t="str">
        <f t="shared" si="114"/>
        <v>FFDFD7C0</v>
      </c>
      <c r="D2389" t="s">
        <v>124</v>
      </c>
      <c r="E2389">
        <v>11</v>
      </c>
      <c r="F2389">
        <v>1011</v>
      </c>
      <c r="G2389" t="s">
        <v>590</v>
      </c>
      <c r="J2389" t="s">
        <v>125</v>
      </c>
      <c r="K2389">
        <v>0</v>
      </c>
      <c r="L2389">
        <v>3</v>
      </c>
      <c r="M2389">
        <v>0</v>
      </c>
      <c r="N2389">
        <v>2</v>
      </c>
      <c r="O2389">
        <v>1</v>
      </c>
      <c r="P2389">
        <v>0</v>
      </c>
      <c r="Q2389">
        <v>0</v>
      </c>
      <c r="S2389" t="str">
        <f>"20:27:15.234"</f>
        <v>20:27:15.234</v>
      </c>
      <c r="T2389" t="str">
        <f>"20:27:14.834"</f>
        <v>20:27:14.834</v>
      </c>
      <c r="U2389" t="str">
        <f t="shared" si="116"/>
        <v>AB01F4</v>
      </c>
      <c r="V2389">
        <v>0</v>
      </c>
      <c r="W2389">
        <v>0</v>
      </c>
      <c r="X2389">
        <v>2</v>
      </c>
      <c r="Z2389">
        <v>0</v>
      </c>
      <c r="AA2389">
        <v>9</v>
      </c>
      <c r="AB2389">
        <v>3</v>
      </c>
      <c r="AC2389">
        <v>0</v>
      </c>
      <c r="AD2389">
        <v>10</v>
      </c>
      <c r="AE2389">
        <v>0</v>
      </c>
      <c r="AF2389">
        <v>3</v>
      </c>
      <c r="AG2389">
        <v>2</v>
      </c>
      <c r="AH2389">
        <v>0</v>
      </c>
      <c r="AI2389" t="s">
        <v>1443</v>
      </c>
      <c r="AJ2389">
        <v>39.979762999999998</v>
      </c>
      <c r="AK2389" t="s">
        <v>1444</v>
      </c>
      <c r="AL2389">
        <v>-92.711928</v>
      </c>
      <c r="AM2389">
        <v>100</v>
      </c>
      <c r="AN2389">
        <v>1700</v>
      </c>
      <c r="AO2389" t="s">
        <v>118</v>
      </c>
      <c r="AP2389">
        <v>-106</v>
      </c>
      <c r="AQ2389">
        <v>77</v>
      </c>
      <c r="AR2389">
        <v>0</v>
      </c>
      <c r="AZ2389">
        <v>1200</v>
      </c>
      <c r="BA2389">
        <v>1</v>
      </c>
      <c r="BB2389" t="str">
        <f t="shared" si="115"/>
        <v xml:space="preserve">N8080G  </v>
      </c>
      <c r="BC2389">
        <v>1</v>
      </c>
      <c r="BE2389">
        <v>0</v>
      </c>
      <c r="BF2389">
        <v>0</v>
      </c>
      <c r="BG2389">
        <v>0</v>
      </c>
      <c r="BH2389">
        <v>1700</v>
      </c>
      <c r="BI2389">
        <v>1</v>
      </c>
      <c r="BJ2389">
        <v>1</v>
      </c>
      <c r="BK2389">
        <v>1</v>
      </c>
      <c r="BL2389">
        <v>0</v>
      </c>
      <c r="BO2389">
        <v>0</v>
      </c>
      <c r="BP2389">
        <v>0</v>
      </c>
      <c r="BW2389" t="str">
        <f>"20:27:15.237"</f>
        <v>20:27:15.237</v>
      </c>
      <c r="BZ2389">
        <v>0</v>
      </c>
      <c r="CA2389">
        <v>2016</v>
      </c>
      <c r="CB2389">
        <v>224</v>
      </c>
      <c r="CD2389">
        <v>1</v>
      </c>
      <c r="CE2389">
        <v>0</v>
      </c>
      <c r="CF2389">
        <v>0</v>
      </c>
      <c r="CG2389">
        <v>1</v>
      </c>
      <c r="CH2389">
        <v>0</v>
      </c>
      <c r="CI2389">
        <v>0</v>
      </c>
      <c r="CJ2389">
        <v>0</v>
      </c>
      <c r="CK2389">
        <v>2</v>
      </c>
      <c r="CL2389">
        <v>0</v>
      </c>
      <c r="CM2389">
        <v>2</v>
      </c>
      <c r="CN2389">
        <v>0</v>
      </c>
      <c r="CO2389">
        <v>7</v>
      </c>
      <c r="CP2389" t="s">
        <v>119</v>
      </c>
      <c r="CQ2389">
        <v>180</v>
      </c>
      <c r="CR2389">
        <v>3</v>
      </c>
      <c r="CW2389">
        <v>872869</v>
      </c>
      <c r="CY2389">
        <v>1</v>
      </c>
      <c r="CZ2389">
        <v>0</v>
      </c>
      <c r="DA2389">
        <v>1</v>
      </c>
      <c r="DB2389">
        <v>0</v>
      </c>
      <c r="DC2389">
        <v>0</v>
      </c>
      <c r="DD2389">
        <v>0</v>
      </c>
      <c r="DE2389">
        <v>0</v>
      </c>
      <c r="DF2389">
        <v>0</v>
      </c>
      <c r="DG2389">
        <v>0</v>
      </c>
      <c r="DH2389">
        <v>0</v>
      </c>
      <c r="DI2389">
        <v>0</v>
      </c>
    </row>
    <row r="2390" spans="1:113" x14ac:dyDescent="0.3">
      <c r="A2390" t="str">
        <f>"02/08/2021 20:27:12.912"</f>
        <v>02/08/2021 20:27:12.912</v>
      </c>
      <c r="C2390" t="str">
        <f t="shared" si="114"/>
        <v>FFDFD7C0</v>
      </c>
      <c r="D2390" t="s">
        <v>124</v>
      </c>
      <c r="E2390">
        <v>13</v>
      </c>
      <c r="F2390">
        <v>1013</v>
      </c>
      <c r="G2390" t="s">
        <v>114</v>
      </c>
      <c r="J2390" t="s">
        <v>125</v>
      </c>
      <c r="K2390">
        <v>0</v>
      </c>
      <c r="L2390">
        <v>3</v>
      </c>
      <c r="M2390">
        <v>0</v>
      </c>
      <c r="N2390">
        <v>2</v>
      </c>
      <c r="O2390">
        <v>1</v>
      </c>
      <c r="P2390">
        <v>0</v>
      </c>
      <c r="Q2390">
        <v>0</v>
      </c>
      <c r="S2390" t="str">
        <f>"20:27:15.234"</f>
        <v>20:27:15.234</v>
      </c>
      <c r="T2390" t="str">
        <f>"20:27:14.834"</f>
        <v>20:27:14.834</v>
      </c>
      <c r="U2390" t="str">
        <f t="shared" si="116"/>
        <v>AB01F4</v>
      </c>
      <c r="V2390">
        <v>0</v>
      </c>
      <c r="W2390">
        <v>0</v>
      </c>
      <c r="X2390">
        <v>2</v>
      </c>
      <c r="Z2390">
        <v>0</v>
      </c>
      <c r="AA2390">
        <v>9</v>
      </c>
      <c r="AB2390">
        <v>3</v>
      </c>
      <c r="AC2390">
        <v>0</v>
      </c>
      <c r="AD2390">
        <v>10</v>
      </c>
      <c r="AE2390">
        <v>0</v>
      </c>
      <c r="AF2390">
        <v>3</v>
      </c>
      <c r="AG2390">
        <v>2</v>
      </c>
      <c r="AH2390">
        <v>0</v>
      </c>
      <c r="AI2390" t="s">
        <v>1443</v>
      </c>
      <c r="AJ2390">
        <v>39.979762999999998</v>
      </c>
      <c r="AK2390" t="s">
        <v>1444</v>
      </c>
      <c r="AL2390">
        <v>-92.711928</v>
      </c>
      <c r="AM2390">
        <v>100</v>
      </c>
      <c r="AN2390">
        <v>1700</v>
      </c>
      <c r="AO2390" t="s">
        <v>118</v>
      </c>
      <c r="AP2390">
        <v>-106</v>
      </c>
      <c r="AQ2390">
        <v>77</v>
      </c>
      <c r="AR2390">
        <v>0</v>
      </c>
      <c r="AZ2390">
        <v>1200</v>
      </c>
      <c r="BA2390">
        <v>1</v>
      </c>
      <c r="BB2390" t="str">
        <f t="shared" si="115"/>
        <v xml:space="preserve">N8080G  </v>
      </c>
      <c r="BC2390">
        <v>1</v>
      </c>
      <c r="BE2390">
        <v>0</v>
      </c>
      <c r="BF2390">
        <v>0</v>
      </c>
      <c r="BG2390">
        <v>0</v>
      </c>
      <c r="BH2390">
        <v>1700</v>
      </c>
      <c r="BI2390">
        <v>1</v>
      </c>
      <c r="BJ2390">
        <v>1</v>
      </c>
      <c r="BK2390">
        <v>1</v>
      </c>
      <c r="BL2390">
        <v>0</v>
      </c>
      <c r="BO2390">
        <v>0</v>
      </c>
      <c r="BP2390">
        <v>0</v>
      </c>
      <c r="BW2390" t="str">
        <f>"20:27:15.237"</f>
        <v>20:27:15.237</v>
      </c>
      <c r="BZ2390">
        <v>0</v>
      </c>
      <c r="CA2390">
        <v>2016</v>
      </c>
      <c r="CB2390">
        <v>224</v>
      </c>
      <c r="CD2390">
        <v>1</v>
      </c>
      <c r="CE2390">
        <v>0</v>
      </c>
      <c r="CF2390">
        <v>0</v>
      </c>
      <c r="CG2390">
        <v>1</v>
      </c>
      <c r="CH2390">
        <v>0</v>
      </c>
      <c r="CI2390">
        <v>0</v>
      </c>
      <c r="CJ2390">
        <v>0</v>
      </c>
      <c r="CK2390">
        <v>2</v>
      </c>
      <c r="CL2390">
        <v>0</v>
      </c>
      <c r="CM2390">
        <v>2</v>
      </c>
      <c r="CN2390">
        <v>0</v>
      </c>
      <c r="CO2390">
        <v>7</v>
      </c>
      <c r="CP2390" t="s">
        <v>119</v>
      </c>
      <c r="CQ2390">
        <v>180</v>
      </c>
      <c r="CR2390">
        <v>3</v>
      </c>
      <c r="CW2390">
        <v>872869</v>
      </c>
      <c r="CY2390">
        <v>1</v>
      </c>
      <c r="CZ2390">
        <v>0</v>
      </c>
      <c r="DA2390">
        <v>1</v>
      </c>
      <c r="DB2390">
        <v>0</v>
      </c>
      <c r="DC2390">
        <v>0</v>
      </c>
      <c r="DD2390">
        <v>0</v>
      </c>
      <c r="DE2390">
        <v>0</v>
      </c>
      <c r="DF2390">
        <v>0</v>
      </c>
      <c r="DG2390">
        <v>0</v>
      </c>
      <c r="DH2390">
        <v>0</v>
      </c>
      <c r="DI2390">
        <v>0</v>
      </c>
    </row>
    <row r="2391" spans="1:113" x14ac:dyDescent="0.3">
      <c r="A2391" t="str">
        <f>"02/08/2021 20:27:14.002"</f>
        <v>02/08/2021 20:27:14.002</v>
      </c>
      <c r="C2391" t="str">
        <f t="shared" si="114"/>
        <v>FFDFD7C0</v>
      </c>
      <c r="D2391" t="s">
        <v>124</v>
      </c>
      <c r="E2391">
        <v>13</v>
      </c>
      <c r="F2391">
        <v>1013</v>
      </c>
      <c r="G2391" t="s">
        <v>114</v>
      </c>
      <c r="J2391" t="s">
        <v>125</v>
      </c>
      <c r="K2391">
        <v>0</v>
      </c>
      <c r="L2391">
        <v>3</v>
      </c>
      <c r="M2391">
        <v>0</v>
      </c>
      <c r="N2391">
        <v>2</v>
      </c>
      <c r="O2391">
        <v>1</v>
      </c>
      <c r="P2391">
        <v>0</v>
      </c>
      <c r="Q2391">
        <v>0</v>
      </c>
      <c r="S2391" t="str">
        <f>"20:27:16.328"</f>
        <v>20:27:16.328</v>
      </c>
      <c r="T2391" t="str">
        <f>"20:27:15.828"</f>
        <v>20:27:15.828</v>
      </c>
      <c r="U2391" t="str">
        <f t="shared" si="116"/>
        <v>AB01F4</v>
      </c>
      <c r="V2391">
        <v>0</v>
      </c>
      <c r="W2391">
        <v>0</v>
      </c>
      <c r="X2391">
        <v>2</v>
      </c>
      <c r="Z2391">
        <v>0</v>
      </c>
      <c r="AA2391">
        <v>9</v>
      </c>
      <c r="AB2391">
        <v>3</v>
      </c>
      <c r="AC2391">
        <v>0</v>
      </c>
      <c r="AD2391">
        <v>10</v>
      </c>
      <c r="AE2391">
        <v>0</v>
      </c>
      <c r="AF2391">
        <v>3</v>
      </c>
      <c r="AG2391">
        <v>2</v>
      </c>
      <c r="AH2391">
        <v>0</v>
      </c>
      <c r="AI2391" t="s">
        <v>1445</v>
      </c>
      <c r="AJ2391">
        <v>39.980170999999999</v>
      </c>
      <c r="AK2391" t="s">
        <v>1446</v>
      </c>
      <c r="AL2391">
        <v>-92.712592999999998</v>
      </c>
      <c r="AM2391">
        <v>100</v>
      </c>
      <c r="AN2391">
        <v>1700</v>
      </c>
      <c r="AO2391" t="s">
        <v>118</v>
      </c>
      <c r="AP2391">
        <v>-107</v>
      </c>
      <c r="AQ2391">
        <v>77</v>
      </c>
      <c r="AR2391">
        <v>0</v>
      </c>
      <c r="AZ2391">
        <v>1200</v>
      </c>
      <c r="BA2391">
        <v>1</v>
      </c>
      <c r="BB2391" t="str">
        <f t="shared" si="115"/>
        <v xml:space="preserve">N8080G  </v>
      </c>
      <c r="BC2391">
        <v>1</v>
      </c>
      <c r="BE2391">
        <v>0</v>
      </c>
      <c r="BF2391">
        <v>0</v>
      </c>
      <c r="BG2391">
        <v>0</v>
      </c>
      <c r="BH2391">
        <v>1700</v>
      </c>
      <c r="BI2391">
        <v>1</v>
      </c>
      <c r="BJ2391">
        <v>1</v>
      </c>
      <c r="BK2391">
        <v>1</v>
      </c>
      <c r="BL2391">
        <v>0</v>
      </c>
      <c r="BO2391">
        <v>0</v>
      </c>
      <c r="BP2391">
        <v>0</v>
      </c>
      <c r="BW2391" t="str">
        <f>"20:27:16.333"</f>
        <v>20:27:16.333</v>
      </c>
      <c r="BZ2391">
        <v>0</v>
      </c>
      <c r="CA2391">
        <v>2016</v>
      </c>
      <c r="CB2391">
        <v>224</v>
      </c>
      <c r="CD2391">
        <v>1</v>
      </c>
      <c r="CE2391">
        <v>0</v>
      </c>
      <c r="CF2391">
        <v>0</v>
      </c>
      <c r="CG2391">
        <v>1</v>
      </c>
      <c r="CH2391">
        <v>0</v>
      </c>
      <c r="CI2391">
        <v>0</v>
      </c>
      <c r="CJ2391">
        <v>0</v>
      </c>
      <c r="CK2391">
        <v>2</v>
      </c>
      <c r="CL2391">
        <v>0</v>
      </c>
      <c r="CM2391">
        <v>2</v>
      </c>
      <c r="CN2391">
        <v>0</v>
      </c>
      <c r="CO2391">
        <v>7</v>
      </c>
      <c r="CP2391" t="s">
        <v>119</v>
      </c>
      <c r="CQ2391">
        <v>180</v>
      </c>
      <c r="CR2391">
        <v>2</v>
      </c>
      <c r="CW2391">
        <v>8518528</v>
      </c>
      <c r="CY2391">
        <v>1</v>
      </c>
      <c r="CZ2391">
        <v>0</v>
      </c>
      <c r="DA2391">
        <v>0</v>
      </c>
      <c r="DB2391">
        <v>0</v>
      </c>
      <c r="DC2391">
        <v>0</v>
      </c>
      <c r="DD2391">
        <v>0</v>
      </c>
      <c r="DE2391">
        <v>0</v>
      </c>
      <c r="DF2391">
        <v>0</v>
      </c>
      <c r="DG2391">
        <v>0</v>
      </c>
      <c r="DH2391">
        <v>0</v>
      </c>
      <c r="DI2391">
        <v>0</v>
      </c>
    </row>
    <row r="2392" spans="1:113" x14ac:dyDescent="0.3">
      <c r="A2392" t="str">
        <f>"02/08/2021 20:27:14.002"</f>
        <v>02/08/2021 20:27:14.002</v>
      </c>
      <c r="C2392" t="str">
        <f t="shared" si="114"/>
        <v>FFDFD7C0</v>
      </c>
      <c r="D2392" t="s">
        <v>113</v>
      </c>
      <c r="E2392">
        <v>6</v>
      </c>
      <c r="H2392">
        <v>165</v>
      </c>
      <c r="I2392" t="s">
        <v>114</v>
      </c>
      <c r="J2392" t="s">
        <v>115</v>
      </c>
      <c r="K2392">
        <v>0</v>
      </c>
      <c r="L2392">
        <v>3</v>
      </c>
      <c r="M2392">
        <v>0</v>
      </c>
      <c r="N2392">
        <v>2</v>
      </c>
      <c r="O2392">
        <v>1</v>
      </c>
      <c r="P2392">
        <v>0</v>
      </c>
      <c r="Q2392">
        <v>0</v>
      </c>
      <c r="S2392" t="str">
        <f>"20:27:16.328"</f>
        <v>20:27:16.328</v>
      </c>
      <c r="T2392" t="str">
        <f>"20:27:15.828"</f>
        <v>20:27:15.828</v>
      </c>
      <c r="U2392" t="str">
        <f t="shared" si="116"/>
        <v>AB01F4</v>
      </c>
      <c r="V2392">
        <v>0</v>
      </c>
      <c r="W2392">
        <v>0</v>
      </c>
      <c r="X2392">
        <v>2</v>
      </c>
      <c r="Z2392">
        <v>0</v>
      </c>
      <c r="AA2392">
        <v>9</v>
      </c>
      <c r="AB2392">
        <v>3</v>
      </c>
      <c r="AC2392">
        <v>0</v>
      </c>
      <c r="AD2392">
        <v>10</v>
      </c>
      <c r="AE2392">
        <v>0</v>
      </c>
      <c r="AF2392">
        <v>3</v>
      </c>
      <c r="AG2392">
        <v>2</v>
      </c>
      <c r="AH2392">
        <v>0</v>
      </c>
      <c r="AI2392" t="s">
        <v>1445</v>
      </c>
      <c r="AJ2392">
        <v>39.980170999999999</v>
      </c>
      <c r="AK2392" t="s">
        <v>1446</v>
      </c>
      <c r="AL2392">
        <v>-92.712592999999998</v>
      </c>
      <c r="AM2392">
        <v>100</v>
      </c>
      <c r="AN2392">
        <v>1700</v>
      </c>
      <c r="AO2392" t="s">
        <v>118</v>
      </c>
      <c r="AP2392">
        <v>-107</v>
      </c>
      <c r="AQ2392">
        <v>77</v>
      </c>
      <c r="AR2392">
        <v>0</v>
      </c>
      <c r="AZ2392">
        <v>1200</v>
      </c>
      <c r="BA2392">
        <v>1</v>
      </c>
      <c r="BB2392" t="str">
        <f t="shared" si="115"/>
        <v xml:space="preserve">N8080G  </v>
      </c>
      <c r="BC2392">
        <v>1</v>
      </c>
      <c r="BE2392">
        <v>0</v>
      </c>
      <c r="BF2392">
        <v>0</v>
      </c>
      <c r="BG2392">
        <v>0</v>
      </c>
      <c r="BH2392">
        <v>1700</v>
      </c>
      <c r="BI2392">
        <v>1</v>
      </c>
      <c r="BJ2392">
        <v>1</v>
      </c>
      <c r="BK2392">
        <v>1</v>
      </c>
      <c r="BL2392">
        <v>0</v>
      </c>
      <c r="BO2392">
        <v>0</v>
      </c>
      <c r="BP2392">
        <v>0</v>
      </c>
      <c r="BW2392" t="str">
        <f>"20:27:16.333"</f>
        <v>20:27:16.333</v>
      </c>
      <c r="BZ2392">
        <v>0</v>
      </c>
      <c r="CA2392">
        <v>2016</v>
      </c>
      <c r="CB2392">
        <v>224</v>
      </c>
      <c r="CD2392">
        <v>1</v>
      </c>
      <c r="CE2392">
        <v>0</v>
      </c>
      <c r="CF2392">
        <v>0</v>
      </c>
      <c r="CG2392">
        <v>1</v>
      </c>
      <c r="CH2392">
        <v>0</v>
      </c>
      <c r="CI2392">
        <v>0</v>
      </c>
      <c r="CJ2392">
        <v>0</v>
      </c>
      <c r="CK2392">
        <v>2</v>
      </c>
      <c r="CL2392">
        <v>0</v>
      </c>
      <c r="CM2392">
        <v>2</v>
      </c>
      <c r="CN2392">
        <v>0</v>
      </c>
      <c r="CO2392">
        <v>7</v>
      </c>
      <c r="CP2392" t="s">
        <v>119</v>
      </c>
      <c r="CQ2392">
        <v>180</v>
      </c>
      <c r="CR2392">
        <v>2</v>
      </c>
      <c r="CW2392">
        <v>8518528</v>
      </c>
      <c r="CY2392">
        <v>1</v>
      </c>
      <c r="CZ2392">
        <v>0</v>
      </c>
      <c r="DA2392">
        <v>1</v>
      </c>
      <c r="DB2392">
        <v>0</v>
      </c>
      <c r="DC2392">
        <v>0</v>
      </c>
      <c r="DD2392">
        <v>0</v>
      </c>
      <c r="DE2392">
        <v>0</v>
      </c>
      <c r="DF2392">
        <v>0</v>
      </c>
      <c r="DG2392">
        <v>0</v>
      </c>
      <c r="DH2392">
        <v>0</v>
      </c>
      <c r="DI2392">
        <v>0</v>
      </c>
    </row>
    <row r="2393" spans="1:113" x14ac:dyDescent="0.3">
      <c r="A2393" t="str">
        <f>"02/08/2021 20:27:14.002"</f>
        <v>02/08/2021 20:27:14.002</v>
      </c>
      <c r="C2393" t="str">
        <f t="shared" si="114"/>
        <v>FFDFD7C0</v>
      </c>
      <c r="D2393" t="s">
        <v>124</v>
      </c>
      <c r="E2393">
        <v>12</v>
      </c>
      <c r="F2393">
        <v>1012</v>
      </c>
      <c r="G2393" t="s">
        <v>675</v>
      </c>
      <c r="J2393" t="s">
        <v>125</v>
      </c>
      <c r="K2393">
        <v>0</v>
      </c>
      <c r="L2393">
        <v>3</v>
      </c>
      <c r="M2393">
        <v>0</v>
      </c>
      <c r="N2393">
        <v>2</v>
      </c>
      <c r="O2393">
        <v>1</v>
      </c>
      <c r="P2393">
        <v>0</v>
      </c>
      <c r="Q2393">
        <v>0</v>
      </c>
      <c r="S2393" t="str">
        <f>"20:27:16.328"</f>
        <v>20:27:16.328</v>
      </c>
      <c r="T2393" t="str">
        <f>"20:27:15.828"</f>
        <v>20:27:15.828</v>
      </c>
      <c r="U2393" t="str">
        <f t="shared" si="116"/>
        <v>AB01F4</v>
      </c>
      <c r="V2393">
        <v>0</v>
      </c>
      <c r="W2393">
        <v>0</v>
      </c>
      <c r="X2393">
        <v>2</v>
      </c>
      <c r="Z2393">
        <v>0</v>
      </c>
      <c r="AA2393">
        <v>9</v>
      </c>
      <c r="AB2393">
        <v>3</v>
      </c>
      <c r="AC2393">
        <v>0</v>
      </c>
      <c r="AD2393">
        <v>10</v>
      </c>
      <c r="AE2393">
        <v>0</v>
      </c>
      <c r="AF2393">
        <v>3</v>
      </c>
      <c r="AG2393">
        <v>2</v>
      </c>
      <c r="AH2393">
        <v>0</v>
      </c>
      <c r="AI2393" t="s">
        <v>1445</v>
      </c>
      <c r="AJ2393">
        <v>39.980170999999999</v>
      </c>
      <c r="AK2393" t="s">
        <v>1446</v>
      </c>
      <c r="AL2393">
        <v>-92.712592999999998</v>
      </c>
      <c r="AM2393">
        <v>100</v>
      </c>
      <c r="AN2393">
        <v>1700</v>
      </c>
      <c r="AO2393" t="s">
        <v>118</v>
      </c>
      <c r="AP2393">
        <v>-107</v>
      </c>
      <c r="AQ2393">
        <v>77</v>
      </c>
      <c r="AR2393">
        <v>0</v>
      </c>
      <c r="AZ2393">
        <v>1200</v>
      </c>
      <c r="BA2393">
        <v>1</v>
      </c>
      <c r="BB2393" t="str">
        <f t="shared" si="115"/>
        <v xml:space="preserve">N8080G  </v>
      </c>
      <c r="BC2393">
        <v>1</v>
      </c>
      <c r="BE2393">
        <v>0</v>
      </c>
      <c r="BF2393">
        <v>0</v>
      </c>
      <c r="BG2393">
        <v>0</v>
      </c>
      <c r="BH2393">
        <v>1700</v>
      </c>
      <c r="BI2393">
        <v>1</v>
      </c>
      <c r="BJ2393">
        <v>1</v>
      </c>
      <c r="BK2393">
        <v>1</v>
      </c>
      <c r="BL2393">
        <v>0</v>
      </c>
      <c r="BO2393">
        <v>0</v>
      </c>
      <c r="BP2393">
        <v>0</v>
      </c>
      <c r="BW2393" t="str">
        <f>"20:27:16.333"</f>
        <v>20:27:16.333</v>
      </c>
      <c r="BZ2393">
        <v>0</v>
      </c>
      <c r="CA2393">
        <v>2016</v>
      </c>
      <c r="CB2393">
        <v>224</v>
      </c>
      <c r="CD2393">
        <v>1</v>
      </c>
      <c r="CE2393">
        <v>0</v>
      </c>
      <c r="CF2393">
        <v>0</v>
      </c>
      <c r="CG2393">
        <v>1</v>
      </c>
      <c r="CH2393">
        <v>0</v>
      </c>
      <c r="CI2393">
        <v>0</v>
      </c>
      <c r="CJ2393">
        <v>0</v>
      </c>
      <c r="CK2393">
        <v>2</v>
      </c>
      <c r="CL2393">
        <v>0</v>
      </c>
      <c r="CM2393">
        <v>2</v>
      </c>
      <c r="CN2393">
        <v>0</v>
      </c>
      <c r="CO2393">
        <v>7</v>
      </c>
      <c r="CP2393" t="s">
        <v>119</v>
      </c>
      <c r="CQ2393">
        <v>180</v>
      </c>
      <c r="CR2393">
        <v>2</v>
      </c>
      <c r="CW2393">
        <v>8518528</v>
      </c>
      <c r="CY2393">
        <v>1</v>
      </c>
      <c r="CZ2393">
        <v>0</v>
      </c>
      <c r="DA2393">
        <v>1</v>
      </c>
      <c r="DB2393">
        <v>0</v>
      </c>
      <c r="DC2393">
        <v>0</v>
      </c>
      <c r="DD2393">
        <v>0</v>
      </c>
      <c r="DE2393">
        <v>0</v>
      </c>
      <c r="DF2393">
        <v>0</v>
      </c>
      <c r="DG2393">
        <v>0</v>
      </c>
      <c r="DH2393">
        <v>0</v>
      </c>
      <c r="DI2393">
        <v>0</v>
      </c>
    </row>
    <row r="2394" spans="1:113" x14ac:dyDescent="0.3">
      <c r="A2394" t="str">
        <f>"02/08/2021 20:27:14.002"</f>
        <v>02/08/2021 20:27:14.002</v>
      </c>
      <c r="C2394" t="str">
        <f t="shared" si="114"/>
        <v>FFDFD7C0</v>
      </c>
      <c r="D2394" t="s">
        <v>124</v>
      </c>
      <c r="E2394">
        <v>11</v>
      </c>
      <c r="F2394">
        <v>1011</v>
      </c>
      <c r="G2394" t="s">
        <v>590</v>
      </c>
      <c r="J2394" t="s">
        <v>125</v>
      </c>
      <c r="K2394">
        <v>0</v>
      </c>
      <c r="L2394">
        <v>3</v>
      </c>
      <c r="M2394">
        <v>0</v>
      </c>
      <c r="N2394">
        <v>2</v>
      </c>
      <c r="O2394">
        <v>1</v>
      </c>
      <c r="P2394">
        <v>0</v>
      </c>
      <c r="Q2394">
        <v>0</v>
      </c>
      <c r="S2394" t="str">
        <f>"20:27:16.328"</f>
        <v>20:27:16.328</v>
      </c>
      <c r="T2394" t="str">
        <f>"20:27:15.828"</f>
        <v>20:27:15.828</v>
      </c>
      <c r="U2394" t="str">
        <f t="shared" si="116"/>
        <v>AB01F4</v>
      </c>
      <c r="V2394">
        <v>0</v>
      </c>
      <c r="W2394">
        <v>0</v>
      </c>
      <c r="X2394">
        <v>2</v>
      </c>
      <c r="Z2394">
        <v>0</v>
      </c>
      <c r="AA2394">
        <v>9</v>
      </c>
      <c r="AB2394">
        <v>3</v>
      </c>
      <c r="AC2394">
        <v>0</v>
      </c>
      <c r="AD2394">
        <v>10</v>
      </c>
      <c r="AE2394">
        <v>0</v>
      </c>
      <c r="AF2394">
        <v>3</v>
      </c>
      <c r="AG2394">
        <v>2</v>
      </c>
      <c r="AH2394">
        <v>0</v>
      </c>
      <c r="AI2394" t="s">
        <v>1445</v>
      </c>
      <c r="AJ2394">
        <v>39.980170999999999</v>
      </c>
      <c r="AK2394" t="s">
        <v>1446</v>
      </c>
      <c r="AL2394">
        <v>-92.712592999999998</v>
      </c>
      <c r="AM2394">
        <v>100</v>
      </c>
      <c r="AN2394">
        <v>1700</v>
      </c>
      <c r="AO2394" t="s">
        <v>118</v>
      </c>
      <c r="AP2394">
        <v>-107</v>
      </c>
      <c r="AQ2394">
        <v>77</v>
      </c>
      <c r="AR2394">
        <v>0</v>
      </c>
      <c r="AZ2394">
        <v>1200</v>
      </c>
      <c r="BA2394">
        <v>1</v>
      </c>
      <c r="BB2394" t="str">
        <f t="shared" si="115"/>
        <v xml:space="preserve">N8080G  </v>
      </c>
      <c r="BC2394">
        <v>1</v>
      </c>
      <c r="BE2394">
        <v>0</v>
      </c>
      <c r="BF2394">
        <v>0</v>
      </c>
      <c r="BG2394">
        <v>0</v>
      </c>
      <c r="BH2394">
        <v>1700</v>
      </c>
      <c r="BI2394">
        <v>1</v>
      </c>
      <c r="BJ2394">
        <v>1</v>
      </c>
      <c r="BK2394">
        <v>1</v>
      </c>
      <c r="BL2394">
        <v>0</v>
      </c>
      <c r="BO2394">
        <v>0</v>
      </c>
      <c r="BP2394">
        <v>0</v>
      </c>
      <c r="BW2394" t="str">
        <f>"20:27:16.333"</f>
        <v>20:27:16.333</v>
      </c>
      <c r="BZ2394">
        <v>0</v>
      </c>
      <c r="CA2394">
        <v>2016</v>
      </c>
      <c r="CB2394">
        <v>224</v>
      </c>
      <c r="CD2394">
        <v>1</v>
      </c>
      <c r="CE2394">
        <v>0</v>
      </c>
      <c r="CF2394">
        <v>0</v>
      </c>
      <c r="CG2394">
        <v>1</v>
      </c>
      <c r="CH2394">
        <v>0</v>
      </c>
      <c r="CI2394">
        <v>0</v>
      </c>
      <c r="CJ2394">
        <v>0</v>
      </c>
      <c r="CK2394">
        <v>2</v>
      </c>
      <c r="CL2394">
        <v>0</v>
      </c>
      <c r="CM2394">
        <v>2</v>
      </c>
      <c r="CN2394">
        <v>0</v>
      </c>
      <c r="CO2394">
        <v>7</v>
      </c>
      <c r="CP2394" t="s">
        <v>119</v>
      </c>
      <c r="CQ2394">
        <v>180</v>
      </c>
      <c r="CR2394">
        <v>2</v>
      </c>
      <c r="CW2394">
        <v>8518528</v>
      </c>
      <c r="CY2394">
        <v>1</v>
      </c>
      <c r="CZ2394">
        <v>0</v>
      </c>
      <c r="DA2394">
        <v>1</v>
      </c>
      <c r="DB2394">
        <v>0</v>
      </c>
      <c r="DC2394">
        <v>0</v>
      </c>
      <c r="DD2394">
        <v>0</v>
      </c>
      <c r="DE2394">
        <v>0</v>
      </c>
      <c r="DF2394">
        <v>0</v>
      </c>
      <c r="DG2394">
        <v>0</v>
      </c>
      <c r="DH2394">
        <v>0</v>
      </c>
      <c r="DI2394">
        <v>0</v>
      </c>
    </row>
    <row r="2395" spans="1:113" x14ac:dyDescent="0.3">
      <c r="A2395" t="str">
        <f>"02/08/2021 20:27:15.081"</f>
        <v>02/08/2021 20:27:15.081</v>
      </c>
      <c r="C2395" t="str">
        <f t="shared" si="114"/>
        <v>FFDFD7C0</v>
      </c>
      <c r="D2395" t="s">
        <v>124</v>
      </c>
      <c r="E2395">
        <v>12</v>
      </c>
      <c r="F2395">
        <v>1012</v>
      </c>
      <c r="G2395" t="s">
        <v>675</v>
      </c>
      <c r="J2395" t="s">
        <v>125</v>
      </c>
      <c r="K2395">
        <v>0</v>
      </c>
      <c r="L2395">
        <v>3</v>
      </c>
      <c r="M2395">
        <v>0</v>
      </c>
      <c r="N2395">
        <v>2</v>
      </c>
      <c r="O2395">
        <v>1</v>
      </c>
      <c r="P2395">
        <v>0</v>
      </c>
      <c r="Q2395">
        <v>0</v>
      </c>
      <c r="S2395" t="str">
        <f>"20:27:17.406"</f>
        <v>20:27:17.406</v>
      </c>
      <c r="T2395" t="str">
        <f>"20:27:16.906"</f>
        <v>20:27:16.906</v>
      </c>
      <c r="U2395" t="str">
        <f t="shared" si="116"/>
        <v>AB01F4</v>
      </c>
      <c r="V2395">
        <v>0</v>
      </c>
      <c r="W2395">
        <v>0</v>
      </c>
      <c r="X2395">
        <v>2</v>
      </c>
      <c r="Z2395">
        <v>0</v>
      </c>
      <c r="AA2395">
        <v>9</v>
      </c>
      <c r="AB2395">
        <v>3</v>
      </c>
      <c r="AC2395">
        <v>0</v>
      </c>
      <c r="AD2395">
        <v>10</v>
      </c>
      <c r="AE2395">
        <v>0</v>
      </c>
      <c r="AF2395">
        <v>3</v>
      </c>
      <c r="AG2395">
        <v>2</v>
      </c>
      <c r="AH2395">
        <v>0</v>
      </c>
      <c r="AI2395" t="s">
        <v>1447</v>
      </c>
      <c r="AJ2395">
        <v>39.980493000000003</v>
      </c>
      <c r="AK2395" t="s">
        <v>1448</v>
      </c>
      <c r="AL2395">
        <v>-92.713257999999996</v>
      </c>
      <c r="AM2395">
        <v>100</v>
      </c>
      <c r="AN2395">
        <v>1700</v>
      </c>
      <c r="AO2395" t="s">
        <v>118</v>
      </c>
      <c r="AP2395">
        <v>-107</v>
      </c>
      <c r="AQ2395">
        <v>77</v>
      </c>
      <c r="AR2395">
        <v>-64</v>
      </c>
      <c r="AZ2395">
        <v>1200</v>
      </c>
      <c r="BA2395">
        <v>1</v>
      </c>
      <c r="BB2395" t="str">
        <f t="shared" si="115"/>
        <v xml:space="preserve">N8080G  </v>
      </c>
      <c r="BC2395">
        <v>1</v>
      </c>
      <c r="BE2395">
        <v>0</v>
      </c>
      <c r="BF2395">
        <v>0</v>
      </c>
      <c r="BG2395">
        <v>0</v>
      </c>
      <c r="BH2395">
        <v>1700</v>
      </c>
      <c r="BI2395">
        <v>1</v>
      </c>
      <c r="BJ2395">
        <v>1</v>
      </c>
      <c r="BK2395">
        <v>1</v>
      </c>
      <c r="BL2395">
        <v>0</v>
      </c>
      <c r="BO2395">
        <v>0</v>
      </c>
      <c r="BP2395">
        <v>0</v>
      </c>
      <c r="BW2395" t="str">
        <f>"20:27:17.408"</f>
        <v>20:27:17.408</v>
      </c>
      <c r="BZ2395">
        <v>0</v>
      </c>
      <c r="CA2395">
        <v>2016</v>
      </c>
      <c r="CB2395">
        <v>224</v>
      </c>
      <c r="CD2395">
        <v>1</v>
      </c>
      <c r="CE2395">
        <v>0</v>
      </c>
      <c r="CF2395">
        <v>0</v>
      </c>
      <c r="CG2395">
        <v>1</v>
      </c>
      <c r="CH2395">
        <v>0</v>
      </c>
      <c r="CI2395">
        <v>0</v>
      </c>
      <c r="CJ2395">
        <v>0</v>
      </c>
      <c r="CK2395">
        <v>2</v>
      </c>
      <c r="CL2395">
        <v>0</v>
      </c>
      <c r="CM2395">
        <v>2</v>
      </c>
      <c r="CN2395">
        <v>0</v>
      </c>
      <c r="CO2395">
        <v>7</v>
      </c>
      <c r="CP2395" t="s">
        <v>119</v>
      </c>
      <c r="CQ2395">
        <v>180</v>
      </c>
      <c r="CR2395">
        <v>2</v>
      </c>
      <c r="CW2395">
        <v>8519378</v>
      </c>
      <c r="CY2395">
        <v>1</v>
      </c>
      <c r="CZ2395">
        <v>0</v>
      </c>
      <c r="DA2395">
        <v>0</v>
      </c>
      <c r="DB2395">
        <v>0</v>
      </c>
      <c r="DC2395">
        <v>0</v>
      </c>
      <c r="DD2395">
        <v>0</v>
      </c>
      <c r="DE2395">
        <v>0</v>
      </c>
      <c r="DF2395">
        <v>0</v>
      </c>
      <c r="DG2395">
        <v>0</v>
      </c>
      <c r="DH2395">
        <v>0</v>
      </c>
      <c r="DI2395">
        <v>0</v>
      </c>
    </row>
    <row r="2396" spans="1:113" x14ac:dyDescent="0.3">
      <c r="A2396" t="str">
        <f>"02/08/2021 20:27:15.081"</f>
        <v>02/08/2021 20:27:15.081</v>
      </c>
      <c r="C2396" t="str">
        <f t="shared" si="114"/>
        <v>FFDFD7C0</v>
      </c>
      <c r="D2396" t="s">
        <v>113</v>
      </c>
      <c r="E2396">
        <v>6</v>
      </c>
      <c r="H2396">
        <v>165</v>
      </c>
      <c r="I2396" t="s">
        <v>114</v>
      </c>
      <c r="J2396" t="s">
        <v>115</v>
      </c>
      <c r="K2396">
        <v>0</v>
      </c>
      <c r="L2396">
        <v>3</v>
      </c>
      <c r="M2396">
        <v>0</v>
      </c>
      <c r="N2396">
        <v>2</v>
      </c>
      <c r="O2396">
        <v>1</v>
      </c>
      <c r="P2396">
        <v>0</v>
      </c>
      <c r="Q2396">
        <v>0</v>
      </c>
      <c r="S2396" t="str">
        <f>"20:27:17.406"</f>
        <v>20:27:17.406</v>
      </c>
      <c r="T2396" t="str">
        <f>"20:27:16.906"</f>
        <v>20:27:16.906</v>
      </c>
      <c r="U2396" t="str">
        <f t="shared" si="116"/>
        <v>AB01F4</v>
      </c>
      <c r="V2396">
        <v>0</v>
      </c>
      <c r="W2396">
        <v>0</v>
      </c>
      <c r="X2396">
        <v>2</v>
      </c>
      <c r="Z2396">
        <v>0</v>
      </c>
      <c r="AA2396">
        <v>9</v>
      </c>
      <c r="AB2396">
        <v>3</v>
      </c>
      <c r="AC2396">
        <v>0</v>
      </c>
      <c r="AD2396">
        <v>10</v>
      </c>
      <c r="AE2396">
        <v>0</v>
      </c>
      <c r="AF2396">
        <v>3</v>
      </c>
      <c r="AG2396">
        <v>2</v>
      </c>
      <c r="AH2396">
        <v>0</v>
      </c>
      <c r="AI2396" t="s">
        <v>1447</v>
      </c>
      <c r="AJ2396">
        <v>39.980493000000003</v>
      </c>
      <c r="AK2396" t="s">
        <v>1448</v>
      </c>
      <c r="AL2396">
        <v>-92.713257999999996</v>
      </c>
      <c r="AM2396">
        <v>100</v>
      </c>
      <c r="AN2396">
        <v>1700</v>
      </c>
      <c r="AO2396" t="s">
        <v>118</v>
      </c>
      <c r="AP2396">
        <v>-107</v>
      </c>
      <c r="AQ2396">
        <v>77</v>
      </c>
      <c r="AR2396">
        <v>-64</v>
      </c>
      <c r="AZ2396">
        <v>1200</v>
      </c>
      <c r="BA2396">
        <v>1</v>
      </c>
      <c r="BB2396" t="str">
        <f t="shared" si="115"/>
        <v xml:space="preserve">N8080G  </v>
      </c>
      <c r="BC2396">
        <v>1</v>
      </c>
      <c r="BE2396">
        <v>0</v>
      </c>
      <c r="BF2396">
        <v>0</v>
      </c>
      <c r="BG2396">
        <v>0</v>
      </c>
      <c r="BH2396">
        <v>1700</v>
      </c>
      <c r="BI2396">
        <v>1</v>
      </c>
      <c r="BJ2396">
        <v>1</v>
      </c>
      <c r="BK2396">
        <v>1</v>
      </c>
      <c r="BL2396">
        <v>0</v>
      </c>
      <c r="BO2396">
        <v>0</v>
      </c>
      <c r="BP2396">
        <v>0</v>
      </c>
      <c r="BW2396" t="str">
        <f>"20:27:17.408"</f>
        <v>20:27:17.408</v>
      </c>
      <c r="BZ2396">
        <v>0</v>
      </c>
      <c r="CA2396">
        <v>2016</v>
      </c>
      <c r="CB2396">
        <v>224</v>
      </c>
      <c r="CD2396">
        <v>1</v>
      </c>
      <c r="CE2396">
        <v>0</v>
      </c>
      <c r="CF2396">
        <v>0</v>
      </c>
      <c r="CG2396">
        <v>1</v>
      </c>
      <c r="CH2396">
        <v>0</v>
      </c>
      <c r="CI2396">
        <v>0</v>
      </c>
      <c r="CJ2396">
        <v>0</v>
      </c>
      <c r="CK2396">
        <v>2</v>
      </c>
      <c r="CL2396">
        <v>0</v>
      </c>
      <c r="CM2396">
        <v>2</v>
      </c>
      <c r="CN2396">
        <v>0</v>
      </c>
      <c r="CO2396">
        <v>7</v>
      </c>
      <c r="CP2396" t="s">
        <v>119</v>
      </c>
      <c r="CQ2396">
        <v>180</v>
      </c>
      <c r="CR2396">
        <v>2</v>
      </c>
      <c r="CW2396">
        <v>8519378</v>
      </c>
      <c r="CY2396">
        <v>1</v>
      </c>
      <c r="CZ2396">
        <v>0</v>
      </c>
      <c r="DA2396">
        <v>1</v>
      </c>
      <c r="DB2396">
        <v>0</v>
      </c>
      <c r="DC2396">
        <v>0</v>
      </c>
      <c r="DD2396">
        <v>0</v>
      </c>
      <c r="DE2396">
        <v>0</v>
      </c>
      <c r="DF2396">
        <v>0</v>
      </c>
      <c r="DG2396">
        <v>0</v>
      </c>
      <c r="DH2396">
        <v>0</v>
      </c>
      <c r="DI2396">
        <v>0</v>
      </c>
    </row>
    <row r="2397" spans="1:113" x14ac:dyDescent="0.3">
      <c r="A2397" t="str">
        <f>"02/08/2021 20:27:15.081"</f>
        <v>02/08/2021 20:27:15.081</v>
      </c>
      <c r="C2397" t="str">
        <f t="shared" si="114"/>
        <v>FFDFD7C0</v>
      </c>
      <c r="D2397" t="s">
        <v>124</v>
      </c>
      <c r="E2397">
        <v>11</v>
      </c>
      <c r="F2397">
        <v>1011</v>
      </c>
      <c r="G2397" t="s">
        <v>590</v>
      </c>
      <c r="J2397" t="s">
        <v>125</v>
      </c>
      <c r="K2397">
        <v>0</v>
      </c>
      <c r="L2397">
        <v>3</v>
      </c>
      <c r="M2397">
        <v>0</v>
      </c>
      <c r="N2397">
        <v>2</v>
      </c>
      <c r="O2397">
        <v>1</v>
      </c>
      <c r="P2397">
        <v>0</v>
      </c>
      <c r="Q2397">
        <v>0</v>
      </c>
      <c r="S2397" t="str">
        <f>"20:27:17.406"</f>
        <v>20:27:17.406</v>
      </c>
      <c r="T2397" t="str">
        <f>"20:27:16.906"</f>
        <v>20:27:16.906</v>
      </c>
      <c r="U2397" t="str">
        <f t="shared" si="116"/>
        <v>AB01F4</v>
      </c>
      <c r="V2397">
        <v>0</v>
      </c>
      <c r="W2397">
        <v>0</v>
      </c>
      <c r="X2397">
        <v>2</v>
      </c>
      <c r="Z2397">
        <v>0</v>
      </c>
      <c r="AA2397">
        <v>9</v>
      </c>
      <c r="AB2397">
        <v>3</v>
      </c>
      <c r="AC2397">
        <v>0</v>
      </c>
      <c r="AD2397">
        <v>10</v>
      </c>
      <c r="AE2397">
        <v>0</v>
      </c>
      <c r="AF2397">
        <v>3</v>
      </c>
      <c r="AG2397">
        <v>2</v>
      </c>
      <c r="AH2397">
        <v>0</v>
      </c>
      <c r="AI2397" t="s">
        <v>1447</v>
      </c>
      <c r="AJ2397">
        <v>39.980493000000003</v>
      </c>
      <c r="AK2397" t="s">
        <v>1448</v>
      </c>
      <c r="AL2397">
        <v>-92.713257999999996</v>
      </c>
      <c r="AM2397">
        <v>100</v>
      </c>
      <c r="AN2397">
        <v>1700</v>
      </c>
      <c r="AO2397" t="s">
        <v>118</v>
      </c>
      <c r="AP2397">
        <v>-107</v>
      </c>
      <c r="AQ2397">
        <v>77</v>
      </c>
      <c r="AR2397">
        <v>-64</v>
      </c>
      <c r="AZ2397">
        <v>1200</v>
      </c>
      <c r="BA2397">
        <v>1</v>
      </c>
      <c r="BB2397" t="str">
        <f t="shared" si="115"/>
        <v xml:space="preserve">N8080G  </v>
      </c>
      <c r="BC2397">
        <v>1</v>
      </c>
      <c r="BE2397">
        <v>0</v>
      </c>
      <c r="BF2397">
        <v>0</v>
      </c>
      <c r="BG2397">
        <v>0</v>
      </c>
      <c r="BH2397">
        <v>1700</v>
      </c>
      <c r="BI2397">
        <v>1</v>
      </c>
      <c r="BJ2397">
        <v>1</v>
      </c>
      <c r="BK2397">
        <v>1</v>
      </c>
      <c r="BL2397">
        <v>0</v>
      </c>
      <c r="BO2397">
        <v>0</v>
      </c>
      <c r="BP2397">
        <v>0</v>
      </c>
      <c r="BW2397" t="str">
        <f>"20:27:17.408"</f>
        <v>20:27:17.408</v>
      </c>
      <c r="BZ2397">
        <v>0</v>
      </c>
      <c r="CA2397">
        <v>2016</v>
      </c>
      <c r="CB2397">
        <v>224</v>
      </c>
      <c r="CD2397">
        <v>1</v>
      </c>
      <c r="CE2397">
        <v>0</v>
      </c>
      <c r="CF2397">
        <v>0</v>
      </c>
      <c r="CG2397">
        <v>1</v>
      </c>
      <c r="CH2397">
        <v>0</v>
      </c>
      <c r="CI2397">
        <v>0</v>
      </c>
      <c r="CJ2397">
        <v>0</v>
      </c>
      <c r="CK2397">
        <v>2</v>
      </c>
      <c r="CL2397">
        <v>0</v>
      </c>
      <c r="CM2397">
        <v>2</v>
      </c>
      <c r="CN2397">
        <v>0</v>
      </c>
      <c r="CO2397">
        <v>7</v>
      </c>
      <c r="CP2397" t="s">
        <v>119</v>
      </c>
      <c r="CQ2397">
        <v>180</v>
      </c>
      <c r="CR2397">
        <v>2</v>
      </c>
      <c r="CW2397">
        <v>8519378</v>
      </c>
      <c r="CY2397">
        <v>1</v>
      </c>
      <c r="CZ2397">
        <v>0</v>
      </c>
      <c r="DA2397">
        <v>1</v>
      </c>
      <c r="DB2397">
        <v>0</v>
      </c>
      <c r="DC2397">
        <v>0</v>
      </c>
      <c r="DD2397">
        <v>0</v>
      </c>
      <c r="DE2397">
        <v>0</v>
      </c>
      <c r="DF2397">
        <v>0</v>
      </c>
      <c r="DG2397">
        <v>0</v>
      </c>
      <c r="DH2397">
        <v>0</v>
      </c>
      <c r="DI2397">
        <v>0</v>
      </c>
    </row>
    <row r="2398" spans="1:113" x14ac:dyDescent="0.3">
      <c r="A2398" t="str">
        <f>"02/08/2021 20:27:15.081"</f>
        <v>02/08/2021 20:27:15.081</v>
      </c>
      <c r="C2398" t="str">
        <f t="shared" si="114"/>
        <v>FFDFD7C0</v>
      </c>
      <c r="D2398" t="s">
        <v>124</v>
      </c>
      <c r="E2398">
        <v>13</v>
      </c>
      <c r="F2398">
        <v>1013</v>
      </c>
      <c r="G2398" t="s">
        <v>114</v>
      </c>
      <c r="J2398" t="s">
        <v>125</v>
      </c>
      <c r="K2398">
        <v>0</v>
      </c>
      <c r="L2398">
        <v>3</v>
      </c>
      <c r="M2398">
        <v>0</v>
      </c>
      <c r="N2398">
        <v>2</v>
      </c>
      <c r="O2398">
        <v>1</v>
      </c>
      <c r="P2398">
        <v>0</v>
      </c>
      <c r="Q2398">
        <v>0</v>
      </c>
      <c r="S2398" t="str">
        <f>"20:27:17.406"</f>
        <v>20:27:17.406</v>
      </c>
      <c r="T2398" t="str">
        <f>"20:27:16.906"</f>
        <v>20:27:16.906</v>
      </c>
      <c r="U2398" t="str">
        <f t="shared" si="116"/>
        <v>AB01F4</v>
      </c>
      <c r="V2398">
        <v>0</v>
      </c>
      <c r="W2398">
        <v>0</v>
      </c>
      <c r="X2398">
        <v>2</v>
      </c>
      <c r="Z2398">
        <v>0</v>
      </c>
      <c r="AA2398">
        <v>9</v>
      </c>
      <c r="AB2398">
        <v>3</v>
      </c>
      <c r="AC2398">
        <v>0</v>
      </c>
      <c r="AD2398">
        <v>10</v>
      </c>
      <c r="AE2398">
        <v>0</v>
      </c>
      <c r="AF2398">
        <v>3</v>
      </c>
      <c r="AG2398">
        <v>2</v>
      </c>
      <c r="AH2398">
        <v>0</v>
      </c>
      <c r="AI2398" t="s">
        <v>1447</v>
      </c>
      <c r="AJ2398">
        <v>39.980493000000003</v>
      </c>
      <c r="AK2398" t="s">
        <v>1448</v>
      </c>
      <c r="AL2398">
        <v>-92.713257999999996</v>
      </c>
      <c r="AM2398">
        <v>100</v>
      </c>
      <c r="AN2398">
        <v>1700</v>
      </c>
      <c r="AO2398" t="s">
        <v>118</v>
      </c>
      <c r="AP2398">
        <v>-107</v>
      </c>
      <c r="AQ2398">
        <v>77</v>
      </c>
      <c r="AR2398">
        <v>-64</v>
      </c>
      <c r="AZ2398">
        <v>1200</v>
      </c>
      <c r="BA2398">
        <v>1</v>
      </c>
      <c r="BB2398" t="str">
        <f t="shared" si="115"/>
        <v xml:space="preserve">N8080G  </v>
      </c>
      <c r="BC2398">
        <v>1</v>
      </c>
      <c r="BE2398">
        <v>0</v>
      </c>
      <c r="BF2398">
        <v>0</v>
      </c>
      <c r="BG2398">
        <v>0</v>
      </c>
      <c r="BH2398">
        <v>1700</v>
      </c>
      <c r="BI2398">
        <v>1</v>
      </c>
      <c r="BJ2398">
        <v>1</v>
      </c>
      <c r="BK2398">
        <v>1</v>
      </c>
      <c r="BL2398">
        <v>0</v>
      </c>
      <c r="BO2398">
        <v>0</v>
      </c>
      <c r="BP2398">
        <v>0</v>
      </c>
      <c r="BW2398" t="str">
        <f>"20:27:17.408"</f>
        <v>20:27:17.408</v>
      </c>
      <c r="BZ2398">
        <v>0</v>
      </c>
      <c r="CA2398">
        <v>2016</v>
      </c>
      <c r="CB2398">
        <v>224</v>
      </c>
      <c r="CD2398">
        <v>1</v>
      </c>
      <c r="CE2398">
        <v>0</v>
      </c>
      <c r="CF2398">
        <v>0</v>
      </c>
      <c r="CG2398">
        <v>1</v>
      </c>
      <c r="CH2398">
        <v>0</v>
      </c>
      <c r="CI2398">
        <v>0</v>
      </c>
      <c r="CJ2398">
        <v>0</v>
      </c>
      <c r="CK2398">
        <v>2</v>
      </c>
      <c r="CL2398">
        <v>0</v>
      </c>
      <c r="CM2398">
        <v>2</v>
      </c>
      <c r="CN2398">
        <v>0</v>
      </c>
      <c r="CO2398">
        <v>7</v>
      </c>
      <c r="CP2398" t="s">
        <v>119</v>
      </c>
      <c r="CQ2398">
        <v>180</v>
      </c>
      <c r="CR2398">
        <v>2</v>
      </c>
      <c r="CW2398">
        <v>8519378</v>
      </c>
      <c r="CY2398">
        <v>1</v>
      </c>
      <c r="CZ2398">
        <v>0</v>
      </c>
      <c r="DA2398">
        <v>1</v>
      </c>
      <c r="DB2398">
        <v>0</v>
      </c>
      <c r="DC2398">
        <v>0</v>
      </c>
      <c r="DD2398">
        <v>0</v>
      </c>
      <c r="DE2398">
        <v>0</v>
      </c>
      <c r="DF2398">
        <v>0</v>
      </c>
      <c r="DG2398">
        <v>0</v>
      </c>
      <c r="DH2398">
        <v>0</v>
      </c>
      <c r="DI2398">
        <v>0</v>
      </c>
    </row>
    <row r="2399" spans="1:113" x14ac:dyDescent="0.3">
      <c r="A2399" t="str">
        <f>"02/08/2021 20:27:16.105"</f>
        <v>02/08/2021 20:27:16.105</v>
      </c>
      <c r="C2399" t="str">
        <f t="shared" si="114"/>
        <v>FFDFD7C0</v>
      </c>
      <c r="D2399" t="s">
        <v>124</v>
      </c>
      <c r="E2399">
        <v>11</v>
      </c>
      <c r="F2399">
        <v>1011</v>
      </c>
      <c r="G2399" t="s">
        <v>590</v>
      </c>
      <c r="J2399" t="s">
        <v>125</v>
      </c>
      <c r="K2399">
        <v>0</v>
      </c>
      <c r="L2399">
        <v>3</v>
      </c>
      <c r="M2399">
        <v>0</v>
      </c>
      <c r="N2399">
        <v>2</v>
      </c>
      <c r="O2399">
        <v>1</v>
      </c>
      <c r="P2399">
        <v>0</v>
      </c>
      <c r="Q2399">
        <v>0</v>
      </c>
      <c r="S2399" t="str">
        <f>"20:27:18.445"</f>
        <v>20:27:18.445</v>
      </c>
      <c r="T2399" t="str">
        <f>"20:27:18.045"</f>
        <v>20:27:18.045</v>
      </c>
      <c r="U2399" t="str">
        <f t="shared" si="116"/>
        <v>AB01F4</v>
      </c>
      <c r="V2399">
        <v>0</v>
      </c>
      <c r="W2399">
        <v>0</v>
      </c>
      <c r="X2399">
        <v>2</v>
      </c>
      <c r="Z2399">
        <v>0</v>
      </c>
      <c r="AA2399">
        <v>9</v>
      </c>
      <c r="AB2399">
        <v>3</v>
      </c>
      <c r="AC2399">
        <v>0</v>
      </c>
      <c r="AD2399">
        <v>10</v>
      </c>
      <c r="AE2399">
        <v>0</v>
      </c>
      <c r="AF2399">
        <v>3</v>
      </c>
      <c r="AG2399">
        <v>2</v>
      </c>
      <c r="AH2399">
        <v>0</v>
      </c>
      <c r="AI2399" t="s">
        <v>1449</v>
      </c>
      <c r="AJ2399">
        <v>39.980879000000002</v>
      </c>
      <c r="AK2399" t="s">
        <v>1450</v>
      </c>
      <c r="AL2399">
        <v>-92.713944999999995</v>
      </c>
      <c r="AM2399">
        <v>100</v>
      </c>
      <c r="AN2399">
        <v>1700</v>
      </c>
      <c r="AO2399" t="s">
        <v>118</v>
      </c>
      <c r="AP2399">
        <v>-107</v>
      </c>
      <c r="AQ2399">
        <v>77</v>
      </c>
      <c r="AR2399">
        <v>-64</v>
      </c>
      <c r="AZ2399">
        <v>1200</v>
      </c>
      <c r="BA2399">
        <v>1</v>
      </c>
      <c r="BB2399" t="str">
        <f t="shared" si="115"/>
        <v xml:space="preserve">N8080G  </v>
      </c>
      <c r="BC2399">
        <v>1</v>
      </c>
      <c r="BE2399">
        <v>0</v>
      </c>
      <c r="BF2399">
        <v>0</v>
      </c>
      <c r="BG2399">
        <v>0</v>
      </c>
      <c r="BH2399">
        <v>1700</v>
      </c>
      <c r="BI2399">
        <v>1</v>
      </c>
      <c r="BJ2399">
        <v>1</v>
      </c>
      <c r="BK2399">
        <v>1</v>
      </c>
      <c r="BL2399">
        <v>0</v>
      </c>
      <c r="BO2399">
        <v>0</v>
      </c>
      <c r="BP2399">
        <v>0</v>
      </c>
      <c r="BW2399" t="str">
        <f>"20:27:18.451"</f>
        <v>20:27:18.451</v>
      </c>
      <c r="BZ2399">
        <v>0</v>
      </c>
      <c r="CA2399">
        <v>2016</v>
      </c>
      <c r="CB2399">
        <v>224</v>
      </c>
      <c r="CD2399">
        <v>1</v>
      </c>
      <c r="CE2399">
        <v>0</v>
      </c>
      <c r="CF2399">
        <v>0</v>
      </c>
      <c r="CG2399">
        <v>1</v>
      </c>
      <c r="CH2399">
        <v>0</v>
      </c>
      <c r="CI2399">
        <v>0</v>
      </c>
      <c r="CJ2399">
        <v>0</v>
      </c>
      <c r="CK2399">
        <v>2</v>
      </c>
      <c r="CL2399">
        <v>0</v>
      </c>
      <c r="CM2399">
        <v>2</v>
      </c>
      <c r="CN2399">
        <v>0</v>
      </c>
      <c r="CO2399">
        <v>7</v>
      </c>
      <c r="CP2399" t="s">
        <v>119</v>
      </c>
      <c r="CQ2399">
        <v>180</v>
      </c>
      <c r="CR2399">
        <v>3</v>
      </c>
      <c r="CW2399">
        <v>875443</v>
      </c>
      <c r="CY2399">
        <v>1</v>
      </c>
      <c r="CZ2399">
        <v>0</v>
      </c>
      <c r="DA2399">
        <v>0</v>
      </c>
      <c r="DB2399">
        <v>0</v>
      </c>
      <c r="DC2399">
        <v>0</v>
      </c>
      <c r="DD2399">
        <v>0</v>
      </c>
      <c r="DE2399">
        <v>0</v>
      </c>
      <c r="DF2399">
        <v>0</v>
      </c>
      <c r="DG2399">
        <v>0</v>
      </c>
      <c r="DH2399">
        <v>0</v>
      </c>
      <c r="DI2399">
        <v>0</v>
      </c>
    </row>
    <row r="2400" spans="1:113" x14ac:dyDescent="0.3">
      <c r="A2400" t="str">
        <f>"02/08/2021 20:27:16.105"</f>
        <v>02/08/2021 20:27:16.105</v>
      </c>
      <c r="C2400" t="str">
        <f t="shared" si="114"/>
        <v>FFDFD7C0</v>
      </c>
      <c r="D2400" t="s">
        <v>124</v>
      </c>
      <c r="E2400">
        <v>13</v>
      </c>
      <c r="F2400">
        <v>1013</v>
      </c>
      <c r="G2400" t="s">
        <v>114</v>
      </c>
      <c r="J2400" t="s">
        <v>125</v>
      </c>
      <c r="K2400">
        <v>0</v>
      </c>
      <c r="L2400">
        <v>3</v>
      </c>
      <c r="M2400">
        <v>0</v>
      </c>
      <c r="N2400">
        <v>2</v>
      </c>
      <c r="O2400">
        <v>1</v>
      </c>
      <c r="P2400">
        <v>0</v>
      </c>
      <c r="Q2400">
        <v>0</v>
      </c>
      <c r="S2400" t="str">
        <f>"20:27:18.445"</f>
        <v>20:27:18.445</v>
      </c>
      <c r="T2400" t="str">
        <f>"20:27:18.045"</f>
        <v>20:27:18.045</v>
      </c>
      <c r="U2400" t="str">
        <f t="shared" si="116"/>
        <v>AB01F4</v>
      </c>
      <c r="V2400">
        <v>0</v>
      </c>
      <c r="W2400">
        <v>0</v>
      </c>
      <c r="X2400">
        <v>2</v>
      </c>
      <c r="Z2400">
        <v>0</v>
      </c>
      <c r="AA2400">
        <v>9</v>
      </c>
      <c r="AB2400">
        <v>3</v>
      </c>
      <c r="AC2400">
        <v>0</v>
      </c>
      <c r="AD2400">
        <v>10</v>
      </c>
      <c r="AE2400">
        <v>0</v>
      </c>
      <c r="AF2400">
        <v>3</v>
      </c>
      <c r="AG2400">
        <v>2</v>
      </c>
      <c r="AH2400">
        <v>0</v>
      </c>
      <c r="AI2400" t="s">
        <v>1449</v>
      </c>
      <c r="AJ2400">
        <v>39.980879000000002</v>
      </c>
      <c r="AK2400" t="s">
        <v>1450</v>
      </c>
      <c r="AL2400">
        <v>-92.713944999999995</v>
      </c>
      <c r="AM2400">
        <v>100</v>
      </c>
      <c r="AN2400">
        <v>1700</v>
      </c>
      <c r="AO2400" t="s">
        <v>118</v>
      </c>
      <c r="AP2400">
        <v>-107</v>
      </c>
      <c r="AQ2400">
        <v>77</v>
      </c>
      <c r="AR2400">
        <v>-64</v>
      </c>
      <c r="AZ2400">
        <v>1200</v>
      </c>
      <c r="BA2400">
        <v>1</v>
      </c>
      <c r="BB2400" t="str">
        <f t="shared" si="115"/>
        <v xml:space="preserve">N8080G  </v>
      </c>
      <c r="BC2400">
        <v>1</v>
      </c>
      <c r="BE2400">
        <v>0</v>
      </c>
      <c r="BF2400">
        <v>0</v>
      </c>
      <c r="BG2400">
        <v>0</v>
      </c>
      <c r="BH2400">
        <v>1700</v>
      </c>
      <c r="BI2400">
        <v>1</v>
      </c>
      <c r="BJ2400">
        <v>1</v>
      </c>
      <c r="BK2400">
        <v>1</v>
      </c>
      <c r="BL2400">
        <v>0</v>
      </c>
      <c r="BO2400">
        <v>0</v>
      </c>
      <c r="BP2400">
        <v>0</v>
      </c>
      <c r="BW2400" t="str">
        <f>"20:27:18.451"</f>
        <v>20:27:18.451</v>
      </c>
      <c r="BZ2400">
        <v>0</v>
      </c>
      <c r="CA2400">
        <v>2016</v>
      </c>
      <c r="CB2400">
        <v>224</v>
      </c>
      <c r="CD2400">
        <v>1</v>
      </c>
      <c r="CE2400">
        <v>0</v>
      </c>
      <c r="CF2400">
        <v>0</v>
      </c>
      <c r="CG2400">
        <v>1</v>
      </c>
      <c r="CH2400">
        <v>0</v>
      </c>
      <c r="CI2400">
        <v>0</v>
      </c>
      <c r="CJ2400">
        <v>0</v>
      </c>
      <c r="CK2400">
        <v>2</v>
      </c>
      <c r="CL2400">
        <v>0</v>
      </c>
      <c r="CM2400">
        <v>2</v>
      </c>
      <c r="CN2400">
        <v>0</v>
      </c>
      <c r="CO2400">
        <v>7</v>
      </c>
      <c r="CP2400" t="s">
        <v>119</v>
      </c>
      <c r="CQ2400">
        <v>180</v>
      </c>
      <c r="CR2400">
        <v>3</v>
      </c>
      <c r="CW2400">
        <v>875443</v>
      </c>
      <c r="CY2400">
        <v>1</v>
      </c>
      <c r="CZ2400">
        <v>0</v>
      </c>
      <c r="DA2400">
        <v>1</v>
      </c>
      <c r="DB2400">
        <v>0</v>
      </c>
      <c r="DC2400">
        <v>0</v>
      </c>
      <c r="DD2400">
        <v>0</v>
      </c>
      <c r="DE2400">
        <v>0</v>
      </c>
      <c r="DF2400">
        <v>0</v>
      </c>
      <c r="DG2400">
        <v>0</v>
      </c>
      <c r="DH2400">
        <v>0</v>
      </c>
      <c r="DI2400">
        <v>0</v>
      </c>
    </row>
    <row r="2401" spans="1:113" x14ac:dyDescent="0.3">
      <c r="A2401" t="str">
        <f>"02/08/2021 20:27:16.105"</f>
        <v>02/08/2021 20:27:16.105</v>
      </c>
      <c r="C2401" t="str">
        <f t="shared" si="114"/>
        <v>FFDFD7C0</v>
      </c>
      <c r="D2401" t="s">
        <v>124</v>
      </c>
      <c r="E2401">
        <v>12</v>
      </c>
      <c r="F2401">
        <v>1012</v>
      </c>
      <c r="G2401" t="s">
        <v>675</v>
      </c>
      <c r="J2401" t="s">
        <v>125</v>
      </c>
      <c r="K2401">
        <v>0</v>
      </c>
      <c r="L2401">
        <v>3</v>
      </c>
      <c r="M2401">
        <v>0</v>
      </c>
      <c r="N2401">
        <v>2</v>
      </c>
      <c r="O2401">
        <v>1</v>
      </c>
      <c r="P2401">
        <v>0</v>
      </c>
      <c r="Q2401">
        <v>0</v>
      </c>
      <c r="S2401" t="str">
        <f>"20:27:18.445"</f>
        <v>20:27:18.445</v>
      </c>
      <c r="T2401" t="str">
        <f>"20:27:18.045"</f>
        <v>20:27:18.045</v>
      </c>
      <c r="U2401" t="str">
        <f t="shared" si="116"/>
        <v>AB01F4</v>
      </c>
      <c r="V2401">
        <v>0</v>
      </c>
      <c r="W2401">
        <v>0</v>
      </c>
      <c r="X2401">
        <v>2</v>
      </c>
      <c r="Z2401">
        <v>0</v>
      </c>
      <c r="AA2401">
        <v>9</v>
      </c>
      <c r="AB2401">
        <v>3</v>
      </c>
      <c r="AC2401">
        <v>0</v>
      </c>
      <c r="AD2401">
        <v>10</v>
      </c>
      <c r="AE2401">
        <v>0</v>
      </c>
      <c r="AF2401">
        <v>3</v>
      </c>
      <c r="AG2401">
        <v>2</v>
      </c>
      <c r="AH2401">
        <v>0</v>
      </c>
      <c r="AI2401" t="s">
        <v>1449</v>
      </c>
      <c r="AJ2401">
        <v>39.980879000000002</v>
      </c>
      <c r="AK2401" t="s">
        <v>1450</v>
      </c>
      <c r="AL2401">
        <v>-92.713944999999995</v>
      </c>
      <c r="AM2401">
        <v>100</v>
      </c>
      <c r="AN2401">
        <v>1700</v>
      </c>
      <c r="AO2401" t="s">
        <v>118</v>
      </c>
      <c r="AP2401">
        <v>-107</v>
      </c>
      <c r="AQ2401">
        <v>77</v>
      </c>
      <c r="AR2401">
        <v>-64</v>
      </c>
      <c r="AZ2401">
        <v>1200</v>
      </c>
      <c r="BA2401">
        <v>1</v>
      </c>
      <c r="BB2401" t="str">
        <f t="shared" si="115"/>
        <v xml:space="preserve">N8080G  </v>
      </c>
      <c r="BC2401">
        <v>1</v>
      </c>
      <c r="BE2401">
        <v>0</v>
      </c>
      <c r="BF2401">
        <v>0</v>
      </c>
      <c r="BG2401">
        <v>0</v>
      </c>
      <c r="BH2401">
        <v>1700</v>
      </c>
      <c r="BI2401">
        <v>1</v>
      </c>
      <c r="BJ2401">
        <v>1</v>
      </c>
      <c r="BK2401">
        <v>1</v>
      </c>
      <c r="BL2401">
        <v>0</v>
      </c>
      <c r="BO2401">
        <v>0</v>
      </c>
      <c r="BP2401">
        <v>0</v>
      </c>
      <c r="BW2401" t="str">
        <f>"20:27:18.451"</f>
        <v>20:27:18.451</v>
      </c>
      <c r="BZ2401">
        <v>0</v>
      </c>
      <c r="CA2401">
        <v>2016</v>
      </c>
      <c r="CB2401">
        <v>224</v>
      </c>
      <c r="CD2401">
        <v>1</v>
      </c>
      <c r="CE2401">
        <v>0</v>
      </c>
      <c r="CF2401">
        <v>0</v>
      </c>
      <c r="CG2401">
        <v>1</v>
      </c>
      <c r="CH2401">
        <v>0</v>
      </c>
      <c r="CI2401">
        <v>0</v>
      </c>
      <c r="CJ2401">
        <v>0</v>
      </c>
      <c r="CK2401">
        <v>2</v>
      </c>
      <c r="CL2401">
        <v>0</v>
      </c>
      <c r="CM2401">
        <v>2</v>
      </c>
      <c r="CN2401">
        <v>0</v>
      </c>
      <c r="CO2401">
        <v>7</v>
      </c>
      <c r="CP2401" t="s">
        <v>119</v>
      </c>
      <c r="CQ2401">
        <v>180</v>
      </c>
      <c r="CR2401">
        <v>3</v>
      </c>
      <c r="CW2401">
        <v>875443</v>
      </c>
      <c r="CY2401">
        <v>1</v>
      </c>
      <c r="CZ2401">
        <v>0</v>
      </c>
      <c r="DA2401">
        <v>1</v>
      </c>
      <c r="DB2401">
        <v>0</v>
      </c>
      <c r="DC2401">
        <v>0</v>
      </c>
      <c r="DD2401">
        <v>0</v>
      </c>
      <c r="DE2401">
        <v>0</v>
      </c>
      <c r="DF2401">
        <v>0</v>
      </c>
      <c r="DG2401">
        <v>0</v>
      </c>
      <c r="DH2401">
        <v>0</v>
      </c>
      <c r="DI2401">
        <v>0</v>
      </c>
    </row>
    <row r="2402" spans="1:113" x14ac:dyDescent="0.3">
      <c r="A2402" t="str">
        <f>"02/08/2021 20:27:16.105"</f>
        <v>02/08/2021 20:27:16.105</v>
      </c>
      <c r="C2402" t="str">
        <f t="shared" si="114"/>
        <v>FFDFD7C0</v>
      </c>
      <c r="D2402" t="s">
        <v>113</v>
      </c>
      <c r="E2402">
        <v>6</v>
      </c>
      <c r="H2402">
        <v>165</v>
      </c>
      <c r="I2402" t="s">
        <v>114</v>
      </c>
      <c r="J2402" t="s">
        <v>115</v>
      </c>
      <c r="K2402">
        <v>0</v>
      </c>
      <c r="L2402">
        <v>3</v>
      </c>
      <c r="M2402">
        <v>0</v>
      </c>
      <c r="N2402">
        <v>2</v>
      </c>
      <c r="O2402">
        <v>1</v>
      </c>
      <c r="P2402">
        <v>0</v>
      </c>
      <c r="Q2402">
        <v>0</v>
      </c>
      <c r="S2402" t="str">
        <f>"20:27:18.445"</f>
        <v>20:27:18.445</v>
      </c>
      <c r="T2402" t="str">
        <f>"20:27:18.045"</f>
        <v>20:27:18.045</v>
      </c>
      <c r="U2402" t="str">
        <f t="shared" si="116"/>
        <v>AB01F4</v>
      </c>
      <c r="V2402">
        <v>0</v>
      </c>
      <c r="W2402">
        <v>0</v>
      </c>
      <c r="X2402">
        <v>2</v>
      </c>
      <c r="Z2402">
        <v>0</v>
      </c>
      <c r="AA2402">
        <v>9</v>
      </c>
      <c r="AB2402">
        <v>3</v>
      </c>
      <c r="AC2402">
        <v>0</v>
      </c>
      <c r="AD2402">
        <v>10</v>
      </c>
      <c r="AE2402">
        <v>0</v>
      </c>
      <c r="AF2402">
        <v>3</v>
      </c>
      <c r="AG2402">
        <v>2</v>
      </c>
      <c r="AH2402">
        <v>0</v>
      </c>
      <c r="AI2402" t="s">
        <v>1449</v>
      </c>
      <c r="AJ2402">
        <v>39.980879000000002</v>
      </c>
      <c r="AK2402" t="s">
        <v>1450</v>
      </c>
      <c r="AL2402">
        <v>-92.713944999999995</v>
      </c>
      <c r="AM2402">
        <v>100</v>
      </c>
      <c r="AN2402">
        <v>1700</v>
      </c>
      <c r="AO2402" t="s">
        <v>118</v>
      </c>
      <c r="AP2402">
        <v>-107</v>
      </c>
      <c r="AQ2402">
        <v>77</v>
      </c>
      <c r="AR2402">
        <v>-64</v>
      </c>
      <c r="AZ2402">
        <v>1200</v>
      </c>
      <c r="BA2402">
        <v>1</v>
      </c>
      <c r="BB2402" t="str">
        <f t="shared" si="115"/>
        <v xml:space="preserve">N8080G  </v>
      </c>
      <c r="BC2402">
        <v>1</v>
      </c>
      <c r="BE2402">
        <v>0</v>
      </c>
      <c r="BF2402">
        <v>0</v>
      </c>
      <c r="BG2402">
        <v>0</v>
      </c>
      <c r="BH2402">
        <v>1700</v>
      </c>
      <c r="BI2402">
        <v>1</v>
      </c>
      <c r="BJ2402">
        <v>1</v>
      </c>
      <c r="BK2402">
        <v>1</v>
      </c>
      <c r="BL2402">
        <v>0</v>
      </c>
      <c r="BO2402">
        <v>0</v>
      </c>
      <c r="BP2402">
        <v>0</v>
      </c>
      <c r="BW2402" t="str">
        <f>"20:27:18.451"</f>
        <v>20:27:18.451</v>
      </c>
      <c r="BZ2402">
        <v>0</v>
      </c>
      <c r="CA2402">
        <v>2016</v>
      </c>
      <c r="CB2402">
        <v>224</v>
      </c>
      <c r="CD2402">
        <v>1</v>
      </c>
      <c r="CE2402">
        <v>0</v>
      </c>
      <c r="CF2402">
        <v>0</v>
      </c>
      <c r="CG2402">
        <v>1</v>
      </c>
      <c r="CH2402">
        <v>0</v>
      </c>
      <c r="CI2402">
        <v>0</v>
      </c>
      <c r="CJ2402">
        <v>0</v>
      </c>
      <c r="CK2402">
        <v>2</v>
      </c>
      <c r="CL2402">
        <v>0</v>
      </c>
      <c r="CM2402">
        <v>2</v>
      </c>
      <c r="CN2402">
        <v>0</v>
      </c>
      <c r="CO2402">
        <v>7</v>
      </c>
      <c r="CP2402" t="s">
        <v>119</v>
      </c>
      <c r="CQ2402">
        <v>180</v>
      </c>
      <c r="CR2402">
        <v>3</v>
      </c>
      <c r="CW2402">
        <v>875443</v>
      </c>
      <c r="CY2402">
        <v>1</v>
      </c>
      <c r="CZ2402">
        <v>0</v>
      </c>
      <c r="DA2402">
        <v>1</v>
      </c>
      <c r="DB2402">
        <v>0</v>
      </c>
      <c r="DC2402">
        <v>0</v>
      </c>
      <c r="DD2402">
        <v>0</v>
      </c>
      <c r="DE2402">
        <v>0</v>
      </c>
      <c r="DF2402">
        <v>0</v>
      </c>
      <c r="DG2402">
        <v>0</v>
      </c>
      <c r="DH2402">
        <v>0</v>
      </c>
      <c r="DI2402">
        <v>0</v>
      </c>
    </row>
    <row r="2403" spans="1:113" x14ac:dyDescent="0.3">
      <c r="A2403" t="str">
        <f>"02/08/2021 20:27:16.904"</f>
        <v>02/08/2021 20:27:16.904</v>
      </c>
      <c r="C2403" t="str">
        <f t="shared" si="114"/>
        <v>FFDFD7C0</v>
      </c>
      <c r="D2403" t="s">
        <v>113</v>
      </c>
      <c r="E2403">
        <v>6</v>
      </c>
      <c r="H2403">
        <v>165</v>
      </c>
      <c r="I2403" t="s">
        <v>114</v>
      </c>
      <c r="J2403" t="s">
        <v>115</v>
      </c>
      <c r="K2403">
        <v>0</v>
      </c>
      <c r="L2403">
        <v>3</v>
      </c>
      <c r="M2403">
        <v>0</v>
      </c>
      <c r="N2403">
        <v>2</v>
      </c>
      <c r="O2403">
        <v>1</v>
      </c>
      <c r="P2403">
        <v>0</v>
      </c>
      <c r="Q2403">
        <v>0</v>
      </c>
      <c r="S2403" t="str">
        <f>"20:27:18.945"</f>
        <v>20:27:18.945</v>
      </c>
      <c r="T2403" t="str">
        <f>"20:27:18.545"</f>
        <v>20:27:18.545</v>
      </c>
      <c r="U2403" t="str">
        <f t="shared" si="116"/>
        <v>AB01F4</v>
      </c>
      <c r="V2403">
        <v>0</v>
      </c>
      <c r="W2403">
        <v>0</v>
      </c>
      <c r="X2403">
        <v>2</v>
      </c>
      <c r="Z2403">
        <v>0</v>
      </c>
      <c r="AA2403">
        <v>9</v>
      </c>
      <c r="AB2403">
        <v>3</v>
      </c>
      <c r="AC2403">
        <v>0</v>
      </c>
      <c r="AD2403">
        <v>10</v>
      </c>
      <c r="AE2403">
        <v>0</v>
      </c>
      <c r="AF2403">
        <v>3</v>
      </c>
      <c r="AG2403">
        <v>2</v>
      </c>
      <c r="AH2403">
        <v>0</v>
      </c>
      <c r="AI2403" t="s">
        <v>1451</v>
      </c>
      <c r="AJ2403">
        <v>39.981071999999998</v>
      </c>
      <c r="AK2403" t="s">
        <v>1452</v>
      </c>
      <c r="AL2403">
        <v>-92.714287999999996</v>
      </c>
      <c r="AM2403">
        <v>100</v>
      </c>
      <c r="AN2403">
        <v>1700</v>
      </c>
      <c r="AO2403" t="s">
        <v>118</v>
      </c>
      <c r="AP2403">
        <v>-107</v>
      </c>
      <c r="AQ2403">
        <v>77</v>
      </c>
      <c r="AR2403">
        <v>0</v>
      </c>
      <c r="AZ2403">
        <v>1200</v>
      </c>
      <c r="BA2403">
        <v>1</v>
      </c>
      <c r="BB2403" t="str">
        <f t="shared" si="115"/>
        <v xml:space="preserve">N8080G  </v>
      </c>
      <c r="BC2403">
        <v>1</v>
      </c>
      <c r="BE2403">
        <v>0</v>
      </c>
      <c r="BF2403">
        <v>0</v>
      </c>
      <c r="BG2403">
        <v>0</v>
      </c>
      <c r="BH2403">
        <v>1700</v>
      </c>
      <c r="BI2403">
        <v>1</v>
      </c>
      <c r="BJ2403">
        <v>1</v>
      </c>
      <c r="BK2403">
        <v>1</v>
      </c>
      <c r="BL2403">
        <v>0</v>
      </c>
      <c r="BO2403">
        <v>0</v>
      </c>
      <c r="BP2403">
        <v>0</v>
      </c>
      <c r="BW2403" t="str">
        <f>"20:27:18.948"</f>
        <v>20:27:18.948</v>
      </c>
      <c r="BZ2403">
        <v>0</v>
      </c>
      <c r="CA2403">
        <v>2016</v>
      </c>
      <c r="CB2403">
        <v>224</v>
      </c>
      <c r="CD2403">
        <v>1</v>
      </c>
      <c r="CE2403">
        <v>0</v>
      </c>
      <c r="CF2403">
        <v>0</v>
      </c>
      <c r="CG2403">
        <v>1</v>
      </c>
      <c r="CH2403">
        <v>0</v>
      </c>
      <c r="CI2403">
        <v>0</v>
      </c>
      <c r="CJ2403">
        <v>0</v>
      </c>
      <c r="CK2403">
        <v>2</v>
      </c>
      <c r="CL2403">
        <v>0</v>
      </c>
      <c r="CM2403">
        <v>2</v>
      </c>
      <c r="CN2403">
        <v>0</v>
      </c>
      <c r="CO2403">
        <v>4</v>
      </c>
      <c r="CP2403" t="s">
        <v>119</v>
      </c>
      <c r="CQ2403">
        <v>179</v>
      </c>
      <c r="CR2403">
        <v>1</v>
      </c>
      <c r="CW2403">
        <v>8968299</v>
      </c>
      <c r="CY2403">
        <v>1</v>
      </c>
      <c r="CZ2403">
        <v>0</v>
      </c>
      <c r="DA2403">
        <v>0</v>
      </c>
      <c r="DB2403">
        <v>0</v>
      </c>
      <c r="DC2403">
        <v>0</v>
      </c>
      <c r="DD2403">
        <v>0</v>
      </c>
      <c r="DE2403">
        <v>0</v>
      </c>
      <c r="DF2403">
        <v>0</v>
      </c>
      <c r="DG2403">
        <v>0</v>
      </c>
      <c r="DH2403">
        <v>0</v>
      </c>
      <c r="DI2403">
        <v>0</v>
      </c>
    </row>
    <row r="2404" spans="1:113" x14ac:dyDescent="0.3">
      <c r="A2404" t="str">
        <f>"02/08/2021 20:27:16.904"</f>
        <v>02/08/2021 20:27:16.904</v>
      </c>
      <c r="C2404" t="str">
        <f t="shared" si="114"/>
        <v>FFDFD7C0</v>
      </c>
      <c r="D2404" t="s">
        <v>124</v>
      </c>
      <c r="E2404">
        <v>11</v>
      </c>
      <c r="F2404">
        <v>1011</v>
      </c>
      <c r="G2404" t="s">
        <v>590</v>
      </c>
      <c r="J2404" t="s">
        <v>125</v>
      </c>
      <c r="K2404">
        <v>0</v>
      </c>
      <c r="L2404">
        <v>3</v>
      </c>
      <c r="M2404">
        <v>0</v>
      </c>
      <c r="N2404">
        <v>2</v>
      </c>
      <c r="O2404">
        <v>1</v>
      </c>
      <c r="P2404">
        <v>0</v>
      </c>
      <c r="Q2404">
        <v>0</v>
      </c>
      <c r="S2404" t="str">
        <f>"20:27:18.945"</f>
        <v>20:27:18.945</v>
      </c>
      <c r="T2404" t="str">
        <f>"20:27:18.545"</f>
        <v>20:27:18.545</v>
      </c>
      <c r="U2404" t="str">
        <f t="shared" si="116"/>
        <v>AB01F4</v>
      </c>
      <c r="V2404">
        <v>0</v>
      </c>
      <c r="W2404">
        <v>0</v>
      </c>
      <c r="X2404">
        <v>2</v>
      </c>
      <c r="Z2404">
        <v>0</v>
      </c>
      <c r="AA2404">
        <v>9</v>
      </c>
      <c r="AB2404">
        <v>3</v>
      </c>
      <c r="AC2404">
        <v>0</v>
      </c>
      <c r="AD2404">
        <v>10</v>
      </c>
      <c r="AE2404">
        <v>0</v>
      </c>
      <c r="AF2404">
        <v>3</v>
      </c>
      <c r="AG2404">
        <v>2</v>
      </c>
      <c r="AH2404">
        <v>0</v>
      </c>
      <c r="AI2404" t="s">
        <v>1451</v>
      </c>
      <c r="AJ2404">
        <v>39.981071999999998</v>
      </c>
      <c r="AK2404" t="s">
        <v>1452</v>
      </c>
      <c r="AL2404">
        <v>-92.714287999999996</v>
      </c>
      <c r="AM2404">
        <v>100</v>
      </c>
      <c r="AN2404">
        <v>1700</v>
      </c>
      <c r="AO2404" t="s">
        <v>118</v>
      </c>
      <c r="AP2404">
        <v>-107</v>
      </c>
      <c r="AQ2404">
        <v>77</v>
      </c>
      <c r="AR2404">
        <v>0</v>
      </c>
      <c r="AZ2404">
        <v>1200</v>
      </c>
      <c r="BA2404">
        <v>1</v>
      </c>
      <c r="BB2404" t="str">
        <f t="shared" si="115"/>
        <v xml:space="preserve">N8080G  </v>
      </c>
      <c r="BC2404">
        <v>1</v>
      </c>
      <c r="BE2404">
        <v>0</v>
      </c>
      <c r="BF2404">
        <v>0</v>
      </c>
      <c r="BG2404">
        <v>0</v>
      </c>
      <c r="BH2404">
        <v>1700</v>
      </c>
      <c r="BI2404">
        <v>1</v>
      </c>
      <c r="BJ2404">
        <v>1</v>
      </c>
      <c r="BK2404">
        <v>1</v>
      </c>
      <c r="BL2404">
        <v>0</v>
      </c>
      <c r="BO2404">
        <v>0</v>
      </c>
      <c r="BP2404">
        <v>0</v>
      </c>
      <c r="BW2404" t="str">
        <f>"20:27:18.948"</f>
        <v>20:27:18.948</v>
      </c>
      <c r="BZ2404">
        <v>0</v>
      </c>
      <c r="CA2404">
        <v>2016</v>
      </c>
      <c r="CB2404">
        <v>224</v>
      </c>
      <c r="CD2404">
        <v>1</v>
      </c>
      <c r="CE2404">
        <v>0</v>
      </c>
      <c r="CF2404">
        <v>0</v>
      </c>
      <c r="CG2404">
        <v>1</v>
      </c>
      <c r="CH2404">
        <v>0</v>
      </c>
      <c r="CI2404">
        <v>0</v>
      </c>
      <c r="CJ2404">
        <v>0</v>
      </c>
      <c r="CK2404">
        <v>2</v>
      </c>
      <c r="CL2404">
        <v>0</v>
      </c>
      <c r="CM2404">
        <v>2</v>
      </c>
      <c r="CN2404">
        <v>0</v>
      </c>
      <c r="CO2404">
        <v>4</v>
      </c>
      <c r="CP2404" t="s">
        <v>119</v>
      </c>
      <c r="CQ2404">
        <v>179</v>
      </c>
      <c r="CR2404">
        <v>1</v>
      </c>
      <c r="CW2404">
        <v>8968299</v>
      </c>
      <c r="CY2404">
        <v>1</v>
      </c>
      <c r="CZ2404">
        <v>0</v>
      </c>
      <c r="DA2404">
        <v>1</v>
      </c>
      <c r="DB2404">
        <v>0</v>
      </c>
      <c r="DC2404">
        <v>0</v>
      </c>
      <c r="DD2404">
        <v>0</v>
      </c>
      <c r="DE2404">
        <v>0</v>
      </c>
      <c r="DF2404">
        <v>0</v>
      </c>
      <c r="DG2404">
        <v>0</v>
      </c>
      <c r="DH2404">
        <v>0</v>
      </c>
      <c r="DI2404">
        <v>0</v>
      </c>
    </row>
    <row r="2405" spans="1:113" x14ac:dyDescent="0.3">
      <c r="A2405" t="str">
        <f>"02/08/2021 20:27:16.904"</f>
        <v>02/08/2021 20:27:16.904</v>
      </c>
      <c r="C2405" t="str">
        <f t="shared" si="114"/>
        <v>FFDFD7C0</v>
      </c>
      <c r="D2405" t="s">
        <v>124</v>
      </c>
      <c r="E2405">
        <v>13</v>
      </c>
      <c r="F2405">
        <v>1013</v>
      </c>
      <c r="G2405" t="s">
        <v>114</v>
      </c>
      <c r="J2405" t="s">
        <v>125</v>
      </c>
      <c r="K2405">
        <v>0</v>
      </c>
      <c r="L2405">
        <v>3</v>
      </c>
      <c r="M2405">
        <v>0</v>
      </c>
      <c r="N2405">
        <v>2</v>
      </c>
      <c r="O2405">
        <v>1</v>
      </c>
      <c r="P2405">
        <v>0</v>
      </c>
      <c r="Q2405">
        <v>0</v>
      </c>
      <c r="S2405" t="str">
        <f>"20:27:18.945"</f>
        <v>20:27:18.945</v>
      </c>
      <c r="T2405" t="str">
        <f>"20:27:18.545"</f>
        <v>20:27:18.545</v>
      </c>
      <c r="U2405" t="str">
        <f t="shared" si="116"/>
        <v>AB01F4</v>
      </c>
      <c r="V2405">
        <v>0</v>
      </c>
      <c r="W2405">
        <v>0</v>
      </c>
      <c r="X2405">
        <v>2</v>
      </c>
      <c r="Z2405">
        <v>0</v>
      </c>
      <c r="AA2405">
        <v>9</v>
      </c>
      <c r="AB2405">
        <v>3</v>
      </c>
      <c r="AC2405">
        <v>0</v>
      </c>
      <c r="AD2405">
        <v>10</v>
      </c>
      <c r="AE2405">
        <v>0</v>
      </c>
      <c r="AF2405">
        <v>3</v>
      </c>
      <c r="AG2405">
        <v>2</v>
      </c>
      <c r="AH2405">
        <v>0</v>
      </c>
      <c r="AI2405" t="s">
        <v>1451</v>
      </c>
      <c r="AJ2405">
        <v>39.981071999999998</v>
      </c>
      <c r="AK2405" t="s">
        <v>1452</v>
      </c>
      <c r="AL2405">
        <v>-92.714287999999996</v>
      </c>
      <c r="AM2405">
        <v>100</v>
      </c>
      <c r="AN2405">
        <v>1700</v>
      </c>
      <c r="AO2405" t="s">
        <v>118</v>
      </c>
      <c r="AP2405">
        <v>-107</v>
      </c>
      <c r="AQ2405">
        <v>77</v>
      </c>
      <c r="AR2405">
        <v>0</v>
      </c>
      <c r="AZ2405">
        <v>1200</v>
      </c>
      <c r="BA2405">
        <v>1</v>
      </c>
      <c r="BB2405" t="str">
        <f t="shared" si="115"/>
        <v xml:space="preserve">N8080G  </v>
      </c>
      <c r="BC2405">
        <v>1</v>
      </c>
      <c r="BE2405">
        <v>0</v>
      </c>
      <c r="BF2405">
        <v>0</v>
      </c>
      <c r="BG2405">
        <v>0</v>
      </c>
      <c r="BH2405">
        <v>1700</v>
      </c>
      <c r="BI2405">
        <v>1</v>
      </c>
      <c r="BJ2405">
        <v>1</v>
      </c>
      <c r="BK2405">
        <v>1</v>
      </c>
      <c r="BL2405">
        <v>0</v>
      </c>
      <c r="BO2405">
        <v>0</v>
      </c>
      <c r="BP2405">
        <v>0</v>
      </c>
      <c r="BW2405" t="str">
        <f>"20:27:18.948"</f>
        <v>20:27:18.948</v>
      </c>
      <c r="BZ2405">
        <v>0</v>
      </c>
      <c r="CA2405">
        <v>2016</v>
      </c>
      <c r="CB2405">
        <v>224</v>
      </c>
      <c r="CD2405">
        <v>1</v>
      </c>
      <c r="CE2405">
        <v>0</v>
      </c>
      <c r="CF2405">
        <v>0</v>
      </c>
      <c r="CG2405">
        <v>1</v>
      </c>
      <c r="CH2405">
        <v>0</v>
      </c>
      <c r="CI2405">
        <v>0</v>
      </c>
      <c r="CJ2405">
        <v>0</v>
      </c>
      <c r="CK2405">
        <v>2</v>
      </c>
      <c r="CL2405">
        <v>0</v>
      </c>
      <c r="CM2405">
        <v>2</v>
      </c>
      <c r="CN2405">
        <v>0</v>
      </c>
      <c r="CO2405">
        <v>4</v>
      </c>
      <c r="CP2405" t="s">
        <v>119</v>
      </c>
      <c r="CQ2405">
        <v>179</v>
      </c>
      <c r="CR2405">
        <v>1</v>
      </c>
      <c r="CW2405">
        <v>8968299</v>
      </c>
      <c r="CY2405">
        <v>1</v>
      </c>
      <c r="CZ2405">
        <v>0</v>
      </c>
      <c r="DA2405">
        <v>1</v>
      </c>
      <c r="DB2405">
        <v>0</v>
      </c>
      <c r="DC2405">
        <v>0</v>
      </c>
      <c r="DD2405">
        <v>0</v>
      </c>
      <c r="DE2405">
        <v>0</v>
      </c>
      <c r="DF2405">
        <v>0</v>
      </c>
      <c r="DG2405">
        <v>0</v>
      </c>
      <c r="DH2405">
        <v>0</v>
      </c>
      <c r="DI2405">
        <v>0</v>
      </c>
    </row>
    <row r="2406" spans="1:113" x14ac:dyDescent="0.3">
      <c r="A2406" t="str">
        <f>"02/08/2021 20:27:16.904"</f>
        <v>02/08/2021 20:27:16.904</v>
      </c>
      <c r="C2406" t="str">
        <f t="shared" si="114"/>
        <v>FFDFD7C0</v>
      </c>
      <c r="D2406" t="s">
        <v>124</v>
      </c>
      <c r="E2406">
        <v>12</v>
      </c>
      <c r="F2406">
        <v>1012</v>
      </c>
      <c r="G2406" t="s">
        <v>675</v>
      </c>
      <c r="J2406" t="s">
        <v>125</v>
      </c>
      <c r="K2406">
        <v>0</v>
      </c>
      <c r="L2406">
        <v>3</v>
      </c>
      <c r="M2406">
        <v>0</v>
      </c>
      <c r="N2406">
        <v>2</v>
      </c>
      <c r="O2406">
        <v>1</v>
      </c>
      <c r="P2406">
        <v>0</v>
      </c>
      <c r="Q2406">
        <v>0</v>
      </c>
      <c r="S2406" t="str">
        <f>"20:27:18.945"</f>
        <v>20:27:18.945</v>
      </c>
      <c r="T2406" t="str">
        <f>"20:27:18.545"</f>
        <v>20:27:18.545</v>
      </c>
      <c r="U2406" t="str">
        <f t="shared" si="116"/>
        <v>AB01F4</v>
      </c>
      <c r="V2406">
        <v>0</v>
      </c>
      <c r="W2406">
        <v>0</v>
      </c>
      <c r="X2406">
        <v>2</v>
      </c>
      <c r="Z2406">
        <v>0</v>
      </c>
      <c r="AA2406">
        <v>9</v>
      </c>
      <c r="AB2406">
        <v>3</v>
      </c>
      <c r="AC2406">
        <v>0</v>
      </c>
      <c r="AD2406">
        <v>10</v>
      </c>
      <c r="AE2406">
        <v>0</v>
      </c>
      <c r="AF2406">
        <v>3</v>
      </c>
      <c r="AG2406">
        <v>2</v>
      </c>
      <c r="AH2406">
        <v>0</v>
      </c>
      <c r="AI2406" t="s">
        <v>1451</v>
      </c>
      <c r="AJ2406">
        <v>39.981071999999998</v>
      </c>
      <c r="AK2406" t="s">
        <v>1452</v>
      </c>
      <c r="AL2406">
        <v>-92.714287999999996</v>
      </c>
      <c r="AM2406">
        <v>100</v>
      </c>
      <c r="AN2406">
        <v>1700</v>
      </c>
      <c r="AO2406" t="s">
        <v>118</v>
      </c>
      <c r="AP2406">
        <v>-107</v>
      </c>
      <c r="AQ2406">
        <v>77</v>
      </c>
      <c r="AR2406">
        <v>0</v>
      </c>
      <c r="AZ2406">
        <v>1200</v>
      </c>
      <c r="BA2406">
        <v>1</v>
      </c>
      <c r="BB2406" t="str">
        <f t="shared" si="115"/>
        <v xml:space="preserve">N8080G  </v>
      </c>
      <c r="BC2406">
        <v>1</v>
      </c>
      <c r="BE2406">
        <v>0</v>
      </c>
      <c r="BF2406">
        <v>0</v>
      </c>
      <c r="BG2406">
        <v>0</v>
      </c>
      <c r="BH2406">
        <v>1700</v>
      </c>
      <c r="BI2406">
        <v>1</v>
      </c>
      <c r="BJ2406">
        <v>1</v>
      </c>
      <c r="BK2406">
        <v>1</v>
      </c>
      <c r="BL2406">
        <v>0</v>
      </c>
      <c r="BO2406">
        <v>0</v>
      </c>
      <c r="BP2406">
        <v>0</v>
      </c>
      <c r="BW2406" t="str">
        <f>"20:27:18.948"</f>
        <v>20:27:18.948</v>
      </c>
      <c r="BZ2406">
        <v>0</v>
      </c>
      <c r="CA2406">
        <v>2016</v>
      </c>
      <c r="CB2406">
        <v>224</v>
      </c>
      <c r="CD2406">
        <v>1</v>
      </c>
      <c r="CE2406">
        <v>0</v>
      </c>
      <c r="CF2406">
        <v>0</v>
      </c>
      <c r="CG2406">
        <v>1</v>
      </c>
      <c r="CH2406">
        <v>0</v>
      </c>
      <c r="CI2406">
        <v>0</v>
      </c>
      <c r="CJ2406">
        <v>0</v>
      </c>
      <c r="CK2406">
        <v>2</v>
      </c>
      <c r="CL2406">
        <v>0</v>
      </c>
      <c r="CM2406">
        <v>2</v>
      </c>
      <c r="CN2406">
        <v>0</v>
      </c>
      <c r="CO2406">
        <v>4</v>
      </c>
      <c r="CP2406" t="s">
        <v>119</v>
      </c>
      <c r="CQ2406">
        <v>179</v>
      </c>
      <c r="CR2406">
        <v>1</v>
      </c>
      <c r="CW2406">
        <v>8968299</v>
      </c>
      <c r="CY2406">
        <v>1</v>
      </c>
      <c r="CZ2406">
        <v>0</v>
      </c>
      <c r="DA2406">
        <v>1</v>
      </c>
      <c r="DB2406">
        <v>0</v>
      </c>
      <c r="DC2406">
        <v>0</v>
      </c>
      <c r="DD2406">
        <v>0</v>
      </c>
      <c r="DE2406">
        <v>0</v>
      </c>
      <c r="DF2406">
        <v>0</v>
      </c>
      <c r="DG2406">
        <v>0</v>
      </c>
      <c r="DH2406">
        <v>0</v>
      </c>
      <c r="DI2406">
        <v>0</v>
      </c>
    </row>
    <row r="2407" spans="1:113" x14ac:dyDescent="0.3">
      <c r="A2407" t="str">
        <f>"02/08/2021 20:27:17.764"</f>
        <v>02/08/2021 20:27:17.764</v>
      </c>
      <c r="C2407" t="str">
        <f t="shared" si="114"/>
        <v>FFDFD7C0</v>
      </c>
      <c r="D2407" t="s">
        <v>113</v>
      </c>
      <c r="E2407">
        <v>6</v>
      </c>
      <c r="H2407">
        <v>165</v>
      </c>
      <c r="I2407" t="s">
        <v>114</v>
      </c>
      <c r="J2407" t="s">
        <v>115</v>
      </c>
      <c r="K2407">
        <v>0</v>
      </c>
      <c r="L2407">
        <v>3</v>
      </c>
      <c r="M2407">
        <v>0</v>
      </c>
      <c r="N2407">
        <v>2</v>
      </c>
      <c r="O2407">
        <v>1</v>
      </c>
      <c r="P2407">
        <v>0</v>
      </c>
      <c r="Q2407">
        <v>0</v>
      </c>
      <c r="S2407" t="str">
        <f>"20:27:20.109"</f>
        <v>20:27:20.109</v>
      </c>
      <c r="T2407" t="str">
        <f>"20:27:19.609"</f>
        <v>20:27:19.609</v>
      </c>
      <c r="U2407" t="str">
        <f t="shared" si="116"/>
        <v>AB01F4</v>
      </c>
      <c r="V2407">
        <v>0</v>
      </c>
      <c r="W2407">
        <v>0</v>
      </c>
      <c r="X2407">
        <v>2</v>
      </c>
      <c r="Z2407">
        <v>0</v>
      </c>
      <c r="AA2407">
        <v>9</v>
      </c>
      <c r="AB2407">
        <v>3</v>
      </c>
      <c r="AC2407">
        <v>0</v>
      </c>
      <c r="AD2407">
        <v>10</v>
      </c>
      <c r="AE2407">
        <v>0</v>
      </c>
      <c r="AF2407">
        <v>3</v>
      </c>
      <c r="AG2407">
        <v>2</v>
      </c>
      <c r="AH2407">
        <v>0</v>
      </c>
      <c r="AI2407" t="s">
        <v>1453</v>
      </c>
      <c r="AJ2407">
        <v>39.981479999999998</v>
      </c>
      <c r="AK2407" t="s">
        <v>1454</v>
      </c>
      <c r="AL2407">
        <v>-92.714995999999999</v>
      </c>
      <c r="AM2407">
        <v>100</v>
      </c>
      <c r="AN2407">
        <v>1700</v>
      </c>
      <c r="AO2407" t="s">
        <v>118</v>
      </c>
      <c r="AP2407">
        <v>-106</v>
      </c>
      <c r="AQ2407">
        <v>77</v>
      </c>
      <c r="AR2407">
        <v>64</v>
      </c>
      <c r="AZ2407">
        <v>1200</v>
      </c>
      <c r="BA2407">
        <v>1</v>
      </c>
      <c r="BB2407" t="str">
        <f t="shared" si="115"/>
        <v xml:space="preserve">N8080G  </v>
      </c>
      <c r="BC2407">
        <v>1</v>
      </c>
      <c r="BE2407">
        <v>0</v>
      </c>
      <c r="BF2407">
        <v>0</v>
      </c>
      <c r="BG2407">
        <v>0</v>
      </c>
      <c r="BH2407">
        <v>1700</v>
      </c>
      <c r="BI2407">
        <v>1</v>
      </c>
      <c r="BJ2407">
        <v>1</v>
      </c>
      <c r="BK2407">
        <v>1</v>
      </c>
      <c r="BL2407">
        <v>0</v>
      </c>
      <c r="BO2407">
        <v>0</v>
      </c>
      <c r="BP2407">
        <v>0</v>
      </c>
      <c r="BW2407" t="str">
        <f>"20:27:20.116"</f>
        <v>20:27:20.116</v>
      </c>
      <c r="BZ2407">
        <v>0</v>
      </c>
      <c r="CA2407">
        <v>2016</v>
      </c>
      <c r="CB2407">
        <v>224</v>
      </c>
      <c r="CD2407">
        <v>1</v>
      </c>
      <c r="CE2407">
        <v>0</v>
      </c>
      <c r="CF2407">
        <v>0</v>
      </c>
      <c r="CG2407">
        <v>1</v>
      </c>
      <c r="CH2407">
        <v>0</v>
      </c>
      <c r="CI2407">
        <v>0</v>
      </c>
      <c r="CJ2407">
        <v>0</v>
      </c>
      <c r="CK2407">
        <v>2</v>
      </c>
      <c r="CL2407">
        <v>0</v>
      </c>
      <c r="CM2407">
        <v>2</v>
      </c>
      <c r="CN2407">
        <v>0</v>
      </c>
      <c r="CO2407">
        <v>4</v>
      </c>
      <c r="CP2407" t="s">
        <v>119</v>
      </c>
      <c r="CQ2407">
        <v>179</v>
      </c>
      <c r="CR2407">
        <v>1</v>
      </c>
      <c r="CW2407">
        <v>8969361</v>
      </c>
      <c r="CY2407">
        <v>1</v>
      </c>
      <c r="CZ2407">
        <v>0</v>
      </c>
      <c r="DA2407">
        <v>0</v>
      </c>
      <c r="DB2407">
        <v>0</v>
      </c>
      <c r="DC2407">
        <v>0</v>
      </c>
      <c r="DD2407">
        <v>0</v>
      </c>
      <c r="DE2407">
        <v>0</v>
      </c>
      <c r="DF2407">
        <v>0</v>
      </c>
      <c r="DG2407">
        <v>0</v>
      </c>
      <c r="DH2407">
        <v>0</v>
      </c>
      <c r="DI2407">
        <v>0</v>
      </c>
    </row>
    <row r="2408" spans="1:113" x14ac:dyDescent="0.3">
      <c r="A2408" t="str">
        <f>"02/08/2021 20:27:17.764"</f>
        <v>02/08/2021 20:27:17.764</v>
      </c>
      <c r="C2408" t="str">
        <f t="shared" si="114"/>
        <v>FFDFD7C0</v>
      </c>
      <c r="D2408" t="s">
        <v>124</v>
      </c>
      <c r="E2408">
        <v>11</v>
      </c>
      <c r="F2408">
        <v>1011</v>
      </c>
      <c r="G2408" t="s">
        <v>590</v>
      </c>
      <c r="J2408" t="s">
        <v>125</v>
      </c>
      <c r="K2408">
        <v>0</v>
      </c>
      <c r="L2408">
        <v>3</v>
      </c>
      <c r="M2408">
        <v>0</v>
      </c>
      <c r="N2408">
        <v>2</v>
      </c>
      <c r="O2408">
        <v>1</v>
      </c>
      <c r="P2408">
        <v>0</v>
      </c>
      <c r="Q2408">
        <v>0</v>
      </c>
      <c r="S2408" t="str">
        <f>"20:27:20.109"</f>
        <v>20:27:20.109</v>
      </c>
      <c r="T2408" t="str">
        <f>"20:27:19.609"</f>
        <v>20:27:19.609</v>
      </c>
      <c r="U2408" t="str">
        <f t="shared" si="116"/>
        <v>AB01F4</v>
      </c>
      <c r="V2408">
        <v>0</v>
      </c>
      <c r="W2408">
        <v>0</v>
      </c>
      <c r="X2408">
        <v>2</v>
      </c>
      <c r="Z2408">
        <v>0</v>
      </c>
      <c r="AA2408">
        <v>9</v>
      </c>
      <c r="AB2408">
        <v>3</v>
      </c>
      <c r="AC2408">
        <v>0</v>
      </c>
      <c r="AD2408">
        <v>10</v>
      </c>
      <c r="AE2408">
        <v>0</v>
      </c>
      <c r="AF2408">
        <v>3</v>
      </c>
      <c r="AG2408">
        <v>2</v>
      </c>
      <c r="AH2408">
        <v>0</v>
      </c>
      <c r="AI2408" t="s">
        <v>1453</v>
      </c>
      <c r="AJ2408">
        <v>39.981479999999998</v>
      </c>
      <c r="AK2408" t="s">
        <v>1454</v>
      </c>
      <c r="AL2408">
        <v>-92.714995999999999</v>
      </c>
      <c r="AM2408">
        <v>100</v>
      </c>
      <c r="AN2408">
        <v>1700</v>
      </c>
      <c r="AO2408" t="s">
        <v>118</v>
      </c>
      <c r="AP2408">
        <v>-106</v>
      </c>
      <c r="AQ2408">
        <v>77</v>
      </c>
      <c r="AR2408">
        <v>64</v>
      </c>
      <c r="AZ2408">
        <v>1200</v>
      </c>
      <c r="BA2408">
        <v>1</v>
      </c>
      <c r="BB2408" t="str">
        <f t="shared" si="115"/>
        <v xml:space="preserve">N8080G  </v>
      </c>
      <c r="BC2408">
        <v>1</v>
      </c>
      <c r="BE2408">
        <v>0</v>
      </c>
      <c r="BF2408">
        <v>0</v>
      </c>
      <c r="BG2408">
        <v>0</v>
      </c>
      <c r="BH2408">
        <v>1700</v>
      </c>
      <c r="BI2408">
        <v>1</v>
      </c>
      <c r="BJ2408">
        <v>1</v>
      </c>
      <c r="BK2408">
        <v>1</v>
      </c>
      <c r="BL2408">
        <v>0</v>
      </c>
      <c r="BO2408">
        <v>0</v>
      </c>
      <c r="BP2408">
        <v>0</v>
      </c>
      <c r="BW2408" t="str">
        <f>"20:27:20.116"</f>
        <v>20:27:20.116</v>
      </c>
      <c r="BZ2408">
        <v>0</v>
      </c>
      <c r="CA2408">
        <v>2016</v>
      </c>
      <c r="CB2408">
        <v>224</v>
      </c>
      <c r="CD2408">
        <v>1</v>
      </c>
      <c r="CE2408">
        <v>0</v>
      </c>
      <c r="CF2408">
        <v>0</v>
      </c>
      <c r="CG2408">
        <v>1</v>
      </c>
      <c r="CH2408">
        <v>0</v>
      </c>
      <c r="CI2408">
        <v>0</v>
      </c>
      <c r="CJ2408">
        <v>0</v>
      </c>
      <c r="CK2408">
        <v>2</v>
      </c>
      <c r="CL2408">
        <v>0</v>
      </c>
      <c r="CM2408">
        <v>2</v>
      </c>
      <c r="CN2408">
        <v>0</v>
      </c>
      <c r="CO2408">
        <v>4</v>
      </c>
      <c r="CP2408" t="s">
        <v>119</v>
      </c>
      <c r="CQ2408">
        <v>179</v>
      </c>
      <c r="CR2408">
        <v>1</v>
      </c>
      <c r="CW2408">
        <v>8969361</v>
      </c>
      <c r="CY2408">
        <v>1</v>
      </c>
      <c r="CZ2408">
        <v>0</v>
      </c>
      <c r="DA2408">
        <v>1</v>
      </c>
      <c r="DB2408">
        <v>0</v>
      </c>
      <c r="DC2408">
        <v>0</v>
      </c>
      <c r="DD2408">
        <v>0</v>
      </c>
      <c r="DE2408">
        <v>0</v>
      </c>
      <c r="DF2408">
        <v>0</v>
      </c>
      <c r="DG2408">
        <v>0</v>
      </c>
      <c r="DH2408">
        <v>0</v>
      </c>
      <c r="DI2408">
        <v>0</v>
      </c>
    </row>
    <row r="2409" spans="1:113" x14ac:dyDescent="0.3">
      <c r="A2409" t="str">
        <f>"02/08/2021 20:27:17.764"</f>
        <v>02/08/2021 20:27:17.764</v>
      </c>
      <c r="C2409" t="str">
        <f t="shared" si="114"/>
        <v>FFDFD7C0</v>
      </c>
      <c r="D2409" t="s">
        <v>124</v>
      </c>
      <c r="E2409">
        <v>13</v>
      </c>
      <c r="F2409">
        <v>1013</v>
      </c>
      <c r="G2409" t="s">
        <v>114</v>
      </c>
      <c r="J2409" t="s">
        <v>125</v>
      </c>
      <c r="K2409">
        <v>0</v>
      </c>
      <c r="L2409">
        <v>3</v>
      </c>
      <c r="M2409">
        <v>0</v>
      </c>
      <c r="N2409">
        <v>2</v>
      </c>
      <c r="O2409">
        <v>1</v>
      </c>
      <c r="P2409">
        <v>0</v>
      </c>
      <c r="Q2409">
        <v>0</v>
      </c>
      <c r="S2409" t="str">
        <f>"20:27:20.109"</f>
        <v>20:27:20.109</v>
      </c>
      <c r="T2409" t="str">
        <f>"20:27:19.609"</f>
        <v>20:27:19.609</v>
      </c>
      <c r="U2409" t="str">
        <f t="shared" si="116"/>
        <v>AB01F4</v>
      </c>
      <c r="V2409">
        <v>0</v>
      </c>
      <c r="W2409">
        <v>0</v>
      </c>
      <c r="X2409">
        <v>2</v>
      </c>
      <c r="Z2409">
        <v>0</v>
      </c>
      <c r="AA2409">
        <v>9</v>
      </c>
      <c r="AB2409">
        <v>3</v>
      </c>
      <c r="AC2409">
        <v>0</v>
      </c>
      <c r="AD2409">
        <v>10</v>
      </c>
      <c r="AE2409">
        <v>0</v>
      </c>
      <c r="AF2409">
        <v>3</v>
      </c>
      <c r="AG2409">
        <v>2</v>
      </c>
      <c r="AH2409">
        <v>0</v>
      </c>
      <c r="AI2409" t="s">
        <v>1453</v>
      </c>
      <c r="AJ2409">
        <v>39.981479999999998</v>
      </c>
      <c r="AK2409" t="s">
        <v>1454</v>
      </c>
      <c r="AL2409">
        <v>-92.714995999999999</v>
      </c>
      <c r="AM2409">
        <v>100</v>
      </c>
      <c r="AN2409">
        <v>1700</v>
      </c>
      <c r="AO2409" t="s">
        <v>118</v>
      </c>
      <c r="AP2409">
        <v>-106</v>
      </c>
      <c r="AQ2409">
        <v>77</v>
      </c>
      <c r="AR2409">
        <v>64</v>
      </c>
      <c r="AZ2409">
        <v>1200</v>
      </c>
      <c r="BA2409">
        <v>1</v>
      </c>
      <c r="BB2409" t="str">
        <f t="shared" si="115"/>
        <v xml:space="preserve">N8080G  </v>
      </c>
      <c r="BC2409">
        <v>1</v>
      </c>
      <c r="BE2409">
        <v>0</v>
      </c>
      <c r="BF2409">
        <v>0</v>
      </c>
      <c r="BG2409">
        <v>0</v>
      </c>
      <c r="BH2409">
        <v>1700</v>
      </c>
      <c r="BI2409">
        <v>1</v>
      </c>
      <c r="BJ2409">
        <v>1</v>
      </c>
      <c r="BK2409">
        <v>1</v>
      </c>
      <c r="BL2409">
        <v>0</v>
      </c>
      <c r="BO2409">
        <v>0</v>
      </c>
      <c r="BP2409">
        <v>0</v>
      </c>
      <c r="BW2409" t="str">
        <f>"20:27:20.116"</f>
        <v>20:27:20.116</v>
      </c>
      <c r="BZ2409">
        <v>0</v>
      </c>
      <c r="CA2409">
        <v>2016</v>
      </c>
      <c r="CB2409">
        <v>224</v>
      </c>
      <c r="CD2409">
        <v>1</v>
      </c>
      <c r="CE2409">
        <v>0</v>
      </c>
      <c r="CF2409">
        <v>0</v>
      </c>
      <c r="CG2409">
        <v>1</v>
      </c>
      <c r="CH2409">
        <v>0</v>
      </c>
      <c r="CI2409">
        <v>0</v>
      </c>
      <c r="CJ2409">
        <v>0</v>
      </c>
      <c r="CK2409">
        <v>2</v>
      </c>
      <c r="CL2409">
        <v>0</v>
      </c>
      <c r="CM2409">
        <v>2</v>
      </c>
      <c r="CN2409">
        <v>0</v>
      </c>
      <c r="CO2409">
        <v>4</v>
      </c>
      <c r="CP2409" t="s">
        <v>119</v>
      </c>
      <c r="CQ2409">
        <v>179</v>
      </c>
      <c r="CR2409">
        <v>1</v>
      </c>
      <c r="CW2409">
        <v>8969361</v>
      </c>
      <c r="CY2409">
        <v>1</v>
      </c>
      <c r="CZ2409">
        <v>0</v>
      </c>
      <c r="DA2409">
        <v>1</v>
      </c>
      <c r="DB2409">
        <v>0</v>
      </c>
      <c r="DC2409">
        <v>0</v>
      </c>
      <c r="DD2409">
        <v>0</v>
      </c>
      <c r="DE2409">
        <v>0</v>
      </c>
      <c r="DF2409">
        <v>0</v>
      </c>
      <c r="DG2409">
        <v>0</v>
      </c>
      <c r="DH2409">
        <v>0</v>
      </c>
      <c r="DI2409">
        <v>0</v>
      </c>
    </row>
    <row r="2410" spans="1:113" x14ac:dyDescent="0.3">
      <c r="A2410" t="str">
        <f>"02/08/2021 20:27:17.764"</f>
        <v>02/08/2021 20:27:17.764</v>
      </c>
      <c r="C2410" t="str">
        <f t="shared" si="114"/>
        <v>FFDFD7C0</v>
      </c>
      <c r="D2410" t="s">
        <v>124</v>
      </c>
      <c r="E2410">
        <v>12</v>
      </c>
      <c r="F2410">
        <v>1012</v>
      </c>
      <c r="G2410" t="s">
        <v>675</v>
      </c>
      <c r="J2410" t="s">
        <v>125</v>
      </c>
      <c r="K2410">
        <v>0</v>
      </c>
      <c r="L2410">
        <v>3</v>
      </c>
      <c r="M2410">
        <v>0</v>
      </c>
      <c r="N2410">
        <v>2</v>
      </c>
      <c r="O2410">
        <v>1</v>
      </c>
      <c r="P2410">
        <v>0</v>
      </c>
      <c r="Q2410">
        <v>0</v>
      </c>
      <c r="S2410" t="str">
        <f>"20:27:20.109"</f>
        <v>20:27:20.109</v>
      </c>
      <c r="T2410" t="str">
        <f>"20:27:19.609"</f>
        <v>20:27:19.609</v>
      </c>
      <c r="U2410" t="str">
        <f t="shared" si="116"/>
        <v>AB01F4</v>
      </c>
      <c r="V2410">
        <v>0</v>
      </c>
      <c r="W2410">
        <v>0</v>
      </c>
      <c r="X2410">
        <v>2</v>
      </c>
      <c r="Z2410">
        <v>0</v>
      </c>
      <c r="AA2410">
        <v>9</v>
      </c>
      <c r="AB2410">
        <v>3</v>
      </c>
      <c r="AC2410">
        <v>0</v>
      </c>
      <c r="AD2410">
        <v>10</v>
      </c>
      <c r="AE2410">
        <v>0</v>
      </c>
      <c r="AF2410">
        <v>3</v>
      </c>
      <c r="AG2410">
        <v>2</v>
      </c>
      <c r="AH2410">
        <v>0</v>
      </c>
      <c r="AI2410" t="s">
        <v>1453</v>
      </c>
      <c r="AJ2410">
        <v>39.981479999999998</v>
      </c>
      <c r="AK2410" t="s">
        <v>1454</v>
      </c>
      <c r="AL2410">
        <v>-92.714995999999999</v>
      </c>
      <c r="AM2410">
        <v>100</v>
      </c>
      <c r="AN2410">
        <v>1700</v>
      </c>
      <c r="AO2410" t="s">
        <v>118</v>
      </c>
      <c r="AP2410">
        <v>-106</v>
      </c>
      <c r="AQ2410">
        <v>77</v>
      </c>
      <c r="AR2410">
        <v>64</v>
      </c>
      <c r="AZ2410">
        <v>1200</v>
      </c>
      <c r="BA2410">
        <v>1</v>
      </c>
      <c r="BB2410" t="str">
        <f t="shared" si="115"/>
        <v xml:space="preserve">N8080G  </v>
      </c>
      <c r="BC2410">
        <v>1</v>
      </c>
      <c r="BE2410">
        <v>0</v>
      </c>
      <c r="BF2410">
        <v>0</v>
      </c>
      <c r="BG2410">
        <v>0</v>
      </c>
      <c r="BH2410">
        <v>1700</v>
      </c>
      <c r="BI2410">
        <v>1</v>
      </c>
      <c r="BJ2410">
        <v>1</v>
      </c>
      <c r="BK2410">
        <v>1</v>
      </c>
      <c r="BL2410">
        <v>0</v>
      </c>
      <c r="BO2410">
        <v>0</v>
      </c>
      <c r="BP2410">
        <v>0</v>
      </c>
      <c r="BW2410" t="str">
        <f>"20:27:20.116"</f>
        <v>20:27:20.116</v>
      </c>
      <c r="BZ2410">
        <v>0</v>
      </c>
      <c r="CA2410">
        <v>2016</v>
      </c>
      <c r="CB2410">
        <v>224</v>
      </c>
      <c r="CD2410">
        <v>1</v>
      </c>
      <c r="CE2410">
        <v>0</v>
      </c>
      <c r="CF2410">
        <v>0</v>
      </c>
      <c r="CG2410">
        <v>1</v>
      </c>
      <c r="CH2410">
        <v>0</v>
      </c>
      <c r="CI2410">
        <v>0</v>
      </c>
      <c r="CJ2410">
        <v>0</v>
      </c>
      <c r="CK2410">
        <v>2</v>
      </c>
      <c r="CL2410">
        <v>0</v>
      </c>
      <c r="CM2410">
        <v>2</v>
      </c>
      <c r="CN2410">
        <v>0</v>
      </c>
      <c r="CO2410">
        <v>4</v>
      </c>
      <c r="CP2410" t="s">
        <v>119</v>
      </c>
      <c r="CQ2410">
        <v>179</v>
      </c>
      <c r="CR2410">
        <v>1</v>
      </c>
      <c r="CW2410">
        <v>8969361</v>
      </c>
      <c r="CY2410">
        <v>1</v>
      </c>
      <c r="CZ2410">
        <v>0</v>
      </c>
      <c r="DA2410">
        <v>1</v>
      </c>
      <c r="DB2410">
        <v>0</v>
      </c>
      <c r="DC2410">
        <v>0</v>
      </c>
      <c r="DD2410">
        <v>0</v>
      </c>
      <c r="DE2410">
        <v>0</v>
      </c>
      <c r="DF2410">
        <v>0</v>
      </c>
      <c r="DG2410">
        <v>0</v>
      </c>
      <c r="DH2410">
        <v>0</v>
      </c>
      <c r="DI2410">
        <v>0</v>
      </c>
    </row>
    <row r="2411" spans="1:113" x14ac:dyDescent="0.3">
      <c r="A2411" t="str">
        <f>"02/08/2021 20:27:20.558"</f>
        <v>02/08/2021 20:27:20.558</v>
      </c>
      <c r="C2411" t="str">
        <f t="shared" si="114"/>
        <v>FFDFD7C0</v>
      </c>
      <c r="D2411" t="s">
        <v>124</v>
      </c>
      <c r="E2411">
        <v>12</v>
      </c>
      <c r="F2411">
        <v>1012</v>
      </c>
      <c r="G2411" t="s">
        <v>675</v>
      </c>
      <c r="J2411" t="s">
        <v>125</v>
      </c>
      <c r="K2411">
        <v>0</v>
      </c>
      <c r="L2411">
        <v>3</v>
      </c>
      <c r="M2411">
        <v>0</v>
      </c>
      <c r="N2411">
        <v>2</v>
      </c>
      <c r="O2411">
        <v>1</v>
      </c>
      <c r="P2411">
        <v>0</v>
      </c>
      <c r="Q2411">
        <v>0</v>
      </c>
      <c r="S2411" t="str">
        <f>"20:27:22.914"</f>
        <v>20:27:22.914</v>
      </c>
      <c r="T2411" t="str">
        <f>"20:27:22.514"</f>
        <v>20:27:22.514</v>
      </c>
      <c r="U2411" t="str">
        <f t="shared" si="116"/>
        <v>AB01F4</v>
      </c>
      <c r="V2411">
        <v>0</v>
      </c>
      <c r="W2411">
        <v>0</v>
      </c>
      <c r="X2411">
        <v>2</v>
      </c>
      <c r="Z2411">
        <v>0</v>
      </c>
      <c r="AA2411">
        <v>9</v>
      </c>
      <c r="AB2411">
        <v>3</v>
      </c>
      <c r="AC2411">
        <v>0</v>
      </c>
      <c r="AD2411">
        <v>10</v>
      </c>
      <c r="AE2411">
        <v>0</v>
      </c>
      <c r="AF2411">
        <v>3</v>
      </c>
      <c r="AG2411">
        <v>2</v>
      </c>
      <c r="AH2411">
        <v>0</v>
      </c>
      <c r="AI2411" t="s">
        <v>1455</v>
      </c>
      <c r="AJ2411">
        <v>39.982467</v>
      </c>
      <c r="AK2411" t="s">
        <v>1456</v>
      </c>
      <c r="AL2411">
        <v>-92.716798999999995</v>
      </c>
      <c r="AM2411">
        <v>100</v>
      </c>
      <c r="AN2411">
        <v>1700</v>
      </c>
      <c r="AO2411" t="s">
        <v>118</v>
      </c>
      <c r="AP2411">
        <v>-106</v>
      </c>
      <c r="AQ2411">
        <v>77</v>
      </c>
      <c r="AR2411">
        <v>0</v>
      </c>
      <c r="AZ2411">
        <v>1200</v>
      </c>
      <c r="BA2411">
        <v>1</v>
      </c>
      <c r="BB2411" t="str">
        <f t="shared" si="115"/>
        <v xml:space="preserve">N8080G  </v>
      </c>
      <c r="BC2411">
        <v>1</v>
      </c>
      <c r="BE2411">
        <v>0</v>
      </c>
      <c r="BF2411">
        <v>0</v>
      </c>
      <c r="BG2411">
        <v>0</v>
      </c>
      <c r="BH2411">
        <v>1700</v>
      </c>
      <c r="BI2411">
        <v>1</v>
      </c>
      <c r="BJ2411">
        <v>1</v>
      </c>
      <c r="BK2411">
        <v>1</v>
      </c>
      <c r="BL2411">
        <v>0</v>
      </c>
      <c r="BO2411">
        <v>0</v>
      </c>
      <c r="BP2411">
        <v>0</v>
      </c>
      <c r="BW2411" t="str">
        <f>"20:27:22.916"</f>
        <v>20:27:22.916</v>
      </c>
      <c r="BZ2411">
        <v>0</v>
      </c>
      <c r="CA2411">
        <v>2016</v>
      </c>
      <c r="CB2411">
        <v>224</v>
      </c>
      <c r="CD2411">
        <v>1</v>
      </c>
      <c r="CE2411">
        <v>0</v>
      </c>
      <c r="CF2411">
        <v>0</v>
      </c>
      <c r="CG2411">
        <v>1</v>
      </c>
      <c r="CH2411">
        <v>0</v>
      </c>
      <c r="CI2411">
        <v>0</v>
      </c>
      <c r="CJ2411">
        <v>0</v>
      </c>
      <c r="CK2411">
        <v>2</v>
      </c>
      <c r="CL2411">
        <v>0</v>
      </c>
      <c r="CM2411">
        <v>2</v>
      </c>
      <c r="CN2411">
        <v>0</v>
      </c>
      <c r="CO2411">
        <v>7</v>
      </c>
      <c r="CP2411" t="s">
        <v>119</v>
      </c>
      <c r="CQ2411">
        <v>180</v>
      </c>
      <c r="CR2411">
        <v>3</v>
      </c>
      <c r="CW2411">
        <v>879047</v>
      </c>
      <c r="CY2411">
        <v>1</v>
      </c>
      <c r="CZ2411">
        <v>0</v>
      </c>
      <c r="DA2411">
        <v>0</v>
      </c>
      <c r="DB2411">
        <v>0</v>
      </c>
      <c r="DC2411">
        <v>0</v>
      </c>
      <c r="DD2411">
        <v>0</v>
      </c>
      <c r="DE2411">
        <v>0</v>
      </c>
      <c r="DF2411">
        <v>0</v>
      </c>
      <c r="DG2411">
        <v>0</v>
      </c>
      <c r="DH2411">
        <v>0</v>
      </c>
      <c r="DI2411">
        <v>0</v>
      </c>
    </row>
    <row r="2412" spans="1:113" x14ac:dyDescent="0.3">
      <c r="A2412" t="str">
        <f>"02/08/2021 20:27:20.558"</f>
        <v>02/08/2021 20:27:20.558</v>
      </c>
      <c r="C2412" t="str">
        <f t="shared" si="114"/>
        <v>FFDFD7C0</v>
      </c>
      <c r="D2412" t="s">
        <v>124</v>
      </c>
      <c r="E2412">
        <v>13</v>
      </c>
      <c r="F2412">
        <v>1013</v>
      </c>
      <c r="G2412" t="s">
        <v>114</v>
      </c>
      <c r="J2412" t="s">
        <v>125</v>
      </c>
      <c r="K2412">
        <v>0</v>
      </c>
      <c r="L2412">
        <v>3</v>
      </c>
      <c r="M2412">
        <v>0</v>
      </c>
      <c r="N2412">
        <v>2</v>
      </c>
      <c r="O2412">
        <v>1</v>
      </c>
      <c r="P2412">
        <v>0</v>
      </c>
      <c r="Q2412">
        <v>0</v>
      </c>
      <c r="S2412" t="str">
        <f>"20:27:22.914"</f>
        <v>20:27:22.914</v>
      </c>
      <c r="T2412" t="str">
        <f>"20:27:22.514"</f>
        <v>20:27:22.514</v>
      </c>
      <c r="U2412" t="str">
        <f t="shared" si="116"/>
        <v>AB01F4</v>
      </c>
      <c r="V2412">
        <v>0</v>
      </c>
      <c r="W2412">
        <v>0</v>
      </c>
      <c r="X2412">
        <v>2</v>
      </c>
      <c r="Z2412">
        <v>0</v>
      </c>
      <c r="AA2412">
        <v>9</v>
      </c>
      <c r="AB2412">
        <v>3</v>
      </c>
      <c r="AC2412">
        <v>0</v>
      </c>
      <c r="AD2412">
        <v>10</v>
      </c>
      <c r="AE2412">
        <v>0</v>
      </c>
      <c r="AF2412">
        <v>3</v>
      </c>
      <c r="AG2412">
        <v>2</v>
      </c>
      <c r="AH2412">
        <v>0</v>
      </c>
      <c r="AI2412" t="s">
        <v>1455</v>
      </c>
      <c r="AJ2412">
        <v>39.982467</v>
      </c>
      <c r="AK2412" t="s">
        <v>1456</v>
      </c>
      <c r="AL2412">
        <v>-92.716798999999995</v>
      </c>
      <c r="AM2412">
        <v>100</v>
      </c>
      <c r="AN2412">
        <v>1700</v>
      </c>
      <c r="AO2412" t="s">
        <v>118</v>
      </c>
      <c r="AP2412">
        <v>-106</v>
      </c>
      <c r="AQ2412">
        <v>77</v>
      </c>
      <c r="AR2412">
        <v>0</v>
      </c>
      <c r="AZ2412">
        <v>1200</v>
      </c>
      <c r="BA2412">
        <v>1</v>
      </c>
      <c r="BB2412" t="str">
        <f t="shared" si="115"/>
        <v xml:space="preserve">N8080G  </v>
      </c>
      <c r="BC2412">
        <v>1</v>
      </c>
      <c r="BE2412">
        <v>0</v>
      </c>
      <c r="BF2412">
        <v>0</v>
      </c>
      <c r="BG2412">
        <v>0</v>
      </c>
      <c r="BH2412">
        <v>1700</v>
      </c>
      <c r="BI2412">
        <v>1</v>
      </c>
      <c r="BJ2412">
        <v>1</v>
      </c>
      <c r="BK2412">
        <v>1</v>
      </c>
      <c r="BL2412">
        <v>0</v>
      </c>
      <c r="BO2412">
        <v>0</v>
      </c>
      <c r="BP2412">
        <v>0</v>
      </c>
      <c r="BW2412" t="str">
        <f>"20:27:22.916"</f>
        <v>20:27:22.916</v>
      </c>
      <c r="BZ2412">
        <v>0</v>
      </c>
      <c r="CA2412">
        <v>2016</v>
      </c>
      <c r="CB2412">
        <v>224</v>
      </c>
      <c r="CD2412">
        <v>1</v>
      </c>
      <c r="CE2412">
        <v>0</v>
      </c>
      <c r="CF2412">
        <v>0</v>
      </c>
      <c r="CG2412">
        <v>1</v>
      </c>
      <c r="CH2412">
        <v>0</v>
      </c>
      <c r="CI2412">
        <v>0</v>
      </c>
      <c r="CJ2412">
        <v>0</v>
      </c>
      <c r="CK2412">
        <v>2</v>
      </c>
      <c r="CL2412">
        <v>0</v>
      </c>
      <c r="CM2412">
        <v>2</v>
      </c>
      <c r="CN2412">
        <v>0</v>
      </c>
      <c r="CO2412">
        <v>7</v>
      </c>
      <c r="CP2412" t="s">
        <v>119</v>
      </c>
      <c r="CQ2412">
        <v>180</v>
      </c>
      <c r="CR2412">
        <v>3</v>
      </c>
      <c r="CW2412">
        <v>879047</v>
      </c>
      <c r="CY2412">
        <v>1</v>
      </c>
      <c r="CZ2412">
        <v>0</v>
      </c>
      <c r="DA2412">
        <v>1</v>
      </c>
      <c r="DB2412">
        <v>0</v>
      </c>
      <c r="DC2412">
        <v>0</v>
      </c>
      <c r="DD2412">
        <v>0</v>
      </c>
      <c r="DE2412">
        <v>0</v>
      </c>
      <c r="DF2412">
        <v>0</v>
      </c>
      <c r="DG2412">
        <v>0</v>
      </c>
      <c r="DH2412">
        <v>0</v>
      </c>
      <c r="DI2412">
        <v>0</v>
      </c>
    </row>
    <row r="2413" spans="1:113" x14ac:dyDescent="0.3">
      <c r="A2413" t="str">
        <f>"02/08/2021 20:27:20.558"</f>
        <v>02/08/2021 20:27:20.558</v>
      </c>
      <c r="C2413" t="str">
        <f t="shared" si="114"/>
        <v>FFDFD7C0</v>
      </c>
      <c r="D2413" t="s">
        <v>124</v>
      </c>
      <c r="E2413">
        <v>11</v>
      </c>
      <c r="F2413">
        <v>1011</v>
      </c>
      <c r="G2413" t="s">
        <v>590</v>
      </c>
      <c r="J2413" t="s">
        <v>125</v>
      </c>
      <c r="K2413">
        <v>0</v>
      </c>
      <c r="L2413">
        <v>3</v>
      </c>
      <c r="M2413">
        <v>0</v>
      </c>
      <c r="N2413">
        <v>2</v>
      </c>
      <c r="O2413">
        <v>1</v>
      </c>
      <c r="P2413">
        <v>0</v>
      </c>
      <c r="Q2413">
        <v>0</v>
      </c>
      <c r="S2413" t="str">
        <f>"20:27:22.914"</f>
        <v>20:27:22.914</v>
      </c>
      <c r="T2413" t="str">
        <f>"20:27:22.514"</f>
        <v>20:27:22.514</v>
      </c>
      <c r="U2413" t="str">
        <f t="shared" si="116"/>
        <v>AB01F4</v>
      </c>
      <c r="V2413">
        <v>0</v>
      </c>
      <c r="W2413">
        <v>0</v>
      </c>
      <c r="X2413">
        <v>2</v>
      </c>
      <c r="Z2413">
        <v>0</v>
      </c>
      <c r="AA2413">
        <v>9</v>
      </c>
      <c r="AB2413">
        <v>3</v>
      </c>
      <c r="AC2413">
        <v>0</v>
      </c>
      <c r="AD2413">
        <v>10</v>
      </c>
      <c r="AE2413">
        <v>0</v>
      </c>
      <c r="AF2413">
        <v>3</v>
      </c>
      <c r="AG2413">
        <v>2</v>
      </c>
      <c r="AH2413">
        <v>0</v>
      </c>
      <c r="AI2413" t="s">
        <v>1455</v>
      </c>
      <c r="AJ2413">
        <v>39.982467</v>
      </c>
      <c r="AK2413" t="s">
        <v>1456</v>
      </c>
      <c r="AL2413">
        <v>-92.716798999999995</v>
      </c>
      <c r="AM2413">
        <v>100</v>
      </c>
      <c r="AN2413">
        <v>1700</v>
      </c>
      <c r="AO2413" t="s">
        <v>118</v>
      </c>
      <c r="AP2413">
        <v>-106</v>
      </c>
      <c r="AQ2413">
        <v>77</v>
      </c>
      <c r="AR2413">
        <v>0</v>
      </c>
      <c r="AZ2413">
        <v>1200</v>
      </c>
      <c r="BA2413">
        <v>1</v>
      </c>
      <c r="BB2413" t="str">
        <f t="shared" si="115"/>
        <v xml:space="preserve">N8080G  </v>
      </c>
      <c r="BC2413">
        <v>1</v>
      </c>
      <c r="BE2413">
        <v>0</v>
      </c>
      <c r="BF2413">
        <v>0</v>
      </c>
      <c r="BG2413">
        <v>0</v>
      </c>
      <c r="BH2413">
        <v>1700</v>
      </c>
      <c r="BI2413">
        <v>1</v>
      </c>
      <c r="BJ2413">
        <v>1</v>
      </c>
      <c r="BK2413">
        <v>1</v>
      </c>
      <c r="BL2413">
        <v>0</v>
      </c>
      <c r="BO2413">
        <v>0</v>
      </c>
      <c r="BP2413">
        <v>0</v>
      </c>
      <c r="BW2413" t="str">
        <f>"20:27:22.916"</f>
        <v>20:27:22.916</v>
      </c>
      <c r="BZ2413">
        <v>0</v>
      </c>
      <c r="CA2413">
        <v>2016</v>
      </c>
      <c r="CB2413">
        <v>224</v>
      </c>
      <c r="CD2413">
        <v>1</v>
      </c>
      <c r="CE2413">
        <v>0</v>
      </c>
      <c r="CF2413">
        <v>0</v>
      </c>
      <c r="CG2413">
        <v>1</v>
      </c>
      <c r="CH2413">
        <v>0</v>
      </c>
      <c r="CI2413">
        <v>0</v>
      </c>
      <c r="CJ2413">
        <v>0</v>
      </c>
      <c r="CK2413">
        <v>2</v>
      </c>
      <c r="CL2413">
        <v>0</v>
      </c>
      <c r="CM2413">
        <v>2</v>
      </c>
      <c r="CN2413">
        <v>0</v>
      </c>
      <c r="CO2413">
        <v>7</v>
      </c>
      <c r="CP2413" t="s">
        <v>119</v>
      </c>
      <c r="CQ2413">
        <v>180</v>
      </c>
      <c r="CR2413">
        <v>3</v>
      </c>
      <c r="CW2413">
        <v>879047</v>
      </c>
      <c r="CY2413">
        <v>1</v>
      </c>
      <c r="CZ2413">
        <v>0</v>
      </c>
      <c r="DA2413">
        <v>1</v>
      </c>
      <c r="DB2413">
        <v>0</v>
      </c>
      <c r="DC2413">
        <v>0</v>
      </c>
      <c r="DD2413">
        <v>0</v>
      </c>
      <c r="DE2413">
        <v>0</v>
      </c>
      <c r="DF2413">
        <v>0</v>
      </c>
      <c r="DG2413">
        <v>0</v>
      </c>
      <c r="DH2413">
        <v>0</v>
      </c>
      <c r="DI2413">
        <v>0</v>
      </c>
    </row>
    <row r="2414" spans="1:113" x14ac:dyDescent="0.3">
      <c r="A2414" t="str">
        <f>"02/08/2021 20:27:20.558"</f>
        <v>02/08/2021 20:27:20.558</v>
      </c>
      <c r="C2414" t="str">
        <f t="shared" si="114"/>
        <v>FFDFD7C0</v>
      </c>
      <c r="D2414" t="s">
        <v>113</v>
      </c>
      <c r="E2414">
        <v>6</v>
      </c>
      <c r="H2414">
        <v>165</v>
      </c>
      <c r="I2414" t="s">
        <v>114</v>
      </c>
      <c r="J2414" t="s">
        <v>115</v>
      </c>
      <c r="K2414">
        <v>0</v>
      </c>
      <c r="L2414">
        <v>3</v>
      </c>
      <c r="M2414">
        <v>0</v>
      </c>
      <c r="N2414">
        <v>2</v>
      </c>
      <c r="O2414">
        <v>1</v>
      </c>
      <c r="P2414">
        <v>0</v>
      </c>
      <c r="Q2414">
        <v>0</v>
      </c>
      <c r="S2414" t="str">
        <f>"20:27:22.914"</f>
        <v>20:27:22.914</v>
      </c>
      <c r="T2414" t="str">
        <f>"20:27:22.514"</f>
        <v>20:27:22.514</v>
      </c>
      <c r="U2414" t="str">
        <f t="shared" si="116"/>
        <v>AB01F4</v>
      </c>
      <c r="V2414">
        <v>0</v>
      </c>
      <c r="W2414">
        <v>0</v>
      </c>
      <c r="X2414">
        <v>2</v>
      </c>
      <c r="Z2414">
        <v>0</v>
      </c>
      <c r="AA2414">
        <v>9</v>
      </c>
      <c r="AB2414">
        <v>3</v>
      </c>
      <c r="AC2414">
        <v>0</v>
      </c>
      <c r="AD2414">
        <v>10</v>
      </c>
      <c r="AE2414">
        <v>0</v>
      </c>
      <c r="AF2414">
        <v>3</v>
      </c>
      <c r="AG2414">
        <v>2</v>
      </c>
      <c r="AH2414">
        <v>0</v>
      </c>
      <c r="AI2414" t="s">
        <v>1455</v>
      </c>
      <c r="AJ2414">
        <v>39.982467</v>
      </c>
      <c r="AK2414" t="s">
        <v>1456</v>
      </c>
      <c r="AL2414">
        <v>-92.716798999999995</v>
      </c>
      <c r="AM2414">
        <v>100</v>
      </c>
      <c r="AN2414">
        <v>1700</v>
      </c>
      <c r="AO2414" t="s">
        <v>118</v>
      </c>
      <c r="AP2414">
        <v>-106</v>
      </c>
      <c r="AQ2414">
        <v>77</v>
      </c>
      <c r="AR2414">
        <v>0</v>
      </c>
      <c r="AZ2414">
        <v>1200</v>
      </c>
      <c r="BA2414">
        <v>1</v>
      </c>
      <c r="BB2414" t="str">
        <f t="shared" si="115"/>
        <v xml:space="preserve">N8080G  </v>
      </c>
      <c r="BC2414">
        <v>1</v>
      </c>
      <c r="BE2414">
        <v>0</v>
      </c>
      <c r="BF2414">
        <v>0</v>
      </c>
      <c r="BG2414">
        <v>0</v>
      </c>
      <c r="BH2414">
        <v>1700</v>
      </c>
      <c r="BI2414">
        <v>1</v>
      </c>
      <c r="BJ2414">
        <v>1</v>
      </c>
      <c r="BK2414">
        <v>1</v>
      </c>
      <c r="BL2414">
        <v>0</v>
      </c>
      <c r="BO2414">
        <v>0</v>
      </c>
      <c r="BP2414">
        <v>0</v>
      </c>
      <c r="BW2414" t="str">
        <f>"20:27:22.916"</f>
        <v>20:27:22.916</v>
      </c>
      <c r="BZ2414">
        <v>0</v>
      </c>
      <c r="CA2414">
        <v>2016</v>
      </c>
      <c r="CB2414">
        <v>224</v>
      </c>
      <c r="CD2414">
        <v>1</v>
      </c>
      <c r="CE2414">
        <v>0</v>
      </c>
      <c r="CF2414">
        <v>0</v>
      </c>
      <c r="CG2414">
        <v>1</v>
      </c>
      <c r="CH2414">
        <v>0</v>
      </c>
      <c r="CI2414">
        <v>0</v>
      </c>
      <c r="CJ2414">
        <v>0</v>
      </c>
      <c r="CK2414">
        <v>2</v>
      </c>
      <c r="CL2414">
        <v>0</v>
      </c>
      <c r="CM2414">
        <v>2</v>
      </c>
      <c r="CN2414">
        <v>0</v>
      </c>
      <c r="CO2414">
        <v>7</v>
      </c>
      <c r="CP2414" t="s">
        <v>119</v>
      </c>
      <c r="CQ2414">
        <v>180</v>
      </c>
      <c r="CR2414">
        <v>3</v>
      </c>
      <c r="CW2414">
        <v>879047</v>
      </c>
      <c r="CY2414">
        <v>1</v>
      </c>
      <c r="CZ2414">
        <v>0</v>
      </c>
      <c r="DA2414">
        <v>1</v>
      </c>
      <c r="DB2414">
        <v>0</v>
      </c>
      <c r="DC2414">
        <v>0</v>
      </c>
      <c r="DD2414">
        <v>0</v>
      </c>
      <c r="DE2414">
        <v>0</v>
      </c>
      <c r="DF2414">
        <v>0</v>
      </c>
      <c r="DG2414">
        <v>0</v>
      </c>
      <c r="DH2414">
        <v>0</v>
      </c>
      <c r="DI2414">
        <v>0</v>
      </c>
    </row>
    <row r="2415" spans="1:113" x14ac:dyDescent="0.3">
      <c r="A2415" t="str">
        <f>"02/08/2021 20:27:21.561"</f>
        <v>02/08/2021 20:27:21.561</v>
      </c>
      <c r="C2415" t="str">
        <f t="shared" ref="C2415:C2478" si="117">"FFDFD7C0"</f>
        <v>FFDFD7C0</v>
      </c>
      <c r="D2415" t="s">
        <v>124</v>
      </c>
      <c r="E2415">
        <v>12</v>
      </c>
      <c r="F2415">
        <v>1012</v>
      </c>
      <c r="G2415" t="s">
        <v>675</v>
      </c>
      <c r="J2415" t="s">
        <v>125</v>
      </c>
      <c r="K2415">
        <v>0</v>
      </c>
      <c r="L2415">
        <v>3</v>
      </c>
      <c r="M2415">
        <v>0</v>
      </c>
      <c r="N2415">
        <v>2</v>
      </c>
      <c r="O2415">
        <v>1</v>
      </c>
      <c r="P2415">
        <v>0</v>
      </c>
      <c r="Q2415">
        <v>0</v>
      </c>
      <c r="S2415" t="str">
        <f>"20:27:23.906"</f>
        <v>20:27:23.906</v>
      </c>
      <c r="T2415" t="str">
        <f>"20:27:23.406"</f>
        <v>20:27:23.406</v>
      </c>
      <c r="U2415" t="str">
        <f t="shared" si="116"/>
        <v>AB01F4</v>
      </c>
      <c r="V2415">
        <v>0</v>
      </c>
      <c r="W2415">
        <v>0</v>
      </c>
      <c r="X2415">
        <v>2</v>
      </c>
      <c r="Z2415">
        <v>0</v>
      </c>
      <c r="AA2415">
        <v>9</v>
      </c>
      <c r="AB2415">
        <v>3</v>
      </c>
      <c r="AC2415">
        <v>0</v>
      </c>
      <c r="AD2415">
        <v>10</v>
      </c>
      <c r="AE2415">
        <v>0</v>
      </c>
      <c r="AF2415">
        <v>3</v>
      </c>
      <c r="AG2415">
        <v>2</v>
      </c>
      <c r="AH2415">
        <v>0</v>
      </c>
      <c r="AI2415" t="s">
        <v>1457</v>
      </c>
      <c r="AJ2415">
        <v>39.982830999999997</v>
      </c>
      <c r="AK2415" t="s">
        <v>1458</v>
      </c>
      <c r="AL2415">
        <v>-92.717421000000002</v>
      </c>
      <c r="AM2415">
        <v>100</v>
      </c>
      <c r="AN2415">
        <v>1700</v>
      </c>
      <c r="AO2415" t="s">
        <v>118</v>
      </c>
      <c r="AP2415">
        <v>-106</v>
      </c>
      <c r="AQ2415">
        <v>77</v>
      </c>
      <c r="AR2415">
        <v>0</v>
      </c>
      <c r="AZ2415">
        <v>1200</v>
      </c>
      <c r="BA2415">
        <v>1</v>
      </c>
      <c r="BB2415" t="str">
        <f t="shared" ref="BB2415:BB2478" si="118">"N8080G  "</f>
        <v xml:space="preserve">N8080G  </v>
      </c>
      <c r="BC2415">
        <v>1</v>
      </c>
      <c r="BE2415">
        <v>0</v>
      </c>
      <c r="BF2415">
        <v>0</v>
      </c>
      <c r="BG2415">
        <v>0</v>
      </c>
      <c r="BH2415">
        <v>1700</v>
      </c>
      <c r="BI2415">
        <v>1</v>
      </c>
      <c r="BJ2415">
        <v>1</v>
      </c>
      <c r="BK2415">
        <v>1</v>
      </c>
      <c r="BL2415">
        <v>0</v>
      </c>
      <c r="BO2415">
        <v>0</v>
      </c>
      <c r="BP2415">
        <v>0</v>
      </c>
      <c r="BW2415" t="str">
        <f>"20:27:23.909"</f>
        <v>20:27:23.909</v>
      </c>
      <c r="BZ2415">
        <v>0</v>
      </c>
      <c r="CA2415">
        <v>2016</v>
      </c>
      <c r="CB2415">
        <v>224</v>
      </c>
      <c r="CD2415">
        <v>1</v>
      </c>
      <c r="CE2415">
        <v>0</v>
      </c>
      <c r="CF2415">
        <v>0</v>
      </c>
      <c r="CG2415">
        <v>1</v>
      </c>
      <c r="CH2415">
        <v>0</v>
      </c>
      <c r="CI2415">
        <v>0</v>
      </c>
      <c r="CJ2415">
        <v>0</v>
      </c>
      <c r="CK2415">
        <v>2</v>
      </c>
      <c r="CL2415">
        <v>0</v>
      </c>
      <c r="CM2415">
        <v>2</v>
      </c>
      <c r="CN2415">
        <v>0</v>
      </c>
      <c r="CO2415">
        <v>7</v>
      </c>
      <c r="CP2415" t="s">
        <v>119</v>
      </c>
      <c r="CQ2415">
        <v>180</v>
      </c>
      <c r="CR2415">
        <v>3</v>
      </c>
      <c r="CW2415">
        <v>879888</v>
      </c>
      <c r="CY2415">
        <v>1</v>
      </c>
      <c r="CZ2415">
        <v>0</v>
      </c>
      <c r="DA2415">
        <v>0</v>
      </c>
      <c r="DB2415">
        <v>0</v>
      </c>
      <c r="DC2415">
        <v>0</v>
      </c>
      <c r="DD2415">
        <v>0</v>
      </c>
      <c r="DE2415">
        <v>0</v>
      </c>
      <c r="DF2415">
        <v>0</v>
      </c>
      <c r="DG2415">
        <v>0</v>
      </c>
      <c r="DH2415">
        <v>0</v>
      </c>
      <c r="DI2415">
        <v>0</v>
      </c>
    </row>
    <row r="2416" spans="1:113" x14ac:dyDescent="0.3">
      <c r="A2416" t="str">
        <f>"02/08/2021 20:27:21.561"</f>
        <v>02/08/2021 20:27:21.561</v>
      </c>
      <c r="C2416" t="str">
        <f t="shared" si="117"/>
        <v>FFDFD7C0</v>
      </c>
      <c r="D2416" t="s">
        <v>124</v>
      </c>
      <c r="E2416">
        <v>13</v>
      </c>
      <c r="F2416">
        <v>1013</v>
      </c>
      <c r="G2416" t="s">
        <v>114</v>
      </c>
      <c r="J2416" t="s">
        <v>125</v>
      </c>
      <c r="K2416">
        <v>0</v>
      </c>
      <c r="L2416">
        <v>3</v>
      </c>
      <c r="M2416">
        <v>0</v>
      </c>
      <c r="N2416">
        <v>2</v>
      </c>
      <c r="O2416">
        <v>1</v>
      </c>
      <c r="P2416">
        <v>0</v>
      </c>
      <c r="Q2416">
        <v>0</v>
      </c>
      <c r="S2416" t="str">
        <f>"20:27:23.906"</f>
        <v>20:27:23.906</v>
      </c>
      <c r="T2416" t="str">
        <f>"20:27:23.406"</f>
        <v>20:27:23.406</v>
      </c>
      <c r="U2416" t="str">
        <f t="shared" si="116"/>
        <v>AB01F4</v>
      </c>
      <c r="V2416">
        <v>0</v>
      </c>
      <c r="W2416">
        <v>0</v>
      </c>
      <c r="X2416">
        <v>2</v>
      </c>
      <c r="Z2416">
        <v>0</v>
      </c>
      <c r="AA2416">
        <v>9</v>
      </c>
      <c r="AB2416">
        <v>3</v>
      </c>
      <c r="AC2416">
        <v>0</v>
      </c>
      <c r="AD2416">
        <v>10</v>
      </c>
      <c r="AE2416">
        <v>0</v>
      </c>
      <c r="AF2416">
        <v>3</v>
      </c>
      <c r="AG2416">
        <v>2</v>
      </c>
      <c r="AH2416">
        <v>0</v>
      </c>
      <c r="AI2416" t="s">
        <v>1457</v>
      </c>
      <c r="AJ2416">
        <v>39.982830999999997</v>
      </c>
      <c r="AK2416" t="s">
        <v>1458</v>
      </c>
      <c r="AL2416">
        <v>-92.717421000000002</v>
      </c>
      <c r="AM2416">
        <v>100</v>
      </c>
      <c r="AN2416">
        <v>1700</v>
      </c>
      <c r="AO2416" t="s">
        <v>118</v>
      </c>
      <c r="AP2416">
        <v>-106</v>
      </c>
      <c r="AQ2416">
        <v>77</v>
      </c>
      <c r="AR2416">
        <v>0</v>
      </c>
      <c r="AZ2416">
        <v>1200</v>
      </c>
      <c r="BA2416">
        <v>1</v>
      </c>
      <c r="BB2416" t="str">
        <f t="shared" si="118"/>
        <v xml:space="preserve">N8080G  </v>
      </c>
      <c r="BC2416">
        <v>1</v>
      </c>
      <c r="BE2416">
        <v>0</v>
      </c>
      <c r="BF2416">
        <v>0</v>
      </c>
      <c r="BG2416">
        <v>0</v>
      </c>
      <c r="BH2416">
        <v>1700</v>
      </c>
      <c r="BI2416">
        <v>1</v>
      </c>
      <c r="BJ2416">
        <v>1</v>
      </c>
      <c r="BK2416">
        <v>1</v>
      </c>
      <c r="BL2416">
        <v>0</v>
      </c>
      <c r="BO2416">
        <v>0</v>
      </c>
      <c r="BP2416">
        <v>0</v>
      </c>
      <c r="BW2416" t="str">
        <f>"20:27:23.909"</f>
        <v>20:27:23.909</v>
      </c>
      <c r="BZ2416">
        <v>0</v>
      </c>
      <c r="CA2416">
        <v>2016</v>
      </c>
      <c r="CB2416">
        <v>224</v>
      </c>
      <c r="CD2416">
        <v>1</v>
      </c>
      <c r="CE2416">
        <v>0</v>
      </c>
      <c r="CF2416">
        <v>0</v>
      </c>
      <c r="CG2416">
        <v>1</v>
      </c>
      <c r="CH2416">
        <v>0</v>
      </c>
      <c r="CI2416">
        <v>0</v>
      </c>
      <c r="CJ2416">
        <v>0</v>
      </c>
      <c r="CK2416">
        <v>2</v>
      </c>
      <c r="CL2416">
        <v>0</v>
      </c>
      <c r="CM2416">
        <v>2</v>
      </c>
      <c r="CN2416">
        <v>0</v>
      </c>
      <c r="CO2416">
        <v>7</v>
      </c>
      <c r="CP2416" t="s">
        <v>119</v>
      </c>
      <c r="CQ2416">
        <v>180</v>
      </c>
      <c r="CR2416">
        <v>3</v>
      </c>
      <c r="CW2416">
        <v>879888</v>
      </c>
      <c r="CY2416">
        <v>1</v>
      </c>
      <c r="CZ2416">
        <v>0</v>
      </c>
      <c r="DA2416">
        <v>1</v>
      </c>
      <c r="DB2416">
        <v>0</v>
      </c>
      <c r="DC2416">
        <v>0</v>
      </c>
      <c r="DD2416">
        <v>0</v>
      </c>
      <c r="DE2416">
        <v>0</v>
      </c>
      <c r="DF2416">
        <v>0</v>
      </c>
      <c r="DG2416">
        <v>0</v>
      </c>
      <c r="DH2416">
        <v>0</v>
      </c>
      <c r="DI2416">
        <v>0</v>
      </c>
    </row>
    <row r="2417" spans="1:113" x14ac:dyDescent="0.3">
      <c r="A2417" t="str">
        <f>"02/08/2021 20:27:21.561"</f>
        <v>02/08/2021 20:27:21.561</v>
      </c>
      <c r="C2417" t="str">
        <f t="shared" si="117"/>
        <v>FFDFD7C0</v>
      </c>
      <c r="D2417" t="s">
        <v>124</v>
      </c>
      <c r="E2417">
        <v>11</v>
      </c>
      <c r="F2417">
        <v>1011</v>
      </c>
      <c r="G2417" t="s">
        <v>590</v>
      </c>
      <c r="J2417" t="s">
        <v>125</v>
      </c>
      <c r="K2417">
        <v>0</v>
      </c>
      <c r="L2417">
        <v>3</v>
      </c>
      <c r="M2417">
        <v>0</v>
      </c>
      <c r="N2417">
        <v>2</v>
      </c>
      <c r="O2417">
        <v>1</v>
      </c>
      <c r="P2417">
        <v>0</v>
      </c>
      <c r="Q2417">
        <v>0</v>
      </c>
      <c r="S2417" t="str">
        <f>"20:27:23.906"</f>
        <v>20:27:23.906</v>
      </c>
      <c r="T2417" t="str">
        <f>"20:27:23.406"</f>
        <v>20:27:23.406</v>
      </c>
      <c r="U2417" t="str">
        <f t="shared" si="116"/>
        <v>AB01F4</v>
      </c>
      <c r="V2417">
        <v>0</v>
      </c>
      <c r="W2417">
        <v>0</v>
      </c>
      <c r="X2417">
        <v>2</v>
      </c>
      <c r="Z2417">
        <v>0</v>
      </c>
      <c r="AA2417">
        <v>9</v>
      </c>
      <c r="AB2417">
        <v>3</v>
      </c>
      <c r="AC2417">
        <v>0</v>
      </c>
      <c r="AD2417">
        <v>10</v>
      </c>
      <c r="AE2417">
        <v>0</v>
      </c>
      <c r="AF2417">
        <v>3</v>
      </c>
      <c r="AG2417">
        <v>2</v>
      </c>
      <c r="AH2417">
        <v>0</v>
      </c>
      <c r="AI2417" t="s">
        <v>1457</v>
      </c>
      <c r="AJ2417">
        <v>39.982830999999997</v>
      </c>
      <c r="AK2417" t="s">
        <v>1458</v>
      </c>
      <c r="AL2417">
        <v>-92.717421000000002</v>
      </c>
      <c r="AM2417">
        <v>100</v>
      </c>
      <c r="AN2417">
        <v>1700</v>
      </c>
      <c r="AO2417" t="s">
        <v>118</v>
      </c>
      <c r="AP2417">
        <v>-106</v>
      </c>
      <c r="AQ2417">
        <v>77</v>
      </c>
      <c r="AR2417">
        <v>0</v>
      </c>
      <c r="AZ2417">
        <v>1200</v>
      </c>
      <c r="BA2417">
        <v>1</v>
      </c>
      <c r="BB2417" t="str">
        <f t="shared" si="118"/>
        <v xml:space="preserve">N8080G  </v>
      </c>
      <c r="BC2417">
        <v>1</v>
      </c>
      <c r="BE2417">
        <v>0</v>
      </c>
      <c r="BF2417">
        <v>0</v>
      </c>
      <c r="BG2417">
        <v>0</v>
      </c>
      <c r="BH2417">
        <v>1700</v>
      </c>
      <c r="BI2417">
        <v>1</v>
      </c>
      <c r="BJ2417">
        <v>1</v>
      </c>
      <c r="BK2417">
        <v>1</v>
      </c>
      <c r="BL2417">
        <v>0</v>
      </c>
      <c r="BO2417">
        <v>0</v>
      </c>
      <c r="BP2417">
        <v>0</v>
      </c>
      <c r="BW2417" t="str">
        <f>"20:27:23.909"</f>
        <v>20:27:23.909</v>
      </c>
      <c r="BZ2417">
        <v>0</v>
      </c>
      <c r="CA2417">
        <v>2016</v>
      </c>
      <c r="CB2417">
        <v>224</v>
      </c>
      <c r="CD2417">
        <v>1</v>
      </c>
      <c r="CE2417">
        <v>0</v>
      </c>
      <c r="CF2417">
        <v>0</v>
      </c>
      <c r="CG2417">
        <v>1</v>
      </c>
      <c r="CH2417">
        <v>0</v>
      </c>
      <c r="CI2417">
        <v>0</v>
      </c>
      <c r="CJ2417">
        <v>0</v>
      </c>
      <c r="CK2417">
        <v>2</v>
      </c>
      <c r="CL2417">
        <v>0</v>
      </c>
      <c r="CM2417">
        <v>2</v>
      </c>
      <c r="CN2417">
        <v>0</v>
      </c>
      <c r="CO2417">
        <v>7</v>
      </c>
      <c r="CP2417" t="s">
        <v>119</v>
      </c>
      <c r="CQ2417">
        <v>180</v>
      </c>
      <c r="CR2417">
        <v>3</v>
      </c>
      <c r="CW2417">
        <v>879888</v>
      </c>
      <c r="CY2417">
        <v>1</v>
      </c>
      <c r="CZ2417">
        <v>0</v>
      </c>
      <c r="DA2417">
        <v>1</v>
      </c>
      <c r="DB2417">
        <v>0</v>
      </c>
      <c r="DC2417">
        <v>0</v>
      </c>
      <c r="DD2417">
        <v>0</v>
      </c>
      <c r="DE2417">
        <v>0</v>
      </c>
      <c r="DF2417">
        <v>0</v>
      </c>
      <c r="DG2417">
        <v>0</v>
      </c>
      <c r="DH2417">
        <v>0</v>
      </c>
      <c r="DI2417">
        <v>0</v>
      </c>
    </row>
    <row r="2418" spans="1:113" x14ac:dyDescent="0.3">
      <c r="A2418" t="str">
        <f>"02/08/2021 20:27:21.561"</f>
        <v>02/08/2021 20:27:21.561</v>
      </c>
      <c r="C2418" t="str">
        <f t="shared" si="117"/>
        <v>FFDFD7C0</v>
      </c>
      <c r="D2418" t="s">
        <v>113</v>
      </c>
      <c r="E2418">
        <v>6</v>
      </c>
      <c r="H2418">
        <v>165</v>
      </c>
      <c r="I2418" t="s">
        <v>114</v>
      </c>
      <c r="J2418" t="s">
        <v>115</v>
      </c>
      <c r="K2418">
        <v>0</v>
      </c>
      <c r="L2418">
        <v>3</v>
      </c>
      <c r="M2418">
        <v>0</v>
      </c>
      <c r="N2418">
        <v>2</v>
      </c>
      <c r="O2418">
        <v>1</v>
      </c>
      <c r="P2418">
        <v>0</v>
      </c>
      <c r="Q2418">
        <v>0</v>
      </c>
      <c r="S2418" t="str">
        <f>"20:27:23.906"</f>
        <v>20:27:23.906</v>
      </c>
      <c r="T2418" t="str">
        <f>"20:27:23.406"</f>
        <v>20:27:23.406</v>
      </c>
      <c r="U2418" t="str">
        <f t="shared" si="116"/>
        <v>AB01F4</v>
      </c>
      <c r="V2418">
        <v>0</v>
      </c>
      <c r="W2418">
        <v>0</v>
      </c>
      <c r="X2418">
        <v>2</v>
      </c>
      <c r="Z2418">
        <v>0</v>
      </c>
      <c r="AA2418">
        <v>9</v>
      </c>
      <c r="AB2418">
        <v>3</v>
      </c>
      <c r="AC2418">
        <v>0</v>
      </c>
      <c r="AD2418">
        <v>10</v>
      </c>
      <c r="AE2418">
        <v>0</v>
      </c>
      <c r="AF2418">
        <v>3</v>
      </c>
      <c r="AG2418">
        <v>2</v>
      </c>
      <c r="AH2418">
        <v>0</v>
      </c>
      <c r="AI2418" t="s">
        <v>1457</v>
      </c>
      <c r="AJ2418">
        <v>39.982830999999997</v>
      </c>
      <c r="AK2418" t="s">
        <v>1458</v>
      </c>
      <c r="AL2418">
        <v>-92.717421000000002</v>
      </c>
      <c r="AM2418">
        <v>100</v>
      </c>
      <c r="AN2418">
        <v>1700</v>
      </c>
      <c r="AO2418" t="s">
        <v>118</v>
      </c>
      <c r="AP2418">
        <v>-106</v>
      </c>
      <c r="AQ2418">
        <v>77</v>
      </c>
      <c r="AR2418">
        <v>0</v>
      </c>
      <c r="AZ2418">
        <v>1200</v>
      </c>
      <c r="BA2418">
        <v>1</v>
      </c>
      <c r="BB2418" t="str">
        <f t="shared" si="118"/>
        <v xml:space="preserve">N8080G  </v>
      </c>
      <c r="BC2418">
        <v>1</v>
      </c>
      <c r="BE2418">
        <v>0</v>
      </c>
      <c r="BF2418">
        <v>0</v>
      </c>
      <c r="BG2418">
        <v>0</v>
      </c>
      <c r="BH2418">
        <v>1700</v>
      </c>
      <c r="BI2418">
        <v>1</v>
      </c>
      <c r="BJ2418">
        <v>1</v>
      </c>
      <c r="BK2418">
        <v>1</v>
      </c>
      <c r="BL2418">
        <v>0</v>
      </c>
      <c r="BO2418">
        <v>0</v>
      </c>
      <c r="BP2418">
        <v>0</v>
      </c>
      <c r="BW2418" t="str">
        <f>"20:27:23.909"</f>
        <v>20:27:23.909</v>
      </c>
      <c r="BZ2418">
        <v>0</v>
      </c>
      <c r="CA2418">
        <v>2016</v>
      </c>
      <c r="CB2418">
        <v>224</v>
      </c>
      <c r="CD2418">
        <v>1</v>
      </c>
      <c r="CE2418">
        <v>0</v>
      </c>
      <c r="CF2418">
        <v>0</v>
      </c>
      <c r="CG2418">
        <v>1</v>
      </c>
      <c r="CH2418">
        <v>0</v>
      </c>
      <c r="CI2418">
        <v>0</v>
      </c>
      <c r="CJ2418">
        <v>0</v>
      </c>
      <c r="CK2418">
        <v>2</v>
      </c>
      <c r="CL2418">
        <v>0</v>
      </c>
      <c r="CM2418">
        <v>2</v>
      </c>
      <c r="CN2418">
        <v>0</v>
      </c>
      <c r="CO2418">
        <v>7</v>
      </c>
      <c r="CP2418" t="s">
        <v>119</v>
      </c>
      <c r="CQ2418">
        <v>180</v>
      </c>
      <c r="CR2418">
        <v>3</v>
      </c>
      <c r="CW2418">
        <v>879888</v>
      </c>
      <c r="CY2418">
        <v>1</v>
      </c>
      <c r="CZ2418">
        <v>0</v>
      </c>
      <c r="DA2418">
        <v>1</v>
      </c>
      <c r="DB2418">
        <v>0</v>
      </c>
      <c r="DC2418">
        <v>0</v>
      </c>
      <c r="DD2418">
        <v>0</v>
      </c>
      <c r="DE2418">
        <v>0</v>
      </c>
      <c r="DF2418">
        <v>0</v>
      </c>
      <c r="DG2418">
        <v>0</v>
      </c>
      <c r="DH2418">
        <v>0</v>
      </c>
      <c r="DI2418">
        <v>0</v>
      </c>
    </row>
    <row r="2419" spans="1:113" x14ac:dyDescent="0.3">
      <c r="A2419" t="str">
        <f>"02/08/2021 20:27:22.556"</f>
        <v>02/08/2021 20:27:22.556</v>
      </c>
      <c r="C2419" t="str">
        <f t="shared" si="117"/>
        <v>FFDFD7C0</v>
      </c>
      <c r="D2419" t="s">
        <v>124</v>
      </c>
      <c r="E2419">
        <v>11</v>
      </c>
      <c r="F2419">
        <v>1011</v>
      </c>
      <c r="G2419" t="s">
        <v>590</v>
      </c>
      <c r="J2419" t="s">
        <v>125</v>
      </c>
      <c r="K2419">
        <v>0</v>
      </c>
      <c r="L2419">
        <v>3</v>
      </c>
      <c r="M2419">
        <v>0</v>
      </c>
      <c r="N2419">
        <v>2</v>
      </c>
      <c r="O2419">
        <v>1</v>
      </c>
      <c r="P2419">
        <v>0</v>
      </c>
      <c r="Q2419">
        <v>0</v>
      </c>
      <c r="S2419" t="str">
        <f>"20:27:24.898"</f>
        <v>20:27:24.898</v>
      </c>
      <c r="T2419" t="str">
        <f>"20:27:24.498"</f>
        <v>20:27:24.498</v>
      </c>
      <c r="U2419" t="str">
        <f t="shared" si="116"/>
        <v>AB01F4</v>
      </c>
      <c r="V2419">
        <v>0</v>
      </c>
      <c r="W2419">
        <v>0</v>
      </c>
      <c r="X2419">
        <v>2</v>
      </c>
      <c r="Z2419">
        <v>0</v>
      </c>
      <c r="AA2419">
        <v>9</v>
      </c>
      <c r="AB2419">
        <v>3</v>
      </c>
      <c r="AC2419">
        <v>0</v>
      </c>
      <c r="AD2419">
        <v>10</v>
      </c>
      <c r="AE2419">
        <v>0</v>
      </c>
      <c r="AF2419">
        <v>3</v>
      </c>
      <c r="AG2419">
        <v>2</v>
      </c>
      <c r="AH2419">
        <v>0</v>
      </c>
      <c r="AI2419" t="s">
        <v>1459</v>
      </c>
      <c r="AJ2419">
        <v>39.983196</v>
      </c>
      <c r="AK2419" t="s">
        <v>1460</v>
      </c>
      <c r="AL2419">
        <v>-92.718064999999996</v>
      </c>
      <c r="AM2419">
        <v>100</v>
      </c>
      <c r="AN2419">
        <v>1700</v>
      </c>
      <c r="AO2419" t="s">
        <v>118</v>
      </c>
      <c r="AP2419">
        <v>-106</v>
      </c>
      <c r="AQ2419">
        <v>77</v>
      </c>
      <c r="AR2419">
        <v>-64</v>
      </c>
      <c r="AZ2419">
        <v>1200</v>
      </c>
      <c r="BA2419">
        <v>1</v>
      </c>
      <c r="BB2419" t="str">
        <f t="shared" si="118"/>
        <v xml:space="preserve">N8080G  </v>
      </c>
      <c r="BC2419">
        <v>1</v>
      </c>
      <c r="BE2419">
        <v>0</v>
      </c>
      <c r="BF2419">
        <v>0</v>
      </c>
      <c r="BG2419">
        <v>0</v>
      </c>
      <c r="BH2419">
        <v>1700</v>
      </c>
      <c r="BI2419">
        <v>1</v>
      </c>
      <c r="BJ2419">
        <v>1</v>
      </c>
      <c r="BK2419">
        <v>1</v>
      </c>
      <c r="BL2419">
        <v>0</v>
      </c>
      <c r="BO2419">
        <v>0</v>
      </c>
      <c r="BP2419">
        <v>0</v>
      </c>
      <c r="BW2419" t="str">
        <f>"20:27:24.903"</f>
        <v>20:27:24.903</v>
      </c>
      <c r="BZ2419">
        <v>0</v>
      </c>
      <c r="CA2419">
        <v>2016</v>
      </c>
      <c r="CB2419">
        <v>224</v>
      </c>
      <c r="CD2419">
        <v>1</v>
      </c>
      <c r="CE2419">
        <v>0</v>
      </c>
      <c r="CF2419">
        <v>0</v>
      </c>
      <c r="CG2419">
        <v>1</v>
      </c>
      <c r="CH2419">
        <v>0</v>
      </c>
      <c r="CI2419">
        <v>0</v>
      </c>
      <c r="CJ2419">
        <v>0</v>
      </c>
      <c r="CK2419">
        <v>2</v>
      </c>
      <c r="CL2419">
        <v>0</v>
      </c>
      <c r="CM2419">
        <v>2</v>
      </c>
      <c r="CN2419">
        <v>0</v>
      </c>
      <c r="CO2419">
        <v>7</v>
      </c>
      <c r="CP2419" t="s">
        <v>119</v>
      </c>
      <c r="CQ2419">
        <v>180</v>
      </c>
      <c r="CR2419">
        <v>3</v>
      </c>
      <c r="CW2419">
        <v>880722</v>
      </c>
      <c r="CY2419">
        <v>1</v>
      </c>
      <c r="CZ2419">
        <v>0</v>
      </c>
      <c r="DA2419">
        <v>0</v>
      </c>
      <c r="DB2419">
        <v>0</v>
      </c>
      <c r="DC2419">
        <v>0</v>
      </c>
      <c r="DD2419">
        <v>0</v>
      </c>
      <c r="DE2419">
        <v>0</v>
      </c>
      <c r="DF2419">
        <v>0</v>
      </c>
      <c r="DG2419">
        <v>0</v>
      </c>
      <c r="DH2419">
        <v>0</v>
      </c>
      <c r="DI2419">
        <v>0</v>
      </c>
    </row>
    <row r="2420" spans="1:113" x14ac:dyDescent="0.3">
      <c r="A2420" t="str">
        <f>"02/08/2021 20:27:22.556"</f>
        <v>02/08/2021 20:27:22.556</v>
      </c>
      <c r="C2420" t="str">
        <f t="shared" si="117"/>
        <v>FFDFD7C0</v>
      </c>
      <c r="D2420" t="s">
        <v>113</v>
      </c>
      <c r="E2420">
        <v>6</v>
      </c>
      <c r="H2420">
        <v>165</v>
      </c>
      <c r="I2420" t="s">
        <v>114</v>
      </c>
      <c r="J2420" t="s">
        <v>115</v>
      </c>
      <c r="K2420">
        <v>0</v>
      </c>
      <c r="L2420">
        <v>3</v>
      </c>
      <c r="M2420">
        <v>0</v>
      </c>
      <c r="N2420">
        <v>2</v>
      </c>
      <c r="O2420">
        <v>1</v>
      </c>
      <c r="P2420">
        <v>0</v>
      </c>
      <c r="Q2420">
        <v>0</v>
      </c>
      <c r="S2420" t="str">
        <f>"20:27:24.898"</f>
        <v>20:27:24.898</v>
      </c>
      <c r="T2420" t="str">
        <f>"20:27:24.498"</f>
        <v>20:27:24.498</v>
      </c>
      <c r="U2420" t="str">
        <f t="shared" si="116"/>
        <v>AB01F4</v>
      </c>
      <c r="V2420">
        <v>0</v>
      </c>
      <c r="W2420">
        <v>0</v>
      </c>
      <c r="X2420">
        <v>2</v>
      </c>
      <c r="Z2420">
        <v>0</v>
      </c>
      <c r="AA2420">
        <v>9</v>
      </c>
      <c r="AB2420">
        <v>3</v>
      </c>
      <c r="AC2420">
        <v>0</v>
      </c>
      <c r="AD2420">
        <v>10</v>
      </c>
      <c r="AE2420">
        <v>0</v>
      </c>
      <c r="AF2420">
        <v>3</v>
      </c>
      <c r="AG2420">
        <v>2</v>
      </c>
      <c r="AH2420">
        <v>0</v>
      </c>
      <c r="AI2420" t="s">
        <v>1459</v>
      </c>
      <c r="AJ2420">
        <v>39.983196</v>
      </c>
      <c r="AK2420" t="s">
        <v>1460</v>
      </c>
      <c r="AL2420">
        <v>-92.718064999999996</v>
      </c>
      <c r="AM2420">
        <v>100</v>
      </c>
      <c r="AN2420">
        <v>1700</v>
      </c>
      <c r="AO2420" t="s">
        <v>118</v>
      </c>
      <c r="AP2420">
        <v>-106</v>
      </c>
      <c r="AQ2420">
        <v>77</v>
      </c>
      <c r="AR2420">
        <v>-64</v>
      </c>
      <c r="AZ2420">
        <v>1200</v>
      </c>
      <c r="BA2420">
        <v>1</v>
      </c>
      <c r="BB2420" t="str">
        <f t="shared" si="118"/>
        <v xml:space="preserve">N8080G  </v>
      </c>
      <c r="BC2420">
        <v>1</v>
      </c>
      <c r="BE2420">
        <v>0</v>
      </c>
      <c r="BF2420">
        <v>0</v>
      </c>
      <c r="BG2420">
        <v>0</v>
      </c>
      <c r="BH2420">
        <v>1700</v>
      </c>
      <c r="BI2420">
        <v>1</v>
      </c>
      <c r="BJ2420">
        <v>1</v>
      </c>
      <c r="BK2420">
        <v>1</v>
      </c>
      <c r="BL2420">
        <v>0</v>
      </c>
      <c r="BO2420">
        <v>0</v>
      </c>
      <c r="BP2420">
        <v>0</v>
      </c>
      <c r="BW2420" t="str">
        <f>"20:27:24.903"</f>
        <v>20:27:24.903</v>
      </c>
      <c r="BZ2420">
        <v>0</v>
      </c>
      <c r="CA2420">
        <v>2016</v>
      </c>
      <c r="CB2420">
        <v>224</v>
      </c>
      <c r="CD2420">
        <v>1</v>
      </c>
      <c r="CE2420">
        <v>0</v>
      </c>
      <c r="CF2420">
        <v>0</v>
      </c>
      <c r="CG2420">
        <v>1</v>
      </c>
      <c r="CH2420">
        <v>0</v>
      </c>
      <c r="CI2420">
        <v>0</v>
      </c>
      <c r="CJ2420">
        <v>0</v>
      </c>
      <c r="CK2420">
        <v>2</v>
      </c>
      <c r="CL2420">
        <v>0</v>
      </c>
      <c r="CM2420">
        <v>2</v>
      </c>
      <c r="CN2420">
        <v>0</v>
      </c>
      <c r="CO2420">
        <v>7</v>
      </c>
      <c r="CP2420" t="s">
        <v>119</v>
      </c>
      <c r="CQ2420">
        <v>180</v>
      </c>
      <c r="CR2420">
        <v>3</v>
      </c>
      <c r="CW2420">
        <v>880722</v>
      </c>
      <c r="CY2420">
        <v>1</v>
      </c>
      <c r="CZ2420">
        <v>0</v>
      </c>
      <c r="DA2420">
        <v>1</v>
      </c>
      <c r="DB2420">
        <v>0</v>
      </c>
      <c r="DC2420">
        <v>0</v>
      </c>
      <c r="DD2420">
        <v>0</v>
      </c>
      <c r="DE2420">
        <v>0</v>
      </c>
      <c r="DF2420">
        <v>0</v>
      </c>
      <c r="DG2420">
        <v>0</v>
      </c>
      <c r="DH2420">
        <v>0</v>
      </c>
      <c r="DI2420">
        <v>0</v>
      </c>
    </row>
    <row r="2421" spans="1:113" x14ac:dyDescent="0.3">
      <c r="A2421" t="str">
        <f>"02/08/2021 20:27:22.556"</f>
        <v>02/08/2021 20:27:22.556</v>
      </c>
      <c r="C2421" t="str">
        <f t="shared" si="117"/>
        <v>FFDFD7C0</v>
      </c>
      <c r="D2421" t="s">
        <v>124</v>
      </c>
      <c r="E2421">
        <v>12</v>
      </c>
      <c r="F2421">
        <v>1012</v>
      </c>
      <c r="G2421" t="s">
        <v>675</v>
      </c>
      <c r="J2421" t="s">
        <v>125</v>
      </c>
      <c r="K2421">
        <v>0</v>
      </c>
      <c r="L2421">
        <v>3</v>
      </c>
      <c r="M2421">
        <v>0</v>
      </c>
      <c r="N2421">
        <v>2</v>
      </c>
      <c r="O2421">
        <v>1</v>
      </c>
      <c r="P2421">
        <v>0</v>
      </c>
      <c r="Q2421">
        <v>0</v>
      </c>
      <c r="S2421" t="str">
        <f>"20:27:24.898"</f>
        <v>20:27:24.898</v>
      </c>
      <c r="T2421" t="str">
        <f>"20:27:24.498"</f>
        <v>20:27:24.498</v>
      </c>
      <c r="U2421" t="str">
        <f t="shared" si="116"/>
        <v>AB01F4</v>
      </c>
      <c r="V2421">
        <v>0</v>
      </c>
      <c r="W2421">
        <v>0</v>
      </c>
      <c r="X2421">
        <v>2</v>
      </c>
      <c r="Z2421">
        <v>0</v>
      </c>
      <c r="AA2421">
        <v>9</v>
      </c>
      <c r="AB2421">
        <v>3</v>
      </c>
      <c r="AC2421">
        <v>0</v>
      </c>
      <c r="AD2421">
        <v>10</v>
      </c>
      <c r="AE2421">
        <v>0</v>
      </c>
      <c r="AF2421">
        <v>3</v>
      </c>
      <c r="AG2421">
        <v>2</v>
      </c>
      <c r="AH2421">
        <v>0</v>
      </c>
      <c r="AI2421" t="s">
        <v>1459</v>
      </c>
      <c r="AJ2421">
        <v>39.983196</v>
      </c>
      <c r="AK2421" t="s">
        <v>1460</v>
      </c>
      <c r="AL2421">
        <v>-92.718064999999996</v>
      </c>
      <c r="AM2421">
        <v>100</v>
      </c>
      <c r="AN2421">
        <v>1700</v>
      </c>
      <c r="AO2421" t="s">
        <v>118</v>
      </c>
      <c r="AP2421">
        <v>-106</v>
      </c>
      <c r="AQ2421">
        <v>77</v>
      </c>
      <c r="AR2421">
        <v>-64</v>
      </c>
      <c r="AZ2421">
        <v>1200</v>
      </c>
      <c r="BA2421">
        <v>1</v>
      </c>
      <c r="BB2421" t="str">
        <f t="shared" si="118"/>
        <v xml:space="preserve">N8080G  </v>
      </c>
      <c r="BC2421">
        <v>1</v>
      </c>
      <c r="BE2421">
        <v>0</v>
      </c>
      <c r="BF2421">
        <v>0</v>
      </c>
      <c r="BG2421">
        <v>0</v>
      </c>
      <c r="BH2421">
        <v>1700</v>
      </c>
      <c r="BI2421">
        <v>1</v>
      </c>
      <c r="BJ2421">
        <v>1</v>
      </c>
      <c r="BK2421">
        <v>1</v>
      </c>
      <c r="BL2421">
        <v>0</v>
      </c>
      <c r="BO2421">
        <v>0</v>
      </c>
      <c r="BP2421">
        <v>0</v>
      </c>
      <c r="BW2421" t="str">
        <f>"20:27:24.903"</f>
        <v>20:27:24.903</v>
      </c>
      <c r="BZ2421">
        <v>0</v>
      </c>
      <c r="CA2421">
        <v>2016</v>
      </c>
      <c r="CB2421">
        <v>224</v>
      </c>
      <c r="CD2421">
        <v>1</v>
      </c>
      <c r="CE2421">
        <v>0</v>
      </c>
      <c r="CF2421">
        <v>0</v>
      </c>
      <c r="CG2421">
        <v>1</v>
      </c>
      <c r="CH2421">
        <v>0</v>
      </c>
      <c r="CI2421">
        <v>0</v>
      </c>
      <c r="CJ2421">
        <v>0</v>
      </c>
      <c r="CK2421">
        <v>2</v>
      </c>
      <c r="CL2421">
        <v>0</v>
      </c>
      <c r="CM2421">
        <v>2</v>
      </c>
      <c r="CN2421">
        <v>0</v>
      </c>
      <c r="CO2421">
        <v>7</v>
      </c>
      <c r="CP2421" t="s">
        <v>119</v>
      </c>
      <c r="CQ2421">
        <v>180</v>
      </c>
      <c r="CR2421">
        <v>3</v>
      </c>
      <c r="CW2421">
        <v>880722</v>
      </c>
      <c r="CY2421">
        <v>1</v>
      </c>
      <c r="CZ2421">
        <v>0</v>
      </c>
      <c r="DA2421">
        <v>1</v>
      </c>
      <c r="DB2421">
        <v>0</v>
      </c>
      <c r="DC2421">
        <v>0</v>
      </c>
      <c r="DD2421">
        <v>0</v>
      </c>
      <c r="DE2421">
        <v>0</v>
      </c>
      <c r="DF2421">
        <v>0</v>
      </c>
      <c r="DG2421">
        <v>0</v>
      </c>
      <c r="DH2421">
        <v>0</v>
      </c>
      <c r="DI2421">
        <v>0</v>
      </c>
    </row>
    <row r="2422" spans="1:113" x14ac:dyDescent="0.3">
      <c r="A2422" t="str">
        <f>"02/08/2021 20:27:22.556"</f>
        <v>02/08/2021 20:27:22.556</v>
      </c>
      <c r="C2422" t="str">
        <f t="shared" si="117"/>
        <v>FFDFD7C0</v>
      </c>
      <c r="D2422" t="s">
        <v>124</v>
      </c>
      <c r="E2422">
        <v>13</v>
      </c>
      <c r="F2422">
        <v>1013</v>
      </c>
      <c r="G2422" t="s">
        <v>114</v>
      </c>
      <c r="J2422" t="s">
        <v>125</v>
      </c>
      <c r="K2422">
        <v>0</v>
      </c>
      <c r="L2422">
        <v>3</v>
      </c>
      <c r="M2422">
        <v>0</v>
      </c>
      <c r="N2422">
        <v>2</v>
      </c>
      <c r="O2422">
        <v>1</v>
      </c>
      <c r="P2422">
        <v>0</v>
      </c>
      <c r="Q2422">
        <v>0</v>
      </c>
      <c r="S2422" t="str">
        <f>"20:27:24.898"</f>
        <v>20:27:24.898</v>
      </c>
      <c r="T2422" t="str">
        <f>"20:27:24.498"</f>
        <v>20:27:24.498</v>
      </c>
      <c r="U2422" t="str">
        <f t="shared" si="116"/>
        <v>AB01F4</v>
      </c>
      <c r="V2422">
        <v>0</v>
      </c>
      <c r="W2422">
        <v>0</v>
      </c>
      <c r="X2422">
        <v>2</v>
      </c>
      <c r="Z2422">
        <v>0</v>
      </c>
      <c r="AA2422">
        <v>9</v>
      </c>
      <c r="AB2422">
        <v>3</v>
      </c>
      <c r="AC2422">
        <v>0</v>
      </c>
      <c r="AD2422">
        <v>10</v>
      </c>
      <c r="AE2422">
        <v>0</v>
      </c>
      <c r="AF2422">
        <v>3</v>
      </c>
      <c r="AG2422">
        <v>2</v>
      </c>
      <c r="AH2422">
        <v>0</v>
      </c>
      <c r="AI2422" t="s">
        <v>1459</v>
      </c>
      <c r="AJ2422">
        <v>39.983196</v>
      </c>
      <c r="AK2422" t="s">
        <v>1460</v>
      </c>
      <c r="AL2422">
        <v>-92.718064999999996</v>
      </c>
      <c r="AM2422">
        <v>100</v>
      </c>
      <c r="AN2422">
        <v>1700</v>
      </c>
      <c r="AO2422" t="s">
        <v>118</v>
      </c>
      <c r="AP2422">
        <v>-106</v>
      </c>
      <c r="AQ2422">
        <v>77</v>
      </c>
      <c r="AR2422">
        <v>-64</v>
      </c>
      <c r="AZ2422">
        <v>1200</v>
      </c>
      <c r="BA2422">
        <v>1</v>
      </c>
      <c r="BB2422" t="str">
        <f t="shared" si="118"/>
        <v xml:space="preserve">N8080G  </v>
      </c>
      <c r="BC2422">
        <v>1</v>
      </c>
      <c r="BE2422">
        <v>0</v>
      </c>
      <c r="BF2422">
        <v>0</v>
      </c>
      <c r="BG2422">
        <v>0</v>
      </c>
      <c r="BH2422">
        <v>1700</v>
      </c>
      <c r="BI2422">
        <v>1</v>
      </c>
      <c r="BJ2422">
        <v>1</v>
      </c>
      <c r="BK2422">
        <v>1</v>
      </c>
      <c r="BL2422">
        <v>0</v>
      </c>
      <c r="BO2422">
        <v>0</v>
      </c>
      <c r="BP2422">
        <v>0</v>
      </c>
      <c r="BW2422" t="str">
        <f>"20:27:24.903"</f>
        <v>20:27:24.903</v>
      </c>
      <c r="BZ2422">
        <v>0</v>
      </c>
      <c r="CA2422">
        <v>2016</v>
      </c>
      <c r="CB2422">
        <v>224</v>
      </c>
      <c r="CD2422">
        <v>1</v>
      </c>
      <c r="CE2422">
        <v>0</v>
      </c>
      <c r="CF2422">
        <v>0</v>
      </c>
      <c r="CG2422">
        <v>1</v>
      </c>
      <c r="CH2422">
        <v>0</v>
      </c>
      <c r="CI2422">
        <v>0</v>
      </c>
      <c r="CJ2422">
        <v>0</v>
      </c>
      <c r="CK2422">
        <v>2</v>
      </c>
      <c r="CL2422">
        <v>0</v>
      </c>
      <c r="CM2422">
        <v>2</v>
      </c>
      <c r="CN2422">
        <v>0</v>
      </c>
      <c r="CO2422">
        <v>7</v>
      </c>
      <c r="CP2422" t="s">
        <v>119</v>
      </c>
      <c r="CQ2422">
        <v>180</v>
      </c>
      <c r="CR2422">
        <v>3</v>
      </c>
      <c r="CW2422">
        <v>880722</v>
      </c>
      <c r="CY2422">
        <v>1</v>
      </c>
      <c r="CZ2422">
        <v>0</v>
      </c>
      <c r="DA2422">
        <v>1</v>
      </c>
      <c r="DB2422">
        <v>0</v>
      </c>
      <c r="DC2422">
        <v>0</v>
      </c>
      <c r="DD2422">
        <v>0</v>
      </c>
      <c r="DE2422">
        <v>0</v>
      </c>
      <c r="DF2422">
        <v>0</v>
      </c>
      <c r="DG2422">
        <v>0</v>
      </c>
      <c r="DH2422">
        <v>0</v>
      </c>
      <c r="DI2422">
        <v>0</v>
      </c>
    </row>
    <row r="2423" spans="1:113" x14ac:dyDescent="0.3">
      <c r="A2423" t="str">
        <f>"02/08/2021 20:27:23.551"</f>
        <v>02/08/2021 20:27:23.551</v>
      </c>
      <c r="C2423" t="str">
        <f t="shared" si="117"/>
        <v>FFDFD7C0</v>
      </c>
      <c r="D2423" t="s">
        <v>124</v>
      </c>
      <c r="E2423">
        <v>13</v>
      </c>
      <c r="F2423">
        <v>1013</v>
      </c>
      <c r="G2423" t="s">
        <v>114</v>
      </c>
      <c r="J2423" t="s">
        <v>125</v>
      </c>
      <c r="K2423">
        <v>0</v>
      </c>
      <c r="L2423">
        <v>3</v>
      </c>
      <c r="M2423">
        <v>0</v>
      </c>
      <c r="N2423">
        <v>2</v>
      </c>
      <c r="O2423">
        <v>1</v>
      </c>
      <c r="P2423">
        <v>0</v>
      </c>
      <c r="Q2423">
        <v>0</v>
      </c>
      <c r="S2423" t="str">
        <f>"20:27:25.891"</f>
        <v>20:27:25.891</v>
      </c>
      <c r="T2423" t="str">
        <f>"20:27:24.991"</f>
        <v>20:27:24.991</v>
      </c>
      <c r="U2423" t="str">
        <f t="shared" si="116"/>
        <v>AB01F4</v>
      </c>
      <c r="V2423">
        <v>0</v>
      </c>
      <c r="W2423">
        <v>0</v>
      </c>
      <c r="X2423">
        <v>2</v>
      </c>
      <c r="Z2423">
        <v>0</v>
      </c>
      <c r="AA2423">
        <v>9</v>
      </c>
      <c r="AB2423">
        <v>3</v>
      </c>
      <c r="AC2423">
        <v>0</v>
      </c>
      <c r="AD2423">
        <v>10</v>
      </c>
      <c r="AE2423">
        <v>0</v>
      </c>
      <c r="AF2423">
        <v>3</v>
      </c>
      <c r="AG2423">
        <v>2</v>
      </c>
      <c r="AH2423">
        <v>0</v>
      </c>
      <c r="AI2423" t="s">
        <v>1461</v>
      </c>
      <c r="AJ2423">
        <v>39.983539999999998</v>
      </c>
      <c r="AK2423" t="s">
        <v>1462</v>
      </c>
      <c r="AL2423">
        <v>-92.718687000000003</v>
      </c>
      <c r="AM2423">
        <v>100</v>
      </c>
      <c r="AN2423">
        <v>1700</v>
      </c>
      <c r="AO2423" t="s">
        <v>118</v>
      </c>
      <c r="AP2423">
        <v>-106</v>
      </c>
      <c r="AQ2423">
        <v>77</v>
      </c>
      <c r="AR2423">
        <v>-64</v>
      </c>
      <c r="AZ2423">
        <v>1200</v>
      </c>
      <c r="BA2423">
        <v>1</v>
      </c>
      <c r="BB2423" t="str">
        <f t="shared" si="118"/>
        <v xml:space="preserve">N8080G  </v>
      </c>
      <c r="BC2423">
        <v>1</v>
      </c>
      <c r="BE2423">
        <v>0</v>
      </c>
      <c r="BF2423">
        <v>0</v>
      </c>
      <c r="BG2423">
        <v>0</v>
      </c>
      <c r="BH2423">
        <v>1700</v>
      </c>
      <c r="BI2423">
        <v>1</v>
      </c>
      <c r="BJ2423">
        <v>1</v>
      </c>
      <c r="BK2423">
        <v>1</v>
      </c>
      <c r="BL2423">
        <v>0</v>
      </c>
      <c r="BO2423">
        <v>0</v>
      </c>
      <c r="BP2423">
        <v>0</v>
      </c>
      <c r="BW2423" t="str">
        <f>"20:27:25.892"</f>
        <v>20:27:25.892</v>
      </c>
      <c r="BZ2423">
        <v>0</v>
      </c>
      <c r="CA2423">
        <v>2016</v>
      </c>
      <c r="CB2423">
        <v>224</v>
      </c>
      <c r="CD2423">
        <v>1</v>
      </c>
      <c r="CE2423">
        <v>0</v>
      </c>
      <c r="CF2423">
        <v>0</v>
      </c>
      <c r="CG2423">
        <v>1</v>
      </c>
      <c r="CH2423">
        <v>0</v>
      </c>
      <c r="CI2423">
        <v>0</v>
      </c>
      <c r="CJ2423">
        <v>0</v>
      </c>
      <c r="CK2423">
        <v>2</v>
      </c>
      <c r="CL2423">
        <v>0</v>
      </c>
      <c r="CM2423">
        <v>2</v>
      </c>
      <c r="CN2423">
        <v>0</v>
      </c>
      <c r="CO2423">
        <v>4</v>
      </c>
      <c r="CP2423" t="s">
        <v>119</v>
      </c>
      <c r="CQ2423">
        <v>179</v>
      </c>
      <c r="CR2423">
        <v>1</v>
      </c>
      <c r="CW2423">
        <v>8974382</v>
      </c>
      <c r="CY2423">
        <v>1</v>
      </c>
      <c r="CZ2423">
        <v>0</v>
      </c>
      <c r="DA2423">
        <v>0</v>
      </c>
      <c r="DB2423">
        <v>0</v>
      </c>
      <c r="DC2423">
        <v>0</v>
      </c>
      <c r="DD2423">
        <v>0</v>
      </c>
      <c r="DE2423">
        <v>0</v>
      </c>
      <c r="DF2423">
        <v>0</v>
      </c>
      <c r="DG2423">
        <v>0</v>
      </c>
      <c r="DH2423">
        <v>0</v>
      </c>
      <c r="DI2423">
        <v>0</v>
      </c>
    </row>
    <row r="2424" spans="1:113" x14ac:dyDescent="0.3">
      <c r="A2424" t="str">
        <f>"02/08/2021 20:27:23.551"</f>
        <v>02/08/2021 20:27:23.551</v>
      </c>
      <c r="C2424" t="str">
        <f t="shared" si="117"/>
        <v>FFDFD7C0</v>
      </c>
      <c r="D2424" t="s">
        <v>124</v>
      </c>
      <c r="E2424">
        <v>11</v>
      </c>
      <c r="F2424">
        <v>1011</v>
      </c>
      <c r="G2424" t="s">
        <v>590</v>
      </c>
      <c r="J2424" t="s">
        <v>125</v>
      </c>
      <c r="K2424">
        <v>0</v>
      </c>
      <c r="L2424">
        <v>3</v>
      </c>
      <c r="M2424">
        <v>0</v>
      </c>
      <c r="N2424">
        <v>2</v>
      </c>
      <c r="O2424">
        <v>1</v>
      </c>
      <c r="P2424">
        <v>0</v>
      </c>
      <c r="Q2424">
        <v>0</v>
      </c>
      <c r="S2424" t="str">
        <f>"20:27:25.891"</f>
        <v>20:27:25.891</v>
      </c>
      <c r="T2424" t="str">
        <f>"20:27:24.991"</f>
        <v>20:27:24.991</v>
      </c>
      <c r="U2424" t="str">
        <f t="shared" si="116"/>
        <v>AB01F4</v>
      </c>
      <c r="V2424">
        <v>0</v>
      </c>
      <c r="W2424">
        <v>0</v>
      </c>
      <c r="X2424">
        <v>2</v>
      </c>
      <c r="Z2424">
        <v>0</v>
      </c>
      <c r="AA2424">
        <v>9</v>
      </c>
      <c r="AB2424">
        <v>3</v>
      </c>
      <c r="AC2424">
        <v>0</v>
      </c>
      <c r="AD2424">
        <v>10</v>
      </c>
      <c r="AE2424">
        <v>0</v>
      </c>
      <c r="AF2424">
        <v>3</v>
      </c>
      <c r="AG2424">
        <v>2</v>
      </c>
      <c r="AH2424">
        <v>0</v>
      </c>
      <c r="AI2424" t="s">
        <v>1461</v>
      </c>
      <c r="AJ2424">
        <v>39.983539999999998</v>
      </c>
      <c r="AK2424" t="s">
        <v>1462</v>
      </c>
      <c r="AL2424">
        <v>-92.718687000000003</v>
      </c>
      <c r="AM2424">
        <v>100</v>
      </c>
      <c r="AN2424">
        <v>1700</v>
      </c>
      <c r="AO2424" t="s">
        <v>118</v>
      </c>
      <c r="AP2424">
        <v>-106</v>
      </c>
      <c r="AQ2424">
        <v>77</v>
      </c>
      <c r="AR2424">
        <v>-64</v>
      </c>
      <c r="AZ2424">
        <v>1200</v>
      </c>
      <c r="BA2424">
        <v>1</v>
      </c>
      <c r="BB2424" t="str">
        <f t="shared" si="118"/>
        <v xml:space="preserve">N8080G  </v>
      </c>
      <c r="BC2424">
        <v>1</v>
      </c>
      <c r="BE2424">
        <v>0</v>
      </c>
      <c r="BF2424">
        <v>0</v>
      </c>
      <c r="BG2424">
        <v>0</v>
      </c>
      <c r="BH2424">
        <v>1700</v>
      </c>
      <c r="BI2424">
        <v>1</v>
      </c>
      <c r="BJ2424">
        <v>1</v>
      </c>
      <c r="BK2424">
        <v>1</v>
      </c>
      <c r="BL2424">
        <v>0</v>
      </c>
      <c r="BO2424">
        <v>0</v>
      </c>
      <c r="BP2424">
        <v>0</v>
      </c>
      <c r="BW2424" t="str">
        <f>"20:27:25.892"</f>
        <v>20:27:25.892</v>
      </c>
      <c r="BZ2424">
        <v>0</v>
      </c>
      <c r="CA2424">
        <v>2016</v>
      </c>
      <c r="CB2424">
        <v>224</v>
      </c>
      <c r="CD2424">
        <v>1</v>
      </c>
      <c r="CE2424">
        <v>0</v>
      </c>
      <c r="CF2424">
        <v>0</v>
      </c>
      <c r="CG2424">
        <v>1</v>
      </c>
      <c r="CH2424">
        <v>0</v>
      </c>
      <c r="CI2424">
        <v>0</v>
      </c>
      <c r="CJ2424">
        <v>0</v>
      </c>
      <c r="CK2424">
        <v>2</v>
      </c>
      <c r="CL2424">
        <v>0</v>
      </c>
      <c r="CM2424">
        <v>2</v>
      </c>
      <c r="CN2424">
        <v>0</v>
      </c>
      <c r="CO2424">
        <v>4</v>
      </c>
      <c r="CP2424" t="s">
        <v>119</v>
      </c>
      <c r="CQ2424">
        <v>179</v>
      </c>
      <c r="CR2424">
        <v>1</v>
      </c>
      <c r="CW2424">
        <v>8974382</v>
      </c>
      <c r="CY2424">
        <v>1</v>
      </c>
      <c r="CZ2424">
        <v>0</v>
      </c>
      <c r="DA2424">
        <v>1</v>
      </c>
      <c r="DB2424">
        <v>0</v>
      </c>
      <c r="DC2424">
        <v>0</v>
      </c>
      <c r="DD2424">
        <v>0</v>
      </c>
      <c r="DE2424">
        <v>0</v>
      </c>
      <c r="DF2424">
        <v>0</v>
      </c>
      <c r="DG2424">
        <v>0</v>
      </c>
      <c r="DH2424">
        <v>0</v>
      </c>
      <c r="DI2424">
        <v>0</v>
      </c>
    </row>
    <row r="2425" spans="1:113" x14ac:dyDescent="0.3">
      <c r="A2425" t="str">
        <f>"02/08/2021 20:27:23.551"</f>
        <v>02/08/2021 20:27:23.551</v>
      </c>
      <c r="C2425" t="str">
        <f t="shared" si="117"/>
        <v>FFDFD7C0</v>
      </c>
      <c r="D2425" t="s">
        <v>124</v>
      </c>
      <c r="E2425">
        <v>12</v>
      </c>
      <c r="F2425">
        <v>1012</v>
      </c>
      <c r="G2425" t="s">
        <v>675</v>
      </c>
      <c r="J2425" t="s">
        <v>125</v>
      </c>
      <c r="K2425">
        <v>0</v>
      </c>
      <c r="L2425">
        <v>3</v>
      </c>
      <c r="M2425">
        <v>0</v>
      </c>
      <c r="N2425">
        <v>2</v>
      </c>
      <c r="O2425">
        <v>1</v>
      </c>
      <c r="P2425">
        <v>0</v>
      </c>
      <c r="Q2425">
        <v>0</v>
      </c>
      <c r="S2425" t="str">
        <f>"20:27:25.891"</f>
        <v>20:27:25.891</v>
      </c>
      <c r="T2425" t="str">
        <f>"20:27:24.991"</f>
        <v>20:27:24.991</v>
      </c>
      <c r="U2425" t="str">
        <f t="shared" si="116"/>
        <v>AB01F4</v>
      </c>
      <c r="V2425">
        <v>0</v>
      </c>
      <c r="W2425">
        <v>0</v>
      </c>
      <c r="X2425">
        <v>2</v>
      </c>
      <c r="Z2425">
        <v>0</v>
      </c>
      <c r="AA2425">
        <v>9</v>
      </c>
      <c r="AB2425">
        <v>3</v>
      </c>
      <c r="AC2425">
        <v>0</v>
      </c>
      <c r="AD2425">
        <v>10</v>
      </c>
      <c r="AE2425">
        <v>0</v>
      </c>
      <c r="AF2425">
        <v>3</v>
      </c>
      <c r="AG2425">
        <v>2</v>
      </c>
      <c r="AH2425">
        <v>0</v>
      </c>
      <c r="AI2425" t="s">
        <v>1461</v>
      </c>
      <c r="AJ2425">
        <v>39.983539999999998</v>
      </c>
      <c r="AK2425" t="s">
        <v>1462</v>
      </c>
      <c r="AL2425">
        <v>-92.718687000000003</v>
      </c>
      <c r="AM2425">
        <v>100</v>
      </c>
      <c r="AN2425">
        <v>1700</v>
      </c>
      <c r="AO2425" t="s">
        <v>118</v>
      </c>
      <c r="AP2425">
        <v>-106</v>
      </c>
      <c r="AQ2425">
        <v>77</v>
      </c>
      <c r="AR2425">
        <v>-64</v>
      </c>
      <c r="AZ2425">
        <v>1200</v>
      </c>
      <c r="BA2425">
        <v>1</v>
      </c>
      <c r="BB2425" t="str">
        <f t="shared" si="118"/>
        <v xml:space="preserve">N8080G  </v>
      </c>
      <c r="BC2425">
        <v>1</v>
      </c>
      <c r="BE2425">
        <v>0</v>
      </c>
      <c r="BF2425">
        <v>0</v>
      </c>
      <c r="BG2425">
        <v>0</v>
      </c>
      <c r="BH2425">
        <v>1700</v>
      </c>
      <c r="BI2425">
        <v>1</v>
      </c>
      <c r="BJ2425">
        <v>1</v>
      </c>
      <c r="BK2425">
        <v>1</v>
      </c>
      <c r="BL2425">
        <v>0</v>
      </c>
      <c r="BO2425">
        <v>0</v>
      </c>
      <c r="BP2425">
        <v>0</v>
      </c>
      <c r="BW2425" t="str">
        <f>"20:27:25.892"</f>
        <v>20:27:25.892</v>
      </c>
      <c r="BZ2425">
        <v>0</v>
      </c>
      <c r="CA2425">
        <v>2016</v>
      </c>
      <c r="CB2425">
        <v>224</v>
      </c>
      <c r="CD2425">
        <v>1</v>
      </c>
      <c r="CE2425">
        <v>0</v>
      </c>
      <c r="CF2425">
        <v>0</v>
      </c>
      <c r="CG2425">
        <v>1</v>
      </c>
      <c r="CH2425">
        <v>0</v>
      </c>
      <c r="CI2425">
        <v>0</v>
      </c>
      <c r="CJ2425">
        <v>0</v>
      </c>
      <c r="CK2425">
        <v>2</v>
      </c>
      <c r="CL2425">
        <v>0</v>
      </c>
      <c r="CM2425">
        <v>2</v>
      </c>
      <c r="CN2425">
        <v>0</v>
      </c>
      <c r="CO2425">
        <v>4</v>
      </c>
      <c r="CP2425" t="s">
        <v>119</v>
      </c>
      <c r="CQ2425">
        <v>179</v>
      </c>
      <c r="CR2425">
        <v>1</v>
      </c>
      <c r="CW2425">
        <v>8974382</v>
      </c>
      <c r="CY2425">
        <v>1</v>
      </c>
      <c r="CZ2425">
        <v>0</v>
      </c>
      <c r="DA2425">
        <v>1</v>
      </c>
      <c r="DB2425">
        <v>0</v>
      </c>
      <c r="DC2425">
        <v>0</v>
      </c>
      <c r="DD2425">
        <v>0</v>
      </c>
      <c r="DE2425">
        <v>0</v>
      </c>
      <c r="DF2425">
        <v>0</v>
      </c>
      <c r="DG2425">
        <v>0</v>
      </c>
      <c r="DH2425">
        <v>0</v>
      </c>
      <c r="DI2425">
        <v>0</v>
      </c>
    </row>
    <row r="2426" spans="1:113" x14ac:dyDescent="0.3">
      <c r="A2426" t="str">
        <f>"02/08/2021 20:27:23.551"</f>
        <v>02/08/2021 20:27:23.551</v>
      </c>
      <c r="C2426" t="str">
        <f t="shared" si="117"/>
        <v>FFDFD7C0</v>
      </c>
      <c r="D2426" t="s">
        <v>113</v>
      </c>
      <c r="E2426">
        <v>6</v>
      </c>
      <c r="H2426">
        <v>165</v>
      </c>
      <c r="I2426" t="s">
        <v>114</v>
      </c>
      <c r="J2426" t="s">
        <v>115</v>
      </c>
      <c r="K2426">
        <v>0</v>
      </c>
      <c r="L2426">
        <v>3</v>
      </c>
      <c r="M2426">
        <v>0</v>
      </c>
      <c r="N2426">
        <v>2</v>
      </c>
      <c r="O2426">
        <v>1</v>
      </c>
      <c r="P2426">
        <v>0</v>
      </c>
      <c r="Q2426">
        <v>0</v>
      </c>
      <c r="S2426" t="str">
        <f>"20:27:25.891"</f>
        <v>20:27:25.891</v>
      </c>
      <c r="T2426" t="str">
        <f>"20:27:24.991"</f>
        <v>20:27:24.991</v>
      </c>
      <c r="U2426" t="str">
        <f t="shared" si="116"/>
        <v>AB01F4</v>
      </c>
      <c r="V2426">
        <v>0</v>
      </c>
      <c r="W2426">
        <v>0</v>
      </c>
      <c r="X2426">
        <v>2</v>
      </c>
      <c r="Z2426">
        <v>0</v>
      </c>
      <c r="AA2426">
        <v>9</v>
      </c>
      <c r="AB2426">
        <v>3</v>
      </c>
      <c r="AC2426">
        <v>0</v>
      </c>
      <c r="AD2426">
        <v>10</v>
      </c>
      <c r="AE2426">
        <v>0</v>
      </c>
      <c r="AF2426">
        <v>3</v>
      </c>
      <c r="AG2426">
        <v>2</v>
      </c>
      <c r="AH2426">
        <v>0</v>
      </c>
      <c r="AI2426" t="s">
        <v>1461</v>
      </c>
      <c r="AJ2426">
        <v>39.983539999999998</v>
      </c>
      <c r="AK2426" t="s">
        <v>1462</v>
      </c>
      <c r="AL2426">
        <v>-92.718687000000003</v>
      </c>
      <c r="AM2426">
        <v>100</v>
      </c>
      <c r="AN2426">
        <v>1700</v>
      </c>
      <c r="AO2426" t="s">
        <v>118</v>
      </c>
      <c r="AP2426">
        <v>-106</v>
      </c>
      <c r="AQ2426">
        <v>77</v>
      </c>
      <c r="AR2426">
        <v>-64</v>
      </c>
      <c r="AZ2426">
        <v>1200</v>
      </c>
      <c r="BA2426">
        <v>1</v>
      </c>
      <c r="BB2426" t="str">
        <f t="shared" si="118"/>
        <v xml:space="preserve">N8080G  </v>
      </c>
      <c r="BC2426">
        <v>1</v>
      </c>
      <c r="BE2426">
        <v>0</v>
      </c>
      <c r="BF2426">
        <v>0</v>
      </c>
      <c r="BG2426">
        <v>0</v>
      </c>
      <c r="BH2426">
        <v>1700</v>
      </c>
      <c r="BI2426">
        <v>1</v>
      </c>
      <c r="BJ2426">
        <v>1</v>
      </c>
      <c r="BK2426">
        <v>1</v>
      </c>
      <c r="BL2426">
        <v>0</v>
      </c>
      <c r="BO2426">
        <v>0</v>
      </c>
      <c r="BP2426">
        <v>0</v>
      </c>
      <c r="BW2426" t="str">
        <f>"20:27:25.892"</f>
        <v>20:27:25.892</v>
      </c>
      <c r="BZ2426">
        <v>0</v>
      </c>
      <c r="CA2426">
        <v>2016</v>
      </c>
      <c r="CB2426">
        <v>224</v>
      </c>
      <c r="CD2426">
        <v>1</v>
      </c>
      <c r="CE2426">
        <v>0</v>
      </c>
      <c r="CF2426">
        <v>0</v>
      </c>
      <c r="CG2426">
        <v>1</v>
      </c>
      <c r="CH2426">
        <v>0</v>
      </c>
      <c r="CI2426">
        <v>0</v>
      </c>
      <c r="CJ2426">
        <v>0</v>
      </c>
      <c r="CK2426">
        <v>2</v>
      </c>
      <c r="CL2426">
        <v>0</v>
      </c>
      <c r="CM2426">
        <v>2</v>
      </c>
      <c r="CN2426">
        <v>0</v>
      </c>
      <c r="CO2426">
        <v>4</v>
      </c>
      <c r="CP2426" t="s">
        <v>119</v>
      </c>
      <c r="CQ2426">
        <v>179</v>
      </c>
      <c r="CR2426">
        <v>1</v>
      </c>
      <c r="CW2426">
        <v>8974382</v>
      </c>
      <c r="CY2426">
        <v>1</v>
      </c>
      <c r="CZ2426">
        <v>0</v>
      </c>
      <c r="DA2426">
        <v>1</v>
      </c>
      <c r="DB2426">
        <v>0</v>
      </c>
      <c r="DC2426">
        <v>0</v>
      </c>
      <c r="DD2426">
        <v>0</v>
      </c>
      <c r="DE2426">
        <v>0</v>
      </c>
      <c r="DF2426">
        <v>0</v>
      </c>
      <c r="DG2426">
        <v>0</v>
      </c>
      <c r="DH2426">
        <v>0</v>
      </c>
      <c r="DI2426">
        <v>0</v>
      </c>
    </row>
    <row r="2427" spans="1:113" x14ac:dyDescent="0.3">
      <c r="A2427" t="str">
        <f>"02/08/2021 20:27:24.556"</f>
        <v>02/08/2021 20:27:24.556</v>
      </c>
      <c r="C2427" t="str">
        <f t="shared" si="117"/>
        <v>FFDFD7C0</v>
      </c>
      <c r="D2427" t="s">
        <v>124</v>
      </c>
      <c r="E2427">
        <v>13</v>
      </c>
      <c r="F2427">
        <v>1013</v>
      </c>
      <c r="G2427" t="s">
        <v>114</v>
      </c>
      <c r="J2427" t="s">
        <v>125</v>
      </c>
      <c r="K2427">
        <v>0</v>
      </c>
      <c r="L2427">
        <v>3</v>
      </c>
      <c r="M2427">
        <v>0</v>
      </c>
      <c r="N2427">
        <v>2</v>
      </c>
      <c r="O2427">
        <v>1</v>
      </c>
      <c r="P2427">
        <v>0</v>
      </c>
      <c r="Q2427">
        <v>0</v>
      </c>
      <c r="S2427" t="str">
        <f>"20:27:26.859"</f>
        <v>20:27:26.859</v>
      </c>
      <c r="T2427" t="str">
        <f>"20:27:26.359"</f>
        <v>20:27:26.359</v>
      </c>
      <c r="U2427" t="str">
        <f t="shared" si="116"/>
        <v>AB01F4</v>
      </c>
      <c r="V2427">
        <v>0</v>
      </c>
      <c r="W2427">
        <v>0</v>
      </c>
      <c r="X2427">
        <v>2</v>
      </c>
      <c r="Z2427">
        <v>0</v>
      </c>
      <c r="AA2427">
        <v>9</v>
      </c>
      <c r="AB2427">
        <v>3</v>
      </c>
      <c r="AC2427">
        <v>0</v>
      </c>
      <c r="AD2427">
        <v>10</v>
      </c>
      <c r="AE2427">
        <v>0</v>
      </c>
      <c r="AF2427">
        <v>3</v>
      </c>
      <c r="AG2427">
        <v>2</v>
      </c>
      <c r="AH2427">
        <v>0</v>
      </c>
      <c r="AI2427" t="s">
        <v>1463</v>
      </c>
      <c r="AJ2427">
        <v>39.983904000000003</v>
      </c>
      <c r="AK2427" t="s">
        <v>1464</v>
      </c>
      <c r="AL2427">
        <v>-92.719374000000002</v>
      </c>
      <c r="AM2427">
        <v>100</v>
      </c>
      <c r="AN2427">
        <v>1700</v>
      </c>
      <c r="AO2427" t="s">
        <v>118</v>
      </c>
      <c r="AP2427">
        <v>-106</v>
      </c>
      <c r="AQ2427">
        <v>77</v>
      </c>
      <c r="AR2427">
        <v>0</v>
      </c>
      <c r="AZ2427">
        <v>1200</v>
      </c>
      <c r="BA2427">
        <v>1</v>
      </c>
      <c r="BB2427" t="str">
        <f t="shared" si="118"/>
        <v xml:space="preserve">N8080G  </v>
      </c>
      <c r="BC2427">
        <v>1</v>
      </c>
      <c r="BE2427">
        <v>0</v>
      </c>
      <c r="BF2427">
        <v>0</v>
      </c>
      <c r="BG2427">
        <v>0</v>
      </c>
      <c r="BH2427">
        <v>1700</v>
      </c>
      <c r="BI2427">
        <v>1</v>
      </c>
      <c r="BJ2427">
        <v>1</v>
      </c>
      <c r="BK2427">
        <v>1</v>
      </c>
      <c r="BL2427">
        <v>0</v>
      </c>
      <c r="BO2427">
        <v>0</v>
      </c>
      <c r="BP2427">
        <v>0</v>
      </c>
      <c r="BW2427" t="str">
        <f>"20:27:26.860"</f>
        <v>20:27:26.860</v>
      </c>
      <c r="BZ2427">
        <v>0</v>
      </c>
      <c r="CA2427">
        <v>2016</v>
      </c>
      <c r="CB2427">
        <v>224</v>
      </c>
      <c r="CD2427">
        <v>1</v>
      </c>
      <c r="CE2427">
        <v>0</v>
      </c>
      <c r="CF2427">
        <v>0</v>
      </c>
      <c r="CG2427">
        <v>1</v>
      </c>
      <c r="CH2427">
        <v>0</v>
      </c>
      <c r="CI2427">
        <v>0</v>
      </c>
      <c r="CJ2427">
        <v>0</v>
      </c>
      <c r="CK2427">
        <v>2</v>
      </c>
      <c r="CL2427">
        <v>0</v>
      </c>
      <c r="CM2427">
        <v>2</v>
      </c>
      <c r="CN2427">
        <v>0</v>
      </c>
      <c r="CO2427">
        <v>4</v>
      </c>
      <c r="CP2427" t="s">
        <v>119</v>
      </c>
      <c r="CQ2427">
        <v>179</v>
      </c>
      <c r="CR2427">
        <v>1</v>
      </c>
      <c r="CW2427">
        <v>8975208</v>
      </c>
      <c r="CY2427">
        <v>1</v>
      </c>
      <c r="CZ2427">
        <v>0</v>
      </c>
      <c r="DA2427">
        <v>0</v>
      </c>
      <c r="DB2427">
        <v>0</v>
      </c>
      <c r="DC2427">
        <v>0</v>
      </c>
      <c r="DD2427">
        <v>0</v>
      </c>
      <c r="DE2427">
        <v>0</v>
      </c>
      <c r="DF2427">
        <v>0</v>
      </c>
      <c r="DG2427">
        <v>0</v>
      </c>
      <c r="DH2427">
        <v>0</v>
      </c>
      <c r="DI2427">
        <v>0</v>
      </c>
    </row>
    <row r="2428" spans="1:113" x14ac:dyDescent="0.3">
      <c r="A2428" t="str">
        <f>"02/08/2021 20:27:24.556"</f>
        <v>02/08/2021 20:27:24.556</v>
      </c>
      <c r="C2428" t="str">
        <f t="shared" si="117"/>
        <v>FFDFD7C0</v>
      </c>
      <c r="D2428" t="s">
        <v>124</v>
      </c>
      <c r="E2428">
        <v>11</v>
      </c>
      <c r="F2428">
        <v>1011</v>
      </c>
      <c r="G2428" t="s">
        <v>590</v>
      </c>
      <c r="J2428" t="s">
        <v>125</v>
      </c>
      <c r="K2428">
        <v>0</v>
      </c>
      <c r="L2428">
        <v>3</v>
      </c>
      <c r="M2428">
        <v>0</v>
      </c>
      <c r="N2428">
        <v>2</v>
      </c>
      <c r="O2428">
        <v>1</v>
      </c>
      <c r="P2428">
        <v>0</v>
      </c>
      <c r="Q2428">
        <v>0</v>
      </c>
      <c r="S2428" t="str">
        <f>"20:27:26.859"</f>
        <v>20:27:26.859</v>
      </c>
      <c r="T2428" t="str">
        <f>"20:27:26.359"</f>
        <v>20:27:26.359</v>
      </c>
      <c r="U2428" t="str">
        <f t="shared" si="116"/>
        <v>AB01F4</v>
      </c>
      <c r="V2428">
        <v>0</v>
      </c>
      <c r="W2428">
        <v>0</v>
      </c>
      <c r="X2428">
        <v>2</v>
      </c>
      <c r="Z2428">
        <v>0</v>
      </c>
      <c r="AA2428">
        <v>9</v>
      </c>
      <c r="AB2428">
        <v>3</v>
      </c>
      <c r="AC2428">
        <v>0</v>
      </c>
      <c r="AD2428">
        <v>10</v>
      </c>
      <c r="AE2428">
        <v>0</v>
      </c>
      <c r="AF2428">
        <v>3</v>
      </c>
      <c r="AG2428">
        <v>2</v>
      </c>
      <c r="AH2428">
        <v>0</v>
      </c>
      <c r="AI2428" t="s">
        <v>1463</v>
      </c>
      <c r="AJ2428">
        <v>39.983904000000003</v>
      </c>
      <c r="AK2428" t="s">
        <v>1464</v>
      </c>
      <c r="AL2428">
        <v>-92.719374000000002</v>
      </c>
      <c r="AM2428">
        <v>100</v>
      </c>
      <c r="AN2428">
        <v>1700</v>
      </c>
      <c r="AO2428" t="s">
        <v>118</v>
      </c>
      <c r="AP2428">
        <v>-106</v>
      </c>
      <c r="AQ2428">
        <v>77</v>
      </c>
      <c r="AR2428">
        <v>0</v>
      </c>
      <c r="AZ2428">
        <v>1200</v>
      </c>
      <c r="BA2428">
        <v>1</v>
      </c>
      <c r="BB2428" t="str">
        <f t="shared" si="118"/>
        <v xml:space="preserve">N8080G  </v>
      </c>
      <c r="BC2428">
        <v>1</v>
      </c>
      <c r="BE2428">
        <v>0</v>
      </c>
      <c r="BF2428">
        <v>0</v>
      </c>
      <c r="BG2428">
        <v>0</v>
      </c>
      <c r="BH2428">
        <v>1700</v>
      </c>
      <c r="BI2428">
        <v>1</v>
      </c>
      <c r="BJ2428">
        <v>1</v>
      </c>
      <c r="BK2428">
        <v>1</v>
      </c>
      <c r="BL2428">
        <v>0</v>
      </c>
      <c r="BO2428">
        <v>0</v>
      </c>
      <c r="BP2428">
        <v>0</v>
      </c>
      <c r="BW2428" t="str">
        <f>"20:27:26.860"</f>
        <v>20:27:26.860</v>
      </c>
      <c r="BZ2428">
        <v>0</v>
      </c>
      <c r="CA2428">
        <v>2016</v>
      </c>
      <c r="CB2428">
        <v>224</v>
      </c>
      <c r="CD2428">
        <v>1</v>
      </c>
      <c r="CE2428">
        <v>0</v>
      </c>
      <c r="CF2428">
        <v>0</v>
      </c>
      <c r="CG2428">
        <v>1</v>
      </c>
      <c r="CH2428">
        <v>0</v>
      </c>
      <c r="CI2428">
        <v>0</v>
      </c>
      <c r="CJ2428">
        <v>0</v>
      </c>
      <c r="CK2428">
        <v>2</v>
      </c>
      <c r="CL2428">
        <v>0</v>
      </c>
      <c r="CM2428">
        <v>2</v>
      </c>
      <c r="CN2428">
        <v>0</v>
      </c>
      <c r="CO2428">
        <v>4</v>
      </c>
      <c r="CP2428" t="s">
        <v>119</v>
      </c>
      <c r="CQ2428">
        <v>179</v>
      </c>
      <c r="CR2428">
        <v>1</v>
      </c>
      <c r="CW2428">
        <v>8975208</v>
      </c>
      <c r="CY2428">
        <v>1</v>
      </c>
      <c r="CZ2428">
        <v>0</v>
      </c>
      <c r="DA2428">
        <v>1</v>
      </c>
      <c r="DB2428">
        <v>0</v>
      </c>
      <c r="DC2428">
        <v>0</v>
      </c>
      <c r="DD2428">
        <v>0</v>
      </c>
      <c r="DE2428">
        <v>0</v>
      </c>
      <c r="DF2428">
        <v>0</v>
      </c>
      <c r="DG2428">
        <v>0</v>
      </c>
      <c r="DH2428">
        <v>0</v>
      </c>
      <c r="DI2428">
        <v>0</v>
      </c>
    </row>
    <row r="2429" spans="1:113" x14ac:dyDescent="0.3">
      <c r="A2429" t="str">
        <f>"02/08/2021 20:27:24.556"</f>
        <v>02/08/2021 20:27:24.556</v>
      </c>
      <c r="C2429" t="str">
        <f t="shared" si="117"/>
        <v>FFDFD7C0</v>
      </c>
      <c r="D2429" t="s">
        <v>124</v>
      </c>
      <c r="E2429">
        <v>12</v>
      </c>
      <c r="F2429">
        <v>1012</v>
      </c>
      <c r="G2429" t="s">
        <v>675</v>
      </c>
      <c r="J2429" t="s">
        <v>125</v>
      </c>
      <c r="K2429">
        <v>0</v>
      </c>
      <c r="L2429">
        <v>3</v>
      </c>
      <c r="M2429">
        <v>0</v>
      </c>
      <c r="N2429">
        <v>2</v>
      </c>
      <c r="O2429">
        <v>1</v>
      </c>
      <c r="P2429">
        <v>0</v>
      </c>
      <c r="Q2429">
        <v>0</v>
      </c>
      <c r="S2429" t="str">
        <f>"20:27:26.859"</f>
        <v>20:27:26.859</v>
      </c>
      <c r="T2429" t="str">
        <f>"20:27:26.359"</f>
        <v>20:27:26.359</v>
      </c>
      <c r="U2429" t="str">
        <f t="shared" si="116"/>
        <v>AB01F4</v>
      </c>
      <c r="V2429">
        <v>0</v>
      </c>
      <c r="W2429">
        <v>0</v>
      </c>
      <c r="X2429">
        <v>2</v>
      </c>
      <c r="Z2429">
        <v>0</v>
      </c>
      <c r="AA2429">
        <v>9</v>
      </c>
      <c r="AB2429">
        <v>3</v>
      </c>
      <c r="AC2429">
        <v>0</v>
      </c>
      <c r="AD2429">
        <v>10</v>
      </c>
      <c r="AE2429">
        <v>0</v>
      </c>
      <c r="AF2429">
        <v>3</v>
      </c>
      <c r="AG2429">
        <v>2</v>
      </c>
      <c r="AH2429">
        <v>0</v>
      </c>
      <c r="AI2429" t="s">
        <v>1463</v>
      </c>
      <c r="AJ2429">
        <v>39.983904000000003</v>
      </c>
      <c r="AK2429" t="s">
        <v>1464</v>
      </c>
      <c r="AL2429">
        <v>-92.719374000000002</v>
      </c>
      <c r="AM2429">
        <v>100</v>
      </c>
      <c r="AN2429">
        <v>1700</v>
      </c>
      <c r="AO2429" t="s">
        <v>118</v>
      </c>
      <c r="AP2429">
        <v>-106</v>
      </c>
      <c r="AQ2429">
        <v>77</v>
      </c>
      <c r="AR2429">
        <v>0</v>
      </c>
      <c r="AZ2429">
        <v>1200</v>
      </c>
      <c r="BA2429">
        <v>1</v>
      </c>
      <c r="BB2429" t="str">
        <f t="shared" si="118"/>
        <v xml:space="preserve">N8080G  </v>
      </c>
      <c r="BC2429">
        <v>1</v>
      </c>
      <c r="BE2429">
        <v>0</v>
      </c>
      <c r="BF2429">
        <v>0</v>
      </c>
      <c r="BG2429">
        <v>0</v>
      </c>
      <c r="BH2429">
        <v>1700</v>
      </c>
      <c r="BI2429">
        <v>1</v>
      </c>
      <c r="BJ2429">
        <v>1</v>
      </c>
      <c r="BK2429">
        <v>1</v>
      </c>
      <c r="BL2429">
        <v>0</v>
      </c>
      <c r="BO2429">
        <v>0</v>
      </c>
      <c r="BP2429">
        <v>0</v>
      </c>
      <c r="BW2429" t="str">
        <f>"20:27:26.860"</f>
        <v>20:27:26.860</v>
      </c>
      <c r="BZ2429">
        <v>0</v>
      </c>
      <c r="CA2429">
        <v>2016</v>
      </c>
      <c r="CB2429">
        <v>224</v>
      </c>
      <c r="CD2429">
        <v>1</v>
      </c>
      <c r="CE2429">
        <v>0</v>
      </c>
      <c r="CF2429">
        <v>0</v>
      </c>
      <c r="CG2429">
        <v>1</v>
      </c>
      <c r="CH2429">
        <v>0</v>
      </c>
      <c r="CI2429">
        <v>0</v>
      </c>
      <c r="CJ2429">
        <v>0</v>
      </c>
      <c r="CK2429">
        <v>2</v>
      </c>
      <c r="CL2429">
        <v>0</v>
      </c>
      <c r="CM2429">
        <v>2</v>
      </c>
      <c r="CN2429">
        <v>0</v>
      </c>
      <c r="CO2429">
        <v>4</v>
      </c>
      <c r="CP2429" t="s">
        <v>119</v>
      </c>
      <c r="CQ2429">
        <v>179</v>
      </c>
      <c r="CR2429">
        <v>1</v>
      </c>
      <c r="CW2429">
        <v>8975208</v>
      </c>
      <c r="CY2429">
        <v>1</v>
      </c>
      <c r="CZ2429">
        <v>0</v>
      </c>
      <c r="DA2429">
        <v>1</v>
      </c>
      <c r="DB2429">
        <v>0</v>
      </c>
      <c r="DC2429">
        <v>0</v>
      </c>
      <c r="DD2429">
        <v>0</v>
      </c>
      <c r="DE2429">
        <v>0</v>
      </c>
      <c r="DF2429">
        <v>0</v>
      </c>
      <c r="DG2429">
        <v>0</v>
      </c>
      <c r="DH2429">
        <v>0</v>
      </c>
      <c r="DI2429">
        <v>0</v>
      </c>
    </row>
    <row r="2430" spans="1:113" x14ac:dyDescent="0.3">
      <c r="A2430" t="str">
        <f>"02/08/2021 20:27:24.556"</f>
        <v>02/08/2021 20:27:24.556</v>
      </c>
      <c r="C2430" t="str">
        <f t="shared" si="117"/>
        <v>FFDFD7C0</v>
      </c>
      <c r="D2430" t="s">
        <v>113</v>
      </c>
      <c r="E2430">
        <v>6</v>
      </c>
      <c r="H2430">
        <v>165</v>
      </c>
      <c r="I2430" t="s">
        <v>114</v>
      </c>
      <c r="J2430" t="s">
        <v>115</v>
      </c>
      <c r="K2430">
        <v>0</v>
      </c>
      <c r="L2430">
        <v>3</v>
      </c>
      <c r="M2430">
        <v>0</v>
      </c>
      <c r="N2430">
        <v>2</v>
      </c>
      <c r="O2430">
        <v>1</v>
      </c>
      <c r="P2430">
        <v>0</v>
      </c>
      <c r="Q2430">
        <v>0</v>
      </c>
      <c r="S2430" t="str">
        <f>"20:27:26.859"</f>
        <v>20:27:26.859</v>
      </c>
      <c r="T2430" t="str">
        <f>"20:27:26.359"</f>
        <v>20:27:26.359</v>
      </c>
      <c r="U2430" t="str">
        <f t="shared" si="116"/>
        <v>AB01F4</v>
      </c>
      <c r="V2430">
        <v>0</v>
      </c>
      <c r="W2430">
        <v>0</v>
      </c>
      <c r="X2430">
        <v>2</v>
      </c>
      <c r="Z2430">
        <v>0</v>
      </c>
      <c r="AA2430">
        <v>9</v>
      </c>
      <c r="AB2430">
        <v>3</v>
      </c>
      <c r="AC2430">
        <v>0</v>
      </c>
      <c r="AD2430">
        <v>10</v>
      </c>
      <c r="AE2430">
        <v>0</v>
      </c>
      <c r="AF2430">
        <v>3</v>
      </c>
      <c r="AG2430">
        <v>2</v>
      </c>
      <c r="AH2430">
        <v>0</v>
      </c>
      <c r="AI2430" t="s">
        <v>1463</v>
      </c>
      <c r="AJ2430">
        <v>39.983904000000003</v>
      </c>
      <c r="AK2430" t="s">
        <v>1464</v>
      </c>
      <c r="AL2430">
        <v>-92.719374000000002</v>
      </c>
      <c r="AM2430">
        <v>100</v>
      </c>
      <c r="AN2430">
        <v>1700</v>
      </c>
      <c r="AO2430" t="s">
        <v>118</v>
      </c>
      <c r="AP2430">
        <v>-106</v>
      </c>
      <c r="AQ2430">
        <v>77</v>
      </c>
      <c r="AR2430">
        <v>0</v>
      </c>
      <c r="AZ2430">
        <v>1200</v>
      </c>
      <c r="BA2430">
        <v>1</v>
      </c>
      <c r="BB2430" t="str">
        <f t="shared" si="118"/>
        <v xml:space="preserve">N8080G  </v>
      </c>
      <c r="BC2430">
        <v>1</v>
      </c>
      <c r="BE2430">
        <v>0</v>
      </c>
      <c r="BF2430">
        <v>0</v>
      </c>
      <c r="BG2430">
        <v>0</v>
      </c>
      <c r="BH2430">
        <v>1700</v>
      </c>
      <c r="BI2430">
        <v>1</v>
      </c>
      <c r="BJ2430">
        <v>1</v>
      </c>
      <c r="BK2430">
        <v>1</v>
      </c>
      <c r="BL2430">
        <v>0</v>
      </c>
      <c r="BO2430">
        <v>0</v>
      </c>
      <c r="BP2430">
        <v>0</v>
      </c>
      <c r="BW2430" t="str">
        <f>"20:27:26.860"</f>
        <v>20:27:26.860</v>
      </c>
      <c r="BZ2430">
        <v>0</v>
      </c>
      <c r="CA2430">
        <v>2016</v>
      </c>
      <c r="CB2430">
        <v>224</v>
      </c>
      <c r="CD2430">
        <v>1</v>
      </c>
      <c r="CE2430">
        <v>0</v>
      </c>
      <c r="CF2430">
        <v>0</v>
      </c>
      <c r="CG2430">
        <v>1</v>
      </c>
      <c r="CH2430">
        <v>0</v>
      </c>
      <c r="CI2430">
        <v>0</v>
      </c>
      <c r="CJ2430">
        <v>0</v>
      </c>
      <c r="CK2430">
        <v>2</v>
      </c>
      <c r="CL2430">
        <v>0</v>
      </c>
      <c r="CM2430">
        <v>2</v>
      </c>
      <c r="CN2430">
        <v>0</v>
      </c>
      <c r="CO2430">
        <v>4</v>
      </c>
      <c r="CP2430" t="s">
        <v>119</v>
      </c>
      <c r="CQ2430">
        <v>179</v>
      </c>
      <c r="CR2430">
        <v>1</v>
      </c>
      <c r="CW2430">
        <v>8975208</v>
      </c>
      <c r="CY2430">
        <v>1</v>
      </c>
      <c r="CZ2430">
        <v>0</v>
      </c>
      <c r="DA2430">
        <v>1</v>
      </c>
      <c r="DB2430">
        <v>0</v>
      </c>
      <c r="DC2430">
        <v>0</v>
      </c>
      <c r="DD2430">
        <v>0</v>
      </c>
      <c r="DE2430">
        <v>0</v>
      </c>
      <c r="DF2430">
        <v>0</v>
      </c>
      <c r="DG2430">
        <v>0</v>
      </c>
      <c r="DH2430">
        <v>0</v>
      </c>
      <c r="DI2430">
        <v>0</v>
      </c>
    </row>
    <row r="2431" spans="1:113" x14ac:dyDescent="0.3">
      <c r="A2431" t="str">
        <f>"02/08/2021 20:27:25.662"</f>
        <v>02/08/2021 20:27:25.662</v>
      </c>
      <c r="C2431" t="str">
        <f t="shared" si="117"/>
        <v>FFDFD7C0</v>
      </c>
      <c r="D2431" t="s">
        <v>124</v>
      </c>
      <c r="E2431">
        <v>13</v>
      </c>
      <c r="F2431">
        <v>1013</v>
      </c>
      <c r="G2431" t="s">
        <v>114</v>
      </c>
      <c r="J2431" t="s">
        <v>125</v>
      </c>
      <c r="K2431">
        <v>0</v>
      </c>
      <c r="L2431">
        <v>3</v>
      </c>
      <c r="M2431">
        <v>0</v>
      </c>
      <c r="N2431">
        <v>2</v>
      </c>
      <c r="O2431">
        <v>1</v>
      </c>
      <c r="P2431">
        <v>0</v>
      </c>
      <c r="Q2431">
        <v>0</v>
      </c>
      <c r="S2431" t="str">
        <f>"20:27:27.984"</f>
        <v>20:27:27.984</v>
      </c>
      <c r="T2431" t="str">
        <f>"20:27:27.484"</f>
        <v>20:27:27.484</v>
      </c>
      <c r="U2431" t="str">
        <f t="shared" si="116"/>
        <v>AB01F4</v>
      </c>
      <c r="V2431">
        <v>0</v>
      </c>
      <c r="W2431">
        <v>0</v>
      </c>
      <c r="X2431">
        <v>2</v>
      </c>
      <c r="Z2431">
        <v>0</v>
      </c>
      <c r="AA2431">
        <v>9</v>
      </c>
      <c r="AB2431">
        <v>3</v>
      </c>
      <c r="AC2431">
        <v>0</v>
      </c>
      <c r="AD2431">
        <v>10</v>
      </c>
      <c r="AE2431">
        <v>0</v>
      </c>
      <c r="AF2431">
        <v>3</v>
      </c>
      <c r="AG2431">
        <v>2</v>
      </c>
      <c r="AH2431">
        <v>0</v>
      </c>
      <c r="AI2431" t="s">
        <v>1465</v>
      </c>
      <c r="AJ2431">
        <v>39.984290999999999</v>
      </c>
      <c r="AK2431" t="s">
        <v>1466</v>
      </c>
      <c r="AL2431">
        <v>-92.720039</v>
      </c>
      <c r="AM2431">
        <v>100</v>
      </c>
      <c r="AN2431">
        <v>1700</v>
      </c>
      <c r="AO2431" t="s">
        <v>118</v>
      </c>
      <c r="AP2431">
        <v>-106</v>
      </c>
      <c r="AQ2431">
        <v>77</v>
      </c>
      <c r="AR2431">
        <v>0</v>
      </c>
      <c r="AZ2431">
        <v>1200</v>
      </c>
      <c r="BA2431">
        <v>1</v>
      </c>
      <c r="BB2431" t="str">
        <f t="shared" si="118"/>
        <v xml:space="preserve">N8080G  </v>
      </c>
      <c r="BC2431">
        <v>1</v>
      </c>
      <c r="BE2431">
        <v>0</v>
      </c>
      <c r="BF2431">
        <v>0</v>
      </c>
      <c r="BG2431">
        <v>0</v>
      </c>
      <c r="BH2431">
        <v>1700</v>
      </c>
      <c r="BI2431">
        <v>1</v>
      </c>
      <c r="BJ2431">
        <v>1</v>
      </c>
      <c r="BK2431">
        <v>1</v>
      </c>
      <c r="BL2431">
        <v>0</v>
      </c>
      <c r="BO2431">
        <v>0</v>
      </c>
      <c r="BP2431">
        <v>0</v>
      </c>
      <c r="BW2431" t="str">
        <f>"20:27:27.987"</f>
        <v>20:27:27.987</v>
      </c>
      <c r="BZ2431">
        <v>0</v>
      </c>
      <c r="CA2431">
        <v>2016</v>
      </c>
      <c r="CB2431">
        <v>224</v>
      </c>
      <c r="CD2431">
        <v>1</v>
      </c>
      <c r="CE2431">
        <v>0</v>
      </c>
      <c r="CF2431">
        <v>0</v>
      </c>
      <c r="CG2431">
        <v>1</v>
      </c>
      <c r="CH2431">
        <v>0</v>
      </c>
      <c r="CI2431">
        <v>0</v>
      </c>
      <c r="CJ2431">
        <v>0</v>
      </c>
      <c r="CK2431">
        <v>2</v>
      </c>
      <c r="CL2431">
        <v>0</v>
      </c>
      <c r="CM2431">
        <v>2</v>
      </c>
      <c r="CN2431">
        <v>0</v>
      </c>
      <c r="CO2431">
        <v>7</v>
      </c>
      <c r="CP2431" t="s">
        <v>119</v>
      </c>
      <c r="CQ2431">
        <v>180</v>
      </c>
      <c r="CR2431">
        <v>2</v>
      </c>
      <c r="CW2431">
        <v>8527997</v>
      </c>
      <c r="CY2431">
        <v>1</v>
      </c>
      <c r="CZ2431">
        <v>0</v>
      </c>
      <c r="DA2431">
        <v>0</v>
      </c>
      <c r="DB2431">
        <v>0</v>
      </c>
      <c r="DC2431">
        <v>0</v>
      </c>
      <c r="DD2431">
        <v>0</v>
      </c>
      <c r="DE2431">
        <v>0</v>
      </c>
      <c r="DF2431">
        <v>0</v>
      </c>
      <c r="DG2431">
        <v>0</v>
      </c>
      <c r="DH2431">
        <v>0</v>
      </c>
      <c r="DI2431">
        <v>0</v>
      </c>
    </row>
    <row r="2432" spans="1:113" x14ac:dyDescent="0.3">
      <c r="A2432" t="str">
        <f>"02/08/2021 20:27:25.662"</f>
        <v>02/08/2021 20:27:25.662</v>
      </c>
      <c r="C2432" t="str">
        <f t="shared" si="117"/>
        <v>FFDFD7C0</v>
      </c>
      <c r="D2432" t="s">
        <v>124</v>
      </c>
      <c r="E2432">
        <v>11</v>
      </c>
      <c r="F2432">
        <v>1011</v>
      </c>
      <c r="G2432" t="s">
        <v>590</v>
      </c>
      <c r="J2432" t="s">
        <v>125</v>
      </c>
      <c r="K2432">
        <v>0</v>
      </c>
      <c r="L2432">
        <v>3</v>
      </c>
      <c r="M2432">
        <v>0</v>
      </c>
      <c r="N2432">
        <v>2</v>
      </c>
      <c r="O2432">
        <v>1</v>
      </c>
      <c r="P2432">
        <v>0</v>
      </c>
      <c r="Q2432">
        <v>0</v>
      </c>
      <c r="S2432" t="str">
        <f>"20:27:27.984"</f>
        <v>20:27:27.984</v>
      </c>
      <c r="T2432" t="str">
        <f>"20:27:27.484"</f>
        <v>20:27:27.484</v>
      </c>
      <c r="U2432" t="str">
        <f t="shared" si="116"/>
        <v>AB01F4</v>
      </c>
      <c r="V2432">
        <v>0</v>
      </c>
      <c r="W2432">
        <v>0</v>
      </c>
      <c r="X2432">
        <v>2</v>
      </c>
      <c r="Z2432">
        <v>0</v>
      </c>
      <c r="AA2432">
        <v>9</v>
      </c>
      <c r="AB2432">
        <v>3</v>
      </c>
      <c r="AC2432">
        <v>0</v>
      </c>
      <c r="AD2432">
        <v>10</v>
      </c>
      <c r="AE2432">
        <v>0</v>
      </c>
      <c r="AF2432">
        <v>3</v>
      </c>
      <c r="AG2432">
        <v>2</v>
      </c>
      <c r="AH2432">
        <v>0</v>
      </c>
      <c r="AI2432" t="s">
        <v>1465</v>
      </c>
      <c r="AJ2432">
        <v>39.984290999999999</v>
      </c>
      <c r="AK2432" t="s">
        <v>1466</v>
      </c>
      <c r="AL2432">
        <v>-92.720039</v>
      </c>
      <c r="AM2432">
        <v>100</v>
      </c>
      <c r="AN2432">
        <v>1700</v>
      </c>
      <c r="AO2432" t="s">
        <v>118</v>
      </c>
      <c r="AP2432">
        <v>-106</v>
      </c>
      <c r="AQ2432">
        <v>77</v>
      </c>
      <c r="AR2432">
        <v>0</v>
      </c>
      <c r="AZ2432">
        <v>1200</v>
      </c>
      <c r="BA2432">
        <v>1</v>
      </c>
      <c r="BB2432" t="str">
        <f t="shared" si="118"/>
        <v xml:space="preserve">N8080G  </v>
      </c>
      <c r="BC2432">
        <v>1</v>
      </c>
      <c r="BE2432">
        <v>0</v>
      </c>
      <c r="BF2432">
        <v>0</v>
      </c>
      <c r="BG2432">
        <v>0</v>
      </c>
      <c r="BH2432">
        <v>1700</v>
      </c>
      <c r="BI2432">
        <v>1</v>
      </c>
      <c r="BJ2432">
        <v>1</v>
      </c>
      <c r="BK2432">
        <v>1</v>
      </c>
      <c r="BL2432">
        <v>0</v>
      </c>
      <c r="BO2432">
        <v>0</v>
      </c>
      <c r="BP2432">
        <v>0</v>
      </c>
      <c r="BW2432" t="str">
        <f>"20:27:27.987"</f>
        <v>20:27:27.987</v>
      </c>
      <c r="BZ2432">
        <v>0</v>
      </c>
      <c r="CA2432">
        <v>2016</v>
      </c>
      <c r="CB2432">
        <v>224</v>
      </c>
      <c r="CD2432">
        <v>1</v>
      </c>
      <c r="CE2432">
        <v>0</v>
      </c>
      <c r="CF2432">
        <v>0</v>
      </c>
      <c r="CG2432">
        <v>1</v>
      </c>
      <c r="CH2432">
        <v>0</v>
      </c>
      <c r="CI2432">
        <v>0</v>
      </c>
      <c r="CJ2432">
        <v>0</v>
      </c>
      <c r="CK2432">
        <v>2</v>
      </c>
      <c r="CL2432">
        <v>0</v>
      </c>
      <c r="CM2432">
        <v>2</v>
      </c>
      <c r="CN2432">
        <v>0</v>
      </c>
      <c r="CO2432">
        <v>7</v>
      </c>
      <c r="CP2432" t="s">
        <v>119</v>
      </c>
      <c r="CQ2432">
        <v>180</v>
      </c>
      <c r="CR2432">
        <v>2</v>
      </c>
      <c r="CW2432">
        <v>8527997</v>
      </c>
      <c r="CY2432">
        <v>1</v>
      </c>
      <c r="CZ2432">
        <v>0</v>
      </c>
      <c r="DA2432">
        <v>1</v>
      </c>
      <c r="DB2432">
        <v>0</v>
      </c>
      <c r="DC2432">
        <v>0</v>
      </c>
      <c r="DD2432">
        <v>0</v>
      </c>
      <c r="DE2432">
        <v>0</v>
      </c>
      <c r="DF2432">
        <v>0</v>
      </c>
      <c r="DG2432">
        <v>0</v>
      </c>
      <c r="DH2432">
        <v>0</v>
      </c>
      <c r="DI2432">
        <v>0</v>
      </c>
    </row>
    <row r="2433" spans="1:113" x14ac:dyDescent="0.3">
      <c r="A2433" t="str">
        <f>"02/08/2021 20:27:25.662"</f>
        <v>02/08/2021 20:27:25.662</v>
      </c>
      <c r="C2433" t="str">
        <f t="shared" si="117"/>
        <v>FFDFD7C0</v>
      </c>
      <c r="D2433" t="s">
        <v>124</v>
      </c>
      <c r="E2433">
        <v>12</v>
      </c>
      <c r="F2433">
        <v>1012</v>
      </c>
      <c r="G2433" t="s">
        <v>675</v>
      </c>
      <c r="J2433" t="s">
        <v>125</v>
      </c>
      <c r="K2433">
        <v>0</v>
      </c>
      <c r="L2433">
        <v>3</v>
      </c>
      <c r="M2433">
        <v>0</v>
      </c>
      <c r="N2433">
        <v>2</v>
      </c>
      <c r="O2433">
        <v>1</v>
      </c>
      <c r="P2433">
        <v>0</v>
      </c>
      <c r="Q2433">
        <v>0</v>
      </c>
      <c r="S2433" t="str">
        <f>"20:27:27.984"</f>
        <v>20:27:27.984</v>
      </c>
      <c r="T2433" t="str">
        <f>"20:27:27.484"</f>
        <v>20:27:27.484</v>
      </c>
      <c r="U2433" t="str">
        <f t="shared" si="116"/>
        <v>AB01F4</v>
      </c>
      <c r="V2433">
        <v>0</v>
      </c>
      <c r="W2433">
        <v>0</v>
      </c>
      <c r="X2433">
        <v>2</v>
      </c>
      <c r="Z2433">
        <v>0</v>
      </c>
      <c r="AA2433">
        <v>9</v>
      </c>
      <c r="AB2433">
        <v>3</v>
      </c>
      <c r="AC2433">
        <v>0</v>
      </c>
      <c r="AD2433">
        <v>10</v>
      </c>
      <c r="AE2433">
        <v>0</v>
      </c>
      <c r="AF2433">
        <v>3</v>
      </c>
      <c r="AG2433">
        <v>2</v>
      </c>
      <c r="AH2433">
        <v>0</v>
      </c>
      <c r="AI2433" t="s">
        <v>1465</v>
      </c>
      <c r="AJ2433">
        <v>39.984290999999999</v>
      </c>
      <c r="AK2433" t="s">
        <v>1466</v>
      </c>
      <c r="AL2433">
        <v>-92.720039</v>
      </c>
      <c r="AM2433">
        <v>100</v>
      </c>
      <c r="AN2433">
        <v>1700</v>
      </c>
      <c r="AO2433" t="s">
        <v>118</v>
      </c>
      <c r="AP2433">
        <v>-106</v>
      </c>
      <c r="AQ2433">
        <v>77</v>
      </c>
      <c r="AR2433">
        <v>0</v>
      </c>
      <c r="AZ2433">
        <v>1200</v>
      </c>
      <c r="BA2433">
        <v>1</v>
      </c>
      <c r="BB2433" t="str">
        <f t="shared" si="118"/>
        <v xml:space="preserve">N8080G  </v>
      </c>
      <c r="BC2433">
        <v>1</v>
      </c>
      <c r="BE2433">
        <v>0</v>
      </c>
      <c r="BF2433">
        <v>0</v>
      </c>
      <c r="BG2433">
        <v>0</v>
      </c>
      <c r="BH2433">
        <v>1700</v>
      </c>
      <c r="BI2433">
        <v>1</v>
      </c>
      <c r="BJ2433">
        <v>1</v>
      </c>
      <c r="BK2433">
        <v>1</v>
      </c>
      <c r="BL2433">
        <v>0</v>
      </c>
      <c r="BO2433">
        <v>0</v>
      </c>
      <c r="BP2433">
        <v>0</v>
      </c>
      <c r="BW2433" t="str">
        <f>"20:27:27.987"</f>
        <v>20:27:27.987</v>
      </c>
      <c r="BZ2433">
        <v>0</v>
      </c>
      <c r="CA2433">
        <v>2016</v>
      </c>
      <c r="CB2433">
        <v>224</v>
      </c>
      <c r="CD2433">
        <v>1</v>
      </c>
      <c r="CE2433">
        <v>0</v>
      </c>
      <c r="CF2433">
        <v>0</v>
      </c>
      <c r="CG2433">
        <v>1</v>
      </c>
      <c r="CH2433">
        <v>0</v>
      </c>
      <c r="CI2433">
        <v>0</v>
      </c>
      <c r="CJ2433">
        <v>0</v>
      </c>
      <c r="CK2433">
        <v>2</v>
      </c>
      <c r="CL2433">
        <v>0</v>
      </c>
      <c r="CM2433">
        <v>2</v>
      </c>
      <c r="CN2433">
        <v>0</v>
      </c>
      <c r="CO2433">
        <v>7</v>
      </c>
      <c r="CP2433" t="s">
        <v>119</v>
      </c>
      <c r="CQ2433">
        <v>180</v>
      </c>
      <c r="CR2433">
        <v>2</v>
      </c>
      <c r="CW2433">
        <v>8527997</v>
      </c>
      <c r="CY2433">
        <v>1</v>
      </c>
      <c r="CZ2433">
        <v>0</v>
      </c>
      <c r="DA2433">
        <v>1</v>
      </c>
      <c r="DB2433">
        <v>0</v>
      </c>
      <c r="DC2433">
        <v>0</v>
      </c>
      <c r="DD2433">
        <v>0</v>
      </c>
      <c r="DE2433">
        <v>0</v>
      </c>
      <c r="DF2433">
        <v>0</v>
      </c>
      <c r="DG2433">
        <v>0</v>
      </c>
      <c r="DH2433">
        <v>0</v>
      </c>
      <c r="DI2433">
        <v>0</v>
      </c>
    </row>
    <row r="2434" spans="1:113" x14ac:dyDescent="0.3">
      <c r="A2434" t="str">
        <f>"02/08/2021 20:27:25.662"</f>
        <v>02/08/2021 20:27:25.662</v>
      </c>
      <c r="C2434" t="str">
        <f t="shared" si="117"/>
        <v>FFDFD7C0</v>
      </c>
      <c r="D2434" t="s">
        <v>113</v>
      </c>
      <c r="E2434">
        <v>6</v>
      </c>
      <c r="H2434">
        <v>165</v>
      </c>
      <c r="I2434" t="s">
        <v>114</v>
      </c>
      <c r="J2434" t="s">
        <v>115</v>
      </c>
      <c r="K2434">
        <v>0</v>
      </c>
      <c r="L2434">
        <v>3</v>
      </c>
      <c r="M2434">
        <v>0</v>
      </c>
      <c r="N2434">
        <v>2</v>
      </c>
      <c r="O2434">
        <v>1</v>
      </c>
      <c r="P2434">
        <v>0</v>
      </c>
      <c r="Q2434">
        <v>0</v>
      </c>
      <c r="S2434" t="str">
        <f>"20:27:27.984"</f>
        <v>20:27:27.984</v>
      </c>
      <c r="T2434" t="str">
        <f>"20:27:27.484"</f>
        <v>20:27:27.484</v>
      </c>
      <c r="U2434" t="str">
        <f t="shared" ref="U2434:U2497" si="119">"AB01F4"</f>
        <v>AB01F4</v>
      </c>
      <c r="V2434">
        <v>0</v>
      </c>
      <c r="W2434">
        <v>0</v>
      </c>
      <c r="X2434">
        <v>2</v>
      </c>
      <c r="Z2434">
        <v>0</v>
      </c>
      <c r="AA2434">
        <v>9</v>
      </c>
      <c r="AB2434">
        <v>3</v>
      </c>
      <c r="AC2434">
        <v>0</v>
      </c>
      <c r="AD2434">
        <v>10</v>
      </c>
      <c r="AE2434">
        <v>0</v>
      </c>
      <c r="AF2434">
        <v>3</v>
      </c>
      <c r="AG2434">
        <v>2</v>
      </c>
      <c r="AH2434">
        <v>0</v>
      </c>
      <c r="AI2434" t="s">
        <v>1465</v>
      </c>
      <c r="AJ2434">
        <v>39.984290999999999</v>
      </c>
      <c r="AK2434" t="s">
        <v>1466</v>
      </c>
      <c r="AL2434">
        <v>-92.720039</v>
      </c>
      <c r="AM2434">
        <v>100</v>
      </c>
      <c r="AN2434">
        <v>1700</v>
      </c>
      <c r="AO2434" t="s">
        <v>118</v>
      </c>
      <c r="AP2434">
        <v>-106</v>
      </c>
      <c r="AQ2434">
        <v>77</v>
      </c>
      <c r="AR2434">
        <v>0</v>
      </c>
      <c r="AZ2434">
        <v>1200</v>
      </c>
      <c r="BA2434">
        <v>1</v>
      </c>
      <c r="BB2434" t="str">
        <f t="shared" si="118"/>
        <v xml:space="preserve">N8080G  </v>
      </c>
      <c r="BC2434">
        <v>1</v>
      </c>
      <c r="BE2434">
        <v>0</v>
      </c>
      <c r="BF2434">
        <v>0</v>
      </c>
      <c r="BG2434">
        <v>0</v>
      </c>
      <c r="BH2434">
        <v>1700</v>
      </c>
      <c r="BI2434">
        <v>1</v>
      </c>
      <c r="BJ2434">
        <v>1</v>
      </c>
      <c r="BK2434">
        <v>1</v>
      </c>
      <c r="BL2434">
        <v>0</v>
      </c>
      <c r="BO2434">
        <v>0</v>
      </c>
      <c r="BP2434">
        <v>0</v>
      </c>
      <c r="BW2434" t="str">
        <f>"20:27:27.987"</f>
        <v>20:27:27.987</v>
      </c>
      <c r="BZ2434">
        <v>0</v>
      </c>
      <c r="CA2434">
        <v>2016</v>
      </c>
      <c r="CB2434">
        <v>224</v>
      </c>
      <c r="CD2434">
        <v>1</v>
      </c>
      <c r="CE2434">
        <v>0</v>
      </c>
      <c r="CF2434">
        <v>0</v>
      </c>
      <c r="CG2434">
        <v>1</v>
      </c>
      <c r="CH2434">
        <v>0</v>
      </c>
      <c r="CI2434">
        <v>0</v>
      </c>
      <c r="CJ2434">
        <v>0</v>
      </c>
      <c r="CK2434">
        <v>2</v>
      </c>
      <c r="CL2434">
        <v>0</v>
      </c>
      <c r="CM2434">
        <v>2</v>
      </c>
      <c r="CN2434">
        <v>0</v>
      </c>
      <c r="CO2434">
        <v>7</v>
      </c>
      <c r="CP2434" t="s">
        <v>119</v>
      </c>
      <c r="CQ2434">
        <v>180</v>
      </c>
      <c r="CR2434">
        <v>2</v>
      </c>
      <c r="CW2434">
        <v>8527997</v>
      </c>
      <c r="CY2434">
        <v>1</v>
      </c>
      <c r="CZ2434">
        <v>0</v>
      </c>
      <c r="DA2434">
        <v>1</v>
      </c>
      <c r="DB2434">
        <v>0</v>
      </c>
      <c r="DC2434">
        <v>0</v>
      </c>
      <c r="DD2434">
        <v>0</v>
      </c>
      <c r="DE2434">
        <v>0</v>
      </c>
      <c r="DF2434">
        <v>0</v>
      </c>
      <c r="DG2434">
        <v>0</v>
      </c>
      <c r="DH2434">
        <v>0</v>
      </c>
      <c r="DI2434">
        <v>0</v>
      </c>
    </row>
    <row r="2435" spans="1:113" x14ac:dyDescent="0.3">
      <c r="A2435" t="str">
        <f>"02/08/2021 20:27:28.544"</f>
        <v>02/08/2021 20:27:28.544</v>
      </c>
      <c r="C2435" t="str">
        <f t="shared" si="117"/>
        <v>FFDFD7C0</v>
      </c>
      <c r="D2435" t="s">
        <v>124</v>
      </c>
      <c r="E2435">
        <v>12</v>
      </c>
      <c r="F2435">
        <v>1012</v>
      </c>
      <c r="G2435" t="s">
        <v>675</v>
      </c>
      <c r="J2435" t="s">
        <v>125</v>
      </c>
      <c r="K2435">
        <v>0</v>
      </c>
      <c r="L2435">
        <v>3</v>
      </c>
      <c r="M2435">
        <v>0</v>
      </c>
      <c r="N2435">
        <v>2</v>
      </c>
      <c r="O2435">
        <v>1</v>
      </c>
      <c r="P2435">
        <v>0</v>
      </c>
      <c r="Q2435">
        <v>0</v>
      </c>
      <c r="S2435" t="str">
        <f>"20:27:30.875"</f>
        <v>20:27:30.875</v>
      </c>
      <c r="T2435" t="str">
        <f>"20:27:30.375"</f>
        <v>20:27:30.375</v>
      </c>
      <c r="U2435" t="str">
        <f t="shared" si="119"/>
        <v>AB01F4</v>
      </c>
      <c r="V2435">
        <v>0</v>
      </c>
      <c r="W2435">
        <v>0</v>
      </c>
      <c r="X2435">
        <v>2</v>
      </c>
      <c r="Z2435">
        <v>0</v>
      </c>
      <c r="AA2435">
        <v>9</v>
      </c>
      <c r="AB2435">
        <v>3</v>
      </c>
      <c r="AC2435">
        <v>0</v>
      </c>
      <c r="AD2435">
        <v>10</v>
      </c>
      <c r="AE2435">
        <v>0</v>
      </c>
      <c r="AF2435">
        <v>3</v>
      </c>
      <c r="AG2435">
        <v>2</v>
      </c>
      <c r="AH2435">
        <v>0</v>
      </c>
      <c r="AI2435" t="s">
        <v>1467</v>
      </c>
      <c r="AJ2435">
        <v>39.985342000000003</v>
      </c>
      <c r="AK2435" t="s">
        <v>1468</v>
      </c>
      <c r="AL2435">
        <v>-92.721926999999994</v>
      </c>
      <c r="AM2435">
        <v>100</v>
      </c>
      <c r="AN2435">
        <v>1700</v>
      </c>
      <c r="AO2435" t="s">
        <v>118</v>
      </c>
      <c r="AP2435">
        <v>-106</v>
      </c>
      <c r="AQ2435">
        <v>77</v>
      </c>
      <c r="AR2435">
        <v>64</v>
      </c>
      <c r="AZ2435">
        <v>1200</v>
      </c>
      <c r="BA2435">
        <v>1</v>
      </c>
      <c r="BB2435" t="str">
        <f t="shared" si="118"/>
        <v xml:space="preserve">N8080G  </v>
      </c>
      <c r="BC2435">
        <v>1</v>
      </c>
      <c r="BE2435">
        <v>0</v>
      </c>
      <c r="BF2435">
        <v>0</v>
      </c>
      <c r="BG2435">
        <v>0</v>
      </c>
      <c r="BH2435">
        <v>1700</v>
      </c>
      <c r="BI2435">
        <v>1</v>
      </c>
      <c r="BJ2435">
        <v>1</v>
      </c>
      <c r="BK2435">
        <v>1</v>
      </c>
      <c r="BL2435">
        <v>0</v>
      </c>
      <c r="BO2435">
        <v>0</v>
      </c>
      <c r="BP2435">
        <v>0</v>
      </c>
      <c r="BW2435" t="str">
        <f>"20:27:30.880"</f>
        <v>20:27:30.880</v>
      </c>
      <c r="BZ2435">
        <v>0</v>
      </c>
      <c r="CA2435">
        <v>2016</v>
      </c>
      <c r="CB2435">
        <v>224</v>
      </c>
      <c r="CD2435">
        <v>1</v>
      </c>
      <c r="CE2435">
        <v>0</v>
      </c>
      <c r="CF2435">
        <v>0</v>
      </c>
      <c r="CG2435">
        <v>1</v>
      </c>
      <c r="CH2435">
        <v>0</v>
      </c>
      <c r="CI2435">
        <v>0</v>
      </c>
      <c r="CJ2435">
        <v>0</v>
      </c>
      <c r="CK2435">
        <v>2</v>
      </c>
      <c r="CL2435">
        <v>0</v>
      </c>
      <c r="CM2435">
        <v>2</v>
      </c>
      <c r="CN2435">
        <v>0</v>
      </c>
      <c r="CO2435">
        <v>7</v>
      </c>
      <c r="CP2435" t="s">
        <v>119</v>
      </c>
      <c r="CQ2435">
        <v>180</v>
      </c>
      <c r="CR2435">
        <v>2</v>
      </c>
      <c r="CW2435">
        <v>8530361</v>
      </c>
      <c r="CY2435">
        <v>1</v>
      </c>
      <c r="CZ2435">
        <v>0</v>
      </c>
      <c r="DA2435">
        <v>0</v>
      </c>
      <c r="DB2435">
        <v>0</v>
      </c>
      <c r="DC2435">
        <v>0</v>
      </c>
      <c r="DD2435">
        <v>0</v>
      </c>
      <c r="DE2435">
        <v>0</v>
      </c>
      <c r="DF2435">
        <v>0</v>
      </c>
      <c r="DG2435">
        <v>0</v>
      </c>
      <c r="DH2435">
        <v>0</v>
      </c>
      <c r="DI2435">
        <v>0</v>
      </c>
    </row>
    <row r="2436" spans="1:113" x14ac:dyDescent="0.3">
      <c r="A2436" t="str">
        <f>"02/08/2021 20:27:28.544"</f>
        <v>02/08/2021 20:27:28.544</v>
      </c>
      <c r="C2436" t="str">
        <f t="shared" si="117"/>
        <v>FFDFD7C0</v>
      </c>
      <c r="D2436" t="s">
        <v>124</v>
      </c>
      <c r="E2436">
        <v>11</v>
      </c>
      <c r="F2436">
        <v>1011</v>
      </c>
      <c r="G2436" t="s">
        <v>590</v>
      </c>
      <c r="J2436" t="s">
        <v>125</v>
      </c>
      <c r="K2436">
        <v>0</v>
      </c>
      <c r="L2436">
        <v>3</v>
      </c>
      <c r="M2436">
        <v>0</v>
      </c>
      <c r="N2436">
        <v>2</v>
      </c>
      <c r="O2436">
        <v>1</v>
      </c>
      <c r="P2436">
        <v>0</v>
      </c>
      <c r="Q2436">
        <v>0</v>
      </c>
      <c r="S2436" t="str">
        <f>"20:27:30.875"</f>
        <v>20:27:30.875</v>
      </c>
      <c r="T2436" t="str">
        <f>"20:27:30.375"</f>
        <v>20:27:30.375</v>
      </c>
      <c r="U2436" t="str">
        <f t="shared" si="119"/>
        <v>AB01F4</v>
      </c>
      <c r="V2436">
        <v>0</v>
      </c>
      <c r="W2436">
        <v>0</v>
      </c>
      <c r="X2436">
        <v>2</v>
      </c>
      <c r="Z2436">
        <v>0</v>
      </c>
      <c r="AA2436">
        <v>9</v>
      </c>
      <c r="AB2436">
        <v>3</v>
      </c>
      <c r="AC2436">
        <v>0</v>
      </c>
      <c r="AD2436">
        <v>10</v>
      </c>
      <c r="AE2436">
        <v>0</v>
      </c>
      <c r="AF2436">
        <v>3</v>
      </c>
      <c r="AG2436">
        <v>2</v>
      </c>
      <c r="AH2436">
        <v>0</v>
      </c>
      <c r="AI2436" t="s">
        <v>1467</v>
      </c>
      <c r="AJ2436">
        <v>39.985342000000003</v>
      </c>
      <c r="AK2436" t="s">
        <v>1468</v>
      </c>
      <c r="AL2436">
        <v>-92.721926999999994</v>
      </c>
      <c r="AM2436">
        <v>100</v>
      </c>
      <c r="AN2436">
        <v>1700</v>
      </c>
      <c r="AO2436" t="s">
        <v>118</v>
      </c>
      <c r="AP2436">
        <v>-106</v>
      </c>
      <c r="AQ2436">
        <v>77</v>
      </c>
      <c r="AR2436">
        <v>64</v>
      </c>
      <c r="AZ2436">
        <v>1200</v>
      </c>
      <c r="BA2436">
        <v>1</v>
      </c>
      <c r="BB2436" t="str">
        <f t="shared" si="118"/>
        <v xml:space="preserve">N8080G  </v>
      </c>
      <c r="BC2436">
        <v>1</v>
      </c>
      <c r="BE2436">
        <v>0</v>
      </c>
      <c r="BF2436">
        <v>0</v>
      </c>
      <c r="BG2436">
        <v>0</v>
      </c>
      <c r="BH2436">
        <v>1700</v>
      </c>
      <c r="BI2436">
        <v>1</v>
      </c>
      <c r="BJ2436">
        <v>1</v>
      </c>
      <c r="BK2436">
        <v>1</v>
      </c>
      <c r="BL2436">
        <v>0</v>
      </c>
      <c r="BO2436">
        <v>0</v>
      </c>
      <c r="BP2436">
        <v>0</v>
      </c>
      <c r="BW2436" t="str">
        <f>"20:27:30.880"</f>
        <v>20:27:30.880</v>
      </c>
      <c r="BZ2436">
        <v>0</v>
      </c>
      <c r="CA2436">
        <v>2016</v>
      </c>
      <c r="CB2436">
        <v>224</v>
      </c>
      <c r="CD2436">
        <v>1</v>
      </c>
      <c r="CE2436">
        <v>0</v>
      </c>
      <c r="CF2436">
        <v>0</v>
      </c>
      <c r="CG2436">
        <v>1</v>
      </c>
      <c r="CH2436">
        <v>0</v>
      </c>
      <c r="CI2436">
        <v>0</v>
      </c>
      <c r="CJ2436">
        <v>0</v>
      </c>
      <c r="CK2436">
        <v>2</v>
      </c>
      <c r="CL2436">
        <v>0</v>
      </c>
      <c r="CM2436">
        <v>2</v>
      </c>
      <c r="CN2436">
        <v>0</v>
      </c>
      <c r="CO2436">
        <v>7</v>
      </c>
      <c r="CP2436" t="s">
        <v>119</v>
      </c>
      <c r="CQ2436">
        <v>180</v>
      </c>
      <c r="CR2436">
        <v>2</v>
      </c>
      <c r="CW2436">
        <v>8530361</v>
      </c>
      <c r="CY2436">
        <v>1</v>
      </c>
      <c r="CZ2436">
        <v>0</v>
      </c>
      <c r="DA2436">
        <v>1</v>
      </c>
      <c r="DB2436">
        <v>0</v>
      </c>
      <c r="DC2436">
        <v>0</v>
      </c>
      <c r="DD2436">
        <v>0</v>
      </c>
      <c r="DE2436">
        <v>0</v>
      </c>
      <c r="DF2436">
        <v>0</v>
      </c>
      <c r="DG2436">
        <v>0</v>
      </c>
      <c r="DH2436">
        <v>0</v>
      </c>
      <c r="DI2436">
        <v>0</v>
      </c>
    </row>
    <row r="2437" spans="1:113" x14ac:dyDescent="0.3">
      <c r="A2437" t="str">
        <f>"02/08/2021 20:27:28.544"</f>
        <v>02/08/2021 20:27:28.544</v>
      </c>
      <c r="C2437" t="str">
        <f t="shared" si="117"/>
        <v>FFDFD7C0</v>
      </c>
      <c r="D2437" t="s">
        <v>124</v>
      </c>
      <c r="E2437">
        <v>13</v>
      </c>
      <c r="F2437">
        <v>1013</v>
      </c>
      <c r="G2437" t="s">
        <v>114</v>
      </c>
      <c r="J2437" t="s">
        <v>125</v>
      </c>
      <c r="K2437">
        <v>0</v>
      </c>
      <c r="L2437">
        <v>3</v>
      </c>
      <c r="M2437">
        <v>0</v>
      </c>
      <c r="N2437">
        <v>2</v>
      </c>
      <c r="O2437">
        <v>1</v>
      </c>
      <c r="P2437">
        <v>0</v>
      </c>
      <c r="Q2437">
        <v>0</v>
      </c>
      <c r="S2437" t="str">
        <f>"20:27:30.875"</f>
        <v>20:27:30.875</v>
      </c>
      <c r="T2437" t="str">
        <f>"20:27:30.375"</f>
        <v>20:27:30.375</v>
      </c>
      <c r="U2437" t="str">
        <f t="shared" si="119"/>
        <v>AB01F4</v>
      </c>
      <c r="V2437">
        <v>0</v>
      </c>
      <c r="W2437">
        <v>0</v>
      </c>
      <c r="X2437">
        <v>2</v>
      </c>
      <c r="Z2437">
        <v>0</v>
      </c>
      <c r="AA2437">
        <v>9</v>
      </c>
      <c r="AB2437">
        <v>3</v>
      </c>
      <c r="AC2437">
        <v>0</v>
      </c>
      <c r="AD2437">
        <v>10</v>
      </c>
      <c r="AE2437">
        <v>0</v>
      </c>
      <c r="AF2437">
        <v>3</v>
      </c>
      <c r="AG2437">
        <v>2</v>
      </c>
      <c r="AH2437">
        <v>0</v>
      </c>
      <c r="AI2437" t="s">
        <v>1467</v>
      </c>
      <c r="AJ2437">
        <v>39.985342000000003</v>
      </c>
      <c r="AK2437" t="s">
        <v>1468</v>
      </c>
      <c r="AL2437">
        <v>-92.721926999999994</v>
      </c>
      <c r="AM2437">
        <v>100</v>
      </c>
      <c r="AN2437">
        <v>1700</v>
      </c>
      <c r="AO2437" t="s">
        <v>118</v>
      </c>
      <c r="AP2437">
        <v>-106</v>
      </c>
      <c r="AQ2437">
        <v>77</v>
      </c>
      <c r="AR2437">
        <v>64</v>
      </c>
      <c r="AZ2437">
        <v>1200</v>
      </c>
      <c r="BA2437">
        <v>1</v>
      </c>
      <c r="BB2437" t="str">
        <f t="shared" si="118"/>
        <v xml:space="preserve">N8080G  </v>
      </c>
      <c r="BC2437">
        <v>1</v>
      </c>
      <c r="BE2437">
        <v>0</v>
      </c>
      <c r="BF2437">
        <v>0</v>
      </c>
      <c r="BG2437">
        <v>0</v>
      </c>
      <c r="BH2437">
        <v>1700</v>
      </c>
      <c r="BI2437">
        <v>1</v>
      </c>
      <c r="BJ2437">
        <v>1</v>
      </c>
      <c r="BK2437">
        <v>1</v>
      </c>
      <c r="BL2437">
        <v>0</v>
      </c>
      <c r="BO2437">
        <v>0</v>
      </c>
      <c r="BP2437">
        <v>0</v>
      </c>
      <c r="BW2437" t="str">
        <f>"20:27:30.880"</f>
        <v>20:27:30.880</v>
      </c>
      <c r="BZ2437">
        <v>0</v>
      </c>
      <c r="CA2437">
        <v>2016</v>
      </c>
      <c r="CB2437">
        <v>224</v>
      </c>
      <c r="CD2437">
        <v>1</v>
      </c>
      <c r="CE2437">
        <v>0</v>
      </c>
      <c r="CF2437">
        <v>0</v>
      </c>
      <c r="CG2437">
        <v>1</v>
      </c>
      <c r="CH2437">
        <v>0</v>
      </c>
      <c r="CI2437">
        <v>0</v>
      </c>
      <c r="CJ2437">
        <v>0</v>
      </c>
      <c r="CK2437">
        <v>2</v>
      </c>
      <c r="CL2437">
        <v>0</v>
      </c>
      <c r="CM2437">
        <v>2</v>
      </c>
      <c r="CN2437">
        <v>0</v>
      </c>
      <c r="CO2437">
        <v>7</v>
      </c>
      <c r="CP2437" t="s">
        <v>119</v>
      </c>
      <c r="CQ2437">
        <v>180</v>
      </c>
      <c r="CR2437">
        <v>2</v>
      </c>
      <c r="CW2437">
        <v>8530361</v>
      </c>
      <c r="CY2437">
        <v>1</v>
      </c>
      <c r="CZ2437">
        <v>0</v>
      </c>
      <c r="DA2437">
        <v>1</v>
      </c>
      <c r="DB2437">
        <v>0</v>
      </c>
      <c r="DC2437">
        <v>0</v>
      </c>
      <c r="DD2437">
        <v>0</v>
      </c>
      <c r="DE2437">
        <v>0</v>
      </c>
      <c r="DF2437">
        <v>0</v>
      </c>
      <c r="DG2437">
        <v>0</v>
      </c>
      <c r="DH2437">
        <v>0</v>
      </c>
      <c r="DI2437">
        <v>0</v>
      </c>
    </row>
    <row r="2438" spans="1:113" x14ac:dyDescent="0.3">
      <c r="A2438" t="str">
        <f>"02/08/2021 20:27:28.544"</f>
        <v>02/08/2021 20:27:28.544</v>
      </c>
      <c r="C2438" t="str">
        <f t="shared" si="117"/>
        <v>FFDFD7C0</v>
      </c>
      <c r="D2438" t="s">
        <v>113</v>
      </c>
      <c r="E2438">
        <v>6</v>
      </c>
      <c r="H2438">
        <v>165</v>
      </c>
      <c r="I2438" t="s">
        <v>114</v>
      </c>
      <c r="J2438" t="s">
        <v>115</v>
      </c>
      <c r="K2438">
        <v>0</v>
      </c>
      <c r="L2438">
        <v>3</v>
      </c>
      <c r="M2438">
        <v>0</v>
      </c>
      <c r="N2438">
        <v>2</v>
      </c>
      <c r="O2438">
        <v>1</v>
      </c>
      <c r="P2438">
        <v>0</v>
      </c>
      <c r="Q2438">
        <v>0</v>
      </c>
      <c r="S2438" t="str">
        <f>"20:27:30.875"</f>
        <v>20:27:30.875</v>
      </c>
      <c r="T2438" t="str">
        <f>"20:27:30.375"</f>
        <v>20:27:30.375</v>
      </c>
      <c r="U2438" t="str">
        <f t="shared" si="119"/>
        <v>AB01F4</v>
      </c>
      <c r="V2438">
        <v>0</v>
      </c>
      <c r="W2438">
        <v>0</v>
      </c>
      <c r="X2438">
        <v>2</v>
      </c>
      <c r="Z2438">
        <v>0</v>
      </c>
      <c r="AA2438">
        <v>9</v>
      </c>
      <c r="AB2438">
        <v>3</v>
      </c>
      <c r="AC2438">
        <v>0</v>
      </c>
      <c r="AD2438">
        <v>10</v>
      </c>
      <c r="AE2438">
        <v>0</v>
      </c>
      <c r="AF2438">
        <v>3</v>
      </c>
      <c r="AG2438">
        <v>2</v>
      </c>
      <c r="AH2438">
        <v>0</v>
      </c>
      <c r="AI2438" t="s">
        <v>1467</v>
      </c>
      <c r="AJ2438">
        <v>39.985342000000003</v>
      </c>
      <c r="AK2438" t="s">
        <v>1468</v>
      </c>
      <c r="AL2438">
        <v>-92.721926999999994</v>
      </c>
      <c r="AM2438">
        <v>100</v>
      </c>
      <c r="AN2438">
        <v>1700</v>
      </c>
      <c r="AO2438" t="s">
        <v>118</v>
      </c>
      <c r="AP2438">
        <v>-106</v>
      </c>
      <c r="AQ2438">
        <v>77</v>
      </c>
      <c r="AR2438">
        <v>64</v>
      </c>
      <c r="AZ2438">
        <v>1200</v>
      </c>
      <c r="BA2438">
        <v>1</v>
      </c>
      <c r="BB2438" t="str">
        <f t="shared" si="118"/>
        <v xml:space="preserve">N8080G  </v>
      </c>
      <c r="BC2438">
        <v>1</v>
      </c>
      <c r="BE2438">
        <v>0</v>
      </c>
      <c r="BF2438">
        <v>0</v>
      </c>
      <c r="BG2438">
        <v>0</v>
      </c>
      <c r="BH2438">
        <v>1700</v>
      </c>
      <c r="BI2438">
        <v>1</v>
      </c>
      <c r="BJ2438">
        <v>1</v>
      </c>
      <c r="BK2438">
        <v>1</v>
      </c>
      <c r="BL2438">
        <v>0</v>
      </c>
      <c r="BO2438">
        <v>0</v>
      </c>
      <c r="BP2438">
        <v>0</v>
      </c>
      <c r="BW2438" t="str">
        <f>"20:27:30.880"</f>
        <v>20:27:30.880</v>
      </c>
      <c r="BZ2438">
        <v>0</v>
      </c>
      <c r="CA2438">
        <v>2016</v>
      </c>
      <c r="CB2438">
        <v>224</v>
      </c>
      <c r="CD2438">
        <v>1</v>
      </c>
      <c r="CE2438">
        <v>0</v>
      </c>
      <c r="CF2438">
        <v>0</v>
      </c>
      <c r="CG2438">
        <v>1</v>
      </c>
      <c r="CH2438">
        <v>0</v>
      </c>
      <c r="CI2438">
        <v>0</v>
      </c>
      <c r="CJ2438">
        <v>0</v>
      </c>
      <c r="CK2438">
        <v>2</v>
      </c>
      <c r="CL2438">
        <v>0</v>
      </c>
      <c r="CM2438">
        <v>2</v>
      </c>
      <c r="CN2438">
        <v>0</v>
      </c>
      <c r="CO2438">
        <v>7</v>
      </c>
      <c r="CP2438" t="s">
        <v>119</v>
      </c>
      <c r="CQ2438">
        <v>180</v>
      </c>
      <c r="CR2438">
        <v>2</v>
      </c>
      <c r="CW2438">
        <v>8530361</v>
      </c>
      <c r="CY2438">
        <v>1</v>
      </c>
      <c r="CZ2438">
        <v>0</v>
      </c>
      <c r="DA2438">
        <v>1</v>
      </c>
      <c r="DB2438">
        <v>0</v>
      </c>
      <c r="DC2438">
        <v>0</v>
      </c>
      <c r="DD2438">
        <v>0</v>
      </c>
      <c r="DE2438">
        <v>0</v>
      </c>
      <c r="DF2438">
        <v>0</v>
      </c>
      <c r="DG2438">
        <v>0</v>
      </c>
      <c r="DH2438">
        <v>0</v>
      </c>
      <c r="DI2438">
        <v>0</v>
      </c>
    </row>
    <row r="2439" spans="1:113" x14ac:dyDescent="0.3">
      <c r="A2439" t="str">
        <f>"02/08/2021 20:27:29.682"</f>
        <v>02/08/2021 20:27:29.682</v>
      </c>
      <c r="C2439" t="str">
        <f t="shared" si="117"/>
        <v>FFDFD7C0</v>
      </c>
      <c r="D2439" t="s">
        <v>124</v>
      </c>
      <c r="E2439">
        <v>13</v>
      </c>
      <c r="F2439">
        <v>1013</v>
      </c>
      <c r="G2439" t="s">
        <v>114</v>
      </c>
      <c r="J2439" t="s">
        <v>125</v>
      </c>
      <c r="K2439">
        <v>0</v>
      </c>
      <c r="L2439">
        <v>3</v>
      </c>
      <c r="M2439">
        <v>0</v>
      </c>
      <c r="N2439">
        <v>2</v>
      </c>
      <c r="O2439">
        <v>1</v>
      </c>
      <c r="P2439">
        <v>0</v>
      </c>
      <c r="Q2439">
        <v>0</v>
      </c>
      <c r="S2439" t="str">
        <f>"20:27:31.992"</f>
        <v>20:27:31.992</v>
      </c>
      <c r="T2439" t="str">
        <f>"20:27:31.492"</f>
        <v>20:27:31.492</v>
      </c>
      <c r="U2439" t="str">
        <f t="shared" si="119"/>
        <v>AB01F4</v>
      </c>
      <c r="V2439">
        <v>0</v>
      </c>
      <c r="W2439">
        <v>0</v>
      </c>
      <c r="X2439">
        <v>2</v>
      </c>
      <c r="Z2439">
        <v>0</v>
      </c>
      <c r="AA2439">
        <v>9</v>
      </c>
      <c r="AB2439">
        <v>3</v>
      </c>
      <c r="AC2439">
        <v>0</v>
      </c>
      <c r="AD2439">
        <v>10</v>
      </c>
      <c r="AE2439">
        <v>0</v>
      </c>
      <c r="AF2439">
        <v>3</v>
      </c>
      <c r="AG2439">
        <v>2</v>
      </c>
      <c r="AH2439">
        <v>0</v>
      </c>
      <c r="AI2439" t="s">
        <v>1469</v>
      </c>
      <c r="AJ2439">
        <v>39.985706999999998</v>
      </c>
      <c r="AK2439" t="s">
        <v>1470</v>
      </c>
      <c r="AL2439">
        <v>-92.722592000000006</v>
      </c>
      <c r="AM2439">
        <v>100</v>
      </c>
      <c r="AN2439">
        <v>1700</v>
      </c>
      <c r="AO2439" t="s">
        <v>118</v>
      </c>
      <c r="AP2439">
        <v>-106</v>
      </c>
      <c r="AQ2439">
        <v>77</v>
      </c>
      <c r="AR2439">
        <v>64</v>
      </c>
      <c r="AZ2439">
        <v>1200</v>
      </c>
      <c r="BA2439">
        <v>1</v>
      </c>
      <c r="BB2439" t="str">
        <f t="shared" si="118"/>
        <v xml:space="preserve">N8080G  </v>
      </c>
      <c r="BC2439">
        <v>1</v>
      </c>
      <c r="BE2439">
        <v>0</v>
      </c>
      <c r="BF2439">
        <v>0</v>
      </c>
      <c r="BG2439">
        <v>0</v>
      </c>
      <c r="BH2439">
        <v>1700</v>
      </c>
      <c r="BI2439">
        <v>1</v>
      </c>
      <c r="BJ2439">
        <v>1</v>
      </c>
      <c r="BK2439">
        <v>1</v>
      </c>
      <c r="BL2439">
        <v>0</v>
      </c>
      <c r="BO2439">
        <v>0</v>
      </c>
      <c r="BP2439">
        <v>0</v>
      </c>
      <c r="BW2439" t="str">
        <f>"20:27:31.993"</f>
        <v>20:27:31.993</v>
      </c>
      <c r="BZ2439">
        <v>0</v>
      </c>
      <c r="CA2439">
        <v>2016</v>
      </c>
      <c r="CB2439">
        <v>224</v>
      </c>
      <c r="CD2439">
        <v>1</v>
      </c>
      <c r="CE2439">
        <v>0</v>
      </c>
      <c r="CF2439">
        <v>0</v>
      </c>
      <c r="CG2439">
        <v>1</v>
      </c>
      <c r="CH2439">
        <v>0</v>
      </c>
      <c r="CI2439">
        <v>0</v>
      </c>
      <c r="CJ2439">
        <v>0</v>
      </c>
      <c r="CK2439">
        <v>2</v>
      </c>
      <c r="CL2439">
        <v>0</v>
      </c>
      <c r="CM2439">
        <v>2</v>
      </c>
      <c r="CN2439">
        <v>0</v>
      </c>
      <c r="CO2439">
        <v>4</v>
      </c>
      <c r="CP2439" t="s">
        <v>119</v>
      </c>
      <c r="CQ2439">
        <v>179</v>
      </c>
      <c r="CR2439">
        <v>1</v>
      </c>
      <c r="CW2439">
        <v>8979875</v>
      </c>
      <c r="CY2439">
        <v>1</v>
      </c>
      <c r="CZ2439">
        <v>0</v>
      </c>
      <c r="DA2439">
        <v>0</v>
      </c>
      <c r="DB2439">
        <v>0</v>
      </c>
      <c r="DC2439">
        <v>0</v>
      </c>
      <c r="DD2439">
        <v>0</v>
      </c>
      <c r="DE2439">
        <v>0</v>
      </c>
      <c r="DF2439">
        <v>0</v>
      </c>
      <c r="DG2439">
        <v>0</v>
      </c>
      <c r="DH2439">
        <v>0</v>
      </c>
      <c r="DI2439">
        <v>0</v>
      </c>
    </row>
    <row r="2440" spans="1:113" x14ac:dyDescent="0.3">
      <c r="A2440" t="str">
        <f>"02/08/2021 20:27:29.682"</f>
        <v>02/08/2021 20:27:29.682</v>
      </c>
      <c r="C2440" t="str">
        <f t="shared" si="117"/>
        <v>FFDFD7C0</v>
      </c>
      <c r="D2440" t="s">
        <v>113</v>
      </c>
      <c r="E2440">
        <v>6</v>
      </c>
      <c r="H2440">
        <v>165</v>
      </c>
      <c r="I2440" t="s">
        <v>114</v>
      </c>
      <c r="J2440" t="s">
        <v>115</v>
      </c>
      <c r="K2440">
        <v>0</v>
      </c>
      <c r="L2440">
        <v>3</v>
      </c>
      <c r="M2440">
        <v>0</v>
      </c>
      <c r="N2440">
        <v>2</v>
      </c>
      <c r="O2440">
        <v>1</v>
      </c>
      <c r="P2440">
        <v>0</v>
      </c>
      <c r="Q2440">
        <v>0</v>
      </c>
      <c r="S2440" t="str">
        <f>"20:27:31.992"</f>
        <v>20:27:31.992</v>
      </c>
      <c r="T2440" t="str">
        <f>"20:27:31.492"</f>
        <v>20:27:31.492</v>
      </c>
      <c r="U2440" t="str">
        <f t="shared" si="119"/>
        <v>AB01F4</v>
      </c>
      <c r="V2440">
        <v>0</v>
      </c>
      <c r="W2440">
        <v>0</v>
      </c>
      <c r="X2440">
        <v>2</v>
      </c>
      <c r="Z2440">
        <v>0</v>
      </c>
      <c r="AA2440">
        <v>9</v>
      </c>
      <c r="AB2440">
        <v>3</v>
      </c>
      <c r="AC2440">
        <v>0</v>
      </c>
      <c r="AD2440">
        <v>10</v>
      </c>
      <c r="AE2440">
        <v>0</v>
      </c>
      <c r="AF2440">
        <v>3</v>
      </c>
      <c r="AG2440">
        <v>2</v>
      </c>
      <c r="AH2440">
        <v>0</v>
      </c>
      <c r="AI2440" t="s">
        <v>1469</v>
      </c>
      <c r="AJ2440">
        <v>39.985706999999998</v>
      </c>
      <c r="AK2440" t="s">
        <v>1470</v>
      </c>
      <c r="AL2440">
        <v>-92.722592000000006</v>
      </c>
      <c r="AM2440">
        <v>100</v>
      </c>
      <c r="AN2440">
        <v>1700</v>
      </c>
      <c r="AO2440" t="s">
        <v>118</v>
      </c>
      <c r="AP2440">
        <v>-106</v>
      </c>
      <c r="AQ2440">
        <v>77</v>
      </c>
      <c r="AR2440">
        <v>64</v>
      </c>
      <c r="AZ2440">
        <v>1200</v>
      </c>
      <c r="BA2440">
        <v>1</v>
      </c>
      <c r="BB2440" t="str">
        <f t="shared" si="118"/>
        <v xml:space="preserve">N8080G  </v>
      </c>
      <c r="BC2440">
        <v>1</v>
      </c>
      <c r="BE2440">
        <v>0</v>
      </c>
      <c r="BF2440">
        <v>0</v>
      </c>
      <c r="BG2440">
        <v>0</v>
      </c>
      <c r="BH2440">
        <v>1700</v>
      </c>
      <c r="BI2440">
        <v>1</v>
      </c>
      <c r="BJ2440">
        <v>1</v>
      </c>
      <c r="BK2440">
        <v>1</v>
      </c>
      <c r="BL2440">
        <v>0</v>
      </c>
      <c r="BO2440">
        <v>0</v>
      </c>
      <c r="BP2440">
        <v>0</v>
      </c>
      <c r="BW2440" t="str">
        <f>"20:27:31.993"</f>
        <v>20:27:31.993</v>
      </c>
      <c r="BZ2440">
        <v>0</v>
      </c>
      <c r="CA2440">
        <v>2016</v>
      </c>
      <c r="CB2440">
        <v>224</v>
      </c>
      <c r="CD2440">
        <v>1</v>
      </c>
      <c r="CE2440">
        <v>0</v>
      </c>
      <c r="CF2440">
        <v>0</v>
      </c>
      <c r="CG2440">
        <v>1</v>
      </c>
      <c r="CH2440">
        <v>0</v>
      </c>
      <c r="CI2440">
        <v>0</v>
      </c>
      <c r="CJ2440">
        <v>0</v>
      </c>
      <c r="CK2440">
        <v>2</v>
      </c>
      <c r="CL2440">
        <v>0</v>
      </c>
      <c r="CM2440">
        <v>2</v>
      </c>
      <c r="CN2440">
        <v>0</v>
      </c>
      <c r="CO2440">
        <v>4</v>
      </c>
      <c r="CP2440" t="s">
        <v>119</v>
      </c>
      <c r="CQ2440">
        <v>179</v>
      </c>
      <c r="CR2440">
        <v>1</v>
      </c>
      <c r="CW2440">
        <v>8979875</v>
      </c>
      <c r="CY2440">
        <v>1</v>
      </c>
      <c r="CZ2440">
        <v>0</v>
      </c>
      <c r="DA2440">
        <v>1</v>
      </c>
      <c r="DB2440">
        <v>0</v>
      </c>
      <c r="DC2440">
        <v>0</v>
      </c>
      <c r="DD2440">
        <v>0</v>
      </c>
      <c r="DE2440">
        <v>0</v>
      </c>
      <c r="DF2440">
        <v>0</v>
      </c>
      <c r="DG2440">
        <v>0</v>
      </c>
      <c r="DH2440">
        <v>0</v>
      </c>
      <c r="DI2440">
        <v>0</v>
      </c>
    </row>
    <row r="2441" spans="1:113" x14ac:dyDescent="0.3">
      <c r="A2441" t="str">
        <f>"02/08/2021 20:27:29.682"</f>
        <v>02/08/2021 20:27:29.682</v>
      </c>
      <c r="C2441" t="str">
        <f t="shared" si="117"/>
        <v>FFDFD7C0</v>
      </c>
      <c r="D2441" t="s">
        <v>124</v>
      </c>
      <c r="E2441">
        <v>12</v>
      </c>
      <c r="F2441">
        <v>1012</v>
      </c>
      <c r="G2441" t="s">
        <v>675</v>
      </c>
      <c r="J2441" t="s">
        <v>125</v>
      </c>
      <c r="K2441">
        <v>0</v>
      </c>
      <c r="L2441">
        <v>3</v>
      </c>
      <c r="M2441">
        <v>0</v>
      </c>
      <c r="N2441">
        <v>2</v>
      </c>
      <c r="O2441">
        <v>1</v>
      </c>
      <c r="P2441">
        <v>0</v>
      </c>
      <c r="Q2441">
        <v>0</v>
      </c>
      <c r="S2441" t="str">
        <f>"20:27:31.992"</f>
        <v>20:27:31.992</v>
      </c>
      <c r="T2441" t="str">
        <f>"20:27:31.492"</f>
        <v>20:27:31.492</v>
      </c>
      <c r="U2441" t="str">
        <f t="shared" si="119"/>
        <v>AB01F4</v>
      </c>
      <c r="V2441">
        <v>0</v>
      </c>
      <c r="W2441">
        <v>0</v>
      </c>
      <c r="X2441">
        <v>2</v>
      </c>
      <c r="Z2441">
        <v>0</v>
      </c>
      <c r="AA2441">
        <v>9</v>
      </c>
      <c r="AB2441">
        <v>3</v>
      </c>
      <c r="AC2441">
        <v>0</v>
      </c>
      <c r="AD2441">
        <v>10</v>
      </c>
      <c r="AE2441">
        <v>0</v>
      </c>
      <c r="AF2441">
        <v>3</v>
      </c>
      <c r="AG2441">
        <v>2</v>
      </c>
      <c r="AH2441">
        <v>0</v>
      </c>
      <c r="AI2441" t="s">
        <v>1469</v>
      </c>
      <c r="AJ2441">
        <v>39.985706999999998</v>
      </c>
      <c r="AK2441" t="s">
        <v>1470</v>
      </c>
      <c r="AL2441">
        <v>-92.722592000000006</v>
      </c>
      <c r="AM2441">
        <v>100</v>
      </c>
      <c r="AN2441">
        <v>1700</v>
      </c>
      <c r="AO2441" t="s">
        <v>118</v>
      </c>
      <c r="AP2441">
        <v>-106</v>
      </c>
      <c r="AQ2441">
        <v>77</v>
      </c>
      <c r="AR2441">
        <v>64</v>
      </c>
      <c r="AZ2441">
        <v>1200</v>
      </c>
      <c r="BA2441">
        <v>1</v>
      </c>
      <c r="BB2441" t="str">
        <f t="shared" si="118"/>
        <v xml:space="preserve">N8080G  </v>
      </c>
      <c r="BC2441">
        <v>1</v>
      </c>
      <c r="BE2441">
        <v>0</v>
      </c>
      <c r="BF2441">
        <v>0</v>
      </c>
      <c r="BG2441">
        <v>0</v>
      </c>
      <c r="BH2441">
        <v>1700</v>
      </c>
      <c r="BI2441">
        <v>1</v>
      </c>
      <c r="BJ2441">
        <v>1</v>
      </c>
      <c r="BK2441">
        <v>1</v>
      </c>
      <c r="BL2441">
        <v>0</v>
      </c>
      <c r="BO2441">
        <v>0</v>
      </c>
      <c r="BP2441">
        <v>0</v>
      </c>
      <c r="BW2441" t="str">
        <f>"20:27:31.993"</f>
        <v>20:27:31.993</v>
      </c>
      <c r="BZ2441">
        <v>0</v>
      </c>
      <c r="CA2441">
        <v>2016</v>
      </c>
      <c r="CB2441">
        <v>224</v>
      </c>
      <c r="CD2441">
        <v>1</v>
      </c>
      <c r="CE2441">
        <v>0</v>
      </c>
      <c r="CF2441">
        <v>0</v>
      </c>
      <c r="CG2441">
        <v>1</v>
      </c>
      <c r="CH2441">
        <v>0</v>
      </c>
      <c r="CI2441">
        <v>0</v>
      </c>
      <c r="CJ2441">
        <v>0</v>
      </c>
      <c r="CK2441">
        <v>2</v>
      </c>
      <c r="CL2441">
        <v>0</v>
      </c>
      <c r="CM2441">
        <v>2</v>
      </c>
      <c r="CN2441">
        <v>0</v>
      </c>
      <c r="CO2441">
        <v>4</v>
      </c>
      <c r="CP2441" t="s">
        <v>119</v>
      </c>
      <c r="CQ2441">
        <v>179</v>
      </c>
      <c r="CR2441">
        <v>1</v>
      </c>
      <c r="CW2441">
        <v>8979875</v>
      </c>
      <c r="CY2441">
        <v>1</v>
      </c>
      <c r="CZ2441">
        <v>0</v>
      </c>
      <c r="DA2441">
        <v>1</v>
      </c>
      <c r="DB2441">
        <v>0</v>
      </c>
      <c r="DC2441">
        <v>0</v>
      </c>
      <c r="DD2441">
        <v>0</v>
      </c>
      <c r="DE2441">
        <v>0</v>
      </c>
      <c r="DF2441">
        <v>0</v>
      </c>
      <c r="DG2441">
        <v>0</v>
      </c>
      <c r="DH2441">
        <v>0</v>
      </c>
      <c r="DI2441">
        <v>0</v>
      </c>
    </row>
    <row r="2442" spans="1:113" x14ac:dyDescent="0.3">
      <c r="A2442" t="str">
        <f>"02/08/2021 20:27:29.682"</f>
        <v>02/08/2021 20:27:29.682</v>
      </c>
      <c r="C2442" t="str">
        <f t="shared" si="117"/>
        <v>FFDFD7C0</v>
      </c>
      <c r="D2442" t="s">
        <v>124</v>
      </c>
      <c r="E2442">
        <v>11</v>
      </c>
      <c r="F2442">
        <v>1011</v>
      </c>
      <c r="G2442" t="s">
        <v>590</v>
      </c>
      <c r="J2442" t="s">
        <v>125</v>
      </c>
      <c r="K2442">
        <v>0</v>
      </c>
      <c r="L2442">
        <v>3</v>
      </c>
      <c r="M2442">
        <v>0</v>
      </c>
      <c r="N2442">
        <v>2</v>
      </c>
      <c r="O2442">
        <v>1</v>
      </c>
      <c r="P2442">
        <v>0</v>
      </c>
      <c r="Q2442">
        <v>0</v>
      </c>
      <c r="S2442" t="str">
        <f>"20:27:31.992"</f>
        <v>20:27:31.992</v>
      </c>
      <c r="T2442" t="str">
        <f>"20:27:31.492"</f>
        <v>20:27:31.492</v>
      </c>
      <c r="U2442" t="str">
        <f t="shared" si="119"/>
        <v>AB01F4</v>
      </c>
      <c r="V2442">
        <v>0</v>
      </c>
      <c r="W2442">
        <v>0</v>
      </c>
      <c r="X2442">
        <v>2</v>
      </c>
      <c r="Z2442">
        <v>0</v>
      </c>
      <c r="AA2442">
        <v>9</v>
      </c>
      <c r="AB2442">
        <v>3</v>
      </c>
      <c r="AC2442">
        <v>0</v>
      </c>
      <c r="AD2442">
        <v>10</v>
      </c>
      <c r="AE2442">
        <v>0</v>
      </c>
      <c r="AF2442">
        <v>3</v>
      </c>
      <c r="AG2442">
        <v>2</v>
      </c>
      <c r="AH2442">
        <v>0</v>
      </c>
      <c r="AI2442" t="s">
        <v>1469</v>
      </c>
      <c r="AJ2442">
        <v>39.985706999999998</v>
      </c>
      <c r="AK2442" t="s">
        <v>1470</v>
      </c>
      <c r="AL2442">
        <v>-92.722592000000006</v>
      </c>
      <c r="AM2442">
        <v>100</v>
      </c>
      <c r="AN2442">
        <v>1700</v>
      </c>
      <c r="AO2442" t="s">
        <v>118</v>
      </c>
      <c r="AP2442">
        <v>-106</v>
      </c>
      <c r="AQ2442">
        <v>77</v>
      </c>
      <c r="AR2442">
        <v>64</v>
      </c>
      <c r="AZ2442">
        <v>1200</v>
      </c>
      <c r="BA2442">
        <v>1</v>
      </c>
      <c r="BB2442" t="str">
        <f t="shared" si="118"/>
        <v xml:space="preserve">N8080G  </v>
      </c>
      <c r="BC2442">
        <v>1</v>
      </c>
      <c r="BE2442">
        <v>0</v>
      </c>
      <c r="BF2442">
        <v>0</v>
      </c>
      <c r="BG2442">
        <v>0</v>
      </c>
      <c r="BH2442">
        <v>1700</v>
      </c>
      <c r="BI2442">
        <v>1</v>
      </c>
      <c r="BJ2442">
        <v>1</v>
      </c>
      <c r="BK2442">
        <v>1</v>
      </c>
      <c r="BL2442">
        <v>0</v>
      </c>
      <c r="BO2442">
        <v>0</v>
      </c>
      <c r="BP2442">
        <v>0</v>
      </c>
      <c r="BW2442" t="str">
        <f>"20:27:31.993"</f>
        <v>20:27:31.993</v>
      </c>
      <c r="BZ2442">
        <v>0</v>
      </c>
      <c r="CA2442">
        <v>2016</v>
      </c>
      <c r="CB2442">
        <v>224</v>
      </c>
      <c r="CD2442">
        <v>1</v>
      </c>
      <c r="CE2442">
        <v>0</v>
      </c>
      <c r="CF2442">
        <v>0</v>
      </c>
      <c r="CG2442">
        <v>1</v>
      </c>
      <c r="CH2442">
        <v>0</v>
      </c>
      <c r="CI2442">
        <v>0</v>
      </c>
      <c r="CJ2442">
        <v>0</v>
      </c>
      <c r="CK2442">
        <v>2</v>
      </c>
      <c r="CL2442">
        <v>0</v>
      </c>
      <c r="CM2442">
        <v>2</v>
      </c>
      <c r="CN2442">
        <v>0</v>
      </c>
      <c r="CO2442">
        <v>4</v>
      </c>
      <c r="CP2442" t="s">
        <v>119</v>
      </c>
      <c r="CQ2442">
        <v>179</v>
      </c>
      <c r="CR2442">
        <v>1</v>
      </c>
      <c r="CW2442">
        <v>8979875</v>
      </c>
      <c r="CY2442">
        <v>1</v>
      </c>
      <c r="CZ2442">
        <v>0</v>
      </c>
      <c r="DA2442">
        <v>1</v>
      </c>
      <c r="DB2442">
        <v>0</v>
      </c>
      <c r="DC2442">
        <v>0</v>
      </c>
      <c r="DD2442">
        <v>0</v>
      </c>
      <c r="DE2442">
        <v>0</v>
      </c>
      <c r="DF2442">
        <v>0</v>
      </c>
      <c r="DG2442">
        <v>0</v>
      </c>
      <c r="DH2442">
        <v>0</v>
      </c>
      <c r="DI2442">
        <v>0</v>
      </c>
    </row>
    <row r="2443" spans="1:113" x14ac:dyDescent="0.3">
      <c r="A2443" t="str">
        <f>"02/08/2021 20:27:30.788"</f>
        <v>02/08/2021 20:27:30.788</v>
      </c>
      <c r="C2443" t="str">
        <f t="shared" si="117"/>
        <v>FFDFD7C0</v>
      </c>
      <c r="D2443" t="s">
        <v>124</v>
      </c>
      <c r="E2443">
        <v>13</v>
      </c>
      <c r="F2443">
        <v>1013</v>
      </c>
      <c r="G2443" t="s">
        <v>114</v>
      </c>
      <c r="J2443" t="s">
        <v>125</v>
      </c>
      <c r="K2443">
        <v>0</v>
      </c>
      <c r="L2443">
        <v>3</v>
      </c>
      <c r="M2443">
        <v>0</v>
      </c>
      <c r="N2443">
        <v>2</v>
      </c>
      <c r="O2443">
        <v>1</v>
      </c>
      <c r="P2443">
        <v>0</v>
      </c>
      <c r="Q2443">
        <v>0</v>
      </c>
      <c r="S2443" t="str">
        <f>"20:27:33.141"</f>
        <v>20:27:33.141</v>
      </c>
      <c r="T2443" t="str">
        <f>"20:27:32.041"</f>
        <v>20:27:32.041</v>
      </c>
      <c r="U2443" t="str">
        <f t="shared" si="119"/>
        <v>AB01F4</v>
      </c>
      <c r="V2443">
        <v>0</v>
      </c>
      <c r="W2443">
        <v>0</v>
      </c>
      <c r="X2443">
        <v>2</v>
      </c>
      <c r="Z2443">
        <v>0</v>
      </c>
      <c r="AA2443">
        <v>9</v>
      </c>
      <c r="AB2443">
        <v>3</v>
      </c>
      <c r="AC2443">
        <v>0</v>
      </c>
      <c r="AD2443">
        <v>10</v>
      </c>
      <c r="AE2443">
        <v>0</v>
      </c>
      <c r="AF2443">
        <v>3</v>
      </c>
      <c r="AG2443">
        <v>2</v>
      </c>
      <c r="AH2443">
        <v>0</v>
      </c>
      <c r="AI2443" t="s">
        <v>1471</v>
      </c>
      <c r="AJ2443">
        <v>39.986156999999999</v>
      </c>
      <c r="AK2443" t="s">
        <v>1472</v>
      </c>
      <c r="AL2443">
        <v>-92.723386000000005</v>
      </c>
      <c r="AM2443">
        <v>100</v>
      </c>
      <c r="AN2443">
        <v>1700</v>
      </c>
      <c r="AO2443" t="s">
        <v>118</v>
      </c>
      <c r="AP2443">
        <v>-106</v>
      </c>
      <c r="AQ2443">
        <v>77</v>
      </c>
      <c r="AR2443">
        <v>64</v>
      </c>
      <c r="AZ2443">
        <v>1200</v>
      </c>
      <c r="BA2443">
        <v>1</v>
      </c>
      <c r="BB2443" t="str">
        <f t="shared" si="118"/>
        <v xml:space="preserve">N8080G  </v>
      </c>
      <c r="BC2443">
        <v>1</v>
      </c>
      <c r="BE2443">
        <v>0</v>
      </c>
      <c r="BF2443">
        <v>0</v>
      </c>
      <c r="BG2443">
        <v>0</v>
      </c>
      <c r="BH2443">
        <v>1700</v>
      </c>
      <c r="BI2443">
        <v>1</v>
      </c>
      <c r="BJ2443">
        <v>1</v>
      </c>
      <c r="BK2443">
        <v>1</v>
      </c>
      <c r="BL2443">
        <v>0</v>
      </c>
      <c r="BO2443">
        <v>0</v>
      </c>
      <c r="BP2443">
        <v>0</v>
      </c>
      <c r="BW2443" t="str">
        <f>"20:27:33.143"</f>
        <v>20:27:33.143</v>
      </c>
      <c r="BZ2443">
        <v>0</v>
      </c>
      <c r="CA2443">
        <v>2016</v>
      </c>
      <c r="CB2443">
        <v>224</v>
      </c>
      <c r="CD2443">
        <v>1</v>
      </c>
      <c r="CE2443">
        <v>0</v>
      </c>
      <c r="CF2443">
        <v>0</v>
      </c>
      <c r="CG2443">
        <v>1</v>
      </c>
      <c r="CH2443">
        <v>0</v>
      </c>
      <c r="CI2443">
        <v>0</v>
      </c>
      <c r="CJ2443">
        <v>0</v>
      </c>
      <c r="CK2443">
        <v>2</v>
      </c>
      <c r="CL2443">
        <v>0</v>
      </c>
      <c r="CM2443">
        <v>2</v>
      </c>
      <c r="CN2443">
        <v>0</v>
      </c>
      <c r="CO2443">
        <v>4</v>
      </c>
      <c r="CP2443" t="s">
        <v>119</v>
      </c>
      <c r="CQ2443">
        <v>179</v>
      </c>
      <c r="CR2443">
        <v>1</v>
      </c>
      <c r="CW2443">
        <v>8981003</v>
      </c>
      <c r="CY2443">
        <v>1</v>
      </c>
      <c r="CZ2443">
        <v>0</v>
      </c>
      <c r="DA2443">
        <v>0</v>
      </c>
      <c r="DB2443">
        <v>0</v>
      </c>
      <c r="DC2443">
        <v>0</v>
      </c>
      <c r="DD2443">
        <v>0</v>
      </c>
      <c r="DE2443">
        <v>0</v>
      </c>
      <c r="DF2443">
        <v>0</v>
      </c>
      <c r="DG2443">
        <v>0</v>
      </c>
      <c r="DH2443">
        <v>0</v>
      </c>
      <c r="DI2443">
        <v>0</v>
      </c>
    </row>
    <row r="2444" spans="1:113" x14ac:dyDescent="0.3">
      <c r="A2444" t="str">
        <f>"02/08/2021 20:27:30.788"</f>
        <v>02/08/2021 20:27:30.788</v>
      </c>
      <c r="C2444" t="str">
        <f t="shared" si="117"/>
        <v>FFDFD7C0</v>
      </c>
      <c r="D2444" t="s">
        <v>124</v>
      </c>
      <c r="E2444">
        <v>12</v>
      </c>
      <c r="F2444">
        <v>1012</v>
      </c>
      <c r="G2444" t="s">
        <v>675</v>
      </c>
      <c r="J2444" t="s">
        <v>125</v>
      </c>
      <c r="K2444">
        <v>0</v>
      </c>
      <c r="L2444">
        <v>3</v>
      </c>
      <c r="M2444">
        <v>0</v>
      </c>
      <c r="N2444">
        <v>2</v>
      </c>
      <c r="O2444">
        <v>1</v>
      </c>
      <c r="P2444">
        <v>0</v>
      </c>
      <c r="Q2444">
        <v>0</v>
      </c>
      <c r="S2444" t="str">
        <f>"20:27:33.141"</f>
        <v>20:27:33.141</v>
      </c>
      <c r="T2444" t="str">
        <f>"20:27:32.041"</f>
        <v>20:27:32.041</v>
      </c>
      <c r="U2444" t="str">
        <f t="shared" si="119"/>
        <v>AB01F4</v>
      </c>
      <c r="V2444">
        <v>0</v>
      </c>
      <c r="W2444">
        <v>0</v>
      </c>
      <c r="X2444">
        <v>2</v>
      </c>
      <c r="Z2444">
        <v>0</v>
      </c>
      <c r="AA2444">
        <v>9</v>
      </c>
      <c r="AB2444">
        <v>3</v>
      </c>
      <c r="AC2444">
        <v>0</v>
      </c>
      <c r="AD2444">
        <v>10</v>
      </c>
      <c r="AE2444">
        <v>0</v>
      </c>
      <c r="AF2444">
        <v>3</v>
      </c>
      <c r="AG2444">
        <v>2</v>
      </c>
      <c r="AH2444">
        <v>0</v>
      </c>
      <c r="AI2444" t="s">
        <v>1471</v>
      </c>
      <c r="AJ2444">
        <v>39.986156999999999</v>
      </c>
      <c r="AK2444" t="s">
        <v>1472</v>
      </c>
      <c r="AL2444">
        <v>-92.723386000000005</v>
      </c>
      <c r="AM2444">
        <v>100</v>
      </c>
      <c r="AN2444">
        <v>1700</v>
      </c>
      <c r="AO2444" t="s">
        <v>118</v>
      </c>
      <c r="AP2444">
        <v>-106</v>
      </c>
      <c r="AQ2444">
        <v>77</v>
      </c>
      <c r="AR2444">
        <v>64</v>
      </c>
      <c r="AZ2444">
        <v>1200</v>
      </c>
      <c r="BA2444">
        <v>1</v>
      </c>
      <c r="BB2444" t="str">
        <f t="shared" si="118"/>
        <v xml:space="preserve">N8080G  </v>
      </c>
      <c r="BC2444">
        <v>1</v>
      </c>
      <c r="BE2444">
        <v>0</v>
      </c>
      <c r="BF2444">
        <v>0</v>
      </c>
      <c r="BG2444">
        <v>0</v>
      </c>
      <c r="BH2444">
        <v>1700</v>
      </c>
      <c r="BI2444">
        <v>1</v>
      </c>
      <c r="BJ2444">
        <v>1</v>
      </c>
      <c r="BK2444">
        <v>1</v>
      </c>
      <c r="BL2444">
        <v>0</v>
      </c>
      <c r="BO2444">
        <v>0</v>
      </c>
      <c r="BP2444">
        <v>0</v>
      </c>
      <c r="BW2444" t="str">
        <f>"20:27:33.143"</f>
        <v>20:27:33.143</v>
      </c>
      <c r="BZ2444">
        <v>0</v>
      </c>
      <c r="CA2444">
        <v>2016</v>
      </c>
      <c r="CB2444">
        <v>224</v>
      </c>
      <c r="CD2444">
        <v>1</v>
      </c>
      <c r="CE2444">
        <v>0</v>
      </c>
      <c r="CF2444">
        <v>0</v>
      </c>
      <c r="CG2444">
        <v>1</v>
      </c>
      <c r="CH2444">
        <v>0</v>
      </c>
      <c r="CI2444">
        <v>0</v>
      </c>
      <c r="CJ2444">
        <v>0</v>
      </c>
      <c r="CK2444">
        <v>2</v>
      </c>
      <c r="CL2444">
        <v>0</v>
      </c>
      <c r="CM2444">
        <v>2</v>
      </c>
      <c r="CN2444">
        <v>0</v>
      </c>
      <c r="CO2444">
        <v>4</v>
      </c>
      <c r="CP2444" t="s">
        <v>119</v>
      </c>
      <c r="CQ2444">
        <v>179</v>
      </c>
      <c r="CR2444">
        <v>1</v>
      </c>
      <c r="CW2444">
        <v>8981003</v>
      </c>
      <c r="CY2444">
        <v>1</v>
      </c>
      <c r="CZ2444">
        <v>0</v>
      </c>
      <c r="DA2444">
        <v>1</v>
      </c>
      <c r="DB2444">
        <v>0</v>
      </c>
      <c r="DC2444">
        <v>0</v>
      </c>
      <c r="DD2444">
        <v>0</v>
      </c>
      <c r="DE2444">
        <v>0</v>
      </c>
      <c r="DF2444">
        <v>0</v>
      </c>
      <c r="DG2444">
        <v>0</v>
      </c>
      <c r="DH2444">
        <v>0</v>
      </c>
      <c r="DI2444">
        <v>0</v>
      </c>
    </row>
    <row r="2445" spans="1:113" x14ac:dyDescent="0.3">
      <c r="A2445" t="str">
        <f>"02/08/2021 20:27:30.788"</f>
        <v>02/08/2021 20:27:30.788</v>
      </c>
      <c r="C2445" t="str">
        <f t="shared" si="117"/>
        <v>FFDFD7C0</v>
      </c>
      <c r="D2445" t="s">
        <v>113</v>
      </c>
      <c r="E2445">
        <v>6</v>
      </c>
      <c r="H2445">
        <v>165</v>
      </c>
      <c r="I2445" t="s">
        <v>114</v>
      </c>
      <c r="J2445" t="s">
        <v>115</v>
      </c>
      <c r="K2445">
        <v>0</v>
      </c>
      <c r="L2445">
        <v>3</v>
      </c>
      <c r="M2445">
        <v>0</v>
      </c>
      <c r="N2445">
        <v>2</v>
      </c>
      <c r="O2445">
        <v>1</v>
      </c>
      <c r="P2445">
        <v>0</v>
      </c>
      <c r="Q2445">
        <v>0</v>
      </c>
      <c r="S2445" t="str">
        <f>"20:27:33.141"</f>
        <v>20:27:33.141</v>
      </c>
      <c r="T2445" t="str">
        <f>"20:27:32.041"</f>
        <v>20:27:32.041</v>
      </c>
      <c r="U2445" t="str">
        <f t="shared" si="119"/>
        <v>AB01F4</v>
      </c>
      <c r="V2445">
        <v>0</v>
      </c>
      <c r="W2445">
        <v>0</v>
      </c>
      <c r="X2445">
        <v>2</v>
      </c>
      <c r="Z2445">
        <v>0</v>
      </c>
      <c r="AA2445">
        <v>9</v>
      </c>
      <c r="AB2445">
        <v>3</v>
      </c>
      <c r="AC2445">
        <v>0</v>
      </c>
      <c r="AD2445">
        <v>10</v>
      </c>
      <c r="AE2445">
        <v>0</v>
      </c>
      <c r="AF2445">
        <v>3</v>
      </c>
      <c r="AG2445">
        <v>2</v>
      </c>
      <c r="AH2445">
        <v>0</v>
      </c>
      <c r="AI2445" t="s">
        <v>1471</v>
      </c>
      <c r="AJ2445">
        <v>39.986156999999999</v>
      </c>
      <c r="AK2445" t="s">
        <v>1472</v>
      </c>
      <c r="AL2445">
        <v>-92.723386000000005</v>
      </c>
      <c r="AM2445">
        <v>100</v>
      </c>
      <c r="AN2445">
        <v>1700</v>
      </c>
      <c r="AO2445" t="s">
        <v>118</v>
      </c>
      <c r="AP2445">
        <v>-106</v>
      </c>
      <c r="AQ2445">
        <v>77</v>
      </c>
      <c r="AR2445">
        <v>64</v>
      </c>
      <c r="AZ2445">
        <v>1200</v>
      </c>
      <c r="BA2445">
        <v>1</v>
      </c>
      <c r="BB2445" t="str">
        <f t="shared" si="118"/>
        <v xml:space="preserve">N8080G  </v>
      </c>
      <c r="BC2445">
        <v>1</v>
      </c>
      <c r="BE2445">
        <v>0</v>
      </c>
      <c r="BF2445">
        <v>0</v>
      </c>
      <c r="BG2445">
        <v>0</v>
      </c>
      <c r="BH2445">
        <v>1700</v>
      </c>
      <c r="BI2445">
        <v>1</v>
      </c>
      <c r="BJ2445">
        <v>1</v>
      </c>
      <c r="BK2445">
        <v>1</v>
      </c>
      <c r="BL2445">
        <v>0</v>
      </c>
      <c r="BO2445">
        <v>0</v>
      </c>
      <c r="BP2445">
        <v>0</v>
      </c>
      <c r="BW2445" t="str">
        <f>"20:27:33.143"</f>
        <v>20:27:33.143</v>
      </c>
      <c r="BZ2445">
        <v>0</v>
      </c>
      <c r="CA2445">
        <v>2016</v>
      </c>
      <c r="CB2445">
        <v>224</v>
      </c>
      <c r="CD2445">
        <v>1</v>
      </c>
      <c r="CE2445">
        <v>0</v>
      </c>
      <c r="CF2445">
        <v>0</v>
      </c>
      <c r="CG2445">
        <v>1</v>
      </c>
      <c r="CH2445">
        <v>0</v>
      </c>
      <c r="CI2445">
        <v>0</v>
      </c>
      <c r="CJ2445">
        <v>0</v>
      </c>
      <c r="CK2445">
        <v>2</v>
      </c>
      <c r="CL2445">
        <v>0</v>
      </c>
      <c r="CM2445">
        <v>2</v>
      </c>
      <c r="CN2445">
        <v>0</v>
      </c>
      <c r="CO2445">
        <v>4</v>
      </c>
      <c r="CP2445" t="s">
        <v>119</v>
      </c>
      <c r="CQ2445">
        <v>179</v>
      </c>
      <c r="CR2445">
        <v>1</v>
      </c>
      <c r="CW2445">
        <v>8981003</v>
      </c>
      <c r="CY2445">
        <v>1</v>
      </c>
      <c r="CZ2445">
        <v>0</v>
      </c>
      <c r="DA2445">
        <v>1</v>
      </c>
      <c r="DB2445">
        <v>0</v>
      </c>
      <c r="DC2445">
        <v>0</v>
      </c>
      <c r="DD2445">
        <v>0</v>
      </c>
      <c r="DE2445">
        <v>0</v>
      </c>
      <c r="DF2445">
        <v>0</v>
      </c>
      <c r="DG2445">
        <v>0</v>
      </c>
      <c r="DH2445">
        <v>0</v>
      </c>
      <c r="DI2445">
        <v>0</v>
      </c>
    </row>
    <row r="2446" spans="1:113" x14ac:dyDescent="0.3">
      <c r="A2446" t="str">
        <f>"02/08/2021 20:27:30.788"</f>
        <v>02/08/2021 20:27:30.788</v>
      </c>
      <c r="C2446" t="str">
        <f t="shared" si="117"/>
        <v>FFDFD7C0</v>
      </c>
      <c r="D2446" t="s">
        <v>124</v>
      </c>
      <c r="E2446">
        <v>11</v>
      </c>
      <c r="F2446">
        <v>1011</v>
      </c>
      <c r="G2446" t="s">
        <v>590</v>
      </c>
      <c r="J2446" t="s">
        <v>125</v>
      </c>
      <c r="K2446">
        <v>0</v>
      </c>
      <c r="L2446">
        <v>3</v>
      </c>
      <c r="M2446">
        <v>0</v>
      </c>
      <c r="N2446">
        <v>2</v>
      </c>
      <c r="O2446">
        <v>1</v>
      </c>
      <c r="P2446">
        <v>0</v>
      </c>
      <c r="Q2446">
        <v>0</v>
      </c>
      <c r="S2446" t="str">
        <f>"20:27:33.141"</f>
        <v>20:27:33.141</v>
      </c>
      <c r="T2446" t="str">
        <f>"20:27:32.041"</f>
        <v>20:27:32.041</v>
      </c>
      <c r="U2446" t="str">
        <f t="shared" si="119"/>
        <v>AB01F4</v>
      </c>
      <c r="V2446">
        <v>0</v>
      </c>
      <c r="W2446">
        <v>0</v>
      </c>
      <c r="X2446">
        <v>2</v>
      </c>
      <c r="Z2446">
        <v>0</v>
      </c>
      <c r="AA2446">
        <v>9</v>
      </c>
      <c r="AB2446">
        <v>3</v>
      </c>
      <c r="AC2446">
        <v>0</v>
      </c>
      <c r="AD2446">
        <v>10</v>
      </c>
      <c r="AE2446">
        <v>0</v>
      </c>
      <c r="AF2446">
        <v>3</v>
      </c>
      <c r="AG2446">
        <v>2</v>
      </c>
      <c r="AH2446">
        <v>0</v>
      </c>
      <c r="AI2446" t="s">
        <v>1471</v>
      </c>
      <c r="AJ2446">
        <v>39.986156999999999</v>
      </c>
      <c r="AK2446" t="s">
        <v>1472</v>
      </c>
      <c r="AL2446">
        <v>-92.723386000000005</v>
      </c>
      <c r="AM2446">
        <v>100</v>
      </c>
      <c r="AN2446">
        <v>1700</v>
      </c>
      <c r="AO2446" t="s">
        <v>118</v>
      </c>
      <c r="AP2446">
        <v>-106</v>
      </c>
      <c r="AQ2446">
        <v>77</v>
      </c>
      <c r="AR2446">
        <v>64</v>
      </c>
      <c r="AZ2446">
        <v>1200</v>
      </c>
      <c r="BA2446">
        <v>1</v>
      </c>
      <c r="BB2446" t="str">
        <f t="shared" si="118"/>
        <v xml:space="preserve">N8080G  </v>
      </c>
      <c r="BC2446">
        <v>1</v>
      </c>
      <c r="BE2446">
        <v>0</v>
      </c>
      <c r="BF2446">
        <v>0</v>
      </c>
      <c r="BG2446">
        <v>0</v>
      </c>
      <c r="BH2446">
        <v>1700</v>
      </c>
      <c r="BI2446">
        <v>1</v>
      </c>
      <c r="BJ2446">
        <v>1</v>
      </c>
      <c r="BK2446">
        <v>1</v>
      </c>
      <c r="BL2446">
        <v>0</v>
      </c>
      <c r="BO2446">
        <v>0</v>
      </c>
      <c r="BP2446">
        <v>0</v>
      </c>
      <c r="BW2446" t="str">
        <f>"20:27:33.143"</f>
        <v>20:27:33.143</v>
      </c>
      <c r="BZ2446">
        <v>0</v>
      </c>
      <c r="CA2446">
        <v>2016</v>
      </c>
      <c r="CB2446">
        <v>224</v>
      </c>
      <c r="CD2446">
        <v>1</v>
      </c>
      <c r="CE2446">
        <v>0</v>
      </c>
      <c r="CF2446">
        <v>0</v>
      </c>
      <c r="CG2446">
        <v>1</v>
      </c>
      <c r="CH2446">
        <v>0</v>
      </c>
      <c r="CI2446">
        <v>0</v>
      </c>
      <c r="CJ2446">
        <v>0</v>
      </c>
      <c r="CK2446">
        <v>2</v>
      </c>
      <c r="CL2446">
        <v>0</v>
      </c>
      <c r="CM2446">
        <v>2</v>
      </c>
      <c r="CN2446">
        <v>0</v>
      </c>
      <c r="CO2446">
        <v>4</v>
      </c>
      <c r="CP2446" t="s">
        <v>119</v>
      </c>
      <c r="CQ2446">
        <v>179</v>
      </c>
      <c r="CR2446">
        <v>1</v>
      </c>
      <c r="CW2446">
        <v>8981003</v>
      </c>
      <c r="CY2446">
        <v>1</v>
      </c>
      <c r="CZ2446">
        <v>0</v>
      </c>
      <c r="DA2446">
        <v>1</v>
      </c>
      <c r="DB2446">
        <v>0</v>
      </c>
      <c r="DC2446">
        <v>0</v>
      </c>
      <c r="DD2446">
        <v>0</v>
      </c>
      <c r="DE2446">
        <v>0</v>
      </c>
      <c r="DF2446">
        <v>0</v>
      </c>
      <c r="DG2446">
        <v>0</v>
      </c>
      <c r="DH2446">
        <v>0</v>
      </c>
      <c r="DI2446">
        <v>0</v>
      </c>
    </row>
    <row r="2447" spans="1:113" x14ac:dyDescent="0.3">
      <c r="A2447" t="str">
        <f>"02/08/2021 20:27:31.829"</f>
        <v>02/08/2021 20:27:31.829</v>
      </c>
      <c r="C2447" t="str">
        <f t="shared" si="117"/>
        <v>FFDFD7C0</v>
      </c>
      <c r="D2447" t="s">
        <v>124</v>
      </c>
      <c r="E2447">
        <v>11</v>
      </c>
      <c r="F2447">
        <v>1011</v>
      </c>
      <c r="G2447" t="s">
        <v>590</v>
      </c>
      <c r="J2447" t="s">
        <v>125</v>
      </c>
      <c r="K2447">
        <v>0</v>
      </c>
      <c r="L2447">
        <v>3</v>
      </c>
      <c r="M2447">
        <v>0</v>
      </c>
      <c r="N2447">
        <v>2</v>
      </c>
      <c r="O2447">
        <v>1</v>
      </c>
      <c r="P2447">
        <v>0</v>
      </c>
      <c r="Q2447">
        <v>0</v>
      </c>
      <c r="S2447" t="str">
        <f>"20:27:34.156"</f>
        <v>20:27:34.156</v>
      </c>
      <c r="T2447" t="str">
        <f>"20:27:33.756"</f>
        <v>20:27:33.756</v>
      </c>
      <c r="U2447" t="str">
        <f t="shared" si="119"/>
        <v>AB01F4</v>
      </c>
      <c r="V2447">
        <v>0</v>
      </c>
      <c r="W2447">
        <v>0</v>
      </c>
      <c r="X2447">
        <v>2</v>
      </c>
      <c r="Z2447">
        <v>0</v>
      </c>
      <c r="AA2447">
        <v>9</v>
      </c>
      <c r="AB2447">
        <v>3</v>
      </c>
      <c r="AC2447">
        <v>0</v>
      </c>
      <c r="AD2447">
        <v>10</v>
      </c>
      <c r="AE2447">
        <v>0</v>
      </c>
      <c r="AF2447">
        <v>3</v>
      </c>
      <c r="AG2447">
        <v>2</v>
      </c>
      <c r="AH2447">
        <v>0</v>
      </c>
      <c r="AI2447" t="s">
        <v>1473</v>
      </c>
      <c r="AJ2447">
        <v>39.986522000000001</v>
      </c>
      <c r="AK2447" t="s">
        <v>1474</v>
      </c>
      <c r="AL2447">
        <v>-92.724008999999995</v>
      </c>
      <c r="AM2447">
        <v>100</v>
      </c>
      <c r="AN2447">
        <v>1700</v>
      </c>
      <c r="AO2447" t="s">
        <v>118</v>
      </c>
      <c r="AP2447">
        <v>-106</v>
      </c>
      <c r="AQ2447">
        <v>77</v>
      </c>
      <c r="AR2447">
        <v>0</v>
      </c>
      <c r="AZ2447">
        <v>1200</v>
      </c>
      <c r="BA2447">
        <v>1</v>
      </c>
      <c r="BB2447" t="str">
        <f t="shared" si="118"/>
        <v xml:space="preserve">N8080G  </v>
      </c>
      <c r="BC2447">
        <v>1</v>
      </c>
      <c r="BE2447">
        <v>0</v>
      </c>
      <c r="BF2447">
        <v>0</v>
      </c>
      <c r="BG2447">
        <v>0</v>
      </c>
      <c r="BH2447">
        <v>1700</v>
      </c>
      <c r="BI2447">
        <v>1</v>
      </c>
      <c r="BJ2447">
        <v>1</v>
      </c>
      <c r="BK2447">
        <v>1</v>
      </c>
      <c r="BL2447">
        <v>0</v>
      </c>
      <c r="BO2447">
        <v>0</v>
      </c>
      <c r="BP2447">
        <v>0</v>
      </c>
      <c r="BW2447" t="str">
        <f>"20:27:34.159"</f>
        <v>20:27:34.159</v>
      </c>
      <c r="BZ2447">
        <v>0</v>
      </c>
      <c r="CA2447">
        <v>2016</v>
      </c>
      <c r="CB2447">
        <v>224</v>
      </c>
      <c r="CD2447">
        <v>1</v>
      </c>
      <c r="CE2447">
        <v>0</v>
      </c>
      <c r="CF2447">
        <v>0</v>
      </c>
      <c r="CG2447">
        <v>1</v>
      </c>
      <c r="CH2447">
        <v>0</v>
      </c>
      <c r="CI2447">
        <v>0</v>
      </c>
      <c r="CJ2447">
        <v>0</v>
      </c>
      <c r="CK2447">
        <v>2</v>
      </c>
      <c r="CL2447">
        <v>0</v>
      </c>
      <c r="CM2447">
        <v>2</v>
      </c>
      <c r="CN2447">
        <v>0</v>
      </c>
      <c r="CO2447">
        <v>7</v>
      </c>
      <c r="CP2447" t="s">
        <v>119</v>
      </c>
      <c r="CQ2447">
        <v>180</v>
      </c>
      <c r="CR2447">
        <v>3</v>
      </c>
      <c r="CW2447">
        <v>888333</v>
      </c>
      <c r="CY2447">
        <v>1</v>
      </c>
      <c r="CZ2447">
        <v>0</v>
      </c>
      <c r="DA2447">
        <v>0</v>
      </c>
      <c r="DB2447">
        <v>0</v>
      </c>
      <c r="DC2447">
        <v>0</v>
      </c>
      <c r="DD2447">
        <v>0</v>
      </c>
      <c r="DE2447">
        <v>0</v>
      </c>
      <c r="DF2447">
        <v>0</v>
      </c>
      <c r="DG2447">
        <v>0</v>
      </c>
      <c r="DH2447">
        <v>0</v>
      </c>
      <c r="DI2447">
        <v>0</v>
      </c>
    </row>
    <row r="2448" spans="1:113" x14ac:dyDescent="0.3">
      <c r="A2448" t="str">
        <f>"02/08/2021 20:27:31.829"</f>
        <v>02/08/2021 20:27:31.829</v>
      </c>
      <c r="C2448" t="str">
        <f t="shared" si="117"/>
        <v>FFDFD7C0</v>
      </c>
      <c r="D2448" t="s">
        <v>124</v>
      </c>
      <c r="E2448">
        <v>13</v>
      </c>
      <c r="F2448">
        <v>1013</v>
      </c>
      <c r="G2448" t="s">
        <v>114</v>
      </c>
      <c r="J2448" t="s">
        <v>125</v>
      </c>
      <c r="K2448">
        <v>0</v>
      </c>
      <c r="L2448">
        <v>3</v>
      </c>
      <c r="M2448">
        <v>0</v>
      </c>
      <c r="N2448">
        <v>2</v>
      </c>
      <c r="O2448">
        <v>1</v>
      </c>
      <c r="P2448">
        <v>0</v>
      </c>
      <c r="Q2448">
        <v>0</v>
      </c>
      <c r="S2448" t="str">
        <f>"20:27:34.156"</f>
        <v>20:27:34.156</v>
      </c>
      <c r="T2448" t="str">
        <f>"20:27:33.756"</f>
        <v>20:27:33.756</v>
      </c>
      <c r="U2448" t="str">
        <f t="shared" si="119"/>
        <v>AB01F4</v>
      </c>
      <c r="V2448">
        <v>0</v>
      </c>
      <c r="W2448">
        <v>0</v>
      </c>
      <c r="X2448">
        <v>2</v>
      </c>
      <c r="Z2448">
        <v>0</v>
      </c>
      <c r="AA2448">
        <v>9</v>
      </c>
      <c r="AB2448">
        <v>3</v>
      </c>
      <c r="AC2448">
        <v>0</v>
      </c>
      <c r="AD2448">
        <v>10</v>
      </c>
      <c r="AE2448">
        <v>0</v>
      </c>
      <c r="AF2448">
        <v>3</v>
      </c>
      <c r="AG2448">
        <v>2</v>
      </c>
      <c r="AH2448">
        <v>0</v>
      </c>
      <c r="AI2448" t="s">
        <v>1473</v>
      </c>
      <c r="AJ2448">
        <v>39.986522000000001</v>
      </c>
      <c r="AK2448" t="s">
        <v>1474</v>
      </c>
      <c r="AL2448">
        <v>-92.724008999999995</v>
      </c>
      <c r="AM2448">
        <v>100</v>
      </c>
      <c r="AN2448">
        <v>1700</v>
      </c>
      <c r="AO2448" t="s">
        <v>118</v>
      </c>
      <c r="AP2448">
        <v>-106</v>
      </c>
      <c r="AQ2448">
        <v>77</v>
      </c>
      <c r="AR2448">
        <v>0</v>
      </c>
      <c r="AZ2448">
        <v>1200</v>
      </c>
      <c r="BA2448">
        <v>1</v>
      </c>
      <c r="BB2448" t="str">
        <f t="shared" si="118"/>
        <v xml:space="preserve">N8080G  </v>
      </c>
      <c r="BC2448">
        <v>1</v>
      </c>
      <c r="BE2448">
        <v>0</v>
      </c>
      <c r="BF2448">
        <v>0</v>
      </c>
      <c r="BG2448">
        <v>0</v>
      </c>
      <c r="BH2448">
        <v>1700</v>
      </c>
      <c r="BI2448">
        <v>1</v>
      </c>
      <c r="BJ2448">
        <v>1</v>
      </c>
      <c r="BK2448">
        <v>1</v>
      </c>
      <c r="BL2448">
        <v>0</v>
      </c>
      <c r="BO2448">
        <v>0</v>
      </c>
      <c r="BP2448">
        <v>0</v>
      </c>
      <c r="BW2448" t="str">
        <f>"20:27:34.159"</f>
        <v>20:27:34.159</v>
      </c>
      <c r="BZ2448">
        <v>0</v>
      </c>
      <c r="CA2448">
        <v>2016</v>
      </c>
      <c r="CB2448">
        <v>224</v>
      </c>
      <c r="CD2448">
        <v>1</v>
      </c>
      <c r="CE2448">
        <v>0</v>
      </c>
      <c r="CF2448">
        <v>0</v>
      </c>
      <c r="CG2448">
        <v>1</v>
      </c>
      <c r="CH2448">
        <v>0</v>
      </c>
      <c r="CI2448">
        <v>0</v>
      </c>
      <c r="CJ2448">
        <v>0</v>
      </c>
      <c r="CK2448">
        <v>2</v>
      </c>
      <c r="CL2448">
        <v>0</v>
      </c>
      <c r="CM2448">
        <v>2</v>
      </c>
      <c r="CN2448">
        <v>0</v>
      </c>
      <c r="CO2448">
        <v>7</v>
      </c>
      <c r="CP2448" t="s">
        <v>119</v>
      </c>
      <c r="CQ2448">
        <v>180</v>
      </c>
      <c r="CR2448">
        <v>3</v>
      </c>
      <c r="CW2448">
        <v>888333</v>
      </c>
      <c r="CY2448">
        <v>1</v>
      </c>
      <c r="CZ2448">
        <v>0</v>
      </c>
      <c r="DA2448">
        <v>1</v>
      </c>
      <c r="DB2448">
        <v>0</v>
      </c>
      <c r="DC2448">
        <v>0</v>
      </c>
      <c r="DD2448">
        <v>0</v>
      </c>
      <c r="DE2448">
        <v>0</v>
      </c>
      <c r="DF2448">
        <v>0</v>
      </c>
      <c r="DG2448">
        <v>0</v>
      </c>
      <c r="DH2448">
        <v>0</v>
      </c>
      <c r="DI2448">
        <v>0</v>
      </c>
    </row>
    <row r="2449" spans="1:113" x14ac:dyDescent="0.3">
      <c r="A2449" t="str">
        <f>"02/08/2021 20:27:31.829"</f>
        <v>02/08/2021 20:27:31.829</v>
      </c>
      <c r="C2449" t="str">
        <f t="shared" si="117"/>
        <v>FFDFD7C0</v>
      </c>
      <c r="D2449" t="s">
        <v>124</v>
      </c>
      <c r="E2449">
        <v>12</v>
      </c>
      <c r="F2449">
        <v>1012</v>
      </c>
      <c r="G2449" t="s">
        <v>675</v>
      </c>
      <c r="J2449" t="s">
        <v>125</v>
      </c>
      <c r="K2449">
        <v>0</v>
      </c>
      <c r="L2449">
        <v>3</v>
      </c>
      <c r="M2449">
        <v>0</v>
      </c>
      <c r="N2449">
        <v>2</v>
      </c>
      <c r="O2449">
        <v>1</v>
      </c>
      <c r="P2449">
        <v>0</v>
      </c>
      <c r="Q2449">
        <v>0</v>
      </c>
      <c r="S2449" t="str">
        <f>"20:27:34.156"</f>
        <v>20:27:34.156</v>
      </c>
      <c r="T2449" t="str">
        <f>"20:27:33.756"</f>
        <v>20:27:33.756</v>
      </c>
      <c r="U2449" t="str">
        <f t="shared" si="119"/>
        <v>AB01F4</v>
      </c>
      <c r="V2449">
        <v>0</v>
      </c>
      <c r="W2449">
        <v>0</v>
      </c>
      <c r="X2449">
        <v>2</v>
      </c>
      <c r="Z2449">
        <v>0</v>
      </c>
      <c r="AA2449">
        <v>9</v>
      </c>
      <c r="AB2449">
        <v>3</v>
      </c>
      <c r="AC2449">
        <v>0</v>
      </c>
      <c r="AD2449">
        <v>10</v>
      </c>
      <c r="AE2449">
        <v>0</v>
      </c>
      <c r="AF2449">
        <v>3</v>
      </c>
      <c r="AG2449">
        <v>2</v>
      </c>
      <c r="AH2449">
        <v>0</v>
      </c>
      <c r="AI2449" t="s">
        <v>1473</v>
      </c>
      <c r="AJ2449">
        <v>39.986522000000001</v>
      </c>
      <c r="AK2449" t="s">
        <v>1474</v>
      </c>
      <c r="AL2449">
        <v>-92.724008999999995</v>
      </c>
      <c r="AM2449">
        <v>100</v>
      </c>
      <c r="AN2449">
        <v>1700</v>
      </c>
      <c r="AO2449" t="s">
        <v>118</v>
      </c>
      <c r="AP2449">
        <v>-106</v>
      </c>
      <c r="AQ2449">
        <v>77</v>
      </c>
      <c r="AR2449">
        <v>0</v>
      </c>
      <c r="AZ2449">
        <v>1200</v>
      </c>
      <c r="BA2449">
        <v>1</v>
      </c>
      <c r="BB2449" t="str">
        <f t="shared" si="118"/>
        <v xml:space="preserve">N8080G  </v>
      </c>
      <c r="BC2449">
        <v>1</v>
      </c>
      <c r="BE2449">
        <v>0</v>
      </c>
      <c r="BF2449">
        <v>0</v>
      </c>
      <c r="BG2449">
        <v>0</v>
      </c>
      <c r="BH2449">
        <v>1700</v>
      </c>
      <c r="BI2449">
        <v>1</v>
      </c>
      <c r="BJ2449">
        <v>1</v>
      </c>
      <c r="BK2449">
        <v>1</v>
      </c>
      <c r="BL2449">
        <v>0</v>
      </c>
      <c r="BO2449">
        <v>0</v>
      </c>
      <c r="BP2449">
        <v>0</v>
      </c>
      <c r="BW2449" t="str">
        <f>"20:27:34.159"</f>
        <v>20:27:34.159</v>
      </c>
      <c r="BZ2449">
        <v>0</v>
      </c>
      <c r="CA2449">
        <v>2016</v>
      </c>
      <c r="CB2449">
        <v>224</v>
      </c>
      <c r="CD2449">
        <v>1</v>
      </c>
      <c r="CE2449">
        <v>0</v>
      </c>
      <c r="CF2449">
        <v>0</v>
      </c>
      <c r="CG2449">
        <v>1</v>
      </c>
      <c r="CH2449">
        <v>0</v>
      </c>
      <c r="CI2449">
        <v>0</v>
      </c>
      <c r="CJ2449">
        <v>0</v>
      </c>
      <c r="CK2449">
        <v>2</v>
      </c>
      <c r="CL2449">
        <v>0</v>
      </c>
      <c r="CM2449">
        <v>2</v>
      </c>
      <c r="CN2449">
        <v>0</v>
      </c>
      <c r="CO2449">
        <v>7</v>
      </c>
      <c r="CP2449" t="s">
        <v>119</v>
      </c>
      <c r="CQ2449">
        <v>180</v>
      </c>
      <c r="CR2449">
        <v>3</v>
      </c>
      <c r="CW2449">
        <v>888333</v>
      </c>
      <c r="CY2449">
        <v>1</v>
      </c>
      <c r="CZ2449">
        <v>0</v>
      </c>
      <c r="DA2449">
        <v>1</v>
      </c>
      <c r="DB2449">
        <v>0</v>
      </c>
      <c r="DC2449">
        <v>0</v>
      </c>
      <c r="DD2449">
        <v>0</v>
      </c>
      <c r="DE2449">
        <v>0</v>
      </c>
      <c r="DF2449">
        <v>0</v>
      </c>
      <c r="DG2449">
        <v>0</v>
      </c>
      <c r="DH2449">
        <v>0</v>
      </c>
      <c r="DI2449">
        <v>0</v>
      </c>
    </row>
    <row r="2450" spans="1:113" x14ac:dyDescent="0.3">
      <c r="A2450" t="str">
        <f>"02/08/2021 20:27:31.829"</f>
        <v>02/08/2021 20:27:31.829</v>
      </c>
      <c r="C2450" t="str">
        <f t="shared" si="117"/>
        <v>FFDFD7C0</v>
      </c>
      <c r="D2450" t="s">
        <v>113</v>
      </c>
      <c r="E2450">
        <v>6</v>
      </c>
      <c r="H2450">
        <v>165</v>
      </c>
      <c r="I2450" t="s">
        <v>114</v>
      </c>
      <c r="J2450" t="s">
        <v>115</v>
      </c>
      <c r="K2450">
        <v>0</v>
      </c>
      <c r="L2450">
        <v>3</v>
      </c>
      <c r="M2450">
        <v>0</v>
      </c>
      <c r="N2450">
        <v>2</v>
      </c>
      <c r="O2450">
        <v>1</v>
      </c>
      <c r="P2450">
        <v>0</v>
      </c>
      <c r="Q2450">
        <v>0</v>
      </c>
      <c r="S2450" t="str">
        <f>"20:27:34.156"</f>
        <v>20:27:34.156</v>
      </c>
      <c r="T2450" t="str">
        <f>"20:27:33.756"</f>
        <v>20:27:33.756</v>
      </c>
      <c r="U2450" t="str">
        <f t="shared" si="119"/>
        <v>AB01F4</v>
      </c>
      <c r="V2450">
        <v>0</v>
      </c>
      <c r="W2450">
        <v>0</v>
      </c>
      <c r="X2450">
        <v>2</v>
      </c>
      <c r="Z2450">
        <v>0</v>
      </c>
      <c r="AA2450">
        <v>9</v>
      </c>
      <c r="AB2450">
        <v>3</v>
      </c>
      <c r="AC2450">
        <v>0</v>
      </c>
      <c r="AD2450">
        <v>10</v>
      </c>
      <c r="AE2450">
        <v>0</v>
      </c>
      <c r="AF2450">
        <v>3</v>
      </c>
      <c r="AG2450">
        <v>2</v>
      </c>
      <c r="AH2450">
        <v>0</v>
      </c>
      <c r="AI2450" t="s">
        <v>1473</v>
      </c>
      <c r="AJ2450">
        <v>39.986522000000001</v>
      </c>
      <c r="AK2450" t="s">
        <v>1474</v>
      </c>
      <c r="AL2450">
        <v>-92.724008999999995</v>
      </c>
      <c r="AM2450">
        <v>100</v>
      </c>
      <c r="AN2450">
        <v>1700</v>
      </c>
      <c r="AO2450" t="s">
        <v>118</v>
      </c>
      <c r="AP2450">
        <v>-106</v>
      </c>
      <c r="AQ2450">
        <v>77</v>
      </c>
      <c r="AR2450">
        <v>0</v>
      </c>
      <c r="AZ2450">
        <v>1200</v>
      </c>
      <c r="BA2450">
        <v>1</v>
      </c>
      <c r="BB2450" t="str">
        <f t="shared" si="118"/>
        <v xml:space="preserve">N8080G  </v>
      </c>
      <c r="BC2450">
        <v>1</v>
      </c>
      <c r="BE2450">
        <v>0</v>
      </c>
      <c r="BF2450">
        <v>0</v>
      </c>
      <c r="BG2450">
        <v>0</v>
      </c>
      <c r="BH2450">
        <v>1700</v>
      </c>
      <c r="BI2450">
        <v>1</v>
      </c>
      <c r="BJ2450">
        <v>1</v>
      </c>
      <c r="BK2450">
        <v>1</v>
      </c>
      <c r="BL2450">
        <v>0</v>
      </c>
      <c r="BO2450">
        <v>0</v>
      </c>
      <c r="BP2450">
        <v>0</v>
      </c>
      <c r="BW2450" t="str">
        <f>"20:27:34.159"</f>
        <v>20:27:34.159</v>
      </c>
      <c r="BZ2450">
        <v>0</v>
      </c>
      <c r="CA2450">
        <v>2016</v>
      </c>
      <c r="CB2450">
        <v>224</v>
      </c>
      <c r="CD2450">
        <v>1</v>
      </c>
      <c r="CE2450">
        <v>0</v>
      </c>
      <c r="CF2450">
        <v>0</v>
      </c>
      <c r="CG2450">
        <v>1</v>
      </c>
      <c r="CH2450">
        <v>0</v>
      </c>
      <c r="CI2450">
        <v>0</v>
      </c>
      <c r="CJ2450">
        <v>0</v>
      </c>
      <c r="CK2450">
        <v>2</v>
      </c>
      <c r="CL2450">
        <v>0</v>
      </c>
      <c r="CM2450">
        <v>2</v>
      </c>
      <c r="CN2450">
        <v>0</v>
      </c>
      <c r="CO2450">
        <v>7</v>
      </c>
      <c r="CP2450" t="s">
        <v>119</v>
      </c>
      <c r="CQ2450">
        <v>180</v>
      </c>
      <c r="CR2450">
        <v>3</v>
      </c>
      <c r="CW2450">
        <v>888333</v>
      </c>
      <c r="CY2450">
        <v>1</v>
      </c>
      <c r="CZ2450">
        <v>0</v>
      </c>
      <c r="DA2450">
        <v>1</v>
      </c>
      <c r="DB2450">
        <v>0</v>
      </c>
      <c r="DC2450">
        <v>0</v>
      </c>
      <c r="DD2450">
        <v>0</v>
      </c>
      <c r="DE2450">
        <v>0</v>
      </c>
      <c r="DF2450">
        <v>0</v>
      </c>
      <c r="DG2450">
        <v>0</v>
      </c>
      <c r="DH2450">
        <v>0</v>
      </c>
      <c r="DI2450">
        <v>0</v>
      </c>
    </row>
    <row r="2451" spans="1:113" x14ac:dyDescent="0.3">
      <c r="A2451" t="str">
        <f>"02/08/2021 20:27:32.900"</f>
        <v>02/08/2021 20:27:32.900</v>
      </c>
      <c r="C2451" t="str">
        <f t="shared" si="117"/>
        <v>FFDFD7C0</v>
      </c>
      <c r="D2451" t="s">
        <v>124</v>
      </c>
      <c r="E2451">
        <v>13</v>
      </c>
      <c r="F2451">
        <v>1013</v>
      </c>
      <c r="G2451" t="s">
        <v>114</v>
      </c>
      <c r="J2451" t="s">
        <v>125</v>
      </c>
      <c r="K2451">
        <v>0</v>
      </c>
      <c r="L2451">
        <v>3</v>
      </c>
      <c r="M2451">
        <v>0</v>
      </c>
      <c r="N2451">
        <v>2</v>
      </c>
      <c r="O2451">
        <v>1</v>
      </c>
      <c r="P2451">
        <v>0</v>
      </c>
      <c r="Q2451">
        <v>0</v>
      </c>
      <c r="S2451" t="str">
        <f>"20:27:35.227"</f>
        <v>20:27:35.227</v>
      </c>
      <c r="T2451" t="str">
        <f>"20:27:34.727"</f>
        <v>20:27:34.727</v>
      </c>
      <c r="U2451" t="str">
        <f t="shared" si="119"/>
        <v>AB01F4</v>
      </c>
      <c r="V2451">
        <v>0</v>
      </c>
      <c r="W2451">
        <v>0</v>
      </c>
      <c r="X2451">
        <v>2</v>
      </c>
      <c r="Z2451">
        <v>0</v>
      </c>
      <c r="AA2451">
        <v>9</v>
      </c>
      <c r="AB2451">
        <v>3</v>
      </c>
      <c r="AC2451">
        <v>0</v>
      </c>
      <c r="AD2451">
        <v>10</v>
      </c>
      <c r="AE2451">
        <v>0</v>
      </c>
      <c r="AF2451">
        <v>3</v>
      </c>
      <c r="AG2451">
        <v>2</v>
      </c>
      <c r="AH2451">
        <v>0</v>
      </c>
      <c r="AI2451" t="s">
        <v>1475</v>
      </c>
      <c r="AJ2451">
        <v>39.986887000000003</v>
      </c>
      <c r="AK2451" t="s">
        <v>1476</v>
      </c>
      <c r="AL2451">
        <v>-92.724738000000002</v>
      </c>
      <c r="AM2451">
        <v>100</v>
      </c>
      <c r="AN2451">
        <v>1700</v>
      </c>
      <c r="AO2451" t="s">
        <v>118</v>
      </c>
      <c r="AP2451">
        <v>-106</v>
      </c>
      <c r="AQ2451">
        <v>77</v>
      </c>
      <c r="AR2451">
        <v>0</v>
      </c>
      <c r="AZ2451">
        <v>1200</v>
      </c>
      <c r="BA2451">
        <v>1</v>
      </c>
      <c r="BB2451" t="str">
        <f t="shared" si="118"/>
        <v xml:space="preserve">N8080G  </v>
      </c>
      <c r="BC2451">
        <v>1</v>
      </c>
      <c r="BE2451">
        <v>0</v>
      </c>
      <c r="BF2451">
        <v>0</v>
      </c>
      <c r="BG2451">
        <v>0</v>
      </c>
      <c r="BH2451">
        <v>1700</v>
      </c>
      <c r="BI2451">
        <v>1</v>
      </c>
      <c r="BJ2451">
        <v>1</v>
      </c>
      <c r="BK2451">
        <v>1</v>
      </c>
      <c r="BL2451">
        <v>0</v>
      </c>
      <c r="BO2451">
        <v>0</v>
      </c>
      <c r="BP2451">
        <v>0</v>
      </c>
      <c r="BW2451" t="str">
        <f>"20:27:35.229"</f>
        <v>20:27:35.229</v>
      </c>
      <c r="BZ2451">
        <v>0</v>
      </c>
      <c r="CA2451">
        <v>2016</v>
      </c>
      <c r="CB2451">
        <v>224</v>
      </c>
      <c r="CD2451">
        <v>1</v>
      </c>
      <c r="CE2451">
        <v>0</v>
      </c>
      <c r="CF2451">
        <v>0</v>
      </c>
      <c r="CG2451">
        <v>1</v>
      </c>
      <c r="CH2451">
        <v>0</v>
      </c>
      <c r="CI2451">
        <v>0</v>
      </c>
      <c r="CJ2451">
        <v>0</v>
      </c>
      <c r="CK2451">
        <v>2</v>
      </c>
      <c r="CL2451">
        <v>0</v>
      </c>
      <c r="CM2451">
        <v>2</v>
      </c>
      <c r="CN2451">
        <v>0</v>
      </c>
      <c r="CO2451">
        <v>4</v>
      </c>
      <c r="CP2451" t="s">
        <v>119</v>
      </c>
      <c r="CQ2451">
        <v>179</v>
      </c>
      <c r="CR2451">
        <v>1</v>
      </c>
      <c r="CW2451">
        <v>8982761</v>
      </c>
      <c r="CY2451">
        <v>1</v>
      </c>
      <c r="CZ2451">
        <v>0</v>
      </c>
      <c r="DA2451">
        <v>0</v>
      </c>
      <c r="DB2451">
        <v>0</v>
      </c>
      <c r="DC2451">
        <v>0</v>
      </c>
      <c r="DD2451">
        <v>0</v>
      </c>
      <c r="DE2451">
        <v>0</v>
      </c>
      <c r="DF2451">
        <v>0</v>
      </c>
      <c r="DG2451">
        <v>0</v>
      </c>
      <c r="DH2451">
        <v>0</v>
      </c>
      <c r="DI2451">
        <v>0</v>
      </c>
    </row>
    <row r="2452" spans="1:113" x14ac:dyDescent="0.3">
      <c r="A2452" t="str">
        <f>"02/08/2021 20:27:32.900"</f>
        <v>02/08/2021 20:27:32.900</v>
      </c>
      <c r="C2452" t="str">
        <f t="shared" si="117"/>
        <v>FFDFD7C0</v>
      </c>
      <c r="D2452" t="s">
        <v>124</v>
      </c>
      <c r="E2452">
        <v>12</v>
      </c>
      <c r="F2452">
        <v>1012</v>
      </c>
      <c r="G2452" t="s">
        <v>675</v>
      </c>
      <c r="J2452" t="s">
        <v>125</v>
      </c>
      <c r="K2452">
        <v>0</v>
      </c>
      <c r="L2452">
        <v>3</v>
      </c>
      <c r="M2452">
        <v>0</v>
      </c>
      <c r="N2452">
        <v>2</v>
      </c>
      <c r="O2452">
        <v>1</v>
      </c>
      <c r="P2452">
        <v>0</v>
      </c>
      <c r="Q2452">
        <v>0</v>
      </c>
      <c r="S2452" t="str">
        <f>"20:27:35.227"</f>
        <v>20:27:35.227</v>
      </c>
      <c r="T2452" t="str">
        <f>"20:27:34.727"</f>
        <v>20:27:34.727</v>
      </c>
      <c r="U2452" t="str">
        <f t="shared" si="119"/>
        <v>AB01F4</v>
      </c>
      <c r="V2452">
        <v>0</v>
      </c>
      <c r="W2452">
        <v>0</v>
      </c>
      <c r="X2452">
        <v>2</v>
      </c>
      <c r="Z2452">
        <v>0</v>
      </c>
      <c r="AA2452">
        <v>9</v>
      </c>
      <c r="AB2452">
        <v>3</v>
      </c>
      <c r="AC2452">
        <v>0</v>
      </c>
      <c r="AD2452">
        <v>10</v>
      </c>
      <c r="AE2452">
        <v>0</v>
      </c>
      <c r="AF2452">
        <v>3</v>
      </c>
      <c r="AG2452">
        <v>2</v>
      </c>
      <c r="AH2452">
        <v>0</v>
      </c>
      <c r="AI2452" t="s">
        <v>1475</v>
      </c>
      <c r="AJ2452">
        <v>39.986887000000003</v>
      </c>
      <c r="AK2452" t="s">
        <v>1476</v>
      </c>
      <c r="AL2452">
        <v>-92.724738000000002</v>
      </c>
      <c r="AM2452">
        <v>100</v>
      </c>
      <c r="AN2452">
        <v>1700</v>
      </c>
      <c r="AO2452" t="s">
        <v>118</v>
      </c>
      <c r="AP2452">
        <v>-106</v>
      </c>
      <c r="AQ2452">
        <v>77</v>
      </c>
      <c r="AR2452">
        <v>0</v>
      </c>
      <c r="AZ2452">
        <v>1200</v>
      </c>
      <c r="BA2452">
        <v>1</v>
      </c>
      <c r="BB2452" t="str">
        <f t="shared" si="118"/>
        <v xml:space="preserve">N8080G  </v>
      </c>
      <c r="BC2452">
        <v>1</v>
      </c>
      <c r="BE2452">
        <v>0</v>
      </c>
      <c r="BF2452">
        <v>0</v>
      </c>
      <c r="BG2452">
        <v>0</v>
      </c>
      <c r="BH2452">
        <v>1700</v>
      </c>
      <c r="BI2452">
        <v>1</v>
      </c>
      <c r="BJ2452">
        <v>1</v>
      </c>
      <c r="BK2452">
        <v>1</v>
      </c>
      <c r="BL2452">
        <v>0</v>
      </c>
      <c r="BO2452">
        <v>0</v>
      </c>
      <c r="BP2452">
        <v>0</v>
      </c>
      <c r="BW2452" t="str">
        <f>"20:27:35.229"</f>
        <v>20:27:35.229</v>
      </c>
      <c r="BZ2452">
        <v>0</v>
      </c>
      <c r="CA2452">
        <v>2016</v>
      </c>
      <c r="CB2452">
        <v>224</v>
      </c>
      <c r="CD2452">
        <v>1</v>
      </c>
      <c r="CE2452">
        <v>0</v>
      </c>
      <c r="CF2452">
        <v>0</v>
      </c>
      <c r="CG2452">
        <v>1</v>
      </c>
      <c r="CH2452">
        <v>0</v>
      </c>
      <c r="CI2452">
        <v>0</v>
      </c>
      <c r="CJ2452">
        <v>0</v>
      </c>
      <c r="CK2452">
        <v>2</v>
      </c>
      <c r="CL2452">
        <v>0</v>
      </c>
      <c r="CM2452">
        <v>2</v>
      </c>
      <c r="CN2452">
        <v>0</v>
      </c>
      <c r="CO2452">
        <v>4</v>
      </c>
      <c r="CP2452" t="s">
        <v>119</v>
      </c>
      <c r="CQ2452">
        <v>179</v>
      </c>
      <c r="CR2452">
        <v>1</v>
      </c>
      <c r="CW2452">
        <v>8982761</v>
      </c>
      <c r="CY2452">
        <v>1</v>
      </c>
      <c r="CZ2452">
        <v>0</v>
      </c>
      <c r="DA2452">
        <v>1</v>
      </c>
      <c r="DB2452">
        <v>0</v>
      </c>
      <c r="DC2452">
        <v>0</v>
      </c>
      <c r="DD2452">
        <v>0</v>
      </c>
      <c r="DE2452">
        <v>0</v>
      </c>
      <c r="DF2452">
        <v>0</v>
      </c>
      <c r="DG2452">
        <v>0</v>
      </c>
      <c r="DH2452">
        <v>0</v>
      </c>
      <c r="DI2452">
        <v>0</v>
      </c>
    </row>
    <row r="2453" spans="1:113" x14ac:dyDescent="0.3">
      <c r="A2453" t="str">
        <f>"02/08/2021 20:27:32.900"</f>
        <v>02/08/2021 20:27:32.900</v>
      </c>
      <c r="C2453" t="str">
        <f t="shared" si="117"/>
        <v>FFDFD7C0</v>
      </c>
      <c r="D2453" t="s">
        <v>113</v>
      </c>
      <c r="E2453">
        <v>6</v>
      </c>
      <c r="H2453">
        <v>165</v>
      </c>
      <c r="I2453" t="s">
        <v>114</v>
      </c>
      <c r="J2453" t="s">
        <v>115</v>
      </c>
      <c r="K2453">
        <v>0</v>
      </c>
      <c r="L2453">
        <v>3</v>
      </c>
      <c r="M2453">
        <v>0</v>
      </c>
      <c r="N2453">
        <v>2</v>
      </c>
      <c r="O2453">
        <v>1</v>
      </c>
      <c r="P2453">
        <v>0</v>
      </c>
      <c r="Q2453">
        <v>0</v>
      </c>
      <c r="S2453" t="str">
        <f>"20:27:35.227"</f>
        <v>20:27:35.227</v>
      </c>
      <c r="T2453" t="str">
        <f>"20:27:34.727"</f>
        <v>20:27:34.727</v>
      </c>
      <c r="U2453" t="str">
        <f t="shared" si="119"/>
        <v>AB01F4</v>
      </c>
      <c r="V2453">
        <v>0</v>
      </c>
      <c r="W2453">
        <v>0</v>
      </c>
      <c r="X2453">
        <v>2</v>
      </c>
      <c r="Z2453">
        <v>0</v>
      </c>
      <c r="AA2453">
        <v>9</v>
      </c>
      <c r="AB2453">
        <v>3</v>
      </c>
      <c r="AC2453">
        <v>0</v>
      </c>
      <c r="AD2453">
        <v>10</v>
      </c>
      <c r="AE2453">
        <v>0</v>
      </c>
      <c r="AF2453">
        <v>3</v>
      </c>
      <c r="AG2453">
        <v>2</v>
      </c>
      <c r="AH2453">
        <v>0</v>
      </c>
      <c r="AI2453" t="s">
        <v>1475</v>
      </c>
      <c r="AJ2453">
        <v>39.986887000000003</v>
      </c>
      <c r="AK2453" t="s">
        <v>1476</v>
      </c>
      <c r="AL2453">
        <v>-92.724738000000002</v>
      </c>
      <c r="AM2453">
        <v>100</v>
      </c>
      <c r="AN2453">
        <v>1700</v>
      </c>
      <c r="AO2453" t="s">
        <v>118</v>
      </c>
      <c r="AP2453">
        <v>-106</v>
      </c>
      <c r="AQ2453">
        <v>77</v>
      </c>
      <c r="AR2453">
        <v>0</v>
      </c>
      <c r="AZ2453">
        <v>1200</v>
      </c>
      <c r="BA2453">
        <v>1</v>
      </c>
      <c r="BB2453" t="str">
        <f t="shared" si="118"/>
        <v xml:space="preserve">N8080G  </v>
      </c>
      <c r="BC2453">
        <v>1</v>
      </c>
      <c r="BE2453">
        <v>0</v>
      </c>
      <c r="BF2453">
        <v>0</v>
      </c>
      <c r="BG2453">
        <v>0</v>
      </c>
      <c r="BH2453">
        <v>1700</v>
      </c>
      <c r="BI2453">
        <v>1</v>
      </c>
      <c r="BJ2453">
        <v>1</v>
      </c>
      <c r="BK2453">
        <v>1</v>
      </c>
      <c r="BL2453">
        <v>0</v>
      </c>
      <c r="BO2453">
        <v>0</v>
      </c>
      <c r="BP2453">
        <v>0</v>
      </c>
      <c r="BW2453" t="str">
        <f>"20:27:35.229"</f>
        <v>20:27:35.229</v>
      </c>
      <c r="BZ2453">
        <v>0</v>
      </c>
      <c r="CA2453">
        <v>2016</v>
      </c>
      <c r="CB2453">
        <v>224</v>
      </c>
      <c r="CD2453">
        <v>1</v>
      </c>
      <c r="CE2453">
        <v>0</v>
      </c>
      <c r="CF2453">
        <v>0</v>
      </c>
      <c r="CG2453">
        <v>1</v>
      </c>
      <c r="CH2453">
        <v>0</v>
      </c>
      <c r="CI2453">
        <v>0</v>
      </c>
      <c r="CJ2453">
        <v>0</v>
      </c>
      <c r="CK2453">
        <v>2</v>
      </c>
      <c r="CL2453">
        <v>0</v>
      </c>
      <c r="CM2453">
        <v>2</v>
      </c>
      <c r="CN2453">
        <v>0</v>
      </c>
      <c r="CO2453">
        <v>4</v>
      </c>
      <c r="CP2453" t="s">
        <v>119</v>
      </c>
      <c r="CQ2453">
        <v>179</v>
      </c>
      <c r="CR2453">
        <v>1</v>
      </c>
      <c r="CW2453">
        <v>8982761</v>
      </c>
      <c r="CY2453">
        <v>1</v>
      </c>
      <c r="CZ2453">
        <v>0</v>
      </c>
      <c r="DA2453">
        <v>1</v>
      </c>
      <c r="DB2453">
        <v>0</v>
      </c>
      <c r="DC2453">
        <v>0</v>
      </c>
      <c r="DD2453">
        <v>0</v>
      </c>
      <c r="DE2453">
        <v>0</v>
      </c>
      <c r="DF2453">
        <v>0</v>
      </c>
      <c r="DG2453">
        <v>0</v>
      </c>
      <c r="DH2453">
        <v>0</v>
      </c>
      <c r="DI2453">
        <v>0</v>
      </c>
    </row>
    <row r="2454" spans="1:113" x14ac:dyDescent="0.3">
      <c r="A2454" t="str">
        <f>"02/08/2021 20:27:32.900"</f>
        <v>02/08/2021 20:27:32.900</v>
      </c>
      <c r="C2454" t="str">
        <f t="shared" si="117"/>
        <v>FFDFD7C0</v>
      </c>
      <c r="D2454" t="s">
        <v>124</v>
      </c>
      <c r="E2454">
        <v>11</v>
      </c>
      <c r="F2454">
        <v>1011</v>
      </c>
      <c r="G2454" t="s">
        <v>590</v>
      </c>
      <c r="J2454" t="s">
        <v>125</v>
      </c>
      <c r="K2454">
        <v>0</v>
      </c>
      <c r="L2454">
        <v>3</v>
      </c>
      <c r="M2454">
        <v>0</v>
      </c>
      <c r="N2454">
        <v>2</v>
      </c>
      <c r="O2454">
        <v>1</v>
      </c>
      <c r="P2454">
        <v>0</v>
      </c>
      <c r="Q2454">
        <v>0</v>
      </c>
      <c r="S2454" t="str">
        <f>"20:27:35.227"</f>
        <v>20:27:35.227</v>
      </c>
      <c r="T2454" t="str">
        <f>"20:27:34.727"</f>
        <v>20:27:34.727</v>
      </c>
      <c r="U2454" t="str">
        <f t="shared" si="119"/>
        <v>AB01F4</v>
      </c>
      <c r="V2454">
        <v>0</v>
      </c>
      <c r="W2454">
        <v>0</v>
      </c>
      <c r="X2454">
        <v>2</v>
      </c>
      <c r="Z2454">
        <v>0</v>
      </c>
      <c r="AA2454">
        <v>9</v>
      </c>
      <c r="AB2454">
        <v>3</v>
      </c>
      <c r="AC2454">
        <v>0</v>
      </c>
      <c r="AD2454">
        <v>10</v>
      </c>
      <c r="AE2454">
        <v>0</v>
      </c>
      <c r="AF2454">
        <v>3</v>
      </c>
      <c r="AG2454">
        <v>2</v>
      </c>
      <c r="AH2454">
        <v>0</v>
      </c>
      <c r="AI2454" t="s">
        <v>1475</v>
      </c>
      <c r="AJ2454">
        <v>39.986887000000003</v>
      </c>
      <c r="AK2454" t="s">
        <v>1476</v>
      </c>
      <c r="AL2454">
        <v>-92.724738000000002</v>
      </c>
      <c r="AM2454">
        <v>100</v>
      </c>
      <c r="AN2454">
        <v>1700</v>
      </c>
      <c r="AO2454" t="s">
        <v>118</v>
      </c>
      <c r="AP2454">
        <v>-106</v>
      </c>
      <c r="AQ2454">
        <v>77</v>
      </c>
      <c r="AR2454">
        <v>0</v>
      </c>
      <c r="AZ2454">
        <v>1200</v>
      </c>
      <c r="BA2454">
        <v>1</v>
      </c>
      <c r="BB2454" t="str">
        <f t="shared" si="118"/>
        <v xml:space="preserve">N8080G  </v>
      </c>
      <c r="BC2454">
        <v>1</v>
      </c>
      <c r="BE2454">
        <v>0</v>
      </c>
      <c r="BF2454">
        <v>0</v>
      </c>
      <c r="BG2454">
        <v>0</v>
      </c>
      <c r="BH2454">
        <v>1700</v>
      </c>
      <c r="BI2454">
        <v>1</v>
      </c>
      <c r="BJ2454">
        <v>1</v>
      </c>
      <c r="BK2454">
        <v>1</v>
      </c>
      <c r="BL2454">
        <v>0</v>
      </c>
      <c r="BO2454">
        <v>0</v>
      </c>
      <c r="BP2454">
        <v>0</v>
      </c>
      <c r="BW2454" t="str">
        <f>"20:27:35.229"</f>
        <v>20:27:35.229</v>
      </c>
      <c r="BZ2454">
        <v>0</v>
      </c>
      <c r="CA2454">
        <v>2016</v>
      </c>
      <c r="CB2454">
        <v>224</v>
      </c>
      <c r="CD2454">
        <v>1</v>
      </c>
      <c r="CE2454">
        <v>0</v>
      </c>
      <c r="CF2454">
        <v>0</v>
      </c>
      <c r="CG2454">
        <v>1</v>
      </c>
      <c r="CH2454">
        <v>0</v>
      </c>
      <c r="CI2454">
        <v>0</v>
      </c>
      <c r="CJ2454">
        <v>0</v>
      </c>
      <c r="CK2454">
        <v>2</v>
      </c>
      <c r="CL2454">
        <v>0</v>
      </c>
      <c r="CM2454">
        <v>2</v>
      </c>
      <c r="CN2454">
        <v>0</v>
      </c>
      <c r="CO2454">
        <v>4</v>
      </c>
      <c r="CP2454" t="s">
        <v>119</v>
      </c>
      <c r="CQ2454">
        <v>179</v>
      </c>
      <c r="CR2454">
        <v>1</v>
      </c>
      <c r="CW2454">
        <v>8982761</v>
      </c>
      <c r="CY2454">
        <v>1</v>
      </c>
      <c r="CZ2454">
        <v>0</v>
      </c>
      <c r="DA2454">
        <v>1</v>
      </c>
      <c r="DB2454">
        <v>0</v>
      </c>
      <c r="DC2454">
        <v>0</v>
      </c>
      <c r="DD2454">
        <v>0</v>
      </c>
      <c r="DE2454">
        <v>0</v>
      </c>
      <c r="DF2454">
        <v>0</v>
      </c>
      <c r="DG2454">
        <v>0</v>
      </c>
      <c r="DH2454">
        <v>0</v>
      </c>
      <c r="DI2454">
        <v>0</v>
      </c>
    </row>
    <row r="2455" spans="1:113" x14ac:dyDescent="0.3">
      <c r="A2455" t="str">
        <f>"02/08/2021 20:27:33.838"</f>
        <v>02/08/2021 20:27:33.838</v>
      </c>
      <c r="C2455" t="str">
        <f t="shared" si="117"/>
        <v>FFDFD7C0</v>
      </c>
      <c r="D2455" t="s">
        <v>113</v>
      </c>
      <c r="E2455">
        <v>6</v>
      </c>
      <c r="H2455">
        <v>165</v>
      </c>
      <c r="I2455" t="s">
        <v>114</v>
      </c>
      <c r="J2455" t="s">
        <v>115</v>
      </c>
      <c r="K2455">
        <v>0</v>
      </c>
      <c r="L2455">
        <v>3</v>
      </c>
      <c r="M2455">
        <v>0</v>
      </c>
      <c r="N2455">
        <v>2</v>
      </c>
      <c r="O2455">
        <v>1</v>
      </c>
      <c r="P2455">
        <v>0</v>
      </c>
      <c r="Q2455">
        <v>0</v>
      </c>
      <c r="S2455" t="str">
        <f>"20:27:36.164"</f>
        <v>20:27:36.164</v>
      </c>
      <c r="T2455" t="str">
        <f>"20:27:35.264"</f>
        <v>20:27:35.264</v>
      </c>
      <c r="U2455" t="str">
        <f t="shared" si="119"/>
        <v>AB01F4</v>
      </c>
      <c r="V2455">
        <v>0</v>
      </c>
      <c r="W2455">
        <v>0</v>
      </c>
      <c r="X2455">
        <v>2</v>
      </c>
      <c r="Z2455">
        <v>0</v>
      </c>
      <c r="AA2455">
        <v>9</v>
      </c>
      <c r="AB2455">
        <v>3</v>
      </c>
      <c r="AC2455">
        <v>0</v>
      </c>
      <c r="AD2455">
        <v>10</v>
      </c>
      <c r="AE2455">
        <v>0</v>
      </c>
      <c r="AF2455">
        <v>3</v>
      </c>
      <c r="AG2455">
        <v>2</v>
      </c>
      <c r="AH2455">
        <v>0</v>
      </c>
      <c r="AI2455" t="s">
        <v>1477</v>
      </c>
      <c r="AJ2455">
        <v>39.987209</v>
      </c>
      <c r="AK2455" t="s">
        <v>1478</v>
      </c>
      <c r="AL2455">
        <v>-92.725274999999996</v>
      </c>
      <c r="AM2455">
        <v>100</v>
      </c>
      <c r="AN2455">
        <v>1700</v>
      </c>
      <c r="AO2455" t="s">
        <v>118</v>
      </c>
      <c r="AP2455">
        <v>-106</v>
      </c>
      <c r="AQ2455">
        <v>77</v>
      </c>
      <c r="AR2455">
        <v>0</v>
      </c>
      <c r="AZ2455">
        <v>1200</v>
      </c>
      <c r="BA2455">
        <v>1</v>
      </c>
      <c r="BB2455" t="str">
        <f t="shared" si="118"/>
        <v xml:space="preserve">N8080G  </v>
      </c>
      <c r="BC2455">
        <v>1</v>
      </c>
      <c r="BE2455">
        <v>0</v>
      </c>
      <c r="BF2455">
        <v>0</v>
      </c>
      <c r="BG2455">
        <v>0</v>
      </c>
      <c r="BH2455">
        <v>1700</v>
      </c>
      <c r="BI2455">
        <v>1</v>
      </c>
      <c r="BJ2455">
        <v>1</v>
      </c>
      <c r="BK2455">
        <v>1</v>
      </c>
      <c r="BL2455">
        <v>0</v>
      </c>
      <c r="BO2455">
        <v>0</v>
      </c>
      <c r="BP2455">
        <v>0</v>
      </c>
      <c r="BW2455" t="str">
        <f>"20:27:36.169"</f>
        <v>20:27:36.169</v>
      </c>
      <c r="BZ2455">
        <v>0</v>
      </c>
      <c r="CA2455">
        <v>2016</v>
      </c>
      <c r="CB2455">
        <v>224</v>
      </c>
      <c r="CD2455">
        <v>1</v>
      </c>
      <c r="CE2455">
        <v>0</v>
      </c>
      <c r="CF2455">
        <v>0</v>
      </c>
      <c r="CG2455">
        <v>1</v>
      </c>
      <c r="CH2455">
        <v>0</v>
      </c>
      <c r="CI2455">
        <v>0</v>
      </c>
      <c r="CJ2455">
        <v>0</v>
      </c>
      <c r="CK2455">
        <v>2</v>
      </c>
      <c r="CL2455">
        <v>0</v>
      </c>
      <c r="CM2455">
        <v>2</v>
      </c>
      <c r="CN2455">
        <v>0</v>
      </c>
      <c r="CO2455">
        <v>2</v>
      </c>
      <c r="CP2455" t="s">
        <v>119</v>
      </c>
      <c r="CQ2455">
        <v>179</v>
      </c>
      <c r="CR2455">
        <v>2</v>
      </c>
      <c r="CW2455">
        <v>12146097</v>
      </c>
      <c r="CY2455">
        <v>1</v>
      </c>
      <c r="CZ2455">
        <v>0</v>
      </c>
      <c r="DA2455">
        <v>0</v>
      </c>
      <c r="DB2455">
        <v>0</v>
      </c>
      <c r="DC2455">
        <v>0</v>
      </c>
      <c r="DD2455">
        <v>0</v>
      </c>
      <c r="DE2455">
        <v>0</v>
      </c>
      <c r="DF2455">
        <v>0</v>
      </c>
      <c r="DG2455">
        <v>0</v>
      </c>
      <c r="DH2455">
        <v>0</v>
      </c>
      <c r="DI2455">
        <v>0</v>
      </c>
    </row>
    <row r="2456" spans="1:113" x14ac:dyDescent="0.3">
      <c r="A2456" t="str">
        <f>"02/08/2021 20:27:33.838"</f>
        <v>02/08/2021 20:27:33.838</v>
      </c>
      <c r="C2456" t="str">
        <f t="shared" si="117"/>
        <v>FFDFD7C0</v>
      </c>
      <c r="D2456" t="s">
        <v>124</v>
      </c>
      <c r="E2456">
        <v>11</v>
      </c>
      <c r="F2456">
        <v>1011</v>
      </c>
      <c r="G2456" t="s">
        <v>590</v>
      </c>
      <c r="J2456" t="s">
        <v>125</v>
      </c>
      <c r="K2456">
        <v>0</v>
      </c>
      <c r="L2456">
        <v>3</v>
      </c>
      <c r="M2456">
        <v>0</v>
      </c>
      <c r="N2456">
        <v>2</v>
      </c>
      <c r="O2456">
        <v>1</v>
      </c>
      <c r="P2456">
        <v>0</v>
      </c>
      <c r="Q2456">
        <v>0</v>
      </c>
      <c r="S2456" t="str">
        <f>"20:27:36.164"</f>
        <v>20:27:36.164</v>
      </c>
      <c r="T2456" t="str">
        <f>"20:27:35.264"</f>
        <v>20:27:35.264</v>
      </c>
      <c r="U2456" t="str">
        <f t="shared" si="119"/>
        <v>AB01F4</v>
      </c>
      <c r="V2456">
        <v>0</v>
      </c>
      <c r="W2456">
        <v>0</v>
      </c>
      <c r="X2456">
        <v>2</v>
      </c>
      <c r="Z2456">
        <v>0</v>
      </c>
      <c r="AA2456">
        <v>9</v>
      </c>
      <c r="AB2456">
        <v>3</v>
      </c>
      <c r="AC2456">
        <v>0</v>
      </c>
      <c r="AD2456">
        <v>10</v>
      </c>
      <c r="AE2456">
        <v>0</v>
      </c>
      <c r="AF2456">
        <v>3</v>
      </c>
      <c r="AG2456">
        <v>2</v>
      </c>
      <c r="AH2456">
        <v>0</v>
      </c>
      <c r="AI2456" t="s">
        <v>1477</v>
      </c>
      <c r="AJ2456">
        <v>39.987209</v>
      </c>
      <c r="AK2456" t="s">
        <v>1478</v>
      </c>
      <c r="AL2456">
        <v>-92.725274999999996</v>
      </c>
      <c r="AM2456">
        <v>100</v>
      </c>
      <c r="AN2456">
        <v>1700</v>
      </c>
      <c r="AO2456" t="s">
        <v>118</v>
      </c>
      <c r="AP2456">
        <v>-106</v>
      </c>
      <c r="AQ2456">
        <v>77</v>
      </c>
      <c r="AR2456">
        <v>0</v>
      </c>
      <c r="AZ2456">
        <v>1200</v>
      </c>
      <c r="BA2456">
        <v>1</v>
      </c>
      <c r="BB2456" t="str">
        <f t="shared" si="118"/>
        <v xml:space="preserve">N8080G  </v>
      </c>
      <c r="BC2456">
        <v>1</v>
      </c>
      <c r="BE2456">
        <v>0</v>
      </c>
      <c r="BF2456">
        <v>0</v>
      </c>
      <c r="BG2456">
        <v>0</v>
      </c>
      <c r="BH2456">
        <v>1700</v>
      </c>
      <c r="BI2456">
        <v>1</v>
      </c>
      <c r="BJ2456">
        <v>1</v>
      </c>
      <c r="BK2456">
        <v>1</v>
      </c>
      <c r="BL2456">
        <v>0</v>
      </c>
      <c r="BO2456">
        <v>0</v>
      </c>
      <c r="BP2456">
        <v>0</v>
      </c>
      <c r="BW2456" t="str">
        <f>"20:27:36.169"</f>
        <v>20:27:36.169</v>
      </c>
      <c r="BZ2456">
        <v>0</v>
      </c>
      <c r="CA2456">
        <v>2016</v>
      </c>
      <c r="CB2456">
        <v>224</v>
      </c>
      <c r="CD2456">
        <v>1</v>
      </c>
      <c r="CE2456">
        <v>0</v>
      </c>
      <c r="CF2456">
        <v>0</v>
      </c>
      <c r="CG2456">
        <v>1</v>
      </c>
      <c r="CH2456">
        <v>0</v>
      </c>
      <c r="CI2456">
        <v>0</v>
      </c>
      <c r="CJ2456">
        <v>0</v>
      </c>
      <c r="CK2456">
        <v>2</v>
      </c>
      <c r="CL2456">
        <v>0</v>
      </c>
      <c r="CM2456">
        <v>2</v>
      </c>
      <c r="CN2456">
        <v>0</v>
      </c>
      <c r="CO2456">
        <v>2</v>
      </c>
      <c r="CP2456" t="s">
        <v>119</v>
      </c>
      <c r="CQ2456">
        <v>179</v>
      </c>
      <c r="CR2456">
        <v>2</v>
      </c>
      <c r="CW2456">
        <v>12146097</v>
      </c>
      <c r="CY2456">
        <v>1</v>
      </c>
      <c r="CZ2456">
        <v>0</v>
      </c>
      <c r="DA2456">
        <v>1</v>
      </c>
      <c r="DB2456">
        <v>0</v>
      </c>
      <c r="DC2456">
        <v>0</v>
      </c>
      <c r="DD2456">
        <v>0</v>
      </c>
      <c r="DE2456">
        <v>0</v>
      </c>
      <c r="DF2456">
        <v>0</v>
      </c>
      <c r="DG2456">
        <v>0</v>
      </c>
      <c r="DH2456">
        <v>0</v>
      </c>
      <c r="DI2456">
        <v>0</v>
      </c>
    </row>
    <row r="2457" spans="1:113" x14ac:dyDescent="0.3">
      <c r="A2457" t="str">
        <f>"02/08/2021 20:27:33.838"</f>
        <v>02/08/2021 20:27:33.838</v>
      </c>
      <c r="C2457" t="str">
        <f t="shared" si="117"/>
        <v>FFDFD7C0</v>
      </c>
      <c r="D2457" t="s">
        <v>124</v>
      </c>
      <c r="E2457">
        <v>13</v>
      </c>
      <c r="F2457">
        <v>1013</v>
      </c>
      <c r="G2457" t="s">
        <v>114</v>
      </c>
      <c r="J2457" t="s">
        <v>125</v>
      </c>
      <c r="K2457">
        <v>0</v>
      </c>
      <c r="L2457">
        <v>3</v>
      </c>
      <c r="M2457">
        <v>0</v>
      </c>
      <c r="N2457">
        <v>2</v>
      </c>
      <c r="O2457">
        <v>1</v>
      </c>
      <c r="P2457">
        <v>0</v>
      </c>
      <c r="Q2457">
        <v>0</v>
      </c>
      <c r="S2457" t="str">
        <f>"20:27:36.164"</f>
        <v>20:27:36.164</v>
      </c>
      <c r="T2457" t="str">
        <f>"20:27:35.264"</f>
        <v>20:27:35.264</v>
      </c>
      <c r="U2457" t="str">
        <f t="shared" si="119"/>
        <v>AB01F4</v>
      </c>
      <c r="V2457">
        <v>0</v>
      </c>
      <c r="W2457">
        <v>0</v>
      </c>
      <c r="X2457">
        <v>2</v>
      </c>
      <c r="Z2457">
        <v>0</v>
      </c>
      <c r="AA2457">
        <v>9</v>
      </c>
      <c r="AB2457">
        <v>3</v>
      </c>
      <c r="AC2457">
        <v>0</v>
      </c>
      <c r="AD2457">
        <v>10</v>
      </c>
      <c r="AE2457">
        <v>0</v>
      </c>
      <c r="AF2457">
        <v>3</v>
      </c>
      <c r="AG2457">
        <v>2</v>
      </c>
      <c r="AH2457">
        <v>0</v>
      </c>
      <c r="AI2457" t="s">
        <v>1477</v>
      </c>
      <c r="AJ2457">
        <v>39.987209</v>
      </c>
      <c r="AK2457" t="s">
        <v>1478</v>
      </c>
      <c r="AL2457">
        <v>-92.725274999999996</v>
      </c>
      <c r="AM2457">
        <v>100</v>
      </c>
      <c r="AN2457">
        <v>1700</v>
      </c>
      <c r="AO2457" t="s">
        <v>118</v>
      </c>
      <c r="AP2457">
        <v>-106</v>
      </c>
      <c r="AQ2457">
        <v>77</v>
      </c>
      <c r="AR2457">
        <v>0</v>
      </c>
      <c r="AZ2457">
        <v>1200</v>
      </c>
      <c r="BA2457">
        <v>1</v>
      </c>
      <c r="BB2457" t="str">
        <f t="shared" si="118"/>
        <v xml:space="preserve">N8080G  </v>
      </c>
      <c r="BC2457">
        <v>1</v>
      </c>
      <c r="BE2457">
        <v>0</v>
      </c>
      <c r="BF2457">
        <v>0</v>
      </c>
      <c r="BG2457">
        <v>0</v>
      </c>
      <c r="BH2457">
        <v>1700</v>
      </c>
      <c r="BI2457">
        <v>1</v>
      </c>
      <c r="BJ2457">
        <v>1</v>
      </c>
      <c r="BK2457">
        <v>1</v>
      </c>
      <c r="BL2457">
        <v>0</v>
      </c>
      <c r="BO2457">
        <v>0</v>
      </c>
      <c r="BP2457">
        <v>0</v>
      </c>
      <c r="BW2457" t="str">
        <f>"20:27:36.169"</f>
        <v>20:27:36.169</v>
      </c>
      <c r="BZ2457">
        <v>0</v>
      </c>
      <c r="CA2457">
        <v>2016</v>
      </c>
      <c r="CB2457">
        <v>224</v>
      </c>
      <c r="CD2457">
        <v>1</v>
      </c>
      <c r="CE2457">
        <v>0</v>
      </c>
      <c r="CF2457">
        <v>0</v>
      </c>
      <c r="CG2457">
        <v>1</v>
      </c>
      <c r="CH2457">
        <v>0</v>
      </c>
      <c r="CI2457">
        <v>0</v>
      </c>
      <c r="CJ2457">
        <v>0</v>
      </c>
      <c r="CK2457">
        <v>2</v>
      </c>
      <c r="CL2457">
        <v>0</v>
      </c>
      <c r="CM2457">
        <v>2</v>
      </c>
      <c r="CN2457">
        <v>0</v>
      </c>
      <c r="CO2457">
        <v>2</v>
      </c>
      <c r="CP2457" t="s">
        <v>119</v>
      </c>
      <c r="CQ2457">
        <v>179</v>
      </c>
      <c r="CR2457">
        <v>2</v>
      </c>
      <c r="CW2457">
        <v>12146097</v>
      </c>
      <c r="CY2457">
        <v>1</v>
      </c>
      <c r="CZ2457">
        <v>0</v>
      </c>
      <c r="DA2457">
        <v>1</v>
      </c>
      <c r="DB2457">
        <v>0</v>
      </c>
      <c r="DC2457">
        <v>0</v>
      </c>
      <c r="DD2457">
        <v>0</v>
      </c>
      <c r="DE2457">
        <v>0</v>
      </c>
      <c r="DF2457">
        <v>0</v>
      </c>
      <c r="DG2457">
        <v>0</v>
      </c>
      <c r="DH2457">
        <v>0</v>
      </c>
      <c r="DI2457">
        <v>0</v>
      </c>
    </row>
    <row r="2458" spans="1:113" x14ac:dyDescent="0.3">
      <c r="A2458" t="str">
        <f>"02/08/2021 20:27:33.838"</f>
        <v>02/08/2021 20:27:33.838</v>
      </c>
      <c r="C2458" t="str">
        <f t="shared" si="117"/>
        <v>FFDFD7C0</v>
      </c>
      <c r="D2458" t="s">
        <v>124</v>
      </c>
      <c r="E2458">
        <v>12</v>
      </c>
      <c r="F2458">
        <v>1012</v>
      </c>
      <c r="G2458" t="s">
        <v>675</v>
      </c>
      <c r="J2458" t="s">
        <v>125</v>
      </c>
      <c r="K2458">
        <v>0</v>
      </c>
      <c r="L2458">
        <v>3</v>
      </c>
      <c r="M2458">
        <v>0</v>
      </c>
      <c r="N2458">
        <v>2</v>
      </c>
      <c r="O2458">
        <v>1</v>
      </c>
      <c r="P2458">
        <v>0</v>
      </c>
      <c r="Q2458">
        <v>0</v>
      </c>
      <c r="S2458" t="str">
        <f>"20:27:36.164"</f>
        <v>20:27:36.164</v>
      </c>
      <c r="T2458" t="str">
        <f>"20:27:35.264"</f>
        <v>20:27:35.264</v>
      </c>
      <c r="U2458" t="str">
        <f t="shared" si="119"/>
        <v>AB01F4</v>
      </c>
      <c r="V2458">
        <v>0</v>
      </c>
      <c r="W2458">
        <v>0</v>
      </c>
      <c r="X2458">
        <v>2</v>
      </c>
      <c r="Z2458">
        <v>0</v>
      </c>
      <c r="AA2458">
        <v>9</v>
      </c>
      <c r="AB2458">
        <v>3</v>
      </c>
      <c r="AC2458">
        <v>0</v>
      </c>
      <c r="AD2458">
        <v>10</v>
      </c>
      <c r="AE2458">
        <v>0</v>
      </c>
      <c r="AF2458">
        <v>3</v>
      </c>
      <c r="AG2458">
        <v>2</v>
      </c>
      <c r="AH2458">
        <v>0</v>
      </c>
      <c r="AI2458" t="s">
        <v>1477</v>
      </c>
      <c r="AJ2458">
        <v>39.987209</v>
      </c>
      <c r="AK2458" t="s">
        <v>1478</v>
      </c>
      <c r="AL2458">
        <v>-92.725274999999996</v>
      </c>
      <c r="AM2458">
        <v>100</v>
      </c>
      <c r="AN2458">
        <v>1700</v>
      </c>
      <c r="AO2458" t="s">
        <v>118</v>
      </c>
      <c r="AP2458">
        <v>-106</v>
      </c>
      <c r="AQ2458">
        <v>77</v>
      </c>
      <c r="AR2458">
        <v>0</v>
      </c>
      <c r="AZ2458">
        <v>1200</v>
      </c>
      <c r="BA2458">
        <v>1</v>
      </c>
      <c r="BB2458" t="str">
        <f t="shared" si="118"/>
        <v xml:space="preserve">N8080G  </v>
      </c>
      <c r="BC2458">
        <v>1</v>
      </c>
      <c r="BE2458">
        <v>0</v>
      </c>
      <c r="BF2458">
        <v>0</v>
      </c>
      <c r="BG2458">
        <v>0</v>
      </c>
      <c r="BH2458">
        <v>1700</v>
      </c>
      <c r="BI2458">
        <v>1</v>
      </c>
      <c r="BJ2458">
        <v>1</v>
      </c>
      <c r="BK2458">
        <v>1</v>
      </c>
      <c r="BL2458">
        <v>0</v>
      </c>
      <c r="BO2458">
        <v>0</v>
      </c>
      <c r="BP2458">
        <v>0</v>
      </c>
      <c r="BW2458" t="str">
        <f>"20:27:36.169"</f>
        <v>20:27:36.169</v>
      </c>
      <c r="BZ2458">
        <v>0</v>
      </c>
      <c r="CA2458">
        <v>2016</v>
      </c>
      <c r="CB2458">
        <v>224</v>
      </c>
      <c r="CD2458">
        <v>1</v>
      </c>
      <c r="CE2458">
        <v>0</v>
      </c>
      <c r="CF2458">
        <v>0</v>
      </c>
      <c r="CG2458">
        <v>1</v>
      </c>
      <c r="CH2458">
        <v>0</v>
      </c>
      <c r="CI2458">
        <v>0</v>
      </c>
      <c r="CJ2458">
        <v>0</v>
      </c>
      <c r="CK2458">
        <v>2</v>
      </c>
      <c r="CL2458">
        <v>0</v>
      </c>
      <c r="CM2458">
        <v>2</v>
      </c>
      <c r="CN2458">
        <v>0</v>
      </c>
      <c r="CO2458">
        <v>2</v>
      </c>
      <c r="CP2458" t="s">
        <v>119</v>
      </c>
      <c r="CQ2458">
        <v>179</v>
      </c>
      <c r="CR2458">
        <v>2</v>
      </c>
      <c r="CW2458">
        <v>12146097</v>
      </c>
      <c r="CY2458">
        <v>1</v>
      </c>
      <c r="CZ2458">
        <v>0</v>
      </c>
      <c r="DA2458">
        <v>1</v>
      </c>
      <c r="DB2458">
        <v>0</v>
      </c>
      <c r="DC2458">
        <v>0</v>
      </c>
      <c r="DD2458">
        <v>0</v>
      </c>
      <c r="DE2458">
        <v>0</v>
      </c>
      <c r="DF2458">
        <v>0</v>
      </c>
      <c r="DG2458">
        <v>0</v>
      </c>
      <c r="DH2458">
        <v>0</v>
      </c>
      <c r="DI2458">
        <v>0</v>
      </c>
    </row>
    <row r="2459" spans="1:113" x14ac:dyDescent="0.3">
      <c r="A2459" t="str">
        <f>"02/08/2021 20:27:34.647"</f>
        <v>02/08/2021 20:27:34.647</v>
      </c>
      <c r="C2459" t="str">
        <f t="shared" si="117"/>
        <v>FFDFD7C0</v>
      </c>
      <c r="D2459" t="s">
        <v>113</v>
      </c>
      <c r="E2459">
        <v>6</v>
      </c>
      <c r="H2459">
        <v>165</v>
      </c>
      <c r="I2459" t="s">
        <v>114</v>
      </c>
      <c r="J2459" t="s">
        <v>115</v>
      </c>
      <c r="K2459">
        <v>0</v>
      </c>
      <c r="L2459">
        <v>3</v>
      </c>
      <c r="M2459">
        <v>0</v>
      </c>
      <c r="N2459">
        <v>2</v>
      </c>
      <c r="O2459">
        <v>1</v>
      </c>
      <c r="P2459">
        <v>0</v>
      </c>
      <c r="Q2459">
        <v>0</v>
      </c>
      <c r="S2459" t="str">
        <f>"20:27:37.000"</f>
        <v>20:27:37.000</v>
      </c>
      <c r="T2459" t="str">
        <f>"20:27:36.600"</f>
        <v>20:27:36.600</v>
      </c>
      <c r="U2459" t="str">
        <f t="shared" si="119"/>
        <v>AB01F4</v>
      </c>
      <c r="V2459">
        <v>0</v>
      </c>
      <c r="W2459">
        <v>0</v>
      </c>
      <c r="X2459">
        <v>2</v>
      </c>
      <c r="Z2459">
        <v>0</v>
      </c>
      <c r="AA2459">
        <v>9</v>
      </c>
      <c r="AB2459">
        <v>3</v>
      </c>
      <c r="AC2459">
        <v>0</v>
      </c>
      <c r="AD2459">
        <v>10</v>
      </c>
      <c r="AE2459">
        <v>0</v>
      </c>
      <c r="AF2459">
        <v>3</v>
      </c>
      <c r="AG2459">
        <v>2</v>
      </c>
      <c r="AH2459">
        <v>0</v>
      </c>
      <c r="AI2459" t="s">
        <v>1479</v>
      </c>
      <c r="AJ2459">
        <v>39.987530999999997</v>
      </c>
      <c r="AK2459" t="s">
        <v>1480</v>
      </c>
      <c r="AL2459">
        <v>-92.725768000000002</v>
      </c>
      <c r="AM2459">
        <v>100</v>
      </c>
      <c r="AN2459">
        <v>1700</v>
      </c>
      <c r="AO2459" t="s">
        <v>118</v>
      </c>
      <c r="AP2459">
        <v>-106</v>
      </c>
      <c r="AQ2459">
        <v>77</v>
      </c>
      <c r="AR2459">
        <v>0</v>
      </c>
      <c r="AZ2459">
        <v>1200</v>
      </c>
      <c r="BA2459">
        <v>1</v>
      </c>
      <c r="BB2459" t="str">
        <f t="shared" si="118"/>
        <v xml:space="preserve">N8080G  </v>
      </c>
      <c r="BC2459">
        <v>1</v>
      </c>
      <c r="BE2459">
        <v>0</v>
      </c>
      <c r="BF2459">
        <v>0</v>
      </c>
      <c r="BG2459">
        <v>0</v>
      </c>
      <c r="BH2459">
        <v>1700</v>
      </c>
      <c r="BI2459">
        <v>1</v>
      </c>
      <c r="BJ2459">
        <v>1</v>
      </c>
      <c r="BK2459">
        <v>1</v>
      </c>
      <c r="BL2459">
        <v>0</v>
      </c>
      <c r="BO2459">
        <v>0</v>
      </c>
      <c r="BP2459">
        <v>0</v>
      </c>
      <c r="BW2459" t="str">
        <f>"20:27:37.001"</f>
        <v>20:27:37.001</v>
      </c>
      <c r="BZ2459">
        <v>0</v>
      </c>
      <c r="CA2459">
        <v>2016</v>
      </c>
      <c r="CB2459">
        <v>224</v>
      </c>
      <c r="CD2459">
        <v>1</v>
      </c>
      <c r="CE2459">
        <v>0</v>
      </c>
      <c r="CF2459">
        <v>0</v>
      </c>
      <c r="CG2459">
        <v>1</v>
      </c>
      <c r="CH2459">
        <v>0</v>
      </c>
      <c r="CI2459">
        <v>0</v>
      </c>
      <c r="CJ2459">
        <v>0</v>
      </c>
      <c r="CK2459">
        <v>2</v>
      </c>
      <c r="CL2459">
        <v>0</v>
      </c>
      <c r="CM2459">
        <v>2</v>
      </c>
      <c r="CN2459">
        <v>0</v>
      </c>
      <c r="CO2459">
        <v>7</v>
      </c>
      <c r="CP2459" t="s">
        <v>119</v>
      </c>
      <c r="CQ2459">
        <v>180</v>
      </c>
      <c r="CR2459">
        <v>3</v>
      </c>
      <c r="CW2459">
        <v>890628</v>
      </c>
      <c r="CY2459">
        <v>1</v>
      </c>
      <c r="CZ2459">
        <v>0</v>
      </c>
      <c r="DA2459">
        <v>0</v>
      </c>
      <c r="DB2459">
        <v>0</v>
      </c>
      <c r="DC2459">
        <v>0</v>
      </c>
      <c r="DD2459">
        <v>0</v>
      </c>
      <c r="DE2459">
        <v>0</v>
      </c>
      <c r="DF2459">
        <v>0</v>
      </c>
      <c r="DG2459">
        <v>0</v>
      </c>
      <c r="DH2459">
        <v>0</v>
      </c>
      <c r="DI2459">
        <v>0</v>
      </c>
    </row>
    <row r="2460" spans="1:113" x14ac:dyDescent="0.3">
      <c r="A2460" t="str">
        <f>"02/08/2021 20:27:34.647"</f>
        <v>02/08/2021 20:27:34.647</v>
      </c>
      <c r="C2460" t="str">
        <f t="shared" si="117"/>
        <v>FFDFD7C0</v>
      </c>
      <c r="D2460" t="s">
        <v>124</v>
      </c>
      <c r="E2460">
        <v>11</v>
      </c>
      <c r="F2460">
        <v>1011</v>
      </c>
      <c r="G2460" t="s">
        <v>590</v>
      </c>
      <c r="J2460" t="s">
        <v>125</v>
      </c>
      <c r="K2460">
        <v>0</v>
      </c>
      <c r="L2460">
        <v>3</v>
      </c>
      <c r="M2460">
        <v>0</v>
      </c>
      <c r="N2460">
        <v>2</v>
      </c>
      <c r="O2460">
        <v>1</v>
      </c>
      <c r="P2460">
        <v>0</v>
      </c>
      <c r="Q2460">
        <v>0</v>
      </c>
      <c r="S2460" t="str">
        <f>"20:27:37.000"</f>
        <v>20:27:37.000</v>
      </c>
      <c r="T2460" t="str">
        <f>"20:27:36.600"</f>
        <v>20:27:36.600</v>
      </c>
      <c r="U2460" t="str">
        <f t="shared" si="119"/>
        <v>AB01F4</v>
      </c>
      <c r="V2460">
        <v>0</v>
      </c>
      <c r="W2460">
        <v>0</v>
      </c>
      <c r="X2460">
        <v>2</v>
      </c>
      <c r="Z2460">
        <v>0</v>
      </c>
      <c r="AA2460">
        <v>9</v>
      </c>
      <c r="AB2460">
        <v>3</v>
      </c>
      <c r="AC2460">
        <v>0</v>
      </c>
      <c r="AD2460">
        <v>10</v>
      </c>
      <c r="AE2460">
        <v>0</v>
      </c>
      <c r="AF2460">
        <v>3</v>
      </c>
      <c r="AG2460">
        <v>2</v>
      </c>
      <c r="AH2460">
        <v>0</v>
      </c>
      <c r="AI2460" t="s">
        <v>1479</v>
      </c>
      <c r="AJ2460">
        <v>39.987530999999997</v>
      </c>
      <c r="AK2460" t="s">
        <v>1480</v>
      </c>
      <c r="AL2460">
        <v>-92.725768000000002</v>
      </c>
      <c r="AM2460">
        <v>100</v>
      </c>
      <c r="AN2460">
        <v>1700</v>
      </c>
      <c r="AO2460" t="s">
        <v>118</v>
      </c>
      <c r="AP2460">
        <v>-106</v>
      </c>
      <c r="AQ2460">
        <v>77</v>
      </c>
      <c r="AR2460">
        <v>0</v>
      </c>
      <c r="AZ2460">
        <v>1200</v>
      </c>
      <c r="BA2460">
        <v>1</v>
      </c>
      <c r="BB2460" t="str">
        <f t="shared" si="118"/>
        <v xml:space="preserve">N8080G  </v>
      </c>
      <c r="BC2460">
        <v>1</v>
      </c>
      <c r="BE2460">
        <v>0</v>
      </c>
      <c r="BF2460">
        <v>0</v>
      </c>
      <c r="BG2460">
        <v>0</v>
      </c>
      <c r="BH2460">
        <v>1700</v>
      </c>
      <c r="BI2460">
        <v>1</v>
      </c>
      <c r="BJ2460">
        <v>1</v>
      </c>
      <c r="BK2460">
        <v>1</v>
      </c>
      <c r="BL2460">
        <v>0</v>
      </c>
      <c r="BO2460">
        <v>0</v>
      </c>
      <c r="BP2460">
        <v>0</v>
      </c>
      <c r="BW2460" t="str">
        <f>"20:27:37.001"</f>
        <v>20:27:37.001</v>
      </c>
      <c r="BZ2460">
        <v>0</v>
      </c>
      <c r="CA2460">
        <v>2016</v>
      </c>
      <c r="CB2460">
        <v>224</v>
      </c>
      <c r="CD2460">
        <v>1</v>
      </c>
      <c r="CE2460">
        <v>0</v>
      </c>
      <c r="CF2460">
        <v>0</v>
      </c>
      <c r="CG2460">
        <v>1</v>
      </c>
      <c r="CH2460">
        <v>0</v>
      </c>
      <c r="CI2460">
        <v>0</v>
      </c>
      <c r="CJ2460">
        <v>0</v>
      </c>
      <c r="CK2460">
        <v>2</v>
      </c>
      <c r="CL2460">
        <v>0</v>
      </c>
      <c r="CM2460">
        <v>2</v>
      </c>
      <c r="CN2460">
        <v>0</v>
      </c>
      <c r="CO2460">
        <v>7</v>
      </c>
      <c r="CP2460" t="s">
        <v>119</v>
      </c>
      <c r="CQ2460">
        <v>180</v>
      </c>
      <c r="CR2460">
        <v>3</v>
      </c>
      <c r="CW2460">
        <v>890628</v>
      </c>
      <c r="CY2460">
        <v>1</v>
      </c>
      <c r="CZ2460">
        <v>0</v>
      </c>
      <c r="DA2460">
        <v>1</v>
      </c>
      <c r="DB2460">
        <v>0</v>
      </c>
      <c r="DC2460">
        <v>0</v>
      </c>
      <c r="DD2460">
        <v>0</v>
      </c>
      <c r="DE2460">
        <v>0</v>
      </c>
      <c r="DF2460">
        <v>0</v>
      </c>
      <c r="DG2460">
        <v>0</v>
      </c>
      <c r="DH2460">
        <v>0</v>
      </c>
      <c r="DI2460">
        <v>0</v>
      </c>
    </row>
    <row r="2461" spans="1:113" x14ac:dyDescent="0.3">
      <c r="A2461" t="str">
        <f>"02/08/2021 20:27:34.647"</f>
        <v>02/08/2021 20:27:34.647</v>
      </c>
      <c r="C2461" t="str">
        <f t="shared" si="117"/>
        <v>FFDFD7C0</v>
      </c>
      <c r="D2461" t="s">
        <v>124</v>
      </c>
      <c r="E2461">
        <v>13</v>
      </c>
      <c r="F2461">
        <v>1013</v>
      </c>
      <c r="G2461" t="s">
        <v>114</v>
      </c>
      <c r="J2461" t="s">
        <v>125</v>
      </c>
      <c r="K2461">
        <v>0</v>
      </c>
      <c r="L2461">
        <v>3</v>
      </c>
      <c r="M2461">
        <v>0</v>
      </c>
      <c r="N2461">
        <v>2</v>
      </c>
      <c r="O2461">
        <v>1</v>
      </c>
      <c r="P2461">
        <v>0</v>
      </c>
      <c r="Q2461">
        <v>0</v>
      </c>
      <c r="S2461" t="str">
        <f>"20:27:37.000"</f>
        <v>20:27:37.000</v>
      </c>
      <c r="T2461" t="str">
        <f>"20:27:36.600"</f>
        <v>20:27:36.600</v>
      </c>
      <c r="U2461" t="str">
        <f t="shared" si="119"/>
        <v>AB01F4</v>
      </c>
      <c r="V2461">
        <v>0</v>
      </c>
      <c r="W2461">
        <v>0</v>
      </c>
      <c r="X2461">
        <v>2</v>
      </c>
      <c r="Z2461">
        <v>0</v>
      </c>
      <c r="AA2461">
        <v>9</v>
      </c>
      <c r="AB2461">
        <v>3</v>
      </c>
      <c r="AC2461">
        <v>0</v>
      </c>
      <c r="AD2461">
        <v>10</v>
      </c>
      <c r="AE2461">
        <v>0</v>
      </c>
      <c r="AF2461">
        <v>3</v>
      </c>
      <c r="AG2461">
        <v>2</v>
      </c>
      <c r="AH2461">
        <v>0</v>
      </c>
      <c r="AI2461" t="s">
        <v>1479</v>
      </c>
      <c r="AJ2461">
        <v>39.987530999999997</v>
      </c>
      <c r="AK2461" t="s">
        <v>1480</v>
      </c>
      <c r="AL2461">
        <v>-92.725768000000002</v>
      </c>
      <c r="AM2461">
        <v>100</v>
      </c>
      <c r="AN2461">
        <v>1700</v>
      </c>
      <c r="AO2461" t="s">
        <v>118</v>
      </c>
      <c r="AP2461">
        <v>-106</v>
      </c>
      <c r="AQ2461">
        <v>77</v>
      </c>
      <c r="AR2461">
        <v>0</v>
      </c>
      <c r="AZ2461">
        <v>1200</v>
      </c>
      <c r="BA2461">
        <v>1</v>
      </c>
      <c r="BB2461" t="str">
        <f t="shared" si="118"/>
        <v xml:space="preserve">N8080G  </v>
      </c>
      <c r="BC2461">
        <v>1</v>
      </c>
      <c r="BE2461">
        <v>0</v>
      </c>
      <c r="BF2461">
        <v>0</v>
      </c>
      <c r="BG2461">
        <v>0</v>
      </c>
      <c r="BH2461">
        <v>1700</v>
      </c>
      <c r="BI2461">
        <v>1</v>
      </c>
      <c r="BJ2461">
        <v>1</v>
      </c>
      <c r="BK2461">
        <v>1</v>
      </c>
      <c r="BL2461">
        <v>0</v>
      </c>
      <c r="BO2461">
        <v>0</v>
      </c>
      <c r="BP2461">
        <v>0</v>
      </c>
      <c r="BW2461" t="str">
        <f>"20:27:37.001"</f>
        <v>20:27:37.001</v>
      </c>
      <c r="BZ2461">
        <v>0</v>
      </c>
      <c r="CA2461">
        <v>2016</v>
      </c>
      <c r="CB2461">
        <v>224</v>
      </c>
      <c r="CD2461">
        <v>1</v>
      </c>
      <c r="CE2461">
        <v>0</v>
      </c>
      <c r="CF2461">
        <v>0</v>
      </c>
      <c r="CG2461">
        <v>1</v>
      </c>
      <c r="CH2461">
        <v>0</v>
      </c>
      <c r="CI2461">
        <v>0</v>
      </c>
      <c r="CJ2461">
        <v>0</v>
      </c>
      <c r="CK2461">
        <v>2</v>
      </c>
      <c r="CL2461">
        <v>0</v>
      </c>
      <c r="CM2461">
        <v>2</v>
      </c>
      <c r="CN2461">
        <v>0</v>
      </c>
      <c r="CO2461">
        <v>7</v>
      </c>
      <c r="CP2461" t="s">
        <v>119</v>
      </c>
      <c r="CQ2461">
        <v>180</v>
      </c>
      <c r="CR2461">
        <v>3</v>
      </c>
      <c r="CW2461">
        <v>890628</v>
      </c>
      <c r="CY2461">
        <v>1</v>
      </c>
      <c r="CZ2461">
        <v>0</v>
      </c>
      <c r="DA2461">
        <v>1</v>
      </c>
      <c r="DB2461">
        <v>0</v>
      </c>
      <c r="DC2461">
        <v>0</v>
      </c>
      <c r="DD2461">
        <v>0</v>
      </c>
      <c r="DE2461">
        <v>0</v>
      </c>
      <c r="DF2461">
        <v>0</v>
      </c>
      <c r="DG2461">
        <v>0</v>
      </c>
      <c r="DH2461">
        <v>0</v>
      </c>
      <c r="DI2461">
        <v>0</v>
      </c>
    </row>
    <row r="2462" spans="1:113" x14ac:dyDescent="0.3">
      <c r="A2462" t="str">
        <f>"02/08/2021 20:27:34.647"</f>
        <v>02/08/2021 20:27:34.647</v>
      </c>
      <c r="C2462" t="str">
        <f t="shared" si="117"/>
        <v>FFDFD7C0</v>
      </c>
      <c r="D2462" t="s">
        <v>124</v>
      </c>
      <c r="E2462">
        <v>12</v>
      </c>
      <c r="F2462">
        <v>1012</v>
      </c>
      <c r="G2462" t="s">
        <v>675</v>
      </c>
      <c r="J2462" t="s">
        <v>125</v>
      </c>
      <c r="K2462">
        <v>0</v>
      </c>
      <c r="L2462">
        <v>3</v>
      </c>
      <c r="M2462">
        <v>0</v>
      </c>
      <c r="N2462">
        <v>2</v>
      </c>
      <c r="O2462">
        <v>1</v>
      </c>
      <c r="P2462">
        <v>0</v>
      </c>
      <c r="Q2462">
        <v>0</v>
      </c>
      <c r="S2462" t="str">
        <f>"20:27:37.000"</f>
        <v>20:27:37.000</v>
      </c>
      <c r="T2462" t="str">
        <f>"20:27:36.600"</f>
        <v>20:27:36.600</v>
      </c>
      <c r="U2462" t="str">
        <f t="shared" si="119"/>
        <v>AB01F4</v>
      </c>
      <c r="V2462">
        <v>0</v>
      </c>
      <c r="W2462">
        <v>0</v>
      </c>
      <c r="X2462">
        <v>2</v>
      </c>
      <c r="Z2462">
        <v>0</v>
      </c>
      <c r="AA2462">
        <v>9</v>
      </c>
      <c r="AB2462">
        <v>3</v>
      </c>
      <c r="AC2462">
        <v>0</v>
      </c>
      <c r="AD2462">
        <v>10</v>
      </c>
      <c r="AE2462">
        <v>0</v>
      </c>
      <c r="AF2462">
        <v>3</v>
      </c>
      <c r="AG2462">
        <v>2</v>
      </c>
      <c r="AH2462">
        <v>0</v>
      </c>
      <c r="AI2462" t="s">
        <v>1479</v>
      </c>
      <c r="AJ2462">
        <v>39.987530999999997</v>
      </c>
      <c r="AK2462" t="s">
        <v>1480</v>
      </c>
      <c r="AL2462">
        <v>-92.725768000000002</v>
      </c>
      <c r="AM2462">
        <v>100</v>
      </c>
      <c r="AN2462">
        <v>1700</v>
      </c>
      <c r="AO2462" t="s">
        <v>118</v>
      </c>
      <c r="AP2462">
        <v>-106</v>
      </c>
      <c r="AQ2462">
        <v>77</v>
      </c>
      <c r="AR2462">
        <v>0</v>
      </c>
      <c r="AZ2462">
        <v>1200</v>
      </c>
      <c r="BA2462">
        <v>1</v>
      </c>
      <c r="BB2462" t="str">
        <f t="shared" si="118"/>
        <v xml:space="preserve">N8080G  </v>
      </c>
      <c r="BC2462">
        <v>1</v>
      </c>
      <c r="BE2462">
        <v>0</v>
      </c>
      <c r="BF2462">
        <v>0</v>
      </c>
      <c r="BG2462">
        <v>0</v>
      </c>
      <c r="BH2462">
        <v>1700</v>
      </c>
      <c r="BI2462">
        <v>1</v>
      </c>
      <c r="BJ2462">
        <v>1</v>
      </c>
      <c r="BK2462">
        <v>1</v>
      </c>
      <c r="BL2462">
        <v>0</v>
      </c>
      <c r="BO2462">
        <v>0</v>
      </c>
      <c r="BP2462">
        <v>0</v>
      </c>
      <c r="BW2462" t="str">
        <f>"20:27:37.001"</f>
        <v>20:27:37.001</v>
      </c>
      <c r="BZ2462">
        <v>0</v>
      </c>
      <c r="CA2462">
        <v>2016</v>
      </c>
      <c r="CB2462">
        <v>224</v>
      </c>
      <c r="CD2462">
        <v>1</v>
      </c>
      <c r="CE2462">
        <v>0</v>
      </c>
      <c r="CF2462">
        <v>0</v>
      </c>
      <c r="CG2462">
        <v>1</v>
      </c>
      <c r="CH2462">
        <v>0</v>
      </c>
      <c r="CI2462">
        <v>0</v>
      </c>
      <c r="CJ2462">
        <v>0</v>
      </c>
      <c r="CK2462">
        <v>2</v>
      </c>
      <c r="CL2462">
        <v>0</v>
      </c>
      <c r="CM2462">
        <v>2</v>
      </c>
      <c r="CN2462">
        <v>0</v>
      </c>
      <c r="CO2462">
        <v>7</v>
      </c>
      <c r="CP2462" t="s">
        <v>119</v>
      </c>
      <c r="CQ2462">
        <v>180</v>
      </c>
      <c r="CR2462">
        <v>3</v>
      </c>
      <c r="CW2462">
        <v>890628</v>
      </c>
      <c r="CY2462">
        <v>1</v>
      </c>
      <c r="CZ2462">
        <v>0</v>
      </c>
      <c r="DA2462">
        <v>1</v>
      </c>
      <c r="DB2462">
        <v>0</v>
      </c>
      <c r="DC2462">
        <v>0</v>
      </c>
      <c r="DD2462">
        <v>0</v>
      </c>
      <c r="DE2462">
        <v>0</v>
      </c>
      <c r="DF2462">
        <v>0</v>
      </c>
      <c r="DG2462">
        <v>0</v>
      </c>
      <c r="DH2462">
        <v>0</v>
      </c>
      <c r="DI2462">
        <v>0</v>
      </c>
    </row>
    <row r="2463" spans="1:113" x14ac:dyDescent="0.3">
      <c r="A2463" t="str">
        <f>"02/08/2021 20:27:37.837"</f>
        <v>02/08/2021 20:27:37.837</v>
      </c>
      <c r="C2463" t="str">
        <f t="shared" si="117"/>
        <v>FFDFD7C0</v>
      </c>
      <c r="D2463" t="s">
        <v>113</v>
      </c>
      <c r="E2463">
        <v>6</v>
      </c>
      <c r="H2463">
        <v>165</v>
      </c>
      <c r="I2463" t="s">
        <v>114</v>
      </c>
      <c r="J2463" t="s">
        <v>115</v>
      </c>
      <c r="K2463">
        <v>0</v>
      </c>
      <c r="L2463">
        <v>3</v>
      </c>
      <c r="M2463">
        <v>0</v>
      </c>
      <c r="N2463">
        <v>2</v>
      </c>
      <c r="O2463">
        <v>1</v>
      </c>
      <c r="P2463">
        <v>0</v>
      </c>
      <c r="Q2463">
        <v>0</v>
      </c>
      <c r="S2463" t="str">
        <f>"20:27:40.141"</f>
        <v>20:27:40.141</v>
      </c>
      <c r="T2463" t="str">
        <f>"20:27:39.641"</f>
        <v>20:27:39.641</v>
      </c>
      <c r="U2463" t="str">
        <f t="shared" si="119"/>
        <v>AB01F4</v>
      </c>
      <c r="V2463">
        <v>0</v>
      </c>
      <c r="W2463">
        <v>0</v>
      </c>
      <c r="X2463">
        <v>2</v>
      </c>
      <c r="Z2463">
        <v>0</v>
      </c>
      <c r="AA2463">
        <v>9</v>
      </c>
      <c r="AB2463">
        <v>3</v>
      </c>
      <c r="AC2463">
        <v>0</v>
      </c>
      <c r="AD2463">
        <v>10</v>
      </c>
      <c r="AE2463">
        <v>0</v>
      </c>
      <c r="AF2463">
        <v>3</v>
      </c>
      <c r="AG2463">
        <v>2</v>
      </c>
      <c r="AH2463">
        <v>0</v>
      </c>
      <c r="AI2463" t="s">
        <v>1481</v>
      </c>
      <c r="AJ2463">
        <v>39.988624999999999</v>
      </c>
      <c r="AK2463" t="s">
        <v>1482</v>
      </c>
      <c r="AL2463">
        <v>-92.727849000000006</v>
      </c>
      <c r="AM2463">
        <v>100</v>
      </c>
      <c r="AN2463">
        <v>1700</v>
      </c>
      <c r="AO2463" t="s">
        <v>118</v>
      </c>
      <c r="AP2463">
        <v>-106</v>
      </c>
      <c r="AQ2463">
        <v>77</v>
      </c>
      <c r="AR2463">
        <v>0</v>
      </c>
      <c r="AZ2463">
        <v>1200</v>
      </c>
      <c r="BA2463">
        <v>1</v>
      </c>
      <c r="BB2463" t="str">
        <f t="shared" si="118"/>
        <v xml:space="preserve">N8080G  </v>
      </c>
      <c r="BC2463">
        <v>1</v>
      </c>
      <c r="BE2463">
        <v>0</v>
      </c>
      <c r="BF2463">
        <v>0</v>
      </c>
      <c r="BG2463">
        <v>0</v>
      </c>
      <c r="BH2463">
        <v>1700</v>
      </c>
      <c r="BI2463">
        <v>1</v>
      </c>
      <c r="BJ2463">
        <v>1</v>
      </c>
      <c r="BK2463">
        <v>1</v>
      </c>
      <c r="BL2463">
        <v>0</v>
      </c>
      <c r="BO2463">
        <v>0</v>
      </c>
      <c r="BP2463">
        <v>0</v>
      </c>
      <c r="BW2463" t="str">
        <f>"20:27:40.146"</f>
        <v>20:27:40.146</v>
      </c>
      <c r="BZ2463">
        <v>0</v>
      </c>
      <c r="CA2463">
        <v>2016</v>
      </c>
      <c r="CB2463">
        <v>224</v>
      </c>
      <c r="CD2463">
        <v>1</v>
      </c>
      <c r="CE2463">
        <v>0</v>
      </c>
      <c r="CF2463">
        <v>0</v>
      </c>
      <c r="CG2463">
        <v>1</v>
      </c>
      <c r="CH2463">
        <v>0</v>
      </c>
      <c r="CI2463">
        <v>0</v>
      </c>
      <c r="CJ2463">
        <v>0</v>
      </c>
      <c r="CK2463">
        <v>2</v>
      </c>
      <c r="CL2463">
        <v>0</v>
      </c>
      <c r="CM2463">
        <v>2</v>
      </c>
      <c r="CN2463">
        <v>0</v>
      </c>
      <c r="CO2463">
        <v>4</v>
      </c>
      <c r="CP2463" t="s">
        <v>119</v>
      </c>
      <c r="CQ2463">
        <v>179</v>
      </c>
      <c r="CR2463">
        <v>1</v>
      </c>
      <c r="CW2463">
        <v>8987235</v>
      </c>
      <c r="CY2463">
        <v>1</v>
      </c>
      <c r="CZ2463">
        <v>0</v>
      </c>
      <c r="DA2463">
        <v>0</v>
      </c>
      <c r="DB2463">
        <v>0</v>
      </c>
      <c r="DC2463">
        <v>0</v>
      </c>
      <c r="DD2463">
        <v>0</v>
      </c>
      <c r="DE2463">
        <v>0</v>
      </c>
      <c r="DF2463">
        <v>0</v>
      </c>
      <c r="DG2463">
        <v>0</v>
      </c>
      <c r="DH2463">
        <v>0</v>
      </c>
      <c r="DI2463">
        <v>0</v>
      </c>
    </row>
    <row r="2464" spans="1:113" x14ac:dyDescent="0.3">
      <c r="A2464" t="str">
        <f>"02/08/2021 20:27:37.837"</f>
        <v>02/08/2021 20:27:37.837</v>
      </c>
      <c r="C2464" t="str">
        <f t="shared" si="117"/>
        <v>FFDFD7C0</v>
      </c>
      <c r="D2464" t="s">
        <v>124</v>
      </c>
      <c r="E2464">
        <v>12</v>
      </c>
      <c r="F2464">
        <v>1012</v>
      </c>
      <c r="G2464" t="s">
        <v>675</v>
      </c>
      <c r="J2464" t="s">
        <v>125</v>
      </c>
      <c r="K2464">
        <v>0</v>
      </c>
      <c r="L2464">
        <v>3</v>
      </c>
      <c r="M2464">
        <v>0</v>
      </c>
      <c r="N2464">
        <v>2</v>
      </c>
      <c r="O2464">
        <v>1</v>
      </c>
      <c r="P2464">
        <v>0</v>
      </c>
      <c r="Q2464">
        <v>0</v>
      </c>
      <c r="S2464" t="str">
        <f>"20:27:40.141"</f>
        <v>20:27:40.141</v>
      </c>
      <c r="T2464" t="str">
        <f>"20:27:39.641"</f>
        <v>20:27:39.641</v>
      </c>
      <c r="U2464" t="str">
        <f t="shared" si="119"/>
        <v>AB01F4</v>
      </c>
      <c r="V2464">
        <v>0</v>
      </c>
      <c r="W2464">
        <v>0</v>
      </c>
      <c r="X2464">
        <v>2</v>
      </c>
      <c r="Z2464">
        <v>0</v>
      </c>
      <c r="AA2464">
        <v>9</v>
      </c>
      <c r="AB2464">
        <v>3</v>
      </c>
      <c r="AC2464">
        <v>0</v>
      </c>
      <c r="AD2464">
        <v>10</v>
      </c>
      <c r="AE2464">
        <v>0</v>
      </c>
      <c r="AF2464">
        <v>3</v>
      </c>
      <c r="AG2464">
        <v>2</v>
      </c>
      <c r="AH2464">
        <v>0</v>
      </c>
      <c r="AI2464" t="s">
        <v>1481</v>
      </c>
      <c r="AJ2464">
        <v>39.988624999999999</v>
      </c>
      <c r="AK2464" t="s">
        <v>1482</v>
      </c>
      <c r="AL2464">
        <v>-92.727849000000006</v>
      </c>
      <c r="AM2464">
        <v>100</v>
      </c>
      <c r="AN2464">
        <v>1700</v>
      </c>
      <c r="AO2464" t="s">
        <v>118</v>
      </c>
      <c r="AP2464">
        <v>-106</v>
      </c>
      <c r="AQ2464">
        <v>77</v>
      </c>
      <c r="AR2464">
        <v>0</v>
      </c>
      <c r="AZ2464">
        <v>1200</v>
      </c>
      <c r="BA2464">
        <v>1</v>
      </c>
      <c r="BB2464" t="str">
        <f t="shared" si="118"/>
        <v xml:space="preserve">N8080G  </v>
      </c>
      <c r="BC2464">
        <v>1</v>
      </c>
      <c r="BE2464">
        <v>0</v>
      </c>
      <c r="BF2464">
        <v>0</v>
      </c>
      <c r="BG2464">
        <v>0</v>
      </c>
      <c r="BH2464">
        <v>1700</v>
      </c>
      <c r="BI2464">
        <v>1</v>
      </c>
      <c r="BJ2464">
        <v>1</v>
      </c>
      <c r="BK2464">
        <v>1</v>
      </c>
      <c r="BL2464">
        <v>0</v>
      </c>
      <c r="BO2464">
        <v>0</v>
      </c>
      <c r="BP2464">
        <v>0</v>
      </c>
      <c r="BW2464" t="str">
        <f>"20:27:40.146"</f>
        <v>20:27:40.146</v>
      </c>
      <c r="BZ2464">
        <v>0</v>
      </c>
      <c r="CA2464">
        <v>2016</v>
      </c>
      <c r="CB2464">
        <v>224</v>
      </c>
      <c r="CD2464">
        <v>1</v>
      </c>
      <c r="CE2464">
        <v>0</v>
      </c>
      <c r="CF2464">
        <v>0</v>
      </c>
      <c r="CG2464">
        <v>1</v>
      </c>
      <c r="CH2464">
        <v>0</v>
      </c>
      <c r="CI2464">
        <v>0</v>
      </c>
      <c r="CJ2464">
        <v>0</v>
      </c>
      <c r="CK2464">
        <v>2</v>
      </c>
      <c r="CL2464">
        <v>0</v>
      </c>
      <c r="CM2464">
        <v>2</v>
      </c>
      <c r="CN2464">
        <v>0</v>
      </c>
      <c r="CO2464">
        <v>4</v>
      </c>
      <c r="CP2464" t="s">
        <v>119</v>
      </c>
      <c r="CQ2464">
        <v>179</v>
      </c>
      <c r="CR2464">
        <v>1</v>
      </c>
      <c r="CW2464">
        <v>8987235</v>
      </c>
      <c r="CY2464">
        <v>1</v>
      </c>
      <c r="CZ2464">
        <v>0</v>
      </c>
      <c r="DA2464">
        <v>1</v>
      </c>
      <c r="DB2464">
        <v>0</v>
      </c>
      <c r="DC2464">
        <v>0</v>
      </c>
      <c r="DD2464">
        <v>0</v>
      </c>
      <c r="DE2464">
        <v>0</v>
      </c>
      <c r="DF2464">
        <v>0</v>
      </c>
      <c r="DG2464">
        <v>0</v>
      </c>
      <c r="DH2464">
        <v>0</v>
      </c>
      <c r="DI2464">
        <v>0</v>
      </c>
    </row>
    <row r="2465" spans="1:113" x14ac:dyDescent="0.3">
      <c r="A2465" t="str">
        <f>"02/08/2021 20:27:37.837"</f>
        <v>02/08/2021 20:27:37.837</v>
      </c>
      <c r="C2465" t="str">
        <f t="shared" si="117"/>
        <v>FFDFD7C0</v>
      </c>
      <c r="D2465" t="s">
        <v>124</v>
      </c>
      <c r="E2465">
        <v>13</v>
      </c>
      <c r="F2465">
        <v>1013</v>
      </c>
      <c r="G2465" t="s">
        <v>114</v>
      </c>
      <c r="J2465" t="s">
        <v>125</v>
      </c>
      <c r="K2465">
        <v>0</v>
      </c>
      <c r="L2465">
        <v>3</v>
      </c>
      <c r="M2465">
        <v>0</v>
      </c>
      <c r="N2465">
        <v>2</v>
      </c>
      <c r="O2465">
        <v>1</v>
      </c>
      <c r="P2465">
        <v>0</v>
      </c>
      <c r="Q2465">
        <v>0</v>
      </c>
      <c r="S2465" t="str">
        <f>"20:27:40.141"</f>
        <v>20:27:40.141</v>
      </c>
      <c r="T2465" t="str">
        <f>"20:27:39.641"</f>
        <v>20:27:39.641</v>
      </c>
      <c r="U2465" t="str">
        <f t="shared" si="119"/>
        <v>AB01F4</v>
      </c>
      <c r="V2465">
        <v>0</v>
      </c>
      <c r="W2465">
        <v>0</v>
      </c>
      <c r="X2465">
        <v>2</v>
      </c>
      <c r="Z2465">
        <v>0</v>
      </c>
      <c r="AA2465">
        <v>9</v>
      </c>
      <c r="AB2465">
        <v>3</v>
      </c>
      <c r="AC2465">
        <v>0</v>
      </c>
      <c r="AD2465">
        <v>10</v>
      </c>
      <c r="AE2465">
        <v>0</v>
      </c>
      <c r="AF2465">
        <v>3</v>
      </c>
      <c r="AG2465">
        <v>2</v>
      </c>
      <c r="AH2465">
        <v>0</v>
      </c>
      <c r="AI2465" t="s">
        <v>1481</v>
      </c>
      <c r="AJ2465">
        <v>39.988624999999999</v>
      </c>
      <c r="AK2465" t="s">
        <v>1482</v>
      </c>
      <c r="AL2465">
        <v>-92.727849000000006</v>
      </c>
      <c r="AM2465">
        <v>100</v>
      </c>
      <c r="AN2465">
        <v>1700</v>
      </c>
      <c r="AO2465" t="s">
        <v>118</v>
      </c>
      <c r="AP2465">
        <v>-106</v>
      </c>
      <c r="AQ2465">
        <v>77</v>
      </c>
      <c r="AR2465">
        <v>0</v>
      </c>
      <c r="AZ2465">
        <v>1200</v>
      </c>
      <c r="BA2465">
        <v>1</v>
      </c>
      <c r="BB2465" t="str">
        <f t="shared" si="118"/>
        <v xml:space="preserve">N8080G  </v>
      </c>
      <c r="BC2465">
        <v>1</v>
      </c>
      <c r="BE2465">
        <v>0</v>
      </c>
      <c r="BF2465">
        <v>0</v>
      </c>
      <c r="BG2465">
        <v>0</v>
      </c>
      <c r="BH2465">
        <v>1700</v>
      </c>
      <c r="BI2465">
        <v>1</v>
      </c>
      <c r="BJ2465">
        <v>1</v>
      </c>
      <c r="BK2465">
        <v>1</v>
      </c>
      <c r="BL2465">
        <v>0</v>
      </c>
      <c r="BO2465">
        <v>0</v>
      </c>
      <c r="BP2465">
        <v>0</v>
      </c>
      <c r="BW2465" t="str">
        <f>"20:27:40.146"</f>
        <v>20:27:40.146</v>
      </c>
      <c r="BZ2465">
        <v>0</v>
      </c>
      <c r="CA2465">
        <v>2016</v>
      </c>
      <c r="CB2465">
        <v>224</v>
      </c>
      <c r="CD2465">
        <v>1</v>
      </c>
      <c r="CE2465">
        <v>0</v>
      </c>
      <c r="CF2465">
        <v>0</v>
      </c>
      <c r="CG2465">
        <v>1</v>
      </c>
      <c r="CH2465">
        <v>0</v>
      </c>
      <c r="CI2465">
        <v>0</v>
      </c>
      <c r="CJ2465">
        <v>0</v>
      </c>
      <c r="CK2465">
        <v>2</v>
      </c>
      <c r="CL2465">
        <v>0</v>
      </c>
      <c r="CM2465">
        <v>2</v>
      </c>
      <c r="CN2465">
        <v>0</v>
      </c>
      <c r="CO2465">
        <v>4</v>
      </c>
      <c r="CP2465" t="s">
        <v>119</v>
      </c>
      <c r="CQ2465">
        <v>179</v>
      </c>
      <c r="CR2465">
        <v>1</v>
      </c>
      <c r="CW2465">
        <v>8987235</v>
      </c>
      <c r="CY2465">
        <v>1</v>
      </c>
      <c r="CZ2465">
        <v>0</v>
      </c>
      <c r="DA2465">
        <v>1</v>
      </c>
      <c r="DB2465">
        <v>0</v>
      </c>
      <c r="DC2465">
        <v>0</v>
      </c>
      <c r="DD2465">
        <v>0</v>
      </c>
      <c r="DE2465">
        <v>0</v>
      </c>
      <c r="DF2465">
        <v>0</v>
      </c>
      <c r="DG2465">
        <v>0</v>
      </c>
      <c r="DH2465">
        <v>0</v>
      </c>
      <c r="DI2465">
        <v>0</v>
      </c>
    </row>
    <row r="2466" spans="1:113" x14ac:dyDescent="0.3">
      <c r="A2466" t="str">
        <f>"02/08/2021 20:27:37.837"</f>
        <v>02/08/2021 20:27:37.837</v>
      </c>
      <c r="C2466" t="str">
        <f t="shared" si="117"/>
        <v>FFDFD7C0</v>
      </c>
      <c r="D2466" t="s">
        <v>124</v>
      </c>
      <c r="E2466">
        <v>11</v>
      </c>
      <c r="F2466">
        <v>1011</v>
      </c>
      <c r="G2466" t="s">
        <v>590</v>
      </c>
      <c r="J2466" t="s">
        <v>125</v>
      </c>
      <c r="K2466">
        <v>0</v>
      </c>
      <c r="L2466">
        <v>3</v>
      </c>
      <c r="M2466">
        <v>0</v>
      </c>
      <c r="N2466">
        <v>2</v>
      </c>
      <c r="O2466">
        <v>1</v>
      </c>
      <c r="P2466">
        <v>0</v>
      </c>
      <c r="Q2466">
        <v>0</v>
      </c>
      <c r="S2466" t="str">
        <f>"20:27:40.141"</f>
        <v>20:27:40.141</v>
      </c>
      <c r="T2466" t="str">
        <f>"20:27:39.641"</f>
        <v>20:27:39.641</v>
      </c>
      <c r="U2466" t="str">
        <f t="shared" si="119"/>
        <v>AB01F4</v>
      </c>
      <c r="V2466">
        <v>0</v>
      </c>
      <c r="W2466">
        <v>0</v>
      </c>
      <c r="X2466">
        <v>2</v>
      </c>
      <c r="Z2466">
        <v>0</v>
      </c>
      <c r="AA2466">
        <v>9</v>
      </c>
      <c r="AB2466">
        <v>3</v>
      </c>
      <c r="AC2466">
        <v>0</v>
      </c>
      <c r="AD2466">
        <v>10</v>
      </c>
      <c r="AE2466">
        <v>0</v>
      </c>
      <c r="AF2466">
        <v>3</v>
      </c>
      <c r="AG2466">
        <v>2</v>
      </c>
      <c r="AH2466">
        <v>0</v>
      </c>
      <c r="AI2466" t="s">
        <v>1481</v>
      </c>
      <c r="AJ2466">
        <v>39.988624999999999</v>
      </c>
      <c r="AK2466" t="s">
        <v>1482</v>
      </c>
      <c r="AL2466">
        <v>-92.727849000000006</v>
      </c>
      <c r="AM2466">
        <v>100</v>
      </c>
      <c r="AN2466">
        <v>1700</v>
      </c>
      <c r="AO2466" t="s">
        <v>118</v>
      </c>
      <c r="AP2466">
        <v>-106</v>
      </c>
      <c r="AQ2466">
        <v>77</v>
      </c>
      <c r="AR2466">
        <v>0</v>
      </c>
      <c r="AZ2466">
        <v>1200</v>
      </c>
      <c r="BA2466">
        <v>1</v>
      </c>
      <c r="BB2466" t="str">
        <f t="shared" si="118"/>
        <v xml:space="preserve">N8080G  </v>
      </c>
      <c r="BC2466">
        <v>1</v>
      </c>
      <c r="BE2466">
        <v>0</v>
      </c>
      <c r="BF2466">
        <v>0</v>
      </c>
      <c r="BG2466">
        <v>0</v>
      </c>
      <c r="BH2466">
        <v>1700</v>
      </c>
      <c r="BI2466">
        <v>1</v>
      </c>
      <c r="BJ2466">
        <v>1</v>
      </c>
      <c r="BK2466">
        <v>1</v>
      </c>
      <c r="BL2466">
        <v>0</v>
      </c>
      <c r="BO2466">
        <v>0</v>
      </c>
      <c r="BP2466">
        <v>0</v>
      </c>
      <c r="BW2466" t="str">
        <f>"20:27:40.146"</f>
        <v>20:27:40.146</v>
      </c>
      <c r="BZ2466">
        <v>0</v>
      </c>
      <c r="CA2466">
        <v>2016</v>
      </c>
      <c r="CB2466">
        <v>224</v>
      </c>
      <c r="CD2466">
        <v>1</v>
      </c>
      <c r="CE2466">
        <v>0</v>
      </c>
      <c r="CF2466">
        <v>0</v>
      </c>
      <c r="CG2466">
        <v>1</v>
      </c>
      <c r="CH2466">
        <v>0</v>
      </c>
      <c r="CI2466">
        <v>0</v>
      </c>
      <c r="CJ2466">
        <v>0</v>
      </c>
      <c r="CK2466">
        <v>2</v>
      </c>
      <c r="CL2466">
        <v>0</v>
      </c>
      <c r="CM2466">
        <v>2</v>
      </c>
      <c r="CN2466">
        <v>0</v>
      </c>
      <c r="CO2466">
        <v>4</v>
      </c>
      <c r="CP2466" t="s">
        <v>119</v>
      </c>
      <c r="CQ2466">
        <v>179</v>
      </c>
      <c r="CR2466">
        <v>1</v>
      </c>
      <c r="CW2466">
        <v>8987235</v>
      </c>
      <c r="CY2466">
        <v>1</v>
      </c>
      <c r="CZ2466">
        <v>0</v>
      </c>
      <c r="DA2466">
        <v>1</v>
      </c>
      <c r="DB2466">
        <v>0</v>
      </c>
      <c r="DC2466">
        <v>0</v>
      </c>
      <c r="DD2466">
        <v>0</v>
      </c>
      <c r="DE2466">
        <v>0</v>
      </c>
      <c r="DF2466">
        <v>0</v>
      </c>
      <c r="DG2466">
        <v>0</v>
      </c>
      <c r="DH2466">
        <v>0</v>
      </c>
      <c r="DI2466">
        <v>0</v>
      </c>
    </row>
    <row r="2467" spans="1:113" x14ac:dyDescent="0.3">
      <c r="A2467" t="str">
        <f>"02/08/2021 20:27:38.795"</f>
        <v>02/08/2021 20:27:38.795</v>
      </c>
      <c r="C2467" t="str">
        <f t="shared" si="117"/>
        <v>FFDFD7C0</v>
      </c>
      <c r="D2467" t="s">
        <v>124</v>
      </c>
      <c r="E2467">
        <v>12</v>
      </c>
      <c r="F2467">
        <v>1012</v>
      </c>
      <c r="G2467" t="s">
        <v>675</v>
      </c>
      <c r="J2467" t="s">
        <v>125</v>
      </c>
      <c r="K2467">
        <v>0</v>
      </c>
      <c r="L2467">
        <v>3</v>
      </c>
      <c r="M2467">
        <v>0</v>
      </c>
      <c r="N2467">
        <v>2</v>
      </c>
      <c r="O2467">
        <v>1</v>
      </c>
      <c r="P2467">
        <v>0</v>
      </c>
      <c r="Q2467">
        <v>0</v>
      </c>
      <c r="S2467" t="str">
        <f>"20:27:41.117"</f>
        <v>20:27:41.117</v>
      </c>
      <c r="T2467" t="str">
        <f>"20:27:40.617"</f>
        <v>20:27:40.617</v>
      </c>
      <c r="U2467" t="str">
        <f t="shared" si="119"/>
        <v>AB01F4</v>
      </c>
      <c r="V2467">
        <v>0</v>
      </c>
      <c r="W2467">
        <v>0</v>
      </c>
      <c r="X2467">
        <v>2</v>
      </c>
      <c r="Z2467">
        <v>0</v>
      </c>
      <c r="AA2467">
        <v>9</v>
      </c>
      <c r="AB2467">
        <v>3</v>
      </c>
      <c r="AC2467">
        <v>0</v>
      </c>
      <c r="AD2467">
        <v>10</v>
      </c>
      <c r="AE2467">
        <v>0</v>
      </c>
      <c r="AF2467">
        <v>3</v>
      </c>
      <c r="AG2467">
        <v>2</v>
      </c>
      <c r="AH2467">
        <v>0</v>
      </c>
      <c r="AI2467" t="s">
        <v>1483</v>
      </c>
      <c r="AJ2467">
        <v>39.988968</v>
      </c>
      <c r="AK2467" t="s">
        <v>1484</v>
      </c>
      <c r="AL2467">
        <v>-92.728407000000004</v>
      </c>
      <c r="AM2467">
        <v>100</v>
      </c>
      <c r="AN2467">
        <v>1700</v>
      </c>
      <c r="AO2467" t="s">
        <v>118</v>
      </c>
      <c r="AP2467">
        <v>-106</v>
      </c>
      <c r="AQ2467">
        <v>77</v>
      </c>
      <c r="AR2467">
        <v>0</v>
      </c>
      <c r="AZ2467">
        <v>1200</v>
      </c>
      <c r="BA2467">
        <v>1</v>
      </c>
      <c r="BB2467" t="str">
        <f t="shared" si="118"/>
        <v xml:space="preserve">N8080G  </v>
      </c>
      <c r="BC2467">
        <v>1</v>
      </c>
      <c r="BE2467">
        <v>0</v>
      </c>
      <c r="BF2467">
        <v>0</v>
      </c>
      <c r="BG2467">
        <v>0</v>
      </c>
      <c r="BH2467">
        <v>1700</v>
      </c>
      <c r="BI2467">
        <v>1</v>
      </c>
      <c r="BJ2467">
        <v>1</v>
      </c>
      <c r="BK2467">
        <v>1</v>
      </c>
      <c r="BL2467">
        <v>0</v>
      </c>
      <c r="BO2467">
        <v>0</v>
      </c>
      <c r="BP2467">
        <v>0</v>
      </c>
      <c r="BW2467" t="str">
        <f>"20:27:41.119"</f>
        <v>20:27:41.119</v>
      </c>
      <c r="BZ2467">
        <v>0</v>
      </c>
      <c r="CA2467">
        <v>2016</v>
      </c>
      <c r="CB2467">
        <v>224</v>
      </c>
      <c r="CD2467">
        <v>1</v>
      </c>
      <c r="CE2467">
        <v>0</v>
      </c>
      <c r="CF2467">
        <v>0</v>
      </c>
      <c r="CG2467">
        <v>1</v>
      </c>
      <c r="CH2467">
        <v>0</v>
      </c>
      <c r="CI2467">
        <v>0</v>
      </c>
      <c r="CJ2467">
        <v>0</v>
      </c>
      <c r="CK2467">
        <v>2</v>
      </c>
      <c r="CL2467">
        <v>0</v>
      </c>
      <c r="CM2467">
        <v>2</v>
      </c>
      <c r="CN2467">
        <v>0</v>
      </c>
      <c r="CO2467">
        <v>7</v>
      </c>
      <c r="CP2467" t="s">
        <v>119</v>
      </c>
      <c r="CQ2467">
        <v>180</v>
      </c>
      <c r="CR2467">
        <v>3</v>
      </c>
      <c r="CW2467">
        <v>894121</v>
      </c>
      <c r="CY2467">
        <v>1</v>
      </c>
      <c r="CZ2467">
        <v>0</v>
      </c>
      <c r="DA2467">
        <v>0</v>
      </c>
      <c r="DB2467">
        <v>0</v>
      </c>
      <c r="DC2467">
        <v>0</v>
      </c>
      <c r="DD2467">
        <v>0</v>
      </c>
      <c r="DE2467">
        <v>0</v>
      </c>
      <c r="DF2467">
        <v>0</v>
      </c>
      <c r="DG2467">
        <v>0</v>
      </c>
      <c r="DH2467">
        <v>0</v>
      </c>
      <c r="DI2467">
        <v>0</v>
      </c>
    </row>
    <row r="2468" spans="1:113" x14ac:dyDescent="0.3">
      <c r="A2468" t="str">
        <f>"02/08/2021 20:27:38.795"</f>
        <v>02/08/2021 20:27:38.795</v>
      </c>
      <c r="C2468" t="str">
        <f t="shared" si="117"/>
        <v>FFDFD7C0</v>
      </c>
      <c r="D2468" t="s">
        <v>113</v>
      </c>
      <c r="E2468">
        <v>6</v>
      </c>
      <c r="H2468">
        <v>165</v>
      </c>
      <c r="I2468" t="s">
        <v>114</v>
      </c>
      <c r="J2468" t="s">
        <v>115</v>
      </c>
      <c r="K2468">
        <v>0</v>
      </c>
      <c r="L2468">
        <v>3</v>
      </c>
      <c r="M2468">
        <v>0</v>
      </c>
      <c r="N2468">
        <v>2</v>
      </c>
      <c r="O2468">
        <v>1</v>
      </c>
      <c r="P2468">
        <v>0</v>
      </c>
      <c r="Q2468">
        <v>0</v>
      </c>
      <c r="S2468" t="str">
        <f>"20:27:41.117"</f>
        <v>20:27:41.117</v>
      </c>
      <c r="T2468" t="str">
        <f>"20:27:40.617"</f>
        <v>20:27:40.617</v>
      </c>
      <c r="U2468" t="str">
        <f t="shared" si="119"/>
        <v>AB01F4</v>
      </c>
      <c r="V2468">
        <v>0</v>
      </c>
      <c r="W2468">
        <v>0</v>
      </c>
      <c r="X2468">
        <v>2</v>
      </c>
      <c r="Z2468">
        <v>0</v>
      </c>
      <c r="AA2468">
        <v>9</v>
      </c>
      <c r="AB2468">
        <v>3</v>
      </c>
      <c r="AC2468">
        <v>0</v>
      </c>
      <c r="AD2468">
        <v>10</v>
      </c>
      <c r="AE2468">
        <v>0</v>
      </c>
      <c r="AF2468">
        <v>3</v>
      </c>
      <c r="AG2468">
        <v>2</v>
      </c>
      <c r="AH2468">
        <v>0</v>
      </c>
      <c r="AI2468" t="s">
        <v>1483</v>
      </c>
      <c r="AJ2468">
        <v>39.988968</v>
      </c>
      <c r="AK2468" t="s">
        <v>1484</v>
      </c>
      <c r="AL2468">
        <v>-92.728407000000004</v>
      </c>
      <c r="AM2468">
        <v>100</v>
      </c>
      <c r="AN2468">
        <v>1700</v>
      </c>
      <c r="AO2468" t="s">
        <v>118</v>
      </c>
      <c r="AP2468">
        <v>-106</v>
      </c>
      <c r="AQ2468">
        <v>77</v>
      </c>
      <c r="AR2468">
        <v>0</v>
      </c>
      <c r="AZ2468">
        <v>1200</v>
      </c>
      <c r="BA2468">
        <v>1</v>
      </c>
      <c r="BB2468" t="str">
        <f t="shared" si="118"/>
        <v xml:space="preserve">N8080G  </v>
      </c>
      <c r="BC2468">
        <v>1</v>
      </c>
      <c r="BE2468">
        <v>0</v>
      </c>
      <c r="BF2468">
        <v>0</v>
      </c>
      <c r="BG2468">
        <v>0</v>
      </c>
      <c r="BH2468">
        <v>1700</v>
      </c>
      <c r="BI2468">
        <v>1</v>
      </c>
      <c r="BJ2468">
        <v>1</v>
      </c>
      <c r="BK2468">
        <v>1</v>
      </c>
      <c r="BL2468">
        <v>0</v>
      </c>
      <c r="BO2468">
        <v>0</v>
      </c>
      <c r="BP2468">
        <v>0</v>
      </c>
      <c r="BW2468" t="str">
        <f>"20:27:41.119"</f>
        <v>20:27:41.119</v>
      </c>
      <c r="BZ2468">
        <v>0</v>
      </c>
      <c r="CA2468">
        <v>2016</v>
      </c>
      <c r="CB2468">
        <v>224</v>
      </c>
      <c r="CD2468">
        <v>1</v>
      </c>
      <c r="CE2468">
        <v>0</v>
      </c>
      <c r="CF2468">
        <v>0</v>
      </c>
      <c r="CG2468">
        <v>1</v>
      </c>
      <c r="CH2468">
        <v>0</v>
      </c>
      <c r="CI2468">
        <v>0</v>
      </c>
      <c r="CJ2468">
        <v>0</v>
      </c>
      <c r="CK2468">
        <v>2</v>
      </c>
      <c r="CL2468">
        <v>0</v>
      </c>
      <c r="CM2468">
        <v>2</v>
      </c>
      <c r="CN2468">
        <v>0</v>
      </c>
      <c r="CO2468">
        <v>7</v>
      </c>
      <c r="CP2468" t="s">
        <v>119</v>
      </c>
      <c r="CQ2468">
        <v>180</v>
      </c>
      <c r="CR2468">
        <v>3</v>
      </c>
      <c r="CW2468">
        <v>894121</v>
      </c>
      <c r="CY2468">
        <v>1</v>
      </c>
      <c r="CZ2468">
        <v>0</v>
      </c>
      <c r="DA2468">
        <v>1</v>
      </c>
      <c r="DB2468">
        <v>0</v>
      </c>
      <c r="DC2468">
        <v>0</v>
      </c>
      <c r="DD2468">
        <v>0</v>
      </c>
      <c r="DE2468">
        <v>0</v>
      </c>
      <c r="DF2468">
        <v>0</v>
      </c>
      <c r="DG2468">
        <v>0</v>
      </c>
      <c r="DH2468">
        <v>0</v>
      </c>
      <c r="DI2468">
        <v>0</v>
      </c>
    </row>
    <row r="2469" spans="1:113" x14ac:dyDescent="0.3">
      <c r="A2469" t="str">
        <f>"02/08/2021 20:27:38.795"</f>
        <v>02/08/2021 20:27:38.795</v>
      </c>
      <c r="C2469" t="str">
        <f t="shared" si="117"/>
        <v>FFDFD7C0</v>
      </c>
      <c r="D2469" t="s">
        <v>124</v>
      </c>
      <c r="E2469">
        <v>13</v>
      </c>
      <c r="F2469">
        <v>1013</v>
      </c>
      <c r="G2469" t="s">
        <v>114</v>
      </c>
      <c r="J2469" t="s">
        <v>125</v>
      </c>
      <c r="K2469">
        <v>0</v>
      </c>
      <c r="L2469">
        <v>3</v>
      </c>
      <c r="M2469">
        <v>0</v>
      </c>
      <c r="N2469">
        <v>2</v>
      </c>
      <c r="O2469">
        <v>1</v>
      </c>
      <c r="P2469">
        <v>0</v>
      </c>
      <c r="Q2469">
        <v>0</v>
      </c>
      <c r="S2469" t="str">
        <f>"20:27:41.117"</f>
        <v>20:27:41.117</v>
      </c>
      <c r="T2469" t="str">
        <f>"20:27:40.617"</f>
        <v>20:27:40.617</v>
      </c>
      <c r="U2469" t="str">
        <f t="shared" si="119"/>
        <v>AB01F4</v>
      </c>
      <c r="V2469">
        <v>0</v>
      </c>
      <c r="W2469">
        <v>0</v>
      </c>
      <c r="X2469">
        <v>2</v>
      </c>
      <c r="Z2469">
        <v>0</v>
      </c>
      <c r="AA2469">
        <v>9</v>
      </c>
      <c r="AB2469">
        <v>3</v>
      </c>
      <c r="AC2469">
        <v>0</v>
      </c>
      <c r="AD2469">
        <v>10</v>
      </c>
      <c r="AE2469">
        <v>0</v>
      </c>
      <c r="AF2469">
        <v>3</v>
      </c>
      <c r="AG2469">
        <v>2</v>
      </c>
      <c r="AH2469">
        <v>0</v>
      </c>
      <c r="AI2469" t="s">
        <v>1483</v>
      </c>
      <c r="AJ2469">
        <v>39.988968</v>
      </c>
      <c r="AK2469" t="s">
        <v>1484</v>
      </c>
      <c r="AL2469">
        <v>-92.728407000000004</v>
      </c>
      <c r="AM2469">
        <v>100</v>
      </c>
      <c r="AN2469">
        <v>1700</v>
      </c>
      <c r="AO2469" t="s">
        <v>118</v>
      </c>
      <c r="AP2469">
        <v>-106</v>
      </c>
      <c r="AQ2469">
        <v>77</v>
      </c>
      <c r="AR2469">
        <v>0</v>
      </c>
      <c r="AZ2469">
        <v>1200</v>
      </c>
      <c r="BA2469">
        <v>1</v>
      </c>
      <c r="BB2469" t="str">
        <f t="shared" si="118"/>
        <v xml:space="preserve">N8080G  </v>
      </c>
      <c r="BC2469">
        <v>1</v>
      </c>
      <c r="BE2469">
        <v>0</v>
      </c>
      <c r="BF2469">
        <v>0</v>
      </c>
      <c r="BG2469">
        <v>0</v>
      </c>
      <c r="BH2469">
        <v>1700</v>
      </c>
      <c r="BI2469">
        <v>1</v>
      </c>
      <c r="BJ2469">
        <v>1</v>
      </c>
      <c r="BK2469">
        <v>1</v>
      </c>
      <c r="BL2469">
        <v>0</v>
      </c>
      <c r="BO2469">
        <v>0</v>
      </c>
      <c r="BP2469">
        <v>0</v>
      </c>
      <c r="BW2469" t="str">
        <f>"20:27:41.119"</f>
        <v>20:27:41.119</v>
      </c>
      <c r="BZ2469">
        <v>0</v>
      </c>
      <c r="CA2469">
        <v>2016</v>
      </c>
      <c r="CB2469">
        <v>224</v>
      </c>
      <c r="CD2469">
        <v>1</v>
      </c>
      <c r="CE2469">
        <v>0</v>
      </c>
      <c r="CF2469">
        <v>0</v>
      </c>
      <c r="CG2469">
        <v>1</v>
      </c>
      <c r="CH2469">
        <v>0</v>
      </c>
      <c r="CI2469">
        <v>0</v>
      </c>
      <c r="CJ2469">
        <v>0</v>
      </c>
      <c r="CK2469">
        <v>2</v>
      </c>
      <c r="CL2469">
        <v>0</v>
      </c>
      <c r="CM2469">
        <v>2</v>
      </c>
      <c r="CN2469">
        <v>0</v>
      </c>
      <c r="CO2469">
        <v>7</v>
      </c>
      <c r="CP2469" t="s">
        <v>119</v>
      </c>
      <c r="CQ2469">
        <v>180</v>
      </c>
      <c r="CR2469">
        <v>3</v>
      </c>
      <c r="CW2469">
        <v>894121</v>
      </c>
      <c r="CY2469">
        <v>1</v>
      </c>
      <c r="CZ2469">
        <v>0</v>
      </c>
      <c r="DA2469">
        <v>1</v>
      </c>
      <c r="DB2469">
        <v>0</v>
      </c>
      <c r="DC2469">
        <v>0</v>
      </c>
      <c r="DD2469">
        <v>0</v>
      </c>
      <c r="DE2469">
        <v>0</v>
      </c>
      <c r="DF2469">
        <v>0</v>
      </c>
      <c r="DG2469">
        <v>0</v>
      </c>
      <c r="DH2469">
        <v>0</v>
      </c>
      <c r="DI2469">
        <v>0</v>
      </c>
    </row>
    <row r="2470" spans="1:113" x14ac:dyDescent="0.3">
      <c r="A2470" t="str">
        <f>"02/08/2021 20:27:38.795"</f>
        <v>02/08/2021 20:27:38.795</v>
      </c>
      <c r="C2470" t="str">
        <f t="shared" si="117"/>
        <v>FFDFD7C0</v>
      </c>
      <c r="D2470" t="s">
        <v>124</v>
      </c>
      <c r="E2470">
        <v>11</v>
      </c>
      <c r="F2470">
        <v>1011</v>
      </c>
      <c r="G2470" t="s">
        <v>590</v>
      </c>
      <c r="J2470" t="s">
        <v>125</v>
      </c>
      <c r="K2470">
        <v>0</v>
      </c>
      <c r="L2470">
        <v>3</v>
      </c>
      <c r="M2470">
        <v>0</v>
      </c>
      <c r="N2470">
        <v>2</v>
      </c>
      <c r="O2470">
        <v>1</v>
      </c>
      <c r="P2470">
        <v>0</v>
      </c>
      <c r="Q2470">
        <v>0</v>
      </c>
      <c r="S2470" t="str">
        <f>"20:27:41.117"</f>
        <v>20:27:41.117</v>
      </c>
      <c r="T2470" t="str">
        <f>"20:27:40.617"</f>
        <v>20:27:40.617</v>
      </c>
      <c r="U2470" t="str">
        <f t="shared" si="119"/>
        <v>AB01F4</v>
      </c>
      <c r="V2470">
        <v>0</v>
      </c>
      <c r="W2470">
        <v>0</v>
      </c>
      <c r="X2470">
        <v>2</v>
      </c>
      <c r="Z2470">
        <v>0</v>
      </c>
      <c r="AA2470">
        <v>9</v>
      </c>
      <c r="AB2470">
        <v>3</v>
      </c>
      <c r="AC2470">
        <v>0</v>
      </c>
      <c r="AD2470">
        <v>10</v>
      </c>
      <c r="AE2470">
        <v>0</v>
      </c>
      <c r="AF2470">
        <v>3</v>
      </c>
      <c r="AG2470">
        <v>2</v>
      </c>
      <c r="AH2470">
        <v>0</v>
      </c>
      <c r="AI2470" t="s">
        <v>1483</v>
      </c>
      <c r="AJ2470">
        <v>39.988968</v>
      </c>
      <c r="AK2470" t="s">
        <v>1484</v>
      </c>
      <c r="AL2470">
        <v>-92.728407000000004</v>
      </c>
      <c r="AM2470">
        <v>100</v>
      </c>
      <c r="AN2470">
        <v>1700</v>
      </c>
      <c r="AO2470" t="s">
        <v>118</v>
      </c>
      <c r="AP2470">
        <v>-106</v>
      </c>
      <c r="AQ2470">
        <v>77</v>
      </c>
      <c r="AR2470">
        <v>0</v>
      </c>
      <c r="AZ2470">
        <v>1200</v>
      </c>
      <c r="BA2470">
        <v>1</v>
      </c>
      <c r="BB2470" t="str">
        <f t="shared" si="118"/>
        <v xml:space="preserve">N8080G  </v>
      </c>
      <c r="BC2470">
        <v>1</v>
      </c>
      <c r="BE2470">
        <v>0</v>
      </c>
      <c r="BF2470">
        <v>0</v>
      </c>
      <c r="BG2470">
        <v>0</v>
      </c>
      <c r="BH2470">
        <v>1700</v>
      </c>
      <c r="BI2470">
        <v>1</v>
      </c>
      <c r="BJ2470">
        <v>1</v>
      </c>
      <c r="BK2470">
        <v>1</v>
      </c>
      <c r="BL2470">
        <v>0</v>
      </c>
      <c r="BO2470">
        <v>0</v>
      </c>
      <c r="BP2470">
        <v>0</v>
      </c>
      <c r="BW2470" t="str">
        <f>"20:27:41.119"</f>
        <v>20:27:41.119</v>
      </c>
      <c r="BZ2470">
        <v>0</v>
      </c>
      <c r="CA2470">
        <v>2016</v>
      </c>
      <c r="CB2470">
        <v>224</v>
      </c>
      <c r="CD2470">
        <v>1</v>
      </c>
      <c r="CE2470">
        <v>0</v>
      </c>
      <c r="CF2470">
        <v>0</v>
      </c>
      <c r="CG2470">
        <v>1</v>
      </c>
      <c r="CH2470">
        <v>0</v>
      </c>
      <c r="CI2470">
        <v>0</v>
      </c>
      <c r="CJ2470">
        <v>0</v>
      </c>
      <c r="CK2470">
        <v>2</v>
      </c>
      <c r="CL2470">
        <v>0</v>
      </c>
      <c r="CM2470">
        <v>2</v>
      </c>
      <c r="CN2470">
        <v>0</v>
      </c>
      <c r="CO2470">
        <v>7</v>
      </c>
      <c r="CP2470" t="s">
        <v>119</v>
      </c>
      <c r="CQ2470">
        <v>180</v>
      </c>
      <c r="CR2470">
        <v>3</v>
      </c>
      <c r="CW2470">
        <v>894121</v>
      </c>
      <c r="CY2470">
        <v>1</v>
      </c>
      <c r="CZ2470">
        <v>0</v>
      </c>
      <c r="DA2470">
        <v>1</v>
      </c>
      <c r="DB2470">
        <v>0</v>
      </c>
      <c r="DC2470">
        <v>0</v>
      </c>
      <c r="DD2470">
        <v>0</v>
      </c>
      <c r="DE2470">
        <v>0</v>
      </c>
      <c r="DF2470">
        <v>0</v>
      </c>
      <c r="DG2470">
        <v>0</v>
      </c>
      <c r="DH2470">
        <v>0</v>
      </c>
      <c r="DI2470">
        <v>0</v>
      </c>
    </row>
    <row r="2471" spans="1:113" x14ac:dyDescent="0.3">
      <c r="A2471" t="str">
        <f>"02/08/2021 20:27:39.844"</f>
        <v>02/08/2021 20:27:39.844</v>
      </c>
      <c r="C2471" t="str">
        <f t="shared" si="117"/>
        <v>FFDFD7C0</v>
      </c>
      <c r="D2471" t="s">
        <v>124</v>
      </c>
      <c r="E2471">
        <v>11</v>
      </c>
      <c r="F2471">
        <v>1011</v>
      </c>
      <c r="G2471" t="s">
        <v>590</v>
      </c>
      <c r="J2471" t="s">
        <v>125</v>
      </c>
      <c r="K2471">
        <v>0</v>
      </c>
      <c r="L2471">
        <v>3</v>
      </c>
      <c r="M2471">
        <v>0</v>
      </c>
      <c r="N2471">
        <v>2</v>
      </c>
      <c r="O2471">
        <v>1</v>
      </c>
      <c r="P2471">
        <v>0</v>
      </c>
      <c r="Q2471">
        <v>0</v>
      </c>
      <c r="S2471" t="str">
        <f>"20:27:42.164"</f>
        <v>20:27:42.164</v>
      </c>
      <c r="T2471" t="str">
        <f>"20:27:41.764"</f>
        <v>20:27:41.764</v>
      </c>
      <c r="U2471" t="str">
        <f t="shared" si="119"/>
        <v>AB01F4</v>
      </c>
      <c r="V2471">
        <v>0</v>
      </c>
      <c r="W2471">
        <v>0</v>
      </c>
      <c r="X2471">
        <v>2</v>
      </c>
      <c r="Z2471">
        <v>0</v>
      </c>
      <c r="AA2471">
        <v>9</v>
      </c>
      <c r="AB2471">
        <v>3</v>
      </c>
      <c r="AC2471">
        <v>0</v>
      </c>
      <c r="AD2471">
        <v>10</v>
      </c>
      <c r="AE2471">
        <v>0</v>
      </c>
      <c r="AF2471">
        <v>3</v>
      </c>
      <c r="AG2471">
        <v>2</v>
      </c>
      <c r="AH2471">
        <v>0</v>
      </c>
      <c r="AI2471" t="s">
        <v>1485</v>
      </c>
      <c r="AJ2471">
        <v>39.989355000000003</v>
      </c>
      <c r="AK2471" t="s">
        <v>1486</v>
      </c>
      <c r="AL2471">
        <v>-92.729114999999993</v>
      </c>
      <c r="AM2471">
        <v>100</v>
      </c>
      <c r="AN2471">
        <v>1700</v>
      </c>
      <c r="AO2471" t="s">
        <v>118</v>
      </c>
      <c r="AP2471">
        <v>-105</v>
      </c>
      <c r="AQ2471">
        <v>78</v>
      </c>
      <c r="AR2471">
        <v>0</v>
      </c>
      <c r="AZ2471">
        <v>1200</v>
      </c>
      <c r="BA2471">
        <v>1</v>
      </c>
      <c r="BB2471" t="str">
        <f t="shared" si="118"/>
        <v xml:space="preserve">N8080G  </v>
      </c>
      <c r="BC2471">
        <v>1</v>
      </c>
      <c r="BE2471">
        <v>0</v>
      </c>
      <c r="BF2471">
        <v>0</v>
      </c>
      <c r="BG2471">
        <v>0</v>
      </c>
      <c r="BH2471">
        <v>1700</v>
      </c>
      <c r="BI2471">
        <v>1</v>
      </c>
      <c r="BJ2471">
        <v>1</v>
      </c>
      <c r="BK2471">
        <v>1</v>
      </c>
      <c r="BL2471">
        <v>0</v>
      </c>
      <c r="BO2471">
        <v>0</v>
      </c>
      <c r="BP2471">
        <v>0</v>
      </c>
      <c r="BW2471" t="str">
        <f>"20:27:42.164"</f>
        <v>20:27:42.164</v>
      </c>
      <c r="BZ2471">
        <v>0</v>
      </c>
      <c r="CA2471">
        <v>2016</v>
      </c>
      <c r="CB2471">
        <v>224</v>
      </c>
      <c r="CD2471">
        <v>1</v>
      </c>
      <c r="CE2471">
        <v>0</v>
      </c>
      <c r="CF2471">
        <v>0</v>
      </c>
      <c r="CG2471">
        <v>1</v>
      </c>
      <c r="CH2471">
        <v>0</v>
      </c>
      <c r="CI2471">
        <v>0</v>
      </c>
      <c r="CJ2471">
        <v>0</v>
      </c>
      <c r="CK2471">
        <v>2</v>
      </c>
      <c r="CL2471">
        <v>0</v>
      </c>
      <c r="CM2471">
        <v>2</v>
      </c>
      <c r="CN2471">
        <v>0</v>
      </c>
      <c r="CO2471">
        <v>4</v>
      </c>
      <c r="CP2471" t="s">
        <v>119</v>
      </c>
      <c r="CQ2471">
        <v>179</v>
      </c>
      <c r="CR2471">
        <v>1</v>
      </c>
      <c r="CW2471">
        <v>8989227</v>
      </c>
      <c r="CY2471">
        <v>1</v>
      </c>
      <c r="CZ2471">
        <v>0</v>
      </c>
      <c r="DA2471">
        <v>0</v>
      </c>
      <c r="DB2471">
        <v>0</v>
      </c>
      <c r="DC2471">
        <v>0</v>
      </c>
      <c r="DD2471">
        <v>0</v>
      </c>
      <c r="DE2471">
        <v>0</v>
      </c>
      <c r="DF2471">
        <v>0</v>
      </c>
      <c r="DG2471">
        <v>0</v>
      </c>
      <c r="DH2471">
        <v>0</v>
      </c>
      <c r="DI2471">
        <v>0</v>
      </c>
    </row>
    <row r="2472" spans="1:113" x14ac:dyDescent="0.3">
      <c r="A2472" t="str">
        <f>"02/08/2021 20:27:39.844"</f>
        <v>02/08/2021 20:27:39.844</v>
      </c>
      <c r="C2472" t="str">
        <f t="shared" si="117"/>
        <v>FFDFD7C0</v>
      </c>
      <c r="D2472" t="s">
        <v>124</v>
      </c>
      <c r="E2472">
        <v>12</v>
      </c>
      <c r="F2472">
        <v>1012</v>
      </c>
      <c r="G2472" t="s">
        <v>675</v>
      </c>
      <c r="J2472" t="s">
        <v>125</v>
      </c>
      <c r="K2472">
        <v>0</v>
      </c>
      <c r="L2472">
        <v>3</v>
      </c>
      <c r="M2472">
        <v>0</v>
      </c>
      <c r="N2472">
        <v>2</v>
      </c>
      <c r="O2472">
        <v>1</v>
      </c>
      <c r="P2472">
        <v>0</v>
      </c>
      <c r="Q2472">
        <v>0</v>
      </c>
      <c r="S2472" t="str">
        <f>"20:27:42.164"</f>
        <v>20:27:42.164</v>
      </c>
      <c r="T2472" t="str">
        <f>"20:27:41.764"</f>
        <v>20:27:41.764</v>
      </c>
      <c r="U2472" t="str">
        <f t="shared" si="119"/>
        <v>AB01F4</v>
      </c>
      <c r="V2472">
        <v>0</v>
      </c>
      <c r="W2472">
        <v>0</v>
      </c>
      <c r="X2472">
        <v>2</v>
      </c>
      <c r="Z2472">
        <v>0</v>
      </c>
      <c r="AA2472">
        <v>9</v>
      </c>
      <c r="AB2472">
        <v>3</v>
      </c>
      <c r="AC2472">
        <v>0</v>
      </c>
      <c r="AD2472">
        <v>10</v>
      </c>
      <c r="AE2472">
        <v>0</v>
      </c>
      <c r="AF2472">
        <v>3</v>
      </c>
      <c r="AG2472">
        <v>2</v>
      </c>
      <c r="AH2472">
        <v>0</v>
      </c>
      <c r="AI2472" t="s">
        <v>1485</v>
      </c>
      <c r="AJ2472">
        <v>39.989355000000003</v>
      </c>
      <c r="AK2472" t="s">
        <v>1486</v>
      </c>
      <c r="AL2472">
        <v>-92.729114999999993</v>
      </c>
      <c r="AM2472">
        <v>100</v>
      </c>
      <c r="AN2472">
        <v>1700</v>
      </c>
      <c r="AO2472" t="s">
        <v>118</v>
      </c>
      <c r="AP2472">
        <v>-105</v>
      </c>
      <c r="AQ2472">
        <v>78</v>
      </c>
      <c r="AR2472">
        <v>0</v>
      </c>
      <c r="AZ2472">
        <v>1200</v>
      </c>
      <c r="BA2472">
        <v>1</v>
      </c>
      <c r="BB2472" t="str">
        <f t="shared" si="118"/>
        <v xml:space="preserve">N8080G  </v>
      </c>
      <c r="BC2472">
        <v>1</v>
      </c>
      <c r="BE2472">
        <v>0</v>
      </c>
      <c r="BF2472">
        <v>0</v>
      </c>
      <c r="BG2472">
        <v>0</v>
      </c>
      <c r="BH2472">
        <v>1700</v>
      </c>
      <c r="BI2472">
        <v>1</v>
      </c>
      <c r="BJ2472">
        <v>1</v>
      </c>
      <c r="BK2472">
        <v>1</v>
      </c>
      <c r="BL2472">
        <v>0</v>
      </c>
      <c r="BO2472">
        <v>0</v>
      </c>
      <c r="BP2472">
        <v>0</v>
      </c>
      <c r="BW2472" t="str">
        <f>"20:27:42.164"</f>
        <v>20:27:42.164</v>
      </c>
      <c r="BZ2472">
        <v>0</v>
      </c>
      <c r="CA2472">
        <v>2016</v>
      </c>
      <c r="CB2472">
        <v>224</v>
      </c>
      <c r="CD2472">
        <v>1</v>
      </c>
      <c r="CE2472">
        <v>0</v>
      </c>
      <c r="CF2472">
        <v>0</v>
      </c>
      <c r="CG2472">
        <v>1</v>
      </c>
      <c r="CH2472">
        <v>0</v>
      </c>
      <c r="CI2472">
        <v>0</v>
      </c>
      <c r="CJ2472">
        <v>0</v>
      </c>
      <c r="CK2472">
        <v>2</v>
      </c>
      <c r="CL2472">
        <v>0</v>
      </c>
      <c r="CM2472">
        <v>2</v>
      </c>
      <c r="CN2472">
        <v>0</v>
      </c>
      <c r="CO2472">
        <v>4</v>
      </c>
      <c r="CP2472" t="s">
        <v>119</v>
      </c>
      <c r="CQ2472">
        <v>179</v>
      </c>
      <c r="CR2472">
        <v>1</v>
      </c>
      <c r="CW2472">
        <v>8989227</v>
      </c>
      <c r="CY2472">
        <v>1</v>
      </c>
      <c r="CZ2472">
        <v>0</v>
      </c>
      <c r="DA2472">
        <v>1</v>
      </c>
      <c r="DB2472">
        <v>0</v>
      </c>
      <c r="DC2472">
        <v>0</v>
      </c>
      <c r="DD2472">
        <v>0</v>
      </c>
      <c r="DE2472">
        <v>0</v>
      </c>
      <c r="DF2472">
        <v>0</v>
      </c>
      <c r="DG2472">
        <v>0</v>
      </c>
      <c r="DH2472">
        <v>0</v>
      </c>
      <c r="DI2472">
        <v>0</v>
      </c>
    </row>
    <row r="2473" spans="1:113" x14ac:dyDescent="0.3">
      <c r="A2473" t="str">
        <f>"02/08/2021 20:27:39.844"</f>
        <v>02/08/2021 20:27:39.844</v>
      </c>
      <c r="C2473" t="str">
        <f t="shared" si="117"/>
        <v>FFDFD7C0</v>
      </c>
      <c r="D2473" t="s">
        <v>113</v>
      </c>
      <c r="E2473">
        <v>6</v>
      </c>
      <c r="H2473">
        <v>165</v>
      </c>
      <c r="I2473" t="s">
        <v>114</v>
      </c>
      <c r="J2473" t="s">
        <v>115</v>
      </c>
      <c r="K2473">
        <v>0</v>
      </c>
      <c r="L2473">
        <v>3</v>
      </c>
      <c r="M2473">
        <v>0</v>
      </c>
      <c r="N2473">
        <v>2</v>
      </c>
      <c r="O2473">
        <v>1</v>
      </c>
      <c r="P2473">
        <v>0</v>
      </c>
      <c r="Q2473">
        <v>0</v>
      </c>
      <c r="S2473" t="str">
        <f>"20:27:42.164"</f>
        <v>20:27:42.164</v>
      </c>
      <c r="T2473" t="str">
        <f>"20:27:41.764"</f>
        <v>20:27:41.764</v>
      </c>
      <c r="U2473" t="str">
        <f t="shared" si="119"/>
        <v>AB01F4</v>
      </c>
      <c r="V2473">
        <v>0</v>
      </c>
      <c r="W2473">
        <v>0</v>
      </c>
      <c r="X2473">
        <v>2</v>
      </c>
      <c r="Z2473">
        <v>0</v>
      </c>
      <c r="AA2473">
        <v>9</v>
      </c>
      <c r="AB2473">
        <v>3</v>
      </c>
      <c r="AC2473">
        <v>0</v>
      </c>
      <c r="AD2473">
        <v>10</v>
      </c>
      <c r="AE2473">
        <v>0</v>
      </c>
      <c r="AF2473">
        <v>3</v>
      </c>
      <c r="AG2473">
        <v>2</v>
      </c>
      <c r="AH2473">
        <v>0</v>
      </c>
      <c r="AI2473" t="s">
        <v>1485</v>
      </c>
      <c r="AJ2473">
        <v>39.989355000000003</v>
      </c>
      <c r="AK2473" t="s">
        <v>1486</v>
      </c>
      <c r="AL2473">
        <v>-92.729114999999993</v>
      </c>
      <c r="AM2473">
        <v>100</v>
      </c>
      <c r="AN2473">
        <v>1700</v>
      </c>
      <c r="AO2473" t="s">
        <v>118</v>
      </c>
      <c r="AP2473">
        <v>-105</v>
      </c>
      <c r="AQ2473">
        <v>78</v>
      </c>
      <c r="AR2473">
        <v>0</v>
      </c>
      <c r="AZ2473">
        <v>1200</v>
      </c>
      <c r="BA2473">
        <v>1</v>
      </c>
      <c r="BB2473" t="str">
        <f t="shared" si="118"/>
        <v xml:space="preserve">N8080G  </v>
      </c>
      <c r="BC2473">
        <v>1</v>
      </c>
      <c r="BE2473">
        <v>0</v>
      </c>
      <c r="BF2473">
        <v>0</v>
      </c>
      <c r="BG2473">
        <v>0</v>
      </c>
      <c r="BH2473">
        <v>1700</v>
      </c>
      <c r="BI2473">
        <v>1</v>
      </c>
      <c r="BJ2473">
        <v>1</v>
      </c>
      <c r="BK2473">
        <v>1</v>
      </c>
      <c r="BL2473">
        <v>0</v>
      </c>
      <c r="BO2473">
        <v>0</v>
      </c>
      <c r="BP2473">
        <v>0</v>
      </c>
      <c r="BW2473" t="str">
        <f>"20:27:42.164"</f>
        <v>20:27:42.164</v>
      </c>
      <c r="BZ2473">
        <v>0</v>
      </c>
      <c r="CA2473">
        <v>2016</v>
      </c>
      <c r="CB2473">
        <v>224</v>
      </c>
      <c r="CD2473">
        <v>1</v>
      </c>
      <c r="CE2473">
        <v>0</v>
      </c>
      <c r="CF2473">
        <v>0</v>
      </c>
      <c r="CG2473">
        <v>1</v>
      </c>
      <c r="CH2473">
        <v>0</v>
      </c>
      <c r="CI2473">
        <v>0</v>
      </c>
      <c r="CJ2473">
        <v>0</v>
      </c>
      <c r="CK2473">
        <v>2</v>
      </c>
      <c r="CL2473">
        <v>0</v>
      </c>
      <c r="CM2473">
        <v>2</v>
      </c>
      <c r="CN2473">
        <v>0</v>
      </c>
      <c r="CO2473">
        <v>4</v>
      </c>
      <c r="CP2473" t="s">
        <v>119</v>
      </c>
      <c r="CQ2473">
        <v>179</v>
      </c>
      <c r="CR2473">
        <v>1</v>
      </c>
      <c r="CW2473">
        <v>8989227</v>
      </c>
      <c r="CY2473">
        <v>1</v>
      </c>
      <c r="CZ2473">
        <v>0</v>
      </c>
      <c r="DA2473">
        <v>1</v>
      </c>
      <c r="DB2473">
        <v>0</v>
      </c>
      <c r="DC2473">
        <v>0</v>
      </c>
      <c r="DD2473">
        <v>0</v>
      </c>
      <c r="DE2473">
        <v>0</v>
      </c>
      <c r="DF2473">
        <v>0</v>
      </c>
      <c r="DG2473">
        <v>0</v>
      </c>
      <c r="DH2473">
        <v>0</v>
      </c>
      <c r="DI2473">
        <v>0</v>
      </c>
    </row>
    <row r="2474" spans="1:113" x14ac:dyDescent="0.3">
      <c r="A2474" t="str">
        <f>"02/08/2021 20:27:39.844"</f>
        <v>02/08/2021 20:27:39.844</v>
      </c>
      <c r="C2474" t="str">
        <f t="shared" si="117"/>
        <v>FFDFD7C0</v>
      </c>
      <c r="D2474" t="s">
        <v>124</v>
      </c>
      <c r="E2474">
        <v>13</v>
      </c>
      <c r="F2474">
        <v>1013</v>
      </c>
      <c r="G2474" t="s">
        <v>114</v>
      </c>
      <c r="J2474" t="s">
        <v>125</v>
      </c>
      <c r="K2474">
        <v>0</v>
      </c>
      <c r="L2474">
        <v>3</v>
      </c>
      <c r="M2474">
        <v>0</v>
      </c>
      <c r="N2474">
        <v>2</v>
      </c>
      <c r="O2474">
        <v>1</v>
      </c>
      <c r="P2474">
        <v>0</v>
      </c>
      <c r="Q2474">
        <v>0</v>
      </c>
      <c r="S2474" t="str">
        <f>"20:27:42.164"</f>
        <v>20:27:42.164</v>
      </c>
      <c r="T2474" t="str">
        <f>"20:27:41.764"</f>
        <v>20:27:41.764</v>
      </c>
      <c r="U2474" t="str">
        <f t="shared" si="119"/>
        <v>AB01F4</v>
      </c>
      <c r="V2474">
        <v>0</v>
      </c>
      <c r="W2474">
        <v>0</v>
      </c>
      <c r="X2474">
        <v>2</v>
      </c>
      <c r="Z2474">
        <v>0</v>
      </c>
      <c r="AA2474">
        <v>9</v>
      </c>
      <c r="AB2474">
        <v>3</v>
      </c>
      <c r="AC2474">
        <v>0</v>
      </c>
      <c r="AD2474">
        <v>10</v>
      </c>
      <c r="AE2474">
        <v>0</v>
      </c>
      <c r="AF2474">
        <v>3</v>
      </c>
      <c r="AG2474">
        <v>2</v>
      </c>
      <c r="AH2474">
        <v>0</v>
      </c>
      <c r="AI2474" t="s">
        <v>1485</v>
      </c>
      <c r="AJ2474">
        <v>39.989355000000003</v>
      </c>
      <c r="AK2474" t="s">
        <v>1486</v>
      </c>
      <c r="AL2474">
        <v>-92.729114999999993</v>
      </c>
      <c r="AM2474">
        <v>100</v>
      </c>
      <c r="AN2474">
        <v>1700</v>
      </c>
      <c r="AO2474" t="s">
        <v>118</v>
      </c>
      <c r="AP2474">
        <v>-105</v>
      </c>
      <c r="AQ2474">
        <v>78</v>
      </c>
      <c r="AR2474">
        <v>0</v>
      </c>
      <c r="AZ2474">
        <v>1200</v>
      </c>
      <c r="BA2474">
        <v>1</v>
      </c>
      <c r="BB2474" t="str">
        <f t="shared" si="118"/>
        <v xml:space="preserve">N8080G  </v>
      </c>
      <c r="BC2474">
        <v>1</v>
      </c>
      <c r="BE2474">
        <v>0</v>
      </c>
      <c r="BF2474">
        <v>0</v>
      </c>
      <c r="BG2474">
        <v>0</v>
      </c>
      <c r="BH2474">
        <v>1700</v>
      </c>
      <c r="BI2474">
        <v>1</v>
      </c>
      <c r="BJ2474">
        <v>1</v>
      </c>
      <c r="BK2474">
        <v>1</v>
      </c>
      <c r="BL2474">
        <v>0</v>
      </c>
      <c r="BO2474">
        <v>0</v>
      </c>
      <c r="BP2474">
        <v>0</v>
      </c>
      <c r="BW2474" t="str">
        <f>"20:27:42.164"</f>
        <v>20:27:42.164</v>
      </c>
      <c r="BZ2474">
        <v>0</v>
      </c>
      <c r="CA2474">
        <v>2016</v>
      </c>
      <c r="CB2474">
        <v>224</v>
      </c>
      <c r="CD2474">
        <v>1</v>
      </c>
      <c r="CE2474">
        <v>0</v>
      </c>
      <c r="CF2474">
        <v>0</v>
      </c>
      <c r="CG2474">
        <v>1</v>
      </c>
      <c r="CH2474">
        <v>0</v>
      </c>
      <c r="CI2474">
        <v>0</v>
      </c>
      <c r="CJ2474">
        <v>0</v>
      </c>
      <c r="CK2474">
        <v>2</v>
      </c>
      <c r="CL2474">
        <v>0</v>
      </c>
      <c r="CM2474">
        <v>2</v>
      </c>
      <c r="CN2474">
        <v>0</v>
      </c>
      <c r="CO2474">
        <v>4</v>
      </c>
      <c r="CP2474" t="s">
        <v>119</v>
      </c>
      <c r="CQ2474">
        <v>179</v>
      </c>
      <c r="CR2474">
        <v>1</v>
      </c>
      <c r="CW2474">
        <v>8989227</v>
      </c>
      <c r="CY2474">
        <v>1</v>
      </c>
      <c r="CZ2474">
        <v>0</v>
      </c>
      <c r="DA2474">
        <v>1</v>
      </c>
      <c r="DB2474">
        <v>0</v>
      </c>
      <c r="DC2474">
        <v>0</v>
      </c>
      <c r="DD2474">
        <v>0</v>
      </c>
      <c r="DE2474">
        <v>0</v>
      </c>
      <c r="DF2474">
        <v>0</v>
      </c>
      <c r="DG2474">
        <v>0</v>
      </c>
      <c r="DH2474">
        <v>0</v>
      </c>
      <c r="DI2474">
        <v>0</v>
      </c>
    </row>
    <row r="2475" spans="1:113" x14ac:dyDescent="0.3">
      <c r="A2475" t="str">
        <f>"02/08/2021 20:27:40.802"</f>
        <v>02/08/2021 20:27:40.802</v>
      </c>
      <c r="C2475" t="str">
        <f t="shared" si="117"/>
        <v>FFDFD7C0</v>
      </c>
      <c r="D2475" t="s">
        <v>124</v>
      </c>
      <c r="E2475">
        <v>11</v>
      </c>
      <c r="F2475">
        <v>1011</v>
      </c>
      <c r="G2475" t="s">
        <v>590</v>
      </c>
      <c r="J2475" t="s">
        <v>125</v>
      </c>
      <c r="K2475">
        <v>0</v>
      </c>
      <c r="L2475">
        <v>3</v>
      </c>
      <c r="M2475">
        <v>0</v>
      </c>
      <c r="N2475">
        <v>2</v>
      </c>
      <c r="O2475">
        <v>1</v>
      </c>
      <c r="P2475">
        <v>0</v>
      </c>
      <c r="Q2475">
        <v>0</v>
      </c>
      <c r="S2475" t="str">
        <f>"20:27:43.141"</f>
        <v>20:27:43.141</v>
      </c>
      <c r="T2475" t="str">
        <f>"20:27:42.641"</f>
        <v>20:27:42.641</v>
      </c>
      <c r="U2475" t="str">
        <f t="shared" si="119"/>
        <v>AB01F4</v>
      </c>
      <c r="V2475">
        <v>0</v>
      </c>
      <c r="W2475">
        <v>0</v>
      </c>
      <c r="X2475">
        <v>2</v>
      </c>
      <c r="Z2475">
        <v>0</v>
      </c>
      <c r="AA2475">
        <v>9</v>
      </c>
      <c r="AB2475">
        <v>3</v>
      </c>
      <c r="AC2475">
        <v>0</v>
      </c>
      <c r="AD2475">
        <v>10</v>
      </c>
      <c r="AE2475">
        <v>0</v>
      </c>
      <c r="AF2475">
        <v>3</v>
      </c>
      <c r="AG2475">
        <v>2</v>
      </c>
      <c r="AH2475">
        <v>0</v>
      </c>
      <c r="AI2475" t="s">
        <v>1487</v>
      </c>
      <c r="AJ2475">
        <v>39.989741000000002</v>
      </c>
      <c r="AK2475" t="s">
        <v>1488</v>
      </c>
      <c r="AL2475">
        <v>-92.729737999999998</v>
      </c>
      <c r="AM2475">
        <v>100</v>
      </c>
      <c r="AN2475">
        <v>1700</v>
      </c>
      <c r="AO2475" t="s">
        <v>118</v>
      </c>
      <c r="AP2475">
        <v>-106</v>
      </c>
      <c r="AQ2475">
        <v>77</v>
      </c>
      <c r="AR2475">
        <v>-64</v>
      </c>
      <c r="AZ2475">
        <v>1200</v>
      </c>
      <c r="BA2475">
        <v>1</v>
      </c>
      <c r="BB2475" t="str">
        <f t="shared" si="118"/>
        <v xml:space="preserve">N8080G  </v>
      </c>
      <c r="BC2475">
        <v>1</v>
      </c>
      <c r="BE2475">
        <v>0</v>
      </c>
      <c r="BF2475">
        <v>0</v>
      </c>
      <c r="BG2475">
        <v>0</v>
      </c>
      <c r="BH2475">
        <v>1700</v>
      </c>
      <c r="BI2475">
        <v>1</v>
      </c>
      <c r="BJ2475">
        <v>1</v>
      </c>
      <c r="BK2475">
        <v>1</v>
      </c>
      <c r="BL2475">
        <v>0</v>
      </c>
      <c r="BO2475">
        <v>0</v>
      </c>
      <c r="BP2475">
        <v>0</v>
      </c>
      <c r="BW2475" t="str">
        <f>"20:27:43.141"</f>
        <v>20:27:43.141</v>
      </c>
      <c r="BZ2475">
        <v>0</v>
      </c>
      <c r="CA2475">
        <v>2016</v>
      </c>
      <c r="CB2475">
        <v>224</v>
      </c>
      <c r="CD2475">
        <v>1</v>
      </c>
      <c r="CE2475">
        <v>0</v>
      </c>
      <c r="CF2475">
        <v>0</v>
      </c>
      <c r="CG2475">
        <v>1</v>
      </c>
      <c r="CH2475">
        <v>0</v>
      </c>
      <c r="CI2475">
        <v>0</v>
      </c>
      <c r="CJ2475">
        <v>0</v>
      </c>
      <c r="CK2475">
        <v>2</v>
      </c>
      <c r="CL2475">
        <v>0</v>
      </c>
      <c r="CM2475">
        <v>2</v>
      </c>
      <c r="CN2475">
        <v>0</v>
      </c>
      <c r="CO2475">
        <v>4</v>
      </c>
      <c r="CP2475" t="s">
        <v>119</v>
      </c>
      <c r="CQ2475">
        <v>179</v>
      </c>
      <c r="CR2475">
        <v>1</v>
      </c>
      <c r="CW2475">
        <v>8990128</v>
      </c>
      <c r="CY2475">
        <v>1</v>
      </c>
      <c r="CZ2475">
        <v>0</v>
      </c>
      <c r="DA2475">
        <v>0</v>
      </c>
      <c r="DB2475">
        <v>0</v>
      </c>
      <c r="DC2475">
        <v>0</v>
      </c>
      <c r="DD2475">
        <v>0</v>
      </c>
      <c r="DE2475">
        <v>0</v>
      </c>
      <c r="DF2475">
        <v>0</v>
      </c>
      <c r="DG2475">
        <v>0</v>
      </c>
      <c r="DH2475">
        <v>0</v>
      </c>
      <c r="DI2475">
        <v>0</v>
      </c>
    </row>
    <row r="2476" spans="1:113" x14ac:dyDescent="0.3">
      <c r="A2476" t="str">
        <f>"02/08/2021 20:27:40.802"</f>
        <v>02/08/2021 20:27:40.802</v>
      </c>
      <c r="C2476" t="str">
        <f t="shared" si="117"/>
        <v>FFDFD7C0</v>
      </c>
      <c r="D2476" t="s">
        <v>124</v>
      </c>
      <c r="E2476">
        <v>12</v>
      </c>
      <c r="F2476">
        <v>1012</v>
      </c>
      <c r="G2476" t="s">
        <v>675</v>
      </c>
      <c r="J2476" t="s">
        <v>125</v>
      </c>
      <c r="K2476">
        <v>0</v>
      </c>
      <c r="L2476">
        <v>3</v>
      </c>
      <c r="M2476">
        <v>0</v>
      </c>
      <c r="N2476">
        <v>2</v>
      </c>
      <c r="O2476">
        <v>1</v>
      </c>
      <c r="P2476">
        <v>0</v>
      </c>
      <c r="Q2476">
        <v>0</v>
      </c>
      <c r="S2476" t="str">
        <f>"20:27:43.141"</f>
        <v>20:27:43.141</v>
      </c>
      <c r="T2476" t="str">
        <f>"20:27:42.641"</f>
        <v>20:27:42.641</v>
      </c>
      <c r="U2476" t="str">
        <f t="shared" si="119"/>
        <v>AB01F4</v>
      </c>
      <c r="V2476">
        <v>0</v>
      </c>
      <c r="W2476">
        <v>0</v>
      </c>
      <c r="X2476">
        <v>2</v>
      </c>
      <c r="Z2476">
        <v>0</v>
      </c>
      <c r="AA2476">
        <v>9</v>
      </c>
      <c r="AB2476">
        <v>3</v>
      </c>
      <c r="AC2476">
        <v>0</v>
      </c>
      <c r="AD2476">
        <v>10</v>
      </c>
      <c r="AE2476">
        <v>0</v>
      </c>
      <c r="AF2476">
        <v>3</v>
      </c>
      <c r="AG2476">
        <v>2</v>
      </c>
      <c r="AH2476">
        <v>0</v>
      </c>
      <c r="AI2476" t="s">
        <v>1487</v>
      </c>
      <c r="AJ2476">
        <v>39.989741000000002</v>
      </c>
      <c r="AK2476" t="s">
        <v>1488</v>
      </c>
      <c r="AL2476">
        <v>-92.729737999999998</v>
      </c>
      <c r="AM2476">
        <v>100</v>
      </c>
      <c r="AN2476">
        <v>1700</v>
      </c>
      <c r="AO2476" t="s">
        <v>118</v>
      </c>
      <c r="AP2476">
        <v>-106</v>
      </c>
      <c r="AQ2476">
        <v>77</v>
      </c>
      <c r="AR2476">
        <v>-64</v>
      </c>
      <c r="AZ2476">
        <v>1200</v>
      </c>
      <c r="BA2476">
        <v>1</v>
      </c>
      <c r="BB2476" t="str">
        <f t="shared" si="118"/>
        <v xml:space="preserve">N8080G  </v>
      </c>
      <c r="BC2476">
        <v>1</v>
      </c>
      <c r="BE2476">
        <v>0</v>
      </c>
      <c r="BF2476">
        <v>0</v>
      </c>
      <c r="BG2476">
        <v>0</v>
      </c>
      <c r="BH2476">
        <v>1700</v>
      </c>
      <c r="BI2476">
        <v>1</v>
      </c>
      <c r="BJ2476">
        <v>1</v>
      </c>
      <c r="BK2476">
        <v>1</v>
      </c>
      <c r="BL2476">
        <v>0</v>
      </c>
      <c r="BO2476">
        <v>0</v>
      </c>
      <c r="BP2476">
        <v>0</v>
      </c>
      <c r="BW2476" t="str">
        <f>"20:27:43.141"</f>
        <v>20:27:43.141</v>
      </c>
      <c r="BZ2476">
        <v>0</v>
      </c>
      <c r="CA2476">
        <v>2016</v>
      </c>
      <c r="CB2476">
        <v>224</v>
      </c>
      <c r="CD2476">
        <v>1</v>
      </c>
      <c r="CE2476">
        <v>0</v>
      </c>
      <c r="CF2476">
        <v>0</v>
      </c>
      <c r="CG2476">
        <v>1</v>
      </c>
      <c r="CH2476">
        <v>0</v>
      </c>
      <c r="CI2476">
        <v>0</v>
      </c>
      <c r="CJ2476">
        <v>0</v>
      </c>
      <c r="CK2476">
        <v>2</v>
      </c>
      <c r="CL2476">
        <v>0</v>
      </c>
      <c r="CM2476">
        <v>2</v>
      </c>
      <c r="CN2476">
        <v>0</v>
      </c>
      <c r="CO2476">
        <v>4</v>
      </c>
      <c r="CP2476" t="s">
        <v>119</v>
      </c>
      <c r="CQ2476">
        <v>179</v>
      </c>
      <c r="CR2476">
        <v>1</v>
      </c>
      <c r="CW2476">
        <v>8990128</v>
      </c>
      <c r="CY2476">
        <v>1</v>
      </c>
      <c r="CZ2476">
        <v>0</v>
      </c>
      <c r="DA2476">
        <v>1</v>
      </c>
      <c r="DB2476">
        <v>0</v>
      </c>
      <c r="DC2476">
        <v>0</v>
      </c>
      <c r="DD2476">
        <v>0</v>
      </c>
      <c r="DE2476">
        <v>0</v>
      </c>
      <c r="DF2476">
        <v>0</v>
      </c>
      <c r="DG2476">
        <v>0</v>
      </c>
      <c r="DH2476">
        <v>0</v>
      </c>
      <c r="DI2476">
        <v>0</v>
      </c>
    </row>
    <row r="2477" spans="1:113" x14ac:dyDescent="0.3">
      <c r="A2477" t="str">
        <f>"02/08/2021 20:27:40.802"</f>
        <v>02/08/2021 20:27:40.802</v>
      </c>
      <c r="C2477" t="str">
        <f t="shared" si="117"/>
        <v>FFDFD7C0</v>
      </c>
      <c r="D2477" t="s">
        <v>113</v>
      </c>
      <c r="E2477">
        <v>6</v>
      </c>
      <c r="H2477">
        <v>165</v>
      </c>
      <c r="I2477" t="s">
        <v>114</v>
      </c>
      <c r="J2477" t="s">
        <v>115</v>
      </c>
      <c r="K2477">
        <v>0</v>
      </c>
      <c r="L2477">
        <v>3</v>
      </c>
      <c r="M2477">
        <v>0</v>
      </c>
      <c r="N2477">
        <v>2</v>
      </c>
      <c r="O2477">
        <v>1</v>
      </c>
      <c r="P2477">
        <v>0</v>
      </c>
      <c r="Q2477">
        <v>0</v>
      </c>
      <c r="S2477" t="str">
        <f>"20:27:43.141"</f>
        <v>20:27:43.141</v>
      </c>
      <c r="T2477" t="str">
        <f>"20:27:42.641"</f>
        <v>20:27:42.641</v>
      </c>
      <c r="U2477" t="str">
        <f t="shared" si="119"/>
        <v>AB01F4</v>
      </c>
      <c r="V2477">
        <v>0</v>
      </c>
      <c r="W2477">
        <v>0</v>
      </c>
      <c r="X2477">
        <v>2</v>
      </c>
      <c r="Z2477">
        <v>0</v>
      </c>
      <c r="AA2477">
        <v>9</v>
      </c>
      <c r="AB2477">
        <v>3</v>
      </c>
      <c r="AC2477">
        <v>0</v>
      </c>
      <c r="AD2477">
        <v>10</v>
      </c>
      <c r="AE2477">
        <v>0</v>
      </c>
      <c r="AF2477">
        <v>3</v>
      </c>
      <c r="AG2477">
        <v>2</v>
      </c>
      <c r="AH2477">
        <v>0</v>
      </c>
      <c r="AI2477" t="s">
        <v>1487</v>
      </c>
      <c r="AJ2477">
        <v>39.989741000000002</v>
      </c>
      <c r="AK2477" t="s">
        <v>1488</v>
      </c>
      <c r="AL2477">
        <v>-92.729737999999998</v>
      </c>
      <c r="AM2477">
        <v>100</v>
      </c>
      <c r="AN2477">
        <v>1700</v>
      </c>
      <c r="AO2477" t="s">
        <v>118</v>
      </c>
      <c r="AP2477">
        <v>-106</v>
      </c>
      <c r="AQ2477">
        <v>77</v>
      </c>
      <c r="AR2477">
        <v>-64</v>
      </c>
      <c r="AZ2477">
        <v>1200</v>
      </c>
      <c r="BA2477">
        <v>1</v>
      </c>
      <c r="BB2477" t="str">
        <f t="shared" si="118"/>
        <v xml:space="preserve">N8080G  </v>
      </c>
      <c r="BC2477">
        <v>1</v>
      </c>
      <c r="BE2477">
        <v>0</v>
      </c>
      <c r="BF2477">
        <v>0</v>
      </c>
      <c r="BG2477">
        <v>0</v>
      </c>
      <c r="BH2477">
        <v>1700</v>
      </c>
      <c r="BI2477">
        <v>1</v>
      </c>
      <c r="BJ2477">
        <v>1</v>
      </c>
      <c r="BK2477">
        <v>1</v>
      </c>
      <c r="BL2477">
        <v>0</v>
      </c>
      <c r="BO2477">
        <v>0</v>
      </c>
      <c r="BP2477">
        <v>0</v>
      </c>
      <c r="BW2477" t="str">
        <f>"20:27:43.141"</f>
        <v>20:27:43.141</v>
      </c>
      <c r="BZ2477">
        <v>0</v>
      </c>
      <c r="CA2477">
        <v>2016</v>
      </c>
      <c r="CB2477">
        <v>224</v>
      </c>
      <c r="CD2477">
        <v>1</v>
      </c>
      <c r="CE2477">
        <v>0</v>
      </c>
      <c r="CF2477">
        <v>0</v>
      </c>
      <c r="CG2477">
        <v>1</v>
      </c>
      <c r="CH2477">
        <v>0</v>
      </c>
      <c r="CI2477">
        <v>0</v>
      </c>
      <c r="CJ2477">
        <v>0</v>
      </c>
      <c r="CK2477">
        <v>2</v>
      </c>
      <c r="CL2477">
        <v>0</v>
      </c>
      <c r="CM2477">
        <v>2</v>
      </c>
      <c r="CN2477">
        <v>0</v>
      </c>
      <c r="CO2477">
        <v>4</v>
      </c>
      <c r="CP2477" t="s">
        <v>119</v>
      </c>
      <c r="CQ2477">
        <v>179</v>
      </c>
      <c r="CR2477">
        <v>1</v>
      </c>
      <c r="CW2477">
        <v>8990128</v>
      </c>
      <c r="CY2477">
        <v>1</v>
      </c>
      <c r="CZ2477">
        <v>0</v>
      </c>
      <c r="DA2477">
        <v>1</v>
      </c>
      <c r="DB2477">
        <v>0</v>
      </c>
      <c r="DC2477">
        <v>0</v>
      </c>
      <c r="DD2477">
        <v>0</v>
      </c>
      <c r="DE2477">
        <v>0</v>
      </c>
      <c r="DF2477">
        <v>0</v>
      </c>
      <c r="DG2477">
        <v>0</v>
      </c>
      <c r="DH2477">
        <v>0</v>
      </c>
      <c r="DI2477">
        <v>0</v>
      </c>
    </row>
    <row r="2478" spans="1:113" x14ac:dyDescent="0.3">
      <c r="A2478" t="str">
        <f>"02/08/2021 20:27:40.802"</f>
        <v>02/08/2021 20:27:40.802</v>
      </c>
      <c r="C2478" t="str">
        <f t="shared" si="117"/>
        <v>FFDFD7C0</v>
      </c>
      <c r="D2478" t="s">
        <v>124</v>
      </c>
      <c r="E2478">
        <v>13</v>
      </c>
      <c r="F2478">
        <v>1013</v>
      </c>
      <c r="G2478" t="s">
        <v>114</v>
      </c>
      <c r="J2478" t="s">
        <v>125</v>
      </c>
      <c r="K2478">
        <v>0</v>
      </c>
      <c r="L2478">
        <v>3</v>
      </c>
      <c r="M2478">
        <v>0</v>
      </c>
      <c r="N2478">
        <v>2</v>
      </c>
      <c r="O2478">
        <v>1</v>
      </c>
      <c r="P2478">
        <v>0</v>
      </c>
      <c r="Q2478">
        <v>0</v>
      </c>
      <c r="S2478" t="str">
        <f>"20:27:43.141"</f>
        <v>20:27:43.141</v>
      </c>
      <c r="T2478" t="str">
        <f>"20:27:42.641"</f>
        <v>20:27:42.641</v>
      </c>
      <c r="U2478" t="str">
        <f t="shared" si="119"/>
        <v>AB01F4</v>
      </c>
      <c r="V2478">
        <v>0</v>
      </c>
      <c r="W2478">
        <v>0</v>
      </c>
      <c r="X2478">
        <v>2</v>
      </c>
      <c r="Z2478">
        <v>0</v>
      </c>
      <c r="AA2478">
        <v>9</v>
      </c>
      <c r="AB2478">
        <v>3</v>
      </c>
      <c r="AC2478">
        <v>0</v>
      </c>
      <c r="AD2478">
        <v>10</v>
      </c>
      <c r="AE2478">
        <v>0</v>
      </c>
      <c r="AF2478">
        <v>3</v>
      </c>
      <c r="AG2478">
        <v>2</v>
      </c>
      <c r="AH2478">
        <v>0</v>
      </c>
      <c r="AI2478" t="s">
        <v>1487</v>
      </c>
      <c r="AJ2478">
        <v>39.989741000000002</v>
      </c>
      <c r="AK2478" t="s">
        <v>1488</v>
      </c>
      <c r="AL2478">
        <v>-92.729737999999998</v>
      </c>
      <c r="AM2478">
        <v>100</v>
      </c>
      <c r="AN2478">
        <v>1700</v>
      </c>
      <c r="AO2478" t="s">
        <v>118</v>
      </c>
      <c r="AP2478">
        <v>-106</v>
      </c>
      <c r="AQ2478">
        <v>77</v>
      </c>
      <c r="AR2478">
        <v>-64</v>
      </c>
      <c r="AZ2478">
        <v>1200</v>
      </c>
      <c r="BA2478">
        <v>1</v>
      </c>
      <c r="BB2478" t="str">
        <f t="shared" si="118"/>
        <v xml:space="preserve">N8080G  </v>
      </c>
      <c r="BC2478">
        <v>1</v>
      </c>
      <c r="BE2478">
        <v>0</v>
      </c>
      <c r="BF2478">
        <v>0</v>
      </c>
      <c r="BG2478">
        <v>0</v>
      </c>
      <c r="BH2478">
        <v>1700</v>
      </c>
      <c r="BI2478">
        <v>1</v>
      </c>
      <c r="BJ2478">
        <v>1</v>
      </c>
      <c r="BK2478">
        <v>1</v>
      </c>
      <c r="BL2478">
        <v>0</v>
      </c>
      <c r="BO2478">
        <v>0</v>
      </c>
      <c r="BP2478">
        <v>0</v>
      </c>
      <c r="BW2478" t="str">
        <f>"20:27:43.141"</f>
        <v>20:27:43.141</v>
      </c>
      <c r="BZ2478">
        <v>0</v>
      </c>
      <c r="CA2478">
        <v>2016</v>
      </c>
      <c r="CB2478">
        <v>224</v>
      </c>
      <c r="CD2478">
        <v>1</v>
      </c>
      <c r="CE2478">
        <v>0</v>
      </c>
      <c r="CF2478">
        <v>0</v>
      </c>
      <c r="CG2478">
        <v>1</v>
      </c>
      <c r="CH2478">
        <v>0</v>
      </c>
      <c r="CI2478">
        <v>0</v>
      </c>
      <c r="CJ2478">
        <v>0</v>
      </c>
      <c r="CK2478">
        <v>2</v>
      </c>
      <c r="CL2478">
        <v>0</v>
      </c>
      <c r="CM2478">
        <v>2</v>
      </c>
      <c r="CN2478">
        <v>0</v>
      </c>
      <c r="CO2478">
        <v>4</v>
      </c>
      <c r="CP2478" t="s">
        <v>119</v>
      </c>
      <c r="CQ2478">
        <v>179</v>
      </c>
      <c r="CR2478">
        <v>1</v>
      </c>
      <c r="CW2478">
        <v>8990128</v>
      </c>
      <c r="CY2478">
        <v>1</v>
      </c>
      <c r="CZ2478">
        <v>0</v>
      </c>
      <c r="DA2478">
        <v>1</v>
      </c>
      <c r="DB2478">
        <v>0</v>
      </c>
      <c r="DC2478">
        <v>0</v>
      </c>
      <c r="DD2478">
        <v>0</v>
      </c>
      <c r="DE2478">
        <v>0</v>
      </c>
      <c r="DF2478">
        <v>0</v>
      </c>
      <c r="DG2478">
        <v>0</v>
      </c>
      <c r="DH2478">
        <v>0</v>
      </c>
      <c r="DI2478">
        <v>0</v>
      </c>
    </row>
    <row r="2479" spans="1:113" x14ac:dyDescent="0.3">
      <c r="A2479" t="str">
        <f>"02/08/2021 20:27:41.707"</f>
        <v>02/08/2021 20:27:41.707</v>
      </c>
      <c r="C2479" t="str">
        <f t="shared" ref="C2479:C2542" si="120">"FFDFD7C0"</f>
        <v>FFDFD7C0</v>
      </c>
      <c r="D2479" t="s">
        <v>124</v>
      </c>
      <c r="E2479">
        <v>12</v>
      </c>
      <c r="F2479">
        <v>1012</v>
      </c>
      <c r="G2479" t="s">
        <v>675</v>
      </c>
      <c r="J2479" t="s">
        <v>125</v>
      </c>
      <c r="K2479">
        <v>0</v>
      </c>
      <c r="L2479">
        <v>3</v>
      </c>
      <c r="M2479">
        <v>0</v>
      </c>
      <c r="N2479">
        <v>2</v>
      </c>
      <c r="O2479">
        <v>1</v>
      </c>
      <c r="P2479">
        <v>0</v>
      </c>
      <c r="Q2479">
        <v>0</v>
      </c>
      <c r="S2479" t="str">
        <f>"20:27:44.031"</f>
        <v>20:27:44.031</v>
      </c>
      <c r="T2479" t="str">
        <f>"20:27:43.631"</f>
        <v>20:27:43.631</v>
      </c>
      <c r="U2479" t="str">
        <f t="shared" si="119"/>
        <v>AB01F4</v>
      </c>
      <c r="V2479">
        <v>0</v>
      </c>
      <c r="W2479">
        <v>0</v>
      </c>
      <c r="X2479">
        <v>2</v>
      </c>
      <c r="Z2479">
        <v>0</v>
      </c>
      <c r="AA2479">
        <v>9</v>
      </c>
      <c r="AB2479">
        <v>3</v>
      </c>
      <c r="AC2479">
        <v>0</v>
      </c>
      <c r="AD2479">
        <v>10</v>
      </c>
      <c r="AE2479">
        <v>0</v>
      </c>
      <c r="AF2479">
        <v>3</v>
      </c>
      <c r="AG2479">
        <v>2</v>
      </c>
      <c r="AH2479">
        <v>0</v>
      </c>
      <c r="AI2479" t="s">
        <v>1489</v>
      </c>
      <c r="AJ2479">
        <v>39.990040999999998</v>
      </c>
      <c r="AK2479" t="s">
        <v>1490</v>
      </c>
      <c r="AL2479">
        <v>-92.730295999999996</v>
      </c>
      <c r="AM2479">
        <v>100</v>
      </c>
      <c r="AN2479">
        <v>1700</v>
      </c>
      <c r="AO2479" t="s">
        <v>118</v>
      </c>
      <c r="AP2479">
        <v>-106</v>
      </c>
      <c r="AQ2479">
        <v>77</v>
      </c>
      <c r="AR2479">
        <v>-64</v>
      </c>
      <c r="AZ2479">
        <v>1200</v>
      </c>
      <c r="BA2479">
        <v>1</v>
      </c>
      <c r="BB2479" t="str">
        <f t="shared" ref="BB2479:BB2542" si="121">"N8080G  "</f>
        <v xml:space="preserve">N8080G  </v>
      </c>
      <c r="BC2479">
        <v>1</v>
      </c>
      <c r="BE2479">
        <v>0</v>
      </c>
      <c r="BF2479">
        <v>0</v>
      </c>
      <c r="BG2479">
        <v>0</v>
      </c>
      <c r="BH2479">
        <v>1700</v>
      </c>
      <c r="BI2479">
        <v>1</v>
      </c>
      <c r="BJ2479">
        <v>1</v>
      </c>
      <c r="BK2479">
        <v>1</v>
      </c>
      <c r="BL2479">
        <v>0</v>
      </c>
      <c r="BO2479">
        <v>0</v>
      </c>
      <c r="BP2479">
        <v>0</v>
      </c>
      <c r="BW2479" t="str">
        <f>"20:27:44.032"</f>
        <v>20:27:44.032</v>
      </c>
      <c r="BZ2479">
        <v>0</v>
      </c>
      <c r="CA2479">
        <v>2016</v>
      </c>
      <c r="CB2479">
        <v>224</v>
      </c>
      <c r="CD2479">
        <v>1</v>
      </c>
      <c r="CE2479">
        <v>0</v>
      </c>
      <c r="CF2479">
        <v>0</v>
      </c>
      <c r="CG2479">
        <v>1</v>
      </c>
      <c r="CH2479">
        <v>0</v>
      </c>
      <c r="CI2479">
        <v>0</v>
      </c>
      <c r="CJ2479">
        <v>0</v>
      </c>
      <c r="CK2479">
        <v>2</v>
      </c>
      <c r="CL2479">
        <v>0</v>
      </c>
      <c r="CM2479">
        <v>2</v>
      </c>
      <c r="CN2479">
        <v>0</v>
      </c>
      <c r="CO2479">
        <v>7</v>
      </c>
      <c r="CP2479" t="s">
        <v>119</v>
      </c>
      <c r="CQ2479">
        <v>180</v>
      </c>
      <c r="CR2479">
        <v>3</v>
      </c>
      <c r="CW2479">
        <v>896665</v>
      </c>
      <c r="CY2479">
        <v>1</v>
      </c>
      <c r="CZ2479">
        <v>0</v>
      </c>
      <c r="DA2479">
        <v>0</v>
      </c>
      <c r="DB2479">
        <v>0</v>
      </c>
      <c r="DC2479">
        <v>0</v>
      </c>
      <c r="DD2479">
        <v>0</v>
      </c>
      <c r="DE2479">
        <v>0</v>
      </c>
      <c r="DF2479">
        <v>0</v>
      </c>
      <c r="DG2479">
        <v>0</v>
      </c>
      <c r="DH2479">
        <v>0</v>
      </c>
      <c r="DI2479">
        <v>0</v>
      </c>
    </row>
    <row r="2480" spans="1:113" x14ac:dyDescent="0.3">
      <c r="A2480" t="str">
        <f>"02/08/2021 20:27:41.707"</f>
        <v>02/08/2021 20:27:41.707</v>
      </c>
      <c r="C2480" t="str">
        <f t="shared" si="120"/>
        <v>FFDFD7C0</v>
      </c>
      <c r="D2480" t="s">
        <v>124</v>
      </c>
      <c r="E2480">
        <v>11</v>
      </c>
      <c r="F2480">
        <v>1011</v>
      </c>
      <c r="G2480" t="s">
        <v>590</v>
      </c>
      <c r="J2480" t="s">
        <v>125</v>
      </c>
      <c r="K2480">
        <v>0</v>
      </c>
      <c r="L2480">
        <v>3</v>
      </c>
      <c r="M2480">
        <v>0</v>
      </c>
      <c r="N2480">
        <v>2</v>
      </c>
      <c r="O2480">
        <v>1</v>
      </c>
      <c r="P2480">
        <v>0</v>
      </c>
      <c r="Q2480">
        <v>0</v>
      </c>
      <c r="S2480" t="str">
        <f>"20:27:44.031"</f>
        <v>20:27:44.031</v>
      </c>
      <c r="T2480" t="str">
        <f>"20:27:43.631"</f>
        <v>20:27:43.631</v>
      </c>
      <c r="U2480" t="str">
        <f t="shared" si="119"/>
        <v>AB01F4</v>
      </c>
      <c r="V2480">
        <v>0</v>
      </c>
      <c r="W2480">
        <v>0</v>
      </c>
      <c r="X2480">
        <v>2</v>
      </c>
      <c r="Z2480">
        <v>0</v>
      </c>
      <c r="AA2480">
        <v>9</v>
      </c>
      <c r="AB2480">
        <v>3</v>
      </c>
      <c r="AC2480">
        <v>0</v>
      </c>
      <c r="AD2480">
        <v>10</v>
      </c>
      <c r="AE2480">
        <v>0</v>
      </c>
      <c r="AF2480">
        <v>3</v>
      </c>
      <c r="AG2480">
        <v>2</v>
      </c>
      <c r="AH2480">
        <v>0</v>
      </c>
      <c r="AI2480" t="s">
        <v>1489</v>
      </c>
      <c r="AJ2480">
        <v>39.990040999999998</v>
      </c>
      <c r="AK2480" t="s">
        <v>1490</v>
      </c>
      <c r="AL2480">
        <v>-92.730295999999996</v>
      </c>
      <c r="AM2480">
        <v>100</v>
      </c>
      <c r="AN2480">
        <v>1700</v>
      </c>
      <c r="AO2480" t="s">
        <v>118</v>
      </c>
      <c r="AP2480">
        <v>-106</v>
      </c>
      <c r="AQ2480">
        <v>77</v>
      </c>
      <c r="AR2480">
        <v>-64</v>
      </c>
      <c r="AZ2480">
        <v>1200</v>
      </c>
      <c r="BA2480">
        <v>1</v>
      </c>
      <c r="BB2480" t="str">
        <f t="shared" si="121"/>
        <v xml:space="preserve">N8080G  </v>
      </c>
      <c r="BC2480">
        <v>1</v>
      </c>
      <c r="BE2480">
        <v>0</v>
      </c>
      <c r="BF2480">
        <v>0</v>
      </c>
      <c r="BG2480">
        <v>0</v>
      </c>
      <c r="BH2480">
        <v>1700</v>
      </c>
      <c r="BI2480">
        <v>1</v>
      </c>
      <c r="BJ2480">
        <v>1</v>
      </c>
      <c r="BK2480">
        <v>1</v>
      </c>
      <c r="BL2480">
        <v>0</v>
      </c>
      <c r="BO2480">
        <v>0</v>
      </c>
      <c r="BP2480">
        <v>0</v>
      </c>
      <c r="BW2480" t="str">
        <f>"20:27:44.032"</f>
        <v>20:27:44.032</v>
      </c>
      <c r="BZ2480">
        <v>0</v>
      </c>
      <c r="CA2480">
        <v>2016</v>
      </c>
      <c r="CB2480">
        <v>224</v>
      </c>
      <c r="CD2480">
        <v>1</v>
      </c>
      <c r="CE2480">
        <v>0</v>
      </c>
      <c r="CF2480">
        <v>0</v>
      </c>
      <c r="CG2480">
        <v>1</v>
      </c>
      <c r="CH2480">
        <v>0</v>
      </c>
      <c r="CI2480">
        <v>0</v>
      </c>
      <c r="CJ2480">
        <v>0</v>
      </c>
      <c r="CK2480">
        <v>2</v>
      </c>
      <c r="CL2480">
        <v>0</v>
      </c>
      <c r="CM2480">
        <v>2</v>
      </c>
      <c r="CN2480">
        <v>0</v>
      </c>
      <c r="CO2480">
        <v>7</v>
      </c>
      <c r="CP2480" t="s">
        <v>119</v>
      </c>
      <c r="CQ2480">
        <v>180</v>
      </c>
      <c r="CR2480">
        <v>3</v>
      </c>
      <c r="CW2480">
        <v>896665</v>
      </c>
      <c r="CY2480">
        <v>1</v>
      </c>
      <c r="CZ2480">
        <v>0</v>
      </c>
      <c r="DA2480">
        <v>1</v>
      </c>
      <c r="DB2480">
        <v>0</v>
      </c>
      <c r="DC2480">
        <v>0</v>
      </c>
      <c r="DD2480">
        <v>0</v>
      </c>
      <c r="DE2480">
        <v>0</v>
      </c>
      <c r="DF2480">
        <v>0</v>
      </c>
      <c r="DG2480">
        <v>0</v>
      </c>
      <c r="DH2480">
        <v>0</v>
      </c>
      <c r="DI2480">
        <v>0</v>
      </c>
    </row>
    <row r="2481" spans="1:113" x14ac:dyDescent="0.3">
      <c r="A2481" t="str">
        <f>"02/08/2021 20:27:41.707"</f>
        <v>02/08/2021 20:27:41.707</v>
      </c>
      <c r="C2481" t="str">
        <f t="shared" si="120"/>
        <v>FFDFD7C0</v>
      </c>
      <c r="D2481" t="s">
        <v>113</v>
      </c>
      <c r="E2481">
        <v>6</v>
      </c>
      <c r="H2481">
        <v>165</v>
      </c>
      <c r="I2481" t="s">
        <v>114</v>
      </c>
      <c r="J2481" t="s">
        <v>115</v>
      </c>
      <c r="K2481">
        <v>0</v>
      </c>
      <c r="L2481">
        <v>3</v>
      </c>
      <c r="M2481">
        <v>0</v>
      </c>
      <c r="N2481">
        <v>2</v>
      </c>
      <c r="O2481">
        <v>1</v>
      </c>
      <c r="P2481">
        <v>0</v>
      </c>
      <c r="Q2481">
        <v>0</v>
      </c>
      <c r="S2481" t="str">
        <f>"20:27:44.031"</f>
        <v>20:27:44.031</v>
      </c>
      <c r="T2481" t="str">
        <f>"20:27:43.631"</f>
        <v>20:27:43.631</v>
      </c>
      <c r="U2481" t="str">
        <f t="shared" si="119"/>
        <v>AB01F4</v>
      </c>
      <c r="V2481">
        <v>0</v>
      </c>
      <c r="W2481">
        <v>0</v>
      </c>
      <c r="X2481">
        <v>2</v>
      </c>
      <c r="Z2481">
        <v>0</v>
      </c>
      <c r="AA2481">
        <v>9</v>
      </c>
      <c r="AB2481">
        <v>3</v>
      </c>
      <c r="AC2481">
        <v>0</v>
      </c>
      <c r="AD2481">
        <v>10</v>
      </c>
      <c r="AE2481">
        <v>0</v>
      </c>
      <c r="AF2481">
        <v>3</v>
      </c>
      <c r="AG2481">
        <v>2</v>
      </c>
      <c r="AH2481">
        <v>0</v>
      </c>
      <c r="AI2481" t="s">
        <v>1489</v>
      </c>
      <c r="AJ2481">
        <v>39.990040999999998</v>
      </c>
      <c r="AK2481" t="s">
        <v>1490</v>
      </c>
      <c r="AL2481">
        <v>-92.730295999999996</v>
      </c>
      <c r="AM2481">
        <v>100</v>
      </c>
      <c r="AN2481">
        <v>1700</v>
      </c>
      <c r="AO2481" t="s">
        <v>118</v>
      </c>
      <c r="AP2481">
        <v>-106</v>
      </c>
      <c r="AQ2481">
        <v>77</v>
      </c>
      <c r="AR2481">
        <v>-64</v>
      </c>
      <c r="AZ2481">
        <v>1200</v>
      </c>
      <c r="BA2481">
        <v>1</v>
      </c>
      <c r="BB2481" t="str">
        <f t="shared" si="121"/>
        <v xml:space="preserve">N8080G  </v>
      </c>
      <c r="BC2481">
        <v>1</v>
      </c>
      <c r="BE2481">
        <v>0</v>
      </c>
      <c r="BF2481">
        <v>0</v>
      </c>
      <c r="BG2481">
        <v>0</v>
      </c>
      <c r="BH2481">
        <v>1700</v>
      </c>
      <c r="BI2481">
        <v>1</v>
      </c>
      <c r="BJ2481">
        <v>1</v>
      </c>
      <c r="BK2481">
        <v>1</v>
      </c>
      <c r="BL2481">
        <v>0</v>
      </c>
      <c r="BO2481">
        <v>0</v>
      </c>
      <c r="BP2481">
        <v>0</v>
      </c>
      <c r="BW2481" t="str">
        <f>"20:27:44.032"</f>
        <v>20:27:44.032</v>
      </c>
      <c r="BZ2481">
        <v>0</v>
      </c>
      <c r="CA2481">
        <v>2016</v>
      </c>
      <c r="CB2481">
        <v>224</v>
      </c>
      <c r="CD2481">
        <v>1</v>
      </c>
      <c r="CE2481">
        <v>0</v>
      </c>
      <c r="CF2481">
        <v>0</v>
      </c>
      <c r="CG2481">
        <v>1</v>
      </c>
      <c r="CH2481">
        <v>0</v>
      </c>
      <c r="CI2481">
        <v>0</v>
      </c>
      <c r="CJ2481">
        <v>0</v>
      </c>
      <c r="CK2481">
        <v>2</v>
      </c>
      <c r="CL2481">
        <v>0</v>
      </c>
      <c r="CM2481">
        <v>2</v>
      </c>
      <c r="CN2481">
        <v>0</v>
      </c>
      <c r="CO2481">
        <v>7</v>
      </c>
      <c r="CP2481" t="s">
        <v>119</v>
      </c>
      <c r="CQ2481">
        <v>180</v>
      </c>
      <c r="CR2481">
        <v>3</v>
      </c>
      <c r="CW2481">
        <v>896665</v>
      </c>
      <c r="CY2481">
        <v>1</v>
      </c>
      <c r="CZ2481">
        <v>0</v>
      </c>
      <c r="DA2481">
        <v>1</v>
      </c>
      <c r="DB2481">
        <v>0</v>
      </c>
      <c r="DC2481">
        <v>0</v>
      </c>
      <c r="DD2481">
        <v>0</v>
      </c>
      <c r="DE2481">
        <v>0</v>
      </c>
      <c r="DF2481">
        <v>0</v>
      </c>
      <c r="DG2481">
        <v>0</v>
      </c>
      <c r="DH2481">
        <v>0</v>
      </c>
      <c r="DI2481">
        <v>0</v>
      </c>
    </row>
    <row r="2482" spans="1:113" x14ac:dyDescent="0.3">
      <c r="A2482" t="str">
        <f>"02/08/2021 20:27:41.707"</f>
        <v>02/08/2021 20:27:41.707</v>
      </c>
      <c r="C2482" t="str">
        <f t="shared" si="120"/>
        <v>FFDFD7C0</v>
      </c>
      <c r="D2482" t="s">
        <v>124</v>
      </c>
      <c r="E2482">
        <v>13</v>
      </c>
      <c r="F2482">
        <v>1013</v>
      </c>
      <c r="G2482" t="s">
        <v>114</v>
      </c>
      <c r="J2482" t="s">
        <v>125</v>
      </c>
      <c r="K2482">
        <v>0</v>
      </c>
      <c r="L2482">
        <v>3</v>
      </c>
      <c r="M2482">
        <v>0</v>
      </c>
      <c r="N2482">
        <v>2</v>
      </c>
      <c r="O2482">
        <v>1</v>
      </c>
      <c r="P2482">
        <v>0</v>
      </c>
      <c r="Q2482">
        <v>0</v>
      </c>
      <c r="S2482" t="str">
        <f>"20:27:44.031"</f>
        <v>20:27:44.031</v>
      </c>
      <c r="T2482" t="str">
        <f>"20:27:43.631"</f>
        <v>20:27:43.631</v>
      </c>
      <c r="U2482" t="str">
        <f t="shared" si="119"/>
        <v>AB01F4</v>
      </c>
      <c r="V2482">
        <v>0</v>
      </c>
      <c r="W2482">
        <v>0</v>
      </c>
      <c r="X2482">
        <v>2</v>
      </c>
      <c r="Z2482">
        <v>0</v>
      </c>
      <c r="AA2482">
        <v>9</v>
      </c>
      <c r="AB2482">
        <v>3</v>
      </c>
      <c r="AC2482">
        <v>0</v>
      </c>
      <c r="AD2482">
        <v>10</v>
      </c>
      <c r="AE2482">
        <v>0</v>
      </c>
      <c r="AF2482">
        <v>3</v>
      </c>
      <c r="AG2482">
        <v>2</v>
      </c>
      <c r="AH2482">
        <v>0</v>
      </c>
      <c r="AI2482" t="s">
        <v>1489</v>
      </c>
      <c r="AJ2482">
        <v>39.990040999999998</v>
      </c>
      <c r="AK2482" t="s">
        <v>1490</v>
      </c>
      <c r="AL2482">
        <v>-92.730295999999996</v>
      </c>
      <c r="AM2482">
        <v>100</v>
      </c>
      <c r="AN2482">
        <v>1700</v>
      </c>
      <c r="AO2482" t="s">
        <v>118</v>
      </c>
      <c r="AP2482">
        <v>-106</v>
      </c>
      <c r="AQ2482">
        <v>77</v>
      </c>
      <c r="AR2482">
        <v>-64</v>
      </c>
      <c r="AZ2482">
        <v>1200</v>
      </c>
      <c r="BA2482">
        <v>1</v>
      </c>
      <c r="BB2482" t="str">
        <f t="shared" si="121"/>
        <v xml:space="preserve">N8080G  </v>
      </c>
      <c r="BC2482">
        <v>1</v>
      </c>
      <c r="BE2482">
        <v>0</v>
      </c>
      <c r="BF2482">
        <v>0</v>
      </c>
      <c r="BG2482">
        <v>0</v>
      </c>
      <c r="BH2482">
        <v>1700</v>
      </c>
      <c r="BI2482">
        <v>1</v>
      </c>
      <c r="BJ2482">
        <v>1</v>
      </c>
      <c r="BK2482">
        <v>1</v>
      </c>
      <c r="BL2482">
        <v>0</v>
      </c>
      <c r="BO2482">
        <v>0</v>
      </c>
      <c r="BP2482">
        <v>0</v>
      </c>
      <c r="BW2482" t="str">
        <f>"20:27:44.032"</f>
        <v>20:27:44.032</v>
      </c>
      <c r="BZ2482">
        <v>0</v>
      </c>
      <c r="CA2482">
        <v>2016</v>
      </c>
      <c r="CB2482">
        <v>224</v>
      </c>
      <c r="CD2482">
        <v>1</v>
      </c>
      <c r="CE2482">
        <v>0</v>
      </c>
      <c r="CF2482">
        <v>0</v>
      </c>
      <c r="CG2482">
        <v>1</v>
      </c>
      <c r="CH2482">
        <v>0</v>
      </c>
      <c r="CI2482">
        <v>0</v>
      </c>
      <c r="CJ2482">
        <v>0</v>
      </c>
      <c r="CK2482">
        <v>2</v>
      </c>
      <c r="CL2482">
        <v>0</v>
      </c>
      <c r="CM2482">
        <v>2</v>
      </c>
      <c r="CN2482">
        <v>0</v>
      </c>
      <c r="CO2482">
        <v>7</v>
      </c>
      <c r="CP2482" t="s">
        <v>119</v>
      </c>
      <c r="CQ2482">
        <v>180</v>
      </c>
      <c r="CR2482">
        <v>3</v>
      </c>
      <c r="CW2482">
        <v>896665</v>
      </c>
      <c r="CY2482">
        <v>1</v>
      </c>
      <c r="CZ2482">
        <v>0</v>
      </c>
      <c r="DA2482">
        <v>1</v>
      </c>
      <c r="DB2482">
        <v>0</v>
      </c>
      <c r="DC2482">
        <v>0</v>
      </c>
      <c r="DD2482">
        <v>0</v>
      </c>
      <c r="DE2482">
        <v>0</v>
      </c>
      <c r="DF2482">
        <v>0</v>
      </c>
      <c r="DG2482">
        <v>0</v>
      </c>
      <c r="DH2482">
        <v>0</v>
      </c>
      <c r="DI2482">
        <v>0</v>
      </c>
    </row>
    <row r="2483" spans="1:113" x14ac:dyDescent="0.3">
      <c r="A2483" t="str">
        <f>"02/08/2021 20:27:42.900"</f>
        <v>02/08/2021 20:27:42.900</v>
      </c>
      <c r="C2483" t="str">
        <f t="shared" si="120"/>
        <v>FFDFD7C0</v>
      </c>
      <c r="D2483" t="s">
        <v>124</v>
      </c>
      <c r="E2483">
        <v>13</v>
      </c>
      <c r="F2483">
        <v>1013</v>
      </c>
      <c r="G2483" t="s">
        <v>114</v>
      </c>
      <c r="J2483" t="s">
        <v>125</v>
      </c>
      <c r="K2483">
        <v>0</v>
      </c>
      <c r="L2483">
        <v>3</v>
      </c>
      <c r="M2483">
        <v>0</v>
      </c>
      <c r="N2483">
        <v>2</v>
      </c>
      <c r="O2483">
        <v>1</v>
      </c>
      <c r="P2483">
        <v>0</v>
      </c>
      <c r="Q2483">
        <v>0</v>
      </c>
      <c r="S2483" t="str">
        <f>"20:27:45.203"</f>
        <v>20:27:45.203</v>
      </c>
      <c r="T2483" t="str">
        <f>"20:27:44.703"</f>
        <v>20:27:44.703</v>
      </c>
      <c r="U2483" t="str">
        <f t="shared" si="119"/>
        <v>AB01F4</v>
      </c>
      <c r="V2483">
        <v>0</v>
      </c>
      <c r="W2483">
        <v>0</v>
      </c>
      <c r="X2483">
        <v>2</v>
      </c>
      <c r="Z2483">
        <v>0</v>
      </c>
      <c r="AA2483">
        <v>9</v>
      </c>
      <c r="AB2483">
        <v>3</v>
      </c>
      <c r="AC2483">
        <v>0</v>
      </c>
      <c r="AD2483">
        <v>10</v>
      </c>
      <c r="AE2483">
        <v>0</v>
      </c>
      <c r="AF2483">
        <v>3</v>
      </c>
      <c r="AG2483">
        <v>2</v>
      </c>
      <c r="AH2483">
        <v>0</v>
      </c>
      <c r="AI2483" t="s">
        <v>1491</v>
      </c>
      <c r="AJ2483">
        <v>39.990470000000002</v>
      </c>
      <c r="AK2483" t="s">
        <v>1492</v>
      </c>
      <c r="AL2483">
        <v>-92.731025000000002</v>
      </c>
      <c r="AM2483">
        <v>100</v>
      </c>
      <c r="AN2483">
        <v>1700</v>
      </c>
      <c r="AO2483" t="s">
        <v>118</v>
      </c>
      <c r="AP2483">
        <v>-105</v>
      </c>
      <c r="AQ2483">
        <v>77</v>
      </c>
      <c r="AR2483">
        <v>0</v>
      </c>
      <c r="AZ2483">
        <v>1200</v>
      </c>
      <c r="BA2483">
        <v>1</v>
      </c>
      <c r="BB2483" t="str">
        <f t="shared" si="121"/>
        <v xml:space="preserve">N8080G  </v>
      </c>
      <c r="BC2483">
        <v>1</v>
      </c>
      <c r="BE2483">
        <v>0</v>
      </c>
      <c r="BF2483">
        <v>0</v>
      </c>
      <c r="BG2483">
        <v>0</v>
      </c>
      <c r="BH2483">
        <v>1700</v>
      </c>
      <c r="BI2483">
        <v>1</v>
      </c>
      <c r="BJ2483">
        <v>1</v>
      </c>
      <c r="BK2483">
        <v>1</v>
      </c>
      <c r="BL2483">
        <v>0</v>
      </c>
      <c r="BO2483">
        <v>0</v>
      </c>
      <c r="BP2483">
        <v>0</v>
      </c>
      <c r="BW2483" t="str">
        <f>"20:27:45.203"</f>
        <v>20:27:45.203</v>
      </c>
      <c r="BZ2483">
        <v>0</v>
      </c>
      <c r="CA2483">
        <v>2016</v>
      </c>
      <c r="CB2483">
        <v>224</v>
      </c>
      <c r="CD2483">
        <v>1</v>
      </c>
      <c r="CE2483">
        <v>0</v>
      </c>
      <c r="CF2483">
        <v>0</v>
      </c>
      <c r="CG2483">
        <v>1</v>
      </c>
      <c r="CH2483">
        <v>0</v>
      </c>
      <c r="CI2483">
        <v>0</v>
      </c>
      <c r="CJ2483">
        <v>0</v>
      </c>
      <c r="CK2483">
        <v>2</v>
      </c>
      <c r="CL2483">
        <v>0</v>
      </c>
      <c r="CM2483">
        <v>2</v>
      </c>
      <c r="CN2483">
        <v>0</v>
      </c>
      <c r="CO2483">
        <v>7</v>
      </c>
      <c r="CP2483" t="s">
        <v>119</v>
      </c>
      <c r="CQ2483">
        <v>180</v>
      </c>
      <c r="CR2483">
        <v>3</v>
      </c>
      <c r="CW2483">
        <v>897527</v>
      </c>
      <c r="CY2483">
        <v>1</v>
      </c>
      <c r="CZ2483">
        <v>0</v>
      </c>
      <c r="DA2483">
        <v>0</v>
      </c>
      <c r="DB2483">
        <v>0</v>
      </c>
      <c r="DC2483">
        <v>0</v>
      </c>
      <c r="DD2483">
        <v>0</v>
      </c>
      <c r="DE2483">
        <v>0</v>
      </c>
      <c r="DF2483">
        <v>0</v>
      </c>
      <c r="DG2483">
        <v>0</v>
      </c>
      <c r="DH2483">
        <v>0</v>
      </c>
      <c r="DI2483">
        <v>0</v>
      </c>
    </row>
    <row r="2484" spans="1:113" x14ac:dyDescent="0.3">
      <c r="A2484" t="str">
        <f>"02/08/2021 20:27:42.900"</f>
        <v>02/08/2021 20:27:42.900</v>
      </c>
      <c r="C2484" t="str">
        <f t="shared" si="120"/>
        <v>FFDFD7C0</v>
      </c>
      <c r="D2484" t="s">
        <v>113</v>
      </c>
      <c r="E2484">
        <v>6</v>
      </c>
      <c r="H2484">
        <v>165</v>
      </c>
      <c r="I2484" t="s">
        <v>114</v>
      </c>
      <c r="J2484" t="s">
        <v>115</v>
      </c>
      <c r="K2484">
        <v>0</v>
      </c>
      <c r="L2484">
        <v>3</v>
      </c>
      <c r="M2484">
        <v>0</v>
      </c>
      <c r="N2484">
        <v>2</v>
      </c>
      <c r="O2484">
        <v>1</v>
      </c>
      <c r="P2484">
        <v>0</v>
      </c>
      <c r="Q2484">
        <v>0</v>
      </c>
      <c r="S2484" t="str">
        <f>"20:27:45.203"</f>
        <v>20:27:45.203</v>
      </c>
      <c r="T2484" t="str">
        <f>"20:27:44.703"</f>
        <v>20:27:44.703</v>
      </c>
      <c r="U2484" t="str">
        <f t="shared" si="119"/>
        <v>AB01F4</v>
      </c>
      <c r="V2484">
        <v>0</v>
      </c>
      <c r="W2484">
        <v>0</v>
      </c>
      <c r="X2484">
        <v>2</v>
      </c>
      <c r="Z2484">
        <v>0</v>
      </c>
      <c r="AA2484">
        <v>9</v>
      </c>
      <c r="AB2484">
        <v>3</v>
      </c>
      <c r="AC2484">
        <v>0</v>
      </c>
      <c r="AD2484">
        <v>10</v>
      </c>
      <c r="AE2484">
        <v>0</v>
      </c>
      <c r="AF2484">
        <v>3</v>
      </c>
      <c r="AG2484">
        <v>2</v>
      </c>
      <c r="AH2484">
        <v>0</v>
      </c>
      <c r="AI2484" t="s">
        <v>1491</v>
      </c>
      <c r="AJ2484">
        <v>39.990470000000002</v>
      </c>
      <c r="AK2484" t="s">
        <v>1492</v>
      </c>
      <c r="AL2484">
        <v>-92.731025000000002</v>
      </c>
      <c r="AM2484">
        <v>100</v>
      </c>
      <c r="AN2484">
        <v>1700</v>
      </c>
      <c r="AO2484" t="s">
        <v>118</v>
      </c>
      <c r="AP2484">
        <v>-105</v>
      </c>
      <c r="AQ2484">
        <v>77</v>
      </c>
      <c r="AR2484">
        <v>0</v>
      </c>
      <c r="AZ2484">
        <v>1200</v>
      </c>
      <c r="BA2484">
        <v>1</v>
      </c>
      <c r="BB2484" t="str">
        <f t="shared" si="121"/>
        <v xml:space="preserve">N8080G  </v>
      </c>
      <c r="BC2484">
        <v>1</v>
      </c>
      <c r="BE2484">
        <v>0</v>
      </c>
      <c r="BF2484">
        <v>0</v>
      </c>
      <c r="BG2484">
        <v>0</v>
      </c>
      <c r="BH2484">
        <v>1700</v>
      </c>
      <c r="BI2484">
        <v>1</v>
      </c>
      <c r="BJ2484">
        <v>1</v>
      </c>
      <c r="BK2484">
        <v>1</v>
      </c>
      <c r="BL2484">
        <v>0</v>
      </c>
      <c r="BO2484">
        <v>0</v>
      </c>
      <c r="BP2484">
        <v>0</v>
      </c>
      <c r="BW2484" t="str">
        <f>"20:27:45.203"</f>
        <v>20:27:45.203</v>
      </c>
      <c r="BZ2484">
        <v>0</v>
      </c>
      <c r="CA2484">
        <v>2016</v>
      </c>
      <c r="CB2484">
        <v>224</v>
      </c>
      <c r="CD2484">
        <v>1</v>
      </c>
      <c r="CE2484">
        <v>0</v>
      </c>
      <c r="CF2484">
        <v>0</v>
      </c>
      <c r="CG2484">
        <v>1</v>
      </c>
      <c r="CH2484">
        <v>0</v>
      </c>
      <c r="CI2484">
        <v>0</v>
      </c>
      <c r="CJ2484">
        <v>0</v>
      </c>
      <c r="CK2484">
        <v>2</v>
      </c>
      <c r="CL2484">
        <v>0</v>
      </c>
      <c r="CM2484">
        <v>2</v>
      </c>
      <c r="CN2484">
        <v>0</v>
      </c>
      <c r="CO2484">
        <v>7</v>
      </c>
      <c r="CP2484" t="s">
        <v>119</v>
      </c>
      <c r="CQ2484">
        <v>180</v>
      </c>
      <c r="CR2484">
        <v>3</v>
      </c>
      <c r="CW2484">
        <v>897527</v>
      </c>
      <c r="CY2484">
        <v>1</v>
      </c>
      <c r="CZ2484">
        <v>0</v>
      </c>
      <c r="DA2484">
        <v>1</v>
      </c>
      <c r="DB2484">
        <v>0</v>
      </c>
      <c r="DC2484">
        <v>0</v>
      </c>
      <c r="DD2484">
        <v>0</v>
      </c>
      <c r="DE2484">
        <v>0</v>
      </c>
      <c r="DF2484">
        <v>0</v>
      </c>
      <c r="DG2484">
        <v>0</v>
      </c>
      <c r="DH2484">
        <v>0</v>
      </c>
      <c r="DI2484">
        <v>0</v>
      </c>
    </row>
    <row r="2485" spans="1:113" x14ac:dyDescent="0.3">
      <c r="A2485" t="str">
        <f>"02/08/2021 20:27:42.900"</f>
        <v>02/08/2021 20:27:42.900</v>
      </c>
      <c r="C2485" t="str">
        <f t="shared" si="120"/>
        <v>FFDFD7C0</v>
      </c>
      <c r="D2485" t="s">
        <v>124</v>
      </c>
      <c r="E2485">
        <v>12</v>
      </c>
      <c r="F2485">
        <v>1012</v>
      </c>
      <c r="G2485" t="s">
        <v>675</v>
      </c>
      <c r="J2485" t="s">
        <v>125</v>
      </c>
      <c r="K2485">
        <v>0</v>
      </c>
      <c r="L2485">
        <v>3</v>
      </c>
      <c r="M2485">
        <v>0</v>
      </c>
      <c r="N2485">
        <v>2</v>
      </c>
      <c r="O2485">
        <v>1</v>
      </c>
      <c r="P2485">
        <v>0</v>
      </c>
      <c r="Q2485">
        <v>0</v>
      </c>
      <c r="S2485" t="str">
        <f>"20:27:45.203"</f>
        <v>20:27:45.203</v>
      </c>
      <c r="T2485" t="str">
        <f>"20:27:44.703"</f>
        <v>20:27:44.703</v>
      </c>
      <c r="U2485" t="str">
        <f t="shared" si="119"/>
        <v>AB01F4</v>
      </c>
      <c r="V2485">
        <v>0</v>
      </c>
      <c r="W2485">
        <v>0</v>
      </c>
      <c r="X2485">
        <v>2</v>
      </c>
      <c r="Z2485">
        <v>0</v>
      </c>
      <c r="AA2485">
        <v>9</v>
      </c>
      <c r="AB2485">
        <v>3</v>
      </c>
      <c r="AC2485">
        <v>0</v>
      </c>
      <c r="AD2485">
        <v>10</v>
      </c>
      <c r="AE2485">
        <v>0</v>
      </c>
      <c r="AF2485">
        <v>3</v>
      </c>
      <c r="AG2485">
        <v>2</v>
      </c>
      <c r="AH2485">
        <v>0</v>
      </c>
      <c r="AI2485" t="s">
        <v>1491</v>
      </c>
      <c r="AJ2485">
        <v>39.990470000000002</v>
      </c>
      <c r="AK2485" t="s">
        <v>1492</v>
      </c>
      <c r="AL2485">
        <v>-92.731025000000002</v>
      </c>
      <c r="AM2485">
        <v>100</v>
      </c>
      <c r="AN2485">
        <v>1700</v>
      </c>
      <c r="AO2485" t="s">
        <v>118</v>
      </c>
      <c r="AP2485">
        <v>-105</v>
      </c>
      <c r="AQ2485">
        <v>77</v>
      </c>
      <c r="AR2485">
        <v>0</v>
      </c>
      <c r="AZ2485">
        <v>1200</v>
      </c>
      <c r="BA2485">
        <v>1</v>
      </c>
      <c r="BB2485" t="str">
        <f t="shared" si="121"/>
        <v xml:space="preserve">N8080G  </v>
      </c>
      <c r="BC2485">
        <v>1</v>
      </c>
      <c r="BE2485">
        <v>0</v>
      </c>
      <c r="BF2485">
        <v>0</v>
      </c>
      <c r="BG2485">
        <v>0</v>
      </c>
      <c r="BH2485">
        <v>1700</v>
      </c>
      <c r="BI2485">
        <v>1</v>
      </c>
      <c r="BJ2485">
        <v>1</v>
      </c>
      <c r="BK2485">
        <v>1</v>
      </c>
      <c r="BL2485">
        <v>0</v>
      </c>
      <c r="BO2485">
        <v>0</v>
      </c>
      <c r="BP2485">
        <v>0</v>
      </c>
      <c r="BW2485" t="str">
        <f>"20:27:45.203"</f>
        <v>20:27:45.203</v>
      </c>
      <c r="BZ2485">
        <v>0</v>
      </c>
      <c r="CA2485">
        <v>2016</v>
      </c>
      <c r="CB2485">
        <v>224</v>
      </c>
      <c r="CD2485">
        <v>1</v>
      </c>
      <c r="CE2485">
        <v>0</v>
      </c>
      <c r="CF2485">
        <v>0</v>
      </c>
      <c r="CG2485">
        <v>1</v>
      </c>
      <c r="CH2485">
        <v>0</v>
      </c>
      <c r="CI2485">
        <v>0</v>
      </c>
      <c r="CJ2485">
        <v>0</v>
      </c>
      <c r="CK2485">
        <v>2</v>
      </c>
      <c r="CL2485">
        <v>0</v>
      </c>
      <c r="CM2485">
        <v>2</v>
      </c>
      <c r="CN2485">
        <v>0</v>
      </c>
      <c r="CO2485">
        <v>7</v>
      </c>
      <c r="CP2485" t="s">
        <v>119</v>
      </c>
      <c r="CQ2485">
        <v>180</v>
      </c>
      <c r="CR2485">
        <v>3</v>
      </c>
      <c r="CW2485">
        <v>897527</v>
      </c>
      <c r="CY2485">
        <v>1</v>
      </c>
      <c r="CZ2485">
        <v>0</v>
      </c>
      <c r="DA2485">
        <v>1</v>
      </c>
      <c r="DB2485">
        <v>0</v>
      </c>
      <c r="DC2485">
        <v>0</v>
      </c>
      <c r="DD2485">
        <v>0</v>
      </c>
      <c r="DE2485">
        <v>0</v>
      </c>
      <c r="DF2485">
        <v>0</v>
      </c>
      <c r="DG2485">
        <v>0</v>
      </c>
      <c r="DH2485">
        <v>0</v>
      </c>
      <c r="DI2485">
        <v>0</v>
      </c>
    </row>
    <row r="2486" spans="1:113" x14ac:dyDescent="0.3">
      <c r="A2486" t="str">
        <f>"02/08/2021 20:27:42.900"</f>
        <v>02/08/2021 20:27:42.900</v>
      </c>
      <c r="C2486" t="str">
        <f t="shared" si="120"/>
        <v>FFDFD7C0</v>
      </c>
      <c r="D2486" t="s">
        <v>124</v>
      </c>
      <c r="E2486">
        <v>11</v>
      </c>
      <c r="F2486">
        <v>1011</v>
      </c>
      <c r="G2486" t="s">
        <v>590</v>
      </c>
      <c r="J2486" t="s">
        <v>125</v>
      </c>
      <c r="K2486">
        <v>0</v>
      </c>
      <c r="L2486">
        <v>3</v>
      </c>
      <c r="M2486">
        <v>0</v>
      </c>
      <c r="N2486">
        <v>2</v>
      </c>
      <c r="O2486">
        <v>1</v>
      </c>
      <c r="P2486">
        <v>0</v>
      </c>
      <c r="Q2486">
        <v>0</v>
      </c>
      <c r="S2486" t="str">
        <f>"20:27:45.203"</f>
        <v>20:27:45.203</v>
      </c>
      <c r="T2486" t="str">
        <f>"20:27:44.703"</f>
        <v>20:27:44.703</v>
      </c>
      <c r="U2486" t="str">
        <f t="shared" si="119"/>
        <v>AB01F4</v>
      </c>
      <c r="V2486">
        <v>0</v>
      </c>
      <c r="W2486">
        <v>0</v>
      </c>
      <c r="X2486">
        <v>2</v>
      </c>
      <c r="Z2486">
        <v>0</v>
      </c>
      <c r="AA2486">
        <v>9</v>
      </c>
      <c r="AB2486">
        <v>3</v>
      </c>
      <c r="AC2486">
        <v>0</v>
      </c>
      <c r="AD2486">
        <v>10</v>
      </c>
      <c r="AE2486">
        <v>0</v>
      </c>
      <c r="AF2486">
        <v>3</v>
      </c>
      <c r="AG2486">
        <v>2</v>
      </c>
      <c r="AH2486">
        <v>0</v>
      </c>
      <c r="AI2486" t="s">
        <v>1491</v>
      </c>
      <c r="AJ2486">
        <v>39.990470000000002</v>
      </c>
      <c r="AK2486" t="s">
        <v>1492</v>
      </c>
      <c r="AL2486">
        <v>-92.731025000000002</v>
      </c>
      <c r="AM2486">
        <v>100</v>
      </c>
      <c r="AN2486">
        <v>1700</v>
      </c>
      <c r="AO2486" t="s">
        <v>118</v>
      </c>
      <c r="AP2486">
        <v>-105</v>
      </c>
      <c r="AQ2486">
        <v>77</v>
      </c>
      <c r="AR2486">
        <v>0</v>
      </c>
      <c r="AZ2486">
        <v>1200</v>
      </c>
      <c r="BA2486">
        <v>1</v>
      </c>
      <c r="BB2486" t="str">
        <f t="shared" si="121"/>
        <v xml:space="preserve">N8080G  </v>
      </c>
      <c r="BC2486">
        <v>1</v>
      </c>
      <c r="BE2486">
        <v>0</v>
      </c>
      <c r="BF2486">
        <v>0</v>
      </c>
      <c r="BG2486">
        <v>0</v>
      </c>
      <c r="BH2486">
        <v>1700</v>
      </c>
      <c r="BI2486">
        <v>1</v>
      </c>
      <c r="BJ2486">
        <v>1</v>
      </c>
      <c r="BK2486">
        <v>1</v>
      </c>
      <c r="BL2486">
        <v>0</v>
      </c>
      <c r="BO2486">
        <v>0</v>
      </c>
      <c r="BP2486">
        <v>0</v>
      </c>
      <c r="BW2486" t="str">
        <f>"20:27:45.203"</f>
        <v>20:27:45.203</v>
      </c>
      <c r="BZ2486">
        <v>0</v>
      </c>
      <c r="CA2486">
        <v>2016</v>
      </c>
      <c r="CB2486">
        <v>224</v>
      </c>
      <c r="CD2486">
        <v>1</v>
      </c>
      <c r="CE2486">
        <v>0</v>
      </c>
      <c r="CF2486">
        <v>0</v>
      </c>
      <c r="CG2486">
        <v>1</v>
      </c>
      <c r="CH2486">
        <v>0</v>
      </c>
      <c r="CI2486">
        <v>0</v>
      </c>
      <c r="CJ2486">
        <v>0</v>
      </c>
      <c r="CK2486">
        <v>2</v>
      </c>
      <c r="CL2486">
        <v>0</v>
      </c>
      <c r="CM2486">
        <v>2</v>
      </c>
      <c r="CN2486">
        <v>0</v>
      </c>
      <c r="CO2486">
        <v>7</v>
      </c>
      <c r="CP2486" t="s">
        <v>119</v>
      </c>
      <c r="CQ2486">
        <v>180</v>
      </c>
      <c r="CR2486">
        <v>3</v>
      </c>
      <c r="CW2486">
        <v>897527</v>
      </c>
      <c r="CY2486">
        <v>1</v>
      </c>
      <c r="CZ2486">
        <v>0</v>
      </c>
      <c r="DA2486">
        <v>1</v>
      </c>
      <c r="DB2486">
        <v>0</v>
      </c>
      <c r="DC2486">
        <v>0</v>
      </c>
      <c r="DD2486">
        <v>0</v>
      </c>
      <c r="DE2486">
        <v>0</v>
      </c>
      <c r="DF2486">
        <v>0</v>
      </c>
      <c r="DG2486">
        <v>0</v>
      </c>
      <c r="DH2486">
        <v>0</v>
      </c>
      <c r="DI2486">
        <v>0</v>
      </c>
    </row>
    <row r="2487" spans="1:113" x14ac:dyDescent="0.3">
      <c r="A2487" t="str">
        <f>"02/08/2021 20:27:43.826"</f>
        <v>02/08/2021 20:27:43.826</v>
      </c>
      <c r="C2487" t="str">
        <f t="shared" si="120"/>
        <v>FFDFD7C0</v>
      </c>
      <c r="D2487" t="s">
        <v>124</v>
      </c>
      <c r="E2487">
        <v>11</v>
      </c>
      <c r="F2487">
        <v>1011</v>
      </c>
      <c r="G2487" t="s">
        <v>590</v>
      </c>
      <c r="J2487" t="s">
        <v>125</v>
      </c>
      <c r="K2487">
        <v>0</v>
      </c>
      <c r="L2487">
        <v>3</v>
      </c>
      <c r="M2487">
        <v>0</v>
      </c>
      <c r="N2487">
        <v>2</v>
      </c>
      <c r="O2487">
        <v>1</v>
      </c>
      <c r="P2487">
        <v>0</v>
      </c>
      <c r="Q2487">
        <v>0</v>
      </c>
      <c r="S2487" t="str">
        <f>"20:27:46.125"</f>
        <v>20:27:46.125</v>
      </c>
      <c r="T2487" t="str">
        <f>"20:27:45.725"</f>
        <v>20:27:45.725</v>
      </c>
      <c r="U2487" t="str">
        <f t="shared" si="119"/>
        <v>AB01F4</v>
      </c>
      <c r="V2487">
        <v>0</v>
      </c>
      <c r="W2487">
        <v>0</v>
      </c>
      <c r="X2487">
        <v>2</v>
      </c>
      <c r="Z2487">
        <v>0</v>
      </c>
      <c r="AA2487">
        <v>9</v>
      </c>
      <c r="AB2487">
        <v>3</v>
      </c>
      <c r="AC2487">
        <v>0</v>
      </c>
      <c r="AD2487">
        <v>10</v>
      </c>
      <c r="AE2487">
        <v>0</v>
      </c>
      <c r="AF2487">
        <v>3</v>
      </c>
      <c r="AG2487">
        <v>2</v>
      </c>
      <c r="AH2487">
        <v>0</v>
      </c>
      <c r="AI2487" t="s">
        <v>1493</v>
      </c>
      <c r="AJ2487">
        <v>39.990791999999999</v>
      </c>
      <c r="AK2487" t="s">
        <v>1494</v>
      </c>
      <c r="AL2487">
        <v>-92.731626000000006</v>
      </c>
      <c r="AM2487">
        <v>100</v>
      </c>
      <c r="AN2487">
        <v>1700</v>
      </c>
      <c r="AO2487" t="s">
        <v>118</v>
      </c>
      <c r="AP2487">
        <v>-105</v>
      </c>
      <c r="AQ2487">
        <v>77</v>
      </c>
      <c r="AR2487">
        <v>64</v>
      </c>
      <c r="AZ2487">
        <v>1200</v>
      </c>
      <c r="BA2487">
        <v>1</v>
      </c>
      <c r="BB2487" t="str">
        <f t="shared" si="121"/>
        <v xml:space="preserve">N8080G  </v>
      </c>
      <c r="BC2487">
        <v>1</v>
      </c>
      <c r="BE2487">
        <v>0</v>
      </c>
      <c r="BF2487">
        <v>0</v>
      </c>
      <c r="BG2487">
        <v>0</v>
      </c>
      <c r="BH2487">
        <v>1700</v>
      </c>
      <c r="BI2487">
        <v>1</v>
      </c>
      <c r="BJ2487">
        <v>1</v>
      </c>
      <c r="BK2487">
        <v>1</v>
      </c>
      <c r="BL2487">
        <v>0</v>
      </c>
      <c r="BO2487">
        <v>0</v>
      </c>
      <c r="BP2487">
        <v>0</v>
      </c>
      <c r="BW2487" t="str">
        <f>"20:27:46.129"</f>
        <v>20:27:46.129</v>
      </c>
      <c r="BZ2487">
        <v>0</v>
      </c>
      <c r="CA2487">
        <v>2016</v>
      </c>
      <c r="CB2487">
        <v>224</v>
      </c>
      <c r="CD2487">
        <v>1</v>
      </c>
      <c r="CE2487">
        <v>0</v>
      </c>
      <c r="CF2487">
        <v>0</v>
      </c>
      <c r="CG2487">
        <v>1</v>
      </c>
      <c r="CH2487">
        <v>0</v>
      </c>
      <c r="CI2487">
        <v>0</v>
      </c>
      <c r="CJ2487">
        <v>0</v>
      </c>
      <c r="CK2487">
        <v>2</v>
      </c>
      <c r="CL2487">
        <v>0</v>
      </c>
      <c r="CM2487">
        <v>2</v>
      </c>
      <c r="CN2487">
        <v>0</v>
      </c>
      <c r="CO2487">
        <v>4</v>
      </c>
      <c r="CP2487" t="s">
        <v>119</v>
      </c>
      <c r="CQ2487">
        <v>179</v>
      </c>
      <c r="CR2487">
        <v>1</v>
      </c>
      <c r="CW2487">
        <v>8992778</v>
      </c>
      <c r="CY2487">
        <v>1</v>
      </c>
      <c r="CZ2487">
        <v>0</v>
      </c>
      <c r="DA2487">
        <v>0</v>
      </c>
      <c r="DB2487">
        <v>0</v>
      </c>
      <c r="DC2487">
        <v>0</v>
      </c>
      <c r="DD2487">
        <v>0</v>
      </c>
      <c r="DE2487">
        <v>0</v>
      </c>
      <c r="DF2487">
        <v>0</v>
      </c>
      <c r="DG2487">
        <v>0</v>
      </c>
      <c r="DH2487">
        <v>0</v>
      </c>
      <c r="DI2487">
        <v>0</v>
      </c>
    </row>
    <row r="2488" spans="1:113" x14ac:dyDescent="0.3">
      <c r="A2488" t="str">
        <f>"02/08/2021 20:27:43.826"</f>
        <v>02/08/2021 20:27:43.826</v>
      </c>
      <c r="C2488" t="str">
        <f t="shared" si="120"/>
        <v>FFDFD7C0</v>
      </c>
      <c r="D2488" t="s">
        <v>124</v>
      </c>
      <c r="E2488">
        <v>13</v>
      </c>
      <c r="F2488">
        <v>1013</v>
      </c>
      <c r="G2488" t="s">
        <v>114</v>
      </c>
      <c r="J2488" t="s">
        <v>125</v>
      </c>
      <c r="K2488">
        <v>0</v>
      </c>
      <c r="L2488">
        <v>3</v>
      </c>
      <c r="M2488">
        <v>0</v>
      </c>
      <c r="N2488">
        <v>2</v>
      </c>
      <c r="O2488">
        <v>1</v>
      </c>
      <c r="P2488">
        <v>0</v>
      </c>
      <c r="Q2488">
        <v>0</v>
      </c>
      <c r="S2488" t="str">
        <f>"20:27:46.125"</f>
        <v>20:27:46.125</v>
      </c>
      <c r="T2488" t="str">
        <f>"20:27:45.725"</f>
        <v>20:27:45.725</v>
      </c>
      <c r="U2488" t="str">
        <f t="shared" si="119"/>
        <v>AB01F4</v>
      </c>
      <c r="V2488">
        <v>0</v>
      </c>
      <c r="W2488">
        <v>0</v>
      </c>
      <c r="X2488">
        <v>2</v>
      </c>
      <c r="Z2488">
        <v>0</v>
      </c>
      <c r="AA2488">
        <v>9</v>
      </c>
      <c r="AB2488">
        <v>3</v>
      </c>
      <c r="AC2488">
        <v>0</v>
      </c>
      <c r="AD2488">
        <v>10</v>
      </c>
      <c r="AE2488">
        <v>0</v>
      </c>
      <c r="AF2488">
        <v>3</v>
      </c>
      <c r="AG2488">
        <v>2</v>
      </c>
      <c r="AH2488">
        <v>0</v>
      </c>
      <c r="AI2488" t="s">
        <v>1493</v>
      </c>
      <c r="AJ2488">
        <v>39.990791999999999</v>
      </c>
      <c r="AK2488" t="s">
        <v>1494</v>
      </c>
      <c r="AL2488">
        <v>-92.731626000000006</v>
      </c>
      <c r="AM2488">
        <v>100</v>
      </c>
      <c r="AN2488">
        <v>1700</v>
      </c>
      <c r="AO2488" t="s">
        <v>118</v>
      </c>
      <c r="AP2488">
        <v>-105</v>
      </c>
      <c r="AQ2488">
        <v>77</v>
      </c>
      <c r="AR2488">
        <v>64</v>
      </c>
      <c r="AZ2488">
        <v>1200</v>
      </c>
      <c r="BA2488">
        <v>1</v>
      </c>
      <c r="BB2488" t="str">
        <f t="shared" si="121"/>
        <v xml:space="preserve">N8080G  </v>
      </c>
      <c r="BC2488">
        <v>1</v>
      </c>
      <c r="BE2488">
        <v>0</v>
      </c>
      <c r="BF2488">
        <v>0</v>
      </c>
      <c r="BG2488">
        <v>0</v>
      </c>
      <c r="BH2488">
        <v>1700</v>
      </c>
      <c r="BI2488">
        <v>1</v>
      </c>
      <c r="BJ2488">
        <v>1</v>
      </c>
      <c r="BK2488">
        <v>1</v>
      </c>
      <c r="BL2488">
        <v>0</v>
      </c>
      <c r="BO2488">
        <v>0</v>
      </c>
      <c r="BP2488">
        <v>0</v>
      </c>
      <c r="BW2488" t="str">
        <f>"20:27:46.129"</f>
        <v>20:27:46.129</v>
      </c>
      <c r="BZ2488">
        <v>0</v>
      </c>
      <c r="CA2488">
        <v>2016</v>
      </c>
      <c r="CB2488">
        <v>224</v>
      </c>
      <c r="CD2488">
        <v>1</v>
      </c>
      <c r="CE2488">
        <v>0</v>
      </c>
      <c r="CF2488">
        <v>0</v>
      </c>
      <c r="CG2488">
        <v>1</v>
      </c>
      <c r="CH2488">
        <v>0</v>
      </c>
      <c r="CI2488">
        <v>0</v>
      </c>
      <c r="CJ2488">
        <v>0</v>
      </c>
      <c r="CK2488">
        <v>2</v>
      </c>
      <c r="CL2488">
        <v>0</v>
      </c>
      <c r="CM2488">
        <v>2</v>
      </c>
      <c r="CN2488">
        <v>0</v>
      </c>
      <c r="CO2488">
        <v>4</v>
      </c>
      <c r="CP2488" t="s">
        <v>119</v>
      </c>
      <c r="CQ2488">
        <v>179</v>
      </c>
      <c r="CR2488">
        <v>1</v>
      </c>
      <c r="CW2488">
        <v>8992778</v>
      </c>
      <c r="CY2488">
        <v>1</v>
      </c>
      <c r="CZ2488">
        <v>0</v>
      </c>
      <c r="DA2488">
        <v>1</v>
      </c>
      <c r="DB2488">
        <v>0</v>
      </c>
      <c r="DC2488">
        <v>0</v>
      </c>
      <c r="DD2488">
        <v>0</v>
      </c>
      <c r="DE2488">
        <v>0</v>
      </c>
      <c r="DF2488">
        <v>0</v>
      </c>
      <c r="DG2488">
        <v>0</v>
      </c>
      <c r="DH2488">
        <v>0</v>
      </c>
      <c r="DI2488">
        <v>0</v>
      </c>
    </row>
    <row r="2489" spans="1:113" x14ac:dyDescent="0.3">
      <c r="A2489" t="str">
        <f>"02/08/2021 20:27:43.826"</f>
        <v>02/08/2021 20:27:43.826</v>
      </c>
      <c r="C2489" t="str">
        <f t="shared" si="120"/>
        <v>FFDFD7C0</v>
      </c>
      <c r="D2489" t="s">
        <v>113</v>
      </c>
      <c r="E2489">
        <v>6</v>
      </c>
      <c r="H2489">
        <v>165</v>
      </c>
      <c r="I2489" t="s">
        <v>114</v>
      </c>
      <c r="J2489" t="s">
        <v>115</v>
      </c>
      <c r="K2489">
        <v>0</v>
      </c>
      <c r="L2489">
        <v>3</v>
      </c>
      <c r="M2489">
        <v>0</v>
      </c>
      <c r="N2489">
        <v>2</v>
      </c>
      <c r="O2489">
        <v>1</v>
      </c>
      <c r="P2489">
        <v>0</v>
      </c>
      <c r="Q2489">
        <v>0</v>
      </c>
      <c r="S2489" t="str">
        <f>"20:27:46.125"</f>
        <v>20:27:46.125</v>
      </c>
      <c r="T2489" t="str">
        <f>"20:27:45.725"</f>
        <v>20:27:45.725</v>
      </c>
      <c r="U2489" t="str">
        <f t="shared" si="119"/>
        <v>AB01F4</v>
      </c>
      <c r="V2489">
        <v>0</v>
      </c>
      <c r="W2489">
        <v>0</v>
      </c>
      <c r="X2489">
        <v>2</v>
      </c>
      <c r="Z2489">
        <v>0</v>
      </c>
      <c r="AA2489">
        <v>9</v>
      </c>
      <c r="AB2489">
        <v>3</v>
      </c>
      <c r="AC2489">
        <v>0</v>
      </c>
      <c r="AD2489">
        <v>10</v>
      </c>
      <c r="AE2489">
        <v>0</v>
      </c>
      <c r="AF2489">
        <v>3</v>
      </c>
      <c r="AG2489">
        <v>2</v>
      </c>
      <c r="AH2489">
        <v>0</v>
      </c>
      <c r="AI2489" t="s">
        <v>1493</v>
      </c>
      <c r="AJ2489">
        <v>39.990791999999999</v>
      </c>
      <c r="AK2489" t="s">
        <v>1494</v>
      </c>
      <c r="AL2489">
        <v>-92.731626000000006</v>
      </c>
      <c r="AM2489">
        <v>100</v>
      </c>
      <c r="AN2489">
        <v>1700</v>
      </c>
      <c r="AO2489" t="s">
        <v>118</v>
      </c>
      <c r="AP2489">
        <v>-105</v>
      </c>
      <c r="AQ2489">
        <v>77</v>
      </c>
      <c r="AR2489">
        <v>64</v>
      </c>
      <c r="AZ2489">
        <v>1200</v>
      </c>
      <c r="BA2489">
        <v>1</v>
      </c>
      <c r="BB2489" t="str">
        <f t="shared" si="121"/>
        <v xml:space="preserve">N8080G  </v>
      </c>
      <c r="BC2489">
        <v>1</v>
      </c>
      <c r="BE2489">
        <v>0</v>
      </c>
      <c r="BF2489">
        <v>0</v>
      </c>
      <c r="BG2489">
        <v>0</v>
      </c>
      <c r="BH2489">
        <v>1700</v>
      </c>
      <c r="BI2489">
        <v>1</v>
      </c>
      <c r="BJ2489">
        <v>1</v>
      </c>
      <c r="BK2489">
        <v>1</v>
      </c>
      <c r="BL2489">
        <v>0</v>
      </c>
      <c r="BO2489">
        <v>0</v>
      </c>
      <c r="BP2489">
        <v>0</v>
      </c>
      <c r="BW2489" t="str">
        <f>"20:27:46.129"</f>
        <v>20:27:46.129</v>
      </c>
      <c r="BZ2489">
        <v>0</v>
      </c>
      <c r="CA2489">
        <v>2016</v>
      </c>
      <c r="CB2489">
        <v>224</v>
      </c>
      <c r="CD2489">
        <v>1</v>
      </c>
      <c r="CE2489">
        <v>0</v>
      </c>
      <c r="CF2489">
        <v>0</v>
      </c>
      <c r="CG2489">
        <v>1</v>
      </c>
      <c r="CH2489">
        <v>0</v>
      </c>
      <c r="CI2489">
        <v>0</v>
      </c>
      <c r="CJ2489">
        <v>0</v>
      </c>
      <c r="CK2489">
        <v>2</v>
      </c>
      <c r="CL2489">
        <v>0</v>
      </c>
      <c r="CM2489">
        <v>2</v>
      </c>
      <c r="CN2489">
        <v>0</v>
      </c>
      <c r="CO2489">
        <v>4</v>
      </c>
      <c r="CP2489" t="s">
        <v>119</v>
      </c>
      <c r="CQ2489">
        <v>179</v>
      </c>
      <c r="CR2489">
        <v>1</v>
      </c>
      <c r="CW2489">
        <v>8992778</v>
      </c>
      <c r="CY2489">
        <v>1</v>
      </c>
      <c r="CZ2489">
        <v>0</v>
      </c>
      <c r="DA2489">
        <v>1</v>
      </c>
      <c r="DB2489">
        <v>0</v>
      </c>
      <c r="DC2489">
        <v>0</v>
      </c>
      <c r="DD2489">
        <v>0</v>
      </c>
      <c r="DE2489">
        <v>0</v>
      </c>
      <c r="DF2489">
        <v>0</v>
      </c>
      <c r="DG2489">
        <v>0</v>
      </c>
      <c r="DH2489">
        <v>0</v>
      </c>
      <c r="DI2489">
        <v>0</v>
      </c>
    </row>
    <row r="2490" spans="1:113" x14ac:dyDescent="0.3">
      <c r="A2490" t="str">
        <f>"02/08/2021 20:27:43.826"</f>
        <v>02/08/2021 20:27:43.826</v>
      </c>
      <c r="C2490" t="str">
        <f t="shared" si="120"/>
        <v>FFDFD7C0</v>
      </c>
      <c r="D2490" t="s">
        <v>124</v>
      </c>
      <c r="E2490">
        <v>12</v>
      </c>
      <c r="F2490">
        <v>1012</v>
      </c>
      <c r="G2490" t="s">
        <v>675</v>
      </c>
      <c r="J2490" t="s">
        <v>125</v>
      </c>
      <c r="K2490">
        <v>0</v>
      </c>
      <c r="L2490">
        <v>3</v>
      </c>
      <c r="M2490">
        <v>0</v>
      </c>
      <c r="N2490">
        <v>2</v>
      </c>
      <c r="O2490">
        <v>1</v>
      </c>
      <c r="P2490">
        <v>0</v>
      </c>
      <c r="Q2490">
        <v>0</v>
      </c>
      <c r="S2490" t="str">
        <f>"20:27:46.125"</f>
        <v>20:27:46.125</v>
      </c>
      <c r="T2490" t="str">
        <f>"20:27:45.725"</f>
        <v>20:27:45.725</v>
      </c>
      <c r="U2490" t="str">
        <f t="shared" si="119"/>
        <v>AB01F4</v>
      </c>
      <c r="V2490">
        <v>0</v>
      </c>
      <c r="W2490">
        <v>0</v>
      </c>
      <c r="X2490">
        <v>2</v>
      </c>
      <c r="Z2490">
        <v>0</v>
      </c>
      <c r="AA2490">
        <v>9</v>
      </c>
      <c r="AB2490">
        <v>3</v>
      </c>
      <c r="AC2490">
        <v>0</v>
      </c>
      <c r="AD2490">
        <v>10</v>
      </c>
      <c r="AE2490">
        <v>0</v>
      </c>
      <c r="AF2490">
        <v>3</v>
      </c>
      <c r="AG2490">
        <v>2</v>
      </c>
      <c r="AH2490">
        <v>0</v>
      </c>
      <c r="AI2490" t="s">
        <v>1493</v>
      </c>
      <c r="AJ2490">
        <v>39.990791999999999</v>
      </c>
      <c r="AK2490" t="s">
        <v>1494</v>
      </c>
      <c r="AL2490">
        <v>-92.731626000000006</v>
      </c>
      <c r="AM2490">
        <v>100</v>
      </c>
      <c r="AN2490">
        <v>1700</v>
      </c>
      <c r="AO2490" t="s">
        <v>118</v>
      </c>
      <c r="AP2490">
        <v>-105</v>
      </c>
      <c r="AQ2490">
        <v>77</v>
      </c>
      <c r="AR2490">
        <v>64</v>
      </c>
      <c r="AZ2490">
        <v>1200</v>
      </c>
      <c r="BA2490">
        <v>1</v>
      </c>
      <c r="BB2490" t="str">
        <f t="shared" si="121"/>
        <v xml:space="preserve">N8080G  </v>
      </c>
      <c r="BC2490">
        <v>1</v>
      </c>
      <c r="BE2490">
        <v>0</v>
      </c>
      <c r="BF2490">
        <v>0</v>
      </c>
      <c r="BG2490">
        <v>0</v>
      </c>
      <c r="BH2490">
        <v>1700</v>
      </c>
      <c r="BI2490">
        <v>1</v>
      </c>
      <c r="BJ2490">
        <v>1</v>
      </c>
      <c r="BK2490">
        <v>1</v>
      </c>
      <c r="BL2490">
        <v>0</v>
      </c>
      <c r="BO2490">
        <v>0</v>
      </c>
      <c r="BP2490">
        <v>0</v>
      </c>
      <c r="BW2490" t="str">
        <f>"20:27:46.129"</f>
        <v>20:27:46.129</v>
      </c>
      <c r="BZ2490">
        <v>0</v>
      </c>
      <c r="CA2490">
        <v>2016</v>
      </c>
      <c r="CB2490">
        <v>224</v>
      </c>
      <c r="CD2490">
        <v>1</v>
      </c>
      <c r="CE2490">
        <v>0</v>
      </c>
      <c r="CF2490">
        <v>0</v>
      </c>
      <c r="CG2490">
        <v>1</v>
      </c>
      <c r="CH2490">
        <v>0</v>
      </c>
      <c r="CI2490">
        <v>0</v>
      </c>
      <c r="CJ2490">
        <v>0</v>
      </c>
      <c r="CK2490">
        <v>2</v>
      </c>
      <c r="CL2490">
        <v>0</v>
      </c>
      <c r="CM2490">
        <v>2</v>
      </c>
      <c r="CN2490">
        <v>0</v>
      </c>
      <c r="CO2490">
        <v>4</v>
      </c>
      <c r="CP2490" t="s">
        <v>119</v>
      </c>
      <c r="CQ2490">
        <v>179</v>
      </c>
      <c r="CR2490">
        <v>1</v>
      </c>
      <c r="CW2490">
        <v>8992778</v>
      </c>
      <c r="CY2490">
        <v>1</v>
      </c>
      <c r="CZ2490">
        <v>0</v>
      </c>
      <c r="DA2490">
        <v>1</v>
      </c>
      <c r="DB2490">
        <v>0</v>
      </c>
      <c r="DC2490">
        <v>0</v>
      </c>
      <c r="DD2490">
        <v>0</v>
      </c>
      <c r="DE2490">
        <v>0</v>
      </c>
      <c r="DF2490">
        <v>0</v>
      </c>
      <c r="DG2490">
        <v>0</v>
      </c>
      <c r="DH2490">
        <v>0</v>
      </c>
      <c r="DI2490">
        <v>0</v>
      </c>
    </row>
    <row r="2491" spans="1:113" x14ac:dyDescent="0.3">
      <c r="A2491" t="str">
        <f>"02/08/2021 20:27:45.625"</f>
        <v>02/08/2021 20:27:45.625</v>
      </c>
      <c r="C2491" t="str">
        <f t="shared" si="120"/>
        <v>FFDFD7C0</v>
      </c>
      <c r="D2491" t="s">
        <v>124</v>
      </c>
      <c r="E2491">
        <v>12</v>
      </c>
      <c r="F2491">
        <v>1012</v>
      </c>
      <c r="G2491" t="s">
        <v>675</v>
      </c>
      <c r="J2491" t="s">
        <v>125</v>
      </c>
      <c r="K2491">
        <v>0</v>
      </c>
      <c r="L2491">
        <v>3</v>
      </c>
      <c r="M2491">
        <v>0</v>
      </c>
      <c r="N2491">
        <v>2</v>
      </c>
      <c r="O2491">
        <v>1</v>
      </c>
      <c r="P2491">
        <v>0</v>
      </c>
      <c r="Q2491">
        <v>0</v>
      </c>
      <c r="S2491" t="str">
        <f>"20:27:47.953"</f>
        <v>20:27:47.953</v>
      </c>
      <c r="T2491" t="str">
        <f>"20:27:47.453"</f>
        <v>20:27:47.453</v>
      </c>
      <c r="U2491" t="str">
        <f t="shared" si="119"/>
        <v>AB01F4</v>
      </c>
      <c r="V2491">
        <v>0</v>
      </c>
      <c r="W2491">
        <v>0</v>
      </c>
      <c r="X2491">
        <v>2</v>
      </c>
      <c r="Z2491">
        <v>0</v>
      </c>
      <c r="AA2491">
        <v>9</v>
      </c>
      <c r="AB2491">
        <v>3</v>
      </c>
      <c r="AC2491">
        <v>0</v>
      </c>
      <c r="AD2491">
        <v>10</v>
      </c>
      <c r="AE2491">
        <v>0</v>
      </c>
      <c r="AF2491">
        <v>3</v>
      </c>
      <c r="AG2491">
        <v>2</v>
      </c>
      <c r="AH2491">
        <v>0</v>
      </c>
      <c r="AI2491" t="s">
        <v>1495</v>
      </c>
      <c r="AJ2491">
        <v>39.991415000000003</v>
      </c>
      <c r="AK2491" t="s">
        <v>1496</v>
      </c>
      <c r="AL2491">
        <v>-92.732785000000007</v>
      </c>
      <c r="AM2491">
        <v>100</v>
      </c>
      <c r="AN2491">
        <v>1700</v>
      </c>
      <c r="AO2491" t="s">
        <v>118</v>
      </c>
      <c r="AP2491">
        <v>-105</v>
      </c>
      <c r="AQ2491">
        <v>77</v>
      </c>
      <c r="AR2491">
        <v>0</v>
      </c>
      <c r="AZ2491">
        <v>1200</v>
      </c>
      <c r="BA2491">
        <v>1</v>
      </c>
      <c r="BB2491" t="str">
        <f t="shared" si="121"/>
        <v xml:space="preserve">N8080G  </v>
      </c>
      <c r="BC2491">
        <v>1</v>
      </c>
      <c r="BE2491">
        <v>0</v>
      </c>
      <c r="BF2491">
        <v>0</v>
      </c>
      <c r="BG2491">
        <v>0</v>
      </c>
      <c r="BH2491">
        <v>1700</v>
      </c>
      <c r="BI2491">
        <v>1</v>
      </c>
      <c r="BJ2491">
        <v>1</v>
      </c>
      <c r="BK2491">
        <v>1</v>
      </c>
      <c r="BL2491">
        <v>0</v>
      </c>
      <c r="BO2491">
        <v>0</v>
      </c>
      <c r="BP2491">
        <v>0</v>
      </c>
      <c r="BW2491" t="str">
        <f>"20:27:47.954"</f>
        <v>20:27:47.954</v>
      </c>
      <c r="BZ2491">
        <v>0</v>
      </c>
      <c r="CA2491">
        <v>2016</v>
      </c>
      <c r="CB2491">
        <v>224</v>
      </c>
      <c r="CD2491">
        <v>1</v>
      </c>
      <c r="CE2491">
        <v>0</v>
      </c>
      <c r="CF2491">
        <v>0</v>
      </c>
      <c r="CG2491">
        <v>1</v>
      </c>
      <c r="CH2491">
        <v>0</v>
      </c>
      <c r="CI2491">
        <v>0</v>
      </c>
      <c r="CJ2491">
        <v>0</v>
      </c>
      <c r="CK2491">
        <v>2</v>
      </c>
      <c r="CL2491">
        <v>0</v>
      </c>
      <c r="CM2491">
        <v>2</v>
      </c>
      <c r="CN2491">
        <v>0</v>
      </c>
      <c r="CO2491">
        <v>7</v>
      </c>
      <c r="CP2491" t="s">
        <v>119</v>
      </c>
      <c r="CQ2491">
        <v>180</v>
      </c>
      <c r="CR2491">
        <v>3</v>
      </c>
      <c r="CW2491">
        <v>899901</v>
      </c>
      <c r="CY2491">
        <v>1</v>
      </c>
      <c r="CZ2491">
        <v>0</v>
      </c>
      <c r="DA2491">
        <v>0</v>
      </c>
      <c r="DB2491">
        <v>0</v>
      </c>
      <c r="DC2491">
        <v>0</v>
      </c>
      <c r="DD2491">
        <v>0</v>
      </c>
      <c r="DE2491">
        <v>0</v>
      </c>
      <c r="DF2491">
        <v>0</v>
      </c>
      <c r="DG2491">
        <v>0</v>
      </c>
      <c r="DH2491">
        <v>0</v>
      </c>
      <c r="DI2491">
        <v>0</v>
      </c>
    </row>
    <row r="2492" spans="1:113" x14ac:dyDescent="0.3">
      <c r="A2492" t="str">
        <f>"02/08/2021 20:27:45.625"</f>
        <v>02/08/2021 20:27:45.625</v>
      </c>
      <c r="C2492" t="str">
        <f t="shared" si="120"/>
        <v>FFDFD7C0</v>
      </c>
      <c r="D2492" t="s">
        <v>113</v>
      </c>
      <c r="E2492">
        <v>6</v>
      </c>
      <c r="H2492">
        <v>165</v>
      </c>
      <c r="I2492" t="s">
        <v>114</v>
      </c>
      <c r="J2492" t="s">
        <v>115</v>
      </c>
      <c r="K2492">
        <v>0</v>
      </c>
      <c r="L2492">
        <v>3</v>
      </c>
      <c r="M2492">
        <v>0</v>
      </c>
      <c r="N2492">
        <v>2</v>
      </c>
      <c r="O2492">
        <v>1</v>
      </c>
      <c r="P2492">
        <v>0</v>
      </c>
      <c r="Q2492">
        <v>0</v>
      </c>
      <c r="S2492" t="str">
        <f>"20:27:47.953"</f>
        <v>20:27:47.953</v>
      </c>
      <c r="T2492" t="str">
        <f>"20:27:47.453"</f>
        <v>20:27:47.453</v>
      </c>
      <c r="U2492" t="str">
        <f t="shared" si="119"/>
        <v>AB01F4</v>
      </c>
      <c r="V2492">
        <v>0</v>
      </c>
      <c r="W2492">
        <v>0</v>
      </c>
      <c r="X2492">
        <v>2</v>
      </c>
      <c r="Z2492">
        <v>0</v>
      </c>
      <c r="AA2492">
        <v>9</v>
      </c>
      <c r="AB2492">
        <v>3</v>
      </c>
      <c r="AC2492">
        <v>0</v>
      </c>
      <c r="AD2492">
        <v>10</v>
      </c>
      <c r="AE2492">
        <v>0</v>
      </c>
      <c r="AF2492">
        <v>3</v>
      </c>
      <c r="AG2492">
        <v>2</v>
      </c>
      <c r="AH2492">
        <v>0</v>
      </c>
      <c r="AI2492" t="s">
        <v>1495</v>
      </c>
      <c r="AJ2492">
        <v>39.991415000000003</v>
      </c>
      <c r="AK2492" t="s">
        <v>1496</v>
      </c>
      <c r="AL2492">
        <v>-92.732785000000007</v>
      </c>
      <c r="AM2492">
        <v>100</v>
      </c>
      <c r="AN2492">
        <v>1700</v>
      </c>
      <c r="AO2492" t="s">
        <v>118</v>
      </c>
      <c r="AP2492">
        <v>-105</v>
      </c>
      <c r="AQ2492">
        <v>77</v>
      </c>
      <c r="AR2492">
        <v>0</v>
      </c>
      <c r="AZ2492">
        <v>1200</v>
      </c>
      <c r="BA2492">
        <v>1</v>
      </c>
      <c r="BB2492" t="str">
        <f t="shared" si="121"/>
        <v xml:space="preserve">N8080G  </v>
      </c>
      <c r="BC2492">
        <v>1</v>
      </c>
      <c r="BE2492">
        <v>0</v>
      </c>
      <c r="BF2492">
        <v>0</v>
      </c>
      <c r="BG2492">
        <v>0</v>
      </c>
      <c r="BH2492">
        <v>1700</v>
      </c>
      <c r="BI2492">
        <v>1</v>
      </c>
      <c r="BJ2492">
        <v>1</v>
      </c>
      <c r="BK2492">
        <v>1</v>
      </c>
      <c r="BL2492">
        <v>0</v>
      </c>
      <c r="BO2492">
        <v>0</v>
      </c>
      <c r="BP2492">
        <v>0</v>
      </c>
      <c r="BW2492" t="str">
        <f>"20:27:47.954"</f>
        <v>20:27:47.954</v>
      </c>
      <c r="BZ2492">
        <v>0</v>
      </c>
      <c r="CA2492">
        <v>2016</v>
      </c>
      <c r="CB2492">
        <v>224</v>
      </c>
      <c r="CD2492">
        <v>1</v>
      </c>
      <c r="CE2492">
        <v>0</v>
      </c>
      <c r="CF2492">
        <v>0</v>
      </c>
      <c r="CG2492">
        <v>1</v>
      </c>
      <c r="CH2492">
        <v>0</v>
      </c>
      <c r="CI2492">
        <v>0</v>
      </c>
      <c r="CJ2492">
        <v>0</v>
      </c>
      <c r="CK2492">
        <v>2</v>
      </c>
      <c r="CL2492">
        <v>0</v>
      </c>
      <c r="CM2492">
        <v>2</v>
      </c>
      <c r="CN2492">
        <v>0</v>
      </c>
      <c r="CO2492">
        <v>7</v>
      </c>
      <c r="CP2492" t="s">
        <v>119</v>
      </c>
      <c r="CQ2492">
        <v>180</v>
      </c>
      <c r="CR2492">
        <v>3</v>
      </c>
      <c r="CW2492">
        <v>899901</v>
      </c>
      <c r="CY2492">
        <v>1</v>
      </c>
      <c r="CZ2492">
        <v>0</v>
      </c>
      <c r="DA2492">
        <v>1</v>
      </c>
      <c r="DB2492">
        <v>0</v>
      </c>
      <c r="DC2492">
        <v>0</v>
      </c>
      <c r="DD2492">
        <v>0</v>
      </c>
      <c r="DE2492">
        <v>0</v>
      </c>
      <c r="DF2492">
        <v>0</v>
      </c>
      <c r="DG2492">
        <v>0</v>
      </c>
      <c r="DH2492">
        <v>0</v>
      </c>
      <c r="DI2492">
        <v>0</v>
      </c>
    </row>
    <row r="2493" spans="1:113" x14ac:dyDescent="0.3">
      <c r="A2493" t="str">
        <f>"02/08/2021 20:27:45.625"</f>
        <v>02/08/2021 20:27:45.625</v>
      </c>
      <c r="C2493" t="str">
        <f t="shared" si="120"/>
        <v>FFDFD7C0</v>
      </c>
      <c r="D2493" t="s">
        <v>124</v>
      </c>
      <c r="E2493">
        <v>11</v>
      </c>
      <c r="F2493">
        <v>1011</v>
      </c>
      <c r="G2493" t="s">
        <v>590</v>
      </c>
      <c r="J2493" t="s">
        <v>125</v>
      </c>
      <c r="K2493">
        <v>0</v>
      </c>
      <c r="L2493">
        <v>3</v>
      </c>
      <c r="M2493">
        <v>0</v>
      </c>
      <c r="N2493">
        <v>2</v>
      </c>
      <c r="O2493">
        <v>1</v>
      </c>
      <c r="P2493">
        <v>0</v>
      </c>
      <c r="Q2493">
        <v>0</v>
      </c>
      <c r="S2493" t="str">
        <f>"20:27:47.953"</f>
        <v>20:27:47.953</v>
      </c>
      <c r="T2493" t="str">
        <f>"20:27:47.453"</f>
        <v>20:27:47.453</v>
      </c>
      <c r="U2493" t="str">
        <f t="shared" si="119"/>
        <v>AB01F4</v>
      </c>
      <c r="V2493">
        <v>0</v>
      </c>
      <c r="W2493">
        <v>0</v>
      </c>
      <c r="X2493">
        <v>2</v>
      </c>
      <c r="Z2493">
        <v>0</v>
      </c>
      <c r="AA2493">
        <v>9</v>
      </c>
      <c r="AB2493">
        <v>3</v>
      </c>
      <c r="AC2493">
        <v>0</v>
      </c>
      <c r="AD2493">
        <v>10</v>
      </c>
      <c r="AE2493">
        <v>0</v>
      </c>
      <c r="AF2493">
        <v>3</v>
      </c>
      <c r="AG2493">
        <v>2</v>
      </c>
      <c r="AH2493">
        <v>0</v>
      </c>
      <c r="AI2493" t="s">
        <v>1495</v>
      </c>
      <c r="AJ2493">
        <v>39.991415000000003</v>
      </c>
      <c r="AK2493" t="s">
        <v>1496</v>
      </c>
      <c r="AL2493">
        <v>-92.732785000000007</v>
      </c>
      <c r="AM2493">
        <v>100</v>
      </c>
      <c r="AN2493">
        <v>1700</v>
      </c>
      <c r="AO2493" t="s">
        <v>118</v>
      </c>
      <c r="AP2493">
        <v>-105</v>
      </c>
      <c r="AQ2493">
        <v>77</v>
      </c>
      <c r="AR2493">
        <v>0</v>
      </c>
      <c r="AZ2493">
        <v>1200</v>
      </c>
      <c r="BA2493">
        <v>1</v>
      </c>
      <c r="BB2493" t="str">
        <f t="shared" si="121"/>
        <v xml:space="preserve">N8080G  </v>
      </c>
      <c r="BC2493">
        <v>1</v>
      </c>
      <c r="BE2493">
        <v>0</v>
      </c>
      <c r="BF2493">
        <v>0</v>
      </c>
      <c r="BG2493">
        <v>0</v>
      </c>
      <c r="BH2493">
        <v>1700</v>
      </c>
      <c r="BI2493">
        <v>1</v>
      </c>
      <c r="BJ2493">
        <v>1</v>
      </c>
      <c r="BK2493">
        <v>1</v>
      </c>
      <c r="BL2493">
        <v>0</v>
      </c>
      <c r="BO2493">
        <v>0</v>
      </c>
      <c r="BP2493">
        <v>0</v>
      </c>
      <c r="BW2493" t="str">
        <f>"20:27:47.954"</f>
        <v>20:27:47.954</v>
      </c>
      <c r="BZ2493">
        <v>0</v>
      </c>
      <c r="CA2493">
        <v>2016</v>
      </c>
      <c r="CB2493">
        <v>224</v>
      </c>
      <c r="CD2493">
        <v>1</v>
      </c>
      <c r="CE2493">
        <v>0</v>
      </c>
      <c r="CF2493">
        <v>0</v>
      </c>
      <c r="CG2493">
        <v>1</v>
      </c>
      <c r="CH2493">
        <v>0</v>
      </c>
      <c r="CI2493">
        <v>0</v>
      </c>
      <c r="CJ2493">
        <v>0</v>
      </c>
      <c r="CK2493">
        <v>2</v>
      </c>
      <c r="CL2493">
        <v>0</v>
      </c>
      <c r="CM2493">
        <v>2</v>
      </c>
      <c r="CN2493">
        <v>0</v>
      </c>
      <c r="CO2493">
        <v>7</v>
      </c>
      <c r="CP2493" t="s">
        <v>119</v>
      </c>
      <c r="CQ2493">
        <v>180</v>
      </c>
      <c r="CR2493">
        <v>3</v>
      </c>
      <c r="CW2493">
        <v>899901</v>
      </c>
      <c r="CY2493">
        <v>1</v>
      </c>
      <c r="CZ2493">
        <v>0</v>
      </c>
      <c r="DA2493">
        <v>1</v>
      </c>
      <c r="DB2493">
        <v>0</v>
      </c>
      <c r="DC2493">
        <v>0</v>
      </c>
      <c r="DD2493">
        <v>0</v>
      </c>
      <c r="DE2493">
        <v>0</v>
      </c>
      <c r="DF2493">
        <v>0</v>
      </c>
      <c r="DG2493">
        <v>0</v>
      </c>
      <c r="DH2493">
        <v>0</v>
      </c>
      <c r="DI2493">
        <v>0</v>
      </c>
    </row>
    <row r="2494" spans="1:113" x14ac:dyDescent="0.3">
      <c r="A2494" t="str">
        <f>"02/08/2021 20:27:45.625"</f>
        <v>02/08/2021 20:27:45.625</v>
      </c>
      <c r="C2494" t="str">
        <f t="shared" si="120"/>
        <v>FFDFD7C0</v>
      </c>
      <c r="D2494" t="s">
        <v>124</v>
      </c>
      <c r="E2494">
        <v>13</v>
      </c>
      <c r="F2494">
        <v>1013</v>
      </c>
      <c r="G2494" t="s">
        <v>114</v>
      </c>
      <c r="J2494" t="s">
        <v>125</v>
      </c>
      <c r="K2494">
        <v>0</v>
      </c>
      <c r="L2494">
        <v>3</v>
      </c>
      <c r="M2494">
        <v>0</v>
      </c>
      <c r="N2494">
        <v>2</v>
      </c>
      <c r="O2494">
        <v>1</v>
      </c>
      <c r="P2494">
        <v>0</v>
      </c>
      <c r="Q2494">
        <v>0</v>
      </c>
      <c r="S2494" t="str">
        <f>"20:27:47.953"</f>
        <v>20:27:47.953</v>
      </c>
      <c r="T2494" t="str">
        <f>"20:27:47.453"</f>
        <v>20:27:47.453</v>
      </c>
      <c r="U2494" t="str">
        <f t="shared" si="119"/>
        <v>AB01F4</v>
      </c>
      <c r="V2494">
        <v>0</v>
      </c>
      <c r="W2494">
        <v>0</v>
      </c>
      <c r="X2494">
        <v>2</v>
      </c>
      <c r="Z2494">
        <v>0</v>
      </c>
      <c r="AA2494">
        <v>9</v>
      </c>
      <c r="AB2494">
        <v>3</v>
      </c>
      <c r="AC2494">
        <v>0</v>
      </c>
      <c r="AD2494">
        <v>10</v>
      </c>
      <c r="AE2494">
        <v>0</v>
      </c>
      <c r="AF2494">
        <v>3</v>
      </c>
      <c r="AG2494">
        <v>2</v>
      </c>
      <c r="AH2494">
        <v>0</v>
      </c>
      <c r="AI2494" t="s">
        <v>1495</v>
      </c>
      <c r="AJ2494">
        <v>39.991415000000003</v>
      </c>
      <c r="AK2494" t="s">
        <v>1496</v>
      </c>
      <c r="AL2494">
        <v>-92.732785000000007</v>
      </c>
      <c r="AM2494">
        <v>100</v>
      </c>
      <c r="AN2494">
        <v>1700</v>
      </c>
      <c r="AO2494" t="s">
        <v>118</v>
      </c>
      <c r="AP2494">
        <v>-105</v>
      </c>
      <c r="AQ2494">
        <v>77</v>
      </c>
      <c r="AR2494">
        <v>0</v>
      </c>
      <c r="AZ2494">
        <v>1200</v>
      </c>
      <c r="BA2494">
        <v>1</v>
      </c>
      <c r="BB2494" t="str">
        <f t="shared" si="121"/>
        <v xml:space="preserve">N8080G  </v>
      </c>
      <c r="BC2494">
        <v>1</v>
      </c>
      <c r="BE2494">
        <v>0</v>
      </c>
      <c r="BF2494">
        <v>0</v>
      </c>
      <c r="BG2494">
        <v>0</v>
      </c>
      <c r="BH2494">
        <v>1700</v>
      </c>
      <c r="BI2494">
        <v>1</v>
      </c>
      <c r="BJ2494">
        <v>1</v>
      </c>
      <c r="BK2494">
        <v>1</v>
      </c>
      <c r="BL2494">
        <v>0</v>
      </c>
      <c r="BO2494">
        <v>0</v>
      </c>
      <c r="BP2494">
        <v>0</v>
      </c>
      <c r="BW2494" t="str">
        <f>"20:27:47.954"</f>
        <v>20:27:47.954</v>
      </c>
      <c r="BZ2494">
        <v>0</v>
      </c>
      <c r="CA2494">
        <v>2016</v>
      </c>
      <c r="CB2494">
        <v>224</v>
      </c>
      <c r="CD2494">
        <v>1</v>
      </c>
      <c r="CE2494">
        <v>0</v>
      </c>
      <c r="CF2494">
        <v>0</v>
      </c>
      <c r="CG2494">
        <v>1</v>
      </c>
      <c r="CH2494">
        <v>0</v>
      </c>
      <c r="CI2494">
        <v>0</v>
      </c>
      <c r="CJ2494">
        <v>0</v>
      </c>
      <c r="CK2494">
        <v>2</v>
      </c>
      <c r="CL2494">
        <v>0</v>
      </c>
      <c r="CM2494">
        <v>2</v>
      </c>
      <c r="CN2494">
        <v>0</v>
      </c>
      <c r="CO2494">
        <v>7</v>
      </c>
      <c r="CP2494" t="s">
        <v>119</v>
      </c>
      <c r="CQ2494">
        <v>180</v>
      </c>
      <c r="CR2494">
        <v>3</v>
      </c>
      <c r="CW2494">
        <v>899901</v>
      </c>
      <c r="CY2494">
        <v>1</v>
      </c>
      <c r="CZ2494">
        <v>0</v>
      </c>
      <c r="DA2494">
        <v>1</v>
      </c>
      <c r="DB2494">
        <v>0</v>
      </c>
      <c r="DC2494">
        <v>0</v>
      </c>
      <c r="DD2494">
        <v>0</v>
      </c>
      <c r="DE2494">
        <v>0</v>
      </c>
      <c r="DF2494">
        <v>0</v>
      </c>
      <c r="DG2494">
        <v>0</v>
      </c>
      <c r="DH2494">
        <v>0</v>
      </c>
      <c r="DI2494">
        <v>0</v>
      </c>
    </row>
    <row r="2495" spans="1:113" x14ac:dyDescent="0.3">
      <c r="A2495" t="str">
        <f>"02/08/2021 20:27:46.699"</f>
        <v>02/08/2021 20:27:46.699</v>
      </c>
      <c r="C2495" t="str">
        <f t="shared" si="120"/>
        <v>FFDFD7C0</v>
      </c>
      <c r="D2495" t="s">
        <v>124</v>
      </c>
      <c r="E2495">
        <v>11</v>
      </c>
      <c r="F2495">
        <v>1011</v>
      </c>
      <c r="G2495" t="s">
        <v>590</v>
      </c>
      <c r="J2495" t="s">
        <v>125</v>
      </c>
      <c r="K2495">
        <v>0</v>
      </c>
      <c r="L2495">
        <v>3</v>
      </c>
      <c r="M2495">
        <v>0</v>
      </c>
      <c r="N2495">
        <v>2</v>
      </c>
      <c r="O2495">
        <v>1</v>
      </c>
      <c r="P2495">
        <v>0</v>
      </c>
      <c r="Q2495">
        <v>0</v>
      </c>
      <c r="S2495" t="str">
        <f>"20:27:49.016"</f>
        <v>20:27:49.016</v>
      </c>
      <c r="T2495" t="str">
        <f>"20:27:48.516"</f>
        <v>20:27:48.516</v>
      </c>
      <c r="U2495" t="str">
        <f t="shared" si="119"/>
        <v>AB01F4</v>
      </c>
      <c r="V2495">
        <v>0</v>
      </c>
      <c r="W2495">
        <v>0</v>
      </c>
      <c r="X2495">
        <v>2</v>
      </c>
      <c r="Z2495">
        <v>0</v>
      </c>
      <c r="AA2495">
        <v>9</v>
      </c>
      <c r="AB2495">
        <v>3</v>
      </c>
      <c r="AC2495">
        <v>0</v>
      </c>
      <c r="AD2495">
        <v>10</v>
      </c>
      <c r="AE2495">
        <v>0</v>
      </c>
      <c r="AF2495">
        <v>3</v>
      </c>
      <c r="AG2495">
        <v>2</v>
      </c>
      <c r="AH2495">
        <v>0</v>
      </c>
      <c r="AI2495" t="s">
        <v>1497</v>
      </c>
      <c r="AJ2495">
        <v>39.991801000000002</v>
      </c>
      <c r="AK2495" t="s">
        <v>1498</v>
      </c>
      <c r="AL2495">
        <v>-92.733407</v>
      </c>
      <c r="AM2495">
        <v>100</v>
      </c>
      <c r="AN2495">
        <v>1700</v>
      </c>
      <c r="AO2495" t="s">
        <v>118</v>
      </c>
      <c r="AP2495">
        <v>-105</v>
      </c>
      <c r="AQ2495">
        <v>77</v>
      </c>
      <c r="AR2495">
        <v>-64</v>
      </c>
      <c r="AZ2495">
        <v>1200</v>
      </c>
      <c r="BA2495">
        <v>1</v>
      </c>
      <c r="BB2495" t="str">
        <f t="shared" si="121"/>
        <v xml:space="preserve">N8080G  </v>
      </c>
      <c r="BC2495">
        <v>1</v>
      </c>
      <c r="BE2495">
        <v>0</v>
      </c>
      <c r="BF2495">
        <v>0</v>
      </c>
      <c r="BG2495">
        <v>0</v>
      </c>
      <c r="BH2495">
        <v>1700</v>
      </c>
      <c r="BI2495">
        <v>1</v>
      </c>
      <c r="BJ2495">
        <v>1</v>
      </c>
      <c r="BK2495">
        <v>1</v>
      </c>
      <c r="BL2495">
        <v>0</v>
      </c>
      <c r="BO2495">
        <v>0</v>
      </c>
      <c r="BP2495">
        <v>0</v>
      </c>
      <c r="BW2495" t="str">
        <f>"20:27:49.016"</f>
        <v>20:27:49.016</v>
      </c>
      <c r="BZ2495">
        <v>0</v>
      </c>
      <c r="CA2495">
        <v>2016</v>
      </c>
      <c r="CB2495">
        <v>224</v>
      </c>
      <c r="CD2495">
        <v>1</v>
      </c>
      <c r="CE2495">
        <v>0</v>
      </c>
      <c r="CF2495">
        <v>0</v>
      </c>
      <c r="CG2495">
        <v>1</v>
      </c>
      <c r="CH2495">
        <v>0</v>
      </c>
      <c r="CI2495">
        <v>0</v>
      </c>
      <c r="CJ2495">
        <v>0</v>
      </c>
      <c r="CK2495">
        <v>2</v>
      </c>
      <c r="CL2495">
        <v>0</v>
      </c>
      <c r="CM2495">
        <v>2</v>
      </c>
      <c r="CN2495">
        <v>0</v>
      </c>
      <c r="CO2495">
        <v>7</v>
      </c>
      <c r="CP2495" t="s">
        <v>119</v>
      </c>
      <c r="CQ2495">
        <v>180</v>
      </c>
      <c r="CR2495">
        <v>2</v>
      </c>
      <c r="CW2495">
        <v>8545147</v>
      </c>
      <c r="CY2495">
        <v>1</v>
      </c>
      <c r="CZ2495">
        <v>0</v>
      </c>
      <c r="DA2495">
        <v>0</v>
      </c>
      <c r="DB2495">
        <v>0</v>
      </c>
      <c r="DC2495">
        <v>0</v>
      </c>
      <c r="DD2495">
        <v>0</v>
      </c>
      <c r="DE2495">
        <v>0</v>
      </c>
      <c r="DF2495">
        <v>0</v>
      </c>
      <c r="DG2495">
        <v>0</v>
      </c>
      <c r="DH2495">
        <v>0</v>
      </c>
      <c r="DI2495">
        <v>0</v>
      </c>
    </row>
    <row r="2496" spans="1:113" x14ac:dyDescent="0.3">
      <c r="A2496" t="str">
        <f>"02/08/2021 20:27:46.699"</f>
        <v>02/08/2021 20:27:46.699</v>
      </c>
      <c r="C2496" t="str">
        <f t="shared" si="120"/>
        <v>FFDFD7C0</v>
      </c>
      <c r="D2496" t="s">
        <v>124</v>
      </c>
      <c r="E2496">
        <v>13</v>
      </c>
      <c r="F2496">
        <v>1013</v>
      </c>
      <c r="G2496" t="s">
        <v>114</v>
      </c>
      <c r="J2496" t="s">
        <v>125</v>
      </c>
      <c r="K2496">
        <v>0</v>
      </c>
      <c r="L2496">
        <v>3</v>
      </c>
      <c r="M2496">
        <v>0</v>
      </c>
      <c r="N2496">
        <v>2</v>
      </c>
      <c r="O2496">
        <v>1</v>
      </c>
      <c r="P2496">
        <v>0</v>
      </c>
      <c r="Q2496">
        <v>0</v>
      </c>
      <c r="S2496" t="str">
        <f>"20:27:49.016"</f>
        <v>20:27:49.016</v>
      </c>
      <c r="T2496" t="str">
        <f>"20:27:48.516"</f>
        <v>20:27:48.516</v>
      </c>
      <c r="U2496" t="str">
        <f t="shared" si="119"/>
        <v>AB01F4</v>
      </c>
      <c r="V2496">
        <v>0</v>
      </c>
      <c r="W2496">
        <v>0</v>
      </c>
      <c r="X2496">
        <v>2</v>
      </c>
      <c r="Z2496">
        <v>0</v>
      </c>
      <c r="AA2496">
        <v>9</v>
      </c>
      <c r="AB2496">
        <v>3</v>
      </c>
      <c r="AC2496">
        <v>0</v>
      </c>
      <c r="AD2496">
        <v>10</v>
      </c>
      <c r="AE2496">
        <v>0</v>
      </c>
      <c r="AF2496">
        <v>3</v>
      </c>
      <c r="AG2496">
        <v>2</v>
      </c>
      <c r="AH2496">
        <v>0</v>
      </c>
      <c r="AI2496" t="s">
        <v>1497</v>
      </c>
      <c r="AJ2496">
        <v>39.991801000000002</v>
      </c>
      <c r="AK2496" t="s">
        <v>1498</v>
      </c>
      <c r="AL2496">
        <v>-92.733407</v>
      </c>
      <c r="AM2496">
        <v>100</v>
      </c>
      <c r="AN2496">
        <v>1700</v>
      </c>
      <c r="AO2496" t="s">
        <v>118</v>
      </c>
      <c r="AP2496">
        <v>-105</v>
      </c>
      <c r="AQ2496">
        <v>77</v>
      </c>
      <c r="AR2496">
        <v>-64</v>
      </c>
      <c r="AZ2496">
        <v>1200</v>
      </c>
      <c r="BA2496">
        <v>1</v>
      </c>
      <c r="BB2496" t="str">
        <f t="shared" si="121"/>
        <v xml:space="preserve">N8080G  </v>
      </c>
      <c r="BC2496">
        <v>1</v>
      </c>
      <c r="BE2496">
        <v>0</v>
      </c>
      <c r="BF2496">
        <v>0</v>
      </c>
      <c r="BG2496">
        <v>0</v>
      </c>
      <c r="BH2496">
        <v>1700</v>
      </c>
      <c r="BI2496">
        <v>1</v>
      </c>
      <c r="BJ2496">
        <v>1</v>
      </c>
      <c r="BK2496">
        <v>1</v>
      </c>
      <c r="BL2496">
        <v>0</v>
      </c>
      <c r="BO2496">
        <v>0</v>
      </c>
      <c r="BP2496">
        <v>0</v>
      </c>
      <c r="BW2496" t="str">
        <f>"20:27:49.016"</f>
        <v>20:27:49.016</v>
      </c>
      <c r="BZ2496">
        <v>0</v>
      </c>
      <c r="CA2496">
        <v>2016</v>
      </c>
      <c r="CB2496">
        <v>224</v>
      </c>
      <c r="CD2496">
        <v>1</v>
      </c>
      <c r="CE2496">
        <v>0</v>
      </c>
      <c r="CF2496">
        <v>0</v>
      </c>
      <c r="CG2496">
        <v>1</v>
      </c>
      <c r="CH2496">
        <v>0</v>
      </c>
      <c r="CI2496">
        <v>0</v>
      </c>
      <c r="CJ2496">
        <v>0</v>
      </c>
      <c r="CK2496">
        <v>2</v>
      </c>
      <c r="CL2496">
        <v>0</v>
      </c>
      <c r="CM2496">
        <v>2</v>
      </c>
      <c r="CN2496">
        <v>0</v>
      </c>
      <c r="CO2496">
        <v>7</v>
      </c>
      <c r="CP2496" t="s">
        <v>119</v>
      </c>
      <c r="CQ2496">
        <v>180</v>
      </c>
      <c r="CR2496">
        <v>2</v>
      </c>
      <c r="CW2496">
        <v>8545147</v>
      </c>
      <c r="CY2496">
        <v>1</v>
      </c>
      <c r="CZ2496">
        <v>0</v>
      </c>
      <c r="DA2496">
        <v>1</v>
      </c>
      <c r="DB2496">
        <v>0</v>
      </c>
      <c r="DC2496">
        <v>0</v>
      </c>
      <c r="DD2496">
        <v>0</v>
      </c>
      <c r="DE2496">
        <v>0</v>
      </c>
      <c r="DF2496">
        <v>0</v>
      </c>
      <c r="DG2496">
        <v>0</v>
      </c>
      <c r="DH2496">
        <v>0</v>
      </c>
      <c r="DI2496">
        <v>0</v>
      </c>
    </row>
    <row r="2497" spans="1:113" x14ac:dyDescent="0.3">
      <c r="A2497" t="str">
        <f>"02/08/2021 20:27:46.699"</f>
        <v>02/08/2021 20:27:46.699</v>
      </c>
      <c r="C2497" t="str">
        <f t="shared" si="120"/>
        <v>FFDFD7C0</v>
      </c>
      <c r="D2497" t="s">
        <v>124</v>
      </c>
      <c r="E2497">
        <v>12</v>
      </c>
      <c r="F2497">
        <v>1012</v>
      </c>
      <c r="G2497" t="s">
        <v>675</v>
      </c>
      <c r="J2497" t="s">
        <v>125</v>
      </c>
      <c r="K2497">
        <v>0</v>
      </c>
      <c r="L2497">
        <v>3</v>
      </c>
      <c r="M2497">
        <v>0</v>
      </c>
      <c r="N2497">
        <v>2</v>
      </c>
      <c r="O2497">
        <v>1</v>
      </c>
      <c r="P2497">
        <v>0</v>
      </c>
      <c r="Q2497">
        <v>0</v>
      </c>
      <c r="S2497" t="str">
        <f>"20:27:49.016"</f>
        <v>20:27:49.016</v>
      </c>
      <c r="T2497" t="str">
        <f>"20:27:48.516"</f>
        <v>20:27:48.516</v>
      </c>
      <c r="U2497" t="str">
        <f t="shared" si="119"/>
        <v>AB01F4</v>
      </c>
      <c r="V2497">
        <v>0</v>
      </c>
      <c r="W2497">
        <v>0</v>
      </c>
      <c r="X2497">
        <v>2</v>
      </c>
      <c r="Z2497">
        <v>0</v>
      </c>
      <c r="AA2497">
        <v>9</v>
      </c>
      <c r="AB2497">
        <v>3</v>
      </c>
      <c r="AC2497">
        <v>0</v>
      </c>
      <c r="AD2497">
        <v>10</v>
      </c>
      <c r="AE2497">
        <v>0</v>
      </c>
      <c r="AF2497">
        <v>3</v>
      </c>
      <c r="AG2497">
        <v>2</v>
      </c>
      <c r="AH2497">
        <v>0</v>
      </c>
      <c r="AI2497" t="s">
        <v>1497</v>
      </c>
      <c r="AJ2497">
        <v>39.991801000000002</v>
      </c>
      <c r="AK2497" t="s">
        <v>1498</v>
      </c>
      <c r="AL2497">
        <v>-92.733407</v>
      </c>
      <c r="AM2497">
        <v>100</v>
      </c>
      <c r="AN2497">
        <v>1700</v>
      </c>
      <c r="AO2497" t="s">
        <v>118</v>
      </c>
      <c r="AP2497">
        <v>-105</v>
      </c>
      <c r="AQ2497">
        <v>77</v>
      </c>
      <c r="AR2497">
        <v>-64</v>
      </c>
      <c r="AZ2497">
        <v>1200</v>
      </c>
      <c r="BA2497">
        <v>1</v>
      </c>
      <c r="BB2497" t="str">
        <f t="shared" si="121"/>
        <v xml:space="preserve">N8080G  </v>
      </c>
      <c r="BC2497">
        <v>1</v>
      </c>
      <c r="BE2497">
        <v>0</v>
      </c>
      <c r="BF2497">
        <v>0</v>
      </c>
      <c r="BG2497">
        <v>0</v>
      </c>
      <c r="BH2497">
        <v>1700</v>
      </c>
      <c r="BI2497">
        <v>1</v>
      </c>
      <c r="BJ2497">
        <v>1</v>
      </c>
      <c r="BK2497">
        <v>1</v>
      </c>
      <c r="BL2497">
        <v>0</v>
      </c>
      <c r="BO2497">
        <v>0</v>
      </c>
      <c r="BP2497">
        <v>0</v>
      </c>
      <c r="BW2497" t="str">
        <f>"20:27:49.016"</f>
        <v>20:27:49.016</v>
      </c>
      <c r="BZ2497">
        <v>0</v>
      </c>
      <c r="CA2497">
        <v>2016</v>
      </c>
      <c r="CB2497">
        <v>224</v>
      </c>
      <c r="CD2497">
        <v>1</v>
      </c>
      <c r="CE2497">
        <v>0</v>
      </c>
      <c r="CF2497">
        <v>0</v>
      </c>
      <c r="CG2497">
        <v>1</v>
      </c>
      <c r="CH2497">
        <v>0</v>
      </c>
      <c r="CI2497">
        <v>0</v>
      </c>
      <c r="CJ2497">
        <v>0</v>
      </c>
      <c r="CK2497">
        <v>2</v>
      </c>
      <c r="CL2497">
        <v>0</v>
      </c>
      <c r="CM2497">
        <v>2</v>
      </c>
      <c r="CN2497">
        <v>0</v>
      </c>
      <c r="CO2497">
        <v>7</v>
      </c>
      <c r="CP2497" t="s">
        <v>119</v>
      </c>
      <c r="CQ2497">
        <v>180</v>
      </c>
      <c r="CR2497">
        <v>2</v>
      </c>
      <c r="CW2497">
        <v>8545147</v>
      </c>
      <c r="CY2497">
        <v>1</v>
      </c>
      <c r="CZ2497">
        <v>0</v>
      </c>
      <c r="DA2497">
        <v>1</v>
      </c>
      <c r="DB2497">
        <v>0</v>
      </c>
      <c r="DC2497">
        <v>0</v>
      </c>
      <c r="DD2497">
        <v>0</v>
      </c>
      <c r="DE2497">
        <v>0</v>
      </c>
      <c r="DF2497">
        <v>0</v>
      </c>
      <c r="DG2497">
        <v>0</v>
      </c>
      <c r="DH2497">
        <v>0</v>
      </c>
      <c r="DI2497">
        <v>0</v>
      </c>
    </row>
    <row r="2498" spans="1:113" x14ac:dyDescent="0.3">
      <c r="A2498" t="str">
        <f>"02/08/2021 20:27:46.699"</f>
        <v>02/08/2021 20:27:46.699</v>
      </c>
      <c r="C2498" t="str">
        <f t="shared" si="120"/>
        <v>FFDFD7C0</v>
      </c>
      <c r="D2498" t="s">
        <v>113</v>
      </c>
      <c r="E2498">
        <v>6</v>
      </c>
      <c r="H2498">
        <v>165</v>
      </c>
      <c r="I2498" t="s">
        <v>114</v>
      </c>
      <c r="J2498" t="s">
        <v>115</v>
      </c>
      <c r="K2498">
        <v>0</v>
      </c>
      <c r="L2498">
        <v>3</v>
      </c>
      <c r="M2498">
        <v>0</v>
      </c>
      <c r="N2498">
        <v>2</v>
      </c>
      <c r="O2498">
        <v>1</v>
      </c>
      <c r="P2498">
        <v>0</v>
      </c>
      <c r="Q2498">
        <v>0</v>
      </c>
      <c r="S2498" t="str">
        <f>"20:27:49.016"</f>
        <v>20:27:49.016</v>
      </c>
      <c r="T2498" t="str">
        <f>"20:27:48.516"</f>
        <v>20:27:48.516</v>
      </c>
      <c r="U2498" t="str">
        <f t="shared" ref="U2498:U2561" si="122">"AB01F4"</f>
        <v>AB01F4</v>
      </c>
      <c r="V2498">
        <v>0</v>
      </c>
      <c r="W2498">
        <v>0</v>
      </c>
      <c r="X2498">
        <v>2</v>
      </c>
      <c r="Z2498">
        <v>0</v>
      </c>
      <c r="AA2498">
        <v>9</v>
      </c>
      <c r="AB2498">
        <v>3</v>
      </c>
      <c r="AC2498">
        <v>0</v>
      </c>
      <c r="AD2498">
        <v>10</v>
      </c>
      <c r="AE2498">
        <v>0</v>
      </c>
      <c r="AF2498">
        <v>3</v>
      </c>
      <c r="AG2498">
        <v>2</v>
      </c>
      <c r="AH2498">
        <v>0</v>
      </c>
      <c r="AI2498" t="s">
        <v>1497</v>
      </c>
      <c r="AJ2498">
        <v>39.991801000000002</v>
      </c>
      <c r="AK2498" t="s">
        <v>1498</v>
      </c>
      <c r="AL2498">
        <v>-92.733407</v>
      </c>
      <c r="AM2498">
        <v>100</v>
      </c>
      <c r="AN2498">
        <v>1700</v>
      </c>
      <c r="AO2498" t="s">
        <v>118</v>
      </c>
      <c r="AP2498">
        <v>-105</v>
      </c>
      <c r="AQ2498">
        <v>77</v>
      </c>
      <c r="AR2498">
        <v>-64</v>
      </c>
      <c r="AZ2498">
        <v>1200</v>
      </c>
      <c r="BA2498">
        <v>1</v>
      </c>
      <c r="BB2498" t="str">
        <f t="shared" si="121"/>
        <v xml:space="preserve">N8080G  </v>
      </c>
      <c r="BC2498">
        <v>1</v>
      </c>
      <c r="BE2498">
        <v>0</v>
      </c>
      <c r="BF2498">
        <v>0</v>
      </c>
      <c r="BG2498">
        <v>0</v>
      </c>
      <c r="BH2498">
        <v>1700</v>
      </c>
      <c r="BI2498">
        <v>1</v>
      </c>
      <c r="BJ2498">
        <v>1</v>
      </c>
      <c r="BK2498">
        <v>1</v>
      </c>
      <c r="BL2498">
        <v>0</v>
      </c>
      <c r="BO2498">
        <v>0</v>
      </c>
      <c r="BP2498">
        <v>0</v>
      </c>
      <c r="BW2498" t="str">
        <f>"20:27:49.016"</f>
        <v>20:27:49.016</v>
      </c>
      <c r="BZ2498">
        <v>0</v>
      </c>
      <c r="CA2498">
        <v>2016</v>
      </c>
      <c r="CB2498">
        <v>224</v>
      </c>
      <c r="CD2498">
        <v>1</v>
      </c>
      <c r="CE2498">
        <v>0</v>
      </c>
      <c r="CF2498">
        <v>0</v>
      </c>
      <c r="CG2498">
        <v>1</v>
      </c>
      <c r="CH2498">
        <v>0</v>
      </c>
      <c r="CI2498">
        <v>0</v>
      </c>
      <c r="CJ2498">
        <v>0</v>
      </c>
      <c r="CK2498">
        <v>2</v>
      </c>
      <c r="CL2498">
        <v>0</v>
      </c>
      <c r="CM2498">
        <v>2</v>
      </c>
      <c r="CN2498">
        <v>0</v>
      </c>
      <c r="CO2498">
        <v>7</v>
      </c>
      <c r="CP2498" t="s">
        <v>119</v>
      </c>
      <c r="CQ2498">
        <v>180</v>
      </c>
      <c r="CR2498">
        <v>2</v>
      </c>
      <c r="CW2498">
        <v>8545147</v>
      </c>
      <c r="CY2498">
        <v>1</v>
      </c>
      <c r="CZ2498">
        <v>0</v>
      </c>
      <c r="DA2498">
        <v>1</v>
      </c>
      <c r="DB2498">
        <v>0</v>
      </c>
      <c r="DC2498">
        <v>0</v>
      </c>
      <c r="DD2498">
        <v>0</v>
      </c>
      <c r="DE2498">
        <v>0</v>
      </c>
      <c r="DF2498">
        <v>0</v>
      </c>
      <c r="DG2498">
        <v>0</v>
      </c>
      <c r="DH2498">
        <v>0</v>
      </c>
      <c r="DI2498">
        <v>0</v>
      </c>
    </row>
    <row r="2499" spans="1:113" x14ac:dyDescent="0.3">
      <c r="A2499" t="str">
        <f>"02/08/2021 20:27:47.573"</f>
        <v>02/08/2021 20:27:47.573</v>
      </c>
      <c r="C2499" t="str">
        <f t="shared" si="120"/>
        <v>FFDFD7C0</v>
      </c>
      <c r="D2499" t="s">
        <v>124</v>
      </c>
      <c r="E2499">
        <v>13</v>
      </c>
      <c r="F2499">
        <v>1013</v>
      </c>
      <c r="G2499" t="s">
        <v>114</v>
      </c>
      <c r="J2499" t="s">
        <v>125</v>
      </c>
      <c r="K2499">
        <v>0</v>
      </c>
      <c r="L2499">
        <v>3</v>
      </c>
      <c r="M2499">
        <v>0</v>
      </c>
      <c r="N2499">
        <v>2</v>
      </c>
      <c r="O2499">
        <v>1</v>
      </c>
      <c r="P2499">
        <v>0</v>
      </c>
      <c r="Q2499">
        <v>0</v>
      </c>
      <c r="S2499" t="str">
        <f>"20:27:49.875"</f>
        <v>20:27:49.875</v>
      </c>
      <c r="T2499" t="str">
        <f>"20:27:49.475"</f>
        <v>20:27:49.475</v>
      </c>
      <c r="U2499" t="str">
        <f t="shared" si="122"/>
        <v>AB01F4</v>
      </c>
      <c r="V2499">
        <v>0</v>
      </c>
      <c r="W2499">
        <v>0</v>
      </c>
      <c r="X2499">
        <v>2</v>
      </c>
      <c r="Z2499">
        <v>0</v>
      </c>
      <c r="AA2499">
        <v>9</v>
      </c>
      <c r="AB2499">
        <v>3</v>
      </c>
      <c r="AC2499">
        <v>0</v>
      </c>
      <c r="AD2499">
        <v>10</v>
      </c>
      <c r="AE2499">
        <v>0</v>
      </c>
      <c r="AF2499">
        <v>3</v>
      </c>
      <c r="AG2499">
        <v>2</v>
      </c>
      <c r="AH2499">
        <v>0</v>
      </c>
      <c r="AI2499" t="s">
        <v>1499</v>
      </c>
      <c r="AJ2499">
        <v>39.992144000000003</v>
      </c>
      <c r="AK2499" t="s">
        <v>1500</v>
      </c>
      <c r="AL2499">
        <v>-92.733964999999998</v>
      </c>
      <c r="AM2499">
        <v>100</v>
      </c>
      <c r="AN2499">
        <v>1700</v>
      </c>
      <c r="AO2499" t="s">
        <v>118</v>
      </c>
      <c r="AP2499">
        <v>-105</v>
      </c>
      <c r="AQ2499">
        <v>77</v>
      </c>
      <c r="AR2499">
        <v>-64</v>
      </c>
      <c r="AZ2499">
        <v>1200</v>
      </c>
      <c r="BA2499">
        <v>1</v>
      </c>
      <c r="BB2499" t="str">
        <f t="shared" si="121"/>
        <v xml:space="preserve">N8080G  </v>
      </c>
      <c r="BC2499">
        <v>1</v>
      </c>
      <c r="BE2499">
        <v>0</v>
      </c>
      <c r="BF2499">
        <v>0</v>
      </c>
      <c r="BG2499">
        <v>0</v>
      </c>
      <c r="BH2499">
        <v>1700</v>
      </c>
      <c r="BI2499">
        <v>1</v>
      </c>
      <c r="BJ2499">
        <v>1</v>
      </c>
      <c r="BK2499">
        <v>1</v>
      </c>
      <c r="BL2499">
        <v>0</v>
      </c>
      <c r="BO2499">
        <v>0</v>
      </c>
      <c r="BP2499">
        <v>0</v>
      </c>
      <c r="BW2499" t="str">
        <f>"20:27:49.880"</f>
        <v>20:27:49.880</v>
      </c>
      <c r="BZ2499">
        <v>0</v>
      </c>
      <c r="CA2499">
        <v>2016</v>
      </c>
      <c r="CB2499">
        <v>224</v>
      </c>
      <c r="CD2499">
        <v>1</v>
      </c>
      <c r="CE2499">
        <v>0</v>
      </c>
      <c r="CF2499">
        <v>0</v>
      </c>
      <c r="CG2499">
        <v>1</v>
      </c>
      <c r="CH2499">
        <v>0</v>
      </c>
      <c r="CI2499">
        <v>0</v>
      </c>
      <c r="CJ2499">
        <v>0</v>
      </c>
      <c r="CK2499">
        <v>2</v>
      </c>
      <c r="CL2499">
        <v>0</v>
      </c>
      <c r="CM2499">
        <v>2</v>
      </c>
      <c r="CN2499">
        <v>0</v>
      </c>
      <c r="CO2499">
        <v>2</v>
      </c>
      <c r="CP2499" t="s">
        <v>119</v>
      </c>
      <c r="CQ2499">
        <v>179</v>
      </c>
      <c r="CR2499">
        <v>2</v>
      </c>
      <c r="CW2499">
        <v>12157515</v>
      </c>
      <c r="CY2499">
        <v>1</v>
      </c>
      <c r="CZ2499">
        <v>0</v>
      </c>
      <c r="DA2499">
        <v>0</v>
      </c>
      <c r="DB2499">
        <v>0</v>
      </c>
      <c r="DC2499">
        <v>0</v>
      </c>
      <c r="DD2499">
        <v>0</v>
      </c>
      <c r="DE2499">
        <v>0</v>
      </c>
      <c r="DF2499">
        <v>0</v>
      </c>
      <c r="DG2499">
        <v>0</v>
      </c>
      <c r="DH2499">
        <v>0</v>
      </c>
      <c r="DI2499">
        <v>0</v>
      </c>
    </row>
    <row r="2500" spans="1:113" x14ac:dyDescent="0.3">
      <c r="A2500" t="str">
        <f>"02/08/2021 20:27:47.573"</f>
        <v>02/08/2021 20:27:47.573</v>
      </c>
      <c r="C2500" t="str">
        <f t="shared" si="120"/>
        <v>FFDFD7C0</v>
      </c>
      <c r="D2500" t="s">
        <v>124</v>
      </c>
      <c r="E2500">
        <v>12</v>
      </c>
      <c r="F2500">
        <v>1012</v>
      </c>
      <c r="G2500" t="s">
        <v>675</v>
      </c>
      <c r="J2500" t="s">
        <v>125</v>
      </c>
      <c r="K2500">
        <v>0</v>
      </c>
      <c r="L2500">
        <v>3</v>
      </c>
      <c r="M2500">
        <v>0</v>
      </c>
      <c r="N2500">
        <v>2</v>
      </c>
      <c r="O2500">
        <v>1</v>
      </c>
      <c r="P2500">
        <v>0</v>
      </c>
      <c r="Q2500">
        <v>0</v>
      </c>
      <c r="S2500" t="str">
        <f>"20:27:49.875"</f>
        <v>20:27:49.875</v>
      </c>
      <c r="T2500" t="str">
        <f>"20:27:49.475"</f>
        <v>20:27:49.475</v>
      </c>
      <c r="U2500" t="str">
        <f t="shared" si="122"/>
        <v>AB01F4</v>
      </c>
      <c r="V2500">
        <v>0</v>
      </c>
      <c r="W2500">
        <v>0</v>
      </c>
      <c r="X2500">
        <v>2</v>
      </c>
      <c r="Z2500">
        <v>0</v>
      </c>
      <c r="AA2500">
        <v>9</v>
      </c>
      <c r="AB2500">
        <v>3</v>
      </c>
      <c r="AC2500">
        <v>0</v>
      </c>
      <c r="AD2500">
        <v>10</v>
      </c>
      <c r="AE2500">
        <v>0</v>
      </c>
      <c r="AF2500">
        <v>3</v>
      </c>
      <c r="AG2500">
        <v>2</v>
      </c>
      <c r="AH2500">
        <v>0</v>
      </c>
      <c r="AI2500" t="s">
        <v>1499</v>
      </c>
      <c r="AJ2500">
        <v>39.992144000000003</v>
      </c>
      <c r="AK2500" t="s">
        <v>1500</v>
      </c>
      <c r="AL2500">
        <v>-92.733964999999998</v>
      </c>
      <c r="AM2500">
        <v>100</v>
      </c>
      <c r="AN2500">
        <v>1700</v>
      </c>
      <c r="AO2500" t="s">
        <v>118</v>
      </c>
      <c r="AP2500">
        <v>-105</v>
      </c>
      <c r="AQ2500">
        <v>77</v>
      </c>
      <c r="AR2500">
        <v>-64</v>
      </c>
      <c r="AZ2500">
        <v>1200</v>
      </c>
      <c r="BA2500">
        <v>1</v>
      </c>
      <c r="BB2500" t="str">
        <f t="shared" si="121"/>
        <v xml:space="preserve">N8080G  </v>
      </c>
      <c r="BC2500">
        <v>1</v>
      </c>
      <c r="BE2500">
        <v>0</v>
      </c>
      <c r="BF2500">
        <v>0</v>
      </c>
      <c r="BG2500">
        <v>0</v>
      </c>
      <c r="BH2500">
        <v>1700</v>
      </c>
      <c r="BI2500">
        <v>1</v>
      </c>
      <c r="BJ2500">
        <v>1</v>
      </c>
      <c r="BK2500">
        <v>1</v>
      </c>
      <c r="BL2500">
        <v>0</v>
      </c>
      <c r="BO2500">
        <v>0</v>
      </c>
      <c r="BP2500">
        <v>0</v>
      </c>
      <c r="BW2500" t="str">
        <f>"20:27:49.880"</f>
        <v>20:27:49.880</v>
      </c>
      <c r="BZ2500">
        <v>0</v>
      </c>
      <c r="CA2500">
        <v>2016</v>
      </c>
      <c r="CB2500">
        <v>224</v>
      </c>
      <c r="CD2500">
        <v>1</v>
      </c>
      <c r="CE2500">
        <v>0</v>
      </c>
      <c r="CF2500">
        <v>0</v>
      </c>
      <c r="CG2500">
        <v>1</v>
      </c>
      <c r="CH2500">
        <v>0</v>
      </c>
      <c r="CI2500">
        <v>0</v>
      </c>
      <c r="CJ2500">
        <v>0</v>
      </c>
      <c r="CK2500">
        <v>2</v>
      </c>
      <c r="CL2500">
        <v>0</v>
      </c>
      <c r="CM2500">
        <v>2</v>
      </c>
      <c r="CN2500">
        <v>0</v>
      </c>
      <c r="CO2500">
        <v>2</v>
      </c>
      <c r="CP2500" t="s">
        <v>119</v>
      </c>
      <c r="CQ2500">
        <v>179</v>
      </c>
      <c r="CR2500">
        <v>2</v>
      </c>
      <c r="CW2500">
        <v>12157515</v>
      </c>
      <c r="CY2500">
        <v>1</v>
      </c>
      <c r="CZ2500">
        <v>0</v>
      </c>
      <c r="DA2500">
        <v>1</v>
      </c>
      <c r="DB2500">
        <v>0</v>
      </c>
      <c r="DC2500">
        <v>0</v>
      </c>
      <c r="DD2500">
        <v>0</v>
      </c>
      <c r="DE2500">
        <v>0</v>
      </c>
      <c r="DF2500">
        <v>0</v>
      </c>
      <c r="DG2500">
        <v>0</v>
      </c>
      <c r="DH2500">
        <v>0</v>
      </c>
      <c r="DI2500">
        <v>0</v>
      </c>
    </row>
    <row r="2501" spans="1:113" x14ac:dyDescent="0.3">
      <c r="A2501" t="str">
        <f>"02/08/2021 20:27:47.573"</f>
        <v>02/08/2021 20:27:47.573</v>
      </c>
      <c r="C2501" t="str">
        <f t="shared" si="120"/>
        <v>FFDFD7C0</v>
      </c>
      <c r="D2501" t="s">
        <v>113</v>
      </c>
      <c r="E2501">
        <v>6</v>
      </c>
      <c r="H2501">
        <v>165</v>
      </c>
      <c r="I2501" t="s">
        <v>114</v>
      </c>
      <c r="J2501" t="s">
        <v>115</v>
      </c>
      <c r="K2501">
        <v>0</v>
      </c>
      <c r="L2501">
        <v>3</v>
      </c>
      <c r="M2501">
        <v>0</v>
      </c>
      <c r="N2501">
        <v>2</v>
      </c>
      <c r="O2501">
        <v>1</v>
      </c>
      <c r="P2501">
        <v>0</v>
      </c>
      <c r="Q2501">
        <v>0</v>
      </c>
      <c r="S2501" t="str">
        <f>"20:27:49.875"</f>
        <v>20:27:49.875</v>
      </c>
      <c r="T2501" t="str">
        <f>"20:27:49.475"</f>
        <v>20:27:49.475</v>
      </c>
      <c r="U2501" t="str">
        <f t="shared" si="122"/>
        <v>AB01F4</v>
      </c>
      <c r="V2501">
        <v>0</v>
      </c>
      <c r="W2501">
        <v>0</v>
      </c>
      <c r="X2501">
        <v>2</v>
      </c>
      <c r="Z2501">
        <v>0</v>
      </c>
      <c r="AA2501">
        <v>9</v>
      </c>
      <c r="AB2501">
        <v>3</v>
      </c>
      <c r="AC2501">
        <v>0</v>
      </c>
      <c r="AD2501">
        <v>10</v>
      </c>
      <c r="AE2501">
        <v>0</v>
      </c>
      <c r="AF2501">
        <v>3</v>
      </c>
      <c r="AG2501">
        <v>2</v>
      </c>
      <c r="AH2501">
        <v>0</v>
      </c>
      <c r="AI2501" t="s">
        <v>1499</v>
      </c>
      <c r="AJ2501">
        <v>39.992144000000003</v>
      </c>
      <c r="AK2501" t="s">
        <v>1500</v>
      </c>
      <c r="AL2501">
        <v>-92.733964999999998</v>
      </c>
      <c r="AM2501">
        <v>100</v>
      </c>
      <c r="AN2501">
        <v>1700</v>
      </c>
      <c r="AO2501" t="s">
        <v>118</v>
      </c>
      <c r="AP2501">
        <v>-105</v>
      </c>
      <c r="AQ2501">
        <v>77</v>
      </c>
      <c r="AR2501">
        <v>-64</v>
      </c>
      <c r="AZ2501">
        <v>1200</v>
      </c>
      <c r="BA2501">
        <v>1</v>
      </c>
      <c r="BB2501" t="str">
        <f t="shared" si="121"/>
        <v xml:space="preserve">N8080G  </v>
      </c>
      <c r="BC2501">
        <v>1</v>
      </c>
      <c r="BE2501">
        <v>0</v>
      </c>
      <c r="BF2501">
        <v>0</v>
      </c>
      <c r="BG2501">
        <v>0</v>
      </c>
      <c r="BH2501">
        <v>1700</v>
      </c>
      <c r="BI2501">
        <v>1</v>
      </c>
      <c r="BJ2501">
        <v>1</v>
      </c>
      <c r="BK2501">
        <v>1</v>
      </c>
      <c r="BL2501">
        <v>0</v>
      </c>
      <c r="BO2501">
        <v>0</v>
      </c>
      <c r="BP2501">
        <v>0</v>
      </c>
      <c r="BW2501" t="str">
        <f>"20:27:49.880"</f>
        <v>20:27:49.880</v>
      </c>
      <c r="BZ2501">
        <v>0</v>
      </c>
      <c r="CA2501">
        <v>2016</v>
      </c>
      <c r="CB2501">
        <v>224</v>
      </c>
      <c r="CD2501">
        <v>1</v>
      </c>
      <c r="CE2501">
        <v>0</v>
      </c>
      <c r="CF2501">
        <v>0</v>
      </c>
      <c r="CG2501">
        <v>1</v>
      </c>
      <c r="CH2501">
        <v>0</v>
      </c>
      <c r="CI2501">
        <v>0</v>
      </c>
      <c r="CJ2501">
        <v>0</v>
      </c>
      <c r="CK2501">
        <v>2</v>
      </c>
      <c r="CL2501">
        <v>0</v>
      </c>
      <c r="CM2501">
        <v>2</v>
      </c>
      <c r="CN2501">
        <v>0</v>
      </c>
      <c r="CO2501">
        <v>2</v>
      </c>
      <c r="CP2501" t="s">
        <v>119</v>
      </c>
      <c r="CQ2501">
        <v>179</v>
      </c>
      <c r="CR2501">
        <v>2</v>
      </c>
      <c r="CW2501">
        <v>12157515</v>
      </c>
      <c r="CY2501">
        <v>1</v>
      </c>
      <c r="CZ2501">
        <v>0</v>
      </c>
      <c r="DA2501">
        <v>1</v>
      </c>
      <c r="DB2501">
        <v>0</v>
      </c>
      <c r="DC2501">
        <v>0</v>
      </c>
      <c r="DD2501">
        <v>0</v>
      </c>
      <c r="DE2501">
        <v>0</v>
      </c>
      <c r="DF2501">
        <v>0</v>
      </c>
      <c r="DG2501">
        <v>0</v>
      </c>
      <c r="DH2501">
        <v>0</v>
      </c>
      <c r="DI2501">
        <v>0</v>
      </c>
    </row>
    <row r="2502" spans="1:113" x14ac:dyDescent="0.3">
      <c r="A2502" t="str">
        <f>"02/08/2021 20:27:47.573"</f>
        <v>02/08/2021 20:27:47.573</v>
      </c>
      <c r="C2502" t="str">
        <f t="shared" si="120"/>
        <v>FFDFD7C0</v>
      </c>
      <c r="D2502" t="s">
        <v>124</v>
      </c>
      <c r="E2502">
        <v>11</v>
      </c>
      <c r="F2502">
        <v>1011</v>
      </c>
      <c r="G2502" t="s">
        <v>590</v>
      </c>
      <c r="J2502" t="s">
        <v>125</v>
      </c>
      <c r="K2502">
        <v>0</v>
      </c>
      <c r="L2502">
        <v>3</v>
      </c>
      <c r="M2502">
        <v>0</v>
      </c>
      <c r="N2502">
        <v>2</v>
      </c>
      <c r="O2502">
        <v>1</v>
      </c>
      <c r="P2502">
        <v>0</v>
      </c>
      <c r="Q2502">
        <v>0</v>
      </c>
      <c r="S2502" t="str">
        <f>"20:27:49.875"</f>
        <v>20:27:49.875</v>
      </c>
      <c r="T2502" t="str">
        <f>"20:27:49.475"</f>
        <v>20:27:49.475</v>
      </c>
      <c r="U2502" t="str">
        <f t="shared" si="122"/>
        <v>AB01F4</v>
      </c>
      <c r="V2502">
        <v>0</v>
      </c>
      <c r="W2502">
        <v>0</v>
      </c>
      <c r="X2502">
        <v>2</v>
      </c>
      <c r="Z2502">
        <v>0</v>
      </c>
      <c r="AA2502">
        <v>9</v>
      </c>
      <c r="AB2502">
        <v>3</v>
      </c>
      <c r="AC2502">
        <v>0</v>
      </c>
      <c r="AD2502">
        <v>10</v>
      </c>
      <c r="AE2502">
        <v>0</v>
      </c>
      <c r="AF2502">
        <v>3</v>
      </c>
      <c r="AG2502">
        <v>2</v>
      </c>
      <c r="AH2502">
        <v>0</v>
      </c>
      <c r="AI2502" t="s">
        <v>1499</v>
      </c>
      <c r="AJ2502">
        <v>39.992144000000003</v>
      </c>
      <c r="AK2502" t="s">
        <v>1500</v>
      </c>
      <c r="AL2502">
        <v>-92.733964999999998</v>
      </c>
      <c r="AM2502">
        <v>100</v>
      </c>
      <c r="AN2502">
        <v>1700</v>
      </c>
      <c r="AO2502" t="s">
        <v>118</v>
      </c>
      <c r="AP2502">
        <v>-105</v>
      </c>
      <c r="AQ2502">
        <v>77</v>
      </c>
      <c r="AR2502">
        <v>-64</v>
      </c>
      <c r="AZ2502">
        <v>1200</v>
      </c>
      <c r="BA2502">
        <v>1</v>
      </c>
      <c r="BB2502" t="str">
        <f t="shared" si="121"/>
        <v xml:space="preserve">N8080G  </v>
      </c>
      <c r="BC2502">
        <v>1</v>
      </c>
      <c r="BE2502">
        <v>0</v>
      </c>
      <c r="BF2502">
        <v>0</v>
      </c>
      <c r="BG2502">
        <v>0</v>
      </c>
      <c r="BH2502">
        <v>1700</v>
      </c>
      <c r="BI2502">
        <v>1</v>
      </c>
      <c r="BJ2502">
        <v>1</v>
      </c>
      <c r="BK2502">
        <v>1</v>
      </c>
      <c r="BL2502">
        <v>0</v>
      </c>
      <c r="BO2502">
        <v>0</v>
      </c>
      <c r="BP2502">
        <v>0</v>
      </c>
      <c r="BW2502" t="str">
        <f>"20:27:49.880"</f>
        <v>20:27:49.880</v>
      </c>
      <c r="BZ2502">
        <v>0</v>
      </c>
      <c r="CA2502">
        <v>2016</v>
      </c>
      <c r="CB2502">
        <v>224</v>
      </c>
      <c r="CD2502">
        <v>1</v>
      </c>
      <c r="CE2502">
        <v>0</v>
      </c>
      <c r="CF2502">
        <v>0</v>
      </c>
      <c r="CG2502">
        <v>1</v>
      </c>
      <c r="CH2502">
        <v>0</v>
      </c>
      <c r="CI2502">
        <v>0</v>
      </c>
      <c r="CJ2502">
        <v>0</v>
      </c>
      <c r="CK2502">
        <v>2</v>
      </c>
      <c r="CL2502">
        <v>0</v>
      </c>
      <c r="CM2502">
        <v>2</v>
      </c>
      <c r="CN2502">
        <v>0</v>
      </c>
      <c r="CO2502">
        <v>2</v>
      </c>
      <c r="CP2502" t="s">
        <v>119</v>
      </c>
      <c r="CQ2502">
        <v>179</v>
      </c>
      <c r="CR2502">
        <v>2</v>
      </c>
      <c r="CW2502">
        <v>12157515</v>
      </c>
      <c r="CY2502">
        <v>1</v>
      </c>
      <c r="CZ2502">
        <v>0</v>
      </c>
      <c r="DA2502">
        <v>1</v>
      </c>
      <c r="DB2502">
        <v>0</v>
      </c>
      <c r="DC2502">
        <v>0</v>
      </c>
      <c r="DD2502">
        <v>0</v>
      </c>
      <c r="DE2502">
        <v>0</v>
      </c>
      <c r="DF2502">
        <v>0</v>
      </c>
      <c r="DG2502">
        <v>0</v>
      </c>
      <c r="DH2502">
        <v>0</v>
      </c>
      <c r="DI2502">
        <v>0</v>
      </c>
    </row>
    <row r="2503" spans="1:113" x14ac:dyDescent="0.3">
      <c r="A2503" t="str">
        <f>"02/08/2021 20:27:48.579"</f>
        <v>02/08/2021 20:27:48.579</v>
      </c>
      <c r="C2503" t="str">
        <f t="shared" si="120"/>
        <v>FFDFD7C0</v>
      </c>
      <c r="D2503" t="s">
        <v>124</v>
      </c>
      <c r="E2503">
        <v>13</v>
      </c>
      <c r="F2503">
        <v>1013</v>
      </c>
      <c r="G2503" t="s">
        <v>114</v>
      </c>
      <c r="J2503" t="s">
        <v>125</v>
      </c>
      <c r="K2503">
        <v>0</v>
      </c>
      <c r="L2503">
        <v>3</v>
      </c>
      <c r="M2503">
        <v>0</v>
      </c>
      <c r="N2503">
        <v>2</v>
      </c>
      <c r="O2503">
        <v>1</v>
      </c>
      <c r="P2503">
        <v>0</v>
      </c>
      <c r="Q2503">
        <v>0</v>
      </c>
      <c r="S2503" t="str">
        <f>"20:27:50.906"</f>
        <v>20:27:50.906</v>
      </c>
      <c r="T2503" t="str">
        <f>"20:27:50.506"</f>
        <v>20:27:50.506</v>
      </c>
      <c r="U2503" t="str">
        <f t="shared" si="122"/>
        <v>AB01F4</v>
      </c>
      <c r="V2503">
        <v>0</v>
      </c>
      <c r="W2503">
        <v>0</v>
      </c>
      <c r="X2503">
        <v>2</v>
      </c>
      <c r="Z2503">
        <v>0</v>
      </c>
      <c r="AA2503">
        <v>9</v>
      </c>
      <c r="AB2503">
        <v>3</v>
      </c>
      <c r="AC2503">
        <v>0</v>
      </c>
      <c r="AD2503">
        <v>10</v>
      </c>
      <c r="AE2503">
        <v>0</v>
      </c>
      <c r="AF2503">
        <v>3</v>
      </c>
      <c r="AG2503">
        <v>2</v>
      </c>
      <c r="AH2503">
        <v>0</v>
      </c>
      <c r="AI2503" t="s">
        <v>1501</v>
      </c>
      <c r="AJ2503">
        <v>39.992466</v>
      </c>
      <c r="AK2503" t="s">
        <v>1502</v>
      </c>
      <c r="AL2503">
        <v>-92.734587000000005</v>
      </c>
      <c r="AM2503">
        <v>100</v>
      </c>
      <c r="AN2503">
        <v>1700</v>
      </c>
      <c r="AO2503" t="s">
        <v>118</v>
      </c>
      <c r="AP2503">
        <v>-106</v>
      </c>
      <c r="AQ2503">
        <v>77</v>
      </c>
      <c r="AR2503">
        <v>-128</v>
      </c>
      <c r="AZ2503">
        <v>1200</v>
      </c>
      <c r="BA2503">
        <v>1</v>
      </c>
      <c r="BB2503" t="str">
        <f t="shared" si="121"/>
        <v xml:space="preserve">N8080G  </v>
      </c>
      <c r="BC2503">
        <v>1</v>
      </c>
      <c r="BE2503">
        <v>0</v>
      </c>
      <c r="BF2503">
        <v>0</v>
      </c>
      <c r="BG2503">
        <v>0</v>
      </c>
      <c r="BH2503">
        <v>1700</v>
      </c>
      <c r="BI2503">
        <v>1</v>
      </c>
      <c r="BJ2503">
        <v>1</v>
      </c>
      <c r="BK2503">
        <v>1</v>
      </c>
      <c r="BL2503">
        <v>0</v>
      </c>
      <c r="BO2503">
        <v>0</v>
      </c>
      <c r="BP2503">
        <v>0</v>
      </c>
      <c r="BW2503" t="str">
        <f>"20:27:50.912"</f>
        <v>20:27:50.912</v>
      </c>
      <c r="BZ2503">
        <v>0</v>
      </c>
      <c r="CA2503">
        <v>2016</v>
      </c>
      <c r="CB2503">
        <v>224</v>
      </c>
      <c r="CD2503">
        <v>1</v>
      </c>
      <c r="CE2503">
        <v>0</v>
      </c>
      <c r="CF2503">
        <v>0</v>
      </c>
      <c r="CG2503">
        <v>1</v>
      </c>
      <c r="CH2503">
        <v>0</v>
      </c>
      <c r="CI2503">
        <v>0</v>
      </c>
      <c r="CJ2503">
        <v>0</v>
      </c>
      <c r="CK2503">
        <v>2</v>
      </c>
      <c r="CL2503">
        <v>0</v>
      </c>
      <c r="CM2503">
        <v>2</v>
      </c>
      <c r="CN2503">
        <v>0</v>
      </c>
      <c r="CO2503">
        <v>4</v>
      </c>
      <c r="CP2503" t="s">
        <v>119</v>
      </c>
      <c r="CQ2503">
        <v>179</v>
      </c>
      <c r="CR2503">
        <v>1</v>
      </c>
      <c r="CW2503">
        <v>8997064</v>
      </c>
      <c r="CY2503">
        <v>1</v>
      </c>
      <c r="CZ2503">
        <v>0</v>
      </c>
      <c r="DA2503">
        <v>0</v>
      </c>
      <c r="DB2503">
        <v>0</v>
      </c>
      <c r="DC2503">
        <v>0</v>
      </c>
      <c r="DD2503">
        <v>0</v>
      </c>
      <c r="DE2503">
        <v>0</v>
      </c>
      <c r="DF2503">
        <v>0</v>
      </c>
      <c r="DG2503">
        <v>0</v>
      </c>
      <c r="DH2503">
        <v>0</v>
      </c>
      <c r="DI2503">
        <v>0</v>
      </c>
    </row>
    <row r="2504" spans="1:113" x14ac:dyDescent="0.3">
      <c r="A2504" t="str">
        <f>"02/08/2021 20:27:48.579"</f>
        <v>02/08/2021 20:27:48.579</v>
      </c>
      <c r="C2504" t="str">
        <f t="shared" si="120"/>
        <v>FFDFD7C0</v>
      </c>
      <c r="D2504" t="s">
        <v>124</v>
      </c>
      <c r="E2504">
        <v>12</v>
      </c>
      <c r="F2504">
        <v>1012</v>
      </c>
      <c r="G2504" t="s">
        <v>675</v>
      </c>
      <c r="J2504" t="s">
        <v>125</v>
      </c>
      <c r="K2504">
        <v>0</v>
      </c>
      <c r="L2504">
        <v>3</v>
      </c>
      <c r="M2504">
        <v>0</v>
      </c>
      <c r="N2504">
        <v>2</v>
      </c>
      <c r="O2504">
        <v>1</v>
      </c>
      <c r="P2504">
        <v>0</v>
      </c>
      <c r="Q2504">
        <v>0</v>
      </c>
      <c r="S2504" t="str">
        <f>"20:27:50.906"</f>
        <v>20:27:50.906</v>
      </c>
      <c r="T2504" t="str">
        <f>"20:27:50.506"</f>
        <v>20:27:50.506</v>
      </c>
      <c r="U2504" t="str">
        <f t="shared" si="122"/>
        <v>AB01F4</v>
      </c>
      <c r="V2504">
        <v>0</v>
      </c>
      <c r="W2504">
        <v>0</v>
      </c>
      <c r="X2504">
        <v>2</v>
      </c>
      <c r="Z2504">
        <v>0</v>
      </c>
      <c r="AA2504">
        <v>9</v>
      </c>
      <c r="AB2504">
        <v>3</v>
      </c>
      <c r="AC2504">
        <v>0</v>
      </c>
      <c r="AD2504">
        <v>10</v>
      </c>
      <c r="AE2504">
        <v>0</v>
      </c>
      <c r="AF2504">
        <v>3</v>
      </c>
      <c r="AG2504">
        <v>2</v>
      </c>
      <c r="AH2504">
        <v>0</v>
      </c>
      <c r="AI2504" t="s">
        <v>1501</v>
      </c>
      <c r="AJ2504">
        <v>39.992466</v>
      </c>
      <c r="AK2504" t="s">
        <v>1502</v>
      </c>
      <c r="AL2504">
        <v>-92.734587000000005</v>
      </c>
      <c r="AM2504">
        <v>100</v>
      </c>
      <c r="AN2504">
        <v>1700</v>
      </c>
      <c r="AO2504" t="s">
        <v>118</v>
      </c>
      <c r="AP2504">
        <v>-106</v>
      </c>
      <c r="AQ2504">
        <v>77</v>
      </c>
      <c r="AR2504">
        <v>-128</v>
      </c>
      <c r="AZ2504">
        <v>1200</v>
      </c>
      <c r="BA2504">
        <v>1</v>
      </c>
      <c r="BB2504" t="str">
        <f t="shared" si="121"/>
        <v xml:space="preserve">N8080G  </v>
      </c>
      <c r="BC2504">
        <v>1</v>
      </c>
      <c r="BE2504">
        <v>0</v>
      </c>
      <c r="BF2504">
        <v>0</v>
      </c>
      <c r="BG2504">
        <v>0</v>
      </c>
      <c r="BH2504">
        <v>1700</v>
      </c>
      <c r="BI2504">
        <v>1</v>
      </c>
      <c r="BJ2504">
        <v>1</v>
      </c>
      <c r="BK2504">
        <v>1</v>
      </c>
      <c r="BL2504">
        <v>0</v>
      </c>
      <c r="BO2504">
        <v>0</v>
      </c>
      <c r="BP2504">
        <v>0</v>
      </c>
      <c r="BW2504" t="str">
        <f>"20:27:50.912"</f>
        <v>20:27:50.912</v>
      </c>
      <c r="BZ2504">
        <v>0</v>
      </c>
      <c r="CA2504">
        <v>2016</v>
      </c>
      <c r="CB2504">
        <v>224</v>
      </c>
      <c r="CD2504">
        <v>1</v>
      </c>
      <c r="CE2504">
        <v>0</v>
      </c>
      <c r="CF2504">
        <v>0</v>
      </c>
      <c r="CG2504">
        <v>1</v>
      </c>
      <c r="CH2504">
        <v>0</v>
      </c>
      <c r="CI2504">
        <v>0</v>
      </c>
      <c r="CJ2504">
        <v>0</v>
      </c>
      <c r="CK2504">
        <v>2</v>
      </c>
      <c r="CL2504">
        <v>0</v>
      </c>
      <c r="CM2504">
        <v>2</v>
      </c>
      <c r="CN2504">
        <v>0</v>
      </c>
      <c r="CO2504">
        <v>4</v>
      </c>
      <c r="CP2504" t="s">
        <v>119</v>
      </c>
      <c r="CQ2504">
        <v>179</v>
      </c>
      <c r="CR2504">
        <v>1</v>
      </c>
      <c r="CW2504">
        <v>8997064</v>
      </c>
      <c r="CY2504">
        <v>1</v>
      </c>
      <c r="CZ2504">
        <v>0</v>
      </c>
      <c r="DA2504">
        <v>1</v>
      </c>
      <c r="DB2504">
        <v>0</v>
      </c>
      <c r="DC2504">
        <v>0</v>
      </c>
      <c r="DD2504">
        <v>0</v>
      </c>
      <c r="DE2504">
        <v>0</v>
      </c>
      <c r="DF2504">
        <v>0</v>
      </c>
      <c r="DG2504">
        <v>0</v>
      </c>
      <c r="DH2504">
        <v>0</v>
      </c>
      <c r="DI2504">
        <v>0</v>
      </c>
    </row>
    <row r="2505" spans="1:113" x14ac:dyDescent="0.3">
      <c r="A2505" t="str">
        <f>"02/08/2021 20:27:48.579"</f>
        <v>02/08/2021 20:27:48.579</v>
      </c>
      <c r="C2505" t="str">
        <f t="shared" si="120"/>
        <v>FFDFD7C0</v>
      </c>
      <c r="D2505" t="s">
        <v>113</v>
      </c>
      <c r="E2505">
        <v>6</v>
      </c>
      <c r="H2505">
        <v>165</v>
      </c>
      <c r="I2505" t="s">
        <v>114</v>
      </c>
      <c r="J2505" t="s">
        <v>115</v>
      </c>
      <c r="K2505">
        <v>0</v>
      </c>
      <c r="L2505">
        <v>3</v>
      </c>
      <c r="M2505">
        <v>0</v>
      </c>
      <c r="N2505">
        <v>2</v>
      </c>
      <c r="O2505">
        <v>1</v>
      </c>
      <c r="P2505">
        <v>0</v>
      </c>
      <c r="Q2505">
        <v>0</v>
      </c>
      <c r="S2505" t="str">
        <f>"20:27:50.906"</f>
        <v>20:27:50.906</v>
      </c>
      <c r="T2505" t="str">
        <f>"20:27:50.506"</f>
        <v>20:27:50.506</v>
      </c>
      <c r="U2505" t="str">
        <f t="shared" si="122"/>
        <v>AB01F4</v>
      </c>
      <c r="V2505">
        <v>0</v>
      </c>
      <c r="W2505">
        <v>0</v>
      </c>
      <c r="X2505">
        <v>2</v>
      </c>
      <c r="Z2505">
        <v>0</v>
      </c>
      <c r="AA2505">
        <v>9</v>
      </c>
      <c r="AB2505">
        <v>3</v>
      </c>
      <c r="AC2505">
        <v>0</v>
      </c>
      <c r="AD2505">
        <v>10</v>
      </c>
      <c r="AE2505">
        <v>0</v>
      </c>
      <c r="AF2505">
        <v>3</v>
      </c>
      <c r="AG2505">
        <v>2</v>
      </c>
      <c r="AH2505">
        <v>0</v>
      </c>
      <c r="AI2505" t="s">
        <v>1501</v>
      </c>
      <c r="AJ2505">
        <v>39.992466</v>
      </c>
      <c r="AK2505" t="s">
        <v>1502</v>
      </c>
      <c r="AL2505">
        <v>-92.734587000000005</v>
      </c>
      <c r="AM2505">
        <v>100</v>
      </c>
      <c r="AN2505">
        <v>1700</v>
      </c>
      <c r="AO2505" t="s">
        <v>118</v>
      </c>
      <c r="AP2505">
        <v>-106</v>
      </c>
      <c r="AQ2505">
        <v>77</v>
      </c>
      <c r="AR2505">
        <v>-128</v>
      </c>
      <c r="AZ2505">
        <v>1200</v>
      </c>
      <c r="BA2505">
        <v>1</v>
      </c>
      <c r="BB2505" t="str">
        <f t="shared" si="121"/>
        <v xml:space="preserve">N8080G  </v>
      </c>
      <c r="BC2505">
        <v>1</v>
      </c>
      <c r="BE2505">
        <v>0</v>
      </c>
      <c r="BF2505">
        <v>0</v>
      </c>
      <c r="BG2505">
        <v>0</v>
      </c>
      <c r="BH2505">
        <v>1700</v>
      </c>
      <c r="BI2505">
        <v>1</v>
      </c>
      <c r="BJ2505">
        <v>1</v>
      </c>
      <c r="BK2505">
        <v>1</v>
      </c>
      <c r="BL2505">
        <v>0</v>
      </c>
      <c r="BO2505">
        <v>0</v>
      </c>
      <c r="BP2505">
        <v>0</v>
      </c>
      <c r="BW2505" t="str">
        <f>"20:27:50.912"</f>
        <v>20:27:50.912</v>
      </c>
      <c r="BZ2505">
        <v>0</v>
      </c>
      <c r="CA2505">
        <v>2016</v>
      </c>
      <c r="CB2505">
        <v>224</v>
      </c>
      <c r="CD2505">
        <v>1</v>
      </c>
      <c r="CE2505">
        <v>0</v>
      </c>
      <c r="CF2505">
        <v>0</v>
      </c>
      <c r="CG2505">
        <v>1</v>
      </c>
      <c r="CH2505">
        <v>0</v>
      </c>
      <c r="CI2505">
        <v>0</v>
      </c>
      <c r="CJ2505">
        <v>0</v>
      </c>
      <c r="CK2505">
        <v>2</v>
      </c>
      <c r="CL2505">
        <v>0</v>
      </c>
      <c r="CM2505">
        <v>2</v>
      </c>
      <c r="CN2505">
        <v>0</v>
      </c>
      <c r="CO2505">
        <v>4</v>
      </c>
      <c r="CP2505" t="s">
        <v>119</v>
      </c>
      <c r="CQ2505">
        <v>179</v>
      </c>
      <c r="CR2505">
        <v>1</v>
      </c>
      <c r="CW2505">
        <v>8997064</v>
      </c>
      <c r="CY2505">
        <v>1</v>
      </c>
      <c r="CZ2505">
        <v>0</v>
      </c>
      <c r="DA2505">
        <v>1</v>
      </c>
      <c r="DB2505">
        <v>0</v>
      </c>
      <c r="DC2505">
        <v>0</v>
      </c>
      <c r="DD2505">
        <v>0</v>
      </c>
      <c r="DE2505">
        <v>0</v>
      </c>
      <c r="DF2505">
        <v>0</v>
      </c>
      <c r="DG2505">
        <v>0</v>
      </c>
      <c r="DH2505">
        <v>0</v>
      </c>
      <c r="DI2505">
        <v>0</v>
      </c>
    </row>
    <row r="2506" spans="1:113" x14ac:dyDescent="0.3">
      <c r="A2506" t="str">
        <f>"02/08/2021 20:27:48.579"</f>
        <v>02/08/2021 20:27:48.579</v>
      </c>
      <c r="C2506" t="str">
        <f t="shared" si="120"/>
        <v>FFDFD7C0</v>
      </c>
      <c r="D2506" t="s">
        <v>124</v>
      </c>
      <c r="E2506">
        <v>11</v>
      </c>
      <c r="F2506">
        <v>1011</v>
      </c>
      <c r="G2506" t="s">
        <v>590</v>
      </c>
      <c r="J2506" t="s">
        <v>125</v>
      </c>
      <c r="K2506">
        <v>0</v>
      </c>
      <c r="L2506">
        <v>3</v>
      </c>
      <c r="M2506">
        <v>0</v>
      </c>
      <c r="N2506">
        <v>2</v>
      </c>
      <c r="O2506">
        <v>1</v>
      </c>
      <c r="P2506">
        <v>0</v>
      </c>
      <c r="Q2506">
        <v>0</v>
      </c>
      <c r="S2506" t="str">
        <f>"20:27:50.906"</f>
        <v>20:27:50.906</v>
      </c>
      <c r="T2506" t="str">
        <f>"20:27:50.506"</f>
        <v>20:27:50.506</v>
      </c>
      <c r="U2506" t="str">
        <f t="shared" si="122"/>
        <v>AB01F4</v>
      </c>
      <c r="V2506">
        <v>0</v>
      </c>
      <c r="W2506">
        <v>0</v>
      </c>
      <c r="X2506">
        <v>2</v>
      </c>
      <c r="Z2506">
        <v>0</v>
      </c>
      <c r="AA2506">
        <v>9</v>
      </c>
      <c r="AB2506">
        <v>3</v>
      </c>
      <c r="AC2506">
        <v>0</v>
      </c>
      <c r="AD2506">
        <v>10</v>
      </c>
      <c r="AE2506">
        <v>0</v>
      </c>
      <c r="AF2506">
        <v>3</v>
      </c>
      <c r="AG2506">
        <v>2</v>
      </c>
      <c r="AH2506">
        <v>0</v>
      </c>
      <c r="AI2506" t="s">
        <v>1501</v>
      </c>
      <c r="AJ2506">
        <v>39.992466</v>
      </c>
      <c r="AK2506" t="s">
        <v>1502</v>
      </c>
      <c r="AL2506">
        <v>-92.734587000000005</v>
      </c>
      <c r="AM2506">
        <v>100</v>
      </c>
      <c r="AN2506">
        <v>1700</v>
      </c>
      <c r="AO2506" t="s">
        <v>118</v>
      </c>
      <c r="AP2506">
        <v>-106</v>
      </c>
      <c r="AQ2506">
        <v>77</v>
      </c>
      <c r="AR2506">
        <v>-128</v>
      </c>
      <c r="AZ2506">
        <v>1200</v>
      </c>
      <c r="BA2506">
        <v>1</v>
      </c>
      <c r="BB2506" t="str">
        <f t="shared" si="121"/>
        <v xml:space="preserve">N8080G  </v>
      </c>
      <c r="BC2506">
        <v>1</v>
      </c>
      <c r="BE2506">
        <v>0</v>
      </c>
      <c r="BF2506">
        <v>0</v>
      </c>
      <c r="BG2506">
        <v>0</v>
      </c>
      <c r="BH2506">
        <v>1700</v>
      </c>
      <c r="BI2506">
        <v>1</v>
      </c>
      <c r="BJ2506">
        <v>1</v>
      </c>
      <c r="BK2506">
        <v>1</v>
      </c>
      <c r="BL2506">
        <v>0</v>
      </c>
      <c r="BO2506">
        <v>0</v>
      </c>
      <c r="BP2506">
        <v>0</v>
      </c>
      <c r="BW2506" t="str">
        <f>"20:27:50.912"</f>
        <v>20:27:50.912</v>
      </c>
      <c r="BZ2506">
        <v>0</v>
      </c>
      <c r="CA2506">
        <v>2016</v>
      </c>
      <c r="CB2506">
        <v>224</v>
      </c>
      <c r="CD2506">
        <v>1</v>
      </c>
      <c r="CE2506">
        <v>0</v>
      </c>
      <c r="CF2506">
        <v>0</v>
      </c>
      <c r="CG2506">
        <v>1</v>
      </c>
      <c r="CH2506">
        <v>0</v>
      </c>
      <c r="CI2506">
        <v>0</v>
      </c>
      <c r="CJ2506">
        <v>0</v>
      </c>
      <c r="CK2506">
        <v>2</v>
      </c>
      <c r="CL2506">
        <v>0</v>
      </c>
      <c r="CM2506">
        <v>2</v>
      </c>
      <c r="CN2506">
        <v>0</v>
      </c>
      <c r="CO2506">
        <v>4</v>
      </c>
      <c r="CP2506" t="s">
        <v>119</v>
      </c>
      <c r="CQ2506">
        <v>179</v>
      </c>
      <c r="CR2506">
        <v>1</v>
      </c>
      <c r="CW2506">
        <v>8997064</v>
      </c>
      <c r="CY2506">
        <v>1</v>
      </c>
      <c r="CZ2506">
        <v>0</v>
      </c>
      <c r="DA2506">
        <v>1</v>
      </c>
      <c r="DB2506">
        <v>0</v>
      </c>
      <c r="DC2506">
        <v>0</v>
      </c>
      <c r="DD2506">
        <v>0</v>
      </c>
      <c r="DE2506">
        <v>0</v>
      </c>
      <c r="DF2506">
        <v>0</v>
      </c>
      <c r="DG2506">
        <v>0</v>
      </c>
      <c r="DH2506">
        <v>0</v>
      </c>
      <c r="DI2506">
        <v>0</v>
      </c>
    </row>
    <row r="2507" spans="1:113" x14ac:dyDescent="0.3">
      <c r="A2507" t="str">
        <f>"02/08/2021 20:27:49.623"</f>
        <v>02/08/2021 20:27:49.623</v>
      </c>
      <c r="C2507" t="str">
        <f t="shared" si="120"/>
        <v>FFDFD7C0</v>
      </c>
      <c r="D2507" t="s">
        <v>124</v>
      </c>
      <c r="E2507">
        <v>11</v>
      </c>
      <c r="F2507">
        <v>1011</v>
      </c>
      <c r="G2507" t="s">
        <v>590</v>
      </c>
      <c r="J2507" t="s">
        <v>125</v>
      </c>
      <c r="K2507">
        <v>0</v>
      </c>
      <c r="L2507">
        <v>3</v>
      </c>
      <c r="M2507">
        <v>0</v>
      </c>
      <c r="N2507">
        <v>2</v>
      </c>
      <c r="O2507">
        <v>1</v>
      </c>
      <c r="P2507">
        <v>0</v>
      </c>
      <c r="Q2507">
        <v>0</v>
      </c>
      <c r="S2507" t="str">
        <f>"20:27:51.945"</f>
        <v>20:27:51.945</v>
      </c>
      <c r="T2507" t="str">
        <f>"20:27:51.545"</f>
        <v>20:27:51.545</v>
      </c>
      <c r="U2507" t="str">
        <f t="shared" si="122"/>
        <v>AB01F4</v>
      </c>
      <c r="V2507">
        <v>0</v>
      </c>
      <c r="W2507">
        <v>0</v>
      </c>
      <c r="X2507">
        <v>2</v>
      </c>
      <c r="Z2507">
        <v>0</v>
      </c>
      <c r="AA2507">
        <v>9</v>
      </c>
      <c r="AB2507">
        <v>3</v>
      </c>
      <c r="AC2507">
        <v>0</v>
      </c>
      <c r="AD2507">
        <v>10</v>
      </c>
      <c r="AE2507">
        <v>0</v>
      </c>
      <c r="AF2507">
        <v>3</v>
      </c>
      <c r="AG2507">
        <v>2</v>
      </c>
      <c r="AH2507">
        <v>0</v>
      </c>
      <c r="AI2507" t="s">
        <v>1503</v>
      </c>
      <c r="AJ2507">
        <v>39.992851999999999</v>
      </c>
      <c r="AK2507" t="s">
        <v>1504</v>
      </c>
      <c r="AL2507">
        <v>-92.73536</v>
      </c>
      <c r="AM2507">
        <v>100</v>
      </c>
      <c r="AN2507">
        <v>1700</v>
      </c>
      <c r="AO2507" t="s">
        <v>118</v>
      </c>
      <c r="AP2507">
        <v>-106</v>
      </c>
      <c r="AQ2507">
        <v>76</v>
      </c>
      <c r="AR2507">
        <v>-128</v>
      </c>
      <c r="AZ2507">
        <v>1200</v>
      </c>
      <c r="BA2507">
        <v>1</v>
      </c>
      <c r="BB2507" t="str">
        <f t="shared" si="121"/>
        <v xml:space="preserve">N8080G  </v>
      </c>
      <c r="BC2507">
        <v>1</v>
      </c>
      <c r="BE2507">
        <v>0</v>
      </c>
      <c r="BF2507">
        <v>0</v>
      </c>
      <c r="BG2507">
        <v>0</v>
      </c>
      <c r="BH2507">
        <v>1700</v>
      </c>
      <c r="BI2507">
        <v>1</v>
      </c>
      <c r="BJ2507">
        <v>1</v>
      </c>
      <c r="BK2507">
        <v>1</v>
      </c>
      <c r="BL2507">
        <v>0</v>
      </c>
      <c r="BO2507">
        <v>0</v>
      </c>
      <c r="BP2507">
        <v>0</v>
      </c>
      <c r="BW2507" t="str">
        <f>"20:27:51.947"</f>
        <v>20:27:51.947</v>
      </c>
      <c r="BZ2507">
        <v>0</v>
      </c>
      <c r="CA2507">
        <v>2016</v>
      </c>
      <c r="CB2507">
        <v>224</v>
      </c>
      <c r="CD2507">
        <v>1</v>
      </c>
      <c r="CE2507">
        <v>0</v>
      </c>
      <c r="CF2507">
        <v>0</v>
      </c>
      <c r="CG2507">
        <v>1</v>
      </c>
      <c r="CH2507">
        <v>0</v>
      </c>
      <c r="CI2507">
        <v>0</v>
      </c>
      <c r="CJ2507">
        <v>0</v>
      </c>
      <c r="CK2507">
        <v>2</v>
      </c>
      <c r="CL2507">
        <v>0</v>
      </c>
      <c r="CM2507">
        <v>2</v>
      </c>
      <c r="CN2507">
        <v>0</v>
      </c>
      <c r="CO2507">
        <v>4</v>
      </c>
      <c r="CP2507" t="s">
        <v>119</v>
      </c>
      <c r="CQ2507">
        <v>179</v>
      </c>
      <c r="CR2507">
        <v>1</v>
      </c>
      <c r="CW2507">
        <v>8998059</v>
      </c>
      <c r="CY2507">
        <v>1</v>
      </c>
      <c r="CZ2507">
        <v>0</v>
      </c>
      <c r="DA2507">
        <v>0</v>
      </c>
      <c r="DB2507">
        <v>0</v>
      </c>
      <c r="DC2507">
        <v>0</v>
      </c>
      <c r="DD2507">
        <v>0</v>
      </c>
      <c r="DE2507">
        <v>0</v>
      </c>
      <c r="DF2507">
        <v>0</v>
      </c>
      <c r="DG2507">
        <v>0</v>
      </c>
      <c r="DH2507">
        <v>0</v>
      </c>
      <c r="DI2507">
        <v>0</v>
      </c>
    </row>
    <row r="2508" spans="1:113" x14ac:dyDescent="0.3">
      <c r="A2508" t="str">
        <f>"02/08/2021 20:27:49.623"</f>
        <v>02/08/2021 20:27:49.623</v>
      </c>
      <c r="C2508" t="str">
        <f t="shared" si="120"/>
        <v>FFDFD7C0</v>
      </c>
      <c r="D2508" t="s">
        <v>113</v>
      </c>
      <c r="E2508">
        <v>6</v>
      </c>
      <c r="H2508">
        <v>165</v>
      </c>
      <c r="I2508" t="s">
        <v>114</v>
      </c>
      <c r="J2508" t="s">
        <v>115</v>
      </c>
      <c r="K2508">
        <v>0</v>
      </c>
      <c r="L2508">
        <v>3</v>
      </c>
      <c r="M2508">
        <v>0</v>
      </c>
      <c r="N2508">
        <v>2</v>
      </c>
      <c r="O2508">
        <v>1</v>
      </c>
      <c r="P2508">
        <v>0</v>
      </c>
      <c r="Q2508">
        <v>0</v>
      </c>
      <c r="S2508" t="str">
        <f>"20:27:51.945"</f>
        <v>20:27:51.945</v>
      </c>
      <c r="T2508" t="str">
        <f>"20:27:51.545"</f>
        <v>20:27:51.545</v>
      </c>
      <c r="U2508" t="str">
        <f t="shared" si="122"/>
        <v>AB01F4</v>
      </c>
      <c r="V2508">
        <v>0</v>
      </c>
      <c r="W2508">
        <v>0</v>
      </c>
      <c r="X2508">
        <v>2</v>
      </c>
      <c r="Z2508">
        <v>0</v>
      </c>
      <c r="AA2508">
        <v>9</v>
      </c>
      <c r="AB2508">
        <v>3</v>
      </c>
      <c r="AC2508">
        <v>0</v>
      </c>
      <c r="AD2508">
        <v>10</v>
      </c>
      <c r="AE2508">
        <v>0</v>
      </c>
      <c r="AF2508">
        <v>3</v>
      </c>
      <c r="AG2508">
        <v>2</v>
      </c>
      <c r="AH2508">
        <v>0</v>
      </c>
      <c r="AI2508" t="s">
        <v>1503</v>
      </c>
      <c r="AJ2508">
        <v>39.992851999999999</v>
      </c>
      <c r="AK2508" t="s">
        <v>1504</v>
      </c>
      <c r="AL2508">
        <v>-92.73536</v>
      </c>
      <c r="AM2508">
        <v>100</v>
      </c>
      <c r="AN2508">
        <v>1700</v>
      </c>
      <c r="AO2508" t="s">
        <v>118</v>
      </c>
      <c r="AP2508">
        <v>-106</v>
      </c>
      <c r="AQ2508">
        <v>76</v>
      </c>
      <c r="AR2508">
        <v>-128</v>
      </c>
      <c r="AZ2508">
        <v>1200</v>
      </c>
      <c r="BA2508">
        <v>1</v>
      </c>
      <c r="BB2508" t="str">
        <f t="shared" si="121"/>
        <v xml:space="preserve">N8080G  </v>
      </c>
      <c r="BC2508">
        <v>1</v>
      </c>
      <c r="BE2508">
        <v>0</v>
      </c>
      <c r="BF2508">
        <v>0</v>
      </c>
      <c r="BG2508">
        <v>0</v>
      </c>
      <c r="BH2508">
        <v>1700</v>
      </c>
      <c r="BI2508">
        <v>1</v>
      </c>
      <c r="BJ2508">
        <v>1</v>
      </c>
      <c r="BK2508">
        <v>1</v>
      </c>
      <c r="BL2508">
        <v>0</v>
      </c>
      <c r="BO2508">
        <v>0</v>
      </c>
      <c r="BP2508">
        <v>0</v>
      </c>
      <c r="BW2508" t="str">
        <f>"20:27:51.947"</f>
        <v>20:27:51.947</v>
      </c>
      <c r="BZ2508">
        <v>0</v>
      </c>
      <c r="CA2508">
        <v>2016</v>
      </c>
      <c r="CB2508">
        <v>224</v>
      </c>
      <c r="CD2508">
        <v>1</v>
      </c>
      <c r="CE2508">
        <v>0</v>
      </c>
      <c r="CF2508">
        <v>0</v>
      </c>
      <c r="CG2508">
        <v>1</v>
      </c>
      <c r="CH2508">
        <v>0</v>
      </c>
      <c r="CI2508">
        <v>0</v>
      </c>
      <c r="CJ2508">
        <v>0</v>
      </c>
      <c r="CK2508">
        <v>2</v>
      </c>
      <c r="CL2508">
        <v>0</v>
      </c>
      <c r="CM2508">
        <v>2</v>
      </c>
      <c r="CN2508">
        <v>0</v>
      </c>
      <c r="CO2508">
        <v>4</v>
      </c>
      <c r="CP2508" t="s">
        <v>119</v>
      </c>
      <c r="CQ2508">
        <v>179</v>
      </c>
      <c r="CR2508">
        <v>1</v>
      </c>
      <c r="CW2508">
        <v>8998059</v>
      </c>
      <c r="CY2508">
        <v>1</v>
      </c>
      <c r="CZ2508">
        <v>0</v>
      </c>
      <c r="DA2508">
        <v>1</v>
      </c>
      <c r="DB2508">
        <v>0</v>
      </c>
      <c r="DC2508">
        <v>0</v>
      </c>
      <c r="DD2508">
        <v>0</v>
      </c>
      <c r="DE2508">
        <v>0</v>
      </c>
      <c r="DF2508">
        <v>0</v>
      </c>
      <c r="DG2508">
        <v>0</v>
      </c>
      <c r="DH2508">
        <v>0</v>
      </c>
      <c r="DI2508">
        <v>0</v>
      </c>
    </row>
    <row r="2509" spans="1:113" x14ac:dyDescent="0.3">
      <c r="A2509" t="str">
        <f>"02/08/2021 20:27:49.623"</f>
        <v>02/08/2021 20:27:49.623</v>
      </c>
      <c r="C2509" t="str">
        <f t="shared" si="120"/>
        <v>FFDFD7C0</v>
      </c>
      <c r="D2509" t="s">
        <v>124</v>
      </c>
      <c r="E2509">
        <v>13</v>
      </c>
      <c r="F2509">
        <v>1013</v>
      </c>
      <c r="G2509" t="s">
        <v>114</v>
      </c>
      <c r="J2509" t="s">
        <v>125</v>
      </c>
      <c r="K2509">
        <v>0</v>
      </c>
      <c r="L2509">
        <v>3</v>
      </c>
      <c r="M2509">
        <v>0</v>
      </c>
      <c r="N2509">
        <v>2</v>
      </c>
      <c r="O2509">
        <v>1</v>
      </c>
      <c r="P2509">
        <v>0</v>
      </c>
      <c r="Q2509">
        <v>0</v>
      </c>
      <c r="S2509" t="str">
        <f>"20:27:51.945"</f>
        <v>20:27:51.945</v>
      </c>
      <c r="T2509" t="str">
        <f>"20:27:51.545"</f>
        <v>20:27:51.545</v>
      </c>
      <c r="U2509" t="str">
        <f t="shared" si="122"/>
        <v>AB01F4</v>
      </c>
      <c r="V2509">
        <v>0</v>
      </c>
      <c r="W2509">
        <v>0</v>
      </c>
      <c r="X2509">
        <v>2</v>
      </c>
      <c r="Z2509">
        <v>0</v>
      </c>
      <c r="AA2509">
        <v>9</v>
      </c>
      <c r="AB2509">
        <v>3</v>
      </c>
      <c r="AC2509">
        <v>0</v>
      </c>
      <c r="AD2509">
        <v>10</v>
      </c>
      <c r="AE2509">
        <v>0</v>
      </c>
      <c r="AF2509">
        <v>3</v>
      </c>
      <c r="AG2509">
        <v>2</v>
      </c>
      <c r="AH2509">
        <v>0</v>
      </c>
      <c r="AI2509" t="s">
        <v>1503</v>
      </c>
      <c r="AJ2509">
        <v>39.992851999999999</v>
      </c>
      <c r="AK2509" t="s">
        <v>1504</v>
      </c>
      <c r="AL2509">
        <v>-92.73536</v>
      </c>
      <c r="AM2509">
        <v>100</v>
      </c>
      <c r="AN2509">
        <v>1700</v>
      </c>
      <c r="AO2509" t="s">
        <v>118</v>
      </c>
      <c r="AP2509">
        <v>-106</v>
      </c>
      <c r="AQ2509">
        <v>76</v>
      </c>
      <c r="AR2509">
        <v>-128</v>
      </c>
      <c r="AZ2509">
        <v>1200</v>
      </c>
      <c r="BA2509">
        <v>1</v>
      </c>
      <c r="BB2509" t="str">
        <f t="shared" si="121"/>
        <v xml:space="preserve">N8080G  </v>
      </c>
      <c r="BC2509">
        <v>1</v>
      </c>
      <c r="BE2509">
        <v>0</v>
      </c>
      <c r="BF2509">
        <v>0</v>
      </c>
      <c r="BG2509">
        <v>0</v>
      </c>
      <c r="BH2509">
        <v>1700</v>
      </c>
      <c r="BI2509">
        <v>1</v>
      </c>
      <c r="BJ2509">
        <v>1</v>
      </c>
      <c r="BK2509">
        <v>1</v>
      </c>
      <c r="BL2509">
        <v>0</v>
      </c>
      <c r="BO2509">
        <v>0</v>
      </c>
      <c r="BP2509">
        <v>0</v>
      </c>
      <c r="BW2509" t="str">
        <f>"20:27:51.947"</f>
        <v>20:27:51.947</v>
      </c>
      <c r="BZ2509">
        <v>0</v>
      </c>
      <c r="CA2509">
        <v>2016</v>
      </c>
      <c r="CB2509">
        <v>224</v>
      </c>
      <c r="CD2509">
        <v>1</v>
      </c>
      <c r="CE2509">
        <v>0</v>
      </c>
      <c r="CF2509">
        <v>0</v>
      </c>
      <c r="CG2509">
        <v>1</v>
      </c>
      <c r="CH2509">
        <v>0</v>
      </c>
      <c r="CI2509">
        <v>0</v>
      </c>
      <c r="CJ2509">
        <v>0</v>
      </c>
      <c r="CK2509">
        <v>2</v>
      </c>
      <c r="CL2509">
        <v>0</v>
      </c>
      <c r="CM2509">
        <v>2</v>
      </c>
      <c r="CN2509">
        <v>0</v>
      </c>
      <c r="CO2509">
        <v>4</v>
      </c>
      <c r="CP2509" t="s">
        <v>119</v>
      </c>
      <c r="CQ2509">
        <v>179</v>
      </c>
      <c r="CR2509">
        <v>1</v>
      </c>
      <c r="CW2509">
        <v>8998059</v>
      </c>
      <c r="CY2509">
        <v>1</v>
      </c>
      <c r="CZ2509">
        <v>0</v>
      </c>
      <c r="DA2509">
        <v>1</v>
      </c>
      <c r="DB2509">
        <v>0</v>
      </c>
      <c r="DC2509">
        <v>0</v>
      </c>
      <c r="DD2509">
        <v>0</v>
      </c>
      <c r="DE2509">
        <v>0</v>
      </c>
      <c r="DF2509">
        <v>0</v>
      </c>
      <c r="DG2509">
        <v>0</v>
      </c>
      <c r="DH2509">
        <v>0</v>
      </c>
      <c r="DI2509">
        <v>0</v>
      </c>
    </row>
    <row r="2510" spans="1:113" x14ac:dyDescent="0.3">
      <c r="A2510" t="str">
        <f>"02/08/2021 20:27:49.623"</f>
        <v>02/08/2021 20:27:49.623</v>
      </c>
      <c r="C2510" t="str">
        <f t="shared" si="120"/>
        <v>FFDFD7C0</v>
      </c>
      <c r="D2510" t="s">
        <v>124</v>
      </c>
      <c r="E2510">
        <v>12</v>
      </c>
      <c r="F2510">
        <v>1012</v>
      </c>
      <c r="G2510" t="s">
        <v>675</v>
      </c>
      <c r="J2510" t="s">
        <v>125</v>
      </c>
      <c r="K2510">
        <v>0</v>
      </c>
      <c r="L2510">
        <v>3</v>
      </c>
      <c r="M2510">
        <v>0</v>
      </c>
      <c r="N2510">
        <v>2</v>
      </c>
      <c r="O2510">
        <v>1</v>
      </c>
      <c r="P2510">
        <v>0</v>
      </c>
      <c r="Q2510">
        <v>0</v>
      </c>
      <c r="S2510" t="str">
        <f>"20:27:51.945"</f>
        <v>20:27:51.945</v>
      </c>
      <c r="T2510" t="str">
        <f>"20:27:51.545"</f>
        <v>20:27:51.545</v>
      </c>
      <c r="U2510" t="str">
        <f t="shared" si="122"/>
        <v>AB01F4</v>
      </c>
      <c r="V2510">
        <v>0</v>
      </c>
      <c r="W2510">
        <v>0</v>
      </c>
      <c r="X2510">
        <v>2</v>
      </c>
      <c r="Z2510">
        <v>0</v>
      </c>
      <c r="AA2510">
        <v>9</v>
      </c>
      <c r="AB2510">
        <v>3</v>
      </c>
      <c r="AC2510">
        <v>0</v>
      </c>
      <c r="AD2510">
        <v>10</v>
      </c>
      <c r="AE2510">
        <v>0</v>
      </c>
      <c r="AF2510">
        <v>3</v>
      </c>
      <c r="AG2510">
        <v>2</v>
      </c>
      <c r="AH2510">
        <v>0</v>
      </c>
      <c r="AI2510" t="s">
        <v>1503</v>
      </c>
      <c r="AJ2510">
        <v>39.992851999999999</v>
      </c>
      <c r="AK2510" t="s">
        <v>1504</v>
      </c>
      <c r="AL2510">
        <v>-92.73536</v>
      </c>
      <c r="AM2510">
        <v>100</v>
      </c>
      <c r="AN2510">
        <v>1700</v>
      </c>
      <c r="AO2510" t="s">
        <v>118</v>
      </c>
      <c r="AP2510">
        <v>-106</v>
      </c>
      <c r="AQ2510">
        <v>76</v>
      </c>
      <c r="AR2510">
        <v>-128</v>
      </c>
      <c r="AZ2510">
        <v>1200</v>
      </c>
      <c r="BA2510">
        <v>1</v>
      </c>
      <c r="BB2510" t="str">
        <f t="shared" si="121"/>
        <v xml:space="preserve">N8080G  </v>
      </c>
      <c r="BC2510">
        <v>1</v>
      </c>
      <c r="BE2510">
        <v>0</v>
      </c>
      <c r="BF2510">
        <v>0</v>
      </c>
      <c r="BG2510">
        <v>0</v>
      </c>
      <c r="BH2510">
        <v>1700</v>
      </c>
      <c r="BI2510">
        <v>1</v>
      </c>
      <c r="BJ2510">
        <v>1</v>
      </c>
      <c r="BK2510">
        <v>1</v>
      </c>
      <c r="BL2510">
        <v>0</v>
      </c>
      <c r="BO2510">
        <v>0</v>
      </c>
      <c r="BP2510">
        <v>0</v>
      </c>
      <c r="BW2510" t="str">
        <f>"20:27:51.947"</f>
        <v>20:27:51.947</v>
      </c>
      <c r="BZ2510">
        <v>0</v>
      </c>
      <c r="CA2510">
        <v>2016</v>
      </c>
      <c r="CB2510">
        <v>224</v>
      </c>
      <c r="CD2510">
        <v>1</v>
      </c>
      <c r="CE2510">
        <v>0</v>
      </c>
      <c r="CF2510">
        <v>0</v>
      </c>
      <c r="CG2510">
        <v>1</v>
      </c>
      <c r="CH2510">
        <v>0</v>
      </c>
      <c r="CI2510">
        <v>0</v>
      </c>
      <c r="CJ2510">
        <v>0</v>
      </c>
      <c r="CK2510">
        <v>2</v>
      </c>
      <c r="CL2510">
        <v>0</v>
      </c>
      <c r="CM2510">
        <v>2</v>
      </c>
      <c r="CN2510">
        <v>0</v>
      </c>
      <c r="CO2510">
        <v>4</v>
      </c>
      <c r="CP2510" t="s">
        <v>119</v>
      </c>
      <c r="CQ2510">
        <v>179</v>
      </c>
      <c r="CR2510">
        <v>1</v>
      </c>
      <c r="CW2510">
        <v>8998059</v>
      </c>
      <c r="CY2510">
        <v>1</v>
      </c>
      <c r="CZ2510">
        <v>0</v>
      </c>
      <c r="DA2510">
        <v>1</v>
      </c>
      <c r="DB2510">
        <v>0</v>
      </c>
      <c r="DC2510">
        <v>0</v>
      </c>
      <c r="DD2510">
        <v>0</v>
      </c>
      <c r="DE2510">
        <v>0</v>
      </c>
      <c r="DF2510">
        <v>0</v>
      </c>
      <c r="DG2510">
        <v>0</v>
      </c>
      <c r="DH2510">
        <v>0</v>
      </c>
      <c r="DI2510">
        <v>0</v>
      </c>
    </row>
    <row r="2511" spans="1:113" x14ac:dyDescent="0.3">
      <c r="A2511" t="str">
        <f>"02/08/2021 20:27:50.504"</f>
        <v>02/08/2021 20:27:50.504</v>
      </c>
      <c r="C2511" t="str">
        <f t="shared" si="120"/>
        <v>FFDFD7C0</v>
      </c>
      <c r="D2511" t="s">
        <v>124</v>
      </c>
      <c r="E2511">
        <v>12</v>
      </c>
      <c r="F2511">
        <v>1012</v>
      </c>
      <c r="G2511" t="s">
        <v>675</v>
      </c>
      <c r="J2511" t="s">
        <v>125</v>
      </c>
      <c r="K2511">
        <v>0</v>
      </c>
      <c r="L2511">
        <v>3</v>
      </c>
      <c r="M2511">
        <v>0</v>
      </c>
      <c r="N2511">
        <v>2</v>
      </c>
      <c r="O2511">
        <v>1</v>
      </c>
      <c r="P2511">
        <v>0</v>
      </c>
      <c r="Q2511">
        <v>0</v>
      </c>
      <c r="S2511" t="str">
        <f>"20:27:52.836"</f>
        <v>20:27:52.836</v>
      </c>
      <c r="T2511" t="str">
        <f>"20:27:52.436"</f>
        <v>20:27:52.436</v>
      </c>
      <c r="U2511" t="str">
        <f t="shared" si="122"/>
        <v>AB01F4</v>
      </c>
      <c r="V2511">
        <v>0</v>
      </c>
      <c r="W2511">
        <v>0</v>
      </c>
      <c r="X2511">
        <v>2</v>
      </c>
      <c r="Z2511">
        <v>0</v>
      </c>
      <c r="AA2511">
        <v>9</v>
      </c>
      <c r="AB2511">
        <v>3</v>
      </c>
      <c r="AC2511">
        <v>0</v>
      </c>
      <c r="AD2511">
        <v>10</v>
      </c>
      <c r="AE2511">
        <v>0</v>
      </c>
      <c r="AF2511">
        <v>3</v>
      </c>
      <c r="AG2511">
        <v>2</v>
      </c>
      <c r="AH2511">
        <v>0</v>
      </c>
      <c r="AI2511" t="s">
        <v>1505</v>
      </c>
      <c r="AJ2511">
        <v>39.993174000000003</v>
      </c>
      <c r="AK2511" t="s">
        <v>1506</v>
      </c>
      <c r="AL2511">
        <v>-92.735917999999998</v>
      </c>
      <c r="AM2511">
        <v>100</v>
      </c>
      <c r="AN2511">
        <v>1700</v>
      </c>
      <c r="AO2511" t="s">
        <v>118</v>
      </c>
      <c r="AP2511">
        <v>-106</v>
      </c>
      <c r="AQ2511">
        <v>76</v>
      </c>
      <c r="AR2511">
        <v>-64</v>
      </c>
      <c r="AZ2511">
        <v>1200</v>
      </c>
      <c r="BA2511">
        <v>1</v>
      </c>
      <c r="BB2511" t="str">
        <f t="shared" si="121"/>
        <v xml:space="preserve">N8080G  </v>
      </c>
      <c r="BC2511">
        <v>1</v>
      </c>
      <c r="BE2511">
        <v>0</v>
      </c>
      <c r="BF2511">
        <v>0</v>
      </c>
      <c r="BG2511">
        <v>0</v>
      </c>
      <c r="BH2511">
        <v>1700</v>
      </c>
      <c r="BI2511">
        <v>1</v>
      </c>
      <c r="BJ2511">
        <v>1</v>
      </c>
      <c r="BK2511">
        <v>1</v>
      </c>
      <c r="BL2511">
        <v>0</v>
      </c>
      <c r="BO2511">
        <v>0</v>
      </c>
      <c r="BP2511">
        <v>0</v>
      </c>
      <c r="BW2511" t="str">
        <f>"20:27:52.842"</f>
        <v>20:27:52.842</v>
      </c>
      <c r="BZ2511">
        <v>0</v>
      </c>
      <c r="CA2511">
        <v>2016</v>
      </c>
      <c r="CB2511">
        <v>224</v>
      </c>
      <c r="CD2511">
        <v>1</v>
      </c>
      <c r="CE2511">
        <v>0</v>
      </c>
      <c r="CF2511">
        <v>0</v>
      </c>
      <c r="CG2511">
        <v>1</v>
      </c>
      <c r="CH2511">
        <v>0</v>
      </c>
      <c r="CI2511">
        <v>0</v>
      </c>
      <c r="CJ2511">
        <v>0</v>
      </c>
      <c r="CK2511">
        <v>2</v>
      </c>
      <c r="CL2511">
        <v>0</v>
      </c>
      <c r="CM2511">
        <v>2</v>
      </c>
      <c r="CN2511">
        <v>0</v>
      </c>
      <c r="CO2511">
        <v>7</v>
      </c>
      <c r="CP2511" t="s">
        <v>119</v>
      </c>
      <c r="CQ2511">
        <v>180</v>
      </c>
      <c r="CR2511">
        <v>3</v>
      </c>
      <c r="CW2511">
        <v>903947</v>
      </c>
      <c r="CY2511">
        <v>1</v>
      </c>
      <c r="CZ2511">
        <v>0</v>
      </c>
      <c r="DA2511">
        <v>0</v>
      </c>
      <c r="DB2511">
        <v>0</v>
      </c>
      <c r="DC2511">
        <v>0</v>
      </c>
      <c r="DD2511">
        <v>0</v>
      </c>
      <c r="DE2511">
        <v>0</v>
      </c>
      <c r="DF2511">
        <v>0</v>
      </c>
      <c r="DG2511">
        <v>0</v>
      </c>
      <c r="DH2511">
        <v>0</v>
      </c>
      <c r="DI2511">
        <v>0</v>
      </c>
    </row>
    <row r="2512" spans="1:113" x14ac:dyDescent="0.3">
      <c r="A2512" t="str">
        <f>"02/08/2021 20:27:50.504"</f>
        <v>02/08/2021 20:27:50.504</v>
      </c>
      <c r="C2512" t="str">
        <f t="shared" si="120"/>
        <v>FFDFD7C0</v>
      </c>
      <c r="D2512" t="s">
        <v>124</v>
      </c>
      <c r="E2512">
        <v>11</v>
      </c>
      <c r="F2512">
        <v>1011</v>
      </c>
      <c r="G2512" t="s">
        <v>590</v>
      </c>
      <c r="J2512" t="s">
        <v>125</v>
      </c>
      <c r="K2512">
        <v>0</v>
      </c>
      <c r="L2512">
        <v>3</v>
      </c>
      <c r="M2512">
        <v>0</v>
      </c>
      <c r="N2512">
        <v>2</v>
      </c>
      <c r="O2512">
        <v>1</v>
      </c>
      <c r="P2512">
        <v>0</v>
      </c>
      <c r="Q2512">
        <v>0</v>
      </c>
      <c r="S2512" t="str">
        <f>"20:27:52.836"</f>
        <v>20:27:52.836</v>
      </c>
      <c r="T2512" t="str">
        <f>"20:27:52.436"</f>
        <v>20:27:52.436</v>
      </c>
      <c r="U2512" t="str">
        <f t="shared" si="122"/>
        <v>AB01F4</v>
      </c>
      <c r="V2512">
        <v>0</v>
      </c>
      <c r="W2512">
        <v>0</v>
      </c>
      <c r="X2512">
        <v>2</v>
      </c>
      <c r="Z2512">
        <v>0</v>
      </c>
      <c r="AA2512">
        <v>9</v>
      </c>
      <c r="AB2512">
        <v>3</v>
      </c>
      <c r="AC2512">
        <v>0</v>
      </c>
      <c r="AD2512">
        <v>10</v>
      </c>
      <c r="AE2512">
        <v>0</v>
      </c>
      <c r="AF2512">
        <v>3</v>
      </c>
      <c r="AG2512">
        <v>2</v>
      </c>
      <c r="AH2512">
        <v>0</v>
      </c>
      <c r="AI2512" t="s">
        <v>1505</v>
      </c>
      <c r="AJ2512">
        <v>39.993174000000003</v>
      </c>
      <c r="AK2512" t="s">
        <v>1506</v>
      </c>
      <c r="AL2512">
        <v>-92.735917999999998</v>
      </c>
      <c r="AM2512">
        <v>100</v>
      </c>
      <c r="AN2512">
        <v>1700</v>
      </c>
      <c r="AO2512" t="s">
        <v>118</v>
      </c>
      <c r="AP2512">
        <v>-106</v>
      </c>
      <c r="AQ2512">
        <v>76</v>
      </c>
      <c r="AR2512">
        <v>-64</v>
      </c>
      <c r="AZ2512">
        <v>1200</v>
      </c>
      <c r="BA2512">
        <v>1</v>
      </c>
      <c r="BB2512" t="str">
        <f t="shared" si="121"/>
        <v xml:space="preserve">N8080G  </v>
      </c>
      <c r="BC2512">
        <v>1</v>
      </c>
      <c r="BE2512">
        <v>0</v>
      </c>
      <c r="BF2512">
        <v>0</v>
      </c>
      <c r="BG2512">
        <v>0</v>
      </c>
      <c r="BH2512">
        <v>1700</v>
      </c>
      <c r="BI2512">
        <v>1</v>
      </c>
      <c r="BJ2512">
        <v>1</v>
      </c>
      <c r="BK2512">
        <v>1</v>
      </c>
      <c r="BL2512">
        <v>0</v>
      </c>
      <c r="BO2512">
        <v>0</v>
      </c>
      <c r="BP2512">
        <v>0</v>
      </c>
      <c r="BW2512" t="str">
        <f>"20:27:52.842"</f>
        <v>20:27:52.842</v>
      </c>
      <c r="BZ2512">
        <v>0</v>
      </c>
      <c r="CA2512">
        <v>2016</v>
      </c>
      <c r="CB2512">
        <v>224</v>
      </c>
      <c r="CD2512">
        <v>1</v>
      </c>
      <c r="CE2512">
        <v>0</v>
      </c>
      <c r="CF2512">
        <v>0</v>
      </c>
      <c r="CG2512">
        <v>1</v>
      </c>
      <c r="CH2512">
        <v>0</v>
      </c>
      <c r="CI2512">
        <v>0</v>
      </c>
      <c r="CJ2512">
        <v>0</v>
      </c>
      <c r="CK2512">
        <v>2</v>
      </c>
      <c r="CL2512">
        <v>0</v>
      </c>
      <c r="CM2512">
        <v>2</v>
      </c>
      <c r="CN2512">
        <v>0</v>
      </c>
      <c r="CO2512">
        <v>7</v>
      </c>
      <c r="CP2512" t="s">
        <v>119</v>
      </c>
      <c r="CQ2512">
        <v>180</v>
      </c>
      <c r="CR2512">
        <v>3</v>
      </c>
      <c r="CW2512">
        <v>903947</v>
      </c>
      <c r="CY2512">
        <v>1</v>
      </c>
      <c r="CZ2512">
        <v>0</v>
      </c>
      <c r="DA2512">
        <v>1</v>
      </c>
      <c r="DB2512">
        <v>0</v>
      </c>
      <c r="DC2512">
        <v>0</v>
      </c>
      <c r="DD2512">
        <v>0</v>
      </c>
      <c r="DE2512">
        <v>0</v>
      </c>
      <c r="DF2512">
        <v>0</v>
      </c>
      <c r="DG2512">
        <v>0</v>
      </c>
      <c r="DH2512">
        <v>0</v>
      </c>
      <c r="DI2512">
        <v>0</v>
      </c>
    </row>
    <row r="2513" spans="1:113" x14ac:dyDescent="0.3">
      <c r="A2513" t="str">
        <f>"02/08/2021 20:27:50.504"</f>
        <v>02/08/2021 20:27:50.504</v>
      </c>
      <c r="C2513" t="str">
        <f t="shared" si="120"/>
        <v>FFDFD7C0</v>
      </c>
      <c r="D2513" t="s">
        <v>113</v>
      </c>
      <c r="E2513">
        <v>6</v>
      </c>
      <c r="H2513">
        <v>165</v>
      </c>
      <c r="I2513" t="s">
        <v>114</v>
      </c>
      <c r="J2513" t="s">
        <v>115</v>
      </c>
      <c r="K2513">
        <v>0</v>
      </c>
      <c r="L2513">
        <v>3</v>
      </c>
      <c r="M2513">
        <v>0</v>
      </c>
      <c r="N2513">
        <v>2</v>
      </c>
      <c r="O2513">
        <v>1</v>
      </c>
      <c r="P2513">
        <v>0</v>
      </c>
      <c r="Q2513">
        <v>0</v>
      </c>
      <c r="S2513" t="str">
        <f>"20:27:52.836"</f>
        <v>20:27:52.836</v>
      </c>
      <c r="T2513" t="str">
        <f>"20:27:52.436"</f>
        <v>20:27:52.436</v>
      </c>
      <c r="U2513" t="str">
        <f t="shared" si="122"/>
        <v>AB01F4</v>
      </c>
      <c r="V2513">
        <v>0</v>
      </c>
      <c r="W2513">
        <v>0</v>
      </c>
      <c r="X2513">
        <v>2</v>
      </c>
      <c r="Z2513">
        <v>0</v>
      </c>
      <c r="AA2513">
        <v>9</v>
      </c>
      <c r="AB2513">
        <v>3</v>
      </c>
      <c r="AC2513">
        <v>0</v>
      </c>
      <c r="AD2513">
        <v>10</v>
      </c>
      <c r="AE2513">
        <v>0</v>
      </c>
      <c r="AF2513">
        <v>3</v>
      </c>
      <c r="AG2513">
        <v>2</v>
      </c>
      <c r="AH2513">
        <v>0</v>
      </c>
      <c r="AI2513" t="s">
        <v>1505</v>
      </c>
      <c r="AJ2513">
        <v>39.993174000000003</v>
      </c>
      <c r="AK2513" t="s">
        <v>1506</v>
      </c>
      <c r="AL2513">
        <v>-92.735917999999998</v>
      </c>
      <c r="AM2513">
        <v>100</v>
      </c>
      <c r="AN2513">
        <v>1700</v>
      </c>
      <c r="AO2513" t="s">
        <v>118</v>
      </c>
      <c r="AP2513">
        <v>-106</v>
      </c>
      <c r="AQ2513">
        <v>76</v>
      </c>
      <c r="AR2513">
        <v>-64</v>
      </c>
      <c r="AZ2513">
        <v>1200</v>
      </c>
      <c r="BA2513">
        <v>1</v>
      </c>
      <c r="BB2513" t="str">
        <f t="shared" si="121"/>
        <v xml:space="preserve">N8080G  </v>
      </c>
      <c r="BC2513">
        <v>1</v>
      </c>
      <c r="BE2513">
        <v>0</v>
      </c>
      <c r="BF2513">
        <v>0</v>
      </c>
      <c r="BG2513">
        <v>0</v>
      </c>
      <c r="BH2513">
        <v>1700</v>
      </c>
      <c r="BI2513">
        <v>1</v>
      </c>
      <c r="BJ2513">
        <v>1</v>
      </c>
      <c r="BK2513">
        <v>1</v>
      </c>
      <c r="BL2513">
        <v>0</v>
      </c>
      <c r="BO2513">
        <v>0</v>
      </c>
      <c r="BP2513">
        <v>0</v>
      </c>
      <c r="BW2513" t="str">
        <f>"20:27:52.842"</f>
        <v>20:27:52.842</v>
      </c>
      <c r="BZ2513">
        <v>0</v>
      </c>
      <c r="CA2513">
        <v>2016</v>
      </c>
      <c r="CB2513">
        <v>224</v>
      </c>
      <c r="CD2513">
        <v>1</v>
      </c>
      <c r="CE2513">
        <v>0</v>
      </c>
      <c r="CF2513">
        <v>0</v>
      </c>
      <c r="CG2513">
        <v>1</v>
      </c>
      <c r="CH2513">
        <v>0</v>
      </c>
      <c r="CI2513">
        <v>0</v>
      </c>
      <c r="CJ2513">
        <v>0</v>
      </c>
      <c r="CK2513">
        <v>2</v>
      </c>
      <c r="CL2513">
        <v>0</v>
      </c>
      <c r="CM2513">
        <v>2</v>
      </c>
      <c r="CN2513">
        <v>0</v>
      </c>
      <c r="CO2513">
        <v>7</v>
      </c>
      <c r="CP2513" t="s">
        <v>119</v>
      </c>
      <c r="CQ2513">
        <v>180</v>
      </c>
      <c r="CR2513">
        <v>3</v>
      </c>
      <c r="CW2513">
        <v>903947</v>
      </c>
      <c r="CY2513">
        <v>1</v>
      </c>
      <c r="CZ2513">
        <v>0</v>
      </c>
      <c r="DA2513">
        <v>1</v>
      </c>
      <c r="DB2513">
        <v>0</v>
      </c>
      <c r="DC2513">
        <v>0</v>
      </c>
      <c r="DD2513">
        <v>0</v>
      </c>
      <c r="DE2513">
        <v>0</v>
      </c>
      <c r="DF2513">
        <v>0</v>
      </c>
      <c r="DG2513">
        <v>0</v>
      </c>
      <c r="DH2513">
        <v>0</v>
      </c>
      <c r="DI2513">
        <v>0</v>
      </c>
    </row>
    <row r="2514" spans="1:113" x14ac:dyDescent="0.3">
      <c r="A2514" t="str">
        <f>"02/08/2021 20:27:50.504"</f>
        <v>02/08/2021 20:27:50.504</v>
      </c>
      <c r="C2514" t="str">
        <f t="shared" si="120"/>
        <v>FFDFD7C0</v>
      </c>
      <c r="D2514" t="s">
        <v>124</v>
      </c>
      <c r="E2514">
        <v>13</v>
      </c>
      <c r="F2514">
        <v>1013</v>
      </c>
      <c r="G2514" t="s">
        <v>114</v>
      </c>
      <c r="J2514" t="s">
        <v>125</v>
      </c>
      <c r="K2514">
        <v>0</v>
      </c>
      <c r="L2514">
        <v>3</v>
      </c>
      <c r="M2514">
        <v>0</v>
      </c>
      <c r="N2514">
        <v>2</v>
      </c>
      <c r="O2514">
        <v>1</v>
      </c>
      <c r="P2514">
        <v>0</v>
      </c>
      <c r="Q2514">
        <v>0</v>
      </c>
      <c r="S2514" t="str">
        <f>"20:27:52.836"</f>
        <v>20:27:52.836</v>
      </c>
      <c r="T2514" t="str">
        <f>"20:27:52.436"</f>
        <v>20:27:52.436</v>
      </c>
      <c r="U2514" t="str">
        <f t="shared" si="122"/>
        <v>AB01F4</v>
      </c>
      <c r="V2514">
        <v>0</v>
      </c>
      <c r="W2514">
        <v>0</v>
      </c>
      <c r="X2514">
        <v>2</v>
      </c>
      <c r="Z2514">
        <v>0</v>
      </c>
      <c r="AA2514">
        <v>9</v>
      </c>
      <c r="AB2514">
        <v>3</v>
      </c>
      <c r="AC2514">
        <v>0</v>
      </c>
      <c r="AD2514">
        <v>10</v>
      </c>
      <c r="AE2514">
        <v>0</v>
      </c>
      <c r="AF2514">
        <v>3</v>
      </c>
      <c r="AG2514">
        <v>2</v>
      </c>
      <c r="AH2514">
        <v>0</v>
      </c>
      <c r="AI2514" t="s">
        <v>1505</v>
      </c>
      <c r="AJ2514">
        <v>39.993174000000003</v>
      </c>
      <c r="AK2514" t="s">
        <v>1506</v>
      </c>
      <c r="AL2514">
        <v>-92.735917999999998</v>
      </c>
      <c r="AM2514">
        <v>100</v>
      </c>
      <c r="AN2514">
        <v>1700</v>
      </c>
      <c r="AO2514" t="s">
        <v>118</v>
      </c>
      <c r="AP2514">
        <v>-106</v>
      </c>
      <c r="AQ2514">
        <v>76</v>
      </c>
      <c r="AR2514">
        <v>-64</v>
      </c>
      <c r="AZ2514">
        <v>1200</v>
      </c>
      <c r="BA2514">
        <v>1</v>
      </c>
      <c r="BB2514" t="str">
        <f t="shared" si="121"/>
        <v xml:space="preserve">N8080G  </v>
      </c>
      <c r="BC2514">
        <v>1</v>
      </c>
      <c r="BE2514">
        <v>0</v>
      </c>
      <c r="BF2514">
        <v>0</v>
      </c>
      <c r="BG2514">
        <v>0</v>
      </c>
      <c r="BH2514">
        <v>1700</v>
      </c>
      <c r="BI2514">
        <v>1</v>
      </c>
      <c r="BJ2514">
        <v>1</v>
      </c>
      <c r="BK2514">
        <v>1</v>
      </c>
      <c r="BL2514">
        <v>0</v>
      </c>
      <c r="BO2514">
        <v>0</v>
      </c>
      <c r="BP2514">
        <v>0</v>
      </c>
      <c r="BW2514" t="str">
        <f>"20:27:52.842"</f>
        <v>20:27:52.842</v>
      </c>
      <c r="BZ2514">
        <v>0</v>
      </c>
      <c r="CA2514">
        <v>2016</v>
      </c>
      <c r="CB2514">
        <v>224</v>
      </c>
      <c r="CD2514">
        <v>1</v>
      </c>
      <c r="CE2514">
        <v>0</v>
      </c>
      <c r="CF2514">
        <v>0</v>
      </c>
      <c r="CG2514">
        <v>1</v>
      </c>
      <c r="CH2514">
        <v>0</v>
      </c>
      <c r="CI2514">
        <v>0</v>
      </c>
      <c r="CJ2514">
        <v>0</v>
      </c>
      <c r="CK2514">
        <v>2</v>
      </c>
      <c r="CL2514">
        <v>0</v>
      </c>
      <c r="CM2514">
        <v>2</v>
      </c>
      <c r="CN2514">
        <v>0</v>
      </c>
      <c r="CO2514">
        <v>7</v>
      </c>
      <c r="CP2514" t="s">
        <v>119</v>
      </c>
      <c r="CQ2514">
        <v>180</v>
      </c>
      <c r="CR2514">
        <v>3</v>
      </c>
      <c r="CW2514">
        <v>903947</v>
      </c>
      <c r="CY2514">
        <v>1</v>
      </c>
      <c r="CZ2514">
        <v>0</v>
      </c>
      <c r="DA2514">
        <v>1</v>
      </c>
      <c r="DB2514">
        <v>0</v>
      </c>
      <c r="DC2514">
        <v>0</v>
      </c>
      <c r="DD2514">
        <v>0</v>
      </c>
      <c r="DE2514">
        <v>0</v>
      </c>
      <c r="DF2514">
        <v>0</v>
      </c>
      <c r="DG2514">
        <v>0</v>
      </c>
      <c r="DH2514">
        <v>0</v>
      </c>
      <c r="DI2514">
        <v>0</v>
      </c>
    </row>
    <row r="2515" spans="1:113" x14ac:dyDescent="0.3">
      <c r="A2515" t="str">
        <f>"02/08/2021 20:27:51.538"</f>
        <v>02/08/2021 20:27:51.538</v>
      </c>
      <c r="C2515" t="str">
        <f t="shared" si="120"/>
        <v>FFDFD7C0</v>
      </c>
      <c r="D2515" t="s">
        <v>124</v>
      </c>
      <c r="E2515">
        <v>11</v>
      </c>
      <c r="F2515">
        <v>1011</v>
      </c>
      <c r="G2515" t="s">
        <v>590</v>
      </c>
      <c r="J2515" t="s">
        <v>125</v>
      </c>
      <c r="K2515">
        <v>0</v>
      </c>
      <c r="L2515">
        <v>3</v>
      </c>
      <c r="M2515">
        <v>0</v>
      </c>
      <c r="N2515">
        <v>2</v>
      </c>
      <c r="O2515">
        <v>1</v>
      </c>
      <c r="P2515">
        <v>0</v>
      </c>
      <c r="Q2515">
        <v>0</v>
      </c>
      <c r="S2515" t="str">
        <f>"20:27:53.891"</f>
        <v>20:27:53.891</v>
      </c>
      <c r="T2515" t="str">
        <f>"20:27:53.391"</f>
        <v>20:27:53.391</v>
      </c>
      <c r="U2515" t="str">
        <f t="shared" si="122"/>
        <v>AB01F4</v>
      </c>
      <c r="V2515">
        <v>0</v>
      </c>
      <c r="W2515">
        <v>0</v>
      </c>
      <c r="X2515">
        <v>2</v>
      </c>
      <c r="Z2515">
        <v>0</v>
      </c>
      <c r="AA2515">
        <v>9</v>
      </c>
      <c r="AB2515">
        <v>3</v>
      </c>
      <c r="AC2515">
        <v>0</v>
      </c>
      <c r="AD2515">
        <v>10</v>
      </c>
      <c r="AE2515">
        <v>0</v>
      </c>
      <c r="AF2515">
        <v>3</v>
      </c>
      <c r="AG2515">
        <v>2</v>
      </c>
      <c r="AH2515">
        <v>0</v>
      </c>
      <c r="AI2515" t="s">
        <v>1507</v>
      </c>
      <c r="AJ2515">
        <v>39.993538999999998</v>
      </c>
      <c r="AK2515" t="s">
        <v>1508</v>
      </c>
      <c r="AL2515">
        <v>-92.736540000000005</v>
      </c>
      <c r="AM2515">
        <v>100</v>
      </c>
      <c r="AN2515">
        <v>1700</v>
      </c>
      <c r="AO2515" t="s">
        <v>118</v>
      </c>
      <c r="AP2515">
        <v>-106</v>
      </c>
      <c r="AQ2515">
        <v>76</v>
      </c>
      <c r="AR2515">
        <v>0</v>
      </c>
      <c r="AZ2515">
        <v>1200</v>
      </c>
      <c r="BA2515">
        <v>1</v>
      </c>
      <c r="BB2515" t="str">
        <f t="shared" si="121"/>
        <v xml:space="preserve">N8080G  </v>
      </c>
      <c r="BC2515">
        <v>1</v>
      </c>
      <c r="BE2515">
        <v>0</v>
      </c>
      <c r="BF2515">
        <v>0</v>
      </c>
      <c r="BG2515">
        <v>0</v>
      </c>
      <c r="BH2515">
        <v>1700</v>
      </c>
      <c r="BI2515">
        <v>1</v>
      </c>
      <c r="BJ2515">
        <v>1</v>
      </c>
      <c r="BK2515">
        <v>1</v>
      </c>
      <c r="BL2515">
        <v>0</v>
      </c>
      <c r="BO2515">
        <v>0</v>
      </c>
      <c r="BP2515">
        <v>0</v>
      </c>
      <c r="BW2515" t="str">
        <f>"20:27:53.897"</f>
        <v>20:27:53.897</v>
      </c>
      <c r="BZ2515">
        <v>0</v>
      </c>
      <c r="CA2515">
        <v>2016</v>
      </c>
      <c r="CB2515">
        <v>224</v>
      </c>
      <c r="CD2515">
        <v>1</v>
      </c>
      <c r="CE2515">
        <v>0</v>
      </c>
      <c r="CF2515">
        <v>0</v>
      </c>
      <c r="CG2515">
        <v>1</v>
      </c>
      <c r="CH2515">
        <v>0</v>
      </c>
      <c r="CI2515">
        <v>0</v>
      </c>
      <c r="CJ2515">
        <v>0</v>
      </c>
      <c r="CK2515">
        <v>2</v>
      </c>
      <c r="CL2515">
        <v>0</v>
      </c>
      <c r="CM2515">
        <v>2</v>
      </c>
      <c r="CN2515">
        <v>0</v>
      </c>
      <c r="CO2515">
        <v>4</v>
      </c>
      <c r="CP2515" t="s">
        <v>119</v>
      </c>
      <c r="CQ2515">
        <v>179</v>
      </c>
      <c r="CR2515">
        <v>1</v>
      </c>
      <c r="CW2515">
        <v>8999759</v>
      </c>
      <c r="CY2515">
        <v>1</v>
      </c>
      <c r="CZ2515">
        <v>0</v>
      </c>
      <c r="DA2515">
        <v>0</v>
      </c>
      <c r="DB2515">
        <v>0</v>
      </c>
      <c r="DC2515">
        <v>0</v>
      </c>
      <c r="DD2515">
        <v>0</v>
      </c>
      <c r="DE2515">
        <v>0</v>
      </c>
      <c r="DF2515">
        <v>0</v>
      </c>
      <c r="DG2515">
        <v>0</v>
      </c>
      <c r="DH2515">
        <v>0</v>
      </c>
      <c r="DI2515">
        <v>0</v>
      </c>
    </row>
    <row r="2516" spans="1:113" x14ac:dyDescent="0.3">
      <c r="A2516" t="str">
        <f>"02/08/2021 20:27:51.538"</f>
        <v>02/08/2021 20:27:51.538</v>
      </c>
      <c r="C2516" t="str">
        <f t="shared" si="120"/>
        <v>FFDFD7C0</v>
      </c>
      <c r="D2516" t="s">
        <v>113</v>
      </c>
      <c r="E2516">
        <v>6</v>
      </c>
      <c r="H2516">
        <v>165</v>
      </c>
      <c r="I2516" t="s">
        <v>114</v>
      </c>
      <c r="J2516" t="s">
        <v>115</v>
      </c>
      <c r="K2516">
        <v>0</v>
      </c>
      <c r="L2516">
        <v>3</v>
      </c>
      <c r="M2516">
        <v>0</v>
      </c>
      <c r="N2516">
        <v>2</v>
      </c>
      <c r="O2516">
        <v>1</v>
      </c>
      <c r="P2516">
        <v>0</v>
      </c>
      <c r="Q2516">
        <v>0</v>
      </c>
      <c r="S2516" t="str">
        <f>"20:27:53.891"</f>
        <v>20:27:53.891</v>
      </c>
      <c r="T2516" t="str">
        <f>"20:27:53.391"</f>
        <v>20:27:53.391</v>
      </c>
      <c r="U2516" t="str">
        <f t="shared" si="122"/>
        <v>AB01F4</v>
      </c>
      <c r="V2516">
        <v>0</v>
      </c>
      <c r="W2516">
        <v>0</v>
      </c>
      <c r="X2516">
        <v>2</v>
      </c>
      <c r="Z2516">
        <v>0</v>
      </c>
      <c r="AA2516">
        <v>9</v>
      </c>
      <c r="AB2516">
        <v>3</v>
      </c>
      <c r="AC2516">
        <v>0</v>
      </c>
      <c r="AD2516">
        <v>10</v>
      </c>
      <c r="AE2516">
        <v>0</v>
      </c>
      <c r="AF2516">
        <v>3</v>
      </c>
      <c r="AG2516">
        <v>2</v>
      </c>
      <c r="AH2516">
        <v>0</v>
      </c>
      <c r="AI2516" t="s">
        <v>1507</v>
      </c>
      <c r="AJ2516">
        <v>39.993538999999998</v>
      </c>
      <c r="AK2516" t="s">
        <v>1508</v>
      </c>
      <c r="AL2516">
        <v>-92.736540000000005</v>
      </c>
      <c r="AM2516">
        <v>100</v>
      </c>
      <c r="AN2516">
        <v>1700</v>
      </c>
      <c r="AO2516" t="s">
        <v>118</v>
      </c>
      <c r="AP2516">
        <v>-106</v>
      </c>
      <c r="AQ2516">
        <v>76</v>
      </c>
      <c r="AR2516">
        <v>0</v>
      </c>
      <c r="AZ2516">
        <v>1200</v>
      </c>
      <c r="BA2516">
        <v>1</v>
      </c>
      <c r="BB2516" t="str">
        <f t="shared" si="121"/>
        <v xml:space="preserve">N8080G  </v>
      </c>
      <c r="BC2516">
        <v>1</v>
      </c>
      <c r="BE2516">
        <v>0</v>
      </c>
      <c r="BF2516">
        <v>0</v>
      </c>
      <c r="BG2516">
        <v>0</v>
      </c>
      <c r="BH2516">
        <v>1700</v>
      </c>
      <c r="BI2516">
        <v>1</v>
      </c>
      <c r="BJ2516">
        <v>1</v>
      </c>
      <c r="BK2516">
        <v>1</v>
      </c>
      <c r="BL2516">
        <v>0</v>
      </c>
      <c r="BO2516">
        <v>0</v>
      </c>
      <c r="BP2516">
        <v>0</v>
      </c>
      <c r="BW2516" t="str">
        <f>"20:27:53.897"</f>
        <v>20:27:53.897</v>
      </c>
      <c r="BZ2516">
        <v>0</v>
      </c>
      <c r="CA2516">
        <v>2016</v>
      </c>
      <c r="CB2516">
        <v>224</v>
      </c>
      <c r="CD2516">
        <v>1</v>
      </c>
      <c r="CE2516">
        <v>0</v>
      </c>
      <c r="CF2516">
        <v>0</v>
      </c>
      <c r="CG2516">
        <v>1</v>
      </c>
      <c r="CH2516">
        <v>0</v>
      </c>
      <c r="CI2516">
        <v>0</v>
      </c>
      <c r="CJ2516">
        <v>0</v>
      </c>
      <c r="CK2516">
        <v>2</v>
      </c>
      <c r="CL2516">
        <v>0</v>
      </c>
      <c r="CM2516">
        <v>2</v>
      </c>
      <c r="CN2516">
        <v>0</v>
      </c>
      <c r="CO2516">
        <v>4</v>
      </c>
      <c r="CP2516" t="s">
        <v>119</v>
      </c>
      <c r="CQ2516">
        <v>179</v>
      </c>
      <c r="CR2516">
        <v>1</v>
      </c>
      <c r="CW2516">
        <v>8999759</v>
      </c>
      <c r="CY2516">
        <v>1</v>
      </c>
      <c r="CZ2516">
        <v>0</v>
      </c>
      <c r="DA2516">
        <v>1</v>
      </c>
      <c r="DB2516">
        <v>0</v>
      </c>
      <c r="DC2516">
        <v>0</v>
      </c>
      <c r="DD2516">
        <v>0</v>
      </c>
      <c r="DE2516">
        <v>0</v>
      </c>
      <c r="DF2516">
        <v>0</v>
      </c>
      <c r="DG2516">
        <v>0</v>
      </c>
      <c r="DH2516">
        <v>0</v>
      </c>
      <c r="DI2516">
        <v>0</v>
      </c>
    </row>
    <row r="2517" spans="1:113" x14ac:dyDescent="0.3">
      <c r="A2517" t="str">
        <f>"02/08/2021 20:27:51.538"</f>
        <v>02/08/2021 20:27:51.538</v>
      </c>
      <c r="C2517" t="str">
        <f t="shared" si="120"/>
        <v>FFDFD7C0</v>
      </c>
      <c r="D2517" t="s">
        <v>124</v>
      </c>
      <c r="E2517">
        <v>13</v>
      </c>
      <c r="F2517">
        <v>1013</v>
      </c>
      <c r="G2517" t="s">
        <v>114</v>
      </c>
      <c r="J2517" t="s">
        <v>125</v>
      </c>
      <c r="K2517">
        <v>0</v>
      </c>
      <c r="L2517">
        <v>3</v>
      </c>
      <c r="M2517">
        <v>0</v>
      </c>
      <c r="N2517">
        <v>2</v>
      </c>
      <c r="O2517">
        <v>1</v>
      </c>
      <c r="P2517">
        <v>0</v>
      </c>
      <c r="Q2517">
        <v>0</v>
      </c>
      <c r="S2517" t="str">
        <f>"20:27:53.891"</f>
        <v>20:27:53.891</v>
      </c>
      <c r="T2517" t="str">
        <f>"20:27:53.391"</f>
        <v>20:27:53.391</v>
      </c>
      <c r="U2517" t="str">
        <f t="shared" si="122"/>
        <v>AB01F4</v>
      </c>
      <c r="V2517">
        <v>0</v>
      </c>
      <c r="W2517">
        <v>0</v>
      </c>
      <c r="X2517">
        <v>2</v>
      </c>
      <c r="Z2517">
        <v>0</v>
      </c>
      <c r="AA2517">
        <v>9</v>
      </c>
      <c r="AB2517">
        <v>3</v>
      </c>
      <c r="AC2517">
        <v>0</v>
      </c>
      <c r="AD2517">
        <v>10</v>
      </c>
      <c r="AE2517">
        <v>0</v>
      </c>
      <c r="AF2517">
        <v>3</v>
      </c>
      <c r="AG2517">
        <v>2</v>
      </c>
      <c r="AH2517">
        <v>0</v>
      </c>
      <c r="AI2517" t="s">
        <v>1507</v>
      </c>
      <c r="AJ2517">
        <v>39.993538999999998</v>
      </c>
      <c r="AK2517" t="s">
        <v>1508</v>
      </c>
      <c r="AL2517">
        <v>-92.736540000000005</v>
      </c>
      <c r="AM2517">
        <v>100</v>
      </c>
      <c r="AN2517">
        <v>1700</v>
      </c>
      <c r="AO2517" t="s">
        <v>118</v>
      </c>
      <c r="AP2517">
        <v>-106</v>
      </c>
      <c r="AQ2517">
        <v>76</v>
      </c>
      <c r="AR2517">
        <v>0</v>
      </c>
      <c r="AZ2517">
        <v>1200</v>
      </c>
      <c r="BA2517">
        <v>1</v>
      </c>
      <c r="BB2517" t="str">
        <f t="shared" si="121"/>
        <v xml:space="preserve">N8080G  </v>
      </c>
      <c r="BC2517">
        <v>1</v>
      </c>
      <c r="BE2517">
        <v>0</v>
      </c>
      <c r="BF2517">
        <v>0</v>
      </c>
      <c r="BG2517">
        <v>0</v>
      </c>
      <c r="BH2517">
        <v>1700</v>
      </c>
      <c r="BI2517">
        <v>1</v>
      </c>
      <c r="BJ2517">
        <v>1</v>
      </c>
      <c r="BK2517">
        <v>1</v>
      </c>
      <c r="BL2517">
        <v>0</v>
      </c>
      <c r="BO2517">
        <v>0</v>
      </c>
      <c r="BP2517">
        <v>0</v>
      </c>
      <c r="BW2517" t="str">
        <f>"20:27:53.897"</f>
        <v>20:27:53.897</v>
      </c>
      <c r="BZ2517">
        <v>0</v>
      </c>
      <c r="CA2517">
        <v>2016</v>
      </c>
      <c r="CB2517">
        <v>224</v>
      </c>
      <c r="CD2517">
        <v>1</v>
      </c>
      <c r="CE2517">
        <v>0</v>
      </c>
      <c r="CF2517">
        <v>0</v>
      </c>
      <c r="CG2517">
        <v>1</v>
      </c>
      <c r="CH2517">
        <v>0</v>
      </c>
      <c r="CI2517">
        <v>0</v>
      </c>
      <c r="CJ2517">
        <v>0</v>
      </c>
      <c r="CK2517">
        <v>2</v>
      </c>
      <c r="CL2517">
        <v>0</v>
      </c>
      <c r="CM2517">
        <v>2</v>
      </c>
      <c r="CN2517">
        <v>0</v>
      </c>
      <c r="CO2517">
        <v>4</v>
      </c>
      <c r="CP2517" t="s">
        <v>119</v>
      </c>
      <c r="CQ2517">
        <v>179</v>
      </c>
      <c r="CR2517">
        <v>1</v>
      </c>
      <c r="CW2517">
        <v>8999759</v>
      </c>
      <c r="CY2517">
        <v>1</v>
      </c>
      <c r="CZ2517">
        <v>0</v>
      </c>
      <c r="DA2517">
        <v>1</v>
      </c>
      <c r="DB2517">
        <v>0</v>
      </c>
      <c r="DC2517">
        <v>0</v>
      </c>
      <c r="DD2517">
        <v>0</v>
      </c>
      <c r="DE2517">
        <v>0</v>
      </c>
      <c r="DF2517">
        <v>0</v>
      </c>
      <c r="DG2517">
        <v>0</v>
      </c>
      <c r="DH2517">
        <v>0</v>
      </c>
      <c r="DI2517">
        <v>0</v>
      </c>
    </row>
    <row r="2518" spans="1:113" x14ac:dyDescent="0.3">
      <c r="A2518" t="str">
        <f>"02/08/2021 20:27:51.538"</f>
        <v>02/08/2021 20:27:51.538</v>
      </c>
      <c r="C2518" t="str">
        <f t="shared" si="120"/>
        <v>FFDFD7C0</v>
      </c>
      <c r="D2518" t="s">
        <v>124</v>
      </c>
      <c r="E2518">
        <v>12</v>
      </c>
      <c r="F2518">
        <v>1012</v>
      </c>
      <c r="G2518" t="s">
        <v>675</v>
      </c>
      <c r="J2518" t="s">
        <v>125</v>
      </c>
      <c r="K2518">
        <v>0</v>
      </c>
      <c r="L2518">
        <v>3</v>
      </c>
      <c r="M2518">
        <v>0</v>
      </c>
      <c r="N2518">
        <v>2</v>
      </c>
      <c r="O2518">
        <v>1</v>
      </c>
      <c r="P2518">
        <v>0</v>
      </c>
      <c r="Q2518">
        <v>0</v>
      </c>
      <c r="S2518" t="str">
        <f>"20:27:53.891"</f>
        <v>20:27:53.891</v>
      </c>
      <c r="T2518" t="str">
        <f>"20:27:53.391"</f>
        <v>20:27:53.391</v>
      </c>
      <c r="U2518" t="str">
        <f t="shared" si="122"/>
        <v>AB01F4</v>
      </c>
      <c r="V2518">
        <v>0</v>
      </c>
      <c r="W2518">
        <v>0</v>
      </c>
      <c r="X2518">
        <v>2</v>
      </c>
      <c r="Z2518">
        <v>0</v>
      </c>
      <c r="AA2518">
        <v>9</v>
      </c>
      <c r="AB2518">
        <v>3</v>
      </c>
      <c r="AC2518">
        <v>0</v>
      </c>
      <c r="AD2518">
        <v>10</v>
      </c>
      <c r="AE2518">
        <v>0</v>
      </c>
      <c r="AF2518">
        <v>3</v>
      </c>
      <c r="AG2518">
        <v>2</v>
      </c>
      <c r="AH2518">
        <v>0</v>
      </c>
      <c r="AI2518" t="s">
        <v>1507</v>
      </c>
      <c r="AJ2518">
        <v>39.993538999999998</v>
      </c>
      <c r="AK2518" t="s">
        <v>1508</v>
      </c>
      <c r="AL2518">
        <v>-92.736540000000005</v>
      </c>
      <c r="AM2518">
        <v>100</v>
      </c>
      <c r="AN2518">
        <v>1700</v>
      </c>
      <c r="AO2518" t="s">
        <v>118</v>
      </c>
      <c r="AP2518">
        <v>-106</v>
      </c>
      <c r="AQ2518">
        <v>76</v>
      </c>
      <c r="AR2518">
        <v>0</v>
      </c>
      <c r="AZ2518">
        <v>1200</v>
      </c>
      <c r="BA2518">
        <v>1</v>
      </c>
      <c r="BB2518" t="str">
        <f t="shared" si="121"/>
        <v xml:space="preserve">N8080G  </v>
      </c>
      <c r="BC2518">
        <v>1</v>
      </c>
      <c r="BE2518">
        <v>0</v>
      </c>
      <c r="BF2518">
        <v>0</v>
      </c>
      <c r="BG2518">
        <v>0</v>
      </c>
      <c r="BH2518">
        <v>1700</v>
      </c>
      <c r="BI2518">
        <v>1</v>
      </c>
      <c r="BJ2518">
        <v>1</v>
      </c>
      <c r="BK2518">
        <v>1</v>
      </c>
      <c r="BL2518">
        <v>0</v>
      </c>
      <c r="BO2518">
        <v>0</v>
      </c>
      <c r="BP2518">
        <v>0</v>
      </c>
      <c r="BW2518" t="str">
        <f>"20:27:53.897"</f>
        <v>20:27:53.897</v>
      </c>
      <c r="BZ2518">
        <v>0</v>
      </c>
      <c r="CA2518">
        <v>2016</v>
      </c>
      <c r="CB2518">
        <v>224</v>
      </c>
      <c r="CD2518">
        <v>1</v>
      </c>
      <c r="CE2518">
        <v>0</v>
      </c>
      <c r="CF2518">
        <v>0</v>
      </c>
      <c r="CG2518">
        <v>1</v>
      </c>
      <c r="CH2518">
        <v>0</v>
      </c>
      <c r="CI2518">
        <v>0</v>
      </c>
      <c r="CJ2518">
        <v>0</v>
      </c>
      <c r="CK2518">
        <v>2</v>
      </c>
      <c r="CL2518">
        <v>0</v>
      </c>
      <c r="CM2518">
        <v>2</v>
      </c>
      <c r="CN2518">
        <v>0</v>
      </c>
      <c r="CO2518">
        <v>4</v>
      </c>
      <c r="CP2518" t="s">
        <v>119</v>
      </c>
      <c r="CQ2518">
        <v>179</v>
      </c>
      <c r="CR2518">
        <v>1</v>
      </c>
      <c r="CW2518">
        <v>8999759</v>
      </c>
      <c r="CY2518">
        <v>1</v>
      </c>
      <c r="CZ2518">
        <v>0</v>
      </c>
      <c r="DA2518">
        <v>1</v>
      </c>
      <c r="DB2518">
        <v>0</v>
      </c>
      <c r="DC2518">
        <v>0</v>
      </c>
      <c r="DD2518">
        <v>0</v>
      </c>
      <c r="DE2518">
        <v>0</v>
      </c>
      <c r="DF2518">
        <v>0</v>
      </c>
      <c r="DG2518">
        <v>0</v>
      </c>
      <c r="DH2518">
        <v>0</v>
      </c>
      <c r="DI2518">
        <v>0</v>
      </c>
    </row>
    <row r="2519" spans="1:113" x14ac:dyDescent="0.3">
      <c r="A2519" t="str">
        <f>"02/08/2021 20:27:54.674"</f>
        <v>02/08/2021 20:27:54.674</v>
      </c>
      <c r="C2519" t="str">
        <f t="shared" si="120"/>
        <v>FFDFD7C0</v>
      </c>
      <c r="D2519" t="s">
        <v>124</v>
      </c>
      <c r="E2519">
        <v>12</v>
      </c>
      <c r="F2519">
        <v>1012</v>
      </c>
      <c r="G2519" t="s">
        <v>675</v>
      </c>
      <c r="J2519" t="s">
        <v>125</v>
      </c>
      <c r="K2519">
        <v>0</v>
      </c>
      <c r="L2519">
        <v>3</v>
      </c>
      <c r="M2519">
        <v>0</v>
      </c>
      <c r="N2519">
        <v>2</v>
      </c>
      <c r="O2519">
        <v>1</v>
      </c>
      <c r="P2519">
        <v>0</v>
      </c>
      <c r="Q2519">
        <v>0</v>
      </c>
      <c r="S2519" t="str">
        <f>"20:27:56.984"</f>
        <v>20:27:56.984</v>
      </c>
      <c r="T2519" t="str">
        <f>"20:27:56.484"</f>
        <v>20:27:56.484</v>
      </c>
      <c r="U2519" t="str">
        <f t="shared" si="122"/>
        <v>AB01F4</v>
      </c>
      <c r="V2519">
        <v>0</v>
      </c>
      <c r="W2519">
        <v>0</v>
      </c>
      <c r="X2519">
        <v>2</v>
      </c>
      <c r="Z2519">
        <v>0</v>
      </c>
      <c r="AA2519">
        <v>9</v>
      </c>
      <c r="AB2519">
        <v>3</v>
      </c>
      <c r="AC2519">
        <v>0</v>
      </c>
      <c r="AD2519">
        <v>10</v>
      </c>
      <c r="AE2519">
        <v>0</v>
      </c>
      <c r="AF2519">
        <v>3</v>
      </c>
      <c r="AG2519">
        <v>2</v>
      </c>
      <c r="AH2519">
        <v>0</v>
      </c>
      <c r="AI2519" t="s">
        <v>1509</v>
      </c>
      <c r="AJ2519">
        <v>39.994633</v>
      </c>
      <c r="AK2519" t="s">
        <v>1510</v>
      </c>
      <c r="AL2519">
        <v>-92.738534999999999</v>
      </c>
      <c r="AM2519">
        <v>100</v>
      </c>
      <c r="AN2519">
        <v>1700</v>
      </c>
      <c r="AO2519" t="s">
        <v>118</v>
      </c>
      <c r="AP2519">
        <v>-106</v>
      </c>
      <c r="AQ2519">
        <v>76</v>
      </c>
      <c r="AR2519">
        <v>64</v>
      </c>
      <c r="AZ2519">
        <v>1200</v>
      </c>
      <c r="BA2519">
        <v>1</v>
      </c>
      <c r="BB2519" t="str">
        <f t="shared" si="121"/>
        <v xml:space="preserve">N8080G  </v>
      </c>
      <c r="BC2519">
        <v>1</v>
      </c>
      <c r="BE2519">
        <v>0</v>
      </c>
      <c r="BF2519">
        <v>0</v>
      </c>
      <c r="BG2519">
        <v>0</v>
      </c>
      <c r="BH2519">
        <v>1700</v>
      </c>
      <c r="BI2519">
        <v>1</v>
      </c>
      <c r="BJ2519">
        <v>1</v>
      </c>
      <c r="BK2519">
        <v>1</v>
      </c>
      <c r="BL2519">
        <v>0</v>
      </c>
      <c r="BO2519">
        <v>0</v>
      </c>
      <c r="BP2519">
        <v>0</v>
      </c>
      <c r="BW2519" t="str">
        <f>"20:27:56.989"</f>
        <v>20:27:56.989</v>
      </c>
      <c r="BZ2519">
        <v>0</v>
      </c>
      <c r="CA2519">
        <v>2016</v>
      </c>
      <c r="CB2519">
        <v>224</v>
      </c>
      <c r="CD2519">
        <v>1</v>
      </c>
      <c r="CE2519">
        <v>0</v>
      </c>
      <c r="CF2519">
        <v>0</v>
      </c>
      <c r="CG2519">
        <v>1</v>
      </c>
      <c r="CH2519">
        <v>0</v>
      </c>
      <c r="CI2519">
        <v>0</v>
      </c>
      <c r="CJ2519">
        <v>0</v>
      </c>
      <c r="CK2519">
        <v>2</v>
      </c>
      <c r="CL2519">
        <v>0</v>
      </c>
      <c r="CM2519">
        <v>2</v>
      </c>
      <c r="CN2519">
        <v>0</v>
      </c>
      <c r="CO2519">
        <v>4</v>
      </c>
      <c r="CP2519" t="s">
        <v>119</v>
      </c>
      <c r="CQ2519">
        <v>179</v>
      </c>
      <c r="CR2519">
        <v>1</v>
      </c>
      <c r="CW2519">
        <v>9002744</v>
      </c>
      <c r="CY2519">
        <v>1</v>
      </c>
      <c r="CZ2519">
        <v>0</v>
      </c>
      <c r="DA2519">
        <v>0</v>
      </c>
      <c r="DB2519">
        <v>0</v>
      </c>
      <c r="DC2519">
        <v>0</v>
      </c>
      <c r="DD2519">
        <v>0</v>
      </c>
      <c r="DE2519">
        <v>0</v>
      </c>
      <c r="DF2519">
        <v>0</v>
      </c>
      <c r="DG2519">
        <v>0</v>
      </c>
      <c r="DH2519">
        <v>0</v>
      </c>
      <c r="DI2519">
        <v>0</v>
      </c>
    </row>
    <row r="2520" spans="1:113" x14ac:dyDescent="0.3">
      <c r="A2520" t="str">
        <f>"02/08/2021 20:27:54.674"</f>
        <v>02/08/2021 20:27:54.674</v>
      </c>
      <c r="C2520" t="str">
        <f t="shared" si="120"/>
        <v>FFDFD7C0</v>
      </c>
      <c r="D2520" t="s">
        <v>113</v>
      </c>
      <c r="E2520">
        <v>6</v>
      </c>
      <c r="H2520">
        <v>165</v>
      </c>
      <c r="I2520" t="s">
        <v>114</v>
      </c>
      <c r="J2520" t="s">
        <v>115</v>
      </c>
      <c r="K2520">
        <v>0</v>
      </c>
      <c r="L2520">
        <v>3</v>
      </c>
      <c r="M2520">
        <v>0</v>
      </c>
      <c r="N2520">
        <v>2</v>
      </c>
      <c r="O2520">
        <v>1</v>
      </c>
      <c r="P2520">
        <v>0</v>
      </c>
      <c r="Q2520">
        <v>0</v>
      </c>
      <c r="S2520" t="str">
        <f>"20:27:56.984"</f>
        <v>20:27:56.984</v>
      </c>
      <c r="T2520" t="str">
        <f>"20:27:56.484"</f>
        <v>20:27:56.484</v>
      </c>
      <c r="U2520" t="str">
        <f t="shared" si="122"/>
        <v>AB01F4</v>
      </c>
      <c r="V2520">
        <v>0</v>
      </c>
      <c r="W2520">
        <v>0</v>
      </c>
      <c r="X2520">
        <v>2</v>
      </c>
      <c r="Z2520">
        <v>0</v>
      </c>
      <c r="AA2520">
        <v>9</v>
      </c>
      <c r="AB2520">
        <v>3</v>
      </c>
      <c r="AC2520">
        <v>0</v>
      </c>
      <c r="AD2520">
        <v>10</v>
      </c>
      <c r="AE2520">
        <v>0</v>
      </c>
      <c r="AF2520">
        <v>3</v>
      </c>
      <c r="AG2520">
        <v>2</v>
      </c>
      <c r="AH2520">
        <v>0</v>
      </c>
      <c r="AI2520" t="s">
        <v>1509</v>
      </c>
      <c r="AJ2520">
        <v>39.994633</v>
      </c>
      <c r="AK2520" t="s">
        <v>1510</v>
      </c>
      <c r="AL2520">
        <v>-92.738534999999999</v>
      </c>
      <c r="AM2520">
        <v>100</v>
      </c>
      <c r="AN2520">
        <v>1700</v>
      </c>
      <c r="AO2520" t="s">
        <v>118</v>
      </c>
      <c r="AP2520">
        <v>-106</v>
      </c>
      <c r="AQ2520">
        <v>76</v>
      </c>
      <c r="AR2520">
        <v>64</v>
      </c>
      <c r="AZ2520">
        <v>1200</v>
      </c>
      <c r="BA2520">
        <v>1</v>
      </c>
      <c r="BB2520" t="str">
        <f t="shared" si="121"/>
        <v xml:space="preserve">N8080G  </v>
      </c>
      <c r="BC2520">
        <v>1</v>
      </c>
      <c r="BE2520">
        <v>0</v>
      </c>
      <c r="BF2520">
        <v>0</v>
      </c>
      <c r="BG2520">
        <v>0</v>
      </c>
      <c r="BH2520">
        <v>1700</v>
      </c>
      <c r="BI2520">
        <v>1</v>
      </c>
      <c r="BJ2520">
        <v>1</v>
      </c>
      <c r="BK2520">
        <v>1</v>
      </c>
      <c r="BL2520">
        <v>0</v>
      </c>
      <c r="BO2520">
        <v>0</v>
      </c>
      <c r="BP2520">
        <v>0</v>
      </c>
      <c r="BW2520" t="str">
        <f>"20:27:56.989"</f>
        <v>20:27:56.989</v>
      </c>
      <c r="BZ2520">
        <v>0</v>
      </c>
      <c r="CA2520">
        <v>2016</v>
      </c>
      <c r="CB2520">
        <v>224</v>
      </c>
      <c r="CD2520">
        <v>1</v>
      </c>
      <c r="CE2520">
        <v>0</v>
      </c>
      <c r="CF2520">
        <v>0</v>
      </c>
      <c r="CG2520">
        <v>1</v>
      </c>
      <c r="CH2520">
        <v>0</v>
      </c>
      <c r="CI2520">
        <v>0</v>
      </c>
      <c r="CJ2520">
        <v>0</v>
      </c>
      <c r="CK2520">
        <v>2</v>
      </c>
      <c r="CL2520">
        <v>0</v>
      </c>
      <c r="CM2520">
        <v>2</v>
      </c>
      <c r="CN2520">
        <v>0</v>
      </c>
      <c r="CO2520">
        <v>4</v>
      </c>
      <c r="CP2520" t="s">
        <v>119</v>
      </c>
      <c r="CQ2520">
        <v>179</v>
      </c>
      <c r="CR2520">
        <v>1</v>
      </c>
      <c r="CW2520">
        <v>9002744</v>
      </c>
      <c r="CY2520">
        <v>1</v>
      </c>
      <c r="CZ2520">
        <v>0</v>
      </c>
      <c r="DA2520">
        <v>1</v>
      </c>
      <c r="DB2520">
        <v>0</v>
      </c>
      <c r="DC2520">
        <v>0</v>
      </c>
      <c r="DD2520">
        <v>0</v>
      </c>
      <c r="DE2520">
        <v>0</v>
      </c>
      <c r="DF2520">
        <v>0</v>
      </c>
      <c r="DG2520">
        <v>0</v>
      </c>
      <c r="DH2520">
        <v>0</v>
      </c>
      <c r="DI2520">
        <v>0</v>
      </c>
    </row>
    <row r="2521" spans="1:113" x14ac:dyDescent="0.3">
      <c r="A2521" t="str">
        <f>"02/08/2021 20:27:54.674"</f>
        <v>02/08/2021 20:27:54.674</v>
      </c>
      <c r="C2521" t="str">
        <f t="shared" si="120"/>
        <v>FFDFD7C0</v>
      </c>
      <c r="D2521" t="s">
        <v>124</v>
      </c>
      <c r="E2521">
        <v>13</v>
      </c>
      <c r="F2521">
        <v>1013</v>
      </c>
      <c r="G2521" t="s">
        <v>114</v>
      </c>
      <c r="J2521" t="s">
        <v>125</v>
      </c>
      <c r="K2521">
        <v>0</v>
      </c>
      <c r="L2521">
        <v>3</v>
      </c>
      <c r="M2521">
        <v>0</v>
      </c>
      <c r="N2521">
        <v>2</v>
      </c>
      <c r="O2521">
        <v>1</v>
      </c>
      <c r="P2521">
        <v>0</v>
      </c>
      <c r="Q2521">
        <v>0</v>
      </c>
      <c r="S2521" t="str">
        <f>"20:27:56.984"</f>
        <v>20:27:56.984</v>
      </c>
      <c r="T2521" t="str">
        <f>"20:27:56.484"</f>
        <v>20:27:56.484</v>
      </c>
      <c r="U2521" t="str">
        <f t="shared" si="122"/>
        <v>AB01F4</v>
      </c>
      <c r="V2521">
        <v>0</v>
      </c>
      <c r="W2521">
        <v>0</v>
      </c>
      <c r="X2521">
        <v>2</v>
      </c>
      <c r="Z2521">
        <v>0</v>
      </c>
      <c r="AA2521">
        <v>9</v>
      </c>
      <c r="AB2521">
        <v>3</v>
      </c>
      <c r="AC2521">
        <v>0</v>
      </c>
      <c r="AD2521">
        <v>10</v>
      </c>
      <c r="AE2521">
        <v>0</v>
      </c>
      <c r="AF2521">
        <v>3</v>
      </c>
      <c r="AG2521">
        <v>2</v>
      </c>
      <c r="AH2521">
        <v>0</v>
      </c>
      <c r="AI2521" t="s">
        <v>1509</v>
      </c>
      <c r="AJ2521">
        <v>39.994633</v>
      </c>
      <c r="AK2521" t="s">
        <v>1510</v>
      </c>
      <c r="AL2521">
        <v>-92.738534999999999</v>
      </c>
      <c r="AM2521">
        <v>100</v>
      </c>
      <c r="AN2521">
        <v>1700</v>
      </c>
      <c r="AO2521" t="s">
        <v>118</v>
      </c>
      <c r="AP2521">
        <v>-106</v>
      </c>
      <c r="AQ2521">
        <v>76</v>
      </c>
      <c r="AR2521">
        <v>64</v>
      </c>
      <c r="AZ2521">
        <v>1200</v>
      </c>
      <c r="BA2521">
        <v>1</v>
      </c>
      <c r="BB2521" t="str">
        <f t="shared" si="121"/>
        <v xml:space="preserve">N8080G  </v>
      </c>
      <c r="BC2521">
        <v>1</v>
      </c>
      <c r="BE2521">
        <v>0</v>
      </c>
      <c r="BF2521">
        <v>0</v>
      </c>
      <c r="BG2521">
        <v>0</v>
      </c>
      <c r="BH2521">
        <v>1700</v>
      </c>
      <c r="BI2521">
        <v>1</v>
      </c>
      <c r="BJ2521">
        <v>1</v>
      </c>
      <c r="BK2521">
        <v>1</v>
      </c>
      <c r="BL2521">
        <v>0</v>
      </c>
      <c r="BO2521">
        <v>0</v>
      </c>
      <c r="BP2521">
        <v>0</v>
      </c>
      <c r="BW2521" t="str">
        <f>"20:27:56.989"</f>
        <v>20:27:56.989</v>
      </c>
      <c r="BZ2521">
        <v>0</v>
      </c>
      <c r="CA2521">
        <v>2016</v>
      </c>
      <c r="CB2521">
        <v>224</v>
      </c>
      <c r="CD2521">
        <v>1</v>
      </c>
      <c r="CE2521">
        <v>0</v>
      </c>
      <c r="CF2521">
        <v>0</v>
      </c>
      <c r="CG2521">
        <v>1</v>
      </c>
      <c r="CH2521">
        <v>0</v>
      </c>
      <c r="CI2521">
        <v>0</v>
      </c>
      <c r="CJ2521">
        <v>0</v>
      </c>
      <c r="CK2521">
        <v>2</v>
      </c>
      <c r="CL2521">
        <v>0</v>
      </c>
      <c r="CM2521">
        <v>2</v>
      </c>
      <c r="CN2521">
        <v>0</v>
      </c>
      <c r="CO2521">
        <v>4</v>
      </c>
      <c r="CP2521" t="s">
        <v>119</v>
      </c>
      <c r="CQ2521">
        <v>179</v>
      </c>
      <c r="CR2521">
        <v>1</v>
      </c>
      <c r="CW2521">
        <v>9002744</v>
      </c>
      <c r="CY2521">
        <v>1</v>
      </c>
      <c r="CZ2521">
        <v>0</v>
      </c>
      <c r="DA2521">
        <v>1</v>
      </c>
      <c r="DB2521">
        <v>0</v>
      </c>
      <c r="DC2521">
        <v>0</v>
      </c>
      <c r="DD2521">
        <v>0</v>
      </c>
      <c r="DE2521">
        <v>0</v>
      </c>
      <c r="DF2521">
        <v>0</v>
      </c>
      <c r="DG2521">
        <v>0</v>
      </c>
      <c r="DH2521">
        <v>0</v>
      </c>
      <c r="DI2521">
        <v>0</v>
      </c>
    </row>
    <row r="2522" spans="1:113" x14ac:dyDescent="0.3">
      <c r="A2522" t="str">
        <f>"02/08/2021 20:27:54.674"</f>
        <v>02/08/2021 20:27:54.674</v>
      </c>
      <c r="C2522" t="str">
        <f t="shared" si="120"/>
        <v>FFDFD7C0</v>
      </c>
      <c r="D2522" t="s">
        <v>124</v>
      </c>
      <c r="E2522">
        <v>11</v>
      </c>
      <c r="F2522">
        <v>1011</v>
      </c>
      <c r="G2522" t="s">
        <v>590</v>
      </c>
      <c r="J2522" t="s">
        <v>125</v>
      </c>
      <c r="K2522">
        <v>0</v>
      </c>
      <c r="L2522">
        <v>3</v>
      </c>
      <c r="M2522">
        <v>0</v>
      </c>
      <c r="N2522">
        <v>2</v>
      </c>
      <c r="O2522">
        <v>1</v>
      </c>
      <c r="P2522">
        <v>0</v>
      </c>
      <c r="Q2522">
        <v>0</v>
      </c>
      <c r="S2522" t="str">
        <f>"20:27:56.984"</f>
        <v>20:27:56.984</v>
      </c>
      <c r="T2522" t="str">
        <f>"20:27:56.484"</f>
        <v>20:27:56.484</v>
      </c>
      <c r="U2522" t="str">
        <f t="shared" si="122"/>
        <v>AB01F4</v>
      </c>
      <c r="V2522">
        <v>0</v>
      </c>
      <c r="W2522">
        <v>0</v>
      </c>
      <c r="X2522">
        <v>2</v>
      </c>
      <c r="Z2522">
        <v>0</v>
      </c>
      <c r="AA2522">
        <v>9</v>
      </c>
      <c r="AB2522">
        <v>3</v>
      </c>
      <c r="AC2522">
        <v>0</v>
      </c>
      <c r="AD2522">
        <v>10</v>
      </c>
      <c r="AE2522">
        <v>0</v>
      </c>
      <c r="AF2522">
        <v>3</v>
      </c>
      <c r="AG2522">
        <v>2</v>
      </c>
      <c r="AH2522">
        <v>0</v>
      </c>
      <c r="AI2522" t="s">
        <v>1509</v>
      </c>
      <c r="AJ2522">
        <v>39.994633</v>
      </c>
      <c r="AK2522" t="s">
        <v>1510</v>
      </c>
      <c r="AL2522">
        <v>-92.738534999999999</v>
      </c>
      <c r="AM2522">
        <v>100</v>
      </c>
      <c r="AN2522">
        <v>1700</v>
      </c>
      <c r="AO2522" t="s">
        <v>118</v>
      </c>
      <c r="AP2522">
        <v>-106</v>
      </c>
      <c r="AQ2522">
        <v>76</v>
      </c>
      <c r="AR2522">
        <v>64</v>
      </c>
      <c r="AZ2522">
        <v>1200</v>
      </c>
      <c r="BA2522">
        <v>1</v>
      </c>
      <c r="BB2522" t="str">
        <f t="shared" si="121"/>
        <v xml:space="preserve">N8080G  </v>
      </c>
      <c r="BC2522">
        <v>1</v>
      </c>
      <c r="BE2522">
        <v>0</v>
      </c>
      <c r="BF2522">
        <v>0</v>
      </c>
      <c r="BG2522">
        <v>0</v>
      </c>
      <c r="BH2522">
        <v>1700</v>
      </c>
      <c r="BI2522">
        <v>1</v>
      </c>
      <c r="BJ2522">
        <v>1</v>
      </c>
      <c r="BK2522">
        <v>1</v>
      </c>
      <c r="BL2522">
        <v>0</v>
      </c>
      <c r="BO2522">
        <v>0</v>
      </c>
      <c r="BP2522">
        <v>0</v>
      </c>
      <c r="BW2522" t="str">
        <f>"20:27:56.989"</f>
        <v>20:27:56.989</v>
      </c>
      <c r="BZ2522">
        <v>0</v>
      </c>
      <c r="CA2522">
        <v>2016</v>
      </c>
      <c r="CB2522">
        <v>224</v>
      </c>
      <c r="CD2522">
        <v>1</v>
      </c>
      <c r="CE2522">
        <v>0</v>
      </c>
      <c r="CF2522">
        <v>0</v>
      </c>
      <c r="CG2522">
        <v>1</v>
      </c>
      <c r="CH2522">
        <v>0</v>
      </c>
      <c r="CI2522">
        <v>0</v>
      </c>
      <c r="CJ2522">
        <v>0</v>
      </c>
      <c r="CK2522">
        <v>2</v>
      </c>
      <c r="CL2522">
        <v>0</v>
      </c>
      <c r="CM2522">
        <v>2</v>
      </c>
      <c r="CN2522">
        <v>0</v>
      </c>
      <c r="CO2522">
        <v>4</v>
      </c>
      <c r="CP2522" t="s">
        <v>119</v>
      </c>
      <c r="CQ2522">
        <v>179</v>
      </c>
      <c r="CR2522">
        <v>1</v>
      </c>
      <c r="CW2522">
        <v>9002744</v>
      </c>
      <c r="CY2522">
        <v>1</v>
      </c>
      <c r="CZ2522">
        <v>0</v>
      </c>
      <c r="DA2522">
        <v>1</v>
      </c>
      <c r="DB2522">
        <v>0</v>
      </c>
      <c r="DC2522">
        <v>0</v>
      </c>
      <c r="DD2522">
        <v>0</v>
      </c>
      <c r="DE2522">
        <v>0</v>
      </c>
      <c r="DF2522">
        <v>0</v>
      </c>
      <c r="DG2522">
        <v>0</v>
      </c>
      <c r="DH2522">
        <v>0</v>
      </c>
      <c r="DI2522">
        <v>0</v>
      </c>
    </row>
    <row r="2523" spans="1:113" x14ac:dyDescent="0.3">
      <c r="A2523" t="str">
        <f>"02/08/2021 20:27:55.792"</f>
        <v>02/08/2021 20:27:55.792</v>
      </c>
      <c r="C2523" t="str">
        <f t="shared" si="120"/>
        <v>FFDFD7C0</v>
      </c>
      <c r="D2523" t="s">
        <v>113</v>
      </c>
      <c r="E2523">
        <v>6</v>
      </c>
      <c r="H2523">
        <v>165</v>
      </c>
      <c r="I2523" t="s">
        <v>114</v>
      </c>
      <c r="J2523" t="s">
        <v>115</v>
      </c>
      <c r="K2523">
        <v>0</v>
      </c>
      <c r="L2523">
        <v>3</v>
      </c>
      <c r="M2523">
        <v>0</v>
      </c>
      <c r="N2523">
        <v>2</v>
      </c>
      <c r="O2523">
        <v>1</v>
      </c>
      <c r="P2523">
        <v>0</v>
      </c>
      <c r="Q2523">
        <v>0</v>
      </c>
      <c r="S2523" t="str">
        <f>"20:27:58.094"</f>
        <v>20:27:58.094</v>
      </c>
      <c r="T2523" t="str">
        <f>"20:27:57.594"</f>
        <v>20:27:57.594</v>
      </c>
      <c r="U2523" t="str">
        <f t="shared" si="122"/>
        <v>AB01F4</v>
      </c>
      <c r="V2523">
        <v>0</v>
      </c>
      <c r="W2523">
        <v>0</v>
      </c>
      <c r="X2523">
        <v>2</v>
      </c>
      <c r="Z2523">
        <v>0</v>
      </c>
      <c r="AA2523">
        <v>9</v>
      </c>
      <c r="AB2523">
        <v>3</v>
      </c>
      <c r="AC2523">
        <v>0</v>
      </c>
      <c r="AD2523">
        <v>10</v>
      </c>
      <c r="AE2523">
        <v>0</v>
      </c>
      <c r="AF2523">
        <v>3</v>
      </c>
      <c r="AG2523">
        <v>2</v>
      </c>
      <c r="AH2523">
        <v>0</v>
      </c>
      <c r="AI2523" t="s">
        <v>1511</v>
      </c>
      <c r="AJ2523">
        <v>39.995018999999999</v>
      </c>
      <c r="AK2523" t="s">
        <v>1512</v>
      </c>
      <c r="AL2523">
        <v>-92.739221999999998</v>
      </c>
      <c r="AM2523">
        <v>100</v>
      </c>
      <c r="AN2523">
        <v>1700</v>
      </c>
      <c r="AO2523" t="s">
        <v>118</v>
      </c>
      <c r="AP2523">
        <v>-106</v>
      </c>
      <c r="AQ2523">
        <v>76</v>
      </c>
      <c r="AR2523">
        <v>128</v>
      </c>
      <c r="AZ2523">
        <v>1200</v>
      </c>
      <c r="BA2523">
        <v>1</v>
      </c>
      <c r="BB2523" t="str">
        <f t="shared" si="121"/>
        <v xml:space="preserve">N8080G  </v>
      </c>
      <c r="BC2523">
        <v>1</v>
      </c>
      <c r="BE2523">
        <v>0</v>
      </c>
      <c r="BF2523">
        <v>0</v>
      </c>
      <c r="BG2523">
        <v>0</v>
      </c>
      <c r="BH2523">
        <v>1700</v>
      </c>
      <c r="BI2523">
        <v>1</v>
      </c>
      <c r="BJ2523">
        <v>1</v>
      </c>
      <c r="BK2523">
        <v>1</v>
      </c>
      <c r="BL2523">
        <v>0</v>
      </c>
      <c r="BO2523">
        <v>0</v>
      </c>
      <c r="BP2523">
        <v>0</v>
      </c>
      <c r="BW2523" t="str">
        <f>"20:27:58.100"</f>
        <v>20:27:58.100</v>
      </c>
      <c r="BZ2523">
        <v>0</v>
      </c>
      <c r="CA2523">
        <v>2016</v>
      </c>
      <c r="CB2523">
        <v>224</v>
      </c>
      <c r="CD2523">
        <v>1</v>
      </c>
      <c r="CE2523">
        <v>0</v>
      </c>
      <c r="CF2523">
        <v>0</v>
      </c>
      <c r="CG2523">
        <v>1</v>
      </c>
      <c r="CH2523">
        <v>0</v>
      </c>
      <c r="CI2523">
        <v>0</v>
      </c>
      <c r="CJ2523">
        <v>0</v>
      </c>
      <c r="CK2523">
        <v>2</v>
      </c>
      <c r="CL2523">
        <v>0</v>
      </c>
      <c r="CM2523">
        <v>2</v>
      </c>
      <c r="CN2523">
        <v>0</v>
      </c>
      <c r="CO2523">
        <v>4</v>
      </c>
      <c r="CP2523" t="s">
        <v>119</v>
      </c>
      <c r="CQ2523">
        <v>179</v>
      </c>
      <c r="CR2523">
        <v>1</v>
      </c>
      <c r="CW2523">
        <v>9003629</v>
      </c>
      <c r="CY2523">
        <v>1</v>
      </c>
      <c r="CZ2523">
        <v>0</v>
      </c>
      <c r="DA2523">
        <v>0</v>
      </c>
      <c r="DB2523">
        <v>0</v>
      </c>
      <c r="DC2523">
        <v>0</v>
      </c>
      <c r="DD2523">
        <v>0</v>
      </c>
      <c r="DE2523">
        <v>0</v>
      </c>
      <c r="DF2523">
        <v>0</v>
      </c>
      <c r="DG2523">
        <v>0</v>
      </c>
      <c r="DH2523">
        <v>0</v>
      </c>
      <c r="DI2523">
        <v>0</v>
      </c>
    </row>
    <row r="2524" spans="1:113" x14ac:dyDescent="0.3">
      <c r="A2524" t="str">
        <f>"02/08/2021 20:27:55.792"</f>
        <v>02/08/2021 20:27:55.792</v>
      </c>
      <c r="C2524" t="str">
        <f t="shared" si="120"/>
        <v>FFDFD7C0</v>
      </c>
      <c r="D2524" t="s">
        <v>124</v>
      </c>
      <c r="E2524">
        <v>13</v>
      </c>
      <c r="F2524">
        <v>1013</v>
      </c>
      <c r="G2524" t="s">
        <v>114</v>
      </c>
      <c r="J2524" t="s">
        <v>125</v>
      </c>
      <c r="K2524">
        <v>0</v>
      </c>
      <c r="L2524">
        <v>3</v>
      </c>
      <c r="M2524">
        <v>0</v>
      </c>
      <c r="N2524">
        <v>2</v>
      </c>
      <c r="O2524">
        <v>1</v>
      </c>
      <c r="P2524">
        <v>0</v>
      </c>
      <c r="Q2524">
        <v>0</v>
      </c>
      <c r="S2524" t="str">
        <f>"20:27:58.094"</f>
        <v>20:27:58.094</v>
      </c>
      <c r="T2524" t="str">
        <f>"20:27:57.594"</f>
        <v>20:27:57.594</v>
      </c>
      <c r="U2524" t="str">
        <f t="shared" si="122"/>
        <v>AB01F4</v>
      </c>
      <c r="V2524">
        <v>0</v>
      </c>
      <c r="W2524">
        <v>0</v>
      </c>
      <c r="X2524">
        <v>2</v>
      </c>
      <c r="Z2524">
        <v>0</v>
      </c>
      <c r="AA2524">
        <v>9</v>
      </c>
      <c r="AB2524">
        <v>3</v>
      </c>
      <c r="AC2524">
        <v>0</v>
      </c>
      <c r="AD2524">
        <v>10</v>
      </c>
      <c r="AE2524">
        <v>0</v>
      </c>
      <c r="AF2524">
        <v>3</v>
      </c>
      <c r="AG2524">
        <v>2</v>
      </c>
      <c r="AH2524">
        <v>0</v>
      </c>
      <c r="AI2524" t="s">
        <v>1511</v>
      </c>
      <c r="AJ2524">
        <v>39.995018999999999</v>
      </c>
      <c r="AK2524" t="s">
        <v>1512</v>
      </c>
      <c r="AL2524">
        <v>-92.739221999999998</v>
      </c>
      <c r="AM2524">
        <v>100</v>
      </c>
      <c r="AN2524">
        <v>1700</v>
      </c>
      <c r="AO2524" t="s">
        <v>118</v>
      </c>
      <c r="AP2524">
        <v>-106</v>
      </c>
      <c r="AQ2524">
        <v>76</v>
      </c>
      <c r="AR2524">
        <v>128</v>
      </c>
      <c r="AZ2524">
        <v>1200</v>
      </c>
      <c r="BA2524">
        <v>1</v>
      </c>
      <c r="BB2524" t="str">
        <f t="shared" si="121"/>
        <v xml:space="preserve">N8080G  </v>
      </c>
      <c r="BC2524">
        <v>1</v>
      </c>
      <c r="BE2524">
        <v>0</v>
      </c>
      <c r="BF2524">
        <v>0</v>
      </c>
      <c r="BG2524">
        <v>0</v>
      </c>
      <c r="BH2524">
        <v>1700</v>
      </c>
      <c r="BI2524">
        <v>1</v>
      </c>
      <c r="BJ2524">
        <v>1</v>
      </c>
      <c r="BK2524">
        <v>1</v>
      </c>
      <c r="BL2524">
        <v>0</v>
      </c>
      <c r="BO2524">
        <v>0</v>
      </c>
      <c r="BP2524">
        <v>0</v>
      </c>
      <c r="BW2524" t="str">
        <f>"20:27:58.100"</f>
        <v>20:27:58.100</v>
      </c>
      <c r="BZ2524">
        <v>0</v>
      </c>
      <c r="CA2524">
        <v>2016</v>
      </c>
      <c r="CB2524">
        <v>224</v>
      </c>
      <c r="CD2524">
        <v>1</v>
      </c>
      <c r="CE2524">
        <v>0</v>
      </c>
      <c r="CF2524">
        <v>0</v>
      </c>
      <c r="CG2524">
        <v>1</v>
      </c>
      <c r="CH2524">
        <v>0</v>
      </c>
      <c r="CI2524">
        <v>0</v>
      </c>
      <c r="CJ2524">
        <v>0</v>
      </c>
      <c r="CK2524">
        <v>2</v>
      </c>
      <c r="CL2524">
        <v>0</v>
      </c>
      <c r="CM2524">
        <v>2</v>
      </c>
      <c r="CN2524">
        <v>0</v>
      </c>
      <c r="CO2524">
        <v>4</v>
      </c>
      <c r="CP2524" t="s">
        <v>119</v>
      </c>
      <c r="CQ2524">
        <v>179</v>
      </c>
      <c r="CR2524">
        <v>1</v>
      </c>
      <c r="CW2524">
        <v>9003629</v>
      </c>
      <c r="CY2524">
        <v>1</v>
      </c>
      <c r="CZ2524">
        <v>0</v>
      </c>
      <c r="DA2524">
        <v>1</v>
      </c>
      <c r="DB2524">
        <v>0</v>
      </c>
      <c r="DC2524">
        <v>0</v>
      </c>
      <c r="DD2524">
        <v>0</v>
      </c>
      <c r="DE2524">
        <v>0</v>
      </c>
      <c r="DF2524">
        <v>0</v>
      </c>
      <c r="DG2524">
        <v>0</v>
      </c>
      <c r="DH2524">
        <v>0</v>
      </c>
      <c r="DI2524">
        <v>0</v>
      </c>
    </row>
    <row r="2525" spans="1:113" x14ac:dyDescent="0.3">
      <c r="A2525" t="str">
        <f>"02/08/2021 20:27:55.792"</f>
        <v>02/08/2021 20:27:55.792</v>
      </c>
      <c r="C2525" t="str">
        <f t="shared" si="120"/>
        <v>FFDFD7C0</v>
      </c>
      <c r="D2525" t="s">
        <v>124</v>
      </c>
      <c r="E2525">
        <v>11</v>
      </c>
      <c r="F2525">
        <v>1011</v>
      </c>
      <c r="G2525" t="s">
        <v>590</v>
      </c>
      <c r="J2525" t="s">
        <v>125</v>
      </c>
      <c r="K2525">
        <v>0</v>
      </c>
      <c r="L2525">
        <v>3</v>
      </c>
      <c r="M2525">
        <v>0</v>
      </c>
      <c r="N2525">
        <v>2</v>
      </c>
      <c r="O2525">
        <v>1</v>
      </c>
      <c r="P2525">
        <v>0</v>
      </c>
      <c r="Q2525">
        <v>0</v>
      </c>
      <c r="S2525" t="str">
        <f>"20:27:58.094"</f>
        <v>20:27:58.094</v>
      </c>
      <c r="T2525" t="str">
        <f>"20:27:57.594"</f>
        <v>20:27:57.594</v>
      </c>
      <c r="U2525" t="str">
        <f t="shared" si="122"/>
        <v>AB01F4</v>
      </c>
      <c r="V2525">
        <v>0</v>
      </c>
      <c r="W2525">
        <v>0</v>
      </c>
      <c r="X2525">
        <v>2</v>
      </c>
      <c r="Z2525">
        <v>0</v>
      </c>
      <c r="AA2525">
        <v>9</v>
      </c>
      <c r="AB2525">
        <v>3</v>
      </c>
      <c r="AC2525">
        <v>0</v>
      </c>
      <c r="AD2525">
        <v>10</v>
      </c>
      <c r="AE2525">
        <v>0</v>
      </c>
      <c r="AF2525">
        <v>3</v>
      </c>
      <c r="AG2525">
        <v>2</v>
      </c>
      <c r="AH2525">
        <v>0</v>
      </c>
      <c r="AI2525" t="s">
        <v>1511</v>
      </c>
      <c r="AJ2525">
        <v>39.995018999999999</v>
      </c>
      <c r="AK2525" t="s">
        <v>1512</v>
      </c>
      <c r="AL2525">
        <v>-92.739221999999998</v>
      </c>
      <c r="AM2525">
        <v>100</v>
      </c>
      <c r="AN2525">
        <v>1700</v>
      </c>
      <c r="AO2525" t="s">
        <v>118</v>
      </c>
      <c r="AP2525">
        <v>-106</v>
      </c>
      <c r="AQ2525">
        <v>76</v>
      </c>
      <c r="AR2525">
        <v>128</v>
      </c>
      <c r="AZ2525">
        <v>1200</v>
      </c>
      <c r="BA2525">
        <v>1</v>
      </c>
      <c r="BB2525" t="str">
        <f t="shared" si="121"/>
        <v xml:space="preserve">N8080G  </v>
      </c>
      <c r="BC2525">
        <v>1</v>
      </c>
      <c r="BE2525">
        <v>0</v>
      </c>
      <c r="BF2525">
        <v>0</v>
      </c>
      <c r="BG2525">
        <v>0</v>
      </c>
      <c r="BH2525">
        <v>1700</v>
      </c>
      <c r="BI2525">
        <v>1</v>
      </c>
      <c r="BJ2525">
        <v>1</v>
      </c>
      <c r="BK2525">
        <v>1</v>
      </c>
      <c r="BL2525">
        <v>0</v>
      </c>
      <c r="BO2525">
        <v>0</v>
      </c>
      <c r="BP2525">
        <v>0</v>
      </c>
      <c r="BW2525" t="str">
        <f>"20:27:58.100"</f>
        <v>20:27:58.100</v>
      </c>
      <c r="BZ2525">
        <v>0</v>
      </c>
      <c r="CA2525">
        <v>2016</v>
      </c>
      <c r="CB2525">
        <v>224</v>
      </c>
      <c r="CD2525">
        <v>1</v>
      </c>
      <c r="CE2525">
        <v>0</v>
      </c>
      <c r="CF2525">
        <v>0</v>
      </c>
      <c r="CG2525">
        <v>1</v>
      </c>
      <c r="CH2525">
        <v>0</v>
      </c>
      <c r="CI2525">
        <v>0</v>
      </c>
      <c r="CJ2525">
        <v>0</v>
      </c>
      <c r="CK2525">
        <v>2</v>
      </c>
      <c r="CL2525">
        <v>0</v>
      </c>
      <c r="CM2525">
        <v>2</v>
      </c>
      <c r="CN2525">
        <v>0</v>
      </c>
      <c r="CO2525">
        <v>4</v>
      </c>
      <c r="CP2525" t="s">
        <v>119</v>
      </c>
      <c r="CQ2525">
        <v>179</v>
      </c>
      <c r="CR2525">
        <v>1</v>
      </c>
      <c r="CW2525">
        <v>9003629</v>
      </c>
      <c r="CY2525">
        <v>1</v>
      </c>
      <c r="CZ2525">
        <v>0</v>
      </c>
      <c r="DA2525">
        <v>1</v>
      </c>
      <c r="DB2525">
        <v>0</v>
      </c>
      <c r="DC2525">
        <v>0</v>
      </c>
      <c r="DD2525">
        <v>0</v>
      </c>
      <c r="DE2525">
        <v>0</v>
      </c>
      <c r="DF2525">
        <v>0</v>
      </c>
      <c r="DG2525">
        <v>0</v>
      </c>
      <c r="DH2525">
        <v>0</v>
      </c>
      <c r="DI2525">
        <v>0</v>
      </c>
    </row>
    <row r="2526" spans="1:113" x14ac:dyDescent="0.3">
      <c r="A2526" t="str">
        <f>"02/08/2021 20:27:55.792"</f>
        <v>02/08/2021 20:27:55.792</v>
      </c>
      <c r="C2526" t="str">
        <f t="shared" si="120"/>
        <v>FFDFD7C0</v>
      </c>
      <c r="D2526" t="s">
        <v>124</v>
      </c>
      <c r="E2526">
        <v>12</v>
      </c>
      <c r="F2526">
        <v>1012</v>
      </c>
      <c r="G2526" t="s">
        <v>675</v>
      </c>
      <c r="J2526" t="s">
        <v>125</v>
      </c>
      <c r="K2526">
        <v>0</v>
      </c>
      <c r="L2526">
        <v>3</v>
      </c>
      <c r="M2526">
        <v>0</v>
      </c>
      <c r="N2526">
        <v>2</v>
      </c>
      <c r="O2526">
        <v>1</v>
      </c>
      <c r="P2526">
        <v>0</v>
      </c>
      <c r="Q2526">
        <v>0</v>
      </c>
      <c r="S2526" t="str">
        <f>"20:27:58.094"</f>
        <v>20:27:58.094</v>
      </c>
      <c r="T2526" t="str">
        <f>"20:27:57.594"</f>
        <v>20:27:57.594</v>
      </c>
      <c r="U2526" t="str">
        <f t="shared" si="122"/>
        <v>AB01F4</v>
      </c>
      <c r="V2526">
        <v>0</v>
      </c>
      <c r="W2526">
        <v>0</v>
      </c>
      <c r="X2526">
        <v>2</v>
      </c>
      <c r="Z2526">
        <v>0</v>
      </c>
      <c r="AA2526">
        <v>9</v>
      </c>
      <c r="AB2526">
        <v>3</v>
      </c>
      <c r="AC2526">
        <v>0</v>
      </c>
      <c r="AD2526">
        <v>10</v>
      </c>
      <c r="AE2526">
        <v>0</v>
      </c>
      <c r="AF2526">
        <v>3</v>
      </c>
      <c r="AG2526">
        <v>2</v>
      </c>
      <c r="AH2526">
        <v>0</v>
      </c>
      <c r="AI2526" t="s">
        <v>1511</v>
      </c>
      <c r="AJ2526">
        <v>39.995018999999999</v>
      </c>
      <c r="AK2526" t="s">
        <v>1512</v>
      </c>
      <c r="AL2526">
        <v>-92.739221999999998</v>
      </c>
      <c r="AM2526">
        <v>100</v>
      </c>
      <c r="AN2526">
        <v>1700</v>
      </c>
      <c r="AO2526" t="s">
        <v>118</v>
      </c>
      <c r="AP2526">
        <v>-106</v>
      </c>
      <c r="AQ2526">
        <v>76</v>
      </c>
      <c r="AR2526">
        <v>128</v>
      </c>
      <c r="AZ2526">
        <v>1200</v>
      </c>
      <c r="BA2526">
        <v>1</v>
      </c>
      <c r="BB2526" t="str">
        <f t="shared" si="121"/>
        <v xml:space="preserve">N8080G  </v>
      </c>
      <c r="BC2526">
        <v>1</v>
      </c>
      <c r="BE2526">
        <v>0</v>
      </c>
      <c r="BF2526">
        <v>0</v>
      </c>
      <c r="BG2526">
        <v>0</v>
      </c>
      <c r="BH2526">
        <v>1700</v>
      </c>
      <c r="BI2526">
        <v>1</v>
      </c>
      <c r="BJ2526">
        <v>1</v>
      </c>
      <c r="BK2526">
        <v>1</v>
      </c>
      <c r="BL2526">
        <v>0</v>
      </c>
      <c r="BO2526">
        <v>0</v>
      </c>
      <c r="BP2526">
        <v>0</v>
      </c>
      <c r="BW2526" t="str">
        <f>"20:27:58.100"</f>
        <v>20:27:58.100</v>
      </c>
      <c r="BZ2526">
        <v>0</v>
      </c>
      <c r="CA2526">
        <v>2016</v>
      </c>
      <c r="CB2526">
        <v>224</v>
      </c>
      <c r="CD2526">
        <v>1</v>
      </c>
      <c r="CE2526">
        <v>0</v>
      </c>
      <c r="CF2526">
        <v>0</v>
      </c>
      <c r="CG2526">
        <v>1</v>
      </c>
      <c r="CH2526">
        <v>0</v>
      </c>
      <c r="CI2526">
        <v>0</v>
      </c>
      <c r="CJ2526">
        <v>0</v>
      </c>
      <c r="CK2526">
        <v>2</v>
      </c>
      <c r="CL2526">
        <v>0</v>
      </c>
      <c r="CM2526">
        <v>2</v>
      </c>
      <c r="CN2526">
        <v>0</v>
      </c>
      <c r="CO2526">
        <v>4</v>
      </c>
      <c r="CP2526" t="s">
        <v>119</v>
      </c>
      <c r="CQ2526">
        <v>179</v>
      </c>
      <c r="CR2526">
        <v>1</v>
      </c>
      <c r="CW2526">
        <v>9003629</v>
      </c>
      <c r="CY2526">
        <v>1</v>
      </c>
      <c r="CZ2526">
        <v>0</v>
      </c>
      <c r="DA2526">
        <v>1</v>
      </c>
      <c r="DB2526">
        <v>0</v>
      </c>
      <c r="DC2526">
        <v>0</v>
      </c>
      <c r="DD2526">
        <v>0</v>
      </c>
      <c r="DE2526">
        <v>0</v>
      </c>
      <c r="DF2526">
        <v>0</v>
      </c>
      <c r="DG2526">
        <v>0</v>
      </c>
      <c r="DH2526">
        <v>0</v>
      </c>
      <c r="DI2526">
        <v>0</v>
      </c>
    </row>
    <row r="2527" spans="1:113" x14ac:dyDescent="0.3">
      <c r="A2527" t="str">
        <f>"02/08/2021 20:27:56.752"</f>
        <v>02/08/2021 20:27:56.752</v>
      </c>
      <c r="C2527" t="str">
        <f t="shared" si="120"/>
        <v>FFDFD7C0</v>
      </c>
      <c r="D2527" t="s">
        <v>113</v>
      </c>
      <c r="E2527">
        <v>6</v>
      </c>
      <c r="H2527">
        <v>165</v>
      </c>
      <c r="I2527" t="s">
        <v>114</v>
      </c>
      <c r="J2527" t="s">
        <v>115</v>
      </c>
      <c r="K2527">
        <v>0</v>
      </c>
      <c r="L2527">
        <v>3</v>
      </c>
      <c r="M2527">
        <v>0</v>
      </c>
      <c r="N2527">
        <v>2</v>
      </c>
      <c r="O2527">
        <v>1</v>
      </c>
      <c r="P2527">
        <v>0</v>
      </c>
      <c r="Q2527">
        <v>0</v>
      </c>
      <c r="S2527" t="str">
        <f>"20:27:59.055"</f>
        <v>20:27:59.055</v>
      </c>
      <c r="T2527" t="str">
        <f>"20:27:58.555"</f>
        <v>20:27:58.555</v>
      </c>
      <c r="U2527" t="str">
        <f t="shared" si="122"/>
        <v>AB01F4</v>
      </c>
      <c r="V2527">
        <v>0</v>
      </c>
      <c r="W2527">
        <v>0</v>
      </c>
      <c r="X2527">
        <v>2</v>
      </c>
      <c r="Z2527">
        <v>0</v>
      </c>
      <c r="AA2527">
        <v>9</v>
      </c>
      <c r="AB2527">
        <v>3</v>
      </c>
      <c r="AC2527">
        <v>0</v>
      </c>
      <c r="AD2527">
        <v>10</v>
      </c>
      <c r="AE2527">
        <v>0</v>
      </c>
      <c r="AF2527">
        <v>3</v>
      </c>
      <c r="AG2527">
        <v>2</v>
      </c>
      <c r="AH2527">
        <v>0</v>
      </c>
      <c r="AI2527" t="s">
        <v>1513</v>
      </c>
      <c r="AJ2527">
        <v>39.995362999999998</v>
      </c>
      <c r="AK2527" t="s">
        <v>1514</v>
      </c>
      <c r="AL2527">
        <v>-92.739844000000005</v>
      </c>
      <c r="AM2527">
        <v>100</v>
      </c>
      <c r="AN2527">
        <v>1700</v>
      </c>
      <c r="AO2527" t="s">
        <v>118</v>
      </c>
      <c r="AP2527">
        <v>-106</v>
      </c>
      <c r="AQ2527">
        <v>76</v>
      </c>
      <c r="AR2527">
        <v>64</v>
      </c>
      <c r="AZ2527">
        <v>1200</v>
      </c>
      <c r="BA2527">
        <v>1</v>
      </c>
      <c r="BB2527" t="str">
        <f t="shared" si="121"/>
        <v xml:space="preserve">N8080G  </v>
      </c>
      <c r="BC2527">
        <v>1</v>
      </c>
      <c r="BE2527">
        <v>0</v>
      </c>
      <c r="BF2527">
        <v>0</v>
      </c>
      <c r="BG2527">
        <v>0</v>
      </c>
      <c r="BH2527">
        <v>1700</v>
      </c>
      <c r="BI2527">
        <v>1</v>
      </c>
      <c r="BJ2527">
        <v>1</v>
      </c>
      <c r="BK2527">
        <v>1</v>
      </c>
      <c r="BL2527">
        <v>0</v>
      </c>
      <c r="BO2527">
        <v>0</v>
      </c>
      <c r="BP2527">
        <v>0</v>
      </c>
      <c r="BW2527" t="str">
        <f>"20:27:59.058"</f>
        <v>20:27:59.058</v>
      </c>
      <c r="BZ2527">
        <v>0</v>
      </c>
      <c r="CA2527">
        <v>2016</v>
      </c>
      <c r="CB2527">
        <v>224</v>
      </c>
      <c r="CD2527">
        <v>1</v>
      </c>
      <c r="CE2527">
        <v>0</v>
      </c>
      <c r="CF2527">
        <v>0</v>
      </c>
      <c r="CG2527">
        <v>1</v>
      </c>
      <c r="CH2527">
        <v>0</v>
      </c>
      <c r="CI2527">
        <v>0</v>
      </c>
      <c r="CJ2527">
        <v>0</v>
      </c>
      <c r="CK2527">
        <v>2</v>
      </c>
      <c r="CL2527">
        <v>0</v>
      </c>
      <c r="CM2527">
        <v>2</v>
      </c>
      <c r="CN2527">
        <v>0</v>
      </c>
      <c r="CO2527">
        <v>7</v>
      </c>
      <c r="CP2527" t="s">
        <v>119</v>
      </c>
      <c r="CQ2527">
        <v>180</v>
      </c>
      <c r="CR2527">
        <v>3</v>
      </c>
      <c r="CW2527">
        <v>909019</v>
      </c>
      <c r="CY2527">
        <v>1</v>
      </c>
      <c r="CZ2527">
        <v>0</v>
      </c>
      <c r="DA2527">
        <v>0</v>
      </c>
      <c r="DB2527">
        <v>0</v>
      </c>
      <c r="DC2527">
        <v>0</v>
      </c>
      <c r="DD2527">
        <v>0</v>
      </c>
      <c r="DE2527">
        <v>0</v>
      </c>
      <c r="DF2527">
        <v>0</v>
      </c>
      <c r="DG2527">
        <v>0</v>
      </c>
      <c r="DH2527">
        <v>0</v>
      </c>
      <c r="DI2527">
        <v>0</v>
      </c>
    </row>
    <row r="2528" spans="1:113" x14ac:dyDescent="0.3">
      <c r="A2528" t="str">
        <f>"02/08/2021 20:27:56.752"</f>
        <v>02/08/2021 20:27:56.752</v>
      </c>
      <c r="C2528" t="str">
        <f t="shared" si="120"/>
        <v>FFDFD7C0</v>
      </c>
      <c r="D2528" t="s">
        <v>124</v>
      </c>
      <c r="E2528">
        <v>13</v>
      </c>
      <c r="F2528">
        <v>1013</v>
      </c>
      <c r="G2528" t="s">
        <v>114</v>
      </c>
      <c r="J2528" t="s">
        <v>125</v>
      </c>
      <c r="K2528">
        <v>0</v>
      </c>
      <c r="L2528">
        <v>3</v>
      </c>
      <c r="M2528">
        <v>0</v>
      </c>
      <c r="N2528">
        <v>2</v>
      </c>
      <c r="O2528">
        <v>1</v>
      </c>
      <c r="P2528">
        <v>0</v>
      </c>
      <c r="Q2528">
        <v>0</v>
      </c>
      <c r="S2528" t="str">
        <f>"20:27:59.055"</f>
        <v>20:27:59.055</v>
      </c>
      <c r="T2528" t="str">
        <f>"20:27:58.555"</f>
        <v>20:27:58.555</v>
      </c>
      <c r="U2528" t="str">
        <f t="shared" si="122"/>
        <v>AB01F4</v>
      </c>
      <c r="V2528">
        <v>0</v>
      </c>
      <c r="W2528">
        <v>0</v>
      </c>
      <c r="X2528">
        <v>2</v>
      </c>
      <c r="Z2528">
        <v>0</v>
      </c>
      <c r="AA2528">
        <v>9</v>
      </c>
      <c r="AB2528">
        <v>3</v>
      </c>
      <c r="AC2528">
        <v>0</v>
      </c>
      <c r="AD2528">
        <v>10</v>
      </c>
      <c r="AE2528">
        <v>0</v>
      </c>
      <c r="AF2528">
        <v>3</v>
      </c>
      <c r="AG2528">
        <v>2</v>
      </c>
      <c r="AH2528">
        <v>0</v>
      </c>
      <c r="AI2528" t="s">
        <v>1513</v>
      </c>
      <c r="AJ2528">
        <v>39.995362999999998</v>
      </c>
      <c r="AK2528" t="s">
        <v>1514</v>
      </c>
      <c r="AL2528">
        <v>-92.739844000000005</v>
      </c>
      <c r="AM2528">
        <v>100</v>
      </c>
      <c r="AN2528">
        <v>1700</v>
      </c>
      <c r="AO2528" t="s">
        <v>118</v>
      </c>
      <c r="AP2528">
        <v>-106</v>
      </c>
      <c r="AQ2528">
        <v>76</v>
      </c>
      <c r="AR2528">
        <v>64</v>
      </c>
      <c r="AZ2528">
        <v>1200</v>
      </c>
      <c r="BA2528">
        <v>1</v>
      </c>
      <c r="BB2528" t="str">
        <f t="shared" si="121"/>
        <v xml:space="preserve">N8080G  </v>
      </c>
      <c r="BC2528">
        <v>1</v>
      </c>
      <c r="BE2528">
        <v>0</v>
      </c>
      <c r="BF2528">
        <v>0</v>
      </c>
      <c r="BG2528">
        <v>0</v>
      </c>
      <c r="BH2528">
        <v>1700</v>
      </c>
      <c r="BI2528">
        <v>1</v>
      </c>
      <c r="BJ2528">
        <v>1</v>
      </c>
      <c r="BK2528">
        <v>1</v>
      </c>
      <c r="BL2528">
        <v>0</v>
      </c>
      <c r="BO2528">
        <v>0</v>
      </c>
      <c r="BP2528">
        <v>0</v>
      </c>
      <c r="BW2528" t="str">
        <f>"20:27:59.058"</f>
        <v>20:27:59.058</v>
      </c>
      <c r="BZ2528">
        <v>0</v>
      </c>
      <c r="CA2528">
        <v>2016</v>
      </c>
      <c r="CB2528">
        <v>224</v>
      </c>
      <c r="CD2528">
        <v>1</v>
      </c>
      <c r="CE2528">
        <v>0</v>
      </c>
      <c r="CF2528">
        <v>0</v>
      </c>
      <c r="CG2528">
        <v>1</v>
      </c>
      <c r="CH2528">
        <v>0</v>
      </c>
      <c r="CI2528">
        <v>0</v>
      </c>
      <c r="CJ2528">
        <v>0</v>
      </c>
      <c r="CK2528">
        <v>2</v>
      </c>
      <c r="CL2528">
        <v>0</v>
      </c>
      <c r="CM2528">
        <v>2</v>
      </c>
      <c r="CN2528">
        <v>0</v>
      </c>
      <c r="CO2528">
        <v>7</v>
      </c>
      <c r="CP2528" t="s">
        <v>119</v>
      </c>
      <c r="CQ2528">
        <v>180</v>
      </c>
      <c r="CR2528">
        <v>3</v>
      </c>
      <c r="CW2528">
        <v>909019</v>
      </c>
      <c r="CY2528">
        <v>1</v>
      </c>
      <c r="CZ2528">
        <v>0</v>
      </c>
      <c r="DA2528">
        <v>1</v>
      </c>
      <c r="DB2528">
        <v>0</v>
      </c>
      <c r="DC2528">
        <v>0</v>
      </c>
      <c r="DD2528">
        <v>0</v>
      </c>
      <c r="DE2528">
        <v>0</v>
      </c>
      <c r="DF2528">
        <v>0</v>
      </c>
      <c r="DG2528">
        <v>0</v>
      </c>
      <c r="DH2528">
        <v>0</v>
      </c>
      <c r="DI2528">
        <v>0</v>
      </c>
    </row>
    <row r="2529" spans="1:113" x14ac:dyDescent="0.3">
      <c r="A2529" t="str">
        <f>"02/08/2021 20:27:56.752"</f>
        <v>02/08/2021 20:27:56.752</v>
      </c>
      <c r="C2529" t="str">
        <f t="shared" si="120"/>
        <v>FFDFD7C0</v>
      </c>
      <c r="D2529" t="s">
        <v>124</v>
      </c>
      <c r="E2529">
        <v>11</v>
      </c>
      <c r="F2529">
        <v>1011</v>
      </c>
      <c r="G2529" t="s">
        <v>590</v>
      </c>
      <c r="J2529" t="s">
        <v>125</v>
      </c>
      <c r="K2529">
        <v>0</v>
      </c>
      <c r="L2529">
        <v>3</v>
      </c>
      <c r="M2529">
        <v>0</v>
      </c>
      <c r="N2529">
        <v>2</v>
      </c>
      <c r="O2529">
        <v>1</v>
      </c>
      <c r="P2529">
        <v>0</v>
      </c>
      <c r="Q2529">
        <v>0</v>
      </c>
      <c r="S2529" t="str">
        <f>"20:27:59.055"</f>
        <v>20:27:59.055</v>
      </c>
      <c r="T2529" t="str">
        <f>"20:27:58.555"</f>
        <v>20:27:58.555</v>
      </c>
      <c r="U2529" t="str">
        <f t="shared" si="122"/>
        <v>AB01F4</v>
      </c>
      <c r="V2529">
        <v>0</v>
      </c>
      <c r="W2529">
        <v>0</v>
      </c>
      <c r="X2529">
        <v>2</v>
      </c>
      <c r="Z2529">
        <v>0</v>
      </c>
      <c r="AA2529">
        <v>9</v>
      </c>
      <c r="AB2529">
        <v>3</v>
      </c>
      <c r="AC2529">
        <v>0</v>
      </c>
      <c r="AD2529">
        <v>10</v>
      </c>
      <c r="AE2529">
        <v>0</v>
      </c>
      <c r="AF2529">
        <v>3</v>
      </c>
      <c r="AG2529">
        <v>2</v>
      </c>
      <c r="AH2529">
        <v>0</v>
      </c>
      <c r="AI2529" t="s">
        <v>1513</v>
      </c>
      <c r="AJ2529">
        <v>39.995362999999998</v>
      </c>
      <c r="AK2529" t="s">
        <v>1514</v>
      </c>
      <c r="AL2529">
        <v>-92.739844000000005</v>
      </c>
      <c r="AM2529">
        <v>100</v>
      </c>
      <c r="AN2529">
        <v>1700</v>
      </c>
      <c r="AO2529" t="s">
        <v>118</v>
      </c>
      <c r="AP2529">
        <v>-106</v>
      </c>
      <c r="AQ2529">
        <v>76</v>
      </c>
      <c r="AR2529">
        <v>64</v>
      </c>
      <c r="AZ2529">
        <v>1200</v>
      </c>
      <c r="BA2529">
        <v>1</v>
      </c>
      <c r="BB2529" t="str">
        <f t="shared" si="121"/>
        <v xml:space="preserve">N8080G  </v>
      </c>
      <c r="BC2529">
        <v>1</v>
      </c>
      <c r="BE2529">
        <v>0</v>
      </c>
      <c r="BF2529">
        <v>0</v>
      </c>
      <c r="BG2529">
        <v>0</v>
      </c>
      <c r="BH2529">
        <v>1700</v>
      </c>
      <c r="BI2529">
        <v>1</v>
      </c>
      <c r="BJ2529">
        <v>1</v>
      </c>
      <c r="BK2529">
        <v>1</v>
      </c>
      <c r="BL2529">
        <v>0</v>
      </c>
      <c r="BO2529">
        <v>0</v>
      </c>
      <c r="BP2529">
        <v>0</v>
      </c>
      <c r="BW2529" t="str">
        <f>"20:27:59.058"</f>
        <v>20:27:59.058</v>
      </c>
      <c r="BZ2529">
        <v>0</v>
      </c>
      <c r="CA2529">
        <v>2016</v>
      </c>
      <c r="CB2529">
        <v>224</v>
      </c>
      <c r="CD2529">
        <v>1</v>
      </c>
      <c r="CE2529">
        <v>0</v>
      </c>
      <c r="CF2529">
        <v>0</v>
      </c>
      <c r="CG2529">
        <v>1</v>
      </c>
      <c r="CH2529">
        <v>0</v>
      </c>
      <c r="CI2529">
        <v>0</v>
      </c>
      <c r="CJ2529">
        <v>0</v>
      </c>
      <c r="CK2529">
        <v>2</v>
      </c>
      <c r="CL2529">
        <v>0</v>
      </c>
      <c r="CM2529">
        <v>2</v>
      </c>
      <c r="CN2529">
        <v>0</v>
      </c>
      <c r="CO2529">
        <v>7</v>
      </c>
      <c r="CP2529" t="s">
        <v>119</v>
      </c>
      <c r="CQ2529">
        <v>180</v>
      </c>
      <c r="CR2529">
        <v>3</v>
      </c>
      <c r="CW2529">
        <v>909019</v>
      </c>
      <c r="CY2529">
        <v>1</v>
      </c>
      <c r="CZ2529">
        <v>0</v>
      </c>
      <c r="DA2529">
        <v>1</v>
      </c>
      <c r="DB2529">
        <v>0</v>
      </c>
      <c r="DC2529">
        <v>0</v>
      </c>
      <c r="DD2529">
        <v>0</v>
      </c>
      <c r="DE2529">
        <v>0</v>
      </c>
      <c r="DF2529">
        <v>0</v>
      </c>
      <c r="DG2529">
        <v>0</v>
      </c>
      <c r="DH2529">
        <v>0</v>
      </c>
      <c r="DI2529">
        <v>0</v>
      </c>
    </row>
    <row r="2530" spans="1:113" x14ac:dyDescent="0.3">
      <c r="A2530" t="str">
        <f>"02/08/2021 20:27:56.752"</f>
        <v>02/08/2021 20:27:56.752</v>
      </c>
      <c r="C2530" t="str">
        <f t="shared" si="120"/>
        <v>FFDFD7C0</v>
      </c>
      <c r="D2530" t="s">
        <v>124</v>
      </c>
      <c r="E2530">
        <v>12</v>
      </c>
      <c r="F2530">
        <v>1012</v>
      </c>
      <c r="G2530" t="s">
        <v>675</v>
      </c>
      <c r="J2530" t="s">
        <v>125</v>
      </c>
      <c r="K2530">
        <v>0</v>
      </c>
      <c r="L2530">
        <v>3</v>
      </c>
      <c r="M2530">
        <v>0</v>
      </c>
      <c r="N2530">
        <v>2</v>
      </c>
      <c r="O2530">
        <v>1</v>
      </c>
      <c r="P2530">
        <v>0</v>
      </c>
      <c r="Q2530">
        <v>0</v>
      </c>
      <c r="S2530" t="str">
        <f>"20:27:59.055"</f>
        <v>20:27:59.055</v>
      </c>
      <c r="T2530" t="str">
        <f>"20:27:58.555"</f>
        <v>20:27:58.555</v>
      </c>
      <c r="U2530" t="str">
        <f t="shared" si="122"/>
        <v>AB01F4</v>
      </c>
      <c r="V2530">
        <v>0</v>
      </c>
      <c r="W2530">
        <v>0</v>
      </c>
      <c r="X2530">
        <v>2</v>
      </c>
      <c r="Z2530">
        <v>0</v>
      </c>
      <c r="AA2530">
        <v>9</v>
      </c>
      <c r="AB2530">
        <v>3</v>
      </c>
      <c r="AC2530">
        <v>0</v>
      </c>
      <c r="AD2530">
        <v>10</v>
      </c>
      <c r="AE2530">
        <v>0</v>
      </c>
      <c r="AF2530">
        <v>3</v>
      </c>
      <c r="AG2530">
        <v>2</v>
      </c>
      <c r="AH2530">
        <v>0</v>
      </c>
      <c r="AI2530" t="s">
        <v>1513</v>
      </c>
      <c r="AJ2530">
        <v>39.995362999999998</v>
      </c>
      <c r="AK2530" t="s">
        <v>1514</v>
      </c>
      <c r="AL2530">
        <v>-92.739844000000005</v>
      </c>
      <c r="AM2530">
        <v>100</v>
      </c>
      <c r="AN2530">
        <v>1700</v>
      </c>
      <c r="AO2530" t="s">
        <v>118</v>
      </c>
      <c r="AP2530">
        <v>-106</v>
      </c>
      <c r="AQ2530">
        <v>76</v>
      </c>
      <c r="AR2530">
        <v>64</v>
      </c>
      <c r="AZ2530">
        <v>1200</v>
      </c>
      <c r="BA2530">
        <v>1</v>
      </c>
      <c r="BB2530" t="str">
        <f t="shared" si="121"/>
        <v xml:space="preserve">N8080G  </v>
      </c>
      <c r="BC2530">
        <v>1</v>
      </c>
      <c r="BE2530">
        <v>0</v>
      </c>
      <c r="BF2530">
        <v>0</v>
      </c>
      <c r="BG2530">
        <v>0</v>
      </c>
      <c r="BH2530">
        <v>1700</v>
      </c>
      <c r="BI2530">
        <v>1</v>
      </c>
      <c r="BJ2530">
        <v>1</v>
      </c>
      <c r="BK2530">
        <v>1</v>
      </c>
      <c r="BL2530">
        <v>0</v>
      </c>
      <c r="BO2530">
        <v>0</v>
      </c>
      <c r="BP2530">
        <v>0</v>
      </c>
      <c r="BW2530" t="str">
        <f>"20:27:59.058"</f>
        <v>20:27:59.058</v>
      </c>
      <c r="BZ2530">
        <v>0</v>
      </c>
      <c r="CA2530">
        <v>2016</v>
      </c>
      <c r="CB2530">
        <v>224</v>
      </c>
      <c r="CD2530">
        <v>1</v>
      </c>
      <c r="CE2530">
        <v>0</v>
      </c>
      <c r="CF2530">
        <v>0</v>
      </c>
      <c r="CG2530">
        <v>1</v>
      </c>
      <c r="CH2530">
        <v>0</v>
      </c>
      <c r="CI2530">
        <v>0</v>
      </c>
      <c r="CJ2530">
        <v>0</v>
      </c>
      <c r="CK2530">
        <v>2</v>
      </c>
      <c r="CL2530">
        <v>0</v>
      </c>
      <c r="CM2530">
        <v>2</v>
      </c>
      <c r="CN2530">
        <v>0</v>
      </c>
      <c r="CO2530">
        <v>7</v>
      </c>
      <c r="CP2530" t="s">
        <v>119</v>
      </c>
      <c r="CQ2530">
        <v>180</v>
      </c>
      <c r="CR2530">
        <v>3</v>
      </c>
      <c r="CW2530">
        <v>909019</v>
      </c>
      <c r="CY2530">
        <v>1</v>
      </c>
      <c r="CZ2530">
        <v>0</v>
      </c>
      <c r="DA2530">
        <v>1</v>
      </c>
      <c r="DB2530">
        <v>0</v>
      </c>
      <c r="DC2530">
        <v>0</v>
      </c>
      <c r="DD2530">
        <v>0</v>
      </c>
      <c r="DE2530">
        <v>0</v>
      </c>
      <c r="DF2530">
        <v>0</v>
      </c>
      <c r="DG2530">
        <v>0</v>
      </c>
      <c r="DH2530">
        <v>0</v>
      </c>
      <c r="DI2530">
        <v>0</v>
      </c>
    </row>
    <row r="2531" spans="1:113" x14ac:dyDescent="0.3">
      <c r="A2531" t="str">
        <f>"02/08/2021 20:27:57.738"</f>
        <v>02/08/2021 20:27:57.738</v>
      </c>
      <c r="C2531" t="str">
        <f t="shared" si="120"/>
        <v>FFDFD7C0</v>
      </c>
      <c r="D2531" t="s">
        <v>124</v>
      </c>
      <c r="E2531">
        <v>11</v>
      </c>
      <c r="F2531">
        <v>1011</v>
      </c>
      <c r="G2531" t="s">
        <v>590</v>
      </c>
      <c r="J2531" t="s">
        <v>125</v>
      </c>
      <c r="K2531">
        <v>0</v>
      </c>
      <c r="L2531">
        <v>3</v>
      </c>
      <c r="M2531">
        <v>0</v>
      </c>
      <c r="N2531">
        <v>2</v>
      </c>
      <c r="O2531">
        <v>1</v>
      </c>
      <c r="P2531">
        <v>0</v>
      </c>
      <c r="Q2531">
        <v>0</v>
      </c>
      <c r="S2531" t="str">
        <f>"20:28:00.055"</f>
        <v>20:28:00.055</v>
      </c>
      <c r="T2531" t="str">
        <f>"20:27:59.055"</f>
        <v>20:27:59.055</v>
      </c>
      <c r="U2531" t="str">
        <f t="shared" si="122"/>
        <v>AB01F4</v>
      </c>
      <c r="V2531">
        <v>0</v>
      </c>
      <c r="W2531">
        <v>0</v>
      </c>
      <c r="X2531">
        <v>2</v>
      </c>
      <c r="Z2531">
        <v>0</v>
      </c>
      <c r="AA2531">
        <v>9</v>
      </c>
      <c r="AB2531">
        <v>3</v>
      </c>
      <c r="AC2531">
        <v>0</v>
      </c>
      <c r="AD2531">
        <v>10</v>
      </c>
      <c r="AE2531">
        <v>0</v>
      </c>
      <c r="AF2531">
        <v>3</v>
      </c>
      <c r="AG2531">
        <v>2</v>
      </c>
      <c r="AH2531">
        <v>0</v>
      </c>
      <c r="AI2531" t="s">
        <v>1515</v>
      </c>
      <c r="AJ2531">
        <v>39.995728</v>
      </c>
      <c r="AK2531" t="s">
        <v>1516</v>
      </c>
      <c r="AL2531">
        <v>-92.740466999999995</v>
      </c>
      <c r="AM2531">
        <v>100</v>
      </c>
      <c r="AN2531">
        <v>1700</v>
      </c>
      <c r="AO2531" t="s">
        <v>118</v>
      </c>
      <c r="AP2531">
        <v>-106</v>
      </c>
      <c r="AQ2531">
        <v>76</v>
      </c>
      <c r="AR2531">
        <v>128</v>
      </c>
      <c r="AZ2531">
        <v>1200</v>
      </c>
      <c r="BA2531">
        <v>1</v>
      </c>
      <c r="BB2531" t="str">
        <f t="shared" si="121"/>
        <v xml:space="preserve">N8080G  </v>
      </c>
      <c r="BC2531">
        <v>1</v>
      </c>
      <c r="BE2531">
        <v>0</v>
      </c>
      <c r="BF2531">
        <v>0</v>
      </c>
      <c r="BG2531">
        <v>0</v>
      </c>
      <c r="BH2531">
        <v>1700</v>
      </c>
      <c r="BI2531">
        <v>1</v>
      </c>
      <c r="BJ2531">
        <v>1</v>
      </c>
      <c r="BK2531">
        <v>1</v>
      </c>
      <c r="BL2531">
        <v>0</v>
      </c>
      <c r="BO2531">
        <v>0</v>
      </c>
      <c r="BP2531">
        <v>0</v>
      </c>
      <c r="BW2531" t="str">
        <f>"20:28:00.061"</f>
        <v>20:28:00.061</v>
      </c>
      <c r="BZ2531">
        <v>0</v>
      </c>
      <c r="CA2531">
        <v>2016</v>
      </c>
      <c r="CB2531">
        <v>224</v>
      </c>
      <c r="CD2531">
        <v>1</v>
      </c>
      <c r="CE2531">
        <v>0</v>
      </c>
      <c r="CF2531">
        <v>0</v>
      </c>
      <c r="CG2531">
        <v>1</v>
      </c>
      <c r="CH2531">
        <v>0</v>
      </c>
      <c r="CI2531">
        <v>0</v>
      </c>
      <c r="CJ2531">
        <v>0</v>
      </c>
      <c r="CK2531">
        <v>2</v>
      </c>
      <c r="CL2531">
        <v>0</v>
      </c>
      <c r="CM2531">
        <v>2</v>
      </c>
      <c r="CN2531">
        <v>0</v>
      </c>
      <c r="CO2531">
        <v>4</v>
      </c>
      <c r="CP2531" t="s">
        <v>119</v>
      </c>
      <c r="CQ2531">
        <v>179</v>
      </c>
      <c r="CR2531">
        <v>1</v>
      </c>
      <c r="CW2531">
        <v>9005416</v>
      </c>
      <c r="CY2531">
        <v>1</v>
      </c>
      <c r="CZ2531">
        <v>0</v>
      </c>
      <c r="DA2531">
        <v>0</v>
      </c>
      <c r="DB2531">
        <v>0</v>
      </c>
      <c r="DC2531">
        <v>0</v>
      </c>
      <c r="DD2531">
        <v>0</v>
      </c>
      <c r="DE2531">
        <v>0</v>
      </c>
      <c r="DF2531">
        <v>0</v>
      </c>
      <c r="DG2531">
        <v>0</v>
      </c>
      <c r="DH2531">
        <v>0</v>
      </c>
      <c r="DI2531">
        <v>0</v>
      </c>
    </row>
    <row r="2532" spans="1:113" x14ac:dyDescent="0.3">
      <c r="A2532" t="str">
        <f>"02/08/2021 20:27:57.738"</f>
        <v>02/08/2021 20:27:57.738</v>
      </c>
      <c r="C2532" t="str">
        <f t="shared" si="120"/>
        <v>FFDFD7C0</v>
      </c>
      <c r="D2532" t="s">
        <v>124</v>
      </c>
      <c r="E2532">
        <v>12</v>
      </c>
      <c r="F2532">
        <v>1012</v>
      </c>
      <c r="G2532" t="s">
        <v>675</v>
      </c>
      <c r="J2532" t="s">
        <v>125</v>
      </c>
      <c r="K2532">
        <v>0</v>
      </c>
      <c r="L2532">
        <v>3</v>
      </c>
      <c r="M2532">
        <v>0</v>
      </c>
      <c r="N2532">
        <v>2</v>
      </c>
      <c r="O2532">
        <v>1</v>
      </c>
      <c r="P2532">
        <v>0</v>
      </c>
      <c r="Q2532">
        <v>0</v>
      </c>
      <c r="S2532" t="str">
        <f>"20:28:00.055"</f>
        <v>20:28:00.055</v>
      </c>
      <c r="T2532" t="str">
        <f>"20:27:59.055"</f>
        <v>20:27:59.055</v>
      </c>
      <c r="U2532" t="str">
        <f t="shared" si="122"/>
        <v>AB01F4</v>
      </c>
      <c r="V2532">
        <v>0</v>
      </c>
      <c r="W2532">
        <v>0</v>
      </c>
      <c r="X2532">
        <v>2</v>
      </c>
      <c r="Z2532">
        <v>0</v>
      </c>
      <c r="AA2532">
        <v>9</v>
      </c>
      <c r="AB2532">
        <v>3</v>
      </c>
      <c r="AC2532">
        <v>0</v>
      </c>
      <c r="AD2532">
        <v>10</v>
      </c>
      <c r="AE2532">
        <v>0</v>
      </c>
      <c r="AF2532">
        <v>3</v>
      </c>
      <c r="AG2532">
        <v>2</v>
      </c>
      <c r="AH2532">
        <v>0</v>
      </c>
      <c r="AI2532" t="s">
        <v>1515</v>
      </c>
      <c r="AJ2532">
        <v>39.995728</v>
      </c>
      <c r="AK2532" t="s">
        <v>1516</v>
      </c>
      <c r="AL2532">
        <v>-92.740466999999995</v>
      </c>
      <c r="AM2532">
        <v>100</v>
      </c>
      <c r="AN2532">
        <v>1700</v>
      </c>
      <c r="AO2532" t="s">
        <v>118</v>
      </c>
      <c r="AP2532">
        <v>-106</v>
      </c>
      <c r="AQ2532">
        <v>76</v>
      </c>
      <c r="AR2532">
        <v>128</v>
      </c>
      <c r="AZ2532">
        <v>1200</v>
      </c>
      <c r="BA2532">
        <v>1</v>
      </c>
      <c r="BB2532" t="str">
        <f t="shared" si="121"/>
        <v xml:space="preserve">N8080G  </v>
      </c>
      <c r="BC2532">
        <v>1</v>
      </c>
      <c r="BE2532">
        <v>0</v>
      </c>
      <c r="BF2532">
        <v>0</v>
      </c>
      <c r="BG2532">
        <v>0</v>
      </c>
      <c r="BH2532">
        <v>1700</v>
      </c>
      <c r="BI2532">
        <v>1</v>
      </c>
      <c r="BJ2532">
        <v>1</v>
      </c>
      <c r="BK2532">
        <v>1</v>
      </c>
      <c r="BL2532">
        <v>0</v>
      </c>
      <c r="BO2532">
        <v>0</v>
      </c>
      <c r="BP2532">
        <v>0</v>
      </c>
      <c r="BW2532" t="str">
        <f>"20:28:00.061"</f>
        <v>20:28:00.061</v>
      </c>
      <c r="BZ2532">
        <v>0</v>
      </c>
      <c r="CA2532">
        <v>2016</v>
      </c>
      <c r="CB2532">
        <v>224</v>
      </c>
      <c r="CD2532">
        <v>1</v>
      </c>
      <c r="CE2532">
        <v>0</v>
      </c>
      <c r="CF2532">
        <v>0</v>
      </c>
      <c r="CG2532">
        <v>1</v>
      </c>
      <c r="CH2532">
        <v>0</v>
      </c>
      <c r="CI2532">
        <v>0</v>
      </c>
      <c r="CJ2532">
        <v>0</v>
      </c>
      <c r="CK2532">
        <v>2</v>
      </c>
      <c r="CL2532">
        <v>0</v>
      </c>
      <c r="CM2532">
        <v>2</v>
      </c>
      <c r="CN2532">
        <v>0</v>
      </c>
      <c r="CO2532">
        <v>4</v>
      </c>
      <c r="CP2532" t="s">
        <v>119</v>
      </c>
      <c r="CQ2532">
        <v>179</v>
      </c>
      <c r="CR2532">
        <v>1</v>
      </c>
      <c r="CW2532">
        <v>9005416</v>
      </c>
      <c r="CY2532">
        <v>1</v>
      </c>
      <c r="CZ2532">
        <v>0</v>
      </c>
      <c r="DA2532">
        <v>1</v>
      </c>
      <c r="DB2532">
        <v>0</v>
      </c>
      <c r="DC2532">
        <v>0</v>
      </c>
      <c r="DD2532">
        <v>0</v>
      </c>
      <c r="DE2532">
        <v>0</v>
      </c>
      <c r="DF2532">
        <v>0</v>
      </c>
      <c r="DG2532">
        <v>0</v>
      </c>
      <c r="DH2532">
        <v>0</v>
      </c>
      <c r="DI2532">
        <v>0</v>
      </c>
    </row>
    <row r="2533" spans="1:113" x14ac:dyDescent="0.3">
      <c r="A2533" t="str">
        <f>"02/08/2021 20:27:57.738"</f>
        <v>02/08/2021 20:27:57.738</v>
      </c>
      <c r="C2533" t="str">
        <f t="shared" si="120"/>
        <v>FFDFD7C0</v>
      </c>
      <c r="D2533" t="s">
        <v>113</v>
      </c>
      <c r="E2533">
        <v>6</v>
      </c>
      <c r="H2533">
        <v>165</v>
      </c>
      <c r="I2533" t="s">
        <v>114</v>
      </c>
      <c r="J2533" t="s">
        <v>115</v>
      </c>
      <c r="K2533">
        <v>0</v>
      </c>
      <c r="L2533">
        <v>3</v>
      </c>
      <c r="M2533">
        <v>0</v>
      </c>
      <c r="N2533">
        <v>2</v>
      </c>
      <c r="O2533">
        <v>1</v>
      </c>
      <c r="P2533">
        <v>0</v>
      </c>
      <c r="Q2533">
        <v>0</v>
      </c>
      <c r="S2533" t="str">
        <f>"20:28:00.055"</f>
        <v>20:28:00.055</v>
      </c>
      <c r="T2533" t="str">
        <f>"20:27:59.055"</f>
        <v>20:27:59.055</v>
      </c>
      <c r="U2533" t="str">
        <f t="shared" si="122"/>
        <v>AB01F4</v>
      </c>
      <c r="V2533">
        <v>0</v>
      </c>
      <c r="W2533">
        <v>0</v>
      </c>
      <c r="X2533">
        <v>2</v>
      </c>
      <c r="Z2533">
        <v>0</v>
      </c>
      <c r="AA2533">
        <v>9</v>
      </c>
      <c r="AB2533">
        <v>3</v>
      </c>
      <c r="AC2533">
        <v>0</v>
      </c>
      <c r="AD2533">
        <v>10</v>
      </c>
      <c r="AE2533">
        <v>0</v>
      </c>
      <c r="AF2533">
        <v>3</v>
      </c>
      <c r="AG2533">
        <v>2</v>
      </c>
      <c r="AH2533">
        <v>0</v>
      </c>
      <c r="AI2533" t="s">
        <v>1515</v>
      </c>
      <c r="AJ2533">
        <v>39.995728</v>
      </c>
      <c r="AK2533" t="s">
        <v>1516</v>
      </c>
      <c r="AL2533">
        <v>-92.740466999999995</v>
      </c>
      <c r="AM2533">
        <v>100</v>
      </c>
      <c r="AN2533">
        <v>1700</v>
      </c>
      <c r="AO2533" t="s">
        <v>118</v>
      </c>
      <c r="AP2533">
        <v>-106</v>
      </c>
      <c r="AQ2533">
        <v>76</v>
      </c>
      <c r="AR2533">
        <v>128</v>
      </c>
      <c r="AZ2533">
        <v>1200</v>
      </c>
      <c r="BA2533">
        <v>1</v>
      </c>
      <c r="BB2533" t="str">
        <f t="shared" si="121"/>
        <v xml:space="preserve">N8080G  </v>
      </c>
      <c r="BC2533">
        <v>1</v>
      </c>
      <c r="BE2533">
        <v>0</v>
      </c>
      <c r="BF2533">
        <v>0</v>
      </c>
      <c r="BG2533">
        <v>0</v>
      </c>
      <c r="BH2533">
        <v>1700</v>
      </c>
      <c r="BI2533">
        <v>1</v>
      </c>
      <c r="BJ2533">
        <v>1</v>
      </c>
      <c r="BK2533">
        <v>1</v>
      </c>
      <c r="BL2533">
        <v>0</v>
      </c>
      <c r="BO2533">
        <v>0</v>
      </c>
      <c r="BP2533">
        <v>0</v>
      </c>
      <c r="BW2533" t="str">
        <f>"20:28:00.061"</f>
        <v>20:28:00.061</v>
      </c>
      <c r="BZ2533">
        <v>0</v>
      </c>
      <c r="CA2533">
        <v>2016</v>
      </c>
      <c r="CB2533">
        <v>224</v>
      </c>
      <c r="CD2533">
        <v>1</v>
      </c>
      <c r="CE2533">
        <v>0</v>
      </c>
      <c r="CF2533">
        <v>0</v>
      </c>
      <c r="CG2533">
        <v>1</v>
      </c>
      <c r="CH2533">
        <v>0</v>
      </c>
      <c r="CI2533">
        <v>0</v>
      </c>
      <c r="CJ2533">
        <v>0</v>
      </c>
      <c r="CK2533">
        <v>2</v>
      </c>
      <c r="CL2533">
        <v>0</v>
      </c>
      <c r="CM2533">
        <v>2</v>
      </c>
      <c r="CN2533">
        <v>0</v>
      </c>
      <c r="CO2533">
        <v>4</v>
      </c>
      <c r="CP2533" t="s">
        <v>119</v>
      </c>
      <c r="CQ2533">
        <v>179</v>
      </c>
      <c r="CR2533">
        <v>1</v>
      </c>
      <c r="CW2533">
        <v>9005416</v>
      </c>
      <c r="CY2533">
        <v>1</v>
      </c>
      <c r="CZ2533">
        <v>0</v>
      </c>
      <c r="DA2533">
        <v>1</v>
      </c>
      <c r="DB2533">
        <v>0</v>
      </c>
      <c r="DC2533">
        <v>0</v>
      </c>
      <c r="DD2533">
        <v>0</v>
      </c>
      <c r="DE2533">
        <v>0</v>
      </c>
      <c r="DF2533">
        <v>0</v>
      </c>
      <c r="DG2533">
        <v>0</v>
      </c>
      <c r="DH2533">
        <v>0</v>
      </c>
      <c r="DI2533">
        <v>0</v>
      </c>
    </row>
    <row r="2534" spans="1:113" x14ac:dyDescent="0.3">
      <c r="A2534" t="str">
        <f>"02/08/2021 20:27:57.738"</f>
        <v>02/08/2021 20:27:57.738</v>
      </c>
      <c r="C2534" t="str">
        <f t="shared" si="120"/>
        <v>FFDFD7C0</v>
      </c>
      <c r="D2534" t="s">
        <v>124</v>
      </c>
      <c r="E2534">
        <v>13</v>
      </c>
      <c r="F2534">
        <v>1013</v>
      </c>
      <c r="G2534" t="s">
        <v>114</v>
      </c>
      <c r="J2534" t="s">
        <v>125</v>
      </c>
      <c r="K2534">
        <v>0</v>
      </c>
      <c r="L2534">
        <v>3</v>
      </c>
      <c r="M2534">
        <v>0</v>
      </c>
      <c r="N2534">
        <v>2</v>
      </c>
      <c r="O2534">
        <v>1</v>
      </c>
      <c r="P2534">
        <v>0</v>
      </c>
      <c r="Q2534">
        <v>0</v>
      </c>
      <c r="S2534" t="str">
        <f>"20:28:00.055"</f>
        <v>20:28:00.055</v>
      </c>
      <c r="T2534" t="str">
        <f>"20:27:59.055"</f>
        <v>20:27:59.055</v>
      </c>
      <c r="U2534" t="str">
        <f t="shared" si="122"/>
        <v>AB01F4</v>
      </c>
      <c r="V2534">
        <v>0</v>
      </c>
      <c r="W2534">
        <v>0</v>
      </c>
      <c r="X2534">
        <v>2</v>
      </c>
      <c r="Z2534">
        <v>0</v>
      </c>
      <c r="AA2534">
        <v>9</v>
      </c>
      <c r="AB2534">
        <v>3</v>
      </c>
      <c r="AC2534">
        <v>0</v>
      </c>
      <c r="AD2534">
        <v>10</v>
      </c>
      <c r="AE2534">
        <v>0</v>
      </c>
      <c r="AF2534">
        <v>3</v>
      </c>
      <c r="AG2534">
        <v>2</v>
      </c>
      <c r="AH2534">
        <v>0</v>
      </c>
      <c r="AI2534" t="s">
        <v>1515</v>
      </c>
      <c r="AJ2534">
        <v>39.995728</v>
      </c>
      <c r="AK2534" t="s">
        <v>1516</v>
      </c>
      <c r="AL2534">
        <v>-92.740466999999995</v>
      </c>
      <c r="AM2534">
        <v>100</v>
      </c>
      <c r="AN2534">
        <v>1700</v>
      </c>
      <c r="AO2534" t="s">
        <v>118</v>
      </c>
      <c r="AP2534">
        <v>-106</v>
      </c>
      <c r="AQ2534">
        <v>76</v>
      </c>
      <c r="AR2534">
        <v>128</v>
      </c>
      <c r="AZ2534">
        <v>1200</v>
      </c>
      <c r="BA2534">
        <v>1</v>
      </c>
      <c r="BB2534" t="str">
        <f t="shared" si="121"/>
        <v xml:space="preserve">N8080G  </v>
      </c>
      <c r="BC2534">
        <v>1</v>
      </c>
      <c r="BE2534">
        <v>0</v>
      </c>
      <c r="BF2534">
        <v>0</v>
      </c>
      <c r="BG2534">
        <v>0</v>
      </c>
      <c r="BH2534">
        <v>1700</v>
      </c>
      <c r="BI2534">
        <v>1</v>
      </c>
      <c r="BJ2534">
        <v>1</v>
      </c>
      <c r="BK2534">
        <v>1</v>
      </c>
      <c r="BL2534">
        <v>0</v>
      </c>
      <c r="BO2534">
        <v>0</v>
      </c>
      <c r="BP2534">
        <v>0</v>
      </c>
      <c r="BW2534" t="str">
        <f>"20:28:00.061"</f>
        <v>20:28:00.061</v>
      </c>
      <c r="BZ2534">
        <v>0</v>
      </c>
      <c r="CA2534">
        <v>2016</v>
      </c>
      <c r="CB2534">
        <v>224</v>
      </c>
      <c r="CD2534">
        <v>1</v>
      </c>
      <c r="CE2534">
        <v>0</v>
      </c>
      <c r="CF2534">
        <v>0</v>
      </c>
      <c r="CG2534">
        <v>1</v>
      </c>
      <c r="CH2534">
        <v>0</v>
      </c>
      <c r="CI2534">
        <v>0</v>
      </c>
      <c r="CJ2534">
        <v>0</v>
      </c>
      <c r="CK2534">
        <v>2</v>
      </c>
      <c r="CL2534">
        <v>0</v>
      </c>
      <c r="CM2534">
        <v>2</v>
      </c>
      <c r="CN2534">
        <v>0</v>
      </c>
      <c r="CO2534">
        <v>4</v>
      </c>
      <c r="CP2534" t="s">
        <v>119</v>
      </c>
      <c r="CQ2534">
        <v>179</v>
      </c>
      <c r="CR2534">
        <v>1</v>
      </c>
      <c r="CW2534">
        <v>9005416</v>
      </c>
      <c r="CY2534">
        <v>1</v>
      </c>
      <c r="CZ2534">
        <v>0</v>
      </c>
      <c r="DA2534">
        <v>1</v>
      </c>
      <c r="DB2534">
        <v>0</v>
      </c>
      <c r="DC2534">
        <v>0</v>
      </c>
      <c r="DD2534">
        <v>0</v>
      </c>
      <c r="DE2534">
        <v>0</v>
      </c>
      <c r="DF2534">
        <v>0</v>
      </c>
      <c r="DG2534">
        <v>0</v>
      </c>
      <c r="DH2534">
        <v>0</v>
      </c>
      <c r="DI2534">
        <v>0</v>
      </c>
    </row>
    <row r="2535" spans="1:113" x14ac:dyDescent="0.3">
      <c r="A2535" t="str">
        <f>"02/08/2021 20:27:58.696"</f>
        <v>02/08/2021 20:27:58.696</v>
      </c>
      <c r="C2535" t="str">
        <f t="shared" si="120"/>
        <v>FFDFD7C0</v>
      </c>
      <c r="D2535" t="s">
        <v>124</v>
      </c>
      <c r="E2535">
        <v>11</v>
      </c>
      <c r="F2535">
        <v>1011</v>
      </c>
      <c r="G2535" t="s">
        <v>590</v>
      </c>
      <c r="J2535" t="s">
        <v>125</v>
      </c>
      <c r="K2535">
        <v>0</v>
      </c>
      <c r="L2535">
        <v>3</v>
      </c>
      <c r="M2535">
        <v>0</v>
      </c>
      <c r="N2535">
        <v>2</v>
      </c>
      <c r="O2535">
        <v>1</v>
      </c>
      <c r="P2535">
        <v>0</v>
      </c>
      <c r="Q2535">
        <v>0</v>
      </c>
      <c r="S2535" t="str">
        <f>"20:28:01.023"</f>
        <v>20:28:01.023</v>
      </c>
      <c r="T2535" t="str">
        <f>"20:28:00.623"</f>
        <v>20:28:00.623</v>
      </c>
      <c r="U2535" t="str">
        <f t="shared" si="122"/>
        <v>AB01F4</v>
      </c>
      <c r="V2535">
        <v>0</v>
      </c>
      <c r="W2535">
        <v>0</v>
      </c>
      <c r="X2535">
        <v>2</v>
      </c>
      <c r="Z2535">
        <v>0</v>
      </c>
      <c r="AA2535">
        <v>9</v>
      </c>
      <c r="AB2535">
        <v>3</v>
      </c>
      <c r="AC2535">
        <v>0</v>
      </c>
      <c r="AD2535">
        <v>10</v>
      </c>
      <c r="AE2535">
        <v>0</v>
      </c>
      <c r="AF2535">
        <v>3</v>
      </c>
      <c r="AG2535">
        <v>2</v>
      </c>
      <c r="AH2535">
        <v>0</v>
      </c>
      <c r="AI2535" t="s">
        <v>1517</v>
      </c>
      <c r="AJ2535">
        <v>39.996091999999997</v>
      </c>
      <c r="AK2535" t="s">
        <v>1518</v>
      </c>
      <c r="AL2535">
        <v>-92.741089000000002</v>
      </c>
      <c r="AM2535">
        <v>100</v>
      </c>
      <c r="AN2535">
        <v>1700</v>
      </c>
      <c r="AO2535" t="s">
        <v>118</v>
      </c>
      <c r="AP2535">
        <v>-105</v>
      </c>
      <c r="AQ2535">
        <v>77</v>
      </c>
      <c r="AR2535">
        <v>0</v>
      </c>
      <c r="AZ2535">
        <v>1200</v>
      </c>
      <c r="BA2535">
        <v>1</v>
      </c>
      <c r="BB2535" t="str">
        <f t="shared" si="121"/>
        <v xml:space="preserve">N8080G  </v>
      </c>
      <c r="BC2535">
        <v>1</v>
      </c>
      <c r="BE2535">
        <v>0</v>
      </c>
      <c r="BF2535">
        <v>0</v>
      </c>
      <c r="BG2535">
        <v>0</v>
      </c>
      <c r="BH2535">
        <v>1700</v>
      </c>
      <c r="BI2535">
        <v>1</v>
      </c>
      <c r="BJ2535">
        <v>1</v>
      </c>
      <c r="BK2535">
        <v>1</v>
      </c>
      <c r="BL2535">
        <v>0</v>
      </c>
      <c r="BO2535">
        <v>0</v>
      </c>
      <c r="BP2535">
        <v>0</v>
      </c>
      <c r="BW2535" t="str">
        <f>"20:28:01.024"</f>
        <v>20:28:01.024</v>
      </c>
      <c r="BZ2535">
        <v>0</v>
      </c>
      <c r="CA2535">
        <v>2016</v>
      </c>
      <c r="CB2535">
        <v>224</v>
      </c>
      <c r="CD2535">
        <v>1</v>
      </c>
      <c r="CE2535">
        <v>0</v>
      </c>
      <c r="CF2535">
        <v>0</v>
      </c>
      <c r="CG2535">
        <v>1</v>
      </c>
      <c r="CH2535">
        <v>0</v>
      </c>
      <c r="CI2535">
        <v>0</v>
      </c>
      <c r="CJ2535">
        <v>0</v>
      </c>
      <c r="CK2535">
        <v>2</v>
      </c>
      <c r="CL2535">
        <v>0</v>
      </c>
      <c r="CM2535">
        <v>2</v>
      </c>
      <c r="CN2535">
        <v>0</v>
      </c>
      <c r="CO2535">
        <v>4</v>
      </c>
      <c r="CP2535" t="s">
        <v>119</v>
      </c>
      <c r="CQ2535">
        <v>179</v>
      </c>
      <c r="CR2535">
        <v>1</v>
      </c>
      <c r="CW2535">
        <v>9006334</v>
      </c>
      <c r="CY2535">
        <v>1</v>
      </c>
      <c r="CZ2535">
        <v>0</v>
      </c>
      <c r="DA2535">
        <v>0</v>
      </c>
      <c r="DB2535">
        <v>0</v>
      </c>
      <c r="DC2535">
        <v>0</v>
      </c>
      <c r="DD2535">
        <v>0</v>
      </c>
      <c r="DE2535">
        <v>0</v>
      </c>
      <c r="DF2535">
        <v>0</v>
      </c>
      <c r="DG2535">
        <v>0</v>
      </c>
      <c r="DH2535">
        <v>0</v>
      </c>
      <c r="DI2535">
        <v>0</v>
      </c>
    </row>
    <row r="2536" spans="1:113" x14ac:dyDescent="0.3">
      <c r="A2536" t="str">
        <f>"02/08/2021 20:27:58.696"</f>
        <v>02/08/2021 20:27:58.696</v>
      </c>
      <c r="C2536" t="str">
        <f t="shared" si="120"/>
        <v>FFDFD7C0</v>
      </c>
      <c r="D2536" t="s">
        <v>124</v>
      </c>
      <c r="E2536">
        <v>12</v>
      </c>
      <c r="F2536">
        <v>1012</v>
      </c>
      <c r="G2536" t="s">
        <v>675</v>
      </c>
      <c r="J2536" t="s">
        <v>125</v>
      </c>
      <c r="K2536">
        <v>0</v>
      </c>
      <c r="L2536">
        <v>3</v>
      </c>
      <c r="M2536">
        <v>0</v>
      </c>
      <c r="N2536">
        <v>2</v>
      </c>
      <c r="O2536">
        <v>1</v>
      </c>
      <c r="P2536">
        <v>0</v>
      </c>
      <c r="Q2536">
        <v>0</v>
      </c>
      <c r="S2536" t="str">
        <f>"20:28:01.023"</f>
        <v>20:28:01.023</v>
      </c>
      <c r="T2536" t="str">
        <f>"20:28:00.623"</f>
        <v>20:28:00.623</v>
      </c>
      <c r="U2536" t="str">
        <f t="shared" si="122"/>
        <v>AB01F4</v>
      </c>
      <c r="V2536">
        <v>0</v>
      </c>
      <c r="W2536">
        <v>0</v>
      </c>
      <c r="X2536">
        <v>2</v>
      </c>
      <c r="Z2536">
        <v>0</v>
      </c>
      <c r="AA2536">
        <v>9</v>
      </c>
      <c r="AB2536">
        <v>3</v>
      </c>
      <c r="AC2536">
        <v>0</v>
      </c>
      <c r="AD2536">
        <v>10</v>
      </c>
      <c r="AE2536">
        <v>0</v>
      </c>
      <c r="AF2536">
        <v>3</v>
      </c>
      <c r="AG2536">
        <v>2</v>
      </c>
      <c r="AH2536">
        <v>0</v>
      </c>
      <c r="AI2536" t="s">
        <v>1517</v>
      </c>
      <c r="AJ2536">
        <v>39.996091999999997</v>
      </c>
      <c r="AK2536" t="s">
        <v>1518</v>
      </c>
      <c r="AL2536">
        <v>-92.741089000000002</v>
      </c>
      <c r="AM2536">
        <v>100</v>
      </c>
      <c r="AN2536">
        <v>1700</v>
      </c>
      <c r="AO2536" t="s">
        <v>118</v>
      </c>
      <c r="AP2536">
        <v>-105</v>
      </c>
      <c r="AQ2536">
        <v>77</v>
      </c>
      <c r="AR2536">
        <v>0</v>
      </c>
      <c r="AZ2536">
        <v>1200</v>
      </c>
      <c r="BA2536">
        <v>1</v>
      </c>
      <c r="BB2536" t="str">
        <f t="shared" si="121"/>
        <v xml:space="preserve">N8080G  </v>
      </c>
      <c r="BC2536">
        <v>1</v>
      </c>
      <c r="BE2536">
        <v>0</v>
      </c>
      <c r="BF2536">
        <v>0</v>
      </c>
      <c r="BG2536">
        <v>0</v>
      </c>
      <c r="BH2536">
        <v>1700</v>
      </c>
      <c r="BI2536">
        <v>1</v>
      </c>
      <c r="BJ2536">
        <v>1</v>
      </c>
      <c r="BK2536">
        <v>1</v>
      </c>
      <c r="BL2536">
        <v>0</v>
      </c>
      <c r="BO2536">
        <v>0</v>
      </c>
      <c r="BP2536">
        <v>0</v>
      </c>
      <c r="BW2536" t="str">
        <f>"20:28:01.024"</f>
        <v>20:28:01.024</v>
      </c>
      <c r="BZ2536">
        <v>0</v>
      </c>
      <c r="CA2536">
        <v>2016</v>
      </c>
      <c r="CB2536">
        <v>224</v>
      </c>
      <c r="CD2536">
        <v>1</v>
      </c>
      <c r="CE2536">
        <v>0</v>
      </c>
      <c r="CF2536">
        <v>0</v>
      </c>
      <c r="CG2536">
        <v>1</v>
      </c>
      <c r="CH2536">
        <v>0</v>
      </c>
      <c r="CI2536">
        <v>0</v>
      </c>
      <c r="CJ2536">
        <v>0</v>
      </c>
      <c r="CK2536">
        <v>2</v>
      </c>
      <c r="CL2536">
        <v>0</v>
      </c>
      <c r="CM2536">
        <v>2</v>
      </c>
      <c r="CN2536">
        <v>0</v>
      </c>
      <c r="CO2536">
        <v>4</v>
      </c>
      <c r="CP2536" t="s">
        <v>119</v>
      </c>
      <c r="CQ2536">
        <v>179</v>
      </c>
      <c r="CR2536">
        <v>1</v>
      </c>
      <c r="CW2536">
        <v>9006334</v>
      </c>
      <c r="CY2536">
        <v>1</v>
      </c>
      <c r="CZ2536">
        <v>0</v>
      </c>
      <c r="DA2536">
        <v>1</v>
      </c>
      <c r="DB2536">
        <v>0</v>
      </c>
      <c r="DC2536">
        <v>0</v>
      </c>
      <c r="DD2536">
        <v>0</v>
      </c>
      <c r="DE2536">
        <v>0</v>
      </c>
      <c r="DF2536">
        <v>0</v>
      </c>
      <c r="DG2536">
        <v>0</v>
      </c>
      <c r="DH2536">
        <v>0</v>
      </c>
      <c r="DI2536">
        <v>0</v>
      </c>
    </row>
    <row r="2537" spans="1:113" x14ac:dyDescent="0.3">
      <c r="A2537" t="str">
        <f>"02/08/2021 20:27:58.696"</f>
        <v>02/08/2021 20:27:58.696</v>
      </c>
      <c r="C2537" t="str">
        <f t="shared" si="120"/>
        <v>FFDFD7C0</v>
      </c>
      <c r="D2537" t="s">
        <v>113</v>
      </c>
      <c r="E2537">
        <v>6</v>
      </c>
      <c r="H2537">
        <v>165</v>
      </c>
      <c r="I2537" t="s">
        <v>114</v>
      </c>
      <c r="J2537" t="s">
        <v>115</v>
      </c>
      <c r="K2537">
        <v>0</v>
      </c>
      <c r="L2537">
        <v>3</v>
      </c>
      <c r="M2537">
        <v>0</v>
      </c>
      <c r="N2537">
        <v>2</v>
      </c>
      <c r="O2537">
        <v>1</v>
      </c>
      <c r="P2537">
        <v>0</v>
      </c>
      <c r="Q2537">
        <v>0</v>
      </c>
      <c r="S2537" t="str">
        <f>"20:28:01.023"</f>
        <v>20:28:01.023</v>
      </c>
      <c r="T2537" t="str">
        <f>"20:28:00.623"</f>
        <v>20:28:00.623</v>
      </c>
      <c r="U2537" t="str">
        <f t="shared" si="122"/>
        <v>AB01F4</v>
      </c>
      <c r="V2537">
        <v>0</v>
      </c>
      <c r="W2537">
        <v>0</v>
      </c>
      <c r="X2537">
        <v>2</v>
      </c>
      <c r="Z2537">
        <v>0</v>
      </c>
      <c r="AA2537">
        <v>9</v>
      </c>
      <c r="AB2537">
        <v>3</v>
      </c>
      <c r="AC2537">
        <v>0</v>
      </c>
      <c r="AD2537">
        <v>10</v>
      </c>
      <c r="AE2537">
        <v>0</v>
      </c>
      <c r="AF2537">
        <v>3</v>
      </c>
      <c r="AG2537">
        <v>2</v>
      </c>
      <c r="AH2537">
        <v>0</v>
      </c>
      <c r="AI2537" t="s">
        <v>1517</v>
      </c>
      <c r="AJ2537">
        <v>39.996091999999997</v>
      </c>
      <c r="AK2537" t="s">
        <v>1518</v>
      </c>
      <c r="AL2537">
        <v>-92.741089000000002</v>
      </c>
      <c r="AM2537">
        <v>100</v>
      </c>
      <c r="AN2537">
        <v>1700</v>
      </c>
      <c r="AO2537" t="s">
        <v>118</v>
      </c>
      <c r="AP2537">
        <v>-105</v>
      </c>
      <c r="AQ2537">
        <v>77</v>
      </c>
      <c r="AR2537">
        <v>0</v>
      </c>
      <c r="AZ2537">
        <v>1200</v>
      </c>
      <c r="BA2537">
        <v>1</v>
      </c>
      <c r="BB2537" t="str">
        <f t="shared" si="121"/>
        <v xml:space="preserve">N8080G  </v>
      </c>
      <c r="BC2537">
        <v>1</v>
      </c>
      <c r="BE2537">
        <v>0</v>
      </c>
      <c r="BF2537">
        <v>0</v>
      </c>
      <c r="BG2537">
        <v>0</v>
      </c>
      <c r="BH2537">
        <v>1700</v>
      </c>
      <c r="BI2537">
        <v>1</v>
      </c>
      <c r="BJ2537">
        <v>1</v>
      </c>
      <c r="BK2537">
        <v>1</v>
      </c>
      <c r="BL2537">
        <v>0</v>
      </c>
      <c r="BO2537">
        <v>0</v>
      </c>
      <c r="BP2537">
        <v>0</v>
      </c>
      <c r="BW2537" t="str">
        <f>"20:28:01.024"</f>
        <v>20:28:01.024</v>
      </c>
      <c r="BZ2537">
        <v>0</v>
      </c>
      <c r="CA2537">
        <v>2016</v>
      </c>
      <c r="CB2537">
        <v>224</v>
      </c>
      <c r="CD2537">
        <v>1</v>
      </c>
      <c r="CE2537">
        <v>0</v>
      </c>
      <c r="CF2537">
        <v>0</v>
      </c>
      <c r="CG2537">
        <v>1</v>
      </c>
      <c r="CH2537">
        <v>0</v>
      </c>
      <c r="CI2537">
        <v>0</v>
      </c>
      <c r="CJ2537">
        <v>0</v>
      </c>
      <c r="CK2537">
        <v>2</v>
      </c>
      <c r="CL2537">
        <v>0</v>
      </c>
      <c r="CM2537">
        <v>2</v>
      </c>
      <c r="CN2537">
        <v>0</v>
      </c>
      <c r="CO2537">
        <v>4</v>
      </c>
      <c r="CP2537" t="s">
        <v>119</v>
      </c>
      <c r="CQ2537">
        <v>179</v>
      </c>
      <c r="CR2537">
        <v>1</v>
      </c>
      <c r="CW2537">
        <v>9006334</v>
      </c>
      <c r="CY2537">
        <v>1</v>
      </c>
      <c r="CZ2537">
        <v>0</v>
      </c>
      <c r="DA2537">
        <v>1</v>
      </c>
      <c r="DB2537">
        <v>0</v>
      </c>
      <c r="DC2537">
        <v>0</v>
      </c>
      <c r="DD2537">
        <v>0</v>
      </c>
      <c r="DE2537">
        <v>0</v>
      </c>
      <c r="DF2537">
        <v>0</v>
      </c>
      <c r="DG2537">
        <v>0</v>
      </c>
      <c r="DH2537">
        <v>0</v>
      </c>
      <c r="DI2537">
        <v>0</v>
      </c>
    </row>
    <row r="2538" spans="1:113" x14ac:dyDescent="0.3">
      <c r="A2538" t="str">
        <f>"02/08/2021 20:27:58.696"</f>
        <v>02/08/2021 20:27:58.696</v>
      </c>
      <c r="C2538" t="str">
        <f t="shared" si="120"/>
        <v>FFDFD7C0</v>
      </c>
      <c r="D2538" t="s">
        <v>124</v>
      </c>
      <c r="E2538">
        <v>13</v>
      </c>
      <c r="F2538">
        <v>1013</v>
      </c>
      <c r="G2538" t="s">
        <v>114</v>
      </c>
      <c r="J2538" t="s">
        <v>125</v>
      </c>
      <c r="K2538">
        <v>0</v>
      </c>
      <c r="L2538">
        <v>3</v>
      </c>
      <c r="M2538">
        <v>0</v>
      </c>
      <c r="N2538">
        <v>2</v>
      </c>
      <c r="O2538">
        <v>1</v>
      </c>
      <c r="P2538">
        <v>0</v>
      </c>
      <c r="Q2538">
        <v>0</v>
      </c>
      <c r="S2538" t="str">
        <f>"20:28:01.023"</f>
        <v>20:28:01.023</v>
      </c>
      <c r="T2538" t="str">
        <f>"20:28:00.623"</f>
        <v>20:28:00.623</v>
      </c>
      <c r="U2538" t="str">
        <f t="shared" si="122"/>
        <v>AB01F4</v>
      </c>
      <c r="V2538">
        <v>0</v>
      </c>
      <c r="W2538">
        <v>0</v>
      </c>
      <c r="X2538">
        <v>2</v>
      </c>
      <c r="Z2538">
        <v>0</v>
      </c>
      <c r="AA2538">
        <v>9</v>
      </c>
      <c r="AB2538">
        <v>3</v>
      </c>
      <c r="AC2538">
        <v>0</v>
      </c>
      <c r="AD2538">
        <v>10</v>
      </c>
      <c r="AE2538">
        <v>0</v>
      </c>
      <c r="AF2538">
        <v>3</v>
      </c>
      <c r="AG2538">
        <v>2</v>
      </c>
      <c r="AH2538">
        <v>0</v>
      </c>
      <c r="AI2538" t="s">
        <v>1517</v>
      </c>
      <c r="AJ2538">
        <v>39.996091999999997</v>
      </c>
      <c r="AK2538" t="s">
        <v>1518</v>
      </c>
      <c r="AL2538">
        <v>-92.741089000000002</v>
      </c>
      <c r="AM2538">
        <v>100</v>
      </c>
      <c r="AN2538">
        <v>1700</v>
      </c>
      <c r="AO2538" t="s">
        <v>118</v>
      </c>
      <c r="AP2538">
        <v>-105</v>
      </c>
      <c r="AQ2538">
        <v>77</v>
      </c>
      <c r="AR2538">
        <v>0</v>
      </c>
      <c r="AZ2538">
        <v>1200</v>
      </c>
      <c r="BA2538">
        <v>1</v>
      </c>
      <c r="BB2538" t="str">
        <f t="shared" si="121"/>
        <v xml:space="preserve">N8080G  </v>
      </c>
      <c r="BC2538">
        <v>1</v>
      </c>
      <c r="BE2538">
        <v>0</v>
      </c>
      <c r="BF2538">
        <v>0</v>
      </c>
      <c r="BG2538">
        <v>0</v>
      </c>
      <c r="BH2538">
        <v>1700</v>
      </c>
      <c r="BI2538">
        <v>1</v>
      </c>
      <c r="BJ2538">
        <v>1</v>
      </c>
      <c r="BK2538">
        <v>1</v>
      </c>
      <c r="BL2538">
        <v>0</v>
      </c>
      <c r="BO2538">
        <v>0</v>
      </c>
      <c r="BP2538">
        <v>0</v>
      </c>
      <c r="BW2538" t="str">
        <f>"20:28:01.024"</f>
        <v>20:28:01.024</v>
      </c>
      <c r="BZ2538">
        <v>0</v>
      </c>
      <c r="CA2538">
        <v>2016</v>
      </c>
      <c r="CB2538">
        <v>224</v>
      </c>
      <c r="CD2538">
        <v>1</v>
      </c>
      <c r="CE2538">
        <v>0</v>
      </c>
      <c r="CF2538">
        <v>0</v>
      </c>
      <c r="CG2538">
        <v>1</v>
      </c>
      <c r="CH2538">
        <v>0</v>
      </c>
      <c r="CI2538">
        <v>0</v>
      </c>
      <c r="CJ2538">
        <v>0</v>
      </c>
      <c r="CK2538">
        <v>2</v>
      </c>
      <c r="CL2538">
        <v>0</v>
      </c>
      <c r="CM2538">
        <v>2</v>
      </c>
      <c r="CN2538">
        <v>0</v>
      </c>
      <c r="CO2538">
        <v>4</v>
      </c>
      <c r="CP2538" t="s">
        <v>119</v>
      </c>
      <c r="CQ2538">
        <v>179</v>
      </c>
      <c r="CR2538">
        <v>1</v>
      </c>
      <c r="CW2538">
        <v>9006334</v>
      </c>
      <c r="CY2538">
        <v>1</v>
      </c>
      <c r="CZ2538">
        <v>0</v>
      </c>
      <c r="DA2538">
        <v>1</v>
      </c>
      <c r="DB2538">
        <v>0</v>
      </c>
      <c r="DC2538">
        <v>0</v>
      </c>
      <c r="DD2538">
        <v>0</v>
      </c>
      <c r="DE2538">
        <v>0</v>
      </c>
      <c r="DF2538">
        <v>0</v>
      </c>
      <c r="DG2538">
        <v>0</v>
      </c>
      <c r="DH2538">
        <v>0</v>
      </c>
      <c r="DI2538">
        <v>0</v>
      </c>
    </row>
    <row r="2539" spans="1:113" x14ac:dyDescent="0.3">
      <c r="A2539" t="str">
        <f>"02/08/2021 20:27:59.652"</f>
        <v>02/08/2021 20:27:59.652</v>
      </c>
      <c r="C2539" t="str">
        <f t="shared" si="120"/>
        <v>FFDFD7C0</v>
      </c>
      <c r="D2539" t="s">
        <v>124</v>
      </c>
      <c r="E2539">
        <v>12</v>
      </c>
      <c r="F2539">
        <v>1012</v>
      </c>
      <c r="G2539" t="s">
        <v>675</v>
      </c>
      <c r="J2539" t="s">
        <v>125</v>
      </c>
      <c r="K2539">
        <v>0</v>
      </c>
      <c r="L2539">
        <v>3</v>
      </c>
      <c r="M2539">
        <v>0</v>
      </c>
      <c r="N2539">
        <v>2</v>
      </c>
      <c r="O2539">
        <v>1</v>
      </c>
      <c r="P2539">
        <v>0</v>
      </c>
      <c r="Q2539">
        <v>0</v>
      </c>
      <c r="S2539" t="str">
        <f>"20:28:02.000"</f>
        <v>20:28:02.000</v>
      </c>
      <c r="T2539" t="str">
        <f>"20:28:01.600"</f>
        <v>20:28:01.600</v>
      </c>
      <c r="U2539" t="str">
        <f t="shared" si="122"/>
        <v>AB01F4</v>
      </c>
      <c r="V2539">
        <v>0</v>
      </c>
      <c r="W2539">
        <v>0</v>
      </c>
      <c r="X2539">
        <v>2</v>
      </c>
      <c r="Z2539">
        <v>0</v>
      </c>
      <c r="AA2539">
        <v>9</v>
      </c>
      <c r="AB2539">
        <v>3</v>
      </c>
      <c r="AC2539">
        <v>0</v>
      </c>
      <c r="AD2539">
        <v>10</v>
      </c>
      <c r="AE2539">
        <v>0</v>
      </c>
      <c r="AF2539">
        <v>3</v>
      </c>
      <c r="AG2539">
        <v>2</v>
      </c>
      <c r="AH2539">
        <v>0</v>
      </c>
      <c r="AI2539" t="s">
        <v>1519</v>
      </c>
      <c r="AJ2539">
        <v>39.996414000000001</v>
      </c>
      <c r="AK2539" t="s">
        <v>1520</v>
      </c>
      <c r="AL2539">
        <v>-92.741690000000006</v>
      </c>
      <c r="AM2539">
        <v>100</v>
      </c>
      <c r="AN2539">
        <v>1700</v>
      </c>
      <c r="AO2539" t="s">
        <v>118</v>
      </c>
      <c r="AP2539">
        <v>-106</v>
      </c>
      <c r="AQ2539">
        <v>77</v>
      </c>
      <c r="AR2539">
        <v>0</v>
      </c>
      <c r="AZ2539">
        <v>1200</v>
      </c>
      <c r="BA2539">
        <v>1</v>
      </c>
      <c r="BB2539" t="str">
        <f t="shared" si="121"/>
        <v xml:space="preserve">N8080G  </v>
      </c>
      <c r="BC2539">
        <v>1</v>
      </c>
      <c r="BE2539">
        <v>0</v>
      </c>
      <c r="BF2539">
        <v>0</v>
      </c>
      <c r="BG2539">
        <v>0</v>
      </c>
      <c r="BH2539">
        <v>1700</v>
      </c>
      <c r="BI2539">
        <v>1</v>
      </c>
      <c r="BJ2539">
        <v>1</v>
      </c>
      <c r="BK2539">
        <v>1</v>
      </c>
      <c r="BL2539">
        <v>0</v>
      </c>
      <c r="BO2539">
        <v>0</v>
      </c>
      <c r="BP2539">
        <v>0</v>
      </c>
      <c r="BW2539" t="str">
        <f>"20:28:02.002"</f>
        <v>20:28:02.002</v>
      </c>
      <c r="BZ2539">
        <v>0</v>
      </c>
      <c r="CA2539">
        <v>2016</v>
      </c>
      <c r="CB2539">
        <v>224</v>
      </c>
      <c r="CD2539">
        <v>1</v>
      </c>
      <c r="CE2539">
        <v>0</v>
      </c>
      <c r="CF2539">
        <v>0</v>
      </c>
      <c r="CG2539">
        <v>1</v>
      </c>
      <c r="CH2539">
        <v>0</v>
      </c>
      <c r="CI2539">
        <v>0</v>
      </c>
      <c r="CJ2539">
        <v>0</v>
      </c>
      <c r="CK2539">
        <v>2</v>
      </c>
      <c r="CL2539">
        <v>0</v>
      </c>
      <c r="CM2539">
        <v>2</v>
      </c>
      <c r="CN2539">
        <v>0</v>
      </c>
      <c r="CO2539">
        <v>7</v>
      </c>
      <c r="CP2539" t="s">
        <v>119</v>
      </c>
      <c r="CQ2539">
        <v>180</v>
      </c>
      <c r="CR2539">
        <v>3</v>
      </c>
      <c r="CW2539">
        <v>911587</v>
      </c>
      <c r="CY2539">
        <v>1</v>
      </c>
      <c r="CZ2539">
        <v>0</v>
      </c>
      <c r="DA2539">
        <v>0</v>
      </c>
      <c r="DB2539">
        <v>0</v>
      </c>
      <c r="DC2539">
        <v>0</v>
      </c>
      <c r="DD2539">
        <v>0</v>
      </c>
      <c r="DE2539">
        <v>0</v>
      </c>
      <c r="DF2539">
        <v>0</v>
      </c>
      <c r="DG2539">
        <v>0</v>
      </c>
      <c r="DH2539">
        <v>0</v>
      </c>
      <c r="DI2539">
        <v>0</v>
      </c>
    </row>
    <row r="2540" spans="1:113" x14ac:dyDescent="0.3">
      <c r="A2540" t="str">
        <f>"02/08/2021 20:27:59.652"</f>
        <v>02/08/2021 20:27:59.652</v>
      </c>
      <c r="C2540" t="str">
        <f t="shared" si="120"/>
        <v>FFDFD7C0</v>
      </c>
      <c r="D2540" t="s">
        <v>124</v>
      </c>
      <c r="E2540">
        <v>11</v>
      </c>
      <c r="F2540">
        <v>1011</v>
      </c>
      <c r="G2540" t="s">
        <v>590</v>
      </c>
      <c r="J2540" t="s">
        <v>125</v>
      </c>
      <c r="K2540">
        <v>0</v>
      </c>
      <c r="L2540">
        <v>3</v>
      </c>
      <c r="M2540">
        <v>0</v>
      </c>
      <c r="N2540">
        <v>2</v>
      </c>
      <c r="O2540">
        <v>1</v>
      </c>
      <c r="P2540">
        <v>0</v>
      </c>
      <c r="Q2540">
        <v>0</v>
      </c>
      <c r="S2540" t="str">
        <f>"20:28:02.000"</f>
        <v>20:28:02.000</v>
      </c>
      <c r="T2540" t="str">
        <f>"20:28:01.600"</f>
        <v>20:28:01.600</v>
      </c>
      <c r="U2540" t="str">
        <f t="shared" si="122"/>
        <v>AB01F4</v>
      </c>
      <c r="V2540">
        <v>0</v>
      </c>
      <c r="W2540">
        <v>0</v>
      </c>
      <c r="X2540">
        <v>2</v>
      </c>
      <c r="Z2540">
        <v>0</v>
      </c>
      <c r="AA2540">
        <v>9</v>
      </c>
      <c r="AB2540">
        <v>3</v>
      </c>
      <c r="AC2540">
        <v>0</v>
      </c>
      <c r="AD2540">
        <v>10</v>
      </c>
      <c r="AE2540">
        <v>0</v>
      </c>
      <c r="AF2540">
        <v>3</v>
      </c>
      <c r="AG2540">
        <v>2</v>
      </c>
      <c r="AH2540">
        <v>0</v>
      </c>
      <c r="AI2540" t="s">
        <v>1519</v>
      </c>
      <c r="AJ2540">
        <v>39.996414000000001</v>
      </c>
      <c r="AK2540" t="s">
        <v>1520</v>
      </c>
      <c r="AL2540">
        <v>-92.741690000000006</v>
      </c>
      <c r="AM2540">
        <v>100</v>
      </c>
      <c r="AN2540">
        <v>1700</v>
      </c>
      <c r="AO2540" t="s">
        <v>118</v>
      </c>
      <c r="AP2540">
        <v>-106</v>
      </c>
      <c r="AQ2540">
        <v>77</v>
      </c>
      <c r="AR2540">
        <v>0</v>
      </c>
      <c r="AZ2540">
        <v>1200</v>
      </c>
      <c r="BA2540">
        <v>1</v>
      </c>
      <c r="BB2540" t="str">
        <f t="shared" si="121"/>
        <v xml:space="preserve">N8080G  </v>
      </c>
      <c r="BC2540">
        <v>1</v>
      </c>
      <c r="BE2540">
        <v>0</v>
      </c>
      <c r="BF2540">
        <v>0</v>
      </c>
      <c r="BG2540">
        <v>0</v>
      </c>
      <c r="BH2540">
        <v>1700</v>
      </c>
      <c r="BI2540">
        <v>1</v>
      </c>
      <c r="BJ2540">
        <v>1</v>
      </c>
      <c r="BK2540">
        <v>1</v>
      </c>
      <c r="BL2540">
        <v>0</v>
      </c>
      <c r="BO2540">
        <v>0</v>
      </c>
      <c r="BP2540">
        <v>0</v>
      </c>
      <c r="BW2540" t="str">
        <f>"20:28:02.002"</f>
        <v>20:28:02.002</v>
      </c>
      <c r="BZ2540">
        <v>0</v>
      </c>
      <c r="CA2540">
        <v>2016</v>
      </c>
      <c r="CB2540">
        <v>224</v>
      </c>
      <c r="CD2540">
        <v>1</v>
      </c>
      <c r="CE2540">
        <v>0</v>
      </c>
      <c r="CF2540">
        <v>0</v>
      </c>
      <c r="CG2540">
        <v>1</v>
      </c>
      <c r="CH2540">
        <v>0</v>
      </c>
      <c r="CI2540">
        <v>0</v>
      </c>
      <c r="CJ2540">
        <v>0</v>
      </c>
      <c r="CK2540">
        <v>2</v>
      </c>
      <c r="CL2540">
        <v>0</v>
      </c>
      <c r="CM2540">
        <v>2</v>
      </c>
      <c r="CN2540">
        <v>0</v>
      </c>
      <c r="CO2540">
        <v>7</v>
      </c>
      <c r="CP2540" t="s">
        <v>119</v>
      </c>
      <c r="CQ2540">
        <v>180</v>
      </c>
      <c r="CR2540">
        <v>3</v>
      </c>
      <c r="CW2540">
        <v>911587</v>
      </c>
      <c r="CY2540">
        <v>1</v>
      </c>
      <c r="CZ2540">
        <v>0</v>
      </c>
      <c r="DA2540">
        <v>1</v>
      </c>
      <c r="DB2540">
        <v>0</v>
      </c>
      <c r="DC2540">
        <v>0</v>
      </c>
      <c r="DD2540">
        <v>0</v>
      </c>
      <c r="DE2540">
        <v>0</v>
      </c>
      <c r="DF2540">
        <v>0</v>
      </c>
      <c r="DG2540">
        <v>0</v>
      </c>
      <c r="DH2540">
        <v>0</v>
      </c>
      <c r="DI2540">
        <v>0</v>
      </c>
    </row>
    <row r="2541" spans="1:113" x14ac:dyDescent="0.3">
      <c r="A2541" t="str">
        <f>"02/08/2021 20:27:59.652"</f>
        <v>02/08/2021 20:27:59.652</v>
      </c>
      <c r="C2541" t="str">
        <f t="shared" si="120"/>
        <v>FFDFD7C0</v>
      </c>
      <c r="D2541" t="s">
        <v>113</v>
      </c>
      <c r="E2541">
        <v>6</v>
      </c>
      <c r="H2541">
        <v>165</v>
      </c>
      <c r="I2541" t="s">
        <v>114</v>
      </c>
      <c r="J2541" t="s">
        <v>115</v>
      </c>
      <c r="K2541">
        <v>0</v>
      </c>
      <c r="L2541">
        <v>3</v>
      </c>
      <c r="M2541">
        <v>0</v>
      </c>
      <c r="N2541">
        <v>2</v>
      </c>
      <c r="O2541">
        <v>1</v>
      </c>
      <c r="P2541">
        <v>0</v>
      </c>
      <c r="Q2541">
        <v>0</v>
      </c>
      <c r="S2541" t="str">
        <f>"20:28:02.000"</f>
        <v>20:28:02.000</v>
      </c>
      <c r="T2541" t="str">
        <f>"20:28:01.600"</f>
        <v>20:28:01.600</v>
      </c>
      <c r="U2541" t="str">
        <f t="shared" si="122"/>
        <v>AB01F4</v>
      </c>
      <c r="V2541">
        <v>0</v>
      </c>
      <c r="W2541">
        <v>0</v>
      </c>
      <c r="X2541">
        <v>2</v>
      </c>
      <c r="Z2541">
        <v>0</v>
      </c>
      <c r="AA2541">
        <v>9</v>
      </c>
      <c r="AB2541">
        <v>3</v>
      </c>
      <c r="AC2541">
        <v>0</v>
      </c>
      <c r="AD2541">
        <v>10</v>
      </c>
      <c r="AE2541">
        <v>0</v>
      </c>
      <c r="AF2541">
        <v>3</v>
      </c>
      <c r="AG2541">
        <v>2</v>
      </c>
      <c r="AH2541">
        <v>0</v>
      </c>
      <c r="AI2541" t="s">
        <v>1519</v>
      </c>
      <c r="AJ2541">
        <v>39.996414000000001</v>
      </c>
      <c r="AK2541" t="s">
        <v>1520</v>
      </c>
      <c r="AL2541">
        <v>-92.741690000000006</v>
      </c>
      <c r="AM2541">
        <v>100</v>
      </c>
      <c r="AN2541">
        <v>1700</v>
      </c>
      <c r="AO2541" t="s">
        <v>118</v>
      </c>
      <c r="AP2541">
        <v>-106</v>
      </c>
      <c r="AQ2541">
        <v>77</v>
      </c>
      <c r="AR2541">
        <v>0</v>
      </c>
      <c r="AZ2541">
        <v>1200</v>
      </c>
      <c r="BA2541">
        <v>1</v>
      </c>
      <c r="BB2541" t="str">
        <f t="shared" si="121"/>
        <v xml:space="preserve">N8080G  </v>
      </c>
      <c r="BC2541">
        <v>1</v>
      </c>
      <c r="BE2541">
        <v>0</v>
      </c>
      <c r="BF2541">
        <v>0</v>
      </c>
      <c r="BG2541">
        <v>0</v>
      </c>
      <c r="BH2541">
        <v>1700</v>
      </c>
      <c r="BI2541">
        <v>1</v>
      </c>
      <c r="BJ2541">
        <v>1</v>
      </c>
      <c r="BK2541">
        <v>1</v>
      </c>
      <c r="BL2541">
        <v>0</v>
      </c>
      <c r="BO2541">
        <v>0</v>
      </c>
      <c r="BP2541">
        <v>0</v>
      </c>
      <c r="BW2541" t="str">
        <f>"20:28:02.002"</f>
        <v>20:28:02.002</v>
      </c>
      <c r="BZ2541">
        <v>0</v>
      </c>
      <c r="CA2541">
        <v>2016</v>
      </c>
      <c r="CB2541">
        <v>224</v>
      </c>
      <c r="CD2541">
        <v>1</v>
      </c>
      <c r="CE2541">
        <v>0</v>
      </c>
      <c r="CF2541">
        <v>0</v>
      </c>
      <c r="CG2541">
        <v>1</v>
      </c>
      <c r="CH2541">
        <v>0</v>
      </c>
      <c r="CI2541">
        <v>0</v>
      </c>
      <c r="CJ2541">
        <v>0</v>
      </c>
      <c r="CK2541">
        <v>2</v>
      </c>
      <c r="CL2541">
        <v>0</v>
      </c>
      <c r="CM2541">
        <v>2</v>
      </c>
      <c r="CN2541">
        <v>0</v>
      </c>
      <c r="CO2541">
        <v>7</v>
      </c>
      <c r="CP2541" t="s">
        <v>119</v>
      </c>
      <c r="CQ2541">
        <v>180</v>
      </c>
      <c r="CR2541">
        <v>3</v>
      </c>
      <c r="CW2541">
        <v>911587</v>
      </c>
      <c r="CY2541">
        <v>1</v>
      </c>
      <c r="CZ2541">
        <v>0</v>
      </c>
      <c r="DA2541">
        <v>1</v>
      </c>
      <c r="DB2541">
        <v>0</v>
      </c>
      <c r="DC2541">
        <v>0</v>
      </c>
      <c r="DD2541">
        <v>0</v>
      </c>
      <c r="DE2541">
        <v>0</v>
      </c>
      <c r="DF2541">
        <v>0</v>
      </c>
      <c r="DG2541">
        <v>0</v>
      </c>
      <c r="DH2541">
        <v>0</v>
      </c>
      <c r="DI2541">
        <v>0</v>
      </c>
    </row>
    <row r="2542" spans="1:113" x14ac:dyDescent="0.3">
      <c r="A2542" t="str">
        <f>"02/08/2021 20:27:59.652"</f>
        <v>02/08/2021 20:27:59.652</v>
      </c>
      <c r="C2542" t="str">
        <f t="shared" si="120"/>
        <v>FFDFD7C0</v>
      </c>
      <c r="D2542" t="s">
        <v>124</v>
      </c>
      <c r="E2542">
        <v>13</v>
      </c>
      <c r="F2542">
        <v>1013</v>
      </c>
      <c r="G2542" t="s">
        <v>114</v>
      </c>
      <c r="J2542" t="s">
        <v>125</v>
      </c>
      <c r="K2542">
        <v>0</v>
      </c>
      <c r="L2542">
        <v>3</v>
      </c>
      <c r="M2542">
        <v>0</v>
      </c>
      <c r="N2542">
        <v>2</v>
      </c>
      <c r="O2542">
        <v>1</v>
      </c>
      <c r="P2542">
        <v>0</v>
      </c>
      <c r="Q2542">
        <v>0</v>
      </c>
      <c r="S2542" t="str">
        <f>"20:28:02.000"</f>
        <v>20:28:02.000</v>
      </c>
      <c r="T2542" t="str">
        <f>"20:28:01.600"</f>
        <v>20:28:01.600</v>
      </c>
      <c r="U2542" t="str">
        <f t="shared" si="122"/>
        <v>AB01F4</v>
      </c>
      <c r="V2542">
        <v>0</v>
      </c>
      <c r="W2542">
        <v>0</v>
      </c>
      <c r="X2542">
        <v>2</v>
      </c>
      <c r="Z2542">
        <v>0</v>
      </c>
      <c r="AA2542">
        <v>9</v>
      </c>
      <c r="AB2542">
        <v>3</v>
      </c>
      <c r="AC2542">
        <v>0</v>
      </c>
      <c r="AD2542">
        <v>10</v>
      </c>
      <c r="AE2542">
        <v>0</v>
      </c>
      <c r="AF2542">
        <v>3</v>
      </c>
      <c r="AG2542">
        <v>2</v>
      </c>
      <c r="AH2542">
        <v>0</v>
      </c>
      <c r="AI2542" t="s">
        <v>1519</v>
      </c>
      <c r="AJ2542">
        <v>39.996414000000001</v>
      </c>
      <c r="AK2542" t="s">
        <v>1520</v>
      </c>
      <c r="AL2542">
        <v>-92.741690000000006</v>
      </c>
      <c r="AM2542">
        <v>100</v>
      </c>
      <c r="AN2542">
        <v>1700</v>
      </c>
      <c r="AO2542" t="s">
        <v>118</v>
      </c>
      <c r="AP2542">
        <v>-106</v>
      </c>
      <c r="AQ2542">
        <v>77</v>
      </c>
      <c r="AR2542">
        <v>0</v>
      </c>
      <c r="AZ2542">
        <v>1200</v>
      </c>
      <c r="BA2542">
        <v>1</v>
      </c>
      <c r="BB2542" t="str">
        <f t="shared" si="121"/>
        <v xml:space="preserve">N8080G  </v>
      </c>
      <c r="BC2542">
        <v>1</v>
      </c>
      <c r="BE2542">
        <v>0</v>
      </c>
      <c r="BF2542">
        <v>0</v>
      </c>
      <c r="BG2542">
        <v>0</v>
      </c>
      <c r="BH2542">
        <v>1700</v>
      </c>
      <c r="BI2542">
        <v>1</v>
      </c>
      <c r="BJ2542">
        <v>1</v>
      </c>
      <c r="BK2542">
        <v>1</v>
      </c>
      <c r="BL2542">
        <v>0</v>
      </c>
      <c r="BO2542">
        <v>0</v>
      </c>
      <c r="BP2542">
        <v>0</v>
      </c>
      <c r="BW2542" t="str">
        <f>"20:28:02.002"</f>
        <v>20:28:02.002</v>
      </c>
      <c r="BZ2542">
        <v>0</v>
      </c>
      <c r="CA2542">
        <v>2016</v>
      </c>
      <c r="CB2542">
        <v>224</v>
      </c>
      <c r="CD2542">
        <v>1</v>
      </c>
      <c r="CE2542">
        <v>0</v>
      </c>
      <c r="CF2542">
        <v>0</v>
      </c>
      <c r="CG2542">
        <v>1</v>
      </c>
      <c r="CH2542">
        <v>0</v>
      </c>
      <c r="CI2542">
        <v>0</v>
      </c>
      <c r="CJ2542">
        <v>0</v>
      </c>
      <c r="CK2542">
        <v>2</v>
      </c>
      <c r="CL2542">
        <v>0</v>
      </c>
      <c r="CM2542">
        <v>2</v>
      </c>
      <c r="CN2542">
        <v>0</v>
      </c>
      <c r="CO2542">
        <v>7</v>
      </c>
      <c r="CP2542" t="s">
        <v>119</v>
      </c>
      <c r="CQ2542">
        <v>180</v>
      </c>
      <c r="CR2542">
        <v>3</v>
      </c>
      <c r="CW2542">
        <v>911587</v>
      </c>
      <c r="CY2542">
        <v>1</v>
      </c>
      <c r="CZ2542">
        <v>0</v>
      </c>
      <c r="DA2542">
        <v>1</v>
      </c>
      <c r="DB2542">
        <v>0</v>
      </c>
      <c r="DC2542">
        <v>0</v>
      </c>
      <c r="DD2542">
        <v>0</v>
      </c>
      <c r="DE2542">
        <v>0</v>
      </c>
      <c r="DF2542">
        <v>0</v>
      </c>
      <c r="DG2542">
        <v>0</v>
      </c>
      <c r="DH2542">
        <v>0</v>
      </c>
      <c r="DI2542">
        <v>0</v>
      </c>
    </row>
    <row r="2543" spans="1:113" x14ac:dyDescent="0.3">
      <c r="A2543" t="str">
        <f>"02/08/2021 20:28:00.663"</f>
        <v>02/08/2021 20:28:00.663</v>
      </c>
      <c r="C2543" t="str">
        <f t="shared" ref="C2543:C2606" si="123">"FFDFD7C0"</f>
        <v>FFDFD7C0</v>
      </c>
      <c r="D2543" t="s">
        <v>124</v>
      </c>
      <c r="E2543">
        <v>11</v>
      </c>
      <c r="F2543">
        <v>1011</v>
      </c>
      <c r="G2543" t="s">
        <v>590</v>
      </c>
      <c r="J2543" t="s">
        <v>125</v>
      </c>
      <c r="K2543">
        <v>0</v>
      </c>
      <c r="L2543">
        <v>3</v>
      </c>
      <c r="M2543">
        <v>0</v>
      </c>
      <c r="N2543">
        <v>2</v>
      </c>
      <c r="O2543">
        <v>1</v>
      </c>
      <c r="P2543">
        <v>0</v>
      </c>
      <c r="Q2543">
        <v>0</v>
      </c>
      <c r="S2543" t="str">
        <f>"20:28:03.000"</f>
        <v>20:28:03.000</v>
      </c>
      <c r="T2543" t="str">
        <f>"20:28:02.500"</f>
        <v>20:28:02.500</v>
      </c>
      <c r="U2543" t="str">
        <f t="shared" si="122"/>
        <v>AB01F4</v>
      </c>
      <c r="V2543">
        <v>0</v>
      </c>
      <c r="W2543">
        <v>0</v>
      </c>
      <c r="X2543">
        <v>2</v>
      </c>
      <c r="Z2543">
        <v>0</v>
      </c>
      <c r="AA2543">
        <v>9</v>
      </c>
      <c r="AB2543">
        <v>3</v>
      </c>
      <c r="AC2543">
        <v>0</v>
      </c>
      <c r="AD2543">
        <v>10</v>
      </c>
      <c r="AE2543">
        <v>0</v>
      </c>
      <c r="AF2543">
        <v>3</v>
      </c>
      <c r="AG2543">
        <v>2</v>
      </c>
      <c r="AH2543">
        <v>0</v>
      </c>
      <c r="AI2543" t="s">
        <v>1521</v>
      </c>
      <c r="AJ2543">
        <v>39.996735999999999</v>
      </c>
      <c r="AK2543" t="s">
        <v>1522</v>
      </c>
      <c r="AL2543">
        <v>-92.742311999999998</v>
      </c>
      <c r="AM2543">
        <v>100</v>
      </c>
      <c r="AN2543">
        <v>1700</v>
      </c>
      <c r="AO2543" t="s">
        <v>118</v>
      </c>
      <c r="AP2543">
        <v>-106</v>
      </c>
      <c r="AQ2543">
        <v>76</v>
      </c>
      <c r="AR2543">
        <v>-64</v>
      </c>
      <c r="AZ2543">
        <v>1200</v>
      </c>
      <c r="BA2543">
        <v>1</v>
      </c>
      <c r="BB2543" t="str">
        <f t="shared" ref="BB2543:BB2606" si="124">"N8080G  "</f>
        <v xml:space="preserve">N8080G  </v>
      </c>
      <c r="BC2543">
        <v>1</v>
      </c>
      <c r="BE2543">
        <v>0</v>
      </c>
      <c r="BF2543">
        <v>0</v>
      </c>
      <c r="BG2543">
        <v>0</v>
      </c>
      <c r="BH2543">
        <v>1700</v>
      </c>
      <c r="BI2543">
        <v>1</v>
      </c>
      <c r="BJ2543">
        <v>1</v>
      </c>
      <c r="BK2543">
        <v>1</v>
      </c>
      <c r="BL2543">
        <v>0</v>
      </c>
      <c r="BO2543">
        <v>0</v>
      </c>
      <c r="BP2543">
        <v>0</v>
      </c>
      <c r="BW2543" t="str">
        <f>"20:28:03.003"</f>
        <v>20:28:03.003</v>
      </c>
      <c r="BZ2543">
        <v>0</v>
      </c>
      <c r="CA2543">
        <v>2016</v>
      </c>
      <c r="CB2543">
        <v>224</v>
      </c>
      <c r="CD2543">
        <v>1</v>
      </c>
      <c r="CE2543">
        <v>0</v>
      </c>
      <c r="CF2543">
        <v>0</v>
      </c>
      <c r="CG2543">
        <v>1</v>
      </c>
      <c r="CH2543">
        <v>0</v>
      </c>
      <c r="CI2543">
        <v>0</v>
      </c>
      <c r="CJ2543">
        <v>0</v>
      </c>
      <c r="CK2543">
        <v>2</v>
      </c>
      <c r="CL2543">
        <v>0</v>
      </c>
      <c r="CM2543">
        <v>2</v>
      </c>
      <c r="CN2543">
        <v>0</v>
      </c>
      <c r="CO2543">
        <v>4</v>
      </c>
      <c r="CP2543" t="s">
        <v>119</v>
      </c>
      <c r="CQ2543">
        <v>179</v>
      </c>
      <c r="CR2543">
        <v>1</v>
      </c>
      <c r="CW2543">
        <v>9008032</v>
      </c>
      <c r="CY2543">
        <v>1</v>
      </c>
      <c r="CZ2543">
        <v>0</v>
      </c>
      <c r="DA2543">
        <v>0</v>
      </c>
      <c r="DB2543">
        <v>0</v>
      </c>
      <c r="DC2543">
        <v>0</v>
      </c>
      <c r="DD2543">
        <v>0</v>
      </c>
      <c r="DE2543">
        <v>0</v>
      </c>
      <c r="DF2543">
        <v>0</v>
      </c>
      <c r="DG2543">
        <v>0</v>
      </c>
      <c r="DH2543">
        <v>0</v>
      </c>
      <c r="DI2543">
        <v>0</v>
      </c>
    </row>
    <row r="2544" spans="1:113" x14ac:dyDescent="0.3">
      <c r="A2544" t="str">
        <f>"02/08/2021 20:28:00.663"</f>
        <v>02/08/2021 20:28:00.663</v>
      </c>
      <c r="C2544" t="str">
        <f t="shared" si="123"/>
        <v>FFDFD7C0</v>
      </c>
      <c r="D2544" t="s">
        <v>124</v>
      </c>
      <c r="E2544">
        <v>13</v>
      </c>
      <c r="F2544">
        <v>1013</v>
      </c>
      <c r="G2544" t="s">
        <v>114</v>
      </c>
      <c r="J2544" t="s">
        <v>125</v>
      </c>
      <c r="K2544">
        <v>0</v>
      </c>
      <c r="L2544">
        <v>3</v>
      </c>
      <c r="M2544">
        <v>0</v>
      </c>
      <c r="N2544">
        <v>2</v>
      </c>
      <c r="O2544">
        <v>1</v>
      </c>
      <c r="P2544">
        <v>0</v>
      </c>
      <c r="Q2544">
        <v>0</v>
      </c>
      <c r="S2544" t="str">
        <f>"20:28:03.000"</f>
        <v>20:28:03.000</v>
      </c>
      <c r="T2544" t="str">
        <f>"20:28:02.500"</f>
        <v>20:28:02.500</v>
      </c>
      <c r="U2544" t="str">
        <f t="shared" si="122"/>
        <v>AB01F4</v>
      </c>
      <c r="V2544">
        <v>0</v>
      </c>
      <c r="W2544">
        <v>0</v>
      </c>
      <c r="X2544">
        <v>2</v>
      </c>
      <c r="Z2544">
        <v>0</v>
      </c>
      <c r="AA2544">
        <v>9</v>
      </c>
      <c r="AB2544">
        <v>3</v>
      </c>
      <c r="AC2544">
        <v>0</v>
      </c>
      <c r="AD2544">
        <v>10</v>
      </c>
      <c r="AE2544">
        <v>0</v>
      </c>
      <c r="AF2544">
        <v>3</v>
      </c>
      <c r="AG2544">
        <v>2</v>
      </c>
      <c r="AH2544">
        <v>0</v>
      </c>
      <c r="AI2544" t="s">
        <v>1521</v>
      </c>
      <c r="AJ2544">
        <v>39.996735999999999</v>
      </c>
      <c r="AK2544" t="s">
        <v>1522</v>
      </c>
      <c r="AL2544">
        <v>-92.742311999999998</v>
      </c>
      <c r="AM2544">
        <v>100</v>
      </c>
      <c r="AN2544">
        <v>1700</v>
      </c>
      <c r="AO2544" t="s">
        <v>118</v>
      </c>
      <c r="AP2544">
        <v>-106</v>
      </c>
      <c r="AQ2544">
        <v>76</v>
      </c>
      <c r="AR2544">
        <v>-64</v>
      </c>
      <c r="AZ2544">
        <v>1200</v>
      </c>
      <c r="BA2544">
        <v>1</v>
      </c>
      <c r="BB2544" t="str">
        <f t="shared" si="124"/>
        <v xml:space="preserve">N8080G  </v>
      </c>
      <c r="BC2544">
        <v>1</v>
      </c>
      <c r="BE2544">
        <v>0</v>
      </c>
      <c r="BF2544">
        <v>0</v>
      </c>
      <c r="BG2544">
        <v>0</v>
      </c>
      <c r="BH2544">
        <v>1700</v>
      </c>
      <c r="BI2544">
        <v>1</v>
      </c>
      <c r="BJ2544">
        <v>1</v>
      </c>
      <c r="BK2544">
        <v>1</v>
      </c>
      <c r="BL2544">
        <v>0</v>
      </c>
      <c r="BO2544">
        <v>0</v>
      </c>
      <c r="BP2544">
        <v>0</v>
      </c>
      <c r="BW2544" t="str">
        <f>"20:28:03.003"</f>
        <v>20:28:03.003</v>
      </c>
      <c r="BZ2544">
        <v>0</v>
      </c>
      <c r="CA2544">
        <v>2016</v>
      </c>
      <c r="CB2544">
        <v>224</v>
      </c>
      <c r="CD2544">
        <v>1</v>
      </c>
      <c r="CE2544">
        <v>0</v>
      </c>
      <c r="CF2544">
        <v>0</v>
      </c>
      <c r="CG2544">
        <v>1</v>
      </c>
      <c r="CH2544">
        <v>0</v>
      </c>
      <c r="CI2544">
        <v>0</v>
      </c>
      <c r="CJ2544">
        <v>0</v>
      </c>
      <c r="CK2544">
        <v>2</v>
      </c>
      <c r="CL2544">
        <v>0</v>
      </c>
      <c r="CM2544">
        <v>2</v>
      </c>
      <c r="CN2544">
        <v>0</v>
      </c>
      <c r="CO2544">
        <v>4</v>
      </c>
      <c r="CP2544" t="s">
        <v>119</v>
      </c>
      <c r="CQ2544">
        <v>179</v>
      </c>
      <c r="CR2544">
        <v>1</v>
      </c>
      <c r="CW2544">
        <v>9008032</v>
      </c>
      <c r="CY2544">
        <v>1</v>
      </c>
      <c r="CZ2544">
        <v>0</v>
      </c>
      <c r="DA2544">
        <v>1</v>
      </c>
      <c r="DB2544">
        <v>0</v>
      </c>
      <c r="DC2544">
        <v>0</v>
      </c>
      <c r="DD2544">
        <v>0</v>
      </c>
      <c r="DE2544">
        <v>0</v>
      </c>
      <c r="DF2544">
        <v>0</v>
      </c>
      <c r="DG2544">
        <v>0</v>
      </c>
      <c r="DH2544">
        <v>0</v>
      </c>
      <c r="DI2544">
        <v>0</v>
      </c>
    </row>
    <row r="2545" spans="1:113" x14ac:dyDescent="0.3">
      <c r="A2545" t="str">
        <f>"02/08/2021 20:28:00.663"</f>
        <v>02/08/2021 20:28:00.663</v>
      </c>
      <c r="C2545" t="str">
        <f t="shared" si="123"/>
        <v>FFDFD7C0</v>
      </c>
      <c r="D2545" t="s">
        <v>113</v>
      </c>
      <c r="E2545">
        <v>6</v>
      </c>
      <c r="H2545">
        <v>165</v>
      </c>
      <c r="I2545" t="s">
        <v>114</v>
      </c>
      <c r="J2545" t="s">
        <v>115</v>
      </c>
      <c r="K2545">
        <v>0</v>
      </c>
      <c r="L2545">
        <v>3</v>
      </c>
      <c r="M2545">
        <v>0</v>
      </c>
      <c r="N2545">
        <v>2</v>
      </c>
      <c r="O2545">
        <v>1</v>
      </c>
      <c r="P2545">
        <v>0</v>
      </c>
      <c r="Q2545">
        <v>0</v>
      </c>
      <c r="S2545" t="str">
        <f>"20:28:03.000"</f>
        <v>20:28:03.000</v>
      </c>
      <c r="T2545" t="str">
        <f>"20:28:02.500"</f>
        <v>20:28:02.500</v>
      </c>
      <c r="U2545" t="str">
        <f t="shared" si="122"/>
        <v>AB01F4</v>
      </c>
      <c r="V2545">
        <v>0</v>
      </c>
      <c r="W2545">
        <v>0</v>
      </c>
      <c r="X2545">
        <v>2</v>
      </c>
      <c r="Z2545">
        <v>0</v>
      </c>
      <c r="AA2545">
        <v>9</v>
      </c>
      <c r="AB2545">
        <v>3</v>
      </c>
      <c r="AC2545">
        <v>0</v>
      </c>
      <c r="AD2545">
        <v>10</v>
      </c>
      <c r="AE2545">
        <v>0</v>
      </c>
      <c r="AF2545">
        <v>3</v>
      </c>
      <c r="AG2545">
        <v>2</v>
      </c>
      <c r="AH2545">
        <v>0</v>
      </c>
      <c r="AI2545" t="s">
        <v>1521</v>
      </c>
      <c r="AJ2545">
        <v>39.996735999999999</v>
      </c>
      <c r="AK2545" t="s">
        <v>1522</v>
      </c>
      <c r="AL2545">
        <v>-92.742311999999998</v>
      </c>
      <c r="AM2545">
        <v>100</v>
      </c>
      <c r="AN2545">
        <v>1700</v>
      </c>
      <c r="AO2545" t="s">
        <v>118</v>
      </c>
      <c r="AP2545">
        <v>-106</v>
      </c>
      <c r="AQ2545">
        <v>76</v>
      </c>
      <c r="AR2545">
        <v>-64</v>
      </c>
      <c r="AZ2545">
        <v>1200</v>
      </c>
      <c r="BA2545">
        <v>1</v>
      </c>
      <c r="BB2545" t="str">
        <f t="shared" si="124"/>
        <v xml:space="preserve">N8080G  </v>
      </c>
      <c r="BC2545">
        <v>1</v>
      </c>
      <c r="BE2545">
        <v>0</v>
      </c>
      <c r="BF2545">
        <v>0</v>
      </c>
      <c r="BG2545">
        <v>0</v>
      </c>
      <c r="BH2545">
        <v>1700</v>
      </c>
      <c r="BI2545">
        <v>1</v>
      </c>
      <c r="BJ2545">
        <v>1</v>
      </c>
      <c r="BK2545">
        <v>1</v>
      </c>
      <c r="BL2545">
        <v>0</v>
      </c>
      <c r="BO2545">
        <v>0</v>
      </c>
      <c r="BP2545">
        <v>0</v>
      </c>
      <c r="BW2545" t="str">
        <f>"20:28:03.003"</f>
        <v>20:28:03.003</v>
      </c>
      <c r="BZ2545">
        <v>0</v>
      </c>
      <c r="CA2545">
        <v>2016</v>
      </c>
      <c r="CB2545">
        <v>224</v>
      </c>
      <c r="CD2545">
        <v>1</v>
      </c>
      <c r="CE2545">
        <v>0</v>
      </c>
      <c r="CF2545">
        <v>0</v>
      </c>
      <c r="CG2545">
        <v>1</v>
      </c>
      <c r="CH2545">
        <v>0</v>
      </c>
      <c r="CI2545">
        <v>0</v>
      </c>
      <c r="CJ2545">
        <v>0</v>
      </c>
      <c r="CK2545">
        <v>2</v>
      </c>
      <c r="CL2545">
        <v>0</v>
      </c>
      <c r="CM2545">
        <v>2</v>
      </c>
      <c r="CN2545">
        <v>0</v>
      </c>
      <c r="CO2545">
        <v>4</v>
      </c>
      <c r="CP2545" t="s">
        <v>119</v>
      </c>
      <c r="CQ2545">
        <v>179</v>
      </c>
      <c r="CR2545">
        <v>1</v>
      </c>
      <c r="CW2545">
        <v>9008032</v>
      </c>
      <c r="CY2545">
        <v>1</v>
      </c>
      <c r="CZ2545">
        <v>0</v>
      </c>
      <c r="DA2545">
        <v>1</v>
      </c>
      <c r="DB2545">
        <v>0</v>
      </c>
      <c r="DC2545">
        <v>0</v>
      </c>
      <c r="DD2545">
        <v>0</v>
      </c>
      <c r="DE2545">
        <v>0</v>
      </c>
      <c r="DF2545">
        <v>0</v>
      </c>
      <c r="DG2545">
        <v>0</v>
      </c>
      <c r="DH2545">
        <v>0</v>
      </c>
      <c r="DI2545">
        <v>0</v>
      </c>
    </row>
    <row r="2546" spans="1:113" x14ac:dyDescent="0.3">
      <c r="A2546" t="str">
        <f>"02/08/2021 20:28:00.663"</f>
        <v>02/08/2021 20:28:00.663</v>
      </c>
      <c r="C2546" t="str">
        <f t="shared" si="123"/>
        <v>FFDFD7C0</v>
      </c>
      <c r="D2546" t="s">
        <v>124</v>
      </c>
      <c r="E2546">
        <v>12</v>
      </c>
      <c r="F2546">
        <v>1012</v>
      </c>
      <c r="G2546" t="s">
        <v>675</v>
      </c>
      <c r="J2546" t="s">
        <v>125</v>
      </c>
      <c r="K2546">
        <v>0</v>
      </c>
      <c r="L2546">
        <v>3</v>
      </c>
      <c r="M2546">
        <v>0</v>
      </c>
      <c r="N2546">
        <v>2</v>
      </c>
      <c r="O2546">
        <v>1</v>
      </c>
      <c r="P2546">
        <v>0</v>
      </c>
      <c r="Q2546">
        <v>0</v>
      </c>
      <c r="S2546" t="str">
        <f>"20:28:03.000"</f>
        <v>20:28:03.000</v>
      </c>
      <c r="T2546" t="str">
        <f>"20:28:02.500"</f>
        <v>20:28:02.500</v>
      </c>
      <c r="U2546" t="str">
        <f t="shared" si="122"/>
        <v>AB01F4</v>
      </c>
      <c r="V2546">
        <v>0</v>
      </c>
      <c r="W2546">
        <v>0</v>
      </c>
      <c r="X2546">
        <v>2</v>
      </c>
      <c r="Z2546">
        <v>0</v>
      </c>
      <c r="AA2546">
        <v>9</v>
      </c>
      <c r="AB2546">
        <v>3</v>
      </c>
      <c r="AC2546">
        <v>0</v>
      </c>
      <c r="AD2546">
        <v>10</v>
      </c>
      <c r="AE2546">
        <v>0</v>
      </c>
      <c r="AF2546">
        <v>3</v>
      </c>
      <c r="AG2546">
        <v>2</v>
      </c>
      <c r="AH2546">
        <v>0</v>
      </c>
      <c r="AI2546" t="s">
        <v>1521</v>
      </c>
      <c r="AJ2546">
        <v>39.996735999999999</v>
      </c>
      <c r="AK2546" t="s">
        <v>1522</v>
      </c>
      <c r="AL2546">
        <v>-92.742311999999998</v>
      </c>
      <c r="AM2546">
        <v>100</v>
      </c>
      <c r="AN2546">
        <v>1700</v>
      </c>
      <c r="AO2546" t="s">
        <v>118</v>
      </c>
      <c r="AP2546">
        <v>-106</v>
      </c>
      <c r="AQ2546">
        <v>76</v>
      </c>
      <c r="AR2546">
        <v>-64</v>
      </c>
      <c r="AZ2546">
        <v>1200</v>
      </c>
      <c r="BA2546">
        <v>1</v>
      </c>
      <c r="BB2546" t="str">
        <f t="shared" si="124"/>
        <v xml:space="preserve">N8080G  </v>
      </c>
      <c r="BC2546">
        <v>1</v>
      </c>
      <c r="BE2546">
        <v>0</v>
      </c>
      <c r="BF2546">
        <v>0</v>
      </c>
      <c r="BG2546">
        <v>0</v>
      </c>
      <c r="BH2546">
        <v>1700</v>
      </c>
      <c r="BI2546">
        <v>1</v>
      </c>
      <c r="BJ2546">
        <v>1</v>
      </c>
      <c r="BK2546">
        <v>1</v>
      </c>
      <c r="BL2546">
        <v>0</v>
      </c>
      <c r="BO2546">
        <v>0</v>
      </c>
      <c r="BP2546">
        <v>0</v>
      </c>
      <c r="BW2546" t="str">
        <f>"20:28:03.003"</f>
        <v>20:28:03.003</v>
      </c>
      <c r="BZ2546">
        <v>0</v>
      </c>
      <c r="CA2546">
        <v>2016</v>
      </c>
      <c r="CB2546">
        <v>224</v>
      </c>
      <c r="CD2546">
        <v>1</v>
      </c>
      <c r="CE2546">
        <v>0</v>
      </c>
      <c r="CF2546">
        <v>0</v>
      </c>
      <c r="CG2546">
        <v>1</v>
      </c>
      <c r="CH2546">
        <v>0</v>
      </c>
      <c r="CI2546">
        <v>0</v>
      </c>
      <c r="CJ2546">
        <v>0</v>
      </c>
      <c r="CK2546">
        <v>2</v>
      </c>
      <c r="CL2546">
        <v>0</v>
      </c>
      <c r="CM2546">
        <v>2</v>
      </c>
      <c r="CN2546">
        <v>0</v>
      </c>
      <c r="CO2546">
        <v>4</v>
      </c>
      <c r="CP2546" t="s">
        <v>119</v>
      </c>
      <c r="CQ2546">
        <v>179</v>
      </c>
      <c r="CR2546">
        <v>1</v>
      </c>
      <c r="CW2546">
        <v>9008032</v>
      </c>
      <c r="CY2546">
        <v>1</v>
      </c>
      <c r="CZ2546">
        <v>0</v>
      </c>
      <c r="DA2546">
        <v>1</v>
      </c>
      <c r="DB2546">
        <v>0</v>
      </c>
      <c r="DC2546">
        <v>0</v>
      </c>
      <c r="DD2546">
        <v>0</v>
      </c>
      <c r="DE2546">
        <v>0</v>
      </c>
      <c r="DF2546">
        <v>0</v>
      </c>
      <c r="DG2546">
        <v>0</v>
      </c>
      <c r="DH2546">
        <v>0</v>
      </c>
      <c r="DI2546">
        <v>0</v>
      </c>
    </row>
    <row r="2547" spans="1:113" x14ac:dyDescent="0.3">
      <c r="A2547" t="str">
        <f>"02/08/2021 20:28:03.760"</f>
        <v>02/08/2021 20:28:03.760</v>
      </c>
      <c r="C2547" t="str">
        <f t="shared" si="123"/>
        <v>FFDFD7C0</v>
      </c>
      <c r="D2547" t="s">
        <v>124</v>
      </c>
      <c r="E2547">
        <v>13</v>
      </c>
      <c r="F2547">
        <v>1013</v>
      </c>
      <c r="G2547" t="s">
        <v>114</v>
      </c>
      <c r="J2547" t="s">
        <v>125</v>
      </c>
      <c r="K2547">
        <v>0</v>
      </c>
      <c r="L2547">
        <v>3</v>
      </c>
      <c r="M2547">
        <v>0</v>
      </c>
      <c r="N2547">
        <v>2</v>
      </c>
      <c r="O2547">
        <v>1</v>
      </c>
      <c r="P2547">
        <v>0</v>
      </c>
      <c r="Q2547">
        <v>0</v>
      </c>
      <c r="S2547" t="str">
        <f>"20:28:06.070"</f>
        <v>20:28:06.070</v>
      </c>
      <c r="T2547" t="str">
        <f>"20:28:05.670"</f>
        <v>20:28:05.670</v>
      </c>
      <c r="U2547" t="str">
        <f t="shared" si="122"/>
        <v>AB01F4</v>
      </c>
      <c r="V2547">
        <v>0</v>
      </c>
      <c r="W2547">
        <v>0</v>
      </c>
      <c r="X2547">
        <v>2</v>
      </c>
      <c r="Z2547">
        <v>0</v>
      </c>
      <c r="AA2547">
        <v>9</v>
      </c>
      <c r="AB2547">
        <v>3</v>
      </c>
      <c r="AC2547">
        <v>0</v>
      </c>
      <c r="AD2547">
        <v>10</v>
      </c>
      <c r="AE2547">
        <v>0</v>
      </c>
      <c r="AF2547">
        <v>3</v>
      </c>
      <c r="AG2547">
        <v>2</v>
      </c>
      <c r="AH2547">
        <v>0</v>
      </c>
      <c r="AI2547" t="s">
        <v>1523</v>
      </c>
      <c r="AJ2547">
        <v>39.997872999999998</v>
      </c>
      <c r="AK2547" t="s">
        <v>1524</v>
      </c>
      <c r="AL2547">
        <v>-92.744264999999999</v>
      </c>
      <c r="AM2547">
        <v>100</v>
      </c>
      <c r="AN2547">
        <v>1700</v>
      </c>
      <c r="AO2547" t="s">
        <v>118</v>
      </c>
      <c r="AP2547">
        <v>-106</v>
      </c>
      <c r="AQ2547">
        <v>77</v>
      </c>
      <c r="AR2547">
        <v>-64</v>
      </c>
      <c r="AZ2547">
        <v>1200</v>
      </c>
      <c r="BA2547">
        <v>1</v>
      </c>
      <c r="BB2547" t="str">
        <f t="shared" si="124"/>
        <v xml:space="preserve">N8080G  </v>
      </c>
      <c r="BC2547">
        <v>1</v>
      </c>
      <c r="BE2547">
        <v>0</v>
      </c>
      <c r="BF2547">
        <v>0</v>
      </c>
      <c r="BG2547">
        <v>0</v>
      </c>
      <c r="BH2547">
        <v>1700</v>
      </c>
      <c r="BI2547">
        <v>1</v>
      </c>
      <c r="BJ2547">
        <v>1</v>
      </c>
      <c r="BK2547">
        <v>1</v>
      </c>
      <c r="BL2547">
        <v>0</v>
      </c>
      <c r="BO2547">
        <v>0</v>
      </c>
      <c r="BP2547">
        <v>0</v>
      </c>
      <c r="BW2547" t="str">
        <f>"20:28:06.077"</f>
        <v>20:28:06.077</v>
      </c>
      <c r="BZ2547">
        <v>0</v>
      </c>
      <c r="CA2547">
        <v>2016</v>
      </c>
      <c r="CB2547">
        <v>224</v>
      </c>
      <c r="CD2547">
        <v>1</v>
      </c>
      <c r="CE2547">
        <v>0</v>
      </c>
      <c r="CF2547">
        <v>0</v>
      </c>
      <c r="CG2547">
        <v>1</v>
      </c>
      <c r="CH2547">
        <v>0</v>
      </c>
      <c r="CI2547">
        <v>0</v>
      </c>
      <c r="CJ2547">
        <v>0</v>
      </c>
      <c r="CK2547">
        <v>2</v>
      </c>
      <c r="CL2547">
        <v>0</v>
      </c>
      <c r="CM2547">
        <v>2</v>
      </c>
      <c r="CN2547">
        <v>0</v>
      </c>
      <c r="CO2547">
        <v>4</v>
      </c>
      <c r="CP2547" t="s">
        <v>119</v>
      </c>
      <c r="CQ2547">
        <v>179</v>
      </c>
      <c r="CR2547">
        <v>1</v>
      </c>
      <c r="CW2547">
        <v>9011000</v>
      </c>
      <c r="CY2547">
        <v>1</v>
      </c>
      <c r="CZ2547">
        <v>0</v>
      </c>
      <c r="DA2547">
        <v>0</v>
      </c>
      <c r="DB2547">
        <v>0</v>
      </c>
      <c r="DC2547">
        <v>0</v>
      </c>
      <c r="DD2547">
        <v>0</v>
      </c>
      <c r="DE2547">
        <v>0</v>
      </c>
      <c r="DF2547">
        <v>0</v>
      </c>
      <c r="DG2547">
        <v>0</v>
      </c>
      <c r="DH2547">
        <v>0</v>
      </c>
      <c r="DI2547">
        <v>0</v>
      </c>
    </row>
    <row r="2548" spans="1:113" x14ac:dyDescent="0.3">
      <c r="A2548" t="str">
        <f>"02/08/2021 20:28:03.760"</f>
        <v>02/08/2021 20:28:03.760</v>
      </c>
      <c r="C2548" t="str">
        <f t="shared" si="123"/>
        <v>FFDFD7C0</v>
      </c>
      <c r="D2548" t="s">
        <v>124</v>
      </c>
      <c r="E2548">
        <v>12</v>
      </c>
      <c r="F2548">
        <v>1012</v>
      </c>
      <c r="G2548" t="s">
        <v>675</v>
      </c>
      <c r="J2548" t="s">
        <v>125</v>
      </c>
      <c r="K2548">
        <v>0</v>
      </c>
      <c r="L2548">
        <v>3</v>
      </c>
      <c r="M2548">
        <v>0</v>
      </c>
      <c r="N2548">
        <v>2</v>
      </c>
      <c r="O2548">
        <v>1</v>
      </c>
      <c r="P2548">
        <v>0</v>
      </c>
      <c r="Q2548">
        <v>0</v>
      </c>
      <c r="S2548" t="str">
        <f>"20:28:06.070"</f>
        <v>20:28:06.070</v>
      </c>
      <c r="T2548" t="str">
        <f>"20:28:05.670"</f>
        <v>20:28:05.670</v>
      </c>
      <c r="U2548" t="str">
        <f t="shared" si="122"/>
        <v>AB01F4</v>
      </c>
      <c r="V2548">
        <v>0</v>
      </c>
      <c r="W2548">
        <v>0</v>
      </c>
      <c r="X2548">
        <v>2</v>
      </c>
      <c r="Z2548">
        <v>0</v>
      </c>
      <c r="AA2548">
        <v>9</v>
      </c>
      <c r="AB2548">
        <v>3</v>
      </c>
      <c r="AC2548">
        <v>0</v>
      </c>
      <c r="AD2548">
        <v>10</v>
      </c>
      <c r="AE2548">
        <v>0</v>
      </c>
      <c r="AF2548">
        <v>3</v>
      </c>
      <c r="AG2548">
        <v>2</v>
      </c>
      <c r="AH2548">
        <v>0</v>
      </c>
      <c r="AI2548" t="s">
        <v>1523</v>
      </c>
      <c r="AJ2548">
        <v>39.997872999999998</v>
      </c>
      <c r="AK2548" t="s">
        <v>1524</v>
      </c>
      <c r="AL2548">
        <v>-92.744264999999999</v>
      </c>
      <c r="AM2548">
        <v>100</v>
      </c>
      <c r="AN2548">
        <v>1700</v>
      </c>
      <c r="AO2548" t="s">
        <v>118</v>
      </c>
      <c r="AP2548">
        <v>-106</v>
      </c>
      <c r="AQ2548">
        <v>77</v>
      </c>
      <c r="AR2548">
        <v>-64</v>
      </c>
      <c r="AZ2548">
        <v>1200</v>
      </c>
      <c r="BA2548">
        <v>1</v>
      </c>
      <c r="BB2548" t="str">
        <f t="shared" si="124"/>
        <v xml:space="preserve">N8080G  </v>
      </c>
      <c r="BC2548">
        <v>1</v>
      </c>
      <c r="BE2548">
        <v>0</v>
      </c>
      <c r="BF2548">
        <v>0</v>
      </c>
      <c r="BG2548">
        <v>0</v>
      </c>
      <c r="BH2548">
        <v>1700</v>
      </c>
      <c r="BI2548">
        <v>1</v>
      </c>
      <c r="BJ2548">
        <v>1</v>
      </c>
      <c r="BK2548">
        <v>1</v>
      </c>
      <c r="BL2548">
        <v>0</v>
      </c>
      <c r="BO2548">
        <v>0</v>
      </c>
      <c r="BP2548">
        <v>0</v>
      </c>
      <c r="BW2548" t="str">
        <f>"20:28:06.077"</f>
        <v>20:28:06.077</v>
      </c>
      <c r="BZ2548">
        <v>0</v>
      </c>
      <c r="CA2548">
        <v>2016</v>
      </c>
      <c r="CB2548">
        <v>224</v>
      </c>
      <c r="CD2548">
        <v>1</v>
      </c>
      <c r="CE2548">
        <v>0</v>
      </c>
      <c r="CF2548">
        <v>0</v>
      </c>
      <c r="CG2548">
        <v>1</v>
      </c>
      <c r="CH2548">
        <v>0</v>
      </c>
      <c r="CI2548">
        <v>0</v>
      </c>
      <c r="CJ2548">
        <v>0</v>
      </c>
      <c r="CK2548">
        <v>2</v>
      </c>
      <c r="CL2548">
        <v>0</v>
      </c>
      <c r="CM2548">
        <v>2</v>
      </c>
      <c r="CN2548">
        <v>0</v>
      </c>
      <c r="CO2548">
        <v>4</v>
      </c>
      <c r="CP2548" t="s">
        <v>119</v>
      </c>
      <c r="CQ2548">
        <v>179</v>
      </c>
      <c r="CR2548">
        <v>1</v>
      </c>
      <c r="CW2548">
        <v>9011000</v>
      </c>
      <c r="CY2548">
        <v>1</v>
      </c>
      <c r="CZ2548">
        <v>0</v>
      </c>
      <c r="DA2548">
        <v>1</v>
      </c>
      <c r="DB2548">
        <v>0</v>
      </c>
      <c r="DC2548">
        <v>0</v>
      </c>
      <c r="DD2548">
        <v>0</v>
      </c>
      <c r="DE2548">
        <v>0</v>
      </c>
      <c r="DF2548">
        <v>0</v>
      </c>
      <c r="DG2548">
        <v>0</v>
      </c>
      <c r="DH2548">
        <v>0</v>
      </c>
      <c r="DI2548">
        <v>0</v>
      </c>
    </row>
    <row r="2549" spans="1:113" x14ac:dyDescent="0.3">
      <c r="A2549" t="str">
        <f>"02/08/2021 20:28:03.760"</f>
        <v>02/08/2021 20:28:03.760</v>
      </c>
      <c r="C2549" t="str">
        <f t="shared" si="123"/>
        <v>FFDFD7C0</v>
      </c>
      <c r="D2549" t="s">
        <v>113</v>
      </c>
      <c r="E2549">
        <v>6</v>
      </c>
      <c r="H2549">
        <v>165</v>
      </c>
      <c r="I2549" t="s">
        <v>114</v>
      </c>
      <c r="J2549" t="s">
        <v>115</v>
      </c>
      <c r="K2549">
        <v>0</v>
      </c>
      <c r="L2549">
        <v>3</v>
      </c>
      <c r="M2549">
        <v>0</v>
      </c>
      <c r="N2549">
        <v>2</v>
      </c>
      <c r="O2549">
        <v>1</v>
      </c>
      <c r="P2549">
        <v>0</v>
      </c>
      <c r="Q2549">
        <v>0</v>
      </c>
      <c r="S2549" t="str">
        <f>"20:28:06.070"</f>
        <v>20:28:06.070</v>
      </c>
      <c r="T2549" t="str">
        <f>"20:28:05.670"</f>
        <v>20:28:05.670</v>
      </c>
      <c r="U2549" t="str">
        <f t="shared" si="122"/>
        <v>AB01F4</v>
      </c>
      <c r="V2549">
        <v>0</v>
      </c>
      <c r="W2549">
        <v>0</v>
      </c>
      <c r="X2549">
        <v>2</v>
      </c>
      <c r="Z2549">
        <v>0</v>
      </c>
      <c r="AA2549">
        <v>9</v>
      </c>
      <c r="AB2549">
        <v>3</v>
      </c>
      <c r="AC2549">
        <v>0</v>
      </c>
      <c r="AD2549">
        <v>10</v>
      </c>
      <c r="AE2549">
        <v>0</v>
      </c>
      <c r="AF2549">
        <v>3</v>
      </c>
      <c r="AG2549">
        <v>2</v>
      </c>
      <c r="AH2549">
        <v>0</v>
      </c>
      <c r="AI2549" t="s">
        <v>1523</v>
      </c>
      <c r="AJ2549">
        <v>39.997872999999998</v>
      </c>
      <c r="AK2549" t="s">
        <v>1524</v>
      </c>
      <c r="AL2549">
        <v>-92.744264999999999</v>
      </c>
      <c r="AM2549">
        <v>100</v>
      </c>
      <c r="AN2549">
        <v>1700</v>
      </c>
      <c r="AO2549" t="s">
        <v>118</v>
      </c>
      <c r="AP2549">
        <v>-106</v>
      </c>
      <c r="AQ2549">
        <v>77</v>
      </c>
      <c r="AR2549">
        <v>-64</v>
      </c>
      <c r="AZ2549">
        <v>1200</v>
      </c>
      <c r="BA2549">
        <v>1</v>
      </c>
      <c r="BB2549" t="str">
        <f t="shared" si="124"/>
        <v xml:space="preserve">N8080G  </v>
      </c>
      <c r="BC2549">
        <v>1</v>
      </c>
      <c r="BE2549">
        <v>0</v>
      </c>
      <c r="BF2549">
        <v>0</v>
      </c>
      <c r="BG2549">
        <v>0</v>
      </c>
      <c r="BH2549">
        <v>1700</v>
      </c>
      <c r="BI2549">
        <v>1</v>
      </c>
      <c r="BJ2549">
        <v>1</v>
      </c>
      <c r="BK2549">
        <v>1</v>
      </c>
      <c r="BL2549">
        <v>0</v>
      </c>
      <c r="BO2549">
        <v>0</v>
      </c>
      <c r="BP2549">
        <v>0</v>
      </c>
      <c r="BW2549" t="str">
        <f>"20:28:06.077"</f>
        <v>20:28:06.077</v>
      </c>
      <c r="BZ2549">
        <v>0</v>
      </c>
      <c r="CA2549">
        <v>2016</v>
      </c>
      <c r="CB2549">
        <v>224</v>
      </c>
      <c r="CD2549">
        <v>1</v>
      </c>
      <c r="CE2549">
        <v>0</v>
      </c>
      <c r="CF2549">
        <v>0</v>
      </c>
      <c r="CG2549">
        <v>1</v>
      </c>
      <c r="CH2549">
        <v>0</v>
      </c>
      <c r="CI2549">
        <v>0</v>
      </c>
      <c r="CJ2549">
        <v>0</v>
      </c>
      <c r="CK2549">
        <v>2</v>
      </c>
      <c r="CL2549">
        <v>0</v>
      </c>
      <c r="CM2549">
        <v>2</v>
      </c>
      <c r="CN2549">
        <v>0</v>
      </c>
      <c r="CO2549">
        <v>4</v>
      </c>
      <c r="CP2549" t="s">
        <v>119</v>
      </c>
      <c r="CQ2549">
        <v>179</v>
      </c>
      <c r="CR2549">
        <v>1</v>
      </c>
      <c r="CW2549">
        <v>9011000</v>
      </c>
      <c r="CY2549">
        <v>1</v>
      </c>
      <c r="CZ2549">
        <v>0</v>
      </c>
      <c r="DA2549">
        <v>1</v>
      </c>
      <c r="DB2549">
        <v>0</v>
      </c>
      <c r="DC2549">
        <v>0</v>
      </c>
      <c r="DD2549">
        <v>0</v>
      </c>
      <c r="DE2549">
        <v>0</v>
      </c>
      <c r="DF2549">
        <v>0</v>
      </c>
      <c r="DG2549">
        <v>0</v>
      </c>
      <c r="DH2549">
        <v>0</v>
      </c>
      <c r="DI2549">
        <v>0</v>
      </c>
    </row>
    <row r="2550" spans="1:113" x14ac:dyDescent="0.3">
      <c r="A2550" t="str">
        <f>"02/08/2021 20:28:03.760"</f>
        <v>02/08/2021 20:28:03.760</v>
      </c>
      <c r="C2550" t="str">
        <f t="shared" si="123"/>
        <v>FFDFD7C0</v>
      </c>
      <c r="D2550" t="s">
        <v>124</v>
      </c>
      <c r="E2550">
        <v>11</v>
      </c>
      <c r="F2550">
        <v>1011</v>
      </c>
      <c r="G2550" t="s">
        <v>590</v>
      </c>
      <c r="J2550" t="s">
        <v>125</v>
      </c>
      <c r="K2550">
        <v>0</v>
      </c>
      <c r="L2550">
        <v>3</v>
      </c>
      <c r="M2550">
        <v>0</v>
      </c>
      <c r="N2550">
        <v>2</v>
      </c>
      <c r="O2550">
        <v>1</v>
      </c>
      <c r="P2550">
        <v>0</v>
      </c>
      <c r="Q2550">
        <v>0</v>
      </c>
      <c r="S2550" t="str">
        <f>"20:28:06.070"</f>
        <v>20:28:06.070</v>
      </c>
      <c r="T2550" t="str">
        <f>"20:28:05.670"</f>
        <v>20:28:05.670</v>
      </c>
      <c r="U2550" t="str">
        <f t="shared" si="122"/>
        <v>AB01F4</v>
      </c>
      <c r="V2550">
        <v>0</v>
      </c>
      <c r="W2550">
        <v>0</v>
      </c>
      <c r="X2550">
        <v>2</v>
      </c>
      <c r="Z2550">
        <v>0</v>
      </c>
      <c r="AA2550">
        <v>9</v>
      </c>
      <c r="AB2550">
        <v>3</v>
      </c>
      <c r="AC2550">
        <v>0</v>
      </c>
      <c r="AD2550">
        <v>10</v>
      </c>
      <c r="AE2550">
        <v>0</v>
      </c>
      <c r="AF2550">
        <v>3</v>
      </c>
      <c r="AG2550">
        <v>2</v>
      </c>
      <c r="AH2550">
        <v>0</v>
      </c>
      <c r="AI2550" t="s">
        <v>1523</v>
      </c>
      <c r="AJ2550">
        <v>39.997872999999998</v>
      </c>
      <c r="AK2550" t="s">
        <v>1524</v>
      </c>
      <c r="AL2550">
        <v>-92.744264999999999</v>
      </c>
      <c r="AM2550">
        <v>100</v>
      </c>
      <c r="AN2550">
        <v>1700</v>
      </c>
      <c r="AO2550" t="s">
        <v>118</v>
      </c>
      <c r="AP2550">
        <v>-106</v>
      </c>
      <c r="AQ2550">
        <v>77</v>
      </c>
      <c r="AR2550">
        <v>-64</v>
      </c>
      <c r="AZ2550">
        <v>1200</v>
      </c>
      <c r="BA2550">
        <v>1</v>
      </c>
      <c r="BB2550" t="str">
        <f t="shared" si="124"/>
        <v xml:space="preserve">N8080G  </v>
      </c>
      <c r="BC2550">
        <v>1</v>
      </c>
      <c r="BE2550">
        <v>0</v>
      </c>
      <c r="BF2550">
        <v>0</v>
      </c>
      <c r="BG2550">
        <v>0</v>
      </c>
      <c r="BH2550">
        <v>1700</v>
      </c>
      <c r="BI2550">
        <v>1</v>
      </c>
      <c r="BJ2550">
        <v>1</v>
      </c>
      <c r="BK2550">
        <v>1</v>
      </c>
      <c r="BL2550">
        <v>0</v>
      </c>
      <c r="BO2550">
        <v>0</v>
      </c>
      <c r="BP2550">
        <v>0</v>
      </c>
      <c r="BW2550" t="str">
        <f>"20:28:06.077"</f>
        <v>20:28:06.077</v>
      </c>
      <c r="BZ2550">
        <v>0</v>
      </c>
      <c r="CA2550">
        <v>2016</v>
      </c>
      <c r="CB2550">
        <v>224</v>
      </c>
      <c r="CD2550">
        <v>1</v>
      </c>
      <c r="CE2550">
        <v>0</v>
      </c>
      <c r="CF2550">
        <v>0</v>
      </c>
      <c r="CG2550">
        <v>1</v>
      </c>
      <c r="CH2550">
        <v>0</v>
      </c>
      <c r="CI2550">
        <v>0</v>
      </c>
      <c r="CJ2550">
        <v>0</v>
      </c>
      <c r="CK2550">
        <v>2</v>
      </c>
      <c r="CL2550">
        <v>0</v>
      </c>
      <c r="CM2550">
        <v>2</v>
      </c>
      <c r="CN2550">
        <v>0</v>
      </c>
      <c r="CO2550">
        <v>4</v>
      </c>
      <c r="CP2550" t="s">
        <v>119</v>
      </c>
      <c r="CQ2550">
        <v>179</v>
      </c>
      <c r="CR2550">
        <v>1</v>
      </c>
      <c r="CW2550">
        <v>9011000</v>
      </c>
      <c r="CY2550">
        <v>1</v>
      </c>
      <c r="CZ2550">
        <v>0</v>
      </c>
      <c r="DA2550">
        <v>1</v>
      </c>
      <c r="DB2550">
        <v>0</v>
      </c>
      <c r="DC2550">
        <v>0</v>
      </c>
      <c r="DD2550">
        <v>0</v>
      </c>
      <c r="DE2550">
        <v>0</v>
      </c>
      <c r="DF2550">
        <v>0</v>
      </c>
      <c r="DG2550">
        <v>0</v>
      </c>
      <c r="DH2550">
        <v>0</v>
      </c>
      <c r="DI2550">
        <v>0</v>
      </c>
    </row>
    <row r="2551" spans="1:113" x14ac:dyDescent="0.3">
      <c r="A2551" t="str">
        <f>"02/08/2021 20:28:05.234"</f>
        <v>02/08/2021 20:28:05.234</v>
      </c>
      <c r="C2551" t="str">
        <f t="shared" si="123"/>
        <v>FFDFD7C0</v>
      </c>
      <c r="D2551" t="s">
        <v>124</v>
      </c>
      <c r="E2551">
        <v>12</v>
      </c>
      <c r="F2551">
        <v>1012</v>
      </c>
      <c r="G2551" t="s">
        <v>675</v>
      </c>
      <c r="J2551" t="s">
        <v>125</v>
      </c>
      <c r="K2551">
        <v>0</v>
      </c>
      <c r="L2551">
        <v>3</v>
      </c>
      <c r="M2551">
        <v>0</v>
      </c>
      <c r="N2551">
        <v>2</v>
      </c>
      <c r="O2551">
        <v>1</v>
      </c>
      <c r="P2551">
        <v>0</v>
      </c>
      <c r="Q2551">
        <v>0</v>
      </c>
      <c r="S2551" t="str">
        <f>"20:28:07.531"</f>
        <v>20:28:07.531</v>
      </c>
      <c r="T2551" t="str">
        <f>"20:28:07.131"</f>
        <v>20:28:07.131</v>
      </c>
      <c r="U2551" t="str">
        <f t="shared" si="122"/>
        <v>AB01F4</v>
      </c>
      <c r="V2551">
        <v>0</v>
      </c>
      <c r="W2551">
        <v>0</v>
      </c>
      <c r="X2551">
        <v>2</v>
      </c>
      <c r="Z2551">
        <v>0</v>
      </c>
      <c r="AA2551">
        <v>9</v>
      </c>
      <c r="AB2551">
        <v>3</v>
      </c>
      <c r="AC2551">
        <v>0</v>
      </c>
      <c r="AD2551">
        <v>10</v>
      </c>
      <c r="AE2551">
        <v>0</v>
      </c>
      <c r="AF2551">
        <v>3</v>
      </c>
      <c r="AG2551">
        <v>2</v>
      </c>
      <c r="AH2551">
        <v>0</v>
      </c>
      <c r="AI2551" t="s">
        <v>1525</v>
      </c>
      <c r="AJ2551">
        <v>39.998387999999998</v>
      </c>
      <c r="AK2551" t="s">
        <v>1526</v>
      </c>
      <c r="AL2551">
        <v>-92.745230000000006</v>
      </c>
      <c r="AM2551">
        <v>100</v>
      </c>
      <c r="AN2551">
        <v>1700</v>
      </c>
      <c r="AO2551" t="s">
        <v>118</v>
      </c>
      <c r="AP2551">
        <v>-106</v>
      </c>
      <c r="AQ2551">
        <v>77</v>
      </c>
      <c r="AR2551">
        <v>0</v>
      </c>
      <c r="AZ2551">
        <v>1200</v>
      </c>
      <c r="BA2551">
        <v>1</v>
      </c>
      <c r="BB2551" t="str">
        <f t="shared" si="124"/>
        <v xml:space="preserve">N8080G  </v>
      </c>
      <c r="BC2551">
        <v>1</v>
      </c>
      <c r="BE2551">
        <v>0</v>
      </c>
      <c r="BF2551">
        <v>0</v>
      </c>
      <c r="BG2551">
        <v>0</v>
      </c>
      <c r="BH2551">
        <v>1700</v>
      </c>
      <c r="BI2551">
        <v>1</v>
      </c>
      <c r="BJ2551">
        <v>1</v>
      </c>
      <c r="BK2551">
        <v>1</v>
      </c>
      <c r="BL2551">
        <v>0</v>
      </c>
      <c r="BO2551">
        <v>0</v>
      </c>
      <c r="BP2551">
        <v>0</v>
      </c>
      <c r="BW2551" t="str">
        <f>"20:28:07.537"</f>
        <v>20:28:07.537</v>
      </c>
      <c r="BZ2551">
        <v>0</v>
      </c>
      <c r="CA2551">
        <v>2016</v>
      </c>
      <c r="CB2551">
        <v>224</v>
      </c>
      <c r="CD2551">
        <v>1</v>
      </c>
      <c r="CE2551">
        <v>0</v>
      </c>
      <c r="CF2551">
        <v>0</v>
      </c>
      <c r="CG2551">
        <v>1</v>
      </c>
      <c r="CH2551">
        <v>0</v>
      </c>
      <c r="CI2551">
        <v>0</v>
      </c>
      <c r="CJ2551">
        <v>0</v>
      </c>
      <c r="CK2551">
        <v>2</v>
      </c>
      <c r="CL2551">
        <v>0</v>
      </c>
      <c r="CM2551">
        <v>2</v>
      </c>
      <c r="CN2551">
        <v>0</v>
      </c>
      <c r="CO2551">
        <v>4</v>
      </c>
      <c r="CP2551" t="s">
        <v>119</v>
      </c>
      <c r="CQ2551">
        <v>179</v>
      </c>
      <c r="CR2551">
        <v>1</v>
      </c>
      <c r="CW2551">
        <v>9012228</v>
      </c>
      <c r="CY2551">
        <v>1</v>
      </c>
      <c r="CZ2551">
        <v>0</v>
      </c>
      <c r="DA2551">
        <v>0</v>
      </c>
      <c r="DB2551">
        <v>0</v>
      </c>
      <c r="DC2551">
        <v>0</v>
      </c>
      <c r="DD2551">
        <v>0</v>
      </c>
      <c r="DE2551">
        <v>0</v>
      </c>
      <c r="DF2551">
        <v>0</v>
      </c>
      <c r="DG2551">
        <v>0</v>
      </c>
      <c r="DH2551">
        <v>0</v>
      </c>
      <c r="DI2551">
        <v>0</v>
      </c>
    </row>
    <row r="2552" spans="1:113" x14ac:dyDescent="0.3">
      <c r="A2552" t="str">
        <f>"02/08/2021 20:28:05.234"</f>
        <v>02/08/2021 20:28:05.234</v>
      </c>
      <c r="C2552" t="str">
        <f t="shared" si="123"/>
        <v>FFDFD7C0</v>
      </c>
      <c r="D2552" t="s">
        <v>113</v>
      </c>
      <c r="E2552">
        <v>6</v>
      </c>
      <c r="H2552">
        <v>165</v>
      </c>
      <c r="I2552" t="s">
        <v>114</v>
      </c>
      <c r="J2552" t="s">
        <v>115</v>
      </c>
      <c r="K2552">
        <v>0</v>
      </c>
      <c r="L2552">
        <v>3</v>
      </c>
      <c r="M2552">
        <v>0</v>
      </c>
      <c r="N2552">
        <v>2</v>
      </c>
      <c r="O2552">
        <v>1</v>
      </c>
      <c r="P2552">
        <v>0</v>
      </c>
      <c r="Q2552">
        <v>0</v>
      </c>
      <c r="S2552" t="str">
        <f>"20:28:07.531"</f>
        <v>20:28:07.531</v>
      </c>
      <c r="T2552" t="str">
        <f>"20:28:07.131"</f>
        <v>20:28:07.131</v>
      </c>
      <c r="U2552" t="str">
        <f t="shared" si="122"/>
        <v>AB01F4</v>
      </c>
      <c r="V2552">
        <v>0</v>
      </c>
      <c r="W2552">
        <v>0</v>
      </c>
      <c r="X2552">
        <v>2</v>
      </c>
      <c r="Z2552">
        <v>0</v>
      </c>
      <c r="AA2552">
        <v>9</v>
      </c>
      <c r="AB2552">
        <v>3</v>
      </c>
      <c r="AC2552">
        <v>0</v>
      </c>
      <c r="AD2552">
        <v>10</v>
      </c>
      <c r="AE2552">
        <v>0</v>
      </c>
      <c r="AF2552">
        <v>3</v>
      </c>
      <c r="AG2552">
        <v>2</v>
      </c>
      <c r="AH2552">
        <v>0</v>
      </c>
      <c r="AI2552" t="s">
        <v>1525</v>
      </c>
      <c r="AJ2552">
        <v>39.998387999999998</v>
      </c>
      <c r="AK2552" t="s">
        <v>1526</v>
      </c>
      <c r="AL2552">
        <v>-92.745230000000006</v>
      </c>
      <c r="AM2552">
        <v>100</v>
      </c>
      <c r="AN2552">
        <v>1700</v>
      </c>
      <c r="AO2552" t="s">
        <v>118</v>
      </c>
      <c r="AP2552">
        <v>-106</v>
      </c>
      <c r="AQ2552">
        <v>77</v>
      </c>
      <c r="AR2552">
        <v>0</v>
      </c>
      <c r="AZ2552">
        <v>1200</v>
      </c>
      <c r="BA2552">
        <v>1</v>
      </c>
      <c r="BB2552" t="str">
        <f t="shared" si="124"/>
        <v xml:space="preserve">N8080G  </v>
      </c>
      <c r="BC2552">
        <v>1</v>
      </c>
      <c r="BE2552">
        <v>0</v>
      </c>
      <c r="BF2552">
        <v>0</v>
      </c>
      <c r="BG2552">
        <v>0</v>
      </c>
      <c r="BH2552">
        <v>1700</v>
      </c>
      <c r="BI2552">
        <v>1</v>
      </c>
      <c r="BJ2552">
        <v>1</v>
      </c>
      <c r="BK2552">
        <v>1</v>
      </c>
      <c r="BL2552">
        <v>0</v>
      </c>
      <c r="BO2552">
        <v>0</v>
      </c>
      <c r="BP2552">
        <v>0</v>
      </c>
      <c r="BW2552" t="str">
        <f>"20:28:07.537"</f>
        <v>20:28:07.537</v>
      </c>
      <c r="BZ2552">
        <v>0</v>
      </c>
      <c r="CA2552">
        <v>2016</v>
      </c>
      <c r="CB2552">
        <v>224</v>
      </c>
      <c r="CD2552">
        <v>1</v>
      </c>
      <c r="CE2552">
        <v>0</v>
      </c>
      <c r="CF2552">
        <v>0</v>
      </c>
      <c r="CG2552">
        <v>1</v>
      </c>
      <c r="CH2552">
        <v>0</v>
      </c>
      <c r="CI2552">
        <v>0</v>
      </c>
      <c r="CJ2552">
        <v>0</v>
      </c>
      <c r="CK2552">
        <v>2</v>
      </c>
      <c r="CL2552">
        <v>0</v>
      </c>
      <c r="CM2552">
        <v>2</v>
      </c>
      <c r="CN2552">
        <v>0</v>
      </c>
      <c r="CO2552">
        <v>4</v>
      </c>
      <c r="CP2552" t="s">
        <v>119</v>
      </c>
      <c r="CQ2552">
        <v>179</v>
      </c>
      <c r="CR2552">
        <v>1</v>
      </c>
      <c r="CW2552">
        <v>9012228</v>
      </c>
      <c r="CY2552">
        <v>1</v>
      </c>
      <c r="CZ2552">
        <v>0</v>
      </c>
      <c r="DA2552">
        <v>1</v>
      </c>
      <c r="DB2552">
        <v>0</v>
      </c>
      <c r="DC2552">
        <v>0</v>
      </c>
      <c r="DD2552">
        <v>0</v>
      </c>
      <c r="DE2552">
        <v>0</v>
      </c>
      <c r="DF2552">
        <v>0</v>
      </c>
      <c r="DG2552">
        <v>0</v>
      </c>
      <c r="DH2552">
        <v>0</v>
      </c>
      <c r="DI2552">
        <v>0</v>
      </c>
    </row>
    <row r="2553" spans="1:113" x14ac:dyDescent="0.3">
      <c r="A2553" t="str">
        <f>"02/08/2021 20:28:05.234"</f>
        <v>02/08/2021 20:28:05.234</v>
      </c>
      <c r="C2553" t="str">
        <f t="shared" si="123"/>
        <v>FFDFD7C0</v>
      </c>
      <c r="D2553" t="s">
        <v>124</v>
      </c>
      <c r="E2553">
        <v>11</v>
      </c>
      <c r="F2553">
        <v>1011</v>
      </c>
      <c r="G2553" t="s">
        <v>590</v>
      </c>
      <c r="J2553" t="s">
        <v>125</v>
      </c>
      <c r="K2553">
        <v>0</v>
      </c>
      <c r="L2553">
        <v>3</v>
      </c>
      <c r="M2553">
        <v>0</v>
      </c>
      <c r="N2553">
        <v>2</v>
      </c>
      <c r="O2553">
        <v>1</v>
      </c>
      <c r="P2553">
        <v>0</v>
      </c>
      <c r="Q2553">
        <v>0</v>
      </c>
      <c r="S2553" t="str">
        <f>"20:28:07.531"</f>
        <v>20:28:07.531</v>
      </c>
      <c r="T2553" t="str">
        <f>"20:28:07.131"</f>
        <v>20:28:07.131</v>
      </c>
      <c r="U2553" t="str">
        <f t="shared" si="122"/>
        <v>AB01F4</v>
      </c>
      <c r="V2553">
        <v>0</v>
      </c>
      <c r="W2553">
        <v>0</v>
      </c>
      <c r="X2553">
        <v>2</v>
      </c>
      <c r="Z2553">
        <v>0</v>
      </c>
      <c r="AA2553">
        <v>9</v>
      </c>
      <c r="AB2553">
        <v>3</v>
      </c>
      <c r="AC2553">
        <v>0</v>
      </c>
      <c r="AD2553">
        <v>10</v>
      </c>
      <c r="AE2553">
        <v>0</v>
      </c>
      <c r="AF2553">
        <v>3</v>
      </c>
      <c r="AG2553">
        <v>2</v>
      </c>
      <c r="AH2553">
        <v>0</v>
      </c>
      <c r="AI2553" t="s">
        <v>1525</v>
      </c>
      <c r="AJ2553">
        <v>39.998387999999998</v>
      </c>
      <c r="AK2553" t="s">
        <v>1526</v>
      </c>
      <c r="AL2553">
        <v>-92.745230000000006</v>
      </c>
      <c r="AM2553">
        <v>100</v>
      </c>
      <c r="AN2553">
        <v>1700</v>
      </c>
      <c r="AO2553" t="s">
        <v>118</v>
      </c>
      <c r="AP2553">
        <v>-106</v>
      </c>
      <c r="AQ2553">
        <v>77</v>
      </c>
      <c r="AR2553">
        <v>0</v>
      </c>
      <c r="AZ2553">
        <v>1200</v>
      </c>
      <c r="BA2553">
        <v>1</v>
      </c>
      <c r="BB2553" t="str">
        <f t="shared" si="124"/>
        <v xml:space="preserve">N8080G  </v>
      </c>
      <c r="BC2553">
        <v>1</v>
      </c>
      <c r="BE2553">
        <v>0</v>
      </c>
      <c r="BF2553">
        <v>0</v>
      </c>
      <c r="BG2553">
        <v>0</v>
      </c>
      <c r="BH2553">
        <v>1700</v>
      </c>
      <c r="BI2553">
        <v>1</v>
      </c>
      <c r="BJ2553">
        <v>1</v>
      </c>
      <c r="BK2553">
        <v>1</v>
      </c>
      <c r="BL2553">
        <v>0</v>
      </c>
      <c r="BO2553">
        <v>0</v>
      </c>
      <c r="BP2553">
        <v>0</v>
      </c>
      <c r="BW2553" t="str">
        <f>"20:28:07.537"</f>
        <v>20:28:07.537</v>
      </c>
      <c r="BZ2553">
        <v>0</v>
      </c>
      <c r="CA2553">
        <v>2016</v>
      </c>
      <c r="CB2553">
        <v>224</v>
      </c>
      <c r="CD2553">
        <v>1</v>
      </c>
      <c r="CE2553">
        <v>0</v>
      </c>
      <c r="CF2553">
        <v>0</v>
      </c>
      <c r="CG2553">
        <v>1</v>
      </c>
      <c r="CH2553">
        <v>0</v>
      </c>
      <c r="CI2553">
        <v>0</v>
      </c>
      <c r="CJ2553">
        <v>0</v>
      </c>
      <c r="CK2553">
        <v>2</v>
      </c>
      <c r="CL2553">
        <v>0</v>
      </c>
      <c r="CM2553">
        <v>2</v>
      </c>
      <c r="CN2553">
        <v>0</v>
      </c>
      <c r="CO2553">
        <v>4</v>
      </c>
      <c r="CP2553" t="s">
        <v>119</v>
      </c>
      <c r="CQ2553">
        <v>179</v>
      </c>
      <c r="CR2553">
        <v>1</v>
      </c>
      <c r="CW2553">
        <v>9012228</v>
      </c>
      <c r="CY2553">
        <v>1</v>
      </c>
      <c r="CZ2553">
        <v>0</v>
      </c>
      <c r="DA2553">
        <v>1</v>
      </c>
      <c r="DB2553">
        <v>0</v>
      </c>
      <c r="DC2553">
        <v>0</v>
      </c>
      <c r="DD2553">
        <v>0</v>
      </c>
      <c r="DE2553">
        <v>0</v>
      </c>
      <c r="DF2553">
        <v>0</v>
      </c>
      <c r="DG2553">
        <v>0</v>
      </c>
      <c r="DH2553">
        <v>0</v>
      </c>
      <c r="DI2553">
        <v>0</v>
      </c>
    </row>
    <row r="2554" spans="1:113" x14ac:dyDescent="0.3">
      <c r="A2554" t="str">
        <f>"02/08/2021 20:28:05.234"</f>
        <v>02/08/2021 20:28:05.234</v>
      </c>
      <c r="C2554" t="str">
        <f t="shared" si="123"/>
        <v>FFDFD7C0</v>
      </c>
      <c r="D2554" t="s">
        <v>124</v>
      </c>
      <c r="E2554">
        <v>13</v>
      </c>
      <c r="F2554">
        <v>1013</v>
      </c>
      <c r="G2554" t="s">
        <v>114</v>
      </c>
      <c r="J2554" t="s">
        <v>125</v>
      </c>
      <c r="K2554">
        <v>0</v>
      </c>
      <c r="L2554">
        <v>3</v>
      </c>
      <c r="M2554">
        <v>0</v>
      </c>
      <c r="N2554">
        <v>2</v>
      </c>
      <c r="O2554">
        <v>1</v>
      </c>
      <c r="P2554">
        <v>0</v>
      </c>
      <c r="Q2554">
        <v>0</v>
      </c>
      <c r="S2554" t="str">
        <f>"20:28:07.531"</f>
        <v>20:28:07.531</v>
      </c>
      <c r="T2554" t="str">
        <f>"20:28:07.131"</f>
        <v>20:28:07.131</v>
      </c>
      <c r="U2554" t="str">
        <f t="shared" si="122"/>
        <v>AB01F4</v>
      </c>
      <c r="V2554">
        <v>0</v>
      </c>
      <c r="W2554">
        <v>0</v>
      </c>
      <c r="X2554">
        <v>2</v>
      </c>
      <c r="Z2554">
        <v>0</v>
      </c>
      <c r="AA2554">
        <v>9</v>
      </c>
      <c r="AB2554">
        <v>3</v>
      </c>
      <c r="AC2554">
        <v>0</v>
      </c>
      <c r="AD2554">
        <v>10</v>
      </c>
      <c r="AE2554">
        <v>0</v>
      </c>
      <c r="AF2554">
        <v>3</v>
      </c>
      <c r="AG2554">
        <v>2</v>
      </c>
      <c r="AH2554">
        <v>0</v>
      </c>
      <c r="AI2554" t="s">
        <v>1525</v>
      </c>
      <c r="AJ2554">
        <v>39.998387999999998</v>
      </c>
      <c r="AK2554" t="s">
        <v>1526</v>
      </c>
      <c r="AL2554">
        <v>-92.745230000000006</v>
      </c>
      <c r="AM2554">
        <v>100</v>
      </c>
      <c r="AN2554">
        <v>1700</v>
      </c>
      <c r="AO2554" t="s">
        <v>118</v>
      </c>
      <c r="AP2554">
        <v>-106</v>
      </c>
      <c r="AQ2554">
        <v>77</v>
      </c>
      <c r="AR2554">
        <v>0</v>
      </c>
      <c r="AZ2554">
        <v>1200</v>
      </c>
      <c r="BA2554">
        <v>1</v>
      </c>
      <c r="BB2554" t="str">
        <f t="shared" si="124"/>
        <v xml:space="preserve">N8080G  </v>
      </c>
      <c r="BC2554">
        <v>1</v>
      </c>
      <c r="BE2554">
        <v>0</v>
      </c>
      <c r="BF2554">
        <v>0</v>
      </c>
      <c r="BG2554">
        <v>0</v>
      </c>
      <c r="BH2554">
        <v>1700</v>
      </c>
      <c r="BI2554">
        <v>1</v>
      </c>
      <c r="BJ2554">
        <v>1</v>
      </c>
      <c r="BK2554">
        <v>1</v>
      </c>
      <c r="BL2554">
        <v>0</v>
      </c>
      <c r="BO2554">
        <v>0</v>
      </c>
      <c r="BP2554">
        <v>0</v>
      </c>
      <c r="BW2554" t="str">
        <f>"20:28:07.537"</f>
        <v>20:28:07.537</v>
      </c>
      <c r="BZ2554">
        <v>0</v>
      </c>
      <c r="CA2554">
        <v>2016</v>
      </c>
      <c r="CB2554">
        <v>224</v>
      </c>
      <c r="CD2554">
        <v>1</v>
      </c>
      <c r="CE2554">
        <v>0</v>
      </c>
      <c r="CF2554">
        <v>0</v>
      </c>
      <c r="CG2554">
        <v>1</v>
      </c>
      <c r="CH2554">
        <v>0</v>
      </c>
      <c r="CI2554">
        <v>0</v>
      </c>
      <c r="CJ2554">
        <v>0</v>
      </c>
      <c r="CK2554">
        <v>2</v>
      </c>
      <c r="CL2554">
        <v>0</v>
      </c>
      <c r="CM2554">
        <v>2</v>
      </c>
      <c r="CN2554">
        <v>0</v>
      </c>
      <c r="CO2554">
        <v>4</v>
      </c>
      <c r="CP2554" t="s">
        <v>119</v>
      </c>
      <c r="CQ2554">
        <v>179</v>
      </c>
      <c r="CR2554">
        <v>1</v>
      </c>
      <c r="CW2554">
        <v>9012228</v>
      </c>
      <c r="CY2554">
        <v>1</v>
      </c>
      <c r="CZ2554">
        <v>0</v>
      </c>
      <c r="DA2554">
        <v>1</v>
      </c>
      <c r="DB2554">
        <v>0</v>
      </c>
      <c r="DC2554">
        <v>0</v>
      </c>
      <c r="DD2554">
        <v>0</v>
      </c>
      <c r="DE2554">
        <v>0</v>
      </c>
      <c r="DF2554">
        <v>0</v>
      </c>
      <c r="DG2554">
        <v>0</v>
      </c>
      <c r="DH2554">
        <v>0</v>
      </c>
      <c r="DI2554">
        <v>0</v>
      </c>
    </row>
    <row r="2555" spans="1:113" x14ac:dyDescent="0.3">
      <c r="A2555" t="str">
        <f>"02/08/2021 20:28:06.189"</f>
        <v>02/08/2021 20:28:06.189</v>
      </c>
      <c r="C2555" t="str">
        <f t="shared" si="123"/>
        <v>FFDFD7C0</v>
      </c>
      <c r="D2555" t="s">
        <v>124</v>
      </c>
      <c r="E2555">
        <v>12</v>
      </c>
      <c r="F2555">
        <v>1012</v>
      </c>
      <c r="G2555" t="s">
        <v>675</v>
      </c>
      <c r="J2555" t="s">
        <v>125</v>
      </c>
      <c r="K2555">
        <v>0</v>
      </c>
      <c r="L2555">
        <v>3</v>
      </c>
      <c r="M2555">
        <v>0</v>
      </c>
      <c r="N2555">
        <v>2</v>
      </c>
      <c r="O2555">
        <v>1</v>
      </c>
      <c r="P2555">
        <v>0</v>
      </c>
      <c r="Q2555">
        <v>0</v>
      </c>
      <c r="S2555" t="str">
        <f>"20:28:08.500"</f>
        <v>20:28:08.500</v>
      </c>
      <c r="T2555" t="str">
        <f>"20:28:07.600"</f>
        <v>20:28:07.600</v>
      </c>
      <c r="U2555" t="str">
        <f t="shared" si="122"/>
        <v>AB01F4</v>
      </c>
      <c r="V2555">
        <v>0</v>
      </c>
      <c r="W2555">
        <v>0</v>
      </c>
      <c r="X2555">
        <v>2</v>
      </c>
      <c r="Z2555">
        <v>0</v>
      </c>
      <c r="AA2555">
        <v>9</v>
      </c>
      <c r="AB2555">
        <v>3</v>
      </c>
      <c r="AC2555">
        <v>0</v>
      </c>
      <c r="AD2555">
        <v>10</v>
      </c>
      <c r="AE2555">
        <v>0</v>
      </c>
      <c r="AF2555">
        <v>3</v>
      </c>
      <c r="AG2555">
        <v>2</v>
      </c>
      <c r="AH2555">
        <v>0</v>
      </c>
      <c r="AI2555" t="s">
        <v>1527</v>
      </c>
      <c r="AJ2555">
        <v>39.998710000000003</v>
      </c>
      <c r="AK2555" t="s">
        <v>1528</v>
      </c>
      <c r="AL2555">
        <v>-92.745830999999995</v>
      </c>
      <c r="AM2555">
        <v>100</v>
      </c>
      <c r="AN2555">
        <v>1700</v>
      </c>
      <c r="AO2555" t="s">
        <v>118</v>
      </c>
      <c r="AP2555">
        <v>-106</v>
      </c>
      <c r="AQ2555">
        <v>77</v>
      </c>
      <c r="AR2555">
        <v>0</v>
      </c>
      <c r="AZ2555">
        <v>1200</v>
      </c>
      <c r="BA2555">
        <v>1</v>
      </c>
      <c r="BB2555" t="str">
        <f t="shared" si="124"/>
        <v xml:space="preserve">N8080G  </v>
      </c>
      <c r="BC2555">
        <v>1</v>
      </c>
      <c r="BE2555">
        <v>0</v>
      </c>
      <c r="BF2555">
        <v>0</v>
      </c>
      <c r="BG2555">
        <v>0</v>
      </c>
      <c r="BH2555">
        <v>1700</v>
      </c>
      <c r="BI2555">
        <v>1</v>
      </c>
      <c r="BJ2555">
        <v>1</v>
      </c>
      <c r="BK2555">
        <v>1</v>
      </c>
      <c r="BL2555">
        <v>0</v>
      </c>
      <c r="BO2555">
        <v>0</v>
      </c>
      <c r="BP2555">
        <v>0</v>
      </c>
      <c r="BW2555" t="str">
        <f>"20:28:08.502"</f>
        <v>20:28:08.502</v>
      </c>
      <c r="BZ2555">
        <v>0</v>
      </c>
      <c r="CA2555">
        <v>2016</v>
      </c>
      <c r="CB2555">
        <v>224</v>
      </c>
      <c r="CD2555">
        <v>1</v>
      </c>
      <c r="CE2555">
        <v>0</v>
      </c>
      <c r="CF2555">
        <v>0</v>
      </c>
      <c r="CG2555">
        <v>1</v>
      </c>
      <c r="CH2555">
        <v>0</v>
      </c>
      <c r="CI2555">
        <v>0</v>
      </c>
      <c r="CJ2555">
        <v>0</v>
      </c>
      <c r="CK2555">
        <v>2</v>
      </c>
      <c r="CL2555">
        <v>0</v>
      </c>
      <c r="CM2555">
        <v>2</v>
      </c>
      <c r="CN2555">
        <v>0</v>
      </c>
      <c r="CO2555">
        <v>4</v>
      </c>
      <c r="CP2555" t="s">
        <v>119</v>
      </c>
      <c r="CQ2555">
        <v>179</v>
      </c>
      <c r="CR2555">
        <v>1</v>
      </c>
      <c r="CW2555">
        <v>9013063</v>
      </c>
      <c r="CY2555">
        <v>1</v>
      </c>
      <c r="CZ2555">
        <v>0</v>
      </c>
      <c r="DA2555">
        <v>0</v>
      </c>
      <c r="DB2555">
        <v>0</v>
      </c>
      <c r="DC2555">
        <v>0</v>
      </c>
      <c r="DD2555">
        <v>0</v>
      </c>
      <c r="DE2555">
        <v>0</v>
      </c>
      <c r="DF2555">
        <v>0</v>
      </c>
      <c r="DG2555">
        <v>0</v>
      </c>
      <c r="DH2555">
        <v>0</v>
      </c>
      <c r="DI2555">
        <v>0</v>
      </c>
    </row>
    <row r="2556" spans="1:113" x14ac:dyDescent="0.3">
      <c r="A2556" t="str">
        <f>"02/08/2021 20:28:06.189"</f>
        <v>02/08/2021 20:28:06.189</v>
      </c>
      <c r="C2556" t="str">
        <f t="shared" si="123"/>
        <v>FFDFD7C0</v>
      </c>
      <c r="D2556" t="s">
        <v>124</v>
      </c>
      <c r="E2556">
        <v>11</v>
      </c>
      <c r="F2556">
        <v>1011</v>
      </c>
      <c r="G2556" t="s">
        <v>590</v>
      </c>
      <c r="J2556" t="s">
        <v>125</v>
      </c>
      <c r="K2556">
        <v>0</v>
      </c>
      <c r="L2556">
        <v>3</v>
      </c>
      <c r="M2556">
        <v>0</v>
      </c>
      <c r="N2556">
        <v>2</v>
      </c>
      <c r="O2556">
        <v>1</v>
      </c>
      <c r="P2556">
        <v>0</v>
      </c>
      <c r="Q2556">
        <v>0</v>
      </c>
      <c r="S2556" t="str">
        <f>"20:28:08.500"</f>
        <v>20:28:08.500</v>
      </c>
      <c r="T2556" t="str">
        <f>"20:28:07.600"</f>
        <v>20:28:07.600</v>
      </c>
      <c r="U2556" t="str">
        <f t="shared" si="122"/>
        <v>AB01F4</v>
      </c>
      <c r="V2556">
        <v>0</v>
      </c>
      <c r="W2556">
        <v>0</v>
      </c>
      <c r="X2556">
        <v>2</v>
      </c>
      <c r="Z2556">
        <v>0</v>
      </c>
      <c r="AA2556">
        <v>9</v>
      </c>
      <c r="AB2556">
        <v>3</v>
      </c>
      <c r="AC2556">
        <v>0</v>
      </c>
      <c r="AD2556">
        <v>10</v>
      </c>
      <c r="AE2556">
        <v>0</v>
      </c>
      <c r="AF2556">
        <v>3</v>
      </c>
      <c r="AG2556">
        <v>2</v>
      </c>
      <c r="AH2556">
        <v>0</v>
      </c>
      <c r="AI2556" t="s">
        <v>1527</v>
      </c>
      <c r="AJ2556">
        <v>39.998710000000003</v>
      </c>
      <c r="AK2556" t="s">
        <v>1528</v>
      </c>
      <c r="AL2556">
        <v>-92.745830999999995</v>
      </c>
      <c r="AM2556">
        <v>100</v>
      </c>
      <c r="AN2556">
        <v>1700</v>
      </c>
      <c r="AO2556" t="s">
        <v>118</v>
      </c>
      <c r="AP2556">
        <v>-106</v>
      </c>
      <c r="AQ2556">
        <v>77</v>
      </c>
      <c r="AR2556">
        <v>0</v>
      </c>
      <c r="AZ2556">
        <v>1200</v>
      </c>
      <c r="BA2556">
        <v>1</v>
      </c>
      <c r="BB2556" t="str">
        <f t="shared" si="124"/>
        <v xml:space="preserve">N8080G  </v>
      </c>
      <c r="BC2556">
        <v>1</v>
      </c>
      <c r="BE2556">
        <v>0</v>
      </c>
      <c r="BF2556">
        <v>0</v>
      </c>
      <c r="BG2556">
        <v>0</v>
      </c>
      <c r="BH2556">
        <v>1700</v>
      </c>
      <c r="BI2556">
        <v>1</v>
      </c>
      <c r="BJ2556">
        <v>1</v>
      </c>
      <c r="BK2556">
        <v>1</v>
      </c>
      <c r="BL2556">
        <v>0</v>
      </c>
      <c r="BO2556">
        <v>0</v>
      </c>
      <c r="BP2556">
        <v>0</v>
      </c>
      <c r="BW2556" t="str">
        <f>"20:28:08.502"</f>
        <v>20:28:08.502</v>
      </c>
      <c r="BZ2556">
        <v>0</v>
      </c>
      <c r="CA2556">
        <v>2016</v>
      </c>
      <c r="CB2556">
        <v>224</v>
      </c>
      <c r="CD2556">
        <v>1</v>
      </c>
      <c r="CE2556">
        <v>0</v>
      </c>
      <c r="CF2556">
        <v>0</v>
      </c>
      <c r="CG2556">
        <v>1</v>
      </c>
      <c r="CH2556">
        <v>0</v>
      </c>
      <c r="CI2556">
        <v>0</v>
      </c>
      <c r="CJ2556">
        <v>0</v>
      </c>
      <c r="CK2556">
        <v>2</v>
      </c>
      <c r="CL2556">
        <v>0</v>
      </c>
      <c r="CM2556">
        <v>2</v>
      </c>
      <c r="CN2556">
        <v>0</v>
      </c>
      <c r="CO2556">
        <v>4</v>
      </c>
      <c r="CP2556" t="s">
        <v>119</v>
      </c>
      <c r="CQ2556">
        <v>179</v>
      </c>
      <c r="CR2556">
        <v>1</v>
      </c>
      <c r="CW2556">
        <v>9013063</v>
      </c>
      <c r="CY2556">
        <v>1</v>
      </c>
      <c r="CZ2556">
        <v>0</v>
      </c>
      <c r="DA2556">
        <v>1</v>
      </c>
      <c r="DB2556">
        <v>0</v>
      </c>
      <c r="DC2556">
        <v>0</v>
      </c>
      <c r="DD2556">
        <v>0</v>
      </c>
      <c r="DE2556">
        <v>0</v>
      </c>
      <c r="DF2556">
        <v>0</v>
      </c>
      <c r="DG2556">
        <v>0</v>
      </c>
      <c r="DH2556">
        <v>0</v>
      </c>
      <c r="DI2556">
        <v>0</v>
      </c>
    </row>
    <row r="2557" spans="1:113" x14ac:dyDescent="0.3">
      <c r="A2557" t="str">
        <f>"02/08/2021 20:28:06.189"</f>
        <v>02/08/2021 20:28:06.189</v>
      </c>
      <c r="C2557" t="str">
        <f t="shared" si="123"/>
        <v>FFDFD7C0</v>
      </c>
      <c r="D2557" t="s">
        <v>113</v>
      </c>
      <c r="E2557">
        <v>6</v>
      </c>
      <c r="H2557">
        <v>165</v>
      </c>
      <c r="I2557" t="s">
        <v>114</v>
      </c>
      <c r="J2557" t="s">
        <v>115</v>
      </c>
      <c r="K2557">
        <v>0</v>
      </c>
      <c r="L2557">
        <v>3</v>
      </c>
      <c r="M2557">
        <v>0</v>
      </c>
      <c r="N2557">
        <v>2</v>
      </c>
      <c r="O2557">
        <v>1</v>
      </c>
      <c r="P2557">
        <v>0</v>
      </c>
      <c r="Q2557">
        <v>0</v>
      </c>
      <c r="S2557" t="str">
        <f>"20:28:08.500"</f>
        <v>20:28:08.500</v>
      </c>
      <c r="T2557" t="str">
        <f>"20:28:07.600"</f>
        <v>20:28:07.600</v>
      </c>
      <c r="U2557" t="str">
        <f t="shared" si="122"/>
        <v>AB01F4</v>
      </c>
      <c r="V2557">
        <v>0</v>
      </c>
      <c r="W2557">
        <v>0</v>
      </c>
      <c r="X2557">
        <v>2</v>
      </c>
      <c r="Z2557">
        <v>0</v>
      </c>
      <c r="AA2557">
        <v>9</v>
      </c>
      <c r="AB2557">
        <v>3</v>
      </c>
      <c r="AC2557">
        <v>0</v>
      </c>
      <c r="AD2557">
        <v>10</v>
      </c>
      <c r="AE2557">
        <v>0</v>
      </c>
      <c r="AF2557">
        <v>3</v>
      </c>
      <c r="AG2557">
        <v>2</v>
      </c>
      <c r="AH2557">
        <v>0</v>
      </c>
      <c r="AI2557" t="s">
        <v>1527</v>
      </c>
      <c r="AJ2557">
        <v>39.998710000000003</v>
      </c>
      <c r="AK2557" t="s">
        <v>1528</v>
      </c>
      <c r="AL2557">
        <v>-92.745830999999995</v>
      </c>
      <c r="AM2557">
        <v>100</v>
      </c>
      <c r="AN2557">
        <v>1700</v>
      </c>
      <c r="AO2557" t="s">
        <v>118</v>
      </c>
      <c r="AP2557">
        <v>-106</v>
      </c>
      <c r="AQ2557">
        <v>77</v>
      </c>
      <c r="AR2557">
        <v>0</v>
      </c>
      <c r="AZ2557">
        <v>1200</v>
      </c>
      <c r="BA2557">
        <v>1</v>
      </c>
      <c r="BB2557" t="str">
        <f t="shared" si="124"/>
        <v xml:space="preserve">N8080G  </v>
      </c>
      <c r="BC2557">
        <v>1</v>
      </c>
      <c r="BE2557">
        <v>0</v>
      </c>
      <c r="BF2557">
        <v>0</v>
      </c>
      <c r="BG2557">
        <v>0</v>
      </c>
      <c r="BH2557">
        <v>1700</v>
      </c>
      <c r="BI2557">
        <v>1</v>
      </c>
      <c r="BJ2557">
        <v>1</v>
      </c>
      <c r="BK2557">
        <v>1</v>
      </c>
      <c r="BL2557">
        <v>0</v>
      </c>
      <c r="BO2557">
        <v>0</v>
      </c>
      <c r="BP2557">
        <v>0</v>
      </c>
      <c r="BW2557" t="str">
        <f>"20:28:08.502"</f>
        <v>20:28:08.502</v>
      </c>
      <c r="BZ2557">
        <v>0</v>
      </c>
      <c r="CA2557">
        <v>2016</v>
      </c>
      <c r="CB2557">
        <v>224</v>
      </c>
      <c r="CD2557">
        <v>1</v>
      </c>
      <c r="CE2557">
        <v>0</v>
      </c>
      <c r="CF2557">
        <v>0</v>
      </c>
      <c r="CG2557">
        <v>1</v>
      </c>
      <c r="CH2557">
        <v>0</v>
      </c>
      <c r="CI2557">
        <v>0</v>
      </c>
      <c r="CJ2557">
        <v>0</v>
      </c>
      <c r="CK2557">
        <v>2</v>
      </c>
      <c r="CL2557">
        <v>0</v>
      </c>
      <c r="CM2557">
        <v>2</v>
      </c>
      <c r="CN2557">
        <v>0</v>
      </c>
      <c r="CO2557">
        <v>4</v>
      </c>
      <c r="CP2557" t="s">
        <v>119</v>
      </c>
      <c r="CQ2557">
        <v>179</v>
      </c>
      <c r="CR2557">
        <v>1</v>
      </c>
      <c r="CW2557">
        <v>9013063</v>
      </c>
      <c r="CY2557">
        <v>1</v>
      </c>
      <c r="CZ2557">
        <v>0</v>
      </c>
      <c r="DA2557">
        <v>1</v>
      </c>
      <c r="DB2557">
        <v>0</v>
      </c>
      <c r="DC2557">
        <v>0</v>
      </c>
      <c r="DD2557">
        <v>0</v>
      </c>
      <c r="DE2557">
        <v>0</v>
      </c>
      <c r="DF2557">
        <v>0</v>
      </c>
      <c r="DG2557">
        <v>0</v>
      </c>
      <c r="DH2557">
        <v>0</v>
      </c>
      <c r="DI2557">
        <v>0</v>
      </c>
    </row>
    <row r="2558" spans="1:113" x14ac:dyDescent="0.3">
      <c r="A2558" t="str">
        <f>"02/08/2021 20:28:06.189"</f>
        <v>02/08/2021 20:28:06.189</v>
      </c>
      <c r="C2558" t="str">
        <f t="shared" si="123"/>
        <v>FFDFD7C0</v>
      </c>
      <c r="D2558" t="s">
        <v>124</v>
      </c>
      <c r="E2558">
        <v>13</v>
      </c>
      <c r="F2558">
        <v>1013</v>
      </c>
      <c r="G2558" t="s">
        <v>114</v>
      </c>
      <c r="J2558" t="s">
        <v>125</v>
      </c>
      <c r="K2558">
        <v>0</v>
      </c>
      <c r="L2558">
        <v>3</v>
      </c>
      <c r="M2558">
        <v>0</v>
      </c>
      <c r="N2558">
        <v>2</v>
      </c>
      <c r="O2558">
        <v>1</v>
      </c>
      <c r="P2558">
        <v>0</v>
      </c>
      <c r="Q2558">
        <v>0</v>
      </c>
      <c r="S2558" t="str">
        <f>"20:28:08.500"</f>
        <v>20:28:08.500</v>
      </c>
      <c r="T2558" t="str">
        <f>"20:28:07.600"</f>
        <v>20:28:07.600</v>
      </c>
      <c r="U2558" t="str">
        <f t="shared" si="122"/>
        <v>AB01F4</v>
      </c>
      <c r="V2558">
        <v>0</v>
      </c>
      <c r="W2558">
        <v>0</v>
      </c>
      <c r="X2558">
        <v>2</v>
      </c>
      <c r="Z2558">
        <v>0</v>
      </c>
      <c r="AA2558">
        <v>9</v>
      </c>
      <c r="AB2558">
        <v>3</v>
      </c>
      <c r="AC2558">
        <v>0</v>
      </c>
      <c r="AD2558">
        <v>10</v>
      </c>
      <c r="AE2558">
        <v>0</v>
      </c>
      <c r="AF2558">
        <v>3</v>
      </c>
      <c r="AG2558">
        <v>2</v>
      </c>
      <c r="AH2558">
        <v>0</v>
      </c>
      <c r="AI2558" t="s">
        <v>1527</v>
      </c>
      <c r="AJ2558">
        <v>39.998710000000003</v>
      </c>
      <c r="AK2558" t="s">
        <v>1528</v>
      </c>
      <c r="AL2558">
        <v>-92.745830999999995</v>
      </c>
      <c r="AM2558">
        <v>100</v>
      </c>
      <c r="AN2558">
        <v>1700</v>
      </c>
      <c r="AO2558" t="s">
        <v>118</v>
      </c>
      <c r="AP2558">
        <v>-106</v>
      </c>
      <c r="AQ2558">
        <v>77</v>
      </c>
      <c r="AR2558">
        <v>0</v>
      </c>
      <c r="AZ2558">
        <v>1200</v>
      </c>
      <c r="BA2558">
        <v>1</v>
      </c>
      <c r="BB2558" t="str">
        <f t="shared" si="124"/>
        <v xml:space="preserve">N8080G  </v>
      </c>
      <c r="BC2558">
        <v>1</v>
      </c>
      <c r="BE2558">
        <v>0</v>
      </c>
      <c r="BF2558">
        <v>0</v>
      </c>
      <c r="BG2558">
        <v>0</v>
      </c>
      <c r="BH2558">
        <v>1700</v>
      </c>
      <c r="BI2558">
        <v>1</v>
      </c>
      <c r="BJ2558">
        <v>1</v>
      </c>
      <c r="BK2558">
        <v>1</v>
      </c>
      <c r="BL2558">
        <v>0</v>
      </c>
      <c r="BO2558">
        <v>0</v>
      </c>
      <c r="BP2558">
        <v>0</v>
      </c>
      <c r="BW2558" t="str">
        <f>"20:28:08.502"</f>
        <v>20:28:08.502</v>
      </c>
      <c r="BZ2558">
        <v>0</v>
      </c>
      <c r="CA2558">
        <v>2016</v>
      </c>
      <c r="CB2558">
        <v>224</v>
      </c>
      <c r="CD2558">
        <v>1</v>
      </c>
      <c r="CE2558">
        <v>0</v>
      </c>
      <c r="CF2558">
        <v>0</v>
      </c>
      <c r="CG2558">
        <v>1</v>
      </c>
      <c r="CH2558">
        <v>0</v>
      </c>
      <c r="CI2558">
        <v>0</v>
      </c>
      <c r="CJ2558">
        <v>0</v>
      </c>
      <c r="CK2558">
        <v>2</v>
      </c>
      <c r="CL2558">
        <v>0</v>
      </c>
      <c r="CM2558">
        <v>2</v>
      </c>
      <c r="CN2558">
        <v>0</v>
      </c>
      <c r="CO2558">
        <v>4</v>
      </c>
      <c r="CP2558" t="s">
        <v>119</v>
      </c>
      <c r="CQ2558">
        <v>179</v>
      </c>
      <c r="CR2558">
        <v>1</v>
      </c>
      <c r="CW2558">
        <v>9013063</v>
      </c>
      <c r="CY2558">
        <v>1</v>
      </c>
      <c r="CZ2558">
        <v>0</v>
      </c>
      <c r="DA2558">
        <v>1</v>
      </c>
      <c r="DB2558">
        <v>0</v>
      </c>
      <c r="DC2558">
        <v>0</v>
      </c>
      <c r="DD2558">
        <v>0</v>
      </c>
      <c r="DE2558">
        <v>0</v>
      </c>
      <c r="DF2558">
        <v>0</v>
      </c>
      <c r="DG2558">
        <v>0</v>
      </c>
      <c r="DH2558">
        <v>0</v>
      </c>
      <c r="DI2558">
        <v>0</v>
      </c>
    </row>
    <row r="2559" spans="1:113" x14ac:dyDescent="0.3">
      <c r="A2559" t="str">
        <f>"02/08/2021 20:28:07.228"</f>
        <v>02/08/2021 20:28:07.228</v>
      </c>
      <c r="C2559" t="str">
        <f t="shared" si="123"/>
        <v>FFDFD7C0</v>
      </c>
      <c r="D2559" t="s">
        <v>124</v>
      </c>
      <c r="E2559">
        <v>13</v>
      </c>
      <c r="F2559">
        <v>1013</v>
      </c>
      <c r="G2559" t="s">
        <v>114</v>
      </c>
      <c r="J2559" t="s">
        <v>125</v>
      </c>
      <c r="K2559">
        <v>0</v>
      </c>
      <c r="L2559">
        <v>3</v>
      </c>
      <c r="M2559">
        <v>0</v>
      </c>
      <c r="N2559">
        <v>2</v>
      </c>
      <c r="O2559">
        <v>1</v>
      </c>
      <c r="P2559">
        <v>0</v>
      </c>
      <c r="Q2559">
        <v>0</v>
      </c>
      <c r="S2559" t="str">
        <f>"20:28:09.563"</f>
        <v>20:28:09.563</v>
      </c>
      <c r="T2559" t="str">
        <f>"20:28:09.063"</f>
        <v>20:28:09.063</v>
      </c>
      <c r="U2559" t="str">
        <f t="shared" si="122"/>
        <v>AB01F4</v>
      </c>
      <c r="V2559">
        <v>0</v>
      </c>
      <c r="W2559">
        <v>0</v>
      </c>
      <c r="X2559">
        <v>2</v>
      </c>
      <c r="Z2559">
        <v>0</v>
      </c>
      <c r="AA2559">
        <v>9</v>
      </c>
      <c r="AB2559">
        <v>3</v>
      </c>
      <c r="AC2559">
        <v>0</v>
      </c>
      <c r="AD2559">
        <v>10</v>
      </c>
      <c r="AE2559">
        <v>0</v>
      </c>
      <c r="AF2559">
        <v>3</v>
      </c>
      <c r="AG2559">
        <v>2</v>
      </c>
      <c r="AH2559">
        <v>0</v>
      </c>
      <c r="AI2559" t="s">
        <v>1529</v>
      </c>
      <c r="AJ2559">
        <v>39.999118000000003</v>
      </c>
      <c r="AK2559" t="s">
        <v>1530</v>
      </c>
      <c r="AL2559">
        <v>-92.746517999999995</v>
      </c>
      <c r="AM2559">
        <v>100</v>
      </c>
      <c r="AN2559">
        <v>1700</v>
      </c>
      <c r="AO2559" t="s">
        <v>118</v>
      </c>
      <c r="AP2559">
        <v>-106</v>
      </c>
      <c r="AQ2559">
        <v>77</v>
      </c>
      <c r="AR2559">
        <v>0</v>
      </c>
      <c r="AZ2559">
        <v>1200</v>
      </c>
      <c r="BA2559">
        <v>1</v>
      </c>
      <c r="BB2559" t="str">
        <f t="shared" si="124"/>
        <v xml:space="preserve">N8080G  </v>
      </c>
      <c r="BC2559">
        <v>1</v>
      </c>
      <c r="BE2559">
        <v>0</v>
      </c>
      <c r="BF2559">
        <v>0</v>
      </c>
      <c r="BG2559">
        <v>0</v>
      </c>
      <c r="BH2559">
        <v>1700</v>
      </c>
      <c r="BI2559">
        <v>1</v>
      </c>
      <c r="BJ2559">
        <v>1</v>
      </c>
      <c r="BK2559">
        <v>1</v>
      </c>
      <c r="BL2559">
        <v>0</v>
      </c>
      <c r="BO2559">
        <v>0</v>
      </c>
      <c r="BP2559">
        <v>0</v>
      </c>
      <c r="BW2559" t="str">
        <f>"20:28:09.565"</f>
        <v>20:28:09.565</v>
      </c>
      <c r="BZ2559">
        <v>0</v>
      </c>
      <c r="CA2559">
        <v>2016</v>
      </c>
      <c r="CB2559">
        <v>224</v>
      </c>
      <c r="CD2559">
        <v>1</v>
      </c>
      <c r="CE2559">
        <v>0</v>
      </c>
      <c r="CF2559">
        <v>0</v>
      </c>
      <c r="CG2559">
        <v>1</v>
      </c>
      <c r="CH2559">
        <v>0</v>
      </c>
      <c r="CI2559">
        <v>0</v>
      </c>
      <c r="CJ2559">
        <v>0</v>
      </c>
      <c r="CK2559">
        <v>2</v>
      </c>
      <c r="CL2559">
        <v>0</v>
      </c>
      <c r="CM2559">
        <v>2</v>
      </c>
      <c r="CN2559">
        <v>0</v>
      </c>
      <c r="CO2559">
        <v>7</v>
      </c>
      <c r="CP2559" t="s">
        <v>119</v>
      </c>
      <c r="CQ2559">
        <v>180</v>
      </c>
      <c r="CR2559">
        <v>2</v>
      </c>
      <c r="CW2559">
        <v>8562305</v>
      </c>
      <c r="CY2559">
        <v>1</v>
      </c>
      <c r="CZ2559">
        <v>0</v>
      </c>
      <c r="DA2559">
        <v>0</v>
      </c>
      <c r="DB2559">
        <v>0</v>
      </c>
      <c r="DC2559">
        <v>0</v>
      </c>
      <c r="DD2559">
        <v>0</v>
      </c>
      <c r="DE2559">
        <v>0</v>
      </c>
      <c r="DF2559">
        <v>0</v>
      </c>
      <c r="DG2559">
        <v>0</v>
      </c>
      <c r="DH2559">
        <v>0</v>
      </c>
      <c r="DI2559">
        <v>0</v>
      </c>
    </row>
    <row r="2560" spans="1:113" x14ac:dyDescent="0.3">
      <c r="A2560" t="str">
        <f>"02/08/2021 20:28:07.228"</f>
        <v>02/08/2021 20:28:07.228</v>
      </c>
      <c r="C2560" t="str">
        <f t="shared" si="123"/>
        <v>FFDFD7C0</v>
      </c>
      <c r="D2560" t="s">
        <v>124</v>
      </c>
      <c r="E2560">
        <v>12</v>
      </c>
      <c r="F2560">
        <v>1012</v>
      </c>
      <c r="G2560" t="s">
        <v>675</v>
      </c>
      <c r="J2560" t="s">
        <v>125</v>
      </c>
      <c r="K2560">
        <v>0</v>
      </c>
      <c r="L2560">
        <v>3</v>
      </c>
      <c r="M2560">
        <v>0</v>
      </c>
      <c r="N2560">
        <v>2</v>
      </c>
      <c r="O2560">
        <v>1</v>
      </c>
      <c r="P2560">
        <v>0</v>
      </c>
      <c r="Q2560">
        <v>0</v>
      </c>
      <c r="S2560" t="str">
        <f>"20:28:09.563"</f>
        <v>20:28:09.563</v>
      </c>
      <c r="T2560" t="str">
        <f>"20:28:09.063"</f>
        <v>20:28:09.063</v>
      </c>
      <c r="U2560" t="str">
        <f t="shared" si="122"/>
        <v>AB01F4</v>
      </c>
      <c r="V2560">
        <v>0</v>
      </c>
      <c r="W2560">
        <v>0</v>
      </c>
      <c r="X2560">
        <v>2</v>
      </c>
      <c r="Z2560">
        <v>0</v>
      </c>
      <c r="AA2560">
        <v>9</v>
      </c>
      <c r="AB2560">
        <v>3</v>
      </c>
      <c r="AC2560">
        <v>0</v>
      </c>
      <c r="AD2560">
        <v>10</v>
      </c>
      <c r="AE2560">
        <v>0</v>
      </c>
      <c r="AF2560">
        <v>3</v>
      </c>
      <c r="AG2560">
        <v>2</v>
      </c>
      <c r="AH2560">
        <v>0</v>
      </c>
      <c r="AI2560" t="s">
        <v>1529</v>
      </c>
      <c r="AJ2560">
        <v>39.999118000000003</v>
      </c>
      <c r="AK2560" t="s">
        <v>1530</v>
      </c>
      <c r="AL2560">
        <v>-92.746517999999995</v>
      </c>
      <c r="AM2560">
        <v>100</v>
      </c>
      <c r="AN2560">
        <v>1700</v>
      </c>
      <c r="AO2560" t="s">
        <v>118</v>
      </c>
      <c r="AP2560">
        <v>-106</v>
      </c>
      <c r="AQ2560">
        <v>77</v>
      </c>
      <c r="AR2560">
        <v>0</v>
      </c>
      <c r="AZ2560">
        <v>1200</v>
      </c>
      <c r="BA2560">
        <v>1</v>
      </c>
      <c r="BB2560" t="str">
        <f t="shared" si="124"/>
        <v xml:space="preserve">N8080G  </v>
      </c>
      <c r="BC2560">
        <v>1</v>
      </c>
      <c r="BE2560">
        <v>0</v>
      </c>
      <c r="BF2560">
        <v>0</v>
      </c>
      <c r="BG2560">
        <v>0</v>
      </c>
      <c r="BH2560">
        <v>1700</v>
      </c>
      <c r="BI2560">
        <v>1</v>
      </c>
      <c r="BJ2560">
        <v>1</v>
      </c>
      <c r="BK2560">
        <v>1</v>
      </c>
      <c r="BL2560">
        <v>0</v>
      </c>
      <c r="BO2560">
        <v>0</v>
      </c>
      <c r="BP2560">
        <v>0</v>
      </c>
      <c r="BW2560" t="str">
        <f>"20:28:09.565"</f>
        <v>20:28:09.565</v>
      </c>
      <c r="BZ2560">
        <v>0</v>
      </c>
      <c r="CA2560">
        <v>2016</v>
      </c>
      <c r="CB2560">
        <v>224</v>
      </c>
      <c r="CD2560">
        <v>1</v>
      </c>
      <c r="CE2560">
        <v>0</v>
      </c>
      <c r="CF2560">
        <v>0</v>
      </c>
      <c r="CG2560">
        <v>1</v>
      </c>
      <c r="CH2560">
        <v>0</v>
      </c>
      <c r="CI2560">
        <v>0</v>
      </c>
      <c r="CJ2560">
        <v>0</v>
      </c>
      <c r="CK2560">
        <v>2</v>
      </c>
      <c r="CL2560">
        <v>0</v>
      </c>
      <c r="CM2560">
        <v>2</v>
      </c>
      <c r="CN2560">
        <v>0</v>
      </c>
      <c r="CO2560">
        <v>7</v>
      </c>
      <c r="CP2560" t="s">
        <v>119</v>
      </c>
      <c r="CQ2560">
        <v>180</v>
      </c>
      <c r="CR2560">
        <v>2</v>
      </c>
      <c r="CW2560">
        <v>8562305</v>
      </c>
      <c r="CY2560">
        <v>1</v>
      </c>
      <c r="CZ2560">
        <v>0</v>
      </c>
      <c r="DA2560">
        <v>1</v>
      </c>
      <c r="DB2560">
        <v>0</v>
      </c>
      <c r="DC2560">
        <v>0</v>
      </c>
      <c r="DD2560">
        <v>0</v>
      </c>
      <c r="DE2560">
        <v>0</v>
      </c>
      <c r="DF2560">
        <v>0</v>
      </c>
      <c r="DG2560">
        <v>0</v>
      </c>
      <c r="DH2560">
        <v>0</v>
      </c>
      <c r="DI2560">
        <v>0</v>
      </c>
    </row>
    <row r="2561" spans="1:113" x14ac:dyDescent="0.3">
      <c r="A2561" t="str">
        <f>"02/08/2021 20:28:07.228"</f>
        <v>02/08/2021 20:28:07.228</v>
      </c>
      <c r="C2561" t="str">
        <f t="shared" si="123"/>
        <v>FFDFD7C0</v>
      </c>
      <c r="D2561" t="s">
        <v>124</v>
      </c>
      <c r="E2561">
        <v>11</v>
      </c>
      <c r="F2561">
        <v>1011</v>
      </c>
      <c r="G2561" t="s">
        <v>590</v>
      </c>
      <c r="J2561" t="s">
        <v>125</v>
      </c>
      <c r="K2561">
        <v>0</v>
      </c>
      <c r="L2561">
        <v>3</v>
      </c>
      <c r="M2561">
        <v>0</v>
      </c>
      <c r="N2561">
        <v>2</v>
      </c>
      <c r="O2561">
        <v>1</v>
      </c>
      <c r="P2561">
        <v>0</v>
      </c>
      <c r="Q2561">
        <v>0</v>
      </c>
      <c r="S2561" t="str">
        <f>"20:28:09.563"</f>
        <v>20:28:09.563</v>
      </c>
      <c r="T2561" t="str">
        <f>"20:28:09.063"</f>
        <v>20:28:09.063</v>
      </c>
      <c r="U2561" t="str">
        <f t="shared" si="122"/>
        <v>AB01F4</v>
      </c>
      <c r="V2561">
        <v>0</v>
      </c>
      <c r="W2561">
        <v>0</v>
      </c>
      <c r="X2561">
        <v>2</v>
      </c>
      <c r="Z2561">
        <v>0</v>
      </c>
      <c r="AA2561">
        <v>9</v>
      </c>
      <c r="AB2561">
        <v>3</v>
      </c>
      <c r="AC2561">
        <v>0</v>
      </c>
      <c r="AD2561">
        <v>10</v>
      </c>
      <c r="AE2561">
        <v>0</v>
      </c>
      <c r="AF2561">
        <v>3</v>
      </c>
      <c r="AG2561">
        <v>2</v>
      </c>
      <c r="AH2561">
        <v>0</v>
      </c>
      <c r="AI2561" t="s">
        <v>1529</v>
      </c>
      <c r="AJ2561">
        <v>39.999118000000003</v>
      </c>
      <c r="AK2561" t="s">
        <v>1530</v>
      </c>
      <c r="AL2561">
        <v>-92.746517999999995</v>
      </c>
      <c r="AM2561">
        <v>100</v>
      </c>
      <c r="AN2561">
        <v>1700</v>
      </c>
      <c r="AO2561" t="s">
        <v>118</v>
      </c>
      <c r="AP2561">
        <v>-106</v>
      </c>
      <c r="AQ2561">
        <v>77</v>
      </c>
      <c r="AR2561">
        <v>0</v>
      </c>
      <c r="AZ2561">
        <v>1200</v>
      </c>
      <c r="BA2561">
        <v>1</v>
      </c>
      <c r="BB2561" t="str">
        <f t="shared" si="124"/>
        <v xml:space="preserve">N8080G  </v>
      </c>
      <c r="BC2561">
        <v>1</v>
      </c>
      <c r="BE2561">
        <v>0</v>
      </c>
      <c r="BF2561">
        <v>0</v>
      </c>
      <c r="BG2561">
        <v>0</v>
      </c>
      <c r="BH2561">
        <v>1700</v>
      </c>
      <c r="BI2561">
        <v>1</v>
      </c>
      <c r="BJ2561">
        <v>1</v>
      </c>
      <c r="BK2561">
        <v>1</v>
      </c>
      <c r="BL2561">
        <v>0</v>
      </c>
      <c r="BO2561">
        <v>0</v>
      </c>
      <c r="BP2561">
        <v>0</v>
      </c>
      <c r="BW2561" t="str">
        <f>"20:28:09.565"</f>
        <v>20:28:09.565</v>
      </c>
      <c r="BZ2561">
        <v>0</v>
      </c>
      <c r="CA2561">
        <v>2016</v>
      </c>
      <c r="CB2561">
        <v>224</v>
      </c>
      <c r="CD2561">
        <v>1</v>
      </c>
      <c r="CE2561">
        <v>0</v>
      </c>
      <c r="CF2561">
        <v>0</v>
      </c>
      <c r="CG2561">
        <v>1</v>
      </c>
      <c r="CH2561">
        <v>0</v>
      </c>
      <c r="CI2561">
        <v>0</v>
      </c>
      <c r="CJ2561">
        <v>0</v>
      </c>
      <c r="CK2561">
        <v>2</v>
      </c>
      <c r="CL2561">
        <v>0</v>
      </c>
      <c r="CM2561">
        <v>2</v>
      </c>
      <c r="CN2561">
        <v>0</v>
      </c>
      <c r="CO2561">
        <v>7</v>
      </c>
      <c r="CP2561" t="s">
        <v>119</v>
      </c>
      <c r="CQ2561">
        <v>180</v>
      </c>
      <c r="CR2561">
        <v>2</v>
      </c>
      <c r="CW2561">
        <v>8562305</v>
      </c>
      <c r="CY2561">
        <v>1</v>
      </c>
      <c r="CZ2561">
        <v>0</v>
      </c>
      <c r="DA2561">
        <v>1</v>
      </c>
      <c r="DB2561">
        <v>0</v>
      </c>
      <c r="DC2561">
        <v>0</v>
      </c>
      <c r="DD2561">
        <v>0</v>
      </c>
      <c r="DE2561">
        <v>0</v>
      </c>
      <c r="DF2561">
        <v>0</v>
      </c>
      <c r="DG2561">
        <v>0</v>
      </c>
      <c r="DH2561">
        <v>0</v>
      </c>
      <c r="DI2561">
        <v>0</v>
      </c>
    </row>
    <row r="2562" spans="1:113" x14ac:dyDescent="0.3">
      <c r="A2562" t="str">
        <f>"02/08/2021 20:28:07.228"</f>
        <v>02/08/2021 20:28:07.228</v>
      </c>
      <c r="C2562" t="str">
        <f t="shared" si="123"/>
        <v>FFDFD7C0</v>
      </c>
      <c r="D2562" t="s">
        <v>113</v>
      </c>
      <c r="E2562">
        <v>6</v>
      </c>
      <c r="H2562">
        <v>165</v>
      </c>
      <c r="I2562" t="s">
        <v>114</v>
      </c>
      <c r="J2562" t="s">
        <v>115</v>
      </c>
      <c r="K2562">
        <v>0</v>
      </c>
      <c r="L2562">
        <v>3</v>
      </c>
      <c r="M2562">
        <v>0</v>
      </c>
      <c r="N2562">
        <v>2</v>
      </c>
      <c r="O2562">
        <v>1</v>
      </c>
      <c r="P2562">
        <v>0</v>
      </c>
      <c r="Q2562">
        <v>0</v>
      </c>
      <c r="S2562" t="str">
        <f>"20:28:09.563"</f>
        <v>20:28:09.563</v>
      </c>
      <c r="T2562" t="str">
        <f>"20:28:09.063"</f>
        <v>20:28:09.063</v>
      </c>
      <c r="U2562" t="str">
        <f t="shared" ref="U2562:U2625" si="125">"AB01F4"</f>
        <v>AB01F4</v>
      </c>
      <c r="V2562">
        <v>0</v>
      </c>
      <c r="W2562">
        <v>0</v>
      </c>
      <c r="X2562">
        <v>2</v>
      </c>
      <c r="Z2562">
        <v>0</v>
      </c>
      <c r="AA2562">
        <v>9</v>
      </c>
      <c r="AB2562">
        <v>3</v>
      </c>
      <c r="AC2562">
        <v>0</v>
      </c>
      <c r="AD2562">
        <v>10</v>
      </c>
      <c r="AE2562">
        <v>0</v>
      </c>
      <c r="AF2562">
        <v>3</v>
      </c>
      <c r="AG2562">
        <v>2</v>
      </c>
      <c r="AH2562">
        <v>0</v>
      </c>
      <c r="AI2562" t="s">
        <v>1529</v>
      </c>
      <c r="AJ2562">
        <v>39.999118000000003</v>
      </c>
      <c r="AK2562" t="s">
        <v>1530</v>
      </c>
      <c r="AL2562">
        <v>-92.746517999999995</v>
      </c>
      <c r="AM2562">
        <v>100</v>
      </c>
      <c r="AN2562">
        <v>1700</v>
      </c>
      <c r="AO2562" t="s">
        <v>118</v>
      </c>
      <c r="AP2562">
        <v>-106</v>
      </c>
      <c r="AQ2562">
        <v>77</v>
      </c>
      <c r="AR2562">
        <v>0</v>
      </c>
      <c r="AZ2562">
        <v>1200</v>
      </c>
      <c r="BA2562">
        <v>1</v>
      </c>
      <c r="BB2562" t="str">
        <f t="shared" si="124"/>
        <v xml:space="preserve">N8080G  </v>
      </c>
      <c r="BC2562">
        <v>1</v>
      </c>
      <c r="BE2562">
        <v>0</v>
      </c>
      <c r="BF2562">
        <v>0</v>
      </c>
      <c r="BG2562">
        <v>0</v>
      </c>
      <c r="BH2562">
        <v>1700</v>
      </c>
      <c r="BI2562">
        <v>1</v>
      </c>
      <c r="BJ2562">
        <v>1</v>
      </c>
      <c r="BK2562">
        <v>1</v>
      </c>
      <c r="BL2562">
        <v>0</v>
      </c>
      <c r="BO2562">
        <v>0</v>
      </c>
      <c r="BP2562">
        <v>0</v>
      </c>
      <c r="BW2562" t="str">
        <f>"20:28:09.565"</f>
        <v>20:28:09.565</v>
      </c>
      <c r="BZ2562">
        <v>0</v>
      </c>
      <c r="CA2562">
        <v>2016</v>
      </c>
      <c r="CB2562">
        <v>224</v>
      </c>
      <c r="CD2562">
        <v>1</v>
      </c>
      <c r="CE2562">
        <v>0</v>
      </c>
      <c r="CF2562">
        <v>0</v>
      </c>
      <c r="CG2562">
        <v>1</v>
      </c>
      <c r="CH2562">
        <v>0</v>
      </c>
      <c r="CI2562">
        <v>0</v>
      </c>
      <c r="CJ2562">
        <v>0</v>
      </c>
      <c r="CK2562">
        <v>2</v>
      </c>
      <c r="CL2562">
        <v>0</v>
      </c>
      <c r="CM2562">
        <v>2</v>
      </c>
      <c r="CN2562">
        <v>0</v>
      </c>
      <c r="CO2562">
        <v>7</v>
      </c>
      <c r="CP2562" t="s">
        <v>119</v>
      </c>
      <c r="CQ2562">
        <v>180</v>
      </c>
      <c r="CR2562">
        <v>2</v>
      </c>
      <c r="CW2562">
        <v>8562305</v>
      </c>
      <c r="CY2562">
        <v>1</v>
      </c>
      <c r="CZ2562">
        <v>0</v>
      </c>
      <c r="DA2562">
        <v>1</v>
      </c>
      <c r="DB2562">
        <v>0</v>
      </c>
      <c r="DC2562">
        <v>0</v>
      </c>
      <c r="DD2562">
        <v>0</v>
      </c>
      <c r="DE2562">
        <v>0</v>
      </c>
      <c r="DF2562">
        <v>0</v>
      </c>
      <c r="DG2562">
        <v>0</v>
      </c>
      <c r="DH2562">
        <v>0</v>
      </c>
      <c r="DI2562">
        <v>0</v>
      </c>
    </row>
    <row r="2563" spans="1:113" x14ac:dyDescent="0.3">
      <c r="A2563" t="str">
        <f>"02/08/2021 20:28:08.220"</f>
        <v>02/08/2021 20:28:08.220</v>
      </c>
      <c r="C2563" t="str">
        <f t="shared" si="123"/>
        <v>FFDFD7C0</v>
      </c>
      <c r="D2563" t="s">
        <v>124</v>
      </c>
      <c r="E2563">
        <v>11</v>
      </c>
      <c r="F2563">
        <v>1011</v>
      </c>
      <c r="G2563" t="s">
        <v>590</v>
      </c>
      <c r="J2563" t="s">
        <v>125</v>
      </c>
      <c r="K2563">
        <v>0</v>
      </c>
      <c r="L2563">
        <v>3</v>
      </c>
      <c r="M2563">
        <v>0</v>
      </c>
      <c r="N2563">
        <v>2</v>
      </c>
      <c r="O2563">
        <v>1</v>
      </c>
      <c r="P2563">
        <v>0</v>
      </c>
      <c r="Q2563">
        <v>0</v>
      </c>
      <c r="S2563" t="str">
        <f>"20:28:10.539"</f>
        <v>20:28:10.539</v>
      </c>
      <c r="T2563" t="str">
        <f>"20:28:09.639"</f>
        <v>20:28:09.639</v>
      </c>
      <c r="U2563" t="str">
        <f t="shared" si="125"/>
        <v>AB01F4</v>
      </c>
      <c r="V2563">
        <v>0</v>
      </c>
      <c r="W2563">
        <v>0</v>
      </c>
      <c r="X2563">
        <v>2</v>
      </c>
      <c r="Z2563">
        <v>0</v>
      </c>
      <c r="AA2563">
        <v>9</v>
      </c>
      <c r="AB2563">
        <v>3</v>
      </c>
      <c r="AC2563">
        <v>0</v>
      </c>
      <c r="AD2563">
        <v>10</v>
      </c>
      <c r="AE2563">
        <v>0</v>
      </c>
      <c r="AF2563">
        <v>3</v>
      </c>
      <c r="AG2563">
        <v>2</v>
      </c>
      <c r="AH2563">
        <v>0</v>
      </c>
      <c r="AI2563" t="s">
        <v>1531</v>
      </c>
      <c r="AJ2563">
        <v>39.999482999999998</v>
      </c>
      <c r="AK2563" t="s">
        <v>1532</v>
      </c>
      <c r="AL2563">
        <v>-92.747183000000007</v>
      </c>
      <c r="AM2563">
        <v>100</v>
      </c>
      <c r="AN2563">
        <v>1700</v>
      </c>
      <c r="AO2563" t="s">
        <v>118</v>
      </c>
      <c r="AP2563">
        <v>-106</v>
      </c>
      <c r="AQ2563">
        <v>77</v>
      </c>
      <c r="AR2563">
        <v>0</v>
      </c>
      <c r="AZ2563">
        <v>1200</v>
      </c>
      <c r="BA2563">
        <v>1</v>
      </c>
      <c r="BB2563" t="str">
        <f t="shared" si="124"/>
        <v xml:space="preserve">N8080G  </v>
      </c>
      <c r="BC2563">
        <v>1</v>
      </c>
      <c r="BE2563">
        <v>0</v>
      </c>
      <c r="BF2563">
        <v>0</v>
      </c>
      <c r="BG2563">
        <v>0</v>
      </c>
      <c r="BH2563">
        <v>1700</v>
      </c>
      <c r="BI2563">
        <v>1</v>
      </c>
      <c r="BJ2563">
        <v>1</v>
      </c>
      <c r="BK2563">
        <v>1</v>
      </c>
      <c r="BL2563">
        <v>0</v>
      </c>
      <c r="BO2563">
        <v>0</v>
      </c>
      <c r="BP2563">
        <v>0</v>
      </c>
      <c r="BW2563" t="str">
        <f>"20:28:10.547"</f>
        <v>20:28:10.547</v>
      </c>
      <c r="BZ2563">
        <v>0</v>
      </c>
      <c r="CA2563">
        <v>2016</v>
      </c>
      <c r="CB2563">
        <v>224</v>
      </c>
      <c r="CD2563">
        <v>1</v>
      </c>
      <c r="CE2563">
        <v>0</v>
      </c>
      <c r="CF2563">
        <v>0</v>
      </c>
      <c r="CG2563">
        <v>1</v>
      </c>
      <c r="CH2563">
        <v>0</v>
      </c>
      <c r="CI2563">
        <v>0</v>
      </c>
      <c r="CJ2563">
        <v>0</v>
      </c>
      <c r="CK2563">
        <v>2</v>
      </c>
      <c r="CL2563">
        <v>0</v>
      </c>
      <c r="CM2563">
        <v>2</v>
      </c>
      <c r="CN2563">
        <v>0</v>
      </c>
      <c r="CO2563">
        <v>3</v>
      </c>
      <c r="CP2563" t="s">
        <v>119</v>
      </c>
      <c r="CQ2563">
        <v>179</v>
      </c>
      <c r="CR2563">
        <v>1</v>
      </c>
      <c r="CW2563">
        <v>9015060</v>
      </c>
      <c r="CY2563">
        <v>1</v>
      </c>
      <c r="CZ2563">
        <v>0</v>
      </c>
      <c r="DA2563">
        <v>0</v>
      </c>
      <c r="DB2563">
        <v>0</v>
      </c>
      <c r="DC2563">
        <v>0</v>
      </c>
      <c r="DD2563">
        <v>0</v>
      </c>
      <c r="DE2563">
        <v>0</v>
      </c>
      <c r="DF2563">
        <v>0</v>
      </c>
      <c r="DG2563">
        <v>0</v>
      </c>
      <c r="DH2563">
        <v>0</v>
      </c>
      <c r="DI2563">
        <v>0</v>
      </c>
    </row>
    <row r="2564" spans="1:113" x14ac:dyDescent="0.3">
      <c r="A2564" t="str">
        <f>"02/08/2021 20:28:08.220"</f>
        <v>02/08/2021 20:28:08.220</v>
      </c>
      <c r="C2564" t="str">
        <f t="shared" si="123"/>
        <v>FFDFD7C0</v>
      </c>
      <c r="D2564" t="s">
        <v>113</v>
      </c>
      <c r="E2564">
        <v>6</v>
      </c>
      <c r="H2564">
        <v>165</v>
      </c>
      <c r="I2564" t="s">
        <v>114</v>
      </c>
      <c r="J2564" t="s">
        <v>115</v>
      </c>
      <c r="K2564">
        <v>0</v>
      </c>
      <c r="L2564">
        <v>3</v>
      </c>
      <c r="M2564">
        <v>0</v>
      </c>
      <c r="N2564">
        <v>2</v>
      </c>
      <c r="O2564">
        <v>1</v>
      </c>
      <c r="P2564">
        <v>0</v>
      </c>
      <c r="Q2564">
        <v>0</v>
      </c>
      <c r="S2564" t="str">
        <f>"20:28:10.539"</f>
        <v>20:28:10.539</v>
      </c>
      <c r="T2564" t="str">
        <f>"20:28:09.639"</f>
        <v>20:28:09.639</v>
      </c>
      <c r="U2564" t="str">
        <f t="shared" si="125"/>
        <v>AB01F4</v>
      </c>
      <c r="V2564">
        <v>0</v>
      </c>
      <c r="W2564">
        <v>0</v>
      </c>
      <c r="X2564">
        <v>2</v>
      </c>
      <c r="Z2564">
        <v>0</v>
      </c>
      <c r="AA2564">
        <v>9</v>
      </c>
      <c r="AB2564">
        <v>3</v>
      </c>
      <c r="AC2564">
        <v>0</v>
      </c>
      <c r="AD2564">
        <v>10</v>
      </c>
      <c r="AE2564">
        <v>0</v>
      </c>
      <c r="AF2564">
        <v>3</v>
      </c>
      <c r="AG2564">
        <v>2</v>
      </c>
      <c r="AH2564">
        <v>0</v>
      </c>
      <c r="AI2564" t="s">
        <v>1531</v>
      </c>
      <c r="AJ2564">
        <v>39.999482999999998</v>
      </c>
      <c r="AK2564" t="s">
        <v>1532</v>
      </c>
      <c r="AL2564">
        <v>-92.747183000000007</v>
      </c>
      <c r="AM2564">
        <v>100</v>
      </c>
      <c r="AN2564">
        <v>1700</v>
      </c>
      <c r="AO2564" t="s">
        <v>118</v>
      </c>
      <c r="AP2564">
        <v>-106</v>
      </c>
      <c r="AQ2564">
        <v>77</v>
      </c>
      <c r="AR2564">
        <v>0</v>
      </c>
      <c r="AZ2564">
        <v>1200</v>
      </c>
      <c r="BA2564">
        <v>1</v>
      </c>
      <c r="BB2564" t="str">
        <f t="shared" si="124"/>
        <v xml:space="preserve">N8080G  </v>
      </c>
      <c r="BC2564">
        <v>1</v>
      </c>
      <c r="BE2564">
        <v>0</v>
      </c>
      <c r="BF2564">
        <v>0</v>
      </c>
      <c r="BG2564">
        <v>0</v>
      </c>
      <c r="BH2564">
        <v>1700</v>
      </c>
      <c r="BI2564">
        <v>1</v>
      </c>
      <c r="BJ2564">
        <v>1</v>
      </c>
      <c r="BK2564">
        <v>1</v>
      </c>
      <c r="BL2564">
        <v>0</v>
      </c>
      <c r="BO2564">
        <v>0</v>
      </c>
      <c r="BP2564">
        <v>0</v>
      </c>
      <c r="BW2564" t="str">
        <f>"20:28:10.547"</f>
        <v>20:28:10.547</v>
      </c>
      <c r="BZ2564">
        <v>0</v>
      </c>
      <c r="CA2564">
        <v>2016</v>
      </c>
      <c r="CB2564">
        <v>224</v>
      </c>
      <c r="CD2564">
        <v>1</v>
      </c>
      <c r="CE2564">
        <v>0</v>
      </c>
      <c r="CF2564">
        <v>0</v>
      </c>
      <c r="CG2564">
        <v>1</v>
      </c>
      <c r="CH2564">
        <v>0</v>
      </c>
      <c r="CI2564">
        <v>0</v>
      </c>
      <c r="CJ2564">
        <v>0</v>
      </c>
      <c r="CK2564">
        <v>2</v>
      </c>
      <c r="CL2564">
        <v>0</v>
      </c>
      <c r="CM2564">
        <v>2</v>
      </c>
      <c r="CN2564">
        <v>0</v>
      </c>
      <c r="CO2564">
        <v>3</v>
      </c>
      <c r="CP2564" t="s">
        <v>119</v>
      </c>
      <c r="CQ2564">
        <v>179</v>
      </c>
      <c r="CR2564">
        <v>1</v>
      </c>
      <c r="CW2564">
        <v>9015060</v>
      </c>
      <c r="CY2564">
        <v>1</v>
      </c>
      <c r="CZ2564">
        <v>0</v>
      </c>
      <c r="DA2564">
        <v>1</v>
      </c>
      <c r="DB2564">
        <v>0</v>
      </c>
      <c r="DC2564">
        <v>0</v>
      </c>
      <c r="DD2564">
        <v>0</v>
      </c>
      <c r="DE2564">
        <v>0</v>
      </c>
      <c r="DF2564">
        <v>0</v>
      </c>
      <c r="DG2564">
        <v>0</v>
      </c>
      <c r="DH2564">
        <v>0</v>
      </c>
      <c r="DI2564">
        <v>0</v>
      </c>
    </row>
    <row r="2565" spans="1:113" x14ac:dyDescent="0.3">
      <c r="A2565" t="str">
        <f>"02/08/2021 20:28:08.220"</f>
        <v>02/08/2021 20:28:08.220</v>
      </c>
      <c r="C2565" t="str">
        <f t="shared" si="123"/>
        <v>FFDFD7C0</v>
      </c>
      <c r="D2565" t="s">
        <v>124</v>
      </c>
      <c r="E2565">
        <v>13</v>
      </c>
      <c r="F2565">
        <v>1013</v>
      </c>
      <c r="G2565" t="s">
        <v>114</v>
      </c>
      <c r="J2565" t="s">
        <v>125</v>
      </c>
      <c r="K2565">
        <v>0</v>
      </c>
      <c r="L2565">
        <v>3</v>
      </c>
      <c r="M2565">
        <v>0</v>
      </c>
      <c r="N2565">
        <v>2</v>
      </c>
      <c r="O2565">
        <v>1</v>
      </c>
      <c r="P2565">
        <v>0</v>
      </c>
      <c r="Q2565">
        <v>0</v>
      </c>
      <c r="S2565" t="str">
        <f>"20:28:10.539"</f>
        <v>20:28:10.539</v>
      </c>
      <c r="T2565" t="str">
        <f>"20:28:09.639"</f>
        <v>20:28:09.639</v>
      </c>
      <c r="U2565" t="str">
        <f t="shared" si="125"/>
        <v>AB01F4</v>
      </c>
      <c r="V2565">
        <v>0</v>
      </c>
      <c r="W2565">
        <v>0</v>
      </c>
      <c r="X2565">
        <v>2</v>
      </c>
      <c r="Z2565">
        <v>0</v>
      </c>
      <c r="AA2565">
        <v>9</v>
      </c>
      <c r="AB2565">
        <v>3</v>
      </c>
      <c r="AC2565">
        <v>0</v>
      </c>
      <c r="AD2565">
        <v>10</v>
      </c>
      <c r="AE2565">
        <v>0</v>
      </c>
      <c r="AF2565">
        <v>3</v>
      </c>
      <c r="AG2565">
        <v>2</v>
      </c>
      <c r="AH2565">
        <v>0</v>
      </c>
      <c r="AI2565" t="s">
        <v>1531</v>
      </c>
      <c r="AJ2565">
        <v>39.999482999999998</v>
      </c>
      <c r="AK2565" t="s">
        <v>1532</v>
      </c>
      <c r="AL2565">
        <v>-92.747183000000007</v>
      </c>
      <c r="AM2565">
        <v>100</v>
      </c>
      <c r="AN2565">
        <v>1700</v>
      </c>
      <c r="AO2565" t="s">
        <v>118</v>
      </c>
      <c r="AP2565">
        <v>-106</v>
      </c>
      <c r="AQ2565">
        <v>77</v>
      </c>
      <c r="AR2565">
        <v>0</v>
      </c>
      <c r="AZ2565">
        <v>1200</v>
      </c>
      <c r="BA2565">
        <v>1</v>
      </c>
      <c r="BB2565" t="str">
        <f t="shared" si="124"/>
        <v xml:space="preserve">N8080G  </v>
      </c>
      <c r="BC2565">
        <v>1</v>
      </c>
      <c r="BE2565">
        <v>0</v>
      </c>
      <c r="BF2565">
        <v>0</v>
      </c>
      <c r="BG2565">
        <v>0</v>
      </c>
      <c r="BH2565">
        <v>1700</v>
      </c>
      <c r="BI2565">
        <v>1</v>
      </c>
      <c r="BJ2565">
        <v>1</v>
      </c>
      <c r="BK2565">
        <v>1</v>
      </c>
      <c r="BL2565">
        <v>0</v>
      </c>
      <c r="BO2565">
        <v>0</v>
      </c>
      <c r="BP2565">
        <v>0</v>
      </c>
      <c r="BW2565" t="str">
        <f>"20:28:10.547"</f>
        <v>20:28:10.547</v>
      </c>
      <c r="BZ2565">
        <v>0</v>
      </c>
      <c r="CA2565">
        <v>2016</v>
      </c>
      <c r="CB2565">
        <v>224</v>
      </c>
      <c r="CD2565">
        <v>1</v>
      </c>
      <c r="CE2565">
        <v>0</v>
      </c>
      <c r="CF2565">
        <v>0</v>
      </c>
      <c r="CG2565">
        <v>1</v>
      </c>
      <c r="CH2565">
        <v>0</v>
      </c>
      <c r="CI2565">
        <v>0</v>
      </c>
      <c r="CJ2565">
        <v>0</v>
      </c>
      <c r="CK2565">
        <v>2</v>
      </c>
      <c r="CL2565">
        <v>0</v>
      </c>
      <c r="CM2565">
        <v>2</v>
      </c>
      <c r="CN2565">
        <v>0</v>
      </c>
      <c r="CO2565">
        <v>3</v>
      </c>
      <c r="CP2565" t="s">
        <v>119</v>
      </c>
      <c r="CQ2565">
        <v>179</v>
      </c>
      <c r="CR2565">
        <v>1</v>
      </c>
      <c r="CW2565">
        <v>9015060</v>
      </c>
      <c r="CY2565">
        <v>1</v>
      </c>
      <c r="CZ2565">
        <v>0</v>
      </c>
      <c r="DA2565">
        <v>1</v>
      </c>
      <c r="DB2565">
        <v>0</v>
      </c>
      <c r="DC2565">
        <v>0</v>
      </c>
      <c r="DD2565">
        <v>0</v>
      </c>
      <c r="DE2565">
        <v>0</v>
      </c>
      <c r="DF2565">
        <v>0</v>
      </c>
      <c r="DG2565">
        <v>0</v>
      </c>
      <c r="DH2565">
        <v>0</v>
      </c>
      <c r="DI2565">
        <v>0</v>
      </c>
    </row>
    <row r="2566" spans="1:113" x14ac:dyDescent="0.3">
      <c r="A2566" t="str">
        <f>"02/08/2021 20:28:08.220"</f>
        <v>02/08/2021 20:28:08.220</v>
      </c>
      <c r="C2566" t="str">
        <f t="shared" si="123"/>
        <v>FFDFD7C0</v>
      </c>
      <c r="D2566" t="s">
        <v>124</v>
      </c>
      <c r="E2566">
        <v>12</v>
      </c>
      <c r="F2566">
        <v>1012</v>
      </c>
      <c r="G2566" t="s">
        <v>675</v>
      </c>
      <c r="J2566" t="s">
        <v>125</v>
      </c>
      <c r="K2566">
        <v>0</v>
      </c>
      <c r="L2566">
        <v>3</v>
      </c>
      <c r="M2566">
        <v>0</v>
      </c>
      <c r="N2566">
        <v>2</v>
      </c>
      <c r="O2566">
        <v>1</v>
      </c>
      <c r="P2566">
        <v>0</v>
      </c>
      <c r="Q2566">
        <v>0</v>
      </c>
      <c r="S2566" t="str">
        <f>"20:28:10.539"</f>
        <v>20:28:10.539</v>
      </c>
      <c r="T2566" t="str">
        <f>"20:28:09.639"</f>
        <v>20:28:09.639</v>
      </c>
      <c r="U2566" t="str">
        <f t="shared" si="125"/>
        <v>AB01F4</v>
      </c>
      <c r="V2566">
        <v>0</v>
      </c>
      <c r="W2566">
        <v>0</v>
      </c>
      <c r="X2566">
        <v>2</v>
      </c>
      <c r="Z2566">
        <v>0</v>
      </c>
      <c r="AA2566">
        <v>9</v>
      </c>
      <c r="AB2566">
        <v>3</v>
      </c>
      <c r="AC2566">
        <v>0</v>
      </c>
      <c r="AD2566">
        <v>10</v>
      </c>
      <c r="AE2566">
        <v>0</v>
      </c>
      <c r="AF2566">
        <v>3</v>
      </c>
      <c r="AG2566">
        <v>2</v>
      </c>
      <c r="AH2566">
        <v>0</v>
      </c>
      <c r="AI2566" t="s">
        <v>1531</v>
      </c>
      <c r="AJ2566">
        <v>39.999482999999998</v>
      </c>
      <c r="AK2566" t="s">
        <v>1532</v>
      </c>
      <c r="AL2566">
        <v>-92.747183000000007</v>
      </c>
      <c r="AM2566">
        <v>100</v>
      </c>
      <c r="AN2566">
        <v>1700</v>
      </c>
      <c r="AO2566" t="s">
        <v>118</v>
      </c>
      <c r="AP2566">
        <v>-106</v>
      </c>
      <c r="AQ2566">
        <v>77</v>
      </c>
      <c r="AR2566">
        <v>0</v>
      </c>
      <c r="AZ2566">
        <v>1200</v>
      </c>
      <c r="BA2566">
        <v>1</v>
      </c>
      <c r="BB2566" t="str">
        <f t="shared" si="124"/>
        <v xml:space="preserve">N8080G  </v>
      </c>
      <c r="BC2566">
        <v>1</v>
      </c>
      <c r="BE2566">
        <v>0</v>
      </c>
      <c r="BF2566">
        <v>0</v>
      </c>
      <c r="BG2566">
        <v>0</v>
      </c>
      <c r="BH2566">
        <v>1700</v>
      </c>
      <c r="BI2566">
        <v>1</v>
      </c>
      <c r="BJ2566">
        <v>1</v>
      </c>
      <c r="BK2566">
        <v>1</v>
      </c>
      <c r="BL2566">
        <v>0</v>
      </c>
      <c r="BO2566">
        <v>0</v>
      </c>
      <c r="BP2566">
        <v>0</v>
      </c>
      <c r="BW2566" t="str">
        <f>"20:28:10.547"</f>
        <v>20:28:10.547</v>
      </c>
      <c r="BZ2566">
        <v>0</v>
      </c>
      <c r="CA2566">
        <v>2016</v>
      </c>
      <c r="CB2566">
        <v>224</v>
      </c>
      <c r="CD2566">
        <v>1</v>
      </c>
      <c r="CE2566">
        <v>0</v>
      </c>
      <c r="CF2566">
        <v>0</v>
      </c>
      <c r="CG2566">
        <v>1</v>
      </c>
      <c r="CH2566">
        <v>0</v>
      </c>
      <c r="CI2566">
        <v>0</v>
      </c>
      <c r="CJ2566">
        <v>0</v>
      </c>
      <c r="CK2566">
        <v>2</v>
      </c>
      <c r="CL2566">
        <v>0</v>
      </c>
      <c r="CM2566">
        <v>2</v>
      </c>
      <c r="CN2566">
        <v>0</v>
      </c>
      <c r="CO2566">
        <v>3</v>
      </c>
      <c r="CP2566" t="s">
        <v>119</v>
      </c>
      <c r="CQ2566">
        <v>179</v>
      </c>
      <c r="CR2566">
        <v>1</v>
      </c>
      <c r="CW2566">
        <v>9015060</v>
      </c>
      <c r="CY2566">
        <v>1</v>
      </c>
      <c r="CZ2566">
        <v>0</v>
      </c>
      <c r="DA2566">
        <v>1</v>
      </c>
      <c r="DB2566">
        <v>0</v>
      </c>
      <c r="DC2566">
        <v>0</v>
      </c>
      <c r="DD2566">
        <v>0</v>
      </c>
      <c r="DE2566">
        <v>0</v>
      </c>
      <c r="DF2566">
        <v>0</v>
      </c>
      <c r="DG2566">
        <v>0</v>
      </c>
      <c r="DH2566">
        <v>0</v>
      </c>
      <c r="DI2566">
        <v>0</v>
      </c>
    </row>
    <row r="2567" spans="1:113" x14ac:dyDescent="0.3">
      <c r="A2567" t="str">
        <f>"02/08/2021 20:28:12.253"</f>
        <v>02/08/2021 20:28:12.253</v>
      </c>
      <c r="C2567" t="str">
        <f t="shared" si="123"/>
        <v>FFDFD7C0</v>
      </c>
      <c r="D2567" t="s">
        <v>124</v>
      </c>
      <c r="E2567">
        <v>11</v>
      </c>
      <c r="F2567">
        <v>1011</v>
      </c>
      <c r="G2567" t="s">
        <v>590</v>
      </c>
      <c r="J2567" t="s">
        <v>125</v>
      </c>
      <c r="K2567">
        <v>0</v>
      </c>
      <c r="L2567">
        <v>3</v>
      </c>
      <c r="M2567">
        <v>0</v>
      </c>
      <c r="N2567">
        <v>2</v>
      </c>
      <c r="O2567">
        <v>1</v>
      </c>
      <c r="P2567">
        <v>0</v>
      </c>
      <c r="Q2567">
        <v>0</v>
      </c>
      <c r="S2567" t="str">
        <f>"20:28:14.547"</f>
        <v>20:28:14.547</v>
      </c>
      <c r="T2567" t="str">
        <f>"20:28:14.047"</f>
        <v>20:28:14.047</v>
      </c>
      <c r="U2567" t="str">
        <f t="shared" si="125"/>
        <v>AB01F4</v>
      </c>
      <c r="V2567">
        <v>0</v>
      </c>
      <c r="W2567">
        <v>0</v>
      </c>
      <c r="X2567">
        <v>2</v>
      </c>
      <c r="Z2567">
        <v>0</v>
      </c>
      <c r="AA2567">
        <v>9</v>
      </c>
      <c r="AB2567">
        <v>3</v>
      </c>
      <c r="AC2567">
        <v>0</v>
      </c>
      <c r="AD2567">
        <v>10</v>
      </c>
      <c r="AE2567">
        <v>0</v>
      </c>
      <c r="AF2567">
        <v>3</v>
      </c>
      <c r="AG2567">
        <v>2</v>
      </c>
      <c r="AH2567">
        <v>0</v>
      </c>
      <c r="AI2567" t="s">
        <v>1533</v>
      </c>
      <c r="AJ2567">
        <v>40.000898999999997</v>
      </c>
      <c r="AK2567" t="s">
        <v>1534</v>
      </c>
      <c r="AL2567">
        <v>-92.749758</v>
      </c>
      <c r="AM2567">
        <v>100</v>
      </c>
      <c r="AN2567">
        <v>1700</v>
      </c>
      <c r="AO2567" t="s">
        <v>118</v>
      </c>
      <c r="AP2567">
        <v>-106</v>
      </c>
      <c r="AQ2567">
        <v>77</v>
      </c>
      <c r="AR2567">
        <v>64</v>
      </c>
      <c r="AZ2567">
        <v>1200</v>
      </c>
      <c r="BA2567">
        <v>1</v>
      </c>
      <c r="BB2567" t="str">
        <f t="shared" si="124"/>
        <v xml:space="preserve">N8080G  </v>
      </c>
      <c r="BC2567">
        <v>1</v>
      </c>
      <c r="BE2567">
        <v>0</v>
      </c>
      <c r="BF2567">
        <v>0</v>
      </c>
      <c r="BG2567">
        <v>0</v>
      </c>
      <c r="BH2567">
        <v>1700</v>
      </c>
      <c r="BI2567">
        <v>1</v>
      </c>
      <c r="BJ2567">
        <v>1</v>
      </c>
      <c r="BK2567">
        <v>1</v>
      </c>
      <c r="BL2567">
        <v>0</v>
      </c>
      <c r="BO2567">
        <v>0</v>
      </c>
      <c r="BP2567">
        <v>0</v>
      </c>
      <c r="BW2567" t="str">
        <f>"20:28:14.554"</f>
        <v>20:28:14.554</v>
      </c>
      <c r="BZ2567">
        <v>0</v>
      </c>
      <c r="CA2567">
        <v>2016</v>
      </c>
      <c r="CB2567">
        <v>224</v>
      </c>
      <c r="CD2567">
        <v>1</v>
      </c>
      <c r="CE2567">
        <v>0</v>
      </c>
      <c r="CF2567">
        <v>0</v>
      </c>
      <c r="CG2567">
        <v>1</v>
      </c>
      <c r="CH2567">
        <v>0</v>
      </c>
      <c r="CI2567">
        <v>0</v>
      </c>
      <c r="CJ2567">
        <v>0</v>
      </c>
      <c r="CK2567">
        <v>2</v>
      </c>
      <c r="CL2567">
        <v>0</v>
      </c>
      <c r="CM2567">
        <v>2</v>
      </c>
      <c r="CN2567">
        <v>0</v>
      </c>
      <c r="CO2567">
        <v>7</v>
      </c>
      <c r="CP2567" t="s">
        <v>119</v>
      </c>
      <c r="CQ2567">
        <v>180</v>
      </c>
      <c r="CR2567">
        <v>2</v>
      </c>
      <c r="CW2567">
        <v>8566434</v>
      </c>
      <c r="CY2567">
        <v>1</v>
      </c>
      <c r="CZ2567">
        <v>0</v>
      </c>
      <c r="DA2567">
        <v>0</v>
      </c>
      <c r="DB2567">
        <v>0</v>
      </c>
      <c r="DC2567">
        <v>0</v>
      </c>
      <c r="DD2567">
        <v>0</v>
      </c>
      <c r="DE2567">
        <v>0</v>
      </c>
      <c r="DF2567">
        <v>0</v>
      </c>
      <c r="DG2567">
        <v>0</v>
      </c>
      <c r="DH2567">
        <v>0</v>
      </c>
      <c r="DI2567">
        <v>0</v>
      </c>
    </row>
    <row r="2568" spans="1:113" x14ac:dyDescent="0.3">
      <c r="A2568" t="str">
        <f>"02/08/2021 20:28:12.253"</f>
        <v>02/08/2021 20:28:12.253</v>
      </c>
      <c r="C2568" t="str">
        <f t="shared" si="123"/>
        <v>FFDFD7C0</v>
      </c>
      <c r="D2568" t="s">
        <v>124</v>
      </c>
      <c r="E2568">
        <v>13</v>
      </c>
      <c r="F2568">
        <v>1013</v>
      </c>
      <c r="G2568" t="s">
        <v>114</v>
      </c>
      <c r="J2568" t="s">
        <v>125</v>
      </c>
      <c r="K2568">
        <v>0</v>
      </c>
      <c r="L2568">
        <v>3</v>
      </c>
      <c r="M2568">
        <v>0</v>
      </c>
      <c r="N2568">
        <v>2</v>
      </c>
      <c r="O2568">
        <v>1</v>
      </c>
      <c r="P2568">
        <v>0</v>
      </c>
      <c r="Q2568">
        <v>0</v>
      </c>
      <c r="S2568" t="str">
        <f>"20:28:14.547"</f>
        <v>20:28:14.547</v>
      </c>
      <c r="T2568" t="str">
        <f>"20:28:14.047"</f>
        <v>20:28:14.047</v>
      </c>
      <c r="U2568" t="str">
        <f t="shared" si="125"/>
        <v>AB01F4</v>
      </c>
      <c r="V2568">
        <v>0</v>
      </c>
      <c r="W2568">
        <v>0</v>
      </c>
      <c r="X2568">
        <v>2</v>
      </c>
      <c r="Z2568">
        <v>0</v>
      </c>
      <c r="AA2568">
        <v>9</v>
      </c>
      <c r="AB2568">
        <v>3</v>
      </c>
      <c r="AC2568">
        <v>0</v>
      </c>
      <c r="AD2568">
        <v>10</v>
      </c>
      <c r="AE2568">
        <v>0</v>
      </c>
      <c r="AF2568">
        <v>3</v>
      </c>
      <c r="AG2568">
        <v>2</v>
      </c>
      <c r="AH2568">
        <v>0</v>
      </c>
      <c r="AI2568" t="s">
        <v>1533</v>
      </c>
      <c r="AJ2568">
        <v>40.000898999999997</v>
      </c>
      <c r="AK2568" t="s">
        <v>1534</v>
      </c>
      <c r="AL2568">
        <v>-92.749758</v>
      </c>
      <c r="AM2568">
        <v>100</v>
      </c>
      <c r="AN2568">
        <v>1700</v>
      </c>
      <c r="AO2568" t="s">
        <v>118</v>
      </c>
      <c r="AP2568">
        <v>-106</v>
      </c>
      <c r="AQ2568">
        <v>77</v>
      </c>
      <c r="AR2568">
        <v>64</v>
      </c>
      <c r="AZ2568">
        <v>1200</v>
      </c>
      <c r="BA2568">
        <v>1</v>
      </c>
      <c r="BB2568" t="str">
        <f t="shared" si="124"/>
        <v xml:space="preserve">N8080G  </v>
      </c>
      <c r="BC2568">
        <v>1</v>
      </c>
      <c r="BE2568">
        <v>0</v>
      </c>
      <c r="BF2568">
        <v>0</v>
      </c>
      <c r="BG2568">
        <v>0</v>
      </c>
      <c r="BH2568">
        <v>1700</v>
      </c>
      <c r="BI2568">
        <v>1</v>
      </c>
      <c r="BJ2568">
        <v>1</v>
      </c>
      <c r="BK2568">
        <v>1</v>
      </c>
      <c r="BL2568">
        <v>0</v>
      </c>
      <c r="BO2568">
        <v>0</v>
      </c>
      <c r="BP2568">
        <v>0</v>
      </c>
      <c r="BW2568" t="str">
        <f>"20:28:14.554"</f>
        <v>20:28:14.554</v>
      </c>
      <c r="BZ2568">
        <v>0</v>
      </c>
      <c r="CA2568">
        <v>2016</v>
      </c>
      <c r="CB2568">
        <v>224</v>
      </c>
      <c r="CD2568">
        <v>1</v>
      </c>
      <c r="CE2568">
        <v>0</v>
      </c>
      <c r="CF2568">
        <v>0</v>
      </c>
      <c r="CG2568">
        <v>1</v>
      </c>
      <c r="CH2568">
        <v>0</v>
      </c>
      <c r="CI2568">
        <v>0</v>
      </c>
      <c r="CJ2568">
        <v>0</v>
      </c>
      <c r="CK2568">
        <v>2</v>
      </c>
      <c r="CL2568">
        <v>0</v>
      </c>
      <c r="CM2568">
        <v>2</v>
      </c>
      <c r="CN2568">
        <v>0</v>
      </c>
      <c r="CO2568">
        <v>7</v>
      </c>
      <c r="CP2568" t="s">
        <v>119</v>
      </c>
      <c r="CQ2568">
        <v>180</v>
      </c>
      <c r="CR2568">
        <v>2</v>
      </c>
      <c r="CW2568">
        <v>8566434</v>
      </c>
      <c r="CY2568">
        <v>1</v>
      </c>
      <c r="CZ2568">
        <v>0</v>
      </c>
      <c r="DA2568">
        <v>1</v>
      </c>
      <c r="DB2568">
        <v>0</v>
      </c>
      <c r="DC2568">
        <v>0</v>
      </c>
      <c r="DD2568">
        <v>0</v>
      </c>
      <c r="DE2568">
        <v>0</v>
      </c>
      <c r="DF2568">
        <v>0</v>
      </c>
      <c r="DG2568">
        <v>0</v>
      </c>
      <c r="DH2568">
        <v>0</v>
      </c>
      <c r="DI2568">
        <v>0</v>
      </c>
    </row>
    <row r="2569" spans="1:113" x14ac:dyDescent="0.3">
      <c r="A2569" t="str">
        <f>"02/08/2021 20:28:12.253"</f>
        <v>02/08/2021 20:28:12.253</v>
      </c>
      <c r="C2569" t="str">
        <f t="shared" si="123"/>
        <v>FFDFD7C0</v>
      </c>
      <c r="D2569" t="s">
        <v>113</v>
      </c>
      <c r="E2569">
        <v>6</v>
      </c>
      <c r="H2569">
        <v>165</v>
      </c>
      <c r="I2569" t="s">
        <v>114</v>
      </c>
      <c r="J2569" t="s">
        <v>115</v>
      </c>
      <c r="K2569">
        <v>0</v>
      </c>
      <c r="L2569">
        <v>3</v>
      </c>
      <c r="M2569">
        <v>0</v>
      </c>
      <c r="N2569">
        <v>2</v>
      </c>
      <c r="O2569">
        <v>1</v>
      </c>
      <c r="P2569">
        <v>0</v>
      </c>
      <c r="Q2569">
        <v>0</v>
      </c>
      <c r="S2569" t="str">
        <f>"20:28:14.547"</f>
        <v>20:28:14.547</v>
      </c>
      <c r="T2569" t="str">
        <f>"20:28:14.047"</f>
        <v>20:28:14.047</v>
      </c>
      <c r="U2569" t="str">
        <f t="shared" si="125"/>
        <v>AB01F4</v>
      </c>
      <c r="V2569">
        <v>0</v>
      </c>
      <c r="W2569">
        <v>0</v>
      </c>
      <c r="X2569">
        <v>2</v>
      </c>
      <c r="Z2569">
        <v>0</v>
      </c>
      <c r="AA2569">
        <v>9</v>
      </c>
      <c r="AB2569">
        <v>3</v>
      </c>
      <c r="AC2569">
        <v>0</v>
      </c>
      <c r="AD2569">
        <v>10</v>
      </c>
      <c r="AE2569">
        <v>0</v>
      </c>
      <c r="AF2569">
        <v>3</v>
      </c>
      <c r="AG2569">
        <v>2</v>
      </c>
      <c r="AH2569">
        <v>0</v>
      </c>
      <c r="AI2569" t="s">
        <v>1533</v>
      </c>
      <c r="AJ2569">
        <v>40.000898999999997</v>
      </c>
      <c r="AK2569" t="s">
        <v>1534</v>
      </c>
      <c r="AL2569">
        <v>-92.749758</v>
      </c>
      <c r="AM2569">
        <v>100</v>
      </c>
      <c r="AN2569">
        <v>1700</v>
      </c>
      <c r="AO2569" t="s">
        <v>118</v>
      </c>
      <c r="AP2569">
        <v>-106</v>
      </c>
      <c r="AQ2569">
        <v>77</v>
      </c>
      <c r="AR2569">
        <v>64</v>
      </c>
      <c r="AZ2569">
        <v>1200</v>
      </c>
      <c r="BA2569">
        <v>1</v>
      </c>
      <c r="BB2569" t="str">
        <f t="shared" si="124"/>
        <v xml:space="preserve">N8080G  </v>
      </c>
      <c r="BC2569">
        <v>1</v>
      </c>
      <c r="BE2569">
        <v>0</v>
      </c>
      <c r="BF2569">
        <v>0</v>
      </c>
      <c r="BG2569">
        <v>0</v>
      </c>
      <c r="BH2569">
        <v>1700</v>
      </c>
      <c r="BI2569">
        <v>1</v>
      </c>
      <c r="BJ2569">
        <v>1</v>
      </c>
      <c r="BK2569">
        <v>1</v>
      </c>
      <c r="BL2569">
        <v>0</v>
      </c>
      <c r="BO2569">
        <v>0</v>
      </c>
      <c r="BP2569">
        <v>0</v>
      </c>
      <c r="BW2569" t="str">
        <f>"20:28:14.554"</f>
        <v>20:28:14.554</v>
      </c>
      <c r="BZ2569">
        <v>0</v>
      </c>
      <c r="CA2569">
        <v>2016</v>
      </c>
      <c r="CB2569">
        <v>224</v>
      </c>
      <c r="CD2569">
        <v>1</v>
      </c>
      <c r="CE2569">
        <v>0</v>
      </c>
      <c r="CF2569">
        <v>0</v>
      </c>
      <c r="CG2569">
        <v>1</v>
      </c>
      <c r="CH2569">
        <v>0</v>
      </c>
      <c r="CI2569">
        <v>0</v>
      </c>
      <c r="CJ2569">
        <v>0</v>
      </c>
      <c r="CK2569">
        <v>2</v>
      </c>
      <c r="CL2569">
        <v>0</v>
      </c>
      <c r="CM2569">
        <v>2</v>
      </c>
      <c r="CN2569">
        <v>0</v>
      </c>
      <c r="CO2569">
        <v>7</v>
      </c>
      <c r="CP2569" t="s">
        <v>119</v>
      </c>
      <c r="CQ2569">
        <v>180</v>
      </c>
      <c r="CR2569">
        <v>2</v>
      </c>
      <c r="CW2569">
        <v>8566434</v>
      </c>
      <c r="CY2569">
        <v>1</v>
      </c>
      <c r="CZ2569">
        <v>0</v>
      </c>
      <c r="DA2569">
        <v>1</v>
      </c>
      <c r="DB2569">
        <v>0</v>
      </c>
      <c r="DC2569">
        <v>0</v>
      </c>
      <c r="DD2569">
        <v>0</v>
      </c>
      <c r="DE2569">
        <v>0</v>
      </c>
      <c r="DF2569">
        <v>0</v>
      </c>
      <c r="DG2569">
        <v>0</v>
      </c>
      <c r="DH2569">
        <v>0</v>
      </c>
      <c r="DI2569">
        <v>0</v>
      </c>
    </row>
    <row r="2570" spans="1:113" x14ac:dyDescent="0.3">
      <c r="A2570" t="str">
        <f>"02/08/2021 20:28:12.253"</f>
        <v>02/08/2021 20:28:12.253</v>
      </c>
      <c r="C2570" t="str">
        <f t="shared" si="123"/>
        <v>FFDFD7C0</v>
      </c>
      <c r="D2570" t="s">
        <v>124</v>
      </c>
      <c r="E2570">
        <v>12</v>
      </c>
      <c r="F2570">
        <v>1012</v>
      </c>
      <c r="G2570" t="s">
        <v>675</v>
      </c>
      <c r="J2570" t="s">
        <v>125</v>
      </c>
      <c r="K2570">
        <v>0</v>
      </c>
      <c r="L2570">
        <v>3</v>
      </c>
      <c r="M2570">
        <v>0</v>
      </c>
      <c r="N2570">
        <v>2</v>
      </c>
      <c r="O2570">
        <v>1</v>
      </c>
      <c r="P2570">
        <v>0</v>
      </c>
      <c r="Q2570">
        <v>0</v>
      </c>
      <c r="S2570" t="str">
        <f>"20:28:14.547"</f>
        <v>20:28:14.547</v>
      </c>
      <c r="T2570" t="str">
        <f>"20:28:14.047"</f>
        <v>20:28:14.047</v>
      </c>
      <c r="U2570" t="str">
        <f t="shared" si="125"/>
        <v>AB01F4</v>
      </c>
      <c r="V2570">
        <v>0</v>
      </c>
      <c r="W2570">
        <v>0</v>
      </c>
      <c r="X2570">
        <v>2</v>
      </c>
      <c r="Z2570">
        <v>0</v>
      </c>
      <c r="AA2570">
        <v>9</v>
      </c>
      <c r="AB2570">
        <v>3</v>
      </c>
      <c r="AC2570">
        <v>0</v>
      </c>
      <c r="AD2570">
        <v>10</v>
      </c>
      <c r="AE2570">
        <v>0</v>
      </c>
      <c r="AF2570">
        <v>3</v>
      </c>
      <c r="AG2570">
        <v>2</v>
      </c>
      <c r="AH2570">
        <v>0</v>
      </c>
      <c r="AI2570" t="s">
        <v>1533</v>
      </c>
      <c r="AJ2570">
        <v>40.000898999999997</v>
      </c>
      <c r="AK2570" t="s">
        <v>1534</v>
      </c>
      <c r="AL2570">
        <v>-92.749758</v>
      </c>
      <c r="AM2570">
        <v>100</v>
      </c>
      <c r="AN2570">
        <v>1700</v>
      </c>
      <c r="AO2570" t="s">
        <v>118</v>
      </c>
      <c r="AP2570">
        <v>-106</v>
      </c>
      <c r="AQ2570">
        <v>77</v>
      </c>
      <c r="AR2570">
        <v>64</v>
      </c>
      <c r="AZ2570">
        <v>1200</v>
      </c>
      <c r="BA2570">
        <v>1</v>
      </c>
      <c r="BB2570" t="str">
        <f t="shared" si="124"/>
        <v xml:space="preserve">N8080G  </v>
      </c>
      <c r="BC2570">
        <v>1</v>
      </c>
      <c r="BE2570">
        <v>0</v>
      </c>
      <c r="BF2570">
        <v>0</v>
      </c>
      <c r="BG2570">
        <v>0</v>
      </c>
      <c r="BH2570">
        <v>1700</v>
      </c>
      <c r="BI2570">
        <v>1</v>
      </c>
      <c r="BJ2570">
        <v>1</v>
      </c>
      <c r="BK2570">
        <v>1</v>
      </c>
      <c r="BL2570">
        <v>0</v>
      </c>
      <c r="BO2570">
        <v>0</v>
      </c>
      <c r="BP2570">
        <v>0</v>
      </c>
      <c r="BW2570" t="str">
        <f>"20:28:14.554"</f>
        <v>20:28:14.554</v>
      </c>
      <c r="BZ2570">
        <v>0</v>
      </c>
      <c r="CA2570">
        <v>2016</v>
      </c>
      <c r="CB2570">
        <v>224</v>
      </c>
      <c r="CD2570">
        <v>1</v>
      </c>
      <c r="CE2570">
        <v>0</v>
      </c>
      <c r="CF2570">
        <v>0</v>
      </c>
      <c r="CG2570">
        <v>1</v>
      </c>
      <c r="CH2570">
        <v>0</v>
      </c>
      <c r="CI2570">
        <v>0</v>
      </c>
      <c r="CJ2570">
        <v>0</v>
      </c>
      <c r="CK2570">
        <v>2</v>
      </c>
      <c r="CL2570">
        <v>0</v>
      </c>
      <c r="CM2570">
        <v>2</v>
      </c>
      <c r="CN2570">
        <v>0</v>
      </c>
      <c r="CO2570">
        <v>7</v>
      </c>
      <c r="CP2570" t="s">
        <v>119</v>
      </c>
      <c r="CQ2570">
        <v>180</v>
      </c>
      <c r="CR2570">
        <v>2</v>
      </c>
      <c r="CW2570">
        <v>8566434</v>
      </c>
      <c r="CY2570">
        <v>1</v>
      </c>
      <c r="CZ2570">
        <v>0</v>
      </c>
      <c r="DA2570">
        <v>1</v>
      </c>
      <c r="DB2570">
        <v>0</v>
      </c>
      <c r="DC2570">
        <v>0</v>
      </c>
      <c r="DD2570">
        <v>0</v>
      </c>
      <c r="DE2570">
        <v>0</v>
      </c>
      <c r="DF2570">
        <v>0</v>
      </c>
      <c r="DG2570">
        <v>0</v>
      </c>
      <c r="DH2570">
        <v>0</v>
      </c>
      <c r="DI2570">
        <v>0</v>
      </c>
    </row>
    <row r="2571" spans="1:113" x14ac:dyDescent="0.3">
      <c r="A2571" t="str">
        <f>"02/08/2021 20:28:13.359"</f>
        <v>02/08/2021 20:28:13.359</v>
      </c>
      <c r="C2571" t="str">
        <f t="shared" si="123"/>
        <v>FFDFD7C0</v>
      </c>
      <c r="D2571" t="s">
        <v>124</v>
      </c>
      <c r="E2571">
        <v>13</v>
      </c>
      <c r="F2571">
        <v>1013</v>
      </c>
      <c r="G2571" t="s">
        <v>114</v>
      </c>
      <c r="J2571" t="s">
        <v>125</v>
      </c>
      <c r="K2571">
        <v>0</v>
      </c>
      <c r="L2571">
        <v>3</v>
      </c>
      <c r="M2571">
        <v>0</v>
      </c>
      <c r="N2571">
        <v>2</v>
      </c>
      <c r="O2571">
        <v>1</v>
      </c>
      <c r="P2571">
        <v>0</v>
      </c>
      <c r="Q2571">
        <v>0</v>
      </c>
      <c r="S2571" t="str">
        <f>"20:28:15.711"</f>
        <v>20:28:15.711</v>
      </c>
      <c r="T2571" t="str">
        <f>"20:28:15.211"</f>
        <v>20:28:15.211</v>
      </c>
      <c r="U2571" t="str">
        <f t="shared" si="125"/>
        <v>AB01F4</v>
      </c>
      <c r="V2571">
        <v>0</v>
      </c>
      <c r="W2571">
        <v>0</v>
      </c>
      <c r="X2571">
        <v>2</v>
      </c>
      <c r="Z2571">
        <v>0</v>
      </c>
      <c r="AA2571">
        <v>9</v>
      </c>
      <c r="AB2571">
        <v>3</v>
      </c>
      <c r="AC2571">
        <v>0</v>
      </c>
      <c r="AD2571">
        <v>10</v>
      </c>
      <c r="AE2571">
        <v>0</v>
      </c>
      <c r="AF2571">
        <v>3</v>
      </c>
      <c r="AG2571">
        <v>2</v>
      </c>
      <c r="AH2571">
        <v>0</v>
      </c>
      <c r="AI2571" t="s">
        <v>1535</v>
      </c>
      <c r="AJ2571">
        <v>40.001263999999999</v>
      </c>
      <c r="AK2571" t="s">
        <v>1536</v>
      </c>
      <c r="AL2571">
        <v>-92.750444000000002</v>
      </c>
      <c r="AM2571">
        <v>100</v>
      </c>
      <c r="AN2571">
        <v>1700</v>
      </c>
      <c r="AO2571" t="s">
        <v>118</v>
      </c>
      <c r="AP2571">
        <v>-106</v>
      </c>
      <c r="AQ2571">
        <v>77</v>
      </c>
      <c r="AR2571">
        <v>0</v>
      </c>
      <c r="AZ2571">
        <v>1200</v>
      </c>
      <c r="BA2571">
        <v>1</v>
      </c>
      <c r="BB2571" t="str">
        <f t="shared" si="124"/>
        <v xml:space="preserve">N8080G  </v>
      </c>
      <c r="BC2571">
        <v>1</v>
      </c>
      <c r="BE2571">
        <v>0</v>
      </c>
      <c r="BF2571">
        <v>0</v>
      </c>
      <c r="BG2571">
        <v>0</v>
      </c>
      <c r="BH2571">
        <v>1700</v>
      </c>
      <c r="BI2571">
        <v>1</v>
      </c>
      <c r="BJ2571">
        <v>1</v>
      </c>
      <c r="BK2571">
        <v>1</v>
      </c>
      <c r="BL2571">
        <v>0</v>
      </c>
      <c r="BO2571">
        <v>0</v>
      </c>
      <c r="BP2571">
        <v>0</v>
      </c>
      <c r="BW2571" t="str">
        <f>"20:28:15.716"</f>
        <v>20:28:15.716</v>
      </c>
      <c r="BZ2571">
        <v>0</v>
      </c>
      <c r="CA2571">
        <v>2016</v>
      </c>
      <c r="CB2571">
        <v>224</v>
      </c>
      <c r="CD2571">
        <v>1</v>
      </c>
      <c r="CE2571">
        <v>0</v>
      </c>
      <c r="CF2571">
        <v>0</v>
      </c>
      <c r="CG2571">
        <v>1</v>
      </c>
      <c r="CH2571">
        <v>0</v>
      </c>
      <c r="CI2571">
        <v>0</v>
      </c>
      <c r="CJ2571">
        <v>0</v>
      </c>
      <c r="CK2571">
        <v>2</v>
      </c>
      <c r="CL2571">
        <v>0</v>
      </c>
      <c r="CM2571">
        <v>2</v>
      </c>
      <c r="CN2571">
        <v>0</v>
      </c>
      <c r="CO2571">
        <v>4</v>
      </c>
      <c r="CP2571" t="s">
        <v>119</v>
      </c>
      <c r="CQ2571">
        <v>179</v>
      </c>
      <c r="CR2571">
        <v>1</v>
      </c>
      <c r="CW2571">
        <v>9019827</v>
      </c>
      <c r="CY2571">
        <v>1</v>
      </c>
      <c r="CZ2571">
        <v>0</v>
      </c>
      <c r="DA2571">
        <v>0</v>
      </c>
      <c r="DB2571">
        <v>0</v>
      </c>
      <c r="DC2571">
        <v>0</v>
      </c>
      <c r="DD2571">
        <v>0</v>
      </c>
      <c r="DE2571">
        <v>0</v>
      </c>
      <c r="DF2571">
        <v>0</v>
      </c>
      <c r="DG2571">
        <v>0</v>
      </c>
      <c r="DH2571">
        <v>0</v>
      </c>
      <c r="DI2571">
        <v>0</v>
      </c>
    </row>
    <row r="2572" spans="1:113" x14ac:dyDescent="0.3">
      <c r="A2572" t="str">
        <f>"02/08/2021 20:28:13.359"</f>
        <v>02/08/2021 20:28:13.359</v>
      </c>
      <c r="C2572" t="str">
        <f t="shared" si="123"/>
        <v>FFDFD7C0</v>
      </c>
      <c r="D2572" t="s">
        <v>124</v>
      </c>
      <c r="E2572">
        <v>11</v>
      </c>
      <c r="F2572">
        <v>1011</v>
      </c>
      <c r="G2572" t="s">
        <v>590</v>
      </c>
      <c r="J2572" t="s">
        <v>125</v>
      </c>
      <c r="K2572">
        <v>0</v>
      </c>
      <c r="L2572">
        <v>3</v>
      </c>
      <c r="M2572">
        <v>0</v>
      </c>
      <c r="N2572">
        <v>2</v>
      </c>
      <c r="O2572">
        <v>1</v>
      </c>
      <c r="P2572">
        <v>0</v>
      </c>
      <c r="Q2572">
        <v>0</v>
      </c>
      <c r="S2572" t="str">
        <f>"20:28:15.711"</f>
        <v>20:28:15.711</v>
      </c>
      <c r="T2572" t="str">
        <f>"20:28:15.211"</f>
        <v>20:28:15.211</v>
      </c>
      <c r="U2572" t="str">
        <f t="shared" si="125"/>
        <v>AB01F4</v>
      </c>
      <c r="V2572">
        <v>0</v>
      </c>
      <c r="W2572">
        <v>0</v>
      </c>
      <c r="X2572">
        <v>2</v>
      </c>
      <c r="Z2572">
        <v>0</v>
      </c>
      <c r="AA2572">
        <v>9</v>
      </c>
      <c r="AB2572">
        <v>3</v>
      </c>
      <c r="AC2572">
        <v>0</v>
      </c>
      <c r="AD2572">
        <v>10</v>
      </c>
      <c r="AE2572">
        <v>0</v>
      </c>
      <c r="AF2572">
        <v>3</v>
      </c>
      <c r="AG2572">
        <v>2</v>
      </c>
      <c r="AH2572">
        <v>0</v>
      </c>
      <c r="AI2572" t="s">
        <v>1535</v>
      </c>
      <c r="AJ2572">
        <v>40.001263999999999</v>
      </c>
      <c r="AK2572" t="s">
        <v>1536</v>
      </c>
      <c r="AL2572">
        <v>-92.750444000000002</v>
      </c>
      <c r="AM2572">
        <v>100</v>
      </c>
      <c r="AN2572">
        <v>1700</v>
      </c>
      <c r="AO2572" t="s">
        <v>118</v>
      </c>
      <c r="AP2572">
        <v>-106</v>
      </c>
      <c r="AQ2572">
        <v>77</v>
      </c>
      <c r="AR2572">
        <v>0</v>
      </c>
      <c r="AZ2572">
        <v>1200</v>
      </c>
      <c r="BA2572">
        <v>1</v>
      </c>
      <c r="BB2572" t="str">
        <f t="shared" si="124"/>
        <v xml:space="preserve">N8080G  </v>
      </c>
      <c r="BC2572">
        <v>1</v>
      </c>
      <c r="BE2572">
        <v>0</v>
      </c>
      <c r="BF2572">
        <v>0</v>
      </c>
      <c r="BG2572">
        <v>0</v>
      </c>
      <c r="BH2572">
        <v>1700</v>
      </c>
      <c r="BI2572">
        <v>1</v>
      </c>
      <c r="BJ2572">
        <v>1</v>
      </c>
      <c r="BK2572">
        <v>1</v>
      </c>
      <c r="BL2572">
        <v>0</v>
      </c>
      <c r="BO2572">
        <v>0</v>
      </c>
      <c r="BP2572">
        <v>0</v>
      </c>
      <c r="BW2572" t="str">
        <f>"20:28:15.716"</f>
        <v>20:28:15.716</v>
      </c>
      <c r="BZ2572">
        <v>0</v>
      </c>
      <c r="CA2572">
        <v>2016</v>
      </c>
      <c r="CB2572">
        <v>224</v>
      </c>
      <c r="CD2572">
        <v>1</v>
      </c>
      <c r="CE2572">
        <v>0</v>
      </c>
      <c r="CF2572">
        <v>0</v>
      </c>
      <c r="CG2572">
        <v>1</v>
      </c>
      <c r="CH2572">
        <v>0</v>
      </c>
      <c r="CI2572">
        <v>0</v>
      </c>
      <c r="CJ2572">
        <v>0</v>
      </c>
      <c r="CK2572">
        <v>2</v>
      </c>
      <c r="CL2572">
        <v>0</v>
      </c>
      <c r="CM2572">
        <v>2</v>
      </c>
      <c r="CN2572">
        <v>0</v>
      </c>
      <c r="CO2572">
        <v>4</v>
      </c>
      <c r="CP2572" t="s">
        <v>119</v>
      </c>
      <c r="CQ2572">
        <v>179</v>
      </c>
      <c r="CR2572">
        <v>1</v>
      </c>
      <c r="CW2572">
        <v>9019827</v>
      </c>
      <c r="CY2572">
        <v>1</v>
      </c>
      <c r="CZ2572">
        <v>0</v>
      </c>
      <c r="DA2572">
        <v>1</v>
      </c>
      <c r="DB2572">
        <v>0</v>
      </c>
      <c r="DC2572">
        <v>0</v>
      </c>
      <c r="DD2572">
        <v>0</v>
      </c>
      <c r="DE2572">
        <v>0</v>
      </c>
      <c r="DF2572">
        <v>0</v>
      </c>
      <c r="DG2572">
        <v>0</v>
      </c>
      <c r="DH2572">
        <v>0</v>
      </c>
      <c r="DI2572">
        <v>0</v>
      </c>
    </row>
    <row r="2573" spans="1:113" x14ac:dyDescent="0.3">
      <c r="A2573" t="str">
        <f>"02/08/2021 20:28:13.359"</f>
        <v>02/08/2021 20:28:13.359</v>
      </c>
      <c r="C2573" t="str">
        <f t="shared" si="123"/>
        <v>FFDFD7C0</v>
      </c>
      <c r="D2573" t="s">
        <v>124</v>
      </c>
      <c r="E2573">
        <v>12</v>
      </c>
      <c r="F2573">
        <v>1012</v>
      </c>
      <c r="G2573" t="s">
        <v>675</v>
      </c>
      <c r="J2573" t="s">
        <v>125</v>
      </c>
      <c r="K2573">
        <v>0</v>
      </c>
      <c r="L2573">
        <v>3</v>
      </c>
      <c r="M2573">
        <v>0</v>
      </c>
      <c r="N2573">
        <v>2</v>
      </c>
      <c r="O2573">
        <v>1</v>
      </c>
      <c r="P2573">
        <v>0</v>
      </c>
      <c r="Q2573">
        <v>0</v>
      </c>
      <c r="S2573" t="str">
        <f>"20:28:15.711"</f>
        <v>20:28:15.711</v>
      </c>
      <c r="T2573" t="str">
        <f>"20:28:15.211"</f>
        <v>20:28:15.211</v>
      </c>
      <c r="U2573" t="str">
        <f t="shared" si="125"/>
        <v>AB01F4</v>
      </c>
      <c r="V2573">
        <v>0</v>
      </c>
      <c r="W2573">
        <v>0</v>
      </c>
      <c r="X2573">
        <v>2</v>
      </c>
      <c r="Z2573">
        <v>0</v>
      </c>
      <c r="AA2573">
        <v>9</v>
      </c>
      <c r="AB2573">
        <v>3</v>
      </c>
      <c r="AC2573">
        <v>0</v>
      </c>
      <c r="AD2573">
        <v>10</v>
      </c>
      <c r="AE2573">
        <v>0</v>
      </c>
      <c r="AF2573">
        <v>3</v>
      </c>
      <c r="AG2573">
        <v>2</v>
      </c>
      <c r="AH2573">
        <v>0</v>
      </c>
      <c r="AI2573" t="s">
        <v>1535</v>
      </c>
      <c r="AJ2573">
        <v>40.001263999999999</v>
      </c>
      <c r="AK2573" t="s">
        <v>1536</v>
      </c>
      <c r="AL2573">
        <v>-92.750444000000002</v>
      </c>
      <c r="AM2573">
        <v>100</v>
      </c>
      <c r="AN2573">
        <v>1700</v>
      </c>
      <c r="AO2573" t="s">
        <v>118</v>
      </c>
      <c r="AP2573">
        <v>-106</v>
      </c>
      <c r="AQ2573">
        <v>77</v>
      </c>
      <c r="AR2573">
        <v>0</v>
      </c>
      <c r="AZ2573">
        <v>1200</v>
      </c>
      <c r="BA2573">
        <v>1</v>
      </c>
      <c r="BB2573" t="str">
        <f t="shared" si="124"/>
        <v xml:space="preserve">N8080G  </v>
      </c>
      <c r="BC2573">
        <v>1</v>
      </c>
      <c r="BE2573">
        <v>0</v>
      </c>
      <c r="BF2573">
        <v>0</v>
      </c>
      <c r="BG2573">
        <v>0</v>
      </c>
      <c r="BH2573">
        <v>1700</v>
      </c>
      <c r="BI2573">
        <v>1</v>
      </c>
      <c r="BJ2573">
        <v>1</v>
      </c>
      <c r="BK2573">
        <v>1</v>
      </c>
      <c r="BL2573">
        <v>0</v>
      </c>
      <c r="BO2573">
        <v>0</v>
      </c>
      <c r="BP2573">
        <v>0</v>
      </c>
      <c r="BW2573" t="str">
        <f>"20:28:15.716"</f>
        <v>20:28:15.716</v>
      </c>
      <c r="BZ2573">
        <v>0</v>
      </c>
      <c r="CA2573">
        <v>2016</v>
      </c>
      <c r="CB2573">
        <v>224</v>
      </c>
      <c r="CD2573">
        <v>1</v>
      </c>
      <c r="CE2573">
        <v>0</v>
      </c>
      <c r="CF2573">
        <v>0</v>
      </c>
      <c r="CG2573">
        <v>1</v>
      </c>
      <c r="CH2573">
        <v>0</v>
      </c>
      <c r="CI2573">
        <v>0</v>
      </c>
      <c r="CJ2573">
        <v>0</v>
      </c>
      <c r="CK2573">
        <v>2</v>
      </c>
      <c r="CL2573">
        <v>0</v>
      </c>
      <c r="CM2573">
        <v>2</v>
      </c>
      <c r="CN2573">
        <v>0</v>
      </c>
      <c r="CO2573">
        <v>4</v>
      </c>
      <c r="CP2573" t="s">
        <v>119</v>
      </c>
      <c r="CQ2573">
        <v>179</v>
      </c>
      <c r="CR2573">
        <v>1</v>
      </c>
      <c r="CW2573">
        <v>9019827</v>
      </c>
      <c r="CY2573">
        <v>1</v>
      </c>
      <c r="CZ2573">
        <v>0</v>
      </c>
      <c r="DA2573">
        <v>1</v>
      </c>
      <c r="DB2573">
        <v>0</v>
      </c>
      <c r="DC2573">
        <v>0</v>
      </c>
      <c r="DD2573">
        <v>0</v>
      </c>
      <c r="DE2573">
        <v>0</v>
      </c>
      <c r="DF2573">
        <v>0</v>
      </c>
      <c r="DG2573">
        <v>0</v>
      </c>
      <c r="DH2573">
        <v>0</v>
      </c>
      <c r="DI2573">
        <v>0</v>
      </c>
    </row>
    <row r="2574" spans="1:113" x14ac:dyDescent="0.3">
      <c r="A2574" t="str">
        <f>"02/08/2021 20:28:13.359"</f>
        <v>02/08/2021 20:28:13.359</v>
      </c>
      <c r="C2574" t="str">
        <f t="shared" si="123"/>
        <v>FFDFD7C0</v>
      </c>
      <c r="D2574" t="s">
        <v>113</v>
      </c>
      <c r="E2574">
        <v>6</v>
      </c>
      <c r="H2574">
        <v>165</v>
      </c>
      <c r="I2574" t="s">
        <v>114</v>
      </c>
      <c r="J2574" t="s">
        <v>115</v>
      </c>
      <c r="K2574">
        <v>0</v>
      </c>
      <c r="L2574">
        <v>3</v>
      </c>
      <c r="M2574">
        <v>0</v>
      </c>
      <c r="N2574">
        <v>2</v>
      </c>
      <c r="O2574">
        <v>1</v>
      </c>
      <c r="P2574">
        <v>0</v>
      </c>
      <c r="Q2574">
        <v>0</v>
      </c>
      <c r="S2574" t="str">
        <f>"20:28:15.711"</f>
        <v>20:28:15.711</v>
      </c>
      <c r="T2574" t="str">
        <f>"20:28:15.211"</f>
        <v>20:28:15.211</v>
      </c>
      <c r="U2574" t="str">
        <f t="shared" si="125"/>
        <v>AB01F4</v>
      </c>
      <c r="V2574">
        <v>0</v>
      </c>
      <c r="W2574">
        <v>0</v>
      </c>
      <c r="X2574">
        <v>2</v>
      </c>
      <c r="Z2574">
        <v>0</v>
      </c>
      <c r="AA2574">
        <v>9</v>
      </c>
      <c r="AB2574">
        <v>3</v>
      </c>
      <c r="AC2574">
        <v>0</v>
      </c>
      <c r="AD2574">
        <v>10</v>
      </c>
      <c r="AE2574">
        <v>0</v>
      </c>
      <c r="AF2574">
        <v>3</v>
      </c>
      <c r="AG2574">
        <v>2</v>
      </c>
      <c r="AH2574">
        <v>0</v>
      </c>
      <c r="AI2574" t="s">
        <v>1535</v>
      </c>
      <c r="AJ2574">
        <v>40.001263999999999</v>
      </c>
      <c r="AK2574" t="s">
        <v>1536</v>
      </c>
      <c r="AL2574">
        <v>-92.750444000000002</v>
      </c>
      <c r="AM2574">
        <v>100</v>
      </c>
      <c r="AN2574">
        <v>1700</v>
      </c>
      <c r="AO2574" t="s">
        <v>118</v>
      </c>
      <c r="AP2574">
        <v>-106</v>
      </c>
      <c r="AQ2574">
        <v>77</v>
      </c>
      <c r="AR2574">
        <v>0</v>
      </c>
      <c r="AZ2574">
        <v>1200</v>
      </c>
      <c r="BA2574">
        <v>1</v>
      </c>
      <c r="BB2574" t="str">
        <f t="shared" si="124"/>
        <v xml:space="preserve">N8080G  </v>
      </c>
      <c r="BC2574">
        <v>1</v>
      </c>
      <c r="BE2574">
        <v>0</v>
      </c>
      <c r="BF2574">
        <v>0</v>
      </c>
      <c r="BG2574">
        <v>0</v>
      </c>
      <c r="BH2574">
        <v>1700</v>
      </c>
      <c r="BI2574">
        <v>1</v>
      </c>
      <c r="BJ2574">
        <v>1</v>
      </c>
      <c r="BK2574">
        <v>1</v>
      </c>
      <c r="BL2574">
        <v>0</v>
      </c>
      <c r="BO2574">
        <v>0</v>
      </c>
      <c r="BP2574">
        <v>0</v>
      </c>
      <c r="BW2574" t="str">
        <f>"20:28:15.716"</f>
        <v>20:28:15.716</v>
      </c>
      <c r="BZ2574">
        <v>0</v>
      </c>
      <c r="CA2574">
        <v>2016</v>
      </c>
      <c r="CB2574">
        <v>224</v>
      </c>
      <c r="CD2574">
        <v>1</v>
      </c>
      <c r="CE2574">
        <v>0</v>
      </c>
      <c r="CF2574">
        <v>0</v>
      </c>
      <c r="CG2574">
        <v>1</v>
      </c>
      <c r="CH2574">
        <v>0</v>
      </c>
      <c r="CI2574">
        <v>0</v>
      </c>
      <c r="CJ2574">
        <v>0</v>
      </c>
      <c r="CK2574">
        <v>2</v>
      </c>
      <c r="CL2574">
        <v>0</v>
      </c>
      <c r="CM2574">
        <v>2</v>
      </c>
      <c r="CN2574">
        <v>0</v>
      </c>
      <c r="CO2574">
        <v>4</v>
      </c>
      <c r="CP2574" t="s">
        <v>119</v>
      </c>
      <c r="CQ2574">
        <v>179</v>
      </c>
      <c r="CR2574">
        <v>1</v>
      </c>
      <c r="CW2574">
        <v>9019827</v>
      </c>
      <c r="CY2574">
        <v>1</v>
      </c>
      <c r="CZ2574">
        <v>0</v>
      </c>
      <c r="DA2574">
        <v>1</v>
      </c>
      <c r="DB2574">
        <v>0</v>
      </c>
      <c r="DC2574">
        <v>0</v>
      </c>
      <c r="DD2574">
        <v>0</v>
      </c>
      <c r="DE2574">
        <v>0</v>
      </c>
      <c r="DF2574">
        <v>0</v>
      </c>
      <c r="DG2574">
        <v>0</v>
      </c>
      <c r="DH2574">
        <v>0</v>
      </c>
      <c r="DI2574">
        <v>0</v>
      </c>
    </row>
    <row r="2575" spans="1:113" x14ac:dyDescent="0.3">
      <c r="A2575" t="str">
        <f>"02/08/2021 20:28:14.470"</f>
        <v>02/08/2021 20:28:14.470</v>
      </c>
      <c r="C2575" t="str">
        <f t="shared" si="123"/>
        <v>FFDFD7C0</v>
      </c>
      <c r="D2575" t="s">
        <v>124</v>
      </c>
      <c r="E2575">
        <v>11</v>
      </c>
      <c r="F2575">
        <v>1011</v>
      </c>
      <c r="G2575" t="s">
        <v>590</v>
      </c>
      <c r="J2575" t="s">
        <v>125</v>
      </c>
      <c r="K2575">
        <v>0</v>
      </c>
      <c r="L2575">
        <v>3</v>
      </c>
      <c r="M2575">
        <v>0</v>
      </c>
      <c r="N2575">
        <v>2</v>
      </c>
      <c r="O2575">
        <v>1</v>
      </c>
      <c r="P2575">
        <v>0</v>
      </c>
      <c r="Q2575">
        <v>0</v>
      </c>
      <c r="S2575" t="str">
        <f>"20:28:16.813"</f>
        <v>20:28:16.813</v>
      </c>
      <c r="T2575" t="str">
        <f>"20:28:15.813"</f>
        <v>20:28:15.813</v>
      </c>
      <c r="U2575" t="str">
        <f t="shared" si="125"/>
        <v>AB01F4</v>
      </c>
      <c r="V2575">
        <v>0</v>
      </c>
      <c r="W2575">
        <v>0</v>
      </c>
      <c r="X2575">
        <v>2</v>
      </c>
      <c r="Z2575">
        <v>0</v>
      </c>
      <c r="AA2575">
        <v>9</v>
      </c>
      <c r="AB2575">
        <v>3</v>
      </c>
      <c r="AC2575">
        <v>0</v>
      </c>
      <c r="AD2575">
        <v>10</v>
      </c>
      <c r="AE2575">
        <v>0</v>
      </c>
      <c r="AF2575">
        <v>3</v>
      </c>
      <c r="AG2575">
        <v>2</v>
      </c>
      <c r="AH2575">
        <v>0</v>
      </c>
      <c r="AI2575" t="s">
        <v>1537</v>
      </c>
      <c r="AJ2575">
        <v>40.001671000000002</v>
      </c>
      <c r="AK2575" t="s">
        <v>1538</v>
      </c>
      <c r="AL2575">
        <v>-92.751153000000002</v>
      </c>
      <c r="AM2575">
        <v>100</v>
      </c>
      <c r="AN2575">
        <v>1700</v>
      </c>
      <c r="AO2575" t="s">
        <v>118</v>
      </c>
      <c r="AP2575">
        <v>-106</v>
      </c>
      <c r="AQ2575">
        <v>77</v>
      </c>
      <c r="AR2575">
        <v>0</v>
      </c>
      <c r="AZ2575">
        <v>1200</v>
      </c>
      <c r="BA2575">
        <v>1</v>
      </c>
      <c r="BB2575" t="str">
        <f t="shared" si="124"/>
        <v xml:space="preserve">N8080G  </v>
      </c>
      <c r="BC2575">
        <v>1</v>
      </c>
      <c r="BE2575">
        <v>0</v>
      </c>
      <c r="BF2575">
        <v>0</v>
      </c>
      <c r="BG2575">
        <v>0</v>
      </c>
      <c r="BH2575">
        <v>1700</v>
      </c>
      <c r="BI2575">
        <v>1</v>
      </c>
      <c r="BJ2575">
        <v>1</v>
      </c>
      <c r="BK2575">
        <v>1</v>
      </c>
      <c r="BL2575">
        <v>0</v>
      </c>
      <c r="BO2575">
        <v>0</v>
      </c>
      <c r="BP2575">
        <v>0</v>
      </c>
      <c r="BW2575" t="str">
        <f>"20:28:16.815"</f>
        <v>20:28:16.815</v>
      </c>
      <c r="BZ2575">
        <v>0</v>
      </c>
      <c r="CA2575">
        <v>2016</v>
      </c>
      <c r="CB2575">
        <v>224</v>
      </c>
      <c r="CD2575">
        <v>1</v>
      </c>
      <c r="CE2575">
        <v>0</v>
      </c>
      <c r="CF2575">
        <v>0</v>
      </c>
      <c r="CG2575">
        <v>1</v>
      </c>
      <c r="CH2575">
        <v>0</v>
      </c>
      <c r="CI2575">
        <v>0</v>
      </c>
      <c r="CJ2575">
        <v>0</v>
      </c>
      <c r="CK2575">
        <v>2</v>
      </c>
      <c r="CL2575">
        <v>0</v>
      </c>
      <c r="CM2575">
        <v>2</v>
      </c>
      <c r="CN2575">
        <v>0</v>
      </c>
      <c r="CO2575">
        <v>4</v>
      </c>
      <c r="CP2575" t="s">
        <v>119</v>
      </c>
      <c r="CQ2575">
        <v>179</v>
      </c>
      <c r="CR2575">
        <v>1</v>
      </c>
      <c r="CW2575">
        <v>9020768</v>
      </c>
      <c r="CY2575">
        <v>1</v>
      </c>
      <c r="CZ2575">
        <v>0</v>
      </c>
      <c r="DA2575">
        <v>0</v>
      </c>
      <c r="DB2575">
        <v>0</v>
      </c>
      <c r="DC2575">
        <v>0</v>
      </c>
      <c r="DD2575">
        <v>0</v>
      </c>
      <c r="DE2575">
        <v>0</v>
      </c>
      <c r="DF2575">
        <v>0</v>
      </c>
      <c r="DG2575">
        <v>0</v>
      </c>
      <c r="DH2575">
        <v>0</v>
      </c>
      <c r="DI2575">
        <v>0</v>
      </c>
    </row>
    <row r="2576" spans="1:113" x14ac:dyDescent="0.3">
      <c r="A2576" t="str">
        <f>"02/08/2021 20:28:14.470"</f>
        <v>02/08/2021 20:28:14.470</v>
      </c>
      <c r="C2576" t="str">
        <f t="shared" si="123"/>
        <v>FFDFD7C0</v>
      </c>
      <c r="D2576" t="s">
        <v>124</v>
      </c>
      <c r="E2576">
        <v>12</v>
      </c>
      <c r="F2576">
        <v>1012</v>
      </c>
      <c r="G2576" t="s">
        <v>675</v>
      </c>
      <c r="J2576" t="s">
        <v>125</v>
      </c>
      <c r="K2576">
        <v>0</v>
      </c>
      <c r="L2576">
        <v>3</v>
      </c>
      <c r="M2576">
        <v>0</v>
      </c>
      <c r="N2576">
        <v>2</v>
      </c>
      <c r="O2576">
        <v>1</v>
      </c>
      <c r="P2576">
        <v>0</v>
      </c>
      <c r="Q2576">
        <v>0</v>
      </c>
      <c r="S2576" t="str">
        <f>"20:28:16.813"</f>
        <v>20:28:16.813</v>
      </c>
      <c r="T2576" t="str">
        <f>"20:28:15.813"</f>
        <v>20:28:15.813</v>
      </c>
      <c r="U2576" t="str">
        <f t="shared" si="125"/>
        <v>AB01F4</v>
      </c>
      <c r="V2576">
        <v>0</v>
      </c>
      <c r="W2576">
        <v>0</v>
      </c>
      <c r="X2576">
        <v>2</v>
      </c>
      <c r="Z2576">
        <v>0</v>
      </c>
      <c r="AA2576">
        <v>9</v>
      </c>
      <c r="AB2576">
        <v>3</v>
      </c>
      <c r="AC2576">
        <v>0</v>
      </c>
      <c r="AD2576">
        <v>10</v>
      </c>
      <c r="AE2576">
        <v>0</v>
      </c>
      <c r="AF2576">
        <v>3</v>
      </c>
      <c r="AG2576">
        <v>2</v>
      </c>
      <c r="AH2576">
        <v>0</v>
      </c>
      <c r="AI2576" t="s">
        <v>1537</v>
      </c>
      <c r="AJ2576">
        <v>40.001671000000002</v>
      </c>
      <c r="AK2576" t="s">
        <v>1538</v>
      </c>
      <c r="AL2576">
        <v>-92.751153000000002</v>
      </c>
      <c r="AM2576">
        <v>100</v>
      </c>
      <c r="AN2576">
        <v>1700</v>
      </c>
      <c r="AO2576" t="s">
        <v>118</v>
      </c>
      <c r="AP2576">
        <v>-106</v>
      </c>
      <c r="AQ2576">
        <v>77</v>
      </c>
      <c r="AR2576">
        <v>0</v>
      </c>
      <c r="AZ2576">
        <v>1200</v>
      </c>
      <c r="BA2576">
        <v>1</v>
      </c>
      <c r="BB2576" t="str">
        <f t="shared" si="124"/>
        <v xml:space="preserve">N8080G  </v>
      </c>
      <c r="BC2576">
        <v>1</v>
      </c>
      <c r="BE2576">
        <v>0</v>
      </c>
      <c r="BF2576">
        <v>0</v>
      </c>
      <c r="BG2576">
        <v>0</v>
      </c>
      <c r="BH2576">
        <v>1700</v>
      </c>
      <c r="BI2576">
        <v>1</v>
      </c>
      <c r="BJ2576">
        <v>1</v>
      </c>
      <c r="BK2576">
        <v>1</v>
      </c>
      <c r="BL2576">
        <v>0</v>
      </c>
      <c r="BO2576">
        <v>0</v>
      </c>
      <c r="BP2576">
        <v>0</v>
      </c>
      <c r="BW2576" t="str">
        <f>"20:28:16.815"</f>
        <v>20:28:16.815</v>
      </c>
      <c r="BZ2576">
        <v>0</v>
      </c>
      <c r="CA2576">
        <v>2016</v>
      </c>
      <c r="CB2576">
        <v>224</v>
      </c>
      <c r="CD2576">
        <v>1</v>
      </c>
      <c r="CE2576">
        <v>0</v>
      </c>
      <c r="CF2576">
        <v>0</v>
      </c>
      <c r="CG2576">
        <v>1</v>
      </c>
      <c r="CH2576">
        <v>0</v>
      </c>
      <c r="CI2576">
        <v>0</v>
      </c>
      <c r="CJ2576">
        <v>0</v>
      </c>
      <c r="CK2576">
        <v>2</v>
      </c>
      <c r="CL2576">
        <v>0</v>
      </c>
      <c r="CM2576">
        <v>2</v>
      </c>
      <c r="CN2576">
        <v>0</v>
      </c>
      <c r="CO2576">
        <v>4</v>
      </c>
      <c r="CP2576" t="s">
        <v>119</v>
      </c>
      <c r="CQ2576">
        <v>179</v>
      </c>
      <c r="CR2576">
        <v>1</v>
      </c>
      <c r="CW2576">
        <v>9020768</v>
      </c>
      <c r="CY2576">
        <v>1</v>
      </c>
      <c r="CZ2576">
        <v>0</v>
      </c>
      <c r="DA2576">
        <v>1</v>
      </c>
      <c r="DB2576">
        <v>0</v>
      </c>
      <c r="DC2576">
        <v>0</v>
      </c>
      <c r="DD2576">
        <v>0</v>
      </c>
      <c r="DE2576">
        <v>0</v>
      </c>
      <c r="DF2576">
        <v>0</v>
      </c>
      <c r="DG2576">
        <v>0</v>
      </c>
      <c r="DH2576">
        <v>0</v>
      </c>
      <c r="DI2576">
        <v>0</v>
      </c>
    </row>
    <row r="2577" spans="1:113" x14ac:dyDescent="0.3">
      <c r="A2577" t="str">
        <f>"02/08/2021 20:28:14.470"</f>
        <v>02/08/2021 20:28:14.470</v>
      </c>
      <c r="C2577" t="str">
        <f t="shared" si="123"/>
        <v>FFDFD7C0</v>
      </c>
      <c r="D2577" t="s">
        <v>113</v>
      </c>
      <c r="E2577">
        <v>6</v>
      </c>
      <c r="H2577">
        <v>165</v>
      </c>
      <c r="I2577" t="s">
        <v>114</v>
      </c>
      <c r="J2577" t="s">
        <v>115</v>
      </c>
      <c r="K2577">
        <v>0</v>
      </c>
      <c r="L2577">
        <v>3</v>
      </c>
      <c r="M2577">
        <v>0</v>
      </c>
      <c r="N2577">
        <v>2</v>
      </c>
      <c r="O2577">
        <v>1</v>
      </c>
      <c r="P2577">
        <v>0</v>
      </c>
      <c r="Q2577">
        <v>0</v>
      </c>
      <c r="S2577" t="str">
        <f>"20:28:16.813"</f>
        <v>20:28:16.813</v>
      </c>
      <c r="T2577" t="str">
        <f>"20:28:15.813"</f>
        <v>20:28:15.813</v>
      </c>
      <c r="U2577" t="str">
        <f t="shared" si="125"/>
        <v>AB01F4</v>
      </c>
      <c r="V2577">
        <v>0</v>
      </c>
      <c r="W2577">
        <v>0</v>
      </c>
      <c r="X2577">
        <v>2</v>
      </c>
      <c r="Z2577">
        <v>0</v>
      </c>
      <c r="AA2577">
        <v>9</v>
      </c>
      <c r="AB2577">
        <v>3</v>
      </c>
      <c r="AC2577">
        <v>0</v>
      </c>
      <c r="AD2577">
        <v>10</v>
      </c>
      <c r="AE2577">
        <v>0</v>
      </c>
      <c r="AF2577">
        <v>3</v>
      </c>
      <c r="AG2577">
        <v>2</v>
      </c>
      <c r="AH2577">
        <v>0</v>
      </c>
      <c r="AI2577" t="s">
        <v>1537</v>
      </c>
      <c r="AJ2577">
        <v>40.001671000000002</v>
      </c>
      <c r="AK2577" t="s">
        <v>1538</v>
      </c>
      <c r="AL2577">
        <v>-92.751153000000002</v>
      </c>
      <c r="AM2577">
        <v>100</v>
      </c>
      <c r="AN2577">
        <v>1700</v>
      </c>
      <c r="AO2577" t="s">
        <v>118</v>
      </c>
      <c r="AP2577">
        <v>-106</v>
      </c>
      <c r="AQ2577">
        <v>77</v>
      </c>
      <c r="AR2577">
        <v>0</v>
      </c>
      <c r="AZ2577">
        <v>1200</v>
      </c>
      <c r="BA2577">
        <v>1</v>
      </c>
      <c r="BB2577" t="str">
        <f t="shared" si="124"/>
        <v xml:space="preserve">N8080G  </v>
      </c>
      <c r="BC2577">
        <v>1</v>
      </c>
      <c r="BE2577">
        <v>0</v>
      </c>
      <c r="BF2577">
        <v>0</v>
      </c>
      <c r="BG2577">
        <v>0</v>
      </c>
      <c r="BH2577">
        <v>1700</v>
      </c>
      <c r="BI2577">
        <v>1</v>
      </c>
      <c r="BJ2577">
        <v>1</v>
      </c>
      <c r="BK2577">
        <v>1</v>
      </c>
      <c r="BL2577">
        <v>0</v>
      </c>
      <c r="BO2577">
        <v>0</v>
      </c>
      <c r="BP2577">
        <v>0</v>
      </c>
      <c r="BW2577" t="str">
        <f>"20:28:16.815"</f>
        <v>20:28:16.815</v>
      </c>
      <c r="BZ2577">
        <v>0</v>
      </c>
      <c r="CA2577">
        <v>2016</v>
      </c>
      <c r="CB2577">
        <v>224</v>
      </c>
      <c r="CD2577">
        <v>1</v>
      </c>
      <c r="CE2577">
        <v>0</v>
      </c>
      <c r="CF2577">
        <v>0</v>
      </c>
      <c r="CG2577">
        <v>1</v>
      </c>
      <c r="CH2577">
        <v>0</v>
      </c>
      <c r="CI2577">
        <v>0</v>
      </c>
      <c r="CJ2577">
        <v>0</v>
      </c>
      <c r="CK2577">
        <v>2</v>
      </c>
      <c r="CL2577">
        <v>0</v>
      </c>
      <c r="CM2577">
        <v>2</v>
      </c>
      <c r="CN2577">
        <v>0</v>
      </c>
      <c r="CO2577">
        <v>4</v>
      </c>
      <c r="CP2577" t="s">
        <v>119</v>
      </c>
      <c r="CQ2577">
        <v>179</v>
      </c>
      <c r="CR2577">
        <v>1</v>
      </c>
      <c r="CW2577">
        <v>9020768</v>
      </c>
      <c r="CY2577">
        <v>1</v>
      </c>
      <c r="CZ2577">
        <v>0</v>
      </c>
      <c r="DA2577">
        <v>1</v>
      </c>
      <c r="DB2577">
        <v>0</v>
      </c>
      <c r="DC2577">
        <v>0</v>
      </c>
      <c r="DD2577">
        <v>0</v>
      </c>
      <c r="DE2577">
        <v>0</v>
      </c>
      <c r="DF2577">
        <v>0</v>
      </c>
      <c r="DG2577">
        <v>0</v>
      </c>
      <c r="DH2577">
        <v>0</v>
      </c>
      <c r="DI2577">
        <v>0</v>
      </c>
    </row>
    <row r="2578" spans="1:113" x14ac:dyDescent="0.3">
      <c r="A2578" t="str">
        <f>"02/08/2021 20:28:14.470"</f>
        <v>02/08/2021 20:28:14.470</v>
      </c>
      <c r="C2578" t="str">
        <f t="shared" si="123"/>
        <v>FFDFD7C0</v>
      </c>
      <c r="D2578" t="s">
        <v>124</v>
      </c>
      <c r="E2578">
        <v>13</v>
      </c>
      <c r="F2578">
        <v>1013</v>
      </c>
      <c r="G2578" t="s">
        <v>114</v>
      </c>
      <c r="J2578" t="s">
        <v>125</v>
      </c>
      <c r="K2578">
        <v>0</v>
      </c>
      <c r="L2578">
        <v>3</v>
      </c>
      <c r="M2578">
        <v>0</v>
      </c>
      <c r="N2578">
        <v>2</v>
      </c>
      <c r="O2578">
        <v>1</v>
      </c>
      <c r="P2578">
        <v>0</v>
      </c>
      <c r="Q2578">
        <v>0</v>
      </c>
      <c r="S2578" t="str">
        <f>"20:28:16.813"</f>
        <v>20:28:16.813</v>
      </c>
      <c r="T2578" t="str">
        <f>"20:28:15.813"</f>
        <v>20:28:15.813</v>
      </c>
      <c r="U2578" t="str">
        <f t="shared" si="125"/>
        <v>AB01F4</v>
      </c>
      <c r="V2578">
        <v>0</v>
      </c>
      <c r="W2578">
        <v>0</v>
      </c>
      <c r="X2578">
        <v>2</v>
      </c>
      <c r="Z2578">
        <v>0</v>
      </c>
      <c r="AA2578">
        <v>9</v>
      </c>
      <c r="AB2578">
        <v>3</v>
      </c>
      <c r="AC2578">
        <v>0</v>
      </c>
      <c r="AD2578">
        <v>10</v>
      </c>
      <c r="AE2578">
        <v>0</v>
      </c>
      <c r="AF2578">
        <v>3</v>
      </c>
      <c r="AG2578">
        <v>2</v>
      </c>
      <c r="AH2578">
        <v>0</v>
      </c>
      <c r="AI2578" t="s">
        <v>1537</v>
      </c>
      <c r="AJ2578">
        <v>40.001671000000002</v>
      </c>
      <c r="AK2578" t="s">
        <v>1538</v>
      </c>
      <c r="AL2578">
        <v>-92.751153000000002</v>
      </c>
      <c r="AM2578">
        <v>100</v>
      </c>
      <c r="AN2578">
        <v>1700</v>
      </c>
      <c r="AO2578" t="s">
        <v>118</v>
      </c>
      <c r="AP2578">
        <v>-106</v>
      </c>
      <c r="AQ2578">
        <v>77</v>
      </c>
      <c r="AR2578">
        <v>0</v>
      </c>
      <c r="AZ2578">
        <v>1200</v>
      </c>
      <c r="BA2578">
        <v>1</v>
      </c>
      <c r="BB2578" t="str">
        <f t="shared" si="124"/>
        <v xml:space="preserve">N8080G  </v>
      </c>
      <c r="BC2578">
        <v>1</v>
      </c>
      <c r="BE2578">
        <v>0</v>
      </c>
      <c r="BF2578">
        <v>0</v>
      </c>
      <c r="BG2578">
        <v>0</v>
      </c>
      <c r="BH2578">
        <v>1700</v>
      </c>
      <c r="BI2578">
        <v>1</v>
      </c>
      <c r="BJ2578">
        <v>1</v>
      </c>
      <c r="BK2578">
        <v>1</v>
      </c>
      <c r="BL2578">
        <v>0</v>
      </c>
      <c r="BO2578">
        <v>0</v>
      </c>
      <c r="BP2578">
        <v>0</v>
      </c>
      <c r="BW2578" t="str">
        <f>"20:28:16.815"</f>
        <v>20:28:16.815</v>
      </c>
      <c r="BZ2578">
        <v>0</v>
      </c>
      <c r="CA2578">
        <v>2016</v>
      </c>
      <c r="CB2578">
        <v>224</v>
      </c>
      <c r="CD2578">
        <v>1</v>
      </c>
      <c r="CE2578">
        <v>0</v>
      </c>
      <c r="CF2578">
        <v>0</v>
      </c>
      <c r="CG2578">
        <v>1</v>
      </c>
      <c r="CH2578">
        <v>0</v>
      </c>
      <c r="CI2578">
        <v>0</v>
      </c>
      <c r="CJ2578">
        <v>0</v>
      </c>
      <c r="CK2578">
        <v>2</v>
      </c>
      <c r="CL2578">
        <v>0</v>
      </c>
      <c r="CM2578">
        <v>2</v>
      </c>
      <c r="CN2578">
        <v>0</v>
      </c>
      <c r="CO2578">
        <v>4</v>
      </c>
      <c r="CP2578" t="s">
        <v>119</v>
      </c>
      <c r="CQ2578">
        <v>179</v>
      </c>
      <c r="CR2578">
        <v>1</v>
      </c>
      <c r="CW2578">
        <v>9020768</v>
      </c>
      <c r="CY2578">
        <v>1</v>
      </c>
      <c r="CZ2578">
        <v>0</v>
      </c>
      <c r="DA2578">
        <v>1</v>
      </c>
      <c r="DB2578">
        <v>0</v>
      </c>
      <c r="DC2578">
        <v>0</v>
      </c>
      <c r="DD2578">
        <v>0</v>
      </c>
      <c r="DE2578">
        <v>0</v>
      </c>
      <c r="DF2578">
        <v>0</v>
      </c>
      <c r="DG2578">
        <v>0</v>
      </c>
      <c r="DH2578">
        <v>0</v>
      </c>
      <c r="DI2578">
        <v>0</v>
      </c>
    </row>
    <row r="2579" spans="1:113" x14ac:dyDescent="0.3">
      <c r="A2579" t="str">
        <f>"02/08/2021 20:28:15.428"</f>
        <v>02/08/2021 20:28:15.428</v>
      </c>
      <c r="C2579" t="str">
        <f t="shared" si="123"/>
        <v>FFDFD7C0</v>
      </c>
      <c r="D2579" t="s">
        <v>124</v>
      </c>
      <c r="E2579">
        <v>11</v>
      </c>
      <c r="F2579">
        <v>1011</v>
      </c>
      <c r="G2579" t="s">
        <v>590</v>
      </c>
      <c r="J2579" t="s">
        <v>125</v>
      </c>
      <c r="K2579">
        <v>0</v>
      </c>
      <c r="L2579">
        <v>3</v>
      </c>
      <c r="M2579">
        <v>0</v>
      </c>
      <c r="N2579">
        <v>2</v>
      </c>
      <c r="O2579">
        <v>1</v>
      </c>
      <c r="P2579">
        <v>0</v>
      </c>
      <c r="Q2579">
        <v>0</v>
      </c>
      <c r="S2579" t="str">
        <f>"20:28:17.766"</f>
        <v>20:28:17.766</v>
      </c>
      <c r="T2579" t="str">
        <f>"20:28:17.266"</f>
        <v>20:28:17.266</v>
      </c>
      <c r="U2579" t="str">
        <f t="shared" si="125"/>
        <v>AB01F4</v>
      </c>
      <c r="V2579">
        <v>0</v>
      </c>
      <c r="W2579">
        <v>0</v>
      </c>
      <c r="X2579">
        <v>2</v>
      </c>
      <c r="Z2579">
        <v>0</v>
      </c>
      <c r="AA2579">
        <v>9</v>
      </c>
      <c r="AB2579">
        <v>3</v>
      </c>
      <c r="AC2579">
        <v>0</v>
      </c>
      <c r="AD2579">
        <v>10</v>
      </c>
      <c r="AE2579">
        <v>0</v>
      </c>
      <c r="AF2579">
        <v>3</v>
      </c>
      <c r="AG2579">
        <v>2</v>
      </c>
      <c r="AH2579">
        <v>0</v>
      </c>
      <c r="AI2579" t="s">
        <v>1539</v>
      </c>
      <c r="AJ2579">
        <v>40.002035999999997</v>
      </c>
      <c r="AK2579" t="s">
        <v>1540</v>
      </c>
      <c r="AL2579">
        <v>-92.751774999999995</v>
      </c>
      <c r="AM2579">
        <v>100</v>
      </c>
      <c r="AN2579">
        <v>1700</v>
      </c>
      <c r="AO2579" t="s">
        <v>118</v>
      </c>
      <c r="AP2579">
        <v>-106</v>
      </c>
      <c r="AQ2579">
        <v>77</v>
      </c>
      <c r="AR2579">
        <v>0</v>
      </c>
      <c r="AZ2579">
        <v>1200</v>
      </c>
      <c r="BA2579">
        <v>1</v>
      </c>
      <c r="BB2579" t="str">
        <f t="shared" si="124"/>
        <v xml:space="preserve">N8080G  </v>
      </c>
      <c r="BC2579">
        <v>1</v>
      </c>
      <c r="BE2579">
        <v>0</v>
      </c>
      <c r="BF2579">
        <v>0</v>
      </c>
      <c r="BG2579">
        <v>0</v>
      </c>
      <c r="BH2579">
        <v>1700</v>
      </c>
      <c r="BI2579">
        <v>1</v>
      </c>
      <c r="BJ2579">
        <v>1</v>
      </c>
      <c r="BK2579">
        <v>1</v>
      </c>
      <c r="BL2579">
        <v>0</v>
      </c>
      <c r="BO2579">
        <v>0</v>
      </c>
      <c r="BP2579">
        <v>0</v>
      </c>
      <c r="BW2579" t="str">
        <f>"20:28:17.772"</f>
        <v>20:28:17.772</v>
      </c>
      <c r="BZ2579">
        <v>0</v>
      </c>
      <c r="CA2579">
        <v>2016</v>
      </c>
      <c r="CB2579">
        <v>224</v>
      </c>
      <c r="CD2579">
        <v>1</v>
      </c>
      <c r="CE2579">
        <v>0</v>
      </c>
      <c r="CF2579">
        <v>0</v>
      </c>
      <c r="CG2579">
        <v>1</v>
      </c>
      <c r="CH2579">
        <v>0</v>
      </c>
      <c r="CI2579">
        <v>0</v>
      </c>
      <c r="CJ2579">
        <v>0</v>
      </c>
      <c r="CK2579">
        <v>2</v>
      </c>
      <c r="CL2579">
        <v>0</v>
      </c>
      <c r="CM2579">
        <v>2</v>
      </c>
      <c r="CN2579">
        <v>0</v>
      </c>
      <c r="CO2579">
        <v>7</v>
      </c>
      <c r="CP2579" t="s">
        <v>119</v>
      </c>
      <c r="CQ2579">
        <v>180</v>
      </c>
      <c r="CR2579">
        <v>2</v>
      </c>
      <c r="CW2579">
        <v>8569085</v>
      </c>
      <c r="CY2579">
        <v>1</v>
      </c>
      <c r="CZ2579">
        <v>0</v>
      </c>
      <c r="DA2579">
        <v>0</v>
      </c>
      <c r="DB2579">
        <v>0</v>
      </c>
      <c r="DC2579">
        <v>0</v>
      </c>
      <c r="DD2579">
        <v>0</v>
      </c>
      <c r="DE2579">
        <v>0</v>
      </c>
      <c r="DF2579">
        <v>0</v>
      </c>
      <c r="DG2579">
        <v>0</v>
      </c>
      <c r="DH2579">
        <v>0</v>
      </c>
      <c r="DI2579">
        <v>0</v>
      </c>
    </row>
    <row r="2580" spans="1:113" x14ac:dyDescent="0.3">
      <c r="A2580" t="str">
        <f>"02/08/2021 20:28:15.428"</f>
        <v>02/08/2021 20:28:15.428</v>
      </c>
      <c r="C2580" t="str">
        <f t="shared" si="123"/>
        <v>FFDFD7C0</v>
      </c>
      <c r="D2580" t="s">
        <v>124</v>
      </c>
      <c r="E2580">
        <v>12</v>
      </c>
      <c r="F2580">
        <v>1012</v>
      </c>
      <c r="G2580" t="s">
        <v>675</v>
      </c>
      <c r="J2580" t="s">
        <v>125</v>
      </c>
      <c r="K2580">
        <v>0</v>
      </c>
      <c r="L2580">
        <v>3</v>
      </c>
      <c r="M2580">
        <v>0</v>
      </c>
      <c r="N2580">
        <v>2</v>
      </c>
      <c r="O2580">
        <v>1</v>
      </c>
      <c r="P2580">
        <v>0</v>
      </c>
      <c r="Q2580">
        <v>0</v>
      </c>
      <c r="S2580" t="str">
        <f>"20:28:17.766"</f>
        <v>20:28:17.766</v>
      </c>
      <c r="T2580" t="str">
        <f>"20:28:17.266"</f>
        <v>20:28:17.266</v>
      </c>
      <c r="U2580" t="str">
        <f t="shared" si="125"/>
        <v>AB01F4</v>
      </c>
      <c r="V2580">
        <v>0</v>
      </c>
      <c r="W2580">
        <v>0</v>
      </c>
      <c r="X2580">
        <v>2</v>
      </c>
      <c r="Z2580">
        <v>0</v>
      </c>
      <c r="AA2580">
        <v>9</v>
      </c>
      <c r="AB2580">
        <v>3</v>
      </c>
      <c r="AC2580">
        <v>0</v>
      </c>
      <c r="AD2580">
        <v>10</v>
      </c>
      <c r="AE2580">
        <v>0</v>
      </c>
      <c r="AF2580">
        <v>3</v>
      </c>
      <c r="AG2580">
        <v>2</v>
      </c>
      <c r="AH2580">
        <v>0</v>
      </c>
      <c r="AI2580" t="s">
        <v>1539</v>
      </c>
      <c r="AJ2580">
        <v>40.002035999999997</v>
      </c>
      <c r="AK2580" t="s">
        <v>1540</v>
      </c>
      <c r="AL2580">
        <v>-92.751774999999995</v>
      </c>
      <c r="AM2580">
        <v>100</v>
      </c>
      <c r="AN2580">
        <v>1700</v>
      </c>
      <c r="AO2580" t="s">
        <v>118</v>
      </c>
      <c r="AP2580">
        <v>-106</v>
      </c>
      <c r="AQ2580">
        <v>77</v>
      </c>
      <c r="AR2580">
        <v>0</v>
      </c>
      <c r="AZ2580">
        <v>1200</v>
      </c>
      <c r="BA2580">
        <v>1</v>
      </c>
      <c r="BB2580" t="str">
        <f t="shared" si="124"/>
        <v xml:space="preserve">N8080G  </v>
      </c>
      <c r="BC2580">
        <v>1</v>
      </c>
      <c r="BE2580">
        <v>0</v>
      </c>
      <c r="BF2580">
        <v>0</v>
      </c>
      <c r="BG2580">
        <v>0</v>
      </c>
      <c r="BH2580">
        <v>1700</v>
      </c>
      <c r="BI2580">
        <v>1</v>
      </c>
      <c r="BJ2580">
        <v>1</v>
      </c>
      <c r="BK2580">
        <v>1</v>
      </c>
      <c r="BL2580">
        <v>0</v>
      </c>
      <c r="BO2580">
        <v>0</v>
      </c>
      <c r="BP2580">
        <v>0</v>
      </c>
      <c r="BW2580" t="str">
        <f>"20:28:17.772"</f>
        <v>20:28:17.772</v>
      </c>
      <c r="BZ2580">
        <v>0</v>
      </c>
      <c r="CA2580">
        <v>2016</v>
      </c>
      <c r="CB2580">
        <v>224</v>
      </c>
      <c r="CD2580">
        <v>1</v>
      </c>
      <c r="CE2580">
        <v>0</v>
      </c>
      <c r="CF2580">
        <v>0</v>
      </c>
      <c r="CG2580">
        <v>1</v>
      </c>
      <c r="CH2580">
        <v>0</v>
      </c>
      <c r="CI2580">
        <v>0</v>
      </c>
      <c r="CJ2580">
        <v>0</v>
      </c>
      <c r="CK2580">
        <v>2</v>
      </c>
      <c r="CL2580">
        <v>0</v>
      </c>
      <c r="CM2580">
        <v>2</v>
      </c>
      <c r="CN2580">
        <v>0</v>
      </c>
      <c r="CO2580">
        <v>7</v>
      </c>
      <c r="CP2580" t="s">
        <v>119</v>
      </c>
      <c r="CQ2580">
        <v>180</v>
      </c>
      <c r="CR2580">
        <v>2</v>
      </c>
      <c r="CW2580">
        <v>8569085</v>
      </c>
      <c r="CY2580">
        <v>1</v>
      </c>
      <c r="CZ2580">
        <v>0</v>
      </c>
      <c r="DA2580">
        <v>1</v>
      </c>
      <c r="DB2580">
        <v>0</v>
      </c>
      <c r="DC2580">
        <v>0</v>
      </c>
      <c r="DD2580">
        <v>0</v>
      </c>
      <c r="DE2580">
        <v>0</v>
      </c>
      <c r="DF2580">
        <v>0</v>
      </c>
      <c r="DG2580">
        <v>0</v>
      </c>
      <c r="DH2580">
        <v>0</v>
      </c>
      <c r="DI2580">
        <v>0</v>
      </c>
    </row>
    <row r="2581" spans="1:113" x14ac:dyDescent="0.3">
      <c r="A2581" t="str">
        <f>"02/08/2021 20:28:15.428"</f>
        <v>02/08/2021 20:28:15.428</v>
      </c>
      <c r="C2581" t="str">
        <f t="shared" si="123"/>
        <v>FFDFD7C0</v>
      </c>
      <c r="D2581" t="s">
        <v>113</v>
      </c>
      <c r="E2581">
        <v>6</v>
      </c>
      <c r="H2581">
        <v>165</v>
      </c>
      <c r="I2581" t="s">
        <v>114</v>
      </c>
      <c r="J2581" t="s">
        <v>115</v>
      </c>
      <c r="K2581">
        <v>0</v>
      </c>
      <c r="L2581">
        <v>3</v>
      </c>
      <c r="M2581">
        <v>0</v>
      </c>
      <c r="N2581">
        <v>2</v>
      </c>
      <c r="O2581">
        <v>1</v>
      </c>
      <c r="P2581">
        <v>0</v>
      </c>
      <c r="Q2581">
        <v>0</v>
      </c>
      <c r="S2581" t="str">
        <f>"20:28:17.766"</f>
        <v>20:28:17.766</v>
      </c>
      <c r="T2581" t="str">
        <f>"20:28:17.266"</f>
        <v>20:28:17.266</v>
      </c>
      <c r="U2581" t="str">
        <f t="shared" si="125"/>
        <v>AB01F4</v>
      </c>
      <c r="V2581">
        <v>0</v>
      </c>
      <c r="W2581">
        <v>0</v>
      </c>
      <c r="X2581">
        <v>2</v>
      </c>
      <c r="Z2581">
        <v>0</v>
      </c>
      <c r="AA2581">
        <v>9</v>
      </c>
      <c r="AB2581">
        <v>3</v>
      </c>
      <c r="AC2581">
        <v>0</v>
      </c>
      <c r="AD2581">
        <v>10</v>
      </c>
      <c r="AE2581">
        <v>0</v>
      </c>
      <c r="AF2581">
        <v>3</v>
      </c>
      <c r="AG2581">
        <v>2</v>
      </c>
      <c r="AH2581">
        <v>0</v>
      </c>
      <c r="AI2581" t="s">
        <v>1539</v>
      </c>
      <c r="AJ2581">
        <v>40.002035999999997</v>
      </c>
      <c r="AK2581" t="s">
        <v>1540</v>
      </c>
      <c r="AL2581">
        <v>-92.751774999999995</v>
      </c>
      <c r="AM2581">
        <v>100</v>
      </c>
      <c r="AN2581">
        <v>1700</v>
      </c>
      <c r="AO2581" t="s">
        <v>118</v>
      </c>
      <c r="AP2581">
        <v>-106</v>
      </c>
      <c r="AQ2581">
        <v>77</v>
      </c>
      <c r="AR2581">
        <v>0</v>
      </c>
      <c r="AZ2581">
        <v>1200</v>
      </c>
      <c r="BA2581">
        <v>1</v>
      </c>
      <c r="BB2581" t="str">
        <f t="shared" si="124"/>
        <v xml:space="preserve">N8080G  </v>
      </c>
      <c r="BC2581">
        <v>1</v>
      </c>
      <c r="BE2581">
        <v>0</v>
      </c>
      <c r="BF2581">
        <v>0</v>
      </c>
      <c r="BG2581">
        <v>0</v>
      </c>
      <c r="BH2581">
        <v>1700</v>
      </c>
      <c r="BI2581">
        <v>1</v>
      </c>
      <c r="BJ2581">
        <v>1</v>
      </c>
      <c r="BK2581">
        <v>1</v>
      </c>
      <c r="BL2581">
        <v>0</v>
      </c>
      <c r="BO2581">
        <v>0</v>
      </c>
      <c r="BP2581">
        <v>0</v>
      </c>
      <c r="BW2581" t="str">
        <f>"20:28:17.772"</f>
        <v>20:28:17.772</v>
      </c>
      <c r="BZ2581">
        <v>0</v>
      </c>
      <c r="CA2581">
        <v>2016</v>
      </c>
      <c r="CB2581">
        <v>224</v>
      </c>
      <c r="CD2581">
        <v>1</v>
      </c>
      <c r="CE2581">
        <v>0</v>
      </c>
      <c r="CF2581">
        <v>0</v>
      </c>
      <c r="CG2581">
        <v>1</v>
      </c>
      <c r="CH2581">
        <v>0</v>
      </c>
      <c r="CI2581">
        <v>0</v>
      </c>
      <c r="CJ2581">
        <v>0</v>
      </c>
      <c r="CK2581">
        <v>2</v>
      </c>
      <c r="CL2581">
        <v>0</v>
      </c>
      <c r="CM2581">
        <v>2</v>
      </c>
      <c r="CN2581">
        <v>0</v>
      </c>
      <c r="CO2581">
        <v>7</v>
      </c>
      <c r="CP2581" t="s">
        <v>119</v>
      </c>
      <c r="CQ2581">
        <v>180</v>
      </c>
      <c r="CR2581">
        <v>2</v>
      </c>
      <c r="CW2581">
        <v>8569085</v>
      </c>
      <c r="CY2581">
        <v>1</v>
      </c>
      <c r="CZ2581">
        <v>0</v>
      </c>
      <c r="DA2581">
        <v>1</v>
      </c>
      <c r="DB2581">
        <v>0</v>
      </c>
      <c r="DC2581">
        <v>0</v>
      </c>
      <c r="DD2581">
        <v>0</v>
      </c>
      <c r="DE2581">
        <v>0</v>
      </c>
      <c r="DF2581">
        <v>0</v>
      </c>
      <c r="DG2581">
        <v>0</v>
      </c>
      <c r="DH2581">
        <v>0</v>
      </c>
      <c r="DI2581">
        <v>0</v>
      </c>
    </row>
    <row r="2582" spans="1:113" x14ac:dyDescent="0.3">
      <c r="A2582" t="str">
        <f>"02/08/2021 20:28:15.428"</f>
        <v>02/08/2021 20:28:15.428</v>
      </c>
      <c r="C2582" t="str">
        <f t="shared" si="123"/>
        <v>FFDFD7C0</v>
      </c>
      <c r="D2582" t="s">
        <v>124</v>
      </c>
      <c r="E2582">
        <v>13</v>
      </c>
      <c r="F2582">
        <v>1013</v>
      </c>
      <c r="G2582" t="s">
        <v>114</v>
      </c>
      <c r="J2582" t="s">
        <v>125</v>
      </c>
      <c r="K2582">
        <v>0</v>
      </c>
      <c r="L2582">
        <v>3</v>
      </c>
      <c r="M2582">
        <v>0</v>
      </c>
      <c r="N2582">
        <v>2</v>
      </c>
      <c r="O2582">
        <v>1</v>
      </c>
      <c r="P2582">
        <v>0</v>
      </c>
      <c r="Q2582">
        <v>0</v>
      </c>
      <c r="S2582" t="str">
        <f>"20:28:17.766"</f>
        <v>20:28:17.766</v>
      </c>
      <c r="T2582" t="str">
        <f>"20:28:17.266"</f>
        <v>20:28:17.266</v>
      </c>
      <c r="U2582" t="str">
        <f t="shared" si="125"/>
        <v>AB01F4</v>
      </c>
      <c r="V2582">
        <v>0</v>
      </c>
      <c r="W2582">
        <v>0</v>
      </c>
      <c r="X2582">
        <v>2</v>
      </c>
      <c r="Z2582">
        <v>0</v>
      </c>
      <c r="AA2582">
        <v>9</v>
      </c>
      <c r="AB2582">
        <v>3</v>
      </c>
      <c r="AC2582">
        <v>0</v>
      </c>
      <c r="AD2582">
        <v>10</v>
      </c>
      <c r="AE2582">
        <v>0</v>
      </c>
      <c r="AF2582">
        <v>3</v>
      </c>
      <c r="AG2582">
        <v>2</v>
      </c>
      <c r="AH2582">
        <v>0</v>
      </c>
      <c r="AI2582" t="s">
        <v>1539</v>
      </c>
      <c r="AJ2582">
        <v>40.002035999999997</v>
      </c>
      <c r="AK2582" t="s">
        <v>1540</v>
      </c>
      <c r="AL2582">
        <v>-92.751774999999995</v>
      </c>
      <c r="AM2582">
        <v>100</v>
      </c>
      <c r="AN2582">
        <v>1700</v>
      </c>
      <c r="AO2582" t="s">
        <v>118</v>
      </c>
      <c r="AP2582">
        <v>-106</v>
      </c>
      <c r="AQ2582">
        <v>77</v>
      </c>
      <c r="AR2582">
        <v>0</v>
      </c>
      <c r="AZ2582">
        <v>1200</v>
      </c>
      <c r="BA2582">
        <v>1</v>
      </c>
      <c r="BB2582" t="str">
        <f t="shared" si="124"/>
        <v xml:space="preserve">N8080G  </v>
      </c>
      <c r="BC2582">
        <v>1</v>
      </c>
      <c r="BE2582">
        <v>0</v>
      </c>
      <c r="BF2582">
        <v>0</v>
      </c>
      <c r="BG2582">
        <v>0</v>
      </c>
      <c r="BH2582">
        <v>1700</v>
      </c>
      <c r="BI2582">
        <v>1</v>
      </c>
      <c r="BJ2582">
        <v>1</v>
      </c>
      <c r="BK2582">
        <v>1</v>
      </c>
      <c r="BL2582">
        <v>0</v>
      </c>
      <c r="BO2582">
        <v>0</v>
      </c>
      <c r="BP2582">
        <v>0</v>
      </c>
      <c r="BW2582" t="str">
        <f>"20:28:17.772"</f>
        <v>20:28:17.772</v>
      </c>
      <c r="BZ2582">
        <v>0</v>
      </c>
      <c r="CA2582">
        <v>2016</v>
      </c>
      <c r="CB2582">
        <v>224</v>
      </c>
      <c r="CD2582">
        <v>1</v>
      </c>
      <c r="CE2582">
        <v>0</v>
      </c>
      <c r="CF2582">
        <v>0</v>
      </c>
      <c r="CG2582">
        <v>1</v>
      </c>
      <c r="CH2582">
        <v>0</v>
      </c>
      <c r="CI2582">
        <v>0</v>
      </c>
      <c r="CJ2582">
        <v>0</v>
      </c>
      <c r="CK2582">
        <v>2</v>
      </c>
      <c r="CL2582">
        <v>0</v>
      </c>
      <c r="CM2582">
        <v>2</v>
      </c>
      <c r="CN2582">
        <v>0</v>
      </c>
      <c r="CO2582">
        <v>7</v>
      </c>
      <c r="CP2582" t="s">
        <v>119</v>
      </c>
      <c r="CQ2582">
        <v>180</v>
      </c>
      <c r="CR2582">
        <v>2</v>
      </c>
      <c r="CW2582">
        <v>8569085</v>
      </c>
      <c r="CY2582">
        <v>1</v>
      </c>
      <c r="CZ2582">
        <v>0</v>
      </c>
      <c r="DA2582">
        <v>1</v>
      </c>
      <c r="DB2582">
        <v>0</v>
      </c>
      <c r="DC2582">
        <v>0</v>
      </c>
      <c r="DD2582">
        <v>0</v>
      </c>
      <c r="DE2582">
        <v>0</v>
      </c>
      <c r="DF2582">
        <v>0</v>
      </c>
      <c r="DG2582">
        <v>0</v>
      </c>
      <c r="DH2582">
        <v>0</v>
      </c>
      <c r="DI2582">
        <v>0</v>
      </c>
    </row>
    <row r="2583" spans="1:113" x14ac:dyDescent="0.3">
      <c r="A2583" t="str">
        <f>"02/08/2021 20:28:16.570"</f>
        <v>02/08/2021 20:28:16.570</v>
      </c>
      <c r="C2583" t="str">
        <f t="shared" si="123"/>
        <v>FFDFD7C0</v>
      </c>
      <c r="D2583" t="s">
        <v>113</v>
      </c>
      <c r="E2583">
        <v>6</v>
      </c>
      <c r="H2583">
        <v>165</v>
      </c>
      <c r="I2583" t="s">
        <v>114</v>
      </c>
      <c r="J2583" t="s">
        <v>115</v>
      </c>
      <c r="K2583">
        <v>0</v>
      </c>
      <c r="L2583">
        <v>3</v>
      </c>
      <c r="M2583">
        <v>0</v>
      </c>
      <c r="N2583">
        <v>2</v>
      </c>
      <c r="O2583">
        <v>1</v>
      </c>
      <c r="P2583">
        <v>0</v>
      </c>
      <c r="Q2583">
        <v>0</v>
      </c>
      <c r="S2583" t="str">
        <f>"20:28:18.852"</f>
        <v>20:28:18.852</v>
      </c>
      <c r="T2583" t="str">
        <f>"20:28:18.352"</f>
        <v>20:28:18.352</v>
      </c>
      <c r="U2583" t="str">
        <f t="shared" si="125"/>
        <v>AB01F4</v>
      </c>
      <c r="V2583">
        <v>0</v>
      </c>
      <c r="W2583">
        <v>0</v>
      </c>
      <c r="X2583">
        <v>2</v>
      </c>
      <c r="Z2583">
        <v>0</v>
      </c>
      <c r="AA2583">
        <v>9</v>
      </c>
      <c r="AB2583">
        <v>3</v>
      </c>
      <c r="AC2583">
        <v>0</v>
      </c>
      <c r="AD2583">
        <v>10</v>
      </c>
      <c r="AE2583">
        <v>0</v>
      </c>
      <c r="AF2583">
        <v>3</v>
      </c>
      <c r="AG2583">
        <v>2</v>
      </c>
      <c r="AH2583">
        <v>0</v>
      </c>
      <c r="AI2583" t="s">
        <v>1541</v>
      </c>
      <c r="AJ2583">
        <v>40.002422000000003</v>
      </c>
      <c r="AK2583" t="s">
        <v>1542</v>
      </c>
      <c r="AL2583">
        <v>-92.752504000000002</v>
      </c>
      <c r="AM2583">
        <v>100</v>
      </c>
      <c r="AN2583">
        <v>1700</v>
      </c>
      <c r="AO2583" t="s">
        <v>118</v>
      </c>
      <c r="AP2583">
        <v>-106</v>
      </c>
      <c r="AQ2583">
        <v>77</v>
      </c>
      <c r="AR2583">
        <v>0</v>
      </c>
      <c r="AZ2583">
        <v>1200</v>
      </c>
      <c r="BA2583">
        <v>1</v>
      </c>
      <c r="BB2583" t="str">
        <f t="shared" si="124"/>
        <v xml:space="preserve">N8080G  </v>
      </c>
      <c r="BC2583">
        <v>1</v>
      </c>
      <c r="BE2583">
        <v>0</v>
      </c>
      <c r="BF2583">
        <v>0</v>
      </c>
      <c r="BG2583">
        <v>0</v>
      </c>
      <c r="BH2583">
        <v>1700</v>
      </c>
      <c r="BI2583">
        <v>1</v>
      </c>
      <c r="BJ2583">
        <v>1</v>
      </c>
      <c r="BK2583">
        <v>1</v>
      </c>
      <c r="BL2583">
        <v>0</v>
      </c>
      <c r="BO2583">
        <v>0</v>
      </c>
      <c r="BP2583">
        <v>0</v>
      </c>
      <c r="BW2583" t="str">
        <f>"20:28:18.858"</f>
        <v>20:28:18.858</v>
      </c>
      <c r="BZ2583">
        <v>0</v>
      </c>
      <c r="CA2583">
        <v>2016</v>
      </c>
      <c r="CB2583">
        <v>224</v>
      </c>
      <c r="CD2583">
        <v>1</v>
      </c>
      <c r="CE2583">
        <v>0</v>
      </c>
      <c r="CF2583">
        <v>0</v>
      </c>
      <c r="CG2583">
        <v>1</v>
      </c>
      <c r="CH2583">
        <v>0</v>
      </c>
      <c r="CI2583">
        <v>0</v>
      </c>
      <c r="CJ2583">
        <v>0</v>
      </c>
      <c r="CK2583">
        <v>2</v>
      </c>
      <c r="CL2583">
        <v>0</v>
      </c>
      <c r="CM2583">
        <v>2</v>
      </c>
      <c r="CN2583">
        <v>0</v>
      </c>
      <c r="CO2583">
        <v>2</v>
      </c>
      <c r="CP2583" t="s">
        <v>119</v>
      </c>
      <c r="CQ2583">
        <v>179</v>
      </c>
      <c r="CR2583">
        <v>2</v>
      </c>
      <c r="CW2583">
        <v>12181802</v>
      </c>
      <c r="CY2583">
        <v>1</v>
      </c>
      <c r="CZ2583">
        <v>0</v>
      </c>
      <c r="DA2583">
        <v>0</v>
      </c>
      <c r="DB2583">
        <v>0</v>
      </c>
      <c r="DC2583">
        <v>0</v>
      </c>
      <c r="DD2583">
        <v>0</v>
      </c>
      <c r="DE2583">
        <v>0</v>
      </c>
      <c r="DF2583">
        <v>0</v>
      </c>
      <c r="DG2583">
        <v>0</v>
      </c>
      <c r="DH2583">
        <v>0</v>
      </c>
      <c r="DI2583">
        <v>0</v>
      </c>
    </row>
    <row r="2584" spans="1:113" x14ac:dyDescent="0.3">
      <c r="A2584" t="str">
        <f>"02/08/2021 20:28:16.570"</f>
        <v>02/08/2021 20:28:16.570</v>
      </c>
      <c r="C2584" t="str">
        <f t="shared" si="123"/>
        <v>FFDFD7C0</v>
      </c>
      <c r="D2584" t="s">
        <v>124</v>
      </c>
      <c r="E2584">
        <v>13</v>
      </c>
      <c r="F2584">
        <v>1013</v>
      </c>
      <c r="G2584" t="s">
        <v>114</v>
      </c>
      <c r="J2584" t="s">
        <v>125</v>
      </c>
      <c r="K2584">
        <v>0</v>
      </c>
      <c r="L2584">
        <v>3</v>
      </c>
      <c r="M2584">
        <v>0</v>
      </c>
      <c r="N2584">
        <v>2</v>
      </c>
      <c r="O2584">
        <v>1</v>
      </c>
      <c r="P2584">
        <v>0</v>
      </c>
      <c r="Q2584">
        <v>0</v>
      </c>
      <c r="S2584" t="str">
        <f>"20:28:18.852"</f>
        <v>20:28:18.852</v>
      </c>
      <c r="T2584" t="str">
        <f>"20:28:18.352"</f>
        <v>20:28:18.352</v>
      </c>
      <c r="U2584" t="str">
        <f t="shared" si="125"/>
        <v>AB01F4</v>
      </c>
      <c r="V2584">
        <v>0</v>
      </c>
      <c r="W2584">
        <v>0</v>
      </c>
      <c r="X2584">
        <v>2</v>
      </c>
      <c r="Z2584">
        <v>0</v>
      </c>
      <c r="AA2584">
        <v>9</v>
      </c>
      <c r="AB2584">
        <v>3</v>
      </c>
      <c r="AC2584">
        <v>0</v>
      </c>
      <c r="AD2584">
        <v>10</v>
      </c>
      <c r="AE2584">
        <v>0</v>
      </c>
      <c r="AF2584">
        <v>3</v>
      </c>
      <c r="AG2584">
        <v>2</v>
      </c>
      <c r="AH2584">
        <v>0</v>
      </c>
      <c r="AI2584" t="s">
        <v>1541</v>
      </c>
      <c r="AJ2584">
        <v>40.002422000000003</v>
      </c>
      <c r="AK2584" t="s">
        <v>1542</v>
      </c>
      <c r="AL2584">
        <v>-92.752504000000002</v>
      </c>
      <c r="AM2584">
        <v>100</v>
      </c>
      <c r="AN2584">
        <v>1700</v>
      </c>
      <c r="AO2584" t="s">
        <v>118</v>
      </c>
      <c r="AP2584">
        <v>-106</v>
      </c>
      <c r="AQ2584">
        <v>77</v>
      </c>
      <c r="AR2584">
        <v>0</v>
      </c>
      <c r="AZ2584">
        <v>1200</v>
      </c>
      <c r="BA2584">
        <v>1</v>
      </c>
      <c r="BB2584" t="str">
        <f t="shared" si="124"/>
        <v xml:space="preserve">N8080G  </v>
      </c>
      <c r="BC2584">
        <v>1</v>
      </c>
      <c r="BE2584">
        <v>0</v>
      </c>
      <c r="BF2584">
        <v>0</v>
      </c>
      <c r="BG2584">
        <v>0</v>
      </c>
      <c r="BH2584">
        <v>1700</v>
      </c>
      <c r="BI2584">
        <v>1</v>
      </c>
      <c r="BJ2584">
        <v>1</v>
      </c>
      <c r="BK2584">
        <v>1</v>
      </c>
      <c r="BL2584">
        <v>0</v>
      </c>
      <c r="BO2584">
        <v>0</v>
      </c>
      <c r="BP2584">
        <v>0</v>
      </c>
      <c r="BW2584" t="str">
        <f>"20:28:18.858"</f>
        <v>20:28:18.858</v>
      </c>
      <c r="BZ2584">
        <v>0</v>
      </c>
      <c r="CA2584">
        <v>2016</v>
      </c>
      <c r="CB2584">
        <v>224</v>
      </c>
      <c r="CD2584">
        <v>1</v>
      </c>
      <c r="CE2584">
        <v>0</v>
      </c>
      <c r="CF2584">
        <v>0</v>
      </c>
      <c r="CG2584">
        <v>1</v>
      </c>
      <c r="CH2584">
        <v>0</v>
      </c>
      <c r="CI2584">
        <v>0</v>
      </c>
      <c r="CJ2584">
        <v>0</v>
      </c>
      <c r="CK2584">
        <v>2</v>
      </c>
      <c r="CL2584">
        <v>0</v>
      </c>
      <c r="CM2584">
        <v>2</v>
      </c>
      <c r="CN2584">
        <v>0</v>
      </c>
      <c r="CO2584">
        <v>2</v>
      </c>
      <c r="CP2584" t="s">
        <v>119</v>
      </c>
      <c r="CQ2584">
        <v>179</v>
      </c>
      <c r="CR2584">
        <v>2</v>
      </c>
      <c r="CW2584">
        <v>12181802</v>
      </c>
      <c r="CY2584">
        <v>1</v>
      </c>
      <c r="CZ2584">
        <v>0</v>
      </c>
      <c r="DA2584">
        <v>1</v>
      </c>
      <c r="DB2584">
        <v>0</v>
      </c>
      <c r="DC2584">
        <v>0</v>
      </c>
      <c r="DD2584">
        <v>0</v>
      </c>
      <c r="DE2584">
        <v>0</v>
      </c>
      <c r="DF2584">
        <v>0</v>
      </c>
      <c r="DG2584">
        <v>0</v>
      </c>
      <c r="DH2584">
        <v>0</v>
      </c>
      <c r="DI2584">
        <v>0</v>
      </c>
    </row>
    <row r="2585" spans="1:113" x14ac:dyDescent="0.3">
      <c r="A2585" t="str">
        <f>"02/08/2021 20:28:16.570"</f>
        <v>02/08/2021 20:28:16.570</v>
      </c>
      <c r="C2585" t="str">
        <f t="shared" si="123"/>
        <v>FFDFD7C0</v>
      </c>
      <c r="D2585" t="s">
        <v>124</v>
      </c>
      <c r="E2585">
        <v>11</v>
      </c>
      <c r="F2585">
        <v>1011</v>
      </c>
      <c r="G2585" t="s">
        <v>590</v>
      </c>
      <c r="J2585" t="s">
        <v>125</v>
      </c>
      <c r="K2585">
        <v>0</v>
      </c>
      <c r="L2585">
        <v>3</v>
      </c>
      <c r="M2585">
        <v>0</v>
      </c>
      <c r="N2585">
        <v>2</v>
      </c>
      <c r="O2585">
        <v>1</v>
      </c>
      <c r="P2585">
        <v>0</v>
      </c>
      <c r="Q2585">
        <v>0</v>
      </c>
      <c r="S2585" t="str">
        <f>"20:28:18.852"</f>
        <v>20:28:18.852</v>
      </c>
      <c r="T2585" t="str">
        <f>"20:28:18.352"</f>
        <v>20:28:18.352</v>
      </c>
      <c r="U2585" t="str">
        <f t="shared" si="125"/>
        <v>AB01F4</v>
      </c>
      <c r="V2585">
        <v>0</v>
      </c>
      <c r="W2585">
        <v>0</v>
      </c>
      <c r="X2585">
        <v>2</v>
      </c>
      <c r="Z2585">
        <v>0</v>
      </c>
      <c r="AA2585">
        <v>9</v>
      </c>
      <c r="AB2585">
        <v>3</v>
      </c>
      <c r="AC2585">
        <v>0</v>
      </c>
      <c r="AD2585">
        <v>10</v>
      </c>
      <c r="AE2585">
        <v>0</v>
      </c>
      <c r="AF2585">
        <v>3</v>
      </c>
      <c r="AG2585">
        <v>2</v>
      </c>
      <c r="AH2585">
        <v>0</v>
      </c>
      <c r="AI2585" t="s">
        <v>1541</v>
      </c>
      <c r="AJ2585">
        <v>40.002422000000003</v>
      </c>
      <c r="AK2585" t="s">
        <v>1542</v>
      </c>
      <c r="AL2585">
        <v>-92.752504000000002</v>
      </c>
      <c r="AM2585">
        <v>100</v>
      </c>
      <c r="AN2585">
        <v>1700</v>
      </c>
      <c r="AO2585" t="s">
        <v>118</v>
      </c>
      <c r="AP2585">
        <v>-106</v>
      </c>
      <c r="AQ2585">
        <v>77</v>
      </c>
      <c r="AR2585">
        <v>0</v>
      </c>
      <c r="AZ2585">
        <v>1200</v>
      </c>
      <c r="BA2585">
        <v>1</v>
      </c>
      <c r="BB2585" t="str">
        <f t="shared" si="124"/>
        <v xml:space="preserve">N8080G  </v>
      </c>
      <c r="BC2585">
        <v>1</v>
      </c>
      <c r="BE2585">
        <v>0</v>
      </c>
      <c r="BF2585">
        <v>0</v>
      </c>
      <c r="BG2585">
        <v>0</v>
      </c>
      <c r="BH2585">
        <v>1700</v>
      </c>
      <c r="BI2585">
        <v>1</v>
      </c>
      <c r="BJ2585">
        <v>1</v>
      </c>
      <c r="BK2585">
        <v>1</v>
      </c>
      <c r="BL2585">
        <v>0</v>
      </c>
      <c r="BO2585">
        <v>0</v>
      </c>
      <c r="BP2585">
        <v>0</v>
      </c>
      <c r="BW2585" t="str">
        <f>"20:28:18.858"</f>
        <v>20:28:18.858</v>
      </c>
      <c r="BZ2585">
        <v>0</v>
      </c>
      <c r="CA2585">
        <v>2016</v>
      </c>
      <c r="CB2585">
        <v>224</v>
      </c>
      <c r="CD2585">
        <v>1</v>
      </c>
      <c r="CE2585">
        <v>0</v>
      </c>
      <c r="CF2585">
        <v>0</v>
      </c>
      <c r="CG2585">
        <v>1</v>
      </c>
      <c r="CH2585">
        <v>0</v>
      </c>
      <c r="CI2585">
        <v>0</v>
      </c>
      <c r="CJ2585">
        <v>0</v>
      </c>
      <c r="CK2585">
        <v>2</v>
      </c>
      <c r="CL2585">
        <v>0</v>
      </c>
      <c r="CM2585">
        <v>2</v>
      </c>
      <c r="CN2585">
        <v>0</v>
      </c>
      <c r="CO2585">
        <v>2</v>
      </c>
      <c r="CP2585" t="s">
        <v>119</v>
      </c>
      <c r="CQ2585">
        <v>179</v>
      </c>
      <c r="CR2585">
        <v>2</v>
      </c>
      <c r="CW2585">
        <v>12181802</v>
      </c>
      <c r="CY2585">
        <v>1</v>
      </c>
      <c r="CZ2585">
        <v>0</v>
      </c>
      <c r="DA2585">
        <v>1</v>
      </c>
      <c r="DB2585">
        <v>0</v>
      </c>
      <c r="DC2585">
        <v>0</v>
      </c>
      <c r="DD2585">
        <v>0</v>
      </c>
      <c r="DE2585">
        <v>0</v>
      </c>
      <c r="DF2585">
        <v>0</v>
      </c>
      <c r="DG2585">
        <v>0</v>
      </c>
      <c r="DH2585">
        <v>0</v>
      </c>
      <c r="DI2585">
        <v>0</v>
      </c>
    </row>
    <row r="2586" spans="1:113" x14ac:dyDescent="0.3">
      <c r="A2586" t="str">
        <f>"02/08/2021 20:28:16.570"</f>
        <v>02/08/2021 20:28:16.570</v>
      </c>
      <c r="C2586" t="str">
        <f t="shared" si="123"/>
        <v>FFDFD7C0</v>
      </c>
      <c r="D2586" t="s">
        <v>124</v>
      </c>
      <c r="E2586">
        <v>12</v>
      </c>
      <c r="F2586">
        <v>1012</v>
      </c>
      <c r="G2586" t="s">
        <v>675</v>
      </c>
      <c r="J2586" t="s">
        <v>125</v>
      </c>
      <c r="K2586">
        <v>0</v>
      </c>
      <c r="L2586">
        <v>3</v>
      </c>
      <c r="M2586">
        <v>0</v>
      </c>
      <c r="N2586">
        <v>2</v>
      </c>
      <c r="O2586">
        <v>1</v>
      </c>
      <c r="P2586">
        <v>0</v>
      </c>
      <c r="Q2586">
        <v>0</v>
      </c>
      <c r="S2586" t="str">
        <f>"20:28:18.852"</f>
        <v>20:28:18.852</v>
      </c>
      <c r="T2586" t="str">
        <f>"20:28:18.352"</f>
        <v>20:28:18.352</v>
      </c>
      <c r="U2586" t="str">
        <f t="shared" si="125"/>
        <v>AB01F4</v>
      </c>
      <c r="V2586">
        <v>0</v>
      </c>
      <c r="W2586">
        <v>0</v>
      </c>
      <c r="X2586">
        <v>2</v>
      </c>
      <c r="Z2586">
        <v>0</v>
      </c>
      <c r="AA2586">
        <v>9</v>
      </c>
      <c r="AB2586">
        <v>3</v>
      </c>
      <c r="AC2586">
        <v>0</v>
      </c>
      <c r="AD2586">
        <v>10</v>
      </c>
      <c r="AE2586">
        <v>0</v>
      </c>
      <c r="AF2586">
        <v>3</v>
      </c>
      <c r="AG2586">
        <v>2</v>
      </c>
      <c r="AH2586">
        <v>0</v>
      </c>
      <c r="AI2586" t="s">
        <v>1541</v>
      </c>
      <c r="AJ2586">
        <v>40.002422000000003</v>
      </c>
      <c r="AK2586" t="s">
        <v>1542</v>
      </c>
      <c r="AL2586">
        <v>-92.752504000000002</v>
      </c>
      <c r="AM2586">
        <v>100</v>
      </c>
      <c r="AN2586">
        <v>1700</v>
      </c>
      <c r="AO2586" t="s">
        <v>118</v>
      </c>
      <c r="AP2586">
        <v>-106</v>
      </c>
      <c r="AQ2586">
        <v>77</v>
      </c>
      <c r="AR2586">
        <v>0</v>
      </c>
      <c r="AZ2586">
        <v>1200</v>
      </c>
      <c r="BA2586">
        <v>1</v>
      </c>
      <c r="BB2586" t="str">
        <f t="shared" si="124"/>
        <v xml:space="preserve">N8080G  </v>
      </c>
      <c r="BC2586">
        <v>1</v>
      </c>
      <c r="BE2586">
        <v>0</v>
      </c>
      <c r="BF2586">
        <v>0</v>
      </c>
      <c r="BG2586">
        <v>0</v>
      </c>
      <c r="BH2586">
        <v>1700</v>
      </c>
      <c r="BI2586">
        <v>1</v>
      </c>
      <c r="BJ2586">
        <v>1</v>
      </c>
      <c r="BK2586">
        <v>1</v>
      </c>
      <c r="BL2586">
        <v>0</v>
      </c>
      <c r="BO2586">
        <v>0</v>
      </c>
      <c r="BP2586">
        <v>0</v>
      </c>
      <c r="BW2586" t="str">
        <f>"20:28:18.858"</f>
        <v>20:28:18.858</v>
      </c>
      <c r="BZ2586">
        <v>0</v>
      </c>
      <c r="CA2586">
        <v>2016</v>
      </c>
      <c r="CB2586">
        <v>224</v>
      </c>
      <c r="CD2586">
        <v>1</v>
      </c>
      <c r="CE2586">
        <v>0</v>
      </c>
      <c r="CF2586">
        <v>0</v>
      </c>
      <c r="CG2586">
        <v>1</v>
      </c>
      <c r="CH2586">
        <v>0</v>
      </c>
      <c r="CI2586">
        <v>0</v>
      </c>
      <c r="CJ2586">
        <v>0</v>
      </c>
      <c r="CK2586">
        <v>2</v>
      </c>
      <c r="CL2586">
        <v>0</v>
      </c>
      <c r="CM2586">
        <v>2</v>
      </c>
      <c r="CN2586">
        <v>0</v>
      </c>
      <c r="CO2586">
        <v>2</v>
      </c>
      <c r="CP2586" t="s">
        <v>119</v>
      </c>
      <c r="CQ2586">
        <v>179</v>
      </c>
      <c r="CR2586">
        <v>2</v>
      </c>
      <c r="CW2586">
        <v>12181802</v>
      </c>
      <c r="CY2586">
        <v>1</v>
      </c>
      <c r="CZ2586">
        <v>0</v>
      </c>
      <c r="DA2586">
        <v>1</v>
      </c>
      <c r="DB2586">
        <v>0</v>
      </c>
      <c r="DC2586">
        <v>0</v>
      </c>
      <c r="DD2586">
        <v>0</v>
      </c>
      <c r="DE2586">
        <v>0</v>
      </c>
      <c r="DF2586">
        <v>0</v>
      </c>
      <c r="DG2586">
        <v>0</v>
      </c>
      <c r="DH2586">
        <v>0</v>
      </c>
      <c r="DI2586">
        <v>0</v>
      </c>
    </row>
    <row r="2587" spans="1:113" x14ac:dyDescent="0.3">
      <c r="A2587" t="str">
        <f>"02/08/2021 20:28:17.595"</f>
        <v>02/08/2021 20:28:17.595</v>
      </c>
      <c r="C2587" t="str">
        <f t="shared" si="123"/>
        <v>FFDFD7C0</v>
      </c>
      <c r="D2587" t="s">
        <v>124</v>
      </c>
      <c r="E2587">
        <v>11</v>
      </c>
      <c r="F2587">
        <v>1011</v>
      </c>
      <c r="G2587" t="s">
        <v>590</v>
      </c>
      <c r="J2587" t="s">
        <v>125</v>
      </c>
      <c r="K2587">
        <v>0</v>
      </c>
      <c r="L2587">
        <v>3</v>
      </c>
      <c r="M2587">
        <v>0</v>
      </c>
      <c r="N2587">
        <v>2</v>
      </c>
      <c r="O2587">
        <v>1</v>
      </c>
      <c r="P2587">
        <v>0</v>
      </c>
      <c r="Q2587">
        <v>0</v>
      </c>
      <c r="S2587" t="str">
        <f>"20:28:19.930"</f>
        <v>20:28:19.930</v>
      </c>
      <c r="T2587" t="str">
        <f>"20:28:19.430"</f>
        <v>20:28:19.430</v>
      </c>
      <c r="U2587" t="str">
        <f t="shared" si="125"/>
        <v>AB01F4</v>
      </c>
      <c r="V2587">
        <v>0</v>
      </c>
      <c r="W2587">
        <v>0</v>
      </c>
      <c r="X2587">
        <v>2</v>
      </c>
      <c r="Z2587">
        <v>0</v>
      </c>
      <c r="AA2587">
        <v>9</v>
      </c>
      <c r="AB2587">
        <v>3</v>
      </c>
      <c r="AC2587">
        <v>0</v>
      </c>
      <c r="AD2587">
        <v>10</v>
      </c>
      <c r="AE2587">
        <v>0</v>
      </c>
      <c r="AF2587">
        <v>3</v>
      </c>
      <c r="AG2587">
        <v>2</v>
      </c>
      <c r="AH2587">
        <v>0</v>
      </c>
      <c r="AI2587" t="s">
        <v>1543</v>
      </c>
      <c r="AJ2587">
        <v>40.002830000000003</v>
      </c>
      <c r="AK2587" t="s">
        <v>1544</v>
      </c>
      <c r="AL2587">
        <v>-92.753169999999997</v>
      </c>
      <c r="AM2587">
        <v>100</v>
      </c>
      <c r="AN2587">
        <v>1700</v>
      </c>
      <c r="AO2587" t="s">
        <v>118</v>
      </c>
      <c r="AP2587">
        <v>-106</v>
      </c>
      <c r="AQ2587">
        <v>77</v>
      </c>
      <c r="AR2587">
        <v>0</v>
      </c>
      <c r="AZ2587">
        <v>1200</v>
      </c>
      <c r="BA2587">
        <v>1</v>
      </c>
      <c r="BB2587" t="str">
        <f t="shared" si="124"/>
        <v xml:space="preserve">N8080G  </v>
      </c>
      <c r="BC2587">
        <v>1</v>
      </c>
      <c r="BE2587">
        <v>0</v>
      </c>
      <c r="BF2587">
        <v>0</v>
      </c>
      <c r="BG2587">
        <v>0</v>
      </c>
      <c r="BH2587">
        <v>1700</v>
      </c>
      <c r="BI2587">
        <v>1</v>
      </c>
      <c r="BJ2587">
        <v>1</v>
      </c>
      <c r="BK2587">
        <v>1</v>
      </c>
      <c r="BL2587">
        <v>0</v>
      </c>
      <c r="BO2587">
        <v>0</v>
      </c>
      <c r="BP2587">
        <v>0</v>
      </c>
      <c r="BW2587" t="str">
        <f>"20:28:19.933"</f>
        <v>20:28:19.933</v>
      </c>
      <c r="BZ2587">
        <v>0</v>
      </c>
      <c r="CA2587">
        <v>2016</v>
      </c>
      <c r="CB2587">
        <v>224</v>
      </c>
      <c r="CD2587">
        <v>1</v>
      </c>
      <c r="CE2587">
        <v>0</v>
      </c>
      <c r="CF2587">
        <v>0</v>
      </c>
      <c r="CG2587">
        <v>1</v>
      </c>
      <c r="CH2587">
        <v>0</v>
      </c>
      <c r="CI2587">
        <v>0</v>
      </c>
      <c r="CJ2587">
        <v>0</v>
      </c>
      <c r="CK2587">
        <v>2</v>
      </c>
      <c r="CL2587">
        <v>0</v>
      </c>
      <c r="CM2587">
        <v>2</v>
      </c>
      <c r="CN2587">
        <v>0</v>
      </c>
      <c r="CO2587">
        <v>4</v>
      </c>
      <c r="CP2587" t="s">
        <v>119</v>
      </c>
      <c r="CQ2587">
        <v>179</v>
      </c>
      <c r="CR2587">
        <v>1</v>
      </c>
      <c r="CW2587">
        <v>9023758</v>
      </c>
      <c r="CY2587">
        <v>1</v>
      </c>
      <c r="CZ2587">
        <v>0</v>
      </c>
      <c r="DA2587">
        <v>0</v>
      </c>
      <c r="DB2587">
        <v>0</v>
      </c>
      <c r="DC2587">
        <v>0</v>
      </c>
      <c r="DD2587">
        <v>0</v>
      </c>
      <c r="DE2587">
        <v>0</v>
      </c>
      <c r="DF2587">
        <v>0</v>
      </c>
      <c r="DG2587">
        <v>0</v>
      </c>
      <c r="DH2587">
        <v>0</v>
      </c>
      <c r="DI2587">
        <v>0</v>
      </c>
    </row>
    <row r="2588" spans="1:113" x14ac:dyDescent="0.3">
      <c r="A2588" t="str">
        <f>"02/08/2021 20:28:17.595"</f>
        <v>02/08/2021 20:28:17.595</v>
      </c>
      <c r="C2588" t="str">
        <f t="shared" si="123"/>
        <v>FFDFD7C0</v>
      </c>
      <c r="D2588" t="s">
        <v>124</v>
      </c>
      <c r="E2588">
        <v>12</v>
      </c>
      <c r="F2588">
        <v>1012</v>
      </c>
      <c r="G2588" t="s">
        <v>675</v>
      </c>
      <c r="J2588" t="s">
        <v>125</v>
      </c>
      <c r="K2588">
        <v>0</v>
      </c>
      <c r="L2588">
        <v>3</v>
      </c>
      <c r="M2588">
        <v>0</v>
      </c>
      <c r="N2588">
        <v>2</v>
      </c>
      <c r="O2588">
        <v>1</v>
      </c>
      <c r="P2588">
        <v>0</v>
      </c>
      <c r="Q2588">
        <v>0</v>
      </c>
      <c r="S2588" t="str">
        <f>"20:28:19.930"</f>
        <v>20:28:19.930</v>
      </c>
      <c r="T2588" t="str">
        <f>"20:28:19.430"</f>
        <v>20:28:19.430</v>
      </c>
      <c r="U2588" t="str">
        <f t="shared" si="125"/>
        <v>AB01F4</v>
      </c>
      <c r="V2588">
        <v>0</v>
      </c>
      <c r="W2588">
        <v>0</v>
      </c>
      <c r="X2588">
        <v>2</v>
      </c>
      <c r="Z2588">
        <v>0</v>
      </c>
      <c r="AA2588">
        <v>9</v>
      </c>
      <c r="AB2588">
        <v>3</v>
      </c>
      <c r="AC2588">
        <v>0</v>
      </c>
      <c r="AD2588">
        <v>10</v>
      </c>
      <c r="AE2588">
        <v>0</v>
      </c>
      <c r="AF2588">
        <v>3</v>
      </c>
      <c r="AG2588">
        <v>2</v>
      </c>
      <c r="AH2588">
        <v>0</v>
      </c>
      <c r="AI2588" t="s">
        <v>1543</v>
      </c>
      <c r="AJ2588">
        <v>40.002830000000003</v>
      </c>
      <c r="AK2588" t="s">
        <v>1544</v>
      </c>
      <c r="AL2588">
        <v>-92.753169999999997</v>
      </c>
      <c r="AM2588">
        <v>100</v>
      </c>
      <c r="AN2588">
        <v>1700</v>
      </c>
      <c r="AO2588" t="s">
        <v>118</v>
      </c>
      <c r="AP2588">
        <v>-106</v>
      </c>
      <c r="AQ2588">
        <v>77</v>
      </c>
      <c r="AR2588">
        <v>0</v>
      </c>
      <c r="AZ2588">
        <v>1200</v>
      </c>
      <c r="BA2588">
        <v>1</v>
      </c>
      <c r="BB2588" t="str">
        <f t="shared" si="124"/>
        <v xml:space="preserve">N8080G  </v>
      </c>
      <c r="BC2588">
        <v>1</v>
      </c>
      <c r="BE2588">
        <v>0</v>
      </c>
      <c r="BF2588">
        <v>0</v>
      </c>
      <c r="BG2588">
        <v>0</v>
      </c>
      <c r="BH2588">
        <v>1700</v>
      </c>
      <c r="BI2588">
        <v>1</v>
      </c>
      <c r="BJ2588">
        <v>1</v>
      </c>
      <c r="BK2588">
        <v>1</v>
      </c>
      <c r="BL2588">
        <v>0</v>
      </c>
      <c r="BO2588">
        <v>0</v>
      </c>
      <c r="BP2588">
        <v>0</v>
      </c>
      <c r="BW2588" t="str">
        <f>"20:28:19.933"</f>
        <v>20:28:19.933</v>
      </c>
      <c r="BZ2588">
        <v>0</v>
      </c>
      <c r="CA2588">
        <v>2016</v>
      </c>
      <c r="CB2588">
        <v>224</v>
      </c>
      <c r="CD2588">
        <v>1</v>
      </c>
      <c r="CE2588">
        <v>0</v>
      </c>
      <c r="CF2588">
        <v>0</v>
      </c>
      <c r="CG2588">
        <v>1</v>
      </c>
      <c r="CH2588">
        <v>0</v>
      </c>
      <c r="CI2588">
        <v>0</v>
      </c>
      <c r="CJ2588">
        <v>0</v>
      </c>
      <c r="CK2588">
        <v>2</v>
      </c>
      <c r="CL2588">
        <v>0</v>
      </c>
      <c r="CM2588">
        <v>2</v>
      </c>
      <c r="CN2588">
        <v>0</v>
      </c>
      <c r="CO2588">
        <v>4</v>
      </c>
      <c r="CP2588" t="s">
        <v>119</v>
      </c>
      <c r="CQ2588">
        <v>179</v>
      </c>
      <c r="CR2588">
        <v>1</v>
      </c>
      <c r="CW2588">
        <v>9023758</v>
      </c>
      <c r="CY2588">
        <v>1</v>
      </c>
      <c r="CZ2588">
        <v>0</v>
      </c>
      <c r="DA2588">
        <v>1</v>
      </c>
      <c r="DB2588">
        <v>0</v>
      </c>
      <c r="DC2588">
        <v>0</v>
      </c>
      <c r="DD2588">
        <v>0</v>
      </c>
      <c r="DE2588">
        <v>0</v>
      </c>
      <c r="DF2588">
        <v>0</v>
      </c>
      <c r="DG2588">
        <v>0</v>
      </c>
      <c r="DH2588">
        <v>0</v>
      </c>
      <c r="DI2588">
        <v>0</v>
      </c>
    </row>
    <row r="2589" spans="1:113" x14ac:dyDescent="0.3">
      <c r="A2589" t="str">
        <f>"02/08/2021 20:28:17.595"</f>
        <v>02/08/2021 20:28:17.595</v>
      </c>
      <c r="C2589" t="str">
        <f t="shared" si="123"/>
        <v>FFDFD7C0</v>
      </c>
      <c r="D2589" t="s">
        <v>124</v>
      </c>
      <c r="E2589">
        <v>13</v>
      </c>
      <c r="F2589">
        <v>1013</v>
      </c>
      <c r="G2589" t="s">
        <v>114</v>
      </c>
      <c r="J2589" t="s">
        <v>125</v>
      </c>
      <c r="K2589">
        <v>0</v>
      </c>
      <c r="L2589">
        <v>3</v>
      </c>
      <c r="M2589">
        <v>0</v>
      </c>
      <c r="N2589">
        <v>2</v>
      </c>
      <c r="O2589">
        <v>1</v>
      </c>
      <c r="P2589">
        <v>0</v>
      </c>
      <c r="Q2589">
        <v>0</v>
      </c>
      <c r="S2589" t="str">
        <f>"20:28:19.930"</f>
        <v>20:28:19.930</v>
      </c>
      <c r="T2589" t="str">
        <f>"20:28:19.430"</f>
        <v>20:28:19.430</v>
      </c>
      <c r="U2589" t="str">
        <f t="shared" si="125"/>
        <v>AB01F4</v>
      </c>
      <c r="V2589">
        <v>0</v>
      </c>
      <c r="W2589">
        <v>0</v>
      </c>
      <c r="X2589">
        <v>2</v>
      </c>
      <c r="Z2589">
        <v>0</v>
      </c>
      <c r="AA2589">
        <v>9</v>
      </c>
      <c r="AB2589">
        <v>3</v>
      </c>
      <c r="AC2589">
        <v>0</v>
      </c>
      <c r="AD2589">
        <v>10</v>
      </c>
      <c r="AE2589">
        <v>0</v>
      </c>
      <c r="AF2589">
        <v>3</v>
      </c>
      <c r="AG2589">
        <v>2</v>
      </c>
      <c r="AH2589">
        <v>0</v>
      </c>
      <c r="AI2589" t="s">
        <v>1543</v>
      </c>
      <c r="AJ2589">
        <v>40.002830000000003</v>
      </c>
      <c r="AK2589" t="s">
        <v>1544</v>
      </c>
      <c r="AL2589">
        <v>-92.753169999999997</v>
      </c>
      <c r="AM2589">
        <v>100</v>
      </c>
      <c r="AN2589">
        <v>1700</v>
      </c>
      <c r="AO2589" t="s">
        <v>118</v>
      </c>
      <c r="AP2589">
        <v>-106</v>
      </c>
      <c r="AQ2589">
        <v>77</v>
      </c>
      <c r="AR2589">
        <v>0</v>
      </c>
      <c r="AZ2589">
        <v>1200</v>
      </c>
      <c r="BA2589">
        <v>1</v>
      </c>
      <c r="BB2589" t="str">
        <f t="shared" si="124"/>
        <v xml:space="preserve">N8080G  </v>
      </c>
      <c r="BC2589">
        <v>1</v>
      </c>
      <c r="BE2589">
        <v>0</v>
      </c>
      <c r="BF2589">
        <v>0</v>
      </c>
      <c r="BG2589">
        <v>0</v>
      </c>
      <c r="BH2589">
        <v>1700</v>
      </c>
      <c r="BI2589">
        <v>1</v>
      </c>
      <c r="BJ2589">
        <v>1</v>
      </c>
      <c r="BK2589">
        <v>1</v>
      </c>
      <c r="BL2589">
        <v>0</v>
      </c>
      <c r="BO2589">
        <v>0</v>
      </c>
      <c r="BP2589">
        <v>0</v>
      </c>
      <c r="BW2589" t="str">
        <f>"20:28:19.933"</f>
        <v>20:28:19.933</v>
      </c>
      <c r="BZ2589">
        <v>0</v>
      </c>
      <c r="CA2589">
        <v>2016</v>
      </c>
      <c r="CB2589">
        <v>224</v>
      </c>
      <c r="CD2589">
        <v>1</v>
      </c>
      <c r="CE2589">
        <v>0</v>
      </c>
      <c r="CF2589">
        <v>0</v>
      </c>
      <c r="CG2589">
        <v>1</v>
      </c>
      <c r="CH2589">
        <v>0</v>
      </c>
      <c r="CI2589">
        <v>0</v>
      </c>
      <c r="CJ2589">
        <v>0</v>
      </c>
      <c r="CK2589">
        <v>2</v>
      </c>
      <c r="CL2589">
        <v>0</v>
      </c>
      <c r="CM2589">
        <v>2</v>
      </c>
      <c r="CN2589">
        <v>0</v>
      </c>
      <c r="CO2589">
        <v>4</v>
      </c>
      <c r="CP2589" t="s">
        <v>119</v>
      </c>
      <c r="CQ2589">
        <v>179</v>
      </c>
      <c r="CR2589">
        <v>1</v>
      </c>
      <c r="CW2589">
        <v>9023758</v>
      </c>
      <c r="CY2589">
        <v>1</v>
      </c>
      <c r="CZ2589">
        <v>0</v>
      </c>
      <c r="DA2589">
        <v>1</v>
      </c>
      <c r="DB2589">
        <v>0</v>
      </c>
      <c r="DC2589">
        <v>0</v>
      </c>
      <c r="DD2589">
        <v>0</v>
      </c>
      <c r="DE2589">
        <v>0</v>
      </c>
      <c r="DF2589">
        <v>0</v>
      </c>
      <c r="DG2589">
        <v>0</v>
      </c>
      <c r="DH2589">
        <v>0</v>
      </c>
      <c r="DI2589">
        <v>0</v>
      </c>
    </row>
    <row r="2590" spans="1:113" x14ac:dyDescent="0.3">
      <c r="A2590" t="str">
        <f>"02/08/2021 20:28:17.595"</f>
        <v>02/08/2021 20:28:17.595</v>
      </c>
      <c r="C2590" t="str">
        <f t="shared" si="123"/>
        <v>FFDFD7C0</v>
      </c>
      <c r="D2590" t="s">
        <v>113</v>
      </c>
      <c r="E2590">
        <v>6</v>
      </c>
      <c r="H2590">
        <v>165</v>
      </c>
      <c r="I2590" t="s">
        <v>114</v>
      </c>
      <c r="J2590" t="s">
        <v>115</v>
      </c>
      <c r="K2590">
        <v>0</v>
      </c>
      <c r="L2590">
        <v>3</v>
      </c>
      <c r="M2590">
        <v>0</v>
      </c>
      <c r="N2590">
        <v>2</v>
      </c>
      <c r="O2590">
        <v>1</v>
      </c>
      <c r="P2590">
        <v>0</v>
      </c>
      <c r="Q2590">
        <v>0</v>
      </c>
      <c r="S2590" t="str">
        <f>"20:28:19.930"</f>
        <v>20:28:19.930</v>
      </c>
      <c r="T2590" t="str">
        <f>"20:28:19.430"</f>
        <v>20:28:19.430</v>
      </c>
      <c r="U2590" t="str">
        <f t="shared" si="125"/>
        <v>AB01F4</v>
      </c>
      <c r="V2590">
        <v>0</v>
      </c>
      <c r="W2590">
        <v>0</v>
      </c>
      <c r="X2590">
        <v>2</v>
      </c>
      <c r="Z2590">
        <v>0</v>
      </c>
      <c r="AA2590">
        <v>9</v>
      </c>
      <c r="AB2590">
        <v>3</v>
      </c>
      <c r="AC2590">
        <v>0</v>
      </c>
      <c r="AD2590">
        <v>10</v>
      </c>
      <c r="AE2590">
        <v>0</v>
      </c>
      <c r="AF2590">
        <v>3</v>
      </c>
      <c r="AG2590">
        <v>2</v>
      </c>
      <c r="AH2590">
        <v>0</v>
      </c>
      <c r="AI2590" t="s">
        <v>1543</v>
      </c>
      <c r="AJ2590">
        <v>40.002830000000003</v>
      </c>
      <c r="AK2590" t="s">
        <v>1544</v>
      </c>
      <c r="AL2590">
        <v>-92.753169999999997</v>
      </c>
      <c r="AM2590">
        <v>100</v>
      </c>
      <c r="AN2590">
        <v>1700</v>
      </c>
      <c r="AO2590" t="s">
        <v>118</v>
      </c>
      <c r="AP2590">
        <v>-106</v>
      </c>
      <c r="AQ2590">
        <v>77</v>
      </c>
      <c r="AR2590">
        <v>0</v>
      </c>
      <c r="AZ2590">
        <v>1200</v>
      </c>
      <c r="BA2590">
        <v>1</v>
      </c>
      <c r="BB2590" t="str">
        <f t="shared" si="124"/>
        <v xml:space="preserve">N8080G  </v>
      </c>
      <c r="BC2590">
        <v>1</v>
      </c>
      <c r="BE2590">
        <v>0</v>
      </c>
      <c r="BF2590">
        <v>0</v>
      </c>
      <c r="BG2590">
        <v>0</v>
      </c>
      <c r="BH2590">
        <v>1700</v>
      </c>
      <c r="BI2590">
        <v>1</v>
      </c>
      <c r="BJ2590">
        <v>1</v>
      </c>
      <c r="BK2590">
        <v>1</v>
      </c>
      <c r="BL2590">
        <v>0</v>
      </c>
      <c r="BO2590">
        <v>0</v>
      </c>
      <c r="BP2590">
        <v>0</v>
      </c>
      <c r="BW2590" t="str">
        <f>"20:28:19.933"</f>
        <v>20:28:19.933</v>
      </c>
      <c r="BZ2590">
        <v>0</v>
      </c>
      <c r="CA2590">
        <v>2016</v>
      </c>
      <c r="CB2590">
        <v>224</v>
      </c>
      <c r="CD2590">
        <v>1</v>
      </c>
      <c r="CE2590">
        <v>0</v>
      </c>
      <c r="CF2590">
        <v>0</v>
      </c>
      <c r="CG2590">
        <v>1</v>
      </c>
      <c r="CH2590">
        <v>0</v>
      </c>
      <c r="CI2590">
        <v>0</v>
      </c>
      <c r="CJ2590">
        <v>0</v>
      </c>
      <c r="CK2590">
        <v>2</v>
      </c>
      <c r="CL2590">
        <v>0</v>
      </c>
      <c r="CM2590">
        <v>2</v>
      </c>
      <c r="CN2590">
        <v>0</v>
      </c>
      <c r="CO2590">
        <v>4</v>
      </c>
      <c r="CP2590" t="s">
        <v>119</v>
      </c>
      <c r="CQ2590">
        <v>179</v>
      </c>
      <c r="CR2590">
        <v>1</v>
      </c>
      <c r="CW2590">
        <v>9023758</v>
      </c>
      <c r="CY2590">
        <v>1</v>
      </c>
      <c r="CZ2590">
        <v>0</v>
      </c>
      <c r="DA2590">
        <v>1</v>
      </c>
      <c r="DB2590">
        <v>0</v>
      </c>
      <c r="DC2590">
        <v>0</v>
      </c>
      <c r="DD2590">
        <v>0</v>
      </c>
      <c r="DE2590">
        <v>0</v>
      </c>
      <c r="DF2590">
        <v>0</v>
      </c>
      <c r="DG2590">
        <v>0</v>
      </c>
      <c r="DH2590">
        <v>0</v>
      </c>
      <c r="DI2590">
        <v>0</v>
      </c>
    </row>
    <row r="2591" spans="1:113" x14ac:dyDescent="0.3">
      <c r="A2591" t="str">
        <f>"02/08/2021 20:28:20.698"</f>
        <v>02/08/2021 20:28:20.698</v>
      </c>
      <c r="C2591" t="str">
        <f t="shared" si="123"/>
        <v>FFDFD7C0</v>
      </c>
      <c r="D2591" t="s">
        <v>124</v>
      </c>
      <c r="E2591">
        <v>13</v>
      </c>
      <c r="F2591">
        <v>1013</v>
      </c>
      <c r="G2591" t="s">
        <v>114</v>
      </c>
      <c r="J2591" t="s">
        <v>125</v>
      </c>
      <c r="K2591">
        <v>0</v>
      </c>
      <c r="L2591">
        <v>3</v>
      </c>
      <c r="M2591">
        <v>0</v>
      </c>
      <c r="N2591">
        <v>2</v>
      </c>
      <c r="O2591">
        <v>1</v>
      </c>
      <c r="P2591">
        <v>0</v>
      </c>
      <c r="Q2591">
        <v>0</v>
      </c>
      <c r="S2591" t="str">
        <f>"20:28:23.008"</f>
        <v>20:28:23.008</v>
      </c>
      <c r="T2591" t="str">
        <f>"20:28:22.608"</f>
        <v>20:28:22.608</v>
      </c>
      <c r="U2591" t="str">
        <f t="shared" si="125"/>
        <v>AB01F4</v>
      </c>
      <c r="V2591">
        <v>0</v>
      </c>
      <c r="W2591">
        <v>0</v>
      </c>
      <c r="X2591">
        <v>2</v>
      </c>
      <c r="Z2591">
        <v>0</v>
      </c>
      <c r="AA2591">
        <v>9</v>
      </c>
      <c r="AB2591">
        <v>3</v>
      </c>
      <c r="AC2591">
        <v>0</v>
      </c>
      <c r="AD2591">
        <v>10</v>
      </c>
      <c r="AE2591">
        <v>0</v>
      </c>
      <c r="AF2591">
        <v>3</v>
      </c>
      <c r="AG2591">
        <v>2</v>
      </c>
      <c r="AH2591">
        <v>0</v>
      </c>
      <c r="AI2591" t="s">
        <v>1545</v>
      </c>
      <c r="AJ2591">
        <v>40.003923999999998</v>
      </c>
      <c r="AK2591" t="s">
        <v>1546</v>
      </c>
      <c r="AL2591">
        <v>-92.755122</v>
      </c>
      <c r="AM2591">
        <v>100</v>
      </c>
      <c r="AN2591">
        <v>1700</v>
      </c>
      <c r="AO2591" t="s">
        <v>118</v>
      </c>
      <c r="AP2591">
        <v>-107</v>
      </c>
      <c r="AQ2591">
        <v>77</v>
      </c>
      <c r="AR2591">
        <v>0</v>
      </c>
      <c r="AZ2591">
        <v>1200</v>
      </c>
      <c r="BA2591">
        <v>1</v>
      </c>
      <c r="BB2591" t="str">
        <f t="shared" si="124"/>
        <v xml:space="preserve">N8080G  </v>
      </c>
      <c r="BC2591">
        <v>1</v>
      </c>
      <c r="BE2591">
        <v>0</v>
      </c>
      <c r="BF2591">
        <v>0</v>
      </c>
      <c r="BG2591">
        <v>0</v>
      </c>
      <c r="BH2591">
        <v>1700</v>
      </c>
      <c r="BI2591">
        <v>1</v>
      </c>
      <c r="BJ2591">
        <v>1</v>
      </c>
      <c r="BK2591">
        <v>1</v>
      </c>
      <c r="BL2591">
        <v>0</v>
      </c>
      <c r="BO2591">
        <v>0</v>
      </c>
      <c r="BP2591">
        <v>0</v>
      </c>
      <c r="BW2591" t="str">
        <f>"20:28:23.012"</f>
        <v>20:28:23.012</v>
      </c>
      <c r="BZ2591">
        <v>0</v>
      </c>
      <c r="CA2591">
        <v>2016</v>
      </c>
      <c r="CB2591">
        <v>224</v>
      </c>
      <c r="CD2591">
        <v>1</v>
      </c>
      <c r="CE2591">
        <v>0</v>
      </c>
      <c r="CF2591">
        <v>0</v>
      </c>
      <c r="CG2591">
        <v>1</v>
      </c>
      <c r="CH2591">
        <v>0</v>
      </c>
      <c r="CI2591">
        <v>0</v>
      </c>
      <c r="CJ2591">
        <v>0</v>
      </c>
      <c r="CK2591">
        <v>2</v>
      </c>
      <c r="CL2591">
        <v>0</v>
      </c>
      <c r="CM2591">
        <v>2</v>
      </c>
      <c r="CN2591">
        <v>0</v>
      </c>
      <c r="CO2591">
        <v>3</v>
      </c>
      <c r="CP2591" t="s">
        <v>119</v>
      </c>
      <c r="CQ2591">
        <v>179</v>
      </c>
      <c r="CR2591">
        <v>2</v>
      </c>
      <c r="CW2591">
        <v>12185180</v>
      </c>
      <c r="CY2591">
        <v>1</v>
      </c>
      <c r="CZ2591">
        <v>0</v>
      </c>
      <c r="DA2591">
        <v>0</v>
      </c>
      <c r="DB2591">
        <v>0</v>
      </c>
      <c r="DC2591">
        <v>0</v>
      </c>
      <c r="DD2591">
        <v>0</v>
      </c>
      <c r="DE2591">
        <v>0</v>
      </c>
      <c r="DF2591">
        <v>0</v>
      </c>
      <c r="DG2591">
        <v>0</v>
      </c>
      <c r="DH2591">
        <v>0</v>
      </c>
      <c r="DI2591">
        <v>0</v>
      </c>
    </row>
    <row r="2592" spans="1:113" x14ac:dyDescent="0.3">
      <c r="A2592" t="str">
        <f>"02/08/2021 20:28:20.698"</f>
        <v>02/08/2021 20:28:20.698</v>
      </c>
      <c r="C2592" t="str">
        <f t="shared" si="123"/>
        <v>FFDFD7C0</v>
      </c>
      <c r="D2592" t="s">
        <v>124</v>
      </c>
      <c r="E2592">
        <v>12</v>
      </c>
      <c r="F2592">
        <v>1012</v>
      </c>
      <c r="G2592" t="s">
        <v>675</v>
      </c>
      <c r="J2592" t="s">
        <v>125</v>
      </c>
      <c r="K2592">
        <v>0</v>
      </c>
      <c r="L2592">
        <v>3</v>
      </c>
      <c r="M2592">
        <v>0</v>
      </c>
      <c r="N2592">
        <v>2</v>
      </c>
      <c r="O2592">
        <v>1</v>
      </c>
      <c r="P2592">
        <v>0</v>
      </c>
      <c r="Q2592">
        <v>0</v>
      </c>
      <c r="S2592" t="str">
        <f>"20:28:23.008"</f>
        <v>20:28:23.008</v>
      </c>
      <c r="T2592" t="str">
        <f>"20:28:22.608"</f>
        <v>20:28:22.608</v>
      </c>
      <c r="U2592" t="str">
        <f t="shared" si="125"/>
        <v>AB01F4</v>
      </c>
      <c r="V2592">
        <v>0</v>
      </c>
      <c r="W2592">
        <v>0</v>
      </c>
      <c r="X2592">
        <v>2</v>
      </c>
      <c r="Z2592">
        <v>0</v>
      </c>
      <c r="AA2592">
        <v>9</v>
      </c>
      <c r="AB2592">
        <v>3</v>
      </c>
      <c r="AC2592">
        <v>0</v>
      </c>
      <c r="AD2592">
        <v>10</v>
      </c>
      <c r="AE2592">
        <v>0</v>
      </c>
      <c r="AF2592">
        <v>3</v>
      </c>
      <c r="AG2592">
        <v>2</v>
      </c>
      <c r="AH2592">
        <v>0</v>
      </c>
      <c r="AI2592" t="s">
        <v>1545</v>
      </c>
      <c r="AJ2592">
        <v>40.003923999999998</v>
      </c>
      <c r="AK2592" t="s">
        <v>1546</v>
      </c>
      <c r="AL2592">
        <v>-92.755122</v>
      </c>
      <c r="AM2592">
        <v>100</v>
      </c>
      <c r="AN2592">
        <v>1700</v>
      </c>
      <c r="AO2592" t="s">
        <v>118</v>
      </c>
      <c r="AP2592">
        <v>-107</v>
      </c>
      <c r="AQ2592">
        <v>77</v>
      </c>
      <c r="AR2592">
        <v>0</v>
      </c>
      <c r="AZ2592">
        <v>1200</v>
      </c>
      <c r="BA2592">
        <v>1</v>
      </c>
      <c r="BB2592" t="str">
        <f t="shared" si="124"/>
        <v xml:space="preserve">N8080G  </v>
      </c>
      <c r="BC2592">
        <v>1</v>
      </c>
      <c r="BE2592">
        <v>0</v>
      </c>
      <c r="BF2592">
        <v>0</v>
      </c>
      <c r="BG2592">
        <v>0</v>
      </c>
      <c r="BH2592">
        <v>1700</v>
      </c>
      <c r="BI2592">
        <v>1</v>
      </c>
      <c r="BJ2592">
        <v>1</v>
      </c>
      <c r="BK2592">
        <v>1</v>
      </c>
      <c r="BL2592">
        <v>0</v>
      </c>
      <c r="BO2592">
        <v>0</v>
      </c>
      <c r="BP2592">
        <v>0</v>
      </c>
      <c r="BW2592" t="str">
        <f>"20:28:23.012"</f>
        <v>20:28:23.012</v>
      </c>
      <c r="BZ2592">
        <v>0</v>
      </c>
      <c r="CA2592">
        <v>2016</v>
      </c>
      <c r="CB2592">
        <v>224</v>
      </c>
      <c r="CD2592">
        <v>1</v>
      </c>
      <c r="CE2592">
        <v>0</v>
      </c>
      <c r="CF2592">
        <v>0</v>
      </c>
      <c r="CG2592">
        <v>1</v>
      </c>
      <c r="CH2592">
        <v>0</v>
      </c>
      <c r="CI2592">
        <v>0</v>
      </c>
      <c r="CJ2592">
        <v>0</v>
      </c>
      <c r="CK2592">
        <v>2</v>
      </c>
      <c r="CL2592">
        <v>0</v>
      </c>
      <c r="CM2592">
        <v>2</v>
      </c>
      <c r="CN2592">
        <v>0</v>
      </c>
      <c r="CO2592">
        <v>3</v>
      </c>
      <c r="CP2592" t="s">
        <v>119</v>
      </c>
      <c r="CQ2592">
        <v>179</v>
      </c>
      <c r="CR2592">
        <v>2</v>
      </c>
      <c r="CW2592">
        <v>12185180</v>
      </c>
      <c r="CY2592">
        <v>1</v>
      </c>
      <c r="CZ2592">
        <v>0</v>
      </c>
      <c r="DA2592">
        <v>1</v>
      </c>
      <c r="DB2592">
        <v>0</v>
      </c>
      <c r="DC2592">
        <v>0</v>
      </c>
      <c r="DD2592">
        <v>0</v>
      </c>
      <c r="DE2592">
        <v>0</v>
      </c>
      <c r="DF2592">
        <v>0</v>
      </c>
      <c r="DG2592">
        <v>0</v>
      </c>
      <c r="DH2592">
        <v>0</v>
      </c>
      <c r="DI2592">
        <v>0</v>
      </c>
    </row>
    <row r="2593" spans="1:113" x14ac:dyDescent="0.3">
      <c r="A2593" t="str">
        <f>"02/08/2021 20:28:20.698"</f>
        <v>02/08/2021 20:28:20.698</v>
      </c>
      <c r="C2593" t="str">
        <f t="shared" si="123"/>
        <v>FFDFD7C0</v>
      </c>
      <c r="D2593" t="s">
        <v>113</v>
      </c>
      <c r="E2593">
        <v>6</v>
      </c>
      <c r="H2593">
        <v>165</v>
      </c>
      <c r="I2593" t="s">
        <v>114</v>
      </c>
      <c r="J2593" t="s">
        <v>115</v>
      </c>
      <c r="K2593">
        <v>0</v>
      </c>
      <c r="L2593">
        <v>3</v>
      </c>
      <c r="M2593">
        <v>0</v>
      </c>
      <c r="N2593">
        <v>2</v>
      </c>
      <c r="O2593">
        <v>1</v>
      </c>
      <c r="P2593">
        <v>0</v>
      </c>
      <c r="Q2593">
        <v>0</v>
      </c>
      <c r="S2593" t="str">
        <f>"20:28:23.008"</f>
        <v>20:28:23.008</v>
      </c>
      <c r="T2593" t="str">
        <f>"20:28:22.608"</f>
        <v>20:28:22.608</v>
      </c>
      <c r="U2593" t="str">
        <f t="shared" si="125"/>
        <v>AB01F4</v>
      </c>
      <c r="V2593">
        <v>0</v>
      </c>
      <c r="W2593">
        <v>0</v>
      </c>
      <c r="X2593">
        <v>2</v>
      </c>
      <c r="Z2593">
        <v>0</v>
      </c>
      <c r="AA2593">
        <v>9</v>
      </c>
      <c r="AB2593">
        <v>3</v>
      </c>
      <c r="AC2593">
        <v>0</v>
      </c>
      <c r="AD2593">
        <v>10</v>
      </c>
      <c r="AE2593">
        <v>0</v>
      </c>
      <c r="AF2593">
        <v>3</v>
      </c>
      <c r="AG2593">
        <v>2</v>
      </c>
      <c r="AH2593">
        <v>0</v>
      </c>
      <c r="AI2593" t="s">
        <v>1545</v>
      </c>
      <c r="AJ2593">
        <v>40.003923999999998</v>
      </c>
      <c r="AK2593" t="s">
        <v>1546</v>
      </c>
      <c r="AL2593">
        <v>-92.755122</v>
      </c>
      <c r="AM2593">
        <v>100</v>
      </c>
      <c r="AN2593">
        <v>1700</v>
      </c>
      <c r="AO2593" t="s">
        <v>118</v>
      </c>
      <c r="AP2593">
        <v>-107</v>
      </c>
      <c r="AQ2593">
        <v>77</v>
      </c>
      <c r="AR2593">
        <v>0</v>
      </c>
      <c r="AZ2593">
        <v>1200</v>
      </c>
      <c r="BA2593">
        <v>1</v>
      </c>
      <c r="BB2593" t="str">
        <f t="shared" si="124"/>
        <v xml:space="preserve">N8080G  </v>
      </c>
      <c r="BC2593">
        <v>1</v>
      </c>
      <c r="BE2593">
        <v>0</v>
      </c>
      <c r="BF2593">
        <v>0</v>
      </c>
      <c r="BG2593">
        <v>0</v>
      </c>
      <c r="BH2593">
        <v>1700</v>
      </c>
      <c r="BI2593">
        <v>1</v>
      </c>
      <c r="BJ2593">
        <v>1</v>
      </c>
      <c r="BK2593">
        <v>1</v>
      </c>
      <c r="BL2593">
        <v>0</v>
      </c>
      <c r="BO2593">
        <v>0</v>
      </c>
      <c r="BP2593">
        <v>0</v>
      </c>
      <c r="BW2593" t="str">
        <f>"20:28:23.012"</f>
        <v>20:28:23.012</v>
      </c>
      <c r="BZ2593">
        <v>0</v>
      </c>
      <c r="CA2593">
        <v>2016</v>
      </c>
      <c r="CB2593">
        <v>224</v>
      </c>
      <c r="CD2593">
        <v>1</v>
      </c>
      <c r="CE2593">
        <v>0</v>
      </c>
      <c r="CF2593">
        <v>0</v>
      </c>
      <c r="CG2593">
        <v>1</v>
      </c>
      <c r="CH2593">
        <v>0</v>
      </c>
      <c r="CI2593">
        <v>0</v>
      </c>
      <c r="CJ2593">
        <v>0</v>
      </c>
      <c r="CK2593">
        <v>2</v>
      </c>
      <c r="CL2593">
        <v>0</v>
      </c>
      <c r="CM2593">
        <v>2</v>
      </c>
      <c r="CN2593">
        <v>0</v>
      </c>
      <c r="CO2593">
        <v>3</v>
      </c>
      <c r="CP2593" t="s">
        <v>119</v>
      </c>
      <c r="CQ2593">
        <v>179</v>
      </c>
      <c r="CR2593">
        <v>2</v>
      </c>
      <c r="CW2593">
        <v>12185180</v>
      </c>
      <c r="CY2593">
        <v>1</v>
      </c>
      <c r="CZ2593">
        <v>0</v>
      </c>
      <c r="DA2593">
        <v>1</v>
      </c>
      <c r="DB2593">
        <v>0</v>
      </c>
      <c r="DC2593">
        <v>0</v>
      </c>
      <c r="DD2593">
        <v>0</v>
      </c>
      <c r="DE2593">
        <v>0</v>
      </c>
      <c r="DF2593">
        <v>0</v>
      </c>
      <c r="DG2593">
        <v>0</v>
      </c>
      <c r="DH2593">
        <v>0</v>
      </c>
      <c r="DI2593">
        <v>0</v>
      </c>
    </row>
    <row r="2594" spans="1:113" x14ac:dyDescent="0.3">
      <c r="A2594" t="str">
        <f>"02/08/2021 20:28:20.698"</f>
        <v>02/08/2021 20:28:20.698</v>
      </c>
      <c r="C2594" t="str">
        <f t="shared" si="123"/>
        <v>FFDFD7C0</v>
      </c>
      <c r="D2594" t="s">
        <v>124</v>
      </c>
      <c r="E2594">
        <v>11</v>
      </c>
      <c r="F2594">
        <v>1011</v>
      </c>
      <c r="G2594" t="s">
        <v>590</v>
      </c>
      <c r="J2594" t="s">
        <v>125</v>
      </c>
      <c r="K2594">
        <v>0</v>
      </c>
      <c r="L2594">
        <v>3</v>
      </c>
      <c r="M2594">
        <v>0</v>
      </c>
      <c r="N2594">
        <v>2</v>
      </c>
      <c r="O2594">
        <v>1</v>
      </c>
      <c r="P2594">
        <v>0</v>
      </c>
      <c r="Q2594">
        <v>0</v>
      </c>
      <c r="S2594" t="str">
        <f>"20:28:23.008"</f>
        <v>20:28:23.008</v>
      </c>
      <c r="T2594" t="str">
        <f>"20:28:22.608"</f>
        <v>20:28:22.608</v>
      </c>
      <c r="U2594" t="str">
        <f t="shared" si="125"/>
        <v>AB01F4</v>
      </c>
      <c r="V2594">
        <v>0</v>
      </c>
      <c r="W2594">
        <v>0</v>
      </c>
      <c r="X2594">
        <v>2</v>
      </c>
      <c r="Z2594">
        <v>0</v>
      </c>
      <c r="AA2594">
        <v>9</v>
      </c>
      <c r="AB2594">
        <v>3</v>
      </c>
      <c r="AC2594">
        <v>0</v>
      </c>
      <c r="AD2594">
        <v>10</v>
      </c>
      <c r="AE2594">
        <v>0</v>
      </c>
      <c r="AF2594">
        <v>3</v>
      </c>
      <c r="AG2594">
        <v>2</v>
      </c>
      <c r="AH2594">
        <v>0</v>
      </c>
      <c r="AI2594" t="s">
        <v>1545</v>
      </c>
      <c r="AJ2594">
        <v>40.003923999999998</v>
      </c>
      <c r="AK2594" t="s">
        <v>1546</v>
      </c>
      <c r="AL2594">
        <v>-92.755122</v>
      </c>
      <c r="AM2594">
        <v>100</v>
      </c>
      <c r="AN2594">
        <v>1700</v>
      </c>
      <c r="AO2594" t="s">
        <v>118</v>
      </c>
      <c r="AP2594">
        <v>-107</v>
      </c>
      <c r="AQ2594">
        <v>77</v>
      </c>
      <c r="AR2594">
        <v>0</v>
      </c>
      <c r="AZ2594">
        <v>1200</v>
      </c>
      <c r="BA2594">
        <v>1</v>
      </c>
      <c r="BB2594" t="str">
        <f t="shared" si="124"/>
        <v xml:space="preserve">N8080G  </v>
      </c>
      <c r="BC2594">
        <v>1</v>
      </c>
      <c r="BE2594">
        <v>0</v>
      </c>
      <c r="BF2594">
        <v>0</v>
      </c>
      <c r="BG2594">
        <v>0</v>
      </c>
      <c r="BH2594">
        <v>1700</v>
      </c>
      <c r="BI2594">
        <v>1</v>
      </c>
      <c r="BJ2594">
        <v>1</v>
      </c>
      <c r="BK2594">
        <v>1</v>
      </c>
      <c r="BL2594">
        <v>0</v>
      </c>
      <c r="BO2594">
        <v>0</v>
      </c>
      <c r="BP2594">
        <v>0</v>
      </c>
      <c r="BW2594" t="str">
        <f>"20:28:23.012"</f>
        <v>20:28:23.012</v>
      </c>
      <c r="BZ2594">
        <v>0</v>
      </c>
      <c r="CA2594">
        <v>2016</v>
      </c>
      <c r="CB2594">
        <v>224</v>
      </c>
      <c r="CD2594">
        <v>1</v>
      </c>
      <c r="CE2594">
        <v>0</v>
      </c>
      <c r="CF2594">
        <v>0</v>
      </c>
      <c r="CG2594">
        <v>1</v>
      </c>
      <c r="CH2594">
        <v>0</v>
      </c>
      <c r="CI2594">
        <v>0</v>
      </c>
      <c r="CJ2594">
        <v>0</v>
      </c>
      <c r="CK2594">
        <v>2</v>
      </c>
      <c r="CL2594">
        <v>0</v>
      </c>
      <c r="CM2594">
        <v>2</v>
      </c>
      <c r="CN2594">
        <v>0</v>
      </c>
      <c r="CO2594">
        <v>3</v>
      </c>
      <c r="CP2594" t="s">
        <v>119</v>
      </c>
      <c r="CQ2594">
        <v>179</v>
      </c>
      <c r="CR2594">
        <v>2</v>
      </c>
      <c r="CW2594">
        <v>12185180</v>
      </c>
      <c r="CY2594">
        <v>1</v>
      </c>
      <c r="CZ2594">
        <v>0</v>
      </c>
      <c r="DA2594">
        <v>1</v>
      </c>
      <c r="DB2594">
        <v>0</v>
      </c>
      <c r="DC2594">
        <v>0</v>
      </c>
      <c r="DD2594">
        <v>0</v>
      </c>
      <c r="DE2594">
        <v>0</v>
      </c>
      <c r="DF2594">
        <v>0</v>
      </c>
      <c r="DG2594">
        <v>0</v>
      </c>
      <c r="DH2594">
        <v>0</v>
      </c>
      <c r="DI2594">
        <v>0</v>
      </c>
    </row>
    <row r="2595" spans="1:113" x14ac:dyDescent="0.3">
      <c r="A2595" t="str">
        <f>"02/08/2021 20:28:21.717"</f>
        <v>02/08/2021 20:28:21.717</v>
      </c>
      <c r="C2595" t="str">
        <f t="shared" si="123"/>
        <v>FFDFD7C0</v>
      </c>
      <c r="D2595" t="s">
        <v>124</v>
      </c>
      <c r="E2595">
        <v>12</v>
      </c>
      <c r="F2595">
        <v>1012</v>
      </c>
      <c r="G2595" t="s">
        <v>675</v>
      </c>
      <c r="J2595" t="s">
        <v>125</v>
      </c>
      <c r="K2595">
        <v>0</v>
      </c>
      <c r="L2595">
        <v>3</v>
      </c>
      <c r="M2595">
        <v>0</v>
      </c>
      <c r="N2595">
        <v>2</v>
      </c>
      <c r="O2595">
        <v>1</v>
      </c>
      <c r="P2595">
        <v>0</v>
      </c>
      <c r="Q2595">
        <v>0</v>
      </c>
      <c r="S2595" t="str">
        <f>"20:28:24.063"</f>
        <v>20:28:24.063</v>
      </c>
      <c r="T2595" t="str">
        <f>"20:28:23.563"</f>
        <v>20:28:23.563</v>
      </c>
      <c r="U2595" t="str">
        <f t="shared" si="125"/>
        <v>AB01F4</v>
      </c>
      <c r="V2595">
        <v>0</v>
      </c>
      <c r="W2595">
        <v>0</v>
      </c>
      <c r="X2595">
        <v>2</v>
      </c>
      <c r="Z2595">
        <v>0</v>
      </c>
      <c r="AA2595">
        <v>9</v>
      </c>
      <c r="AB2595">
        <v>3</v>
      </c>
      <c r="AC2595">
        <v>0</v>
      </c>
      <c r="AD2595">
        <v>10</v>
      </c>
      <c r="AE2595">
        <v>0</v>
      </c>
      <c r="AF2595">
        <v>3</v>
      </c>
      <c r="AG2595">
        <v>2</v>
      </c>
      <c r="AH2595">
        <v>0</v>
      </c>
      <c r="AI2595" t="s">
        <v>1547</v>
      </c>
      <c r="AJ2595">
        <v>40.004289</v>
      </c>
      <c r="AK2595" t="s">
        <v>1548</v>
      </c>
      <c r="AL2595">
        <v>-92.755830000000003</v>
      </c>
      <c r="AM2595">
        <v>100</v>
      </c>
      <c r="AN2595">
        <v>1700</v>
      </c>
      <c r="AO2595" t="s">
        <v>118</v>
      </c>
      <c r="AP2595">
        <v>-107</v>
      </c>
      <c r="AQ2595">
        <v>77</v>
      </c>
      <c r="AR2595">
        <v>-128</v>
      </c>
      <c r="AZ2595">
        <v>1200</v>
      </c>
      <c r="BA2595">
        <v>1</v>
      </c>
      <c r="BB2595" t="str">
        <f t="shared" si="124"/>
        <v xml:space="preserve">N8080G  </v>
      </c>
      <c r="BC2595">
        <v>1</v>
      </c>
      <c r="BE2595">
        <v>0</v>
      </c>
      <c r="BF2595">
        <v>0</v>
      </c>
      <c r="BG2595">
        <v>0</v>
      </c>
      <c r="BH2595">
        <v>1700</v>
      </c>
      <c r="BI2595">
        <v>1</v>
      </c>
      <c r="BJ2595">
        <v>1</v>
      </c>
      <c r="BK2595">
        <v>1</v>
      </c>
      <c r="BL2595">
        <v>0</v>
      </c>
      <c r="BO2595">
        <v>0</v>
      </c>
      <c r="BP2595">
        <v>0</v>
      </c>
      <c r="BW2595" t="str">
        <f>"20:28:24.064"</f>
        <v>20:28:24.064</v>
      </c>
      <c r="BZ2595">
        <v>0</v>
      </c>
      <c r="CA2595">
        <v>2016</v>
      </c>
      <c r="CB2595">
        <v>224</v>
      </c>
      <c r="CD2595">
        <v>1</v>
      </c>
      <c r="CE2595">
        <v>0</v>
      </c>
      <c r="CF2595">
        <v>0</v>
      </c>
      <c r="CG2595">
        <v>1</v>
      </c>
      <c r="CH2595">
        <v>0</v>
      </c>
      <c r="CI2595">
        <v>0</v>
      </c>
      <c r="CJ2595">
        <v>0</v>
      </c>
      <c r="CK2595">
        <v>2</v>
      </c>
      <c r="CL2595">
        <v>0</v>
      </c>
      <c r="CM2595">
        <v>2</v>
      </c>
      <c r="CN2595">
        <v>0</v>
      </c>
      <c r="CO2595">
        <v>7</v>
      </c>
      <c r="CP2595" t="s">
        <v>119</v>
      </c>
      <c r="CQ2595">
        <v>180</v>
      </c>
      <c r="CR2595">
        <v>3</v>
      </c>
      <c r="CW2595">
        <v>929449</v>
      </c>
      <c r="CY2595">
        <v>1</v>
      </c>
      <c r="CZ2595">
        <v>0</v>
      </c>
      <c r="DA2595">
        <v>0</v>
      </c>
      <c r="DB2595">
        <v>0</v>
      </c>
      <c r="DC2595">
        <v>0</v>
      </c>
      <c r="DD2595">
        <v>0</v>
      </c>
      <c r="DE2595">
        <v>0</v>
      </c>
      <c r="DF2595">
        <v>0</v>
      </c>
      <c r="DG2595">
        <v>0</v>
      </c>
      <c r="DH2595">
        <v>0</v>
      </c>
      <c r="DI2595">
        <v>0</v>
      </c>
    </row>
    <row r="2596" spans="1:113" x14ac:dyDescent="0.3">
      <c r="A2596" t="str">
        <f>"02/08/2021 20:28:21.717"</f>
        <v>02/08/2021 20:28:21.717</v>
      </c>
      <c r="C2596" t="str">
        <f t="shared" si="123"/>
        <v>FFDFD7C0</v>
      </c>
      <c r="D2596" t="s">
        <v>113</v>
      </c>
      <c r="E2596">
        <v>6</v>
      </c>
      <c r="H2596">
        <v>165</v>
      </c>
      <c r="I2596" t="s">
        <v>114</v>
      </c>
      <c r="J2596" t="s">
        <v>115</v>
      </c>
      <c r="K2596">
        <v>0</v>
      </c>
      <c r="L2596">
        <v>3</v>
      </c>
      <c r="M2596">
        <v>0</v>
      </c>
      <c r="N2596">
        <v>2</v>
      </c>
      <c r="O2596">
        <v>1</v>
      </c>
      <c r="P2596">
        <v>0</v>
      </c>
      <c r="Q2596">
        <v>0</v>
      </c>
      <c r="S2596" t="str">
        <f>"20:28:24.063"</f>
        <v>20:28:24.063</v>
      </c>
      <c r="T2596" t="str">
        <f>"20:28:23.563"</f>
        <v>20:28:23.563</v>
      </c>
      <c r="U2596" t="str">
        <f t="shared" si="125"/>
        <v>AB01F4</v>
      </c>
      <c r="V2596">
        <v>0</v>
      </c>
      <c r="W2596">
        <v>0</v>
      </c>
      <c r="X2596">
        <v>2</v>
      </c>
      <c r="Z2596">
        <v>0</v>
      </c>
      <c r="AA2596">
        <v>9</v>
      </c>
      <c r="AB2596">
        <v>3</v>
      </c>
      <c r="AC2596">
        <v>0</v>
      </c>
      <c r="AD2596">
        <v>10</v>
      </c>
      <c r="AE2596">
        <v>0</v>
      </c>
      <c r="AF2596">
        <v>3</v>
      </c>
      <c r="AG2596">
        <v>2</v>
      </c>
      <c r="AH2596">
        <v>0</v>
      </c>
      <c r="AI2596" t="s">
        <v>1547</v>
      </c>
      <c r="AJ2596">
        <v>40.004289</v>
      </c>
      <c r="AK2596" t="s">
        <v>1548</v>
      </c>
      <c r="AL2596">
        <v>-92.755830000000003</v>
      </c>
      <c r="AM2596">
        <v>100</v>
      </c>
      <c r="AN2596">
        <v>1700</v>
      </c>
      <c r="AO2596" t="s">
        <v>118</v>
      </c>
      <c r="AP2596">
        <v>-107</v>
      </c>
      <c r="AQ2596">
        <v>77</v>
      </c>
      <c r="AR2596">
        <v>-128</v>
      </c>
      <c r="AZ2596">
        <v>1200</v>
      </c>
      <c r="BA2596">
        <v>1</v>
      </c>
      <c r="BB2596" t="str">
        <f t="shared" si="124"/>
        <v xml:space="preserve">N8080G  </v>
      </c>
      <c r="BC2596">
        <v>1</v>
      </c>
      <c r="BE2596">
        <v>0</v>
      </c>
      <c r="BF2596">
        <v>0</v>
      </c>
      <c r="BG2596">
        <v>0</v>
      </c>
      <c r="BH2596">
        <v>1700</v>
      </c>
      <c r="BI2596">
        <v>1</v>
      </c>
      <c r="BJ2596">
        <v>1</v>
      </c>
      <c r="BK2596">
        <v>1</v>
      </c>
      <c r="BL2596">
        <v>0</v>
      </c>
      <c r="BO2596">
        <v>0</v>
      </c>
      <c r="BP2596">
        <v>0</v>
      </c>
      <c r="BW2596" t="str">
        <f>"20:28:24.064"</f>
        <v>20:28:24.064</v>
      </c>
      <c r="BZ2596">
        <v>0</v>
      </c>
      <c r="CA2596">
        <v>2016</v>
      </c>
      <c r="CB2596">
        <v>224</v>
      </c>
      <c r="CD2596">
        <v>1</v>
      </c>
      <c r="CE2596">
        <v>0</v>
      </c>
      <c r="CF2596">
        <v>0</v>
      </c>
      <c r="CG2596">
        <v>1</v>
      </c>
      <c r="CH2596">
        <v>0</v>
      </c>
      <c r="CI2596">
        <v>0</v>
      </c>
      <c r="CJ2596">
        <v>0</v>
      </c>
      <c r="CK2596">
        <v>2</v>
      </c>
      <c r="CL2596">
        <v>0</v>
      </c>
      <c r="CM2596">
        <v>2</v>
      </c>
      <c r="CN2596">
        <v>0</v>
      </c>
      <c r="CO2596">
        <v>7</v>
      </c>
      <c r="CP2596" t="s">
        <v>119</v>
      </c>
      <c r="CQ2596">
        <v>180</v>
      </c>
      <c r="CR2596">
        <v>3</v>
      </c>
      <c r="CW2596">
        <v>929449</v>
      </c>
      <c r="CY2596">
        <v>1</v>
      </c>
      <c r="CZ2596">
        <v>0</v>
      </c>
      <c r="DA2596">
        <v>1</v>
      </c>
      <c r="DB2596">
        <v>0</v>
      </c>
      <c r="DC2596">
        <v>0</v>
      </c>
      <c r="DD2596">
        <v>0</v>
      </c>
      <c r="DE2596">
        <v>0</v>
      </c>
      <c r="DF2596">
        <v>0</v>
      </c>
      <c r="DG2596">
        <v>0</v>
      </c>
      <c r="DH2596">
        <v>0</v>
      </c>
      <c r="DI2596">
        <v>0</v>
      </c>
    </row>
    <row r="2597" spans="1:113" x14ac:dyDescent="0.3">
      <c r="A2597" t="str">
        <f>"02/08/2021 20:28:21.717"</f>
        <v>02/08/2021 20:28:21.717</v>
      </c>
      <c r="C2597" t="str">
        <f t="shared" si="123"/>
        <v>FFDFD7C0</v>
      </c>
      <c r="D2597" t="s">
        <v>124</v>
      </c>
      <c r="E2597">
        <v>11</v>
      </c>
      <c r="F2597">
        <v>1011</v>
      </c>
      <c r="G2597" t="s">
        <v>590</v>
      </c>
      <c r="J2597" t="s">
        <v>125</v>
      </c>
      <c r="K2597">
        <v>0</v>
      </c>
      <c r="L2597">
        <v>3</v>
      </c>
      <c r="M2597">
        <v>0</v>
      </c>
      <c r="N2597">
        <v>2</v>
      </c>
      <c r="O2597">
        <v>1</v>
      </c>
      <c r="P2597">
        <v>0</v>
      </c>
      <c r="Q2597">
        <v>0</v>
      </c>
      <c r="S2597" t="str">
        <f>"20:28:24.063"</f>
        <v>20:28:24.063</v>
      </c>
      <c r="T2597" t="str">
        <f>"20:28:23.563"</f>
        <v>20:28:23.563</v>
      </c>
      <c r="U2597" t="str">
        <f t="shared" si="125"/>
        <v>AB01F4</v>
      </c>
      <c r="V2597">
        <v>0</v>
      </c>
      <c r="W2597">
        <v>0</v>
      </c>
      <c r="X2597">
        <v>2</v>
      </c>
      <c r="Z2597">
        <v>0</v>
      </c>
      <c r="AA2597">
        <v>9</v>
      </c>
      <c r="AB2597">
        <v>3</v>
      </c>
      <c r="AC2597">
        <v>0</v>
      </c>
      <c r="AD2597">
        <v>10</v>
      </c>
      <c r="AE2597">
        <v>0</v>
      </c>
      <c r="AF2597">
        <v>3</v>
      </c>
      <c r="AG2597">
        <v>2</v>
      </c>
      <c r="AH2597">
        <v>0</v>
      </c>
      <c r="AI2597" t="s">
        <v>1547</v>
      </c>
      <c r="AJ2597">
        <v>40.004289</v>
      </c>
      <c r="AK2597" t="s">
        <v>1548</v>
      </c>
      <c r="AL2597">
        <v>-92.755830000000003</v>
      </c>
      <c r="AM2597">
        <v>100</v>
      </c>
      <c r="AN2597">
        <v>1700</v>
      </c>
      <c r="AO2597" t="s">
        <v>118</v>
      </c>
      <c r="AP2597">
        <v>-107</v>
      </c>
      <c r="AQ2597">
        <v>77</v>
      </c>
      <c r="AR2597">
        <v>-128</v>
      </c>
      <c r="AZ2597">
        <v>1200</v>
      </c>
      <c r="BA2597">
        <v>1</v>
      </c>
      <c r="BB2597" t="str">
        <f t="shared" si="124"/>
        <v xml:space="preserve">N8080G  </v>
      </c>
      <c r="BC2597">
        <v>1</v>
      </c>
      <c r="BE2597">
        <v>0</v>
      </c>
      <c r="BF2597">
        <v>0</v>
      </c>
      <c r="BG2597">
        <v>0</v>
      </c>
      <c r="BH2597">
        <v>1700</v>
      </c>
      <c r="BI2597">
        <v>1</v>
      </c>
      <c r="BJ2597">
        <v>1</v>
      </c>
      <c r="BK2597">
        <v>1</v>
      </c>
      <c r="BL2597">
        <v>0</v>
      </c>
      <c r="BO2597">
        <v>0</v>
      </c>
      <c r="BP2597">
        <v>0</v>
      </c>
      <c r="BW2597" t="str">
        <f>"20:28:24.064"</f>
        <v>20:28:24.064</v>
      </c>
      <c r="BZ2597">
        <v>0</v>
      </c>
      <c r="CA2597">
        <v>2016</v>
      </c>
      <c r="CB2597">
        <v>224</v>
      </c>
      <c r="CD2597">
        <v>1</v>
      </c>
      <c r="CE2597">
        <v>0</v>
      </c>
      <c r="CF2597">
        <v>0</v>
      </c>
      <c r="CG2597">
        <v>1</v>
      </c>
      <c r="CH2597">
        <v>0</v>
      </c>
      <c r="CI2597">
        <v>0</v>
      </c>
      <c r="CJ2597">
        <v>0</v>
      </c>
      <c r="CK2597">
        <v>2</v>
      </c>
      <c r="CL2597">
        <v>0</v>
      </c>
      <c r="CM2597">
        <v>2</v>
      </c>
      <c r="CN2597">
        <v>0</v>
      </c>
      <c r="CO2597">
        <v>7</v>
      </c>
      <c r="CP2597" t="s">
        <v>119</v>
      </c>
      <c r="CQ2597">
        <v>180</v>
      </c>
      <c r="CR2597">
        <v>3</v>
      </c>
      <c r="CW2597">
        <v>929449</v>
      </c>
      <c r="CY2597">
        <v>1</v>
      </c>
      <c r="CZ2597">
        <v>0</v>
      </c>
      <c r="DA2597">
        <v>1</v>
      </c>
      <c r="DB2597">
        <v>0</v>
      </c>
      <c r="DC2597">
        <v>0</v>
      </c>
      <c r="DD2597">
        <v>0</v>
      </c>
      <c r="DE2597">
        <v>0</v>
      </c>
      <c r="DF2597">
        <v>0</v>
      </c>
      <c r="DG2597">
        <v>0</v>
      </c>
      <c r="DH2597">
        <v>0</v>
      </c>
      <c r="DI2597">
        <v>0</v>
      </c>
    </row>
    <row r="2598" spans="1:113" x14ac:dyDescent="0.3">
      <c r="A2598" t="str">
        <f>"02/08/2021 20:28:21.717"</f>
        <v>02/08/2021 20:28:21.717</v>
      </c>
      <c r="C2598" t="str">
        <f t="shared" si="123"/>
        <v>FFDFD7C0</v>
      </c>
      <c r="D2598" t="s">
        <v>124</v>
      </c>
      <c r="E2598">
        <v>13</v>
      </c>
      <c r="F2598">
        <v>1013</v>
      </c>
      <c r="G2598" t="s">
        <v>114</v>
      </c>
      <c r="J2598" t="s">
        <v>125</v>
      </c>
      <c r="K2598">
        <v>0</v>
      </c>
      <c r="L2598">
        <v>3</v>
      </c>
      <c r="M2598">
        <v>0</v>
      </c>
      <c r="N2598">
        <v>2</v>
      </c>
      <c r="O2598">
        <v>1</v>
      </c>
      <c r="P2598">
        <v>0</v>
      </c>
      <c r="Q2598">
        <v>0</v>
      </c>
      <c r="S2598" t="str">
        <f>"20:28:24.063"</f>
        <v>20:28:24.063</v>
      </c>
      <c r="T2598" t="str">
        <f>"20:28:23.563"</f>
        <v>20:28:23.563</v>
      </c>
      <c r="U2598" t="str">
        <f t="shared" si="125"/>
        <v>AB01F4</v>
      </c>
      <c r="V2598">
        <v>0</v>
      </c>
      <c r="W2598">
        <v>0</v>
      </c>
      <c r="X2598">
        <v>2</v>
      </c>
      <c r="Z2598">
        <v>0</v>
      </c>
      <c r="AA2598">
        <v>9</v>
      </c>
      <c r="AB2598">
        <v>3</v>
      </c>
      <c r="AC2598">
        <v>0</v>
      </c>
      <c r="AD2598">
        <v>10</v>
      </c>
      <c r="AE2598">
        <v>0</v>
      </c>
      <c r="AF2598">
        <v>3</v>
      </c>
      <c r="AG2598">
        <v>2</v>
      </c>
      <c r="AH2598">
        <v>0</v>
      </c>
      <c r="AI2598" t="s">
        <v>1547</v>
      </c>
      <c r="AJ2598">
        <v>40.004289</v>
      </c>
      <c r="AK2598" t="s">
        <v>1548</v>
      </c>
      <c r="AL2598">
        <v>-92.755830000000003</v>
      </c>
      <c r="AM2598">
        <v>100</v>
      </c>
      <c r="AN2598">
        <v>1700</v>
      </c>
      <c r="AO2598" t="s">
        <v>118</v>
      </c>
      <c r="AP2598">
        <v>-107</v>
      </c>
      <c r="AQ2598">
        <v>77</v>
      </c>
      <c r="AR2598">
        <v>-128</v>
      </c>
      <c r="AZ2598">
        <v>1200</v>
      </c>
      <c r="BA2598">
        <v>1</v>
      </c>
      <c r="BB2598" t="str">
        <f t="shared" si="124"/>
        <v xml:space="preserve">N8080G  </v>
      </c>
      <c r="BC2598">
        <v>1</v>
      </c>
      <c r="BE2598">
        <v>0</v>
      </c>
      <c r="BF2598">
        <v>0</v>
      </c>
      <c r="BG2598">
        <v>0</v>
      </c>
      <c r="BH2598">
        <v>1700</v>
      </c>
      <c r="BI2598">
        <v>1</v>
      </c>
      <c r="BJ2598">
        <v>1</v>
      </c>
      <c r="BK2598">
        <v>1</v>
      </c>
      <c r="BL2598">
        <v>0</v>
      </c>
      <c r="BO2598">
        <v>0</v>
      </c>
      <c r="BP2598">
        <v>0</v>
      </c>
      <c r="BW2598" t="str">
        <f>"20:28:24.064"</f>
        <v>20:28:24.064</v>
      </c>
      <c r="BZ2598">
        <v>0</v>
      </c>
      <c r="CA2598">
        <v>2016</v>
      </c>
      <c r="CB2598">
        <v>224</v>
      </c>
      <c r="CD2598">
        <v>1</v>
      </c>
      <c r="CE2598">
        <v>0</v>
      </c>
      <c r="CF2598">
        <v>0</v>
      </c>
      <c r="CG2598">
        <v>1</v>
      </c>
      <c r="CH2598">
        <v>0</v>
      </c>
      <c r="CI2598">
        <v>0</v>
      </c>
      <c r="CJ2598">
        <v>0</v>
      </c>
      <c r="CK2598">
        <v>2</v>
      </c>
      <c r="CL2598">
        <v>0</v>
      </c>
      <c r="CM2598">
        <v>2</v>
      </c>
      <c r="CN2598">
        <v>0</v>
      </c>
      <c r="CO2598">
        <v>7</v>
      </c>
      <c r="CP2598" t="s">
        <v>119</v>
      </c>
      <c r="CQ2598">
        <v>180</v>
      </c>
      <c r="CR2598">
        <v>3</v>
      </c>
      <c r="CW2598">
        <v>929449</v>
      </c>
      <c r="CY2598">
        <v>1</v>
      </c>
      <c r="CZ2598">
        <v>0</v>
      </c>
      <c r="DA2598">
        <v>1</v>
      </c>
      <c r="DB2598">
        <v>0</v>
      </c>
      <c r="DC2598">
        <v>0</v>
      </c>
      <c r="DD2598">
        <v>0</v>
      </c>
      <c r="DE2598">
        <v>0</v>
      </c>
      <c r="DF2598">
        <v>0</v>
      </c>
      <c r="DG2598">
        <v>0</v>
      </c>
      <c r="DH2598">
        <v>0</v>
      </c>
      <c r="DI2598">
        <v>0</v>
      </c>
    </row>
    <row r="2599" spans="1:113" x14ac:dyDescent="0.3">
      <c r="A2599" t="str">
        <f>"02/08/2021 20:28:22.758"</f>
        <v>02/08/2021 20:28:22.758</v>
      </c>
      <c r="C2599" t="str">
        <f t="shared" si="123"/>
        <v>FFDFD7C0</v>
      </c>
      <c r="D2599" t="s">
        <v>124</v>
      </c>
      <c r="E2599">
        <v>13</v>
      </c>
      <c r="F2599">
        <v>1013</v>
      </c>
      <c r="G2599" t="s">
        <v>114</v>
      </c>
      <c r="J2599" t="s">
        <v>125</v>
      </c>
      <c r="K2599">
        <v>0</v>
      </c>
      <c r="L2599">
        <v>3</v>
      </c>
      <c r="M2599">
        <v>0</v>
      </c>
      <c r="N2599">
        <v>2</v>
      </c>
      <c r="O2599">
        <v>1</v>
      </c>
      <c r="P2599">
        <v>0</v>
      </c>
      <c r="Q2599">
        <v>0</v>
      </c>
      <c r="S2599" t="str">
        <f>"20:28:25.094"</f>
        <v>20:28:25.094</v>
      </c>
      <c r="T2599" t="str">
        <f>"20:28:24.094"</f>
        <v>20:28:24.094</v>
      </c>
      <c r="U2599" t="str">
        <f t="shared" si="125"/>
        <v>AB01F4</v>
      </c>
      <c r="V2599">
        <v>0</v>
      </c>
      <c r="W2599">
        <v>0</v>
      </c>
      <c r="X2599">
        <v>2</v>
      </c>
      <c r="Z2599">
        <v>0</v>
      </c>
      <c r="AA2599">
        <v>9</v>
      </c>
      <c r="AB2599">
        <v>3</v>
      </c>
      <c r="AC2599">
        <v>0</v>
      </c>
      <c r="AD2599">
        <v>10</v>
      </c>
      <c r="AE2599">
        <v>0</v>
      </c>
      <c r="AF2599">
        <v>3</v>
      </c>
      <c r="AG2599">
        <v>2</v>
      </c>
      <c r="AH2599">
        <v>0</v>
      </c>
      <c r="AI2599" t="s">
        <v>1549</v>
      </c>
      <c r="AJ2599">
        <v>40.004674999999999</v>
      </c>
      <c r="AK2599" t="s">
        <v>1550</v>
      </c>
      <c r="AL2599">
        <v>-92.756452999999993</v>
      </c>
      <c r="AM2599">
        <v>100</v>
      </c>
      <c r="AN2599">
        <v>1700</v>
      </c>
      <c r="AO2599" t="s">
        <v>118</v>
      </c>
      <c r="AP2599">
        <v>-107</v>
      </c>
      <c r="AQ2599">
        <v>77</v>
      </c>
      <c r="AR2599">
        <v>-192</v>
      </c>
      <c r="AZ2599">
        <v>1200</v>
      </c>
      <c r="BA2599">
        <v>1</v>
      </c>
      <c r="BB2599" t="str">
        <f t="shared" si="124"/>
        <v xml:space="preserve">N8080G  </v>
      </c>
      <c r="BC2599">
        <v>1</v>
      </c>
      <c r="BE2599">
        <v>0</v>
      </c>
      <c r="BF2599">
        <v>0</v>
      </c>
      <c r="BG2599">
        <v>0</v>
      </c>
      <c r="BH2599">
        <v>1700</v>
      </c>
      <c r="BI2599">
        <v>1</v>
      </c>
      <c r="BJ2599">
        <v>1</v>
      </c>
      <c r="BK2599">
        <v>1</v>
      </c>
      <c r="BL2599">
        <v>0</v>
      </c>
      <c r="BO2599">
        <v>0</v>
      </c>
      <c r="BP2599">
        <v>0</v>
      </c>
      <c r="BW2599" t="str">
        <f>"20:28:25.101"</f>
        <v>20:28:25.101</v>
      </c>
      <c r="BZ2599">
        <v>0</v>
      </c>
      <c r="CA2599">
        <v>2016</v>
      </c>
      <c r="CB2599">
        <v>224</v>
      </c>
      <c r="CD2599">
        <v>1</v>
      </c>
      <c r="CE2599">
        <v>0</v>
      </c>
      <c r="CF2599">
        <v>0</v>
      </c>
      <c r="CG2599">
        <v>1</v>
      </c>
      <c r="CH2599">
        <v>0</v>
      </c>
      <c r="CI2599">
        <v>0</v>
      </c>
      <c r="CJ2599">
        <v>0</v>
      </c>
      <c r="CK2599">
        <v>2</v>
      </c>
      <c r="CL2599">
        <v>0</v>
      </c>
      <c r="CM2599">
        <v>2</v>
      </c>
      <c r="CN2599">
        <v>0</v>
      </c>
      <c r="CO2599">
        <v>5</v>
      </c>
      <c r="CP2599" t="s">
        <v>119</v>
      </c>
      <c r="CQ2599">
        <v>179</v>
      </c>
      <c r="CR2599">
        <v>1</v>
      </c>
      <c r="CW2599">
        <v>9028353</v>
      </c>
      <c r="CY2599">
        <v>1</v>
      </c>
      <c r="CZ2599">
        <v>0</v>
      </c>
      <c r="DA2599">
        <v>0</v>
      </c>
      <c r="DB2599">
        <v>0</v>
      </c>
      <c r="DC2599">
        <v>0</v>
      </c>
      <c r="DD2599">
        <v>0</v>
      </c>
      <c r="DE2599">
        <v>0</v>
      </c>
      <c r="DF2599">
        <v>0</v>
      </c>
      <c r="DG2599">
        <v>0</v>
      </c>
      <c r="DH2599">
        <v>0</v>
      </c>
      <c r="DI2599">
        <v>0</v>
      </c>
    </row>
    <row r="2600" spans="1:113" x14ac:dyDescent="0.3">
      <c r="A2600" t="str">
        <f>"02/08/2021 20:28:22.758"</f>
        <v>02/08/2021 20:28:22.758</v>
      </c>
      <c r="C2600" t="str">
        <f t="shared" si="123"/>
        <v>FFDFD7C0</v>
      </c>
      <c r="D2600" t="s">
        <v>124</v>
      </c>
      <c r="E2600">
        <v>12</v>
      </c>
      <c r="F2600">
        <v>1012</v>
      </c>
      <c r="G2600" t="s">
        <v>675</v>
      </c>
      <c r="J2600" t="s">
        <v>125</v>
      </c>
      <c r="K2600">
        <v>0</v>
      </c>
      <c r="L2600">
        <v>3</v>
      </c>
      <c r="M2600">
        <v>0</v>
      </c>
      <c r="N2600">
        <v>2</v>
      </c>
      <c r="O2600">
        <v>1</v>
      </c>
      <c r="P2600">
        <v>0</v>
      </c>
      <c r="Q2600">
        <v>0</v>
      </c>
      <c r="S2600" t="str">
        <f>"20:28:25.094"</f>
        <v>20:28:25.094</v>
      </c>
      <c r="T2600" t="str">
        <f>"20:28:24.094"</f>
        <v>20:28:24.094</v>
      </c>
      <c r="U2600" t="str">
        <f t="shared" si="125"/>
        <v>AB01F4</v>
      </c>
      <c r="V2600">
        <v>0</v>
      </c>
      <c r="W2600">
        <v>0</v>
      </c>
      <c r="X2600">
        <v>2</v>
      </c>
      <c r="Z2600">
        <v>0</v>
      </c>
      <c r="AA2600">
        <v>9</v>
      </c>
      <c r="AB2600">
        <v>3</v>
      </c>
      <c r="AC2600">
        <v>0</v>
      </c>
      <c r="AD2600">
        <v>10</v>
      </c>
      <c r="AE2600">
        <v>0</v>
      </c>
      <c r="AF2600">
        <v>3</v>
      </c>
      <c r="AG2600">
        <v>2</v>
      </c>
      <c r="AH2600">
        <v>0</v>
      </c>
      <c r="AI2600" t="s">
        <v>1549</v>
      </c>
      <c r="AJ2600">
        <v>40.004674999999999</v>
      </c>
      <c r="AK2600" t="s">
        <v>1550</v>
      </c>
      <c r="AL2600">
        <v>-92.756452999999993</v>
      </c>
      <c r="AM2600">
        <v>100</v>
      </c>
      <c r="AN2600">
        <v>1700</v>
      </c>
      <c r="AO2600" t="s">
        <v>118</v>
      </c>
      <c r="AP2600">
        <v>-107</v>
      </c>
      <c r="AQ2600">
        <v>77</v>
      </c>
      <c r="AR2600">
        <v>-192</v>
      </c>
      <c r="AZ2600">
        <v>1200</v>
      </c>
      <c r="BA2600">
        <v>1</v>
      </c>
      <c r="BB2600" t="str">
        <f t="shared" si="124"/>
        <v xml:space="preserve">N8080G  </v>
      </c>
      <c r="BC2600">
        <v>1</v>
      </c>
      <c r="BE2600">
        <v>0</v>
      </c>
      <c r="BF2600">
        <v>0</v>
      </c>
      <c r="BG2600">
        <v>0</v>
      </c>
      <c r="BH2600">
        <v>1700</v>
      </c>
      <c r="BI2600">
        <v>1</v>
      </c>
      <c r="BJ2600">
        <v>1</v>
      </c>
      <c r="BK2600">
        <v>1</v>
      </c>
      <c r="BL2600">
        <v>0</v>
      </c>
      <c r="BO2600">
        <v>0</v>
      </c>
      <c r="BP2600">
        <v>0</v>
      </c>
      <c r="BW2600" t="str">
        <f>"20:28:25.101"</f>
        <v>20:28:25.101</v>
      </c>
      <c r="BZ2600">
        <v>0</v>
      </c>
      <c r="CA2600">
        <v>2016</v>
      </c>
      <c r="CB2600">
        <v>224</v>
      </c>
      <c r="CD2600">
        <v>1</v>
      </c>
      <c r="CE2600">
        <v>0</v>
      </c>
      <c r="CF2600">
        <v>0</v>
      </c>
      <c r="CG2600">
        <v>1</v>
      </c>
      <c r="CH2600">
        <v>0</v>
      </c>
      <c r="CI2600">
        <v>0</v>
      </c>
      <c r="CJ2600">
        <v>0</v>
      </c>
      <c r="CK2600">
        <v>2</v>
      </c>
      <c r="CL2600">
        <v>0</v>
      </c>
      <c r="CM2600">
        <v>2</v>
      </c>
      <c r="CN2600">
        <v>0</v>
      </c>
      <c r="CO2600">
        <v>5</v>
      </c>
      <c r="CP2600" t="s">
        <v>119</v>
      </c>
      <c r="CQ2600">
        <v>179</v>
      </c>
      <c r="CR2600">
        <v>1</v>
      </c>
      <c r="CW2600">
        <v>9028353</v>
      </c>
      <c r="CY2600">
        <v>1</v>
      </c>
      <c r="CZ2600">
        <v>0</v>
      </c>
      <c r="DA2600">
        <v>1</v>
      </c>
      <c r="DB2600">
        <v>0</v>
      </c>
      <c r="DC2600">
        <v>0</v>
      </c>
      <c r="DD2600">
        <v>0</v>
      </c>
      <c r="DE2600">
        <v>0</v>
      </c>
      <c r="DF2600">
        <v>0</v>
      </c>
      <c r="DG2600">
        <v>0</v>
      </c>
      <c r="DH2600">
        <v>0</v>
      </c>
      <c r="DI2600">
        <v>0</v>
      </c>
    </row>
    <row r="2601" spans="1:113" x14ac:dyDescent="0.3">
      <c r="A2601" t="str">
        <f>"02/08/2021 20:28:22.758"</f>
        <v>02/08/2021 20:28:22.758</v>
      </c>
      <c r="C2601" t="str">
        <f t="shared" si="123"/>
        <v>FFDFD7C0</v>
      </c>
      <c r="D2601" t="s">
        <v>124</v>
      </c>
      <c r="E2601">
        <v>11</v>
      </c>
      <c r="F2601">
        <v>1011</v>
      </c>
      <c r="G2601" t="s">
        <v>590</v>
      </c>
      <c r="J2601" t="s">
        <v>125</v>
      </c>
      <c r="K2601">
        <v>0</v>
      </c>
      <c r="L2601">
        <v>3</v>
      </c>
      <c r="M2601">
        <v>0</v>
      </c>
      <c r="N2601">
        <v>2</v>
      </c>
      <c r="O2601">
        <v>1</v>
      </c>
      <c r="P2601">
        <v>0</v>
      </c>
      <c r="Q2601">
        <v>0</v>
      </c>
      <c r="S2601" t="str">
        <f>"20:28:25.094"</f>
        <v>20:28:25.094</v>
      </c>
      <c r="T2601" t="str">
        <f>"20:28:24.094"</f>
        <v>20:28:24.094</v>
      </c>
      <c r="U2601" t="str">
        <f t="shared" si="125"/>
        <v>AB01F4</v>
      </c>
      <c r="V2601">
        <v>0</v>
      </c>
      <c r="W2601">
        <v>0</v>
      </c>
      <c r="X2601">
        <v>2</v>
      </c>
      <c r="Z2601">
        <v>0</v>
      </c>
      <c r="AA2601">
        <v>9</v>
      </c>
      <c r="AB2601">
        <v>3</v>
      </c>
      <c r="AC2601">
        <v>0</v>
      </c>
      <c r="AD2601">
        <v>10</v>
      </c>
      <c r="AE2601">
        <v>0</v>
      </c>
      <c r="AF2601">
        <v>3</v>
      </c>
      <c r="AG2601">
        <v>2</v>
      </c>
      <c r="AH2601">
        <v>0</v>
      </c>
      <c r="AI2601" t="s">
        <v>1549</v>
      </c>
      <c r="AJ2601">
        <v>40.004674999999999</v>
      </c>
      <c r="AK2601" t="s">
        <v>1550</v>
      </c>
      <c r="AL2601">
        <v>-92.756452999999993</v>
      </c>
      <c r="AM2601">
        <v>100</v>
      </c>
      <c r="AN2601">
        <v>1700</v>
      </c>
      <c r="AO2601" t="s">
        <v>118</v>
      </c>
      <c r="AP2601">
        <v>-107</v>
      </c>
      <c r="AQ2601">
        <v>77</v>
      </c>
      <c r="AR2601">
        <v>-192</v>
      </c>
      <c r="AZ2601">
        <v>1200</v>
      </c>
      <c r="BA2601">
        <v>1</v>
      </c>
      <c r="BB2601" t="str">
        <f t="shared" si="124"/>
        <v xml:space="preserve">N8080G  </v>
      </c>
      <c r="BC2601">
        <v>1</v>
      </c>
      <c r="BE2601">
        <v>0</v>
      </c>
      <c r="BF2601">
        <v>0</v>
      </c>
      <c r="BG2601">
        <v>0</v>
      </c>
      <c r="BH2601">
        <v>1700</v>
      </c>
      <c r="BI2601">
        <v>1</v>
      </c>
      <c r="BJ2601">
        <v>1</v>
      </c>
      <c r="BK2601">
        <v>1</v>
      </c>
      <c r="BL2601">
        <v>0</v>
      </c>
      <c r="BO2601">
        <v>0</v>
      </c>
      <c r="BP2601">
        <v>0</v>
      </c>
      <c r="BW2601" t="str">
        <f>"20:28:25.101"</f>
        <v>20:28:25.101</v>
      </c>
      <c r="BZ2601">
        <v>0</v>
      </c>
      <c r="CA2601">
        <v>2016</v>
      </c>
      <c r="CB2601">
        <v>224</v>
      </c>
      <c r="CD2601">
        <v>1</v>
      </c>
      <c r="CE2601">
        <v>0</v>
      </c>
      <c r="CF2601">
        <v>0</v>
      </c>
      <c r="CG2601">
        <v>1</v>
      </c>
      <c r="CH2601">
        <v>0</v>
      </c>
      <c r="CI2601">
        <v>0</v>
      </c>
      <c r="CJ2601">
        <v>0</v>
      </c>
      <c r="CK2601">
        <v>2</v>
      </c>
      <c r="CL2601">
        <v>0</v>
      </c>
      <c r="CM2601">
        <v>2</v>
      </c>
      <c r="CN2601">
        <v>0</v>
      </c>
      <c r="CO2601">
        <v>5</v>
      </c>
      <c r="CP2601" t="s">
        <v>119</v>
      </c>
      <c r="CQ2601">
        <v>179</v>
      </c>
      <c r="CR2601">
        <v>1</v>
      </c>
      <c r="CW2601">
        <v>9028353</v>
      </c>
      <c r="CY2601">
        <v>1</v>
      </c>
      <c r="CZ2601">
        <v>0</v>
      </c>
      <c r="DA2601">
        <v>1</v>
      </c>
      <c r="DB2601">
        <v>0</v>
      </c>
      <c r="DC2601">
        <v>0</v>
      </c>
      <c r="DD2601">
        <v>0</v>
      </c>
      <c r="DE2601">
        <v>0</v>
      </c>
      <c r="DF2601">
        <v>0</v>
      </c>
      <c r="DG2601">
        <v>0</v>
      </c>
      <c r="DH2601">
        <v>0</v>
      </c>
      <c r="DI2601">
        <v>0</v>
      </c>
    </row>
    <row r="2602" spans="1:113" x14ac:dyDescent="0.3">
      <c r="A2602" t="str">
        <f>"02/08/2021 20:28:22.758"</f>
        <v>02/08/2021 20:28:22.758</v>
      </c>
      <c r="C2602" t="str">
        <f t="shared" si="123"/>
        <v>FFDFD7C0</v>
      </c>
      <c r="D2602" t="s">
        <v>113</v>
      </c>
      <c r="E2602">
        <v>6</v>
      </c>
      <c r="H2602">
        <v>165</v>
      </c>
      <c r="I2602" t="s">
        <v>114</v>
      </c>
      <c r="J2602" t="s">
        <v>115</v>
      </c>
      <c r="K2602">
        <v>0</v>
      </c>
      <c r="L2602">
        <v>3</v>
      </c>
      <c r="M2602">
        <v>0</v>
      </c>
      <c r="N2602">
        <v>2</v>
      </c>
      <c r="O2602">
        <v>1</v>
      </c>
      <c r="P2602">
        <v>0</v>
      </c>
      <c r="Q2602">
        <v>0</v>
      </c>
      <c r="S2602" t="str">
        <f>"20:28:25.094"</f>
        <v>20:28:25.094</v>
      </c>
      <c r="T2602" t="str">
        <f>"20:28:24.094"</f>
        <v>20:28:24.094</v>
      </c>
      <c r="U2602" t="str">
        <f t="shared" si="125"/>
        <v>AB01F4</v>
      </c>
      <c r="V2602">
        <v>0</v>
      </c>
      <c r="W2602">
        <v>0</v>
      </c>
      <c r="X2602">
        <v>2</v>
      </c>
      <c r="Z2602">
        <v>0</v>
      </c>
      <c r="AA2602">
        <v>9</v>
      </c>
      <c r="AB2602">
        <v>3</v>
      </c>
      <c r="AC2602">
        <v>0</v>
      </c>
      <c r="AD2602">
        <v>10</v>
      </c>
      <c r="AE2602">
        <v>0</v>
      </c>
      <c r="AF2602">
        <v>3</v>
      </c>
      <c r="AG2602">
        <v>2</v>
      </c>
      <c r="AH2602">
        <v>0</v>
      </c>
      <c r="AI2602" t="s">
        <v>1549</v>
      </c>
      <c r="AJ2602">
        <v>40.004674999999999</v>
      </c>
      <c r="AK2602" t="s">
        <v>1550</v>
      </c>
      <c r="AL2602">
        <v>-92.756452999999993</v>
      </c>
      <c r="AM2602">
        <v>100</v>
      </c>
      <c r="AN2602">
        <v>1700</v>
      </c>
      <c r="AO2602" t="s">
        <v>118</v>
      </c>
      <c r="AP2602">
        <v>-107</v>
      </c>
      <c r="AQ2602">
        <v>77</v>
      </c>
      <c r="AR2602">
        <v>-192</v>
      </c>
      <c r="AZ2602">
        <v>1200</v>
      </c>
      <c r="BA2602">
        <v>1</v>
      </c>
      <c r="BB2602" t="str">
        <f t="shared" si="124"/>
        <v xml:space="preserve">N8080G  </v>
      </c>
      <c r="BC2602">
        <v>1</v>
      </c>
      <c r="BE2602">
        <v>0</v>
      </c>
      <c r="BF2602">
        <v>0</v>
      </c>
      <c r="BG2602">
        <v>0</v>
      </c>
      <c r="BH2602">
        <v>1700</v>
      </c>
      <c r="BI2602">
        <v>1</v>
      </c>
      <c r="BJ2602">
        <v>1</v>
      </c>
      <c r="BK2602">
        <v>1</v>
      </c>
      <c r="BL2602">
        <v>0</v>
      </c>
      <c r="BO2602">
        <v>0</v>
      </c>
      <c r="BP2602">
        <v>0</v>
      </c>
      <c r="BW2602" t="str">
        <f>"20:28:25.101"</f>
        <v>20:28:25.101</v>
      </c>
      <c r="BZ2602">
        <v>0</v>
      </c>
      <c r="CA2602">
        <v>2016</v>
      </c>
      <c r="CB2602">
        <v>224</v>
      </c>
      <c r="CD2602">
        <v>1</v>
      </c>
      <c r="CE2602">
        <v>0</v>
      </c>
      <c r="CF2602">
        <v>0</v>
      </c>
      <c r="CG2602">
        <v>1</v>
      </c>
      <c r="CH2602">
        <v>0</v>
      </c>
      <c r="CI2602">
        <v>0</v>
      </c>
      <c r="CJ2602">
        <v>0</v>
      </c>
      <c r="CK2602">
        <v>2</v>
      </c>
      <c r="CL2602">
        <v>0</v>
      </c>
      <c r="CM2602">
        <v>2</v>
      </c>
      <c r="CN2602">
        <v>0</v>
      </c>
      <c r="CO2602">
        <v>5</v>
      </c>
      <c r="CP2602" t="s">
        <v>119</v>
      </c>
      <c r="CQ2602">
        <v>179</v>
      </c>
      <c r="CR2602">
        <v>1</v>
      </c>
      <c r="CW2602">
        <v>9028353</v>
      </c>
      <c r="CY2602">
        <v>1</v>
      </c>
      <c r="CZ2602">
        <v>0</v>
      </c>
      <c r="DA2602">
        <v>1</v>
      </c>
      <c r="DB2602">
        <v>0</v>
      </c>
      <c r="DC2602">
        <v>0</v>
      </c>
      <c r="DD2602">
        <v>0</v>
      </c>
      <c r="DE2602">
        <v>0</v>
      </c>
      <c r="DF2602">
        <v>0</v>
      </c>
      <c r="DG2602">
        <v>0</v>
      </c>
      <c r="DH2602">
        <v>0</v>
      </c>
      <c r="DI2602">
        <v>0</v>
      </c>
    </row>
    <row r="2603" spans="1:113" x14ac:dyDescent="0.3">
      <c r="A2603" t="str">
        <f>"02/08/2021 20:28:23.782"</f>
        <v>02/08/2021 20:28:23.782</v>
      </c>
      <c r="C2603" t="str">
        <f t="shared" si="123"/>
        <v>FFDFD7C0</v>
      </c>
      <c r="D2603" t="s">
        <v>124</v>
      </c>
      <c r="E2603">
        <v>12</v>
      </c>
      <c r="F2603">
        <v>1012</v>
      </c>
      <c r="G2603" t="s">
        <v>675</v>
      </c>
      <c r="J2603" t="s">
        <v>125</v>
      </c>
      <c r="K2603">
        <v>0</v>
      </c>
      <c r="L2603">
        <v>3</v>
      </c>
      <c r="M2603">
        <v>0</v>
      </c>
      <c r="N2603">
        <v>2</v>
      </c>
      <c r="O2603">
        <v>1</v>
      </c>
      <c r="P2603">
        <v>0</v>
      </c>
      <c r="Q2603">
        <v>0</v>
      </c>
      <c r="S2603" t="str">
        <f>"20:28:26.086"</f>
        <v>20:28:26.086</v>
      </c>
      <c r="T2603" t="str">
        <f>"20:28:25.586"</f>
        <v>20:28:25.586</v>
      </c>
      <c r="U2603" t="str">
        <f t="shared" si="125"/>
        <v>AB01F4</v>
      </c>
      <c r="V2603">
        <v>0</v>
      </c>
      <c r="W2603">
        <v>0</v>
      </c>
      <c r="X2603">
        <v>2</v>
      </c>
      <c r="Z2603">
        <v>0</v>
      </c>
      <c r="AA2603">
        <v>9</v>
      </c>
      <c r="AB2603">
        <v>3</v>
      </c>
      <c r="AC2603">
        <v>0</v>
      </c>
      <c r="AD2603">
        <v>10</v>
      </c>
      <c r="AE2603">
        <v>0</v>
      </c>
      <c r="AF2603">
        <v>3</v>
      </c>
      <c r="AG2603">
        <v>2</v>
      </c>
      <c r="AH2603">
        <v>0</v>
      </c>
      <c r="AI2603" t="s">
        <v>1551</v>
      </c>
      <c r="AJ2603">
        <v>40.004997000000003</v>
      </c>
      <c r="AK2603" t="s">
        <v>1552</v>
      </c>
      <c r="AL2603">
        <v>-92.757138999999995</v>
      </c>
      <c r="AM2603">
        <v>100</v>
      </c>
      <c r="AN2603">
        <v>1700</v>
      </c>
      <c r="AO2603" t="s">
        <v>118</v>
      </c>
      <c r="AP2603">
        <v>-107</v>
      </c>
      <c r="AQ2603">
        <v>77</v>
      </c>
      <c r="AR2603">
        <v>-64</v>
      </c>
      <c r="AZ2603">
        <v>1200</v>
      </c>
      <c r="BA2603">
        <v>1</v>
      </c>
      <c r="BB2603" t="str">
        <f t="shared" si="124"/>
        <v xml:space="preserve">N8080G  </v>
      </c>
      <c r="BC2603">
        <v>1</v>
      </c>
      <c r="BE2603">
        <v>0</v>
      </c>
      <c r="BF2603">
        <v>0</v>
      </c>
      <c r="BG2603">
        <v>0</v>
      </c>
      <c r="BH2603">
        <v>1700</v>
      </c>
      <c r="BI2603">
        <v>1</v>
      </c>
      <c r="BJ2603">
        <v>1</v>
      </c>
      <c r="BK2603">
        <v>1</v>
      </c>
      <c r="BL2603">
        <v>0</v>
      </c>
      <c r="BO2603">
        <v>0</v>
      </c>
      <c r="BP2603">
        <v>0</v>
      </c>
      <c r="BW2603" t="str">
        <f>"20:28:26.094"</f>
        <v>20:28:26.094</v>
      </c>
      <c r="BZ2603">
        <v>0</v>
      </c>
      <c r="CA2603">
        <v>2016</v>
      </c>
      <c r="CB2603">
        <v>224</v>
      </c>
      <c r="CD2603">
        <v>1</v>
      </c>
      <c r="CE2603">
        <v>0</v>
      </c>
      <c r="CF2603">
        <v>0</v>
      </c>
      <c r="CG2603">
        <v>1</v>
      </c>
      <c r="CH2603">
        <v>0</v>
      </c>
      <c r="CI2603">
        <v>0</v>
      </c>
      <c r="CJ2603">
        <v>0</v>
      </c>
      <c r="CK2603">
        <v>2</v>
      </c>
      <c r="CL2603">
        <v>0</v>
      </c>
      <c r="CM2603">
        <v>2</v>
      </c>
      <c r="CN2603">
        <v>0</v>
      </c>
      <c r="CO2603">
        <v>4</v>
      </c>
      <c r="CP2603" t="s">
        <v>119</v>
      </c>
      <c r="CQ2603">
        <v>179</v>
      </c>
      <c r="CR2603">
        <v>1</v>
      </c>
      <c r="CW2603">
        <v>9029171</v>
      </c>
      <c r="CY2603">
        <v>1</v>
      </c>
      <c r="CZ2603">
        <v>0</v>
      </c>
      <c r="DA2603">
        <v>0</v>
      </c>
      <c r="DB2603">
        <v>0</v>
      </c>
      <c r="DC2603">
        <v>0</v>
      </c>
      <c r="DD2603">
        <v>0</v>
      </c>
      <c r="DE2603">
        <v>0</v>
      </c>
      <c r="DF2603">
        <v>0</v>
      </c>
      <c r="DG2603">
        <v>0</v>
      </c>
      <c r="DH2603">
        <v>0</v>
      </c>
      <c r="DI2603">
        <v>0</v>
      </c>
    </row>
    <row r="2604" spans="1:113" x14ac:dyDescent="0.3">
      <c r="A2604" t="str">
        <f>"02/08/2021 20:28:23.782"</f>
        <v>02/08/2021 20:28:23.782</v>
      </c>
      <c r="C2604" t="str">
        <f t="shared" si="123"/>
        <v>FFDFD7C0</v>
      </c>
      <c r="D2604" t="s">
        <v>124</v>
      </c>
      <c r="E2604">
        <v>11</v>
      </c>
      <c r="F2604">
        <v>1011</v>
      </c>
      <c r="G2604" t="s">
        <v>590</v>
      </c>
      <c r="J2604" t="s">
        <v>125</v>
      </c>
      <c r="K2604">
        <v>0</v>
      </c>
      <c r="L2604">
        <v>3</v>
      </c>
      <c r="M2604">
        <v>0</v>
      </c>
      <c r="N2604">
        <v>2</v>
      </c>
      <c r="O2604">
        <v>1</v>
      </c>
      <c r="P2604">
        <v>0</v>
      </c>
      <c r="Q2604">
        <v>0</v>
      </c>
      <c r="S2604" t="str">
        <f>"20:28:26.086"</f>
        <v>20:28:26.086</v>
      </c>
      <c r="T2604" t="str">
        <f>"20:28:25.586"</f>
        <v>20:28:25.586</v>
      </c>
      <c r="U2604" t="str">
        <f t="shared" si="125"/>
        <v>AB01F4</v>
      </c>
      <c r="V2604">
        <v>0</v>
      </c>
      <c r="W2604">
        <v>0</v>
      </c>
      <c r="X2604">
        <v>2</v>
      </c>
      <c r="Z2604">
        <v>0</v>
      </c>
      <c r="AA2604">
        <v>9</v>
      </c>
      <c r="AB2604">
        <v>3</v>
      </c>
      <c r="AC2604">
        <v>0</v>
      </c>
      <c r="AD2604">
        <v>10</v>
      </c>
      <c r="AE2604">
        <v>0</v>
      </c>
      <c r="AF2604">
        <v>3</v>
      </c>
      <c r="AG2604">
        <v>2</v>
      </c>
      <c r="AH2604">
        <v>0</v>
      </c>
      <c r="AI2604" t="s">
        <v>1551</v>
      </c>
      <c r="AJ2604">
        <v>40.004997000000003</v>
      </c>
      <c r="AK2604" t="s">
        <v>1552</v>
      </c>
      <c r="AL2604">
        <v>-92.757138999999995</v>
      </c>
      <c r="AM2604">
        <v>100</v>
      </c>
      <c r="AN2604">
        <v>1700</v>
      </c>
      <c r="AO2604" t="s">
        <v>118</v>
      </c>
      <c r="AP2604">
        <v>-107</v>
      </c>
      <c r="AQ2604">
        <v>77</v>
      </c>
      <c r="AR2604">
        <v>-64</v>
      </c>
      <c r="AZ2604">
        <v>1200</v>
      </c>
      <c r="BA2604">
        <v>1</v>
      </c>
      <c r="BB2604" t="str">
        <f t="shared" si="124"/>
        <v xml:space="preserve">N8080G  </v>
      </c>
      <c r="BC2604">
        <v>1</v>
      </c>
      <c r="BE2604">
        <v>0</v>
      </c>
      <c r="BF2604">
        <v>0</v>
      </c>
      <c r="BG2604">
        <v>0</v>
      </c>
      <c r="BH2604">
        <v>1700</v>
      </c>
      <c r="BI2604">
        <v>1</v>
      </c>
      <c r="BJ2604">
        <v>1</v>
      </c>
      <c r="BK2604">
        <v>1</v>
      </c>
      <c r="BL2604">
        <v>0</v>
      </c>
      <c r="BO2604">
        <v>0</v>
      </c>
      <c r="BP2604">
        <v>0</v>
      </c>
      <c r="BW2604" t="str">
        <f>"20:28:26.094"</f>
        <v>20:28:26.094</v>
      </c>
      <c r="BZ2604">
        <v>0</v>
      </c>
      <c r="CA2604">
        <v>2016</v>
      </c>
      <c r="CB2604">
        <v>224</v>
      </c>
      <c r="CD2604">
        <v>1</v>
      </c>
      <c r="CE2604">
        <v>0</v>
      </c>
      <c r="CF2604">
        <v>0</v>
      </c>
      <c r="CG2604">
        <v>1</v>
      </c>
      <c r="CH2604">
        <v>0</v>
      </c>
      <c r="CI2604">
        <v>0</v>
      </c>
      <c r="CJ2604">
        <v>0</v>
      </c>
      <c r="CK2604">
        <v>2</v>
      </c>
      <c r="CL2604">
        <v>0</v>
      </c>
      <c r="CM2604">
        <v>2</v>
      </c>
      <c r="CN2604">
        <v>0</v>
      </c>
      <c r="CO2604">
        <v>4</v>
      </c>
      <c r="CP2604" t="s">
        <v>119</v>
      </c>
      <c r="CQ2604">
        <v>179</v>
      </c>
      <c r="CR2604">
        <v>1</v>
      </c>
      <c r="CW2604">
        <v>9029171</v>
      </c>
      <c r="CY2604">
        <v>1</v>
      </c>
      <c r="CZ2604">
        <v>0</v>
      </c>
      <c r="DA2604">
        <v>1</v>
      </c>
      <c r="DB2604">
        <v>0</v>
      </c>
      <c r="DC2604">
        <v>0</v>
      </c>
      <c r="DD2604">
        <v>0</v>
      </c>
      <c r="DE2604">
        <v>0</v>
      </c>
      <c r="DF2604">
        <v>0</v>
      </c>
      <c r="DG2604">
        <v>0</v>
      </c>
      <c r="DH2604">
        <v>0</v>
      </c>
      <c r="DI2604">
        <v>0</v>
      </c>
    </row>
    <row r="2605" spans="1:113" x14ac:dyDescent="0.3">
      <c r="A2605" t="str">
        <f>"02/08/2021 20:28:23.782"</f>
        <v>02/08/2021 20:28:23.782</v>
      </c>
      <c r="C2605" t="str">
        <f t="shared" si="123"/>
        <v>FFDFD7C0</v>
      </c>
      <c r="D2605" t="s">
        <v>113</v>
      </c>
      <c r="E2605">
        <v>6</v>
      </c>
      <c r="H2605">
        <v>165</v>
      </c>
      <c r="I2605" t="s">
        <v>114</v>
      </c>
      <c r="J2605" t="s">
        <v>115</v>
      </c>
      <c r="K2605">
        <v>0</v>
      </c>
      <c r="L2605">
        <v>3</v>
      </c>
      <c r="M2605">
        <v>0</v>
      </c>
      <c r="N2605">
        <v>2</v>
      </c>
      <c r="O2605">
        <v>1</v>
      </c>
      <c r="P2605">
        <v>0</v>
      </c>
      <c r="Q2605">
        <v>0</v>
      </c>
      <c r="S2605" t="str">
        <f>"20:28:26.086"</f>
        <v>20:28:26.086</v>
      </c>
      <c r="T2605" t="str">
        <f>"20:28:25.586"</f>
        <v>20:28:25.586</v>
      </c>
      <c r="U2605" t="str">
        <f t="shared" si="125"/>
        <v>AB01F4</v>
      </c>
      <c r="V2605">
        <v>0</v>
      </c>
      <c r="W2605">
        <v>0</v>
      </c>
      <c r="X2605">
        <v>2</v>
      </c>
      <c r="Z2605">
        <v>0</v>
      </c>
      <c r="AA2605">
        <v>9</v>
      </c>
      <c r="AB2605">
        <v>3</v>
      </c>
      <c r="AC2605">
        <v>0</v>
      </c>
      <c r="AD2605">
        <v>10</v>
      </c>
      <c r="AE2605">
        <v>0</v>
      </c>
      <c r="AF2605">
        <v>3</v>
      </c>
      <c r="AG2605">
        <v>2</v>
      </c>
      <c r="AH2605">
        <v>0</v>
      </c>
      <c r="AI2605" t="s">
        <v>1551</v>
      </c>
      <c r="AJ2605">
        <v>40.004997000000003</v>
      </c>
      <c r="AK2605" t="s">
        <v>1552</v>
      </c>
      <c r="AL2605">
        <v>-92.757138999999995</v>
      </c>
      <c r="AM2605">
        <v>100</v>
      </c>
      <c r="AN2605">
        <v>1700</v>
      </c>
      <c r="AO2605" t="s">
        <v>118</v>
      </c>
      <c r="AP2605">
        <v>-107</v>
      </c>
      <c r="AQ2605">
        <v>77</v>
      </c>
      <c r="AR2605">
        <v>-64</v>
      </c>
      <c r="AZ2605">
        <v>1200</v>
      </c>
      <c r="BA2605">
        <v>1</v>
      </c>
      <c r="BB2605" t="str">
        <f t="shared" si="124"/>
        <v xml:space="preserve">N8080G  </v>
      </c>
      <c r="BC2605">
        <v>1</v>
      </c>
      <c r="BE2605">
        <v>0</v>
      </c>
      <c r="BF2605">
        <v>0</v>
      </c>
      <c r="BG2605">
        <v>0</v>
      </c>
      <c r="BH2605">
        <v>1700</v>
      </c>
      <c r="BI2605">
        <v>1</v>
      </c>
      <c r="BJ2605">
        <v>1</v>
      </c>
      <c r="BK2605">
        <v>1</v>
      </c>
      <c r="BL2605">
        <v>0</v>
      </c>
      <c r="BO2605">
        <v>0</v>
      </c>
      <c r="BP2605">
        <v>0</v>
      </c>
      <c r="BW2605" t="str">
        <f>"20:28:26.094"</f>
        <v>20:28:26.094</v>
      </c>
      <c r="BZ2605">
        <v>0</v>
      </c>
      <c r="CA2605">
        <v>2016</v>
      </c>
      <c r="CB2605">
        <v>224</v>
      </c>
      <c r="CD2605">
        <v>1</v>
      </c>
      <c r="CE2605">
        <v>0</v>
      </c>
      <c r="CF2605">
        <v>0</v>
      </c>
      <c r="CG2605">
        <v>1</v>
      </c>
      <c r="CH2605">
        <v>0</v>
      </c>
      <c r="CI2605">
        <v>0</v>
      </c>
      <c r="CJ2605">
        <v>0</v>
      </c>
      <c r="CK2605">
        <v>2</v>
      </c>
      <c r="CL2605">
        <v>0</v>
      </c>
      <c r="CM2605">
        <v>2</v>
      </c>
      <c r="CN2605">
        <v>0</v>
      </c>
      <c r="CO2605">
        <v>4</v>
      </c>
      <c r="CP2605" t="s">
        <v>119</v>
      </c>
      <c r="CQ2605">
        <v>179</v>
      </c>
      <c r="CR2605">
        <v>1</v>
      </c>
      <c r="CW2605">
        <v>9029171</v>
      </c>
      <c r="CY2605">
        <v>1</v>
      </c>
      <c r="CZ2605">
        <v>0</v>
      </c>
      <c r="DA2605">
        <v>1</v>
      </c>
      <c r="DB2605">
        <v>0</v>
      </c>
      <c r="DC2605">
        <v>0</v>
      </c>
      <c r="DD2605">
        <v>0</v>
      </c>
      <c r="DE2605">
        <v>0</v>
      </c>
      <c r="DF2605">
        <v>0</v>
      </c>
      <c r="DG2605">
        <v>0</v>
      </c>
      <c r="DH2605">
        <v>0</v>
      </c>
      <c r="DI2605">
        <v>0</v>
      </c>
    </row>
    <row r="2606" spans="1:113" x14ac:dyDescent="0.3">
      <c r="A2606" t="str">
        <f>"02/08/2021 20:28:23.782"</f>
        <v>02/08/2021 20:28:23.782</v>
      </c>
      <c r="C2606" t="str">
        <f t="shared" si="123"/>
        <v>FFDFD7C0</v>
      </c>
      <c r="D2606" t="s">
        <v>124</v>
      </c>
      <c r="E2606">
        <v>13</v>
      </c>
      <c r="F2606">
        <v>1013</v>
      </c>
      <c r="G2606" t="s">
        <v>114</v>
      </c>
      <c r="J2606" t="s">
        <v>125</v>
      </c>
      <c r="K2606">
        <v>0</v>
      </c>
      <c r="L2606">
        <v>3</v>
      </c>
      <c r="M2606">
        <v>0</v>
      </c>
      <c r="N2606">
        <v>2</v>
      </c>
      <c r="O2606">
        <v>1</v>
      </c>
      <c r="P2606">
        <v>0</v>
      </c>
      <c r="Q2606">
        <v>0</v>
      </c>
      <c r="S2606" t="str">
        <f>"20:28:26.086"</f>
        <v>20:28:26.086</v>
      </c>
      <c r="T2606" t="str">
        <f>"20:28:25.586"</f>
        <v>20:28:25.586</v>
      </c>
      <c r="U2606" t="str">
        <f t="shared" si="125"/>
        <v>AB01F4</v>
      </c>
      <c r="V2606">
        <v>0</v>
      </c>
      <c r="W2606">
        <v>0</v>
      </c>
      <c r="X2606">
        <v>2</v>
      </c>
      <c r="Z2606">
        <v>0</v>
      </c>
      <c r="AA2606">
        <v>9</v>
      </c>
      <c r="AB2606">
        <v>3</v>
      </c>
      <c r="AC2606">
        <v>0</v>
      </c>
      <c r="AD2606">
        <v>10</v>
      </c>
      <c r="AE2606">
        <v>0</v>
      </c>
      <c r="AF2606">
        <v>3</v>
      </c>
      <c r="AG2606">
        <v>2</v>
      </c>
      <c r="AH2606">
        <v>0</v>
      </c>
      <c r="AI2606" t="s">
        <v>1551</v>
      </c>
      <c r="AJ2606">
        <v>40.004997000000003</v>
      </c>
      <c r="AK2606" t="s">
        <v>1552</v>
      </c>
      <c r="AL2606">
        <v>-92.757138999999995</v>
      </c>
      <c r="AM2606">
        <v>100</v>
      </c>
      <c r="AN2606">
        <v>1700</v>
      </c>
      <c r="AO2606" t="s">
        <v>118</v>
      </c>
      <c r="AP2606">
        <v>-107</v>
      </c>
      <c r="AQ2606">
        <v>77</v>
      </c>
      <c r="AR2606">
        <v>-64</v>
      </c>
      <c r="AZ2606">
        <v>1200</v>
      </c>
      <c r="BA2606">
        <v>1</v>
      </c>
      <c r="BB2606" t="str">
        <f t="shared" si="124"/>
        <v xml:space="preserve">N8080G  </v>
      </c>
      <c r="BC2606">
        <v>1</v>
      </c>
      <c r="BE2606">
        <v>0</v>
      </c>
      <c r="BF2606">
        <v>0</v>
      </c>
      <c r="BG2606">
        <v>0</v>
      </c>
      <c r="BH2606">
        <v>1700</v>
      </c>
      <c r="BI2606">
        <v>1</v>
      </c>
      <c r="BJ2606">
        <v>1</v>
      </c>
      <c r="BK2606">
        <v>1</v>
      </c>
      <c r="BL2606">
        <v>0</v>
      </c>
      <c r="BO2606">
        <v>0</v>
      </c>
      <c r="BP2606">
        <v>0</v>
      </c>
      <c r="BW2606" t="str">
        <f>"20:28:26.094"</f>
        <v>20:28:26.094</v>
      </c>
      <c r="BZ2606">
        <v>0</v>
      </c>
      <c r="CA2606">
        <v>2016</v>
      </c>
      <c r="CB2606">
        <v>224</v>
      </c>
      <c r="CD2606">
        <v>1</v>
      </c>
      <c r="CE2606">
        <v>0</v>
      </c>
      <c r="CF2606">
        <v>0</v>
      </c>
      <c r="CG2606">
        <v>1</v>
      </c>
      <c r="CH2606">
        <v>0</v>
      </c>
      <c r="CI2606">
        <v>0</v>
      </c>
      <c r="CJ2606">
        <v>0</v>
      </c>
      <c r="CK2606">
        <v>2</v>
      </c>
      <c r="CL2606">
        <v>0</v>
      </c>
      <c r="CM2606">
        <v>2</v>
      </c>
      <c r="CN2606">
        <v>0</v>
      </c>
      <c r="CO2606">
        <v>4</v>
      </c>
      <c r="CP2606" t="s">
        <v>119</v>
      </c>
      <c r="CQ2606">
        <v>179</v>
      </c>
      <c r="CR2606">
        <v>1</v>
      </c>
      <c r="CW2606">
        <v>9029171</v>
      </c>
      <c r="CY2606">
        <v>1</v>
      </c>
      <c r="CZ2606">
        <v>0</v>
      </c>
      <c r="DA2606">
        <v>1</v>
      </c>
      <c r="DB2606">
        <v>0</v>
      </c>
      <c r="DC2606">
        <v>0</v>
      </c>
      <c r="DD2606">
        <v>0</v>
      </c>
      <c r="DE2606">
        <v>0</v>
      </c>
      <c r="DF2606">
        <v>0</v>
      </c>
      <c r="DG2606">
        <v>0</v>
      </c>
      <c r="DH2606">
        <v>0</v>
      </c>
      <c r="DI2606">
        <v>0</v>
      </c>
    </row>
    <row r="2607" spans="1:113" x14ac:dyDescent="0.3">
      <c r="A2607" t="str">
        <f>"02/08/2021 20:28:24.708"</f>
        <v>02/08/2021 20:28:24.708</v>
      </c>
      <c r="C2607" t="str">
        <f t="shared" ref="C2607:C2670" si="126">"FFDFD7C0"</f>
        <v>FFDFD7C0</v>
      </c>
      <c r="D2607" t="s">
        <v>113</v>
      </c>
      <c r="E2607">
        <v>6</v>
      </c>
      <c r="H2607">
        <v>165</v>
      </c>
      <c r="I2607" t="s">
        <v>114</v>
      </c>
      <c r="J2607" t="s">
        <v>115</v>
      </c>
      <c r="K2607">
        <v>0</v>
      </c>
      <c r="L2607">
        <v>3</v>
      </c>
      <c r="M2607">
        <v>0</v>
      </c>
      <c r="N2607">
        <v>2</v>
      </c>
      <c r="O2607">
        <v>1</v>
      </c>
      <c r="P2607">
        <v>0</v>
      </c>
      <c r="Q2607">
        <v>0</v>
      </c>
      <c r="S2607" t="str">
        <f>"20:28:27.047"</f>
        <v>20:28:27.047</v>
      </c>
      <c r="T2607" t="str">
        <f>"20:28:26.647"</f>
        <v>20:28:26.647</v>
      </c>
      <c r="U2607" t="str">
        <f t="shared" si="125"/>
        <v>AB01F4</v>
      </c>
      <c r="V2607">
        <v>0</v>
      </c>
      <c r="W2607">
        <v>0</v>
      </c>
      <c r="X2607">
        <v>2</v>
      </c>
      <c r="Z2607">
        <v>0</v>
      </c>
      <c r="AA2607">
        <v>9</v>
      </c>
      <c r="AB2607">
        <v>3</v>
      </c>
      <c r="AC2607">
        <v>0</v>
      </c>
      <c r="AD2607">
        <v>10</v>
      </c>
      <c r="AE2607">
        <v>0</v>
      </c>
      <c r="AF2607">
        <v>3</v>
      </c>
      <c r="AG2607">
        <v>2</v>
      </c>
      <c r="AH2607">
        <v>0</v>
      </c>
      <c r="AI2607" t="s">
        <v>1553</v>
      </c>
      <c r="AJ2607">
        <v>40.005361999999998</v>
      </c>
      <c r="AK2607" t="s">
        <v>1554</v>
      </c>
      <c r="AL2607">
        <v>-92.757761000000002</v>
      </c>
      <c r="AM2607">
        <v>100</v>
      </c>
      <c r="AN2607">
        <v>1700</v>
      </c>
      <c r="AO2607" t="s">
        <v>118</v>
      </c>
      <c r="AP2607">
        <v>-107</v>
      </c>
      <c r="AQ2607">
        <v>77</v>
      </c>
      <c r="AR2607">
        <v>-64</v>
      </c>
      <c r="AZ2607">
        <v>1200</v>
      </c>
      <c r="BA2607">
        <v>1</v>
      </c>
      <c r="BB2607" t="str">
        <f t="shared" ref="BB2607:BB2670" si="127">"N8080G  "</f>
        <v xml:space="preserve">N8080G  </v>
      </c>
      <c r="BC2607">
        <v>1</v>
      </c>
      <c r="BE2607">
        <v>0</v>
      </c>
      <c r="BF2607">
        <v>0</v>
      </c>
      <c r="BG2607">
        <v>0</v>
      </c>
      <c r="BH2607">
        <v>1700</v>
      </c>
      <c r="BI2607">
        <v>1</v>
      </c>
      <c r="BJ2607">
        <v>1</v>
      </c>
      <c r="BK2607">
        <v>1</v>
      </c>
      <c r="BL2607">
        <v>0</v>
      </c>
      <c r="BO2607">
        <v>0</v>
      </c>
      <c r="BP2607">
        <v>0</v>
      </c>
      <c r="BW2607" t="str">
        <f>"20:28:27.049"</f>
        <v>20:28:27.049</v>
      </c>
      <c r="BZ2607">
        <v>0</v>
      </c>
      <c r="CA2607">
        <v>1920</v>
      </c>
      <c r="CB2607">
        <v>224</v>
      </c>
      <c r="CD2607">
        <v>1</v>
      </c>
      <c r="CE2607">
        <v>0</v>
      </c>
      <c r="CF2607">
        <v>0</v>
      </c>
      <c r="CG2607">
        <v>1</v>
      </c>
      <c r="CH2607">
        <v>0</v>
      </c>
      <c r="CI2607">
        <v>0</v>
      </c>
      <c r="CJ2607">
        <v>0</v>
      </c>
      <c r="CK2607">
        <v>2</v>
      </c>
      <c r="CL2607">
        <v>0</v>
      </c>
      <c r="CM2607">
        <v>2</v>
      </c>
      <c r="CN2607">
        <v>0</v>
      </c>
      <c r="CO2607">
        <v>7</v>
      </c>
      <c r="CP2607" t="s">
        <v>119</v>
      </c>
      <c r="CQ2607">
        <v>180</v>
      </c>
      <c r="CR2607">
        <v>2</v>
      </c>
      <c r="CW2607">
        <v>8576742</v>
      </c>
      <c r="CY2607">
        <v>1</v>
      </c>
      <c r="CZ2607">
        <v>0</v>
      </c>
      <c r="DA2607">
        <v>0</v>
      </c>
      <c r="DB2607">
        <v>0</v>
      </c>
      <c r="DC2607">
        <v>0</v>
      </c>
      <c r="DD2607">
        <v>0</v>
      </c>
      <c r="DE2607">
        <v>0</v>
      </c>
      <c r="DF2607">
        <v>0</v>
      </c>
      <c r="DG2607">
        <v>0</v>
      </c>
      <c r="DH2607">
        <v>0</v>
      </c>
      <c r="DI2607">
        <v>0</v>
      </c>
    </row>
    <row r="2608" spans="1:113" x14ac:dyDescent="0.3">
      <c r="A2608" t="str">
        <f>"02/08/2021 20:28:24.708"</f>
        <v>02/08/2021 20:28:24.708</v>
      </c>
      <c r="C2608" t="str">
        <f t="shared" si="126"/>
        <v>FFDFD7C0</v>
      </c>
      <c r="D2608" t="s">
        <v>124</v>
      </c>
      <c r="E2608">
        <v>13</v>
      </c>
      <c r="F2608">
        <v>1013</v>
      </c>
      <c r="G2608" t="s">
        <v>114</v>
      </c>
      <c r="J2608" t="s">
        <v>125</v>
      </c>
      <c r="K2608">
        <v>0</v>
      </c>
      <c r="L2608">
        <v>3</v>
      </c>
      <c r="M2608">
        <v>0</v>
      </c>
      <c r="N2608">
        <v>2</v>
      </c>
      <c r="O2608">
        <v>1</v>
      </c>
      <c r="P2608">
        <v>0</v>
      </c>
      <c r="Q2608">
        <v>0</v>
      </c>
      <c r="S2608" t="str">
        <f>"20:28:27.047"</f>
        <v>20:28:27.047</v>
      </c>
      <c r="T2608" t="str">
        <f>"20:28:26.647"</f>
        <v>20:28:26.647</v>
      </c>
      <c r="U2608" t="str">
        <f t="shared" si="125"/>
        <v>AB01F4</v>
      </c>
      <c r="V2608">
        <v>0</v>
      </c>
      <c r="W2608">
        <v>0</v>
      </c>
      <c r="X2608">
        <v>2</v>
      </c>
      <c r="Z2608">
        <v>0</v>
      </c>
      <c r="AA2608">
        <v>9</v>
      </c>
      <c r="AB2608">
        <v>3</v>
      </c>
      <c r="AC2608">
        <v>0</v>
      </c>
      <c r="AD2608">
        <v>10</v>
      </c>
      <c r="AE2608">
        <v>0</v>
      </c>
      <c r="AF2608">
        <v>3</v>
      </c>
      <c r="AG2608">
        <v>2</v>
      </c>
      <c r="AH2608">
        <v>0</v>
      </c>
      <c r="AI2608" t="s">
        <v>1553</v>
      </c>
      <c r="AJ2608">
        <v>40.005361999999998</v>
      </c>
      <c r="AK2608" t="s">
        <v>1554</v>
      </c>
      <c r="AL2608">
        <v>-92.757761000000002</v>
      </c>
      <c r="AM2608">
        <v>100</v>
      </c>
      <c r="AN2608">
        <v>1700</v>
      </c>
      <c r="AO2608" t="s">
        <v>118</v>
      </c>
      <c r="AP2608">
        <v>-107</v>
      </c>
      <c r="AQ2608">
        <v>77</v>
      </c>
      <c r="AR2608">
        <v>-64</v>
      </c>
      <c r="AZ2608">
        <v>1200</v>
      </c>
      <c r="BA2608">
        <v>1</v>
      </c>
      <c r="BB2608" t="str">
        <f t="shared" si="127"/>
        <v xml:space="preserve">N8080G  </v>
      </c>
      <c r="BC2608">
        <v>1</v>
      </c>
      <c r="BE2608">
        <v>0</v>
      </c>
      <c r="BF2608">
        <v>0</v>
      </c>
      <c r="BG2608">
        <v>0</v>
      </c>
      <c r="BH2608">
        <v>1700</v>
      </c>
      <c r="BI2608">
        <v>1</v>
      </c>
      <c r="BJ2608">
        <v>1</v>
      </c>
      <c r="BK2608">
        <v>1</v>
      </c>
      <c r="BL2608">
        <v>0</v>
      </c>
      <c r="BO2608">
        <v>0</v>
      </c>
      <c r="BP2608">
        <v>0</v>
      </c>
      <c r="BW2608" t="str">
        <f>"20:28:27.049"</f>
        <v>20:28:27.049</v>
      </c>
      <c r="BZ2608">
        <v>0</v>
      </c>
      <c r="CA2608">
        <v>1920</v>
      </c>
      <c r="CB2608">
        <v>224</v>
      </c>
      <c r="CD2608">
        <v>1</v>
      </c>
      <c r="CE2608">
        <v>0</v>
      </c>
      <c r="CF2608">
        <v>0</v>
      </c>
      <c r="CG2608">
        <v>1</v>
      </c>
      <c r="CH2608">
        <v>0</v>
      </c>
      <c r="CI2608">
        <v>0</v>
      </c>
      <c r="CJ2608">
        <v>0</v>
      </c>
      <c r="CK2608">
        <v>2</v>
      </c>
      <c r="CL2608">
        <v>0</v>
      </c>
      <c r="CM2608">
        <v>2</v>
      </c>
      <c r="CN2608">
        <v>0</v>
      </c>
      <c r="CO2608">
        <v>7</v>
      </c>
      <c r="CP2608" t="s">
        <v>119</v>
      </c>
      <c r="CQ2608">
        <v>180</v>
      </c>
      <c r="CR2608">
        <v>2</v>
      </c>
      <c r="CW2608">
        <v>8576742</v>
      </c>
      <c r="CY2608">
        <v>1</v>
      </c>
      <c r="CZ2608">
        <v>0</v>
      </c>
      <c r="DA2608">
        <v>1</v>
      </c>
      <c r="DB2608">
        <v>0</v>
      </c>
      <c r="DC2608">
        <v>0</v>
      </c>
      <c r="DD2608">
        <v>0</v>
      </c>
      <c r="DE2608">
        <v>0</v>
      </c>
      <c r="DF2608">
        <v>0</v>
      </c>
      <c r="DG2608">
        <v>0</v>
      </c>
      <c r="DH2608">
        <v>0</v>
      </c>
      <c r="DI2608">
        <v>0</v>
      </c>
    </row>
    <row r="2609" spans="1:113" x14ac:dyDescent="0.3">
      <c r="A2609" t="str">
        <f>"02/08/2021 20:28:24.708"</f>
        <v>02/08/2021 20:28:24.708</v>
      </c>
      <c r="C2609" t="str">
        <f t="shared" si="126"/>
        <v>FFDFD7C0</v>
      </c>
      <c r="D2609" t="s">
        <v>124</v>
      </c>
      <c r="E2609">
        <v>12</v>
      </c>
      <c r="F2609">
        <v>1012</v>
      </c>
      <c r="G2609" t="s">
        <v>675</v>
      </c>
      <c r="J2609" t="s">
        <v>125</v>
      </c>
      <c r="K2609">
        <v>0</v>
      </c>
      <c r="L2609">
        <v>3</v>
      </c>
      <c r="M2609">
        <v>0</v>
      </c>
      <c r="N2609">
        <v>2</v>
      </c>
      <c r="O2609">
        <v>1</v>
      </c>
      <c r="P2609">
        <v>0</v>
      </c>
      <c r="Q2609">
        <v>0</v>
      </c>
      <c r="S2609" t="str">
        <f>"20:28:27.047"</f>
        <v>20:28:27.047</v>
      </c>
      <c r="T2609" t="str">
        <f>"20:28:26.647"</f>
        <v>20:28:26.647</v>
      </c>
      <c r="U2609" t="str">
        <f t="shared" si="125"/>
        <v>AB01F4</v>
      </c>
      <c r="V2609">
        <v>0</v>
      </c>
      <c r="W2609">
        <v>0</v>
      </c>
      <c r="X2609">
        <v>2</v>
      </c>
      <c r="Z2609">
        <v>0</v>
      </c>
      <c r="AA2609">
        <v>9</v>
      </c>
      <c r="AB2609">
        <v>3</v>
      </c>
      <c r="AC2609">
        <v>0</v>
      </c>
      <c r="AD2609">
        <v>10</v>
      </c>
      <c r="AE2609">
        <v>0</v>
      </c>
      <c r="AF2609">
        <v>3</v>
      </c>
      <c r="AG2609">
        <v>2</v>
      </c>
      <c r="AH2609">
        <v>0</v>
      </c>
      <c r="AI2609" t="s">
        <v>1553</v>
      </c>
      <c r="AJ2609">
        <v>40.005361999999998</v>
      </c>
      <c r="AK2609" t="s">
        <v>1554</v>
      </c>
      <c r="AL2609">
        <v>-92.757761000000002</v>
      </c>
      <c r="AM2609">
        <v>100</v>
      </c>
      <c r="AN2609">
        <v>1700</v>
      </c>
      <c r="AO2609" t="s">
        <v>118</v>
      </c>
      <c r="AP2609">
        <v>-107</v>
      </c>
      <c r="AQ2609">
        <v>77</v>
      </c>
      <c r="AR2609">
        <v>-64</v>
      </c>
      <c r="AZ2609">
        <v>1200</v>
      </c>
      <c r="BA2609">
        <v>1</v>
      </c>
      <c r="BB2609" t="str">
        <f t="shared" si="127"/>
        <v xml:space="preserve">N8080G  </v>
      </c>
      <c r="BC2609">
        <v>1</v>
      </c>
      <c r="BE2609">
        <v>0</v>
      </c>
      <c r="BF2609">
        <v>0</v>
      </c>
      <c r="BG2609">
        <v>0</v>
      </c>
      <c r="BH2609">
        <v>1700</v>
      </c>
      <c r="BI2609">
        <v>1</v>
      </c>
      <c r="BJ2609">
        <v>1</v>
      </c>
      <c r="BK2609">
        <v>1</v>
      </c>
      <c r="BL2609">
        <v>0</v>
      </c>
      <c r="BO2609">
        <v>0</v>
      </c>
      <c r="BP2609">
        <v>0</v>
      </c>
      <c r="BW2609" t="str">
        <f>"20:28:27.049"</f>
        <v>20:28:27.049</v>
      </c>
      <c r="BZ2609">
        <v>0</v>
      </c>
      <c r="CA2609">
        <v>1920</v>
      </c>
      <c r="CB2609">
        <v>224</v>
      </c>
      <c r="CD2609">
        <v>1</v>
      </c>
      <c r="CE2609">
        <v>0</v>
      </c>
      <c r="CF2609">
        <v>0</v>
      </c>
      <c r="CG2609">
        <v>1</v>
      </c>
      <c r="CH2609">
        <v>0</v>
      </c>
      <c r="CI2609">
        <v>0</v>
      </c>
      <c r="CJ2609">
        <v>0</v>
      </c>
      <c r="CK2609">
        <v>2</v>
      </c>
      <c r="CL2609">
        <v>0</v>
      </c>
      <c r="CM2609">
        <v>2</v>
      </c>
      <c r="CN2609">
        <v>0</v>
      </c>
      <c r="CO2609">
        <v>7</v>
      </c>
      <c r="CP2609" t="s">
        <v>119</v>
      </c>
      <c r="CQ2609">
        <v>180</v>
      </c>
      <c r="CR2609">
        <v>2</v>
      </c>
      <c r="CW2609">
        <v>8576742</v>
      </c>
      <c r="CY2609">
        <v>1</v>
      </c>
      <c r="CZ2609">
        <v>0</v>
      </c>
      <c r="DA2609">
        <v>1</v>
      </c>
      <c r="DB2609">
        <v>0</v>
      </c>
      <c r="DC2609">
        <v>0</v>
      </c>
      <c r="DD2609">
        <v>0</v>
      </c>
      <c r="DE2609">
        <v>0</v>
      </c>
      <c r="DF2609">
        <v>0</v>
      </c>
      <c r="DG2609">
        <v>0</v>
      </c>
      <c r="DH2609">
        <v>0</v>
      </c>
      <c r="DI2609">
        <v>0</v>
      </c>
    </row>
    <row r="2610" spans="1:113" x14ac:dyDescent="0.3">
      <c r="A2610" t="str">
        <f>"02/08/2021 20:28:24.708"</f>
        <v>02/08/2021 20:28:24.708</v>
      </c>
      <c r="C2610" t="str">
        <f t="shared" si="126"/>
        <v>FFDFD7C0</v>
      </c>
      <c r="D2610" t="s">
        <v>124</v>
      </c>
      <c r="E2610">
        <v>11</v>
      </c>
      <c r="F2610">
        <v>1011</v>
      </c>
      <c r="G2610" t="s">
        <v>590</v>
      </c>
      <c r="J2610" t="s">
        <v>125</v>
      </c>
      <c r="K2610">
        <v>0</v>
      </c>
      <c r="L2610">
        <v>3</v>
      </c>
      <c r="M2610">
        <v>0</v>
      </c>
      <c r="N2610">
        <v>2</v>
      </c>
      <c r="O2610">
        <v>1</v>
      </c>
      <c r="P2610">
        <v>0</v>
      </c>
      <c r="Q2610">
        <v>0</v>
      </c>
      <c r="S2610" t="str">
        <f>"20:28:27.047"</f>
        <v>20:28:27.047</v>
      </c>
      <c r="T2610" t="str">
        <f>"20:28:26.647"</f>
        <v>20:28:26.647</v>
      </c>
      <c r="U2610" t="str">
        <f t="shared" si="125"/>
        <v>AB01F4</v>
      </c>
      <c r="V2610">
        <v>0</v>
      </c>
      <c r="W2610">
        <v>0</v>
      </c>
      <c r="X2610">
        <v>2</v>
      </c>
      <c r="Z2610">
        <v>0</v>
      </c>
      <c r="AA2610">
        <v>9</v>
      </c>
      <c r="AB2610">
        <v>3</v>
      </c>
      <c r="AC2610">
        <v>0</v>
      </c>
      <c r="AD2610">
        <v>10</v>
      </c>
      <c r="AE2610">
        <v>0</v>
      </c>
      <c r="AF2610">
        <v>3</v>
      </c>
      <c r="AG2610">
        <v>2</v>
      </c>
      <c r="AH2610">
        <v>0</v>
      </c>
      <c r="AI2610" t="s">
        <v>1553</v>
      </c>
      <c r="AJ2610">
        <v>40.005361999999998</v>
      </c>
      <c r="AK2610" t="s">
        <v>1554</v>
      </c>
      <c r="AL2610">
        <v>-92.757761000000002</v>
      </c>
      <c r="AM2610">
        <v>100</v>
      </c>
      <c r="AN2610">
        <v>1700</v>
      </c>
      <c r="AO2610" t="s">
        <v>118</v>
      </c>
      <c r="AP2610">
        <v>-107</v>
      </c>
      <c r="AQ2610">
        <v>77</v>
      </c>
      <c r="AR2610">
        <v>-64</v>
      </c>
      <c r="AZ2610">
        <v>1200</v>
      </c>
      <c r="BA2610">
        <v>1</v>
      </c>
      <c r="BB2610" t="str">
        <f t="shared" si="127"/>
        <v xml:space="preserve">N8080G  </v>
      </c>
      <c r="BC2610">
        <v>1</v>
      </c>
      <c r="BE2610">
        <v>0</v>
      </c>
      <c r="BF2610">
        <v>0</v>
      </c>
      <c r="BG2610">
        <v>0</v>
      </c>
      <c r="BH2610">
        <v>1700</v>
      </c>
      <c r="BI2610">
        <v>1</v>
      </c>
      <c r="BJ2610">
        <v>1</v>
      </c>
      <c r="BK2610">
        <v>1</v>
      </c>
      <c r="BL2610">
        <v>0</v>
      </c>
      <c r="BO2610">
        <v>0</v>
      </c>
      <c r="BP2610">
        <v>0</v>
      </c>
      <c r="BW2610" t="str">
        <f>"20:28:27.049"</f>
        <v>20:28:27.049</v>
      </c>
      <c r="BZ2610">
        <v>0</v>
      </c>
      <c r="CA2610">
        <v>1920</v>
      </c>
      <c r="CB2610">
        <v>224</v>
      </c>
      <c r="CD2610">
        <v>1</v>
      </c>
      <c r="CE2610">
        <v>0</v>
      </c>
      <c r="CF2610">
        <v>0</v>
      </c>
      <c r="CG2610">
        <v>1</v>
      </c>
      <c r="CH2610">
        <v>0</v>
      </c>
      <c r="CI2610">
        <v>0</v>
      </c>
      <c r="CJ2610">
        <v>0</v>
      </c>
      <c r="CK2610">
        <v>2</v>
      </c>
      <c r="CL2610">
        <v>0</v>
      </c>
      <c r="CM2610">
        <v>2</v>
      </c>
      <c r="CN2610">
        <v>0</v>
      </c>
      <c r="CO2610">
        <v>7</v>
      </c>
      <c r="CP2610" t="s">
        <v>119</v>
      </c>
      <c r="CQ2610">
        <v>180</v>
      </c>
      <c r="CR2610">
        <v>2</v>
      </c>
      <c r="CW2610">
        <v>8576742</v>
      </c>
      <c r="CY2610">
        <v>1</v>
      </c>
      <c r="CZ2610">
        <v>0</v>
      </c>
      <c r="DA2610">
        <v>1</v>
      </c>
      <c r="DB2610">
        <v>0</v>
      </c>
      <c r="DC2610">
        <v>0</v>
      </c>
      <c r="DD2610">
        <v>0</v>
      </c>
      <c r="DE2610">
        <v>0</v>
      </c>
      <c r="DF2610">
        <v>0</v>
      </c>
      <c r="DG2610">
        <v>0</v>
      </c>
      <c r="DH2610">
        <v>0</v>
      </c>
      <c r="DI2610">
        <v>0</v>
      </c>
    </row>
    <row r="2611" spans="1:113" x14ac:dyDescent="0.3">
      <c r="A2611" t="str">
        <f>"02/08/2021 20:28:25.861"</f>
        <v>02/08/2021 20:28:25.861</v>
      </c>
      <c r="C2611" t="str">
        <f t="shared" si="126"/>
        <v>FFDFD7C0</v>
      </c>
      <c r="D2611" t="s">
        <v>124</v>
      </c>
      <c r="E2611">
        <v>11</v>
      </c>
      <c r="F2611">
        <v>1011</v>
      </c>
      <c r="G2611" t="s">
        <v>590</v>
      </c>
      <c r="J2611" t="s">
        <v>125</v>
      </c>
      <c r="K2611">
        <v>0</v>
      </c>
      <c r="L2611">
        <v>3</v>
      </c>
      <c r="M2611">
        <v>0</v>
      </c>
      <c r="N2611">
        <v>2</v>
      </c>
      <c r="O2611">
        <v>1</v>
      </c>
      <c r="P2611">
        <v>0</v>
      </c>
      <c r="Q2611">
        <v>0</v>
      </c>
      <c r="S2611" t="str">
        <f>"20:28:28.164"</f>
        <v>20:28:28.164</v>
      </c>
      <c r="T2611" t="str">
        <f>"20:28:27.664"</f>
        <v>20:28:27.664</v>
      </c>
      <c r="U2611" t="str">
        <f t="shared" si="125"/>
        <v>AB01F4</v>
      </c>
      <c r="V2611">
        <v>0</v>
      </c>
      <c r="W2611">
        <v>0</v>
      </c>
      <c r="X2611">
        <v>2</v>
      </c>
      <c r="Z2611">
        <v>0</v>
      </c>
      <c r="AA2611">
        <v>9</v>
      </c>
      <c r="AB2611">
        <v>3</v>
      </c>
      <c r="AC2611">
        <v>0</v>
      </c>
      <c r="AD2611">
        <v>10</v>
      </c>
      <c r="AE2611">
        <v>0</v>
      </c>
      <c r="AF2611">
        <v>3</v>
      </c>
      <c r="AG2611">
        <v>2</v>
      </c>
      <c r="AH2611">
        <v>0</v>
      </c>
      <c r="AI2611" t="s">
        <v>1555</v>
      </c>
      <c r="AJ2611">
        <v>40.005747999999997</v>
      </c>
      <c r="AK2611" t="s">
        <v>1556</v>
      </c>
      <c r="AL2611">
        <v>-92.758491000000006</v>
      </c>
      <c r="AM2611">
        <v>100</v>
      </c>
      <c r="AN2611">
        <v>1700</v>
      </c>
      <c r="AO2611" t="s">
        <v>118</v>
      </c>
      <c r="AP2611">
        <v>-107</v>
      </c>
      <c r="AQ2611">
        <v>78</v>
      </c>
      <c r="AR2611">
        <v>0</v>
      </c>
      <c r="AZ2611">
        <v>1200</v>
      </c>
      <c r="BA2611">
        <v>1</v>
      </c>
      <c r="BB2611" t="str">
        <f t="shared" si="127"/>
        <v xml:space="preserve">N8080G  </v>
      </c>
      <c r="BC2611">
        <v>1</v>
      </c>
      <c r="BE2611">
        <v>0</v>
      </c>
      <c r="BF2611">
        <v>0</v>
      </c>
      <c r="BG2611">
        <v>0</v>
      </c>
      <c r="BH2611">
        <v>1700</v>
      </c>
      <c r="BI2611">
        <v>1</v>
      </c>
      <c r="BJ2611">
        <v>1</v>
      </c>
      <c r="BK2611">
        <v>1</v>
      </c>
      <c r="BL2611">
        <v>0</v>
      </c>
      <c r="BO2611">
        <v>0</v>
      </c>
      <c r="BP2611">
        <v>0</v>
      </c>
      <c r="BW2611" t="str">
        <f>"20:28:28.171"</f>
        <v>20:28:28.171</v>
      </c>
      <c r="BZ2611">
        <v>0</v>
      </c>
      <c r="CA2611">
        <v>1792</v>
      </c>
      <c r="CB2611">
        <v>224</v>
      </c>
      <c r="CD2611">
        <v>1</v>
      </c>
      <c r="CE2611">
        <v>0</v>
      </c>
      <c r="CF2611">
        <v>0</v>
      </c>
      <c r="CG2611">
        <v>0</v>
      </c>
      <c r="CH2611">
        <v>0</v>
      </c>
      <c r="CI2611">
        <v>0</v>
      </c>
      <c r="CJ2611">
        <v>0</v>
      </c>
      <c r="CK2611">
        <v>2</v>
      </c>
      <c r="CL2611">
        <v>0</v>
      </c>
      <c r="CM2611">
        <v>2</v>
      </c>
      <c r="CN2611">
        <v>0</v>
      </c>
      <c r="CO2611">
        <v>4</v>
      </c>
      <c r="CP2611" t="s">
        <v>119</v>
      </c>
      <c r="CQ2611">
        <v>179</v>
      </c>
      <c r="CR2611">
        <v>1</v>
      </c>
      <c r="CW2611">
        <v>9031169</v>
      </c>
      <c r="CY2611">
        <v>1</v>
      </c>
      <c r="CZ2611">
        <v>0</v>
      </c>
      <c r="DA2611">
        <v>0</v>
      </c>
      <c r="DB2611">
        <v>0</v>
      </c>
      <c r="DC2611">
        <v>0</v>
      </c>
      <c r="DD2611">
        <v>0</v>
      </c>
      <c r="DE2611">
        <v>0</v>
      </c>
      <c r="DF2611">
        <v>0</v>
      </c>
      <c r="DG2611">
        <v>0</v>
      </c>
      <c r="DH2611">
        <v>0</v>
      </c>
      <c r="DI2611">
        <v>0</v>
      </c>
    </row>
    <row r="2612" spans="1:113" x14ac:dyDescent="0.3">
      <c r="A2612" t="str">
        <f>"02/08/2021 20:28:25.861"</f>
        <v>02/08/2021 20:28:25.861</v>
      </c>
      <c r="C2612" t="str">
        <f t="shared" si="126"/>
        <v>FFDFD7C0</v>
      </c>
      <c r="D2612" t="s">
        <v>113</v>
      </c>
      <c r="E2612">
        <v>6</v>
      </c>
      <c r="H2612">
        <v>165</v>
      </c>
      <c r="I2612" t="s">
        <v>114</v>
      </c>
      <c r="J2612" t="s">
        <v>115</v>
      </c>
      <c r="K2612">
        <v>0</v>
      </c>
      <c r="L2612">
        <v>3</v>
      </c>
      <c r="M2612">
        <v>0</v>
      </c>
      <c r="N2612">
        <v>2</v>
      </c>
      <c r="O2612">
        <v>1</v>
      </c>
      <c r="P2612">
        <v>0</v>
      </c>
      <c r="Q2612">
        <v>0</v>
      </c>
      <c r="S2612" t="str">
        <f>"20:28:28.164"</f>
        <v>20:28:28.164</v>
      </c>
      <c r="T2612" t="str">
        <f>"20:28:27.664"</f>
        <v>20:28:27.664</v>
      </c>
      <c r="U2612" t="str">
        <f t="shared" si="125"/>
        <v>AB01F4</v>
      </c>
      <c r="V2612">
        <v>0</v>
      </c>
      <c r="W2612">
        <v>0</v>
      </c>
      <c r="X2612">
        <v>2</v>
      </c>
      <c r="Z2612">
        <v>0</v>
      </c>
      <c r="AA2612">
        <v>9</v>
      </c>
      <c r="AB2612">
        <v>3</v>
      </c>
      <c r="AC2612">
        <v>0</v>
      </c>
      <c r="AD2612">
        <v>10</v>
      </c>
      <c r="AE2612">
        <v>0</v>
      </c>
      <c r="AF2612">
        <v>3</v>
      </c>
      <c r="AG2612">
        <v>2</v>
      </c>
      <c r="AH2612">
        <v>0</v>
      </c>
      <c r="AI2612" t="s">
        <v>1555</v>
      </c>
      <c r="AJ2612">
        <v>40.005747999999997</v>
      </c>
      <c r="AK2612" t="s">
        <v>1556</v>
      </c>
      <c r="AL2612">
        <v>-92.758491000000006</v>
      </c>
      <c r="AM2612">
        <v>100</v>
      </c>
      <c r="AN2612">
        <v>1700</v>
      </c>
      <c r="AO2612" t="s">
        <v>118</v>
      </c>
      <c r="AP2612">
        <v>-107</v>
      </c>
      <c r="AQ2612">
        <v>78</v>
      </c>
      <c r="AR2612">
        <v>0</v>
      </c>
      <c r="AZ2612">
        <v>1200</v>
      </c>
      <c r="BA2612">
        <v>1</v>
      </c>
      <c r="BB2612" t="str">
        <f t="shared" si="127"/>
        <v xml:space="preserve">N8080G  </v>
      </c>
      <c r="BC2612">
        <v>1</v>
      </c>
      <c r="BE2612">
        <v>0</v>
      </c>
      <c r="BF2612">
        <v>0</v>
      </c>
      <c r="BG2612">
        <v>0</v>
      </c>
      <c r="BH2612">
        <v>1700</v>
      </c>
      <c r="BI2612">
        <v>1</v>
      </c>
      <c r="BJ2612">
        <v>1</v>
      </c>
      <c r="BK2612">
        <v>1</v>
      </c>
      <c r="BL2612">
        <v>0</v>
      </c>
      <c r="BO2612">
        <v>0</v>
      </c>
      <c r="BP2612">
        <v>0</v>
      </c>
      <c r="BW2612" t="str">
        <f>"20:28:28.171"</f>
        <v>20:28:28.171</v>
      </c>
      <c r="BZ2612">
        <v>0</v>
      </c>
      <c r="CA2612">
        <v>1792</v>
      </c>
      <c r="CB2612">
        <v>224</v>
      </c>
      <c r="CD2612">
        <v>1</v>
      </c>
      <c r="CE2612">
        <v>0</v>
      </c>
      <c r="CF2612">
        <v>0</v>
      </c>
      <c r="CG2612">
        <v>0</v>
      </c>
      <c r="CH2612">
        <v>0</v>
      </c>
      <c r="CI2612">
        <v>0</v>
      </c>
      <c r="CJ2612">
        <v>0</v>
      </c>
      <c r="CK2612">
        <v>2</v>
      </c>
      <c r="CL2612">
        <v>0</v>
      </c>
      <c r="CM2612">
        <v>2</v>
      </c>
      <c r="CN2612">
        <v>0</v>
      </c>
      <c r="CO2612">
        <v>4</v>
      </c>
      <c r="CP2612" t="s">
        <v>119</v>
      </c>
      <c r="CQ2612">
        <v>179</v>
      </c>
      <c r="CR2612">
        <v>1</v>
      </c>
      <c r="CW2612">
        <v>9031169</v>
      </c>
      <c r="CY2612">
        <v>1</v>
      </c>
      <c r="CZ2612">
        <v>0</v>
      </c>
      <c r="DA2612">
        <v>1</v>
      </c>
      <c r="DB2612">
        <v>0</v>
      </c>
      <c r="DC2612">
        <v>0</v>
      </c>
      <c r="DD2612">
        <v>0</v>
      </c>
      <c r="DE2612">
        <v>0</v>
      </c>
      <c r="DF2612">
        <v>0</v>
      </c>
      <c r="DG2612">
        <v>0</v>
      </c>
      <c r="DH2612">
        <v>0</v>
      </c>
      <c r="DI2612">
        <v>0</v>
      </c>
    </row>
    <row r="2613" spans="1:113" x14ac:dyDescent="0.3">
      <c r="A2613" t="str">
        <f>"02/08/2021 20:28:25.861"</f>
        <v>02/08/2021 20:28:25.861</v>
      </c>
      <c r="C2613" t="str">
        <f t="shared" si="126"/>
        <v>FFDFD7C0</v>
      </c>
      <c r="D2613" t="s">
        <v>124</v>
      </c>
      <c r="E2613">
        <v>13</v>
      </c>
      <c r="F2613">
        <v>1013</v>
      </c>
      <c r="G2613" t="s">
        <v>114</v>
      </c>
      <c r="J2613" t="s">
        <v>125</v>
      </c>
      <c r="K2613">
        <v>0</v>
      </c>
      <c r="L2613">
        <v>3</v>
      </c>
      <c r="M2613">
        <v>0</v>
      </c>
      <c r="N2613">
        <v>2</v>
      </c>
      <c r="O2613">
        <v>1</v>
      </c>
      <c r="P2613">
        <v>0</v>
      </c>
      <c r="Q2613">
        <v>0</v>
      </c>
      <c r="S2613" t="str">
        <f>"20:28:28.164"</f>
        <v>20:28:28.164</v>
      </c>
      <c r="T2613" t="str">
        <f>"20:28:27.664"</f>
        <v>20:28:27.664</v>
      </c>
      <c r="U2613" t="str">
        <f t="shared" si="125"/>
        <v>AB01F4</v>
      </c>
      <c r="V2613">
        <v>0</v>
      </c>
      <c r="W2613">
        <v>0</v>
      </c>
      <c r="X2613">
        <v>2</v>
      </c>
      <c r="Z2613">
        <v>0</v>
      </c>
      <c r="AA2613">
        <v>9</v>
      </c>
      <c r="AB2613">
        <v>3</v>
      </c>
      <c r="AC2613">
        <v>0</v>
      </c>
      <c r="AD2613">
        <v>10</v>
      </c>
      <c r="AE2613">
        <v>0</v>
      </c>
      <c r="AF2613">
        <v>3</v>
      </c>
      <c r="AG2613">
        <v>2</v>
      </c>
      <c r="AH2613">
        <v>0</v>
      </c>
      <c r="AI2613" t="s">
        <v>1555</v>
      </c>
      <c r="AJ2613">
        <v>40.005747999999997</v>
      </c>
      <c r="AK2613" t="s">
        <v>1556</v>
      </c>
      <c r="AL2613">
        <v>-92.758491000000006</v>
      </c>
      <c r="AM2613">
        <v>100</v>
      </c>
      <c r="AN2613">
        <v>1700</v>
      </c>
      <c r="AO2613" t="s">
        <v>118</v>
      </c>
      <c r="AP2613">
        <v>-107</v>
      </c>
      <c r="AQ2613">
        <v>78</v>
      </c>
      <c r="AR2613">
        <v>0</v>
      </c>
      <c r="AZ2613">
        <v>1200</v>
      </c>
      <c r="BA2613">
        <v>1</v>
      </c>
      <c r="BB2613" t="str">
        <f t="shared" si="127"/>
        <v xml:space="preserve">N8080G  </v>
      </c>
      <c r="BC2613">
        <v>1</v>
      </c>
      <c r="BE2613">
        <v>0</v>
      </c>
      <c r="BF2613">
        <v>0</v>
      </c>
      <c r="BG2613">
        <v>0</v>
      </c>
      <c r="BH2613">
        <v>1700</v>
      </c>
      <c r="BI2613">
        <v>1</v>
      </c>
      <c r="BJ2613">
        <v>1</v>
      </c>
      <c r="BK2613">
        <v>1</v>
      </c>
      <c r="BL2613">
        <v>0</v>
      </c>
      <c r="BO2613">
        <v>0</v>
      </c>
      <c r="BP2613">
        <v>0</v>
      </c>
      <c r="BW2613" t="str">
        <f>"20:28:28.171"</f>
        <v>20:28:28.171</v>
      </c>
      <c r="BZ2613">
        <v>0</v>
      </c>
      <c r="CA2613">
        <v>1792</v>
      </c>
      <c r="CB2613">
        <v>224</v>
      </c>
      <c r="CD2613">
        <v>1</v>
      </c>
      <c r="CE2613">
        <v>0</v>
      </c>
      <c r="CF2613">
        <v>0</v>
      </c>
      <c r="CG2613">
        <v>0</v>
      </c>
      <c r="CH2613">
        <v>0</v>
      </c>
      <c r="CI2613">
        <v>0</v>
      </c>
      <c r="CJ2613">
        <v>0</v>
      </c>
      <c r="CK2613">
        <v>2</v>
      </c>
      <c r="CL2613">
        <v>0</v>
      </c>
      <c r="CM2613">
        <v>2</v>
      </c>
      <c r="CN2613">
        <v>0</v>
      </c>
      <c r="CO2613">
        <v>4</v>
      </c>
      <c r="CP2613" t="s">
        <v>119</v>
      </c>
      <c r="CQ2613">
        <v>179</v>
      </c>
      <c r="CR2613">
        <v>1</v>
      </c>
      <c r="CW2613">
        <v>9031169</v>
      </c>
      <c r="CY2613">
        <v>1</v>
      </c>
      <c r="CZ2613">
        <v>0</v>
      </c>
      <c r="DA2613">
        <v>1</v>
      </c>
      <c r="DB2613">
        <v>0</v>
      </c>
      <c r="DC2613">
        <v>0</v>
      </c>
      <c r="DD2613">
        <v>0</v>
      </c>
      <c r="DE2613">
        <v>0</v>
      </c>
      <c r="DF2613">
        <v>0</v>
      </c>
      <c r="DG2613">
        <v>0</v>
      </c>
      <c r="DH2613">
        <v>0</v>
      </c>
      <c r="DI2613">
        <v>0</v>
      </c>
    </row>
    <row r="2614" spans="1:113" x14ac:dyDescent="0.3">
      <c r="A2614" t="str">
        <f>"02/08/2021 20:28:25.861"</f>
        <v>02/08/2021 20:28:25.861</v>
      </c>
      <c r="C2614" t="str">
        <f t="shared" si="126"/>
        <v>FFDFD7C0</v>
      </c>
      <c r="D2614" t="s">
        <v>124</v>
      </c>
      <c r="E2614">
        <v>12</v>
      </c>
      <c r="F2614">
        <v>1012</v>
      </c>
      <c r="G2614" t="s">
        <v>675</v>
      </c>
      <c r="J2614" t="s">
        <v>125</v>
      </c>
      <c r="K2614">
        <v>0</v>
      </c>
      <c r="L2614">
        <v>3</v>
      </c>
      <c r="M2614">
        <v>0</v>
      </c>
      <c r="N2614">
        <v>2</v>
      </c>
      <c r="O2614">
        <v>1</v>
      </c>
      <c r="P2614">
        <v>0</v>
      </c>
      <c r="Q2614">
        <v>0</v>
      </c>
      <c r="S2614" t="str">
        <f>"20:28:28.164"</f>
        <v>20:28:28.164</v>
      </c>
      <c r="T2614" t="str">
        <f>"20:28:27.664"</f>
        <v>20:28:27.664</v>
      </c>
      <c r="U2614" t="str">
        <f t="shared" si="125"/>
        <v>AB01F4</v>
      </c>
      <c r="V2614">
        <v>0</v>
      </c>
      <c r="W2614">
        <v>0</v>
      </c>
      <c r="X2614">
        <v>2</v>
      </c>
      <c r="Z2614">
        <v>0</v>
      </c>
      <c r="AA2614">
        <v>9</v>
      </c>
      <c r="AB2614">
        <v>3</v>
      </c>
      <c r="AC2614">
        <v>0</v>
      </c>
      <c r="AD2614">
        <v>10</v>
      </c>
      <c r="AE2614">
        <v>0</v>
      </c>
      <c r="AF2614">
        <v>3</v>
      </c>
      <c r="AG2614">
        <v>2</v>
      </c>
      <c r="AH2614">
        <v>0</v>
      </c>
      <c r="AI2614" t="s">
        <v>1555</v>
      </c>
      <c r="AJ2614">
        <v>40.005747999999997</v>
      </c>
      <c r="AK2614" t="s">
        <v>1556</v>
      </c>
      <c r="AL2614">
        <v>-92.758491000000006</v>
      </c>
      <c r="AM2614">
        <v>100</v>
      </c>
      <c r="AN2614">
        <v>1700</v>
      </c>
      <c r="AO2614" t="s">
        <v>118</v>
      </c>
      <c r="AP2614">
        <v>-107</v>
      </c>
      <c r="AQ2614">
        <v>78</v>
      </c>
      <c r="AR2614">
        <v>0</v>
      </c>
      <c r="AZ2614">
        <v>1200</v>
      </c>
      <c r="BA2614">
        <v>1</v>
      </c>
      <c r="BB2614" t="str">
        <f t="shared" si="127"/>
        <v xml:space="preserve">N8080G  </v>
      </c>
      <c r="BC2614">
        <v>1</v>
      </c>
      <c r="BE2614">
        <v>0</v>
      </c>
      <c r="BF2614">
        <v>0</v>
      </c>
      <c r="BG2614">
        <v>0</v>
      </c>
      <c r="BH2614">
        <v>1700</v>
      </c>
      <c r="BI2614">
        <v>1</v>
      </c>
      <c r="BJ2614">
        <v>1</v>
      </c>
      <c r="BK2614">
        <v>1</v>
      </c>
      <c r="BL2614">
        <v>0</v>
      </c>
      <c r="BO2614">
        <v>0</v>
      </c>
      <c r="BP2614">
        <v>0</v>
      </c>
      <c r="BW2614" t="str">
        <f>"20:28:28.171"</f>
        <v>20:28:28.171</v>
      </c>
      <c r="BZ2614">
        <v>0</v>
      </c>
      <c r="CA2614">
        <v>1792</v>
      </c>
      <c r="CB2614">
        <v>224</v>
      </c>
      <c r="CD2614">
        <v>1</v>
      </c>
      <c r="CE2614">
        <v>0</v>
      </c>
      <c r="CF2614">
        <v>0</v>
      </c>
      <c r="CG2614">
        <v>0</v>
      </c>
      <c r="CH2614">
        <v>0</v>
      </c>
      <c r="CI2614">
        <v>0</v>
      </c>
      <c r="CJ2614">
        <v>0</v>
      </c>
      <c r="CK2614">
        <v>2</v>
      </c>
      <c r="CL2614">
        <v>0</v>
      </c>
      <c r="CM2614">
        <v>2</v>
      </c>
      <c r="CN2614">
        <v>0</v>
      </c>
      <c r="CO2614">
        <v>4</v>
      </c>
      <c r="CP2614" t="s">
        <v>119</v>
      </c>
      <c r="CQ2614">
        <v>179</v>
      </c>
      <c r="CR2614">
        <v>1</v>
      </c>
      <c r="CW2614">
        <v>9031169</v>
      </c>
      <c r="CY2614">
        <v>1</v>
      </c>
      <c r="CZ2614">
        <v>0</v>
      </c>
      <c r="DA2614">
        <v>1</v>
      </c>
      <c r="DB2614">
        <v>0</v>
      </c>
      <c r="DC2614">
        <v>0</v>
      </c>
      <c r="DD2614">
        <v>0</v>
      </c>
      <c r="DE2614">
        <v>0</v>
      </c>
      <c r="DF2614">
        <v>0</v>
      </c>
      <c r="DG2614">
        <v>0</v>
      </c>
      <c r="DH2614">
        <v>0</v>
      </c>
      <c r="DI2614">
        <v>0</v>
      </c>
    </row>
    <row r="2615" spans="1:113" x14ac:dyDescent="0.3">
      <c r="A2615" t="str">
        <f>"02/08/2021 20:28:28.884"</f>
        <v>02/08/2021 20:28:28.884</v>
      </c>
      <c r="C2615" t="str">
        <f t="shared" si="126"/>
        <v>FFDFD7C0</v>
      </c>
      <c r="D2615" t="s">
        <v>124</v>
      </c>
      <c r="E2615">
        <v>11</v>
      </c>
      <c r="F2615">
        <v>1011</v>
      </c>
      <c r="G2615" t="s">
        <v>590</v>
      </c>
      <c r="J2615" t="s">
        <v>125</v>
      </c>
      <c r="K2615">
        <v>0</v>
      </c>
      <c r="L2615">
        <v>3</v>
      </c>
      <c r="M2615">
        <v>0</v>
      </c>
      <c r="N2615">
        <v>2</v>
      </c>
      <c r="O2615">
        <v>1</v>
      </c>
      <c r="P2615">
        <v>0</v>
      </c>
      <c r="Q2615">
        <v>0</v>
      </c>
      <c r="S2615" t="str">
        <f>"20:28:31.203"</f>
        <v>20:28:31.203</v>
      </c>
      <c r="T2615" t="str">
        <f>"20:28:30.803"</f>
        <v>20:28:30.803</v>
      </c>
      <c r="U2615" t="str">
        <f t="shared" si="125"/>
        <v>AB01F4</v>
      </c>
      <c r="V2615">
        <v>0</v>
      </c>
      <c r="W2615">
        <v>0</v>
      </c>
      <c r="X2615">
        <v>2</v>
      </c>
      <c r="Z2615">
        <v>0</v>
      </c>
      <c r="AA2615">
        <v>9</v>
      </c>
      <c r="AB2615">
        <v>3</v>
      </c>
      <c r="AC2615">
        <v>0</v>
      </c>
      <c r="AD2615">
        <v>10</v>
      </c>
      <c r="AE2615">
        <v>0</v>
      </c>
      <c r="AF2615">
        <v>3</v>
      </c>
      <c r="AG2615">
        <v>2</v>
      </c>
      <c r="AH2615">
        <v>0</v>
      </c>
      <c r="AI2615" t="s">
        <v>1557</v>
      </c>
      <c r="AJ2615">
        <v>40.006843000000003</v>
      </c>
      <c r="AK2615" t="s">
        <v>1558</v>
      </c>
      <c r="AL2615">
        <v>-92.760379</v>
      </c>
      <c r="AM2615">
        <v>100</v>
      </c>
      <c r="AN2615">
        <v>1700</v>
      </c>
      <c r="AO2615" t="s">
        <v>118</v>
      </c>
      <c r="AP2615">
        <v>-107</v>
      </c>
      <c r="AQ2615">
        <v>77</v>
      </c>
      <c r="AR2615">
        <v>64</v>
      </c>
      <c r="AZ2615">
        <v>1200</v>
      </c>
      <c r="BA2615">
        <v>1</v>
      </c>
      <c r="BB2615" t="str">
        <f t="shared" si="127"/>
        <v xml:space="preserve">N8080G  </v>
      </c>
      <c r="BC2615">
        <v>1</v>
      </c>
      <c r="BE2615">
        <v>0</v>
      </c>
      <c r="BF2615">
        <v>0</v>
      </c>
      <c r="BG2615">
        <v>0</v>
      </c>
      <c r="BH2615">
        <v>1700</v>
      </c>
      <c r="BI2615">
        <v>1</v>
      </c>
      <c r="BJ2615">
        <v>1</v>
      </c>
      <c r="BK2615">
        <v>1</v>
      </c>
      <c r="BL2615">
        <v>0</v>
      </c>
      <c r="BO2615">
        <v>0</v>
      </c>
      <c r="BP2615">
        <v>0</v>
      </c>
      <c r="BW2615" t="str">
        <f>"20:28:31.207"</f>
        <v>20:28:31.207</v>
      </c>
      <c r="BZ2615">
        <v>0</v>
      </c>
      <c r="CA2615">
        <v>1792</v>
      </c>
      <c r="CB2615">
        <v>224</v>
      </c>
      <c r="CD2615">
        <v>1</v>
      </c>
      <c r="CE2615">
        <v>0</v>
      </c>
      <c r="CF2615">
        <v>0</v>
      </c>
      <c r="CG2615">
        <v>0</v>
      </c>
      <c r="CH2615">
        <v>0</v>
      </c>
      <c r="CI2615">
        <v>0</v>
      </c>
      <c r="CJ2615">
        <v>0</v>
      </c>
      <c r="CK2615">
        <v>2</v>
      </c>
      <c r="CL2615">
        <v>0</v>
      </c>
      <c r="CM2615">
        <v>2</v>
      </c>
      <c r="CN2615">
        <v>0</v>
      </c>
      <c r="CO2615">
        <v>5</v>
      </c>
      <c r="CP2615" t="s">
        <v>119</v>
      </c>
      <c r="CQ2615">
        <v>179</v>
      </c>
      <c r="CR2615">
        <v>1</v>
      </c>
      <c r="CW2615">
        <v>9033898</v>
      </c>
      <c r="CY2615">
        <v>1</v>
      </c>
      <c r="CZ2615">
        <v>0</v>
      </c>
      <c r="DA2615">
        <v>0</v>
      </c>
      <c r="DB2615">
        <v>0</v>
      </c>
      <c r="DC2615">
        <v>0</v>
      </c>
      <c r="DD2615">
        <v>0</v>
      </c>
      <c r="DE2615">
        <v>0</v>
      </c>
      <c r="DF2615">
        <v>0</v>
      </c>
      <c r="DG2615">
        <v>0</v>
      </c>
      <c r="DH2615">
        <v>0</v>
      </c>
      <c r="DI2615">
        <v>0</v>
      </c>
    </row>
    <row r="2616" spans="1:113" x14ac:dyDescent="0.3">
      <c r="A2616" t="str">
        <f>"02/08/2021 20:28:28.884"</f>
        <v>02/08/2021 20:28:28.884</v>
      </c>
      <c r="C2616" t="str">
        <f t="shared" si="126"/>
        <v>FFDFD7C0</v>
      </c>
      <c r="D2616" t="s">
        <v>124</v>
      </c>
      <c r="E2616">
        <v>13</v>
      </c>
      <c r="F2616">
        <v>1013</v>
      </c>
      <c r="G2616" t="s">
        <v>114</v>
      </c>
      <c r="J2616" t="s">
        <v>125</v>
      </c>
      <c r="K2616">
        <v>0</v>
      </c>
      <c r="L2616">
        <v>3</v>
      </c>
      <c r="M2616">
        <v>0</v>
      </c>
      <c r="N2616">
        <v>2</v>
      </c>
      <c r="O2616">
        <v>1</v>
      </c>
      <c r="P2616">
        <v>0</v>
      </c>
      <c r="Q2616">
        <v>0</v>
      </c>
      <c r="S2616" t="str">
        <f>"20:28:31.203"</f>
        <v>20:28:31.203</v>
      </c>
      <c r="T2616" t="str">
        <f>"20:28:30.803"</f>
        <v>20:28:30.803</v>
      </c>
      <c r="U2616" t="str">
        <f t="shared" si="125"/>
        <v>AB01F4</v>
      </c>
      <c r="V2616">
        <v>0</v>
      </c>
      <c r="W2616">
        <v>0</v>
      </c>
      <c r="X2616">
        <v>2</v>
      </c>
      <c r="Z2616">
        <v>0</v>
      </c>
      <c r="AA2616">
        <v>9</v>
      </c>
      <c r="AB2616">
        <v>3</v>
      </c>
      <c r="AC2616">
        <v>0</v>
      </c>
      <c r="AD2616">
        <v>10</v>
      </c>
      <c r="AE2616">
        <v>0</v>
      </c>
      <c r="AF2616">
        <v>3</v>
      </c>
      <c r="AG2616">
        <v>2</v>
      </c>
      <c r="AH2616">
        <v>0</v>
      </c>
      <c r="AI2616" t="s">
        <v>1557</v>
      </c>
      <c r="AJ2616">
        <v>40.006843000000003</v>
      </c>
      <c r="AK2616" t="s">
        <v>1558</v>
      </c>
      <c r="AL2616">
        <v>-92.760379</v>
      </c>
      <c r="AM2616">
        <v>100</v>
      </c>
      <c r="AN2616">
        <v>1700</v>
      </c>
      <c r="AO2616" t="s">
        <v>118</v>
      </c>
      <c r="AP2616">
        <v>-107</v>
      </c>
      <c r="AQ2616">
        <v>77</v>
      </c>
      <c r="AR2616">
        <v>64</v>
      </c>
      <c r="AZ2616">
        <v>1200</v>
      </c>
      <c r="BA2616">
        <v>1</v>
      </c>
      <c r="BB2616" t="str">
        <f t="shared" si="127"/>
        <v xml:space="preserve">N8080G  </v>
      </c>
      <c r="BC2616">
        <v>1</v>
      </c>
      <c r="BE2616">
        <v>0</v>
      </c>
      <c r="BF2616">
        <v>0</v>
      </c>
      <c r="BG2616">
        <v>0</v>
      </c>
      <c r="BH2616">
        <v>1700</v>
      </c>
      <c r="BI2616">
        <v>1</v>
      </c>
      <c r="BJ2616">
        <v>1</v>
      </c>
      <c r="BK2616">
        <v>1</v>
      </c>
      <c r="BL2616">
        <v>0</v>
      </c>
      <c r="BO2616">
        <v>0</v>
      </c>
      <c r="BP2616">
        <v>0</v>
      </c>
      <c r="BW2616" t="str">
        <f>"20:28:31.207"</f>
        <v>20:28:31.207</v>
      </c>
      <c r="BZ2616">
        <v>0</v>
      </c>
      <c r="CA2616">
        <v>1792</v>
      </c>
      <c r="CB2616">
        <v>224</v>
      </c>
      <c r="CD2616">
        <v>1</v>
      </c>
      <c r="CE2616">
        <v>0</v>
      </c>
      <c r="CF2616">
        <v>0</v>
      </c>
      <c r="CG2616">
        <v>0</v>
      </c>
      <c r="CH2616">
        <v>0</v>
      </c>
      <c r="CI2616">
        <v>0</v>
      </c>
      <c r="CJ2616">
        <v>0</v>
      </c>
      <c r="CK2616">
        <v>2</v>
      </c>
      <c r="CL2616">
        <v>0</v>
      </c>
      <c r="CM2616">
        <v>2</v>
      </c>
      <c r="CN2616">
        <v>0</v>
      </c>
      <c r="CO2616">
        <v>5</v>
      </c>
      <c r="CP2616" t="s">
        <v>119</v>
      </c>
      <c r="CQ2616">
        <v>179</v>
      </c>
      <c r="CR2616">
        <v>1</v>
      </c>
      <c r="CW2616">
        <v>9033898</v>
      </c>
      <c r="CY2616">
        <v>1</v>
      </c>
      <c r="CZ2616">
        <v>0</v>
      </c>
      <c r="DA2616">
        <v>1</v>
      </c>
      <c r="DB2616">
        <v>0</v>
      </c>
      <c r="DC2616">
        <v>0</v>
      </c>
      <c r="DD2616">
        <v>0</v>
      </c>
      <c r="DE2616">
        <v>0</v>
      </c>
      <c r="DF2616">
        <v>0</v>
      </c>
      <c r="DG2616">
        <v>0</v>
      </c>
      <c r="DH2616">
        <v>0</v>
      </c>
      <c r="DI2616">
        <v>0</v>
      </c>
    </row>
    <row r="2617" spans="1:113" x14ac:dyDescent="0.3">
      <c r="A2617" t="str">
        <f>"02/08/2021 20:28:28.884"</f>
        <v>02/08/2021 20:28:28.884</v>
      </c>
      <c r="C2617" t="str">
        <f t="shared" si="126"/>
        <v>FFDFD7C0</v>
      </c>
      <c r="D2617" t="s">
        <v>113</v>
      </c>
      <c r="E2617">
        <v>6</v>
      </c>
      <c r="H2617">
        <v>165</v>
      </c>
      <c r="I2617" t="s">
        <v>114</v>
      </c>
      <c r="J2617" t="s">
        <v>115</v>
      </c>
      <c r="K2617">
        <v>0</v>
      </c>
      <c r="L2617">
        <v>3</v>
      </c>
      <c r="M2617">
        <v>0</v>
      </c>
      <c r="N2617">
        <v>2</v>
      </c>
      <c r="O2617">
        <v>1</v>
      </c>
      <c r="P2617">
        <v>0</v>
      </c>
      <c r="Q2617">
        <v>0</v>
      </c>
      <c r="S2617" t="str">
        <f>"20:28:31.203"</f>
        <v>20:28:31.203</v>
      </c>
      <c r="T2617" t="str">
        <f>"20:28:30.803"</f>
        <v>20:28:30.803</v>
      </c>
      <c r="U2617" t="str">
        <f t="shared" si="125"/>
        <v>AB01F4</v>
      </c>
      <c r="V2617">
        <v>0</v>
      </c>
      <c r="W2617">
        <v>0</v>
      </c>
      <c r="X2617">
        <v>2</v>
      </c>
      <c r="Z2617">
        <v>0</v>
      </c>
      <c r="AA2617">
        <v>9</v>
      </c>
      <c r="AB2617">
        <v>3</v>
      </c>
      <c r="AC2617">
        <v>0</v>
      </c>
      <c r="AD2617">
        <v>10</v>
      </c>
      <c r="AE2617">
        <v>0</v>
      </c>
      <c r="AF2617">
        <v>3</v>
      </c>
      <c r="AG2617">
        <v>2</v>
      </c>
      <c r="AH2617">
        <v>0</v>
      </c>
      <c r="AI2617" t="s">
        <v>1557</v>
      </c>
      <c r="AJ2617">
        <v>40.006843000000003</v>
      </c>
      <c r="AK2617" t="s">
        <v>1558</v>
      </c>
      <c r="AL2617">
        <v>-92.760379</v>
      </c>
      <c r="AM2617">
        <v>100</v>
      </c>
      <c r="AN2617">
        <v>1700</v>
      </c>
      <c r="AO2617" t="s">
        <v>118</v>
      </c>
      <c r="AP2617">
        <v>-107</v>
      </c>
      <c r="AQ2617">
        <v>77</v>
      </c>
      <c r="AR2617">
        <v>64</v>
      </c>
      <c r="AZ2617">
        <v>1200</v>
      </c>
      <c r="BA2617">
        <v>1</v>
      </c>
      <c r="BB2617" t="str">
        <f t="shared" si="127"/>
        <v xml:space="preserve">N8080G  </v>
      </c>
      <c r="BC2617">
        <v>1</v>
      </c>
      <c r="BE2617">
        <v>0</v>
      </c>
      <c r="BF2617">
        <v>0</v>
      </c>
      <c r="BG2617">
        <v>0</v>
      </c>
      <c r="BH2617">
        <v>1700</v>
      </c>
      <c r="BI2617">
        <v>1</v>
      </c>
      <c r="BJ2617">
        <v>1</v>
      </c>
      <c r="BK2617">
        <v>1</v>
      </c>
      <c r="BL2617">
        <v>0</v>
      </c>
      <c r="BO2617">
        <v>0</v>
      </c>
      <c r="BP2617">
        <v>0</v>
      </c>
      <c r="BW2617" t="str">
        <f>"20:28:31.207"</f>
        <v>20:28:31.207</v>
      </c>
      <c r="BZ2617">
        <v>0</v>
      </c>
      <c r="CA2617">
        <v>1792</v>
      </c>
      <c r="CB2617">
        <v>224</v>
      </c>
      <c r="CD2617">
        <v>1</v>
      </c>
      <c r="CE2617">
        <v>0</v>
      </c>
      <c r="CF2617">
        <v>0</v>
      </c>
      <c r="CG2617">
        <v>0</v>
      </c>
      <c r="CH2617">
        <v>0</v>
      </c>
      <c r="CI2617">
        <v>0</v>
      </c>
      <c r="CJ2617">
        <v>0</v>
      </c>
      <c r="CK2617">
        <v>2</v>
      </c>
      <c r="CL2617">
        <v>0</v>
      </c>
      <c r="CM2617">
        <v>2</v>
      </c>
      <c r="CN2617">
        <v>0</v>
      </c>
      <c r="CO2617">
        <v>5</v>
      </c>
      <c r="CP2617" t="s">
        <v>119</v>
      </c>
      <c r="CQ2617">
        <v>179</v>
      </c>
      <c r="CR2617">
        <v>1</v>
      </c>
      <c r="CW2617">
        <v>9033898</v>
      </c>
      <c r="CY2617">
        <v>1</v>
      </c>
      <c r="CZ2617">
        <v>0</v>
      </c>
      <c r="DA2617">
        <v>1</v>
      </c>
      <c r="DB2617">
        <v>0</v>
      </c>
      <c r="DC2617">
        <v>0</v>
      </c>
      <c r="DD2617">
        <v>0</v>
      </c>
      <c r="DE2617">
        <v>0</v>
      </c>
      <c r="DF2617">
        <v>0</v>
      </c>
      <c r="DG2617">
        <v>0</v>
      </c>
      <c r="DH2617">
        <v>0</v>
      </c>
      <c r="DI2617">
        <v>0</v>
      </c>
    </row>
    <row r="2618" spans="1:113" x14ac:dyDescent="0.3">
      <c r="A2618" t="str">
        <f>"02/08/2021 20:28:28.884"</f>
        <v>02/08/2021 20:28:28.884</v>
      </c>
      <c r="C2618" t="str">
        <f t="shared" si="126"/>
        <v>FFDFD7C0</v>
      </c>
      <c r="D2618" t="s">
        <v>124</v>
      </c>
      <c r="E2618">
        <v>12</v>
      </c>
      <c r="F2618">
        <v>1012</v>
      </c>
      <c r="G2618" t="s">
        <v>675</v>
      </c>
      <c r="J2618" t="s">
        <v>125</v>
      </c>
      <c r="K2618">
        <v>0</v>
      </c>
      <c r="L2618">
        <v>3</v>
      </c>
      <c r="M2618">
        <v>0</v>
      </c>
      <c r="N2618">
        <v>2</v>
      </c>
      <c r="O2618">
        <v>1</v>
      </c>
      <c r="P2618">
        <v>0</v>
      </c>
      <c r="Q2618">
        <v>0</v>
      </c>
      <c r="S2618" t="str">
        <f>"20:28:31.203"</f>
        <v>20:28:31.203</v>
      </c>
      <c r="T2618" t="str">
        <f>"20:28:30.803"</f>
        <v>20:28:30.803</v>
      </c>
      <c r="U2618" t="str">
        <f t="shared" si="125"/>
        <v>AB01F4</v>
      </c>
      <c r="V2618">
        <v>0</v>
      </c>
      <c r="W2618">
        <v>0</v>
      </c>
      <c r="X2618">
        <v>2</v>
      </c>
      <c r="Z2618">
        <v>0</v>
      </c>
      <c r="AA2618">
        <v>9</v>
      </c>
      <c r="AB2618">
        <v>3</v>
      </c>
      <c r="AC2618">
        <v>0</v>
      </c>
      <c r="AD2618">
        <v>10</v>
      </c>
      <c r="AE2618">
        <v>0</v>
      </c>
      <c r="AF2618">
        <v>3</v>
      </c>
      <c r="AG2618">
        <v>2</v>
      </c>
      <c r="AH2618">
        <v>0</v>
      </c>
      <c r="AI2618" t="s">
        <v>1557</v>
      </c>
      <c r="AJ2618">
        <v>40.006843000000003</v>
      </c>
      <c r="AK2618" t="s">
        <v>1558</v>
      </c>
      <c r="AL2618">
        <v>-92.760379</v>
      </c>
      <c r="AM2618">
        <v>100</v>
      </c>
      <c r="AN2618">
        <v>1700</v>
      </c>
      <c r="AO2618" t="s">
        <v>118</v>
      </c>
      <c r="AP2618">
        <v>-107</v>
      </c>
      <c r="AQ2618">
        <v>77</v>
      </c>
      <c r="AR2618">
        <v>64</v>
      </c>
      <c r="AZ2618">
        <v>1200</v>
      </c>
      <c r="BA2618">
        <v>1</v>
      </c>
      <c r="BB2618" t="str">
        <f t="shared" si="127"/>
        <v xml:space="preserve">N8080G  </v>
      </c>
      <c r="BC2618">
        <v>1</v>
      </c>
      <c r="BE2618">
        <v>0</v>
      </c>
      <c r="BF2618">
        <v>0</v>
      </c>
      <c r="BG2618">
        <v>0</v>
      </c>
      <c r="BH2618">
        <v>1700</v>
      </c>
      <c r="BI2618">
        <v>1</v>
      </c>
      <c r="BJ2618">
        <v>1</v>
      </c>
      <c r="BK2618">
        <v>1</v>
      </c>
      <c r="BL2618">
        <v>0</v>
      </c>
      <c r="BO2618">
        <v>0</v>
      </c>
      <c r="BP2618">
        <v>0</v>
      </c>
      <c r="BW2618" t="str">
        <f>"20:28:31.207"</f>
        <v>20:28:31.207</v>
      </c>
      <c r="BZ2618">
        <v>0</v>
      </c>
      <c r="CA2618">
        <v>1792</v>
      </c>
      <c r="CB2618">
        <v>224</v>
      </c>
      <c r="CD2618">
        <v>1</v>
      </c>
      <c r="CE2618">
        <v>0</v>
      </c>
      <c r="CF2618">
        <v>0</v>
      </c>
      <c r="CG2618">
        <v>0</v>
      </c>
      <c r="CH2618">
        <v>0</v>
      </c>
      <c r="CI2618">
        <v>0</v>
      </c>
      <c r="CJ2618">
        <v>0</v>
      </c>
      <c r="CK2618">
        <v>2</v>
      </c>
      <c r="CL2618">
        <v>0</v>
      </c>
      <c r="CM2618">
        <v>2</v>
      </c>
      <c r="CN2618">
        <v>0</v>
      </c>
      <c r="CO2618">
        <v>5</v>
      </c>
      <c r="CP2618" t="s">
        <v>119</v>
      </c>
      <c r="CQ2618">
        <v>179</v>
      </c>
      <c r="CR2618">
        <v>1</v>
      </c>
      <c r="CW2618">
        <v>9033898</v>
      </c>
      <c r="CY2618">
        <v>1</v>
      </c>
      <c r="CZ2618">
        <v>0</v>
      </c>
      <c r="DA2618">
        <v>1</v>
      </c>
      <c r="DB2618">
        <v>0</v>
      </c>
      <c r="DC2618">
        <v>0</v>
      </c>
      <c r="DD2618">
        <v>0</v>
      </c>
      <c r="DE2618">
        <v>0</v>
      </c>
      <c r="DF2618">
        <v>0</v>
      </c>
      <c r="DG2618">
        <v>0</v>
      </c>
      <c r="DH2618">
        <v>0</v>
      </c>
      <c r="DI2618">
        <v>0</v>
      </c>
    </row>
    <row r="2619" spans="1:113" x14ac:dyDescent="0.3">
      <c r="A2619" t="str">
        <f>"02/08/2021 20:28:29.892"</f>
        <v>02/08/2021 20:28:29.892</v>
      </c>
      <c r="C2619" t="str">
        <f t="shared" si="126"/>
        <v>FFDFD7C0</v>
      </c>
      <c r="D2619" t="s">
        <v>124</v>
      </c>
      <c r="E2619">
        <v>11</v>
      </c>
      <c r="F2619">
        <v>1011</v>
      </c>
      <c r="G2619" t="s">
        <v>590</v>
      </c>
      <c r="J2619" t="s">
        <v>125</v>
      </c>
      <c r="K2619">
        <v>0</v>
      </c>
      <c r="L2619">
        <v>3</v>
      </c>
      <c r="M2619">
        <v>0</v>
      </c>
      <c r="N2619">
        <v>2</v>
      </c>
      <c r="O2619">
        <v>1</v>
      </c>
      <c r="P2619">
        <v>0</v>
      </c>
      <c r="Q2619">
        <v>0</v>
      </c>
      <c r="S2619" t="str">
        <f>"20:28:32.211"</f>
        <v>20:28:32.211</v>
      </c>
      <c r="T2619" t="str">
        <f>"20:28:31.811"</f>
        <v>20:28:31.811</v>
      </c>
      <c r="U2619" t="str">
        <f t="shared" si="125"/>
        <v>AB01F4</v>
      </c>
      <c r="V2619">
        <v>0</v>
      </c>
      <c r="W2619">
        <v>0</v>
      </c>
      <c r="X2619">
        <v>2</v>
      </c>
      <c r="Z2619">
        <v>0</v>
      </c>
      <c r="AA2619">
        <v>9</v>
      </c>
      <c r="AB2619">
        <v>3</v>
      </c>
      <c r="AC2619">
        <v>0</v>
      </c>
      <c r="AD2619">
        <v>10</v>
      </c>
      <c r="AE2619">
        <v>0</v>
      </c>
      <c r="AF2619">
        <v>3</v>
      </c>
      <c r="AG2619">
        <v>2</v>
      </c>
      <c r="AH2619">
        <v>0</v>
      </c>
      <c r="AI2619" t="s">
        <v>1559</v>
      </c>
      <c r="AJ2619">
        <v>40.007207000000001</v>
      </c>
      <c r="AK2619" t="s">
        <v>1560</v>
      </c>
      <c r="AL2619">
        <v>-92.761044999999996</v>
      </c>
      <c r="AM2619">
        <v>100</v>
      </c>
      <c r="AN2619">
        <v>1700</v>
      </c>
      <c r="AO2619" t="s">
        <v>118</v>
      </c>
      <c r="AP2619">
        <v>-107</v>
      </c>
      <c r="AQ2619">
        <v>77</v>
      </c>
      <c r="AR2619">
        <v>0</v>
      </c>
      <c r="AZ2619">
        <v>1200</v>
      </c>
      <c r="BA2619">
        <v>1</v>
      </c>
      <c r="BB2619" t="str">
        <f t="shared" si="127"/>
        <v xml:space="preserve">N8080G  </v>
      </c>
      <c r="BC2619">
        <v>1</v>
      </c>
      <c r="BE2619">
        <v>0</v>
      </c>
      <c r="BF2619">
        <v>0</v>
      </c>
      <c r="BG2619">
        <v>0</v>
      </c>
      <c r="BH2619">
        <v>1700</v>
      </c>
      <c r="BI2619">
        <v>1</v>
      </c>
      <c r="BJ2619">
        <v>1</v>
      </c>
      <c r="BK2619">
        <v>1</v>
      </c>
      <c r="BL2619">
        <v>0</v>
      </c>
      <c r="BO2619">
        <v>0</v>
      </c>
      <c r="BP2619">
        <v>0</v>
      </c>
      <c r="BW2619" t="str">
        <f>"20:28:32.218"</f>
        <v>20:28:32.218</v>
      </c>
      <c r="BZ2619">
        <v>0</v>
      </c>
      <c r="CA2619">
        <v>1792</v>
      </c>
      <c r="CB2619">
        <v>224</v>
      </c>
      <c r="CD2619">
        <v>1</v>
      </c>
      <c r="CE2619">
        <v>0</v>
      </c>
      <c r="CF2619">
        <v>0</v>
      </c>
      <c r="CG2619">
        <v>0</v>
      </c>
      <c r="CH2619">
        <v>0</v>
      </c>
      <c r="CI2619">
        <v>0</v>
      </c>
      <c r="CJ2619">
        <v>0</v>
      </c>
      <c r="CK2619">
        <v>2</v>
      </c>
      <c r="CL2619">
        <v>0</v>
      </c>
      <c r="CM2619">
        <v>2</v>
      </c>
      <c r="CN2619">
        <v>0</v>
      </c>
      <c r="CO2619">
        <v>4</v>
      </c>
      <c r="CP2619" t="s">
        <v>119</v>
      </c>
      <c r="CQ2619">
        <v>179</v>
      </c>
      <c r="CR2619">
        <v>1</v>
      </c>
      <c r="CW2619">
        <v>9034885</v>
      </c>
      <c r="CY2619">
        <v>1</v>
      </c>
      <c r="CZ2619">
        <v>0</v>
      </c>
      <c r="DA2619">
        <v>0</v>
      </c>
      <c r="DB2619">
        <v>0</v>
      </c>
      <c r="DC2619">
        <v>0</v>
      </c>
      <c r="DD2619">
        <v>0</v>
      </c>
      <c r="DE2619">
        <v>0</v>
      </c>
      <c r="DF2619">
        <v>0</v>
      </c>
      <c r="DG2619">
        <v>0</v>
      </c>
      <c r="DH2619">
        <v>0</v>
      </c>
      <c r="DI2619">
        <v>0</v>
      </c>
    </row>
    <row r="2620" spans="1:113" x14ac:dyDescent="0.3">
      <c r="A2620" t="str">
        <f>"02/08/2021 20:28:29.892"</f>
        <v>02/08/2021 20:28:29.892</v>
      </c>
      <c r="C2620" t="str">
        <f t="shared" si="126"/>
        <v>FFDFD7C0</v>
      </c>
      <c r="D2620" t="s">
        <v>124</v>
      </c>
      <c r="E2620">
        <v>13</v>
      </c>
      <c r="F2620">
        <v>1013</v>
      </c>
      <c r="G2620" t="s">
        <v>114</v>
      </c>
      <c r="J2620" t="s">
        <v>125</v>
      </c>
      <c r="K2620">
        <v>0</v>
      </c>
      <c r="L2620">
        <v>3</v>
      </c>
      <c r="M2620">
        <v>0</v>
      </c>
      <c r="N2620">
        <v>2</v>
      </c>
      <c r="O2620">
        <v>1</v>
      </c>
      <c r="P2620">
        <v>0</v>
      </c>
      <c r="Q2620">
        <v>0</v>
      </c>
      <c r="S2620" t="str">
        <f>"20:28:32.211"</f>
        <v>20:28:32.211</v>
      </c>
      <c r="T2620" t="str">
        <f>"20:28:31.811"</f>
        <v>20:28:31.811</v>
      </c>
      <c r="U2620" t="str">
        <f t="shared" si="125"/>
        <v>AB01F4</v>
      </c>
      <c r="V2620">
        <v>0</v>
      </c>
      <c r="W2620">
        <v>0</v>
      </c>
      <c r="X2620">
        <v>2</v>
      </c>
      <c r="Z2620">
        <v>0</v>
      </c>
      <c r="AA2620">
        <v>9</v>
      </c>
      <c r="AB2620">
        <v>3</v>
      </c>
      <c r="AC2620">
        <v>0</v>
      </c>
      <c r="AD2620">
        <v>10</v>
      </c>
      <c r="AE2620">
        <v>0</v>
      </c>
      <c r="AF2620">
        <v>3</v>
      </c>
      <c r="AG2620">
        <v>2</v>
      </c>
      <c r="AH2620">
        <v>0</v>
      </c>
      <c r="AI2620" t="s">
        <v>1559</v>
      </c>
      <c r="AJ2620">
        <v>40.007207000000001</v>
      </c>
      <c r="AK2620" t="s">
        <v>1560</v>
      </c>
      <c r="AL2620">
        <v>-92.761044999999996</v>
      </c>
      <c r="AM2620">
        <v>100</v>
      </c>
      <c r="AN2620">
        <v>1700</v>
      </c>
      <c r="AO2620" t="s">
        <v>118</v>
      </c>
      <c r="AP2620">
        <v>-107</v>
      </c>
      <c r="AQ2620">
        <v>77</v>
      </c>
      <c r="AR2620">
        <v>0</v>
      </c>
      <c r="AZ2620">
        <v>1200</v>
      </c>
      <c r="BA2620">
        <v>1</v>
      </c>
      <c r="BB2620" t="str">
        <f t="shared" si="127"/>
        <v xml:space="preserve">N8080G  </v>
      </c>
      <c r="BC2620">
        <v>1</v>
      </c>
      <c r="BE2620">
        <v>0</v>
      </c>
      <c r="BF2620">
        <v>0</v>
      </c>
      <c r="BG2620">
        <v>0</v>
      </c>
      <c r="BH2620">
        <v>1700</v>
      </c>
      <c r="BI2620">
        <v>1</v>
      </c>
      <c r="BJ2620">
        <v>1</v>
      </c>
      <c r="BK2620">
        <v>1</v>
      </c>
      <c r="BL2620">
        <v>0</v>
      </c>
      <c r="BO2620">
        <v>0</v>
      </c>
      <c r="BP2620">
        <v>0</v>
      </c>
      <c r="BW2620" t="str">
        <f>"20:28:32.218"</f>
        <v>20:28:32.218</v>
      </c>
      <c r="BZ2620">
        <v>0</v>
      </c>
      <c r="CA2620">
        <v>1792</v>
      </c>
      <c r="CB2620">
        <v>224</v>
      </c>
      <c r="CD2620">
        <v>1</v>
      </c>
      <c r="CE2620">
        <v>0</v>
      </c>
      <c r="CF2620">
        <v>0</v>
      </c>
      <c r="CG2620">
        <v>0</v>
      </c>
      <c r="CH2620">
        <v>0</v>
      </c>
      <c r="CI2620">
        <v>0</v>
      </c>
      <c r="CJ2620">
        <v>0</v>
      </c>
      <c r="CK2620">
        <v>2</v>
      </c>
      <c r="CL2620">
        <v>0</v>
      </c>
      <c r="CM2620">
        <v>2</v>
      </c>
      <c r="CN2620">
        <v>0</v>
      </c>
      <c r="CO2620">
        <v>4</v>
      </c>
      <c r="CP2620" t="s">
        <v>119</v>
      </c>
      <c r="CQ2620">
        <v>179</v>
      </c>
      <c r="CR2620">
        <v>1</v>
      </c>
      <c r="CW2620">
        <v>9034885</v>
      </c>
      <c r="CY2620">
        <v>1</v>
      </c>
      <c r="CZ2620">
        <v>0</v>
      </c>
      <c r="DA2620">
        <v>1</v>
      </c>
      <c r="DB2620">
        <v>0</v>
      </c>
      <c r="DC2620">
        <v>0</v>
      </c>
      <c r="DD2620">
        <v>0</v>
      </c>
      <c r="DE2620">
        <v>0</v>
      </c>
      <c r="DF2620">
        <v>0</v>
      </c>
      <c r="DG2620">
        <v>0</v>
      </c>
      <c r="DH2620">
        <v>0</v>
      </c>
      <c r="DI2620">
        <v>0</v>
      </c>
    </row>
    <row r="2621" spans="1:113" x14ac:dyDescent="0.3">
      <c r="A2621" t="str">
        <f>"02/08/2021 20:28:29.892"</f>
        <v>02/08/2021 20:28:29.892</v>
      </c>
      <c r="C2621" t="str">
        <f t="shared" si="126"/>
        <v>FFDFD7C0</v>
      </c>
      <c r="D2621" t="s">
        <v>113</v>
      </c>
      <c r="E2621">
        <v>6</v>
      </c>
      <c r="H2621">
        <v>165</v>
      </c>
      <c r="I2621" t="s">
        <v>114</v>
      </c>
      <c r="J2621" t="s">
        <v>115</v>
      </c>
      <c r="K2621">
        <v>0</v>
      </c>
      <c r="L2621">
        <v>3</v>
      </c>
      <c r="M2621">
        <v>0</v>
      </c>
      <c r="N2621">
        <v>2</v>
      </c>
      <c r="O2621">
        <v>1</v>
      </c>
      <c r="P2621">
        <v>0</v>
      </c>
      <c r="Q2621">
        <v>0</v>
      </c>
      <c r="S2621" t="str">
        <f>"20:28:32.211"</f>
        <v>20:28:32.211</v>
      </c>
      <c r="T2621" t="str">
        <f>"20:28:31.811"</f>
        <v>20:28:31.811</v>
      </c>
      <c r="U2621" t="str">
        <f t="shared" si="125"/>
        <v>AB01F4</v>
      </c>
      <c r="V2621">
        <v>0</v>
      </c>
      <c r="W2621">
        <v>0</v>
      </c>
      <c r="X2621">
        <v>2</v>
      </c>
      <c r="Z2621">
        <v>0</v>
      </c>
      <c r="AA2621">
        <v>9</v>
      </c>
      <c r="AB2621">
        <v>3</v>
      </c>
      <c r="AC2621">
        <v>0</v>
      </c>
      <c r="AD2621">
        <v>10</v>
      </c>
      <c r="AE2621">
        <v>0</v>
      </c>
      <c r="AF2621">
        <v>3</v>
      </c>
      <c r="AG2621">
        <v>2</v>
      </c>
      <c r="AH2621">
        <v>0</v>
      </c>
      <c r="AI2621" t="s">
        <v>1559</v>
      </c>
      <c r="AJ2621">
        <v>40.007207000000001</v>
      </c>
      <c r="AK2621" t="s">
        <v>1560</v>
      </c>
      <c r="AL2621">
        <v>-92.761044999999996</v>
      </c>
      <c r="AM2621">
        <v>100</v>
      </c>
      <c r="AN2621">
        <v>1700</v>
      </c>
      <c r="AO2621" t="s">
        <v>118</v>
      </c>
      <c r="AP2621">
        <v>-107</v>
      </c>
      <c r="AQ2621">
        <v>77</v>
      </c>
      <c r="AR2621">
        <v>0</v>
      </c>
      <c r="AZ2621">
        <v>1200</v>
      </c>
      <c r="BA2621">
        <v>1</v>
      </c>
      <c r="BB2621" t="str">
        <f t="shared" si="127"/>
        <v xml:space="preserve">N8080G  </v>
      </c>
      <c r="BC2621">
        <v>1</v>
      </c>
      <c r="BE2621">
        <v>0</v>
      </c>
      <c r="BF2621">
        <v>0</v>
      </c>
      <c r="BG2621">
        <v>0</v>
      </c>
      <c r="BH2621">
        <v>1700</v>
      </c>
      <c r="BI2621">
        <v>1</v>
      </c>
      <c r="BJ2621">
        <v>1</v>
      </c>
      <c r="BK2621">
        <v>1</v>
      </c>
      <c r="BL2621">
        <v>0</v>
      </c>
      <c r="BO2621">
        <v>0</v>
      </c>
      <c r="BP2621">
        <v>0</v>
      </c>
      <c r="BW2621" t="str">
        <f>"20:28:32.218"</f>
        <v>20:28:32.218</v>
      </c>
      <c r="BZ2621">
        <v>0</v>
      </c>
      <c r="CA2621">
        <v>1792</v>
      </c>
      <c r="CB2621">
        <v>224</v>
      </c>
      <c r="CD2621">
        <v>1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>
        <v>0</v>
      </c>
      <c r="CK2621">
        <v>2</v>
      </c>
      <c r="CL2621">
        <v>0</v>
      </c>
      <c r="CM2621">
        <v>2</v>
      </c>
      <c r="CN2621">
        <v>0</v>
      </c>
      <c r="CO2621">
        <v>4</v>
      </c>
      <c r="CP2621" t="s">
        <v>119</v>
      </c>
      <c r="CQ2621">
        <v>179</v>
      </c>
      <c r="CR2621">
        <v>1</v>
      </c>
      <c r="CW2621">
        <v>9034885</v>
      </c>
      <c r="CY2621">
        <v>1</v>
      </c>
      <c r="CZ2621">
        <v>0</v>
      </c>
      <c r="DA2621">
        <v>1</v>
      </c>
      <c r="DB2621">
        <v>0</v>
      </c>
      <c r="DC2621">
        <v>0</v>
      </c>
      <c r="DD2621">
        <v>0</v>
      </c>
      <c r="DE2621">
        <v>0</v>
      </c>
      <c r="DF2621">
        <v>0</v>
      </c>
      <c r="DG2621">
        <v>0</v>
      </c>
      <c r="DH2621">
        <v>0</v>
      </c>
      <c r="DI2621">
        <v>0</v>
      </c>
    </row>
    <row r="2622" spans="1:113" x14ac:dyDescent="0.3">
      <c r="A2622" t="str">
        <f>"02/08/2021 20:28:29.892"</f>
        <v>02/08/2021 20:28:29.892</v>
      </c>
      <c r="C2622" t="str">
        <f t="shared" si="126"/>
        <v>FFDFD7C0</v>
      </c>
      <c r="D2622" t="s">
        <v>124</v>
      </c>
      <c r="E2622">
        <v>12</v>
      </c>
      <c r="F2622">
        <v>1012</v>
      </c>
      <c r="G2622" t="s">
        <v>675</v>
      </c>
      <c r="J2622" t="s">
        <v>125</v>
      </c>
      <c r="K2622">
        <v>0</v>
      </c>
      <c r="L2622">
        <v>3</v>
      </c>
      <c r="M2622">
        <v>0</v>
      </c>
      <c r="N2622">
        <v>2</v>
      </c>
      <c r="O2622">
        <v>1</v>
      </c>
      <c r="P2622">
        <v>0</v>
      </c>
      <c r="Q2622">
        <v>0</v>
      </c>
      <c r="S2622" t="str">
        <f>"20:28:32.211"</f>
        <v>20:28:32.211</v>
      </c>
      <c r="T2622" t="str">
        <f>"20:28:31.811"</f>
        <v>20:28:31.811</v>
      </c>
      <c r="U2622" t="str">
        <f t="shared" si="125"/>
        <v>AB01F4</v>
      </c>
      <c r="V2622">
        <v>0</v>
      </c>
      <c r="W2622">
        <v>0</v>
      </c>
      <c r="X2622">
        <v>2</v>
      </c>
      <c r="Z2622">
        <v>0</v>
      </c>
      <c r="AA2622">
        <v>9</v>
      </c>
      <c r="AB2622">
        <v>3</v>
      </c>
      <c r="AC2622">
        <v>0</v>
      </c>
      <c r="AD2622">
        <v>10</v>
      </c>
      <c r="AE2622">
        <v>0</v>
      </c>
      <c r="AF2622">
        <v>3</v>
      </c>
      <c r="AG2622">
        <v>2</v>
      </c>
      <c r="AH2622">
        <v>0</v>
      </c>
      <c r="AI2622" t="s">
        <v>1559</v>
      </c>
      <c r="AJ2622">
        <v>40.007207000000001</v>
      </c>
      <c r="AK2622" t="s">
        <v>1560</v>
      </c>
      <c r="AL2622">
        <v>-92.761044999999996</v>
      </c>
      <c r="AM2622">
        <v>100</v>
      </c>
      <c r="AN2622">
        <v>1700</v>
      </c>
      <c r="AO2622" t="s">
        <v>118</v>
      </c>
      <c r="AP2622">
        <v>-107</v>
      </c>
      <c r="AQ2622">
        <v>77</v>
      </c>
      <c r="AR2622">
        <v>0</v>
      </c>
      <c r="AZ2622">
        <v>1200</v>
      </c>
      <c r="BA2622">
        <v>1</v>
      </c>
      <c r="BB2622" t="str">
        <f t="shared" si="127"/>
        <v xml:space="preserve">N8080G  </v>
      </c>
      <c r="BC2622">
        <v>1</v>
      </c>
      <c r="BE2622">
        <v>0</v>
      </c>
      <c r="BF2622">
        <v>0</v>
      </c>
      <c r="BG2622">
        <v>0</v>
      </c>
      <c r="BH2622">
        <v>1700</v>
      </c>
      <c r="BI2622">
        <v>1</v>
      </c>
      <c r="BJ2622">
        <v>1</v>
      </c>
      <c r="BK2622">
        <v>1</v>
      </c>
      <c r="BL2622">
        <v>0</v>
      </c>
      <c r="BO2622">
        <v>0</v>
      </c>
      <c r="BP2622">
        <v>0</v>
      </c>
      <c r="BW2622" t="str">
        <f>"20:28:32.218"</f>
        <v>20:28:32.218</v>
      </c>
      <c r="BZ2622">
        <v>0</v>
      </c>
      <c r="CA2622">
        <v>1792</v>
      </c>
      <c r="CB2622">
        <v>224</v>
      </c>
      <c r="CD2622">
        <v>1</v>
      </c>
      <c r="CE2622">
        <v>0</v>
      </c>
      <c r="CF2622">
        <v>0</v>
      </c>
      <c r="CG2622">
        <v>0</v>
      </c>
      <c r="CH2622">
        <v>0</v>
      </c>
      <c r="CI2622">
        <v>0</v>
      </c>
      <c r="CJ2622">
        <v>0</v>
      </c>
      <c r="CK2622">
        <v>2</v>
      </c>
      <c r="CL2622">
        <v>0</v>
      </c>
      <c r="CM2622">
        <v>2</v>
      </c>
      <c r="CN2622">
        <v>0</v>
      </c>
      <c r="CO2622">
        <v>4</v>
      </c>
      <c r="CP2622" t="s">
        <v>119</v>
      </c>
      <c r="CQ2622">
        <v>179</v>
      </c>
      <c r="CR2622">
        <v>1</v>
      </c>
      <c r="CW2622">
        <v>9034885</v>
      </c>
      <c r="CY2622">
        <v>1</v>
      </c>
      <c r="CZ2622">
        <v>0</v>
      </c>
      <c r="DA2622">
        <v>1</v>
      </c>
      <c r="DB2622">
        <v>0</v>
      </c>
      <c r="DC2622">
        <v>0</v>
      </c>
      <c r="DD2622">
        <v>0</v>
      </c>
      <c r="DE2622">
        <v>0</v>
      </c>
      <c r="DF2622">
        <v>0</v>
      </c>
      <c r="DG2622">
        <v>0</v>
      </c>
      <c r="DH2622">
        <v>0</v>
      </c>
      <c r="DI2622">
        <v>0</v>
      </c>
    </row>
    <row r="2623" spans="1:113" x14ac:dyDescent="0.3">
      <c r="A2623" t="str">
        <f>"02/08/2021 20:28:30.848"</f>
        <v>02/08/2021 20:28:30.848</v>
      </c>
      <c r="C2623" t="str">
        <f t="shared" si="126"/>
        <v>FFDFD7C0</v>
      </c>
      <c r="D2623" t="s">
        <v>124</v>
      </c>
      <c r="E2623">
        <v>13</v>
      </c>
      <c r="F2623">
        <v>1013</v>
      </c>
      <c r="G2623" t="s">
        <v>114</v>
      </c>
      <c r="J2623" t="s">
        <v>125</v>
      </c>
      <c r="K2623">
        <v>0</v>
      </c>
      <c r="L2623">
        <v>3</v>
      </c>
      <c r="M2623">
        <v>0</v>
      </c>
      <c r="N2623">
        <v>2</v>
      </c>
      <c r="O2623">
        <v>1</v>
      </c>
      <c r="P2623">
        <v>0</v>
      </c>
      <c r="Q2623">
        <v>0</v>
      </c>
      <c r="S2623" t="str">
        <f>"20:28:33.195"</f>
        <v>20:28:33.195</v>
      </c>
      <c r="T2623" t="str">
        <f>"20:28:32.695"</f>
        <v>20:28:32.695</v>
      </c>
      <c r="U2623" t="str">
        <f t="shared" si="125"/>
        <v>AB01F4</v>
      </c>
      <c r="V2623">
        <v>0</v>
      </c>
      <c r="W2623">
        <v>0</v>
      </c>
      <c r="X2623">
        <v>2</v>
      </c>
      <c r="Z2623">
        <v>0</v>
      </c>
      <c r="AA2623">
        <v>9</v>
      </c>
      <c r="AB2623">
        <v>3</v>
      </c>
      <c r="AC2623">
        <v>0</v>
      </c>
      <c r="AD2623">
        <v>10</v>
      </c>
      <c r="AE2623">
        <v>0</v>
      </c>
      <c r="AF2623">
        <v>3</v>
      </c>
      <c r="AG2623">
        <v>2</v>
      </c>
      <c r="AH2623">
        <v>0</v>
      </c>
      <c r="AI2623" t="s">
        <v>1561</v>
      </c>
      <c r="AJ2623">
        <v>40.007528999999998</v>
      </c>
      <c r="AK2623" t="s">
        <v>1562</v>
      </c>
      <c r="AL2623">
        <v>-92.761667000000003</v>
      </c>
      <c r="AM2623">
        <v>100</v>
      </c>
      <c r="AN2623">
        <v>1700</v>
      </c>
      <c r="AO2623" t="s">
        <v>118</v>
      </c>
      <c r="AP2623">
        <v>-107</v>
      </c>
      <c r="AQ2623">
        <v>77</v>
      </c>
      <c r="AR2623">
        <v>0</v>
      </c>
      <c r="AZ2623">
        <v>1200</v>
      </c>
      <c r="BA2623">
        <v>1</v>
      </c>
      <c r="BB2623" t="str">
        <f t="shared" si="127"/>
        <v xml:space="preserve">N8080G  </v>
      </c>
      <c r="BC2623">
        <v>1</v>
      </c>
      <c r="BE2623">
        <v>0</v>
      </c>
      <c r="BF2623">
        <v>0</v>
      </c>
      <c r="BG2623">
        <v>0</v>
      </c>
      <c r="BH2623">
        <v>1700</v>
      </c>
      <c r="BI2623">
        <v>1</v>
      </c>
      <c r="BJ2623">
        <v>1</v>
      </c>
      <c r="BK2623">
        <v>1</v>
      </c>
      <c r="BL2623">
        <v>0</v>
      </c>
      <c r="BO2623">
        <v>0</v>
      </c>
      <c r="BP2623">
        <v>0</v>
      </c>
      <c r="BW2623" t="str">
        <f>"20:28:33.196"</f>
        <v>20:28:33.196</v>
      </c>
      <c r="BZ2623">
        <v>0</v>
      </c>
      <c r="CA2623">
        <v>1792</v>
      </c>
      <c r="CB2623">
        <v>224</v>
      </c>
      <c r="CD2623">
        <v>1</v>
      </c>
      <c r="CE2623">
        <v>0</v>
      </c>
      <c r="CF2623">
        <v>0</v>
      </c>
      <c r="CG2623">
        <v>0</v>
      </c>
      <c r="CH2623">
        <v>0</v>
      </c>
      <c r="CI2623">
        <v>0</v>
      </c>
      <c r="CJ2623">
        <v>0</v>
      </c>
      <c r="CK2623">
        <v>2</v>
      </c>
      <c r="CL2623">
        <v>0</v>
      </c>
      <c r="CM2623">
        <v>2</v>
      </c>
      <c r="CN2623">
        <v>0</v>
      </c>
      <c r="CO2623">
        <v>4</v>
      </c>
      <c r="CP2623" t="s">
        <v>119</v>
      </c>
      <c r="CQ2623">
        <v>179</v>
      </c>
      <c r="CR2623">
        <v>1</v>
      </c>
      <c r="CW2623">
        <v>9035870</v>
      </c>
      <c r="CY2623">
        <v>1</v>
      </c>
      <c r="CZ2623">
        <v>0</v>
      </c>
      <c r="DA2623">
        <v>0</v>
      </c>
      <c r="DB2623">
        <v>0</v>
      </c>
      <c r="DC2623">
        <v>0</v>
      </c>
      <c r="DD2623">
        <v>0</v>
      </c>
      <c r="DE2623">
        <v>0</v>
      </c>
      <c r="DF2623">
        <v>0</v>
      </c>
      <c r="DG2623">
        <v>0</v>
      </c>
      <c r="DH2623">
        <v>0</v>
      </c>
      <c r="DI2623">
        <v>0</v>
      </c>
    </row>
    <row r="2624" spans="1:113" x14ac:dyDescent="0.3">
      <c r="A2624" t="str">
        <f>"02/08/2021 20:28:30.848"</f>
        <v>02/08/2021 20:28:30.848</v>
      </c>
      <c r="C2624" t="str">
        <f t="shared" si="126"/>
        <v>FFDFD7C0</v>
      </c>
      <c r="D2624" t="s">
        <v>124</v>
      </c>
      <c r="E2624">
        <v>11</v>
      </c>
      <c r="F2624">
        <v>1011</v>
      </c>
      <c r="G2624" t="s">
        <v>590</v>
      </c>
      <c r="J2624" t="s">
        <v>125</v>
      </c>
      <c r="K2624">
        <v>0</v>
      </c>
      <c r="L2624">
        <v>3</v>
      </c>
      <c r="M2624">
        <v>0</v>
      </c>
      <c r="N2624">
        <v>2</v>
      </c>
      <c r="O2624">
        <v>1</v>
      </c>
      <c r="P2624">
        <v>0</v>
      </c>
      <c r="Q2624">
        <v>0</v>
      </c>
      <c r="S2624" t="str">
        <f>"20:28:33.195"</f>
        <v>20:28:33.195</v>
      </c>
      <c r="T2624" t="str">
        <f>"20:28:32.695"</f>
        <v>20:28:32.695</v>
      </c>
      <c r="U2624" t="str">
        <f t="shared" si="125"/>
        <v>AB01F4</v>
      </c>
      <c r="V2624">
        <v>0</v>
      </c>
      <c r="W2624">
        <v>0</v>
      </c>
      <c r="X2624">
        <v>2</v>
      </c>
      <c r="Z2624">
        <v>0</v>
      </c>
      <c r="AA2624">
        <v>9</v>
      </c>
      <c r="AB2624">
        <v>3</v>
      </c>
      <c r="AC2624">
        <v>0</v>
      </c>
      <c r="AD2624">
        <v>10</v>
      </c>
      <c r="AE2624">
        <v>0</v>
      </c>
      <c r="AF2624">
        <v>3</v>
      </c>
      <c r="AG2624">
        <v>2</v>
      </c>
      <c r="AH2624">
        <v>0</v>
      </c>
      <c r="AI2624" t="s">
        <v>1561</v>
      </c>
      <c r="AJ2624">
        <v>40.007528999999998</v>
      </c>
      <c r="AK2624" t="s">
        <v>1562</v>
      </c>
      <c r="AL2624">
        <v>-92.761667000000003</v>
      </c>
      <c r="AM2624">
        <v>100</v>
      </c>
      <c r="AN2624">
        <v>1700</v>
      </c>
      <c r="AO2624" t="s">
        <v>118</v>
      </c>
      <c r="AP2624">
        <v>-107</v>
      </c>
      <c r="AQ2624">
        <v>77</v>
      </c>
      <c r="AR2624">
        <v>0</v>
      </c>
      <c r="AZ2624">
        <v>1200</v>
      </c>
      <c r="BA2624">
        <v>1</v>
      </c>
      <c r="BB2624" t="str">
        <f t="shared" si="127"/>
        <v xml:space="preserve">N8080G  </v>
      </c>
      <c r="BC2624">
        <v>1</v>
      </c>
      <c r="BE2624">
        <v>0</v>
      </c>
      <c r="BF2624">
        <v>0</v>
      </c>
      <c r="BG2624">
        <v>0</v>
      </c>
      <c r="BH2624">
        <v>1700</v>
      </c>
      <c r="BI2624">
        <v>1</v>
      </c>
      <c r="BJ2624">
        <v>1</v>
      </c>
      <c r="BK2624">
        <v>1</v>
      </c>
      <c r="BL2624">
        <v>0</v>
      </c>
      <c r="BO2624">
        <v>0</v>
      </c>
      <c r="BP2624">
        <v>0</v>
      </c>
      <c r="BW2624" t="str">
        <f>"20:28:33.196"</f>
        <v>20:28:33.196</v>
      </c>
      <c r="BZ2624">
        <v>0</v>
      </c>
      <c r="CA2624">
        <v>1792</v>
      </c>
      <c r="CB2624">
        <v>224</v>
      </c>
      <c r="CD2624">
        <v>1</v>
      </c>
      <c r="CE2624">
        <v>0</v>
      </c>
      <c r="CF2624">
        <v>0</v>
      </c>
      <c r="CG2624">
        <v>0</v>
      </c>
      <c r="CH2624">
        <v>0</v>
      </c>
      <c r="CI2624">
        <v>0</v>
      </c>
      <c r="CJ2624">
        <v>0</v>
      </c>
      <c r="CK2624">
        <v>2</v>
      </c>
      <c r="CL2624">
        <v>0</v>
      </c>
      <c r="CM2624">
        <v>2</v>
      </c>
      <c r="CN2624">
        <v>0</v>
      </c>
      <c r="CO2624">
        <v>4</v>
      </c>
      <c r="CP2624" t="s">
        <v>119</v>
      </c>
      <c r="CQ2624">
        <v>179</v>
      </c>
      <c r="CR2624">
        <v>1</v>
      </c>
      <c r="CW2624">
        <v>9035870</v>
      </c>
      <c r="CY2624">
        <v>1</v>
      </c>
      <c r="CZ2624">
        <v>0</v>
      </c>
      <c r="DA2624">
        <v>1</v>
      </c>
      <c r="DB2624">
        <v>0</v>
      </c>
      <c r="DC2624">
        <v>0</v>
      </c>
      <c r="DD2624">
        <v>0</v>
      </c>
      <c r="DE2624">
        <v>0</v>
      </c>
      <c r="DF2624">
        <v>0</v>
      </c>
      <c r="DG2624">
        <v>0</v>
      </c>
      <c r="DH2624">
        <v>0</v>
      </c>
      <c r="DI2624">
        <v>0</v>
      </c>
    </row>
    <row r="2625" spans="1:113" x14ac:dyDescent="0.3">
      <c r="A2625" t="str">
        <f>"02/08/2021 20:28:30.848"</f>
        <v>02/08/2021 20:28:30.848</v>
      </c>
      <c r="C2625" t="str">
        <f t="shared" si="126"/>
        <v>FFDFD7C0</v>
      </c>
      <c r="D2625" t="s">
        <v>113</v>
      </c>
      <c r="E2625">
        <v>6</v>
      </c>
      <c r="H2625">
        <v>165</v>
      </c>
      <c r="I2625" t="s">
        <v>114</v>
      </c>
      <c r="J2625" t="s">
        <v>115</v>
      </c>
      <c r="K2625">
        <v>0</v>
      </c>
      <c r="L2625">
        <v>3</v>
      </c>
      <c r="M2625">
        <v>0</v>
      </c>
      <c r="N2625">
        <v>2</v>
      </c>
      <c r="O2625">
        <v>1</v>
      </c>
      <c r="P2625">
        <v>0</v>
      </c>
      <c r="Q2625">
        <v>0</v>
      </c>
      <c r="S2625" t="str">
        <f>"20:28:33.195"</f>
        <v>20:28:33.195</v>
      </c>
      <c r="T2625" t="str">
        <f>"20:28:32.695"</f>
        <v>20:28:32.695</v>
      </c>
      <c r="U2625" t="str">
        <f t="shared" si="125"/>
        <v>AB01F4</v>
      </c>
      <c r="V2625">
        <v>0</v>
      </c>
      <c r="W2625">
        <v>0</v>
      </c>
      <c r="X2625">
        <v>2</v>
      </c>
      <c r="Z2625">
        <v>0</v>
      </c>
      <c r="AA2625">
        <v>9</v>
      </c>
      <c r="AB2625">
        <v>3</v>
      </c>
      <c r="AC2625">
        <v>0</v>
      </c>
      <c r="AD2625">
        <v>10</v>
      </c>
      <c r="AE2625">
        <v>0</v>
      </c>
      <c r="AF2625">
        <v>3</v>
      </c>
      <c r="AG2625">
        <v>2</v>
      </c>
      <c r="AH2625">
        <v>0</v>
      </c>
      <c r="AI2625" t="s">
        <v>1561</v>
      </c>
      <c r="AJ2625">
        <v>40.007528999999998</v>
      </c>
      <c r="AK2625" t="s">
        <v>1562</v>
      </c>
      <c r="AL2625">
        <v>-92.761667000000003</v>
      </c>
      <c r="AM2625">
        <v>100</v>
      </c>
      <c r="AN2625">
        <v>1700</v>
      </c>
      <c r="AO2625" t="s">
        <v>118</v>
      </c>
      <c r="AP2625">
        <v>-107</v>
      </c>
      <c r="AQ2625">
        <v>77</v>
      </c>
      <c r="AR2625">
        <v>0</v>
      </c>
      <c r="AZ2625">
        <v>1200</v>
      </c>
      <c r="BA2625">
        <v>1</v>
      </c>
      <c r="BB2625" t="str">
        <f t="shared" si="127"/>
        <v xml:space="preserve">N8080G  </v>
      </c>
      <c r="BC2625">
        <v>1</v>
      </c>
      <c r="BE2625">
        <v>0</v>
      </c>
      <c r="BF2625">
        <v>0</v>
      </c>
      <c r="BG2625">
        <v>0</v>
      </c>
      <c r="BH2625">
        <v>1700</v>
      </c>
      <c r="BI2625">
        <v>1</v>
      </c>
      <c r="BJ2625">
        <v>1</v>
      </c>
      <c r="BK2625">
        <v>1</v>
      </c>
      <c r="BL2625">
        <v>0</v>
      </c>
      <c r="BO2625">
        <v>0</v>
      </c>
      <c r="BP2625">
        <v>0</v>
      </c>
      <c r="BW2625" t="str">
        <f>"20:28:33.196"</f>
        <v>20:28:33.196</v>
      </c>
      <c r="BZ2625">
        <v>0</v>
      </c>
      <c r="CA2625">
        <v>1792</v>
      </c>
      <c r="CB2625">
        <v>224</v>
      </c>
      <c r="CD2625">
        <v>1</v>
      </c>
      <c r="CE2625">
        <v>0</v>
      </c>
      <c r="CF2625">
        <v>0</v>
      </c>
      <c r="CG2625">
        <v>0</v>
      </c>
      <c r="CH2625">
        <v>0</v>
      </c>
      <c r="CI2625">
        <v>0</v>
      </c>
      <c r="CJ2625">
        <v>0</v>
      </c>
      <c r="CK2625">
        <v>2</v>
      </c>
      <c r="CL2625">
        <v>0</v>
      </c>
      <c r="CM2625">
        <v>2</v>
      </c>
      <c r="CN2625">
        <v>0</v>
      </c>
      <c r="CO2625">
        <v>4</v>
      </c>
      <c r="CP2625" t="s">
        <v>119</v>
      </c>
      <c r="CQ2625">
        <v>179</v>
      </c>
      <c r="CR2625">
        <v>1</v>
      </c>
      <c r="CW2625">
        <v>9035870</v>
      </c>
      <c r="CY2625">
        <v>1</v>
      </c>
      <c r="CZ2625">
        <v>0</v>
      </c>
      <c r="DA2625">
        <v>1</v>
      </c>
      <c r="DB2625">
        <v>0</v>
      </c>
      <c r="DC2625">
        <v>0</v>
      </c>
      <c r="DD2625">
        <v>0</v>
      </c>
      <c r="DE2625">
        <v>0</v>
      </c>
      <c r="DF2625">
        <v>0</v>
      </c>
      <c r="DG2625">
        <v>0</v>
      </c>
      <c r="DH2625">
        <v>0</v>
      </c>
      <c r="DI2625">
        <v>0</v>
      </c>
    </row>
    <row r="2626" spans="1:113" x14ac:dyDescent="0.3">
      <c r="A2626" t="str">
        <f>"02/08/2021 20:28:30.848"</f>
        <v>02/08/2021 20:28:30.848</v>
      </c>
      <c r="C2626" t="str">
        <f t="shared" si="126"/>
        <v>FFDFD7C0</v>
      </c>
      <c r="D2626" t="s">
        <v>124</v>
      </c>
      <c r="E2626">
        <v>12</v>
      </c>
      <c r="F2626">
        <v>1012</v>
      </c>
      <c r="G2626" t="s">
        <v>675</v>
      </c>
      <c r="J2626" t="s">
        <v>125</v>
      </c>
      <c r="K2626">
        <v>0</v>
      </c>
      <c r="L2626">
        <v>3</v>
      </c>
      <c r="M2626">
        <v>0</v>
      </c>
      <c r="N2626">
        <v>2</v>
      </c>
      <c r="O2626">
        <v>1</v>
      </c>
      <c r="P2626">
        <v>0</v>
      </c>
      <c r="Q2626">
        <v>0</v>
      </c>
      <c r="S2626" t="str">
        <f>"20:28:33.195"</f>
        <v>20:28:33.195</v>
      </c>
      <c r="T2626" t="str">
        <f>"20:28:32.695"</f>
        <v>20:28:32.695</v>
      </c>
      <c r="U2626" t="str">
        <f t="shared" ref="U2626:U2689" si="128">"AB01F4"</f>
        <v>AB01F4</v>
      </c>
      <c r="V2626">
        <v>0</v>
      </c>
      <c r="W2626">
        <v>0</v>
      </c>
      <c r="X2626">
        <v>2</v>
      </c>
      <c r="Z2626">
        <v>0</v>
      </c>
      <c r="AA2626">
        <v>9</v>
      </c>
      <c r="AB2626">
        <v>3</v>
      </c>
      <c r="AC2626">
        <v>0</v>
      </c>
      <c r="AD2626">
        <v>10</v>
      </c>
      <c r="AE2626">
        <v>0</v>
      </c>
      <c r="AF2626">
        <v>3</v>
      </c>
      <c r="AG2626">
        <v>2</v>
      </c>
      <c r="AH2626">
        <v>0</v>
      </c>
      <c r="AI2626" t="s">
        <v>1561</v>
      </c>
      <c r="AJ2626">
        <v>40.007528999999998</v>
      </c>
      <c r="AK2626" t="s">
        <v>1562</v>
      </c>
      <c r="AL2626">
        <v>-92.761667000000003</v>
      </c>
      <c r="AM2626">
        <v>100</v>
      </c>
      <c r="AN2626">
        <v>1700</v>
      </c>
      <c r="AO2626" t="s">
        <v>118</v>
      </c>
      <c r="AP2626">
        <v>-107</v>
      </c>
      <c r="AQ2626">
        <v>77</v>
      </c>
      <c r="AR2626">
        <v>0</v>
      </c>
      <c r="AZ2626">
        <v>1200</v>
      </c>
      <c r="BA2626">
        <v>1</v>
      </c>
      <c r="BB2626" t="str">
        <f t="shared" si="127"/>
        <v xml:space="preserve">N8080G  </v>
      </c>
      <c r="BC2626">
        <v>1</v>
      </c>
      <c r="BE2626">
        <v>0</v>
      </c>
      <c r="BF2626">
        <v>0</v>
      </c>
      <c r="BG2626">
        <v>0</v>
      </c>
      <c r="BH2626">
        <v>1700</v>
      </c>
      <c r="BI2626">
        <v>1</v>
      </c>
      <c r="BJ2626">
        <v>1</v>
      </c>
      <c r="BK2626">
        <v>1</v>
      </c>
      <c r="BL2626">
        <v>0</v>
      </c>
      <c r="BO2626">
        <v>0</v>
      </c>
      <c r="BP2626">
        <v>0</v>
      </c>
      <c r="BW2626" t="str">
        <f>"20:28:33.196"</f>
        <v>20:28:33.196</v>
      </c>
      <c r="BZ2626">
        <v>0</v>
      </c>
      <c r="CA2626">
        <v>1792</v>
      </c>
      <c r="CB2626">
        <v>224</v>
      </c>
      <c r="CD2626">
        <v>1</v>
      </c>
      <c r="CE2626">
        <v>0</v>
      </c>
      <c r="CF2626">
        <v>0</v>
      </c>
      <c r="CG2626">
        <v>0</v>
      </c>
      <c r="CH2626">
        <v>0</v>
      </c>
      <c r="CI2626">
        <v>0</v>
      </c>
      <c r="CJ2626">
        <v>0</v>
      </c>
      <c r="CK2626">
        <v>2</v>
      </c>
      <c r="CL2626">
        <v>0</v>
      </c>
      <c r="CM2626">
        <v>2</v>
      </c>
      <c r="CN2626">
        <v>0</v>
      </c>
      <c r="CO2626">
        <v>4</v>
      </c>
      <c r="CP2626" t="s">
        <v>119</v>
      </c>
      <c r="CQ2626">
        <v>179</v>
      </c>
      <c r="CR2626">
        <v>1</v>
      </c>
      <c r="CW2626">
        <v>9035870</v>
      </c>
      <c r="CY2626">
        <v>1</v>
      </c>
      <c r="CZ2626">
        <v>0</v>
      </c>
      <c r="DA2626">
        <v>1</v>
      </c>
      <c r="DB2626">
        <v>0</v>
      </c>
      <c r="DC2626">
        <v>0</v>
      </c>
      <c r="DD2626">
        <v>0</v>
      </c>
      <c r="DE2626">
        <v>0</v>
      </c>
      <c r="DF2626">
        <v>0</v>
      </c>
      <c r="DG2626">
        <v>0</v>
      </c>
      <c r="DH2626">
        <v>0</v>
      </c>
      <c r="DI2626">
        <v>0</v>
      </c>
    </row>
    <row r="2627" spans="1:113" x14ac:dyDescent="0.3">
      <c r="A2627" t="str">
        <f>"02/08/2021 20:28:31.755"</f>
        <v>02/08/2021 20:28:31.755</v>
      </c>
      <c r="C2627" t="str">
        <f t="shared" si="126"/>
        <v>FFDFD7C0</v>
      </c>
      <c r="D2627" t="s">
        <v>124</v>
      </c>
      <c r="E2627">
        <v>11</v>
      </c>
      <c r="F2627">
        <v>1011</v>
      </c>
      <c r="G2627" t="s">
        <v>590</v>
      </c>
      <c r="J2627" t="s">
        <v>125</v>
      </c>
      <c r="K2627">
        <v>0</v>
      </c>
      <c r="L2627">
        <v>3</v>
      </c>
      <c r="M2627">
        <v>0</v>
      </c>
      <c r="N2627">
        <v>2</v>
      </c>
      <c r="O2627">
        <v>1</v>
      </c>
      <c r="P2627">
        <v>0</v>
      </c>
      <c r="Q2627">
        <v>0</v>
      </c>
      <c r="S2627" t="str">
        <f>"20:28:34.070"</f>
        <v>20:28:34.070</v>
      </c>
      <c r="T2627" t="str">
        <f>"20:28:33.270"</f>
        <v>20:28:33.270</v>
      </c>
      <c r="U2627" t="str">
        <f t="shared" si="128"/>
        <v>AB01F4</v>
      </c>
      <c r="V2627">
        <v>0</v>
      </c>
      <c r="W2627">
        <v>0</v>
      </c>
      <c r="X2627">
        <v>2</v>
      </c>
      <c r="Z2627">
        <v>0</v>
      </c>
      <c r="AA2627">
        <v>9</v>
      </c>
      <c r="AB2627">
        <v>3</v>
      </c>
      <c r="AC2627">
        <v>0</v>
      </c>
      <c r="AD2627">
        <v>10</v>
      </c>
      <c r="AE2627">
        <v>0</v>
      </c>
      <c r="AF2627">
        <v>3</v>
      </c>
      <c r="AG2627">
        <v>2</v>
      </c>
      <c r="AH2627">
        <v>0</v>
      </c>
      <c r="AI2627" t="s">
        <v>1563</v>
      </c>
      <c r="AJ2627">
        <v>40.007872999999996</v>
      </c>
      <c r="AK2627" t="s">
        <v>1564</v>
      </c>
      <c r="AL2627">
        <v>-92.762246000000005</v>
      </c>
      <c r="AM2627">
        <v>100</v>
      </c>
      <c r="AN2627">
        <v>1700</v>
      </c>
      <c r="AO2627" t="s">
        <v>118</v>
      </c>
      <c r="AP2627">
        <v>-107</v>
      </c>
      <c r="AQ2627">
        <v>78</v>
      </c>
      <c r="AR2627">
        <v>-64</v>
      </c>
      <c r="AZ2627">
        <v>1200</v>
      </c>
      <c r="BA2627">
        <v>1</v>
      </c>
      <c r="BB2627" t="str">
        <f t="shared" si="127"/>
        <v xml:space="preserve">N8080G  </v>
      </c>
      <c r="BC2627">
        <v>1</v>
      </c>
      <c r="BE2627">
        <v>0</v>
      </c>
      <c r="BF2627">
        <v>0</v>
      </c>
      <c r="BG2627">
        <v>0</v>
      </c>
      <c r="BH2627">
        <v>1700</v>
      </c>
      <c r="BI2627">
        <v>1</v>
      </c>
      <c r="BJ2627">
        <v>1</v>
      </c>
      <c r="BK2627">
        <v>1</v>
      </c>
      <c r="BL2627">
        <v>0</v>
      </c>
      <c r="BO2627">
        <v>0</v>
      </c>
      <c r="BP2627">
        <v>0</v>
      </c>
      <c r="BW2627" t="str">
        <f>"20:28:34.071"</f>
        <v>20:28:34.071</v>
      </c>
      <c r="BZ2627">
        <v>0</v>
      </c>
      <c r="CA2627">
        <v>1792</v>
      </c>
      <c r="CB2627">
        <v>224</v>
      </c>
      <c r="CD2627">
        <v>1</v>
      </c>
      <c r="CE2627">
        <v>0</v>
      </c>
      <c r="CF2627">
        <v>0</v>
      </c>
      <c r="CG2627">
        <v>0</v>
      </c>
      <c r="CH2627">
        <v>0</v>
      </c>
      <c r="CI2627">
        <v>0</v>
      </c>
      <c r="CJ2627">
        <v>0</v>
      </c>
      <c r="CK2627">
        <v>2</v>
      </c>
      <c r="CL2627">
        <v>0</v>
      </c>
      <c r="CM2627">
        <v>2</v>
      </c>
      <c r="CN2627">
        <v>0</v>
      </c>
      <c r="CO2627">
        <v>4</v>
      </c>
      <c r="CP2627" t="s">
        <v>119</v>
      </c>
      <c r="CQ2627">
        <v>179</v>
      </c>
      <c r="CR2627">
        <v>1</v>
      </c>
      <c r="CW2627">
        <v>9036695</v>
      </c>
      <c r="CY2627">
        <v>1</v>
      </c>
      <c r="CZ2627">
        <v>0</v>
      </c>
      <c r="DA2627">
        <v>0</v>
      </c>
      <c r="DB2627">
        <v>0</v>
      </c>
      <c r="DC2627">
        <v>0</v>
      </c>
      <c r="DD2627">
        <v>0</v>
      </c>
      <c r="DE2627">
        <v>0</v>
      </c>
      <c r="DF2627">
        <v>0</v>
      </c>
      <c r="DG2627">
        <v>0</v>
      </c>
      <c r="DH2627">
        <v>0</v>
      </c>
      <c r="DI2627">
        <v>0</v>
      </c>
    </row>
    <row r="2628" spans="1:113" x14ac:dyDescent="0.3">
      <c r="A2628" t="str">
        <f>"02/08/2021 20:28:31.755"</f>
        <v>02/08/2021 20:28:31.755</v>
      </c>
      <c r="C2628" t="str">
        <f t="shared" si="126"/>
        <v>FFDFD7C0</v>
      </c>
      <c r="D2628" t="s">
        <v>124</v>
      </c>
      <c r="E2628">
        <v>13</v>
      </c>
      <c r="F2628">
        <v>1013</v>
      </c>
      <c r="G2628" t="s">
        <v>114</v>
      </c>
      <c r="J2628" t="s">
        <v>125</v>
      </c>
      <c r="K2628">
        <v>0</v>
      </c>
      <c r="L2628">
        <v>3</v>
      </c>
      <c r="M2628">
        <v>0</v>
      </c>
      <c r="N2628">
        <v>2</v>
      </c>
      <c r="O2628">
        <v>1</v>
      </c>
      <c r="P2628">
        <v>0</v>
      </c>
      <c r="Q2628">
        <v>0</v>
      </c>
      <c r="S2628" t="str">
        <f>"20:28:34.070"</f>
        <v>20:28:34.070</v>
      </c>
      <c r="T2628" t="str">
        <f>"20:28:33.270"</f>
        <v>20:28:33.270</v>
      </c>
      <c r="U2628" t="str">
        <f t="shared" si="128"/>
        <v>AB01F4</v>
      </c>
      <c r="V2628">
        <v>0</v>
      </c>
      <c r="W2628">
        <v>0</v>
      </c>
      <c r="X2628">
        <v>2</v>
      </c>
      <c r="Z2628">
        <v>0</v>
      </c>
      <c r="AA2628">
        <v>9</v>
      </c>
      <c r="AB2628">
        <v>3</v>
      </c>
      <c r="AC2628">
        <v>0</v>
      </c>
      <c r="AD2628">
        <v>10</v>
      </c>
      <c r="AE2628">
        <v>0</v>
      </c>
      <c r="AF2628">
        <v>3</v>
      </c>
      <c r="AG2628">
        <v>2</v>
      </c>
      <c r="AH2628">
        <v>0</v>
      </c>
      <c r="AI2628" t="s">
        <v>1563</v>
      </c>
      <c r="AJ2628">
        <v>40.007872999999996</v>
      </c>
      <c r="AK2628" t="s">
        <v>1564</v>
      </c>
      <c r="AL2628">
        <v>-92.762246000000005</v>
      </c>
      <c r="AM2628">
        <v>100</v>
      </c>
      <c r="AN2628">
        <v>1700</v>
      </c>
      <c r="AO2628" t="s">
        <v>118</v>
      </c>
      <c r="AP2628">
        <v>-107</v>
      </c>
      <c r="AQ2628">
        <v>78</v>
      </c>
      <c r="AR2628">
        <v>-64</v>
      </c>
      <c r="AZ2628">
        <v>1200</v>
      </c>
      <c r="BA2628">
        <v>1</v>
      </c>
      <c r="BB2628" t="str">
        <f t="shared" si="127"/>
        <v xml:space="preserve">N8080G  </v>
      </c>
      <c r="BC2628">
        <v>1</v>
      </c>
      <c r="BE2628">
        <v>0</v>
      </c>
      <c r="BF2628">
        <v>0</v>
      </c>
      <c r="BG2628">
        <v>0</v>
      </c>
      <c r="BH2628">
        <v>1700</v>
      </c>
      <c r="BI2628">
        <v>1</v>
      </c>
      <c r="BJ2628">
        <v>1</v>
      </c>
      <c r="BK2628">
        <v>1</v>
      </c>
      <c r="BL2628">
        <v>0</v>
      </c>
      <c r="BO2628">
        <v>0</v>
      </c>
      <c r="BP2628">
        <v>0</v>
      </c>
      <c r="BW2628" t="str">
        <f>"20:28:34.071"</f>
        <v>20:28:34.071</v>
      </c>
      <c r="BZ2628">
        <v>0</v>
      </c>
      <c r="CA2628">
        <v>1792</v>
      </c>
      <c r="CB2628">
        <v>224</v>
      </c>
      <c r="CD2628">
        <v>1</v>
      </c>
      <c r="CE2628">
        <v>0</v>
      </c>
      <c r="CF2628">
        <v>0</v>
      </c>
      <c r="CG2628">
        <v>0</v>
      </c>
      <c r="CH2628">
        <v>0</v>
      </c>
      <c r="CI2628">
        <v>0</v>
      </c>
      <c r="CJ2628">
        <v>0</v>
      </c>
      <c r="CK2628">
        <v>2</v>
      </c>
      <c r="CL2628">
        <v>0</v>
      </c>
      <c r="CM2628">
        <v>2</v>
      </c>
      <c r="CN2628">
        <v>0</v>
      </c>
      <c r="CO2628">
        <v>4</v>
      </c>
      <c r="CP2628" t="s">
        <v>119</v>
      </c>
      <c r="CQ2628">
        <v>179</v>
      </c>
      <c r="CR2628">
        <v>1</v>
      </c>
      <c r="CW2628">
        <v>9036695</v>
      </c>
      <c r="CY2628">
        <v>1</v>
      </c>
      <c r="CZ2628">
        <v>0</v>
      </c>
      <c r="DA2628">
        <v>1</v>
      </c>
      <c r="DB2628">
        <v>0</v>
      </c>
      <c r="DC2628">
        <v>0</v>
      </c>
      <c r="DD2628">
        <v>0</v>
      </c>
      <c r="DE2628">
        <v>0</v>
      </c>
      <c r="DF2628">
        <v>0</v>
      </c>
      <c r="DG2628">
        <v>0</v>
      </c>
      <c r="DH2628">
        <v>0</v>
      </c>
      <c r="DI2628">
        <v>0</v>
      </c>
    </row>
    <row r="2629" spans="1:113" x14ac:dyDescent="0.3">
      <c r="A2629" t="str">
        <f>"02/08/2021 20:28:31.755"</f>
        <v>02/08/2021 20:28:31.755</v>
      </c>
      <c r="C2629" t="str">
        <f t="shared" si="126"/>
        <v>FFDFD7C0</v>
      </c>
      <c r="D2629" t="s">
        <v>124</v>
      </c>
      <c r="E2629">
        <v>12</v>
      </c>
      <c r="F2629">
        <v>1012</v>
      </c>
      <c r="G2629" t="s">
        <v>675</v>
      </c>
      <c r="J2629" t="s">
        <v>125</v>
      </c>
      <c r="K2629">
        <v>0</v>
      </c>
      <c r="L2629">
        <v>3</v>
      </c>
      <c r="M2629">
        <v>0</v>
      </c>
      <c r="N2629">
        <v>2</v>
      </c>
      <c r="O2629">
        <v>1</v>
      </c>
      <c r="P2629">
        <v>0</v>
      </c>
      <c r="Q2629">
        <v>0</v>
      </c>
      <c r="S2629" t="str">
        <f>"20:28:34.070"</f>
        <v>20:28:34.070</v>
      </c>
      <c r="T2629" t="str">
        <f>"20:28:33.270"</f>
        <v>20:28:33.270</v>
      </c>
      <c r="U2629" t="str">
        <f t="shared" si="128"/>
        <v>AB01F4</v>
      </c>
      <c r="V2629">
        <v>0</v>
      </c>
      <c r="W2629">
        <v>0</v>
      </c>
      <c r="X2629">
        <v>2</v>
      </c>
      <c r="Z2629">
        <v>0</v>
      </c>
      <c r="AA2629">
        <v>9</v>
      </c>
      <c r="AB2629">
        <v>3</v>
      </c>
      <c r="AC2629">
        <v>0</v>
      </c>
      <c r="AD2629">
        <v>10</v>
      </c>
      <c r="AE2629">
        <v>0</v>
      </c>
      <c r="AF2629">
        <v>3</v>
      </c>
      <c r="AG2629">
        <v>2</v>
      </c>
      <c r="AH2629">
        <v>0</v>
      </c>
      <c r="AI2629" t="s">
        <v>1563</v>
      </c>
      <c r="AJ2629">
        <v>40.007872999999996</v>
      </c>
      <c r="AK2629" t="s">
        <v>1564</v>
      </c>
      <c r="AL2629">
        <v>-92.762246000000005</v>
      </c>
      <c r="AM2629">
        <v>100</v>
      </c>
      <c r="AN2629">
        <v>1700</v>
      </c>
      <c r="AO2629" t="s">
        <v>118</v>
      </c>
      <c r="AP2629">
        <v>-107</v>
      </c>
      <c r="AQ2629">
        <v>78</v>
      </c>
      <c r="AR2629">
        <v>-64</v>
      </c>
      <c r="AZ2629">
        <v>1200</v>
      </c>
      <c r="BA2629">
        <v>1</v>
      </c>
      <c r="BB2629" t="str">
        <f t="shared" si="127"/>
        <v xml:space="preserve">N8080G  </v>
      </c>
      <c r="BC2629">
        <v>1</v>
      </c>
      <c r="BE2629">
        <v>0</v>
      </c>
      <c r="BF2629">
        <v>0</v>
      </c>
      <c r="BG2629">
        <v>0</v>
      </c>
      <c r="BH2629">
        <v>1700</v>
      </c>
      <c r="BI2629">
        <v>1</v>
      </c>
      <c r="BJ2629">
        <v>1</v>
      </c>
      <c r="BK2629">
        <v>1</v>
      </c>
      <c r="BL2629">
        <v>0</v>
      </c>
      <c r="BO2629">
        <v>0</v>
      </c>
      <c r="BP2629">
        <v>0</v>
      </c>
      <c r="BW2629" t="str">
        <f>"20:28:34.071"</f>
        <v>20:28:34.071</v>
      </c>
      <c r="BZ2629">
        <v>0</v>
      </c>
      <c r="CA2629">
        <v>1792</v>
      </c>
      <c r="CB2629">
        <v>224</v>
      </c>
      <c r="CD2629">
        <v>1</v>
      </c>
      <c r="CE2629">
        <v>0</v>
      </c>
      <c r="CF2629">
        <v>0</v>
      </c>
      <c r="CG2629">
        <v>0</v>
      </c>
      <c r="CH2629">
        <v>0</v>
      </c>
      <c r="CI2629">
        <v>0</v>
      </c>
      <c r="CJ2629">
        <v>0</v>
      </c>
      <c r="CK2629">
        <v>2</v>
      </c>
      <c r="CL2629">
        <v>0</v>
      </c>
      <c r="CM2629">
        <v>2</v>
      </c>
      <c r="CN2629">
        <v>0</v>
      </c>
      <c r="CO2629">
        <v>4</v>
      </c>
      <c r="CP2629" t="s">
        <v>119</v>
      </c>
      <c r="CQ2629">
        <v>179</v>
      </c>
      <c r="CR2629">
        <v>1</v>
      </c>
      <c r="CW2629">
        <v>9036695</v>
      </c>
      <c r="CY2629">
        <v>1</v>
      </c>
      <c r="CZ2629">
        <v>0</v>
      </c>
      <c r="DA2629">
        <v>1</v>
      </c>
      <c r="DB2629">
        <v>0</v>
      </c>
      <c r="DC2629">
        <v>0</v>
      </c>
      <c r="DD2629">
        <v>0</v>
      </c>
      <c r="DE2629">
        <v>0</v>
      </c>
      <c r="DF2629">
        <v>0</v>
      </c>
      <c r="DG2629">
        <v>0</v>
      </c>
      <c r="DH2629">
        <v>0</v>
      </c>
      <c r="DI2629">
        <v>0</v>
      </c>
    </row>
    <row r="2630" spans="1:113" x14ac:dyDescent="0.3">
      <c r="A2630" t="str">
        <f>"02/08/2021 20:28:31.755"</f>
        <v>02/08/2021 20:28:31.755</v>
      </c>
      <c r="C2630" t="str">
        <f t="shared" si="126"/>
        <v>FFDFD7C0</v>
      </c>
      <c r="D2630" t="s">
        <v>113</v>
      </c>
      <c r="E2630">
        <v>6</v>
      </c>
      <c r="H2630">
        <v>165</v>
      </c>
      <c r="I2630" t="s">
        <v>114</v>
      </c>
      <c r="J2630" t="s">
        <v>115</v>
      </c>
      <c r="K2630">
        <v>0</v>
      </c>
      <c r="L2630">
        <v>3</v>
      </c>
      <c r="M2630">
        <v>0</v>
      </c>
      <c r="N2630">
        <v>2</v>
      </c>
      <c r="O2630">
        <v>1</v>
      </c>
      <c r="P2630">
        <v>0</v>
      </c>
      <c r="Q2630">
        <v>0</v>
      </c>
      <c r="S2630" t="str">
        <f>"20:28:34.070"</f>
        <v>20:28:34.070</v>
      </c>
      <c r="T2630" t="str">
        <f>"20:28:33.270"</f>
        <v>20:28:33.270</v>
      </c>
      <c r="U2630" t="str">
        <f t="shared" si="128"/>
        <v>AB01F4</v>
      </c>
      <c r="V2630">
        <v>0</v>
      </c>
      <c r="W2630">
        <v>0</v>
      </c>
      <c r="X2630">
        <v>2</v>
      </c>
      <c r="Z2630">
        <v>0</v>
      </c>
      <c r="AA2630">
        <v>9</v>
      </c>
      <c r="AB2630">
        <v>3</v>
      </c>
      <c r="AC2630">
        <v>0</v>
      </c>
      <c r="AD2630">
        <v>10</v>
      </c>
      <c r="AE2630">
        <v>0</v>
      </c>
      <c r="AF2630">
        <v>3</v>
      </c>
      <c r="AG2630">
        <v>2</v>
      </c>
      <c r="AH2630">
        <v>0</v>
      </c>
      <c r="AI2630" t="s">
        <v>1563</v>
      </c>
      <c r="AJ2630">
        <v>40.007872999999996</v>
      </c>
      <c r="AK2630" t="s">
        <v>1564</v>
      </c>
      <c r="AL2630">
        <v>-92.762246000000005</v>
      </c>
      <c r="AM2630">
        <v>100</v>
      </c>
      <c r="AN2630">
        <v>1700</v>
      </c>
      <c r="AO2630" t="s">
        <v>118</v>
      </c>
      <c r="AP2630">
        <v>-107</v>
      </c>
      <c r="AQ2630">
        <v>78</v>
      </c>
      <c r="AR2630">
        <v>-64</v>
      </c>
      <c r="AZ2630">
        <v>1200</v>
      </c>
      <c r="BA2630">
        <v>1</v>
      </c>
      <c r="BB2630" t="str">
        <f t="shared" si="127"/>
        <v xml:space="preserve">N8080G  </v>
      </c>
      <c r="BC2630">
        <v>1</v>
      </c>
      <c r="BE2630">
        <v>0</v>
      </c>
      <c r="BF2630">
        <v>0</v>
      </c>
      <c r="BG2630">
        <v>0</v>
      </c>
      <c r="BH2630">
        <v>1700</v>
      </c>
      <c r="BI2630">
        <v>1</v>
      </c>
      <c r="BJ2630">
        <v>1</v>
      </c>
      <c r="BK2630">
        <v>1</v>
      </c>
      <c r="BL2630">
        <v>0</v>
      </c>
      <c r="BO2630">
        <v>0</v>
      </c>
      <c r="BP2630">
        <v>0</v>
      </c>
      <c r="BW2630" t="str">
        <f>"20:28:34.071"</f>
        <v>20:28:34.071</v>
      </c>
      <c r="BZ2630">
        <v>0</v>
      </c>
      <c r="CA2630">
        <v>1792</v>
      </c>
      <c r="CB2630">
        <v>224</v>
      </c>
      <c r="CD2630">
        <v>1</v>
      </c>
      <c r="CE2630">
        <v>0</v>
      </c>
      <c r="CF2630">
        <v>0</v>
      </c>
      <c r="CG2630">
        <v>0</v>
      </c>
      <c r="CH2630">
        <v>0</v>
      </c>
      <c r="CI2630">
        <v>0</v>
      </c>
      <c r="CJ2630">
        <v>0</v>
      </c>
      <c r="CK2630">
        <v>2</v>
      </c>
      <c r="CL2630">
        <v>0</v>
      </c>
      <c r="CM2630">
        <v>2</v>
      </c>
      <c r="CN2630">
        <v>0</v>
      </c>
      <c r="CO2630">
        <v>4</v>
      </c>
      <c r="CP2630" t="s">
        <v>119</v>
      </c>
      <c r="CQ2630">
        <v>179</v>
      </c>
      <c r="CR2630">
        <v>1</v>
      </c>
      <c r="CW2630">
        <v>9036695</v>
      </c>
      <c r="CY2630">
        <v>1</v>
      </c>
      <c r="CZ2630">
        <v>0</v>
      </c>
      <c r="DA2630">
        <v>1</v>
      </c>
      <c r="DB2630">
        <v>0</v>
      </c>
      <c r="DC2630">
        <v>0</v>
      </c>
      <c r="DD2630">
        <v>0</v>
      </c>
      <c r="DE2630">
        <v>0</v>
      </c>
      <c r="DF2630">
        <v>0</v>
      </c>
      <c r="DG2630">
        <v>0</v>
      </c>
      <c r="DH2630">
        <v>0</v>
      </c>
      <c r="DI2630">
        <v>0</v>
      </c>
    </row>
    <row r="2631" spans="1:113" x14ac:dyDescent="0.3">
      <c r="A2631" t="str">
        <f>"02/08/2021 20:28:32.790"</f>
        <v>02/08/2021 20:28:32.790</v>
      </c>
      <c r="C2631" t="str">
        <f t="shared" si="126"/>
        <v>FFDFD7C0</v>
      </c>
      <c r="D2631" t="s">
        <v>113</v>
      </c>
      <c r="E2631">
        <v>6</v>
      </c>
      <c r="H2631">
        <v>165</v>
      </c>
      <c r="I2631" t="s">
        <v>114</v>
      </c>
      <c r="J2631" t="s">
        <v>115</v>
      </c>
      <c r="K2631">
        <v>0</v>
      </c>
      <c r="L2631">
        <v>3</v>
      </c>
      <c r="M2631">
        <v>0</v>
      </c>
      <c r="N2631">
        <v>2</v>
      </c>
      <c r="O2631">
        <v>1</v>
      </c>
      <c r="P2631">
        <v>0</v>
      </c>
      <c r="Q2631">
        <v>0</v>
      </c>
      <c r="S2631" t="str">
        <f>"20:28:35.109"</f>
        <v>20:28:35.109</v>
      </c>
      <c r="T2631" t="str">
        <f>"20:28:34.609"</f>
        <v>20:28:34.609</v>
      </c>
      <c r="U2631" t="str">
        <f t="shared" si="128"/>
        <v>AB01F4</v>
      </c>
      <c r="V2631">
        <v>0</v>
      </c>
      <c r="W2631">
        <v>0</v>
      </c>
      <c r="X2631">
        <v>2</v>
      </c>
      <c r="Z2631">
        <v>0</v>
      </c>
      <c r="AA2631">
        <v>9</v>
      </c>
      <c r="AB2631">
        <v>3</v>
      </c>
      <c r="AC2631">
        <v>0</v>
      </c>
      <c r="AD2631">
        <v>10</v>
      </c>
      <c r="AE2631">
        <v>0</v>
      </c>
      <c r="AF2631">
        <v>3</v>
      </c>
      <c r="AG2631">
        <v>2</v>
      </c>
      <c r="AH2631">
        <v>0</v>
      </c>
      <c r="AI2631" t="s">
        <v>1565</v>
      </c>
      <c r="AJ2631">
        <v>40.008259000000002</v>
      </c>
      <c r="AK2631" t="s">
        <v>1566</v>
      </c>
      <c r="AL2631">
        <v>-92.762933000000004</v>
      </c>
      <c r="AM2631">
        <v>100</v>
      </c>
      <c r="AN2631">
        <v>1700</v>
      </c>
      <c r="AO2631" t="s">
        <v>118</v>
      </c>
      <c r="AP2631">
        <v>-107</v>
      </c>
      <c r="AQ2631">
        <v>78</v>
      </c>
      <c r="AR2631">
        <v>-128</v>
      </c>
      <c r="AZ2631">
        <v>1200</v>
      </c>
      <c r="BA2631">
        <v>1</v>
      </c>
      <c r="BB2631" t="str">
        <f t="shared" si="127"/>
        <v xml:space="preserve">N8080G  </v>
      </c>
      <c r="BC2631">
        <v>1</v>
      </c>
      <c r="BE2631">
        <v>0</v>
      </c>
      <c r="BF2631">
        <v>0</v>
      </c>
      <c r="BG2631">
        <v>0</v>
      </c>
      <c r="BH2631">
        <v>1700</v>
      </c>
      <c r="BI2631">
        <v>1</v>
      </c>
      <c r="BJ2631">
        <v>1</v>
      </c>
      <c r="BK2631">
        <v>1</v>
      </c>
      <c r="BL2631">
        <v>0</v>
      </c>
      <c r="BO2631">
        <v>0</v>
      </c>
      <c r="BP2631">
        <v>0</v>
      </c>
      <c r="BW2631" t="str">
        <f>"20:28:35.115"</f>
        <v>20:28:35.115</v>
      </c>
      <c r="BZ2631">
        <v>0</v>
      </c>
      <c r="CA2631">
        <v>1792</v>
      </c>
      <c r="CB2631">
        <v>224</v>
      </c>
      <c r="CD2631">
        <v>1</v>
      </c>
      <c r="CE2631">
        <v>0</v>
      </c>
      <c r="CF2631">
        <v>0</v>
      </c>
      <c r="CG2631">
        <v>0</v>
      </c>
      <c r="CH2631">
        <v>0</v>
      </c>
      <c r="CI2631">
        <v>0</v>
      </c>
      <c r="CJ2631">
        <v>0</v>
      </c>
      <c r="CK2631">
        <v>2</v>
      </c>
      <c r="CL2631">
        <v>0</v>
      </c>
      <c r="CM2631">
        <v>2</v>
      </c>
      <c r="CN2631">
        <v>0</v>
      </c>
      <c r="CO2631">
        <v>7</v>
      </c>
      <c r="CP2631" t="s">
        <v>119</v>
      </c>
      <c r="CQ2631">
        <v>180</v>
      </c>
      <c r="CR2631">
        <v>3</v>
      </c>
      <c r="CW2631">
        <v>938415</v>
      </c>
      <c r="CY2631">
        <v>1</v>
      </c>
      <c r="CZ2631">
        <v>0</v>
      </c>
      <c r="DA2631">
        <v>0</v>
      </c>
      <c r="DB2631">
        <v>0</v>
      </c>
      <c r="DC2631">
        <v>0</v>
      </c>
      <c r="DD2631">
        <v>0</v>
      </c>
      <c r="DE2631">
        <v>0</v>
      </c>
      <c r="DF2631">
        <v>0</v>
      </c>
      <c r="DG2631">
        <v>0</v>
      </c>
      <c r="DH2631">
        <v>0</v>
      </c>
      <c r="DI2631">
        <v>0</v>
      </c>
    </row>
    <row r="2632" spans="1:113" x14ac:dyDescent="0.3">
      <c r="A2632" t="str">
        <f>"02/08/2021 20:28:32.790"</f>
        <v>02/08/2021 20:28:32.790</v>
      </c>
      <c r="C2632" t="str">
        <f t="shared" si="126"/>
        <v>FFDFD7C0</v>
      </c>
      <c r="D2632" t="s">
        <v>124</v>
      </c>
      <c r="E2632">
        <v>13</v>
      </c>
      <c r="F2632">
        <v>1013</v>
      </c>
      <c r="G2632" t="s">
        <v>114</v>
      </c>
      <c r="J2632" t="s">
        <v>125</v>
      </c>
      <c r="K2632">
        <v>0</v>
      </c>
      <c r="L2632">
        <v>3</v>
      </c>
      <c r="M2632">
        <v>0</v>
      </c>
      <c r="N2632">
        <v>2</v>
      </c>
      <c r="O2632">
        <v>1</v>
      </c>
      <c r="P2632">
        <v>0</v>
      </c>
      <c r="Q2632">
        <v>0</v>
      </c>
      <c r="S2632" t="str">
        <f>"20:28:35.109"</f>
        <v>20:28:35.109</v>
      </c>
      <c r="T2632" t="str">
        <f>"20:28:34.609"</f>
        <v>20:28:34.609</v>
      </c>
      <c r="U2632" t="str">
        <f t="shared" si="128"/>
        <v>AB01F4</v>
      </c>
      <c r="V2632">
        <v>0</v>
      </c>
      <c r="W2632">
        <v>0</v>
      </c>
      <c r="X2632">
        <v>2</v>
      </c>
      <c r="Z2632">
        <v>0</v>
      </c>
      <c r="AA2632">
        <v>9</v>
      </c>
      <c r="AB2632">
        <v>3</v>
      </c>
      <c r="AC2632">
        <v>0</v>
      </c>
      <c r="AD2632">
        <v>10</v>
      </c>
      <c r="AE2632">
        <v>0</v>
      </c>
      <c r="AF2632">
        <v>3</v>
      </c>
      <c r="AG2632">
        <v>2</v>
      </c>
      <c r="AH2632">
        <v>0</v>
      </c>
      <c r="AI2632" t="s">
        <v>1565</v>
      </c>
      <c r="AJ2632">
        <v>40.008259000000002</v>
      </c>
      <c r="AK2632" t="s">
        <v>1566</v>
      </c>
      <c r="AL2632">
        <v>-92.762933000000004</v>
      </c>
      <c r="AM2632">
        <v>100</v>
      </c>
      <c r="AN2632">
        <v>1700</v>
      </c>
      <c r="AO2632" t="s">
        <v>118</v>
      </c>
      <c r="AP2632">
        <v>-107</v>
      </c>
      <c r="AQ2632">
        <v>78</v>
      </c>
      <c r="AR2632">
        <v>-128</v>
      </c>
      <c r="AZ2632">
        <v>1200</v>
      </c>
      <c r="BA2632">
        <v>1</v>
      </c>
      <c r="BB2632" t="str">
        <f t="shared" si="127"/>
        <v xml:space="preserve">N8080G  </v>
      </c>
      <c r="BC2632">
        <v>1</v>
      </c>
      <c r="BE2632">
        <v>0</v>
      </c>
      <c r="BF2632">
        <v>0</v>
      </c>
      <c r="BG2632">
        <v>0</v>
      </c>
      <c r="BH2632">
        <v>1700</v>
      </c>
      <c r="BI2632">
        <v>1</v>
      </c>
      <c r="BJ2632">
        <v>1</v>
      </c>
      <c r="BK2632">
        <v>1</v>
      </c>
      <c r="BL2632">
        <v>0</v>
      </c>
      <c r="BO2632">
        <v>0</v>
      </c>
      <c r="BP2632">
        <v>0</v>
      </c>
      <c r="BW2632" t="str">
        <f>"20:28:35.115"</f>
        <v>20:28:35.115</v>
      </c>
      <c r="BZ2632">
        <v>0</v>
      </c>
      <c r="CA2632">
        <v>1792</v>
      </c>
      <c r="CB2632">
        <v>224</v>
      </c>
      <c r="CD2632">
        <v>1</v>
      </c>
      <c r="CE2632">
        <v>0</v>
      </c>
      <c r="CF2632">
        <v>0</v>
      </c>
      <c r="CG2632">
        <v>0</v>
      </c>
      <c r="CH2632">
        <v>0</v>
      </c>
      <c r="CI2632">
        <v>0</v>
      </c>
      <c r="CJ2632">
        <v>0</v>
      </c>
      <c r="CK2632">
        <v>2</v>
      </c>
      <c r="CL2632">
        <v>0</v>
      </c>
      <c r="CM2632">
        <v>2</v>
      </c>
      <c r="CN2632">
        <v>0</v>
      </c>
      <c r="CO2632">
        <v>7</v>
      </c>
      <c r="CP2632" t="s">
        <v>119</v>
      </c>
      <c r="CQ2632">
        <v>180</v>
      </c>
      <c r="CR2632">
        <v>3</v>
      </c>
      <c r="CW2632">
        <v>938415</v>
      </c>
      <c r="CY2632">
        <v>1</v>
      </c>
      <c r="CZ2632">
        <v>0</v>
      </c>
      <c r="DA2632">
        <v>1</v>
      </c>
      <c r="DB2632">
        <v>0</v>
      </c>
      <c r="DC2632">
        <v>0</v>
      </c>
      <c r="DD2632">
        <v>0</v>
      </c>
      <c r="DE2632">
        <v>0</v>
      </c>
      <c r="DF2632">
        <v>0</v>
      </c>
      <c r="DG2632">
        <v>0</v>
      </c>
      <c r="DH2632">
        <v>0</v>
      </c>
      <c r="DI2632">
        <v>0</v>
      </c>
    </row>
    <row r="2633" spans="1:113" x14ac:dyDescent="0.3">
      <c r="A2633" t="str">
        <f>"02/08/2021 20:28:32.790"</f>
        <v>02/08/2021 20:28:32.790</v>
      </c>
      <c r="C2633" t="str">
        <f t="shared" si="126"/>
        <v>FFDFD7C0</v>
      </c>
      <c r="D2633" t="s">
        <v>124</v>
      </c>
      <c r="E2633">
        <v>11</v>
      </c>
      <c r="F2633">
        <v>1011</v>
      </c>
      <c r="G2633" t="s">
        <v>590</v>
      </c>
      <c r="J2633" t="s">
        <v>125</v>
      </c>
      <c r="K2633">
        <v>0</v>
      </c>
      <c r="L2633">
        <v>3</v>
      </c>
      <c r="M2633">
        <v>0</v>
      </c>
      <c r="N2633">
        <v>2</v>
      </c>
      <c r="O2633">
        <v>1</v>
      </c>
      <c r="P2633">
        <v>0</v>
      </c>
      <c r="Q2633">
        <v>0</v>
      </c>
      <c r="S2633" t="str">
        <f>"20:28:35.109"</f>
        <v>20:28:35.109</v>
      </c>
      <c r="T2633" t="str">
        <f>"20:28:34.609"</f>
        <v>20:28:34.609</v>
      </c>
      <c r="U2633" t="str">
        <f t="shared" si="128"/>
        <v>AB01F4</v>
      </c>
      <c r="V2633">
        <v>0</v>
      </c>
      <c r="W2633">
        <v>0</v>
      </c>
      <c r="X2633">
        <v>2</v>
      </c>
      <c r="Z2633">
        <v>0</v>
      </c>
      <c r="AA2633">
        <v>9</v>
      </c>
      <c r="AB2633">
        <v>3</v>
      </c>
      <c r="AC2633">
        <v>0</v>
      </c>
      <c r="AD2633">
        <v>10</v>
      </c>
      <c r="AE2633">
        <v>0</v>
      </c>
      <c r="AF2633">
        <v>3</v>
      </c>
      <c r="AG2633">
        <v>2</v>
      </c>
      <c r="AH2633">
        <v>0</v>
      </c>
      <c r="AI2633" t="s">
        <v>1565</v>
      </c>
      <c r="AJ2633">
        <v>40.008259000000002</v>
      </c>
      <c r="AK2633" t="s">
        <v>1566</v>
      </c>
      <c r="AL2633">
        <v>-92.762933000000004</v>
      </c>
      <c r="AM2633">
        <v>100</v>
      </c>
      <c r="AN2633">
        <v>1700</v>
      </c>
      <c r="AO2633" t="s">
        <v>118</v>
      </c>
      <c r="AP2633">
        <v>-107</v>
      </c>
      <c r="AQ2633">
        <v>78</v>
      </c>
      <c r="AR2633">
        <v>-128</v>
      </c>
      <c r="AZ2633">
        <v>1200</v>
      </c>
      <c r="BA2633">
        <v>1</v>
      </c>
      <c r="BB2633" t="str">
        <f t="shared" si="127"/>
        <v xml:space="preserve">N8080G  </v>
      </c>
      <c r="BC2633">
        <v>1</v>
      </c>
      <c r="BE2633">
        <v>0</v>
      </c>
      <c r="BF2633">
        <v>0</v>
      </c>
      <c r="BG2633">
        <v>0</v>
      </c>
      <c r="BH2633">
        <v>1700</v>
      </c>
      <c r="BI2633">
        <v>1</v>
      </c>
      <c r="BJ2633">
        <v>1</v>
      </c>
      <c r="BK2633">
        <v>1</v>
      </c>
      <c r="BL2633">
        <v>0</v>
      </c>
      <c r="BO2633">
        <v>0</v>
      </c>
      <c r="BP2633">
        <v>0</v>
      </c>
      <c r="BW2633" t="str">
        <f>"20:28:35.115"</f>
        <v>20:28:35.115</v>
      </c>
      <c r="BZ2633">
        <v>0</v>
      </c>
      <c r="CA2633">
        <v>1792</v>
      </c>
      <c r="CB2633">
        <v>224</v>
      </c>
      <c r="CD2633">
        <v>1</v>
      </c>
      <c r="CE2633">
        <v>0</v>
      </c>
      <c r="CF2633">
        <v>0</v>
      </c>
      <c r="CG2633">
        <v>0</v>
      </c>
      <c r="CH2633">
        <v>0</v>
      </c>
      <c r="CI2633">
        <v>0</v>
      </c>
      <c r="CJ2633">
        <v>0</v>
      </c>
      <c r="CK2633">
        <v>2</v>
      </c>
      <c r="CL2633">
        <v>0</v>
      </c>
      <c r="CM2633">
        <v>2</v>
      </c>
      <c r="CN2633">
        <v>0</v>
      </c>
      <c r="CO2633">
        <v>7</v>
      </c>
      <c r="CP2633" t="s">
        <v>119</v>
      </c>
      <c r="CQ2633">
        <v>180</v>
      </c>
      <c r="CR2633">
        <v>3</v>
      </c>
      <c r="CW2633">
        <v>938415</v>
      </c>
      <c r="CY2633">
        <v>1</v>
      </c>
      <c r="CZ2633">
        <v>0</v>
      </c>
      <c r="DA2633">
        <v>1</v>
      </c>
      <c r="DB2633">
        <v>0</v>
      </c>
      <c r="DC2633">
        <v>0</v>
      </c>
      <c r="DD2633">
        <v>0</v>
      </c>
      <c r="DE2633">
        <v>0</v>
      </c>
      <c r="DF2633">
        <v>0</v>
      </c>
      <c r="DG2633">
        <v>0</v>
      </c>
      <c r="DH2633">
        <v>0</v>
      </c>
      <c r="DI2633">
        <v>0</v>
      </c>
    </row>
    <row r="2634" spans="1:113" x14ac:dyDescent="0.3">
      <c r="A2634" t="str">
        <f>"02/08/2021 20:28:32.790"</f>
        <v>02/08/2021 20:28:32.790</v>
      </c>
      <c r="C2634" t="str">
        <f t="shared" si="126"/>
        <v>FFDFD7C0</v>
      </c>
      <c r="D2634" t="s">
        <v>124</v>
      </c>
      <c r="E2634">
        <v>12</v>
      </c>
      <c r="F2634">
        <v>1012</v>
      </c>
      <c r="G2634" t="s">
        <v>675</v>
      </c>
      <c r="J2634" t="s">
        <v>125</v>
      </c>
      <c r="K2634">
        <v>0</v>
      </c>
      <c r="L2634">
        <v>3</v>
      </c>
      <c r="M2634">
        <v>0</v>
      </c>
      <c r="N2634">
        <v>2</v>
      </c>
      <c r="O2634">
        <v>1</v>
      </c>
      <c r="P2634">
        <v>0</v>
      </c>
      <c r="Q2634">
        <v>0</v>
      </c>
      <c r="S2634" t="str">
        <f>"20:28:35.109"</f>
        <v>20:28:35.109</v>
      </c>
      <c r="T2634" t="str">
        <f>"20:28:34.609"</f>
        <v>20:28:34.609</v>
      </c>
      <c r="U2634" t="str">
        <f t="shared" si="128"/>
        <v>AB01F4</v>
      </c>
      <c r="V2634">
        <v>0</v>
      </c>
      <c r="W2634">
        <v>0</v>
      </c>
      <c r="X2634">
        <v>2</v>
      </c>
      <c r="Z2634">
        <v>0</v>
      </c>
      <c r="AA2634">
        <v>9</v>
      </c>
      <c r="AB2634">
        <v>3</v>
      </c>
      <c r="AC2634">
        <v>0</v>
      </c>
      <c r="AD2634">
        <v>10</v>
      </c>
      <c r="AE2634">
        <v>0</v>
      </c>
      <c r="AF2634">
        <v>3</v>
      </c>
      <c r="AG2634">
        <v>2</v>
      </c>
      <c r="AH2634">
        <v>0</v>
      </c>
      <c r="AI2634" t="s">
        <v>1565</v>
      </c>
      <c r="AJ2634">
        <v>40.008259000000002</v>
      </c>
      <c r="AK2634" t="s">
        <v>1566</v>
      </c>
      <c r="AL2634">
        <v>-92.762933000000004</v>
      </c>
      <c r="AM2634">
        <v>100</v>
      </c>
      <c r="AN2634">
        <v>1700</v>
      </c>
      <c r="AO2634" t="s">
        <v>118</v>
      </c>
      <c r="AP2634">
        <v>-107</v>
      </c>
      <c r="AQ2634">
        <v>78</v>
      </c>
      <c r="AR2634">
        <v>-128</v>
      </c>
      <c r="AZ2634">
        <v>1200</v>
      </c>
      <c r="BA2634">
        <v>1</v>
      </c>
      <c r="BB2634" t="str">
        <f t="shared" si="127"/>
        <v xml:space="preserve">N8080G  </v>
      </c>
      <c r="BC2634">
        <v>1</v>
      </c>
      <c r="BE2634">
        <v>0</v>
      </c>
      <c r="BF2634">
        <v>0</v>
      </c>
      <c r="BG2634">
        <v>0</v>
      </c>
      <c r="BH2634">
        <v>1700</v>
      </c>
      <c r="BI2634">
        <v>1</v>
      </c>
      <c r="BJ2634">
        <v>1</v>
      </c>
      <c r="BK2634">
        <v>1</v>
      </c>
      <c r="BL2634">
        <v>0</v>
      </c>
      <c r="BO2634">
        <v>0</v>
      </c>
      <c r="BP2634">
        <v>0</v>
      </c>
      <c r="BW2634" t="str">
        <f>"20:28:35.115"</f>
        <v>20:28:35.115</v>
      </c>
      <c r="BZ2634">
        <v>0</v>
      </c>
      <c r="CA2634">
        <v>1792</v>
      </c>
      <c r="CB2634">
        <v>224</v>
      </c>
      <c r="CD2634">
        <v>1</v>
      </c>
      <c r="CE2634">
        <v>0</v>
      </c>
      <c r="CF2634">
        <v>0</v>
      </c>
      <c r="CG2634">
        <v>0</v>
      </c>
      <c r="CH2634">
        <v>0</v>
      </c>
      <c r="CI2634">
        <v>0</v>
      </c>
      <c r="CJ2634">
        <v>0</v>
      </c>
      <c r="CK2634">
        <v>2</v>
      </c>
      <c r="CL2634">
        <v>0</v>
      </c>
      <c r="CM2634">
        <v>2</v>
      </c>
      <c r="CN2634">
        <v>0</v>
      </c>
      <c r="CO2634">
        <v>7</v>
      </c>
      <c r="CP2634" t="s">
        <v>119</v>
      </c>
      <c r="CQ2634">
        <v>180</v>
      </c>
      <c r="CR2634">
        <v>3</v>
      </c>
      <c r="CW2634">
        <v>938415</v>
      </c>
      <c r="CY2634">
        <v>1</v>
      </c>
      <c r="CZ2634">
        <v>0</v>
      </c>
      <c r="DA2634">
        <v>1</v>
      </c>
      <c r="DB2634">
        <v>0</v>
      </c>
      <c r="DC2634">
        <v>0</v>
      </c>
      <c r="DD2634">
        <v>0</v>
      </c>
      <c r="DE2634">
        <v>0</v>
      </c>
      <c r="DF2634">
        <v>0</v>
      </c>
      <c r="DG2634">
        <v>0</v>
      </c>
      <c r="DH2634">
        <v>0</v>
      </c>
      <c r="DI2634">
        <v>0</v>
      </c>
    </row>
    <row r="2635" spans="1:113" x14ac:dyDescent="0.3">
      <c r="A2635" t="str">
        <f>"02/08/2021 20:28:33.770"</f>
        <v>02/08/2021 20:28:33.770</v>
      </c>
      <c r="C2635" t="str">
        <f t="shared" si="126"/>
        <v>FFDFD7C0</v>
      </c>
      <c r="D2635" t="s">
        <v>124</v>
      </c>
      <c r="E2635">
        <v>11</v>
      </c>
      <c r="F2635">
        <v>1011</v>
      </c>
      <c r="G2635" t="s">
        <v>590</v>
      </c>
      <c r="J2635" t="s">
        <v>125</v>
      </c>
      <c r="K2635">
        <v>0</v>
      </c>
      <c r="L2635">
        <v>3</v>
      </c>
      <c r="M2635">
        <v>0</v>
      </c>
      <c r="N2635">
        <v>2</v>
      </c>
      <c r="O2635">
        <v>1</v>
      </c>
      <c r="P2635">
        <v>0</v>
      </c>
      <c r="Q2635">
        <v>0</v>
      </c>
      <c r="S2635" t="str">
        <f>"20:28:36.125"</f>
        <v>20:28:36.125</v>
      </c>
      <c r="T2635" t="str">
        <f>"20:28:35.625"</f>
        <v>20:28:35.625</v>
      </c>
      <c r="U2635" t="str">
        <f t="shared" si="128"/>
        <v>AB01F4</v>
      </c>
      <c r="V2635">
        <v>0</v>
      </c>
      <c r="W2635">
        <v>0</v>
      </c>
      <c r="X2635">
        <v>2</v>
      </c>
      <c r="Z2635">
        <v>0</v>
      </c>
      <c r="AA2635">
        <v>9</v>
      </c>
      <c r="AB2635">
        <v>3</v>
      </c>
      <c r="AC2635">
        <v>0</v>
      </c>
      <c r="AD2635">
        <v>10</v>
      </c>
      <c r="AE2635">
        <v>0</v>
      </c>
      <c r="AF2635">
        <v>3</v>
      </c>
      <c r="AG2635">
        <v>2</v>
      </c>
      <c r="AH2635">
        <v>0</v>
      </c>
      <c r="AI2635" t="s">
        <v>1567</v>
      </c>
      <c r="AJ2635">
        <v>40.008645000000001</v>
      </c>
      <c r="AK2635" t="s">
        <v>1568</v>
      </c>
      <c r="AL2635">
        <v>-92.763619000000006</v>
      </c>
      <c r="AM2635">
        <v>100</v>
      </c>
      <c r="AN2635">
        <v>1700</v>
      </c>
      <c r="AO2635" t="s">
        <v>118</v>
      </c>
      <c r="AP2635">
        <v>-108</v>
      </c>
      <c r="AQ2635">
        <v>78</v>
      </c>
      <c r="AR2635">
        <v>-128</v>
      </c>
      <c r="AZ2635">
        <v>1200</v>
      </c>
      <c r="BA2635">
        <v>1</v>
      </c>
      <c r="BB2635" t="str">
        <f t="shared" si="127"/>
        <v xml:space="preserve">N8080G  </v>
      </c>
      <c r="BC2635">
        <v>1</v>
      </c>
      <c r="BE2635">
        <v>0</v>
      </c>
      <c r="BF2635">
        <v>0</v>
      </c>
      <c r="BG2635">
        <v>0</v>
      </c>
      <c r="BH2635">
        <v>1675</v>
      </c>
      <c r="BI2635">
        <v>1</v>
      </c>
      <c r="BJ2635">
        <v>1</v>
      </c>
      <c r="BK2635">
        <v>1</v>
      </c>
      <c r="BL2635">
        <v>0</v>
      </c>
      <c r="BO2635">
        <v>0</v>
      </c>
      <c r="BP2635">
        <v>0</v>
      </c>
      <c r="BW2635" t="str">
        <f>"20:28:36.126"</f>
        <v>20:28:36.126</v>
      </c>
      <c r="BZ2635">
        <v>0</v>
      </c>
      <c r="CA2635">
        <v>1792</v>
      </c>
      <c r="CB2635">
        <v>224</v>
      </c>
      <c r="CD2635">
        <v>1</v>
      </c>
      <c r="CE2635">
        <v>0</v>
      </c>
      <c r="CF2635">
        <v>0</v>
      </c>
      <c r="CG2635">
        <v>0</v>
      </c>
      <c r="CH2635">
        <v>0</v>
      </c>
      <c r="CI2635">
        <v>0</v>
      </c>
      <c r="CJ2635">
        <v>0</v>
      </c>
      <c r="CK2635">
        <v>2</v>
      </c>
      <c r="CL2635">
        <v>0</v>
      </c>
      <c r="CM2635">
        <v>2</v>
      </c>
      <c r="CN2635">
        <v>0</v>
      </c>
      <c r="CO2635">
        <v>4</v>
      </c>
      <c r="CP2635" t="s">
        <v>119</v>
      </c>
      <c r="CQ2635">
        <v>179</v>
      </c>
      <c r="CR2635">
        <v>1</v>
      </c>
      <c r="CW2635">
        <v>9038466</v>
      </c>
      <c r="CY2635">
        <v>1</v>
      </c>
      <c r="CZ2635">
        <v>0</v>
      </c>
      <c r="DA2635">
        <v>0</v>
      </c>
      <c r="DB2635">
        <v>0</v>
      </c>
      <c r="DC2635">
        <v>0</v>
      </c>
      <c r="DD2635">
        <v>0</v>
      </c>
      <c r="DE2635">
        <v>0</v>
      </c>
      <c r="DF2635">
        <v>0</v>
      </c>
      <c r="DG2635">
        <v>0</v>
      </c>
      <c r="DH2635">
        <v>0</v>
      </c>
      <c r="DI2635">
        <v>0</v>
      </c>
    </row>
    <row r="2636" spans="1:113" x14ac:dyDescent="0.3">
      <c r="A2636" t="str">
        <f>"02/08/2021 20:28:33.770"</f>
        <v>02/08/2021 20:28:33.770</v>
      </c>
      <c r="C2636" t="str">
        <f t="shared" si="126"/>
        <v>FFDFD7C0</v>
      </c>
      <c r="D2636" t="s">
        <v>124</v>
      </c>
      <c r="E2636">
        <v>12</v>
      </c>
      <c r="F2636">
        <v>1012</v>
      </c>
      <c r="G2636" t="s">
        <v>675</v>
      </c>
      <c r="J2636" t="s">
        <v>125</v>
      </c>
      <c r="K2636">
        <v>0</v>
      </c>
      <c r="L2636">
        <v>3</v>
      </c>
      <c r="M2636">
        <v>0</v>
      </c>
      <c r="N2636">
        <v>2</v>
      </c>
      <c r="O2636">
        <v>1</v>
      </c>
      <c r="P2636">
        <v>0</v>
      </c>
      <c r="Q2636">
        <v>0</v>
      </c>
      <c r="S2636" t="str">
        <f>"20:28:36.125"</f>
        <v>20:28:36.125</v>
      </c>
      <c r="T2636" t="str">
        <f>"20:28:35.625"</f>
        <v>20:28:35.625</v>
      </c>
      <c r="U2636" t="str">
        <f t="shared" si="128"/>
        <v>AB01F4</v>
      </c>
      <c r="V2636">
        <v>0</v>
      </c>
      <c r="W2636">
        <v>0</v>
      </c>
      <c r="X2636">
        <v>2</v>
      </c>
      <c r="Z2636">
        <v>0</v>
      </c>
      <c r="AA2636">
        <v>9</v>
      </c>
      <c r="AB2636">
        <v>3</v>
      </c>
      <c r="AC2636">
        <v>0</v>
      </c>
      <c r="AD2636">
        <v>10</v>
      </c>
      <c r="AE2636">
        <v>0</v>
      </c>
      <c r="AF2636">
        <v>3</v>
      </c>
      <c r="AG2636">
        <v>2</v>
      </c>
      <c r="AH2636">
        <v>0</v>
      </c>
      <c r="AI2636" t="s">
        <v>1567</v>
      </c>
      <c r="AJ2636">
        <v>40.008645000000001</v>
      </c>
      <c r="AK2636" t="s">
        <v>1568</v>
      </c>
      <c r="AL2636">
        <v>-92.763619000000006</v>
      </c>
      <c r="AM2636">
        <v>100</v>
      </c>
      <c r="AN2636">
        <v>1700</v>
      </c>
      <c r="AO2636" t="s">
        <v>118</v>
      </c>
      <c r="AP2636">
        <v>-108</v>
      </c>
      <c r="AQ2636">
        <v>78</v>
      </c>
      <c r="AR2636">
        <v>-128</v>
      </c>
      <c r="AZ2636">
        <v>1200</v>
      </c>
      <c r="BA2636">
        <v>1</v>
      </c>
      <c r="BB2636" t="str">
        <f t="shared" si="127"/>
        <v xml:space="preserve">N8080G  </v>
      </c>
      <c r="BC2636">
        <v>1</v>
      </c>
      <c r="BE2636">
        <v>0</v>
      </c>
      <c r="BF2636">
        <v>0</v>
      </c>
      <c r="BG2636">
        <v>0</v>
      </c>
      <c r="BH2636">
        <v>1675</v>
      </c>
      <c r="BI2636">
        <v>1</v>
      </c>
      <c r="BJ2636">
        <v>1</v>
      </c>
      <c r="BK2636">
        <v>1</v>
      </c>
      <c r="BL2636">
        <v>0</v>
      </c>
      <c r="BO2636">
        <v>0</v>
      </c>
      <c r="BP2636">
        <v>0</v>
      </c>
      <c r="BW2636" t="str">
        <f>"20:28:36.126"</f>
        <v>20:28:36.126</v>
      </c>
      <c r="BZ2636">
        <v>0</v>
      </c>
      <c r="CA2636">
        <v>1792</v>
      </c>
      <c r="CB2636">
        <v>224</v>
      </c>
      <c r="CD2636">
        <v>1</v>
      </c>
      <c r="CE2636">
        <v>0</v>
      </c>
      <c r="CF2636">
        <v>0</v>
      </c>
      <c r="CG2636">
        <v>0</v>
      </c>
      <c r="CH2636">
        <v>0</v>
      </c>
      <c r="CI2636">
        <v>0</v>
      </c>
      <c r="CJ2636">
        <v>0</v>
      </c>
      <c r="CK2636">
        <v>2</v>
      </c>
      <c r="CL2636">
        <v>0</v>
      </c>
      <c r="CM2636">
        <v>2</v>
      </c>
      <c r="CN2636">
        <v>0</v>
      </c>
      <c r="CO2636">
        <v>4</v>
      </c>
      <c r="CP2636" t="s">
        <v>119</v>
      </c>
      <c r="CQ2636">
        <v>179</v>
      </c>
      <c r="CR2636">
        <v>1</v>
      </c>
      <c r="CW2636">
        <v>9038466</v>
      </c>
      <c r="CY2636">
        <v>1</v>
      </c>
      <c r="CZ2636">
        <v>0</v>
      </c>
      <c r="DA2636">
        <v>1</v>
      </c>
      <c r="DB2636">
        <v>0</v>
      </c>
      <c r="DC2636">
        <v>0</v>
      </c>
      <c r="DD2636">
        <v>0</v>
      </c>
      <c r="DE2636">
        <v>0</v>
      </c>
      <c r="DF2636">
        <v>0</v>
      </c>
      <c r="DG2636">
        <v>0</v>
      </c>
      <c r="DH2636">
        <v>0</v>
      </c>
      <c r="DI2636">
        <v>0</v>
      </c>
    </row>
    <row r="2637" spans="1:113" x14ac:dyDescent="0.3">
      <c r="A2637" t="str">
        <f>"02/08/2021 20:28:33.770"</f>
        <v>02/08/2021 20:28:33.770</v>
      </c>
      <c r="C2637" t="str">
        <f t="shared" si="126"/>
        <v>FFDFD7C0</v>
      </c>
      <c r="D2637" t="s">
        <v>113</v>
      </c>
      <c r="E2637">
        <v>6</v>
      </c>
      <c r="H2637">
        <v>165</v>
      </c>
      <c r="I2637" t="s">
        <v>114</v>
      </c>
      <c r="J2637" t="s">
        <v>115</v>
      </c>
      <c r="K2637">
        <v>0</v>
      </c>
      <c r="L2637">
        <v>3</v>
      </c>
      <c r="M2637">
        <v>0</v>
      </c>
      <c r="N2637">
        <v>2</v>
      </c>
      <c r="O2637">
        <v>1</v>
      </c>
      <c r="P2637">
        <v>0</v>
      </c>
      <c r="Q2637">
        <v>0</v>
      </c>
      <c r="S2637" t="str">
        <f>"20:28:36.125"</f>
        <v>20:28:36.125</v>
      </c>
      <c r="T2637" t="str">
        <f>"20:28:35.625"</f>
        <v>20:28:35.625</v>
      </c>
      <c r="U2637" t="str">
        <f t="shared" si="128"/>
        <v>AB01F4</v>
      </c>
      <c r="V2637">
        <v>0</v>
      </c>
      <c r="W2637">
        <v>0</v>
      </c>
      <c r="X2637">
        <v>2</v>
      </c>
      <c r="Z2637">
        <v>0</v>
      </c>
      <c r="AA2637">
        <v>9</v>
      </c>
      <c r="AB2637">
        <v>3</v>
      </c>
      <c r="AC2637">
        <v>0</v>
      </c>
      <c r="AD2637">
        <v>10</v>
      </c>
      <c r="AE2637">
        <v>0</v>
      </c>
      <c r="AF2637">
        <v>3</v>
      </c>
      <c r="AG2637">
        <v>2</v>
      </c>
      <c r="AH2637">
        <v>0</v>
      </c>
      <c r="AI2637" t="s">
        <v>1567</v>
      </c>
      <c r="AJ2637">
        <v>40.008645000000001</v>
      </c>
      <c r="AK2637" t="s">
        <v>1568</v>
      </c>
      <c r="AL2637">
        <v>-92.763619000000006</v>
      </c>
      <c r="AM2637">
        <v>100</v>
      </c>
      <c r="AN2637">
        <v>1700</v>
      </c>
      <c r="AO2637" t="s">
        <v>118</v>
      </c>
      <c r="AP2637">
        <v>-108</v>
      </c>
      <c r="AQ2637">
        <v>78</v>
      </c>
      <c r="AR2637">
        <v>-128</v>
      </c>
      <c r="AZ2637">
        <v>1200</v>
      </c>
      <c r="BA2637">
        <v>1</v>
      </c>
      <c r="BB2637" t="str">
        <f t="shared" si="127"/>
        <v xml:space="preserve">N8080G  </v>
      </c>
      <c r="BC2637">
        <v>1</v>
      </c>
      <c r="BE2637">
        <v>0</v>
      </c>
      <c r="BF2637">
        <v>0</v>
      </c>
      <c r="BG2637">
        <v>0</v>
      </c>
      <c r="BH2637">
        <v>1675</v>
      </c>
      <c r="BI2637">
        <v>1</v>
      </c>
      <c r="BJ2637">
        <v>1</v>
      </c>
      <c r="BK2637">
        <v>1</v>
      </c>
      <c r="BL2637">
        <v>0</v>
      </c>
      <c r="BO2637">
        <v>0</v>
      </c>
      <c r="BP2637">
        <v>0</v>
      </c>
      <c r="BW2637" t="str">
        <f>"20:28:36.126"</f>
        <v>20:28:36.126</v>
      </c>
      <c r="BZ2637">
        <v>0</v>
      </c>
      <c r="CA2637">
        <v>1792</v>
      </c>
      <c r="CB2637">
        <v>224</v>
      </c>
      <c r="CD2637">
        <v>1</v>
      </c>
      <c r="CE2637">
        <v>0</v>
      </c>
      <c r="CF2637">
        <v>0</v>
      </c>
      <c r="CG2637">
        <v>0</v>
      </c>
      <c r="CH2637">
        <v>0</v>
      </c>
      <c r="CI2637">
        <v>0</v>
      </c>
      <c r="CJ2637">
        <v>0</v>
      </c>
      <c r="CK2637">
        <v>2</v>
      </c>
      <c r="CL2637">
        <v>0</v>
      </c>
      <c r="CM2637">
        <v>2</v>
      </c>
      <c r="CN2637">
        <v>0</v>
      </c>
      <c r="CO2637">
        <v>4</v>
      </c>
      <c r="CP2637" t="s">
        <v>119</v>
      </c>
      <c r="CQ2637">
        <v>179</v>
      </c>
      <c r="CR2637">
        <v>1</v>
      </c>
      <c r="CW2637">
        <v>9038466</v>
      </c>
      <c r="CY2637">
        <v>1</v>
      </c>
      <c r="CZ2637">
        <v>0</v>
      </c>
      <c r="DA2637">
        <v>1</v>
      </c>
      <c r="DB2637">
        <v>0</v>
      </c>
      <c r="DC2637">
        <v>0</v>
      </c>
      <c r="DD2637">
        <v>0</v>
      </c>
      <c r="DE2637">
        <v>0</v>
      </c>
      <c r="DF2637">
        <v>0</v>
      </c>
      <c r="DG2637">
        <v>0</v>
      </c>
      <c r="DH2637">
        <v>0</v>
      </c>
      <c r="DI2637">
        <v>0</v>
      </c>
    </row>
    <row r="2638" spans="1:113" x14ac:dyDescent="0.3">
      <c r="A2638" t="str">
        <f>"02/08/2021 20:28:33.770"</f>
        <v>02/08/2021 20:28:33.770</v>
      </c>
      <c r="C2638" t="str">
        <f t="shared" si="126"/>
        <v>FFDFD7C0</v>
      </c>
      <c r="D2638" t="s">
        <v>124</v>
      </c>
      <c r="E2638">
        <v>13</v>
      </c>
      <c r="F2638">
        <v>1013</v>
      </c>
      <c r="G2638" t="s">
        <v>114</v>
      </c>
      <c r="J2638" t="s">
        <v>125</v>
      </c>
      <c r="K2638">
        <v>0</v>
      </c>
      <c r="L2638">
        <v>3</v>
      </c>
      <c r="M2638">
        <v>0</v>
      </c>
      <c r="N2638">
        <v>2</v>
      </c>
      <c r="O2638">
        <v>1</v>
      </c>
      <c r="P2638">
        <v>0</v>
      </c>
      <c r="Q2638">
        <v>0</v>
      </c>
      <c r="S2638" t="str">
        <f>"20:28:36.125"</f>
        <v>20:28:36.125</v>
      </c>
      <c r="T2638" t="str">
        <f>"20:28:35.625"</f>
        <v>20:28:35.625</v>
      </c>
      <c r="U2638" t="str">
        <f t="shared" si="128"/>
        <v>AB01F4</v>
      </c>
      <c r="V2638">
        <v>0</v>
      </c>
      <c r="W2638">
        <v>0</v>
      </c>
      <c r="X2638">
        <v>2</v>
      </c>
      <c r="Z2638">
        <v>0</v>
      </c>
      <c r="AA2638">
        <v>9</v>
      </c>
      <c r="AB2638">
        <v>3</v>
      </c>
      <c r="AC2638">
        <v>0</v>
      </c>
      <c r="AD2638">
        <v>10</v>
      </c>
      <c r="AE2638">
        <v>0</v>
      </c>
      <c r="AF2638">
        <v>3</v>
      </c>
      <c r="AG2638">
        <v>2</v>
      </c>
      <c r="AH2638">
        <v>0</v>
      </c>
      <c r="AI2638" t="s">
        <v>1567</v>
      </c>
      <c r="AJ2638">
        <v>40.008645000000001</v>
      </c>
      <c r="AK2638" t="s">
        <v>1568</v>
      </c>
      <c r="AL2638">
        <v>-92.763619000000006</v>
      </c>
      <c r="AM2638">
        <v>100</v>
      </c>
      <c r="AN2638">
        <v>1700</v>
      </c>
      <c r="AO2638" t="s">
        <v>118</v>
      </c>
      <c r="AP2638">
        <v>-108</v>
      </c>
      <c r="AQ2638">
        <v>78</v>
      </c>
      <c r="AR2638">
        <v>-128</v>
      </c>
      <c r="AZ2638">
        <v>1200</v>
      </c>
      <c r="BA2638">
        <v>1</v>
      </c>
      <c r="BB2638" t="str">
        <f t="shared" si="127"/>
        <v xml:space="preserve">N8080G  </v>
      </c>
      <c r="BC2638">
        <v>1</v>
      </c>
      <c r="BE2638">
        <v>0</v>
      </c>
      <c r="BF2638">
        <v>0</v>
      </c>
      <c r="BG2638">
        <v>0</v>
      </c>
      <c r="BH2638">
        <v>1675</v>
      </c>
      <c r="BI2638">
        <v>1</v>
      </c>
      <c r="BJ2638">
        <v>1</v>
      </c>
      <c r="BK2638">
        <v>1</v>
      </c>
      <c r="BL2638">
        <v>0</v>
      </c>
      <c r="BO2638">
        <v>0</v>
      </c>
      <c r="BP2638">
        <v>0</v>
      </c>
      <c r="BW2638" t="str">
        <f>"20:28:36.126"</f>
        <v>20:28:36.126</v>
      </c>
      <c r="BZ2638">
        <v>0</v>
      </c>
      <c r="CA2638">
        <v>1792</v>
      </c>
      <c r="CB2638">
        <v>224</v>
      </c>
      <c r="CD2638">
        <v>1</v>
      </c>
      <c r="CE2638">
        <v>0</v>
      </c>
      <c r="CF2638">
        <v>0</v>
      </c>
      <c r="CG2638">
        <v>0</v>
      </c>
      <c r="CH2638">
        <v>0</v>
      </c>
      <c r="CI2638">
        <v>0</v>
      </c>
      <c r="CJ2638">
        <v>0</v>
      </c>
      <c r="CK2638">
        <v>2</v>
      </c>
      <c r="CL2638">
        <v>0</v>
      </c>
      <c r="CM2638">
        <v>2</v>
      </c>
      <c r="CN2638">
        <v>0</v>
      </c>
      <c r="CO2638">
        <v>4</v>
      </c>
      <c r="CP2638" t="s">
        <v>119</v>
      </c>
      <c r="CQ2638">
        <v>179</v>
      </c>
      <c r="CR2638">
        <v>1</v>
      </c>
      <c r="CW2638">
        <v>9038466</v>
      </c>
      <c r="CY2638">
        <v>1</v>
      </c>
      <c r="CZ2638">
        <v>0</v>
      </c>
      <c r="DA2638">
        <v>1</v>
      </c>
      <c r="DB2638">
        <v>0</v>
      </c>
      <c r="DC2638">
        <v>0</v>
      </c>
      <c r="DD2638">
        <v>0</v>
      </c>
      <c r="DE2638">
        <v>0</v>
      </c>
      <c r="DF2638">
        <v>0</v>
      </c>
      <c r="DG2638">
        <v>0</v>
      </c>
      <c r="DH2638">
        <v>0</v>
      </c>
      <c r="DI2638">
        <v>0</v>
      </c>
    </row>
    <row r="2639" spans="1:113" x14ac:dyDescent="0.3">
      <c r="A2639" t="str">
        <f>"02/08/2021 20:28:35.264"</f>
        <v>02/08/2021 20:28:35.264</v>
      </c>
      <c r="C2639" t="str">
        <f t="shared" si="126"/>
        <v>FFDFD7C0</v>
      </c>
      <c r="D2639" t="s">
        <v>113</v>
      </c>
      <c r="E2639">
        <v>6</v>
      </c>
      <c r="H2639">
        <v>165</v>
      </c>
      <c r="I2639" t="s">
        <v>114</v>
      </c>
      <c r="J2639" t="s">
        <v>115</v>
      </c>
      <c r="K2639">
        <v>0</v>
      </c>
      <c r="L2639">
        <v>3</v>
      </c>
      <c r="M2639">
        <v>0</v>
      </c>
      <c r="N2639">
        <v>2</v>
      </c>
      <c r="O2639">
        <v>1</v>
      </c>
      <c r="P2639">
        <v>0</v>
      </c>
      <c r="Q2639">
        <v>0</v>
      </c>
      <c r="S2639" t="str">
        <f>"20:28:37.594"</f>
        <v>20:28:37.594</v>
      </c>
      <c r="T2639" t="str">
        <f>"20:28:36.694"</f>
        <v>20:28:36.694</v>
      </c>
      <c r="U2639" t="str">
        <f t="shared" si="128"/>
        <v>AB01F4</v>
      </c>
      <c r="V2639">
        <v>0</v>
      </c>
      <c r="W2639">
        <v>0</v>
      </c>
      <c r="X2639">
        <v>2</v>
      </c>
      <c r="Z2639">
        <v>0</v>
      </c>
      <c r="AA2639">
        <v>9</v>
      </c>
      <c r="AB2639">
        <v>3</v>
      </c>
      <c r="AC2639">
        <v>0</v>
      </c>
      <c r="AD2639">
        <v>10</v>
      </c>
      <c r="AE2639">
        <v>0</v>
      </c>
      <c r="AF2639">
        <v>3</v>
      </c>
      <c r="AG2639">
        <v>2</v>
      </c>
      <c r="AH2639">
        <v>0</v>
      </c>
      <c r="AI2639" t="s">
        <v>1569</v>
      </c>
      <c r="AJ2639">
        <v>40.009138999999998</v>
      </c>
      <c r="AK2639" t="s">
        <v>1570</v>
      </c>
      <c r="AL2639">
        <v>-92.764521000000002</v>
      </c>
      <c r="AM2639">
        <v>100</v>
      </c>
      <c r="AN2639">
        <v>1700</v>
      </c>
      <c r="AO2639" t="s">
        <v>118</v>
      </c>
      <c r="AP2639">
        <v>-108</v>
      </c>
      <c r="AQ2639">
        <v>78</v>
      </c>
      <c r="AR2639">
        <v>-128</v>
      </c>
      <c r="AZ2639">
        <v>1200</v>
      </c>
      <c r="BA2639">
        <v>1</v>
      </c>
      <c r="BB2639" t="str">
        <f t="shared" si="127"/>
        <v xml:space="preserve">N8080G  </v>
      </c>
      <c r="BC2639">
        <v>1</v>
      </c>
      <c r="BE2639">
        <v>0</v>
      </c>
      <c r="BF2639">
        <v>0</v>
      </c>
      <c r="BG2639">
        <v>0</v>
      </c>
      <c r="BH2639">
        <v>1675</v>
      </c>
      <c r="BI2639">
        <v>1</v>
      </c>
      <c r="BJ2639">
        <v>1</v>
      </c>
      <c r="BK2639">
        <v>1</v>
      </c>
      <c r="BL2639">
        <v>0</v>
      </c>
      <c r="BO2639">
        <v>0</v>
      </c>
      <c r="BP2639">
        <v>0</v>
      </c>
      <c r="BW2639" t="str">
        <f>"20:28:37.594"</f>
        <v>20:28:37.594</v>
      </c>
      <c r="BZ2639">
        <v>0</v>
      </c>
      <c r="CA2639">
        <v>1792</v>
      </c>
      <c r="CB2639">
        <v>224</v>
      </c>
      <c r="CD2639">
        <v>1</v>
      </c>
      <c r="CE2639">
        <v>0</v>
      </c>
      <c r="CF2639">
        <v>0</v>
      </c>
      <c r="CG2639">
        <v>0</v>
      </c>
      <c r="CH2639">
        <v>0</v>
      </c>
      <c r="CI2639">
        <v>0</v>
      </c>
      <c r="CJ2639">
        <v>0</v>
      </c>
      <c r="CK2639">
        <v>2</v>
      </c>
      <c r="CL2639">
        <v>0</v>
      </c>
      <c r="CM2639">
        <v>2</v>
      </c>
      <c r="CN2639">
        <v>0</v>
      </c>
      <c r="CO2639">
        <v>4</v>
      </c>
      <c r="CP2639" t="s">
        <v>119</v>
      </c>
      <c r="CQ2639">
        <v>179</v>
      </c>
      <c r="CR2639">
        <v>1</v>
      </c>
      <c r="CW2639">
        <v>9039937</v>
      </c>
      <c r="CY2639">
        <v>1</v>
      </c>
      <c r="CZ2639">
        <v>0</v>
      </c>
      <c r="DA2639">
        <v>0</v>
      </c>
      <c r="DB2639">
        <v>0</v>
      </c>
      <c r="DC2639">
        <v>0</v>
      </c>
      <c r="DD2639">
        <v>0</v>
      </c>
      <c r="DE2639">
        <v>0</v>
      </c>
      <c r="DF2639">
        <v>0</v>
      </c>
      <c r="DG2639">
        <v>0</v>
      </c>
      <c r="DH2639">
        <v>0</v>
      </c>
      <c r="DI2639">
        <v>0</v>
      </c>
    </row>
    <row r="2640" spans="1:113" x14ac:dyDescent="0.3">
      <c r="A2640" t="str">
        <f>"02/08/2021 20:28:35.264"</f>
        <v>02/08/2021 20:28:35.264</v>
      </c>
      <c r="C2640" t="str">
        <f t="shared" si="126"/>
        <v>FFDFD7C0</v>
      </c>
      <c r="D2640" t="s">
        <v>124</v>
      </c>
      <c r="E2640">
        <v>13</v>
      </c>
      <c r="F2640">
        <v>1013</v>
      </c>
      <c r="G2640" t="s">
        <v>114</v>
      </c>
      <c r="J2640" t="s">
        <v>125</v>
      </c>
      <c r="K2640">
        <v>0</v>
      </c>
      <c r="L2640">
        <v>3</v>
      </c>
      <c r="M2640">
        <v>0</v>
      </c>
      <c r="N2640">
        <v>2</v>
      </c>
      <c r="O2640">
        <v>1</v>
      </c>
      <c r="P2640">
        <v>0</v>
      </c>
      <c r="Q2640">
        <v>0</v>
      </c>
      <c r="S2640" t="str">
        <f>"20:28:37.594"</f>
        <v>20:28:37.594</v>
      </c>
      <c r="T2640" t="str">
        <f>"20:28:36.694"</f>
        <v>20:28:36.694</v>
      </c>
      <c r="U2640" t="str">
        <f t="shared" si="128"/>
        <v>AB01F4</v>
      </c>
      <c r="V2640">
        <v>0</v>
      </c>
      <c r="W2640">
        <v>0</v>
      </c>
      <c r="X2640">
        <v>2</v>
      </c>
      <c r="Z2640">
        <v>0</v>
      </c>
      <c r="AA2640">
        <v>9</v>
      </c>
      <c r="AB2640">
        <v>3</v>
      </c>
      <c r="AC2640">
        <v>0</v>
      </c>
      <c r="AD2640">
        <v>10</v>
      </c>
      <c r="AE2640">
        <v>0</v>
      </c>
      <c r="AF2640">
        <v>3</v>
      </c>
      <c r="AG2640">
        <v>2</v>
      </c>
      <c r="AH2640">
        <v>0</v>
      </c>
      <c r="AI2640" t="s">
        <v>1569</v>
      </c>
      <c r="AJ2640">
        <v>40.009138999999998</v>
      </c>
      <c r="AK2640" t="s">
        <v>1570</v>
      </c>
      <c r="AL2640">
        <v>-92.764521000000002</v>
      </c>
      <c r="AM2640">
        <v>100</v>
      </c>
      <c r="AN2640">
        <v>1700</v>
      </c>
      <c r="AO2640" t="s">
        <v>118</v>
      </c>
      <c r="AP2640">
        <v>-108</v>
      </c>
      <c r="AQ2640">
        <v>78</v>
      </c>
      <c r="AR2640">
        <v>-128</v>
      </c>
      <c r="AZ2640">
        <v>1200</v>
      </c>
      <c r="BA2640">
        <v>1</v>
      </c>
      <c r="BB2640" t="str">
        <f t="shared" si="127"/>
        <v xml:space="preserve">N8080G  </v>
      </c>
      <c r="BC2640">
        <v>1</v>
      </c>
      <c r="BE2640">
        <v>0</v>
      </c>
      <c r="BF2640">
        <v>0</v>
      </c>
      <c r="BG2640">
        <v>0</v>
      </c>
      <c r="BH2640">
        <v>1675</v>
      </c>
      <c r="BI2640">
        <v>1</v>
      </c>
      <c r="BJ2640">
        <v>1</v>
      </c>
      <c r="BK2640">
        <v>1</v>
      </c>
      <c r="BL2640">
        <v>0</v>
      </c>
      <c r="BO2640">
        <v>0</v>
      </c>
      <c r="BP2640">
        <v>0</v>
      </c>
      <c r="BW2640" t="str">
        <f>"20:28:37.594"</f>
        <v>20:28:37.594</v>
      </c>
      <c r="BZ2640">
        <v>0</v>
      </c>
      <c r="CA2640">
        <v>1792</v>
      </c>
      <c r="CB2640">
        <v>224</v>
      </c>
      <c r="CD2640">
        <v>1</v>
      </c>
      <c r="CE2640">
        <v>0</v>
      </c>
      <c r="CF2640">
        <v>0</v>
      </c>
      <c r="CG2640">
        <v>0</v>
      </c>
      <c r="CH2640">
        <v>0</v>
      </c>
      <c r="CI2640">
        <v>0</v>
      </c>
      <c r="CJ2640">
        <v>0</v>
      </c>
      <c r="CK2640">
        <v>2</v>
      </c>
      <c r="CL2640">
        <v>0</v>
      </c>
      <c r="CM2640">
        <v>2</v>
      </c>
      <c r="CN2640">
        <v>0</v>
      </c>
      <c r="CO2640">
        <v>4</v>
      </c>
      <c r="CP2640" t="s">
        <v>119</v>
      </c>
      <c r="CQ2640">
        <v>179</v>
      </c>
      <c r="CR2640">
        <v>1</v>
      </c>
      <c r="CW2640">
        <v>9039937</v>
      </c>
      <c r="CY2640">
        <v>1</v>
      </c>
      <c r="CZ2640">
        <v>0</v>
      </c>
      <c r="DA2640">
        <v>1</v>
      </c>
      <c r="DB2640">
        <v>0</v>
      </c>
      <c r="DC2640">
        <v>0</v>
      </c>
      <c r="DD2640">
        <v>0</v>
      </c>
      <c r="DE2640">
        <v>0</v>
      </c>
      <c r="DF2640">
        <v>0</v>
      </c>
      <c r="DG2640">
        <v>0</v>
      </c>
      <c r="DH2640">
        <v>0</v>
      </c>
      <c r="DI2640">
        <v>0</v>
      </c>
    </row>
    <row r="2641" spans="1:113" x14ac:dyDescent="0.3">
      <c r="A2641" t="str">
        <f>"02/08/2021 20:28:35.264"</f>
        <v>02/08/2021 20:28:35.264</v>
      </c>
      <c r="C2641" t="str">
        <f t="shared" si="126"/>
        <v>FFDFD7C0</v>
      </c>
      <c r="D2641" t="s">
        <v>124</v>
      </c>
      <c r="E2641">
        <v>11</v>
      </c>
      <c r="F2641">
        <v>1011</v>
      </c>
      <c r="G2641" t="s">
        <v>590</v>
      </c>
      <c r="J2641" t="s">
        <v>125</v>
      </c>
      <c r="K2641">
        <v>0</v>
      </c>
      <c r="L2641">
        <v>3</v>
      </c>
      <c r="M2641">
        <v>0</v>
      </c>
      <c r="N2641">
        <v>2</v>
      </c>
      <c r="O2641">
        <v>1</v>
      </c>
      <c r="P2641">
        <v>0</v>
      </c>
      <c r="Q2641">
        <v>0</v>
      </c>
      <c r="S2641" t="str">
        <f>"20:28:37.594"</f>
        <v>20:28:37.594</v>
      </c>
      <c r="T2641" t="str">
        <f>"20:28:36.694"</f>
        <v>20:28:36.694</v>
      </c>
      <c r="U2641" t="str">
        <f t="shared" si="128"/>
        <v>AB01F4</v>
      </c>
      <c r="V2641">
        <v>0</v>
      </c>
      <c r="W2641">
        <v>0</v>
      </c>
      <c r="X2641">
        <v>2</v>
      </c>
      <c r="Z2641">
        <v>0</v>
      </c>
      <c r="AA2641">
        <v>9</v>
      </c>
      <c r="AB2641">
        <v>3</v>
      </c>
      <c r="AC2641">
        <v>0</v>
      </c>
      <c r="AD2641">
        <v>10</v>
      </c>
      <c r="AE2641">
        <v>0</v>
      </c>
      <c r="AF2641">
        <v>3</v>
      </c>
      <c r="AG2641">
        <v>2</v>
      </c>
      <c r="AH2641">
        <v>0</v>
      </c>
      <c r="AI2641" t="s">
        <v>1569</v>
      </c>
      <c r="AJ2641">
        <v>40.009138999999998</v>
      </c>
      <c r="AK2641" t="s">
        <v>1570</v>
      </c>
      <c r="AL2641">
        <v>-92.764521000000002</v>
      </c>
      <c r="AM2641">
        <v>100</v>
      </c>
      <c r="AN2641">
        <v>1700</v>
      </c>
      <c r="AO2641" t="s">
        <v>118</v>
      </c>
      <c r="AP2641">
        <v>-108</v>
      </c>
      <c r="AQ2641">
        <v>78</v>
      </c>
      <c r="AR2641">
        <v>-128</v>
      </c>
      <c r="AZ2641">
        <v>1200</v>
      </c>
      <c r="BA2641">
        <v>1</v>
      </c>
      <c r="BB2641" t="str">
        <f t="shared" si="127"/>
        <v xml:space="preserve">N8080G  </v>
      </c>
      <c r="BC2641">
        <v>1</v>
      </c>
      <c r="BE2641">
        <v>0</v>
      </c>
      <c r="BF2641">
        <v>0</v>
      </c>
      <c r="BG2641">
        <v>0</v>
      </c>
      <c r="BH2641">
        <v>1675</v>
      </c>
      <c r="BI2641">
        <v>1</v>
      </c>
      <c r="BJ2641">
        <v>1</v>
      </c>
      <c r="BK2641">
        <v>1</v>
      </c>
      <c r="BL2641">
        <v>0</v>
      </c>
      <c r="BO2641">
        <v>0</v>
      </c>
      <c r="BP2641">
        <v>0</v>
      </c>
      <c r="BW2641" t="str">
        <f>"20:28:37.594"</f>
        <v>20:28:37.594</v>
      </c>
      <c r="BZ2641">
        <v>0</v>
      </c>
      <c r="CA2641">
        <v>1792</v>
      </c>
      <c r="CB2641">
        <v>224</v>
      </c>
      <c r="CD2641">
        <v>1</v>
      </c>
      <c r="CE2641">
        <v>0</v>
      </c>
      <c r="CF2641">
        <v>0</v>
      </c>
      <c r="CG2641">
        <v>0</v>
      </c>
      <c r="CH2641">
        <v>0</v>
      </c>
      <c r="CI2641">
        <v>0</v>
      </c>
      <c r="CJ2641">
        <v>0</v>
      </c>
      <c r="CK2641">
        <v>2</v>
      </c>
      <c r="CL2641">
        <v>0</v>
      </c>
      <c r="CM2641">
        <v>2</v>
      </c>
      <c r="CN2641">
        <v>0</v>
      </c>
      <c r="CO2641">
        <v>4</v>
      </c>
      <c r="CP2641" t="s">
        <v>119</v>
      </c>
      <c r="CQ2641">
        <v>179</v>
      </c>
      <c r="CR2641">
        <v>1</v>
      </c>
      <c r="CW2641">
        <v>9039937</v>
      </c>
      <c r="CY2641">
        <v>1</v>
      </c>
      <c r="CZ2641">
        <v>0</v>
      </c>
      <c r="DA2641">
        <v>1</v>
      </c>
      <c r="DB2641">
        <v>0</v>
      </c>
      <c r="DC2641">
        <v>0</v>
      </c>
      <c r="DD2641">
        <v>0</v>
      </c>
      <c r="DE2641">
        <v>0</v>
      </c>
      <c r="DF2641">
        <v>0</v>
      </c>
      <c r="DG2641">
        <v>0</v>
      </c>
      <c r="DH2641">
        <v>0</v>
      </c>
      <c r="DI2641">
        <v>0</v>
      </c>
    </row>
    <row r="2642" spans="1:113" x14ac:dyDescent="0.3">
      <c r="A2642" t="str">
        <f>"02/08/2021 20:28:35.264"</f>
        <v>02/08/2021 20:28:35.264</v>
      </c>
      <c r="C2642" t="str">
        <f t="shared" si="126"/>
        <v>FFDFD7C0</v>
      </c>
      <c r="D2642" t="s">
        <v>124</v>
      </c>
      <c r="E2642">
        <v>12</v>
      </c>
      <c r="F2642">
        <v>1012</v>
      </c>
      <c r="G2642" t="s">
        <v>675</v>
      </c>
      <c r="J2642" t="s">
        <v>125</v>
      </c>
      <c r="K2642">
        <v>0</v>
      </c>
      <c r="L2642">
        <v>3</v>
      </c>
      <c r="M2642">
        <v>0</v>
      </c>
      <c r="N2642">
        <v>2</v>
      </c>
      <c r="O2642">
        <v>1</v>
      </c>
      <c r="P2642">
        <v>0</v>
      </c>
      <c r="Q2642">
        <v>0</v>
      </c>
      <c r="S2642" t="str">
        <f>"20:28:37.594"</f>
        <v>20:28:37.594</v>
      </c>
      <c r="T2642" t="str">
        <f>"20:28:36.694"</f>
        <v>20:28:36.694</v>
      </c>
      <c r="U2642" t="str">
        <f t="shared" si="128"/>
        <v>AB01F4</v>
      </c>
      <c r="V2642">
        <v>0</v>
      </c>
      <c r="W2642">
        <v>0</v>
      </c>
      <c r="X2642">
        <v>2</v>
      </c>
      <c r="Z2642">
        <v>0</v>
      </c>
      <c r="AA2642">
        <v>9</v>
      </c>
      <c r="AB2642">
        <v>3</v>
      </c>
      <c r="AC2642">
        <v>0</v>
      </c>
      <c r="AD2642">
        <v>10</v>
      </c>
      <c r="AE2642">
        <v>0</v>
      </c>
      <c r="AF2642">
        <v>3</v>
      </c>
      <c r="AG2642">
        <v>2</v>
      </c>
      <c r="AH2642">
        <v>0</v>
      </c>
      <c r="AI2642" t="s">
        <v>1569</v>
      </c>
      <c r="AJ2642">
        <v>40.009138999999998</v>
      </c>
      <c r="AK2642" t="s">
        <v>1570</v>
      </c>
      <c r="AL2642">
        <v>-92.764521000000002</v>
      </c>
      <c r="AM2642">
        <v>100</v>
      </c>
      <c r="AN2642">
        <v>1700</v>
      </c>
      <c r="AO2642" t="s">
        <v>118</v>
      </c>
      <c r="AP2642">
        <v>-108</v>
      </c>
      <c r="AQ2642">
        <v>78</v>
      </c>
      <c r="AR2642">
        <v>-128</v>
      </c>
      <c r="AZ2642">
        <v>1200</v>
      </c>
      <c r="BA2642">
        <v>1</v>
      </c>
      <c r="BB2642" t="str">
        <f t="shared" si="127"/>
        <v xml:space="preserve">N8080G  </v>
      </c>
      <c r="BC2642">
        <v>1</v>
      </c>
      <c r="BE2642">
        <v>0</v>
      </c>
      <c r="BF2642">
        <v>0</v>
      </c>
      <c r="BG2642">
        <v>0</v>
      </c>
      <c r="BH2642">
        <v>1675</v>
      </c>
      <c r="BI2642">
        <v>1</v>
      </c>
      <c r="BJ2642">
        <v>1</v>
      </c>
      <c r="BK2642">
        <v>1</v>
      </c>
      <c r="BL2642">
        <v>0</v>
      </c>
      <c r="BO2642">
        <v>0</v>
      </c>
      <c r="BP2642">
        <v>0</v>
      </c>
      <c r="BW2642" t="str">
        <f>"20:28:37.594"</f>
        <v>20:28:37.594</v>
      </c>
      <c r="BZ2642">
        <v>0</v>
      </c>
      <c r="CA2642">
        <v>1792</v>
      </c>
      <c r="CB2642">
        <v>224</v>
      </c>
      <c r="CD2642">
        <v>1</v>
      </c>
      <c r="CE2642">
        <v>0</v>
      </c>
      <c r="CF2642">
        <v>0</v>
      </c>
      <c r="CG2642">
        <v>0</v>
      </c>
      <c r="CH2642">
        <v>0</v>
      </c>
      <c r="CI2642">
        <v>0</v>
      </c>
      <c r="CJ2642">
        <v>0</v>
      </c>
      <c r="CK2642">
        <v>2</v>
      </c>
      <c r="CL2642">
        <v>0</v>
      </c>
      <c r="CM2642">
        <v>2</v>
      </c>
      <c r="CN2642">
        <v>0</v>
      </c>
      <c r="CO2642">
        <v>4</v>
      </c>
      <c r="CP2642" t="s">
        <v>119</v>
      </c>
      <c r="CQ2642">
        <v>179</v>
      </c>
      <c r="CR2642">
        <v>1</v>
      </c>
      <c r="CW2642">
        <v>9039937</v>
      </c>
      <c r="CY2642">
        <v>1</v>
      </c>
      <c r="CZ2642">
        <v>0</v>
      </c>
      <c r="DA2642">
        <v>1</v>
      </c>
      <c r="DB2642">
        <v>0</v>
      </c>
      <c r="DC2642">
        <v>0</v>
      </c>
      <c r="DD2642">
        <v>0</v>
      </c>
      <c r="DE2642">
        <v>0</v>
      </c>
      <c r="DF2642">
        <v>0</v>
      </c>
      <c r="DG2642">
        <v>0</v>
      </c>
      <c r="DH2642">
        <v>0</v>
      </c>
      <c r="DI2642">
        <v>0</v>
      </c>
    </row>
    <row r="2643" spans="1:113" x14ac:dyDescent="0.3">
      <c r="A2643" t="str">
        <f>"02/08/2021 20:28:38.287"</f>
        <v>02/08/2021 20:28:38.287</v>
      </c>
      <c r="C2643" t="str">
        <f t="shared" si="126"/>
        <v>FFDFD7C0</v>
      </c>
      <c r="D2643" t="s">
        <v>124</v>
      </c>
      <c r="E2643">
        <v>13</v>
      </c>
      <c r="F2643">
        <v>1013</v>
      </c>
      <c r="G2643" t="s">
        <v>114</v>
      </c>
      <c r="J2643" t="s">
        <v>125</v>
      </c>
      <c r="K2643">
        <v>0</v>
      </c>
      <c r="L2643">
        <v>3</v>
      </c>
      <c r="M2643">
        <v>0</v>
      </c>
      <c r="N2643">
        <v>2</v>
      </c>
      <c r="O2643">
        <v>1</v>
      </c>
      <c r="P2643">
        <v>0</v>
      </c>
      <c r="Q2643">
        <v>0</v>
      </c>
      <c r="S2643" t="str">
        <f>"20:28:40.609"</f>
        <v>20:28:40.609</v>
      </c>
      <c r="T2643" t="str">
        <f>"20:28:40.109"</f>
        <v>20:28:40.109</v>
      </c>
      <c r="U2643" t="str">
        <f t="shared" si="128"/>
        <v>AB01F4</v>
      </c>
      <c r="V2643">
        <v>0</v>
      </c>
      <c r="W2643">
        <v>0</v>
      </c>
      <c r="X2643">
        <v>2</v>
      </c>
      <c r="Z2643">
        <v>0</v>
      </c>
      <c r="AA2643">
        <v>9</v>
      </c>
      <c r="AB2643">
        <v>3</v>
      </c>
      <c r="AC2643">
        <v>0</v>
      </c>
      <c r="AD2643">
        <v>10</v>
      </c>
      <c r="AE2643">
        <v>0</v>
      </c>
      <c r="AF2643">
        <v>3</v>
      </c>
      <c r="AG2643">
        <v>2</v>
      </c>
      <c r="AH2643">
        <v>0</v>
      </c>
      <c r="AI2643" t="s">
        <v>1571</v>
      </c>
      <c r="AJ2643">
        <v>40.010232999999999</v>
      </c>
      <c r="AK2643" t="s">
        <v>1572</v>
      </c>
      <c r="AL2643">
        <v>-92.766473000000005</v>
      </c>
      <c r="AM2643">
        <v>100</v>
      </c>
      <c r="AN2643">
        <v>1700</v>
      </c>
      <c r="AO2643" t="s">
        <v>118</v>
      </c>
      <c r="AP2643">
        <v>-108</v>
      </c>
      <c r="AQ2643">
        <v>79</v>
      </c>
      <c r="AR2643">
        <v>-192</v>
      </c>
      <c r="AZ2643">
        <v>1200</v>
      </c>
      <c r="BA2643">
        <v>1</v>
      </c>
      <c r="BB2643" t="str">
        <f t="shared" si="127"/>
        <v xml:space="preserve">N8080G  </v>
      </c>
      <c r="BC2643">
        <v>1</v>
      </c>
      <c r="BE2643">
        <v>0</v>
      </c>
      <c r="BF2643">
        <v>0</v>
      </c>
      <c r="BG2643">
        <v>0</v>
      </c>
      <c r="BH2643">
        <v>1675</v>
      </c>
      <c r="BI2643">
        <v>1</v>
      </c>
      <c r="BJ2643">
        <v>1</v>
      </c>
      <c r="BK2643">
        <v>1</v>
      </c>
      <c r="BL2643">
        <v>0</v>
      </c>
      <c r="BO2643">
        <v>0</v>
      </c>
      <c r="BP2643">
        <v>0</v>
      </c>
      <c r="BW2643" t="str">
        <f>"20:28:40.612"</f>
        <v>20:28:40.612</v>
      </c>
      <c r="BZ2643">
        <v>0</v>
      </c>
      <c r="CA2643">
        <v>1792</v>
      </c>
      <c r="CB2643">
        <v>224</v>
      </c>
      <c r="CD2643">
        <v>1</v>
      </c>
      <c r="CE2643">
        <v>0</v>
      </c>
      <c r="CF2643">
        <v>0</v>
      </c>
      <c r="CG2643">
        <v>0</v>
      </c>
      <c r="CH2643">
        <v>0</v>
      </c>
      <c r="CI2643">
        <v>0</v>
      </c>
      <c r="CJ2643">
        <v>0</v>
      </c>
      <c r="CK2643">
        <v>2</v>
      </c>
      <c r="CL2643">
        <v>0</v>
      </c>
      <c r="CM2643">
        <v>2</v>
      </c>
      <c r="CN2643">
        <v>0</v>
      </c>
      <c r="CO2643">
        <v>4</v>
      </c>
      <c r="CP2643" t="s">
        <v>119</v>
      </c>
      <c r="CQ2643">
        <v>179</v>
      </c>
      <c r="CR2643">
        <v>1</v>
      </c>
      <c r="CW2643">
        <v>9042531</v>
      </c>
      <c r="CY2643">
        <v>1</v>
      </c>
      <c r="CZ2643">
        <v>0</v>
      </c>
      <c r="DA2643">
        <v>0</v>
      </c>
      <c r="DB2643">
        <v>0</v>
      </c>
      <c r="DC2643">
        <v>0</v>
      </c>
      <c r="DD2643">
        <v>0</v>
      </c>
      <c r="DE2643">
        <v>0</v>
      </c>
      <c r="DF2643">
        <v>0</v>
      </c>
      <c r="DG2643">
        <v>0</v>
      </c>
      <c r="DH2643">
        <v>0</v>
      </c>
      <c r="DI2643">
        <v>0</v>
      </c>
    </row>
    <row r="2644" spans="1:113" x14ac:dyDescent="0.3">
      <c r="A2644" t="str">
        <f>"02/08/2021 20:28:38.287"</f>
        <v>02/08/2021 20:28:38.287</v>
      </c>
      <c r="C2644" t="str">
        <f t="shared" si="126"/>
        <v>FFDFD7C0</v>
      </c>
      <c r="D2644" t="s">
        <v>113</v>
      </c>
      <c r="E2644">
        <v>6</v>
      </c>
      <c r="H2644">
        <v>165</v>
      </c>
      <c r="I2644" t="s">
        <v>114</v>
      </c>
      <c r="J2644" t="s">
        <v>115</v>
      </c>
      <c r="K2644">
        <v>0</v>
      </c>
      <c r="L2644">
        <v>3</v>
      </c>
      <c r="M2644">
        <v>0</v>
      </c>
      <c r="N2644">
        <v>2</v>
      </c>
      <c r="O2644">
        <v>1</v>
      </c>
      <c r="P2644">
        <v>0</v>
      </c>
      <c r="Q2644">
        <v>0</v>
      </c>
      <c r="S2644" t="str">
        <f>"20:28:40.609"</f>
        <v>20:28:40.609</v>
      </c>
      <c r="T2644" t="str">
        <f>"20:28:40.109"</f>
        <v>20:28:40.109</v>
      </c>
      <c r="U2644" t="str">
        <f t="shared" si="128"/>
        <v>AB01F4</v>
      </c>
      <c r="V2644">
        <v>0</v>
      </c>
      <c r="W2644">
        <v>0</v>
      </c>
      <c r="X2644">
        <v>2</v>
      </c>
      <c r="Z2644">
        <v>0</v>
      </c>
      <c r="AA2644">
        <v>9</v>
      </c>
      <c r="AB2644">
        <v>3</v>
      </c>
      <c r="AC2644">
        <v>0</v>
      </c>
      <c r="AD2644">
        <v>10</v>
      </c>
      <c r="AE2644">
        <v>0</v>
      </c>
      <c r="AF2644">
        <v>3</v>
      </c>
      <c r="AG2644">
        <v>2</v>
      </c>
      <c r="AH2644">
        <v>0</v>
      </c>
      <c r="AI2644" t="s">
        <v>1571</v>
      </c>
      <c r="AJ2644">
        <v>40.010232999999999</v>
      </c>
      <c r="AK2644" t="s">
        <v>1572</v>
      </c>
      <c r="AL2644">
        <v>-92.766473000000005</v>
      </c>
      <c r="AM2644">
        <v>100</v>
      </c>
      <c r="AN2644">
        <v>1700</v>
      </c>
      <c r="AO2644" t="s">
        <v>118</v>
      </c>
      <c r="AP2644">
        <v>-108</v>
      </c>
      <c r="AQ2644">
        <v>79</v>
      </c>
      <c r="AR2644">
        <v>-192</v>
      </c>
      <c r="AZ2644">
        <v>1200</v>
      </c>
      <c r="BA2644">
        <v>1</v>
      </c>
      <c r="BB2644" t="str">
        <f t="shared" si="127"/>
        <v xml:space="preserve">N8080G  </v>
      </c>
      <c r="BC2644">
        <v>1</v>
      </c>
      <c r="BE2644">
        <v>0</v>
      </c>
      <c r="BF2644">
        <v>0</v>
      </c>
      <c r="BG2644">
        <v>0</v>
      </c>
      <c r="BH2644">
        <v>1675</v>
      </c>
      <c r="BI2644">
        <v>1</v>
      </c>
      <c r="BJ2644">
        <v>1</v>
      </c>
      <c r="BK2644">
        <v>1</v>
      </c>
      <c r="BL2644">
        <v>0</v>
      </c>
      <c r="BO2644">
        <v>0</v>
      </c>
      <c r="BP2644">
        <v>0</v>
      </c>
      <c r="BW2644" t="str">
        <f>"20:28:40.612"</f>
        <v>20:28:40.612</v>
      </c>
      <c r="BZ2644">
        <v>0</v>
      </c>
      <c r="CA2644">
        <v>1792</v>
      </c>
      <c r="CB2644">
        <v>224</v>
      </c>
      <c r="CD2644">
        <v>1</v>
      </c>
      <c r="CE2644">
        <v>0</v>
      </c>
      <c r="CF2644">
        <v>0</v>
      </c>
      <c r="CG2644">
        <v>0</v>
      </c>
      <c r="CH2644">
        <v>0</v>
      </c>
      <c r="CI2644">
        <v>0</v>
      </c>
      <c r="CJ2644">
        <v>0</v>
      </c>
      <c r="CK2644">
        <v>2</v>
      </c>
      <c r="CL2644">
        <v>0</v>
      </c>
      <c r="CM2644">
        <v>2</v>
      </c>
      <c r="CN2644">
        <v>0</v>
      </c>
      <c r="CO2644">
        <v>4</v>
      </c>
      <c r="CP2644" t="s">
        <v>119</v>
      </c>
      <c r="CQ2644">
        <v>179</v>
      </c>
      <c r="CR2644">
        <v>1</v>
      </c>
      <c r="CW2644">
        <v>9042531</v>
      </c>
      <c r="CY2644">
        <v>1</v>
      </c>
      <c r="CZ2644">
        <v>0</v>
      </c>
      <c r="DA2644">
        <v>1</v>
      </c>
      <c r="DB2644">
        <v>0</v>
      </c>
      <c r="DC2644">
        <v>0</v>
      </c>
      <c r="DD2644">
        <v>0</v>
      </c>
      <c r="DE2644">
        <v>0</v>
      </c>
      <c r="DF2644">
        <v>0</v>
      </c>
      <c r="DG2644">
        <v>0</v>
      </c>
      <c r="DH2644">
        <v>0</v>
      </c>
      <c r="DI2644">
        <v>0</v>
      </c>
    </row>
    <row r="2645" spans="1:113" x14ac:dyDescent="0.3">
      <c r="A2645" t="str">
        <f>"02/08/2021 20:28:38.287"</f>
        <v>02/08/2021 20:28:38.287</v>
      </c>
      <c r="C2645" t="str">
        <f t="shared" si="126"/>
        <v>FFDFD7C0</v>
      </c>
      <c r="D2645" t="s">
        <v>124</v>
      </c>
      <c r="E2645">
        <v>11</v>
      </c>
      <c r="F2645">
        <v>1011</v>
      </c>
      <c r="G2645" t="s">
        <v>590</v>
      </c>
      <c r="J2645" t="s">
        <v>125</v>
      </c>
      <c r="K2645">
        <v>0</v>
      </c>
      <c r="L2645">
        <v>3</v>
      </c>
      <c r="M2645">
        <v>0</v>
      </c>
      <c r="N2645">
        <v>2</v>
      </c>
      <c r="O2645">
        <v>1</v>
      </c>
      <c r="P2645">
        <v>0</v>
      </c>
      <c r="Q2645">
        <v>0</v>
      </c>
      <c r="S2645" t="str">
        <f>"20:28:40.609"</f>
        <v>20:28:40.609</v>
      </c>
      <c r="T2645" t="str">
        <f>"20:28:40.109"</f>
        <v>20:28:40.109</v>
      </c>
      <c r="U2645" t="str">
        <f t="shared" si="128"/>
        <v>AB01F4</v>
      </c>
      <c r="V2645">
        <v>0</v>
      </c>
      <c r="W2645">
        <v>0</v>
      </c>
      <c r="X2645">
        <v>2</v>
      </c>
      <c r="Z2645">
        <v>0</v>
      </c>
      <c r="AA2645">
        <v>9</v>
      </c>
      <c r="AB2645">
        <v>3</v>
      </c>
      <c r="AC2645">
        <v>0</v>
      </c>
      <c r="AD2645">
        <v>10</v>
      </c>
      <c r="AE2645">
        <v>0</v>
      </c>
      <c r="AF2645">
        <v>3</v>
      </c>
      <c r="AG2645">
        <v>2</v>
      </c>
      <c r="AH2645">
        <v>0</v>
      </c>
      <c r="AI2645" t="s">
        <v>1571</v>
      </c>
      <c r="AJ2645">
        <v>40.010232999999999</v>
      </c>
      <c r="AK2645" t="s">
        <v>1572</v>
      </c>
      <c r="AL2645">
        <v>-92.766473000000005</v>
      </c>
      <c r="AM2645">
        <v>100</v>
      </c>
      <c r="AN2645">
        <v>1700</v>
      </c>
      <c r="AO2645" t="s">
        <v>118</v>
      </c>
      <c r="AP2645">
        <v>-108</v>
      </c>
      <c r="AQ2645">
        <v>79</v>
      </c>
      <c r="AR2645">
        <v>-192</v>
      </c>
      <c r="AZ2645">
        <v>1200</v>
      </c>
      <c r="BA2645">
        <v>1</v>
      </c>
      <c r="BB2645" t="str">
        <f t="shared" si="127"/>
        <v xml:space="preserve">N8080G  </v>
      </c>
      <c r="BC2645">
        <v>1</v>
      </c>
      <c r="BE2645">
        <v>0</v>
      </c>
      <c r="BF2645">
        <v>0</v>
      </c>
      <c r="BG2645">
        <v>0</v>
      </c>
      <c r="BH2645">
        <v>1675</v>
      </c>
      <c r="BI2645">
        <v>1</v>
      </c>
      <c r="BJ2645">
        <v>1</v>
      </c>
      <c r="BK2645">
        <v>1</v>
      </c>
      <c r="BL2645">
        <v>0</v>
      </c>
      <c r="BO2645">
        <v>0</v>
      </c>
      <c r="BP2645">
        <v>0</v>
      </c>
      <c r="BW2645" t="str">
        <f>"20:28:40.612"</f>
        <v>20:28:40.612</v>
      </c>
      <c r="BZ2645">
        <v>0</v>
      </c>
      <c r="CA2645">
        <v>1792</v>
      </c>
      <c r="CB2645">
        <v>224</v>
      </c>
      <c r="CD2645">
        <v>1</v>
      </c>
      <c r="CE2645">
        <v>0</v>
      </c>
      <c r="CF2645">
        <v>0</v>
      </c>
      <c r="CG2645">
        <v>0</v>
      </c>
      <c r="CH2645">
        <v>0</v>
      </c>
      <c r="CI2645">
        <v>0</v>
      </c>
      <c r="CJ2645">
        <v>0</v>
      </c>
      <c r="CK2645">
        <v>2</v>
      </c>
      <c r="CL2645">
        <v>0</v>
      </c>
      <c r="CM2645">
        <v>2</v>
      </c>
      <c r="CN2645">
        <v>0</v>
      </c>
      <c r="CO2645">
        <v>4</v>
      </c>
      <c r="CP2645" t="s">
        <v>119</v>
      </c>
      <c r="CQ2645">
        <v>179</v>
      </c>
      <c r="CR2645">
        <v>1</v>
      </c>
      <c r="CW2645">
        <v>9042531</v>
      </c>
      <c r="CY2645">
        <v>1</v>
      </c>
      <c r="CZ2645">
        <v>0</v>
      </c>
      <c r="DA2645">
        <v>1</v>
      </c>
      <c r="DB2645">
        <v>0</v>
      </c>
      <c r="DC2645">
        <v>0</v>
      </c>
      <c r="DD2645">
        <v>0</v>
      </c>
      <c r="DE2645">
        <v>0</v>
      </c>
      <c r="DF2645">
        <v>0</v>
      </c>
      <c r="DG2645">
        <v>0</v>
      </c>
      <c r="DH2645">
        <v>0</v>
      </c>
      <c r="DI2645">
        <v>0</v>
      </c>
    </row>
    <row r="2646" spans="1:113" x14ac:dyDescent="0.3">
      <c r="A2646" t="str">
        <f>"02/08/2021 20:28:38.287"</f>
        <v>02/08/2021 20:28:38.287</v>
      </c>
      <c r="C2646" t="str">
        <f t="shared" si="126"/>
        <v>FFDFD7C0</v>
      </c>
      <c r="D2646" t="s">
        <v>124</v>
      </c>
      <c r="E2646">
        <v>12</v>
      </c>
      <c r="F2646">
        <v>1012</v>
      </c>
      <c r="G2646" t="s">
        <v>675</v>
      </c>
      <c r="J2646" t="s">
        <v>125</v>
      </c>
      <c r="K2646">
        <v>0</v>
      </c>
      <c r="L2646">
        <v>3</v>
      </c>
      <c r="M2646">
        <v>0</v>
      </c>
      <c r="N2646">
        <v>2</v>
      </c>
      <c r="O2646">
        <v>1</v>
      </c>
      <c r="P2646">
        <v>0</v>
      </c>
      <c r="Q2646">
        <v>0</v>
      </c>
      <c r="S2646" t="str">
        <f>"20:28:40.609"</f>
        <v>20:28:40.609</v>
      </c>
      <c r="T2646" t="str">
        <f>"20:28:40.109"</f>
        <v>20:28:40.109</v>
      </c>
      <c r="U2646" t="str">
        <f t="shared" si="128"/>
        <v>AB01F4</v>
      </c>
      <c r="V2646">
        <v>0</v>
      </c>
      <c r="W2646">
        <v>0</v>
      </c>
      <c r="X2646">
        <v>2</v>
      </c>
      <c r="Z2646">
        <v>0</v>
      </c>
      <c r="AA2646">
        <v>9</v>
      </c>
      <c r="AB2646">
        <v>3</v>
      </c>
      <c r="AC2646">
        <v>0</v>
      </c>
      <c r="AD2646">
        <v>10</v>
      </c>
      <c r="AE2646">
        <v>0</v>
      </c>
      <c r="AF2646">
        <v>3</v>
      </c>
      <c r="AG2646">
        <v>2</v>
      </c>
      <c r="AH2646">
        <v>0</v>
      </c>
      <c r="AI2646" t="s">
        <v>1571</v>
      </c>
      <c r="AJ2646">
        <v>40.010232999999999</v>
      </c>
      <c r="AK2646" t="s">
        <v>1572</v>
      </c>
      <c r="AL2646">
        <v>-92.766473000000005</v>
      </c>
      <c r="AM2646">
        <v>100</v>
      </c>
      <c r="AN2646">
        <v>1700</v>
      </c>
      <c r="AO2646" t="s">
        <v>118</v>
      </c>
      <c r="AP2646">
        <v>-108</v>
      </c>
      <c r="AQ2646">
        <v>79</v>
      </c>
      <c r="AR2646">
        <v>-192</v>
      </c>
      <c r="AZ2646">
        <v>1200</v>
      </c>
      <c r="BA2646">
        <v>1</v>
      </c>
      <c r="BB2646" t="str">
        <f t="shared" si="127"/>
        <v xml:space="preserve">N8080G  </v>
      </c>
      <c r="BC2646">
        <v>1</v>
      </c>
      <c r="BE2646">
        <v>0</v>
      </c>
      <c r="BF2646">
        <v>0</v>
      </c>
      <c r="BG2646">
        <v>0</v>
      </c>
      <c r="BH2646">
        <v>1675</v>
      </c>
      <c r="BI2646">
        <v>1</v>
      </c>
      <c r="BJ2646">
        <v>1</v>
      </c>
      <c r="BK2646">
        <v>1</v>
      </c>
      <c r="BL2646">
        <v>0</v>
      </c>
      <c r="BO2646">
        <v>0</v>
      </c>
      <c r="BP2646">
        <v>0</v>
      </c>
      <c r="BW2646" t="str">
        <f>"20:28:40.612"</f>
        <v>20:28:40.612</v>
      </c>
      <c r="BZ2646">
        <v>0</v>
      </c>
      <c r="CA2646">
        <v>1792</v>
      </c>
      <c r="CB2646">
        <v>224</v>
      </c>
      <c r="CD2646">
        <v>1</v>
      </c>
      <c r="CE2646">
        <v>0</v>
      </c>
      <c r="CF2646">
        <v>0</v>
      </c>
      <c r="CG2646">
        <v>0</v>
      </c>
      <c r="CH2646">
        <v>0</v>
      </c>
      <c r="CI2646">
        <v>0</v>
      </c>
      <c r="CJ2646">
        <v>0</v>
      </c>
      <c r="CK2646">
        <v>2</v>
      </c>
      <c r="CL2646">
        <v>0</v>
      </c>
      <c r="CM2646">
        <v>2</v>
      </c>
      <c r="CN2646">
        <v>0</v>
      </c>
      <c r="CO2646">
        <v>4</v>
      </c>
      <c r="CP2646" t="s">
        <v>119</v>
      </c>
      <c r="CQ2646">
        <v>179</v>
      </c>
      <c r="CR2646">
        <v>1</v>
      </c>
      <c r="CW2646">
        <v>9042531</v>
      </c>
      <c r="CY2646">
        <v>1</v>
      </c>
      <c r="CZ2646">
        <v>0</v>
      </c>
      <c r="DA2646">
        <v>1</v>
      </c>
      <c r="DB2646">
        <v>0</v>
      </c>
      <c r="DC2646">
        <v>0</v>
      </c>
      <c r="DD2646">
        <v>0</v>
      </c>
      <c r="DE2646">
        <v>0</v>
      </c>
      <c r="DF2646">
        <v>0</v>
      </c>
      <c r="DG2646">
        <v>0</v>
      </c>
      <c r="DH2646">
        <v>0</v>
      </c>
      <c r="DI2646">
        <v>0</v>
      </c>
    </row>
    <row r="2647" spans="1:113" x14ac:dyDescent="0.3">
      <c r="A2647" t="str">
        <f>"02/08/2021 20:28:39.194"</f>
        <v>02/08/2021 20:28:39.194</v>
      </c>
      <c r="C2647" t="str">
        <f t="shared" si="126"/>
        <v>FFDFD7C0</v>
      </c>
      <c r="D2647" t="s">
        <v>124</v>
      </c>
      <c r="E2647">
        <v>13</v>
      </c>
      <c r="F2647">
        <v>1013</v>
      </c>
      <c r="G2647" t="s">
        <v>114</v>
      </c>
      <c r="J2647" t="s">
        <v>125</v>
      </c>
      <c r="K2647">
        <v>0</v>
      </c>
      <c r="L2647">
        <v>3</v>
      </c>
      <c r="M2647">
        <v>0</v>
      </c>
      <c r="N2647">
        <v>2</v>
      </c>
      <c r="O2647">
        <v>1</v>
      </c>
      <c r="P2647">
        <v>0</v>
      </c>
      <c r="Q2647">
        <v>0</v>
      </c>
      <c r="S2647" t="str">
        <f>"20:28:41.492"</f>
        <v>20:28:41.492</v>
      </c>
      <c r="T2647" t="str">
        <f>"20:28:40.192"</f>
        <v>20:28:40.192</v>
      </c>
      <c r="U2647" t="str">
        <f t="shared" si="128"/>
        <v>AB01F4</v>
      </c>
      <c r="V2647">
        <v>0</v>
      </c>
      <c r="W2647">
        <v>0</v>
      </c>
      <c r="X2647">
        <v>2</v>
      </c>
      <c r="Z2647">
        <v>0</v>
      </c>
      <c r="AA2647">
        <v>9</v>
      </c>
      <c r="AB2647">
        <v>3</v>
      </c>
      <c r="AC2647">
        <v>0</v>
      </c>
      <c r="AD2647">
        <v>10</v>
      </c>
      <c r="AE2647">
        <v>0</v>
      </c>
      <c r="AF2647">
        <v>3</v>
      </c>
      <c r="AG2647">
        <v>2</v>
      </c>
      <c r="AH2647">
        <v>0</v>
      </c>
      <c r="AI2647" t="s">
        <v>1573</v>
      </c>
      <c r="AJ2647">
        <v>40.010576</v>
      </c>
      <c r="AK2647" t="s">
        <v>1574</v>
      </c>
      <c r="AL2647">
        <v>-92.767053000000004</v>
      </c>
      <c r="AM2647">
        <v>100</v>
      </c>
      <c r="AN2647">
        <v>1700</v>
      </c>
      <c r="AO2647" t="s">
        <v>118</v>
      </c>
      <c r="AP2647">
        <v>-108</v>
      </c>
      <c r="AQ2647">
        <v>79</v>
      </c>
      <c r="AR2647">
        <v>-192</v>
      </c>
      <c r="AZ2647">
        <v>1200</v>
      </c>
      <c r="BA2647">
        <v>1</v>
      </c>
      <c r="BB2647" t="str">
        <f t="shared" si="127"/>
        <v xml:space="preserve">N8080G  </v>
      </c>
      <c r="BC2647">
        <v>1</v>
      </c>
      <c r="BE2647">
        <v>0</v>
      </c>
      <c r="BF2647">
        <v>0</v>
      </c>
      <c r="BG2647">
        <v>0</v>
      </c>
      <c r="BH2647">
        <v>1675</v>
      </c>
      <c r="BI2647">
        <v>1</v>
      </c>
      <c r="BJ2647">
        <v>1</v>
      </c>
      <c r="BK2647">
        <v>1</v>
      </c>
      <c r="BL2647">
        <v>0</v>
      </c>
      <c r="BO2647">
        <v>0</v>
      </c>
      <c r="BP2647">
        <v>0</v>
      </c>
      <c r="BW2647" t="str">
        <f>"20:28:41.495"</f>
        <v>20:28:41.495</v>
      </c>
      <c r="BZ2647">
        <v>0</v>
      </c>
      <c r="CA2647">
        <v>1792</v>
      </c>
      <c r="CB2647">
        <v>224</v>
      </c>
      <c r="CD2647">
        <v>1</v>
      </c>
      <c r="CE2647">
        <v>0</v>
      </c>
      <c r="CF2647">
        <v>0</v>
      </c>
      <c r="CG2647">
        <v>0</v>
      </c>
      <c r="CH2647">
        <v>0</v>
      </c>
      <c r="CI2647">
        <v>0</v>
      </c>
      <c r="CJ2647">
        <v>0</v>
      </c>
      <c r="CK2647">
        <v>2</v>
      </c>
      <c r="CL2647">
        <v>0</v>
      </c>
      <c r="CM2647">
        <v>2</v>
      </c>
      <c r="CN2647">
        <v>0</v>
      </c>
      <c r="CO2647">
        <v>4</v>
      </c>
      <c r="CP2647" t="s">
        <v>119</v>
      </c>
      <c r="CQ2647">
        <v>179</v>
      </c>
      <c r="CR2647">
        <v>1</v>
      </c>
      <c r="CW2647">
        <v>9043432</v>
      </c>
      <c r="CY2647">
        <v>1</v>
      </c>
      <c r="CZ2647">
        <v>0</v>
      </c>
      <c r="DA2647">
        <v>0</v>
      </c>
      <c r="DB2647">
        <v>0</v>
      </c>
      <c r="DC2647">
        <v>0</v>
      </c>
      <c r="DD2647">
        <v>0</v>
      </c>
      <c r="DE2647">
        <v>0</v>
      </c>
      <c r="DF2647">
        <v>0</v>
      </c>
      <c r="DG2647">
        <v>0</v>
      </c>
      <c r="DH2647">
        <v>0</v>
      </c>
      <c r="DI2647">
        <v>0</v>
      </c>
    </row>
    <row r="2648" spans="1:113" x14ac:dyDescent="0.3">
      <c r="A2648" t="str">
        <f>"02/08/2021 20:28:39.194"</f>
        <v>02/08/2021 20:28:39.194</v>
      </c>
      <c r="C2648" t="str">
        <f t="shared" si="126"/>
        <v>FFDFD7C0</v>
      </c>
      <c r="D2648" t="s">
        <v>113</v>
      </c>
      <c r="E2648">
        <v>6</v>
      </c>
      <c r="H2648">
        <v>165</v>
      </c>
      <c r="I2648" t="s">
        <v>114</v>
      </c>
      <c r="J2648" t="s">
        <v>115</v>
      </c>
      <c r="K2648">
        <v>0</v>
      </c>
      <c r="L2648">
        <v>3</v>
      </c>
      <c r="M2648">
        <v>0</v>
      </c>
      <c r="N2648">
        <v>2</v>
      </c>
      <c r="O2648">
        <v>1</v>
      </c>
      <c r="P2648">
        <v>0</v>
      </c>
      <c r="Q2648">
        <v>0</v>
      </c>
      <c r="S2648" t="str">
        <f>"20:28:41.492"</f>
        <v>20:28:41.492</v>
      </c>
      <c r="T2648" t="str">
        <f>"20:28:40.192"</f>
        <v>20:28:40.192</v>
      </c>
      <c r="U2648" t="str">
        <f t="shared" si="128"/>
        <v>AB01F4</v>
      </c>
      <c r="V2648">
        <v>0</v>
      </c>
      <c r="W2648">
        <v>0</v>
      </c>
      <c r="X2648">
        <v>2</v>
      </c>
      <c r="Z2648">
        <v>0</v>
      </c>
      <c r="AA2648">
        <v>9</v>
      </c>
      <c r="AB2648">
        <v>3</v>
      </c>
      <c r="AC2648">
        <v>0</v>
      </c>
      <c r="AD2648">
        <v>10</v>
      </c>
      <c r="AE2648">
        <v>0</v>
      </c>
      <c r="AF2648">
        <v>3</v>
      </c>
      <c r="AG2648">
        <v>2</v>
      </c>
      <c r="AH2648">
        <v>0</v>
      </c>
      <c r="AI2648" t="s">
        <v>1573</v>
      </c>
      <c r="AJ2648">
        <v>40.010576</v>
      </c>
      <c r="AK2648" t="s">
        <v>1574</v>
      </c>
      <c r="AL2648">
        <v>-92.767053000000004</v>
      </c>
      <c r="AM2648">
        <v>100</v>
      </c>
      <c r="AN2648">
        <v>1700</v>
      </c>
      <c r="AO2648" t="s">
        <v>118</v>
      </c>
      <c r="AP2648">
        <v>-108</v>
      </c>
      <c r="AQ2648">
        <v>79</v>
      </c>
      <c r="AR2648">
        <v>-192</v>
      </c>
      <c r="AZ2648">
        <v>1200</v>
      </c>
      <c r="BA2648">
        <v>1</v>
      </c>
      <c r="BB2648" t="str">
        <f t="shared" si="127"/>
        <v xml:space="preserve">N8080G  </v>
      </c>
      <c r="BC2648">
        <v>1</v>
      </c>
      <c r="BE2648">
        <v>0</v>
      </c>
      <c r="BF2648">
        <v>0</v>
      </c>
      <c r="BG2648">
        <v>0</v>
      </c>
      <c r="BH2648">
        <v>1675</v>
      </c>
      <c r="BI2648">
        <v>1</v>
      </c>
      <c r="BJ2648">
        <v>1</v>
      </c>
      <c r="BK2648">
        <v>1</v>
      </c>
      <c r="BL2648">
        <v>0</v>
      </c>
      <c r="BO2648">
        <v>0</v>
      </c>
      <c r="BP2648">
        <v>0</v>
      </c>
      <c r="BW2648" t="str">
        <f>"20:28:41.495"</f>
        <v>20:28:41.495</v>
      </c>
      <c r="BZ2648">
        <v>0</v>
      </c>
      <c r="CA2648">
        <v>1792</v>
      </c>
      <c r="CB2648">
        <v>224</v>
      </c>
      <c r="CD2648">
        <v>1</v>
      </c>
      <c r="CE2648">
        <v>0</v>
      </c>
      <c r="CF2648">
        <v>0</v>
      </c>
      <c r="CG2648">
        <v>0</v>
      </c>
      <c r="CH2648">
        <v>0</v>
      </c>
      <c r="CI2648">
        <v>0</v>
      </c>
      <c r="CJ2648">
        <v>0</v>
      </c>
      <c r="CK2648">
        <v>2</v>
      </c>
      <c r="CL2648">
        <v>0</v>
      </c>
      <c r="CM2648">
        <v>2</v>
      </c>
      <c r="CN2648">
        <v>0</v>
      </c>
      <c r="CO2648">
        <v>4</v>
      </c>
      <c r="CP2648" t="s">
        <v>119</v>
      </c>
      <c r="CQ2648">
        <v>179</v>
      </c>
      <c r="CR2648">
        <v>1</v>
      </c>
      <c r="CW2648">
        <v>9043432</v>
      </c>
      <c r="CY2648">
        <v>1</v>
      </c>
      <c r="CZ2648">
        <v>0</v>
      </c>
      <c r="DA2648">
        <v>1</v>
      </c>
      <c r="DB2648">
        <v>0</v>
      </c>
      <c r="DC2648">
        <v>0</v>
      </c>
      <c r="DD2648">
        <v>0</v>
      </c>
      <c r="DE2648">
        <v>0</v>
      </c>
      <c r="DF2648">
        <v>0</v>
      </c>
      <c r="DG2648">
        <v>0</v>
      </c>
      <c r="DH2648">
        <v>0</v>
      </c>
      <c r="DI2648">
        <v>0</v>
      </c>
    </row>
    <row r="2649" spans="1:113" x14ac:dyDescent="0.3">
      <c r="A2649" t="str">
        <f>"02/08/2021 20:28:39.194"</f>
        <v>02/08/2021 20:28:39.194</v>
      </c>
      <c r="C2649" t="str">
        <f t="shared" si="126"/>
        <v>FFDFD7C0</v>
      </c>
      <c r="D2649" t="s">
        <v>124</v>
      </c>
      <c r="E2649">
        <v>11</v>
      </c>
      <c r="F2649">
        <v>1011</v>
      </c>
      <c r="G2649" t="s">
        <v>590</v>
      </c>
      <c r="J2649" t="s">
        <v>125</v>
      </c>
      <c r="K2649">
        <v>0</v>
      </c>
      <c r="L2649">
        <v>3</v>
      </c>
      <c r="M2649">
        <v>0</v>
      </c>
      <c r="N2649">
        <v>2</v>
      </c>
      <c r="O2649">
        <v>1</v>
      </c>
      <c r="P2649">
        <v>0</v>
      </c>
      <c r="Q2649">
        <v>0</v>
      </c>
      <c r="S2649" t="str">
        <f>"20:28:41.492"</f>
        <v>20:28:41.492</v>
      </c>
      <c r="T2649" t="str">
        <f>"20:28:40.192"</f>
        <v>20:28:40.192</v>
      </c>
      <c r="U2649" t="str">
        <f t="shared" si="128"/>
        <v>AB01F4</v>
      </c>
      <c r="V2649">
        <v>0</v>
      </c>
      <c r="W2649">
        <v>0</v>
      </c>
      <c r="X2649">
        <v>2</v>
      </c>
      <c r="Z2649">
        <v>0</v>
      </c>
      <c r="AA2649">
        <v>9</v>
      </c>
      <c r="AB2649">
        <v>3</v>
      </c>
      <c r="AC2649">
        <v>0</v>
      </c>
      <c r="AD2649">
        <v>10</v>
      </c>
      <c r="AE2649">
        <v>0</v>
      </c>
      <c r="AF2649">
        <v>3</v>
      </c>
      <c r="AG2649">
        <v>2</v>
      </c>
      <c r="AH2649">
        <v>0</v>
      </c>
      <c r="AI2649" t="s">
        <v>1573</v>
      </c>
      <c r="AJ2649">
        <v>40.010576</v>
      </c>
      <c r="AK2649" t="s">
        <v>1574</v>
      </c>
      <c r="AL2649">
        <v>-92.767053000000004</v>
      </c>
      <c r="AM2649">
        <v>100</v>
      </c>
      <c r="AN2649">
        <v>1700</v>
      </c>
      <c r="AO2649" t="s">
        <v>118</v>
      </c>
      <c r="AP2649">
        <v>-108</v>
      </c>
      <c r="AQ2649">
        <v>79</v>
      </c>
      <c r="AR2649">
        <v>-192</v>
      </c>
      <c r="AZ2649">
        <v>1200</v>
      </c>
      <c r="BA2649">
        <v>1</v>
      </c>
      <c r="BB2649" t="str">
        <f t="shared" si="127"/>
        <v xml:space="preserve">N8080G  </v>
      </c>
      <c r="BC2649">
        <v>1</v>
      </c>
      <c r="BE2649">
        <v>0</v>
      </c>
      <c r="BF2649">
        <v>0</v>
      </c>
      <c r="BG2649">
        <v>0</v>
      </c>
      <c r="BH2649">
        <v>1675</v>
      </c>
      <c r="BI2649">
        <v>1</v>
      </c>
      <c r="BJ2649">
        <v>1</v>
      </c>
      <c r="BK2649">
        <v>1</v>
      </c>
      <c r="BL2649">
        <v>0</v>
      </c>
      <c r="BO2649">
        <v>0</v>
      </c>
      <c r="BP2649">
        <v>0</v>
      </c>
      <c r="BW2649" t="str">
        <f>"20:28:41.495"</f>
        <v>20:28:41.495</v>
      </c>
      <c r="BZ2649">
        <v>0</v>
      </c>
      <c r="CA2649">
        <v>1792</v>
      </c>
      <c r="CB2649">
        <v>224</v>
      </c>
      <c r="CD2649">
        <v>1</v>
      </c>
      <c r="CE2649">
        <v>0</v>
      </c>
      <c r="CF2649">
        <v>0</v>
      </c>
      <c r="CG2649">
        <v>0</v>
      </c>
      <c r="CH2649">
        <v>0</v>
      </c>
      <c r="CI2649">
        <v>0</v>
      </c>
      <c r="CJ2649">
        <v>0</v>
      </c>
      <c r="CK2649">
        <v>2</v>
      </c>
      <c r="CL2649">
        <v>0</v>
      </c>
      <c r="CM2649">
        <v>2</v>
      </c>
      <c r="CN2649">
        <v>0</v>
      </c>
      <c r="CO2649">
        <v>4</v>
      </c>
      <c r="CP2649" t="s">
        <v>119</v>
      </c>
      <c r="CQ2649">
        <v>179</v>
      </c>
      <c r="CR2649">
        <v>1</v>
      </c>
      <c r="CW2649">
        <v>9043432</v>
      </c>
      <c r="CY2649">
        <v>1</v>
      </c>
      <c r="CZ2649">
        <v>0</v>
      </c>
      <c r="DA2649">
        <v>1</v>
      </c>
      <c r="DB2649">
        <v>0</v>
      </c>
      <c r="DC2649">
        <v>0</v>
      </c>
      <c r="DD2649">
        <v>0</v>
      </c>
      <c r="DE2649">
        <v>0</v>
      </c>
      <c r="DF2649">
        <v>0</v>
      </c>
      <c r="DG2649">
        <v>0</v>
      </c>
      <c r="DH2649">
        <v>0</v>
      </c>
      <c r="DI2649">
        <v>0</v>
      </c>
    </row>
    <row r="2650" spans="1:113" x14ac:dyDescent="0.3">
      <c r="A2650" t="str">
        <f>"02/08/2021 20:28:39.194"</f>
        <v>02/08/2021 20:28:39.194</v>
      </c>
      <c r="C2650" t="str">
        <f t="shared" si="126"/>
        <v>FFDFD7C0</v>
      </c>
      <c r="D2650" t="s">
        <v>124</v>
      </c>
      <c r="E2650">
        <v>12</v>
      </c>
      <c r="F2650">
        <v>1012</v>
      </c>
      <c r="G2650" t="s">
        <v>675</v>
      </c>
      <c r="J2650" t="s">
        <v>125</v>
      </c>
      <c r="K2650">
        <v>0</v>
      </c>
      <c r="L2650">
        <v>3</v>
      </c>
      <c r="M2650">
        <v>0</v>
      </c>
      <c r="N2650">
        <v>2</v>
      </c>
      <c r="O2650">
        <v>1</v>
      </c>
      <c r="P2650">
        <v>0</v>
      </c>
      <c r="Q2650">
        <v>0</v>
      </c>
      <c r="S2650" t="str">
        <f>"20:28:41.492"</f>
        <v>20:28:41.492</v>
      </c>
      <c r="T2650" t="str">
        <f>"20:28:40.192"</f>
        <v>20:28:40.192</v>
      </c>
      <c r="U2650" t="str">
        <f t="shared" si="128"/>
        <v>AB01F4</v>
      </c>
      <c r="V2650">
        <v>0</v>
      </c>
      <c r="W2650">
        <v>0</v>
      </c>
      <c r="X2650">
        <v>2</v>
      </c>
      <c r="Z2650">
        <v>0</v>
      </c>
      <c r="AA2650">
        <v>9</v>
      </c>
      <c r="AB2650">
        <v>3</v>
      </c>
      <c r="AC2650">
        <v>0</v>
      </c>
      <c r="AD2650">
        <v>10</v>
      </c>
      <c r="AE2650">
        <v>0</v>
      </c>
      <c r="AF2650">
        <v>3</v>
      </c>
      <c r="AG2650">
        <v>2</v>
      </c>
      <c r="AH2650">
        <v>0</v>
      </c>
      <c r="AI2650" t="s">
        <v>1573</v>
      </c>
      <c r="AJ2650">
        <v>40.010576</v>
      </c>
      <c r="AK2650" t="s">
        <v>1574</v>
      </c>
      <c r="AL2650">
        <v>-92.767053000000004</v>
      </c>
      <c r="AM2650">
        <v>100</v>
      </c>
      <c r="AN2650">
        <v>1700</v>
      </c>
      <c r="AO2650" t="s">
        <v>118</v>
      </c>
      <c r="AP2650">
        <v>-108</v>
      </c>
      <c r="AQ2650">
        <v>79</v>
      </c>
      <c r="AR2650">
        <v>-192</v>
      </c>
      <c r="AZ2650">
        <v>1200</v>
      </c>
      <c r="BA2650">
        <v>1</v>
      </c>
      <c r="BB2650" t="str">
        <f t="shared" si="127"/>
        <v xml:space="preserve">N8080G  </v>
      </c>
      <c r="BC2650">
        <v>1</v>
      </c>
      <c r="BE2650">
        <v>0</v>
      </c>
      <c r="BF2650">
        <v>0</v>
      </c>
      <c r="BG2650">
        <v>0</v>
      </c>
      <c r="BH2650">
        <v>1675</v>
      </c>
      <c r="BI2650">
        <v>1</v>
      </c>
      <c r="BJ2650">
        <v>1</v>
      </c>
      <c r="BK2650">
        <v>1</v>
      </c>
      <c r="BL2650">
        <v>0</v>
      </c>
      <c r="BO2650">
        <v>0</v>
      </c>
      <c r="BP2650">
        <v>0</v>
      </c>
      <c r="BW2650" t="str">
        <f>"20:28:41.495"</f>
        <v>20:28:41.495</v>
      </c>
      <c r="BZ2650">
        <v>0</v>
      </c>
      <c r="CA2650">
        <v>1792</v>
      </c>
      <c r="CB2650">
        <v>224</v>
      </c>
      <c r="CD2650">
        <v>1</v>
      </c>
      <c r="CE2650">
        <v>0</v>
      </c>
      <c r="CF2650">
        <v>0</v>
      </c>
      <c r="CG2650">
        <v>0</v>
      </c>
      <c r="CH2650">
        <v>0</v>
      </c>
      <c r="CI2650">
        <v>0</v>
      </c>
      <c r="CJ2650">
        <v>0</v>
      </c>
      <c r="CK2650">
        <v>2</v>
      </c>
      <c r="CL2650">
        <v>0</v>
      </c>
      <c r="CM2650">
        <v>2</v>
      </c>
      <c r="CN2650">
        <v>0</v>
      </c>
      <c r="CO2650">
        <v>4</v>
      </c>
      <c r="CP2650" t="s">
        <v>119</v>
      </c>
      <c r="CQ2650">
        <v>179</v>
      </c>
      <c r="CR2650">
        <v>1</v>
      </c>
      <c r="CW2650">
        <v>9043432</v>
      </c>
      <c r="CY2650">
        <v>1</v>
      </c>
      <c r="CZ2650">
        <v>0</v>
      </c>
      <c r="DA2650">
        <v>1</v>
      </c>
      <c r="DB2650">
        <v>0</v>
      </c>
      <c r="DC2650">
        <v>0</v>
      </c>
      <c r="DD2650">
        <v>0</v>
      </c>
      <c r="DE2650">
        <v>0</v>
      </c>
      <c r="DF2650">
        <v>0</v>
      </c>
      <c r="DG2650">
        <v>0</v>
      </c>
      <c r="DH2650">
        <v>0</v>
      </c>
      <c r="DI2650">
        <v>0</v>
      </c>
    </row>
    <row r="2651" spans="1:113" x14ac:dyDescent="0.3">
      <c r="A2651" t="str">
        <f>"02/08/2021 20:28:40.220"</f>
        <v>02/08/2021 20:28:40.220</v>
      </c>
      <c r="C2651" t="str">
        <f t="shared" si="126"/>
        <v>FFDFD7C0</v>
      </c>
      <c r="D2651" t="s">
        <v>113</v>
      </c>
      <c r="E2651">
        <v>6</v>
      </c>
      <c r="H2651">
        <v>165</v>
      </c>
      <c r="I2651" t="s">
        <v>114</v>
      </c>
      <c r="J2651" t="s">
        <v>115</v>
      </c>
      <c r="K2651">
        <v>0</v>
      </c>
      <c r="L2651">
        <v>3</v>
      </c>
      <c r="M2651">
        <v>0</v>
      </c>
      <c r="N2651">
        <v>2</v>
      </c>
      <c r="O2651">
        <v>1</v>
      </c>
      <c r="P2651">
        <v>0</v>
      </c>
      <c r="Q2651">
        <v>0</v>
      </c>
      <c r="S2651" t="str">
        <f>"20:28:42.531"</f>
        <v>20:28:42.531</v>
      </c>
      <c r="T2651" t="str">
        <f>"20:28:42.031"</f>
        <v>20:28:42.031</v>
      </c>
      <c r="U2651" t="str">
        <f t="shared" si="128"/>
        <v>AB01F4</v>
      </c>
      <c r="V2651">
        <v>0</v>
      </c>
      <c r="W2651">
        <v>0</v>
      </c>
      <c r="X2651">
        <v>2</v>
      </c>
      <c r="Z2651">
        <v>0</v>
      </c>
      <c r="AA2651">
        <v>9</v>
      </c>
      <c r="AB2651">
        <v>3</v>
      </c>
      <c r="AC2651">
        <v>0</v>
      </c>
      <c r="AD2651">
        <v>10</v>
      </c>
      <c r="AE2651">
        <v>0</v>
      </c>
      <c r="AF2651">
        <v>3</v>
      </c>
      <c r="AG2651">
        <v>2</v>
      </c>
      <c r="AH2651">
        <v>0</v>
      </c>
      <c r="AI2651" t="s">
        <v>1575</v>
      </c>
      <c r="AJ2651">
        <v>40.010961999999999</v>
      </c>
      <c r="AK2651" t="s">
        <v>1576</v>
      </c>
      <c r="AL2651">
        <v>-92.767760999999993</v>
      </c>
      <c r="AM2651">
        <v>100</v>
      </c>
      <c r="AN2651">
        <v>1700</v>
      </c>
      <c r="AO2651" t="s">
        <v>118</v>
      </c>
      <c r="AP2651">
        <v>-108</v>
      </c>
      <c r="AQ2651">
        <v>79</v>
      </c>
      <c r="AR2651">
        <v>-192</v>
      </c>
      <c r="AZ2651">
        <v>1200</v>
      </c>
      <c r="BA2651">
        <v>1</v>
      </c>
      <c r="BB2651" t="str">
        <f t="shared" si="127"/>
        <v xml:space="preserve">N8080G  </v>
      </c>
      <c r="BC2651">
        <v>1</v>
      </c>
      <c r="BE2651">
        <v>0</v>
      </c>
      <c r="BF2651">
        <v>0</v>
      </c>
      <c r="BG2651">
        <v>0</v>
      </c>
      <c r="BH2651">
        <v>1650</v>
      </c>
      <c r="BI2651">
        <v>1</v>
      </c>
      <c r="BJ2651">
        <v>1</v>
      </c>
      <c r="BK2651">
        <v>1</v>
      </c>
      <c r="BL2651">
        <v>0</v>
      </c>
      <c r="BO2651">
        <v>0</v>
      </c>
      <c r="BP2651">
        <v>0</v>
      </c>
      <c r="BW2651" t="str">
        <f>"20:28:42.537"</f>
        <v>20:28:42.537</v>
      </c>
      <c r="BZ2651">
        <v>0</v>
      </c>
      <c r="CA2651">
        <v>1792</v>
      </c>
      <c r="CB2651">
        <v>224</v>
      </c>
      <c r="CD2651">
        <v>1</v>
      </c>
      <c r="CE2651">
        <v>0</v>
      </c>
      <c r="CF2651">
        <v>0</v>
      </c>
      <c r="CG2651">
        <v>0</v>
      </c>
      <c r="CH2651">
        <v>0</v>
      </c>
      <c r="CI2651">
        <v>0</v>
      </c>
      <c r="CJ2651">
        <v>0</v>
      </c>
      <c r="CK2651">
        <v>2</v>
      </c>
      <c r="CL2651">
        <v>0</v>
      </c>
      <c r="CM2651">
        <v>2</v>
      </c>
      <c r="CN2651">
        <v>0</v>
      </c>
      <c r="CO2651">
        <v>4</v>
      </c>
      <c r="CP2651" t="s">
        <v>119</v>
      </c>
      <c r="CQ2651">
        <v>179</v>
      </c>
      <c r="CR2651">
        <v>1</v>
      </c>
      <c r="CW2651">
        <v>9044524</v>
      </c>
      <c r="CY2651">
        <v>1</v>
      </c>
      <c r="CZ2651">
        <v>0</v>
      </c>
      <c r="DA2651">
        <v>0</v>
      </c>
      <c r="DB2651">
        <v>0</v>
      </c>
      <c r="DC2651">
        <v>0</v>
      </c>
      <c r="DD2651">
        <v>0</v>
      </c>
      <c r="DE2651">
        <v>0</v>
      </c>
      <c r="DF2651">
        <v>0</v>
      </c>
      <c r="DG2651">
        <v>0</v>
      </c>
      <c r="DH2651">
        <v>0</v>
      </c>
      <c r="DI2651">
        <v>0</v>
      </c>
    </row>
    <row r="2652" spans="1:113" x14ac:dyDescent="0.3">
      <c r="A2652" t="str">
        <f>"02/08/2021 20:28:40.220"</f>
        <v>02/08/2021 20:28:40.220</v>
      </c>
      <c r="C2652" t="str">
        <f t="shared" si="126"/>
        <v>FFDFD7C0</v>
      </c>
      <c r="D2652" t="s">
        <v>124</v>
      </c>
      <c r="E2652">
        <v>12</v>
      </c>
      <c r="F2652">
        <v>1012</v>
      </c>
      <c r="G2652" t="s">
        <v>675</v>
      </c>
      <c r="J2652" t="s">
        <v>125</v>
      </c>
      <c r="K2652">
        <v>0</v>
      </c>
      <c r="L2652">
        <v>3</v>
      </c>
      <c r="M2652">
        <v>0</v>
      </c>
      <c r="N2652">
        <v>2</v>
      </c>
      <c r="O2652">
        <v>1</v>
      </c>
      <c r="P2652">
        <v>0</v>
      </c>
      <c r="Q2652">
        <v>0</v>
      </c>
      <c r="S2652" t="str">
        <f>"20:28:42.531"</f>
        <v>20:28:42.531</v>
      </c>
      <c r="T2652" t="str">
        <f>"20:28:42.031"</f>
        <v>20:28:42.031</v>
      </c>
      <c r="U2652" t="str">
        <f t="shared" si="128"/>
        <v>AB01F4</v>
      </c>
      <c r="V2652">
        <v>0</v>
      </c>
      <c r="W2652">
        <v>0</v>
      </c>
      <c r="X2652">
        <v>2</v>
      </c>
      <c r="Z2652">
        <v>0</v>
      </c>
      <c r="AA2652">
        <v>9</v>
      </c>
      <c r="AB2652">
        <v>3</v>
      </c>
      <c r="AC2652">
        <v>0</v>
      </c>
      <c r="AD2652">
        <v>10</v>
      </c>
      <c r="AE2652">
        <v>0</v>
      </c>
      <c r="AF2652">
        <v>3</v>
      </c>
      <c r="AG2652">
        <v>2</v>
      </c>
      <c r="AH2652">
        <v>0</v>
      </c>
      <c r="AI2652" t="s">
        <v>1575</v>
      </c>
      <c r="AJ2652">
        <v>40.010961999999999</v>
      </c>
      <c r="AK2652" t="s">
        <v>1576</v>
      </c>
      <c r="AL2652">
        <v>-92.767760999999993</v>
      </c>
      <c r="AM2652">
        <v>100</v>
      </c>
      <c r="AN2652">
        <v>1700</v>
      </c>
      <c r="AO2652" t="s">
        <v>118</v>
      </c>
      <c r="AP2652">
        <v>-108</v>
      </c>
      <c r="AQ2652">
        <v>79</v>
      </c>
      <c r="AR2652">
        <v>-192</v>
      </c>
      <c r="AZ2652">
        <v>1200</v>
      </c>
      <c r="BA2652">
        <v>1</v>
      </c>
      <c r="BB2652" t="str">
        <f t="shared" si="127"/>
        <v xml:space="preserve">N8080G  </v>
      </c>
      <c r="BC2652">
        <v>1</v>
      </c>
      <c r="BE2652">
        <v>0</v>
      </c>
      <c r="BF2652">
        <v>0</v>
      </c>
      <c r="BG2652">
        <v>0</v>
      </c>
      <c r="BH2652">
        <v>1650</v>
      </c>
      <c r="BI2652">
        <v>1</v>
      </c>
      <c r="BJ2652">
        <v>1</v>
      </c>
      <c r="BK2652">
        <v>1</v>
      </c>
      <c r="BL2652">
        <v>0</v>
      </c>
      <c r="BO2652">
        <v>0</v>
      </c>
      <c r="BP2652">
        <v>0</v>
      </c>
      <c r="BW2652" t="str">
        <f>"20:28:42.537"</f>
        <v>20:28:42.537</v>
      </c>
      <c r="BZ2652">
        <v>0</v>
      </c>
      <c r="CA2652">
        <v>1792</v>
      </c>
      <c r="CB2652">
        <v>224</v>
      </c>
      <c r="CD2652">
        <v>1</v>
      </c>
      <c r="CE2652">
        <v>0</v>
      </c>
      <c r="CF2652">
        <v>0</v>
      </c>
      <c r="CG2652">
        <v>0</v>
      </c>
      <c r="CH2652">
        <v>0</v>
      </c>
      <c r="CI2652">
        <v>0</v>
      </c>
      <c r="CJ2652">
        <v>0</v>
      </c>
      <c r="CK2652">
        <v>2</v>
      </c>
      <c r="CL2652">
        <v>0</v>
      </c>
      <c r="CM2652">
        <v>2</v>
      </c>
      <c r="CN2652">
        <v>0</v>
      </c>
      <c r="CO2652">
        <v>4</v>
      </c>
      <c r="CP2652" t="s">
        <v>119</v>
      </c>
      <c r="CQ2652">
        <v>179</v>
      </c>
      <c r="CR2652">
        <v>1</v>
      </c>
      <c r="CW2652">
        <v>9044524</v>
      </c>
      <c r="CY2652">
        <v>1</v>
      </c>
      <c r="CZ2652">
        <v>0</v>
      </c>
      <c r="DA2652">
        <v>1</v>
      </c>
      <c r="DB2652">
        <v>0</v>
      </c>
      <c r="DC2652">
        <v>0</v>
      </c>
      <c r="DD2652">
        <v>0</v>
      </c>
      <c r="DE2652">
        <v>0</v>
      </c>
      <c r="DF2652">
        <v>0</v>
      </c>
      <c r="DG2652">
        <v>0</v>
      </c>
      <c r="DH2652">
        <v>0</v>
      </c>
      <c r="DI2652">
        <v>0</v>
      </c>
    </row>
    <row r="2653" spans="1:113" x14ac:dyDescent="0.3">
      <c r="A2653" t="str">
        <f>"02/08/2021 20:28:40.220"</f>
        <v>02/08/2021 20:28:40.220</v>
      </c>
      <c r="C2653" t="str">
        <f t="shared" si="126"/>
        <v>FFDFD7C0</v>
      </c>
      <c r="D2653" t="s">
        <v>124</v>
      </c>
      <c r="E2653">
        <v>11</v>
      </c>
      <c r="F2653">
        <v>1011</v>
      </c>
      <c r="G2653" t="s">
        <v>590</v>
      </c>
      <c r="J2653" t="s">
        <v>125</v>
      </c>
      <c r="K2653">
        <v>0</v>
      </c>
      <c r="L2653">
        <v>3</v>
      </c>
      <c r="M2653">
        <v>0</v>
      </c>
      <c r="N2653">
        <v>2</v>
      </c>
      <c r="O2653">
        <v>1</v>
      </c>
      <c r="P2653">
        <v>0</v>
      </c>
      <c r="Q2653">
        <v>0</v>
      </c>
      <c r="S2653" t="str">
        <f>"20:28:42.531"</f>
        <v>20:28:42.531</v>
      </c>
      <c r="T2653" t="str">
        <f>"20:28:42.031"</f>
        <v>20:28:42.031</v>
      </c>
      <c r="U2653" t="str">
        <f t="shared" si="128"/>
        <v>AB01F4</v>
      </c>
      <c r="V2653">
        <v>0</v>
      </c>
      <c r="W2653">
        <v>0</v>
      </c>
      <c r="X2653">
        <v>2</v>
      </c>
      <c r="Z2653">
        <v>0</v>
      </c>
      <c r="AA2653">
        <v>9</v>
      </c>
      <c r="AB2653">
        <v>3</v>
      </c>
      <c r="AC2653">
        <v>0</v>
      </c>
      <c r="AD2653">
        <v>10</v>
      </c>
      <c r="AE2653">
        <v>0</v>
      </c>
      <c r="AF2653">
        <v>3</v>
      </c>
      <c r="AG2653">
        <v>2</v>
      </c>
      <c r="AH2653">
        <v>0</v>
      </c>
      <c r="AI2653" t="s">
        <v>1575</v>
      </c>
      <c r="AJ2653">
        <v>40.010961999999999</v>
      </c>
      <c r="AK2653" t="s">
        <v>1576</v>
      </c>
      <c r="AL2653">
        <v>-92.767760999999993</v>
      </c>
      <c r="AM2653">
        <v>100</v>
      </c>
      <c r="AN2653">
        <v>1700</v>
      </c>
      <c r="AO2653" t="s">
        <v>118</v>
      </c>
      <c r="AP2653">
        <v>-108</v>
      </c>
      <c r="AQ2653">
        <v>79</v>
      </c>
      <c r="AR2653">
        <v>-192</v>
      </c>
      <c r="AZ2653">
        <v>1200</v>
      </c>
      <c r="BA2653">
        <v>1</v>
      </c>
      <c r="BB2653" t="str">
        <f t="shared" si="127"/>
        <v xml:space="preserve">N8080G  </v>
      </c>
      <c r="BC2653">
        <v>1</v>
      </c>
      <c r="BE2653">
        <v>0</v>
      </c>
      <c r="BF2653">
        <v>0</v>
      </c>
      <c r="BG2653">
        <v>0</v>
      </c>
      <c r="BH2653">
        <v>1650</v>
      </c>
      <c r="BI2653">
        <v>1</v>
      </c>
      <c r="BJ2653">
        <v>1</v>
      </c>
      <c r="BK2653">
        <v>1</v>
      </c>
      <c r="BL2653">
        <v>0</v>
      </c>
      <c r="BO2653">
        <v>0</v>
      </c>
      <c r="BP2653">
        <v>0</v>
      </c>
      <c r="BW2653" t="str">
        <f>"20:28:42.537"</f>
        <v>20:28:42.537</v>
      </c>
      <c r="BZ2653">
        <v>0</v>
      </c>
      <c r="CA2653">
        <v>1792</v>
      </c>
      <c r="CB2653">
        <v>224</v>
      </c>
      <c r="CD2653">
        <v>1</v>
      </c>
      <c r="CE2653">
        <v>0</v>
      </c>
      <c r="CF2653">
        <v>0</v>
      </c>
      <c r="CG2653">
        <v>0</v>
      </c>
      <c r="CH2653">
        <v>0</v>
      </c>
      <c r="CI2653">
        <v>0</v>
      </c>
      <c r="CJ2653">
        <v>0</v>
      </c>
      <c r="CK2653">
        <v>2</v>
      </c>
      <c r="CL2653">
        <v>0</v>
      </c>
      <c r="CM2653">
        <v>2</v>
      </c>
      <c r="CN2653">
        <v>0</v>
      </c>
      <c r="CO2653">
        <v>4</v>
      </c>
      <c r="CP2653" t="s">
        <v>119</v>
      </c>
      <c r="CQ2653">
        <v>179</v>
      </c>
      <c r="CR2653">
        <v>1</v>
      </c>
      <c r="CW2653">
        <v>9044524</v>
      </c>
      <c r="CY2653">
        <v>1</v>
      </c>
      <c r="CZ2653">
        <v>0</v>
      </c>
      <c r="DA2653">
        <v>1</v>
      </c>
      <c r="DB2653">
        <v>0</v>
      </c>
      <c r="DC2653">
        <v>0</v>
      </c>
      <c r="DD2653">
        <v>0</v>
      </c>
      <c r="DE2653">
        <v>0</v>
      </c>
      <c r="DF2653">
        <v>0</v>
      </c>
      <c r="DG2653">
        <v>0</v>
      </c>
      <c r="DH2653">
        <v>0</v>
      </c>
      <c r="DI2653">
        <v>0</v>
      </c>
    </row>
    <row r="2654" spans="1:113" x14ac:dyDescent="0.3">
      <c r="A2654" t="str">
        <f>"02/08/2021 20:28:40.220"</f>
        <v>02/08/2021 20:28:40.220</v>
      </c>
      <c r="C2654" t="str">
        <f t="shared" si="126"/>
        <v>FFDFD7C0</v>
      </c>
      <c r="D2654" t="s">
        <v>124</v>
      </c>
      <c r="E2654">
        <v>13</v>
      </c>
      <c r="F2654">
        <v>1013</v>
      </c>
      <c r="G2654" t="s">
        <v>114</v>
      </c>
      <c r="J2654" t="s">
        <v>125</v>
      </c>
      <c r="K2654">
        <v>0</v>
      </c>
      <c r="L2654">
        <v>3</v>
      </c>
      <c r="M2654">
        <v>0</v>
      </c>
      <c r="N2654">
        <v>2</v>
      </c>
      <c r="O2654">
        <v>1</v>
      </c>
      <c r="P2654">
        <v>0</v>
      </c>
      <c r="Q2654">
        <v>0</v>
      </c>
      <c r="S2654" t="str">
        <f>"20:28:42.531"</f>
        <v>20:28:42.531</v>
      </c>
      <c r="T2654" t="str">
        <f>"20:28:42.031"</f>
        <v>20:28:42.031</v>
      </c>
      <c r="U2654" t="str">
        <f t="shared" si="128"/>
        <v>AB01F4</v>
      </c>
      <c r="V2654">
        <v>0</v>
      </c>
      <c r="W2654">
        <v>0</v>
      </c>
      <c r="X2654">
        <v>2</v>
      </c>
      <c r="Z2654">
        <v>0</v>
      </c>
      <c r="AA2654">
        <v>9</v>
      </c>
      <c r="AB2654">
        <v>3</v>
      </c>
      <c r="AC2654">
        <v>0</v>
      </c>
      <c r="AD2654">
        <v>10</v>
      </c>
      <c r="AE2654">
        <v>0</v>
      </c>
      <c r="AF2654">
        <v>3</v>
      </c>
      <c r="AG2654">
        <v>2</v>
      </c>
      <c r="AH2654">
        <v>0</v>
      </c>
      <c r="AI2654" t="s">
        <v>1575</v>
      </c>
      <c r="AJ2654">
        <v>40.010961999999999</v>
      </c>
      <c r="AK2654" t="s">
        <v>1576</v>
      </c>
      <c r="AL2654">
        <v>-92.767760999999993</v>
      </c>
      <c r="AM2654">
        <v>100</v>
      </c>
      <c r="AN2654">
        <v>1700</v>
      </c>
      <c r="AO2654" t="s">
        <v>118</v>
      </c>
      <c r="AP2654">
        <v>-108</v>
      </c>
      <c r="AQ2654">
        <v>79</v>
      </c>
      <c r="AR2654">
        <v>-192</v>
      </c>
      <c r="AZ2654">
        <v>1200</v>
      </c>
      <c r="BA2654">
        <v>1</v>
      </c>
      <c r="BB2654" t="str">
        <f t="shared" si="127"/>
        <v xml:space="preserve">N8080G  </v>
      </c>
      <c r="BC2654">
        <v>1</v>
      </c>
      <c r="BE2654">
        <v>0</v>
      </c>
      <c r="BF2654">
        <v>0</v>
      </c>
      <c r="BG2654">
        <v>0</v>
      </c>
      <c r="BH2654">
        <v>1650</v>
      </c>
      <c r="BI2654">
        <v>1</v>
      </c>
      <c r="BJ2654">
        <v>1</v>
      </c>
      <c r="BK2654">
        <v>1</v>
      </c>
      <c r="BL2654">
        <v>0</v>
      </c>
      <c r="BO2654">
        <v>0</v>
      </c>
      <c r="BP2654">
        <v>0</v>
      </c>
      <c r="BW2654" t="str">
        <f>"20:28:42.537"</f>
        <v>20:28:42.537</v>
      </c>
      <c r="BZ2654">
        <v>0</v>
      </c>
      <c r="CA2654">
        <v>1792</v>
      </c>
      <c r="CB2654">
        <v>224</v>
      </c>
      <c r="CD2654">
        <v>1</v>
      </c>
      <c r="CE2654">
        <v>0</v>
      </c>
      <c r="CF2654">
        <v>0</v>
      </c>
      <c r="CG2654">
        <v>0</v>
      </c>
      <c r="CH2654">
        <v>0</v>
      </c>
      <c r="CI2654">
        <v>0</v>
      </c>
      <c r="CJ2654">
        <v>0</v>
      </c>
      <c r="CK2654">
        <v>2</v>
      </c>
      <c r="CL2654">
        <v>0</v>
      </c>
      <c r="CM2654">
        <v>2</v>
      </c>
      <c r="CN2654">
        <v>0</v>
      </c>
      <c r="CO2654">
        <v>4</v>
      </c>
      <c r="CP2654" t="s">
        <v>119</v>
      </c>
      <c r="CQ2654">
        <v>179</v>
      </c>
      <c r="CR2654">
        <v>1</v>
      </c>
      <c r="CW2654">
        <v>9044524</v>
      </c>
      <c r="CY2654">
        <v>1</v>
      </c>
      <c r="CZ2654">
        <v>0</v>
      </c>
      <c r="DA2654">
        <v>1</v>
      </c>
      <c r="DB2654">
        <v>0</v>
      </c>
      <c r="DC2654">
        <v>0</v>
      </c>
      <c r="DD2654">
        <v>0</v>
      </c>
      <c r="DE2654">
        <v>0</v>
      </c>
      <c r="DF2654">
        <v>0</v>
      </c>
      <c r="DG2654">
        <v>0</v>
      </c>
      <c r="DH2654">
        <v>0</v>
      </c>
      <c r="DI2654">
        <v>0</v>
      </c>
    </row>
    <row r="2655" spans="1:113" x14ac:dyDescent="0.3">
      <c r="A2655" t="str">
        <f>"02/08/2021 20:28:41.103"</f>
        <v>02/08/2021 20:28:41.103</v>
      </c>
      <c r="C2655" t="str">
        <f t="shared" si="126"/>
        <v>FFDFD7C0</v>
      </c>
      <c r="D2655" t="s">
        <v>124</v>
      </c>
      <c r="E2655">
        <v>13</v>
      </c>
      <c r="F2655">
        <v>1013</v>
      </c>
      <c r="G2655" t="s">
        <v>114</v>
      </c>
      <c r="J2655" t="s">
        <v>125</v>
      </c>
      <c r="K2655">
        <v>0</v>
      </c>
      <c r="L2655">
        <v>3</v>
      </c>
      <c r="M2655">
        <v>0</v>
      </c>
      <c r="N2655">
        <v>2</v>
      </c>
      <c r="O2655">
        <v>1</v>
      </c>
      <c r="P2655">
        <v>0</v>
      </c>
      <c r="Q2655">
        <v>0</v>
      </c>
      <c r="S2655" t="str">
        <f>"20:28:43.406"</f>
        <v>20:28:43.406</v>
      </c>
      <c r="T2655" t="str">
        <f>"20:28:43.006"</f>
        <v>20:28:43.006</v>
      </c>
      <c r="U2655" t="str">
        <f t="shared" si="128"/>
        <v>AB01F4</v>
      </c>
      <c r="V2655">
        <v>0</v>
      </c>
      <c r="W2655">
        <v>0</v>
      </c>
      <c r="X2655">
        <v>2</v>
      </c>
      <c r="Z2655">
        <v>0</v>
      </c>
      <c r="AA2655">
        <v>9</v>
      </c>
      <c r="AB2655">
        <v>3</v>
      </c>
      <c r="AC2655">
        <v>0</v>
      </c>
      <c r="AD2655">
        <v>10</v>
      </c>
      <c r="AE2655">
        <v>0</v>
      </c>
      <c r="AF2655">
        <v>3</v>
      </c>
      <c r="AG2655">
        <v>2</v>
      </c>
      <c r="AH2655">
        <v>0</v>
      </c>
      <c r="AI2655" t="s">
        <v>1577</v>
      </c>
      <c r="AJ2655">
        <v>40.011240999999998</v>
      </c>
      <c r="AK2655" t="s">
        <v>1578</v>
      </c>
      <c r="AL2655">
        <v>-92.768319000000005</v>
      </c>
      <c r="AM2655">
        <v>100</v>
      </c>
      <c r="AN2655">
        <v>1700</v>
      </c>
      <c r="AO2655" t="s">
        <v>118</v>
      </c>
      <c r="AP2655">
        <v>-108</v>
      </c>
      <c r="AQ2655">
        <v>79</v>
      </c>
      <c r="AR2655">
        <v>-192</v>
      </c>
      <c r="AZ2655">
        <v>1200</v>
      </c>
      <c r="BA2655">
        <v>1</v>
      </c>
      <c r="BB2655" t="str">
        <f t="shared" si="127"/>
        <v xml:space="preserve">N8080G  </v>
      </c>
      <c r="BC2655">
        <v>1</v>
      </c>
      <c r="BE2655">
        <v>0</v>
      </c>
      <c r="BF2655">
        <v>0</v>
      </c>
      <c r="BG2655">
        <v>0</v>
      </c>
      <c r="BH2655">
        <v>1650</v>
      </c>
      <c r="BI2655">
        <v>1</v>
      </c>
      <c r="BJ2655">
        <v>1</v>
      </c>
      <c r="BK2655">
        <v>1</v>
      </c>
      <c r="BL2655">
        <v>0</v>
      </c>
      <c r="BO2655">
        <v>0</v>
      </c>
      <c r="BP2655">
        <v>0</v>
      </c>
      <c r="BW2655" t="str">
        <f>"20:28:43.413"</f>
        <v>20:28:43.413</v>
      </c>
      <c r="BZ2655">
        <v>0</v>
      </c>
      <c r="CA2655">
        <v>1792</v>
      </c>
      <c r="CB2655">
        <v>224</v>
      </c>
      <c r="CD2655">
        <v>1</v>
      </c>
      <c r="CE2655">
        <v>0</v>
      </c>
      <c r="CF2655">
        <v>0</v>
      </c>
      <c r="CG2655">
        <v>0</v>
      </c>
      <c r="CH2655">
        <v>0</v>
      </c>
      <c r="CI2655">
        <v>0</v>
      </c>
      <c r="CJ2655">
        <v>0</v>
      </c>
      <c r="CK2655">
        <v>2</v>
      </c>
      <c r="CL2655">
        <v>0</v>
      </c>
      <c r="CM2655">
        <v>2</v>
      </c>
      <c r="CN2655">
        <v>0</v>
      </c>
      <c r="CO2655">
        <v>7</v>
      </c>
      <c r="CP2655" t="s">
        <v>119</v>
      </c>
      <c r="CQ2655">
        <v>180</v>
      </c>
      <c r="CR2655">
        <v>2</v>
      </c>
      <c r="CW2655">
        <v>8590721</v>
      </c>
      <c r="CY2655">
        <v>1</v>
      </c>
      <c r="CZ2655">
        <v>0</v>
      </c>
      <c r="DA2655">
        <v>0</v>
      </c>
      <c r="DB2655">
        <v>0</v>
      </c>
      <c r="DC2655">
        <v>0</v>
      </c>
      <c r="DD2655">
        <v>0</v>
      </c>
      <c r="DE2655">
        <v>0</v>
      </c>
      <c r="DF2655">
        <v>0</v>
      </c>
      <c r="DG2655">
        <v>0</v>
      </c>
      <c r="DH2655">
        <v>0</v>
      </c>
      <c r="DI2655">
        <v>0</v>
      </c>
    </row>
    <row r="2656" spans="1:113" x14ac:dyDescent="0.3">
      <c r="A2656" t="str">
        <f>"02/08/2021 20:28:41.103"</f>
        <v>02/08/2021 20:28:41.103</v>
      </c>
      <c r="C2656" t="str">
        <f t="shared" si="126"/>
        <v>FFDFD7C0</v>
      </c>
      <c r="D2656" t="s">
        <v>124</v>
      </c>
      <c r="E2656">
        <v>12</v>
      </c>
      <c r="F2656">
        <v>1012</v>
      </c>
      <c r="G2656" t="s">
        <v>675</v>
      </c>
      <c r="J2656" t="s">
        <v>125</v>
      </c>
      <c r="K2656">
        <v>0</v>
      </c>
      <c r="L2656">
        <v>3</v>
      </c>
      <c r="M2656">
        <v>0</v>
      </c>
      <c r="N2656">
        <v>2</v>
      </c>
      <c r="O2656">
        <v>1</v>
      </c>
      <c r="P2656">
        <v>0</v>
      </c>
      <c r="Q2656">
        <v>0</v>
      </c>
      <c r="S2656" t="str">
        <f>"20:28:43.406"</f>
        <v>20:28:43.406</v>
      </c>
      <c r="T2656" t="str">
        <f>"20:28:43.006"</f>
        <v>20:28:43.006</v>
      </c>
      <c r="U2656" t="str">
        <f t="shared" si="128"/>
        <v>AB01F4</v>
      </c>
      <c r="V2656">
        <v>0</v>
      </c>
      <c r="W2656">
        <v>0</v>
      </c>
      <c r="X2656">
        <v>2</v>
      </c>
      <c r="Z2656">
        <v>0</v>
      </c>
      <c r="AA2656">
        <v>9</v>
      </c>
      <c r="AB2656">
        <v>3</v>
      </c>
      <c r="AC2656">
        <v>0</v>
      </c>
      <c r="AD2656">
        <v>10</v>
      </c>
      <c r="AE2656">
        <v>0</v>
      </c>
      <c r="AF2656">
        <v>3</v>
      </c>
      <c r="AG2656">
        <v>2</v>
      </c>
      <c r="AH2656">
        <v>0</v>
      </c>
      <c r="AI2656" t="s">
        <v>1577</v>
      </c>
      <c r="AJ2656">
        <v>40.011240999999998</v>
      </c>
      <c r="AK2656" t="s">
        <v>1578</v>
      </c>
      <c r="AL2656">
        <v>-92.768319000000005</v>
      </c>
      <c r="AM2656">
        <v>100</v>
      </c>
      <c r="AN2656">
        <v>1700</v>
      </c>
      <c r="AO2656" t="s">
        <v>118</v>
      </c>
      <c r="AP2656">
        <v>-108</v>
      </c>
      <c r="AQ2656">
        <v>79</v>
      </c>
      <c r="AR2656">
        <v>-192</v>
      </c>
      <c r="AZ2656">
        <v>1200</v>
      </c>
      <c r="BA2656">
        <v>1</v>
      </c>
      <c r="BB2656" t="str">
        <f t="shared" si="127"/>
        <v xml:space="preserve">N8080G  </v>
      </c>
      <c r="BC2656">
        <v>1</v>
      </c>
      <c r="BE2656">
        <v>0</v>
      </c>
      <c r="BF2656">
        <v>0</v>
      </c>
      <c r="BG2656">
        <v>0</v>
      </c>
      <c r="BH2656">
        <v>1650</v>
      </c>
      <c r="BI2656">
        <v>1</v>
      </c>
      <c r="BJ2656">
        <v>1</v>
      </c>
      <c r="BK2656">
        <v>1</v>
      </c>
      <c r="BL2656">
        <v>0</v>
      </c>
      <c r="BO2656">
        <v>0</v>
      </c>
      <c r="BP2656">
        <v>0</v>
      </c>
      <c r="BW2656" t="str">
        <f>"20:28:43.413"</f>
        <v>20:28:43.413</v>
      </c>
      <c r="BZ2656">
        <v>0</v>
      </c>
      <c r="CA2656">
        <v>1792</v>
      </c>
      <c r="CB2656">
        <v>224</v>
      </c>
      <c r="CD2656">
        <v>1</v>
      </c>
      <c r="CE2656">
        <v>0</v>
      </c>
      <c r="CF2656">
        <v>0</v>
      </c>
      <c r="CG2656">
        <v>0</v>
      </c>
      <c r="CH2656">
        <v>0</v>
      </c>
      <c r="CI2656">
        <v>0</v>
      </c>
      <c r="CJ2656">
        <v>0</v>
      </c>
      <c r="CK2656">
        <v>2</v>
      </c>
      <c r="CL2656">
        <v>0</v>
      </c>
      <c r="CM2656">
        <v>2</v>
      </c>
      <c r="CN2656">
        <v>0</v>
      </c>
      <c r="CO2656">
        <v>7</v>
      </c>
      <c r="CP2656" t="s">
        <v>119</v>
      </c>
      <c r="CQ2656">
        <v>180</v>
      </c>
      <c r="CR2656">
        <v>2</v>
      </c>
      <c r="CW2656">
        <v>8590721</v>
      </c>
      <c r="CY2656">
        <v>1</v>
      </c>
      <c r="CZ2656">
        <v>0</v>
      </c>
      <c r="DA2656">
        <v>1</v>
      </c>
      <c r="DB2656">
        <v>0</v>
      </c>
      <c r="DC2656">
        <v>0</v>
      </c>
      <c r="DD2656">
        <v>0</v>
      </c>
      <c r="DE2656">
        <v>0</v>
      </c>
      <c r="DF2656">
        <v>0</v>
      </c>
      <c r="DG2656">
        <v>0</v>
      </c>
      <c r="DH2656">
        <v>0</v>
      </c>
      <c r="DI2656">
        <v>0</v>
      </c>
    </row>
    <row r="2657" spans="1:113" x14ac:dyDescent="0.3">
      <c r="A2657" t="str">
        <f>"02/08/2021 20:28:41.103"</f>
        <v>02/08/2021 20:28:41.103</v>
      </c>
      <c r="C2657" t="str">
        <f t="shared" si="126"/>
        <v>FFDFD7C0</v>
      </c>
      <c r="D2657" t="s">
        <v>124</v>
      </c>
      <c r="E2657">
        <v>11</v>
      </c>
      <c r="F2657">
        <v>1011</v>
      </c>
      <c r="G2657" t="s">
        <v>590</v>
      </c>
      <c r="J2657" t="s">
        <v>125</v>
      </c>
      <c r="K2657">
        <v>0</v>
      </c>
      <c r="L2657">
        <v>3</v>
      </c>
      <c r="M2657">
        <v>0</v>
      </c>
      <c r="N2657">
        <v>2</v>
      </c>
      <c r="O2657">
        <v>1</v>
      </c>
      <c r="P2657">
        <v>0</v>
      </c>
      <c r="Q2657">
        <v>0</v>
      </c>
      <c r="S2657" t="str">
        <f>"20:28:43.406"</f>
        <v>20:28:43.406</v>
      </c>
      <c r="T2657" t="str">
        <f>"20:28:43.006"</f>
        <v>20:28:43.006</v>
      </c>
      <c r="U2657" t="str">
        <f t="shared" si="128"/>
        <v>AB01F4</v>
      </c>
      <c r="V2657">
        <v>0</v>
      </c>
      <c r="W2657">
        <v>0</v>
      </c>
      <c r="X2657">
        <v>2</v>
      </c>
      <c r="Z2657">
        <v>0</v>
      </c>
      <c r="AA2657">
        <v>9</v>
      </c>
      <c r="AB2657">
        <v>3</v>
      </c>
      <c r="AC2657">
        <v>0</v>
      </c>
      <c r="AD2657">
        <v>10</v>
      </c>
      <c r="AE2657">
        <v>0</v>
      </c>
      <c r="AF2657">
        <v>3</v>
      </c>
      <c r="AG2657">
        <v>2</v>
      </c>
      <c r="AH2657">
        <v>0</v>
      </c>
      <c r="AI2657" t="s">
        <v>1577</v>
      </c>
      <c r="AJ2657">
        <v>40.011240999999998</v>
      </c>
      <c r="AK2657" t="s">
        <v>1578</v>
      </c>
      <c r="AL2657">
        <v>-92.768319000000005</v>
      </c>
      <c r="AM2657">
        <v>100</v>
      </c>
      <c r="AN2657">
        <v>1700</v>
      </c>
      <c r="AO2657" t="s">
        <v>118</v>
      </c>
      <c r="AP2657">
        <v>-108</v>
      </c>
      <c r="AQ2657">
        <v>79</v>
      </c>
      <c r="AR2657">
        <v>-192</v>
      </c>
      <c r="AZ2657">
        <v>1200</v>
      </c>
      <c r="BA2657">
        <v>1</v>
      </c>
      <c r="BB2657" t="str">
        <f t="shared" si="127"/>
        <v xml:space="preserve">N8080G  </v>
      </c>
      <c r="BC2657">
        <v>1</v>
      </c>
      <c r="BE2657">
        <v>0</v>
      </c>
      <c r="BF2657">
        <v>0</v>
      </c>
      <c r="BG2657">
        <v>0</v>
      </c>
      <c r="BH2657">
        <v>1650</v>
      </c>
      <c r="BI2657">
        <v>1</v>
      </c>
      <c r="BJ2657">
        <v>1</v>
      </c>
      <c r="BK2657">
        <v>1</v>
      </c>
      <c r="BL2657">
        <v>0</v>
      </c>
      <c r="BO2657">
        <v>0</v>
      </c>
      <c r="BP2657">
        <v>0</v>
      </c>
      <c r="BW2657" t="str">
        <f>"20:28:43.413"</f>
        <v>20:28:43.413</v>
      </c>
      <c r="BZ2657">
        <v>0</v>
      </c>
      <c r="CA2657">
        <v>1792</v>
      </c>
      <c r="CB2657">
        <v>224</v>
      </c>
      <c r="CD2657">
        <v>1</v>
      </c>
      <c r="CE2657">
        <v>0</v>
      </c>
      <c r="CF2657">
        <v>0</v>
      </c>
      <c r="CG2657">
        <v>0</v>
      </c>
      <c r="CH2657">
        <v>0</v>
      </c>
      <c r="CI2657">
        <v>0</v>
      </c>
      <c r="CJ2657">
        <v>0</v>
      </c>
      <c r="CK2657">
        <v>2</v>
      </c>
      <c r="CL2657">
        <v>0</v>
      </c>
      <c r="CM2657">
        <v>2</v>
      </c>
      <c r="CN2657">
        <v>0</v>
      </c>
      <c r="CO2657">
        <v>7</v>
      </c>
      <c r="CP2657" t="s">
        <v>119</v>
      </c>
      <c r="CQ2657">
        <v>180</v>
      </c>
      <c r="CR2657">
        <v>2</v>
      </c>
      <c r="CW2657">
        <v>8590721</v>
      </c>
      <c r="CY2657">
        <v>1</v>
      </c>
      <c r="CZ2657">
        <v>0</v>
      </c>
      <c r="DA2657">
        <v>1</v>
      </c>
      <c r="DB2657">
        <v>0</v>
      </c>
      <c r="DC2657">
        <v>0</v>
      </c>
      <c r="DD2657">
        <v>0</v>
      </c>
      <c r="DE2657">
        <v>0</v>
      </c>
      <c r="DF2657">
        <v>0</v>
      </c>
      <c r="DG2657">
        <v>0</v>
      </c>
      <c r="DH2657">
        <v>0</v>
      </c>
      <c r="DI2657">
        <v>0</v>
      </c>
    </row>
    <row r="2658" spans="1:113" x14ac:dyDescent="0.3">
      <c r="A2658" t="str">
        <f>"02/08/2021 20:28:41.103"</f>
        <v>02/08/2021 20:28:41.103</v>
      </c>
      <c r="C2658" t="str">
        <f t="shared" si="126"/>
        <v>FFDFD7C0</v>
      </c>
      <c r="D2658" t="s">
        <v>113</v>
      </c>
      <c r="E2658">
        <v>6</v>
      </c>
      <c r="H2658">
        <v>165</v>
      </c>
      <c r="I2658" t="s">
        <v>114</v>
      </c>
      <c r="J2658" t="s">
        <v>115</v>
      </c>
      <c r="K2658">
        <v>0</v>
      </c>
      <c r="L2658">
        <v>3</v>
      </c>
      <c r="M2658">
        <v>0</v>
      </c>
      <c r="N2658">
        <v>2</v>
      </c>
      <c r="O2658">
        <v>1</v>
      </c>
      <c r="P2658">
        <v>0</v>
      </c>
      <c r="Q2658">
        <v>0</v>
      </c>
      <c r="S2658" t="str">
        <f>"20:28:43.406"</f>
        <v>20:28:43.406</v>
      </c>
      <c r="T2658" t="str">
        <f>"20:28:43.006"</f>
        <v>20:28:43.006</v>
      </c>
      <c r="U2658" t="str">
        <f t="shared" si="128"/>
        <v>AB01F4</v>
      </c>
      <c r="V2658">
        <v>0</v>
      </c>
      <c r="W2658">
        <v>0</v>
      </c>
      <c r="X2658">
        <v>2</v>
      </c>
      <c r="Z2658">
        <v>0</v>
      </c>
      <c r="AA2658">
        <v>9</v>
      </c>
      <c r="AB2658">
        <v>3</v>
      </c>
      <c r="AC2658">
        <v>0</v>
      </c>
      <c r="AD2658">
        <v>10</v>
      </c>
      <c r="AE2658">
        <v>0</v>
      </c>
      <c r="AF2658">
        <v>3</v>
      </c>
      <c r="AG2658">
        <v>2</v>
      </c>
      <c r="AH2658">
        <v>0</v>
      </c>
      <c r="AI2658" t="s">
        <v>1577</v>
      </c>
      <c r="AJ2658">
        <v>40.011240999999998</v>
      </c>
      <c r="AK2658" t="s">
        <v>1578</v>
      </c>
      <c r="AL2658">
        <v>-92.768319000000005</v>
      </c>
      <c r="AM2658">
        <v>100</v>
      </c>
      <c r="AN2658">
        <v>1700</v>
      </c>
      <c r="AO2658" t="s">
        <v>118</v>
      </c>
      <c r="AP2658">
        <v>-108</v>
      </c>
      <c r="AQ2658">
        <v>79</v>
      </c>
      <c r="AR2658">
        <v>-192</v>
      </c>
      <c r="AZ2658">
        <v>1200</v>
      </c>
      <c r="BA2658">
        <v>1</v>
      </c>
      <c r="BB2658" t="str">
        <f t="shared" si="127"/>
        <v xml:space="preserve">N8080G  </v>
      </c>
      <c r="BC2658">
        <v>1</v>
      </c>
      <c r="BE2658">
        <v>0</v>
      </c>
      <c r="BF2658">
        <v>0</v>
      </c>
      <c r="BG2658">
        <v>0</v>
      </c>
      <c r="BH2658">
        <v>1650</v>
      </c>
      <c r="BI2658">
        <v>1</v>
      </c>
      <c r="BJ2658">
        <v>1</v>
      </c>
      <c r="BK2658">
        <v>1</v>
      </c>
      <c r="BL2658">
        <v>0</v>
      </c>
      <c r="BO2658">
        <v>0</v>
      </c>
      <c r="BP2658">
        <v>0</v>
      </c>
      <c r="BW2658" t="str">
        <f>"20:28:43.413"</f>
        <v>20:28:43.413</v>
      </c>
      <c r="BZ2658">
        <v>0</v>
      </c>
      <c r="CA2658">
        <v>1792</v>
      </c>
      <c r="CB2658">
        <v>224</v>
      </c>
      <c r="CD2658">
        <v>1</v>
      </c>
      <c r="CE2658">
        <v>0</v>
      </c>
      <c r="CF2658">
        <v>0</v>
      </c>
      <c r="CG2658">
        <v>0</v>
      </c>
      <c r="CH2658">
        <v>0</v>
      </c>
      <c r="CI2658">
        <v>0</v>
      </c>
      <c r="CJ2658">
        <v>0</v>
      </c>
      <c r="CK2658">
        <v>2</v>
      </c>
      <c r="CL2658">
        <v>0</v>
      </c>
      <c r="CM2658">
        <v>2</v>
      </c>
      <c r="CN2658">
        <v>0</v>
      </c>
      <c r="CO2658">
        <v>7</v>
      </c>
      <c r="CP2658" t="s">
        <v>119</v>
      </c>
      <c r="CQ2658">
        <v>180</v>
      </c>
      <c r="CR2658">
        <v>2</v>
      </c>
      <c r="CW2658">
        <v>8590721</v>
      </c>
      <c r="CY2658">
        <v>1</v>
      </c>
      <c r="CZ2658">
        <v>0</v>
      </c>
      <c r="DA2658">
        <v>1</v>
      </c>
      <c r="DB2658">
        <v>0</v>
      </c>
      <c r="DC2658">
        <v>0</v>
      </c>
      <c r="DD2658">
        <v>0</v>
      </c>
      <c r="DE2658">
        <v>0</v>
      </c>
      <c r="DF2658">
        <v>0</v>
      </c>
      <c r="DG2658">
        <v>0</v>
      </c>
      <c r="DH2658">
        <v>0</v>
      </c>
      <c r="DI2658">
        <v>0</v>
      </c>
    </row>
    <row r="2659" spans="1:113" x14ac:dyDescent="0.3">
      <c r="A2659" t="str">
        <f>"02/08/2021 20:28:42.035"</f>
        <v>02/08/2021 20:28:42.035</v>
      </c>
      <c r="C2659" t="str">
        <f t="shared" si="126"/>
        <v>FFDFD7C0</v>
      </c>
      <c r="D2659" t="s">
        <v>124</v>
      </c>
      <c r="E2659">
        <v>11</v>
      </c>
      <c r="F2659">
        <v>1011</v>
      </c>
      <c r="G2659" t="s">
        <v>590</v>
      </c>
      <c r="J2659" t="s">
        <v>125</v>
      </c>
      <c r="K2659">
        <v>0</v>
      </c>
      <c r="L2659">
        <v>3</v>
      </c>
      <c r="M2659">
        <v>0</v>
      </c>
      <c r="N2659">
        <v>2</v>
      </c>
      <c r="O2659">
        <v>1</v>
      </c>
      <c r="P2659">
        <v>0</v>
      </c>
      <c r="Q2659">
        <v>0</v>
      </c>
      <c r="S2659" t="str">
        <f>"20:28:44.359"</f>
        <v>20:28:44.359</v>
      </c>
      <c r="T2659" t="str">
        <f>"20:28:43.859"</f>
        <v>20:28:43.859</v>
      </c>
      <c r="U2659" t="str">
        <f t="shared" si="128"/>
        <v>AB01F4</v>
      </c>
      <c r="V2659">
        <v>0</v>
      </c>
      <c r="W2659">
        <v>0</v>
      </c>
      <c r="X2659">
        <v>2</v>
      </c>
      <c r="Z2659">
        <v>0</v>
      </c>
      <c r="AA2659">
        <v>9</v>
      </c>
      <c r="AB2659">
        <v>3</v>
      </c>
      <c r="AC2659">
        <v>0</v>
      </c>
      <c r="AD2659">
        <v>10</v>
      </c>
      <c r="AE2659">
        <v>0</v>
      </c>
      <c r="AF2659">
        <v>3</v>
      </c>
      <c r="AG2659">
        <v>2</v>
      </c>
      <c r="AH2659">
        <v>0</v>
      </c>
      <c r="AI2659" t="s">
        <v>1579</v>
      </c>
      <c r="AJ2659">
        <v>40.011606</v>
      </c>
      <c r="AK2659" t="s">
        <v>1580</v>
      </c>
      <c r="AL2659">
        <v>-92.768984000000003</v>
      </c>
      <c r="AM2659">
        <v>100</v>
      </c>
      <c r="AN2659">
        <v>1700</v>
      </c>
      <c r="AO2659" t="s">
        <v>118</v>
      </c>
      <c r="AP2659">
        <v>-108</v>
      </c>
      <c r="AQ2659">
        <v>79</v>
      </c>
      <c r="AR2659">
        <v>-192</v>
      </c>
      <c r="AZ2659">
        <v>1200</v>
      </c>
      <c r="BA2659">
        <v>1</v>
      </c>
      <c r="BB2659" t="str">
        <f t="shared" si="127"/>
        <v xml:space="preserve">N8080G  </v>
      </c>
      <c r="BC2659">
        <v>1</v>
      </c>
      <c r="BE2659">
        <v>0</v>
      </c>
      <c r="BF2659">
        <v>0</v>
      </c>
      <c r="BG2659">
        <v>0</v>
      </c>
      <c r="BH2659">
        <v>1650</v>
      </c>
      <c r="BI2659">
        <v>1</v>
      </c>
      <c r="BJ2659">
        <v>1</v>
      </c>
      <c r="BK2659">
        <v>1</v>
      </c>
      <c r="BL2659">
        <v>0</v>
      </c>
      <c r="BO2659">
        <v>0</v>
      </c>
      <c r="BP2659">
        <v>0</v>
      </c>
      <c r="BW2659" t="str">
        <f>"20:28:44.364"</f>
        <v>20:28:44.364</v>
      </c>
      <c r="BZ2659">
        <v>0</v>
      </c>
      <c r="CA2659">
        <v>1792</v>
      </c>
      <c r="CB2659">
        <v>224</v>
      </c>
      <c r="CD2659">
        <v>1</v>
      </c>
      <c r="CE2659">
        <v>0</v>
      </c>
      <c r="CF2659">
        <v>0</v>
      </c>
      <c r="CG2659">
        <v>0</v>
      </c>
      <c r="CH2659">
        <v>0</v>
      </c>
      <c r="CI2659">
        <v>0</v>
      </c>
      <c r="CJ2659">
        <v>0</v>
      </c>
      <c r="CK2659">
        <v>2</v>
      </c>
      <c r="CL2659">
        <v>0</v>
      </c>
      <c r="CM2659">
        <v>2</v>
      </c>
      <c r="CN2659">
        <v>0</v>
      </c>
      <c r="CO2659">
        <v>4</v>
      </c>
      <c r="CP2659" t="s">
        <v>119</v>
      </c>
      <c r="CQ2659">
        <v>179</v>
      </c>
      <c r="CR2659">
        <v>1</v>
      </c>
      <c r="CW2659">
        <v>9046083</v>
      </c>
      <c r="CY2659">
        <v>1</v>
      </c>
      <c r="CZ2659">
        <v>0</v>
      </c>
      <c r="DA2659">
        <v>0</v>
      </c>
      <c r="DB2659">
        <v>0</v>
      </c>
      <c r="DC2659">
        <v>0</v>
      </c>
      <c r="DD2659">
        <v>0</v>
      </c>
      <c r="DE2659">
        <v>0</v>
      </c>
      <c r="DF2659">
        <v>0</v>
      </c>
      <c r="DG2659">
        <v>0</v>
      </c>
      <c r="DH2659">
        <v>0</v>
      </c>
      <c r="DI2659">
        <v>0</v>
      </c>
    </row>
    <row r="2660" spans="1:113" x14ac:dyDescent="0.3">
      <c r="A2660" t="str">
        <f>"02/08/2021 20:28:42.035"</f>
        <v>02/08/2021 20:28:42.035</v>
      </c>
      <c r="C2660" t="str">
        <f t="shared" si="126"/>
        <v>FFDFD7C0</v>
      </c>
      <c r="D2660" t="s">
        <v>113</v>
      </c>
      <c r="E2660">
        <v>6</v>
      </c>
      <c r="H2660">
        <v>165</v>
      </c>
      <c r="I2660" t="s">
        <v>114</v>
      </c>
      <c r="J2660" t="s">
        <v>115</v>
      </c>
      <c r="K2660">
        <v>0</v>
      </c>
      <c r="L2660">
        <v>3</v>
      </c>
      <c r="M2660">
        <v>0</v>
      </c>
      <c r="N2660">
        <v>2</v>
      </c>
      <c r="O2660">
        <v>1</v>
      </c>
      <c r="P2660">
        <v>0</v>
      </c>
      <c r="Q2660">
        <v>0</v>
      </c>
      <c r="S2660" t="str">
        <f>"20:28:44.359"</f>
        <v>20:28:44.359</v>
      </c>
      <c r="T2660" t="str">
        <f>"20:28:43.859"</f>
        <v>20:28:43.859</v>
      </c>
      <c r="U2660" t="str">
        <f t="shared" si="128"/>
        <v>AB01F4</v>
      </c>
      <c r="V2660">
        <v>0</v>
      </c>
      <c r="W2660">
        <v>0</v>
      </c>
      <c r="X2660">
        <v>2</v>
      </c>
      <c r="Z2660">
        <v>0</v>
      </c>
      <c r="AA2660">
        <v>9</v>
      </c>
      <c r="AB2660">
        <v>3</v>
      </c>
      <c r="AC2660">
        <v>0</v>
      </c>
      <c r="AD2660">
        <v>10</v>
      </c>
      <c r="AE2660">
        <v>0</v>
      </c>
      <c r="AF2660">
        <v>3</v>
      </c>
      <c r="AG2660">
        <v>2</v>
      </c>
      <c r="AH2660">
        <v>0</v>
      </c>
      <c r="AI2660" t="s">
        <v>1579</v>
      </c>
      <c r="AJ2660">
        <v>40.011606</v>
      </c>
      <c r="AK2660" t="s">
        <v>1580</v>
      </c>
      <c r="AL2660">
        <v>-92.768984000000003</v>
      </c>
      <c r="AM2660">
        <v>100</v>
      </c>
      <c r="AN2660">
        <v>1700</v>
      </c>
      <c r="AO2660" t="s">
        <v>118</v>
      </c>
      <c r="AP2660">
        <v>-108</v>
      </c>
      <c r="AQ2660">
        <v>79</v>
      </c>
      <c r="AR2660">
        <v>-192</v>
      </c>
      <c r="AZ2660">
        <v>1200</v>
      </c>
      <c r="BA2660">
        <v>1</v>
      </c>
      <c r="BB2660" t="str">
        <f t="shared" si="127"/>
        <v xml:space="preserve">N8080G  </v>
      </c>
      <c r="BC2660">
        <v>1</v>
      </c>
      <c r="BE2660">
        <v>0</v>
      </c>
      <c r="BF2660">
        <v>0</v>
      </c>
      <c r="BG2660">
        <v>0</v>
      </c>
      <c r="BH2660">
        <v>1650</v>
      </c>
      <c r="BI2660">
        <v>1</v>
      </c>
      <c r="BJ2660">
        <v>1</v>
      </c>
      <c r="BK2660">
        <v>1</v>
      </c>
      <c r="BL2660">
        <v>0</v>
      </c>
      <c r="BO2660">
        <v>0</v>
      </c>
      <c r="BP2660">
        <v>0</v>
      </c>
      <c r="BW2660" t="str">
        <f>"20:28:44.364"</f>
        <v>20:28:44.364</v>
      </c>
      <c r="BZ2660">
        <v>0</v>
      </c>
      <c r="CA2660">
        <v>1792</v>
      </c>
      <c r="CB2660">
        <v>224</v>
      </c>
      <c r="CD2660">
        <v>1</v>
      </c>
      <c r="CE2660">
        <v>0</v>
      </c>
      <c r="CF2660">
        <v>0</v>
      </c>
      <c r="CG2660">
        <v>0</v>
      </c>
      <c r="CH2660">
        <v>0</v>
      </c>
      <c r="CI2660">
        <v>0</v>
      </c>
      <c r="CJ2660">
        <v>0</v>
      </c>
      <c r="CK2660">
        <v>2</v>
      </c>
      <c r="CL2660">
        <v>0</v>
      </c>
      <c r="CM2660">
        <v>2</v>
      </c>
      <c r="CN2660">
        <v>0</v>
      </c>
      <c r="CO2660">
        <v>4</v>
      </c>
      <c r="CP2660" t="s">
        <v>119</v>
      </c>
      <c r="CQ2660">
        <v>179</v>
      </c>
      <c r="CR2660">
        <v>1</v>
      </c>
      <c r="CW2660">
        <v>9046083</v>
      </c>
      <c r="CY2660">
        <v>1</v>
      </c>
      <c r="CZ2660">
        <v>0</v>
      </c>
      <c r="DA2660">
        <v>1</v>
      </c>
      <c r="DB2660">
        <v>0</v>
      </c>
      <c r="DC2660">
        <v>0</v>
      </c>
      <c r="DD2660">
        <v>0</v>
      </c>
      <c r="DE2660">
        <v>0</v>
      </c>
      <c r="DF2660">
        <v>0</v>
      </c>
      <c r="DG2660">
        <v>0</v>
      </c>
      <c r="DH2660">
        <v>0</v>
      </c>
      <c r="DI2660">
        <v>0</v>
      </c>
    </row>
    <row r="2661" spans="1:113" x14ac:dyDescent="0.3">
      <c r="A2661" t="str">
        <f>"02/08/2021 20:28:42.035"</f>
        <v>02/08/2021 20:28:42.035</v>
      </c>
      <c r="C2661" t="str">
        <f t="shared" si="126"/>
        <v>FFDFD7C0</v>
      </c>
      <c r="D2661" t="s">
        <v>124</v>
      </c>
      <c r="E2661">
        <v>13</v>
      </c>
      <c r="F2661">
        <v>1013</v>
      </c>
      <c r="G2661" t="s">
        <v>114</v>
      </c>
      <c r="J2661" t="s">
        <v>125</v>
      </c>
      <c r="K2661">
        <v>0</v>
      </c>
      <c r="L2661">
        <v>3</v>
      </c>
      <c r="M2661">
        <v>0</v>
      </c>
      <c r="N2661">
        <v>2</v>
      </c>
      <c r="O2661">
        <v>1</v>
      </c>
      <c r="P2661">
        <v>0</v>
      </c>
      <c r="Q2661">
        <v>0</v>
      </c>
      <c r="S2661" t="str">
        <f>"20:28:44.359"</f>
        <v>20:28:44.359</v>
      </c>
      <c r="T2661" t="str">
        <f>"20:28:43.859"</f>
        <v>20:28:43.859</v>
      </c>
      <c r="U2661" t="str">
        <f t="shared" si="128"/>
        <v>AB01F4</v>
      </c>
      <c r="V2661">
        <v>0</v>
      </c>
      <c r="W2661">
        <v>0</v>
      </c>
      <c r="X2661">
        <v>2</v>
      </c>
      <c r="Z2661">
        <v>0</v>
      </c>
      <c r="AA2661">
        <v>9</v>
      </c>
      <c r="AB2661">
        <v>3</v>
      </c>
      <c r="AC2661">
        <v>0</v>
      </c>
      <c r="AD2661">
        <v>10</v>
      </c>
      <c r="AE2661">
        <v>0</v>
      </c>
      <c r="AF2661">
        <v>3</v>
      </c>
      <c r="AG2661">
        <v>2</v>
      </c>
      <c r="AH2661">
        <v>0</v>
      </c>
      <c r="AI2661" t="s">
        <v>1579</v>
      </c>
      <c r="AJ2661">
        <v>40.011606</v>
      </c>
      <c r="AK2661" t="s">
        <v>1580</v>
      </c>
      <c r="AL2661">
        <v>-92.768984000000003</v>
      </c>
      <c r="AM2661">
        <v>100</v>
      </c>
      <c r="AN2661">
        <v>1700</v>
      </c>
      <c r="AO2661" t="s">
        <v>118</v>
      </c>
      <c r="AP2661">
        <v>-108</v>
      </c>
      <c r="AQ2661">
        <v>79</v>
      </c>
      <c r="AR2661">
        <v>-192</v>
      </c>
      <c r="AZ2661">
        <v>1200</v>
      </c>
      <c r="BA2661">
        <v>1</v>
      </c>
      <c r="BB2661" t="str">
        <f t="shared" si="127"/>
        <v xml:space="preserve">N8080G  </v>
      </c>
      <c r="BC2661">
        <v>1</v>
      </c>
      <c r="BE2661">
        <v>0</v>
      </c>
      <c r="BF2661">
        <v>0</v>
      </c>
      <c r="BG2661">
        <v>0</v>
      </c>
      <c r="BH2661">
        <v>1650</v>
      </c>
      <c r="BI2661">
        <v>1</v>
      </c>
      <c r="BJ2661">
        <v>1</v>
      </c>
      <c r="BK2661">
        <v>1</v>
      </c>
      <c r="BL2661">
        <v>0</v>
      </c>
      <c r="BO2661">
        <v>0</v>
      </c>
      <c r="BP2661">
        <v>0</v>
      </c>
      <c r="BW2661" t="str">
        <f>"20:28:44.364"</f>
        <v>20:28:44.364</v>
      </c>
      <c r="BZ2661">
        <v>0</v>
      </c>
      <c r="CA2661">
        <v>1792</v>
      </c>
      <c r="CB2661">
        <v>224</v>
      </c>
      <c r="CD2661">
        <v>1</v>
      </c>
      <c r="CE2661">
        <v>0</v>
      </c>
      <c r="CF2661">
        <v>0</v>
      </c>
      <c r="CG2661">
        <v>0</v>
      </c>
      <c r="CH2661">
        <v>0</v>
      </c>
      <c r="CI2661">
        <v>0</v>
      </c>
      <c r="CJ2661">
        <v>0</v>
      </c>
      <c r="CK2661">
        <v>2</v>
      </c>
      <c r="CL2661">
        <v>0</v>
      </c>
      <c r="CM2661">
        <v>2</v>
      </c>
      <c r="CN2661">
        <v>0</v>
      </c>
      <c r="CO2661">
        <v>4</v>
      </c>
      <c r="CP2661" t="s">
        <v>119</v>
      </c>
      <c r="CQ2661">
        <v>179</v>
      </c>
      <c r="CR2661">
        <v>1</v>
      </c>
      <c r="CW2661">
        <v>9046083</v>
      </c>
      <c r="CY2661">
        <v>1</v>
      </c>
      <c r="CZ2661">
        <v>0</v>
      </c>
      <c r="DA2661">
        <v>1</v>
      </c>
      <c r="DB2661">
        <v>0</v>
      </c>
      <c r="DC2661">
        <v>0</v>
      </c>
      <c r="DD2661">
        <v>0</v>
      </c>
      <c r="DE2661">
        <v>0</v>
      </c>
      <c r="DF2661">
        <v>0</v>
      </c>
      <c r="DG2661">
        <v>0</v>
      </c>
      <c r="DH2661">
        <v>0</v>
      </c>
      <c r="DI2661">
        <v>0</v>
      </c>
    </row>
    <row r="2662" spans="1:113" x14ac:dyDescent="0.3">
      <c r="A2662" t="str">
        <f>"02/08/2021 20:28:42.035"</f>
        <v>02/08/2021 20:28:42.035</v>
      </c>
      <c r="C2662" t="str">
        <f t="shared" si="126"/>
        <v>FFDFD7C0</v>
      </c>
      <c r="D2662" t="s">
        <v>124</v>
      </c>
      <c r="E2662">
        <v>12</v>
      </c>
      <c r="F2662">
        <v>1012</v>
      </c>
      <c r="G2662" t="s">
        <v>675</v>
      </c>
      <c r="J2662" t="s">
        <v>125</v>
      </c>
      <c r="K2662">
        <v>0</v>
      </c>
      <c r="L2662">
        <v>3</v>
      </c>
      <c r="M2662">
        <v>0</v>
      </c>
      <c r="N2662">
        <v>2</v>
      </c>
      <c r="O2662">
        <v>1</v>
      </c>
      <c r="P2662">
        <v>0</v>
      </c>
      <c r="Q2662">
        <v>0</v>
      </c>
      <c r="S2662" t="str">
        <f>"20:28:44.359"</f>
        <v>20:28:44.359</v>
      </c>
      <c r="T2662" t="str">
        <f>"20:28:43.859"</f>
        <v>20:28:43.859</v>
      </c>
      <c r="U2662" t="str">
        <f t="shared" si="128"/>
        <v>AB01F4</v>
      </c>
      <c r="V2662">
        <v>0</v>
      </c>
      <c r="W2662">
        <v>0</v>
      </c>
      <c r="X2662">
        <v>2</v>
      </c>
      <c r="Z2662">
        <v>0</v>
      </c>
      <c r="AA2662">
        <v>9</v>
      </c>
      <c r="AB2662">
        <v>3</v>
      </c>
      <c r="AC2662">
        <v>0</v>
      </c>
      <c r="AD2662">
        <v>10</v>
      </c>
      <c r="AE2662">
        <v>0</v>
      </c>
      <c r="AF2662">
        <v>3</v>
      </c>
      <c r="AG2662">
        <v>2</v>
      </c>
      <c r="AH2662">
        <v>0</v>
      </c>
      <c r="AI2662" t="s">
        <v>1579</v>
      </c>
      <c r="AJ2662">
        <v>40.011606</v>
      </c>
      <c r="AK2662" t="s">
        <v>1580</v>
      </c>
      <c r="AL2662">
        <v>-92.768984000000003</v>
      </c>
      <c r="AM2662">
        <v>100</v>
      </c>
      <c r="AN2662">
        <v>1700</v>
      </c>
      <c r="AO2662" t="s">
        <v>118</v>
      </c>
      <c r="AP2662">
        <v>-108</v>
      </c>
      <c r="AQ2662">
        <v>79</v>
      </c>
      <c r="AR2662">
        <v>-192</v>
      </c>
      <c r="AZ2662">
        <v>1200</v>
      </c>
      <c r="BA2662">
        <v>1</v>
      </c>
      <c r="BB2662" t="str">
        <f t="shared" si="127"/>
        <v xml:space="preserve">N8080G  </v>
      </c>
      <c r="BC2662">
        <v>1</v>
      </c>
      <c r="BE2662">
        <v>0</v>
      </c>
      <c r="BF2662">
        <v>0</v>
      </c>
      <c r="BG2662">
        <v>0</v>
      </c>
      <c r="BH2662">
        <v>1650</v>
      </c>
      <c r="BI2662">
        <v>1</v>
      </c>
      <c r="BJ2662">
        <v>1</v>
      </c>
      <c r="BK2662">
        <v>1</v>
      </c>
      <c r="BL2662">
        <v>0</v>
      </c>
      <c r="BO2662">
        <v>0</v>
      </c>
      <c r="BP2662">
        <v>0</v>
      </c>
      <c r="BW2662" t="str">
        <f>"20:28:44.364"</f>
        <v>20:28:44.364</v>
      </c>
      <c r="BZ2662">
        <v>0</v>
      </c>
      <c r="CA2662">
        <v>1792</v>
      </c>
      <c r="CB2662">
        <v>224</v>
      </c>
      <c r="CD2662">
        <v>1</v>
      </c>
      <c r="CE2662">
        <v>0</v>
      </c>
      <c r="CF2662">
        <v>0</v>
      </c>
      <c r="CG2662">
        <v>0</v>
      </c>
      <c r="CH2662">
        <v>0</v>
      </c>
      <c r="CI2662">
        <v>0</v>
      </c>
      <c r="CJ2662">
        <v>0</v>
      </c>
      <c r="CK2662">
        <v>2</v>
      </c>
      <c r="CL2662">
        <v>0</v>
      </c>
      <c r="CM2662">
        <v>2</v>
      </c>
      <c r="CN2662">
        <v>0</v>
      </c>
      <c r="CO2662">
        <v>4</v>
      </c>
      <c r="CP2662" t="s">
        <v>119</v>
      </c>
      <c r="CQ2662">
        <v>179</v>
      </c>
      <c r="CR2662">
        <v>1</v>
      </c>
      <c r="CW2662">
        <v>9046083</v>
      </c>
      <c r="CY2662">
        <v>1</v>
      </c>
      <c r="CZ2662">
        <v>0</v>
      </c>
      <c r="DA2662">
        <v>1</v>
      </c>
      <c r="DB2662">
        <v>0</v>
      </c>
      <c r="DC2662">
        <v>0</v>
      </c>
      <c r="DD2662">
        <v>0</v>
      </c>
      <c r="DE2662">
        <v>0</v>
      </c>
      <c r="DF2662">
        <v>0</v>
      </c>
      <c r="DG2662">
        <v>0</v>
      </c>
      <c r="DH2662">
        <v>0</v>
      </c>
      <c r="DI2662">
        <v>0</v>
      </c>
    </row>
    <row r="2663" spans="1:113" x14ac:dyDescent="0.3">
      <c r="A2663" t="str">
        <f>"02/08/2021 20:28:42.911"</f>
        <v>02/08/2021 20:28:42.911</v>
      </c>
      <c r="C2663" t="str">
        <f t="shared" si="126"/>
        <v>FFDFD7C0</v>
      </c>
      <c r="D2663" t="s">
        <v>124</v>
      </c>
      <c r="E2663">
        <v>13</v>
      </c>
      <c r="F2663">
        <v>1013</v>
      </c>
      <c r="G2663" t="s">
        <v>114</v>
      </c>
      <c r="J2663" t="s">
        <v>125</v>
      </c>
      <c r="K2663">
        <v>0</v>
      </c>
      <c r="L2663">
        <v>3</v>
      </c>
      <c r="M2663">
        <v>0</v>
      </c>
      <c r="N2663">
        <v>2</v>
      </c>
      <c r="O2663">
        <v>1</v>
      </c>
      <c r="P2663">
        <v>0</v>
      </c>
      <c r="Q2663">
        <v>0</v>
      </c>
      <c r="S2663" t="str">
        <f>"20:28:45.242"</f>
        <v>20:28:45.242</v>
      </c>
      <c r="T2663" t="str">
        <f>"20:28:44.842"</f>
        <v>20:28:44.842</v>
      </c>
      <c r="U2663" t="str">
        <f t="shared" si="128"/>
        <v>AB01F4</v>
      </c>
      <c r="V2663">
        <v>0</v>
      </c>
      <c r="W2663">
        <v>0</v>
      </c>
      <c r="X2663">
        <v>2</v>
      </c>
      <c r="Z2663">
        <v>0</v>
      </c>
      <c r="AA2663">
        <v>9</v>
      </c>
      <c r="AB2663">
        <v>3</v>
      </c>
      <c r="AC2663">
        <v>0</v>
      </c>
      <c r="AD2663">
        <v>10</v>
      </c>
      <c r="AE2663">
        <v>0</v>
      </c>
      <c r="AF2663">
        <v>3</v>
      </c>
      <c r="AG2663">
        <v>2</v>
      </c>
      <c r="AH2663">
        <v>0</v>
      </c>
      <c r="AI2663" t="s">
        <v>1581</v>
      </c>
      <c r="AJ2663">
        <v>40.011927999999997</v>
      </c>
      <c r="AK2663" t="s">
        <v>1582</v>
      </c>
      <c r="AL2663">
        <v>-92.769563000000005</v>
      </c>
      <c r="AM2663">
        <v>100</v>
      </c>
      <c r="AN2663">
        <v>1700</v>
      </c>
      <c r="AO2663" t="s">
        <v>118</v>
      </c>
      <c r="AP2663">
        <v>-109</v>
      </c>
      <c r="AQ2663">
        <v>78</v>
      </c>
      <c r="AR2663">
        <v>-256</v>
      </c>
      <c r="AZ2663">
        <v>1200</v>
      </c>
      <c r="BA2663">
        <v>1</v>
      </c>
      <c r="BB2663" t="str">
        <f t="shared" si="127"/>
        <v xml:space="preserve">N8080G  </v>
      </c>
      <c r="BC2663">
        <v>1</v>
      </c>
      <c r="BE2663">
        <v>0</v>
      </c>
      <c r="BF2663">
        <v>0</v>
      </c>
      <c r="BG2663">
        <v>0</v>
      </c>
      <c r="BH2663">
        <v>1650</v>
      </c>
      <c r="BI2663">
        <v>1</v>
      </c>
      <c r="BJ2663">
        <v>1</v>
      </c>
      <c r="BK2663">
        <v>1</v>
      </c>
      <c r="BL2663">
        <v>0</v>
      </c>
      <c r="BO2663">
        <v>0</v>
      </c>
      <c r="BP2663">
        <v>0</v>
      </c>
      <c r="BW2663" t="str">
        <f>"20:28:45.243"</f>
        <v>20:28:45.243</v>
      </c>
      <c r="BZ2663">
        <v>0</v>
      </c>
      <c r="CA2663">
        <v>1792</v>
      </c>
      <c r="CB2663">
        <v>224</v>
      </c>
      <c r="CD2663">
        <v>1</v>
      </c>
      <c r="CE2663">
        <v>0</v>
      </c>
      <c r="CF2663">
        <v>0</v>
      </c>
      <c r="CG2663">
        <v>0</v>
      </c>
      <c r="CH2663">
        <v>0</v>
      </c>
      <c r="CI2663">
        <v>0</v>
      </c>
      <c r="CJ2663">
        <v>0</v>
      </c>
      <c r="CK2663">
        <v>2</v>
      </c>
      <c r="CL2663">
        <v>0</v>
      </c>
      <c r="CM2663">
        <v>2</v>
      </c>
      <c r="CN2663">
        <v>0</v>
      </c>
      <c r="CO2663">
        <v>7</v>
      </c>
      <c r="CP2663" t="s">
        <v>119</v>
      </c>
      <c r="CQ2663">
        <v>180</v>
      </c>
      <c r="CR2663">
        <v>2</v>
      </c>
      <c r="CW2663">
        <v>8592168</v>
      </c>
      <c r="CY2663">
        <v>1</v>
      </c>
      <c r="CZ2663">
        <v>0</v>
      </c>
      <c r="DA2663">
        <v>0</v>
      </c>
      <c r="DB2663">
        <v>0</v>
      </c>
      <c r="DC2663">
        <v>0</v>
      </c>
      <c r="DD2663">
        <v>0</v>
      </c>
      <c r="DE2663">
        <v>0</v>
      </c>
      <c r="DF2663">
        <v>0</v>
      </c>
      <c r="DG2663">
        <v>0</v>
      </c>
      <c r="DH2663">
        <v>0</v>
      </c>
      <c r="DI2663">
        <v>0</v>
      </c>
    </row>
    <row r="2664" spans="1:113" x14ac:dyDescent="0.3">
      <c r="A2664" t="str">
        <f>"02/08/2021 20:28:42.911"</f>
        <v>02/08/2021 20:28:42.911</v>
      </c>
      <c r="C2664" t="str">
        <f t="shared" si="126"/>
        <v>FFDFD7C0</v>
      </c>
      <c r="D2664" t="s">
        <v>124</v>
      </c>
      <c r="E2664">
        <v>12</v>
      </c>
      <c r="F2664">
        <v>1012</v>
      </c>
      <c r="G2664" t="s">
        <v>675</v>
      </c>
      <c r="J2664" t="s">
        <v>125</v>
      </c>
      <c r="K2664">
        <v>0</v>
      </c>
      <c r="L2664">
        <v>3</v>
      </c>
      <c r="M2664">
        <v>0</v>
      </c>
      <c r="N2664">
        <v>2</v>
      </c>
      <c r="O2664">
        <v>1</v>
      </c>
      <c r="P2664">
        <v>0</v>
      </c>
      <c r="Q2664">
        <v>0</v>
      </c>
      <c r="S2664" t="str">
        <f>"20:28:45.242"</f>
        <v>20:28:45.242</v>
      </c>
      <c r="T2664" t="str">
        <f>"20:28:44.842"</f>
        <v>20:28:44.842</v>
      </c>
      <c r="U2664" t="str">
        <f t="shared" si="128"/>
        <v>AB01F4</v>
      </c>
      <c r="V2664">
        <v>0</v>
      </c>
      <c r="W2664">
        <v>0</v>
      </c>
      <c r="X2664">
        <v>2</v>
      </c>
      <c r="Z2664">
        <v>0</v>
      </c>
      <c r="AA2664">
        <v>9</v>
      </c>
      <c r="AB2664">
        <v>3</v>
      </c>
      <c r="AC2664">
        <v>0</v>
      </c>
      <c r="AD2664">
        <v>10</v>
      </c>
      <c r="AE2664">
        <v>0</v>
      </c>
      <c r="AF2664">
        <v>3</v>
      </c>
      <c r="AG2664">
        <v>2</v>
      </c>
      <c r="AH2664">
        <v>0</v>
      </c>
      <c r="AI2664" t="s">
        <v>1581</v>
      </c>
      <c r="AJ2664">
        <v>40.011927999999997</v>
      </c>
      <c r="AK2664" t="s">
        <v>1582</v>
      </c>
      <c r="AL2664">
        <v>-92.769563000000005</v>
      </c>
      <c r="AM2664">
        <v>100</v>
      </c>
      <c r="AN2664">
        <v>1700</v>
      </c>
      <c r="AO2664" t="s">
        <v>118</v>
      </c>
      <c r="AP2664">
        <v>-109</v>
      </c>
      <c r="AQ2664">
        <v>78</v>
      </c>
      <c r="AR2664">
        <v>-256</v>
      </c>
      <c r="AZ2664">
        <v>1200</v>
      </c>
      <c r="BA2664">
        <v>1</v>
      </c>
      <c r="BB2664" t="str">
        <f t="shared" si="127"/>
        <v xml:space="preserve">N8080G  </v>
      </c>
      <c r="BC2664">
        <v>1</v>
      </c>
      <c r="BE2664">
        <v>0</v>
      </c>
      <c r="BF2664">
        <v>0</v>
      </c>
      <c r="BG2664">
        <v>0</v>
      </c>
      <c r="BH2664">
        <v>1650</v>
      </c>
      <c r="BI2664">
        <v>1</v>
      </c>
      <c r="BJ2664">
        <v>1</v>
      </c>
      <c r="BK2664">
        <v>1</v>
      </c>
      <c r="BL2664">
        <v>0</v>
      </c>
      <c r="BO2664">
        <v>0</v>
      </c>
      <c r="BP2664">
        <v>0</v>
      </c>
      <c r="BW2664" t="str">
        <f>"20:28:45.243"</f>
        <v>20:28:45.243</v>
      </c>
      <c r="BZ2664">
        <v>0</v>
      </c>
      <c r="CA2664">
        <v>1792</v>
      </c>
      <c r="CB2664">
        <v>224</v>
      </c>
      <c r="CD2664">
        <v>1</v>
      </c>
      <c r="CE2664">
        <v>0</v>
      </c>
      <c r="CF2664">
        <v>0</v>
      </c>
      <c r="CG2664">
        <v>0</v>
      </c>
      <c r="CH2664">
        <v>0</v>
      </c>
      <c r="CI2664">
        <v>0</v>
      </c>
      <c r="CJ2664">
        <v>0</v>
      </c>
      <c r="CK2664">
        <v>2</v>
      </c>
      <c r="CL2664">
        <v>0</v>
      </c>
      <c r="CM2664">
        <v>2</v>
      </c>
      <c r="CN2664">
        <v>0</v>
      </c>
      <c r="CO2664">
        <v>7</v>
      </c>
      <c r="CP2664" t="s">
        <v>119</v>
      </c>
      <c r="CQ2664">
        <v>180</v>
      </c>
      <c r="CR2664">
        <v>2</v>
      </c>
      <c r="CW2664">
        <v>8592168</v>
      </c>
      <c r="CY2664">
        <v>1</v>
      </c>
      <c r="CZ2664">
        <v>0</v>
      </c>
      <c r="DA2664">
        <v>1</v>
      </c>
      <c r="DB2664">
        <v>0</v>
      </c>
      <c r="DC2664">
        <v>0</v>
      </c>
      <c r="DD2664">
        <v>0</v>
      </c>
      <c r="DE2664">
        <v>0</v>
      </c>
      <c r="DF2664">
        <v>0</v>
      </c>
      <c r="DG2664">
        <v>0</v>
      </c>
      <c r="DH2664">
        <v>0</v>
      </c>
      <c r="DI2664">
        <v>0</v>
      </c>
    </row>
    <row r="2665" spans="1:113" x14ac:dyDescent="0.3">
      <c r="A2665" t="str">
        <f>"02/08/2021 20:28:42.911"</f>
        <v>02/08/2021 20:28:42.911</v>
      </c>
      <c r="C2665" t="str">
        <f t="shared" si="126"/>
        <v>FFDFD7C0</v>
      </c>
      <c r="D2665" t="s">
        <v>124</v>
      </c>
      <c r="E2665">
        <v>11</v>
      </c>
      <c r="F2665">
        <v>1011</v>
      </c>
      <c r="G2665" t="s">
        <v>590</v>
      </c>
      <c r="J2665" t="s">
        <v>125</v>
      </c>
      <c r="K2665">
        <v>0</v>
      </c>
      <c r="L2665">
        <v>3</v>
      </c>
      <c r="M2665">
        <v>0</v>
      </c>
      <c r="N2665">
        <v>2</v>
      </c>
      <c r="O2665">
        <v>1</v>
      </c>
      <c r="P2665">
        <v>0</v>
      </c>
      <c r="Q2665">
        <v>0</v>
      </c>
      <c r="S2665" t="str">
        <f>"20:28:45.242"</f>
        <v>20:28:45.242</v>
      </c>
      <c r="T2665" t="str">
        <f>"20:28:44.842"</f>
        <v>20:28:44.842</v>
      </c>
      <c r="U2665" t="str">
        <f t="shared" si="128"/>
        <v>AB01F4</v>
      </c>
      <c r="V2665">
        <v>0</v>
      </c>
      <c r="W2665">
        <v>0</v>
      </c>
      <c r="X2665">
        <v>2</v>
      </c>
      <c r="Z2665">
        <v>0</v>
      </c>
      <c r="AA2665">
        <v>9</v>
      </c>
      <c r="AB2665">
        <v>3</v>
      </c>
      <c r="AC2665">
        <v>0</v>
      </c>
      <c r="AD2665">
        <v>10</v>
      </c>
      <c r="AE2665">
        <v>0</v>
      </c>
      <c r="AF2665">
        <v>3</v>
      </c>
      <c r="AG2665">
        <v>2</v>
      </c>
      <c r="AH2665">
        <v>0</v>
      </c>
      <c r="AI2665" t="s">
        <v>1581</v>
      </c>
      <c r="AJ2665">
        <v>40.011927999999997</v>
      </c>
      <c r="AK2665" t="s">
        <v>1582</v>
      </c>
      <c r="AL2665">
        <v>-92.769563000000005</v>
      </c>
      <c r="AM2665">
        <v>100</v>
      </c>
      <c r="AN2665">
        <v>1700</v>
      </c>
      <c r="AO2665" t="s">
        <v>118</v>
      </c>
      <c r="AP2665">
        <v>-109</v>
      </c>
      <c r="AQ2665">
        <v>78</v>
      </c>
      <c r="AR2665">
        <v>-256</v>
      </c>
      <c r="AZ2665">
        <v>1200</v>
      </c>
      <c r="BA2665">
        <v>1</v>
      </c>
      <c r="BB2665" t="str">
        <f t="shared" si="127"/>
        <v xml:space="preserve">N8080G  </v>
      </c>
      <c r="BC2665">
        <v>1</v>
      </c>
      <c r="BE2665">
        <v>0</v>
      </c>
      <c r="BF2665">
        <v>0</v>
      </c>
      <c r="BG2665">
        <v>0</v>
      </c>
      <c r="BH2665">
        <v>1650</v>
      </c>
      <c r="BI2665">
        <v>1</v>
      </c>
      <c r="BJ2665">
        <v>1</v>
      </c>
      <c r="BK2665">
        <v>1</v>
      </c>
      <c r="BL2665">
        <v>0</v>
      </c>
      <c r="BO2665">
        <v>0</v>
      </c>
      <c r="BP2665">
        <v>0</v>
      </c>
      <c r="BW2665" t="str">
        <f>"20:28:45.243"</f>
        <v>20:28:45.243</v>
      </c>
      <c r="BZ2665">
        <v>0</v>
      </c>
      <c r="CA2665">
        <v>1792</v>
      </c>
      <c r="CB2665">
        <v>224</v>
      </c>
      <c r="CD2665">
        <v>1</v>
      </c>
      <c r="CE2665">
        <v>0</v>
      </c>
      <c r="CF2665">
        <v>0</v>
      </c>
      <c r="CG2665">
        <v>0</v>
      </c>
      <c r="CH2665">
        <v>0</v>
      </c>
      <c r="CI2665">
        <v>0</v>
      </c>
      <c r="CJ2665">
        <v>0</v>
      </c>
      <c r="CK2665">
        <v>2</v>
      </c>
      <c r="CL2665">
        <v>0</v>
      </c>
      <c r="CM2665">
        <v>2</v>
      </c>
      <c r="CN2665">
        <v>0</v>
      </c>
      <c r="CO2665">
        <v>7</v>
      </c>
      <c r="CP2665" t="s">
        <v>119</v>
      </c>
      <c r="CQ2665">
        <v>180</v>
      </c>
      <c r="CR2665">
        <v>2</v>
      </c>
      <c r="CW2665">
        <v>8592168</v>
      </c>
      <c r="CY2665">
        <v>1</v>
      </c>
      <c r="CZ2665">
        <v>0</v>
      </c>
      <c r="DA2665">
        <v>1</v>
      </c>
      <c r="DB2665">
        <v>0</v>
      </c>
      <c r="DC2665">
        <v>0</v>
      </c>
      <c r="DD2665">
        <v>0</v>
      </c>
      <c r="DE2665">
        <v>0</v>
      </c>
      <c r="DF2665">
        <v>0</v>
      </c>
      <c r="DG2665">
        <v>0</v>
      </c>
      <c r="DH2665">
        <v>0</v>
      </c>
      <c r="DI2665">
        <v>0</v>
      </c>
    </row>
    <row r="2666" spans="1:113" x14ac:dyDescent="0.3">
      <c r="A2666" t="str">
        <f>"02/08/2021 20:28:42.911"</f>
        <v>02/08/2021 20:28:42.911</v>
      </c>
      <c r="C2666" t="str">
        <f t="shared" si="126"/>
        <v>FFDFD7C0</v>
      </c>
      <c r="D2666" t="s">
        <v>113</v>
      </c>
      <c r="E2666">
        <v>6</v>
      </c>
      <c r="H2666">
        <v>165</v>
      </c>
      <c r="I2666" t="s">
        <v>114</v>
      </c>
      <c r="J2666" t="s">
        <v>115</v>
      </c>
      <c r="K2666">
        <v>0</v>
      </c>
      <c r="L2666">
        <v>3</v>
      </c>
      <c r="M2666">
        <v>0</v>
      </c>
      <c r="N2666">
        <v>2</v>
      </c>
      <c r="O2666">
        <v>1</v>
      </c>
      <c r="P2666">
        <v>0</v>
      </c>
      <c r="Q2666">
        <v>0</v>
      </c>
      <c r="S2666" t="str">
        <f>"20:28:45.242"</f>
        <v>20:28:45.242</v>
      </c>
      <c r="T2666" t="str">
        <f>"20:28:44.842"</f>
        <v>20:28:44.842</v>
      </c>
      <c r="U2666" t="str">
        <f t="shared" si="128"/>
        <v>AB01F4</v>
      </c>
      <c r="V2666">
        <v>0</v>
      </c>
      <c r="W2666">
        <v>0</v>
      </c>
      <c r="X2666">
        <v>2</v>
      </c>
      <c r="Z2666">
        <v>0</v>
      </c>
      <c r="AA2666">
        <v>9</v>
      </c>
      <c r="AB2666">
        <v>3</v>
      </c>
      <c r="AC2666">
        <v>0</v>
      </c>
      <c r="AD2666">
        <v>10</v>
      </c>
      <c r="AE2666">
        <v>0</v>
      </c>
      <c r="AF2666">
        <v>3</v>
      </c>
      <c r="AG2666">
        <v>2</v>
      </c>
      <c r="AH2666">
        <v>0</v>
      </c>
      <c r="AI2666" t="s">
        <v>1581</v>
      </c>
      <c r="AJ2666">
        <v>40.011927999999997</v>
      </c>
      <c r="AK2666" t="s">
        <v>1582</v>
      </c>
      <c r="AL2666">
        <v>-92.769563000000005</v>
      </c>
      <c r="AM2666">
        <v>100</v>
      </c>
      <c r="AN2666">
        <v>1700</v>
      </c>
      <c r="AO2666" t="s">
        <v>118</v>
      </c>
      <c r="AP2666">
        <v>-109</v>
      </c>
      <c r="AQ2666">
        <v>78</v>
      </c>
      <c r="AR2666">
        <v>-256</v>
      </c>
      <c r="AZ2666">
        <v>1200</v>
      </c>
      <c r="BA2666">
        <v>1</v>
      </c>
      <c r="BB2666" t="str">
        <f t="shared" si="127"/>
        <v xml:space="preserve">N8080G  </v>
      </c>
      <c r="BC2666">
        <v>1</v>
      </c>
      <c r="BE2666">
        <v>0</v>
      </c>
      <c r="BF2666">
        <v>0</v>
      </c>
      <c r="BG2666">
        <v>0</v>
      </c>
      <c r="BH2666">
        <v>1650</v>
      </c>
      <c r="BI2666">
        <v>1</v>
      </c>
      <c r="BJ2666">
        <v>1</v>
      </c>
      <c r="BK2666">
        <v>1</v>
      </c>
      <c r="BL2666">
        <v>0</v>
      </c>
      <c r="BO2666">
        <v>0</v>
      </c>
      <c r="BP2666">
        <v>0</v>
      </c>
      <c r="BW2666" t="str">
        <f>"20:28:45.243"</f>
        <v>20:28:45.243</v>
      </c>
      <c r="BZ2666">
        <v>0</v>
      </c>
      <c r="CA2666">
        <v>1792</v>
      </c>
      <c r="CB2666">
        <v>224</v>
      </c>
      <c r="CD2666">
        <v>1</v>
      </c>
      <c r="CE2666">
        <v>0</v>
      </c>
      <c r="CF2666">
        <v>0</v>
      </c>
      <c r="CG2666">
        <v>0</v>
      </c>
      <c r="CH2666">
        <v>0</v>
      </c>
      <c r="CI2666">
        <v>0</v>
      </c>
      <c r="CJ2666">
        <v>0</v>
      </c>
      <c r="CK2666">
        <v>2</v>
      </c>
      <c r="CL2666">
        <v>0</v>
      </c>
      <c r="CM2666">
        <v>2</v>
      </c>
      <c r="CN2666">
        <v>0</v>
      </c>
      <c r="CO2666">
        <v>7</v>
      </c>
      <c r="CP2666" t="s">
        <v>119</v>
      </c>
      <c r="CQ2666">
        <v>180</v>
      </c>
      <c r="CR2666">
        <v>2</v>
      </c>
      <c r="CW2666">
        <v>8592168</v>
      </c>
      <c r="CY2666">
        <v>1</v>
      </c>
      <c r="CZ2666">
        <v>0</v>
      </c>
      <c r="DA2666">
        <v>1</v>
      </c>
      <c r="DB2666">
        <v>0</v>
      </c>
      <c r="DC2666">
        <v>0</v>
      </c>
      <c r="DD2666">
        <v>0</v>
      </c>
      <c r="DE2666">
        <v>0</v>
      </c>
      <c r="DF2666">
        <v>0</v>
      </c>
      <c r="DG2666">
        <v>0</v>
      </c>
      <c r="DH2666">
        <v>0</v>
      </c>
      <c r="DI2666">
        <v>0</v>
      </c>
    </row>
    <row r="2667" spans="1:113" x14ac:dyDescent="0.3">
      <c r="A2667" t="str">
        <f>"02/08/2021 20:28:43.989"</f>
        <v>02/08/2021 20:28:43.989</v>
      </c>
      <c r="C2667" t="str">
        <f t="shared" si="126"/>
        <v>FFDFD7C0</v>
      </c>
      <c r="D2667" t="s">
        <v>124</v>
      </c>
      <c r="E2667">
        <v>12</v>
      </c>
      <c r="F2667">
        <v>1012</v>
      </c>
      <c r="G2667" t="s">
        <v>675</v>
      </c>
      <c r="J2667" t="s">
        <v>125</v>
      </c>
      <c r="K2667">
        <v>0</v>
      </c>
      <c r="L2667">
        <v>3</v>
      </c>
      <c r="M2667">
        <v>0</v>
      </c>
      <c r="N2667">
        <v>2</v>
      </c>
      <c r="O2667">
        <v>1</v>
      </c>
      <c r="P2667">
        <v>0</v>
      </c>
      <c r="Q2667">
        <v>0</v>
      </c>
      <c r="S2667" t="str">
        <f>"20:28:46.289"</f>
        <v>20:28:46.289</v>
      </c>
      <c r="T2667" t="str">
        <f>"20:28:45.889"</f>
        <v>20:28:45.889</v>
      </c>
      <c r="U2667" t="str">
        <f t="shared" si="128"/>
        <v>AB01F4</v>
      </c>
      <c r="V2667">
        <v>0</v>
      </c>
      <c r="W2667">
        <v>0</v>
      </c>
      <c r="X2667">
        <v>2</v>
      </c>
      <c r="Z2667">
        <v>0</v>
      </c>
      <c r="AA2667">
        <v>9</v>
      </c>
      <c r="AB2667">
        <v>3</v>
      </c>
      <c r="AC2667">
        <v>0</v>
      </c>
      <c r="AD2667">
        <v>10</v>
      </c>
      <c r="AE2667">
        <v>0</v>
      </c>
      <c r="AF2667">
        <v>3</v>
      </c>
      <c r="AG2667">
        <v>2</v>
      </c>
      <c r="AH2667">
        <v>0</v>
      </c>
      <c r="AI2667" t="s">
        <v>1583</v>
      </c>
      <c r="AJ2667">
        <v>40.012293</v>
      </c>
      <c r="AK2667" t="s">
        <v>1584</v>
      </c>
      <c r="AL2667">
        <v>-92.770250000000004</v>
      </c>
      <c r="AM2667">
        <v>100</v>
      </c>
      <c r="AN2667">
        <v>1700</v>
      </c>
      <c r="AO2667" t="s">
        <v>118</v>
      </c>
      <c r="AP2667">
        <v>-109</v>
      </c>
      <c r="AQ2667">
        <v>79</v>
      </c>
      <c r="AR2667">
        <v>-192</v>
      </c>
      <c r="AZ2667">
        <v>1200</v>
      </c>
      <c r="BA2667">
        <v>1</v>
      </c>
      <c r="BB2667" t="str">
        <f t="shared" si="127"/>
        <v xml:space="preserve">N8080G  </v>
      </c>
      <c r="BC2667">
        <v>1</v>
      </c>
      <c r="BE2667">
        <v>0</v>
      </c>
      <c r="BF2667">
        <v>0</v>
      </c>
      <c r="BG2667">
        <v>0</v>
      </c>
      <c r="BH2667">
        <v>1650</v>
      </c>
      <c r="BI2667">
        <v>1</v>
      </c>
      <c r="BJ2667">
        <v>1</v>
      </c>
      <c r="BK2667">
        <v>1</v>
      </c>
      <c r="BL2667">
        <v>0</v>
      </c>
      <c r="BO2667">
        <v>0</v>
      </c>
      <c r="BP2667">
        <v>0</v>
      </c>
      <c r="BW2667" t="str">
        <f>"20:28:46.294"</f>
        <v>20:28:46.294</v>
      </c>
      <c r="BZ2667">
        <v>0</v>
      </c>
      <c r="CA2667">
        <v>1792</v>
      </c>
      <c r="CB2667">
        <v>224</v>
      </c>
      <c r="CD2667">
        <v>1</v>
      </c>
      <c r="CE2667">
        <v>0</v>
      </c>
      <c r="CF2667">
        <v>0</v>
      </c>
      <c r="CG2667">
        <v>0</v>
      </c>
      <c r="CH2667">
        <v>0</v>
      </c>
      <c r="CI2667">
        <v>0</v>
      </c>
      <c r="CJ2667">
        <v>0</v>
      </c>
      <c r="CK2667">
        <v>2</v>
      </c>
      <c r="CL2667">
        <v>0</v>
      </c>
      <c r="CM2667">
        <v>2</v>
      </c>
      <c r="CN2667">
        <v>0</v>
      </c>
      <c r="CO2667">
        <v>4</v>
      </c>
      <c r="CP2667" t="s">
        <v>119</v>
      </c>
      <c r="CQ2667">
        <v>179</v>
      </c>
      <c r="CR2667">
        <v>1</v>
      </c>
      <c r="CW2667">
        <v>9047859</v>
      </c>
      <c r="CY2667">
        <v>1</v>
      </c>
      <c r="CZ2667">
        <v>0</v>
      </c>
      <c r="DA2667">
        <v>0</v>
      </c>
      <c r="DB2667">
        <v>0</v>
      </c>
      <c r="DC2667">
        <v>0</v>
      </c>
      <c r="DD2667">
        <v>0</v>
      </c>
      <c r="DE2667">
        <v>0</v>
      </c>
      <c r="DF2667">
        <v>0</v>
      </c>
      <c r="DG2667">
        <v>0</v>
      </c>
      <c r="DH2667">
        <v>0</v>
      </c>
      <c r="DI2667">
        <v>0</v>
      </c>
    </row>
    <row r="2668" spans="1:113" x14ac:dyDescent="0.3">
      <c r="A2668" t="str">
        <f>"02/08/2021 20:28:43.989"</f>
        <v>02/08/2021 20:28:43.989</v>
      </c>
      <c r="C2668" t="str">
        <f t="shared" si="126"/>
        <v>FFDFD7C0</v>
      </c>
      <c r="D2668" t="s">
        <v>124</v>
      </c>
      <c r="E2668">
        <v>11</v>
      </c>
      <c r="F2668">
        <v>1011</v>
      </c>
      <c r="G2668" t="s">
        <v>590</v>
      </c>
      <c r="J2668" t="s">
        <v>125</v>
      </c>
      <c r="K2668">
        <v>0</v>
      </c>
      <c r="L2668">
        <v>3</v>
      </c>
      <c r="M2668">
        <v>0</v>
      </c>
      <c r="N2668">
        <v>2</v>
      </c>
      <c r="O2668">
        <v>1</v>
      </c>
      <c r="P2668">
        <v>0</v>
      </c>
      <c r="Q2668">
        <v>0</v>
      </c>
      <c r="S2668" t="str">
        <f>"20:28:46.289"</f>
        <v>20:28:46.289</v>
      </c>
      <c r="T2668" t="str">
        <f>"20:28:45.889"</f>
        <v>20:28:45.889</v>
      </c>
      <c r="U2668" t="str">
        <f t="shared" si="128"/>
        <v>AB01F4</v>
      </c>
      <c r="V2668">
        <v>0</v>
      </c>
      <c r="W2668">
        <v>0</v>
      </c>
      <c r="X2668">
        <v>2</v>
      </c>
      <c r="Z2668">
        <v>0</v>
      </c>
      <c r="AA2668">
        <v>9</v>
      </c>
      <c r="AB2668">
        <v>3</v>
      </c>
      <c r="AC2668">
        <v>0</v>
      </c>
      <c r="AD2668">
        <v>10</v>
      </c>
      <c r="AE2668">
        <v>0</v>
      </c>
      <c r="AF2668">
        <v>3</v>
      </c>
      <c r="AG2668">
        <v>2</v>
      </c>
      <c r="AH2668">
        <v>0</v>
      </c>
      <c r="AI2668" t="s">
        <v>1583</v>
      </c>
      <c r="AJ2668">
        <v>40.012293</v>
      </c>
      <c r="AK2668" t="s">
        <v>1584</v>
      </c>
      <c r="AL2668">
        <v>-92.770250000000004</v>
      </c>
      <c r="AM2668">
        <v>100</v>
      </c>
      <c r="AN2668">
        <v>1700</v>
      </c>
      <c r="AO2668" t="s">
        <v>118</v>
      </c>
      <c r="AP2668">
        <v>-109</v>
      </c>
      <c r="AQ2668">
        <v>79</v>
      </c>
      <c r="AR2668">
        <v>-192</v>
      </c>
      <c r="AZ2668">
        <v>1200</v>
      </c>
      <c r="BA2668">
        <v>1</v>
      </c>
      <c r="BB2668" t="str">
        <f t="shared" si="127"/>
        <v xml:space="preserve">N8080G  </v>
      </c>
      <c r="BC2668">
        <v>1</v>
      </c>
      <c r="BE2668">
        <v>0</v>
      </c>
      <c r="BF2668">
        <v>0</v>
      </c>
      <c r="BG2668">
        <v>0</v>
      </c>
      <c r="BH2668">
        <v>1650</v>
      </c>
      <c r="BI2668">
        <v>1</v>
      </c>
      <c r="BJ2668">
        <v>1</v>
      </c>
      <c r="BK2668">
        <v>1</v>
      </c>
      <c r="BL2668">
        <v>0</v>
      </c>
      <c r="BO2668">
        <v>0</v>
      </c>
      <c r="BP2668">
        <v>0</v>
      </c>
      <c r="BW2668" t="str">
        <f>"20:28:46.294"</f>
        <v>20:28:46.294</v>
      </c>
      <c r="BZ2668">
        <v>0</v>
      </c>
      <c r="CA2668">
        <v>1792</v>
      </c>
      <c r="CB2668">
        <v>224</v>
      </c>
      <c r="CD2668">
        <v>1</v>
      </c>
      <c r="CE2668">
        <v>0</v>
      </c>
      <c r="CF2668">
        <v>0</v>
      </c>
      <c r="CG2668">
        <v>0</v>
      </c>
      <c r="CH2668">
        <v>0</v>
      </c>
      <c r="CI2668">
        <v>0</v>
      </c>
      <c r="CJ2668">
        <v>0</v>
      </c>
      <c r="CK2668">
        <v>2</v>
      </c>
      <c r="CL2668">
        <v>0</v>
      </c>
      <c r="CM2668">
        <v>2</v>
      </c>
      <c r="CN2668">
        <v>0</v>
      </c>
      <c r="CO2668">
        <v>4</v>
      </c>
      <c r="CP2668" t="s">
        <v>119</v>
      </c>
      <c r="CQ2668">
        <v>179</v>
      </c>
      <c r="CR2668">
        <v>1</v>
      </c>
      <c r="CW2668">
        <v>9047859</v>
      </c>
      <c r="CY2668">
        <v>1</v>
      </c>
      <c r="CZ2668">
        <v>0</v>
      </c>
      <c r="DA2668">
        <v>1</v>
      </c>
      <c r="DB2668">
        <v>0</v>
      </c>
      <c r="DC2668">
        <v>0</v>
      </c>
      <c r="DD2668">
        <v>0</v>
      </c>
      <c r="DE2668">
        <v>0</v>
      </c>
      <c r="DF2668">
        <v>0</v>
      </c>
      <c r="DG2668">
        <v>0</v>
      </c>
      <c r="DH2668">
        <v>0</v>
      </c>
      <c r="DI2668">
        <v>0</v>
      </c>
    </row>
    <row r="2669" spans="1:113" x14ac:dyDescent="0.3">
      <c r="A2669" t="str">
        <f>"02/08/2021 20:28:43.989"</f>
        <v>02/08/2021 20:28:43.989</v>
      </c>
      <c r="C2669" t="str">
        <f t="shared" si="126"/>
        <v>FFDFD7C0</v>
      </c>
      <c r="D2669" t="s">
        <v>113</v>
      </c>
      <c r="E2669">
        <v>6</v>
      </c>
      <c r="H2669">
        <v>165</v>
      </c>
      <c r="I2669" t="s">
        <v>114</v>
      </c>
      <c r="J2669" t="s">
        <v>115</v>
      </c>
      <c r="K2669">
        <v>0</v>
      </c>
      <c r="L2669">
        <v>3</v>
      </c>
      <c r="M2669">
        <v>0</v>
      </c>
      <c r="N2669">
        <v>2</v>
      </c>
      <c r="O2669">
        <v>1</v>
      </c>
      <c r="P2669">
        <v>0</v>
      </c>
      <c r="Q2669">
        <v>0</v>
      </c>
      <c r="S2669" t="str">
        <f>"20:28:46.289"</f>
        <v>20:28:46.289</v>
      </c>
      <c r="T2669" t="str">
        <f>"20:28:45.889"</f>
        <v>20:28:45.889</v>
      </c>
      <c r="U2669" t="str">
        <f t="shared" si="128"/>
        <v>AB01F4</v>
      </c>
      <c r="V2669">
        <v>0</v>
      </c>
      <c r="W2669">
        <v>0</v>
      </c>
      <c r="X2669">
        <v>2</v>
      </c>
      <c r="Z2669">
        <v>0</v>
      </c>
      <c r="AA2669">
        <v>9</v>
      </c>
      <c r="AB2669">
        <v>3</v>
      </c>
      <c r="AC2669">
        <v>0</v>
      </c>
      <c r="AD2669">
        <v>10</v>
      </c>
      <c r="AE2669">
        <v>0</v>
      </c>
      <c r="AF2669">
        <v>3</v>
      </c>
      <c r="AG2669">
        <v>2</v>
      </c>
      <c r="AH2669">
        <v>0</v>
      </c>
      <c r="AI2669" t="s">
        <v>1583</v>
      </c>
      <c r="AJ2669">
        <v>40.012293</v>
      </c>
      <c r="AK2669" t="s">
        <v>1584</v>
      </c>
      <c r="AL2669">
        <v>-92.770250000000004</v>
      </c>
      <c r="AM2669">
        <v>100</v>
      </c>
      <c r="AN2669">
        <v>1700</v>
      </c>
      <c r="AO2669" t="s">
        <v>118</v>
      </c>
      <c r="AP2669">
        <v>-109</v>
      </c>
      <c r="AQ2669">
        <v>79</v>
      </c>
      <c r="AR2669">
        <v>-192</v>
      </c>
      <c r="AZ2669">
        <v>1200</v>
      </c>
      <c r="BA2669">
        <v>1</v>
      </c>
      <c r="BB2669" t="str">
        <f t="shared" si="127"/>
        <v xml:space="preserve">N8080G  </v>
      </c>
      <c r="BC2669">
        <v>1</v>
      </c>
      <c r="BE2669">
        <v>0</v>
      </c>
      <c r="BF2669">
        <v>0</v>
      </c>
      <c r="BG2669">
        <v>0</v>
      </c>
      <c r="BH2669">
        <v>1650</v>
      </c>
      <c r="BI2669">
        <v>1</v>
      </c>
      <c r="BJ2669">
        <v>1</v>
      </c>
      <c r="BK2669">
        <v>1</v>
      </c>
      <c r="BL2669">
        <v>0</v>
      </c>
      <c r="BO2669">
        <v>0</v>
      </c>
      <c r="BP2669">
        <v>0</v>
      </c>
      <c r="BW2669" t="str">
        <f>"20:28:46.294"</f>
        <v>20:28:46.294</v>
      </c>
      <c r="BZ2669">
        <v>0</v>
      </c>
      <c r="CA2669">
        <v>1792</v>
      </c>
      <c r="CB2669">
        <v>224</v>
      </c>
      <c r="CD2669">
        <v>1</v>
      </c>
      <c r="CE2669">
        <v>0</v>
      </c>
      <c r="CF2669">
        <v>0</v>
      </c>
      <c r="CG2669">
        <v>0</v>
      </c>
      <c r="CH2669">
        <v>0</v>
      </c>
      <c r="CI2669">
        <v>0</v>
      </c>
      <c r="CJ2669">
        <v>0</v>
      </c>
      <c r="CK2669">
        <v>2</v>
      </c>
      <c r="CL2669">
        <v>0</v>
      </c>
      <c r="CM2669">
        <v>2</v>
      </c>
      <c r="CN2669">
        <v>0</v>
      </c>
      <c r="CO2669">
        <v>4</v>
      </c>
      <c r="CP2669" t="s">
        <v>119</v>
      </c>
      <c r="CQ2669">
        <v>179</v>
      </c>
      <c r="CR2669">
        <v>1</v>
      </c>
      <c r="CW2669">
        <v>9047859</v>
      </c>
      <c r="CY2669">
        <v>1</v>
      </c>
      <c r="CZ2669">
        <v>0</v>
      </c>
      <c r="DA2669">
        <v>1</v>
      </c>
      <c r="DB2669">
        <v>0</v>
      </c>
      <c r="DC2669">
        <v>0</v>
      </c>
      <c r="DD2669">
        <v>0</v>
      </c>
      <c r="DE2669">
        <v>0</v>
      </c>
      <c r="DF2669">
        <v>0</v>
      </c>
      <c r="DG2669">
        <v>0</v>
      </c>
      <c r="DH2669">
        <v>0</v>
      </c>
      <c r="DI2669">
        <v>0</v>
      </c>
    </row>
    <row r="2670" spans="1:113" x14ac:dyDescent="0.3">
      <c r="A2670" t="str">
        <f>"02/08/2021 20:28:43.989"</f>
        <v>02/08/2021 20:28:43.989</v>
      </c>
      <c r="C2670" t="str">
        <f t="shared" si="126"/>
        <v>FFDFD7C0</v>
      </c>
      <c r="D2670" t="s">
        <v>124</v>
      </c>
      <c r="E2670">
        <v>13</v>
      </c>
      <c r="F2670">
        <v>1013</v>
      </c>
      <c r="G2670" t="s">
        <v>114</v>
      </c>
      <c r="J2670" t="s">
        <v>125</v>
      </c>
      <c r="K2670">
        <v>0</v>
      </c>
      <c r="L2670">
        <v>3</v>
      </c>
      <c r="M2670">
        <v>0</v>
      </c>
      <c r="N2670">
        <v>2</v>
      </c>
      <c r="O2670">
        <v>1</v>
      </c>
      <c r="P2670">
        <v>0</v>
      </c>
      <c r="Q2670">
        <v>0</v>
      </c>
      <c r="S2670" t="str">
        <f>"20:28:46.289"</f>
        <v>20:28:46.289</v>
      </c>
      <c r="T2670" t="str">
        <f>"20:28:45.889"</f>
        <v>20:28:45.889</v>
      </c>
      <c r="U2670" t="str">
        <f t="shared" si="128"/>
        <v>AB01F4</v>
      </c>
      <c r="V2670">
        <v>0</v>
      </c>
      <c r="W2670">
        <v>0</v>
      </c>
      <c r="X2670">
        <v>2</v>
      </c>
      <c r="Z2670">
        <v>0</v>
      </c>
      <c r="AA2670">
        <v>9</v>
      </c>
      <c r="AB2670">
        <v>3</v>
      </c>
      <c r="AC2670">
        <v>0</v>
      </c>
      <c r="AD2670">
        <v>10</v>
      </c>
      <c r="AE2670">
        <v>0</v>
      </c>
      <c r="AF2670">
        <v>3</v>
      </c>
      <c r="AG2670">
        <v>2</v>
      </c>
      <c r="AH2670">
        <v>0</v>
      </c>
      <c r="AI2670" t="s">
        <v>1583</v>
      </c>
      <c r="AJ2670">
        <v>40.012293</v>
      </c>
      <c r="AK2670" t="s">
        <v>1584</v>
      </c>
      <c r="AL2670">
        <v>-92.770250000000004</v>
      </c>
      <c r="AM2670">
        <v>100</v>
      </c>
      <c r="AN2670">
        <v>1700</v>
      </c>
      <c r="AO2670" t="s">
        <v>118</v>
      </c>
      <c r="AP2670">
        <v>-109</v>
      </c>
      <c r="AQ2670">
        <v>79</v>
      </c>
      <c r="AR2670">
        <v>-192</v>
      </c>
      <c r="AZ2670">
        <v>1200</v>
      </c>
      <c r="BA2670">
        <v>1</v>
      </c>
      <c r="BB2670" t="str">
        <f t="shared" si="127"/>
        <v xml:space="preserve">N8080G  </v>
      </c>
      <c r="BC2670">
        <v>1</v>
      </c>
      <c r="BE2670">
        <v>0</v>
      </c>
      <c r="BF2670">
        <v>0</v>
      </c>
      <c r="BG2670">
        <v>0</v>
      </c>
      <c r="BH2670">
        <v>1650</v>
      </c>
      <c r="BI2670">
        <v>1</v>
      </c>
      <c r="BJ2670">
        <v>1</v>
      </c>
      <c r="BK2670">
        <v>1</v>
      </c>
      <c r="BL2670">
        <v>0</v>
      </c>
      <c r="BO2670">
        <v>0</v>
      </c>
      <c r="BP2670">
        <v>0</v>
      </c>
      <c r="BW2670" t="str">
        <f>"20:28:46.294"</f>
        <v>20:28:46.294</v>
      </c>
      <c r="BZ2670">
        <v>0</v>
      </c>
      <c r="CA2670">
        <v>1792</v>
      </c>
      <c r="CB2670">
        <v>224</v>
      </c>
      <c r="CD2670">
        <v>1</v>
      </c>
      <c r="CE2670">
        <v>0</v>
      </c>
      <c r="CF2670">
        <v>0</v>
      </c>
      <c r="CG2670">
        <v>0</v>
      </c>
      <c r="CH2670">
        <v>0</v>
      </c>
      <c r="CI2670">
        <v>0</v>
      </c>
      <c r="CJ2670">
        <v>0</v>
      </c>
      <c r="CK2670">
        <v>2</v>
      </c>
      <c r="CL2670">
        <v>0</v>
      </c>
      <c r="CM2670">
        <v>2</v>
      </c>
      <c r="CN2670">
        <v>0</v>
      </c>
      <c r="CO2670">
        <v>4</v>
      </c>
      <c r="CP2670" t="s">
        <v>119</v>
      </c>
      <c r="CQ2670">
        <v>179</v>
      </c>
      <c r="CR2670">
        <v>1</v>
      </c>
      <c r="CW2670">
        <v>9047859</v>
      </c>
      <c r="CY2670">
        <v>1</v>
      </c>
      <c r="CZ2670">
        <v>0</v>
      </c>
      <c r="DA2670">
        <v>1</v>
      </c>
      <c r="DB2670">
        <v>0</v>
      </c>
      <c r="DC2670">
        <v>0</v>
      </c>
      <c r="DD2670">
        <v>0</v>
      </c>
      <c r="DE2670">
        <v>0</v>
      </c>
      <c r="DF2670">
        <v>0</v>
      </c>
      <c r="DG2670">
        <v>0</v>
      </c>
      <c r="DH2670">
        <v>0</v>
      </c>
      <c r="DI2670">
        <v>0</v>
      </c>
    </row>
    <row r="2671" spans="1:113" x14ac:dyDescent="0.3">
      <c r="A2671" t="str">
        <f>"02/08/2021 20:28:46.645"</f>
        <v>02/08/2021 20:28:46.645</v>
      </c>
      <c r="C2671" t="str">
        <f t="shared" ref="C2671:C2734" si="129">"FFDFD7C0"</f>
        <v>FFDFD7C0</v>
      </c>
      <c r="D2671" t="s">
        <v>113</v>
      </c>
      <c r="E2671">
        <v>6</v>
      </c>
      <c r="H2671">
        <v>165</v>
      </c>
      <c r="I2671" t="s">
        <v>114</v>
      </c>
      <c r="J2671" t="s">
        <v>115</v>
      </c>
      <c r="K2671">
        <v>0</v>
      </c>
      <c r="L2671">
        <v>3</v>
      </c>
      <c r="M2671">
        <v>0</v>
      </c>
      <c r="N2671">
        <v>2</v>
      </c>
      <c r="O2671">
        <v>1</v>
      </c>
      <c r="P2671">
        <v>0</v>
      </c>
      <c r="Q2671">
        <v>0</v>
      </c>
      <c r="S2671" t="str">
        <f>"20:28:48.977"</f>
        <v>20:28:48.977</v>
      </c>
      <c r="T2671" t="str">
        <f>"20:28:48.477"</f>
        <v>20:28:48.477</v>
      </c>
      <c r="U2671" t="str">
        <f t="shared" si="128"/>
        <v>AB01F4</v>
      </c>
      <c r="V2671">
        <v>0</v>
      </c>
      <c r="W2671">
        <v>0</v>
      </c>
      <c r="X2671">
        <v>2</v>
      </c>
      <c r="Z2671">
        <v>0</v>
      </c>
      <c r="AA2671">
        <v>9</v>
      </c>
      <c r="AB2671">
        <v>3</v>
      </c>
      <c r="AC2671">
        <v>0</v>
      </c>
      <c r="AD2671">
        <v>10</v>
      </c>
      <c r="AE2671">
        <v>0</v>
      </c>
      <c r="AF2671">
        <v>3</v>
      </c>
      <c r="AG2671">
        <v>2</v>
      </c>
      <c r="AH2671">
        <v>0</v>
      </c>
      <c r="AI2671" t="s">
        <v>1585</v>
      </c>
      <c r="AJ2671">
        <v>40.013300999999998</v>
      </c>
      <c r="AK2671" t="s">
        <v>1586</v>
      </c>
      <c r="AL2671">
        <v>-92.771966000000006</v>
      </c>
      <c r="AM2671">
        <v>100</v>
      </c>
      <c r="AN2671">
        <v>1700</v>
      </c>
      <c r="AO2671" t="s">
        <v>118</v>
      </c>
      <c r="AP2671">
        <v>-109</v>
      </c>
      <c r="AQ2671">
        <v>79</v>
      </c>
      <c r="AR2671">
        <v>-192</v>
      </c>
      <c r="AZ2671">
        <v>1200</v>
      </c>
      <c r="BA2671">
        <v>1</v>
      </c>
      <c r="BB2671" t="str">
        <f t="shared" ref="BB2671:BB2734" si="130">"N8080G  "</f>
        <v xml:space="preserve">N8080G  </v>
      </c>
      <c r="BC2671">
        <v>1</v>
      </c>
      <c r="BE2671">
        <v>0</v>
      </c>
      <c r="BF2671">
        <v>0</v>
      </c>
      <c r="BG2671">
        <v>0</v>
      </c>
      <c r="BH2671">
        <v>1650</v>
      </c>
      <c r="BI2671">
        <v>1</v>
      </c>
      <c r="BJ2671">
        <v>1</v>
      </c>
      <c r="BK2671">
        <v>1</v>
      </c>
      <c r="BL2671">
        <v>0</v>
      </c>
      <c r="BO2671">
        <v>0</v>
      </c>
      <c r="BP2671">
        <v>0</v>
      </c>
      <c r="BW2671" t="str">
        <f>"20:28:48.982"</f>
        <v>20:28:48.982</v>
      </c>
      <c r="BZ2671">
        <v>0</v>
      </c>
      <c r="CA2671">
        <v>1792</v>
      </c>
      <c r="CB2671">
        <v>224</v>
      </c>
      <c r="CD2671">
        <v>1</v>
      </c>
      <c r="CE2671">
        <v>0</v>
      </c>
      <c r="CF2671">
        <v>0</v>
      </c>
      <c r="CG2671">
        <v>0</v>
      </c>
      <c r="CH2671">
        <v>0</v>
      </c>
      <c r="CI2671">
        <v>0</v>
      </c>
      <c r="CJ2671">
        <v>0</v>
      </c>
      <c r="CK2671">
        <v>2</v>
      </c>
      <c r="CL2671">
        <v>0</v>
      </c>
      <c r="CM2671">
        <v>2</v>
      </c>
      <c r="CN2671">
        <v>0</v>
      </c>
      <c r="CO2671">
        <v>4</v>
      </c>
      <c r="CP2671" t="s">
        <v>119</v>
      </c>
      <c r="CQ2671">
        <v>179</v>
      </c>
      <c r="CR2671">
        <v>1</v>
      </c>
      <c r="CW2671">
        <v>9050282</v>
      </c>
      <c r="CY2671">
        <v>1</v>
      </c>
      <c r="CZ2671">
        <v>0</v>
      </c>
      <c r="DA2671">
        <v>0</v>
      </c>
      <c r="DB2671">
        <v>0</v>
      </c>
      <c r="DC2671">
        <v>0</v>
      </c>
      <c r="DD2671">
        <v>0</v>
      </c>
      <c r="DE2671">
        <v>0</v>
      </c>
      <c r="DF2671">
        <v>0</v>
      </c>
      <c r="DG2671">
        <v>0</v>
      </c>
      <c r="DH2671">
        <v>0</v>
      </c>
      <c r="DI2671">
        <v>0</v>
      </c>
    </row>
    <row r="2672" spans="1:113" x14ac:dyDescent="0.3">
      <c r="A2672" t="str">
        <f>"02/08/2021 20:28:46.645"</f>
        <v>02/08/2021 20:28:46.645</v>
      </c>
      <c r="C2672" t="str">
        <f t="shared" si="129"/>
        <v>FFDFD7C0</v>
      </c>
      <c r="D2672" t="s">
        <v>124</v>
      </c>
      <c r="E2672">
        <v>12</v>
      </c>
      <c r="F2672">
        <v>1012</v>
      </c>
      <c r="G2672" t="s">
        <v>675</v>
      </c>
      <c r="J2672" t="s">
        <v>125</v>
      </c>
      <c r="K2672">
        <v>0</v>
      </c>
      <c r="L2672">
        <v>3</v>
      </c>
      <c r="M2672">
        <v>0</v>
      </c>
      <c r="N2672">
        <v>2</v>
      </c>
      <c r="O2672">
        <v>1</v>
      </c>
      <c r="P2672">
        <v>0</v>
      </c>
      <c r="Q2672">
        <v>0</v>
      </c>
      <c r="S2672" t="str">
        <f>"20:28:48.977"</f>
        <v>20:28:48.977</v>
      </c>
      <c r="T2672" t="str">
        <f>"20:28:48.477"</f>
        <v>20:28:48.477</v>
      </c>
      <c r="U2672" t="str">
        <f t="shared" si="128"/>
        <v>AB01F4</v>
      </c>
      <c r="V2672">
        <v>0</v>
      </c>
      <c r="W2672">
        <v>0</v>
      </c>
      <c r="X2672">
        <v>2</v>
      </c>
      <c r="Z2672">
        <v>0</v>
      </c>
      <c r="AA2672">
        <v>9</v>
      </c>
      <c r="AB2672">
        <v>3</v>
      </c>
      <c r="AC2672">
        <v>0</v>
      </c>
      <c r="AD2672">
        <v>10</v>
      </c>
      <c r="AE2672">
        <v>0</v>
      </c>
      <c r="AF2672">
        <v>3</v>
      </c>
      <c r="AG2672">
        <v>2</v>
      </c>
      <c r="AH2672">
        <v>0</v>
      </c>
      <c r="AI2672" t="s">
        <v>1585</v>
      </c>
      <c r="AJ2672">
        <v>40.013300999999998</v>
      </c>
      <c r="AK2672" t="s">
        <v>1586</v>
      </c>
      <c r="AL2672">
        <v>-92.771966000000006</v>
      </c>
      <c r="AM2672">
        <v>100</v>
      </c>
      <c r="AN2672">
        <v>1700</v>
      </c>
      <c r="AO2672" t="s">
        <v>118</v>
      </c>
      <c r="AP2672">
        <v>-109</v>
      </c>
      <c r="AQ2672">
        <v>79</v>
      </c>
      <c r="AR2672">
        <v>-192</v>
      </c>
      <c r="AZ2672">
        <v>1200</v>
      </c>
      <c r="BA2672">
        <v>1</v>
      </c>
      <c r="BB2672" t="str">
        <f t="shared" si="130"/>
        <v xml:space="preserve">N8080G  </v>
      </c>
      <c r="BC2672">
        <v>1</v>
      </c>
      <c r="BE2672">
        <v>0</v>
      </c>
      <c r="BF2672">
        <v>0</v>
      </c>
      <c r="BG2672">
        <v>0</v>
      </c>
      <c r="BH2672">
        <v>1650</v>
      </c>
      <c r="BI2672">
        <v>1</v>
      </c>
      <c r="BJ2672">
        <v>1</v>
      </c>
      <c r="BK2672">
        <v>1</v>
      </c>
      <c r="BL2672">
        <v>0</v>
      </c>
      <c r="BO2672">
        <v>0</v>
      </c>
      <c r="BP2672">
        <v>0</v>
      </c>
      <c r="BW2672" t="str">
        <f>"20:28:48.982"</f>
        <v>20:28:48.982</v>
      </c>
      <c r="BZ2672">
        <v>0</v>
      </c>
      <c r="CA2672">
        <v>1792</v>
      </c>
      <c r="CB2672">
        <v>224</v>
      </c>
      <c r="CD2672">
        <v>1</v>
      </c>
      <c r="CE2672">
        <v>0</v>
      </c>
      <c r="CF2672">
        <v>0</v>
      </c>
      <c r="CG2672">
        <v>0</v>
      </c>
      <c r="CH2672">
        <v>0</v>
      </c>
      <c r="CI2672">
        <v>0</v>
      </c>
      <c r="CJ2672">
        <v>0</v>
      </c>
      <c r="CK2672">
        <v>2</v>
      </c>
      <c r="CL2672">
        <v>0</v>
      </c>
      <c r="CM2672">
        <v>2</v>
      </c>
      <c r="CN2672">
        <v>0</v>
      </c>
      <c r="CO2672">
        <v>4</v>
      </c>
      <c r="CP2672" t="s">
        <v>119</v>
      </c>
      <c r="CQ2672">
        <v>179</v>
      </c>
      <c r="CR2672">
        <v>1</v>
      </c>
      <c r="CW2672">
        <v>9050282</v>
      </c>
      <c r="CY2672">
        <v>1</v>
      </c>
      <c r="CZ2672">
        <v>0</v>
      </c>
      <c r="DA2672">
        <v>1</v>
      </c>
      <c r="DB2672">
        <v>0</v>
      </c>
      <c r="DC2672">
        <v>0</v>
      </c>
      <c r="DD2672">
        <v>0</v>
      </c>
      <c r="DE2672">
        <v>0</v>
      </c>
      <c r="DF2672">
        <v>0</v>
      </c>
      <c r="DG2672">
        <v>0</v>
      </c>
      <c r="DH2672">
        <v>0</v>
      </c>
      <c r="DI2672">
        <v>0</v>
      </c>
    </row>
    <row r="2673" spans="1:113" x14ac:dyDescent="0.3">
      <c r="A2673" t="str">
        <f>"02/08/2021 20:28:46.645"</f>
        <v>02/08/2021 20:28:46.645</v>
      </c>
      <c r="C2673" t="str">
        <f t="shared" si="129"/>
        <v>FFDFD7C0</v>
      </c>
      <c r="D2673" t="s">
        <v>124</v>
      </c>
      <c r="E2673">
        <v>11</v>
      </c>
      <c r="F2673">
        <v>1011</v>
      </c>
      <c r="G2673" t="s">
        <v>590</v>
      </c>
      <c r="J2673" t="s">
        <v>125</v>
      </c>
      <c r="K2673">
        <v>0</v>
      </c>
      <c r="L2673">
        <v>3</v>
      </c>
      <c r="M2673">
        <v>0</v>
      </c>
      <c r="N2673">
        <v>2</v>
      </c>
      <c r="O2673">
        <v>1</v>
      </c>
      <c r="P2673">
        <v>0</v>
      </c>
      <c r="Q2673">
        <v>0</v>
      </c>
      <c r="S2673" t="str">
        <f>"20:28:48.977"</f>
        <v>20:28:48.977</v>
      </c>
      <c r="T2673" t="str">
        <f>"20:28:48.477"</f>
        <v>20:28:48.477</v>
      </c>
      <c r="U2673" t="str">
        <f t="shared" si="128"/>
        <v>AB01F4</v>
      </c>
      <c r="V2673">
        <v>0</v>
      </c>
      <c r="W2673">
        <v>0</v>
      </c>
      <c r="X2673">
        <v>2</v>
      </c>
      <c r="Z2673">
        <v>0</v>
      </c>
      <c r="AA2673">
        <v>9</v>
      </c>
      <c r="AB2673">
        <v>3</v>
      </c>
      <c r="AC2673">
        <v>0</v>
      </c>
      <c r="AD2673">
        <v>10</v>
      </c>
      <c r="AE2673">
        <v>0</v>
      </c>
      <c r="AF2673">
        <v>3</v>
      </c>
      <c r="AG2673">
        <v>2</v>
      </c>
      <c r="AH2673">
        <v>0</v>
      </c>
      <c r="AI2673" t="s">
        <v>1585</v>
      </c>
      <c r="AJ2673">
        <v>40.013300999999998</v>
      </c>
      <c r="AK2673" t="s">
        <v>1586</v>
      </c>
      <c r="AL2673">
        <v>-92.771966000000006</v>
      </c>
      <c r="AM2673">
        <v>100</v>
      </c>
      <c r="AN2673">
        <v>1700</v>
      </c>
      <c r="AO2673" t="s">
        <v>118</v>
      </c>
      <c r="AP2673">
        <v>-109</v>
      </c>
      <c r="AQ2673">
        <v>79</v>
      </c>
      <c r="AR2673">
        <v>-192</v>
      </c>
      <c r="AZ2673">
        <v>1200</v>
      </c>
      <c r="BA2673">
        <v>1</v>
      </c>
      <c r="BB2673" t="str">
        <f t="shared" si="130"/>
        <v xml:space="preserve">N8080G  </v>
      </c>
      <c r="BC2673">
        <v>1</v>
      </c>
      <c r="BE2673">
        <v>0</v>
      </c>
      <c r="BF2673">
        <v>0</v>
      </c>
      <c r="BG2673">
        <v>0</v>
      </c>
      <c r="BH2673">
        <v>1650</v>
      </c>
      <c r="BI2673">
        <v>1</v>
      </c>
      <c r="BJ2673">
        <v>1</v>
      </c>
      <c r="BK2673">
        <v>1</v>
      </c>
      <c r="BL2673">
        <v>0</v>
      </c>
      <c r="BO2673">
        <v>0</v>
      </c>
      <c r="BP2673">
        <v>0</v>
      </c>
      <c r="BW2673" t="str">
        <f>"20:28:48.982"</f>
        <v>20:28:48.982</v>
      </c>
      <c r="BZ2673">
        <v>0</v>
      </c>
      <c r="CA2673">
        <v>1792</v>
      </c>
      <c r="CB2673">
        <v>224</v>
      </c>
      <c r="CD2673">
        <v>1</v>
      </c>
      <c r="CE2673">
        <v>0</v>
      </c>
      <c r="CF2673">
        <v>0</v>
      </c>
      <c r="CG2673">
        <v>0</v>
      </c>
      <c r="CH2673">
        <v>0</v>
      </c>
      <c r="CI2673">
        <v>0</v>
      </c>
      <c r="CJ2673">
        <v>0</v>
      </c>
      <c r="CK2673">
        <v>2</v>
      </c>
      <c r="CL2673">
        <v>0</v>
      </c>
      <c r="CM2673">
        <v>2</v>
      </c>
      <c r="CN2673">
        <v>0</v>
      </c>
      <c r="CO2673">
        <v>4</v>
      </c>
      <c r="CP2673" t="s">
        <v>119</v>
      </c>
      <c r="CQ2673">
        <v>179</v>
      </c>
      <c r="CR2673">
        <v>1</v>
      </c>
      <c r="CW2673">
        <v>9050282</v>
      </c>
      <c r="CY2673">
        <v>1</v>
      </c>
      <c r="CZ2673">
        <v>0</v>
      </c>
      <c r="DA2673">
        <v>1</v>
      </c>
      <c r="DB2673">
        <v>0</v>
      </c>
      <c r="DC2673">
        <v>0</v>
      </c>
      <c r="DD2673">
        <v>0</v>
      </c>
      <c r="DE2673">
        <v>0</v>
      </c>
      <c r="DF2673">
        <v>0</v>
      </c>
      <c r="DG2673">
        <v>0</v>
      </c>
      <c r="DH2673">
        <v>0</v>
      </c>
      <c r="DI2673">
        <v>0</v>
      </c>
    </row>
    <row r="2674" spans="1:113" x14ac:dyDescent="0.3">
      <c r="A2674" t="str">
        <f>"02/08/2021 20:28:46.645"</f>
        <v>02/08/2021 20:28:46.645</v>
      </c>
      <c r="C2674" t="str">
        <f t="shared" si="129"/>
        <v>FFDFD7C0</v>
      </c>
      <c r="D2674" t="s">
        <v>124</v>
      </c>
      <c r="E2674">
        <v>13</v>
      </c>
      <c r="F2674">
        <v>1013</v>
      </c>
      <c r="G2674" t="s">
        <v>114</v>
      </c>
      <c r="J2674" t="s">
        <v>125</v>
      </c>
      <c r="K2674">
        <v>0</v>
      </c>
      <c r="L2674">
        <v>3</v>
      </c>
      <c r="M2674">
        <v>0</v>
      </c>
      <c r="N2674">
        <v>2</v>
      </c>
      <c r="O2674">
        <v>1</v>
      </c>
      <c r="P2674">
        <v>0</v>
      </c>
      <c r="Q2674">
        <v>0</v>
      </c>
      <c r="S2674" t="str">
        <f>"20:28:48.977"</f>
        <v>20:28:48.977</v>
      </c>
      <c r="T2674" t="str">
        <f>"20:28:48.477"</f>
        <v>20:28:48.477</v>
      </c>
      <c r="U2674" t="str">
        <f t="shared" si="128"/>
        <v>AB01F4</v>
      </c>
      <c r="V2674">
        <v>0</v>
      </c>
      <c r="W2674">
        <v>0</v>
      </c>
      <c r="X2674">
        <v>2</v>
      </c>
      <c r="Z2674">
        <v>0</v>
      </c>
      <c r="AA2674">
        <v>9</v>
      </c>
      <c r="AB2674">
        <v>3</v>
      </c>
      <c r="AC2674">
        <v>0</v>
      </c>
      <c r="AD2674">
        <v>10</v>
      </c>
      <c r="AE2674">
        <v>0</v>
      </c>
      <c r="AF2674">
        <v>3</v>
      </c>
      <c r="AG2674">
        <v>2</v>
      </c>
      <c r="AH2674">
        <v>0</v>
      </c>
      <c r="AI2674" t="s">
        <v>1585</v>
      </c>
      <c r="AJ2674">
        <v>40.013300999999998</v>
      </c>
      <c r="AK2674" t="s">
        <v>1586</v>
      </c>
      <c r="AL2674">
        <v>-92.771966000000006</v>
      </c>
      <c r="AM2674">
        <v>100</v>
      </c>
      <c r="AN2674">
        <v>1700</v>
      </c>
      <c r="AO2674" t="s">
        <v>118</v>
      </c>
      <c r="AP2674">
        <v>-109</v>
      </c>
      <c r="AQ2674">
        <v>79</v>
      </c>
      <c r="AR2674">
        <v>-192</v>
      </c>
      <c r="AZ2674">
        <v>1200</v>
      </c>
      <c r="BA2674">
        <v>1</v>
      </c>
      <c r="BB2674" t="str">
        <f t="shared" si="130"/>
        <v xml:space="preserve">N8080G  </v>
      </c>
      <c r="BC2674">
        <v>1</v>
      </c>
      <c r="BE2674">
        <v>0</v>
      </c>
      <c r="BF2674">
        <v>0</v>
      </c>
      <c r="BG2674">
        <v>0</v>
      </c>
      <c r="BH2674">
        <v>1650</v>
      </c>
      <c r="BI2674">
        <v>1</v>
      </c>
      <c r="BJ2674">
        <v>1</v>
      </c>
      <c r="BK2674">
        <v>1</v>
      </c>
      <c r="BL2674">
        <v>0</v>
      </c>
      <c r="BO2674">
        <v>0</v>
      </c>
      <c r="BP2674">
        <v>0</v>
      </c>
      <c r="BW2674" t="str">
        <f>"20:28:48.982"</f>
        <v>20:28:48.982</v>
      </c>
      <c r="BZ2674">
        <v>0</v>
      </c>
      <c r="CA2674">
        <v>1792</v>
      </c>
      <c r="CB2674">
        <v>224</v>
      </c>
      <c r="CD2674">
        <v>1</v>
      </c>
      <c r="CE2674">
        <v>0</v>
      </c>
      <c r="CF2674">
        <v>0</v>
      </c>
      <c r="CG2674">
        <v>0</v>
      </c>
      <c r="CH2674">
        <v>0</v>
      </c>
      <c r="CI2674">
        <v>0</v>
      </c>
      <c r="CJ2674">
        <v>0</v>
      </c>
      <c r="CK2674">
        <v>2</v>
      </c>
      <c r="CL2674">
        <v>0</v>
      </c>
      <c r="CM2674">
        <v>2</v>
      </c>
      <c r="CN2674">
        <v>0</v>
      </c>
      <c r="CO2674">
        <v>4</v>
      </c>
      <c r="CP2674" t="s">
        <v>119</v>
      </c>
      <c r="CQ2674">
        <v>179</v>
      </c>
      <c r="CR2674">
        <v>1</v>
      </c>
      <c r="CW2674">
        <v>9050282</v>
      </c>
      <c r="CY2674">
        <v>1</v>
      </c>
      <c r="CZ2674">
        <v>0</v>
      </c>
      <c r="DA2674">
        <v>1</v>
      </c>
      <c r="DB2674">
        <v>0</v>
      </c>
      <c r="DC2674">
        <v>0</v>
      </c>
      <c r="DD2674">
        <v>0</v>
      </c>
      <c r="DE2674">
        <v>0</v>
      </c>
      <c r="DF2674">
        <v>0</v>
      </c>
      <c r="DG2674">
        <v>0</v>
      </c>
      <c r="DH2674">
        <v>0</v>
      </c>
      <c r="DI2674">
        <v>0</v>
      </c>
    </row>
    <row r="2675" spans="1:113" x14ac:dyDescent="0.3">
      <c r="A2675" t="str">
        <f>"02/08/2021 20:28:47.732"</f>
        <v>02/08/2021 20:28:47.732</v>
      </c>
      <c r="C2675" t="str">
        <f t="shared" si="129"/>
        <v>FFDFD7C0</v>
      </c>
      <c r="D2675" t="s">
        <v>124</v>
      </c>
      <c r="E2675">
        <v>13</v>
      </c>
      <c r="F2675">
        <v>1013</v>
      </c>
      <c r="G2675" t="s">
        <v>114</v>
      </c>
      <c r="J2675" t="s">
        <v>125</v>
      </c>
      <c r="K2675">
        <v>0</v>
      </c>
      <c r="L2675">
        <v>3</v>
      </c>
      <c r="M2675">
        <v>0</v>
      </c>
      <c r="N2675">
        <v>2</v>
      </c>
      <c r="O2675">
        <v>1</v>
      </c>
      <c r="P2675">
        <v>0</v>
      </c>
      <c r="Q2675">
        <v>0</v>
      </c>
      <c r="S2675" t="str">
        <f>"20:28:50.070"</f>
        <v>20:28:50.070</v>
      </c>
      <c r="T2675" t="str">
        <f>"20:28:49.570"</f>
        <v>20:28:49.570</v>
      </c>
      <c r="U2675" t="str">
        <f t="shared" si="128"/>
        <v>AB01F4</v>
      </c>
      <c r="V2675">
        <v>0</v>
      </c>
      <c r="W2675">
        <v>0</v>
      </c>
      <c r="X2675">
        <v>2</v>
      </c>
      <c r="Z2675">
        <v>0</v>
      </c>
      <c r="AA2675">
        <v>9</v>
      </c>
      <c r="AB2675">
        <v>3</v>
      </c>
      <c r="AC2675">
        <v>0</v>
      </c>
      <c r="AD2675">
        <v>10</v>
      </c>
      <c r="AE2675">
        <v>0</v>
      </c>
      <c r="AF2675">
        <v>3</v>
      </c>
      <c r="AG2675">
        <v>2</v>
      </c>
      <c r="AH2675">
        <v>0</v>
      </c>
      <c r="AI2675" t="s">
        <v>1587</v>
      </c>
      <c r="AJ2675">
        <v>40.013688000000002</v>
      </c>
      <c r="AK2675" t="s">
        <v>1588</v>
      </c>
      <c r="AL2675">
        <v>-92.772739000000001</v>
      </c>
      <c r="AM2675">
        <v>100</v>
      </c>
      <c r="AN2675">
        <v>1600</v>
      </c>
      <c r="AO2675" t="s">
        <v>118</v>
      </c>
      <c r="AP2675">
        <v>-109</v>
      </c>
      <c r="AQ2675">
        <v>79</v>
      </c>
      <c r="AR2675">
        <v>-192</v>
      </c>
      <c r="AZ2675">
        <v>1200</v>
      </c>
      <c r="BA2675">
        <v>1</v>
      </c>
      <c r="BB2675" t="str">
        <f t="shared" si="130"/>
        <v xml:space="preserve">N8080G  </v>
      </c>
      <c r="BC2675">
        <v>1</v>
      </c>
      <c r="BE2675">
        <v>0</v>
      </c>
      <c r="BF2675">
        <v>0</v>
      </c>
      <c r="BG2675">
        <v>0</v>
      </c>
      <c r="BH2675">
        <v>1650</v>
      </c>
      <c r="BI2675">
        <v>1</v>
      </c>
      <c r="BJ2675">
        <v>1</v>
      </c>
      <c r="BK2675">
        <v>1</v>
      </c>
      <c r="BL2675">
        <v>0</v>
      </c>
      <c r="BO2675">
        <v>0</v>
      </c>
      <c r="BP2675">
        <v>0</v>
      </c>
      <c r="BW2675" t="str">
        <f>"20:28:50.072"</f>
        <v>20:28:50.072</v>
      </c>
      <c r="BZ2675">
        <v>0</v>
      </c>
      <c r="CA2675">
        <v>1792</v>
      </c>
      <c r="CB2675">
        <v>224</v>
      </c>
      <c r="CD2675">
        <v>1</v>
      </c>
      <c r="CE2675">
        <v>0</v>
      </c>
      <c r="CF2675">
        <v>0</v>
      </c>
      <c r="CG2675">
        <v>0</v>
      </c>
      <c r="CH2675">
        <v>0</v>
      </c>
      <c r="CI2675">
        <v>0</v>
      </c>
      <c r="CJ2675">
        <v>0</v>
      </c>
      <c r="CK2675">
        <v>2</v>
      </c>
      <c r="CL2675">
        <v>0</v>
      </c>
      <c r="CM2675">
        <v>2</v>
      </c>
      <c r="CN2675">
        <v>0</v>
      </c>
      <c r="CO2675">
        <v>7</v>
      </c>
      <c r="CP2675" t="s">
        <v>119</v>
      </c>
      <c r="CQ2675">
        <v>180</v>
      </c>
      <c r="CR2675">
        <v>2</v>
      </c>
      <c r="CW2675">
        <v>8596268</v>
      </c>
      <c r="CY2675">
        <v>1</v>
      </c>
      <c r="CZ2675">
        <v>0</v>
      </c>
      <c r="DA2675">
        <v>0</v>
      </c>
      <c r="DB2675">
        <v>0</v>
      </c>
      <c r="DC2675">
        <v>0</v>
      </c>
      <c r="DD2675">
        <v>0</v>
      </c>
      <c r="DE2675">
        <v>0</v>
      </c>
      <c r="DF2675">
        <v>0</v>
      </c>
      <c r="DG2675">
        <v>0</v>
      </c>
      <c r="DH2675">
        <v>0</v>
      </c>
      <c r="DI2675">
        <v>0</v>
      </c>
    </row>
    <row r="2676" spans="1:113" x14ac:dyDescent="0.3">
      <c r="A2676" t="str">
        <f>"02/08/2021 20:28:47.732"</f>
        <v>02/08/2021 20:28:47.732</v>
      </c>
      <c r="C2676" t="str">
        <f t="shared" si="129"/>
        <v>FFDFD7C0</v>
      </c>
      <c r="D2676" t="s">
        <v>124</v>
      </c>
      <c r="E2676">
        <v>11</v>
      </c>
      <c r="F2676">
        <v>1011</v>
      </c>
      <c r="G2676" t="s">
        <v>590</v>
      </c>
      <c r="J2676" t="s">
        <v>125</v>
      </c>
      <c r="K2676">
        <v>0</v>
      </c>
      <c r="L2676">
        <v>3</v>
      </c>
      <c r="M2676">
        <v>0</v>
      </c>
      <c r="N2676">
        <v>2</v>
      </c>
      <c r="O2676">
        <v>1</v>
      </c>
      <c r="P2676">
        <v>0</v>
      </c>
      <c r="Q2676">
        <v>0</v>
      </c>
      <c r="S2676" t="str">
        <f>"20:28:50.070"</f>
        <v>20:28:50.070</v>
      </c>
      <c r="T2676" t="str">
        <f>"20:28:49.570"</f>
        <v>20:28:49.570</v>
      </c>
      <c r="U2676" t="str">
        <f t="shared" si="128"/>
        <v>AB01F4</v>
      </c>
      <c r="V2676">
        <v>0</v>
      </c>
      <c r="W2676">
        <v>0</v>
      </c>
      <c r="X2676">
        <v>2</v>
      </c>
      <c r="Z2676">
        <v>0</v>
      </c>
      <c r="AA2676">
        <v>9</v>
      </c>
      <c r="AB2676">
        <v>3</v>
      </c>
      <c r="AC2676">
        <v>0</v>
      </c>
      <c r="AD2676">
        <v>10</v>
      </c>
      <c r="AE2676">
        <v>0</v>
      </c>
      <c r="AF2676">
        <v>3</v>
      </c>
      <c r="AG2676">
        <v>2</v>
      </c>
      <c r="AH2676">
        <v>0</v>
      </c>
      <c r="AI2676" t="s">
        <v>1587</v>
      </c>
      <c r="AJ2676">
        <v>40.013688000000002</v>
      </c>
      <c r="AK2676" t="s">
        <v>1588</v>
      </c>
      <c r="AL2676">
        <v>-92.772739000000001</v>
      </c>
      <c r="AM2676">
        <v>100</v>
      </c>
      <c r="AN2676">
        <v>1600</v>
      </c>
      <c r="AO2676" t="s">
        <v>118</v>
      </c>
      <c r="AP2676">
        <v>-109</v>
      </c>
      <c r="AQ2676">
        <v>79</v>
      </c>
      <c r="AR2676">
        <v>-192</v>
      </c>
      <c r="AZ2676">
        <v>1200</v>
      </c>
      <c r="BA2676">
        <v>1</v>
      </c>
      <c r="BB2676" t="str">
        <f t="shared" si="130"/>
        <v xml:space="preserve">N8080G  </v>
      </c>
      <c r="BC2676">
        <v>1</v>
      </c>
      <c r="BE2676">
        <v>0</v>
      </c>
      <c r="BF2676">
        <v>0</v>
      </c>
      <c r="BG2676">
        <v>0</v>
      </c>
      <c r="BH2676">
        <v>1650</v>
      </c>
      <c r="BI2676">
        <v>1</v>
      </c>
      <c r="BJ2676">
        <v>1</v>
      </c>
      <c r="BK2676">
        <v>1</v>
      </c>
      <c r="BL2676">
        <v>0</v>
      </c>
      <c r="BO2676">
        <v>0</v>
      </c>
      <c r="BP2676">
        <v>0</v>
      </c>
      <c r="BW2676" t="str">
        <f>"20:28:50.072"</f>
        <v>20:28:50.072</v>
      </c>
      <c r="BZ2676">
        <v>0</v>
      </c>
      <c r="CA2676">
        <v>1792</v>
      </c>
      <c r="CB2676">
        <v>224</v>
      </c>
      <c r="CD2676">
        <v>1</v>
      </c>
      <c r="CE2676">
        <v>0</v>
      </c>
      <c r="CF2676">
        <v>0</v>
      </c>
      <c r="CG2676">
        <v>0</v>
      </c>
      <c r="CH2676">
        <v>0</v>
      </c>
      <c r="CI2676">
        <v>0</v>
      </c>
      <c r="CJ2676">
        <v>0</v>
      </c>
      <c r="CK2676">
        <v>2</v>
      </c>
      <c r="CL2676">
        <v>0</v>
      </c>
      <c r="CM2676">
        <v>2</v>
      </c>
      <c r="CN2676">
        <v>0</v>
      </c>
      <c r="CO2676">
        <v>7</v>
      </c>
      <c r="CP2676" t="s">
        <v>119</v>
      </c>
      <c r="CQ2676">
        <v>180</v>
      </c>
      <c r="CR2676">
        <v>2</v>
      </c>
      <c r="CW2676">
        <v>8596268</v>
      </c>
      <c r="CY2676">
        <v>1</v>
      </c>
      <c r="CZ2676">
        <v>0</v>
      </c>
      <c r="DA2676">
        <v>1</v>
      </c>
      <c r="DB2676">
        <v>0</v>
      </c>
      <c r="DC2676">
        <v>0</v>
      </c>
      <c r="DD2676">
        <v>0</v>
      </c>
      <c r="DE2676">
        <v>0</v>
      </c>
      <c r="DF2676">
        <v>0</v>
      </c>
      <c r="DG2676">
        <v>0</v>
      </c>
      <c r="DH2676">
        <v>0</v>
      </c>
      <c r="DI2676">
        <v>0</v>
      </c>
    </row>
    <row r="2677" spans="1:113" x14ac:dyDescent="0.3">
      <c r="A2677" t="str">
        <f>"02/08/2021 20:28:47.732"</f>
        <v>02/08/2021 20:28:47.732</v>
      </c>
      <c r="C2677" t="str">
        <f t="shared" si="129"/>
        <v>FFDFD7C0</v>
      </c>
      <c r="D2677" t="s">
        <v>113</v>
      </c>
      <c r="E2677">
        <v>6</v>
      </c>
      <c r="H2677">
        <v>165</v>
      </c>
      <c r="I2677" t="s">
        <v>114</v>
      </c>
      <c r="J2677" t="s">
        <v>115</v>
      </c>
      <c r="K2677">
        <v>0</v>
      </c>
      <c r="L2677">
        <v>3</v>
      </c>
      <c r="M2677">
        <v>0</v>
      </c>
      <c r="N2677">
        <v>2</v>
      </c>
      <c r="O2677">
        <v>1</v>
      </c>
      <c r="P2677">
        <v>0</v>
      </c>
      <c r="Q2677">
        <v>0</v>
      </c>
      <c r="S2677" t="str">
        <f>"20:28:50.070"</f>
        <v>20:28:50.070</v>
      </c>
      <c r="T2677" t="str">
        <f>"20:28:49.570"</f>
        <v>20:28:49.570</v>
      </c>
      <c r="U2677" t="str">
        <f t="shared" si="128"/>
        <v>AB01F4</v>
      </c>
      <c r="V2677">
        <v>0</v>
      </c>
      <c r="W2677">
        <v>0</v>
      </c>
      <c r="X2677">
        <v>2</v>
      </c>
      <c r="Z2677">
        <v>0</v>
      </c>
      <c r="AA2677">
        <v>9</v>
      </c>
      <c r="AB2677">
        <v>3</v>
      </c>
      <c r="AC2677">
        <v>0</v>
      </c>
      <c r="AD2677">
        <v>10</v>
      </c>
      <c r="AE2677">
        <v>0</v>
      </c>
      <c r="AF2677">
        <v>3</v>
      </c>
      <c r="AG2677">
        <v>2</v>
      </c>
      <c r="AH2677">
        <v>0</v>
      </c>
      <c r="AI2677" t="s">
        <v>1587</v>
      </c>
      <c r="AJ2677">
        <v>40.013688000000002</v>
      </c>
      <c r="AK2677" t="s">
        <v>1588</v>
      </c>
      <c r="AL2677">
        <v>-92.772739000000001</v>
      </c>
      <c r="AM2677">
        <v>100</v>
      </c>
      <c r="AN2677">
        <v>1600</v>
      </c>
      <c r="AO2677" t="s">
        <v>118</v>
      </c>
      <c r="AP2677">
        <v>-109</v>
      </c>
      <c r="AQ2677">
        <v>79</v>
      </c>
      <c r="AR2677">
        <v>-192</v>
      </c>
      <c r="AZ2677">
        <v>1200</v>
      </c>
      <c r="BA2677">
        <v>1</v>
      </c>
      <c r="BB2677" t="str">
        <f t="shared" si="130"/>
        <v xml:space="preserve">N8080G  </v>
      </c>
      <c r="BC2677">
        <v>1</v>
      </c>
      <c r="BE2677">
        <v>0</v>
      </c>
      <c r="BF2677">
        <v>0</v>
      </c>
      <c r="BG2677">
        <v>0</v>
      </c>
      <c r="BH2677">
        <v>1650</v>
      </c>
      <c r="BI2677">
        <v>1</v>
      </c>
      <c r="BJ2677">
        <v>1</v>
      </c>
      <c r="BK2677">
        <v>1</v>
      </c>
      <c r="BL2677">
        <v>0</v>
      </c>
      <c r="BO2677">
        <v>0</v>
      </c>
      <c r="BP2677">
        <v>0</v>
      </c>
      <c r="BW2677" t="str">
        <f>"20:28:50.072"</f>
        <v>20:28:50.072</v>
      </c>
      <c r="BZ2677">
        <v>0</v>
      </c>
      <c r="CA2677">
        <v>1792</v>
      </c>
      <c r="CB2677">
        <v>224</v>
      </c>
      <c r="CD2677">
        <v>1</v>
      </c>
      <c r="CE2677">
        <v>0</v>
      </c>
      <c r="CF2677">
        <v>0</v>
      </c>
      <c r="CG2677">
        <v>0</v>
      </c>
      <c r="CH2677">
        <v>0</v>
      </c>
      <c r="CI2677">
        <v>0</v>
      </c>
      <c r="CJ2677">
        <v>0</v>
      </c>
      <c r="CK2677">
        <v>2</v>
      </c>
      <c r="CL2677">
        <v>0</v>
      </c>
      <c r="CM2677">
        <v>2</v>
      </c>
      <c r="CN2677">
        <v>0</v>
      </c>
      <c r="CO2677">
        <v>7</v>
      </c>
      <c r="CP2677" t="s">
        <v>119</v>
      </c>
      <c r="CQ2677">
        <v>180</v>
      </c>
      <c r="CR2677">
        <v>2</v>
      </c>
      <c r="CW2677">
        <v>8596268</v>
      </c>
      <c r="CY2677">
        <v>1</v>
      </c>
      <c r="CZ2677">
        <v>0</v>
      </c>
      <c r="DA2677">
        <v>1</v>
      </c>
      <c r="DB2677">
        <v>0</v>
      </c>
      <c r="DC2677">
        <v>0</v>
      </c>
      <c r="DD2677">
        <v>0</v>
      </c>
      <c r="DE2677">
        <v>0</v>
      </c>
      <c r="DF2677">
        <v>0</v>
      </c>
      <c r="DG2677">
        <v>0</v>
      </c>
      <c r="DH2677">
        <v>0</v>
      </c>
      <c r="DI2677">
        <v>0</v>
      </c>
    </row>
    <row r="2678" spans="1:113" x14ac:dyDescent="0.3">
      <c r="A2678" t="str">
        <f>"02/08/2021 20:28:47.732"</f>
        <v>02/08/2021 20:28:47.732</v>
      </c>
      <c r="C2678" t="str">
        <f t="shared" si="129"/>
        <v>FFDFD7C0</v>
      </c>
      <c r="D2678" t="s">
        <v>124</v>
      </c>
      <c r="E2678">
        <v>12</v>
      </c>
      <c r="F2678">
        <v>1012</v>
      </c>
      <c r="G2678" t="s">
        <v>675</v>
      </c>
      <c r="J2678" t="s">
        <v>125</v>
      </c>
      <c r="K2678">
        <v>0</v>
      </c>
      <c r="L2678">
        <v>3</v>
      </c>
      <c r="M2678">
        <v>0</v>
      </c>
      <c r="N2678">
        <v>2</v>
      </c>
      <c r="O2678">
        <v>1</v>
      </c>
      <c r="P2678">
        <v>0</v>
      </c>
      <c r="Q2678">
        <v>0</v>
      </c>
      <c r="S2678" t="str">
        <f>"20:28:50.070"</f>
        <v>20:28:50.070</v>
      </c>
      <c r="T2678" t="str">
        <f>"20:28:49.570"</f>
        <v>20:28:49.570</v>
      </c>
      <c r="U2678" t="str">
        <f t="shared" si="128"/>
        <v>AB01F4</v>
      </c>
      <c r="V2678">
        <v>0</v>
      </c>
      <c r="W2678">
        <v>0</v>
      </c>
      <c r="X2678">
        <v>2</v>
      </c>
      <c r="Z2678">
        <v>0</v>
      </c>
      <c r="AA2678">
        <v>9</v>
      </c>
      <c r="AB2678">
        <v>3</v>
      </c>
      <c r="AC2678">
        <v>0</v>
      </c>
      <c r="AD2678">
        <v>10</v>
      </c>
      <c r="AE2678">
        <v>0</v>
      </c>
      <c r="AF2678">
        <v>3</v>
      </c>
      <c r="AG2678">
        <v>2</v>
      </c>
      <c r="AH2678">
        <v>0</v>
      </c>
      <c r="AI2678" t="s">
        <v>1587</v>
      </c>
      <c r="AJ2678">
        <v>40.013688000000002</v>
      </c>
      <c r="AK2678" t="s">
        <v>1588</v>
      </c>
      <c r="AL2678">
        <v>-92.772739000000001</v>
      </c>
      <c r="AM2678">
        <v>100</v>
      </c>
      <c r="AN2678">
        <v>1600</v>
      </c>
      <c r="AO2678" t="s">
        <v>118</v>
      </c>
      <c r="AP2678">
        <v>-109</v>
      </c>
      <c r="AQ2678">
        <v>79</v>
      </c>
      <c r="AR2678">
        <v>-192</v>
      </c>
      <c r="AZ2678">
        <v>1200</v>
      </c>
      <c r="BA2678">
        <v>1</v>
      </c>
      <c r="BB2678" t="str">
        <f t="shared" si="130"/>
        <v xml:space="preserve">N8080G  </v>
      </c>
      <c r="BC2678">
        <v>1</v>
      </c>
      <c r="BE2678">
        <v>0</v>
      </c>
      <c r="BF2678">
        <v>0</v>
      </c>
      <c r="BG2678">
        <v>0</v>
      </c>
      <c r="BH2678">
        <v>1650</v>
      </c>
      <c r="BI2678">
        <v>1</v>
      </c>
      <c r="BJ2678">
        <v>1</v>
      </c>
      <c r="BK2678">
        <v>1</v>
      </c>
      <c r="BL2678">
        <v>0</v>
      </c>
      <c r="BO2678">
        <v>0</v>
      </c>
      <c r="BP2678">
        <v>0</v>
      </c>
      <c r="BW2678" t="str">
        <f>"20:28:50.072"</f>
        <v>20:28:50.072</v>
      </c>
      <c r="BZ2678">
        <v>0</v>
      </c>
      <c r="CA2678">
        <v>1792</v>
      </c>
      <c r="CB2678">
        <v>224</v>
      </c>
      <c r="CD2678">
        <v>1</v>
      </c>
      <c r="CE2678">
        <v>0</v>
      </c>
      <c r="CF2678">
        <v>0</v>
      </c>
      <c r="CG2678">
        <v>0</v>
      </c>
      <c r="CH2678">
        <v>0</v>
      </c>
      <c r="CI2678">
        <v>0</v>
      </c>
      <c r="CJ2678">
        <v>0</v>
      </c>
      <c r="CK2678">
        <v>2</v>
      </c>
      <c r="CL2678">
        <v>0</v>
      </c>
      <c r="CM2678">
        <v>2</v>
      </c>
      <c r="CN2678">
        <v>0</v>
      </c>
      <c r="CO2678">
        <v>7</v>
      </c>
      <c r="CP2678" t="s">
        <v>119</v>
      </c>
      <c r="CQ2678">
        <v>180</v>
      </c>
      <c r="CR2678">
        <v>2</v>
      </c>
      <c r="CW2678">
        <v>8596268</v>
      </c>
      <c r="CY2678">
        <v>1</v>
      </c>
      <c r="CZ2678">
        <v>0</v>
      </c>
      <c r="DA2678">
        <v>1</v>
      </c>
      <c r="DB2678">
        <v>0</v>
      </c>
      <c r="DC2678">
        <v>0</v>
      </c>
      <c r="DD2678">
        <v>0</v>
      </c>
      <c r="DE2678">
        <v>0</v>
      </c>
      <c r="DF2678">
        <v>0</v>
      </c>
      <c r="DG2678">
        <v>0</v>
      </c>
      <c r="DH2678">
        <v>0</v>
      </c>
      <c r="DI2678">
        <v>0</v>
      </c>
    </row>
    <row r="2679" spans="1:113" x14ac:dyDescent="0.3">
      <c r="A2679" t="str">
        <f>"02/08/2021 20:28:48.736"</f>
        <v>02/08/2021 20:28:48.736</v>
      </c>
      <c r="C2679" t="str">
        <f t="shared" si="129"/>
        <v>FFDFD7C0</v>
      </c>
      <c r="D2679" t="s">
        <v>124</v>
      </c>
      <c r="E2679">
        <v>13</v>
      </c>
      <c r="F2679">
        <v>1013</v>
      </c>
      <c r="G2679" t="s">
        <v>114</v>
      </c>
      <c r="J2679" t="s">
        <v>125</v>
      </c>
      <c r="K2679">
        <v>0</v>
      </c>
      <c r="L2679">
        <v>3</v>
      </c>
      <c r="M2679">
        <v>0</v>
      </c>
      <c r="N2679">
        <v>2</v>
      </c>
      <c r="O2679">
        <v>1</v>
      </c>
      <c r="P2679">
        <v>0</v>
      </c>
      <c r="Q2679">
        <v>0</v>
      </c>
      <c r="S2679" t="str">
        <f>"20:28:51.070"</f>
        <v>20:28:51.070</v>
      </c>
      <c r="T2679" t="str">
        <f>"20:28:50.570"</f>
        <v>20:28:50.570</v>
      </c>
      <c r="U2679" t="str">
        <f t="shared" si="128"/>
        <v>AB01F4</v>
      </c>
      <c r="V2679">
        <v>0</v>
      </c>
      <c r="W2679">
        <v>0</v>
      </c>
      <c r="X2679">
        <v>2</v>
      </c>
      <c r="Z2679">
        <v>0</v>
      </c>
      <c r="AA2679">
        <v>9</v>
      </c>
      <c r="AB2679">
        <v>3</v>
      </c>
      <c r="AC2679">
        <v>0</v>
      </c>
      <c r="AD2679">
        <v>10</v>
      </c>
      <c r="AE2679">
        <v>0</v>
      </c>
      <c r="AF2679">
        <v>3</v>
      </c>
      <c r="AG2679">
        <v>2</v>
      </c>
      <c r="AH2679">
        <v>0</v>
      </c>
      <c r="AI2679" t="s">
        <v>1589</v>
      </c>
      <c r="AJ2679">
        <v>40.014074000000001</v>
      </c>
      <c r="AK2679" t="s">
        <v>1590</v>
      </c>
      <c r="AL2679">
        <v>-92.773360999999994</v>
      </c>
      <c r="AM2679">
        <v>100</v>
      </c>
      <c r="AN2679">
        <v>1600</v>
      </c>
      <c r="AO2679" t="s">
        <v>118</v>
      </c>
      <c r="AP2679">
        <v>-109</v>
      </c>
      <c r="AQ2679">
        <v>79</v>
      </c>
      <c r="AR2679">
        <v>-192</v>
      </c>
      <c r="AZ2679">
        <v>1200</v>
      </c>
      <c r="BA2679">
        <v>1</v>
      </c>
      <c r="BB2679" t="str">
        <f t="shared" si="130"/>
        <v xml:space="preserve">N8080G  </v>
      </c>
      <c r="BC2679">
        <v>1</v>
      </c>
      <c r="BE2679">
        <v>0</v>
      </c>
      <c r="BF2679">
        <v>0</v>
      </c>
      <c r="BG2679">
        <v>0</v>
      </c>
      <c r="BH2679">
        <v>1650</v>
      </c>
      <c r="BI2679">
        <v>1</v>
      </c>
      <c r="BJ2679">
        <v>1</v>
      </c>
      <c r="BK2679">
        <v>1</v>
      </c>
      <c r="BL2679">
        <v>0</v>
      </c>
      <c r="BO2679">
        <v>0</v>
      </c>
      <c r="BP2679">
        <v>0</v>
      </c>
      <c r="BW2679" t="str">
        <f>"20:28:51.078"</f>
        <v>20:28:51.078</v>
      </c>
      <c r="BZ2679">
        <v>0</v>
      </c>
      <c r="CA2679">
        <v>1792</v>
      </c>
      <c r="CB2679">
        <v>224</v>
      </c>
      <c r="CD2679">
        <v>1</v>
      </c>
      <c r="CE2679">
        <v>0</v>
      </c>
      <c r="CF2679">
        <v>0</v>
      </c>
      <c r="CG2679">
        <v>0</v>
      </c>
      <c r="CH2679">
        <v>0</v>
      </c>
      <c r="CI2679">
        <v>0</v>
      </c>
      <c r="CJ2679">
        <v>0</v>
      </c>
      <c r="CK2679">
        <v>2</v>
      </c>
      <c r="CL2679">
        <v>0</v>
      </c>
      <c r="CM2679">
        <v>2</v>
      </c>
      <c r="CN2679">
        <v>0</v>
      </c>
      <c r="CO2679">
        <v>4</v>
      </c>
      <c r="CP2679" t="s">
        <v>119</v>
      </c>
      <c r="CQ2679">
        <v>179</v>
      </c>
      <c r="CR2679">
        <v>1</v>
      </c>
      <c r="CW2679">
        <v>9052240</v>
      </c>
      <c r="CY2679">
        <v>1</v>
      </c>
      <c r="CZ2679">
        <v>0</v>
      </c>
      <c r="DA2679">
        <v>0</v>
      </c>
      <c r="DB2679">
        <v>0</v>
      </c>
      <c r="DC2679">
        <v>0</v>
      </c>
      <c r="DD2679">
        <v>0</v>
      </c>
      <c r="DE2679">
        <v>0</v>
      </c>
      <c r="DF2679">
        <v>0</v>
      </c>
      <c r="DG2679">
        <v>0</v>
      </c>
      <c r="DH2679">
        <v>0</v>
      </c>
      <c r="DI2679">
        <v>0</v>
      </c>
    </row>
    <row r="2680" spans="1:113" x14ac:dyDescent="0.3">
      <c r="A2680" t="str">
        <f>"02/08/2021 20:28:48.736"</f>
        <v>02/08/2021 20:28:48.736</v>
      </c>
      <c r="C2680" t="str">
        <f t="shared" si="129"/>
        <v>FFDFD7C0</v>
      </c>
      <c r="D2680" t="s">
        <v>124</v>
      </c>
      <c r="E2680">
        <v>11</v>
      </c>
      <c r="F2680">
        <v>1011</v>
      </c>
      <c r="G2680" t="s">
        <v>590</v>
      </c>
      <c r="J2680" t="s">
        <v>125</v>
      </c>
      <c r="K2680">
        <v>0</v>
      </c>
      <c r="L2680">
        <v>3</v>
      </c>
      <c r="M2680">
        <v>0</v>
      </c>
      <c r="N2680">
        <v>2</v>
      </c>
      <c r="O2680">
        <v>1</v>
      </c>
      <c r="P2680">
        <v>0</v>
      </c>
      <c r="Q2680">
        <v>0</v>
      </c>
      <c r="S2680" t="str">
        <f>"20:28:51.070"</f>
        <v>20:28:51.070</v>
      </c>
      <c r="T2680" t="str">
        <f>"20:28:50.570"</f>
        <v>20:28:50.570</v>
      </c>
      <c r="U2680" t="str">
        <f t="shared" si="128"/>
        <v>AB01F4</v>
      </c>
      <c r="V2680">
        <v>0</v>
      </c>
      <c r="W2680">
        <v>0</v>
      </c>
      <c r="X2680">
        <v>2</v>
      </c>
      <c r="Z2680">
        <v>0</v>
      </c>
      <c r="AA2680">
        <v>9</v>
      </c>
      <c r="AB2680">
        <v>3</v>
      </c>
      <c r="AC2680">
        <v>0</v>
      </c>
      <c r="AD2680">
        <v>10</v>
      </c>
      <c r="AE2680">
        <v>0</v>
      </c>
      <c r="AF2680">
        <v>3</v>
      </c>
      <c r="AG2680">
        <v>2</v>
      </c>
      <c r="AH2680">
        <v>0</v>
      </c>
      <c r="AI2680" t="s">
        <v>1589</v>
      </c>
      <c r="AJ2680">
        <v>40.014074000000001</v>
      </c>
      <c r="AK2680" t="s">
        <v>1590</v>
      </c>
      <c r="AL2680">
        <v>-92.773360999999994</v>
      </c>
      <c r="AM2680">
        <v>100</v>
      </c>
      <c r="AN2680">
        <v>1600</v>
      </c>
      <c r="AO2680" t="s">
        <v>118</v>
      </c>
      <c r="AP2680">
        <v>-109</v>
      </c>
      <c r="AQ2680">
        <v>79</v>
      </c>
      <c r="AR2680">
        <v>-192</v>
      </c>
      <c r="AZ2680">
        <v>1200</v>
      </c>
      <c r="BA2680">
        <v>1</v>
      </c>
      <c r="BB2680" t="str">
        <f t="shared" si="130"/>
        <v xml:space="preserve">N8080G  </v>
      </c>
      <c r="BC2680">
        <v>1</v>
      </c>
      <c r="BE2680">
        <v>0</v>
      </c>
      <c r="BF2680">
        <v>0</v>
      </c>
      <c r="BG2680">
        <v>0</v>
      </c>
      <c r="BH2680">
        <v>1650</v>
      </c>
      <c r="BI2680">
        <v>1</v>
      </c>
      <c r="BJ2680">
        <v>1</v>
      </c>
      <c r="BK2680">
        <v>1</v>
      </c>
      <c r="BL2680">
        <v>0</v>
      </c>
      <c r="BO2680">
        <v>0</v>
      </c>
      <c r="BP2680">
        <v>0</v>
      </c>
      <c r="BW2680" t="str">
        <f>"20:28:51.078"</f>
        <v>20:28:51.078</v>
      </c>
      <c r="BZ2680">
        <v>0</v>
      </c>
      <c r="CA2680">
        <v>1792</v>
      </c>
      <c r="CB2680">
        <v>224</v>
      </c>
      <c r="CD2680">
        <v>1</v>
      </c>
      <c r="CE2680">
        <v>0</v>
      </c>
      <c r="CF2680">
        <v>0</v>
      </c>
      <c r="CG2680">
        <v>0</v>
      </c>
      <c r="CH2680">
        <v>0</v>
      </c>
      <c r="CI2680">
        <v>0</v>
      </c>
      <c r="CJ2680">
        <v>0</v>
      </c>
      <c r="CK2680">
        <v>2</v>
      </c>
      <c r="CL2680">
        <v>0</v>
      </c>
      <c r="CM2680">
        <v>2</v>
      </c>
      <c r="CN2680">
        <v>0</v>
      </c>
      <c r="CO2680">
        <v>4</v>
      </c>
      <c r="CP2680" t="s">
        <v>119</v>
      </c>
      <c r="CQ2680">
        <v>179</v>
      </c>
      <c r="CR2680">
        <v>1</v>
      </c>
      <c r="CW2680">
        <v>9052240</v>
      </c>
      <c r="CY2680">
        <v>1</v>
      </c>
      <c r="CZ2680">
        <v>0</v>
      </c>
      <c r="DA2680">
        <v>1</v>
      </c>
      <c r="DB2680">
        <v>0</v>
      </c>
      <c r="DC2680">
        <v>0</v>
      </c>
      <c r="DD2680">
        <v>0</v>
      </c>
      <c r="DE2680">
        <v>0</v>
      </c>
      <c r="DF2680">
        <v>0</v>
      </c>
      <c r="DG2680">
        <v>0</v>
      </c>
      <c r="DH2680">
        <v>0</v>
      </c>
      <c r="DI2680">
        <v>0</v>
      </c>
    </row>
    <row r="2681" spans="1:113" x14ac:dyDescent="0.3">
      <c r="A2681" t="str">
        <f>"02/08/2021 20:28:48.736"</f>
        <v>02/08/2021 20:28:48.736</v>
      </c>
      <c r="C2681" t="str">
        <f t="shared" si="129"/>
        <v>FFDFD7C0</v>
      </c>
      <c r="D2681" t="s">
        <v>124</v>
      </c>
      <c r="E2681">
        <v>12</v>
      </c>
      <c r="F2681">
        <v>1012</v>
      </c>
      <c r="G2681" t="s">
        <v>675</v>
      </c>
      <c r="J2681" t="s">
        <v>125</v>
      </c>
      <c r="K2681">
        <v>0</v>
      </c>
      <c r="L2681">
        <v>3</v>
      </c>
      <c r="M2681">
        <v>0</v>
      </c>
      <c r="N2681">
        <v>2</v>
      </c>
      <c r="O2681">
        <v>1</v>
      </c>
      <c r="P2681">
        <v>0</v>
      </c>
      <c r="Q2681">
        <v>0</v>
      </c>
      <c r="S2681" t="str">
        <f>"20:28:51.070"</f>
        <v>20:28:51.070</v>
      </c>
      <c r="T2681" t="str">
        <f>"20:28:50.570"</f>
        <v>20:28:50.570</v>
      </c>
      <c r="U2681" t="str">
        <f t="shared" si="128"/>
        <v>AB01F4</v>
      </c>
      <c r="V2681">
        <v>0</v>
      </c>
      <c r="W2681">
        <v>0</v>
      </c>
      <c r="X2681">
        <v>2</v>
      </c>
      <c r="Z2681">
        <v>0</v>
      </c>
      <c r="AA2681">
        <v>9</v>
      </c>
      <c r="AB2681">
        <v>3</v>
      </c>
      <c r="AC2681">
        <v>0</v>
      </c>
      <c r="AD2681">
        <v>10</v>
      </c>
      <c r="AE2681">
        <v>0</v>
      </c>
      <c r="AF2681">
        <v>3</v>
      </c>
      <c r="AG2681">
        <v>2</v>
      </c>
      <c r="AH2681">
        <v>0</v>
      </c>
      <c r="AI2681" t="s">
        <v>1589</v>
      </c>
      <c r="AJ2681">
        <v>40.014074000000001</v>
      </c>
      <c r="AK2681" t="s">
        <v>1590</v>
      </c>
      <c r="AL2681">
        <v>-92.773360999999994</v>
      </c>
      <c r="AM2681">
        <v>100</v>
      </c>
      <c r="AN2681">
        <v>1600</v>
      </c>
      <c r="AO2681" t="s">
        <v>118</v>
      </c>
      <c r="AP2681">
        <v>-109</v>
      </c>
      <c r="AQ2681">
        <v>79</v>
      </c>
      <c r="AR2681">
        <v>-192</v>
      </c>
      <c r="AZ2681">
        <v>1200</v>
      </c>
      <c r="BA2681">
        <v>1</v>
      </c>
      <c r="BB2681" t="str">
        <f t="shared" si="130"/>
        <v xml:space="preserve">N8080G  </v>
      </c>
      <c r="BC2681">
        <v>1</v>
      </c>
      <c r="BE2681">
        <v>0</v>
      </c>
      <c r="BF2681">
        <v>0</v>
      </c>
      <c r="BG2681">
        <v>0</v>
      </c>
      <c r="BH2681">
        <v>1650</v>
      </c>
      <c r="BI2681">
        <v>1</v>
      </c>
      <c r="BJ2681">
        <v>1</v>
      </c>
      <c r="BK2681">
        <v>1</v>
      </c>
      <c r="BL2681">
        <v>0</v>
      </c>
      <c r="BO2681">
        <v>0</v>
      </c>
      <c r="BP2681">
        <v>0</v>
      </c>
      <c r="BW2681" t="str">
        <f>"20:28:51.078"</f>
        <v>20:28:51.078</v>
      </c>
      <c r="BZ2681">
        <v>0</v>
      </c>
      <c r="CA2681">
        <v>1792</v>
      </c>
      <c r="CB2681">
        <v>224</v>
      </c>
      <c r="CD2681">
        <v>1</v>
      </c>
      <c r="CE2681">
        <v>0</v>
      </c>
      <c r="CF2681">
        <v>0</v>
      </c>
      <c r="CG2681">
        <v>0</v>
      </c>
      <c r="CH2681">
        <v>0</v>
      </c>
      <c r="CI2681">
        <v>0</v>
      </c>
      <c r="CJ2681">
        <v>0</v>
      </c>
      <c r="CK2681">
        <v>2</v>
      </c>
      <c r="CL2681">
        <v>0</v>
      </c>
      <c r="CM2681">
        <v>2</v>
      </c>
      <c r="CN2681">
        <v>0</v>
      </c>
      <c r="CO2681">
        <v>4</v>
      </c>
      <c r="CP2681" t="s">
        <v>119</v>
      </c>
      <c r="CQ2681">
        <v>179</v>
      </c>
      <c r="CR2681">
        <v>1</v>
      </c>
      <c r="CW2681">
        <v>9052240</v>
      </c>
      <c r="CY2681">
        <v>1</v>
      </c>
      <c r="CZ2681">
        <v>0</v>
      </c>
      <c r="DA2681">
        <v>1</v>
      </c>
      <c r="DB2681">
        <v>0</v>
      </c>
      <c r="DC2681">
        <v>0</v>
      </c>
      <c r="DD2681">
        <v>0</v>
      </c>
      <c r="DE2681">
        <v>0</v>
      </c>
      <c r="DF2681">
        <v>0</v>
      </c>
      <c r="DG2681">
        <v>0</v>
      </c>
      <c r="DH2681">
        <v>0</v>
      </c>
      <c r="DI2681">
        <v>0</v>
      </c>
    </row>
    <row r="2682" spans="1:113" x14ac:dyDescent="0.3">
      <c r="A2682" t="str">
        <f>"02/08/2021 20:28:48.736"</f>
        <v>02/08/2021 20:28:48.736</v>
      </c>
      <c r="C2682" t="str">
        <f t="shared" si="129"/>
        <v>FFDFD7C0</v>
      </c>
      <c r="D2682" t="s">
        <v>113</v>
      </c>
      <c r="E2682">
        <v>6</v>
      </c>
      <c r="H2682">
        <v>165</v>
      </c>
      <c r="I2682" t="s">
        <v>114</v>
      </c>
      <c r="J2682" t="s">
        <v>115</v>
      </c>
      <c r="K2682">
        <v>0</v>
      </c>
      <c r="L2682">
        <v>3</v>
      </c>
      <c r="M2682">
        <v>0</v>
      </c>
      <c r="N2682">
        <v>2</v>
      </c>
      <c r="O2682">
        <v>1</v>
      </c>
      <c r="P2682">
        <v>0</v>
      </c>
      <c r="Q2682">
        <v>0</v>
      </c>
      <c r="S2682" t="str">
        <f>"20:28:51.070"</f>
        <v>20:28:51.070</v>
      </c>
      <c r="T2682" t="str">
        <f>"20:28:50.570"</f>
        <v>20:28:50.570</v>
      </c>
      <c r="U2682" t="str">
        <f t="shared" si="128"/>
        <v>AB01F4</v>
      </c>
      <c r="V2682">
        <v>0</v>
      </c>
      <c r="W2682">
        <v>0</v>
      </c>
      <c r="X2682">
        <v>2</v>
      </c>
      <c r="Z2682">
        <v>0</v>
      </c>
      <c r="AA2682">
        <v>9</v>
      </c>
      <c r="AB2682">
        <v>3</v>
      </c>
      <c r="AC2682">
        <v>0</v>
      </c>
      <c r="AD2682">
        <v>10</v>
      </c>
      <c r="AE2682">
        <v>0</v>
      </c>
      <c r="AF2682">
        <v>3</v>
      </c>
      <c r="AG2682">
        <v>2</v>
      </c>
      <c r="AH2682">
        <v>0</v>
      </c>
      <c r="AI2682" t="s">
        <v>1589</v>
      </c>
      <c r="AJ2682">
        <v>40.014074000000001</v>
      </c>
      <c r="AK2682" t="s">
        <v>1590</v>
      </c>
      <c r="AL2682">
        <v>-92.773360999999994</v>
      </c>
      <c r="AM2682">
        <v>100</v>
      </c>
      <c r="AN2682">
        <v>1600</v>
      </c>
      <c r="AO2682" t="s">
        <v>118</v>
      </c>
      <c r="AP2682">
        <v>-109</v>
      </c>
      <c r="AQ2682">
        <v>79</v>
      </c>
      <c r="AR2682">
        <v>-192</v>
      </c>
      <c r="AZ2682">
        <v>1200</v>
      </c>
      <c r="BA2682">
        <v>1</v>
      </c>
      <c r="BB2682" t="str">
        <f t="shared" si="130"/>
        <v xml:space="preserve">N8080G  </v>
      </c>
      <c r="BC2682">
        <v>1</v>
      </c>
      <c r="BE2682">
        <v>0</v>
      </c>
      <c r="BF2682">
        <v>0</v>
      </c>
      <c r="BG2682">
        <v>0</v>
      </c>
      <c r="BH2682">
        <v>1650</v>
      </c>
      <c r="BI2682">
        <v>1</v>
      </c>
      <c r="BJ2682">
        <v>1</v>
      </c>
      <c r="BK2682">
        <v>1</v>
      </c>
      <c r="BL2682">
        <v>0</v>
      </c>
      <c r="BO2682">
        <v>0</v>
      </c>
      <c r="BP2682">
        <v>0</v>
      </c>
      <c r="BW2682" t="str">
        <f>"20:28:51.078"</f>
        <v>20:28:51.078</v>
      </c>
      <c r="BZ2682">
        <v>0</v>
      </c>
      <c r="CA2682">
        <v>1792</v>
      </c>
      <c r="CB2682">
        <v>224</v>
      </c>
      <c r="CD2682">
        <v>1</v>
      </c>
      <c r="CE2682">
        <v>0</v>
      </c>
      <c r="CF2682">
        <v>0</v>
      </c>
      <c r="CG2682">
        <v>0</v>
      </c>
      <c r="CH2682">
        <v>0</v>
      </c>
      <c r="CI2682">
        <v>0</v>
      </c>
      <c r="CJ2682">
        <v>0</v>
      </c>
      <c r="CK2682">
        <v>2</v>
      </c>
      <c r="CL2682">
        <v>0</v>
      </c>
      <c r="CM2682">
        <v>2</v>
      </c>
      <c r="CN2682">
        <v>0</v>
      </c>
      <c r="CO2682">
        <v>4</v>
      </c>
      <c r="CP2682" t="s">
        <v>119</v>
      </c>
      <c r="CQ2682">
        <v>179</v>
      </c>
      <c r="CR2682">
        <v>1</v>
      </c>
      <c r="CW2682">
        <v>9052240</v>
      </c>
      <c r="CY2682">
        <v>1</v>
      </c>
      <c r="CZ2682">
        <v>0</v>
      </c>
      <c r="DA2682">
        <v>1</v>
      </c>
      <c r="DB2682">
        <v>0</v>
      </c>
      <c r="DC2682">
        <v>0</v>
      </c>
      <c r="DD2682">
        <v>0</v>
      </c>
      <c r="DE2682">
        <v>0</v>
      </c>
      <c r="DF2682">
        <v>0</v>
      </c>
      <c r="DG2682">
        <v>0</v>
      </c>
      <c r="DH2682">
        <v>0</v>
      </c>
      <c r="DI2682">
        <v>0</v>
      </c>
    </row>
    <row r="2683" spans="1:113" x14ac:dyDescent="0.3">
      <c r="A2683" t="str">
        <f>"02/08/2021 20:28:49.778"</f>
        <v>02/08/2021 20:28:49.778</v>
      </c>
      <c r="C2683" t="str">
        <f t="shared" si="129"/>
        <v>FFDFD7C0</v>
      </c>
      <c r="D2683" t="s">
        <v>113</v>
      </c>
      <c r="E2683">
        <v>6</v>
      </c>
      <c r="H2683">
        <v>165</v>
      </c>
      <c r="I2683" t="s">
        <v>114</v>
      </c>
      <c r="J2683" t="s">
        <v>115</v>
      </c>
      <c r="K2683">
        <v>0</v>
      </c>
      <c r="L2683">
        <v>3</v>
      </c>
      <c r="M2683">
        <v>0</v>
      </c>
      <c r="N2683">
        <v>2</v>
      </c>
      <c r="O2683">
        <v>1</v>
      </c>
      <c r="P2683">
        <v>0</v>
      </c>
      <c r="Q2683">
        <v>0</v>
      </c>
      <c r="S2683" t="str">
        <f>"20:28:52.102"</f>
        <v>20:28:52.102</v>
      </c>
      <c r="T2683" t="str">
        <f>"20:28:51.602"</f>
        <v>20:28:51.602</v>
      </c>
      <c r="U2683" t="str">
        <f t="shared" si="128"/>
        <v>AB01F4</v>
      </c>
      <c r="V2683">
        <v>0</v>
      </c>
      <c r="W2683">
        <v>0</v>
      </c>
      <c r="X2683">
        <v>2</v>
      </c>
      <c r="Z2683">
        <v>0</v>
      </c>
      <c r="AA2683">
        <v>9</v>
      </c>
      <c r="AB2683">
        <v>3</v>
      </c>
      <c r="AC2683">
        <v>0</v>
      </c>
      <c r="AD2683">
        <v>10</v>
      </c>
      <c r="AE2683">
        <v>0</v>
      </c>
      <c r="AF2683">
        <v>3</v>
      </c>
      <c r="AG2683">
        <v>2</v>
      </c>
      <c r="AH2683">
        <v>0</v>
      </c>
      <c r="AI2683" t="s">
        <v>1591</v>
      </c>
      <c r="AJ2683">
        <v>40.014439000000003</v>
      </c>
      <c r="AK2683" t="s">
        <v>1592</v>
      </c>
      <c r="AL2683">
        <v>-92.774047999999993</v>
      </c>
      <c r="AM2683">
        <v>100</v>
      </c>
      <c r="AN2683">
        <v>1600</v>
      </c>
      <c r="AO2683" t="s">
        <v>118</v>
      </c>
      <c r="AP2683">
        <v>-110</v>
      </c>
      <c r="AQ2683">
        <v>79</v>
      </c>
      <c r="AR2683">
        <v>-320</v>
      </c>
      <c r="AZ2683">
        <v>1200</v>
      </c>
      <c r="BA2683">
        <v>1</v>
      </c>
      <c r="BB2683" t="str">
        <f t="shared" si="130"/>
        <v xml:space="preserve">N8080G  </v>
      </c>
      <c r="BC2683">
        <v>1</v>
      </c>
      <c r="BE2683">
        <v>0</v>
      </c>
      <c r="BF2683">
        <v>0</v>
      </c>
      <c r="BG2683">
        <v>0</v>
      </c>
      <c r="BH2683">
        <v>1625</v>
      </c>
      <c r="BI2683">
        <v>1</v>
      </c>
      <c r="BJ2683">
        <v>1</v>
      </c>
      <c r="BK2683">
        <v>1</v>
      </c>
      <c r="BL2683">
        <v>0</v>
      </c>
      <c r="BO2683">
        <v>0</v>
      </c>
      <c r="BP2683">
        <v>0</v>
      </c>
      <c r="BW2683" t="str">
        <f>"20:28:52.104"</f>
        <v>20:28:52.104</v>
      </c>
      <c r="BZ2683">
        <v>0</v>
      </c>
      <c r="CA2683">
        <v>1792</v>
      </c>
      <c r="CB2683">
        <v>224</v>
      </c>
      <c r="CD2683">
        <v>1</v>
      </c>
      <c r="CE2683">
        <v>0</v>
      </c>
      <c r="CF2683">
        <v>0</v>
      </c>
      <c r="CG2683">
        <v>0</v>
      </c>
      <c r="CH2683">
        <v>0</v>
      </c>
      <c r="CI2683">
        <v>0</v>
      </c>
      <c r="CJ2683">
        <v>0</v>
      </c>
      <c r="CK2683">
        <v>2</v>
      </c>
      <c r="CL2683">
        <v>0</v>
      </c>
      <c r="CM2683">
        <v>2</v>
      </c>
      <c r="CN2683">
        <v>0</v>
      </c>
      <c r="CO2683">
        <v>4</v>
      </c>
      <c r="CP2683" t="s">
        <v>119</v>
      </c>
      <c r="CQ2683">
        <v>179</v>
      </c>
      <c r="CR2683">
        <v>1</v>
      </c>
      <c r="CW2683">
        <v>9053187</v>
      </c>
      <c r="CY2683">
        <v>1</v>
      </c>
      <c r="CZ2683">
        <v>0</v>
      </c>
      <c r="DA2683">
        <v>0</v>
      </c>
      <c r="DB2683">
        <v>0</v>
      </c>
      <c r="DC2683">
        <v>0</v>
      </c>
      <c r="DD2683">
        <v>0</v>
      </c>
      <c r="DE2683">
        <v>0</v>
      </c>
      <c r="DF2683">
        <v>0</v>
      </c>
      <c r="DG2683">
        <v>0</v>
      </c>
      <c r="DH2683">
        <v>0</v>
      </c>
      <c r="DI2683">
        <v>0</v>
      </c>
    </row>
    <row r="2684" spans="1:113" x14ac:dyDescent="0.3">
      <c r="A2684" t="str">
        <f>"02/08/2021 20:28:49.778"</f>
        <v>02/08/2021 20:28:49.778</v>
      </c>
      <c r="C2684" t="str">
        <f t="shared" si="129"/>
        <v>FFDFD7C0</v>
      </c>
      <c r="D2684" t="s">
        <v>124</v>
      </c>
      <c r="E2684">
        <v>13</v>
      </c>
      <c r="F2684">
        <v>1013</v>
      </c>
      <c r="G2684" t="s">
        <v>114</v>
      </c>
      <c r="J2684" t="s">
        <v>125</v>
      </c>
      <c r="K2684">
        <v>0</v>
      </c>
      <c r="L2684">
        <v>3</v>
      </c>
      <c r="M2684">
        <v>0</v>
      </c>
      <c r="N2684">
        <v>2</v>
      </c>
      <c r="O2684">
        <v>1</v>
      </c>
      <c r="P2684">
        <v>0</v>
      </c>
      <c r="Q2684">
        <v>0</v>
      </c>
      <c r="S2684" t="str">
        <f>"20:28:52.102"</f>
        <v>20:28:52.102</v>
      </c>
      <c r="T2684" t="str">
        <f>"20:28:51.602"</f>
        <v>20:28:51.602</v>
      </c>
      <c r="U2684" t="str">
        <f t="shared" si="128"/>
        <v>AB01F4</v>
      </c>
      <c r="V2684">
        <v>0</v>
      </c>
      <c r="W2684">
        <v>0</v>
      </c>
      <c r="X2684">
        <v>2</v>
      </c>
      <c r="Z2684">
        <v>0</v>
      </c>
      <c r="AA2684">
        <v>9</v>
      </c>
      <c r="AB2684">
        <v>3</v>
      </c>
      <c r="AC2684">
        <v>0</v>
      </c>
      <c r="AD2684">
        <v>10</v>
      </c>
      <c r="AE2684">
        <v>0</v>
      </c>
      <c r="AF2684">
        <v>3</v>
      </c>
      <c r="AG2684">
        <v>2</v>
      </c>
      <c r="AH2684">
        <v>0</v>
      </c>
      <c r="AI2684" t="s">
        <v>1591</v>
      </c>
      <c r="AJ2684">
        <v>40.014439000000003</v>
      </c>
      <c r="AK2684" t="s">
        <v>1592</v>
      </c>
      <c r="AL2684">
        <v>-92.774047999999993</v>
      </c>
      <c r="AM2684">
        <v>100</v>
      </c>
      <c r="AN2684">
        <v>1600</v>
      </c>
      <c r="AO2684" t="s">
        <v>118</v>
      </c>
      <c r="AP2684">
        <v>-110</v>
      </c>
      <c r="AQ2684">
        <v>79</v>
      </c>
      <c r="AR2684">
        <v>-320</v>
      </c>
      <c r="AZ2684">
        <v>1200</v>
      </c>
      <c r="BA2684">
        <v>1</v>
      </c>
      <c r="BB2684" t="str">
        <f t="shared" si="130"/>
        <v xml:space="preserve">N8080G  </v>
      </c>
      <c r="BC2684">
        <v>1</v>
      </c>
      <c r="BE2684">
        <v>0</v>
      </c>
      <c r="BF2684">
        <v>0</v>
      </c>
      <c r="BG2684">
        <v>0</v>
      </c>
      <c r="BH2684">
        <v>1625</v>
      </c>
      <c r="BI2684">
        <v>1</v>
      </c>
      <c r="BJ2684">
        <v>1</v>
      </c>
      <c r="BK2684">
        <v>1</v>
      </c>
      <c r="BL2684">
        <v>0</v>
      </c>
      <c r="BO2684">
        <v>0</v>
      </c>
      <c r="BP2684">
        <v>0</v>
      </c>
      <c r="BW2684" t="str">
        <f>"20:28:52.104"</f>
        <v>20:28:52.104</v>
      </c>
      <c r="BZ2684">
        <v>0</v>
      </c>
      <c r="CA2684">
        <v>1792</v>
      </c>
      <c r="CB2684">
        <v>224</v>
      </c>
      <c r="CD2684">
        <v>1</v>
      </c>
      <c r="CE2684">
        <v>0</v>
      </c>
      <c r="CF2684">
        <v>0</v>
      </c>
      <c r="CG2684">
        <v>0</v>
      </c>
      <c r="CH2684">
        <v>0</v>
      </c>
      <c r="CI2684">
        <v>0</v>
      </c>
      <c r="CJ2684">
        <v>0</v>
      </c>
      <c r="CK2684">
        <v>2</v>
      </c>
      <c r="CL2684">
        <v>0</v>
      </c>
      <c r="CM2684">
        <v>2</v>
      </c>
      <c r="CN2684">
        <v>0</v>
      </c>
      <c r="CO2684">
        <v>4</v>
      </c>
      <c r="CP2684" t="s">
        <v>119</v>
      </c>
      <c r="CQ2684">
        <v>179</v>
      </c>
      <c r="CR2684">
        <v>1</v>
      </c>
      <c r="CW2684">
        <v>9053187</v>
      </c>
      <c r="CY2684">
        <v>1</v>
      </c>
      <c r="CZ2684">
        <v>0</v>
      </c>
      <c r="DA2684">
        <v>1</v>
      </c>
      <c r="DB2684">
        <v>0</v>
      </c>
      <c r="DC2684">
        <v>0</v>
      </c>
      <c r="DD2684">
        <v>0</v>
      </c>
      <c r="DE2684">
        <v>0</v>
      </c>
      <c r="DF2684">
        <v>0</v>
      </c>
      <c r="DG2684">
        <v>0</v>
      </c>
      <c r="DH2684">
        <v>0</v>
      </c>
      <c r="DI2684">
        <v>0</v>
      </c>
    </row>
    <row r="2685" spans="1:113" x14ac:dyDescent="0.3">
      <c r="A2685" t="str">
        <f>"02/08/2021 20:28:49.778"</f>
        <v>02/08/2021 20:28:49.778</v>
      </c>
      <c r="C2685" t="str">
        <f t="shared" si="129"/>
        <v>FFDFD7C0</v>
      </c>
      <c r="D2685" t="s">
        <v>124</v>
      </c>
      <c r="E2685">
        <v>11</v>
      </c>
      <c r="F2685">
        <v>1011</v>
      </c>
      <c r="G2685" t="s">
        <v>590</v>
      </c>
      <c r="J2685" t="s">
        <v>125</v>
      </c>
      <c r="K2685">
        <v>0</v>
      </c>
      <c r="L2685">
        <v>3</v>
      </c>
      <c r="M2685">
        <v>0</v>
      </c>
      <c r="N2685">
        <v>2</v>
      </c>
      <c r="O2685">
        <v>1</v>
      </c>
      <c r="P2685">
        <v>0</v>
      </c>
      <c r="Q2685">
        <v>0</v>
      </c>
      <c r="S2685" t="str">
        <f>"20:28:52.102"</f>
        <v>20:28:52.102</v>
      </c>
      <c r="T2685" t="str">
        <f>"20:28:51.602"</f>
        <v>20:28:51.602</v>
      </c>
      <c r="U2685" t="str">
        <f t="shared" si="128"/>
        <v>AB01F4</v>
      </c>
      <c r="V2685">
        <v>0</v>
      </c>
      <c r="W2685">
        <v>0</v>
      </c>
      <c r="X2685">
        <v>2</v>
      </c>
      <c r="Z2685">
        <v>0</v>
      </c>
      <c r="AA2685">
        <v>9</v>
      </c>
      <c r="AB2685">
        <v>3</v>
      </c>
      <c r="AC2685">
        <v>0</v>
      </c>
      <c r="AD2685">
        <v>10</v>
      </c>
      <c r="AE2685">
        <v>0</v>
      </c>
      <c r="AF2685">
        <v>3</v>
      </c>
      <c r="AG2685">
        <v>2</v>
      </c>
      <c r="AH2685">
        <v>0</v>
      </c>
      <c r="AI2685" t="s">
        <v>1591</v>
      </c>
      <c r="AJ2685">
        <v>40.014439000000003</v>
      </c>
      <c r="AK2685" t="s">
        <v>1592</v>
      </c>
      <c r="AL2685">
        <v>-92.774047999999993</v>
      </c>
      <c r="AM2685">
        <v>100</v>
      </c>
      <c r="AN2685">
        <v>1600</v>
      </c>
      <c r="AO2685" t="s">
        <v>118</v>
      </c>
      <c r="AP2685">
        <v>-110</v>
      </c>
      <c r="AQ2685">
        <v>79</v>
      </c>
      <c r="AR2685">
        <v>-320</v>
      </c>
      <c r="AZ2685">
        <v>1200</v>
      </c>
      <c r="BA2685">
        <v>1</v>
      </c>
      <c r="BB2685" t="str">
        <f t="shared" si="130"/>
        <v xml:space="preserve">N8080G  </v>
      </c>
      <c r="BC2685">
        <v>1</v>
      </c>
      <c r="BE2685">
        <v>0</v>
      </c>
      <c r="BF2685">
        <v>0</v>
      </c>
      <c r="BG2685">
        <v>0</v>
      </c>
      <c r="BH2685">
        <v>1625</v>
      </c>
      <c r="BI2685">
        <v>1</v>
      </c>
      <c r="BJ2685">
        <v>1</v>
      </c>
      <c r="BK2685">
        <v>1</v>
      </c>
      <c r="BL2685">
        <v>0</v>
      </c>
      <c r="BO2685">
        <v>0</v>
      </c>
      <c r="BP2685">
        <v>0</v>
      </c>
      <c r="BW2685" t="str">
        <f>"20:28:52.104"</f>
        <v>20:28:52.104</v>
      </c>
      <c r="BZ2685">
        <v>0</v>
      </c>
      <c r="CA2685">
        <v>1792</v>
      </c>
      <c r="CB2685">
        <v>224</v>
      </c>
      <c r="CD2685">
        <v>1</v>
      </c>
      <c r="CE2685">
        <v>0</v>
      </c>
      <c r="CF2685">
        <v>0</v>
      </c>
      <c r="CG2685">
        <v>0</v>
      </c>
      <c r="CH2685">
        <v>0</v>
      </c>
      <c r="CI2685">
        <v>0</v>
      </c>
      <c r="CJ2685">
        <v>0</v>
      </c>
      <c r="CK2685">
        <v>2</v>
      </c>
      <c r="CL2685">
        <v>0</v>
      </c>
      <c r="CM2685">
        <v>2</v>
      </c>
      <c r="CN2685">
        <v>0</v>
      </c>
      <c r="CO2685">
        <v>4</v>
      </c>
      <c r="CP2685" t="s">
        <v>119</v>
      </c>
      <c r="CQ2685">
        <v>179</v>
      </c>
      <c r="CR2685">
        <v>1</v>
      </c>
      <c r="CW2685">
        <v>9053187</v>
      </c>
      <c r="CY2685">
        <v>1</v>
      </c>
      <c r="CZ2685">
        <v>0</v>
      </c>
      <c r="DA2685">
        <v>1</v>
      </c>
      <c r="DB2685">
        <v>0</v>
      </c>
      <c r="DC2685">
        <v>0</v>
      </c>
      <c r="DD2685">
        <v>0</v>
      </c>
      <c r="DE2685">
        <v>0</v>
      </c>
      <c r="DF2685">
        <v>0</v>
      </c>
      <c r="DG2685">
        <v>0</v>
      </c>
      <c r="DH2685">
        <v>0</v>
      </c>
      <c r="DI2685">
        <v>0</v>
      </c>
    </row>
    <row r="2686" spans="1:113" x14ac:dyDescent="0.3">
      <c r="A2686" t="str">
        <f>"02/08/2021 20:28:49.778"</f>
        <v>02/08/2021 20:28:49.778</v>
      </c>
      <c r="C2686" t="str">
        <f t="shared" si="129"/>
        <v>FFDFD7C0</v>
      </c>
      <c r="D2686" t="s">
        <v>124</v>
      </c>
      <c r="E2686">
        <v>12</v>
      </c>
      <c r="F2686">
        <v>1012</v>
      </c>
      <c r="G2686" t="s">
        <v>675</v>
      </c>
      <c r="J2686" t="s">
        <v>125</v>
      </c>
      <c r="K2686">
        <v>0</v>
      </c>
      <c r="L2686">
        <v>3</v>
      </c>
      <c r="M2686">
        <v>0</v>
      </c>
      <c r="N2686">
        <v>2</v>
      </c>
      <c r="O2686">
        <v>1</v>
      </c>
      <c r="P2686">
        <v>0</v>
      </c>
      <c r="Q2686">
        <v>0</v>
      </c>
      <c r="S2686" t="str">
        <f>"20:28:52.102"</f>
        <v>20:28:52.102</v>
      </c>
      <c r="T2686" t="str">
        <f>"20:28:51.602"</f>
        <v>20:28:51.602</v>
      </c>
      <c r="U2686" t="str">
        <f t="shared" si="128"/>
        <v>AB01F4</v>
      </c>
      <c r="V2686">
        <v>0</v>
      </c>
      <c r="W2686">
        <v>0</v>
      </c>
      <c r="X2686">
        <v>2</v>
      </c>
      <c r="Z2686">
        <v>0</v>
      </c>
      <c r="AA2686">
        <v>9</v>
      </c>
      <c r="AB2686">
        <v>3</v>
      </c>
      <c r="AC2686">
        <v>0</v>
      </c>
      <c r="AD2686">
        <v>10</v>
      </c>
      <c r="AE2686">
        <v>0</v>
      </c>
      <c r="AF2686">
        <v>3</v>
      </c>
      <c r="AG2686">
        <v>2</v>
      </c>
      <c r="AH2686">
        <v>0</v>
      </c>
      <c r="AI2686" t="s">
        <v>1591</v>
      </c>
      <c r="AJ2686">
        <v>40.014439000000003</v>
      </c>
      <c r="AK2686" t="s">
        <v>1592</v>
      </c>
      <c r="AL2686">
        <v>-92.774047999999993</v>
      </c>
      <c r="AM2686">
        <v>100</v>
      </c>
      <c r="AN2686">
        <v>1600</v>
      </c>
      <c r="AO2686" t="s">
        <v>118</v>
      </c>
      <c r="AP2686">
        <v>-110</v>
      </c>
      <c r="AQ2686">
        <v>79</v>
      </c>
      <c r="AR2686">
        <v>-320</v>
      </c>
      <c r="AZ2686">
        <v>1200</v>
      </c>
      <c r="BA2686">
        <v>1</v>
      </c>
      <c r="BB2686" t="str">
        <f t="shared" si="130"/>
        <v xml:space="preserve">N8080G  </v>
      </c>
      <c r="BC2686">
        <v>1</v>
      </c>
      <c r="BE2686">
        <v>0</v>
      </c>
      <c r="BF2686">
        <v>0</v>
      </c>
      <c r="BG2686">
        <v>0</v>
      </c>
      <c r="BH2686">
        <v>1625</v>
      </c>
      <c r="BI2686">
        <v>1</v>
      </c>
      <c r="BJ2686">
        <v>1</v>
      </c>
      <c r="BK2686">
        <v>1</v>
      </c>
      <c r="BL2686">
        <v>0</v>
      </c>
      <c r="BO2686">
        <v>0</v>
      </c>
      <c r="BP2686">
        <v>0</v>
      </c>
      <c r="BW2686" t="str">
        <f>"20:28:52.104"</f>
        <v>20:28:52.104</v>
      </c>
      <c r="BZ2686">
        <v>0</v>
      </c>
      <c r="CA2686">
        <v>1792</v>
      </c>
      <c r="CB2686">
        <v>224</v>
      </c>
      <c r="CD2686">
        <v>1</v>
      </c>
      <c r="CE2686">
        <v>0</v>
      </c>
      <c r="CF2686">
        <v>0</v>
      </c>
      <c r="CG2686">
        <v>0</v>
      </c>
      <c r="CH2686">
        <v>0</v>
      </c>
      <c r="CI2686">
        <v>0</v>
      </c>
      <c r="CJ2686">
        <v>0</v>
      </c>
      <c r="CK2686">
        <v>2</v>
      </c>
      <c r="CL2686">
        <v>0</v>
      </c>
      <c r="CM2686">
        <v>2</v>
      </c>
      <c r="CN2686">
        <v>0</v>
      </c>
      <c r="CO2686">
        <v>4</v>
      </c>
      <c r="CP2686" t="s">
        <v>119</v>
      </c>
      <c r="CQ2686">
        <v>179</v>
      </c>
      <c r="CR2686">
        <v>1</v>
      </c>
      <c r="CW2686">
        <v>9053187</v>
      </c>
      <c r="CY2686">
        <v>1</v>
      </c>
      <c r="CZ2686">
        <v>0</v>
      </c>
      <c r="DA2686">
        <v>1</v>
      </c>
      <c r="DB2686">
        <v>0</v>
      </c>
      <c r="DC2686">
        <v>0</v>
      </c>
      <c r="DD2686">
        <v>0</v>
      </c>
      <c r="DE2686">
        <v>0</v>
      </c>
      <c r="DF2686">
        <v>0</v>
      </c>
      <c r="DG2686">
        <v>0</v>
      </c>
      <c r="DH2686">
        <v>0</v>
      </c>
      <c r="DI2686">
        <v>0</v>
      </c>
    </row>
    <row r="2687" spans="1:113" x14ac:dyDescent="0.3">
      <c r="A2687" t="str">
        <f>"02/08/2021 20:28:50.588"</f>
        <v>02/08/2021 20:28:50.588</v>
      </c>
      <c r="C2687" t="str">
        <f t="shared" si="129"/>
        <v>FFDFD7C0</v>
      </c>
      <c r="D2687" t="s">
        <v>113</v>
      </c>
      <c r="E2687">
        <v>6</v>
      </c>
      <c r="H2687">
        <v>165</v>
      </c>
      <c r="I2687" t="s">
        <v>114</v>
      </c>
      <c r="J2687" t="s">
        <v>115</v>
      </c>
      <c r="K2687">
        <v>0</v>
      </c>
      <c r="L2687">
        <v>3</v>
      </c>
      <c r="M2687">
        <v>0</v>
      </c>
      <c r="N2687">
        <v>2</v>
      </c>
      <c r="O2687">
        <v>1</v>
      </c>
      <c r="P2687">
        <v>0</v>
      </c>
      <c r="Q2687">
        <v>0</v>
      </c>
      <c r="S2687" t="str">
        <f>"20:28:52.914"</f>
        <v>20:28:52.914</v>
      </c>
      <c r="T2687" t="str">
        <f>"20:28:52.514"</f>
        <v>20:28:52.514</v>
      </c>
      <c r="U2687" t="str">
        <f t="shared" si="128"/>
        <v>AB01F4</v>
      </c>
      <c r="V2687">
        <v>0</v>
      </c>
      <c r="W2687">
        <v>0</v>
      </c>
      <c r="X2687">
        <v>2</v>
      </c>
      <c r="Z2687">
        <v>0</v>
      </c>
      <c r="AA2687">
        <v>9</v>
      </c>
      <c r="AB2687">
        <v>3</v>
      </c>
      <c r="AC2687">
        <v>0</v>
      </c>
      <c r="AD2687">
        <v>10</v>
      </c>
      <c r="AE2687">
        <v>0</v>
      </c>
      <c r="AF2687">
        <v>3</v>
      </c>
      <c r="AG2687">
        <v>2</v>
      </c>
      <c r="AH2687">
        <v>0</v>
      </c>
      <c r="AI2687" t="s">
        <v>1593</v>
      </c>
      <c r="AJ2687">
        <v>40.014718000000002</v>
      </c>
      <c r="AK2687" t="s">
        <v>1594</v>
      </c>
      <c r="AL2687">
        <v>-92.774540999999999</v>
      </c>
      <c r="AM2687">
        <v>100</v>
      </c>
      <c r="AN2687">
        <v>1600</v>
      </c>
      <c r="AO2687" t="s">
        <v>118</v>
      </c>
      <c r="AP2687">
        <v>-110</v>
      </c>
      <c r="AQ2687">
        <v>79</v>
      </c>
      <c r="AR2687">
        <v>-256</v>
      </c>
      <c r="AZ2687">
        <v>1200</v>
      </c>
      <c r="BA2687">
        <v>1</v>
      </c>
      <c r="BB2687" t="str">
        <f t="shared" si="130"/>
        <v xml:space="preserve">N8080G  </v>
      </c>
      <c r="BC2687">
        <v>1</v>
      </c>
      <c r="BE2687">
        <v>0</v>
      </c>
      <c r="BF2687">
        <v>0</v>
      </c>
      <c r="BG2687">
        <v>0</v>
      </c>
      <c r="BH2687">
        <v>1625</v>
      </c>
      <c r="BI2687">
        <v>1</v>
      </c>
      <c r="BJ2687">
        <v>1</v>
      </c>
      <c r="BK2687">
        <v>1</v>
      </c>
      <c r="BL2687">
        <v>0</v>
      </c>
      <c r="BO2687">
        <v>0</v>
      </c>
      <c r="BP2687">
        <v>0</v>
      </c>
      <c r="BW2687" t="str">
        <f>"20:28:52.915"</f>
        <v>20:28:52.915</v>
      </c>
      <c r="BZ2687">
        <v>0</v>
      </c>
      <c r="CA2687">
        <v>1792</v>
      </c>
      <c r="CB2687">
        <v>224</v>
      </c>
      <c r="CD2687">
        <v>1</v>
      </c>
      <c r="CE2687">
        <v>0</v>
      </c>
      <c r="CF2687">
        <v>0</v>
      </c>
      <c r="CG2687">
        <v>0</v>
      </c>
      <c r="CH2687">
        <v>0</v>
      </c>
      <c r="CI2687">
        <v>0</v>
      </c>
      <c r="CJ2687">
        <v>0</v>
      </c>
      <c r="CK2687">
        <v>2</v>
      </c>
      <c r="CL2687">
        <v>0</v>
      </c>
      <c r="CM2687">
        <v>2</v>
      </c>
      <c r="CN2687">
        <v>0</v>
      </c>
      <c r="CO2687">
        <v>7</v>
      </c>
      <c r="CP2687" t="s">
        <v>119</v>
      </c>
      <c r="CQ2687">
        <v>180</v>
      </c>
      <c r="CR2687">
        <v>3</v>
      </c>
      <c r="CW2687">
        <v>952751</v>
      </c>
      <c r="CY2687">
        <v>1</v>
      </c>
      <c r="CZ2687">
        <v>0</v>
      </c>
      <c r="DA2687">
        <v>0</v>
      </c>
      <c r="DB2687">
        <v>0</v>
      </c>
      <c r="DC2687">
        <v>0</v>
      </c>
      <c r="DD2687">
        <v>0</v>
      </c>
      <c r="DE2687">
        <v>0</v>
      </c>
      <c r="DF2687">
        <v>0</v>
      </c>
      <c r="DG2687">
        <v>0</v>
      </c>
      <c r="DH2687">
        <v>0</v>
      </c>
      <c r="DI2687">
        <v>0</v>
      </c>
    </row>
    <row r="2688" spans="1:113" x14ac:dyDescent="0.3">
      <c r="A2688" t="str">
        <f>"02/08/2021 20:28:50.588"</f>
        <v>02/08/2021 20:28:50.588</v>
      </c>
      <c r="C2688" t="str">
        <f t="shared" si="129"/>
        <v>FFDFD7C0</v>
      </c>
      <c r="D2688" t="s">
        <v>124</v>
      </c>
      <c r="E2688">
        <v>13</v>
      </c>
      <c r="F2688">
        <v>1013</v>
      </c>
      <c r="G2688" t="s">
        <v>114</v>
      </c>
      <c r="J2688" t="s">
        <v>125</v>
      </c>
      <c r="K2688">
        <v>0</v>
      </c>
      <c r="L2688">
        <v>3</v>
      </c>
      <c r="M2688">
        <v>0</v>
      </c>
      <c r="N2688">
        <v>2</v>
      </c>
      <c r="O2688">
        <v>1</v>
      </c>
      <c r="P2688">
        <v>0</v>
      </c>
      <c r="Q2688">
        <v>0</v>
      </c>
      <c r="S2688" t="str">
        <f>"20:28:52.914"</f>
        <v>20:28:52.914</v>
      </c>
      <c r="T2688" t="str">
        <f>"20:28:52.514"</f>
        <v>20:28:52.514</v>
      </c>
      <c r="U2688" t="str">
        <f t="shared" si="128"/>
        <v>AB01F4</v>
      </c>
      <c r="V2688">
        <v>0</v>
      </c>
      <c r="W2688">
        <v>0</v>
      </c>
      <c r="X2688">
        <v>2</v>
      </c>
      <c r="Z2688">
        <v>0</v>
      </c>
      <c r="AA2688">
        <v>9</v>
      </c>
      <c r="AB2688">
        <v>3</v>
      </c>
      <c r="AC2688">
        <v>0</v>
      </c>
      <c r="AD2688">
        <v>10</v>
      </c>
      <c r="AE2688">
        <v>0</v>
      </c>
      <c r="AF2688">
        <v>3</v>
      </c>
      <c r="AG2688">
        <v>2</v>
      </c>
      <c r="AH2688">
        <v>0</v>
      </c>
      <c r="AI2688" t="s">
        <v>1593</v>
      </c>
      <c r="AJ2688">
        <v>40.014718000000002</v>
      </c>
      <c r="AK2688" t="s">
        <v>1594</v>
      </c>
      <c r="AL2688">
        <v>-92.774540999999999</v>
      </c>
      <c r="AM2688">
        <v>100</v>
      </c>
      <c r="AN2688">
        <v>1600</v>
      </c>
      <c r="AO2688" t="s">
        <v>118</v>
      </c>
      <c r="AP2688">
        <v>-110</v>
      </c>
      <c r="AQ2688">
        <v>79</v>
      </c>
      <c r="AR2688">
        <v>-256</v>
      </c>
      <c r="AZ2688">
        <v>1200</v>
      </c>
      <c r="BA2688">
        <v>1</v>
      </c>
      <c r="BB2688" t="str">
        <f t="shared" si="130"/>
        <v xml:space="preserve">N8080G  </v>
      </c>
      <c r="BC2688">
        <v>1</v>
      </c>
      <c r="BE2688">
        <v>0</v>
      </c>
      <c r="BF2688">
        <v>0</v>
      </c>
      <c r="BG2688">
        <v>0</v>
      </c>
      <c r="BH2688">
        <v>1625</v>
      </c>
      <c r="BI2688">
        <v>1</v>
      </c>
      <c r="BJ2688">
        <v>1</v>
      </c>
      <c r="BK2688">
        <v>1</v>
      </c>
      <c r="BL2688">
        <v>0</v>
      </c>
      <c r="BO2688">
        <v>0</v>
      </c>
      <c r="BP2688">
        <v>0</v>
      </c>
      <c r="BW2688" t="str">
        <f>"20:28:52.915"</f>
        <v>20:28:52.915</v>
      </c>
      <c r="BZ2688">
        <v>0</v>
      </c>
      <c r="CA2688">
        <v>1792</v>
      </c>
      <c r="CB2688">
        <v>224</v>
      </c>
      <c r="CD2688">
        <v>1</v>
      </c>
      <c r="CE2688">
        <v>0</v>
      </c>
      <c r="CF2688">
        <v>0</v>
      </c>
      <c r="CG2688">
        <v>0</v>
      </c>
      <c r="CH2688">
        <v>0</v>
      </c>
      <c r="CI2688">
        <v>0</v>
      </c>
      <c r="CJ2688">
        <v>0</v>
      </c>
      <c r="CK2688">
        <v>2</v>
      </c>
      <c r="CL2688">
        <v>0</v>
      </c>
      <c r="CM2688">
        <v>2</v>
      </c>
      <c r="CN2688">
        <v>0</v>
      </c>
      <c r="CO2688">
        <v>7</v>
      </c>
      <c r="CP2688" t="s">
        <v>119</v>
      </c>
      <c r="CQ2688">
        <v>180</v>
      </c>
      <c r="CR2688">
        <v>3</v>
      </c>
      <c r="CW2688">
        <v>952751</v>
      </c>
      <c r="CY2688">
        <v>1</v>
      </c>
      <c r="CZ2688">
        <v>0</v>
      </c>
      <c r="DA2688">
        <v>1</v>
      </c>
      <c r="DB2688">
        <v>0</v>
      </c>
      <c r="DC2688">
        <v>0</v>
      </c>
      <c r="DD2688">
        <v>0</v>
      </c>
      <c r="DE2688">
        <v>0</v>
      </c>
      <c r="DF2688">
        <v>0</v>
      </c>
      <c r="DG2688">
        <v>0</v>
      </c>
      <c r="DH2688">
        <v>0</v>
      </c>
      <c r="DI2688">
        <v>0</v>
      </c>
    </row>
    <row r="2689" spans="1:113" x14ac:dyDescent="0.3">
      <c r="A2689" t="str">
        <f>"02/08/2021 20:28:50.588"</f>
        <v>02/08/2021 20:28:50.588</v>
      </c>
      <c r="C2689" t="str">
        <f t="shared" si="129"/>
        <v>FFDFD7C0</v>
      </c>
      <c r="D2689" t="s">
        <v>124</v>
      </c>
      <c r="E2689">
        <v>11</v>
      </c>
      <c r="F2689">
        <v>1011</v>
      </c>
      <c r="G2689" t="s">
        <v>590</v>
      </c>
      <c r="J2689" t="s">
        <v>125</v>
      </c>
      <c r="K2689">
        <v>0</v>
      </c>
      <c r="L2689">
        <v>3</v>
      </c>
      <c r="M2689">
        <v>0</v>
      </c>
      <c r="N2689">
        <v>2</v>
      </c>
      <c r="O2689">
        <v>1</v>
      </c>
      <c r="P2689">
        <v>0</v>
      </c>
      <c r="Q2689">
        <v>0</v>
      </c>
      <c r="S2689" t="str">
        <f>"20:28:52.914"</f>
        <v>20:28:52.914</v>
      </c>
      <c r="T2689" t="str">
        <f>"20:28:52.514"</f>
        <v>20:28:52.514</v>
      </c>
      <c r="U2689" t="str">
        <f t="shared" si="128"/>
        <v>AB01F4</v>
      </c>
      <c r="V2689">
        <v>0</v>
      </c>
      <c r="W2689">
        <v>0</v>
      </c>
      <c r="X2689">
        <v>2</v>
      </c>
      <c r="Z2689">
        <v>0</v>
      </c>
      <c r="AA2689">
        <v>9</v>
      </c>
      <c r="AB2689">
        <v>3</v>
      </c>
      <c r="AC2689">
        <v>0</v>
      </c>
      <c r="AD2689">
        <v>10</v>
      </c>
      <c r="AE2689">
        <v>0</v>
      </c>
      <c r="AF2689">
        <v>3</v>
      </c>
      <c r="AG2689">
        <v>2</v>
      </c>
      <c r="AH2689">
        <v>0</v>
      </c>
      <c r="AI2689" t="s">
        <v>1593</v>
      </c>
      <c r="AJ2689">
        <v>40.014718000000002</v>
      </c>
      <c r="AK2689" t="s">
        <v>1594</v>
      </c>
      <c r="AL2689">
        <v>-92.774540999999999</v>
      </c>
      <c r="AM2689">
        <v>100</v>
      </c>
      <c r="AN2689">
        <v>1600</v>
      </c>
      <c r="AO2689" t="s">
        <v>118</v>
      </c>
      <c r="AP2689">
        <v>-110</v>
      </c>
      <c r="AQ2689">
        <v>79</v>
      </c>
      <c r="AR2689">
        <v>-256</v>
      </c>
      <c r="AZ2689">
        <v>1200</v>
      </c>
      <c r="BA2689">
        <v>1</v>
      </c>
      <c r="BB2689" t="str">
        <f t="shared" si="130"/>
        <v xml:space="preserve">N8080G  </v>
      </c>
      <c r="BC2689">
        <v>1</v>
      </c>
      <c r="BE2689">
        <v>0</v>
      </c>
      <c r="BF2689">
        <v>0</v>
      </c>
      <c r="BG2689">
        <v>0</v>
      </c>
      <c r="BH2689">
        <v>1625</v>
      </c>
      <c r="BI2689">
        <v>1</v>
      </c>
      <c r="BJ2689">
        <v>1</v>
      </c>
      <c r="BK2689">
        <v>1</v>
      </c>
      <c r="BL2689">
        <v>0</v>
      </c>
      <c r="BO2689">
        <v>0</v>
      </c>
      <c r="BP2689">
        <v>0</v>
      </c>
      <c r="BW2689" t="str">
        <f>"20:28:52.915"</f>
        <v>20:28:52.915</v>
      </c>
      <c r="BZ2689">
        <v>0</v>
      </c>
      <c r="CA2689">
        <v>1792</v>
      </c>
      <c r="CB2689">
        <v>224</v>
      </c>
      <c r="CD2689">
        <v>1</v>
      </c>
      <c r="CE2689">
        <v>0</v>
      </c>
      <c r="CF2689">
        <v>0</v>
      </c>
      <c r="CG2689">
        <v>0</v>
      </c>
      <c r="CH2689">
        <v>0</v>
      </c>
      <c r="CI2689">
        <v>0</v>
      </c>
      <c r="CJ2689">
        <v>0</v>
      </c>
      <c r="CK2689">
        <v>2</v>
      </c>
      <c r="CL2689">
        <v>0</v>
      </c>
      <c r="CM2689">
        <v>2</v>
      </c>
      <c r="CN2689">
        <v>0</v>
      </c>
      <c r="CO2689">
        <v>7</v>
      </c>
      <c r="CP2689" t="s">
        <v>119</v>
      </c>
      <c r="CQ2689">
        <v>180</v>
      </c>
      <c r="CR2689">
        <v>3</v>
      </c>
      <c r="CW2689">
        <v>952751</v>
      </c>
      <c r="CY2689">
        <v>1</v>
      </c>
      <c r="CZ2689">
        <v>0</v>
      </c>
      <c r="DA2689">
        <v>1</v>
      </c>
      <c r="DB2689">
        <v>0</v>
      </c>
      <c r="DC2689">
        <v>0</v>
      </c>
      <c r="DD2689">
        <v>0</v>
      </c>
      <c r="DE2689">
        <v>0</v>
      </c>
      <c r="DF2689">
        <v>0</v>
      </c>
      <c r="DG2689">
        <v>0</v>
      </c>
      <c r="DH2689">
        <v>0</v>
      </c>
      <c r="DI2689">
        <v>0</v>
      </c>
    </row>
    <row r="2690" spans="1:113" x14ac:dyDescent="0.3">
      <c r="A2690" t="str">
        <f>"02/08/2021 20:28:50.588"</f>
        <v>02/08/2021 20:28:50.588</v>
      </c>
      <c r="C2690" t="str">
        <f t="shared" si="129"/>
        <v>FFDFD7C0</v>
      </c>
      <c r="D2690" t="s">
        <v>124</v>
      </c>
      <c r="E2690">
        <v>12</v>
      </c>
      <c r="F2690">
        <v>1012</v>
      </c>
      <c r="G2690" t="s">
        <v>675</v>
      </c>
      <c r="J2690" t="s">
        <v>125</v>
      </c>
      <c r="K2690">
        <v>0</v>
      </c>
      <c r="L2690">
        <v>3</v>
      </c>
      <c r="M2690">
        <v>0</v>
      </c>
      <c r="N2690">
        <v>2</v>
      </c>
      <c r="O2690">
        <v>1</v>
      </c>
      <c r="P2690">
        <v>0</v>
      </c>
      <c r="Q2690">
        <v>0</v>
      </c>
      <c r="S2690" t="str">
        <f>"20:28:52.914"</f>
        <v>20:28:52.914</v>
      </c>
      <c r="T2690" t="str">
        <f>"20:28:52.514"</f>
        <v>20:28:52.514</v>
      </c>
      <c r="U2690" t="str">
        <f t="shared" ref="U2690:U2753" si="131">"AB01F4"</f>
        <v>AB01F4</v>
      </c>
      <c r="V2690">
        <v>0</v>
      </c>
      <c r="W2690">
        <v>0</v>
      </c>
      <c r="X2690">
        <v>2</v>
      </c>
      <c r="Z2690">
        <v>0</v>
      </c>
      <c r="AA2690">
        <v>9</v>
      </c>
      <c r="AB2690">
        <v>3</v>
      </c>
      <c r="AC2690">
        <v>0</v>
      </c>
      <c r="AD2690">
        <v>10</v>
      </c>
      <c r="AE2690">
        <v>0</v>
      </c>
      <c r="AF2690">
        <v>3</v>
      </c>
      <c r="AG2690">
        <v>2</v>
      </c>
      <c r="AH2690">
        <v>0</v>
      </c>
      <c r="AI2690" t="s">
        <v>1593</v>
      </c>
      <c r="AJ2690">
        <v>40.014718000000002</v>
      </c>
      <c r="AK2690" t="s">
        <v>1594</v>
      </c>
      <c r="AL2690">
        <v>-92.774540999999999</v>
      </c>
      <c r="AM2690">
        <v>100</v>
      </c>
      <c r="AN2690">
        <v>1600</v>
      </c>
      <c r="AO2690" t="s">
        <v>118</v>
      </c>
      <c r="AP2690">
        <v>-110</v>
      </c>
      <c r="AQ2690">
        <v>79</v>
      </c>
      <c r="AR2690">
        <v>-256</v>
      </c>
      <c r="AZ2690">
        <v>1200</v>
      </c>
      <c r="BA2690">
        <v>1</v>
      </c>
      <c r="BB2690" t="str">
        <f t="shared" si="130"/>
        <v xml:space="preserve">N8080G  </v>
      </c>
      <c r="BC2690">
        <v>1</v>
      </c>
      <c r="BE2690">
        <v>0</v>
      </c>
      <c r="BF2690">
        <v>0</v>
      </c>
      <c r="BG2690">
        <v>0</v>
      </c>
      <c r="BH2690">
        <v>1625</v>
      </c>
      <c r="BI2690">
        <v>1</v>
      </c>
      <c r="BJ2690">
        <v>1</v>
      </c>
      <c r="BK2690">
        <v>1</v>
      </c>
      <c r="BL2690">
        <v>0</v>
      </c>
      <c r="BO2690">
        <v>0</v>
      </c>
      <c r="BP2690">
        <v>0</v>
      </c>
      <c r="BW2690" t="str">
        <f>"20:28:52.915"</f>
        <v>20:28:52.915</v>
      </c>
      <c r="BZ2690">
        <v>0</v>
      </c>
      <c r="CA2690">
        <v>1792</v>
      </c>
      <c r="CB2690">
        <v>224</v>
      </c>
      <c r="CD2690">
        <v>1</v>
      </c>
      <c r="CE2690">
        <v>0</v>
      </c>
      <c r="CF2690">
        <v>0</v>
      </c>
      <c r="CG2690">
        <v>0</v>
      </c>
      <c r="CH2690">
        <v>0</v>
      </c>
      <c r="CI2690">
        <v>0</v>
      </c>
      <c r="CJ2690">
        <v>0</v>
      </c>
      <c r="CK2690">
        <v>2</v>
      </c>
      <c r="CL2690">
        <v>0</v>
      </c>
      <c r="CM2690">
        <v>2</v>
      </c>
      <c r="CN2690">
        <v>0</v>
      </c>
      <c r="CO2690">
        <v>7</v>
      </c>
      <c r="CP2690" t="s">
        <v>119</v>
      </c>
      <c r="CQ2690">
        <v>180</v>
      </c>
      <c r="CR2690">
        <v>3</v>
      </c>
      <c r="CW2690">
        <v>952751</v>
      </c>
      <c r="CY2690">
        <v>1</v>
      </c>
      <c r="CZ2690">
        <v>0</v>
      </c>
      <c r="DA2690">
        <v>1</v>
      </c>
      <c r="DB2690">
        <v>0</v>
      </c>
      <c r="DC2690">
        <v>0</v>
      </c>
      <c r="DD2690">
        <v>0</v>
      </c>
      <c r="DE2690">
        <v>0</v>
      </c>
      <c r="DF2690">
        <v>0</v>
      </c>
      <c r="DG2690">
        <v>0</v>
      </c>
      <c r="DH2690">
        <v>0</v>
      </c>
      <c r="DI2690">
        <v>0</v>
      </c>
    </row>
    <row r="2691" spans="1:113" x14ac:dyDescent="0.3">
      <c r="A2691" t="str">
        <f>"02/08/2021 20:28:51.564"</f>
        <v>02/08/2021 20:28:51.564</v>
      </c>
      <c r="C2691" t="str">
        <f t="shared" si="129"/>
        <v>FFDFD7C0</v>
      </c>
      <c r="D2691" t="s">
        <v>124</v>
      </c>
      <c r="E2691">
        <v>11</v>
      </c>
      <c r="F2691">
        <v>1011</v>
      </c>
      <c r="G2691" t="s">
        <v>590</v>
      </c>
      <c r="J2691" t="s">
        <v>125</v>
      </c>
      <c r="K2691">
        <v>0</v>
      </c>
      <c r="L2691">
        <v>3</v>
      </c>
      <c r="M2691">
        <v>0</v>
      </c>
      <c r="N2691">
        <v>2</v>
      </c>
      <c r="O2691">
        <v>1</v>
      </c>
      <c r="P2691">
        <v>0</v>
      </c>
      <c r="Q2691">
        <v>0</v>
      </c>
      <c r="S2691" t="str">
        <f>"20:28:53.875"</f>
        <v>20:28:53.875</v>
      </c>
      <c r="T2691" t="str">
        <f>"20:28:53.475"</f>
        <v>20:28:53.475</v>
      </c>
      <c r="U2691" t="str">
        <f t="shared" si="131"/>
        <v>AB01F4</v>
      </c>
      <c r="V2691">
        <v>0</v>
      </c>
      <c r="W2691">
        <v>0</v>
      </c>
      <c r="X2691">
        <v>2</v>
      </c>
      <c r="Z2691">
        <v>0</v>
      </c>
      <c r="AA2691">
        <v>9</v>
      </c>
      <c r="AB2691">
        <v>3</v>
      </c>
      <c r="AC2691">
        <v>0</v>
      </c>
      <c r="AD2691">
        <v>10</v>
      </c>
      <c r="AE2691">
        <v>0</v>
      </c>
      <c r="AF2691">
        <v>3</v>
      </c>
      <c r="AG2691">
        <v>2</v>
      </c>
      <c r="AH2691">
        <v>0</v>
      </c>
      <c r="AI2691" t="s">
        <v>1595</v>
      </c>
      <c r="AJ2691">
        <v>40.015104000000001</v>
      </c>
      <c r="AK2691" t="s">
        <v>1596</v>
      </c>
      <c r="AL2691">
        <v>-92.775227999999998</v>
      </c>
      <c r="AM2691">
        <v>100</v>
      </c>
      <c r="AN2691">
        <v>1600</v>
      </c>
      <c r="AO2691" t="s">
        <v>118</v>
      </c>
      <c r="AP2691">
        <v>-110</v>
      </c>
      <c r="AQ2691">
        <v>79</v>
      </c>
      <c r="AR2691">
        <v>-256</v>
      </c>
      <c r="AZ2691">
        <v>1200</v>
      </c>
      <c r="BA2691">
        <v>1</v>
      </c>
      <c r="BB2691" t="str">
        <f t="shared" si="130"/>
        <v xml:space="preserve">N8080G  </v>
      </c>
      <c r="BC2691">
        <v>1</v>
      </c>
      <c r="BE2691">
        <v>0</v>
      </c>
      <c r="BF2691">
        <v>0</v>
      </c>
      <c r="BG2691">
        <v>0</v>
      </c>
      <c r="BH2691">
        <v>1625</v>
      </c>
      <c r="BI2691">
        <v>1</v>
      </c>
      <c r="BJ2691">
        <v>1</v>
      </c>
      <c r="BK2691">
        <v>1</v>
      </c>
      <c r="BL2691">
        <v>0</v>
      </c>
      <c r="BO2691">
        <v>0</v>
      </c>
      <c r="BP2691">
        <v>0</v>
      </c>
      <c r="BW2691" t="str">
        <f>"20:28:53.878"</f>
        <v>20:28:53.878</v>
      </c>
      <c r="BZ2691">
        <v>0</v>
      </c>
      <c r="CA2691">
        <v>1792</v>
      </c>
      <c r="CB2691">
        <v>224</v>
      </c>
      <c r="CD2691">
        <v>1</v>
      </c>
      <c r="CE2691">
        <v>0</v>
      </c>
      <c r="CF2691">
        <v>0</v>
      </c>
      <c r="CG2691">
        <v>0</v>
      </c>
      <c r="CH2691">
        <v>0</v>
      </c>
      <c r="CI2691">
        <v>0</v>
      </c>
      <c r="CJ2691">
        <v>0</v>
      </c>
      <c r="CK2691">
        <v>2</v>
      </c>
      <c r="CL2691">
        <v>0</v>
      </c>
      <c r="CM2691">
        <v>2</v>
      </c>
      <c r="CN2691">
        <v>0</v>
      </c>
      <c r="CO2691">
        <v>4</v>
      </c>
      <c r="CP2691" t="s">
        <v>119</v>
      </c>
      <c r="CQ2691">
        <v>179</v>
      </c>
      <c r="CR2691">
        <v>1</v>
      </c>
      <c r="CW2691">
        <v>9054731</v>
      </c>
      <c r="CY2691">
        <v>1</v>
      </c>
      <c r="CZ2691">
        <v>0</v>
      </c>
      <c r="DA2691">
        <v>0</v>
      </c>
      <c r="DB2691">
        <v>0</v>
      </c>
      <c r="DC2691">
        <v>0</v>
      </c>
      <c r="DD2691">
        <v>0</v>
      </c>
      <c r="DE2691">
        <v>0</v>
      </c>
      <c r="DF2691">
        <v>0</v>
      </c>
      <c r="DG2691">
        <v>0</v>
      </c>
      <c r="DH2691">
        <v>0</v>
      </c>
      <c r="DI2691">
        <v>0</v>
      </c>
    </row>
    <row r="2692" spans="1:113" x14ac:dyDescent="0.3">
      <c r="A2692" t="str">
        <f>"02/08/2021 20:28:51.564"</f>
        <v>02/08/2021 20:28:51.564</v>
      </c>
      <c r="C2692" t="str">
        <f t="shared" si="129"/>
        <v>FFDFD7C0</v>
      </c>
      <c r="D2692" t="s">
        <v>124</v>
      </c>
      <c r="E2692">
        <v>12</v>
      </c>
      <c r="F2692">
        <v>1012</v>
      </c>
      <c r="G2692" t="s">
        <v>675</v>
      </c>
      <c r="J2692" t="s">
        <v>125</v>
      </c>
      <c r="K2692">
        <v>0</v>
      </c>
      <c r="L2692">
        <v>3</v>
      </c>
      <c r="M2692">
        <v>0</v>
      </c>
      <c r="N2692">
        <v>2</v>
      </c>
      <c r="O2692">
        <v>1</v>
      </c>
      <c r="P2692">
        <v>0</v>
      </c>
      <c r="Q2692">
        <v>0</v>
      </c>
      <c r="S2692" t="str">
        <f>"20:28:53.875"</f>
        <v>20:28:53.875</v>
      </c>
      <c r="T2692" t="str">
        <f>"20:28:53.475"</f>
        <v>20:28:53.475</v>
      </c>
      <c r="U2692" t="str">
        <f t="shared" si="131"/>
        <v>AB01F4</v>
      </c>
      <c r="V2692">
        <v>0</v>
      </c>
      <c r="W2692">
        <v>0</v>
      </c>
      <c r="X2692">
        <v>2</v>
      </c>
      <c r="Z2692">
        <v>0</v>
      </c>
      <c r="AA2692">
        <v>9</v>
      </c>
      <c r="AB2692">
        <v>3</v>
      </c>
      <c r="AC2692">
        <v>0</v>
      </c>
      <c r="AD2692">
        <v>10</v>
      </c>
      <c r="AE2692">
        <v>0</v>
      </c>
      <c r="AF2692">
        <v>3</v>
      </c>
      <c r="AG2692">
        <v>2</v>
      </c>
      <c r="AH2692">
        <v>0</v>
      </c>
      <c r="AI2692" t="s">
        <v>1595</v>
      </c>
      <c r="AJ2692">
        <v>40.015104000000001</v>
      </c>
      <c r="AK2692" t="s">
        <v>1596</v>
      </c>
      <c r="AL2692">
        <v>-92.775227999999998</v>
      </c>
      <c r="AM2692">
        <v>100</v>
      </c>
      <c r="AN2692">
        <v>1600</v>
      </c>
      <c r="AO2692" t="s">
        <v>118</v>
      </c>
      <c r="AP2692">
        <v>-110</v>
      </c>
      <c r="AQ2692">
        <v>79</v>
      </c>
      <c r="AR2692">
        <v>-256</v>
      </c>
      <c r="AZ2692">
        <v>1200</v>
      </c>
      <c r="BA2692">
        <v>1</v>
      </c>
      <c r="BB2692" t="str">
        <f t="shared" si="130"/>
        <v xml:space="preserve">N8080G  </v>
      </c>
      <c r="BC2692">
        <v>1</v>
      </c>
      <c r="BE2692">
        <v>0</v>
      </c>
      <c r="BF2692">
        <v>0</v>
      </c>
      <c r="BG2692">
        <v>0</v>
      </c>
      <c r="BH2692">
        <v>1625</v>
      </c>
      <c r="BI2692">
        <v>1</v>
      </c>
      <c r="BJ2692">
        <v>1</v>
      </c>
      <c r="BK2692">
        <v>1</v>
      </c>
      <c r="BL2692">
        <v>0</v>
      </c>
      <c r="BO2692">
        <v>0</v>
      </c>
      <c r="BP2692">
        <v>0</v>
      </c>
      <c r="BW2692" t="str">
        <f>"20:28:53.878"</f>
        <v>20:28:53.878</v>
      </c>
      <c r="BZ2692">
        <v>0</v>
      </c>
      <c r="CA2692">
        <v>1792</v>
      </c>
      <c r="CB2692">
        <v>224</v>
      </c>
      <c r="CD2692">
        <v>1</v>
      </c>
      <c r="CE2692">
        <v>0</v>
      </c>
      <c r="CF2692">
        <v>0</v>
      </c>
      <c r="CG2692">
        <v>0</v>
      </c>
      <c r="CH2692">
        <v>0</v>
      </c>
      <c r="CI2692">
        <v>0</v>
      </c>
      <c r="CJ2692">
        <v>0</v>
      </c>
      <c r="CK2692">
        <v>2</v>
      </c>
      <c r="CL2692">
        <v>0</v>
      </c>
      <c r="CM2692">
        <v>2</v>
      </c>
      <c r="CN2692">
        <v>0</v>
      </c>
      <c r="CO2692">
        <v>4</v>
      </c>
      <c r="CP2692" t="s">
        <v>119</v>
      </c>
      <c r="CQ2692">
        <v>179</v>
      </c>
      <c r="CR2692">
        <v>1</v>
      </c>
      <c r="CW2692">
        <v>9054731</v>
      </c>
      <c r="CY2692">
        <v>1</v>
      </c>
      <c r="CZ2692">
        <v>0</v>
      </c>
      <c r="DA2692">
        <v>1</v>
      </c>
      <c r="DB2692">
        <v>0</v>
      </c>
      <c r="DC2692">
        <v>0</v>
      </c>
      <c r="DD2692">
        <v>0</v>
      </c>
      <c r="DE2692">
        <v>0</v>
      </c>
      <c r="DF2692">
        <v>0</v>
      </c>
      <c r="DG2692">
        <v>0</v>
      </c>
      <c r="DH2692">
        <v>0</v>
      </c>
      <c r="DI2692">
        <v>0</v>
      </c>
    </row>
    <row r="2693" spans="1:113" x14ac:dyDescent="0.3">
      <c r="A2693" t="str">
        <f>"02/08/2021 20:28:51.564"</f>
        <v>02/08/2021 20:28:51.564</v>
      </c>
      <c r="C2693" t="str">
        <f t="shared" si="129"/>
        <v>FFDFD7C0</v>
      </c>
      <c r="D2693" t="s">
        <v>124</v>
      </c>
      <c r="E2693">
        <v>13</v>
      </c>
      <c r="F2693">
        <v>1013</v>
      </c>
      <c r="G2693" t="s">
        <v>114</v>
      </c>
      <c r="J2693" t="s">
        <v>125</v>
      </c>
      <c r="K2693">
        <v>0</v>
      </c>
      <c r="L2693">
        <v>3</v>
      </c>
      <c r="M2693">
        <v>0</v>
      </c>
      <c r="N2693">
        <v>2</v>
      </c>
      <c r="O2693">
        <v>1</v>
      </c>
      <c r="P2693">
        <v>0</v>
      </c>
      <c r="Q2693">
        <v>0</v>
      </c>
      <c r="S2693" t="str">
        <f>"20:28:53.875"</f>
        <v>20:28:53.875</v>
      </c>
      <c r="T2693" t="str">
        <f>"20:28:53.475"</f>
        <v>20:28:53.475</v>
      </c>
      <c r="U2693" t="str">
        <f t="shared" si="131"/>
        <v>AB01F4</v>
      </c>
      <c r="V2693">
        <v>0</v>
      </c>
      <c r="W2693">
        <v>0</v>
      </c>
      <c r="X2693">
        <v>2</v>
      </c>
      <c r="Z2693">
        <v>0</v>
      </c>
      <c r="AA2693">
        <v>9</v>
      </c>
      <c r="AB2693">
        <v>3</v>
      </c>
      <c r="AC2693">
        <v>0</v>
      </c>
      <c r="AD2693">
        <v>10</v>
      </c>
      <c r="AE2693">
        <v>0</v>
      </c>
      <c r="AF2693">
        <v>3</v>
      </c>
      <c r="AG2693">
        <v>2</v>
      </c>
      <c r="AH2693">
        <v>0</v>
      </c>
      <c r="AI2693" t="s">
        <v>1595</v>
      </c>
      <c r="AJ2693">
        <v>40.015104000000001</v>
      </c>
      <c r="AK2693" t="s">
        <v>1596</v>
      </c>
      <c r="AL2693">
        <v>-92.775227999999998</v>
      </c>
      <c r="AM2693">
        <v>100</v>
      </c>
      <c r="AN2693">
        <v>1600</v>
      </c>
      <c r="AO2693" t="s">
        <v>118</v>
      </c>
      <c r="AP2693">
        <v>-110</v>
      </c>
      <c r="AQ2693">
        <v>79</v>
      </c>
      <c r="AR2693">
        <v>-256</v>
      </c>
      <c r="AZ2693">
        <v>1200</v>
      </c>
      <c r="BA2693">
        <v>1</v>
      </c>
      <c r="BB2693" t="str">
        <f t="shared" si="130"/>
        <v xml:space="preserve">N8080G  </v>
      </c>
      <c r="BC2693">
        <v>1</v>
      </c>
      <c r="BE2693">
        <v>0</v>
      </c>
      <c r="BF2693">
        <v>0</v>
      </c>
      <c r="BG2693">
        <v>0</v>
      </c>
      <c r="BH2693">
        <v>1625</v>
      </c>
      <c r="BI2693">
        <v>1</v>
      </c>
      <c r="BJ2693">
        <v>1</v>
      </c>
      <c r="BK2693">
        <v>1</v>
      </c>
      <c r="BL2693">
        <v>0</v>
      </c>
      <c r="BO2693">
        <v>0</v>
      </c>
      <c r="BP2693">
        <v>0</v>
      </c>
      <c r="BW2693" t="str">
        <f>"20:28:53.878"</f>
        <v>20:28:53.878</v>
      </c>
      <c r="BZ2693">
        <v>0</v>
      </c>
      <c r="CA2693">
        <v>1792</v>
      </c>
      <c r="CB2693">
        <v>224</v>
      </c>
      <c r="CD2693">
        <v>1</v>
      </c>
      <c r="CE2693">
        <v>0</v>
      </c>
      <c r="CF2693">
        <v>0</v>
      </c>
      <c r="CG2693">
        <v>0</v>
      </c>
      <c r="CH2693">
        <v>0</v>
      </c>
      <c r="CI2693">
        <v>0</v>
      </c>
      <c r="CJ2693">
        <v>0</v>
      </c>
      <c r="CK2693">
        <v>2</v>
      </c>
      <c r="CL2693">
        <v>0</v>
      </c>
      <c r="CM2693">
        <v>2</v>
      </c>
      <c r="CN2693">
        <v>0</v>
      </c>
      <c r="CO2693">
        <v>4</v>
      </c>
      <c r="CP2693" t="s">
        <v>119</v>
      </c>
      <c r="CQ2693">
        <v>179</v>
      </c>
      <c r="CR2693">
        <v>1</v>
      </c>
      <c r="CW2693">
        <v>9054731</v>
      </c>
      <c r="CY2693">
        <v>1</v>
      </c>
      <c r="CZ2693">
        <v>0</v>
      </c>
      <c r="DA2693">
        <v>1</v>
      </c>
      <c r="DB2693">
        <v>0</v>
      </c>
      <c r="DC2693">
        <v>0</v>
      </c>
      <c r="DD2693">
        <v>0</v>
      </c>
      <c r="DE2693">
        <v>0</v>
      </c>
      <c r="DF2693">
        <v>0</v>
      </c>
      <c r="DG2693">
        <v>0</v>
      </c>
      <c r="DH2693">
        <v>0</v>
      </c>
      <c r="DI2693">
        <v>0</v>
      </c>
    </row>
    <row r="2694" spans="1:113" x14ac:dyDescent="0.3">
      <c r="A2694" t="str">
        <f>"02/08/2021 20:28:51.564"</f>
        <v>02/08/2021 20:28:51.564</v>
      </c>
      <c r="C2694" t="str">
        <f t="shared" si="129"/>
        <v>FFDFD7C0</v>
      </c>
      <c r="D2694" t="s">
        <v>113</v>
      </c>
      <c r="E2694">
        <v>6</v>
      </c>
      <c r="H2694">
        <v>165</v>
      </c>
      <c r="I2694" t="s">
        <v>114</v>
      </c>
      <c r="J2694" t="s">
        <v>115</v>
      </c>
      <c r="K2694">
        <v>0</v>
      </c>
      <c r="L2694">
        <v>3</v>
      </c>
      <c r="M2694">
        <v>0</v>
      </c>
      <c r="N2694">
        <v>2</v>
      </c>
      <c r="O2694">
        <v>1</v>
      </c>
      <c r="P2694">
        <v>0</v>
      </c>
      <c r="Q2694">
        <v>0</v>
      </c>
      <c r="S2694" t="str">
        <f>"20:28:53.875"</f>
        <v>20:28:53.875</v>
      </c>
      <c r="T2694" t="str">
        <f>"20:28:53.475"</f>
        <v>20:28:53.475</v>
      </c>
      <c r="U2694" t="str">
        <f t="shared" si="131"/>
        <v>AB01F4</v>
      </c>
      <c r="V2694">
        <v>0</v>
      </c>
      <c r="W2694">
        <v>0</v>
      </c>
      <c r="X2694">
        <v>2</v>
      </c>
      <c r="Z2694">
        <v>0</v>
      </c>
      <c r="AA2694">
        <v>9</v>
      </c>
      <c r="AB2694">
        <v>3</v>
      </c>
      <c r="AC2694">
        <v>0</v>
      </c>
      <c r="AD2694">
        <v>10</v>
      </c>
      <c r="AE2694">
        <v>0</v>
      </c>
      <c r="AF2694">
        <v>3</v>
      </c>
      <c r="AG2694">
        <v>2</v>
      </c>
      <c r="AH2694">
        <v>0</v>
      </c>
      <c r="AI2694" t="s">
        <v>1595</v>
      </c>
      <c r="AJ2694">
        <v>40.015104000000001</v>
      </c>
      <c r="AK2694" t="s">
        <v>1596</v>
      </c>
      <c r="AL2694">
        <v>-92.775227999999998</v>
      </c>
      <c r="AM2694">
        <v>100</v>
      </c>
      <c r="AN2694">
        <v>1600</v>
      </c>
      <c r="AO2694" t="s">
        <v>118</v>
      </c>
      <c r="AP2694">
        <v>-110</v>
      </c>
      <c r="AQ2694">
        <v>79</v>
      </c>
      <c r="AR2694">
        <v>-256</v>
      </c>
      <c r="AZ2694">
        <v>1200</v>
      </c>
      <c r="BA2694">
        <v>1</v>
      </c>
      <c r="BB2694" t="str">
        <f t="shared" si="130"/>
        <v xml:space="preserve">N8080G  </v>
      </c>
      <c r="BC2694">
        <v>1</v>
      </c>
      <c r="BE2694">
        <v>0</v>
      </c>
      <c r="BF2694">
        <v>0</v>
      </c>
      <c r="BG2694">
        <v>0</v>
      </c>
      <c r="BH2694">
        <v>1625</v>
      </c>
      <c r="BI2694">
        <v>1</v>
      </c>
      <c r="BJ2694">
        <v>1</v>
      </c>
      <c r="BK2694">
        <v>1</v>
      </c>
      <c r="BL2694">
        <v>0</v>
      </c>
      <c r="BO2694">
        <v>0</v>
      </c>
      <c r="BP2694">
        <v>0</v>
      </c>
      <c r="BW2694" t="str">
        <f>"20:28:53.878"</f>
        <v>20:28:53.878</v>
      </c>
      <c r="BZ2694">
        <v>0</v>
      </c>
      <c r="CA2694">
        <v>1792</v>
      </c>
      <c r="CB2694">
        <v>224</v>
      </c>
      <c r="CD2694">
        <v>1</v>
      </c>
      <c r="CE2694">
        <v>0</v>
      </c>
      <c r="CF2694">
        <v>0</v>
      </c>
      <c r="CG2694">
        <v>0</v>
      </c>
      <c r="CH2694">
        <v>0</v>
      </c>
      <c r="CI2694">
        <v>0</v>
      </c>
      <c r="CJ2694">
        <v>0</v>
      </c>
      <c r="CK2694">
        <v>2</v>
      </c>
      <c r="CL2694">
        <v>0</v>
      </c>
      <c r="CM2694">
        <v>2</v>
      </c>
      <c r="CN2694">
        <v>0</v>
      </c>
      <c r="CO2694">
        <v>4</v>
      </c>
      <c r="CP2694" t="s">
        <v>119</v>
      </c>
      <c r="CQ2694">
        <v>179</v>
      </c>
      <c r="CR2694">
        <v>1</v>
      </c>
      <c r="CW2694">
        <v>9054731</v>
      </c>
      <c r="CY2694">
        <v>1</v>
      </c>
      <c r="CZ2694">
        <v>0</v>
      </c>
      <c r="DA2694">
        <v>1</v>
      </c>
      <c r="DB2694">
        <v>0</v>
      </c>
      <c r="DC2694">
        <v>0</v>
      </c>
      <c r="DD2694">
        <v>0</v>
      </c>
      <c r="DE2694">
        <v>0</v>
      </c>
      <c r="DF2694">
        <v>0</v>
      </c>
      <c r="DG2694">
        <v>0</v>
      </c>
      <c r="DH2694">
        <v>0</v>
      </c>
      <c r="DI2694">
        <v>0</v>
      </c>
    </row>
    <row r="2695" spans="1:113" x14ac:dyDescent="0.3">
      <c r="A2695" t="str">
        <f>"02/08/2021 20:28:54.432"</f>
        <v>02/08/2021 20:28:54.432</v>
      </c>
      <c r="C2695" t="str">
        <f t="shared" si="129"/>
        <v>FFDFD7C0</v>
      </c>
      <c r="D2695" t="s">
        <v>113</v>
      </c>
      <c r="E2695">
        <v>6</v>
      </c>
      <c r="H2695">
        <v>165</v>
      </c>
      <c r="I2695" t="s">
        <v>114</v>
      </c>
      <c r="J2695" t="s">
        <v>115</v>
      </c>
      <c r="K2695">
        <v>0</v>
      </c>
      <c r="L2695">
        <v>3</v>
      </c>
      <c r="M2695">
        <v>0</v>
      </c>
      <c r="N2695">
        <v>2</v>
      </c>
      <c r="O2695">
        <v>1</v>
      </c>
      <c r="P2695">
        <v>0</v>
      </c>
      <c r="Q2695">
        <v>0</v>
      </c>
      <c r="S2695" t="str">
        <f>"20:28:56.766"</f>
        <v>20:28:56.766</v>
      </c>
      <c r="T2695" t="str">
        <f>"20:28:56.366"</f>
        <v>20:28:56.366</v>
      </c>
      <c r="U2695" t="str">
        <f t="shared" si="131"/>
        <v>AB01F4</v>
      </c>
      <c r="V2695">
        <v>0</v>
      </c>
      <c r="W2695">
        <v>0</v>
      </c>
      <c r="X2695">
        <v>2</v>
      </c>
      <c r="Z2695">
        <v>0</v>
      </c>
      <c r="AA2695">
        <v>9</v>
      </c>
      <c r="AB2695">
        <v>3</v>
      </c>
      <c r="AC2695">
        <v>0</v>
      </c>
      <c r="AD2695">
        <v>10</v>
      </c>
      <c r="AE2695">
        <v>0</v>
      </c>
      <c r="AF2695">
        <v>3</v>
      </c>
      <c r="AG2695">
        <v>2</v>
      </c>
      <c r="AH2695">
        <v>0</v>
      </c>
      <c r="AI2695" t="s">
        <v>1597</v>
      </c>
      <c r="AJ2695">
        <v>40.016134000000001</v>
      </c>
      <c r="AK2695" t="s">
        <v>1598</v>
      </c>
      <c r="AL2695">
        <v>-92.777158999999997</v>
      </c>
      <c r="AM2695">
        <v>100</v>
      </c>
      <c r="AN2695">
        <v>1600</v>
      </c>
      <c r="AO2695" t="s">
        <v>118</v>
      </c>
      <c r="AP2695">
        <v>-110</v>
      </c>
      <c r="AQ2695">
        <v>80</v>
      </c>
      <c r="AR2695">
        <v>-128</v>
      </c>
      <c r="AZ2695">
        <v>1200</v>
      </c>
      <c r="BA2695">
        <v>1</v>
      </c>
      <c r="BB2695" t="str">
        <f t="shared" si="130"/>
        <v xml:space="preserve">N8080G  </v>
      </c>
      <c r="BC2695">
        <v>1</v>
      </c>
      <c r="BE2695">
        <v>0</v>
      </c>
      <c r="BF2695">
        <v>0</v>
      </c>
      <c r="BG2695">
        <v>0</v>
      </c>
      <c r="BH2695">
        <v>1625</v>
      </c>
      <c r="BI2695">
        <v>1</v>
      </c>
      <c r="BJ2695">
        <v>1</v>
      </c>
      <c r="BK2695">
        <v>1</v>
      </c>
      <c r="BL2695">
        <v>0</v>
      </c>
      <c r="BO2695">
        <v>0</v>
      </c>
      <c r="BP2695">
        <v>0</v>
      </c>
      <c r="BW2695" t="str">
        <f>"20:28:56.770"</f>
        <v>20:28:56.770</v>
      </c>
      <c r="BZ2695">
        <v>0</v>
      </c>
      <c r="CA2695">
        <v>1792</v>
      </c>
      <c r="CB2695">
        <v>224</v>
      </c>
      <c r="CD2695">
        <v>1</v>
      </c>
      <c r="CE2695">
        <v>0</v>
      </c>
      <c r="CF2695">
        <v>0</v>
      </c>
      <c r="CG2695">
        <v>0</v>
      </c>
      <c r="CH2695">
        <v>0</v>
      </c>
      <c r="CI2695">
        <v>0</v>
      </c>
      <c r="CJ2695">
        <v>0</v>
      </c>
      <c r="CK2695">
        <v>2</v>
      </c>
      <c r="CL2695">
        <v>0</v>
      </c>
      <c r="CM2695">
        <v>2</v>
      </c>
      <c r="CN2695">
        <v>0</v>
      </c>
      <c r="CO2695">
        <v>3</v>
      </c>
      <c r="CP2695" t="s">
        <v>119</v>
      </c>
      <c r="CQ2695">
        <v>179</v>
      </c>
      <c r="CR2695">
        <v>2</v>
      </c>
      <c r="CW2695">
        <v>12213460</v>
      </c>
      <c r="CY2695">
        <v>1</v>
      </c>
      <c r="CZ2695">
        <v>0</v>
      </c>
      <c r="DA2695">
        <v>0</v>
      </c>
      <c r="DB2695">
        <v>0</v>
      </c>
      <c r="DC2695">
        <v>0</v>
      </c>
      <c r="DD2695">
        <v>0</v>
      </c>
      <c r="DE2695">
        <v>0</v>
      </c>
      <c r="DF2695">
        <v>0</v>
      </c>
      <c r="DG2695">
        <v>0</v>
      </c>
      <c r="DH2695">
        <v>0</v>
      </c>
      <c r="DI2695">
        <v>0</v>
      </c>
    </row>
    <row r="2696" spans="1:113" x14ac:dyDescent="0.3">
      <c r="A2696" t="str">
        <f>"02/08/2021 20:28:54.432"</f>
        <v>02/08/2021 20:28:54.432</v>
      </c>
      <c r="C2696" t="str">
        <f t="shared" si="129"/>
        <v>FFDFD7C0</v>
      </c>
      <c r="D2696" t="s">
        <v>124</v>
      </c>
      <c r="E2696">
        <v>11</v>
      </c>
      <c r="F2696">
        <v>1011</v>
      </c>
      <c r="G2696" t="s">
        <v>590</v>
      </c>
      <c r="J2696" t="s">
        <v>125</v>
      </c>
      <c r="K2696">
        <v>0</v>
      </c>
      <c r="L2696">
        <v>3</v>
      </c>
      <c r="M2696">
        <v>0</v>
      </c>
      <c r="N2696">
        <v>2</v>
      </c>
      <c r="O2696">
        <v>1</v>
      </c>
      <c r="P2696">
        <v>0</v>
      </c>
      <c r="Q2696">
        <v>0</v>
      </c>
      <c r="S2696" t="str">
        <f>"20:28:56.766"</f>
        <v>20:28:56.766</v>
      </c>
      <c r="T2696" t="str">
        <f>"20:28:56.366"</f>
        <v>20:28:56.366</v>
      </c>
      <c r="U2696" t="str">
        <f t="shared" si="131"/>
        <v>AB01F4</v>
      </c>
      <c r="V2696">
        <v>0</v>
      </c>
      <c r="W2696">
        <v>0</v>
      </c>
      <c r="X2696">
        <v>2</v>
      </c>
      <c r="Z2696">
        <v>0</v>
      </c>
      <c r="AA2696">
        <v>9</v>
      </c>
      <c r="AB2696">
        <v>3</v>
      </c>
      <c r="AC2696">
        <v>0</v>
      </c>
      <c r="AD2696">
        <v>10</v>
      </c>
      <c r="AE2696">
        <v>0</v>
      </c>
      <c r="AF2696">
        <v>3</v>
      </c>
      <c r="AG2696">
        <v>2</v>
      </c>
      <c r="AH2696">
        <v>0</v>
      </c>
      <c r="AI2696" t="s">
        <v>1597</v>
      </c>
      <c r="AJ2696">
        <v>40.016134000000001</v>
      </c>
      <c r="AK2696" t="s">
        <v>1598</v>
      </c>
      <c r="AL2696">
        <v>-92.777158999999997</v>
      </c>
      <c r="AM2696">
        <v>100</v>
      </c>
      <c r="AN2696">
        <v>1600</v>
      </c>
      <c r="AO2696" t="s">
        <v>118</v>
      </c>
      <c r="AP2696">
        <v>-110</v>
      </c>
      <c r="AQ2696">
        <v>80</v>
      </c>
      <c r="AR2696">
        <v>-128</v>
      </c>
      <c r="AZ2696">
        <v>1200</v>
      </c>
      <c r="BA2696">
        <v>1</v>
      </c>
      <c r="BB2696" t="str">
        <f t="shared" si="130"/>
        <v xml:space="preserve">N8080G  </v>
      </c>
      <c r="BC2696">
        <v>1</v>
      </c>
      <c r="BE2696">
        <v>0</v>
      </c>
      <c r="BF2696">
        <v>0</v>
      </c>
      <c r="BG2696">
        <v>0</v>
      </c>
      <c r="BH2696">
        <v>1625</v>
      </c>
      <c r="BI2696">
        <v>1</v>
      </c>
      <c r="BJ2696">
        <v>1</v>
      </c>
      <c r="BK2696">
        <v>1</v>
      </c>
      <c r="BL2696">
        <v>0</v>
      </c>
      <c r="BO2696">
        <v>0</v>
      </c>
      <c r="BP2696">
        <v>0</v>
      </c>
      <c r="BW2696" t="str">
        <f>"20:28:56.770"</f>
        <v>20:28:56.770</v>
      </c>
      <c r="BZ2696">
        <v>0</v>
      </c>
      <c r="CA2696">
        <v>1792</v>
      </c>
      <c r="CB2696">
        <v>224</v>
      </c>
      <c r="CD2696">
        <v>1</v>
      </c>
      <c r="CE2696">
        <v>0</v>
      </c>
      <c r="CF2696">
        <v>0</v>
      </c>
      <c r="CG2696">
        <v>0</v>
      </c>
      <c r="CH2696">
        <v>0</v>
      </c>
      <c r="CI2696">
        <v>0</v>
      </c>
      <c r="CJ2696">
        <v>0</v>
      </c>
      <c r="CK2696">
        <v>2</v>
      </c>
      <c r="CL2696">
        <v>0</v>
      </c>
      <c r="CM2696">
        <v>2</v>
      </c>
      <c r="CN2696">
        <v>0</v>
      </c>
      <c r="CO2696">
        <v>3</v>
      </c>
      <c r="CP2696" t="s">
        <v>119</v>
      </c>
      <c r="CQ2696">
        <v>179</v>
      </c>
      <c r="CR2696">
        <v>2</v>
      </c>
      <c r="CW2696">
        <v>12213460</v>
      </c>
      <c r="CY2696">
        <v>1</v>
      </c>
      <c r="CZ2696">
        <v>0</v>
      </c>
      <c r="DA2696">
        <v>1</v>
      </c>
      <c r="DB2696">
        <v>0</v>
      </c>
      <c r="DC2696">
        <v>0</v>
      </c>
      <c r="DD2696">
        <v>0</v>
      </c>
      <c r="DE2696">
        <v>0</v>
      </c>
      <c r="DF2696">
        <v>0</v>
      </c>
      <c r="DG2696">
        <v>0</v>
      </c>
      <c r="DH2696">
        <v>0</v>
      </c>
      <c r="DI2696">
        <v>0</v>
      </c>
    </row>
    <row r="2697" spans="1:113" x14ac:dyDescent="0.3">
      <c r="A2697" t="str">
        <f>"02/08/2021 20:28:54.432"</f>
        <v>02/08/2021 20:28:54.432</v>
      </c>
      <c r="C2697" t="str">
        <f t="shared" si="129"/>
        <v>FFDFD7C0</v>
      </c>
      <c r="D2697" t="s">
        <v>124</v>
      </c>
      <c r="E2697">
        <v>12</v>
      </c>
      <c r="F2697">
        <v>1012</v>
      </c>
      <c r="G2697" t="s">
        <v>675</v>
      </c>
      <c r="J2697" t="s">
        <v>125</v>
      </c>
      <c r="K2697">
        <v>0</v>
      </c>
      <c r="L2697">
        <v>3</v>
      </c>
      <c r="M2697">
        <v>0</v>
      </c>
      <c r="N2697">
        <v>2</v>
      </c>
      <c r="O2697">
        <v>1</v>
      </c>
      <c r="P2697">
        <v>0</v>
      </c>
      <c r="Q2697">
        <v>0</v>
      </c>
      <c r="S2697" t="str">
        <f>"20:28:56.766"</f>
        <v>20:28:56.766</v>
      </c>
      <c r="T2697" t="str">
        <f>"20:28:56.366"</f>
        <v>20:28:56.366</v>
      </c>
      <c r="U2697" t="str">
        <f t="shared" si="131"/>
        <v>AB01F4</v>
      </c>
      <c r="V2697">
        <v>0</v>
      </c>
      <c r="W2697">
        <v>0</v>
      </c>
      <c r="X2697">
        <v>2</v>
      </c>
      <c r="Z2697">
        <v>0</v>
      </c>
      <c r="AA2697">
        <v>9</v>
      </c>
      <c r="AB2697">
        <v>3</v>
      </c>
      <c r="AC2697">
        <v>0</v>
      </c>
      <c r="AD2697">
        <v>10</v>
      </c>
      <c r="AE2697">
        <v>0</v>
      </c>
      <c r="AF2697">
        <v>3</v>
      </c>
      <c r="AG2697">
        <v>2</v>
      </c>
      <c r="AH2697">
        <v>0</v>
      </c>
      <c r="AI2697" t="s">
        <v>1597</v>
      </c>
      <c r="AJ2697">
        <v>40.016134000000001</v>
      </c>
      <c r="AK2697" t="s">
        <v>1598</v>
      </c>
      <c r="AL2697">
        <v>-92.777158999999997</v>
      </c>
      <c r="AM2697">
        <v>100</v>
      </c>
      <c r="AN2697">
        <v>1600</v>
      </c>
      <c r="AO2697" t="s">
        <v>118</v>
      </c>
      <c r="AP2697">
        <v>-110</v>
      </c>
      <c r="AQ2697">
        <v>80</v>
      </c>
      <c r="AR2697">
        <v>-128</v>
      </c>
      <c r="AZ2697">
        <v>1200</v>
      </c>
      <c r="BA2697">
        <v>1</v>
      </c>
      <c r="BB2697" t="str">
        <f t="shared" si="130"/>
        <v xml:space="preserve">N8080G  </v>
      </c>
      <c r="BC2697">
        <v>1</v>
      </c>
      <c r="BE2697">
        <v>0</v>
      </c>
      <c r="BF2697">
        <v>0</v>
      </c>
      <c r="BG2697">
        <v>0</v>
      </c>
      <c r="BH2697">
        <v>1625</v>
      </c>
      <c r="BI2697">
        <v>1</v>
      </c>
      <c r="BJ2697">
        <v>1</v>
      </c>
      <c r="BK2697">
        <v>1</v>
      </c>
      <c r="BL2697">
        <v>0</v>
      </c>
      <c r="BO2697">
        <v>0</v>
      </c>
      <c r="BP2697">
        <v>0</v>
      </c>
      <c r="BW2697" t="str">
        <f>"20:28:56.770"</f>
        <v>20:28:56.770</v>
      </c>
      <c r="BZ2697">
        <v>0</v>
      </c>
      <c r="CA2697">
        <v>1792</v>
      </c>
      <c r="CB2697">
        <v>224</v>
      </c>
      <c r="CD2697">
        <v>1</v>
      </c>
      <c r="CE2697">
        <v>0</v>
      </c>
      <c r="CF2697">
        <v>0</v>
      </c>
      <c r="CG2697">
        <v>0</v>
      </c>
      <c r="CH2697">
        <v>0</v>
      </c>
      <c r="CI2697">
        <v>0</v>
      </c>
      <c r="CJ2697">
        <v>0</v>
      </c>
      <c r="CK2697">
        <v>2</v>
      </c>
      <c r="CL2697">
        <v>0</v>
      </c>
      <c r="CM2697">
        <v>2</v>
      </c>
      <c r="CN2697">
        <v>0</v>
      </c>
      <c r="CO2697">
        <v>3</v>
      </c>
      <c r="CP2697" t="s">
        <v>119</v>
      </c>
      <c r="CQ2697">
        <v>179</v>
      </c>
      <c r="CR2697">
        <v>2</v>
      </c>
      <c r="CW2697">
        <v>12213460</v>
      </c>
      <c r="CY2697">
        <v>1</v>
      </c>
      <c r="CZ2697">
        <v>0</v>
      </c>
      <c r="DA2697">
        <v>1</v>
      </c>
      <c r="DB2697">
        <v>0</v>
      </c>
      <c r="DC2697">
        <v>0</v>
      </c>
      <c r="DD2697">
        <v>0</v>
      </c>
      <c r="DE2697">
        <v>0</v>
      </c>
      <c r="DF2697">
        <v>0</v>
      </c>
      <c r="DG2697">
        <v>0</v>
      </c>
      <c r="DH2697">
        <v>0</v>
      </c>
      <c r="DI2697">
        <v>0</v>
      </c>
    </row>
    <row r="2698" spans="1:113" x14ac:dyDescent="0.3">
      <c r="A2698" t="str">
        <f>"02/08/2021 20:28:54.432"</f>
        <v>02/08/2021 20:28:54.432</v>
      </c>
      <c r="C2698" t="str">
        <f t="shared" si="129"/>
        <v>FFDFD7C0</v>
      </c>
      <c r="D2698" t="s">
        <v>124</v>
      </c>
      <c r="E2698">
        <v>13</v>
      </c>
      <c r="F2698">
        <v>1013</v>
      </c>
      <c r="G2698" t="s">
        <v>114</v>
      </c>
      <c r="J2698" t="s">
        <v>125</v>
      </c>
      <c r="K2698">
        <v>0</v>
      </c>
      <c r="L2698">
        <v>3</v>
      </c>
      <c r="M2698">
        <v>0</v>
      </c>
      <c r="N2698">
        <v>2</v>
      </c>
      <c r="O2698">
        <v>1</v>
      </c>
      <c r="P2698">
        <v>0</v>
      </c>
      <c r="Q2698">
        <v>0</v>
      </c>
      <c r="S2698" t="str">
        <f>"20:28:56.766"</f>
        <v>20:28:56.766</v>
      </c>
      <c r="T2698" t="str">
        <f>"20:28:56.366"</f>
        <v>20:28:56.366</v>
      </c>
      <c r="U2698" t="str">
        <f t="shared" si="131"/>
        <v>AB01F4</v>
      </c>
      <c r="V2698">
        <v>0</v>
      </c>
      <c r="W2698">
        <v>0</v>
      </c>
      <c r="X2698">
        <v>2</v>
      </c>
      <c r="Z2698">
        <v>0</v>
      </c>
      <c r="AA2698">
        <v>9</v>
      </c>
      <c r="AB2698">
        <v>3</v>
      </c>
      <c r="AC2698">
        <v>0</v>
      </c>
      <c r="AD2698">
        <v>10</v>
      </c>
      <c r="AE2698">
        <v>0</v>
      </c>
      <c r="AF2698">
        <v>3</v>
      </c>
      <c r="AG2698">
        <v>2</v>
      </c>
      <c r="AH2698">
        <v>0</v>
      </c>
      <c r="AI2698" t="s">
        <v>1597</v>
      </c>
      <c r="AJ2698">
        <v>40.016134000000001</v>
      </c>
      <c r="AK2698" t="s">
        <v>1598</v>
      </c>
      <c r="AL2698">
        <v>-92.777158999999997</v>
      </c>
      <c r="AM2698">
        <v>100</v>
      </c>
      <c r="AN2698">
        <v>1600</v>
      </c>
      <c r="AO2698" t="s">
        <v>118</v>
      </c>
      <c r="AP2698">
        <v>-110</v>
      </c>
      <c r="AQ2698">
        <v>80</v>
      </c>
      <c r="AR2698">
        <v>-128</v>
      </c>
      <c r="AZ2698">
        <v>1200</v>
      </c>
      <c r="BA2698">
        <v>1</v>
      </c>
      <c r="BB2698" t="str">
        <f t="shared" si="130"/>
        <v xml:space="preserve">N8080G  </v>
      </c>
      <c r="BC2698">
        <v>1</v>
      </c>
      <c r="BE2698">
        <v>0</v>
      </c>
      <c r="BF2698">
        <v>0</v>
      </c>
      <c r="BG2698">
        <v>0</v>
      </c>
      <c r="BH2698">
        <v>1625</v>
      </c>
      <c r="BI2698">
        <v>1</v>
      </c>
      <c r="BJ2698">
        <v>1</v>
      </c>
      <c r="BK2698">
        <v>1</v>
      </c>
      <c r="BL2698">
        <v>0</v>
      </c>
      <c r="BO2698">
        <v>0</v>
      </c>
      <c r="BP2698">
        <v>0</v>
      </c>
      <c r="BW2698" t="str">
        <f>"20:28:56.770"</f>
        <v>20:28:56.770</v>
      </c>
      <c r="BZ2698">
        <v>0</v>
      </c>
      <c r="CA2698">
        <v>1792</v>
      </c>
      <c r="CB2698">
        <v>224</v>
      </c>
      <c r="CD2698">
        <v>1</v>
      </c>
      <c r="CE2698">
        <v>0</v>
      </c>
      <c r="CF2698">
        <v>0</v>
      </c>
      <c r="CG2698">
        <v>0</v>
      </c>
      <c r="CH2698">
        <v>0</v>
      </c>
      <c r="CI2698">
        <v>0</v>
      </c>
      <c r="CJ2698">
        <v>0</v>
      </c>
      <c r="CK2698">
        <v>2</v>
      </c>
      <c r="CL2698">
        <v>0</v>
      </c>
      <c r="CM2698">
        <v>2</v>
      </c>
      <c r="CN2698">
        <v>0</v>
      </c>
      <c r="CO2698">
        <v>3</v>
      </c>
      <c r="CP2698" t="s">
        <v>119</v>
      </c>
      <c r="CQ2698">
        <v>179</v>
      </c>
      <c r="CR2698">
        <v>2</v>
      </c>
      <c r="CW2698">
        <v>12213460</v>
      </c>
      <c r="CY2698">
        <v>1</v>
      </c>
      <c r="CZ2698">
        <v>0</v>
      </c>
      <c r="DA2698">
        <v>1</v>
      </c>
      <c r="DB2698">
        <v>0</v>
      </c>
      <c r="DC2698">
        <v>0</v>
      </c>
      <c r="DD2698">
        <v>0</v>
      </c>
      <c r="DE2698">
        <v>0</v>
      </c>
      <c r="DF2698">
        <v>0</v>
      </c>
      <c r="DG2698">
        <v>0</v>
      </c>
      <c r="DH2698">
        <v>0</v>
      </c>
      <c r="DI2698">
        <v>0</v>
      </c>
    </row>
    <row r="2699" spans="1:113" x14ac:dyDescent="0.3">
      <c r="A2699" t="str">
        <f>"02/08/2021 20:28:55.368"</f>
        <v>02/08/2021 20:28:55.368</v>
      </c>
      <c r="C2699" t="str">
        <f t="shared" si="129"/>
        <v>FFDFD7C0</v>
      </c>
      <c r="D2699" t="s">
        <v>124</v>
      </c>
      <c r="E2699">
        <v>13</v>
      </c>
      <c r="F2699">
        <v>1013</v>
      </c>
      <c r="G2699" t="s">
        <v>114</v>
      </c>
      <c r="J2699" t="s">
        <v>125</v>
      </c>
      <c r="K2699">
        <v>0</v>
      </c>
      <c r="L2699">
        <v>3</v>
      </c>
      <c r="M2699">
        <v>0</v>
      </c>
      <c r="N2699">
        <v>2</v>
      </c>
      <c r="O2699">
        <v>1</v>
      </c>
      <c r="P2699">
        <v>0</v>
      </c>
      <c r="Q2699">
        <v>0</v>
      </c>
      <c r="S2699" t="str">
        <f>"20:28:57.680"</f>
        <v>20:28:57.680</v>
      </c>
      <c r="T2699" t="str">
        <f>"20:28:57.280"</f>
        <v>20:28:57.280</v>
      </c>
      <c r="U2699" t="str">
        <f t="shared" si="131"/>
        <v>AB01F4</v>
      </c>
      <c r="V2699">
        <v>0</v>
      </c>
      <c r="W2699">
        <v>0</v>
      </c>
      <c r="X2699">
        <v>2</v>
      </c>
      <c r="Z2699">
        <v>0</v>
      </c>
      <c r="AA2699">
        <v>9</v>
      </c>
      <c r="AB2699">
        <v>3</v>
      </c>
      <c r="AC2699">
        <v>0</v>
      </c>
      <c r="AD2699">
        <v>10</v>
      </c>
      <c r="AE2699">
        <v>0</v>
      </c>
      <c r="AF2699">
        <v>3</v>
      </c>
      <c r="AG2699">
        <v>2</v>
      </c>
      <c r="AH2699">
        <v>0</v>
      </c>
      <c r="AI2699" t="s">
        <v>1599</v>
      </c>
      <c r="AJ2699">
        <v>40.016499000000003</v>
      </c>
      <c r="AK2699" t="s">
        <v>1600</v>
      </c>
      <c r="AL2699">
        <v>-92.777738999999997</v>
      </c>
      <c r="AM2699">
        <v>100</v>
      </c>
      <c r="AN2699">
        <v>1600</v>
      </c>
      <c r="AO2699" t="s">
        <v>118</v>
      </c>
      <c r="AP2699">
        <v>-110</v>
      </c>
      <c r="AQ2699">
        <v>80</v>
      </c>
      <c r="AR2699">
        <v>-128</v>
      </c>
      <c r="AZ2699">
        <v>1200</v>
      </c>
      <c r="BA2699">
        <v>1</v>
      </c>
      <c r="BB2699" t="str">
        <f t="shared" si="130"/>
        <v xml:space="preserve">N8080G  </v>
      </c>
      <c r="BC2699">
        <v>1</v>
      </c>
      <c r="BE2699">
        <v>0</v>
      </c>
      <c r="BF2699">
        <v>0</v>
      </c>
      <c r="BG2699">
        <v>0</v>
      </c>
      <c r="BH2699">
        <v>1625</v>
      </c>
      <c r="BI2699">
        <v>1</v>
      </c>
      <c r="BJ2699">
        <v>1</v>
      </c>
      <c r="BK2699">
        <v>1</v>
      </c>
      <c r="BL2699">
        <v>0</v>
      </c>
      <c r="BO2699">
        <v>0</v>
      </c>
      <c r="BP2699">
        <v>0</v>
      </c>
      <c r="BW2699" t="str">
        <f>"20:28:57.681"</f>
        <v>20:28:57.681</v>
      </c>
      <c r="BZ2699">
        <v>0</v>
      </c>
      <c r="CA2699">
        <v>1792</v>
      </c>
      <c r="CB2699">
        <v>224</v>
      </c>
      <c r="CD2699">
        <v>1</v>
      </c>
      <c r="CE2699">
        <v>0</v>
      </c>
      <c r="CF2699">
        <v>0</v>
      </c>
      <c r="CG2699">
        <v>0</v>
      </c>
      <c r="CH2699">
        <v>0</v>
      </c>
      <c r="CI2699">
        <v>0</v>
      </c>
      <c r="CJ2699">
        <v>0</v>
      </c>
      <c r="CK2699">
        <v>2</v>
      </c>
      <c r="CL2699">
        <v>0</v>
      </c>
      <c r="CM2699">
        <v>2</v>
      </c>
      <c r="CN2699">
        <v>0</v>
      </c>
      <c r="CO2699">
        <v>4</v>
      </c>
      <c r="CP2699" t="s">
        <v>119</v>
      </c>
      <c r="CQ2699">
        <v>179</v>
      </c>
      <c r="CR2699">
        <v>1</v>
      </c>
      <c r="CW2699">
        <v>9058266</v>
      </c>
      <c r="CY2699">
        <v>1</v>
      </c>
      <c r="CZ2699">
        <v>0</v>
      </c>
      <c r="DA2699">
        <v>0</v>
      </c>
      <c r="DB2699">
        <v>0</v>
      </c>
      <c r="DC2699">
        <v>0</v>
      </c>
      <c r="DD2699">
        <v>0</v>
      </c>
      <c r="DE2699">
        <v>0</v>
      </c>
      <c r="DF2699">
        <v>0</v>
      </c>
      <c r="DG2699">
        <v>0</v>
      </c>
      <c r="DH2699">
        <v>0</v>
      </c>
      <c r="DI2699">
        <v>0</v>
      </c>
    </row>
    <row r="2700" spans="1:113" x14ac:dyDescent="0.3">
      <c r="A2700" t="str">
        <f>"02/08/2021 20:28:55.368"</f>
        <v>02/08/2021 20:28:55.368</v>
      </c>
      <c r="C2700" t="str">
        <f t="shared" si="129"/>
        <v>FFDFD7C0</v>
      </c>
      <c r="D2700" t="s">
        <v>113</v>
      </c>
      <c r="E2700">
        <v>6</v>
      </c>
      <c r="H2700">
        <v>165</v>
      </c>
      <c r="I2700" t="s">
        <v>114</v>
      </c>
      <c r="J2700" t="s">
        <v>115</v>
      </c>
      <c r="K2700">
        <v>0</v>
      </c>
      <c r="L2700">
        <v>3</v>
      </c>
      <c r="M2700">
        <v>0</v>
      </c>
      <c r="N2700">
        <v>2</v>
      </c>
      <c r="O2700">
        <v>1</v>
      </c>
      <c r="P2700">
        <v>0</v>
      </c>
      <c r="Q2700">
        <v>0</v>
      </c>
      <c r="S2700" t="str">
        <f>"20:28:57.680"</f>
        <v>20:28:57.680</v>
      </c>
      <c r="T2700" t="str">
        <f>"20:28:57.280"</f>
        <v>20:28:57.280</v>
      </c>
      <c r="U2700" t="str">
        <f t="shared" si="131"/>
        <v>AB01F4</v>
      </c>
      <c r="V2700">
        <v>0</v>
      </c>
      <c r="W2700">
        <v>0</v>
      </c>
      <c r="X2700">
        <v>2</v>
      </c>
      <c r="Z2700">
        <v>0</v>
      </c>
      <c r="AA2700">
        <v>9</v>
      </c>
      <c r="AB2700">
        <v>3</v>
      </c>
      <c r="AC2700">
        <v>0</v>
      </c>
      <c r="AD2700">
        <v>10</v>
      </c>
      <c r="AE2700">
        <v>0</v>
      </c>
      <c r="AF2700">
        <v>3</v>
      </c>
      <c r="AG2700">
        <v>2</v>
      </c>
      <c r="AH2700">
        <v>0</v>
      </c>
      <c r="AI2700" t="s">
        <v>1599</v>
      </c>
      <c r="AJ2700">
        <v>40.016499000000003</v>
      </c>
      <c r="AK2700" t="s">
        <v>1600</v>
      </c>
      <c r="AL2700">
        <v>-92.777738999999997</v>
      </c>
      <c r="AM2700">
        <v>100</v>
      </c>
      <c r="AN2700">
        <v>1600</v>
      </c>
      <c r="AO2700" t="s">
        <v>118</v>
      </c>
      <c r="AP2700">
        <v>-110</v>
      </c>
      <c r="AQ2700">
        <v>80</v>
      </c>
      <c r="AR2700">
        <v>-128</v>
      </c>
      <c r="AZ2700">
        <v>1200</v>
      </c>
      <c r="BA2700">
        <v>1</v>
      </c>
      <c r="BB2700" t="str">
        <f t="shared" si="130"/>
        <v xml:space="preserve">N8080G  </v>
      </c>
      <c r="BC2700">
        <v>1</v>
      </c>
      <c r="BE2700">
        <v>0</v>
      </c>
      <c r="BF2700">
        <v>0</v>
      </c>
      <c r="BG2700">
        <v>0</v>
      </c>
      <c r="BH2700">
        <v>1625</v>
      </c>
      <c r="BI2700">
        <v>1</v>
      </c>
      <c r="BJ2700">
        <v>1</v>
      </c>
      <c r="BK2700">
        <v>1</v>
      </c>
      <c r="BL2700">
        <v>0</v>
      </c>
      <c r="BO2700">
        <v>0</v>
      </c>
      <c r="BP2700">
        <v>0</v>
      </c>
      <c r="BW2700" t="str">
        <f>"20:28:57.681"</f>
        <v>20:28:57.681</v>
      </c>
      <c r="BZ2700">
        <v>0</v>
      </c>
      <c r="CA2700">
        <v>1792</v>
      </c>
      <c r="CB2700">
        <v>224</v>
      </c>
      <c r="CD2700">
        <v>1</v>
      </c>
      <c r="CE2700">
        <v>0</v>
      </c>
      <c r="CF2700">
        <v>0</v>
      </c>
      <c r="CG2700">
        <v>0</v>
      </c>
      <c r="CH2700">
        <v>0</v>
      </c>
      <c r="CI2700">
        <v>0</v>
      </c>
      <c r="CJ2700">
        <v>0</v>
      </c>
      <c r="CK2700">
        <v>2</v>
      </c>
      <c r="CL2700">
        <v>0</v>
      </c>
      <c r="CM2700">
        <v>2</v>
      </c>
      <c r="CN2700">
        <v>0</v>
      </c>
      <c r="CO2700">
        <v>4</v>
      </c>
      <c r="CP2700" t="s">
        <v>119</v>
      </c>
      <c r="CQ2700">
        <v>179</v>
      </c>
      <c r="CR2700">
        <v>1</v>
      </c>
      <c r="CW2700">
        <v>9058266</v>
      </c>
      <c r="CY2700">
        <v>1</v>
      </c>
      <c r="CZ2700">
        <v>0</v>
      </c>
      <c r="DA2700">
        <v>1</v>
      </c>
      <c r="DB2700">
        <v>0</v>
      </c>
      <c r="DC2700">
        <v>0</v>
      </c>
      <c r="DD2700">
        <v>0</v>
      </c>
      <c r="DE2700">
        <v>0</v>
      </c>
      <c r="DF2700">
        <v>0</v>
      </c>
      <c r="DG2700">
        <v>0</v>
      </c>
      <c r="DH2700">
        <v>0</v>
      </c>
      <c r="DI2700">
        <v>0</v>
      </c>
    </row>
    <row r="2701" spans="1:113" x14ac:dyDescent="0.3">
      <c r="A2701" t="str">
        <f>"02/08/2021 20:28:55.368"</f>
        <v>02/08/2021 20:28:55.368</v>
      </c>
      <c r="C2701" t="str">
        <f t="shared" si="129"/>
        <v>FFDFD7C0</v>
      </c>
      <c r="D2701" t="s">
        <v>124</v>
      </c>
      <c r="E2701">
        <v>12</v>
      </c>
      <c r="F2701">
        <v>1012</v>
      </c>
      <c r="G2701" t="s">
        <v>675</v>
      </c>
      <c r="J2701" t="s">
        <v>125</v>
      </c>
      <c r="K2701">
        <v>0</v>
      </c>
      <c r="L2701">
        <v>3</v>
      </c>
      <c r="M2701">
        <v>0</v>
      </c>
      <c r="N2701">
        <v>2</v>
      </c>
      <c r="O2701">
        <v>1</v>
      </c>
      <c r="P2701">
        <v>0</v>
      </c>
      <c r="Q2701">
        <v>0</v>
      </c>
      <c r="S2701" t="str">
        <f>"20:28:57.680"</f>
        <v>20:28:57.680</v>
      </c>
      <c r="T2701" t="str">
        <f>"20:28:57.280"</f>
        <v>20:28:57.280</v>
      </c>
      <c r="U2701" t="str">
        <f t="shared" si="131"/>
        <v>AB01F4</v>
      </c>
      <c r="V2701">
        <v>0</v>
      </c>
      <c r="W2701">
        <v>0</v>
      </c>
      <c r="X2701">
        <v>2</v>
      </c>
      <c r="Z2701">
        <v>0</v>
      </c>
      <c r="AA2701">
        <v>9</v>
      </c>
      <c r="AB2701">
        <v>3</v>
      </c>
      <c r="AC2701">
        <v>0</v>
      </c>
      <c r="AD2701">
        <v>10</v>
      </c>
      <c r="AE2701">
        <v>0</v>
      </c>
      <c r="AF2701">
        <v>3</v>
      </c>
      <c r="AG2701">
        <v>2</v>
      </c>
      <c r="AH2701">
        <v>0</v>
      </c>
      <c r="AI2701" t="s">
        <v>1599</v>
      </c>
      <c r="AJ2701">
        <v>40.016499000000003</v>
      </c>
      <c r="AK2701" t="s">
        <v>1600</v>
      </c>
      <c r="AL2701">
        <v>-92.777738999999997</v>
      </c>
      <c r="AM2701">
        <v>100</v>
      </c>
      <c r="AN2701">
        <v>1600</v>
      </c>
      <c r="AO2701" t="s">
        <v>118</v>
      </c>
      <c r="AP2701">
        <v>-110</v>
      </c>
      <c r="AQ2701">
        <v>80</v>
      </c>
      <c r="AR2701">
        <v>-128</v>
      </c>
      <c r="AZ2701">
        <v>1200</v>
      </c>
      <c r="BA2701">
        <v>1</v>
      </c>
      <c r="BB2701" t="str">
        <f t="shared" si="130"/>
        <v xml:space="preserve">N8080G  </v>
      </c>
      <c r="BC2701">
        <v>1</v>
      </c>
      <c r="BE2701">
        <v>0</v>
      </c>
      <c r="BF2701">
        <v>0</v>
      </c>
      <c r="BG2701">
        <v>0</v>
      </c>
      <c r="BH2701">
        <v>1625</v>
      </c>
      <c r="BI2701">
        <v>1</v>
      </c>
      <c r="BJ2701">
        <v>1</v>
      </c>
      <c r="BK2701">
        <v>1</v>
      </c>
      <c r="BL2701">
        <v>0</v>
      </c>
      <c r="BO2701">
        <v>0</v>
      </c>
      <c r="BP2701">
        <v>0</v>
      </c>
      <c r="BW2701" t="str">
        <f>"20:28:57.681"</f>
        <v>20:28:57.681</v>
      </c>
      <c r="BZ2701">
        <v>0</v>
      </c>
      <c r="CA2701">
        <v>1792</v>
      </c>
      <c r="CB2701">
        <v>224</v>
      </c>
      <c r="CD2701">
        <v>1</v>
      </c>
      <c r="CE2701">
        <v>0</v>
      </c>
      <c r="CF2701">
        <v>0</v>
      </c>
      <c r="CG2701">
        <v>0</v>
      </c>
      <c r="CH2701">
        <v>0</v>
      </c>
      <c r="CI2701">
        <v>0</v>
      </c>
      <c r="CJ2701">
        <v>0</v>
      </c>
      <c r="CK2701">
        <v>2</v>
      </c>
      <c r="CL2701">
        <v>0</v>
      </c>
      <c r="CM2701">
        <v>2</v>
      </c>
      <c r="CN2701">
        <v>0</v>
      </c>
      <c r="CO2701">
        <v>4</v>
      </c>
      <c r="CP2701" t="s">
        <v>119</v>
      </c>
      <c r="CQ2701">
        <v>179</v>
      </c>
      <c r="CR2701">
        <v>1</v>
      </c>
      <c r="CW2701">
        <v>9058266</v>
      </c>
      <c r="CY2701">
        <v>1</v>
      </c>
      <c r="CZ2701">
        <v>0</v>
      </c>
      <c r="DA2701">
        <v>1</v>
      </c>
      <c r="DB2701">
        <v>0</v>
      </c>
      <c r="DC2701">
        <v>0</v>
      </c>
      <c r="DD2701">
        <v>0</v>
      </c>
      <c r="DE2701">
        <v>0</v>
      </c>
      <c r="DF2701">
        <v>0</v>
      </c>
      <c r="DG2701">
        <v>0</v>
      </c>
      <c r="DH2701">
        <v>0</v>
      </c>
      <c r="DI2701">
        <v>0</v>
      </c>
    </row>
    <row r="2702" spans="1:113" x14ac:dyDescent="0.3">
      <c r="A2702" t="str">
        <f>"02/08/2021 20:28:55.368"</f>
        <v>02/08/2021 20:28:55.368</v>
      </c>
      <c r="C2702" t="str">
        <f t="shared" si="129"/>
        <v>FFDFD7C0</v>
      </c>
      <c r="D2702" t="s">
        <v>124</v>
      </c>
      <c r="E2702">
        <v>11</v>
      </c>
      <c r="F2702">
        <v>1011</v>
      </c>
      <c r="G2702" t="s">
        <v>590</v>
      </c>
      <c r="J2702" t="s">
        <v>125</v>
      </c>
      <c r="K2702">
        <v>0</v>
      </c>
      <c r="L2702">
        <v>3</v>
      </c>
      <c r="M2702">
        <v>0</v>
      </c>
      <c r="N2702">
        <v>2</v>
      </c>
      <c r="O2702">
        <v>1</v>
      </c>
      <c r="P2702">
        <v>0</v>
      </c>
      <c r="Q2702">
        <v>0</v>
      </c>
      <c r="S2702" t="str">
        <f>"20:28:57.680"</f>
        <v>20:28:57.680</v>
      </c>
      <c r="T2702" t="str">
        <f>"20:28:57.280"</f>
        <v>20:28:57.280</v>
      </c>
      <c r="U2702" t="str">
        <f t="shared" si="131"/>
        <v>AB01F4</v>
      </c>
      <c r="V2702">
        <v>0</v>
      </c>
      <c r="W2702">
        <v>0</v>
      </c>
      <c r="X2702">
        <v>2</v>
      </c>
      <c r="Z2702">
        <v>0</v>
      </c>
      <c r="AA2702">
        <v>9</v>
      </c>
      <c r="AB2702">
        <v>3</v>
      </c>
      <c r="AC2702">
        <v>0</v>
      </c>
      <c r="AD2702">
        <v>10</v>
      </c>
      <c r="AE2702">
        <v>0</v>
      </c>
      <c r="AF2702">
        <v>3</v>
      </c>
      <c r="AG2702">
        <v>2</v>
      </c>
      <c r="AH2702">
        <v>0</v>
      </c>
      <c r="AI2702" t="s">
        <v>1599</v>
      </c>
      <c r="AJ2702">
        <v>40.016499000000003</v>
      </c>
      <c r="AK2702" t="s">
        <v>1600</v>
      </c>
      <c r="AL2702">
        <v>-92.777738999999997</v>
      </c>
      <c r="AM2702">
        <v>100</v>
      </c>
      <c r="AN2702">
        <v>1600</v>
      </c>
      <c r="AO2702" t="s">
        <v>118</v>
      </c>
      <c r="AP2702">
        <v>-110</v>
      </c>
      <c r="AQ2702">
        <v>80</v>
      </c>
      <c r="AR2702">
        <v>-128</v>
      </c>
      <c r="AZ2702">
        <v>1200</v>
      </c>
      <c r="BA2702">
        <v>1</v>
      </c>
      <c r="BB2702" t="str">
        <f t="shared" si="130"/>
        <v xml:space="preserve">N8080G  </v>
      </c>
      <c r="BC2702">
        <v>1</v>
      </c>
      <c r="BE2702">
        <v>0</v>
      </c>
      <c r="BF2702">
        <v>0</v>
      </c>
      <c r="BG2702">
        <v>0</v>
      </c>
      <c r="BH2702">
        <v>1625</v>
      </c>
      <c r="BI2702">
        <v>1</v>
      </c>
      <c r="BJ2702">
        <v>1</v>
      </c>
      <c r="BK2702">
        <v>1</v>
      </c>
      <c r="BL2702">
        <v>0</v>
      </c>
      <c r="BO2702">
        <v>0</v>
      </c>
      <c r="BP2702">
        <v>0</v>
      </c>
      <c r="BW2702" t="str">
        <f>"20:28:57.681"</f>
        <v>20:28:57.681</v>
      </c>
      <c r="BZ2702">
        <v>0</v>
      </c>
      <c r="CA2702">
        <v>1792</v>
      </c>
      <c r="CB2702">
        <v>224</v>
      </c>
      <c r="CD2702">
        <v>1</v>
      </c>
      <c r="CE2702">
        <v>0</v>
      </c>
      <c r="CF2702">
        <v>0</v>
      </c>
      <c r="CG2702">
        <v>0</v>
      </c>
      <c r="CH2702">
        <v>0</v>
      </c>
      <c r="CI2702">
        <v>0</v>
      </c>
      <c r="CJ2702">
        <v>0</v>
      </c>
      <c r="CK2702">
        <v>2</v>
      </c>
      <c r="CL2702">
        <v>0</v>
      </c>
      <c r="CM2702">
        <v>2</v>
      </c>
      <c r="CN2702">
        <v>0</v>
      </c>
      <c r="CO2702">
        <v>4</v>
      </c>
      <c r="CP2702" t="s">
        <v>119</v>
      </c>
      <c r="CQ2702">
        <v>179</v>
      </c>
      <c r="CR2702">
        <v>1</v>
      </c>
      <c r="CW2702">
        <v>9058266</v>
      </c>
      <c r="CY2702">
        <v>1</v>
      </c>
      <c r="CZ2702">
        <v>0</v>
      </c>
      <c r="DA2702">
        <v>1</v>
      </c>
      <c r="DB2702">
        <v>0</v>
      </c>
      <c r="DC2702">
        <v>0</v>
      </c>
      <c r="DD2702">
        <v>0</v>
      </c>
      <c r="DE2702">
        <v>0</v>
      </c>
      <c r="DF2702">
        <v>0</v>
      </c>
      <c r="DG2702">
        <v>0</v>
      </c>
      <c r="DH2702">
        <v>0</v>
      </c>
      <c r="DI2702">
        <v>0</v>
      </c>
    </row>
    <row r="2703" spans="1:113" x14ac:dyDescent="0.3">
      <c r="A2703" t="str">
        <f>"02/08/2021 20:28:56.425"</f>
        <v>02/08/2021 20:28:56.425</v>
      </c>
      <c r="C2703" t="str">
        <f t="shared" si="129"/>
        <v>FFDFD7C0</v>
      </c>
      <c r="D2703" t="s">
        <v>124</v>
      </c>
      <c r="E2703">
        <v>13</v>
      </c>
      <c r="F2703">
        <v>1013</v>
      </c>
      <c r="G2703" t="s">
        <v>114</v>
      </c>
      <c r="J2703" t="s">
        <v>125</v>
      </c>
      <c r="K2703">
        <v>0</v>
      </c>
      <c r="L2703">
        <v>3</v>
      </c>
      <c r="M2703">
        <v>0</v>
      </c>
      <c r="N2703">
        <v>2</v>
      </c>
      <c r="O2703">
        <v>1</v>
      </c>
      <c r="P2703">
        <v>0</v>
      </c>
      <c r="Q2703">
        <v>0</v>
      </c>
      <c r="S2703" t="str">
        <f>"20:28:58.758"</f>
        <v>20:28:58.758</v>
      </c>
      <c r="T2703" t="str">
        <f>"20:28:58.258"</f>
        <v>20:28:58.258</v>
      </c>
      <c r="U2703" t="str">
        <f t="shared" si="131"/>
        <v>AB01F4</v>
      </c>
      <c r="V2703">
        <v>0</v>
      </c>
      <c r="W2703">
        <v>0</v>
      </c>
      <c r="X2703">
        <v>2</v>
      </c>
      <c r="Z2703">
        <v>0</v>
      </c>
      <c r="AA2703">
        <v>9</v>
      </c>
      <c r="AB2703">
        <v>3</v>
      </c>
      <c r="AC2703">
        <v>0</v>
      </c>
      <c r="AD2703">
        <v>10</v>
      </c>
      <c r="AE2703">
        <v>0</v>
      </c>
      <c r="AF2703">
        <v>3</v>
      </c>
      <c r="AG2703">
        <v>2</v>
      </c>
      <c r="AH2703">
        <v>0</v>
      </c>
      <c r="AI2703" t="s">
        <v>1601</v>
      </c>
      <c r="AJ2703">
        <v>40.016928</v>
      </c>
      <c r="AK2703" t="s">
        <v>1602</v>
      </c>
      <c r="AL2703">
        <v>-92.778447</v>
      </c>
      <c r="AM2703">
        <v>100</v>
      </c>
      <c r="AN2703">
        <v>1600</v>
      </c>
      <c r="AO2703" t="s">
        <v>118</v>
      </c>
      <c r="AP2703">
        <v>-110</v>
      </c>
      <c r="AQ2703">
        <v>79</v>
      </c>
      <c r="AR2703">
        <v>-128</v>
      </c>
      <c r="AZ2703">
        <v>1200</v>
      </c>
      <c r="BA2703">
        <v>1</v>
      </c>
      <c r="BB2703" t="str">
        <f t="shared" si="130"/>
        <v xml:space="preserve">N8080G  </v>
      </c>
      <c r="BC2703">
        <v>1</v>
      </c>
      <c r="BE2703">
        <v>0</v>
      </c>
      <c r="BF2703">
        <v>0</v>
      </c>
      <c r="BG2703">
        <v>0</v>
      </c>
      <c r="BH2703">
        <v>1625</v>
      </c>
      <c r="BI2703">
        <v>1</v>
      </c>
      <c r="BJ2703">
        <v>1</v>
      </c>
      <c r="BK2703">
        <v>1</v>
      </c>
      <c r="BL2703">
        <v>0</v>
      </c>
      <c r="BO2703">
        <v>0</v>
      </c>
      <c r="BP2703">
        <v>0</v>
      </c>
      <c r="BW2703" t="str">
        <f>"20:28:58.762"</f>
        <v>20:28:58.762</v>
      </c>
      <c r="BZ2703">
        <v>0</v>
      </c>
      <c r="CA2703">
        <v>1792</v>
      </c>
      <c r="CB2703">
        <v>224</v>
      </c>
      <c r="CD2703">
        <v>1</v>
      </c>
      <c r="CE2703">
        <v>0</v>
      </c>
      <c r="CF2703">
        <v>0</v>
      </c>
      <c r="CG2703">
        <v>0</v>
      </c>
      <c r="CH2703">
        <v>0</v>
      </c>
      <c r="CI2703">
        <v>0</v>
      </c>
      <c r="CJ2703">
        <v>0</v>
      </c>
      <c r="CK2703">
        <v>2</v>
      </c>
      <c r="CL2703">
        <v>0</v>
      </c>
      <c r="CM2703">
        <v>2</v>
      </c>
      <c r="CN2703">
        <v>0</v>
      </c>
      <c r="CO2703">
        <v>7</v>
      </c>
      <c r="CP2703" t="s">
        <v>119</v>
      </c>
      <c r="CQ2703">
        <v>180</v>
      </c>
      <c r="CR2703">
        <v>2</v>
      </c>
      <c r="CW2703">
        <v>8603698</v>
      </c>
      <c r="CY2703">
        <v>1</v>
      </c>
      <c r="CZ2703">
        <v>0</v>
      </c>
      <c r="DA2703">
        <v>0</v>
      </c>
      <c r="DB2703">
        <v>0</v>
      </c>
      <c r="DC2703">
        <v>0</v>
      </c>
      <c r="DD2703">
        <v>0</v>
      </c>
      <c r="DE2703">
        <v>0</v>
      </c>
      <c r="DF2703">
        <v>0</v>
      </c>
      <c r="DG2703">
        <v>0</v>
      </c>
      <c r="DH2703">
        <v>0</v>
      </c>
      <c r="DI2703">
        <v>0</v>
      </c>
    </row>
    <row r="2704" spans="1:113" x14ac:dyDescent="0.3">
      <c r="A2704" t="str">
        <f>"02/08/2021 20:28:56.425"</f>
        <v>02/08/2021 20:28:56.425</v>
      </c>
      <c r="C2704" t="str">
        <f t="shared" si="129"/>
        <v>FFDFD7C0</v>
      </c>
      <c r="D2704" t="s">
        <v>113</v>
      </c>
      <c r="E2704">
        <v>6</v>
      </c>
      <c r="H2704">
        <v>165</v>
      </c>
      <c r="I2704" t="s">
        <v>114</v>
      </c>
      <c r="J2704" t="s">
        <v>115</v>
      </c>
      <c r="K2704">
        <v>0</v>
      </c>
      <c r="L2704">
        <v>3</v>
      </c>
      <c r="M2704">
        <v>0</v>
      </c>
      <c r="N2704">
        <v>2</v>
      </c>
      <c r="O2704">
        <v>1</v>
      </c>
      <c r="P2704">
        <v>0</v>
      </c>
      <c r="Q2704">
        <v>0</v>
      </c>
      <c r="S2704" t="str">
        <f>"20:28:58.758"</f>
        <v>20:28:58.758</v>
      </c>
      <c r="T2704" t="str">
        <f>"20:28:58.258"</f>
        <v>20:28:58.258</v>
      </c>
      <c r="U2704" t="str">
        <f t="shared" si="131"/>
        <v>AB01F4</v>
      </c>
      <c r="V2704">
        <v>0</v>
      </c>
      <c r="W2704">
        <v>0</v>
      </c>
      <c r="X2704">
        <v>2</v>
      </c>
      <c r="Z2704">
        <v>0</v>
      </c>
      <c r="AA2704">
        <v>9</v>
      </c>
      <c r="AB2704">
        <v>3</v>
      </c>
      <c r="AC2704">
        <v>0</v>
      </c>
      <c r="AD2704">
        <v>10</v>
      </c>
      <c r="AE2704">
        <v>0</v>
      </c>
      <c r="AF2704">
        <v>3</v>
      </c>
      <c r="AG2704">
        <v>2</v>
      </c>
      <c r="AH2704">
        <v>0</v>
      </c>
      <c r="AI2704" t="s">
        <v>1601</v>
      </c>
      <c r="AJ2704">
        <v>40.016928</v>
      </c>
      <c r="AK2704" t="s">
        <v>1602</v>
      </c>
      <c r="AL2704">
        <v>-92.778447</v>
      </c>
      <c r="AM2704">
        <v>100</v>
      </c>
      <c r="AN2704">
        <v>1600</v>
      </c>
      <c r="AO2704" t="s">
        <v>118</v>
      </c>
      <c r="AP2704">
        <v>-110</v>
      </c>
      <c r="AQ2704">
        <v>79</v>
      </c>
      <c r="AR2704">
        <v>-128</v>
      </c>
      <c r="AZ2704">
        <v>1200</v>
      </c>
      <c r="BA2704">
        <v>1</v>
      </c>
      <c r="BB2704" t="str">
        <f t="shared" si="130"/>
        <v xml:space="preserve">N8080G  </v>
      </c>
      <c r="BC2704">
        <v>1</v>
      </c>
      <c r="BE2704">
        <v>0</v>
      </c>
      <c r="BF2704">
        <v>0</v>
      </c>
      <c r="BG2704">
        <v>0</v>
      </c>
      <c r="BH2704">
        <v>1625</v>
      </c>
      <c r="BI2704">
        <v>1</v>
      </c>
      <c r="BJ2704">
        <v>1</v>
      </c>
      <c r="BK2704">
        <v>1</v>
      </c>
      <c r="BL2704">
        <v>0</v>
      </c>
      <c r="BO2704">
        <v>0</v>
      </c>
      <c r="BP2704">
        <v>0</v>
      </c>
      <c r="BW2704" t="str">
        <f>"20:28:58.762"</f>
        <v>20:28:58.762</v>
      </c>
      <c r="BZ2704">
        <v>0</v>
      </c>
      <c r="CA2704">
        <v>1792</v>
      </c>
      <c r="CB2704">
        <v>224</v>
      </c>
      <c r="CD2704">
        <v>1</v>
      </c>
      <c r="CE2704">
        <v>0</v>
      </c>
      <c r="CF2704">
        <v>0</v>
      </c>
      <c r="CG2704">
        <v>0</v>
      </c>
      <c r="CH2704">
        <v>0</v>
      </c>
      <c r="CI2704">
        <v>0</v>
      </c>
      <c r="CJ2704">
        <v>0</v>
      </c>
      <c r="CK2704">
        <v>2</v>
      </c>
      <c r="CL2704">
        <v>0</v>
      </c>
      <c r="CM2704">
        <v>2</v>
      </c>
      <c r="CN2704">
        <v>0</v>
      </c>
      <c r="CO2704">
        <v>7</v>
      </c>
      <c r="CP2704" t="s">
        <v>119</v>
      </c>
      <c r="CQ2704">
        <v>180</v>
      </c>
      <c r="CR2704">
        <v>2</v>
      </c>
      <c r="CW2704">
        <v>8603698</v>
      </c>
      <c r="CY2704">
        <v>1</v>
      </c>
      <c r="CZ2704">
        <v>0</v>
      </c>
      <c r="DA2704">
        <v>1</v>
      </c>
      <c r="DB2704">
        <v>0</v>
      </c>
      <c r="DC2704">
        <v>0</v>
      </c>
      <c r="DD2704">
        <v>0</v>
      </c>
      <c r="DE2704">
        <v>0</v>
      </c>
      <c r="DF2704">
        <v>0</v>
      </c>
      <c r="DG2704">
        <v>0</v>
      </c>
      <c r="DH2704">
        <v>0</v>
      </c>
      <c r="DI2704">
        <v>0</v>
      </c>
    </row>
    <row r="2705" spans="1:113" x14ac:dyDescent="0.3">
      <c r="A2705" t="str">
        <f>"02/08/2021 20:28:56.425"</f>
        <v>02/08/2021 20:28:56.425</v>
      </c>
      <c r="C2705" t="str">
        <f t="shared" si="129"/>
        <v>FFDFD7C0</v>
      </c>
      <c r="D2705" t="s">
        <v>124</v>
      </c>
      <c r="E2705">
        <v>12</v>
      </c>
      <c r="F2705">
        <v>1012</v>
      </c>
      <c r="G2705" t="s">
        <v>675</v>
      </c>
      <c r="J2705" t="s">
        <v>125</v>
      </c>
      <c r="K2705">
        <v>0</v>
      </c>
      <c r="L2705">
        <v>3</v>
      </c>
      <c r="M2705">
        <v>0</v>
      </c>
      <c r="N2705">
        <v>2</v>
      </c>
      <c r="O2705">
        <v>1</v>
      </c>
      <c r="P2705">
        <v>0</v>
      </c>
      <c r="Q2705">
        <v>0</v>
      </c>
      <c r="S2705" t="str">
        <f>"20:28:58.758"</f>
        <v>20:28:58.758</v>
      </c>
      <c r="T2705" t="str">
        <f>"20:28:58.258"</f>
        <v>20:28:58.258</v>
      </c>
      <c r="U2705" t="str">
        <f t="shared" si="131"/>
        <v>AB01F4</v>
      </c>
      <c r="V2705">
        <v>0</v>
      </c>
      <c r="W2705">
        <v>0</v>
      </c>
      <c r="X2705">
        <v>2</v>
      </c>
      <c r="Z2705">
        <v>0</v>
      </c>
      <c r="AA2705">
        <v>9</v>
      </c>
      <c r="AB2705">
        <v>3</v>
      </c>
      <c r="AC2705">
        <v>0</v>
      </c>
      <c r="AD2705">
        <v>10</v>
      </c>
      <c r="AE2705">
        <v>0</v>
      </c>
      <c r="AF2705">
        <v>3</v>
      </c>
      <c r="AG2705">
        <v>2</v>
      </c>
      <c r="AH2705">
        <v>0</v>
      </c>
      <c r="AI2705" t="s">
        <v>1601</v>
      </c>
      <c r="AJ2705">
        <v>40.016928</v>
      </c>
      <c r="AK2705" t="s">
        <v>1602</v>
      </c>
      <c r="AL2705">
        <v>-92.778447</v>
      </c>
      <c r="AM2705">
        <v>100</v>
      </c>
      <c r="AN2705">
        <v>1600</v>
      </c>
      <c r="AO2705" t="s">
        <v>118</v>
      </c>
      <c r="AP2705">
        <v>-110</v>
      </c>
      <c r="AQ2705">
        <v>79</v>
      </c>
      <c r="AR2705">
        <v>-128</v>
      </c>
      <c r="AZ2705">
        <v>1200</v>
      </c>
      <c r="BA2705">
        <v>1</v>
      </c>
      <c r="BB2705" t="str">
        <f t="shared" si="130"/>
        <v xml:space="preserve">N8080G  </v>
      </c>
      <c r="BC2705">
        <v>1</v>
      </c>
      <c r="BE2705">
        <v>0</v>
      </c>
      <c r="BF2705">
        <v>0</v>
      </c>
      <c r="BG2705">
        <v>0</v>
      </c>
      <c r="BH2705">
        <v>1625</v>
      </c>
      <c r="BI2705">
        <v>1</v>
      </c>
      <c r="BJ2705">
        <v>1</v>
      </c>
      <c r="BK2705">
        <v>1</v>
      </c>
      <c r="BL2705">
        <v>0</v>
      </c>
      <c r="BO2705">
        <v>0</v>
      </c>
      <c r="BP2705">
        <v>0</v>
      </c>
      <c r="BW2705" t="str">
        <f>"20:28:58.762"</f>
        <v>20:28:58.762</v>
      </c>
      <c r="BZ2705">
        <v>0</v>
      </c>
      <c r="CA2705">
        <v>1792</v>
      </c>
      <c r="CB2705">
        <v>224</v>
      </c>
      <c r="CD2705">
        <v>1</v>
      </c>
      <c r="CE2705">
        <v>0</v>
      </c>
      <c r="CF2705">
        <v>0</v>
      </c>
      <c r="CG2705">
        <v>0</v>
      </c>
      <c r="CH2705">
        <v>0</v>
      </c>
      <c r="CI2705">
        <v>0</v>
      </c>
      <c r="CJ2705">
        <v>0</v>
      </c>
      <c r="CK2705">
        <v>2</v>
      </c>
      <c r="CL2705">
        <v>0</v>
      </c>
      <c r="CM2705">
        <v>2</v>
      </c>
      <c r="CN2705">
        <v>0</v>
      </c>
      <c r="CO2705">
        <v>7</v>
      </c>
      <c r="CP2705" t="s">
        <v>119</v>
      </c>
      <c r="CQ2705">
        <v>180</v>
      </c>
      <c r="CR2705">
        <v>2</v>
      </c>
      <c r="CW2705">
        <v>8603698</v>
      </c>
      <c r="CY2705">
        <v>1</v>
      </c>
      <c r="CZ2705">
        <v>0</v>
      </c>
      <c r="DA2705">
        <v>1</v>
      </c>
      <c r="DB2705">
        <v>0</v>
      </c>
      <c r="DC2705">
        <v>0</v>
      </c>
      <c r="DD2705">
        <v>0</v>
      </c>
      <c r="DE2705">
        <v>0</v>
      </c>
      <c r="DF2705">
        <v>0</v>
      </c>
      <c r="DG2705">
        <v>0</v>
      </c>
      <c r="DH2705">
        <v>0</v>
      </c>
      <c r="DI2705">
        <v>0</v>
      </c>
    </row>
    <row r="2706" spans="1:113" x14ac:dyDescent="0.3">
      <c r="A2706" t="str">
        <f>"02/08/2021 20:28:56.425"</f>
        <v>02/08/2021 20:28:56.425</v>
      </c>
      <c r="C2706" t="str">
        <f t="shared" si="129"/>
        <v>FFDFD7C0</v>
      </c>
      <c r="D2706" t="s">
        <v>124</v>
      </c>
      <c r="E2706">
        <v>11</v>
      </c>
      <c r="F2706">
        <v>1011</v>
      </c>
      <c r="G2706" t="s">
        <v>590</v>
      </c>
      <c r="J2706" t="s">
        <v>125</v>
      </c>
      <c r="K2706">
        <v>0</v>
      </c>
      <c r="L2706">
        <v>3</v>
      </c>
      <c r="M2706">
        <v>0</v>
      </c>
      <c r="N2706">
        <v>2</v>
      </c>
      <c r="O2706">
        <v>1</v>
      </c>
      <c r="P2706">
        <v>0</v>
      </c>
      <c r="Q2706">
        <v>0</v>
      </c>
      <c r="S2706" t="str">
        <f>"20:28:58.758"</f>
        <v>20:28:58.758</v>
      </c>
      <c r="T2706" t="str">
        <f>"20:28:58.258"</f>
        <v>20:28:58.258</v>
      </c>
      <c r="U2706" t="str">
        <f t="shared" si="131"/>
        <v>AB01F4</v>
      </c>
      <c r="V2706">
        <v>0</v>
      </c>
      <c r="W2706">
        <v>0</v>
      </c>
      <c r="X2706">
        <v>2</v>
      </c>
      <c r="Z2706">
        <v>0</v>
      </c>
      <c r="AA2706">
        <v>9</v>
      </c>
      <c r="AB2706">
        <v>3</v>
      </c>
      <c r="AC2706">
        <v>0</v>
      </c>
      <c r="AD2706">
        <v>10</v>
      </c>
      <c r="AE2706">
        <v>0</v>
      </c>
      <c r="AF2706">
        <v>3</v>
      </c>
      <c r="AG2706">
        <v>2</v>
      </c>
      <c r="AH2706">
        <v>0</v>
      </c>
      <c r="AI2706" t="s">
        <v>1601</v>
      </c>
      <c r="AJ2706">
        <v>40.016928</v>
      </c>
      <c r="AK2706" t="s">
        <v>1602</v>
      </c>
      <c r="AL2706">
        <v>-92.778447</v>
      </c>
      <c r="AM2706">
        <v>100</v>
      </c>
      <c r="AN2706">
        <v>1600</v>
      </c>
      <c r="AO2706" t="s">
        <v>118</v>
      </c>
      <c r="AP2706">
        <v>-110</v>
      </c>
      <c r="AQ2706">
        <v>79</v>
      </c>
      <c r="AR2706">
        <v>-128</v>
      </c>
      <c r="AZ2706">
        <v>1200</v>
      </c>
      <c r="BA2706">
        <v>1</v>
      </c>
      <c r="BB2706" t="str">
        <f t="shared" si="130"/>
        <v xml:space="preserve">N8080G  </v>
      </c>
      <c r="BC2706">
        <v>1</v>
      </c>
      <c r="BE2706">
        <v>0</v>
      </c>
      <c r="BF2706">
        <v>0</v>
      </c>
      <c r="BG2706">
        <v>0</v>
      </c>
      <c r="BH2706">
        <v>1625</v>
      </c>
      <c r="BI2706">
        <v>1</v>
      </c>
      <c r="BJ2706">
        <v>1</v>
      </c>
      <c r="BK2706">
        <v>1</v>
      </c>
      <c r="BL2706">
        <v>0</v>
      </c>
      <c r="BO2706">
        <v>0</v>
      </c>
      <c r="BP2706">
        <v>0</v>
      </c>
      <c r="BW2706" t="str">
        <f>"20:28:58.762"</f>
        <v>20:28:58.762</v>
      </c>
      <c r="BZ2706">
        <v>0</v>
      </c>
      <c r="CA2706">
        <v>1792</v>
      </c>
      <c r="CB2706">
        <v>224</v>
      </c>
      <c r="CD2706">
        <v>1</v>
      </c>
      <c r="CE2706">
        <v>0</v>
      </c>
      <c r="CF2706">
        <v>0</v>
      </c>
      <c r="CG2706">
        <v>0</v>
      </c>
      <c r="CH2706">
        <v>0</v>
      </c>
      <c r="CI2706">
        <v>0</v>
      </c>
      <c r="CJ2706">
        <v>0</v>
      </c>
      <c r="CK2706">
        <v>2</v>
      </c>
      <c r="CL2706">
        <v>0</v>
      </c>
      <c r="CM2706">
        <v>2</v>
      </c>
      <c r="CN2706">
        <v>0</v>
      </c>
      <c r="CO2706">
        <v>7</v>
      </c>
      <c r="CP2706" t="s">
        <v>119</v>
      </c>
      <c r="CQ2706">
        <v>180</v>
      </c>
      <c r="CR2706">
        <v>2</v>
      </c>
      <c r="CW2706">
        <v>8603698</v>
      </c>
      <c r="CY2706">
        <v>1</v>
      </c>
      <c r="CZ2706">
        <v>0</v>
      </c>
      <c r="DA2706">
        <v>1</v>
      </c>
      <c r="DB2706">
        <v>0</v>
      </c>
      <c r="DC2706">
        <v>0</v>
      </c>
      <c r="DD2706">
        <v>0</v>
      </c>
      <c r="DE2706">
        <v>0</v>
      </c>
      <c r="DF2706">
        <v>0</v>
      </c>
      <c r="DG2706">
        <v>0</v>
      </c>
      <c r="DH2706">
        <v>0</v>
      </c>
      <c r="DI2706">
        <v>0</v>
      </c>
    </row>
    <row r="2707" spans="1:113" x14ac:dyDescent="0.3">
      <c r="A2707" t="str">
        <f>"02/08/2021 20:28:57.429"</f>
        <v>02/08/2021 20:28:57.429</v>
      </c>
      <c r="C2707" t="str">
        <f t="shared" si="129"/>
        <v>FFDFD7C0</v>
      </c>
      <c r="D2707" t="s">
        <v>124</v>
      </c>
      <c r="E2707">
        <v>13</v>
      </c>
      <c r="F2707">
        <v>1013</v>
      </c>
      <c r="G2707" t="s">
        <v>114</v>
      </c>
      <c r="J2707" t="s">
        <v>125</v>
      </c>
      <c r="K2707">
        <v>0</v>
      </c>
      <c r="L2707">
        <v>3</v>
      </c>
      <c r="M2707">
        <v>0</v>
      </c>
      <c r="N2707">
        <v>2</v>
      </c>
      <c r="O2707">
        <v>1</v>
      </c>
      <c r="P2707">
        <v>0</v>
      </c>
      <c r="Q2707">
        <v>0</v>
      </c>
      <c r="S2707" t="str">
        <f>"20:28:59.781"</f>
        <v>20:28:59.781</v>
      </c>
      <c r="T2707" t="str">
        <f>"20:28:59.281"</f>
        <v>20:28:59.281</v>
      </c>
      <c r="U2707" t="str">
        <f t="shared" si="131"/>
        <v>AB01F4</v>
      </c>
      <c r="V2707">
        <v>0</v>
      </c>
      <c r="W2707">
        <v>0</v>
      </c>
      <c r="X2707">
        <v>2</v>
      </c>
      <c r="Z2707">
        <v>0</v>
      </c>
      <c r="AA2707">
        <v>9</v>
      </c>
      <c r="AB2707">
        <v>3</v>
      </c>
      <c r="AC2707">
        <v>0</v>
      </c>
      <c r="AD2707">
        <v>10</v>
      </c>
      <c r="AE2707">
        <v>0</v>
      </c>
      <c r="AF2707">
        <v>3</v>
      </c>
      <c r="AG2707">
        <v>2</v>
      </c>
      <c r="AH2707">
        <v>0</v>
      </c>
      <c r="AI2707" t="s">
        <v>1603</v>
      </c>
      <c r="AJ2707">
        <v>40.017291999999998</v>
      </c>
      <c r="AK2707" t="s">
        <v>1604</v>
      </c>
      <c r="AL2707">
        <v>-92.779111999999998</v>
      </c>
      <c r="AM2707">
        <v>100</v>
      </c>
      <c r="AN2707">
        <v>1600</v>
      </c>
      <c r="AO2707" t="s">
        <v>118</v>
      </c>
      <c r="AP2707">
        <v>-110</v>
      </c>
      <c r="AQ2707">
        <v>80</v>
      </c>
      <c r="AR2707">
        <v>-192</v>
      </c>
      <c r="AZ2707">
        <v>1200</v>
      </c>
      <c r="BA2707">
        <v>1</v>
      </c>
      <c r="BB2707" t="str">
        <f t="shared" si="130"/>
        <v xml:space="preserve">N8080G  </v>
      </c>
      <c r="BC2707">
        <v>1</v>
      </c>
      <c r="BE2707">
        <v>0</v>
      </c>
      <c r="BF2707">
        <v>0</v>
      </c>
      <c r="BG2707">
        <v>0</v>
      </c>
      <c r="BH2707">
        <v>1600</v>
      </c>
      <c r="BI2707">
        <v>1</v>
      </c>
      <c r="BJ2707">
        <v>1</v>
      </c>
      <c r="BK2707">
        <v>1</v>
      </c>
      <c r="BL2707">
        <v>0</v>
      </c>
      <c r="BO2707">
        <v>0</v>
      </c>
      <c r="BP2707">
        <v>0</v>
      </c>
      <c r="BW2707" t="str">
        <f>"20:28:59.783"</f>
        <v>20:28:59.783</v>
      </c>
      <c r="BZ2707">
        <v>0</v>
      </c>
      <c r="CA2707">
        <v>1792</v>
      </c>
      <c r="CB2707">
        <v>224</v>
      </c>
      <c r="CD2707">
        <v>1</v>
      </c>
      <c r="CE2707">
        <v>0</v>
      </c>
      <c r="CF2707">
        <v>0</v>
      </c>
      <c r="CG2707">
        <v>0</v>
      </c>
      <c r="CH2707">
        <v>0</v>
      </c>
      <c r="CI2707">
        <v>0</v>
      </c>
      <c r="CJ2707">
        <v>0</v>
      </c>
      <c r="CK2707">
        <v>2</v>
      </c>
      <c r="CL2707">
        <v>0</v>
      </c>
      <c r="CM2707">
        <v>2</v>
      </c>
      <c r="CN2707">
        <v>0</v>
      </c>
      <c r="CO2707">
        <v>7</v>
      </c>
      <c r="CP2707" t="s">
        <v>119</v>
      </c>
      <c r="CQ2707">
        <v>180</v>
      </c>
      <c r="CR2707">
        <v>3</v>
      </c>
      <c r="CW2707">
        <v>958113</v>
      </c>
      <c r="CY2707">
        <v>1</v>
      </c>
      <c r="CZ2707">
        <v>0</v>
      </c>
      <c r="DA2707">
        <v>0</v>
      </c>
      <c r="DB2707">
        <v>0</v>
      </c>
      <c r="DC2707">
        <v>0</v>
      </c>
      <c r="DD2707">
        <v>0</v>
      </c>
      <c r="DE2707">
        <v>0</v>
      </c>
      <c r="DF2707">
        <v>0</v>
      </c>
      <c r="DG2707">
        <v>0</v>
      </c>
      <c r="DH2707">
        <v>0</v>
      </c>
      <c r="DI2707">
        <v>0</v>
      </c>
    </row>
    <row r="2708" spans="1:113" x14ac:dyDescent="0.3">
      <c r="A2708" t="str">
        <f>"02/08/2021 20:28:57.429"</f>
        <v>02/08/2021 20:28:57.429</v>
      </c>
      <c r="C2708" t="str">
        <f t="shared" si="129"/>
        <v>FFDFD7C0</v>
      </c>
      <c r="D2708" t="s">
        <v>124</v>
      </c>
      <c r="E2708">
        <v>12</v>
      </c>
      <c r="F2708">
        <v>1012</v>
      </c>
      <c r="G2708" t="s">
        <v>675</v>
      </c>
      <c r="J2708" t="s">
        <v>125</v>
      </c>
      <c r="K2708">
        <v>0</v>
      </c>
      <c r="L2708">
        <v>3</v>
      </c>
      <c r="M2708">
        <v>0</v>
      </c>
      <c r="N2708">
        <v>2</v>
      </c>
      <c r="O2708">
        <v>1</v>
      </c>
      <c r="P2708">
        <v>0</v>
      </c>
      <c r="Q2708">
        <v>0</v>
      </c>
      <c r="S2708" t="str">
        <f>"20:28:59.781"</f>
        <v>20:28:59.781</v>
      </c>
      <c r="T2708" t="str">
        <f>"20:28:59.281"</f>
        <v>20:28:59.281</v>
      </c>
      <c r="U2708" t="str">
        <f t="shared" si="131"/>
        <v>AB01F4</v>
      </c>
      <c r="V2708">
        <v>0</v>
      </c>
      <c r="W2708">
        <v>0</v>
      </c>
      <c r="X2708">
        <v>2</v>
      </c>
      <c r="Z2708">
        <v>0</v>
      </c>
      <c r="AA2708">
        <v>9</v>
      </c>
      <c r="AB2708">
        <v>3</v>
      </c>
      <c r="AC2708">
        <v>0</v>
      </c>
      <c r="AD2708">
        <v>10</v>
      </c>
      <c r="AE2708">
        <v>0</v>
      </c>
      <c r="AF2708">
        <v>3</v>
      </c>
      <c r="AG2708">
        <v>2</v>
      </c>
      <c r="AH2708">
        <v>0</v>
      </c>
      <c r="AI2708" t="s">
        <v>1603</v>
      </c>
      <c r="AJ2708">
        <v>40.017291999999998</v>
      </c>
      <c r="AK2708" t="s">
        <v>1604</v>
      </c>
      <c r="AL2708">
        <v>-92.779111999999998</v>
      </c>
      <c r="AM2708">
        <v>100</v>
      </c>
      <c r="AN2708">
        <v>1600</v>
      </c>
      <c r="AO2708" t="s">
        <v>118</v>
      </c>
      <c r="AP2708">
        <v>-110</v>
      </c>
      <c r="AQ2708">
        <v>80</v>
      </c>
      <c r="AR2708">
        <v>-192</v>
      </c>
      <c r="AZ2708">
        <v>1200</v>
      </c>
      <c r="BA2708">
        <v>1</v>
      </c>
      <c r="BB2708" t="str">
        <f t="shared" si="130"/>
        <v xml:space="preserve">N8080G  </v>
      </c>
      <c r="BC2708">
        <v>1</v>
      </c>
      <c r="BE2708">
        <v>0</v>
      </c>
      <c r="BF2708">
        <v>0</v>
      </c>
      <c r="BG2708">
        <v>0</v>
      </c>
      <c r="BH2708">
        <v>1600</v>
      </c>
      <c r="BI2708">
        <v>1</v>
      </c>
      <c r="BJ2708">
        <v>1</v>
      </c>
      <c r="BK2708">
        <v>1</v>
      </c>
      <c r="BL2708">
        <v>0</v>
      </c>
      <c r="BO2708">
        <v>0</v>
      </c>
      <c r="BP2708">
        <v>0</v>
      </c>
      <c r="BW2708" t="str">
        <f>"20:28:59.783"</f>
        <v>20:28:59.783</v>
      </c>
      <c r="BZ2708">
        <v>0</v>
      </c>
      <c r="CA2708">
        <v>1792</v>
      </c>
      <c r="CB2708">
        <v>224</v>
      </c>
      <c r="CD2708">
        <v>1</v>
      </c>
      <c r="CE2708">
        <v>0</v>
      </c>
      <c r="CF2708">
        <v>0</v>
      </c>
      <c r="CG2708">
        <v>0</v>
      </c>
      <c r="CH2708">
        <v>0</v>
      </c>
      <c r="CI2708">
        <v>0</v>
      </c>
      <c r="CJ2708">
        <v>0</v>
      </c>
      <c r="CK2708">
        <v>2</v>
      </c>
      <c r="CL2708">
        <v>0</v>
      </c>
      <c r="CM2708">
        <v>2</v>
      </c>
      <c r="CN2708">
        <v>0</v>
      </c>
      <c r="CO2708">
        <v>7</v>
      </c>
      <c r="CP2708" t="s">
        <v>119</v>
      </c>
      <c r="CQ2708">
        <v>180</v>
      </c>
      <c r="CR2708">
        <v>3</v>
      </c>
      <c r="CW2708">
        <v>958113</v>
      </c>
      <c r="CY2708">
        <v>1</v>
      </c>
      <c r="CZ2708">
        <v>0</v>
      </c>
      <c r="DA2708">
        <v>1</v>
      </c>
      <c r="DB2708">
        <v>0</v>
      </c>
      <c r="DC2708">
        <v>0</v>
      </c>
      <c r="DD2708">
        <v>0</v>
      </c>
      <c r="DE2708">
        <v>0</v>
      </c>
      <c r="DF2708">
        <v>0</v>
      </c>
      <c r="DG2708">
        <v>0</v>
      </c>
      <c r="DH2708">
        <v>0</v>
      </c>
      <c r="DI2708">
        <v>0</v>
      </c>
    </row>
    <row r="2709" spans="1:113" x14ac:dyDescent="0.3">
      <c r="A2709" t="str">
        <f>"02/08/2021 20:28:57.429"</f>
        <v>02/08/2021 20:28:57.429</v>
      </c>
      <c r="C2709" t="str">
        <f t="shared" si="129"/>
        <v>FFDFD7C0</v>
      </c>
      <c r="D2709" t="s">
        <v>113</v>
      </c>
      <c r="E2709">
        <v>6</v>
      </c>
      <c r="H2709">
        <v>165</v>
      </c>
      <c r="I2709" t="s">
        <v>114</v>
      </c>
      <c r="J2709" t="s">
        <v>115</v>
      </c>
      <c r="K2709">
        <v>0</v>
      </c>
      <c r="L2709">
        <v>3</v>
      </c>
      <c r="M2709">
        <v>0</v>
      </c>
      <c r="N2709">
        <v>2</v>
      </c>
      <c r="O2709">
        <v>1</v>
      </c>
      <c r="P2709">
        <v>0</v>
      </c>
      <c r="Q2709">
        <v>0</v>
      </c>
      <c r="S2709" t="str">
        <f>"20:28:59.781"</f>
        <v>20:28:59.781</v>
      </c>
      <c r="T2709" t="str">
        <f>"20:28:59.281"</f>
        <v>20:28:59.281</v>
      </c>
      <c r="U2709" t="str">
        <f t="shared" si="131"/>
        <v>AB01F4</v>
      </c>
      <c r="V2709">
        <v>0</v>
      </c>
      <c r="W2709">
        <v>0</v>
      </c>
      <c r="X2709">
        <v>2</v>
      </c>
      <c r="Z2709">
        <v>0</v>
      </c>
      <c r="AA2709">
        <v>9</v>
      </c>
      <c r="AB2709">
        <v>3</v>
      </c>
      <c r="AC2709">
        <v>0</v>
      </c>
      <c r="AD2709">
        <v>10</v>
      </c>
      <c r="AE2709">
        <v>0</v>
      </c>
      <c r="AF2709">
        <v>3</v>
      </c>
      <c r="AG2709">
        <v>2</v>
      </c>
      <c r="AH2709">
        <v>0</v>
      </c>
      <c r="AI2709" t="s">
        <v>1603</v>
      </c>
      <c r="AJ2709">
        <v>40.017291999999998</v>
      </c>
      <c r="AK2709" t="s">
        <v>1604</v>
      </c>
      <c r="AL2709">
        <v>-92.779111999999998</v>
      </c>
      <c r="AM2709">
        <v>100</v>
      </c>
      <c r="AN2709">
        <v>1600</v>
      </c>
      <c r="AO2709" t="s">
        <v>118</v>
      </c>
      <c r="AP2709">
        <v>-110</v>
      </c>
      <c r="AQ2709">
        <v>80</v>
      </c>
      <c r="AR2709">
        <v>-192</v>
      </c>
      <c r="AZ2709">
        <v>1200</v>
      </c>
      <c r="BA2709">
        <v>1</v>
      </c>
      <c r="BB2709" t="str">
        <f t="shared" si="130"/>
        <v xml:space="preserve">N8080G  </v>
      </c>
      <c r="BC2709">
        <v>1</v>
      </c>
      <c r="BE2709">
        <v>0</v>
      </c>
      <c r="BF2709">
        <v>0</v>
      </c>
      <c r="BG2709">
        <v>0</v>
      </c>
      <c r="BH2709">
        <v>1600</v>
      </c>
      <c r="BI2709">
        <v>1</v>
      </c>
      <c r="BJ2709">
        <v>1</v>
      </c>
      <c r="BK2709">
        <v>1</v>
      </c>
      <c r="BL2709">
        <v>0</v>
      </c>
      <c r="BO2709">
        <v>0</v>
      </c>
      <c r="BP2709">
        <v>0</v>
      </c>
      <c r="BW2709" t="str">
        <f>"20:28:59.783"</f>
        <v>20:28:59.783</v>
      </c>
      <c r="BZ2709">
        <v>0</v>
      </c>
      <c r="CA2709">
        <v>1792</v>
      </c>
      <c r="CB2709">
        <v>224</v>
      </c>
      <c r="CD2709">
        <v>1</v>
      </c>
      <c r="CE2709">
        <v>0</v>
      </c>
      <c r="CF2709">
        <v>0</v>
      </c>
      <c r="CG2709">
        <v>0</v>
      </c>
      <c r="CH2709">
        <v>0</v>
      </c>
      <c r="CI2709">
        <v>0</v>
      </c>
      <c r="CJ2709">
        <v>0</v>
      </c>
      <c r="CK2709">
        <v>2</v>
      </c>
      <c r="CL2709">
        <v>0</v>
      </c>
      <c r="CM2709">
        <v>2</v>
      </c>
      <c r="CN2709">
        <v>0</v>
      </c>
      <c r="CO2709">
        <v>7</v>
      </c>
      <c r="CP2709" t="s">
        <v>119</v>
      </c>
      <c r="CQ2709">
        <v>180</v>
      </c>
      <c r="CR2709">
        <v>3</v>
      </c>
      <c r="CW2709">
        <v>958113</v>
      </c>
      <c r="CY2709">
        <v>1</v>
      </c>
      <c r="CZ2709">
        <v>0</v>
      </c>
      <c r="DA2709">
        <v>1</v>
      </c>
      <c r="DB2709">
        <v>0</v>
      </c>
      <c r="DC2709">
        <v>0</v>
      </c>
      <c r="DD2709">
        <v>0</v>
      </c>
      <c r="DE2709">
        <v>0</v>
      </c>
      <c r="DF2709">
        <v>0</v>
      </c>
      <c r="DG2709">
        <v>0</v>
      </c>
      <c r="DH2709">
        <v>0</v>
      </c>
      <c r="DI2709">
        <v>0</v>
      </c>
    </row>
    <row r="2710" spans="1:113" x14ac:dyDescent="0.3">
      <c r="A2710" t="str">
        <f>"02/08/2021 20:28:57.429"</f>
        <v>02/08/2021 20:28:57.429</v>
      </c>
      <c r="C2710" t="str">
        <f t="shared" si="129"/>
        <v>FFDFD7C0</v>
      </c>
      <c r="D2710" t="s">
        <v>124</v>
      </c>
      <c r="E2710">
        <v>11</v>
      </c>
      <c r="F2710">
        <v>1011</v>
      </c>
      <c r="G2710" t="s">
        <v>590</v>
      </c>
      <c r="J2710" t="s">
        <v>125</v>
      </c>
      <c r="K2710">
        <v>0</v>
      </c>
      <c r="L2710">
        <v>3</v>
      </c>
      <c r="M2710">
        <v>0</v>
      </c>
      <c r="N2710">
        <v>2</v>
      </c>
      <c r="O2710">
        <v>1</v>
      </c>
      <c r="P2710">
        <v>0</v>
      </c>
      <c r="Q2710">
        <v>0</v>
      </c>
      <c r="S2710" t="str">
        <f>"20:28:59.781"</f>
        <v>20:28:59.781</v>
      </c>
      <c r="T2710" t="str">
        <f>"20:28:59.281"</f>
        <v>20:28:59.281</v>
      </c>
      <c r="U2710" t="str">
        <f t="shared" si="131"/>
        <v>AB01F4</v>
      </c>
      <c r="V2710">
        <v>0</v>
      </c>
      <c r="W2710">
        <v>0</v>
      </c>
      <c r="X2710">
        <v>2</v>
      </c>
      <c r="Z2710">
        <v>0</v>
      </c>
      <c r="AA2710">
        <v>9</v>
      </c>
      <c r="AB2710">
        <v>3</v>
      </c>
      <c r="AC2710">
        <v>0</v>
      </c>
      <c r="AD2710">
        <v>10</v>
      </c>
      <c r="AE2710">
        <v>0</v>
      </c>
      <c r="AF2710">
        <v>3</v>
      </c>
      <c r="AG2710">
        <v>2</v>
      </c>
      <c r="AH2710">
        <v>0</v>
      </c>
      <c r="AI2710" t="s">
        <v>1603</v>
      </c>
      <c r="AJ2710">
        <v>40.017291999999998</v>
      </c>
      <c r="AK2710" t="s">
        <v>1604</v>
      </c>
      <c r="AL2710">
        <v>-92.779111999999998</v>
      </c>
      <c r="AM2710">
        <v>100</v>
      </c>
      <c r="AN2710">
        <v>1600</v>
      </c>
      <c r="AO2710" t="s">
        <v>118</v>
      </c>
      <c r="AP2710">
        <v>-110</v>
      </c>
      <c r="AQ2710">
        <v>80</v>
      </c>
      <c r="AR2710">
        <v>-192</v>
      </c>
      <c r="AZ2710">
        <v>1200</v>
      </c>
      <c r="BA2710">
        <v>1</v>
      </c>
      <c r="BB2710" t="str">
        <f t="shared" si="130"/>
        <v xml:space="preserve">N8080G  </v>
      </c>
      <c r="BC2710">
        <v>1</v>
      </c>
      <c r="BE2710">
        <v>0</v>
      </c>
      <c r="BF2710">
        <v>0</v>
      </c>
      <c r="BG2710">
        <v>0</v>
      </c>
      <c r="BH2710">
        <v>1600</v>
      </c>
      <c r="BI2710">
        <v>1</v>
      </c>
      <c r="BJ2710">
        <v>1</v>
      </c>
      <c r="BK2710">
        <v>1</v>
      </c>
      <c r="BL2710">
        <v>0</v>
      </c>
      <c r="BO2710">
        <v>0</v>
      </c>
      <c r="BP2710">
        <v>0</v>
      </c>
      <c r="BW2710" t="str">
        <f>"20:28:59.783"</f>
        <v>20:28:59.783</v>
      </c>
      <c r="BZ2710">
        <v>0</v>
      </c>
      <c r="CA2710">
        <v>1792</v>
      </c>
      <c r="CB2710">
        <v>224</v>
      </c>
      <c r="CD2710">
        <v>1</v>
      </c>
      <c r="CE2710">
        <v>0</v>
      </c>
      <c r="CF2710">
        <v>0</v>
      </c>
      <c r="CG2710">
        <v>0</v>
      </c>
      <c r="CH2710">
        <v>0</v>
      </c>
      <c r="CI2710">
        <v>0</v>
      </c>
      <c r="CJ2710">
        <v>0</v>
      </c>
      <c r="CK2710">
        <v>2</v>
      </c>
      <c r="CL2710">
        <v>0</v>
      </c>
      <c r="CM2710">
        <v>2</v>
      </c>
      <c r="CN2710">
        <v>0</v>
      </c>
      <c r="CO2710">
        <v>7</v>
      </c>
      <c r="CP2710" t="s">
        <v>119</v>
      </c>
      <c r="CQ2710">
        <v>180</v>
      </c>
      <c r="CR2710">
        <v>3</v>
      </c>
      <c r="CW2710">
        <v>958113</v>
      </c>
      <c r="CY2710">
        <v>1</v>
      </c>
      <c r="CZ2710">
        <v>0</v>
      </c>
      <c r="DA2710">
        <v>1</v>
      </c>
      <c r="DB2710">
        <v>0</v>
      </c>
      <c r="DC2710">
        <v>0</v>
      </c>
      <c r="DD2710">
        <v>0</v>
      </c>
      <c r="DE2710">
        <v>0</v>
      </c>
      <c r="DF2710">
        <v>0</v>
      </c>
      <c r="DG2710">
        <v>0</v>
      </c>
      <c r="DH2710">
        <v>0</v>
      </c>
      <c r="DI2710">
        <v>0</v>
      </c>
    </row>
    <row r="2711" spans="1:113" x14ac:dyDescent="0.3">
      <c r="A2711" t="str">
        <f>"02/08/2021 20:28:58.472"</f>
        <v>02/08/2021 20:28:58.472</v>
      </c>
      <c r="C2711" t="str">
        <f t="shared" si="129"/>
        <v>FFDFD7C0</v>
      </c>
      <c r="D2711" t="s">
        <v>124</v>
      </c>
      <c r="E2711">
        <v>11</v>
      </c>
      <c r="F2711">
        <v>1011</v>
      </c>
      <c r="G2711" t="s">
        <v>590</v>
      </c>
      <c r="J2711" t="s">
        <v>125</v>
      </c>
      <c r="K2711">
        <v>0</v>
      </c>
      <c r="L2711">
        <v>3</v>
      </c>
      <c r="M2711">
        <v>0</v>
      </c>
      <c r="N2711">
        <v>2</v>
      </c>
      <c r="O2711">
        <v>1</v>
      </c>
      <c r="P2711">
        <v>0</v>
      </c>
      <c r="Q2711">
        <v>0</v>
      </c>
      <c r="S2711" t="str">
        <f>"20:29:00.781"</f>
        <v>20:29:00.781</v>
      </c>
      <c r="T2711" t="str">
        <f>"20:29:00.381"</f>
        <v>20:29:00.381</v>
      </c>
      <c r="U2711" t="str">
        <f t="shared" si="131"/>
        <v>AB01F4</v>
      </c>
      <c r="V2711">
        <v>0</v>
      </c>
      <c r="W2711">
        <v>0</v>
      </c>
      <c r="X2711">
        <v>2</v>
      </c>
      <c r="Z2711">
        <v>0</v>
      </c>
      <c r="AA2711">
        <v>9</v>
      </c>
      <c r="AB2711">
        <v>3</v>
      </c>
      <c r="AC2711">
        <v>0</v>
      </c>
      <c r="AD2711">
        <v>10</v>
      </c>
      <c r="AE2711">
        <v>0</v>
      </c>
      <c r="AF2711">
        <v>3</v>
      </c>
      <c r="AG2711">
        <v>2</v>
      </c>
      <c r="AH2711">
        <v>0</v>
      </c>
      <c r="AI2711" t="s">
        <v>1605</v>
      </c>
      <c r="AJ2711">
        <v>40.017657</v>
      </c>
      <c r="AK2711" t="s">
        <v>1606</v>
      </c>
      <c r="AL2711">
        <v>-92.779776999999996</v>
      </c>
      <c r="AM2711">
        <v>100</v>
      </c>
      <c r="AN2711">
        <v>1600</v>
      </c>
      <c r="AO2711" t="s">
        <v>118</v>
      </c>
      <c r="AP2711">
        <v>-110</v>
      </c>
      <c r="AQ2711">
        <v>80</v>
      </c>
      <c r="AR2711">
        <v>-192</v>
      </c>
      <c r="AZ2711">
        <v>1200</v>
      </c>
      <c r="BA2711">
        <v>1</v>
      </c>
      <c r="BB2711" t="str">
        <f t="shared" si="130"/>
        <v xml:space="preserve">N8080G  </v>
      </c>
      <c r="BC2711">
        <v>1</v>
      </c>
      <c r="BE2711">
        <v>0</v>
      </c>
      <c r="BF2711">
        <v>0</v>
      </c>
      <c r="BG2711">
        <v>0</v>
      </c>
      <c r="BH2711">
        <v>1600</v>
      </c>
      <c r="BI2711">
        <v>1</v>
      </c>
      <c r="BJ2711">
        <v>1</v>
      </c>
      <c r="BK2711">
        <v>1</v>
      </c>
      <c r="BL2711">
        <v>0</v>
      </c>
      <c r="BO2711">
        <v>0</v>
      </c>
      <c r="BP2711">
        <v>0</v>
      </c>
      <c r="BW2711" t="str">
        <f>"20:29:00.789"</f>
        <v>20:29:00.789</v>
      </c>
      <c r="BZ2711">
        <v>0</v>
      </c>
      <c r="CA2711">
        <v>1792</v>
      </c>
      <c r="CB2711">
        <v>224</v>
      </c>
      <c r="CD2711">
        <v>1</v>
      </c>
      <c r="CE2711">
        <v>0</v>
      </c>
      <c r="CF2711">
        <v>0</v>
      </c>
      <c r="CG2711">
        <v>0</v>
      </c>
      <c r="CH2711">
        <v>0</v>
      </c>
      <c r="CI2711">
        <v>0</v>
      </c>
      <c r="CJ2711">
        <v>0</v>
      </c>
      <c r="CK2711">
        <v>2</v>
      </c>
      <c r="CL2711">
        <v>0</v>
      </c>
      <c r="CM2711">
        <v>2</v>
      </c>
      <c r="CN2711">
        <v>0</v>
      </c>
      <c r="CO2711">
        <v>4</v>
      </c>
      <c r="CP2711" t="s">
        <v>119</v>
      </c>
      <c r="CQ2711">
        <v>179</v>
      </c>
      <c r="CR2711">
        <v>1</v>
      </c>
      <c r="CW2711">
        <v>9061074</v>
      </c>
      <c r="CY2711">
        <v>1</v>
      </c>
      <c r="CZ2711">
        <v>0</v>
      </c>
      <c r="DA2711">
        <v>0</v>
      </c>
      <c r="DB2711">
        <v>0</v>
      </c>
      <c r="DC2711">
        <v>0</v>
      </c>
      <c r="DD2711">
        <v>0</v>
      </c>
      <c r="DE2711">
        <v>0</v>
      </c>
      <c r="DF2711">
        <v>0</v>
      </c>
      <c r="DG2711">
        <v>0</v>
      </c>
      <c r="DH2711">
        <v>0</v>
      </c>
      <c r="DI2711">
        <v>0</v>
      </c>
    </row>
    <row r="2712" spans="1:113" x14ac:dyDescent="0.3">
      <c r="A2712" t="str">
        <f>"02/08/2021 20:28:58.472"</f>
        <v>02/08/2021 20:28:58.472</v>
      </c>
      <c r="C2712" t="str">
        <f t="shared" si="129"/>
        <v>FFDFD7C0</v>
      </c>
      <c r="D2712" t="s">
        <v>113</v>
      </c>
      <c r="E2712">
        <v>6</v>
      </c>
      <c r="H2712">
        <v>165</v>
      </c>
      <c r="I2712" t="s">
        <v>114</v>
      </c>
      <c r="J2712" t="s">
        <v>115</v>
      </c>
      <c r="K2712">
        <v>0</v>
      </c>
      <c r="L2712">
        <v>3</v>
      </c>
      <c r="M2712">
        <v>0</v>
      </c>
      <c r="N2712">
        <v>2</v>
      </c>
      <c r="O2712">
        <v>1</v>
      </c>
      <c r="P2712">
        <v>0</v>
      </c>
      <c r="Q2712">
        <v>0</v>
      </c>
      <c r="S2712" t="str">
        <f>"20:29:00.781"</f>
        <v>20:29:00.781</v>
      </c>
      <c r="T2712" t="str">
        <f>"20:29:00.381"</f>
        <v>20:29:00.381</v>
      </c>
      <c r="U2712" t="str">
        <f t="shared" si="131"/>
        <v>AB01F4</v>
      </c>
      <c r="V2712">
        <v>0</v>
      </c>
      <c r="W2712">
        <v>0</v>
      </c>
      <c r="X2712">
        <v>2</v>
      </c>
      <c r="Z2712">
        <v>0</v>
      </c>
      <c r="AA2712">
        <v>9</v>
      </c>
      <c r="AB2712">
        <v>3</v>
      </c>
      <c r="AC2712">
        <v>0</v>
      </c>
      <c r="AD2712">
        <v>10</v>
      </c>
      <c r="AE2712">
        <v>0</v>
      </c>
      <c r="AF2712">
        <v>3</v>
      </c>
      <c r="AG2712">
        <v>2</v>
      </c>
      <c r="AH2712">
        <v>0</v>
      </c>
      <c r="AI2712" t="s">
        <v>1605</v>
      </c>
      <c r="AJ2712">
        <v>40.017657</v>
      </c>
      <c r="AK2712" t="s">
        <v>1606</v>
      </c>
      <c r="AL2712">
        <v>-92.779776999999996</v>
      </c>
      <c r="AM2712">
        <v>100</v>
      </c>
      <c r="AN2712">
        <v>1600</v>
      </c>
      <c r="AO2712" t="s">
        <v>118</v>
      </c>
      <c r="AP2712">
        <v>-110</v>
      </c>
      <c r="AQ2712">
        <v>80</v>
      </c>
      <c r="AR2712">
        <v>-192</v>
      </c>
      <c r="AZ2712">
        <v>1200</v>
      </c>
      <c r="BA2712">
        <v>1</v>
      </c>
      <c r="BB2712" t="str">
        <f t="shared" si="130"/>
        <v xml:space="preserve">N8080G  </v>
      </c>
      <c r="BC2712">
        <v>1</v>
      </c>
      <c r="BE2712">
        <v>0</v>
      </c>
      <c r="BF2712">
        <v>0</v>
      </c>
      <c r="BG2712">
        <v>0</v>
      </c>
      <c r="BH2712">
        <v>1600</v>
      </c>
      <c r="BI2712">
        <v>1</v>
      </c>
      <c r="BJ2712">
        <v>1</v>
      </c>
      <c r="BK2712">
        <v>1</v>
      </c>
      <c r="BL2712">
        <v>0</v>
      </c>
      <c r="BO2712">
        <v>0</v>
      </c>
      <c r="BP2712">
        <v>0</v>
      </c>
      <c r="BW2712" t="str">
        <f>"20:29:00.789"</f>
        <v>20:29:00.789</v>
      </c>
      <c r="BZ2712">
        <v>0</v>
      </c>
      <c r="CA2712">
        <v>1792</v>
      </c>
      <c r="CB2712">
        <v>224</v>
      </c>
      <c r="CD2712">
        <v>1</v>
      </c>
      <c r="CE2712">
        <v>0</v>
      </c>
      <c r="CF2712">
        <v>0</v>
      </c>
      <c r="CG2712">
        <v>0</v>
      </c>
      <c r="CH2712">
        <v>0</v>
      </c>
      <c r="CI2712">
        <v>0</v>
      </c>
      <c r="CJ2712">
        <v>0</v>
      </c>
      <c r="CK2712">
        <v>2</v>
      </c>
      <c r="CL2712">
        <v>0</v>
      </c>
      <c r="CM2712">
        <v>2</v>
      </c>
      <c r="CN2712">
        <v>0</v>
      </c>
      <c r="CO2712">
        <v>4</v>
      </c>
      <c r="CP2712" t="s">
        <v>119</v>
      </c>
      <c r="CQ2712">
        <v>179</v>
      </c>
      <c r="CR2712">
        <v>1</v>
      </c>
      <c r="CW2712">
        <v>9061074</v>
      </c>
      <c r="CY2712">
        <v>1</v>
      </c>
      <c r="CZ2712">
        <v>0</v>
      </c>
      <c r="DA2712">
        <v>1</v>
      </c>
      <c r="DB2712">
        <v>0</v>
      </c>
      <c r="DC2712">
        <v>0</v>
      </c>
      <c r="DD2712">
        <v>0</v>
      </c>
      <c r="DE2712">
        <v>0</v>
      </c>
      <c r="DF2712">
        <v>0</v>
      </c>
      <c r="DG2712">
        <v>0</v>
      </c>
      <c r="DH2712">
        <v>0</v>
      </c>
      <c r="DI2712">
        <v>0</v>
      </c>
    </row>
    <row r="2713" spans="1:113" x14ac:dyDescent="0.3">
      <c r="A2713" t="str">
        <f>"02/08/2021 20:28:58.472"</f>
        <v>02/08/2021 20:28:58.472</v>
      </c>
      <c r="C2713" t="str">
        <f t="shared" si="129"/>
        <v>FFDFD7C0</v>
      </c>
      <c r="D2713" t="s">
        <v>124</v>
      </c>
      <c r="E2713">
        <v>13</v>
      </c>
      <c r="F2713">
        <v>1013</v>
      </c>
      <c r="G2713" t="s">
        <v>114</v>
      </c>
      <c r="J2713" t="s">
        <v>125</v>
      </c>
      <c r="K2713">
        <v>0</v>
      </c>
      <c r="L2713">
        <v>3</v>
      </c>
      <c r="M2713">
        <v>0</v>
      </c>
      <c r="N2713">
        <v>2</v>
      </c>
      <c r="O2713">
        <v>1</v>
      </c>
      <c r="P2713">
        <v>0</v>
      </c>
      <c r="Q2713">
        <v>0</v>
      </c>
      <c r="S2713" t="str">
        <f>"20:29:00.781"</f>
        <v>20:29:00.781</v>
      </c>
      <c r="T2713" t="str">
        <f>"20:29:00.381"</f>
        <v>20:29:00.381</v>
      </c>
      <c r="U2713" t="str">
        <f t="shared" si="131"/>
        <v>AB01F4</v>
      </c>
      <c r="V2713">
        <v>0</v>
      </c>
      <c r="W2713">
        <v>0</v>
      </c>
      <c r="X2713">
        <v>2</v>
      </c>
      <c r="Z2713">
        <v>0</v>
      </c>
      <c r="AA2713">
        <v>9</v>
      </c>
      <c r="AB2713">
        <v>3</v>
      </c>
      <c r="AC2713">
        <v>0</v>
      </c>
      <c r="AD2713">
        <v>10</v>
      </c>
      <c r="AE2713">
        <v>0</v>
      </c>
      <c r="AF2713">
        <v>3</v>
      </c>
      <c r="AG2713">
        <v>2</v>
      </c>
      <c r="AH2713">
        <v>0</v>
      </c>
      <c r="AI2713" t="s">
        <v>1605</v>
      </c>
      <c r="AJ2713">
        <v>40.017657</v>
      </c>
      <c r="AK2713" t="s">
        <v>1606</v>
      </c>
      <c r="AL2713">
        <v>-92.779776999999996</v>
      </c>
      <c r="AM2713">
        <v>100</v>
      </c>
      <c r="AN2713">
        <v>1600</v>
      </c>
      <c r="AO2713" t="s">
        <v>118</v>
      </c>
      <c r="AP2713">
        <v>-110</v>
      </c>
      <c r="AQ2713">
        <v>80</v>
      </c>
      <c r="AR2713">
        <v>-192</v>
      </c>
      <c r="AZ2713">
        <v>1200</v>
      </c>
      <c r="BA2713">
        <v>1</v>
      </c>
      <c r="BB2713" t="str">
        <f t="shared" si="130"/>
        <v xml:space="preserve">N8080G  </v>
      </c>
      <c r="BC2713">
        <v>1</v>
      </c>
      <c r="BE2713">
        <v>0</v>
      </c>
      <c r="BF2713">
        <v>0</v>
      </c>
      <c r="BG2713">
        <v>0</v>
      </c>
      <c r="BH2713">
        <v>1600</v>
      </c>
      <c r="BI2713">
        <v>1</v>
      </c>
      <c r="BJ2713">
        <v>1</v>
      </c>
      <c r="BK2713">
        <v>1</v>
      </c>
      <c r="BL2713">
        <v>0</v>
      </c>
      <c r="BO2713">
        <v>0</v>
      </c>
      <c r="BP2713">
        <v>0</v>
      </c>
      <c r="BW2713" t="str">
        <f>"20:29:00.789"</f>
        <v>20:29:00.789</v>
      </c>
      <c r="BZ2713">
        <v>0</v>
      </c>
      <c r="CA2713">
        <v>1792</v>
      </c>
      <c r="CB2713">
        <v>224</v>
      </c>
      <c r="CD2713">
        <v>1</v>
      </c>
      <c r="CE2713">
        <v>0</v>
      </c>
      <c r="CF2713">
        <v>0</v>
      </c>
      <c r="CG2713">
        <v>0</v>
      </c>
      <c r="CH2713">
        <v>0</v>
      </c>
      <c r="CI2713">
        <v>0</v>
      </c>
      <c r="CJ2713">
        <v>0</v>
      </c>
      <c r="CK2713">
        <v>2</v>
      </c>
      <c r="CL2713">
        <v>0</v>
      </c>
      <c r="CM2713">
        <v>2</v>
      </c>
      <c r="CN2713">
        <v>0</v>
      </c>
      <c r="CO2713">
        <v>4</v>
      </c>
      <c r="CP2713" t="s">
        <v>119</v>
      </c>
      <c r="CQ2713">
        <v>179</v>
      </c>
      <c r="CR2713">
        <v>1</v>
      </c>
      <c r="CW2713">
        <v>9061074</v>
      </c>
      <c r="CY2713">
        <v>1</v>
      </c>
      <c r="CZ2713">
        <v>0</v>
      </c>
      <c r="DA2713">
        <v>1</v>
      </c>
      <c r="DB2713">
        <v>0</v>
      </c>
      <c r="DC2713">
        <v>0</v>
      </c>
      <c r="DD2713">
        <v>0</v>
      </c>
      <c r="DE2713">
        <v>0</v>
      </c>
      <c r="DF2713">
        <v>0</v>
      </c>
      <c r="DG2713">
        <v>0</v>
      </c>
      <c r="DH2713">
        <v>0</v>
      </c>
      <c r="DI2713">
        <v>0</v>
      </c>
    </row>
    <row r="2714" spans="1:113" x14ac:dyDescent="0.3">
      <c r="A2714" t="str">
        <f>"02/08/2021 20:28:58.472"</f>
        <v>02/08/2021 20:28:58.472</v>
      </c>
      <c r="C2714" t="str">
        <f t="shared" si="129"/>
        <v>FFDFD7C0</v>
      </c>
      <c r="D2714" t="s">
        <v>124</v>
      </c>
      <c r="E2714">
        <v>12</v>
      </c>
      <c r="F2714">
        <v>1012</v>
      </c>
      <c r="G2714" t="s">
        <v>675</v>
      </c>
      <c r="J2714" t="s">
        <v>125</v>
      </c>
      <c r="K2714">
        <v>0</v>
      </c>
      <c r="L2714">
        <v>3</v>
      </c>
      <c r="M2714">
        <v>0</v>
      </c>
      <c r="N2714">
        <v>2</v>
      </c>
      <c r="O2714">
        <v>1</v>
      </c>
      <c r="P2714">
        <v>0</v>
      </c>
      <c r="Q2714">
        <v>0</v>
      </c>
      <c r="S2714" t="str">
        <f>"20:29:00.781"</f>
        <v>20:29:00.781</v>
      </c>
      <c r="T2714" t="str">
        <f>"20:29:00.381"</f>
        <v>20:29:00.381</v>
      </c>
      <c r="U2714" t="str">
        <f t="shared" si="131"/>
        <v>AB01F4</v>
      </c>
      <c r="V2714">
        <v>0</v>
      </c>
      <c r="W2714">
        <v>0</v>
      </c>
      <c r="X2714">
        <v>2</v>
      </c>
      <c r="Z2714">
        <v>0</v>
      </c>
      <c r="AA2714">
        <v>9</v>
      </c>
      <c r="AB2714">
        <v>3</v>
      </c>
      <c r="AC2714">
        <v>0</v>
      </c>
      <c r="AD2714">
        <v>10</v>
      </c>
      <c r="AE2714">
        <v>0</v>
      </c>
      <c r="AF2714">
        <v>3</v>
      </c>
      <c r="AG2714">
        <v>2</v>
      </c>
      <c r="AH2714">
        <v>0</v>
      </c>
      <c r="AI2714" t="s">
        <v>1605</v>
      </c>
      <c r="AJ2714">
        <v>40.017657</v>
      </c>
      <c r="AK2714" t="s">
        <v>1606</v>
      </c>
      <c r="AL2714">
        <v>-92.779776999999996</v>
      </c>
      <c r="AM2714">
        <v>100</v>
      </c>
      <c r="AN2714">
        <v>1600</v>
      </c>
      <c r="AO2714" t="s">
        <v>118</v>
      </c>
      <c r="AP2714">
        <v>-110</v>
      </c>
      <c r="AQ2714">
        <v>80</v>
      </c>
      <c r="AR2714">
        <v>-192</v>
      </c>
      <c r="AZ2714">
        <v>1200</v>
      </c>
      <c r="BA2714">
        <v>1</v>
      </c>
      <c r="BB2714" t="str">
        <f t="shared" si="130"/>
        <v xml:space="preserve">N8080G  </v>
      </c>
      <c r="BC2714">
        <v>1</v>
      </c>
      <c r="BE2714">
        <v>0</v>
      </c>
      <c r="BF2714">
        <v>0</v>
      </c>
      <c r="BG2714">
        <v>0</v>
      </c>
      <c r="BH2714">
        <v>1600</v>
      </c>
      <c r="BI2714">
        <v>1</v>
      </c>
      <c r="BJ2714">
        <v>1</v>
      </c>
      <c r="BK2714">
        <v>1</v>
      </c>
      <c r="BL2714">
        <v>0</v>
      </c>
      <c r="BO2714">
        <v>0</v>
      </c>
      <c r="BP2714">
        <v>0</v>
      </c>
      <c r="BW2714" t="str">
        <f>"20:29:00.789"</f>
        <v>20:29:00.789</v>
      </c>
      <c r="BZ2714">
        <v>0</v>
      </c>
      <c r="CA2714">
        <v>1792</v>
      </c>
      <c r="CB2714">
        <v>224</v>
      </c>
      <c r="CD2714">
        <v>1</v>
      </c>
      <c r="CE2714">
        <v>0</v>
      </c>
      <c r="CF2714">
        <v>0</v>
      </c>
      <c r="CG2714">
        <v>0</v>
      </c>
      <c r="CH2714">
        <v>0</v>
      </c>
      <c r="CI2714">
        <v>0</v>
      </c>
      <c r="CJ2714">
        <v>0</v>
      </c>
      <c r="CK2714">
        <v>2</v>
      </c>
      <c r="CL2714">
        <v>0</v>
      </c>
      <c r="CM2714">
        <v>2</v>
      </c>
      <c r="CN2714">
        <v>0</v>
      </c>
      <c r="CO2714">
        <v>4</v>
      </c>
      <c r="CP2714" t="s">
        <v>119</v>
      </c>
      <c r="CQ2714">
        <v>179</v>
      </c>
      <c r="CR2714">
        <v>1</v>
      </c>
      <c r="CW2714">
        <v>9061074</v>
      </c>
      <c r="CY2714">
        <v>1</v>
      </c>
      <c r="CZ2714">
        <v>0</v>
      </c>
      <c r="DA2714">
        <v>1</v>
      </c>
      <c r="DB2714">
        <v>0</v>
      </c>
      <c r="DC2714">
        <v>0</v>
      </c>
      <c r="DD2714">
        <v>0</v>
      </c>
      <c r="DE2714">
        <v>0</v>
      </c>
      <c r="DF2714">
        <v>0</v>
      </c>
      <c r="DG2714">
        <v>0</v>
      </c>
      <c r="DH2714">
        <v>0</v>
      </c>
      <c r="DI2714">
        <v>0</v>
      </c>
    </row>
    <row r="2715" spans="1:113" x14ac:dyDescent="0.3">
      <c r="A2715" t="str">
        <f>"02/08/2021 20:28:59.495"</f>
        <v>02/08/2021 20:28:59.495</v>
      </c>
      <c r="C2715" t="str">
        <f t="shared" si="129"/>
        <v>FFDFD7C0</v>
      </c>
      <c r="D2715" t="s">
        <v>124</v>
      </c>
      <c r="E2715">
        <v>13</v>
      </c>
      <c r="F2715">
        <v>1013</v>
      </c>
      <c r="G2715" t="s">
        <v>114</v>
      </c>
      <c r="J2715" t="s">
        <v>125</v>
      </c>
      <c r="K2715">
        <v>0</v>
      </c>
      <c r="L2715">
        <v>3</v>
      </c>
      <c r="M2715">
        <v>0</v>
      </c>
      <c r="N2715">
        <v>2</v>
      </c>
      <c r="O2715">
        <v>1</v>
      </c>
      <c r="P2715">
        <v>0</v>
      </c>
      <c r="Q2715">
        <v>0</v>
      </c>
      <c r="S2715" t="str">
        <f>"20:29:01.820"</f>
        <v>20:29:01.820</v>
      </c>
      <c r="T2715" t="str">
        <f>"20:29:01.420"</f>
        <v>20:29:01.420</v>
      </c>
      <c r="U2715" t="str">
        <f t="shared" si="131"/>
        <v>AB01F4</v>
      </c>
      <c r="V2715">
        <v>0</v>
      </c>
      <c r="W2715">
        <v>0</v>
      </c>
      <c r="X2715">
        <v>2</v>
      </c>
      <c r="Z2715">
        <v>0</v>
      </c>
      <c r="AA2715">
        <v>9</v>
      </c>
      <c r="AB2715">
        <v>3</v>
      </c>
      <c r="AC2715">
        <v>0</v>
      </c>
      <c r="AD2715">
        <v>10</v>
      </c>
      <c r="AE2715">
        <v>0</v>
      </c>
      <c r="AF2715">
        <v>3</v>
      </c>
      <c r="AG2715">
        <v>2</v>
      </c>
      <c r="AH2715">
        <v>0</v>
      </c>
      <c r="AI2715" t="s">
        <v>1607</v>
      </c>
      <c r="AJ2715">
        <v>40.018022000000002</v>
      </c>
      <c r="AK2715" t="s">
        <v>1608</v>
      </c>
      <c r="AL2715">
        <v>-92.780550000000005</v>
      </c>
      <c r="AM2715">
        <v>100</v>
      </c>
      <c r="AN2715">
        <v>1600</v>
      </c>
      <c r="AO2715" t="s">
        <v>118</v>
      </c>
      <c r="AP2715">
        <v>-110</v>
      </c>
      <c r="AQ2715">
        <v>80</v>
      </c>
      <c r="AR2715">
        <v>-192</v>
      </c>
      <c r="AZ2715">
        <v>1200</v>
      </c>
      <c r="BA2715">
        <v>1</v>
      </c>
      <c r="BB2715" t="str">
        <f t="shared" si="130"/>
        <v xml:space="preserve">N8080G  </v>
      </c>
      <c r="BC2715">
        <v>1</v>
      </c>
      <c r="BE2715">
        <v>0</v>
      </c>
      <c r="BF2715">
        <v>0</v>
      </c>
      <c r="BG2715">
        <v>0</v>
      </c>
      <c r="BH2715">
        <v>1600</v>
      </c>
      <c r="BI2715">
        <v>1</v>
      </c>
      <c r="BJ2715">
        <v>1</v>
      </c>
      <c r="BK2715">
        <v>1</v>
      </c>
      <c r="BL2715">
        <v>0</v>
      </c>
      <c r="BO2715">
        <v>0</v>
      </c>
      <c r="BP2715">
        <v>0</v>
      </c>
      <c r="BW2715" t="str">
        <f>"20:29:01.828"</f>
        <v>20:29:01.828</v>
      </c>
      <c r="BZ2715">
        <v>0</v>
      </c>
      <c r="CA2715">
        <v>1792</v>
      </c>
      <c r="CB2715">
        <v>224</v>
      </c>
      <c r="CD2715">
        <v>1</v>
      </c>
      <c r="CE2715">
        <v>0</v>
      </c>
      <c r="CF2715">
        <v>0</v>
      </c>
      <c r="CG2715">
        <v>0</v>
      </c>
      <c r="CH2715">
        <v>0</v>
      </c>
      <c r="CI2715">
        <v>0</v>
      </c>
      <c r="CJ2715">
        <v>0</v>
      </c>
      <c r="CK2715">
        <v>2</v>
      </c>
      <c r="CL2715">
        <v>0</v>
      </c>
      <c r="CM2715">
        <v>2</v>
      </c>
      <c r="CN2715">
        <v>0</v>
      </c>
      <c r="CO2715">
        <v>4</v>
      </c>
      <c r="CP2715" t="s">
        <v>119</v>
      </c>
      <c r="CQ2715">
        <v>179</v>
      </c>
      <c r="CR2715">
        <v>1</v>
      </c>
      <c r="CW2715">
        <v>9062064</v>
      </c>
      <c r="CY2715">
        <v>1</v>
      </c>
      <c r="CZ2715">
        <v>0</v>
      </c>
      <c r="DA2715">
        <v>0</v>
      </c>
      <c r="DB2715">
        <v>0</v>
      </c>
      <c r="DC2715">
        <v>0</v>
      </c>
      <c r="DD2715">
        <v>0</v>
      </c>
      <c r="DE2715">
        <v>0</v>
      </c>
      <c r="DF2715">
        <v>0</v>
      </c>
      <c r="DG2715">
        <v>0</v>
      </c>
      <c r="DH2715">
        <v>0</v>
      </c>
      <c r="DI2715">
        <v>0</v>
      </c>
    </row>
    <row r="2716" spans="1:113" x14ac:dyDescent="0.3">
      <c r="A2716" t="str">
        <f>"02/08/2021 20:28:59.495"</f>
        <v>02/08/2021 20:28:59.495</v>
      </c>
      <c r="C2716" t="str">
        <f t="shared" si="129"/>
        <v>FFDFD7C0</v>
      </c>
      <c r="D2716" t="s">
        <v>124</v>
      </c>
      <c r="E2716">
        <v>12</v>
      </c>
      <c r="F2716">
        <v>1012</v>
      </c>
      <c r="G2716" t="s">
        <v>675</v>
      </c>
      <c r="J2716" t="s">
        <v>125</v>
      </c>
      <c r="K2716">
        <v>0</v>
      </c>
      <c r="L2716">
        <v>3</v>
      </c>
      <c r="M2716">
        <v>0</v>
      </c>
      <c r="N2716">
        <v>2</v>
      </c>
      <c r="O2716">
        <v>1</v>
      </c>
      <c r="P2716">
        <v>0</v>
      </c>
      <c r="Q2716">
        <v>0</v>
      </c>
      <c r="S2716" t="str">
        <f>"20:29:01.820"</f>
        <v>20:29:01.820</v>
      </c>
      <c r="T2716" t="str">
        <f>"20:29:01.420"</f>
        <v>20:29:01.420</v>
      </c>
      <c r="U2716" t="str">
        <f t="shared" si="131"/>
        <v>AB01F4</v>
      </c>
      <c r="V2716">
        <v>0</v>
      </c>
      <c r="W2716">
        <v>0</v>
      </c>
      <c r="X2716">
        <v>2</v>
      </c>
      <c r="Z2716">
        <v>0</v>
      </c>
      <c r="AA2716">
        <v>9</v>
      </c>
      <c r="AB2716">
        <v>3</v>
      </c>
      <c r="AC2716">
        <v>0</v>
      </c>
      <c r="AD2716">
        <v>10</v>
      </c>
      <c r="AE2716">
        <v>0</v>
      </c>
      <c r="AF2716">
        <v>3</v>
      </c>
      <c r="AG2716">
        <v>2</v>
      </c>
      <c r="AH2716">
        <v>0</v>
      </c>
      <c r="AI2716" t="s">
        <v>1607</v>
      </c>
      <c r="AJ2716">
        <v>40.018022000000002</v>
      </c>
      <c r="AK2716" t="s">
        <v>1608</v>
      </c>
      <c r="AL2716">
        <v>-92.780550000000005</v>
      </c>
      <c r="AM2716">
        <v>100</v>
      </c>
      <c r="AN2716">
        <v>1600</v>
      </c>
      <c r="AO2716" t="s">
        <v>118</v>
      </c>
      <c r="AP2716">
        <v>-110</v>
      </c>
      <c r="AQ2716">
        <v>80</v>
      </c>
      <c r="AR2716">
        <v>-192</v>
      </c>
      <c r="AZ2716">
        <v>1200</v>
      </c>
      <c r="BA2716">
        <v>1</v>
      </c>
      <c r="BB2716" t="str">
        <f t="shared" si="130"/>
        <v xml:space="preserve">N8080G  </v>
      </c>
      <c r="BC2716">
        <v>1</v>
      </c>
      <c r="BE2716">
        <v>0</v>
      </c>
      <c r="BF2716">
        <v>0</v>
      </c>
      <c r="BG2716">
        <v>0</v>
      </c>
      <c r="BH2716">
        <v>1600</v>
      </c>
      <c r="BI2716">
        <v>1</v>
      </c>
      <c r="BJ2716">
        <v>1</v>
      </c>
      <c r="BK2716">
        <v>1</v>
      </c>
      <c r="BL2716">
        <v>0</v>
      </c>
      <c r="BO2716">
        <v>0</v>
      </c>
      <c r="BP2716">
        <v>0</v>
      </c>
      <c r="BW2716" t="str">
        <f>"20:29:01.828"</f>
        <v>20:29:01.828</v>
      </c>
      <c r="BZ2716">
        <v>0</v>
      </c>
      <c r="CA2716">
        <v>1792</v>
      </c>
      <c r="CB2716">
        <v>224</v>
      </c>
      <c r="CD2716">
        <v>1</v>
      </c>
      <c r="CE2716">
        <v>0</v>
      </c>
      <c r="CF2716">
        <v>0</v>
      </c>
      <c r="CG2716">
        <v>0</v>
      </c>
      <c r="CH2716">
        <v>0</v>
      </c>
      <c r="CI2716">
        <v>0</v>
      </c>
      <c r="CJ2716">
        <v>0</v>
      </c>
      <c r="CK2716">
        <v>2</v>
      </c>
      <c r="CL2716">
        <v>0</v>
      </c>
      <c r="CM2716">
        <v>2</v>
      </c>
      <c r="CN2716">
        <v>0</v>
      </c>
      <c r="CO2716">
        <v>4</v>
      </c>
      <c r="CP2716" t="s">
        <v>119</v>
      </c>
      <c r="CQ2716">
        <v>179</v>
      </c>
      <c r="CR2716">
        <v>1</v>
      </c>
      <c r="CW2716">
        <v>9062064</v>
      </c>
      <c r="CY2716">
        <v>1</v>
      </c>
      <c r="CZ2716">
        <v>0</v>
      </c>
      <c r="DA2716">
        <v>1</v>
      </c>
      <c r="DB2716">
        <v>0</v>
      </c>
      <c r="DC2716">
        <v>0</v>
      </c>
      <c r="DD2716">
        <v>0</v>
      </c>
      <c r="DE2716">
        <v>0</v>
      </c>
      <c r="DF2716">
        <v>0</v>
      </c>
      <c r="DG2716">
        <v>0</v>
      </c>
      <c r="DH2716">
        <v>0</v>
      </c>
      <c r="DI2716">
        <v>0</v>
      </c>
    </row>
    <row r="2717" spans="1:113" x14ac:dyDescent="0.3">
      <c r="A2717" t="str">
        <f>"02/08/2021 20:28:59.495"</f>
        <v>02/08/2021 20:28:59.495</v>
      </c>
      <c r="C2717" t="str">
        <f t="shared" si="129"/>
        <v>FFDFD7C0</v>
      </c>
      <c r="D2717" t="s">
        <v>124</v>
      </c>
      <c r="E2717">
        <v>11</v>
      </c>
      <c r="F2717">
        <v>1011</v>
      </c>
      <c r="G2717" t="s">
        <v>590</v>
      </c>
      <c r="J2717" t="s">
        <v>125</v>
      </c>
      <c r="K2717">
        <v>0</v>
      </c>
      <c r="L2717">
        <v>3</v>
      </c>
      <c r="M2717">
        <v>0</v>
      </c>
      <c r="N2717">
        <v>2</v>
      </c>
      <c r="O2717">
        <v>1</v>
      </c>
      <c r="P2717">
        <v>0</v>
      </c>
      <c r="Q2717">
        <v>0</v>
      </c>
      <c r="S2717" t="str">
        <f>"20:29:01.820"</f>
        <v>20:29:01.820</v>
      </c>
      <c r="T2717" t="str">
        <f>"20:29:01.420"</f>
        <v>20:29:01.420</v>
      </c>
      <c r="U2717" t="str">
        <f t="shared" si="131"/>
        <v>AB01F4</v>
      </c>
      <c r="V2717">
        <v>0</v>
      </c>
      <c r="W2717">
        <v>0</v>
      </c>
      <c r="X2717">
        <v>2</v>
      </c>
      <c r="Z2717">
        <v>0</v>
      </c>
      <c r="AA2717">
        <v>9</v>
      </c>
      <c r="AB2717">
        <v>3</v>
      </c>
      <c r="AC2717">
        <v>0</v>
      </c>
      <c r="AD2717">
        <v>10</v>
      </c>
      <c r="AE2717">
        <v>0</v>
      </c>
      <c r="AF2717">
        <v>3</v>
      </c>
      <c r="AG2717">
        <v>2</v>
      </c>
      <c r="AH2717">
        <v>0</v>
      </c>
      <c r="AI2717" t="s">
        <v>1607</v>
      </c>
      <c r="AJ2717">
        <v>40.018022000000002</v>
      </c>
      <c r="AK2717" t="s">
        <v>1608</v>
      </c>
      <c r="AL2717">
        <v>-92.780550000000005</v>
      </c>
      <c r="AM2717">
        <v>100</v>
      </c>
      <c r="AN2717">
        <v>1600</v>
      </c>
      <c r="AO2717" t="s">
        <v>118</v>
      </c>
      <c r="AP2717">
        <v>-110</v>
      </c>
      <c r="AQ2717">
        <v>80</v>
      </c>
      <c r="AR2717">
        <v>-192</v>
      </c>
      <c r="AZ2717">
        <v>1200</v>
      </c>
      <c r="BA2717">
        <v>1</v>
      </c>
      <c r="BB2717" t="str">
        <f t="shared" si="130"/>
        <v xml:space="preserve">N8080G  </v>
      </c>
      <c r="BC2717">
        <v>1</v>
      </c>
      <c r="BE2717">
        <v>0</v>
      </c>
      <c r="BF2717">
        <v>0</v>
      </c>
      <c r="BG2717">
        <v>0</v>
      </c>
      <c r="BH2717">
        <v>1600</v>
      </c>
      <c r="BI2717">
        <v>1</v>
      </c>
      <c r="BJ2717">
        <v>1</v>
      </c>
      <c r="BK2717">
        <v>1</v>
      </c>
      <c r="BL2717">
        <v>0</v>
      </c>
      <c r="BO2717">
        <v>0</v>
      </c>
      <c r="BP2717">
        <v>0</v>
      </c>
      <c r="BW2717" t="str">
        <f>"20:29:01.828"</f>
        <v>20:29:01.828</v>
      </c>
      <c r="BZ2717">
        <v>0</v>
      </c>
      <c r="CA2717">
        <v>1792</v>
      </c>
      <c r="CB2717">
        <v>224</v>
      </c>
      <c r="CD2717">
        <v>1</v>
      </c>
      <c r="CE2717">
        <v>0</v>
      </c>
      <c r="CF2717">
        <v>0</v>
      </c>
      <c r="CG2717">
        <v>0</v>
      </c>
      <c r="CH2717">
        <v>0</v>
      </c>
      <c r="CI2717">
        <v>0</v>
      </c>
      <c r="CJ2717">
        <v>0</v>
      </c>
      <c r="CK2717">
        <v>2</v>
      </c>
      <c r="CL2717">
        <v>0</v>
      </c>
      <c r="CM2717">
        <v>2</v>
      </c>
      <c r="CN2717">
        <v>0</v>
      </c>
      <c r="CO2717">
        <v>4</v>
      </c>
      <c r="CP2717" t="s">
        <v>119</v>
      </c>
      <c r="CQ2717">
        <v>179</v>
      </c>
      <c r="CR2717">
        <v>1</v>
      </c>
      <c r="CW2717">
        <v>9062064</v>
      </c>
      <c r="CY2717">
        <v>1</v>
      </c>
      <c r="CZ2717">
        <v>0</v>
      </c>
      <c r="DA2717">
        <v>1</v>
      </c>
      <c r="DB2717">
        <v>0</v>
      </c>
      <c r="DC2717">
        <v>0</v>
      </c>
      <c r="DD2717">
        <v>0</v>
      </c>
      <c r="DE2717">
        <v>0</v>
      </c>
      <c r="DF2717">
        <v>0</v>
      </c>
      <c r="DG2717">
        <v>0</v>
      </c>
      <c r="DH2717">
        <v>0</v>
      </c>
      <c r="DI2717">
        <v>0</v>
      </c>
    </row>
    <row r="2718" spans="1:113" x14ac:dyDescent="0.3">
      <c r="A2718" t="str">
        <f>"02/08/2021 20:28:59.495"</f>
        <v>02/08/2021 20:28:59.495</v>
      </c>
      <c r="C2718" t="str">
        <f t="shared" si="129"/>
        <v>FFDFD7C0</v>
      </c>
      <c r="D2718" t="s">
        <v>113</v>
      </c>
      <c r="E2718">
        <v>6</v>
      </c>
      <c r="H2718">
        <v>165</v>
      </c>
      <c r="I2718" t="s">
        <v>114</v>
      </c>
      <c r="J2718" t="s">
        <v>115</v>
      </c>
      <c r="K2718">
        <v>0</v>
      </c>
      <c r="L2718">
        <v>3</v>
      </c>
      <c r="M2718">
        <v>0</v>
      </c>
      <c r="N2718">
        <v>2</v>
      </c>
      <c r="O2718">
        <v>1</v>
      </c>
      <c r="P2718">
        <v>0</v>
      </c>
      <c r="Q2718">
        <v>0</v>
      </c>
      <c r="S2718" t="str">
        <f>"20:29:01.820"</f>
        <v>20:29:01.820</v>
      </c>
      <c r="T2718" t="str">
        <f>"20:29:01.420"</f>
        <v>20:29:01.420</v>
      </c>
      <c r="U2718" t="str">
        <f t="shared" si="131"/>
        <v>AB01F4</v>
      </c>
      <c r="V2718">
        <v>0</v>
      </c>
      <c r="W2718">
        <v>0</v>
      </c>
      <c r="X2718">
        <v>2</v>
      </c>
      <c r="Z2718">
        <v>0</v>
      </c>
      <c r="AA2718">
        <v>9</v>
      </c>
      <c r="AB2718">
        <v>3</v>
      </c>
      <c r="AC2718">
        <v>0</v>
      </c>
      <c r="AD2718">
        <v>10</v>
      </c>
      <c r="AE2718">
        <v>0</v>
      </c>
      <c r="AF2718">
        <v>3</v>
      </c>
      <c r="AG2718">
        <v>2</v>
      </c>
      <c r="AH2718">
        <v>0</v>
      </c>
      <c r="AI2718" t="s">
        <v>1607</v>
      </c>
      <c r="AJ2718">
        <v>40.018022000000002</v>
      </c>
      <c r="AK2718" t="s">
        <v>1608</v>
      </c>
      <c r="AL2718">
        <v>-92.780550000000005</v>
      </c>
      <c r="AM2718">
        <v>100</v>
      </c>
      <c r="AN2718">
        <v>1600</v>
      </c>
      <c r="AO2718" t="s">
        <v>118</v>
      </c>
      <c r="AP2718">
        <v>-110</v>
      </c>
      <c r="AQ2718">
        <v>80</v>
      </c>
      <c r="AR2718">
        <v>-192</v>
      </c>
      <c r="AZ2718">
        <v>1200</v>
      </c>
      <c r="BA2718">
        <v>1</v>
      </c>
      <c r="BB2718" t="str">
        <f t="shared" si="130"/>
        <v xml:space="preserve">N8080G  </v>
      </c>
      <c r="BC2718">
        <v>1</v>
      </c>
      <c r="BE2718">
        <v>0</v>
      </c>
      <c r="BF2718">
        <v>0</v>
      </c>
      <c r="BG2718">
        <v>0</v>
      </c>
      <c r="BH2718">
        <v>1600</v>
      </c>
      <c r="BI2718">
        <v>1</v>
      </c>
      <c r="BJ2718">
        <v>1</v>
      </c>
      <c r="BK2718">
        <v>1</v>
      </c>
      <c r="BL2718">
        <v>0</v>
      </c>
      <c r="BO2718">
        <v>0</v>
      </c>
      <c r="BP2718">
        <v>0</v>
      </c>
      <c r="BW2718" t="str">
        <f>"20:29:01.828"</f>
        <v>20:29:01.828</v>
      </c>
      <c r="BZ2718">
        <v>0</v>
      </c>
      <c r="CA2718">
        <v>1792</v>
      </c>
      <c r="CB2718">
        <v>224</v>
      </c>
      <c r="CD2718">
        <v>1</v>
      </c>
      <c r="CE2718">
        <v>0</v>
      </c>
      <c r="CF2718">
        <v>0</v>
      </c>
      <c r="CG2718">
        <v>0</v>
      </c>
      <c r="CH2718">
        <v>0</v>
      </c>
      <c r="CI2718">
        <v>0</v>
      </c>
      <c r="CJ2718">
        <v>0</v>
      </c>
      <c r="CK2718">
        <v>2</v>
      </c>
      <c r="CL2718">
        <v>0</v>
      </c>
      <c r="CM2718">
        <v>2</v>
      </c>
      <c r="CN2718">
        <v>0</v>
      </c>
      <c r="CO2718">
        <v>4</v>
      </c>
      <c r="CP2718" t="s">
        <v>119</v>
      </c>
      <c r="CQ2718">
        <v>179</v>
      </c>
      <c r="CR2718">
        <v>1</v>
      </c>
      <c r="CW2718">
        <v>9062064</v>
      </c>
      <c r="CY2718">
        <v>1</v>
      </c>
      <c r="CZ2718">
        <v>0</v>
      </c>
      <c r="DA2718">
        <v>1</v>
      </c>
      <c r="DB2718">
        <v>0</v>
      </c>
      <c r="DC2718">
        <v>0</v>
      </c>
      <c r="DD2718">
        <v>0</v>
      </c>
      <c r="DE2718">
        <v>0</v>
      </c>
      <c r="DF2718">
        <v>0</v>
      </c>
      <c r="DG2718">
        <v>0</v>
      </c>
      <c r="DH2718">
        <v>0</v>
      </c>
      <c r="DI2718">
        <v>0</v>
      </c>
    </row>
    <row r="2719" spans="1:113" x14ac:dyDescent="0.3">
      <c r="A2719" t="str">
        <f>"02/08/2021 20:29:00.493"</f>
        <v>02/08/2021 20:29:00.493</v>
      </c>
      <c r="C2719" t="str">
        <f t="shared" si="129"/>
        <v>FFDFD7C0</v>
      </c>
      <c r="D2719" t="s">
        <v>124</v>
      </c>
      <c r="E2719">
        <v>11</v>
      </c>
      <c r="F2719">
        <v>1011</v>
      </c>
      <c r="G2719" t="s">
        <v>590</v>
      </c>
      <c r="J2719" t="s">
        <v>125</v>
      </c>
      <c r="K2719">
        <v>0</v>
      </c>
      <c r="L2719">
        <v>3</v>
      </c>
      <c r="M2719">
        <v>0</v>
      </c>
      <c r="N2719">
        <v>2</v>
      </c>
      <c r="O2719">
        <v>1</v>
      </c>
      <c r="P2719">
        <v>0</v>
      </c>
      <c r="Q2719">
        <v>0</v>
      </c>
      <c r="S2719" t="str">
        <f>"20:29:02.820"</f>
        <v>20:29:02.820</v>
      </c>
      <c r="T2719" t="str">
        <f>"20:29:02.320"</f>
        <v>20:29:02.320</v>
      </c>
      <c r="U2719" t="str">
        <f t="shared" si="131"/>
        <v>AB01F4</v>
      </c>
      <c r="V2719">
        <v>0</v>
      </c>
      <c r="W2719">
        <v>0</v>
      </c>
      <c r="X2719">
        <v>2</v>
      </c>
      <c r="Z2719">
        <v>0</v>
      </c>
      <c r="AA2719">
        <v>9</v>
      </c>
      <c r="AB2719">
        <v>3</v>
      </c>
      <c r="AC2719">
        <v>0</v>
      </c>
      <c r="AD2719">
        <v>10</v>
      </c>
      <c r="AE2719">
        <v>0</v>
      </c>
      <c r="AF2719">
        <v>3</v>
      </c>
      <c r="AG2719">
        <v>2</v>
      </c>
      <c r="AH2719">
        <v>0</v>
      </c>
      <c r="AI2719" t="s">
        <v>1609</v>
      </c>
      <c r="AJ2719">
        <v>40.018408000000001</v>
      </c>
      <c r="AK2719" t="s">
        <v>1610</v>
      </c>
      <c r="AL2719">
        <v>-92.781171999999998</v>
      </c>
      <c r="AM2719">
        <v>100</v>
      </c>
      <c r="AN2719">
        <v>1600</v>
      </c>
      <c r="AO2719" t="s">
        <v>118</v>
      </c>
      <c r="AP2719">
        <v>-110</v>
      </c>
      <c r="AQ2719">
        <v>80</v>
      </c>
      <c r="AR2719">
        <v>-256</v>
      </c>
      <c r="AZ2719">
        <v>1200</v>
      </c>
      <c r="BA2719">
        <v>1</v>
      </c>
      <c r="BB2719" t="str">
        <f t="shared" si="130"/>
        <v xml:space="preserve">N8080G  </v>
      </c>
      <c r="BC2719">
        <v>1</v>
      </c>
      <c r="BE2719">
        <v>0</v>
      </c>
      <c r="BF2719">
        <v>0</v>
      </c>
      <c r="BG2719">
        <v>0</v>
      </c>
      <c r="BH2719">
        <v>1600</v>
      </c>
      <c r="BI2719">
        <v>1</v>
      </c>
      <c r="BJ2719">
        <v>1</v>
      </c>
      <c r="BK2719">
        <v>1</v>
      </c>
      <c r="BL2719">
        <v>0</v>
      </c>
      <c r="BO2719">
        <v>0</v>
      </c>
      <c r="BP2719">
        <v>0</v>
      </c>
      <c r="BW2719" t="str">
        <f>"20:29:02.822"</f>
        <v>20:29:02.822</v>
      </c>
      <c r="BZ2719">
        <v>0</v>
      </c>
      <c r="CA2719">
        <v>1792</v>
      </c>
      <c r="CB2719">
        <v>224</v>
      </c>
      <c r="CD2719">
        <v>1</v>
      </c>
      <c r="CE2719">
        <v>0</v>
      </c>
      <c r="CF2719">
        <v>0</v>
      </c>
      <c r="CG2719">
        <v>0</v>
      </c>
      <c r="CH2719">
        <v>0</v>
      </c>
      <c r="CI2719">
        <v>0</v>
      </c>
      <c r="CJ2719">
        <v>0</v>
      </c>
      <c r="CK2719">
        <v>2</v>
      </c>
      <c r="CL2719">
        <v>0</v>
      </c>
      <c r="CM2719">
        <v>2</v>
      </c>
      <c r="CN2719">
        <v>0</v>
      </c>
      <c r="CO2719">
        <v>7</v>
      </c>
      <c r="CP2719" t="s">
        <v>119</v>
      </c>
      <c r="CQ2719">
        <v>180</v>
      </c>
      <c r="CR2719">
        <v>2</v>
      </c>
      <c r="CW2719">
        <v>8607136</v>
      </c>
      <c r="CY2719">
        <v>1</v>
      </c>
      <c r="CZ2719">
        <v>0</v>
      </c>
      <c r="DA2719">
        <v>0</v>
      </c>
      <c r="DB2719">
        <v>0</v>
      </c>
      <c r="DC2719">
        <v>0</v>
      </c>
      <c r="DD2719">
        <v>0</v>
      </c>
      <c r="DE2719">
        <v>0</v>
      </c>
      <c r="DF2719">
        <v>0</v>
      </c>
      <c r="DG2719">
        <v>0</v>
      </c>
      <c r="DH2719">
        <v>0</v>
      </c>
      <c r="DI2719">
        <v>0</v>
      </c>
    </row>
    <row r="2720" spans="1:113" x14ac:dyDescent="0.3">
      <c r="A2720" t="str">
        <f>"02/08/2021 20:29:00.493"</f>
        <v>02/08/2021 20:29:00.493</v>
      </c>
      <c r="C2720" t="str">
        <f t="shared" si="129"/>
        <v>FFDFD7C0</v>
      </c>
      <c r="D2720" t="s">
        <v>113</v>
      </c>
      <c r="E2720">
        <v>6</v>
      </c>
      <c r="H2720">
        <v>165</v>
      </c>
      <c r="I2720" t="s">
        <v>114</v>
      </c>
      <c r="J2720" t="s">
        <v>115</v>
      </c>
      <c r="K2720">
        <v>0</v>
      </c>
      <c r="L2720">
        <v>3</v>
      </c>
      <c r="M2720">
        <v>0</v>
      </c>
      <c r="N2720">
        <v>2</v>
      </c>
      <c r="O2720">
        <v>1</v>
      </c>
      <c r="P2720">
        <v>0</v>
      </c>
      <c r="Q2720">
        <v>0</v>
      </c>
      <c r="S2720" t="str">
        <f>"20:29:02.820"</f>
        <v>20:29:02.820</v>
      </c>
      <c r="T2720" t="str">
        <f>"20:29:02.320"</f>
        <v>20:29:02.320</v>
      </c>
      <c r="U2720" t="str">
        <f t="shared" si="131"/>
        <v>AB01F4</v>
      </c>
      <c r="V2720">
        <v>0</v>
      </c>
      <c r="W2720">
        <v>0</v>
      </c>
      <c r="X2720">
        <v>2</v>
      </c>
      <c r="Z2720">
        <v>0</v>
      </c>
      <c r="AA2720">
        <v>9</v>
      </c>
      <c r="AB2720">
        <v>3</v>
      </c>
      <c r="AC2720">
        <v>0</v>
      </c>
      <c r="AD2720">
        <v>10</v>
      </c>
      <c r="AE2720">
        <v>0</v>
      </c>
      <c r="AF2720">
        <v>3</v>
      </c>
      <c r="AG2720">
        <v>2</v>
      </c>
      <c r="AH2720">
        <v>0</v>
      </c>
      <c r="AI2720" t="s">
        <v>1609</v>
      </c>
      <c r="AJ2720">
        <v>40.018408000000001</v>
      </c>
      <c r="AK2720" t="s">
        <v>1610</v>
      </c>
      <c r="AL2720">
        <v>-92.781171999999998</v>
      </c>
      <c r="AM2720">
        <v>100</v>
      </c>
      <c r="AN2720">
        <v>1600</v>
      </c>
      <c r="AO2720" t="s">
        <v>118</v>
      </c>
      <c r="AP2720">
        <v>-110</v>
      </c>
      <c r="AQ2720">
        <v>80</v>
      </c>
      <c r="AR2720">
        <v>-256</v>
      </c>
      <c r="AZ2720">
        <v>1200</v>
      </c>
      <c r="BA2720">
        <v>1</v>
      </c>
      <c r="BB2720" t="str">
        <f t="shared" si="130"/>
        <v xml:space="preserve">N8080G  </v>
      </c>
      <c r="BC2720">
        <v>1</v>
      </c>
      <c r="BE2720">
        <v>0</v>
      </c>
      <c r="BF2720">
        <v>0</v>
      </c>
      <c r="BG2720">
        <v>0</v>
      </c>
      <c r="BH2720">
        <v>1600</v>
      </c>
      <c r="BI2720">
        <v>1</v>
      </c>
      <c r="BJ2720">
        <v>1</v>
      </c>
      <c r="BK2720">
        <v>1</v>
      </c>
      <c r="BL2720">
        <v>0</v>
      </c>
      <c r="BO2720">
        <v>0</v>
      </c>
      <c r="BP2720">
        <v>0</v>
      </c>
      <c r="BW2720" t="str">
        <f>"20:29:02.822"</f>
        <v>20:29:02.822</v>
      </c>
      <c r="BZ2720">
        <v>0</v>
      </c>
      <c r="CA2720">
        <v>1792</v>
      </c>
      <c r="CB2720">
        <v>224</v>
      </c>
      <c r="CD2720">
        <v>1</v>
      </c>
      <c r="CE2720">
        <v>0</v>
      </c>
      <c r="CF2720">
        <v>0</v>
      </c>
      <c r="CG2720">
        <v>0</v>
      </c>
      <c r="CH2720">
        <v>0</v>
      </c>
      <c r="CI2720">
        <v>0</v>
      </c>
      <c r="CJ2720">
        <v>0</v>
      </c>
      <c r="CK2720">
        <v>2</v>
      </c>
      <c r="CL2720">
        <v>0</v>
      </c>
      <c r="CM2720">
        <v>2</v>
      </c>
      <c r="CN2720">
        <v>0</v>
      </c>
      <c r="CO2720">
        <v>7</v>
      </c>
      <c r="CP2720" t="s">
        <v>119</v>
      </c>
      <c r="CQ2720">
        <v>180</v>
      </c>
      <c r="CR2720">
        <v>2</v>
      </c>
      <c r="CW2720">
        <v>8607136</v>
      </c>
      <c r="CY2720">
        <v>1</v>
      </c>
      <c r="CZ2720">
        <v>0</v>
      </c>
      <c r="DA2720">
        <v>1</v>
      </c>
      <c r="DB2720">
        <v>0</v>
      </c>
      <c r="DC2720">
        <v>0</v>
      </c>
      <c r="DD2720">
        <v>0</v>
      </c>
      <c r="DE2720">
        <v>0</v>
      </c>
      <c r="DF2720">
        <v>0</v>
      </c>
      <c r="DG2720">
        <v>0</v>
      </c>
      <c r="DH2720">
        <v>0</v>
      </c>
      <c r="DI2720">
        <v>0</v>
      </c>
    </row>
    <row r="2721" spans="1:113" x14ac:dyDescent="0.3">
      <c r="A2721" t="str">
        <f>"02/08/2021 20:29:00.493"</f>
        <v>02/08/2021 20:29:00.493</v>
      </c>
      <c r="C2721" t="str">
        <f t="shared" si="129"/>
        <v>FFDFD7C0</v>
      </c>
      <c r="D2721" t="s">
        <v>124</v>
      </c>
      <c r="E2721">
        <v>13</v>
      </c>
      <c r="F2721">
        <v>1013</v>
      </c>
      <c r="G2721" t="s">
        <v>114</v>
      </c>
      <c r="J2721" t="s">
        <v>125</v>
      </c>
      <c r="K2721">
        <v>0</v>
      </c>
      <c r="L2721">
        <v>3</v>
      </c>
      <c r="M2721">
        <v>0</v>
      </c>
      <c r="N2721">
        <v>2</v>
      </c>
      <c r="O2721">
        <v>1</v>
      </c>
      <c r="P2721">
        <v>0</v>
      </c>
      <c r="Q2721">
        <v>0</v>
      </c>
      <c r="S2721" t="str">
        <f>"20:29:02.820"</f>
        <v>20:29:02.820</v>
      </c>
      <c r="T2721" t="str">
        <f>"20:29:02.320"</f>
        <v>20:29:02.320</v>
      </c>
      <c r="U2721" t="str">
        <f t="shared" si="131"/>
        <v>AB01F4</v>
      </c>
      <c r="V2721">
        <v>0</v>
      </c>
      <c r="W2721">
        <v>0</v>
      </c>
      <c r="X2721">
        <v>2</v>
      </c>
      <c r="Z2721">
        <v>0</v>
      </c>
      <c r="AA2721">
        <v>9</v>
      </c>
      <c r="AB2721">
        <v>3</v>
      </c>
      <c r="AC2721">
        <v>0</v>
      </c>
      <c r="AD2721">
        <v>10</v>
      </c>
      <c r="AE2721">
        <v>0</v>
      </c>
      <c r="AF2721">
        <v>3</v>
      </c>
      <c r="AG2721">
        <v>2</v>
      </c>
      <c r="AH2721">
        <v>0</v>
      </c>
      <c r="AI2721" t="s">
        <v>1609</v>
      </c>
      <c r="AJ2721">
        <v>40.018408000000001</v>
      </c>
      <c r="AK2721" t="s">
        <v>1610</v>
      </c>
      <c r="AL2721">
        <v>-92.781171999999998</v>
      </c>
      <c r="AM2721">
        <v>100</v>
      </c>
      <c r="AN2721">
        <v>1600</v>
      </c>
      <c r="AO2721" t="s">
        <v>118</v>
      </c>
      <c r="AP2721">
        <v>-110</v>
      </c>
      <c r="AQ2721">
        <v>80</v>
      </c>
      <c r="AR2721">
        <v>-256</v>
      </c>
      <c r="AZ2721">
        <v>1200</v>
      </c>
      <c r="BA2721">
        <v>1</v>
      </c>
      <c r="BB2721" t="str">
        <f t="shared" si="130"/>
        <v xml:space="preserve">N8080G  </v>
      </c>
      <c r="BC2721">
        <v>1</v>
      </c>
      <c r="BE2721">
        <v>0</v>
      </c>
      <c r="BF2721">
        <v>0</v>
      </c>
      <c r="BG2721">
        <v>0</v>
      </c>
      <c r="BH2721">
        <v>1600</v>
      </c>
      <c r="BI2721">
        <v>1</v>
      </c>
      <c r="BJ2721">
        <v>1</v>
      </c>
      <c r="BK2721">
        <v>1</v>
      </c>
      <c r="BL2721">
        <v>0</v>
      </c>
      <c r="BO2721">
        <v>0</v>
      </c>
      <c r="BP2721">
        <v>0</v>
      </c>
      <c r="BW2721" t="str">
        <f>"20:29:02.822"</f>
        <v>20:29:02.822</v>
      </c>
      <c r="BZ2721">
        <v>0</v>
      </c>
      <c r="CA2721">
        <v>1792</v>
      </c>
      <c r="CB2721">
        <v>224</v>
      </c>
      <c r="CD2721">
        <v>1</v>
      </c>
      <c r="CE2721">
        <v>0</v>
      </c>
      <c r="CF2721">
        <v>0</v>
      </c>
      <c r="CG2721">
        <v>0</v>
      </c>
      <c r="CH2721">
        <v>0</v>
      </c>
      <c r="CI2721">
        <v>0</v>
      </c>
      <c r="CJ2721">
        <v>0</v>
      </c>
      <c r="CK2721">
        <v>2</v>
      </c>
      <c r="CL2721">
        <v>0</v>
      </c>
      <c r="CM2721">
        <v>2</v>
      </c>
      <c r="CN2721">
        <v>0</v>
      </c>
      <c r="CO2721">
        <v>7</v>
      </c>
      <c r="CP2721" t="s">
        <v>119</v>
      </c>
      <c r="CQ2721">
        <v>180</v>
      </c>
      <c r="CR2721">
        <v>2</v>
      </c>
      <c r="CW2721">
        <v>8607136</v>
      </c>
      <c r="CY2721">
        <v>1</v>
      </c>
      <c r="CZ2721">
        <v>0</v>
      </c>
      <c r="DA2721">
        <v>1</v>
      </c>
      <c r="DB2721">
        <v>0</v>
      </c>
      <c r="DC2721">
        <v>0</v>
      </c>
      <c r="DD2721">
        <v>0</v>
      </c>
      <c r="DE2721">
        <v>0</v>
      </c>
      <c r="DF2721">
        <v>0</v>
      </c>
      <c r="DG2721">
        <v>0</v>
      </c>
      <c r="DH2721">
        <v>0</v>
      </c>
      <c r="DI2721">
        <v>0</v>
      </c>
    </row>
    <row r="2722" spans="1:113" x14ac:dyDescent="0.3">
      <c r="A2722" t="str">
        <f>"02/08/2021 20:29:00.493"</f>
        <v>02/08/2021 20:29:00.493</v>
      </c>
      <c r="C2722" t="str">
        <f t="shared" si="129"/>
        <v>FFDFD7C0</v>
      </c>
      <c r="D2722" t="s">
        <v>124</v>
      </c>
      <c r="E2722">
        <v>12</v>
      </c>
      <c r="F2722">
        <v>1012</v>
      </c>
      <c r="G2722" t="s">
        <v>675</v>
      </c>
      <c r="J2722" t="s">
        <v>125</v>
      </c>
      <c r="K2722">
        <v>0</v>
      </c>
      <c r="L2722">
        <v>3</v>
      </c>
      <c r="M2722">
        <v>0</v>
      </c>
      <c r="N2722">
        <v>2</v>
      </c>
      <c r="O2722">
        <v>1</v>
      </c>
      <c r="P2722">
        <v>0</v>
      </c>
      <c r="Q2722">
        <v>0</v>
      </c>
      <c r="S2722" t="str">
        <f>"20:29:02.820"</f>
        <v>20:29:02.820</v>
      </c>
      <c r="T2722" t="str">
        <f>"20:29:02.320"</f>
        <v>20:29:02.320</v>
      </c>
      <c r="U2722" t="str">
        <f t="shared" si="131"/>
        <v>AB01F4</v>
      </c>
      <c r="V2722">
        <v>0</v>
      </c>
      <c r="W2722">
        <v>0</v>
      </c>
      <c r="X2722">
        <v>2</v>
      </c>
      <c r="Z2722">
        <v>0</v>
      </c>
      <c r="AA2722">
        <v>9</v>
      </c>
      <c r="AB2722">
        <v>3</v>
      </c>
      <c r="AC2722">
        <v>0</v>
      </c>
      <c r="AD2722">
        <v>10</v>
      </c>
      <c r="AE2722">
        <v>0</v>
      </c>
      <c r="AF2722">
        <v>3</v>
      </c>
      <c r="AG2722">
        <v>2</v>
      </c>
      <c r="AH2722">
        <v>0</v>
      </c>
      <c r="AI2722" t="s">
        <v>1609</v>
      </c>
      <c r="AJ2722">
        <v>40.018408000000001</v>
      </c>
      <c r="AK2722" t="s">
        <v>1610</v>
      </c>
      <c r="AL2722">
        <v>-92.781171999999998</v>
      </c>
      <c r="AM2722">
        <v>100</v>
      </c>
      <c r="AN2722">
        <v>1600</v>
      </c>
      <c r="AO2722" t="s">
        <v>118</v>
      </c>
      <c r="AP2722">
        <v>-110</v>
      </c>
      <c r="AQ2722">
        <v>80</v>
      </c>
      <c r="AR2722">
        <v>-256</v>
      </c>
      <c r="AZ2722">
        <v>1200</v>
      </c>
      <c r="BA2722">
        <v>1</v>
      </c>
      <c r="BB2722" t="str">
        <f t="shared" si="130"/>
        <v xml:space="preserve">N8080G  </v>
      </c>
      <c r="BC2722">
        <v>1</v>
      </c>
      <c r="BE2722">
        <v>0</v>
      </c>
      <c r="BF2722">
        <v>0</v>
      </c>
      <c r="BG2722">
        <v>0</v>
      </c>
      <c r="BH2722">
        <v>1600</v>
      </c>
      <c r="BI2722">
        <v>1</v>
      </c>
      <c r="BJ2722">
        <v>1</v>
      </c>
      <c r="BK2722">
        <v>1</v>
      </c>
      <c r="BL2722">
        <v>0</v>
      </c>
      <c r="BO2722">
        <v>0</v>
      </c>
      <c r="BP2722">
        <v>0</v>
      </c>
      <c r="BW2722" t="str">
        <f>"20:29:02.822"</f>
        <v>20:29:02.822</v>
      </c>
      <c r="BZ2722">
        <v>0</v>
      </c>
      <c r="CA2722">
        <v>1792</v>
      </c>
      <c r="CB2722">
        <v>224</v>
      </c>
      <c r="CD2722">
        <v>1</v>
      </c>
      <c r="CE2722">
        <v>0</v>
      </c>
      <c r="CF2722">
        <v>0</v>
      </c>
      <c r="CG2722">
        <v>0</v>
      </c>
      <c r="CH2722">
        <v>0</v>
      </c>
      <c r="CI2722">
        <v>0</v>
      </c>
      <c r="CJ2722">
        <v>0</v>
      </c>
      <c r="CK2722">
        <v>2</v>
      </c>
      <c r="CL2722">
        <v>0</v>
      </c>
      <c r="CM2722">
        <v>2</v>
      </c>
      <c r="CN2722">
        <v>0</v>
      </c>
      <c r="CO2722">
        <v>7</v>
      </c>
      <c r="CP2722" t="s">
        <v>119</v>
      </c>
      <c r="CQ2722">
        <v>180</v>
      </c>
      <c r="CR2722">
        <v>2</v>
      </c>
      <c r="CW2722">
        <v>8607136</v>
      </c>
      <c r="CY2722">
        <v>1</v>
      </c>
      <c r="CZ2722">
        <v>0</v>
      </c>
      <c r="DA2722">
        <v>1</v>
      </c>
      <c r="DB2722">
        <v>0</v>
      </c>
      <c r="DC2722">
        <v>0</v>
      </c>
      <c r="DD2722">
        <v>0</v>
      </c>
      <c r="DE2722">
        <v>0</v>
      </c>
      <c r="DF2722">
        <v>0</v>
      </c>
      <c r="DG2722">
        <v>0</v>
      </c>
      <c r="DH2722">
        <v>0</v>
      </c>
      <c r="DI2722">
        <v>0</v>
      </c>
    </row>
    <row r="2723" spans="1:113" x14ac:dyDescent="0.3">
      <c r="A2723" t="str">
        <f>"02/08/2021 20:29:03.586"</f>
        <v>02/08/2021 20:29:03.586</v>
      </c>
      <c r="C2723" t="str">
        <f t="shared" si="129"/>
        <v>FFDFD7C0</v>
      </c>
      <c r="D2723" t="s">
        <v>113</v>
      </c>
      <c r="E2723">
        <v>6</v>
      </c>
      <c r="H2723">
        <v>165</v>
      </c>
      <c r="I2723" t="s">
        <v>114</v>
      </c>
      <c r="J2723" t="s">
        <v>115</v>
      </c>
      <c r="K2723">
        <v>0</v>
      </c>
      <c r="L2723">
        <v>3</v>
      </c>
      <c r="M2723">
        <v>0</v>
      </c>
      <c r="N2723">
        <v>2</v>
      </c>
      <c r="O2723">
        <v>1</v>
      </c>
      <c r="P2723">
        <v>0</v>
      </c>
      <c r="Q2723">
        <v>0</v>
      </c>
      <c r="S2723" t="str">
        <f>"20:29:05.914"</f>
        <v>20:29:05.914</v>
      </c>
      <c r="T2723" t="str">
        <f>"20:29:05.414"</f>
        <v>20:29:05.414</v>
      </c>
      <c r="U2723" t="str">
        <f t="shared" si="131"/>
        <v>AB01F4</v>
      </c>
      <c r="V2723">
        <v>0</v>
      </c>
      <c r="W2723">
        <v>0</v>
      </c>
      <c r="X2723">
        <v>2</v>
      </c>
      <c r="Z2723">
        <v>0</v>
      </c>
      <c r="AA2723">
        <v>9</v>
      </c>
      <c r="AB2723">
        <v>3</v>
      </c>
      <c r="AC2723">
        <v>0</v>
      </c>
      <c r="AD2723">
        <v>10</v>
      </c>
      <c r="AE2723">
        <v>0</v>
      </c>
      <c r="AF2723">
        <v>3</v>
      </c>
      <c r="AG2723">
        <v>2</v>
      </c>
      <c r="AH2723">
        <v>0</v>
      </c>
      <c r="AI2723" t="s">
        <v>1611</v>
      </c>
      <c r="AJ2723">
        <v>40.019523999999997</v>
      </c>
      <c r="AK2723" t="s">
        <v>1612</v>
      </c>
      <c r="AL2723">
        <v>-92.783167000000006</v>
      </c>
      <c r="AM2723">
        <v>100</v>
      </c>
      <c r="AN2723">
        <v>1600</v>
      </c>
      <c r="AO2723" t="s">
        <v>118</v>
      </c>
      <c r="AP2723">
        <v>-111</v>
      </c>
      <c r="AQ2723">
        <v>80</v>
      </c>
      <c r="AR2723">
        <v>-192</v>
      </c>
      <c r="AZ2723">
        <v>1200</v>
      </c>
      <c r="BA2723">
        <v>1</v>
      </c>
      <c r="BB2723" t="str">
        <f t="shared" si="130"/>
        <v xml:space="preserve">N8080G  </v>
      </c>
      <c r="BC2723">
        <v>1</v>
      </c>
      <c r="BE2723">
        <v>0</v>
      </c>
      <c r="BF2723">
        <v>0</v>
      </c>
      <c r="BG2723">
        <v>0</v>
      </c>
      <c r="BH2723">
        <v>1600</v>
      </c>
      <c r="BI2723">
        <v>1</v>
      </c>
      <c r="BJ2723">
        <v>1</v>
      </c>
      <c r="BK2723">
        <v>1</v>
      </c>
      <c r="BL2723">
        <v>0</v>
      </c>
      <c r="BO2723">
        <v>0</v>
      </c>
      <c r="BP2723">
        <v>0</v>
      </c>
      <c r="BW2723" t="str">
        <f>"20:29:05.916"</f>
        <v>20:29:05.916</v>
      </c>
      <c r="BZ2723">
        <v>0</v>
      </c>
      <c r="CA2723">
        <v>1792</v>
      </c>
      <c r="CB2723">
        <v>224</v>
      </c>
      <c r="CD2723">
        <v>1</v>
      </c>
      <c r="CE2723">
        <v>0</v>
      </c>
      <c r="CF2723">
        <v>0</v>
      </c>
      <c r="CG2723">
        <v>0</v>
      </c>
      <c r="CH2723">
        <v>0</v>
      </c>
      <c r="CI2723">
        <v>0</v>
      </c>
      <c r="CJ2723">
        <v>0</v>
      </c>
      <c r="CK2723">
        <v>2</v>
      </c>
      <c r="CL2723">
        <v>0</v>
      </c>
      <c r="CM2723">
        <v>2</v>
      </c>
      <c r="CN2723">
        <v>0</v>
      </c>
      <c r="CO2723">
        <v>4</v>
      </c>
      <c r="CP2723" t="s">
        <v>119</v>
      </c>
      <c r="CQ2723">
        <v>179</v>
      </c>
      <c r="CR2723">
        <v>1</v>
      </c>
      <c r="CW2723">
        <v>9065882</v>
      </c>
      <c r="CY2723">
        <v>1</v>
      </c>
      <c r="CZ2723">
        <v>0</v>
      </c>
      <c r="DA2723">
        <v>0</v>
      </c>
      <c r="DB2723">
        <v>0</v>
      </c>
      <c r="DC2723">
        <v>0</v>
      </c>
      <c r="DD2723">
        <v>0</v>
      </c>
      <c r="DE2723">
        <v>0</v>
      </c>
      <c r="DF2723">
        <v>0</v>
      </c>
      <c r="DG2723">
        <v>0</v>
      </c>
      <c r="DH2723">
        <v>0</v>
      </c>
      <c r="DI2723">
        <v>0</v>
      </c>
    </row>
    <row r="2724" spans="1:113" x14ac:dyDescent="0.3">
      <c r="A2724" t="str">
        <f>"02/08/2021 20:29:03.586"</f>
        <v>02/08/2021 20:29:03.586</v>
      </c>
      <c r="C2724" t="str">
        <f t="shared" si="129"/>
        <v>FFDFD7C0</v>
      </c>
      <c r="D2724" t="s">
        <v>124</v>
      </c>
      <c r="E2724">
        <v>12</v>
      </c>
      <c r="F2724">
        <v>1012</v>
      </c>
      <c r="G2724" t="s">
        <v>675</v>
      </c>
      <c r="J2724" t="s">
        <v>125</v>
      </c>
      <c r="K2724">
        <v>0</v>
      </c>
      <c r="L2724">
        <v>3</v>
      </c>
      <c r="M2724">
        <v>0</v>
      </c>
      <c r="N2724">
        <v>2</v>
      </c>
      <c r="O2724">
        <v>1</v>
      </c>
      <c r="P2724">
        <v>0</v>
      </c>
      <c r="Q2724">
        <v>0</v>
      </c>
      <c r="S2724" t="str">
        <f>"20:29:05.914"</f>
        <v>20:29:05.914</v>
      </c>
      <c r="T2724" t="str">
        <f>"20:29:05.414"</f>
        <v>20:29:05.414</v>
      </c>
      <c r="U2724" t="str">
        <f t="shared" si="131"/>
        <v>AB01F4</v>
      </c>
      <c r="V2724">
        <v>0</v>
      </c>
      <c r="W2724">
        <v>0</v>
      </c>
      <c r="X2724">
        <v>2</v>
      </c>
      <c r="Z2724">
        <v>0</v>
      </c>
      <c r="AA2724">
        <v>9</v>
      </c>
      <c r="AB2724">
        <v>3</v>
      </c>
      <c r="AC2724">
        <v>0</v>
      </c>
      <c r="AD2724">
        <v>10</v>
      </c>
      <c r="AE2724">
        <v>0</v>
      </c>
      <c r="AF2724">
        <v>3</v>
      </c>
      <c r="AG2724">
        <v>2</v>
      </c>
      <c r="AH2724">
        <v>0</v>
      </c>
      <c r="AI2724" t="s">
        <v>1611</v>
      </c>
      <c r="AJ2724">
        <v>40.019523999999997</v>
      </c>
      <c r="AK2724" t="s">
        <v>1612</v>
      </c>
      <c r="AL2724">
        <v>-92.783167000000006</v>
      </c>
      <c r="AM2724">
        <v>100</v>
      </c>
      <c r="AN2724">
        <v>1600</v>
      </c>
      <c r="AO2724" t="s">
        <v>118</v>
      </c>
      <c r="AP2724">
        <v>-111</v>
      </c>
      <c r="AQ2724">
        <v>80</v>
      </c>
      <c r="AR2724">
        <v>-192</v>
      </c>
      <c r="AZ2724">
        <v>1200</v>
      </c>
      <c r="BA2724">
        <v>1</v>
      </c>
      <c r="BB2724" t="str">
        <f t="shared" si="130"/>
        <v xml:space="preserve">N8080G  </v>
      </c>
      <c r="BC2724">
        <v>1</v>
      </c>
      <c r="BE2724">
        <v>0</v>
      </c>
      <c r="BF2724">
        <v>0</v>
      </c>
      <c r="BG2724">
        <v>0</v>
      </c>
      <c r="BH2724">
        <v>1600</v>
      </c>
      <c r="BI2724">
        <v>1</v>
      </c>
      <c r="BJ2724">
        <v>1</v>
      </c>
      <c r="BK2724">
        <v>1</v>
      </c>
      <c r="BL2724">
        <v>0</v>
      </c>
      <c r="BO2724">
        <v>0</v>
      </c>
      <c r="BP2724">
        <v>0</v>
      </c>
      <c r="BW2724" t="str">
        <f>"20:29:05.916"</f>
        <v>20:29:05.916</v>
      </c>
      <c r="BZ2724">
        <v>0</v>
      </c>
      <c r="CA2724">
        <v>1792</v>
      </c>
      <c r="CB2724">
        <v>224</v>
      </c>
      <c r="CD2724">
        <v>1</v>
      </c>
      <c r="CE2724">
        <v>0</v>
      </c>
      <c r="CF2724">
        <v>0</v>
      </c>
      <c r="CG2724">
        <v>0</v>
      </c>
      <c r="CH2724">
        <v>0</v>
      </c>
      <c r="CI2724">
        <v>0</v>
      </c>
      <c r="CJ2724">
        <v>0</v>
      </c>
      <c r="CK2724">
        <v>2</v>
      </c>
      <c r="CL2724">
        <v>0</v>
      </c>
      <c r="CM2724">
        <v>2</v>
      </c>
      <c r="CN2724">
        <v>0</v>
      </c>
      <c r="CO2724">
        <v>4</v>
      </c>
      <c r="CP2724" t="s">
        <v>119</v>
      </c>
      <c r="CQ2724">
        <v>179</v>
      </c>
      <c r="CR2724">
        <v>1</v>
      </c>
      <c r="CW2724">
        <v>9065882</v>
      </c>
      <c r="CY2724">
        <v>1</v>
      </c>
      <c r="CZ2724">
        <v>0</v>
      </c>
      <c r="DA2724">
        <v>1</v>
      </c>
      <c r="DB2724">
        <v>0</v>
      </c>
      <c r="DC2724">
        <v>0</v>
      </c>
      <c r="DD2724">
        <v>0</v>
      </c>
      <c r="DE2724">
        <v>0</v>
      </c>
      <c r="DF2724">
        <v>0</v>
      </c>
      <c r="DG2724">
        <v>0</v>
      </c>
      <c r="DH2724">
        <v>0</v>
      </c>
      <c r="DI2724">
        <v>0</v>
      </c>
    </row>
    <row r="2725" spans="1:113" x14ac:dyDescent="0.3">
      <c r="A2725" t="str">
        <f>"02/08/2021 20:29:03.586"</f>
        <v>02/08/2021 20:29:03.586</v>
      </c>
      <c r="C2725" t="str">
        <f t="shared" si="129"/>
        <v>FFDFD7C0</v>
      </c>
      <c r="D2725" t="s">
        <v>124</v>
      </c>
      <c r="E2725">
        <v>11</v>
      </c>
      <c r="F2725">
        <v>1011</v>
      </c>
      <c r="G2725" t="s">
        <v>590</v>
      </c>
      <c r="J2725" t="s">
        <v>125</v>
      </c>
      <c r="K2725">
        <v>0</v>
      </c>
      <c r="L2725">
        <v>3</v>
      </c>
      <c r="M2725">
        <v>0</v>
      </c>
      <c r="N2725">
        <v>2</v>
      </c>
      <c r="O2725">
        <v>1</v>
      </c>
      <c r="P2725">
        <v>0</v>
      </c>
      <c r="Q2725">
        <v>0</v>
      </c>
      <c r="S2725" t="str">
        <f>"20:29:05.914"</f>
        <v>20:29:05.914</v>
      </c>
      <c r="T2725" t="str">
        <f>"20:29:05.414"</f>
        <v>20:29:05.414</v>
      </c>
      <c r="U2725" t="str">
        <f t="shared" si="131"/>
        <v>AB01F4</v>
      </c>
      <c r="V2725">
        <v>0</v>
      </c>
      <c r="W2725">
        <v>0</v>
      </c>
      <c r="X2725">
        <v>2</v>
      </c>
      <c r="Z2725">
        <v>0</v>
      </c>
      <c r="AA2725">
        <v>9</v>
      </c>
      <c r="AB2725">
        <v>3</v>
      </c>
      <c r="AC2725">
        <v>0</v>
      </c>
      <c r="AD2725">
        <v>10</v>
      </c>
      <c r="AE2725">
        <v>0</v>
      </c>
      <c r="AF2725">
        <v>3</v>
      </c>
      <c r="AG2725">
        <v>2</v>
      </c>
      <c r="AH2725">
        <v>0</v>
      </c>
      <c r="AI2725" t="s">
        <v>1611</v>
      </c>
      <c r="AJ2725">
        <v>40.019523999999997</v>
      </c>
      <c r="AK2725" t="s">
        <v>1612</v>
      </c>
      <c r="AL2725">
        <v>-92.783167000000006</v>
      </c>
      <c r="AM2725">
        <v>100</v>
      </c>
      <c r="AN2725">
        <v>1600</v>
      </c>
      <c r="AO2725" t="s">
        <v>118</v>
      </c>
      <c r="AP2725">
        <v>-111</v>
      </c>
      <c r="AQ2725">
        <v>80</v>
      </c>
      <c r="AR2725">
        <v>-192</v>
      </c>
      <c r="AZ2725">
        <v>1200</v>
      </c>
      <c r="BA2725">
        <v>1</v>
      </c>
      <c r="BB2725" t="str">
        <f t="shared" si="130"/>
        <v xml:space="preserve">N8080G  </v>
      </c>
      <c r="BC2725">
        <v>1</v>
      </c>
      <c r="BE2725">
        <v>0</v>
      </c>
      <c r="BF2725">
        <v>0</v>
      </c>
      <c r="BG2725">
        <v>0</v>
      </c>
      <c r="BH2725">
        <v>1600</v>
      </c>
      <c r="BI2725">
        <v>1</v>
      </c>
      <c r="BJ2725">
        <v>1</v>
      </c>
      <c r="BK2725">
        <v>1</v>
      </c>
      <c r="BL2725">
        <v>0</v>
      </c>
      <c r="BO2725">
        <v>0</v>
      </c>
      <c r="BP2725">
        <v>0</v>
      </c>
      <c r="BW2725" t="str">
        <f>"20:29:05.916"</f>
        <v>20:29:05.916</v>
      </c>
      <c r="BZ2725">
        <v>0</v>
      </c>
      <c r="CA2725">
        <v>1792</v>
      </c>
      <c r="CB2725">
        <v>224</v>
      </c>
      <c r="CD2725">
        <v>1</v>
      </c>
      <c r="CE2725">
        <v>0</v>
      </c>
      <c r="CF2725">
        <v>0</v>
      </c>
      <c r="CG2725">
        <v>0</v>
      </c>
      <c r="CH2725">
        <v>0</v>
      </c>
      <c r="CI2725">
        <v>0</v>
      </c>
      <c r="CJ2725">
        <v>0</v>
      </c>
      <c r="CK2725">
        <v>2</v>
      </c>
      <c r="CL2725">
        <v>0</v>
      </c>
      <c r="CM2725">
        <v>2</v>
      </c>
      <c r="CN2725">
        <v>0</v>
      </c>
      <c r="CO2725">
        <v>4</v>
      </c>
      <c r="CP2725" t="s">
        <v>119</v>
      </c>
      <c r="CQ2725">
        <v>179</v>
      </c>
      <c r="CR2725">
        <v>1</v>
      </c>
      <c r="CW2725">
        <v>9065882</v>
      </c>
      <c r="CY2725">
        <v>1</v>
      </c>
      <c r="CZ2725">
        <v>0</v>
      </c>
      <c r="DA2725">
        <v>1</v>
      </c>
      <c r="DB2725">
        <v>0</v>
      </c>
      <c r="DC2725">
        <v>0</v>
      </c>
      <c r="DD2725">
        <v>0</v>
      </c>
      <c r="DE2725">
        <v>0</v>
      </c>
      <c r="DF2725">
        <v>0</v>
      </c>
      <c r="DG2725">
        <v>0</v>
      </c>
      <c r="DH2725">
        <v>0</v>
      </c>
      <c r="DI2725">
        <v>0</v>
      </c>
    </row>
    <row r="2726" spans="1:113" x14ac:dyDescent="0.3">
      <c r="A2726" t="str">
        <f>"02/08/2021 20:29:03.586"</f>
        <v>02/08/2021 20:29:03.586</v>
      </c>
      <c r="C2726" t="str">
        <f t="shared" si="129"/>
        <v>FFDFD7C0</v>
      </c>
      <c r="D2726" t="s">
        <v>124</v>
      </c>
      <c r="E2726">
        <v>13</v>
      </c>
      <c r="F2726">
        <v>1013</v>
      </c>
      <c r="G2726" t="s">
        <v>114</v>
      </c>
      <c r="J2726" t="s">
        <v>125</v>
      </c>
      <c r="K2726">
        <v>0</v>
      </c>
      <c r="L2726">
        <v>3</v>
      </c>
      <c r="M2726">
        <v>0</v>
      </c>
      <c r="N2726">
        <v>2</v>
      </c>
      <c r="O2726">
        <v>1</v>
      </c>
      <c r="P2726">
        <v>0</v>
      </c>
      <c r="Q2726">
        <v>0</v>
      </c>
      <c r="S2726" t="str">
        <f>"20:29:05.914"</f>
        <v>20:29:05.914</v>
      </c>
      <c r="T2726" t="str">
        <f>"20:29:05.414"</f>
        <v>20:29:05.414</v>
      </c>
      <c r="U2726" t="str">
        <f t="shared" si="131"/>
        <v>AB01F4</v>
      </c>
      <c r="V2726">
        <v>0</v>
      </c>
      <c r="W2726">
        <v>0</v>
      </c>
      <c r="X2726">
        <v>2</v>
      </c>
      <c r="Z2726">
        <v>0</v>
      </c>
      <c r="AA2726">
        <v>9</v>
      </c>
      <c r="AB2726">
        <v>3</v>
      </c>
      <c r="AC2726">
        <v>0</v>
      </c>
      <c r="AD2726">
        <v>10</v>
      </c>
      <c r="AE2726">
        <v>0</v>
      </c>
      <c r="AF2726">
        <v>3</v>
      </c>
      <c r="AG2726">
        <v>2</v>
      </c>
      <c r="AH2726">
        <v>0</v>
      </c>
      <c r="AI2726" t="s">
        <v>1611</v>
      </c>
      <c r="AJ2726">
        <v>40.019523999999997</v>
      </c>
      <c r="AK2726" t="s">
        <v>1612</v>
      </c>
      <c r="AL2726">
        <v>-92.783167000000006</v>
      </c>
      <c r="AM2726">
        <v>100</v>
      </c>
      <c r="AN2726">
        <v>1600</v>
      </c>
      <c r="AO2726" t="s">
        <v>118</v>
      </c>
      <c r="AP2726">
        <v>-111</v>
      </c>
      <c r="AQ2726">
        <v>80</v>
      </c>
      <c r="AR2726">
        <v>-192</v>
      </c>
      <c r="AZ2726">
        <v>1200</v>
      </c>
      <c r="BA2726">
        <v>1</v>
      </c>
      <c r="BB2726" t="str">
        <f t="shared" si="130"/>
        <v xml:space="preserve">N8080G  </v>
      </c>
      <c r="BC2726">
        <v>1</v>
      </c>
      <c r="BE2726">
        <v>0</v>
      </c>
      <c r="BF2726">
        <v>0</v>
      </c>
      <c r="BG2726">
        <v>0</v>
      </c>
      <c r="BH2726">
        <v>1600</v>
      </c>
      <c r="BI2726">
        <v>1</v>
      </c>
      <c r="BJ2726">
        <v>1</v>
      </c>
      <c r="BK2726">
        <v>1</v>
      </c>
      <c r="BL2726">
        <v>0</v>
      </c>
      <c r="BO2726">
        <v>0</v>
      </c>
      <c r="BP2726">
        <v>0</v>
      </c>
      <c r="BW2726" t="str">
        <f>"20:29:05.916"</f>
        <v>20:29:05.916</v>
      </c>
      <c r="BZ2726">
        <v>0</v>
      </c>
      <c r="CA2726">
        <v>1792</v>
      </c>
      <c r="CB2726">
        <v>224</v>
      </c>
      <c r="CD2726">
        <v>1</v>
      </c>
      <c r="CE2726">
        <v>0</v>
      </c>
      <c r="CF2726">
        <v>0</v>
      </c>
      <c r="CG2726">
        <v>0</v>
      </c>
      <c r="CH2726">
        <v>0</v>
      </c>
      <c r="CI2726">
        <v>0</v>
      </c>
      <c r="CJ2726">
        <v>0</v>
      </c>
      <c r="CK2726">
        <v>2</v>
      </c>
      <c r="CL2726">
        <v>0</v>
      </c>
      <c r="CM2726">
        <v>2</v>
      </c>
      <c r="CN2726">
        <v>0</v>
      </c>
      <c r="CO2726">
        <v>4</v>
      </c>
      <c r="CP2726" t="s">
        <v>119</v>
      </c>
      <c r="CQ2726">
        <v>179</v>
      </c>
      <c r="CR2726">
        <v>1</v>
      </c>
      <c r="CW2726">
        <v>9065882</v>
      </c>
      <c r="CY2726">
        <v>1</v>
      </c>
      <c r="CZ2726">
        <v>0</v>
      </c>
      <c r="DA2726">
        <v>1</v>
      </c>
      <c r="DB2726">
        <v>0</v>
      </c>
      <c r="DC2726">
        <v>0</v>
      </c>
      <c r="DD2726">
        <v>0</v>
      </c>
      <c r="DE2726">
        <v>0</v>
      </c>
      <c r="DF2726">
        <v>0</v>
      </c>
      <c r="DG2726">
        <v>0</v>
      </c>
      <c r="DH2726">
        <v>0</v>
      </c>
      <c r="DI2726">
        <v>0</v>
      </c>
    </row>
    <row r="2727" spans="1:113" x14ac:dyDescent="0.3">
      <c r="A2727" t="str">
        <f>"02/08/2021 20:29:04.575"</f>
        <v>02/08/2021 20:29:04.575</v>
      </c>
      <c r="C2727" t="str">
        <f t="shared" si="129"/>
        <v>FFDFD7C0</v>
      </c>
      <c r="D2727" t="s">
        <v>124</v>
      </c>
      <c r="E2727">
        <v>13</v>
      </c>
      <c r="F2727">
        <v>1013</v>
      </c>
      <c r="G2727" t="s">
        <v>114</v>
      </c>
      <c r="J2727" t="s">
        <v>125</v>
      </c>
      <c r="K2727">
        <v>0</v>
      </c>
      <c r="L2727">
        <v>3</v>
      </c>
      <c r="M2727">
        <v>0</v>
      </c>
      <c r="N2727">
        <v>2</v>
      </c>
      <c r="O2727">
        <v>1</v>
      </c>
      <c r="P2727">
        <v>0</v>
      </c>
      <c r="Q2727">
        <v>0</v>
      </c>
      <c r="S2727" t="str">
        <f>"20:29:06.883"</f>
        <v>20:29:06.883</v>
      </c>
      <c r="T2727" t="str">
        <f>"20:29:06.483"</f>
        <v>20:29:06.483</v>
      </c>
      <c r="U2727" t="str">
        <f t="shared" si="131"/>
        <v>AB01F4</v>
      </c>
      <c r="V2727">
        <v>0</v>
      </c>
      <c r="W2727">
        <v>0</v>
      </c>
      <c r="X2727">
        <v>2</v>
      </c>
      <c r="Z2727">
        <v>0</v>
      </c>
      <c r="AA2727">
        <v>9</v>
      </c>
      <c r="AB2727">
        <v>3</v>
      </c>
      <c r="AC2727">
        <v>0</v>
      </c>
      <c r="AD2727">
        <v>10</v>
      </c>
      <c r="AE2727">
        <v>0</v>
      </c>
      <c r="AF2727">
        <v>3</v>
      </c>
      <c r="AG2727">
        <v>2</v>
      </c>
      <c r="AH2727">
        <v>0</v>
      </c>
      <c r="AI2727" t="s">
        <v>1613</v>
      </c>
      <c r="AJ2727">
        <v>40.019888999999999</v>
      </c>
      <c r="AK2727" t="s">
        <v>1614</v>
      </c>
      <c r="AL2727">
        <v>-92.783854000000005</v>
      </c>
      <c r="AM2727">
        <v>100</v>
      </c>
      <c r="AN2727">
        <v>1600</v>
      </c>
      <c r="AO2727" t="s">
        <v>118</v>
      </c>
      <c r="AP2727">
        <v>-111</v>
      </c>
      <c r="AQ2727">
        <v>80</v>
      </c>
      <c r="AR2727">
        <v>-192</v>
      </c>
      <c r="AZ2727">
        <v>1200</v>
      </c>
      <c r="BA2727">
        <v>1</v>
      </c>
      <c r="BB2727" t="str">
        <f t="shared" si="130"/>
        <v xml:space="preserve">N8080G  </v>
      </c>
      <c r="BC2727">
        <v>1</v>
      </c>
      <c r="BE2727">
        <v>0</v>
      </c>
      <c r="BF2727">
        <v>0</v>
      </c>
      <c r="BG2727">
        <v>0</v>
      </c>
      <c r="BH2727">
        <v>1600</v>
      </c>
      <c r="BI2727">
        <v>1</v>
      </c>
      <c r="BJ2727">
        <v>1</v>
      </c>
      <c r="BK2727">
        <v>1</v>
      </c>
      <c r="BL2727">
        <v>0</v>
      </c>
      <c r="BO2727">
        <v>0</v>
      </c>
      <c r="BP2727">
        <v>0</v>
      </c>
      <c r="BW2727" t="str">
        <f>"20:29:06.887"</f>
        <v>20:29:06.887</v>
      </c>
      <c r="BZ2727">
        <v>0</v>
      </c>
      <c r="CA2727">
        <v>1792</v>
      </c>
      <c r="CB2727">
        <v>224</v>
      </c>
      <c r="CD2727">
        <v>1</v>
      </c>
      <c r="CE2727">
        <v>0</v>
      </c>
      <c r="CF2727">
        <v>0</v>
      </c>
      <c r="CG2727">
        <v>0</v>
      </c>
      <c r="CH2727">
        <v>0</v>
      </c>
      <c r="CI2727">
        <v>0</v>
      </c>
      <c r="CJ2727">
        <v>0</v>
      </c>
      <c r="CK2727">
        <v>2</v>
      </c>
      <c r="CL2727">
        <v>0</v>
      </c>
      <c r="CM2727">
        <v>2</v>
      </c>
      <c r="CN2727">
        <v>0</v>
      </c>
      <c r="CO2727">
        <v>7</v>
      </c>
      <c r="CP2727" t="s">
        <v>119</v>
      </c>
      <c r="CQ2727">
        <v>180</v>
      </c>
      <c r="CR2727">
        <v>3</v>
      </c>
      <c r="CW2727">
        <v>963991</v>
      </c>
      <c r="CY2727">
        <v>1</v>
      </c>
      <c r="CZ2727">
        <v>0</v>
      </c>
      <c r="DA2727">
        <v>0</v>
      </c>
      <c r="DB2727">
        <v>0</v>
      </c>
      <c r="DC2727">
        <v>0</v>
      </c>
      <c r="DD2727">
        <v>0</v>
      </c>
      <c r="DE2727">
        <v>0</v>
      </c>
      <c r="DF2727">
        <v>0</v>
      </c>
      <c r="DG2727">
        <v>0</v>
      </c>
      <c r="DH2727">
        <v>0</v>
      </c>
      <c r="DI2727">
        <v>0</v>
      </c>
    </row>
    <row r="2728" spans="1:113" x14ac:dyDescent="0.3">
      <c r="A2728" t="str">
        <f>"02/08/2021 20:29:04.575"</f>
        <v>02/08/2021 20:29:04.575</v>
      </c>
      <c r="C2728" t="str">
        <f t="shared" si="129"/>
        <v>FFDFD7C0</v>
      </c>
      <c r="D2728" t="s">
        <v>124</v>
      </c>
      <c r="E2728">
        <v>11</v>
      </c>
      <c r="F2728">
        <v>1011</v>
      </c>
      <c r="G2728" t="s">
        <v>590</v>
      </c>
      <c r="J2728" t="s">
        <v>125</v>
      </c>
      <c r="K2728">
        <v>0</v>
      </c>
      <c r="L2728">
        <v>3</v>
      </c>
      <c r="M2728">
        <v>0</v>
      </c>
      <c r="N2728">
        <v>2</v>
      </c>
      <c r="O2728">
        <v>1</v>
      </c>
      <c r="P2728">
        <v>0</v>
      </c>
      <c r="Q2728">
        <v>0</v>
      </c>
      <c r="S2728" t="str">
        <f>"20:29:06.883"</f>
        <v>20:29:06.883</v>
      </c>
      <c r="T2728" t="str">
        <f>"20:29:06.483"</f>
        <v>20:29:06.483</v>
      </c>
      <c r="U2728" t="str">
        <f t="shared" si="131"/>
        <v>AB01F4</v>
      </c>
      <c r="V2728">
        <v>0</v>
      </c>
      <c r="W2728">
        <v>0</v>
      </c>
      <c r="X2728">
        <v>2</v>
      </c>
      <c r="Z2728">
        <v>0</v>
      </c>
      <c r="AA2728">
        <v>9</v>
      </c>
      <c r="AB2728">
        <v>3</v>
      </c>
      <c r="AC2728">
        <v>0</v>
      </c>
      <c r="AD2728">
        <v>10</v>
      </c>
      <c r="AE2728">
        <v>0</v>
      </c>
      <c r="AF2728">
        <v>3</v>
      </c>
      <c r="AG2728">
        <v>2</v>
      </c>
      <c r="AH2728">
        <v>0</v>
      </c>
      <c r="AI2728" t="s">
        <v>1613</v>
      </c>
      <c r="AJ2728">
        <v>40.019888999999999</v>
      </c>
      <c r="AK2728" t="s">
        <v>1614</v>
      </c>
      <c r="AL2728">
        <v>-92.783854000000005</v>
      </c>
      <c r="AM2728">
        <v>100</v>
      </c>
      <c r="AN2728">
        <v>1600</v>
      </c>
      <c r="AO2728" t="s">
        <v>118</v>
      </c>
      <c r="AP2728">
        <v>-111</v>
      </c>
      <c r="AQ2728">
        <v>80</v>
      </c>
      <c r="AR2728">
        <v>-192</v>
      </c>
      <c r="AZ2728">
        <v>1200</v>
      </c>
      <c r="BA2728">
        <v>1</v>
      </c>
      <c r="BB2728" t="str">
        <f t="shared" si="130"/>
        <v xml:space="preserve">N8080G  </v>
      </c>
      <c r="BC2728">
        <v>1</v>
      </c>
      <c r="BE2728">
        <v>0</v>
      </c>
      <c r="BF2728">
        <v>0</v>
      </c>
      <c r="BG2728">
        <v>0</v>
      </c>
      <c r="BH2728">
        <v>1600</v>
      </c>
      <c r="BI2728">
        <v>1</v>
      </c>
      <c r="BJ2728">
        <v>1</v>
      </c>
      <c r="BK2728">
        <v>1</v>
      </c>
      <c r="BL2728">
        <v>0</v>
      </c>
      <c r="BO2728">
        <v>0</v>
      </c>
      <c r="BP2728">
        <v>0</v>
      </c>
      <c r="BW2728" t="str">
        <f>"20:29:06.887"</f>
        <v>20:29:06.887</v>
      </c>
      <c r="BZ2728">
        <v>0</v>
      </c>
      <c r="CA2728">
        <v>1792</v>
      </c>
      <c r="CB2728">
        <v>224</v>
      </c>
      <c r="CD2728">
        <v>1</v>
      </c>
      <c r="CE2728">
        <v>0</v>
      </c>
      <c r="CF2728">
        <v>0</v>
      </c>
      <c r="CG2728">
        <v>0</v>
      </c>
      <c r="CH2728">
        <v>0</v>
      </c>
      <c r="CI2728">
        <v>0</v>
      </c>
      <c r="CJ2728">
        <v>0</v>
      </c>
      <c r="CK2728">
        <v>2</v>
      </c>
      <c r="CL2728">
        <v>0</v>
      </c>
      <c r="CM2728">
        <v>2</v>
      </c>
      <c r="CN2728">
        <v>0</v>
      </c>
      <c r="CO2728">
        <v>7</v>
      </c>
      <c r="CP2728" t="s">
        <v>119</v>
      </c>
      <c r="CQ2728">
        <v>180</v>
      </c>
      <c r="CR2728">
        <v>3</v>
      </c>
      <c r="CW2728">
        <v>963991</v>
      </c>
      <c r="CY2728">
        <v>1</v>
      </c>
      <c r="CZ2728">
        <v>0</v>
      </c>
      <c r="DA2728">
        <v>1</v>
      </c>
      <c r="DB2728">
        <v>0</v>
      </c>
      <c r="DC2728">
        <v>0</v>
      </c>
      <c r="DD2728">
        <v>0</v>
      </c>
      <c r="DE2728">
        <v>0</v>
      </c>
      <c r="DF2728">
        <v>0</v>
      </c>
      <c r="DG2728">
        <v>0</v>
      </c>
      <c r="DH2728">
        <v>0</v>
      </c>
      <c r="DI2728">
        <v>0</v>
      </c>
    </row>
    <row r="2729" spans="1:113" x14ac:dyDescent="0.3">
      <c r="A2729" t="str">
        <f>"02/08/2021 20:29:04.575"</f>
        <v>02/08/2021 20:29:04.575</v>
      </c>
      <c r="C2729" t="str">
        <f t="shared" si="129"/>
        <v>FFDFD7C0</v>
      </c>
      <c r="D2729" t="s">
        <v>113</v>
      </c>
      <c r="E2729">
        <v>6</v>
      </c>
      <c r="H2729">
        <v>165</v>
      </c>
      <c r="I2729" t="s">
        <v>114</v>
      </c>
      <c r="J2729" t="s">
        <v>115</v>
      </c>
      <c r="K2729">
        <v>0</v>
      </c>
      <c r="L2729">
        <v>3</v>
      </c>
      <c r="M2729">
        <v>0</v>
      </c>
      <c r="N2729">
        <v>2</v>
      </c>
      <c r="O2729">
        <v>1</v>
      </c>
      <c r="P2729">
        <v>0</v>
      </c>
      <c r="Q2729">
        <v>0</v>
      </c>
      <c r="S2729" t="str">
        <f>"20:29:06.883"</f>
        <v>20:29:06.883</v>
      </c>
      <c r="T2729" t="str">
        <f>"20:29:06.483"</f>
        <v>20:29:06.483</v>
      </c>
      <c r="U2729" t="str">
        <f t="shared" si="131"/>
        <v>AB01F4</v>
      </c>
      <c r="V2729">
        <v>0</v>
      </c>
      <c r="W2729">
        <v>0</v>
      </c>
      <c r="X2729">
        <v>2</v>
      </c>
      <c r="Z2729">
        <v>0</v>
      </c>
      <c r="AA2729">
        <v>9</v>
      </c>
      <c r="AB2729">
        <v>3</v>
      </c>
      <c r="AC2729">
        <v>0</v>
      </c>
      <c r="AD2729">
        <v>10</v>
      </c>
      <c r="AE2729">
        <v>0</v>
      </c>
      <c r="AF2729">
        <v>3</v>
      </c>
      <c r="AG2729">
        <v>2</v>
      </c>
      <c r="AH2729">
        <v>0</v>
      </c>
      <c r="AI2729" t="s">
        <v>1613</v>
      </c>
      <c r="AJ2729">
        <v>40.019888999999999</v>
      </c>
      <c r="AK2729" t="s">
        <v>1614</v>
      </c>
      <c r="AL2729">
        <v>-92.783854000000005</v>
      </c>
      <c r="AM2729">
        <v>100</v>
      </c>
      <c r="AN2729">
        <v>1600</v>
      </c>
      <c r="AO2729" t="s">
        <v>118</v>
      </c>
      <c r="AP2729">
        <v>-111</v>
      </c>
      <c r="AQ2729">
        <v>80</v>
      </c>
      <c r="AR2729">
        <v>-192</v>
      </c>
      <c r="AZ2729">
        <v>1200</v>
      </c>
      <c r="BA2729">
        <v>1</v>
      </c>
      <c r="BB2729" t="str">
        <f t="shared" si="130"/>
        <v xml:space="preserve">N8080G  </v>
      </c>
      <c r="BC2729">
        <v>1</v>
      </c>
      <c r="BE2729">
        <v>0</v>
      </c>
      <c r="BF2729">
        <v>0</v>
      </c>
      <c r="BG2729">
        <v>0</v>
      </c>
      <c r="BH2729">
        <v>1600</v>
      </c>
      <c r="BI2729">
        <v>1</v>
      </c>
      <c r="BJ2729">
        <v>1</v>
      </c>
      <c r="BK2729">
        <v>1</v>
      </c>
      <c r="BL2729">
        <v>0</v>
      </c>
      <c r="BO2729">
        <v>0</v>
      </c>
      <c r="BP2729">
        <v>0</v>
      </c>
      <c r="BW2729" t="str">
        <f>"20:29:06.887"</f>
        <v>20:29:06.887</v>
      </c>
      <c r="BZ2729">
        <v>0</v>
      </c>
      <c r="CA2729">
        <v>1792</v>
      </c>
      <c r="CB2729">
        <v>224</v>
      </c>
      <c r="CD2729">
        <v>1</v>
      </c>
      <c r="CE2729">
        <v>0</v>
      </c>
      <c r="CF2729">
        <v>0</v>
      </c>
      <c r="CG2729">
        <v>0</v>
      </c>
      <c r="CH2729">
        <v>0</v>
      </c>
      <c r="CI2729">
        <v>0</v>
      </c>
      <c r="CJ2729">
        <v>0</v>
      </c>
      <c r="CK2729">
        <v>2</v>
      </c>
      <c r="CL2729">
        <v>0</v>
      </c>
      <c r="CM2729">
        <v>2</v>
      </c>
      <c r="CN2729">
        <v>0</v>
      </c>
      <c r="CO2729">
        <v>7</v>
      </c>
      <c r="CP2729" t="s">
        <v>119</v>
      </c>
      <c r="CQ2729">
        <v>180</v>
      </c>
      <c r="CR2729">
        <v>3</v>
      </c>
      <c r="CW2729">
        <v>963991</v>
      </c>
      <c r="CY2729">
        <v>1</v>
      </c>
      <c r="CZ2729">
        <v>0</v>
      </c>
      <c r="DA2729">
        <v>1</v>
      </c>
      <c r="DB2729">
        <v>0</v>
      </c>
      <c r="DC2729">
        <v>0</v>
      </c>
      <c r="DD2729">
        <v>0</v>
      </c>
      <c r="DE2729">
        <v>0</v>
      </c>
      <c r="DF2729">
        <v>0</v>
      </c>
      <c r="DG2729">
        <v>0</v>
      </c>
      <c r="DH2729">
        <v>0</v>
      </c>
      <c r="DI2729">
        <v>0</v>
      </c>
    </row>
    <row r="2730" spans="1:113" x14ac:dyDescent="0.3">
      <c r="A2730" t="str">
        <f>"02/08/2021 20:29:04.575"</f>
        <v>02/08/2021 20:29:04.575</v>
      </c>
      <c r="C2730" t="str">
        <f t="shared" si="129"/>
        <v>FFDFD7C0</v>
      </c>
      <c r="D2730" t="s">
        <v>124</v>
      </c>
      <c r="E2730">
        <v>12</v>
      </c>
      <c r="F2730">
        <v>1012</v>
      </c>
      <c r="G2730" t="s">
        <v>675</v>
      </c>
      <c r="J2730" t="s">
        <v>125</v>
      </c>
      <c r="K2730">
        <v>0</v>
      </c>
      <c r="L2730">
        <v>3</v>
      </c>
      <c r="M2730">
        <v>0</v>
      </c>
      <c r="N2730">
        <v>2</v>
      </c>
      <c r="O2730">
        <v>1</v>
      </c>
      <c r="P2730">
        <v>0</v>
      </c>
      <c r="Q2730">
        <v>0</v>
      </c>
      <c r="S2730" t="str">
        <f>"20:29:06.883"</f>
        <v>20:29:06.883</v>
      </c>
      <c r="T2730" t="str">
        <f>"20:29:06.483"</f>
        <v>20:29:06.483</v>
      </c>
      <c r="U2730" t="str">
        <f t="shared" si="131"/>
        <v>AB01F4</v>
      </c>
      <c r="V2730">
        <v>0</v>
      </c>
      <c r="W2730">
        <v>0</v>
      </c>
      <c r="X2730">
        <v>2</v>
      </c>
      <c r="Z2730">
        <v>0</v>
      </c>
      <c r="AA2730">
        <v>9</v>
      </c>
      <c r="AB2730">
        <v>3</v>
      </c>
      <c r="AC2730">
        <v>0</v>
      </c>
      <c r="AD2730">
        <v>10</v>
      </c>
      <c r="AE2730">
        <v>0</v>
      </c>
      <c r="AF2730">
        <v>3</v>
      </c>
      <c r="AG2730">
        <v>2</v>
      </c>
      <c r="AH2730">
        <v>0</v>
      </c>
      <c r="AI2730" t="s">
        <v>1613</v>
      </c>
      <c r="AJ2730">
        <v>40.019888999999999</v>
      </c>
      <c r="AK2730" t="s">
        <v>1614</v>
      </c>
      <c r="AL2730">
        <v>-92.783854000000005</v>
      </c>
      <c r="AM2730">
        <v>100</v>
      </c>
      <c r="AN2730">
        <v>1600</v>
      </c>
      <c r="AO2730" t="s">
        <v>118</v>
      </c>
      <c r="AP2730">
        <v>-111</v>
      </c>
      <c r="AQ2730">
        <v>80</v>
      </c>
      <c r="AR2730">
        <v>-192</v>
      </c>
      <c r="AZ2730">
        <v>1200</v>
      </c>
      <c r="BA2730">
        <v>1</v>
      </c>
      <c r="BB2730" t="str">
        <f t="shared" si="130"/>
        <v xml:space="preserve">N8080G  </v>
      </c>
      <c r="BC2730">
        <v>1</v>
      </c>
      <c r="BE2730">
        <v>0</v>
      </c>
      <c r="BF2730">
        <v>0</v>
      </c>
      <c r="BG2730">
        <v>0</v>
      </c>
      <c r="BH2730">
        <v>1600</v>
      </c>
      <c r="BI2730">
        <v>1</v>
      </c>
      <c r="BJ2730">
        <v>1</v>
      </c>
      <c r="BK2730">
        <v>1</v>
      </c>
      <c r="BL2730">
        <v>0</v>
      </c>
      <c r="BO2730">
        <v>0</v>
      </c>
      <c r="BP2730">
        <v>0</v>
      </c>
      <c r="BW2730" t="str">
        <f>"20:29:06.887"</f>
        <v>20:29:06.887</v>
      </c>
      <c r="BZ2730">
        <v>0</v>
      </c>
      <c r="CA2730">
        <v>1792</v>
      </c>
      <c r="CB2730">
        <v>224</v>
      </c>
      <c r="CD2730">
        <v>1</v>
      </c>
      <c r="CE2730">
        <v>0</v>
      </c>
      <c r="CF2730">
        <v>0</v>
      </c>
      <c r="CG2730">
        <v>0</v>
      </c>
      <c r="CH2730">
        <v>0</v>
      </c>
      <c r="CI2730">
        <v>0</v>
      </c>
      <c r="CJ2730">
        <v>0</v>
      </c>
      <c r="CK2730">
        <v>2</v>
      </c>
      <c r="CL2730">
        <v>0</v>
      </c>
      <c r="CM2730">
        <v>2</v>
      </c>
      <c r="CN2730">
        <v>0</v>
      </c>
      <c r="CO2730">
        <v>7</v>
      </c>
      <c r="CP2730" t="s">
        <v>119</v>
      </c>
      <c r="CQ2730">
        <v>180</v>
      </c>
      <c r="CR2730">
        <v>3</v>
      </c>
      <c r="CW2730">
        <v>963991</v>
      </c>
      <c r="CY2730">
        <v>1</v>
      </c>
      <c r="CZ2730">
        <v>0</v>
      </c>
      <c r="DA2730">
        <v>1</v>
      </c>
      <c r="DB2730">
        <v>0</v>
      </c>
      <c r="DC2730">
        <v>0</v>
      </c>
      <c r="DD2730">
        <v>0</v>
      </c>
      <c r="DE2730">
        <v>0</v>
      </c>
      <c r="DF2730">
        <v>0</v>
      </c>
      <c r="DG2730">
        <v>0</v>
      </c>
      <c r="DH2730">
        <v>0</v>
      </c>
      <c r="DI2730">
        <v>0</v>
      </c>
    </row>
    <row r="2731" spans="1:113" x14ac:dyDescent="0.3">
      <c r="A2731" t="str">
        <f>"02/08/2021 20:29:05.455"</f>
        <v>02/08/2021 20:29:05.455</v>
      </c>
      <c r="C2731" t="str">
        <f t="shared" si="129"/>
        <v>FFDFD7C0</v>
      </c>
      <c r="D2731" t="s">
        <v>124</v>
      </c>
      <c r="E2731">
        <v>12</v>
      </c>
      <c r="F2731">
        <v>1012</v>
      </c>
      <c r="G2731" t="s">
        <v>675</v>
      </c>
      <c r="J2731" t="s">
        <v>125</v>
      </c>
      <c r="K2731">
        <v>0</v>
      </c>
      <c r="L2731">
        <v>3</v>
      </c>
      <c r="M2731">
        <v>0</v>
      </c>
      <c r="N2731">
        <v>2</v>
      </c>
      <c r="O2731">
        <v>1</v>
      </c>
      <c r="P2731">
        <v>0</v>
      </c>
      <c r="Q2731">
        <v>0</v>
      </c>
      <c r="S2731" t="str">
        <f>"20:29:07.758"</f>
        <v>20:29:07.758</v>
      </c>
      <c r="T2731" t="str">
        <f>"20:29:06.958"</f>
        <v>20:29:06.958</v>
      </c>
      <c r="U2731" t="str">
        <f t="shared" si="131"/>
        <v>AB01F4</v>
      </c>
      <c r="V2731">
        <v>0</v>
      </c>
      <c r="W2731">
        <v>0</v>
      </c>
      <c r="X2731">
        <v>2</v>
      </c>
      <c r="Z2731">
        <v>0</v>
      </c>
      <c r="AA2731">
        <v>9</v>
      </c>
      <c r="AB2731">
        <v>3</v>
      </c>
      <c r="AC2731">
        <v>0</v>
      </c>
      <c r="AD2731">
        <v>10</v>
      </c>
      <c r="AE2731">
        <v>0</v>
      </c>
      <c r="AF2731">
        <v>3</v>
      </c>
      <c r="AG2731">
        <v>2</v>
      </c>
      <c r="AH2731">
        <v>0</v>
      </c>
      <c r="AI2731" t="s">
        <v>1615</v>
      </c>
      <c r="AJ2731">
        <v>40.020211000000003</v>
      </c>
      <c r="AK2731" t="s">
        <v>1616</v>
      </c>
      <c r="AL2731">
        <v>-92.784433000000007</v>
      </c>
      <c r="AM2731">
        <v>100</v>
      </c>
      <c r="AN2731">
        <v>1600</v>
      </c>
      <c r="AO2731" t="s">
        <v>118</v>
      </c>
      <c r="AP2731">
        <v>-111</v>
      </c>
      <c r="AQ2731">
        <v>80</v>
      </c>
      <c r="AR2731">
        <v>-128</v>
      </c>
      <c r="AZ2731">
        <v>1200</v>
      </c>
      <c r="BA2731">
        <v>1</v>
      </c>
      <c r="BB2731" t="str">
        <f t="shared" si="130"/>
        <v xml:space="preserve">N8080G  </v>
      </c>
      <c r="BC2731">
        <v>1</v>
      </c>
      <c r="BE2731">
        <v>0</v>
      </c>
      <c r="BF2731">
        <v>0</v>
      </c>
      <c r="BG2731">
        <v>0</v>
      </c>
      <c r="BH2731">
        <v>1600</v>
      </c>
      <c r="BI2731">
        <v>1</v>
      </c>
      <c r="BJ2731">
        <v>1</v>
      </c>
      <c r="BK2731">
        <v>1</v>
      </c>
      <c r="BL2731">
        <v>0</v>
      </c>
      <c r="BO2731">
        <v>0</v>
      </c>
      <c r="BP2731">
        <v>0</v>
      </c>
      <c r="BW2731" t="str">
        <f>"20:29:07.759"</f>
        <v>20:29:07.759</v>
      </c>
      <c r="BZ2731">
        <v>0</v>
      </c>
      <c r="CA2731">
        <v>1792</v>
      </c>
      <c r="CB2731">
        <v>224</v>
      </c>
      <c r="CD2731">
        <v>1</v>
      </c>
      <c r="CE2731">
        <v>0</v>
      </c>
      <c r="CF2731">
        <v>0</v>
      </c>
      <c r="CG2731">
        <v>0</v>
      </c>
      <c r="CH2731">
        <v>0</v>
      </c>
      <c r="CI2731">
        <v>0</v>
      </c>
      <c r="CJ2731">
        <v>0</v>
      </c>
      <c r="CK2731">
        <v>2</v>
      </c>
      <c r="CL2731">
        <v>0</v>
      </c>
      <c r="CM2731">
        <v>2</v>
      </c>
      <c r="CN2731">
        <v>0</v>
      </c>
      <c r="CO2731">
        <v>4</v>
      </c>
      <c r="CP2731" t="s">
        <v>119</v>
      </c>
      <c r="CQ2731">
        <v>179</v>
      </c>
      <c r="CR2731">
        <v>1</v>
      </c>
      <c r="CW2731">
        <v>9067495</v>
      </c>
      <c r="CY2731">
        <v>1</v>
      </c>
      <c r="CZ2731">
        <v>0</v>
      </c>
      <c r="DA2731">
        <v>0</v>
      </c>
      <c r="DB2731">
        <v>0</v>
      </c>
      <c r="DC2731">
        <v>0</v>
      </c>
      <c r="DD2731">
        <v>0</v>
      </c>
      <c r="DE2731">
        <v>0</v>
      </c>
      <c r="DF2731">
        <v>0</v>
      </c>
      <c r="DG2731">
        <v>0</v>
      </c>
      <c r="DH2731">
        <v>0</v>
      </c>
      <c r="DI2731">
        <v>0</v>
      </c>
    </row>
    <row r="2732" spans="1:113" x14ac:dyDescent="0.3">
      <c r="A2732" t="str">
        <f>"02/08/2021 20:29:05.455"</f>
        <v>02/08/2021 20:29:05.455</v>
      </c>
      <c r="C2732" t="str">
        <f t="shared" si="129"/>
        <v>FFDFD7C0</v>
      </c>
      <c r="D2732" t="s">
        <v>113</v>
      </c>
      <c r="E2732">
        <v>6</v>
      </c>
      <c r="H2732">
        <v>165</v>
      </c>
      <c r="I2732" t="s">
        <v>114</v>
      </c>
      <c r="J2732" t="s">
        <v>115</v>
      </c>
      <c r="K2732">
        <v>0</v>
      </c>
      <c r="L2732">
        <v>3</v>
      </c>
      <c r="M2732">
        <v>0</v>
      </c>
      <c r="N2732">
        <v>2</v>
      </c>
      <c r="O2732">
        <v>1</v>
      </c>
      <c r="P2732">
        <v>0</v>
      </c>
      <c r="Q2732">
        <v>0</v>
      </c>
      <c r="S2732" t="str">
        <f>"20:29:07.758"</f>
        <v>20:29:07.758</v>
      </c>
      <c r="T2732" t="str">
        <f>"20:29:06.958"</f>
        <v>20:29:06.958</v>
      </c>
      <c r="U2732" t="str">
        <f t="shared" si="131"/>
        <v>AB01F4</v>
      </c>
      <c r="V2732">
        <v>0</v>
      </c>
      <c r="W2732">
        <v>0</v>
      </c>
      <c r="X2732">
        <v>2</v>
      </c>
      <c r="Z2732">
        <v>0</v>
      </c>
      <c r="AA2732">
        <v>9</v>
      </c>
      <c r="AB2732">
        <v>3</v>
      </c>
      <c r="AC2732">
        <v>0</v>
      </c>
      <c r="AD2732">
        <v>10</v>
      </c>
      <c r="AE2732">
        <v>0</v>
      </c>
      <c r="AF2732">
        <v>3</v>
      </c>
      <c r="AG2732">
        <v>2</v>
      </c>
      <c r="AH2732">
        <v>0</v>
      </c>
      <c r="AI2732" t="s">
        <v>1615</v>
      </c>
      <c r="AJ2732">
        <v>40.020211000000003</v>
      </c>
      <c r="AK2732" t="s">
        <v>1616</v>
      </c>
      <c r="AL2732">
        <v>-92.784433000000007</v>
      </c>
      <c r="AM2732">
        <v>100</v>
      </c>
      <c r="AN2732">
        <v>1600</v>
      </c>
      <c r="AO2732" t="s">
        <v>118</v>
      </c>
      <c r="AP2732">
        <v>-111</v>
      </c>
      <c r="AQ2732">
        <v>80</v>
      </c>
      <c r="AR2732">
        <v>-128</v>
      </c>
      <c r="AZ2732">
        <v>1200</v>
      </c>
      <c r="BA2732">
        <v>1</v>
      </c>
      <c r="BB2732" t="str">
        <f t="shared" si="130"/>
        <v xml:space="preserve">N8080G  </v>
      </c>
      <c r="BC2732">
        <v>1</v>
      </c>
      <c r="BE2732">
        <v>0</v>
      </c>
      <c r="BF2732">
        <v>0</v>
      </c>
      <c r="BG2732">
        <v>0</v>
      </c>
      <c r="BH2732">
        <v>1600</v>
      </c>
      <c r="BI2732">
        <v>1</v>
      </c>
      <c r="BJ2732">
        <v>1</v>
      </c>
      <c r="BK2732">
        <v>1</v>
      </c>
      <c r="BL2732">
        <v>0</v>
      </c>
      <c r="BO2732">
        <v>0</v>
      </c>
      <c r="BP2732">
        <v>0</v>
      </c>
      <c r="BW2732" t="str">
        <f>"20:29:07.759"</f>
        <v>20:29:07.759</v>
      </c>
      <c r="BZ2732">
        <v>0</v>
      </c>
      <c r="CA2732">
        <v>1792</v>
      </c>
      <c r="CB2732">
        <v>224</v>
      </c>
      <c r="CD2732">
        <v>1</v>
      </c>
      <c r="CE2732">
        <v>0</v>
      </c>
      <c r="CF2732">
        <v>0</v>
      </c>
      <c r="CG2732">
        <v>0</v>
      </c>
      <c r="CH2732">
        <v>0</v>
      </c>
      <c r="CI2732">
        <v>0</v>
      </c>
      <c r="CJ2732">
        <v>0</v>
      </c>
      <c r="CK2732">
        <v>2</v>
      </c>
      <c r="CL2732">
        <v>0</v>
      </c>
      <c r="CM2732">
        <v>2</v>
      </c>
      <c r="CN2732">
        <v>0</v>
      </c>
      <c r="CO2732">
        <v>4</v>
      </c>
      <c r="CP2732" t="s">
        <v>119</v>
      </c>
      <c r="CQ2732">
        <v>179</v>
      </c>
      <c r="CR2732">
        <v>1</v>
      </c>
      <c r="CW2732">
        <v>9067495</v>
      </c>
      <c r="CY2732">
        <v>1</v>
      </c>
      <c r="CZ2732">
        <v>0</v>
      </c>
      <c r="DA2732">
        <v>1</v>
      </c>
      <c r="DB2732">
        <v>0</v>
      </c>
      <c r="DC2732">
        <v>0</v>
      </c>
      <c r="DD2732">
        <v>0</v>
      </c>
      <c r="DE2732">
        <v>0</v>
      </c>
      <c r="DF2732">
        <v>0</v>
      </c>
      <c r="DG2732">
        <v>0</v>
      </c>
      <c r="DH2732">
        <v>0</v>
      </c>
      <c r="DI2732">
        <v>0</v>
      </c>
    </row>
    <row r="2733" spans="1:113" x14ac:dyDescent="0.3">
      <c r="A2733" t="str">
        <f>"02/08/2021 20:29:05.455"</f>
        <v>02/08/2021 20:29:05.455</v>
      </c>
      <c r="C2733" t="str">
        <f t="shared" si="129"/>
        <v>FFDFD7C0</v>
      </c>
      <c r="D2733" t="s">
        <v>124</v>
      </c>
      <c r="E2733">
        <v>13</v>
      </c>
      <c r="F2733">
        <v>1013</v>
      </c>
      <c r="G2733" t="s">
        <v>114</v>
      </c>
      <c r="J2733" t="s">
        <v>125</v>
      </c>
      <c r="K2733">
        <v>0</v>
      </c>
      <c r="L2733">
        <v>3</v>
      </c>
      <c r="M2733">
        <v>0</v>
      </c>
      <c r="N2733">
        <v>2</v>
      </c>
      <c r="O2733">
        <v>1</v>
      </c>
      <c r="P2733">
        <v>0</v>
      </c>
      <c r="Q2733">
        <v>0</v>
      </c>
      <c r="S2733" t="str">
        <f>"20:29:07.758"</f>
        <v>20:29:07.758</v>
      </c>
      <c r="T2733" t="str">
        <f>"20:29:06.958"</f>
        <v>20:29:06.958</v>
      </c>
      <c r="U2733" t="str">
        <f t="shared" si="131"/>
        <v>AB01F4</v>
      </c>
      <c r="V2733">
        <v>0</v>
      </c>
      <c r="W2733">
        <v>0</v>
      </c>
      <c r="X2733">
        <v>2</v>
      </c>
      <c r="Z2733">
        <v>0</v>
      </c>
      <c r="AA2733">
        <v>9</v>
      </c>
      <c r="AB2733">
        <v>3</v>
      </c>
      <c r="AC2733">
        <v>0</v>
      </c>
      <c r="AD2733">
        <v>10</v>
      </c>
      <c r="AE2733">
        <v>0</v>
      </c>
      <c r="AF2733">
        <v>3</v>
      </c>
      <c r="AG2733">
        <v>2</v>
      </c>
      <c r="AH2733">
        <v>0</v>
      </c>
      <c r="AI2733" t="s">
        <v>1615</v>
      </c>
      <c r="AJ2733">
        <v>40.020211000000003</v>
      </c>
      <c r="AK2733" t="s">
        <v>1616</v>
      </c>
      <c r="AL2733">
        <v>-92.784433000000007</v>
      </c>
      <c r="AM2733">
        <v>100</v>
      </c>
      <c r="AN2733">
        <v>1600</v>
      </c>
      <c r="AO2733" t="s">
        <v>118</v>
      </c>
      <c r="AP2733">
        <v>-111</v>
      </c>
      <c r="AQ2733">
        <v>80</v>
      </c>
      <c r="AR2733">
        <v>-128</v>
      </c>
      <c r="AZ2733">
        <v>1200</v>
      </c>
      <c r="BA2733">
        <v>1</v>
      </c>
      <c r="BB2733" t="str">
        <f t="shared" si="130"/>
        <v xml:space="preserve">N8080G  </v>
      </c>
      <c r="BC2733">
        <v>1</v>
      </c>
      <c r="BE2733">
        <v>0</v>
      </c>
      <c r="BF2733">
        <v>0</v>
      </c>
      <c r="BG2733">
        <v>0</v>
      </c>
      <c r="BH2733">
        <v>1600</v>
      </c>
      <c r="BI2733">
        <v>1</v>
      </c>
      <c r="BJ2733">
        <v>1</v>
      </c>
      <c r="BK2733">
        <v>1</v>
      </c>
      <c r="BL2733">
        <v>0</v>
      </c>
      <c r="BO2733">
        <v>0</v>
      </c>
      <c r="BP2733">
        <v>0</v>
      </c>
      <c r="BW2733" t="str">
        <f>"20:29:07.759"</f>
        <v>20:29:07.759</v>
      </c>
      <c r="BZ2733">
        <v>0</v>
      </c>
      <c r="CA2733">
        <v>1792</v>
      </c>
      <c r="CB2733">
        <v>224</v>
      </c>
      <c r="CD2733">
        <v>1</v>
      </c>
      <c r="CE2733">
        <v>0</v>
      </c>
      <c r="CF2733">
        <v>0</v>
      </c>
      <c r="CG2733">
        <v>0</v>
      </c>
      <c r="CH2733">
        <v>0</v>
      </c>
      <c r="CI2733">
        <v>0</v>
      </c>
      <c r="CJ2733">
        <v>0</v>
      </c>
      <c r="CK2733">
        <v>2</v>
      </c>
      <c r="CL2733">
        <v>0</v>
      </c>
      <c r="CM2733">
        <v>2</v>
      </c>
      <c r="CN2733">
        <v>0</v>
      </c>
      <c r="CO2733">
        <v>4</v>
      </c>
      <c r="CP2733" t="s">
        <v>119</v>
      </c>
      <c r="CQ2733">
        <v>179</v>
      </c>
      <c r="CR2733">
        <v>1</v>
      </c>
      <c r="CW2733">
        <v>9067495</v>
      </c>
      <c r="CY2733">
        <v>1</v>
      </c>
      <c r="CZ2733">
        <v>0</v>
      </c>
      <c r="DA2733">
        <v>1</v>
      </c>
      <c r="DB2733">
        <v>0</v>
      </c>
      <c r="DC2733">
        <v>0</v>
      </c>
      <c r="DD2733">
        <v>0</v>
      </c>
      <c r="DE2733">
        <v>0</v>
      </c>
      <c r="DF2733">
        <v>0</v>
      </c>
      <c r="DG2733">
        <v>0</v>
      </c>
      <c r="DH2733">
        <v>0</v>
      </c>
      <c r="DI2733">
        <v>0</v>
      </c>
    </row>
    <row r="2734" spans="1:113" x14ac:dyDescent="0.3">
      <c r="A2734" t="str">
        <f>"02/08/2021 20:29:05.455"</f>
        <v>02/08/2021 20:29:05.455</v>
      </c>
      <c r="C2734" t="str">
        <f t="shared" si="129"/>
        <v>FFDFD7C0</v>
      </c>
      <c r="D2734" t="s">
        <v>124</v>
      </c>
      <c r="E2734">
        <v>11</v>
      </c>
      <c r="F2734">
        <v>1011</v>
      </c>
      <c r="G2734" t="s">
        <v>590</v>
      </c>
      <c r="J2734" t="s">
        <v>125</v>
      </c>
      <c r="K2734">
        <v>0</v>
      </c>
      <c r="L2734">
        <v>3</v>
      </c>
      <c r="M2734">
        <v>0</v>
      </c>
      <c r="N2734">
        <v>2</v>
      </c>
      <c r="O2734">
        <v>1</v>
      </c>
      <c r="P2734">
        <v>0</v>
      </c>
      <c r="Q2734">
        <v>0</v>
      </c>
      <c r="S2734" t="str">
        <f>"20:29:07.758"</f>
        <v>20:29:07.758</v>
      </c>
      <c r="T2734" t="str">
        <f>"20:29:06.958"</f>
        <v>20:29:06.958</v>
      </c>
      <c r="U2734" t="str">
        <f t="shared" si="131"/>
        <v>AB01F4</v>
      </c>
      <c r="V2734">
        <v>0</v>
      </c>
      <c r="W2734">
        <v>0</v>
      </c>
      <c r="X2734">
        <v>2</v>
      </c>
      <c r="Z2734">
        <v>0</v>
      </c>
      <c r="AA2734">
        <v>9</v>
      </c>
      <c r="AB2734">
        <v>3</v>
      </c>
      <c r="AC2734">
        <v>0</v>
      </c>
      <c r="AD2734">
        <v>10</v>
      </c>
      <c r="AE2734">
        <v>0</v>
      </c>
      <c r="AF2734">
        <v>3</v>
      </c>
      <c r="AG2734">
        <v>2</v>
      </c>
      <c r="AH2734">
        <v>0</v>
      </c>
      <c r="AI2734" t="s">
        <v>1615</v>
      </c>
      <c r="AJ2734">
        <v>40.020211000000003</v>
      </c>
      <c r="AK2734" t="s">
        <v>1616</v>
      </c>
      <c r="AL2734">
        <v>-92.784433000000007</v>
      </c>
      <c r="AM2734">
        <v>100</v>
      </c>
      <c r="AN2734">
        <v>1600</v>
      </c>
      <c r="AO2734" t="s">
        <v>118</v>
      </c>
      <c r="AP2734">
        <v>-111</v>
      </c>
      <c r="AQ2734">
        <v>80</v>
      </c>
      <c r="AR2734">
        <v>-128</v>
      </c>
      <c r="AZ2734">
        <v>1200</v>
      </c>
      <c r="BA2734">
        <v>1</v>
      </c>
      <c r="BB2734" t="str">
        <f t="shared" si="130"/>
        <v xml:space="preserve">N8080G  </v>
      </c>
      <c r="BC2734">
        <v>1</v>
      </c>
      <c r="BE2734">
        <v>0</v>
      </c>
      <c r="BF2734">
        <v>0</v>
      </c>
      <c r="BG2734">
        <v>0</v>
      </c>
      <c r="BH2734">
        <v>1600</v>
      </c>
      <c r="BI2734">
        <v>1</v>
      </c>
      <c r="BJ2734">
        <v>1</v>
      </c>
      <c r="BK2734">
        <v>1</v>
      </c>
      <c r="BL2734">
        <v>0</v>
      </c>
      <c r="BO2734">
        <v>0</v>
      </c>
      <c r="BP2734">
        <v>0</v>
      </c>
      <c r="BW2734" t="str">
        <f>"20:29:07.759"</f>
        <v>20:29:07.759</v>
      </c>
      <c r="BZ2734">
        <v>0</v>
      </c>
      <c r="CA2734">
        <v>1792</v>
      </c>
      <c r="CB2734">
        <v>224</v>
      </c>
      <c r="CD2734">
        <v>1</v>
      </c>
      <c r="CE2734">
        <v>0</v>
      </c>
      <c r="CF2734">
        <v>0</v>
      </c>
      <c r="CG2734">
        <v>0</v>
      </c>
      <c r="CH2734">
        <v>0</v>
      </c>
      <c r="CI2734">
        <v>0</v>
      </c>
      <c r="CJ2734">
        <v>0</v>
      </c>
      <c r="CK2734">
        <v>2</v>
      </c>
      <c r="CL2734">
        <v>0</v>
      </c>
      <c r="CM2734">
        <v>2</v>
      </c>
      <c r="CN2734">
        <v>0</v>
      </c>
      <c r="CO2734">
        <v>4</v>
      </c>
      <c r="CP2734" t="s">
        <v>119</v>
      </c>
      <c r="CQ2734">
        <v>179</v>
      </c>
      <c r="CR2734">
        <v>1</v>
      </c>
      <c r="CW2734">
        <v>9067495</v>
      </c>
      <c r="CY2734">
        <v>1</v>
      </c>
      <c r="CZ2734">
        <v>0</v>
      </c>
      <c r="DA2734">
        <v>1</v>
      </c>
      <c r="DB2734">
        <v>0</v>
      </c>
      <c r="DC2734">
        <v>0</v>
      </c>
      <c r="DD2734">
        <v>0</v>
      </c>
      <c r="DE2734">
        <v>0</v>
      </c>
      <c r="DF2734">
        <v>0</v>
      </c>
      <c r="DG2734">
        <v>0</v>
      </c>
      <c r="DH2734">
        <v>0</v>
      </c>
      <c r="DI2734">
        <v>0</v>
      </c>
    </row>
    <row r="2735" spans="1:113" x14ac:dyDescent="0.3">
      <c r="A2735" t="str">
        <f>"02/08/2021 20:29:06.535"</f>
        <v>02/08/2021 20:29:06.535</v>
      </c>
      <c r="C2735" t="str">
        <f t="shared" ref="C2735:C2798" si="132">"FFDFD7C0"</f>
        <v>FFDFD7C0</v>
      </c>
      <c r="D2735" t="s">
        <v>124</v>
      </c>
      <c r="E2735">
        <v>13</v>
      </c>
      <c r="F2735">
        <v>1013</v>
      </c>
      <c r="G2735" t="s">
        <v>114</v>
      </c>
      <c r="J2735" t="s">
        <v>125</v>
      </c>
      <c r="K2735">
        <v>0</v>
      </c>
      <c r="L2735">
        <v>3</v>
      </c>
      <c r="M2735">
        <v>0</v>
      </c>
      <c r="N2735">
        <v>2</v>
      </c>
      <c r="O2735">
        <v>1</v>
      </c>
      <c r="P2735">
        <v>0</v>
      </c>
      <c r="Q2735">
        <v>0</v>
      </c>
      <c r="S2735" t="str">
        <f>"20:29:08.859"</f>
        <v>20:29:08.859</v>
      </c>
      <c r="T2735" t="str">
        <f>"20:29:08.359"</f>
        <v>20:29:08.359</v>
      </c>
      <c r="U2735" t="str">
        <f t="shared" si="131"/>
        <v>AB01F4</v>
      </c>
      <c r="V2735">
        <v>0</v>
      </c>
      <c r="W2735">
        <v>0</v>
      </c>
      <c r="X2735">
        <v>2</v>
      </c>
      <c r="Z2735">
        <v>0</v>
      </c>
      <c r="AA2735">
        <v>9</v>
      </c>
      <c r="AB2735">
        <v>3</v>
      </c>
      <c r="AC2735">
        <v>0</v>
      </c>
      <c r="AD2735">
        <v>10</v>
      </c>
      <c r="AE2735">
        <v>0</v>
      </c>
      <c r="AF2735">
        <v>3</v>
      </c>
      <c r="AG2735">
        <v>2</v>
      </c>
      <c r="AH2735">
        <v>0</v>
      </c>
      <c r="AI2735" t="s">
        <v>1617</v>
      </c>
      <c r="AJ2735">
        <v>40.02064</v>
      </c>
      <c r="AK2735" t="s">
        <v>1618</v>
      </c>
      <c r="AL2735">
        <v>-92.785162999999997</v>
      </c>
      <c r="AM2735">
        <v>100</v>
      </c>
      <c r="AN2735">
        <v>1600</v>
      </c>
      <c r="AO2735" t="s">
        <v>118</v>
      </c>
      <c r="AP2735">
        <v>-111</v>
      </c>
      <c r="AQ2735">
        <v>79</v>
      </c>
      <c r="AR2735">
        <v>-192</v>
      </c>
      <c r="AZ2735">
        <v>1200</v>
      </c>
      <c r="BA2735">
        <v>1</v>
      </c>
      <c r="BB2735" t="str">
        <f t="shared" ref="BB2735:BB2798" si="133">"N8080G  "</f>
        <v xml:space="preserve">N8080G  </v>
      </c>
      <c r="BC2735">
        <v>1</v>
      </c>
      <c r="BE2735">
        <v>0</v>
      </c>
      <c r="BF2735">
        <v>0</v>
      </c>
      <c r="BG2735">
        <v>0</v>
      </c>
      <c r="BH2735">
        <v>1575</v>
      </c>
      <c r="BI2735">
        <v>1</v>
      </c>
      <c r="BJ2735">
        <v>1</v>
      </c>
      <c r="BK2735">
        <v>1</v>
      </c>
      <c r="BL2735">
        <v>0</v>
      </c>
      <c r="BO2735">
        <v>0</v>
      </c>
      <c r="BP2735">
        <v>0</v>
      </c>
      <c r="BW2735" t="str">
        <f>"20:29:08.865"</f>
        <v>20:29:08.865</v>
      </c>
      <c r="BZ2735">
        <v>0</v>
      </c>
      <c r="CA2735">
        <v>1792</v>
      </c>
      <c r="CB2735">
        <v>224</v>
      </c>
      <c r="CD2735">
        <v>1</v>
      </c>
      <c r="CE2735">
        <v>0</v>
      </c>
      <c r="CF2735">
        <v>0</v>
      </c>
      <c r="CG2735">
        <v>0</v>
      </c>
      <c r="CH2735">
        <v>0</v>
      </c>
      <c r="CI2735">
        <v>0</v>
      </c>
      <c r="CJ2735">
        <v>0</v>
      </c>
      <c r="CK2735">
        <v>2</v>
      </c>
      <c r="CL2735">
        <v>0</v>
      </c>
      <c r="CM2735">
        <v>2</v>
      </c>
      <c r="CN2735">
        <v>0</v>
      </c>
      <c r="CO2735">
        <v>3</v>
      </c>
      <c r="CP2735" t="s">
        <v>119</v>
      </c>
      <c r="CQ2735">
        <v>179</v>
      </c>
      <c r="CR2735">
        <v>1</v>
      </c>
      <c r="CW2735">
        <v>9068447</v>
      </c>
      <c r="CY2735">
        <v>1</v>
      </c>
      <c r="CZ2735">
        <v>0</v>
      </c>
      <c r="DA2735">
        <v>0</v>
      </c>
      <c r="DB2735">
        <v>0</v>
      </c>
      <c r="DC2735">
        <v>0</v>
      </c>
      <c r="DD2735">
        <v>0</v>
      </c>
      <c r="DE2735">
        <v>0</v>
      </c>
      <c r="DF2735">
        <v>0</v>
      </c>
      <c r="DG2735">
        <v>0</v>
      </c>
      <c r="DH2735">
        <v>0</v>
      </c>
      <c r="DI2735">
        <v>0</v>
      </c>
    </row>
    <row r="2736" spans="1:113" x14ac:dyDescent="0.3">
      <c r="A2736" t="str">
        <f>"02/08/2021 20:29:06.535"</f>
        <v>02/08/2021 20:29:06.535</v>
      </c>
      <c r="C2736" t="str">
        <f t="shared" si="132"/>
        <v>FFDFD7C0</v>
      </c>
      <c r="D2736" t="s">
        <v>124</v>
      </c>
      <c r="E2736">
        <v>11</v>
      </c>
      <c r="F2736">
        <v>1011</v>
      </c>
      <c r="G2736" t="s">
        <v>590</v>
      </c>
      <c r="J2736" t="s">
        <v>125</v>
      </c>
      <c r="K2736">
        <v>0</v>
      </c>
      <c r="L2736">
        <v>3</v>
      </c>
      <c r="M2736">
        <v>0</v>
      </c>
      <c r="N2736">
        <v>2</v>
      </c>
      <c r="O2736">
        <v>1</v>
      </c>
      <c r="P2736">
        <v>0</v>
      </c>
      <c r="Q2736">
        <v>0</v>
      </c>
      <c r="S2736" t="str">
        <f>"20:29:08.859"</f>
        <v>20:29:08.859</v>
      </c>
      <c r="T2736" t="str">
        <f>"20:29:08.359"</f>
        <v>20:29:08.359</v>
      </c>
      <c r="U2736" t="str">
        <f t="shared" si="131"/>
        <v>AB01F4</v>
      </c>
      <c r="V2736">
        <v>0</v>
      </c>
      <c r="W2736">
        <v>0</v>
      </c>
      <c r="X2736">
        <v>2</v>
      </c>
      <c r="Z2736">
        <v>0</v>
      </c>
      <c r="AA2736">
        <v>9</v>
      </c>
      <c r="AB2736">
        <v>3</v>
      </c>
      <c r="AC2736">
        <v>0</v>
      </c>
      <c r="AD2736">
        <v>10</v>
      </c>
      <c r="AE2736">
        <v>0</v>
      </c>
      <c r="AF2736">
        <v>3</v>
      </c>
      <c r="AG2736">
        <v>2</v>
      </c>
      <c r="AH2736">
        <v>0</v>
      </c>
      <c r="AI2736" t="s">
        <v>1617</v>
      </c>
      <c r="AJ2736">
        <v>40.02064</v>
      </c>
      <c r="AK2736" t="s">
        <v>1618</v>
      </c>
      <c r="AL2736">
        <v>-92.785162999999997</v>
      </c>
      <c r="AM2736">
        <v>100</v>
      </c>
      <c r="AN2736">
        <v>1600</v>
      </c>
      <c r="AO2736" t="s">
        <v>118</v>
      </c>
      <c r="AP2736">
        <v>-111</v>
      </c>
      <c r="AQ2736">
        <v>79</v>
      </c>
      <c r="AR2736">
        <v>-192</v>
      </c>
      <c r="AZ2736">
        <v>1200</v>
      </c>
      <c r="BA2736">
        <v>1</v>
      </c>
      <c r="BB2736" t="str">
        <f t="shared" si="133"/>
        <v xml:space="preserve">N8080G  </v>
      </c>
      <c r="BC2736">
        <v>1</v>
      </c>
      <c r="BE2736">
        <v>0</v>
      </c>
      <c r="BF2736">
        <v>0</v>
      </c>
      <c r="BG2736">
        <v>0</v>
      </c>
      <c r="BH2736">
        <v>1575</v>
      </c>
      <c r="BI2736">
        <v>1</v>
      </c>
      <c r="BJ2736">
        <v>1</v>
      </c>
      <c r="BK2736">
        <v>1</v>
      </c>
      <c r="BL2736">
        <v>0</v>
      </c>
      <c r="BO2736">
        <v>0</v>
      </c>
      <c r="BP2736">
        <v>0</v>
      </c>
      <c r="BW2736" t="str">
        <f>"20:29:08.865"</f>
        <v>20:29:08.865</v>
      </c>
      <c r="BZ2736">
        <v>0</v>
      </c>
      <c r="CA2736">
        <v>1792</v>
      </c>
      <c r="CB2736">
        <v>224</v>
      </c>
      <c r="CD2736">
        <v>1</v>
      </c>
      <c r="CE2736">
        <v>0</v>
      </c>
      <c r="CF2736">
        <v>0</v>
      </c>
      <c r="CG2736">
        <v>0</v>
      </c>
      <c r="CH2736">
        <v>0</v>
      </c>
      <c r="CI2736">
        <v>0</v>
      </c>
      <c r="CJ2736">
        <v>0</v>
      </c>
      <c r="CK2736">
        <v>2</v>
      </c>
      <c r="CL2736">
        <v>0</v>
      </c>
      <c r="CM2736">
        <v>2</v>
      </c>
      <c r="CN2736">
        <v>0</v>
      </c>
      <c r="CO2736">
        <v>3</v>
      </c>
      <c r="CP2736" t="s">
        <v>119</v>
      </c>
      <c r="CQ2736">
        <v>179</v>
      </c>
      <c r="CR2736">
        <v>1</v>
      </c>
      <c r="CW2736">
        <v>9068447</v>
      </c>
      <c r="CY2736">
        <v>1</v>
      </c>
      <c r="CZ2736">
        <v>0</v>
      </c>
      <c r="DA2736">
        <v>1</v>
      </c>
      <c r="DB2736">
        <v>0</v>
      </c>
      <c r="DC2736">
        <v>0</v>
      </c>
      <c r="DD2736">
        <v>0</v>
      </c>
      <c r="DE2736">
        <v>0</v>
      </c>
      <c r="DF2736">
        <v>0</v>
      </c>
      <c r="DG2736">
        <v>0</v>
      </c>
      <c r="DH2736">
        <v>0</v>
      </c>
      <c r="DI2736">
        <v>0</v>
      </c>
    </row>
    <row r="2737" spans="1:113" x14ac:dyDescent="0.3">
      <c r="A2737" t="str">
        <f>"02/08/2021 20:29:06.535"</f>
        <v>02/08/2021 20:29:06.535</v>
      </c>
      <c r="C2737" t="str">
        <f t="shared" si="132"/>
        <v>FFDFD7C0</v>
      </c>
      <c r="D2737" t="s">
        <v>124</v>
      </c>
      <c r="E2737">
        <v>12</v>
      </c>
      <c r="F2737">
        <v>1012</v>
      </c>
      <c r="G2737" t="s">
        <v>675</v>
      </c>
      <c r="J2737" t="s">
        <v>125</v>
      </c>
      <c r="K2737">
        <v>0</v>
      </c>
      <c r="L2737">
        <v>3</v>
      </c>
      <c r="M2737">
        <v>0</v>
      </c>
      <c r="N2737">
        <v>2</v>
      </c>
      <c r="O2737">
        <v>1</v>
      </c>
      <c r="P2737">
        <v>0</v>
      </c>
      <c r="Q2737">
        <v>0</v>
      </c>
      <c r="S2737" t="str">
        <f>"20:29:08.859"</f>
        <v>20:29:08.859</v>
      </c>
      <c r="T2737" t="str">
        <f>"20:29:08.359"</f>
        <v>20:29:08.359</v>
      </c>
      <c r="U2737" t="str">
        <f t="shared" si="131"/>
        <v>AB01F4</v>
      </c>
      <c r="V2737">
        <v>0</v>
      </c>
      <c r="W2737">
        <v>0</v>
      </c>
      <c r="X2737">
        <v>2</v>
      </c>
      <c r="Z2737">
        <v>0</v>
      </c>
      <c r="AA2737">
        <v>9</v>
      </c>
      <c r="AB2737">
        <v>3</v>
      </c>
      <c r="AC2737">
        <v>0</v>
      </c>
      <c r="AD2737">
        <v>10</v>
      </c>
      <c r="AE2737">
        <v>0</v>
      </c>
      <c r="AF2737">
        <v>3</v>
      </c>
      <c r="AG2737">
        <v>2</v>
      </c>
      <c r="AH2737">
        <v>0</v>
      </c>
      <c r="AI2737" t="s">
        <v>1617</v>
      </c>
      <c r="AJ2737">
        <v>40.02064</v>
      </c>
      <c r="AK2737" t="s">
        <v>1618</v>
      </c>
      <c r="AL2737">
        <v>-92.785162999999997</v>
      </c>
      <c r="AM2737">
        <v>100</v>
      </c>
      <c r="AN2737">
        <v>1600</v>
      </c>
      <c r="AO2737" t="s">
        <v>118</v>
      </c>
      <c r="AP2737">
        <v>-111</v>
      </c>
      <c r="AQ2737">
        <v>79</v>
      </c>
      <c r="AR2737">
        <v>-192</v>
      </c>
      <c r="AZ2737">
        <v>1200</v>
      </c>
      <c r="BA2737">
        <v>1</v>
      </c>
      <c r="BB2737" t="str">
        <f t="shared" si="133"/>
        <v xml:space="preserve">N8080G  </v>
      </c>
      <c r="BC2737">
        <v>1</v>
      </c>
      <c r="BE2737">
        <v>0</v>
      </c>
      <c r="BF2737">
        <v>0</v>
      </c>
      <c r="BG2737">
        <v>0</v>
      </c>
      <c r="BH2737">
        <v>1575</v>
      </c>
      <c r="BI2737">
        <v>1</v>
      </c>
      <c r="BJ2737">
        <v>1</v>
      </c>
      <c r="BK2737">
        <v>1</v>
      </c>
      <c r="BL2737">
        <v>0</v>
      </c>
      <c r="BO2737">
        <v>0</v>
      </c>
      <c r="BP2737">
        <v>0</v>
      </c>
      <c r="BW2737" t="str">
        <f>"20:29:08.865"</f>
        <v>20:29:08.865</v>
      </c>
      <c r="BZ2737">
        <v>0</v>
      </c>
      <c r="CA2737">
        <v>1792</v>
      </c>
      <c r="CB2737">
        <v>224</v>
      </c>
      <c r="CD2737">
        <v>1</v>
      </c>
      <c r="CE2737">
        <v>0</v>
      </c>
      <c r="CF2737">
        <v>0</v>
      </c>
      <c r="CG2737">
        <v>0</v>
      </c>
      <c r="CH2737">
        <v>0</v>
      </c>
      <c r="CI2737">
        <v>0</v>
      </c>
      <c r="CJ2737">
        <v>0</v>
      </c>
      <c r="CK2737">
        <v>2</v>
      </c>
      <c r="CL2737">
        <v>0</v>
      </c>
      <c r="CM2737">
        <v>2</v>
      </c>
      <c r="CN2737">
        <v>0</v>
      </c>
      <c r="CO2737">
        <v>3</v>
      </c>
      <c r="CP2737" t="s">
        <v>119</v>
      </c>
      <c r="CQ2737">
        <v>179</v>
      </c>
      <c r="CR2737">
        <v>1</v>
      </c>
      <c r="CW2737">
        <v>9068447</v>
      </c>
      <c r="CY2737">
        <v>1</v>
      </c>
      <c r="CZ2737">
        <v>0</v>
      </c>
      <c r="DA2737">
        <v>1</v>
      </c>
      <c r="DB2737">
        <v>0</v>
      </c>
      <c r="DC2737">
        <v>0</v>
      </c>
      <c r="DD2737">
        <v>0</v>
      </c>
      <c r="DE2737">
        <v>0</v>
      </c>
      <c r="DF2737">
        <v>0</v>
      </c>
      <c r="DG2737">
        <v>0</v>
      </c>
      <c r="DH2737">
        <v>0</v>
      </c>
      <c r="DI2737">
        <v>0</v>
      </c>
    </row>
    <row r="2738" spans="1:113" x14ac:dyDescent="0.3">
      <c r="A2738" t="str">
        <f>"02/08/2021 20:29:06.535"</f>
        <v>02/08/2021 20:29:06.535</v>
      </c>
      <c r="C2738" t="str">
        <f t="shared" si="132"/>
        <v>FFDFD7C0</v>
      </c>
      <c r="D2738" t="s">
        <v>113</v>
      </c>
      <c r="E2738">
        <v>6</v>
      </c>
      <c r="H2738">
        <v>165</v>
      </c>
      <c r="I2738" t="s">
        <v>114</v>
      </c>
      <c r="J2738" t="s">
        <v>115</v>
      </c>
      <c r="K2738">
        <v>0</v>
      </c>
      <c r="L2738">
        <v>3</v>
      </c>
      <c r="M2738">
        <v>0</v>
      </c>
      <c r="N2738">
        <v>2</v>
      </c>
      <c r="O2738">
        <v>1</v>
      </c>
      <c r="P2738">
        <v>0</v>
      </c>
      <c r="Q2738">
        <v>0</v>
      </c>
      <c r="S2738" t="str">
        <f>"20:29:08.859"</f>
        <v>20:29:08.859</v>
      </c>
      <c r="T2738" t="str">
        <f>"20:29:08.359"</f>
        <v>20:29:08.359</v>
      </c>
      <c r="U2738" t="str">
        <f t="shared" si="131"/>
        <v>AB01F4</v>
      </c>
      <c r="V2738">
        <v>0</v>
      </c>
      <c r="W2738">
        <v>0</v>
      </c>
      <c r="X2738">
        <v>2</v>
      </c>
      <c r="Z2738">
        <v>0</v>
      </c>
      <c r="AA2738">
        <v>9</v>
      </c>
      <c r="AB2738">
        <v>3</v>
      </c>
      <c r="AC2738">
        <v>0</v>
      </c>
      <c r="AD2738">
        <v>10</v>
      </c>
      <c r="AE2738">
        <v>0</v>
      </c>
      <c r="AF2738">
        <v>3</v>
      </c>
      <c r="AG2738">
        <v>2</v>
      </c>
      <c r="AH2738">
        <v>0</v>
      </c>
      <c r="AI2738" t="s">
        <v>1617</v>
      </c>
      <c r="AJ2738">
        <v>40.02064</v>
      </c>
      <c r="AK2738" t="s">
        <v>1618</v>
      </c>
      <c r="AL2738">
        <v>-92.785162999999997</v>
      </c>
      <c r="AM2738">
        <v>100</v>
      </c>
      <c r="AN2738">
        <v>1600</v>
      </c>
      <c r="AO2738" t="s">
        <v>118</v>
      </c>
      <c r="AP2738">
        <v>-111</v>
      </c>
      <c r="AQ2738">
        <v>79</v>
      </c>
      <c r="AR2738">
        <v>-192</v>
      </c>
      <c r="AZ2738">
        <v>1200</v>
      </c>
      <c r="BA2738">
        <v>1</v>
      </c>
      <c r="BB2738" t="str">
        <f t="shared" si="133"/>
        <v xml:space="preserve">N8080G  </v>
      </c>
      <c r="BC2738">
        <v>1</v>
      </c>
      <c r="BE2738">
        <v>0</v>
      </c>
      <c r="BF2738">
        <v>0</v>
      </c>
      <c r="BG2738">
        <v>0</v>
      </c>
      <c r="BH2738">
        <v>1575</v>
      </c>
      <c r="BI2738">
        <v>1</v>
      </c>
      <c r="BJ2738">
        <v>1</v>
      </c>
      <c r="BK2738">
        <v>1</v>
      </c>
      <c r="BL2738">
        <v>0</v>
      </c>
      <c r="BO2738">
        <v>0</v>
      </c>
      <c r="BP2738">
        <v>0</v>
      </c>
      <c r="BW2738" t="str">
        <f>"20:29:08.865"</f>
        <v>20:29:08.865</v>
      </c>
      <c r="BZ2738">
        <v>0</v>
      </c>
      <c r="CA2738">
        <v>1792</v>
      </c>
      <c r="CB2738">
        <v>224</v>
      </c>
      <c r="CD2738">
        <v>1</v>
      </c>
      <c r="CE2738">
        <v>0</v>
      </c>
      <c r="CF2738">
        <v>0</v>
      </c>
      <c r="CG2738">
        <v>0</v>
      </c>
      <c r="CH2738">
        <v>0</v>
      </c>
      <c r="CI2738">
        <v>0</v>
      </c>
      <c r="CJ2738">
        <v>0</v>
      </c>
      <c r="CK2738">
        <v>2</v>
      </c>
      <c r="CL2738">
        <v>0</v>
      </c>
      <c r="CM2738">
        <v>2</v>
      </c>
      <c r="CN2738">
        <v>0</v>
      </c>
      <c r="CO2738">
        <v>3</v>
      </c>
      <c r="CP2738" t="s">
        <v>119</v>
      </c>
      <c r="CQ2738">
        <v>179</v>
      </c>
      <c r="CR2738">
        <v>1</v>
      </c>
      <c r="CW2738">
        <v>9068447</v>
      </c>
      <c r="CY2738">
        <v>1</v>
      </c>
      <c r="CZ2738">
        <v>0</v>
      </c>
      <c r="DA2738">
        <v>1</v>
      </c>
      <c r="DB2738">
        <v>0</v>
      </c>
      <c r="DC2738">
        <v>0</v>
      </c>
      <c r="DD2738">
        <v>0</v>
      </c>
      <c r="DE2738">
        <v>0</v>
      </c>
      <c r="DF2738">
        <v>0</v>
      </c>
      <c r="DG2738">
        <v>0</v>
      </c>
      <c r="DH2738">
        <v>0</v>
      </c>
      <c r="DI2738">
        <v>0</v>
      </c>
    </row>
    <row r="2739" spans="1:113" x14ac:dyDescent="0.3">
      <c r="A2739" t="str">
        <f>"02/08/2021 20:29:07.477"</f>
        <v>02/08/2021 20:29:07.477</v>
      </c>
      <c r="C2739" t="str">
        <f t="shared" si="132"/>
        <v>FFDFD7C0</v>
      </c>
      <c r="D2739" t="s">
        <v>113</v>
      </c>
      <c r="E2739">
        <v>6</v>
      </c>
      <c r="H2739">
        <v>165</v>
      </c>
      <c r="I2739" t="s">
        <v>114</v>
      </c>
      <c r="J2739" t="s">
        <v>115</v>
      </c>
      <c r="K2739">
        <v>0</v>
      </c>
      <c r="L2739">
        <v>3</v>
      </c>
      <c r="M2739">
        <v>0</v>
      </c>
      <c r="N2739">
        <v>2</v>
      </c>
      <c r="O2739">
        <v>1</v>
      </c>
      <c r="P2739">
        <v>0</v>
      </c>
      <c r="Q2739">
        <v>0</v>
      </c>
      <c r="S2739" t="str">
        <f>"20:29:09.805"</f>
        <v>20:29:09.805</v>
      </c>
      <c r="T2739" t="str">
        <f>"20:29:09.405"</f>
        <v>20:29:09.405</v>
      </c>
      <c r="U2739" t="str">
        <f t="shared" si="131"/>
        <v>AB01F4</v>
      </c>
      <c r="V2739">
        <v>0</v>
      </c>
      <c r="W2739">
        <v>0</v>
      </c>
      <c r="X2739">
        <v>2</v>
      </c>
      <c r="Z2739">
        <v>0</v>
      </c>
      <c r="AA2739">
        <v>9</v>
      </c>
      <c r="AB2739">
        <v>3</v>
      </c>
      <c r="AC2739">
        <v>0</v>
      </c>
      <c r="AD2739">
        <v>10</v>
      </c>
      <c r="AE2739">
        <v>0</v>
      </c>
      <c r="AF2739">
        <v>3</v>
      </c>
      <c r="AG2739">
        <v>2</v>
      </c>
      <c r="AH2739">
        <v>0</v>
      </c>
      <c r="AI2739" t="s">
        <v>1619</v>
      </c>
      <c r="AJ2739">
        <v>40.020940000000003</v>
      </c>
      <c r="AK2739" t="s">
        <v>1620</v>
      </c>
      <c r="AL2739">
        <v>-92.785764</v>
      </c>
      <c r="AM2739">
        <v>100</v>
      </c>
      <c r="AN2739">
        <v>1600</v>
      </c>
      <c r="AO2739" t="s">
        <v>118</v>
      </c>
      <c r="AP2739">
        <v>-113</v>
      </c>
      <c r="AQ2739">
        <v>77</v>
      </c>
      <c r="AR2739">
        <v>-192</v>
      </c>
      <c r="AZ2739">
        <v>1200</v>
      </c>
      <c r="BA2739">
        <v>1</v>
      </c>
      <c r="BB2739" t="str">
        <f t="shared" si="133"/>
        <v xml:space="preserve">N8080G  </v>
      </c>
      <c r="BC2739">
        <v>1</v>
      </c>
      <c r="BE2739">
        <v>0</v>
      </c>
      <c r="BF2739">
        <v>0</v>
      </c>
      <c r="BG2739">
        <v>0</v>
      </c>
      <c r="BH2739">
        <v>1575</v>
      </c>
      <c r="BI2739">
        <v>1</v>
      </c>
      <c r="BJ2739">
        <v>1</v>
      </c>
      <c r="BK2739">
        <v>1</v>
      </c>
      <c r="BL2739">
        <v>0</v>
      </c>
      <c r="BO2739">
        <v>0</v>
      </c>
      <c r="BP2739">
        <v>0</v>
      </c>
      <c r="BW2739" t="str">
        <f>"20:29:09.805"</f>
        <v>20:29:09.805</v>
      </c>
      <c r="BZ2739">
        <v>0</v>
      </c>
      <c r="CA2739">
        <v>1792</v>
      </c>
      <c r="CB2739">
        <v>224</v>
      </c>
      <c r="CD2739">
        <v>1</v>
      </c>
      <c r="CE2739">
        <v>0</v>
      </c>
      <c r="CF2739">
        <v>0</v>
      </c>
      <c r="CG2739">
        <v>0</v>
      </c>
      <c r="CH2739">
        <v>0</v>
      </c>
      <c r="CI2739">
        <v>0</v>
      </c>
      <c r="CJ2739">
        <v>0</v>
      </c>
      <c r="CK2739">
        <v>2</v>
      </c>
      <c r="CL2739">
        <v>0</v>
      </c>
      <c r="CM2739">
        <v>2</v>
      </c>
      <c r="CN2739">
        <v>0</v>
      </c>
      <c r="CO2739">
        <v>7</v>
      </c>
      <c r="CP2739" t="s">
        <v>119</v>
      </c>
      <c r="CQ2739">
        <v>180</v>
      </c>
      <c r="CR2739">
        <v>2</v>
      </c>
      <c r="CW2739">
        <v>8613084</v>
      </c>
      <c r="CY2739">
        <v>1</v>
      </c>
      <c r="CZ2739">
        <v>0</v>
      </c>
      <c r="DA2739">
        <v>0</v>
      </c>
      <c r="DB2739">
        <v>0</v>
      </c>
      <c r="DC2739">
        <v>0</v>
      </c>
      <c r="DD2739">
        <v>0</v>
      </c>
      <c r="DE2739">
        <v>0</v>
      </c>
      <c r="DF2739">
        <v>0</v>
      </c>
      <c r="DG2739">
        <v>0</v>
      </c>
      <c r="DH2739">
        <v>0</v>
      </c>
      <c r="DI2739">
        <v>0</v>
      </c>
    </row>
    <row r="2740" spans="1:113" x14ac:dyDescent="0.3">
      <c r="A2740" t="str">
        <f>"02/08/2021 20:29:07.477"</f>
        <v>02/08/2021 20:29:07.477</v>
      </c>
      <c r="C2740" t="str">
        <f t="shared" si="132"/>
        <v>FFDFD7C0</v>
      </c>
      <c r="D2740" t="s">
        <v>124</v>
      </c>
      <c r="E2740">
        <v>13</v>
      </c>
      <c r="F2740">
        <v>1013</v>
      </c>
      <c r="G2740" t="s">
        <v>114</v>
      </c>
      <c r="J2740" t="s">
        <v>125</v>
      </c>
      <c r="K2740">
        <v>0</v>
      </c>
      <c r="L2740">
        <v>3</v>
      </c>
      <c r="M2740">
        <v>0</v>
      </c>
      <c r="N2740">
        <v>2</v>
      </c>
      <c r="O2740">
        <v>1</v>
      </c>
      <c r="P2740">
        <v>0</v>
      </c>
      <c r="Q2740">
        <v>0</v>
      </c>
      <c r="S2740" t="str">
        <f>"20:29:09.805"</f>
        <v>20:29:09.805</v>
      </c>
      <c r="T2740" t="str">
        <f>"20:29:09.405"</f>
        <v>20:29:09.405</v>
      </c>
      <c r="U2740" t="str">
        <f t="shared" si="131"/>
        <v>AB01F4</v>
      </c>
      <c r="V2740">
        <v>0</v>
      </c>
      <c r="W2740">
        <v>0</v>
      </c>
      <c r="X2740">
        <v>2</v>
      </c>
      <c r="Z2740">
        <v>0</v>
      </c>
      <c r="AA2740">
        <v>9</v>
      </c>
      <c r="AB2740">
        <v>3</v>
      </c>
      <c r="AC2740">
        <v>0</v>
      </c>
      <c r="AD2740">
        <v>10</v>
      </c>
      <c r="AE2740">
        <v>0</v>
      </c>
      <c r="AF2740">
        <v>3</v>
      </c>
      <c r="AG2740">
        <v>2</v>
      </c>
      <c r="AH2740">
        <v>0</v>
      </c>
      <c r="AI2740" t="s">
        <v>1619</v>
      </c>
      <c r="AJ2740">
        <v>40.020940000000003</v>
      </c>
      <c r="AK2740" t="s">
        <v>1620</v>
      </c>
      <c r="AL2740">
        <v>-92.785764</v>
      </c>
      <c r="AM2740">
        <v>100</v>
      </c>
      <c r="AN2740">
        <v>1600</v>
      </c>
      <c r="AO2740" t="s">
        <v>118</v>
      </c>
      <c r="AP2740">
        <v>-113</v>
      </c>
      <c r="AQ2740">
        <v>77</v>
      </c>
      <c r="AR2740">
        <v>-192</v>
      </c>
      <c r="AZ2740">
        <v>1200</v>
      </c>
      <c r="BA2740">
        <v>1</v>
      </c>
      <c r="BB2740" t="str">
        <f t="shared" si="133"/>
        <v xml:space="preserve">N8080G  </v>
      </c>
      <c r="BC2740">
        <v>1</v>
      </c>
      <c r="BE2740">
        <v>0</v>
      </c>
      <c r="BF2740">
        <v>0</v>
      </c>
      <c r="BG2740">
        <v>0</v>
      </c>
      <c r="BH2740">
        <v>1575</v>
      </c>
      <c r="BI2740">
        <v>1</v>
      </c>
      <c r="BJ2740">
        <v>1</v>
      </c>
      <c r="BK2740">
        <v>1</v>
      </c>
      <c r="BL2740">
        <v>0</v>
      </c>
      <c r="BO2740">
        <v>0</v>
      </c>
      <c r="BP2740">
        <v>0</v>
      </c>
      <c r="BW2740" t="str">
        <f>"20:29:09.805"</f>
        <v>20:29:09.805</v>
      </c>
      <c r="BZ2740">
        <v>0</v>
      </c>
      <c r="CA2740">
        <v>1792</v>
      </c>
      <c r="CB2740">
        <v>224</v>
      </c>
      <c r="CD2740">
        <v>1</v>
      </c>
      <c r="CE2740">
        <v>0</v>
      </c>
      <c r="CF2740">
        <v>0</v>
      </c>
      <c r="CG2740">
        <v>0</v>
      </c>
      <c r="CH2740">
        <v>0</v>
      </c>
      <c r="CI2740">
        <v>0</v>
      </c>
      <c r="CJ2740">
        <v>0</v>
      </c>
      <c r="CK2740">
        <v>2</v>
      </c>
      <c r="CL2740">
        <v>0</v>
      </c>
      <c r="CM2740">
        <v>2</v>
      </c>
      <c r="CN2740">
        <v>0</v>
      </c>
      <c r="CO2740">
        <v>7</v>
      </c>
      <c r="CP2740" t="s">
        <v>119</v>
      </c>
      <c r="CQ2740">
        <v>180</v>
      </c>
      <c r="CR2740">
        <v>2</v>
      </c>
      <c r="CW2740">
        <v>8613084</v>
      </c>
      <c r="CY2740">
        <v>1</v>
      </c>
      <c r="CZ2740">
        <v>0</v>
      </c>
      <c r="DA2740">
        <v>1</v>
      </c>
      <c r="DB2740">
        <v>0</v>
      </c>
      <c r="DC2740">
        <v>0</v>
      </c>
      <c r="DD2740">
        <v>0</v>
      </c>
      <c r="DE2740">
        <v>0</v>
      </c>
      <c r="DF2740">
        <v>0</v>
      </c>
      <c r="DG2740">
        <v>0</v>
      </c>
      <c r="DH2740">
        <v>0</v>
      </c>
      <c r="DI2740">
        <v>0</v>
      </c>
    </row>
    <row r="2741" spans="1:113" x14ac:dyDescent="0.3">
      <c r="A2741" t="str">
        <f>"02/08/2021 20:29:07.477"</f>
        <v>02/08/2021 20:29:07.477</v>
      </c>
      <c r="C2741" t="str">
        <f t="shared" si="132"/>
        <v>FFDFD7C0</v>
      </c>
      <c r="D2741" t="s">
        <v>124</v>
      </c>
      <c r="E2741">
        <v>11</v>
      </c>
      <c r="F2741">
        <v>1011</v>
      </c>
      <c r="G2741" t="s">
        <v>590</v>
      </c>
      <c r="J2741" t="s">
        <v>125</v>
      </c>
      <c r="K2741">
        <v>0</v>
      </c>
      <c r="L2741">
        <v>3</v>
      </c>
      <c r="M2741">
        <v>0</v>
      </c>
      <c r="N2741">
        <v>2</v>
      </c>
      <c r="O2741">
        <v>1</v>
      </c>
      <c r="P2741">
        <v>0</v>
      </c>
      <c r="Q2741">
        <v>0</v>
      </c>
      <c r="S2741" t="str">
        <f>"20:29:09.805"</f>
        <v>20:29:09.805</v>
      </c>
      <c r="T2741" t="str">
        <f>"20:29:09.405"</f>
        <v>20:29:09.405</v>
      </c>
      <c r="U2741" t="str">
        <f t="shared" si="131"/>
        <v>AB01F4</v>
      </c>
      <c r="V2741">
        <v>0</v>
      </c>
      <c r="W2741">
        <v>0</v>
      </c>
      <c r="X2741">
        <v>2</v>
      </c>
      <c r="Z2741">
        <v>0</v>
      </c>
      <c r="AA2741">
        <v>9</v>
      </c>
      <c r="AB2741">
        <v>3</v>
      </c>
      <c r="AC2741">
        <v>0</v>
      </c>
      <c r="AD2741">
        <v>10</v>
      </c>
      <c r="AE2741">
        <v>0</v>
      </c>
      <c r="AF2741">
        <v>3</v>
      </c>
      <c r="AG2741">
        <v>2</v>
      </c>
      <c r="AH2741">
        <v>0</v>
      </c>
      <c r="AI2741" t="s">
        <v>1619</v>
      </c>
      <c r="AJ2741">
        <v>40.020940000000003</v>
      </c>
      <c r="AK2741" t="s">
        <v>1620</v>
      </c>
      <c r="AL2741">
        <v>-92.785764</v>
      </c>
      <c r="AM2741">
        <v>100</v>
      </c>
      <c r="AN2741">
        <v>1600</v>
      </c>
      <c r="AO2741" t="s">
        <v>118</v>
      </c>
      <c r="AP2741">
        <v>-113</v>
      </c>
      <c r="AQ2741">
        <v>77</v>
      </c>
      <c r="AR2741">
        <v>-192</v>
      </c>
      <c r="AZ2741">
        <v>1200</v>
      </c>
      <c r="BA2741">
        <v>1</v>
      </c>
      <c r="BB2741" t="str">
        <f t="shared" si="133"/>
        <v xml:space="preserve">N8080G  </v>
      </c>
      <c r="BC2741">
        <v>1</v>
      </c>
      <c r="BE2741">
        <v>0</v>
      </c>
      <c r="BF2741">
        <v>0</v>
      </c>
      <c r="BG2741">
        <v>0</v>
      </c>
      <c r="BH2741">
        <v>1575</v>
      </c>
      <c r="BI2741">
        <v>1</v>
      </c>
      <c r="BJ2741">
        <v>1</v>
      </c>
      <c r="BK2741">
        <v>1</v>
      </c>
      <c r="BL2741">
        <v>0</v>
      </c>
      <c r="BO2741">
        <v>0</v>
      </c>
      <c r="BP2741">
        <v>0</v>
      </c>
      <c r="BW2741" t="str">
        <f>"20:29:09.805"</f>
        <v>20:29:09.805</v>
      </c>
      <c r="BZ2741">
        <v>0</v>
      </c>
      <c r="CA2741">
        <v>1792</v>
      </c>
      <c r="CB2741">
        <v>224</v>
      </c>
      <c r="CD2741">
        <v>1</v>
      </c>
      <c r="CE2741">
        <v>0</v>
      </c>
      <c r="CF2741">
        <v>0</v>
      </c>
      <c r="CG2741">
        <v>0</v>
      </c>
      <c r="CH2741">
        <v>0</v>
      </c>
      <c r="CI2741">
        <v>0</v>
      </c>
      <c r="CJ2741">
        <v>0</v>
      </c>
      <c r="CK2741">
        <v>2</v>
      </c>
      <c r="CL2741">
        <v>0</v>
      </c>
      <c r="CM2741">
        <v>2</v>
      </c>
      <c r="CN2741">
        <v>0</v>
      </c>
      <c r="CO2741">
        <v>7</v>
      </c>
      <c r="CP2741" t="s">
        <v>119</v>
      </c>
      <c r="CQ2741">
        <v>180</v>
      </c>
      <c r="CR2741">
        <v>2</v>
      </c>
      <c r="CW2741">
        <v>8613084</v>
      </c>
      <c r="CY2741">
        <v>1</v>
      </c>
      <c r="CZ2741">
        <v>0</v>
      </c>
      <c r="DA2741">
        <v>1</v>
      </c>
      <c r="DB2741">
        <v>0</v>
      </c>
      <c r="DC2741">
        <v>0</v>
      </c>
      <c r="DD2741">
        <v>0</v>
      </c>
      <c r="DE2741">
        <v>0</v>
      </c>
      <c r="DF2741">
        <v>0</v>
      </c>
      <c r="DG2741">
        <v>0</v>
      </c>
      <c r="DH2741">
        <v>0</v>
      </c>
      <c r="DI2741">
        <v>0</v>
      </c>
    </row>
    <row r="2742" spans="1:113" x14ac:dyDescent="0.3">
      <c r="A2742" t="str">
        <f>"02/08/2021 20:29:07.477"</f>
        <v>02/08/2021 20:29:07.477</v>
      </c>
      <c r="C2742" t="str">
        <f t="shared" si="132"/>
        <v>FFDFD7C0</v>
      </c>
      <c r="D2742" t="s">
        <v>124</v>
      </c>
      <c r="E2742">
        <v>12</v>
      </c>
      <c r="F2742">
        <v>1012</v>
      </c>
      <c r="G2742" t="s">
        <v>675</v>
      </c>
      <c r="J2742" t="s">
        <v>125</v>
      </c>
      <c r="K2742">
        <v>0</v>
      </c>
      <c r="L2742">
        <v>3</v>
      </c>
      <c r="M2742">
        <v>0</v>
      </c>
      <c r="N2742">
        <v>2</v>
      </c>
      <c r="O2742">
        <v>1</v>
      </c>
      <c r="P2742">
        <v>0</v>
      </c>
      <c r="Q2742">
        <v>0</v>
      </c>
      <c r="S2742" t="str">
        <f>"20:29:09.805"</f>
        <v>20:29:09.805</v>
      </c>
      <c r="T2742" t="str">
        <f>"20:29:09.405"</f>
        <v>20:29:09.405</v>
      </c>
      <c r="U2742" t="str">
        <f t="shared" si="131"/>
        <v>AB01F4</v>
      </c>
      <c r="V2742">
        <v>0</v>
      </c>
      <c r="W2742">
        <v>0</v>
      </c>
      <c r="X2742">
        <v>2</v>
      </c>
      <c r="Z2742">
        <v>0</v>
      </c>
      <c r="AA2742">
        <v>9</v>
      </c>
      <c r="AB2742">
        <v>3</v>
      </c>
      <c r="AC2742">
        <v>0</v>
      </c>
      <c r="AD2742">
        <v>10</v>
      </c>
      <c r="AE2742">
        <v>0</v>
      </c>
      <c r="AF2742">
        <v>3</v>
      </c>
      <c r="AG2742">
        <v>2</v>
      </c>
      <c r="AH2742">
        <v>0</v>
      </c>
      <c r="AI2742" t="s">
        <v>1619</v>
      </c>
      <c r="AJ2742">
        <v>40.020940000000003</v>
      </c>
      <c r="AK2742" t="s">
        <v>1620</v>
      </c>
      <c r="AL2742">
        <v>-92.785764</v>
      </c>
      <c r="AM2742">
        <v>100</v>
      </c>
      <c r="AN2742">
        <v>1600</v>
      </c>
      <c r="AO2742" t="s">
        <v>118</v>
      </c>
      <c r="AP2742">
        <v>-113</v>
      </c>
      <c r="AQ2742">
        <v>77</v>
      </c>
      <c r="AR2742">
        <v>-192</v>
      </c>
      <c r="AZ2742">
        <v>1200</v>
      </c>
      <c r="BA2742">
        <v>1</v>
      </c>
      <c r="BB2742" t="str">
        <f t="shared" si="133"/>
        <v xml:space="preserve">N8080G  </v>
      </c>
      <c r="BC2742">
        <v>1</v>
      </c>
      <c r="BE2742">
        <v>0</v>
      </c>
      <c r="BF2742">
        <v>0</v>
      </c>
      <c r="BG2742">
        <v>0</v>
      </c>
      <c r="BH2742">
        <v>1575</v>
      </c>
      <c r="BI2742">
        <v>1</v>
      </c>
      <c r="BJ2742">
        <v>1</v>
      </c>
      <c r="BK2742">
        <v>1</v>
      </c>
      <c r="BL2742">
        <v>0</v>
      </c>
      <c r="BO2742">
        <v>0</v>
      </c>
      <c r="BP2742">
        <v>0</v>
      </c>
      <c r="BW2742" t="str">
        <f>"20:29:09.805"</f>
        <v>20:29:09.805</v>
      </c>
      <c r="BZ2742">
        <v>0</v>
      </c>
      <c r="CA2742">
        <v>1792</v>
      </c>
      <c r="CB2742">
        <v>224</v>
      </c>
      <c r="CD2742">
        <v>1</v>
      </c>
      <c r="CE2742">
        <v>0</v>
      </c>
      <c r="CF2742">
        <v>0</v>
      </c>
      <c r="CG2742">
        <v>0</v>
      </c>
      <c r="CH2742">
        <v>0</v>
      </c>
      <c r="CI2742">
        <v>0</v>
      </c>
      <c r="CJ2742">
        <v>0</v>
      </c>
      <c r="CK2742">
        <v>2</v>
      </c>
      <c r="CL2742">
        <v>0</v>
      </c>
      <c r="CM2742">
        <v>2</v>
      </c>
      <c r="CN2742">
        <v>0</v>
      </c>
      <c r="CO2742">
        <v>7</v>
      </c>
      <c r="CP2742" t="s">
        <v>119</v>
      </c>
      <c r="CQ2742">
        <v>180</v>
      </c>
      <c r="CR2742">
        <v>2</v>
      </c>
      <c r="CW2742">
        <v>8613084</v>
      </c>
      <c r="CY2742">
        <v>1</v>
      </c>
      <c r="CZ2742">
        <v>0</v>
      </c>
      <c r="DA2742">
        <v>1</v>
      </c>
      <c r="DB2742">
        <v>0</v>
      </c>
      <c r="DC2742">
        <v>0</v>
      </c>
      <c r="DD2742">
        <v>0</v>
      </c>
      <c r="DE2742">
        <v>0</v>
      </c>
      <c r="DF2742">
        <v>0</v>
      </c>
      <c r="DG2742">
        <v>0</v>
      </c>
      <c r="DH2742">
        <v>0</v>
      </c>
      <c r="DI2742">
        <v>0</v>
      </c>
    </row>
    <row r="2743" spans="1:113" x14ac:dyDescent="0.3">
      <c r="A2743" t="str">
        <f>"02/08/2021 20:29:08.488"</f>
        <v>02/08/2021 20:29:08.488</v>
      </c>
      <c r="C2743" t="str">
        <f t="shared" si="132"/>
        <v>FFDFD7C0</v>
      </c>
      <c r="D2743" t="s">
        <v>113</v>
      </c>
      <c r="E2743">
        <v>6</v>
      </c>
      <c r="H2743">
        <v>165</v>
      </c>
      <c r="I2743" t="s">
        <v>114</v>
      </c>
      <c r="J2743" t="s">
        <v>115</v>
      </c>
      <c r="K2743">
        <v>0</v>
      </c>
      <c r="L2743">
        <v>3</v>
      </c>
      <c r="M2743">
        <v>0</v>
      </c>
      <c r="N2743">
        <v>2</v>
      </c>
      <c r="O2743">
        <v>1</v>
      </c>
      <c r="P2743">
        <v>0</v>
      </c>
      <c r="Q2743">
        <v>0</v>
      </c>
      <c r="S2743" t="str">
        <f>"20:29:10.813"</f>
        <v>20:29:10.813</v>
      </c>
      <c r="T2743" t="str">
        <f>"20:29:10.413"</f>
        <v>20:29:10.413</v>
      </c>
      <c r="U2743" t="str">
        <f t="shared" si="131"/>
        <v>AB01F4</v>
      </c>
      <c r="V2743">
        <v>0</v>
      </c>
      <c r="W2743">
        <v>0</v>
      </c>
      <c r="X2743">
        <v>2</v>
      </c>
      <c r="Z2743">
        <v>0</v>
      </c>
      <c r="AA2743">
        <v>9</v>
      </c>
      <c r="AB2743">
        <v>3</v>
      </c>
      <c r="AC2743">
        <v>0</v>
      </c>
      <c r="AD2743">
        <v>10</v>
      </c>
      <c r="AE2743">
        <v>0</v>
      </c>
      <c r="AF2743">
        <v>3</v>
      </c>
      <c r="AG2743">
        <v>2</v>
      </c>
      <c r="AH2743">
        <v>0</v>
      </c>
      <c r="AI2743" t="s">
        <v>1621</v>
      </c>
      <c r="AJ2743">
        <v>40.021262</v>
      </c>
      <c r="AK2743" t="s">
        <v>1622</v>
      </c>
      <c r="AL2743">
        <v>-92.786492999999993</v>
      </c>
      <c r="AM2743">
        <v>100</v>
      </c>
      <c r="AN2743">
        <v>1600</v>
      </c>
      <c r="AO2743" t="s">
        <v>118</v>
      </c>
      <c r="AP2743">
        <v>-115</v>
      </c>
      <c r="AQ2743">
        <v>74</v>
      </c>
      <c r="AR2743">
        <v>-256</v>
      </c>
      <c r="AZ2743">
        <v>1200</v>
      </c>
      <c r="BA2743">
        <v>1</v>
      </c>
      <c r="BB2743" t="str">
        <f t="shared" si="133"/>
        <v xml:space="preserve">N8080G  </v>
      </c>
      <c r="BC2743">
        <v>1</v>
      </c>
      <c r="BE2743">
        <v>0</v>
      </c>
      <c r="BF2743">
        <v>0</v>
      </c>
      <c r="BG2743">
        <v>0</v>
      </c>
      <c r="BH2743">
        <v>1575</v>
      </c>
      <c r="BI2743">
        <v>1</v>
      </c>
      <c r="BJ2743">
        <v>1</v>
      </c>
      <c r="BK2743">
        <v>1</v>
      </c>
      <c r="BL2743">
        <v>0</v>
      </c>
      <c r="BO2743">
        <v>0</v>
      </c>
      <c r="BP2743">
        <v>0</v>
      </c>
      <c r="BW2743" t="str">
        <f>"20:29:10.819"</f>
        <v>20:29:10.819</v>
      </c>
      <c r="BZ2743">
        <v>0</v>
      </c>
      <c r="CA2743">
        <v>1792</v>
      </c>
      <c r="CB2743">
        <v>224</v>
      </c>
      <c r="CD2743">
        <v>1</v>
      </c>
      <c r="CE2743">
        <v>0</v>
      </c>
      <c r="CF2743">
        <v>0</v>
      </c>
      <c r="CG2743">
        <v>0</v>
      </c>
      <c r="CH2743">
        <v>0</v>
      </c>
      <c r="CI2743">
        <v>0</v>
      </c>
      <c r="CJ2743">
        <v>0</v>
      </c>
      <c r="CK2743">
        <v>2</v>
      </c>
      <c r="CL2743">
        <v>0</v>
      </c>
      <c r="CM2743">
        <v>2</v>
      </c>
      <c r="CN2743">
        <v>0</v>
      </c>
      <c r="CO2743">
        <v>4</v>
      </c>
      <c r="CP2743" t="s">
        <v>119</v>
      </c>
      <c r="CQ2743">
        <v>179</v>
      </c>
      <c r="CR2743">
        <v>1</v>
      </c>
      <c r="CW2743">
        <v>9070397</v>
      </c>
      <c r="CY2743">
        <v>1</v>
      </c>
      <c r="CZ2743">
        <v>0</v>
      </c>
      <c r="DA2743">
        <v>0</v>
      </c>
      <c r="DB2743">
        <v>0</v>
      </c>
      <c r="DC2743">
        <v>0</v>
      </c>
      <c r="DD2743">
        <v>0</v>
      </c>
      <c r="DE2743">
        <v>0</v>
      </c>
      <c r="DF2743">
        <v>0</v>
      </c>
      <c r="DG2743">
        <v>0</v>
      </c>
      <c r="DH2743">
        <v>0</v>
      </c>
      <c r="DI2743">
        <v>0</v>
      </c>
    </row>
    <row r="2744" spans="1:113" x14ac:dyDescent="0.3">
      <c r="A2744" t="str">
        <f>"02/08/2021 20:29:08.488"</f>
        <v>02/08/2021 20:29:08.488</v>
      </c>
      <c r="C2744" t="str">
        <f t="shared" si="132"/>
        <v>FFDFD7C0</v>
      </c>
      <c r="D2744" t="s">
        <v>124</v>
      </c>
      <c r="E2744">
        <v>13</v>
      </c>
      <c r="F2744">
        <v>1013</v>
      </c>
      <c r="G2744" t="s">
        <v>114</v>
      </c>
      <c r="J2744" t="s">
        <v>125</v>
      </c>
      <c r="K2744">
        <v>0</v>
      </c>
      <c r="L2744">
        <v>3</v>
      </c>
      <c r="M2744">
        <v>0</v>
      </c>
      <c r="N2744">
        <v>2</v>
      </c>
      <c r="O2744">
        <v>1</v>
      </c>
      <c r="P2744">
        <v>0</v>
      </c>
      <c r="Q2744">
        <v>0</v>
      </c>
      <c r="S2744" t="str">
        <f>"20:29:10.813"</f>
        <v>20:29:10.813</v>
      </c>
      <c r="T2744" t="str">
        <f>"20:29:10.413"</f>
        <v>20:29:10.413</v>
      </c>
      <c r="U2744" t="str">
        <f t="shared" si="131"/>
        <v>AB01F4</v>
      </c>
      <c r="V2744">
        <v>0</v>
      </c>
      <c r="W2744">
        <v>0</v>
      </c>
      <c r="X2744">
        <v>2</v>
      </c>
      <c r="Z2744">
        <v>0</v>
      </c>
      <c r="AA2744">
        <v>9</v>
      </c>
      <c r="AB2744">
        <v>3</v>
      </c>
      <c r="AC2744">
        <v>0</v>
      </c>
      <c r="AD2744">
        <v>10</v>
      </c>
      <c r="AE2744">
        <v>0</v>
      </c>
      <c r="AF2744">
        <v>3</v>
      </c>
      <c r="AG2744">
        <v>2</v>
      </c>
      <c r="AH2744">
        <v>0</v>
      </c>
      <c r="AI2744" t="s">
        <v>1621</v>
      </c>
      <c r="AJ2744">
        <v>40.021262</v>
      </c>
      <c r="AK2744" t="s">
        <v>1622</v>
      </c>
      <c r="AL2744">
        <v>-92.786492999999993</v>
      </c>
      <c r="AM2744">
        <v>100</v>
      </c>
      <c r="AN2744">
        <v>1600</v>
      </c>
      <c r="AO2744" t="s">
        <v>118</v>
      </c>
      <c r="AP2744">
        <v>-115</v>
      </c>
      <c r="AQ2744">
        <v>74</v>
      </c>
      <c r="AR2744">
        <v>-256</v>
      </c>
      <c r="AZ2744">
        <v>1200</v>
      </c>
      <c r="BA2744">
        <v>1</v>
      </c>
      <c r="BB2744" t="str">
        <f t="shared" si="133"/>
        <v xml:space="preserve">N8080G  </v>
      </c>
      <c r="BC2744">
        <v>1</v>
      </c>
      <c r="BE2744">
        <v>0</v>
      </c>
      <c r="BF2744">
        <v>0</v>
      </c>
      <c r="BG2744">
        <v>0</v>
      </c>
      <c r="BH2744">
        <v>1575</v>
      </c>
      <c r="BI2744">
        <v>1</v>
      </c>
      <c r="BJ2744">
        <v>1</v>
      </c>
      <c r="BK2744">
        <v>1</v>
      </c>
      <c r="BL2744">
        <v>0</v>
      </c>
      <c r="BO2744">
        <v>0</v>
      </c>
      <c r="BP2744">
        <v>0</v>
      </c>
      <c r="BW2744" t="str">
        <f>"20:29:10.819"</f>
        <v>20:29:10.819</v>
      </c>
      <c r="BZ2744">
        <v>0</v>
      </c>
      <c r="CA2744">
        <v>1792</v>
      </c>
      <c r="CB2744">
        <v>224</v>
      </c>
      <c r="CD2744">
        <v>1</v>
      </c>
      <c r="CE2744">
        <v>0</v>
      </c>
      <c r="CF2744">
        <v>0</v>
      </c>
      <c r="CG2744">
        <v>0</v>
      </c>
      <c r="CH2744">
        <v>0</v>
      </c>
      <c r="CI2744">
        <v>0</v>
      </c>
      <c r="CJ2744">
        <v>0</v>
      </c>
      <c r="CK2744">
        <v>2</v>
      </c>
      <c r="CL2744">
        <v>0</v>
      </c>
      <c r="CM2744">
        <v>2</v>
      </c>
      <c r="CN2744">
        <v>0</v>
      </c>
      <c r="CO2744">
        <v>4</v>
      </c>
      <c r="CP2744" t="s">
        <v>119</v>
      </c>
      <c r="CQ2744">
        <v>179</v>
      </c>
      <c r="CR2744">
        <v>1</v>
      </c>
      <c r="CW2744">
        <v>9070397</v>
      </c>
      <c r="CY2744">
        <v>1</v>
      </c>
      <c r="CZ2744">
        <v>0</v>
      </c>
      <c r="DA2744">
        <v>1</v>
      </c>
      <c r="DB2744">
        <v>0</v>
      </c>
      <c r="DC2744">
        <v>0</v>
      </c>
      <c r="DD2744">
        <v>0</v>
      </c>
      <c r="DE2744">
        <v>0</v>
      </c>
      <c r="DF2744">
        <v>0</v>
      </c>
      <c r="DG2744">
        <v>0</v>
      </c>
      <c r="DH2744">
        <v>0</v>
      </c>
      <c r="DI2744">
        <v>0</v>
      </c>
    </row>
    <row r="2745" spans="1:113" x14ac:dyDescent="0.3">
      <c r="A2745" t="str">
        <f>"02/08/2021 20:29:08.488"</f>
        <v>02/08/2021 20:29:08.488</v>
      </c>
      <c r="C2745" t="str">
        <f t="shared" si="132"/>
        <v>FFDFD7C0</v>
      </c>
      <c r="D2745" t="s">
        <v>124</v>
      </c>
      <c r="E2745">
        <v>11</v>
      </c>
      <c r="F2745">
        <v>1011</v>
      </c>
      <c r="G2745" t="s">
        <v>590</v>
      </c>
      <c r="J2745" t="s">
        <v>125</v>
      </c>
      <c r="K2745">
        <v>0</v>
      </c>
      <c r="L2745">
        <v>3</v>
      </c>
      <c r="M2745">
        <v>0</v>
      </c>
      <c r="N2745">
        <v>2</v>
      </c>
      <c r="O2745">
        <v>1</v>
      </c>
      <c r="P2745">
        <v>0</v>
      </c>
      <c r="Q2745">
        <v>0</v>
      </c>
      <c r="S2745" t="str">
        <f>"20:29:10.813"</f>
        <v>20:29:10.813</v>
      </c>
      <c r="T2745" t="str">
        <f>"20:29:10.413"</f>
        <v>20:29:10.413</v>
      </c>
      <c r="U2745" t="str">
        <f t="shared" si="131"/>
        <v>AB01F4</v>
      </c>
      <c r="V2745">
        <v>0</v>
      </c>
      <c r="W2745">
        <v>0</v>
      </c>
      <c r="X2745">
        <v>2</v>
      </c>
      <c r="Z2745">
        <v>0</v>
      </c>
      <c r="AA2745">
        <v>9</v>
      </c>
      <c r="AB2745">
        <v>3</v>
      </c>
      <c r="AC2745">
        <v>0</v>
      </c>
      <c r="AD2745">
        <v>10</v>
      </c>
      <c r="AE2745">
        <v>0</v>
      </c>
      <c r="AF2745">
        <v>3</v>
      </c>
      <c r="AG2745">
        <v>2</v>
      </c>
      <c r="AH2745">
        <v>0</v>
      </c>
      <c r="AI2745" t="s">
        <v>1621</v>
      </c>
      <c r="AJ2745">
        <v>40.021262</v>
      </c>
      <c r="AK2745" t="s">
        <v>1622</v>
      </c>
      <c r="AL2745">
        <v>-92.786492999999993</v>
      </c>
      <c r="AM2745">
        <v>100</v>
      </c>
      <c r="AN2745">
        <v>1600</v>
      </c>
      <c r="AO2745" t="s">
        <v>118</v>
      </c>
      <c r="AP2745">
        <v>-115</v>
      </c>
      <c r="AQ2745">
        <v>74</v>
      </c>
      <c r="AR2745">
        <v>-256</v>
      </c>
      <c r="AZ2745">
        <v>1200</v>
      </c>
      <c r="BA2745">
        <v>1</v>
      </c>
      <c r="BB2745" t="str">
        <f t="shared" si="133"/>
        <v xml:space="preserve">N8080G  </v>
      </c>
      <c r="BC2745">
        <v>1</v>
      </c>
      <c r="BE2745">
        <v>0</v>
      </c>
      <c r="BF2745">
        <v>0</v>
      </c>
      <c r="BG2745">
        <v>0</v>
      </c>
      <c r="BH2745">
        <v>1575</v>
      </c>
      <c r="BI2745">
        <v>1</v>
      </c>
      <c r="BJ2745">
        <v>1</v>
      </c>
      <c r="BK2745">
        <v>1</v>
      </c>
      <c r="BL2745">
        <v>0</v>
      </c>
      <c r="BO2745">
        <v>0</v>
      </c>
      <c r="BP2745">
        <v>0</v>
      </c>
      <c r="BW2745" t="str">
        <f>"20:29:10.819"</f>
        <v>20:29:10.819</v>
      </c>
      <c r="BZ2745">
        <v>0</v>
      </c>
      <c r="CA2745">
        <v>1792</v>
      </c>
      <c r="CB2745">
        <v>224</v>
      </c>
      <c r="CD2745">
        <v>1</v>
      </c>
      <c r="CE2745">
        <v>0</v>
      </c>
      <c r="CF2745">
        <v>0</v>
      </c>
      <c r="CG2745">
        <v>0</v>
      </c>
      <c r="CH2745">
        <v>0</v>
      </c>
      <c r="CI2745">
        <v>0</v>
      </c>
      <c r="CJ2745">
        <v>0</v>
      </c>
      <c r="CK2745">
        <v>2</v>
      </c>
      <c r="CL2745">
        <v>0</v>
      </c>
      <c r="CM2745">
        <v>2</v>
      </c>
      <c r="CN2745">
        <v>0</v>
      </c>
      <c r="CO2745">
        <v>4</v>
      </c>
      <c r="CP2745" t="s">
        <v>119</v>
      </c>
      <c r="CQ2745">
        <v>179</v>
      </c>
      <c r="CR2745">
        <v>1</v>
      </c>
      <c r="CW2745">
        <v>9070397</v>
      </c>
      <c r="CY2745">
        <v>1</v>
      </c>
      <c r="CZ2745">
        <v>0</v>
      </c>
      <c r="DA2745">
        <v>1</v>
      </c>
      <c r="DB2745">
        <v>0</v>
      </c>
      <c r="DC2745">
        <v>0</v>
      </c>
      <c r="DD2745">
        <v>0</v>
      </c>
      <c r="DE2745">
        <v>0</v>
      </c>
      <c r="DF2745">
        <v>0</v>
      </c>
      <c r="DG2745">
        <v>0</v>
      </c>
      <c r="DH2745">
        <v>0</v>
      </c>
      <c r="DI2745">
        <v>0</v>
      </c>
    </row>
    <row r="2746" spans="1:113" x14ac:dyDescent="0.3">
      <c r="A2746" t="str">
        <f>"02/08/2021 20:29:08.488"</f>
        <v>02/08/2021 20:29:08.488</v>
      </c>
      <c r="C2746" t="str">
        <f t="shared" si="132"/>
        <v>FFDFD7C0</v>
      </c>
      <c r="D2746" t="s">
        <v>124</v>
      </c>
      <c r="E2746">
        <v>12</v>
      </c>
      <c r="F2746">
        <v>1012</v>
      </c>
      <c r="G2746" t="s">
        <v>675</v>
      </c>
      <c r="J2746" t="s">
        <v>125</v>
      </c>
      <c r="K2746">
        <v>0</v>
      </c>
      <c r="L2746">
        <v>3</v>
      </c>
      <c r="M2746">
        <v>0</v>
      </c>
      <c r="N2746">
        <v>2</v>
      </c>
      <c r="O2746">
        <v>1</v>
      </c>
      <c r="P2746">
        <v>0</v>
      </c>
      <c r="Q2746">
        <v>0</v>
      </c>
      <c r="S2746" t="str">
        <f>"20:29:10.813"</f>
        <v>20:29:10.813</v>
      </c>
      <c r="T2746" t="str">
        <f>"20:29:10.413"</f>
        <v>20:29:10.413</v>
      </c>
      <c r="U2746" t="str">
        <f t="shared" si="131"/>
        <v>AB01F4</v>
      </c>
      <c r="V2746">
        <v>0</v>
      </c>
      <c r="W2746">
        <v>0</v>
      </c>
      <c r="X2746">
        <v>2</v>
      </c>
      <c r="Z2746">
        <v>0</v>
      </c>
      <c r="AA2746">
        <v>9</v>
      </c>
      <c r="AB2746">
        <v>3</v>
      </c>
      <c r="AC2746">
        <v>0</v>
      </c>
      <c r="AD2746">
        <v>10</v>
      </c>
      <c r="AE2746">
        <v>0</v>
      </c>
      <c r="AF2746">
        <v>3</v>
      </c>
      <c r="AG2746">
        <v>2</v>
      </c>
      <c r="AH2746">
        <v>0</v>
      </c>
      <c r="AI2746" t="s">
        <v>1621</v>
      </c>
      <c r="AJ2746">
        <v>40.021262</v>
      </c>
      <c r="AK2746" t="s">
        <v>1622</v>
      </c>
      <c r="AL2746">
        <v>-92.786492999999993</v>
      </c>
      <c r="AM2746">
        <v>100</v>
      </c>
      <c r="AN2746">
        <v>1600</v>
      </c>
      <c r="AO2746" t="s">
        <v>118</v>
      </c>
      <c r="AP2746">
        <v>-115</v>
      </c>
      <c r="AQ2746">
        <v>74</v>
      </c>
      <c r="AR2746">
        <v>-256</v>
      </c>
      <c r="AZ2746">
        <v>1200</v>
      </c>
      <c r="BA2746">
        <v>1</v>
      </c>
      <c r="BB2746" t="str">
        <f t="shared" si="133"/>
        <v xml:space="preserve">N8080G  </v>
      </c>
      <c r="BC2746">
        <v>1</v>
      </c>
      <c r="BE2746">
        <v>0</v>
      </c>
      <c r="BF2746">
        <v>0</v>
      </c>
      <c r="BG2746">
        <v>0</v>
      </c>
      <c r="BH2746">
        <v>1575</v>
      </c>
      <c r="BI2746">
        <v>1</v>
      </c>
      <c r="BJ2746">
        <v>1</v>
      </c>
      <c r="BK2746">
        <v>1</v>
      </c>
      <c r="BL2746">
        <v>0</v>
      </c>
      <c r="BO2746">
        <v>0</v>
      </c>
      <c r="BP2746">
        <v>0</v>
      </c>
      <c r="BW2746" t="str">
        <f>"20:29:10.819"</f>
        <v>20:29:10.819</v>
      </c>
      <c r="BZ2746">
        <v>0</v>
      </c>
      <c r="CA2746">
        <v>1792</v>
      </c>
      <c r="CB2746">
        <v>224</v>
      </c>
      <c r="CD2746">
        <v>1</v>
      </c>
      <c r="CE2746">
        <v>0</v>
      </c>
      <c r="CF2746">
        <v>0</v>
      </c>
      <c r="CG2746">
        <v>0</v>
      </c>
      <c r="CH2746">
        <v>0</v>
      </c>
      <c r="CI2746">
        <v>0</v>
      </c>
      <c r="CJ2746">
        <v>0</v>
      </c>
      <c r="CK2746">
        <v>2</v>
      </c>
      <c r="CL2746">
        <v>0</v>
      </c>
      <c r="CM2746">
        <v>2</v>
      </c>
      <c r="CN2746">
        <v>0</v>
      </c>
      <c r="CO2746">
        <v>4</v>
      </c>
      <c r="CP2746" t="s">
        <v>119</v>
      </c>
      <c r="CQ2746">
        <v>179</v>
      </c>
      <c r="CR2746">
        <v>1</v>
      </c>
      <c r="CW2746">
        <v>9070397</v>
      </c>
      <c r="CY2746">
        <v>1</v>
      </c>
      <c r="CZ2746">
        <v>0</v>
      </c>
      <c r="DA2746">
        <v>1</v>
      </c>
      <c r="DB2746">
        <v>0</v>
      </c>
      <c r="DC2746">
        <v>0</v>
      </c>
      <c r="DD2746">
        <v>0</v>
      </c>
      <c r="DE2746">
        <v>0</v>
      </c>
      <c r="DF2746">
        <v>0</v>
      </c>
      <c r="DG2746">
        <v>0</v>
      </c>
      <c r="DH2746">
        <v>0</v>
      </c>
      <c r="DI2746">
        <v>0</v>
      </c>
    </row>
    <row r="2747" spans="1:113" x14ac:dyDescent="0.3">
      <c r="A2747" t="str">
        <f>"02/08/2021 20:29:11.179"</f>
        <v>02/08/2021 20:29:11.179</v>
      </c>
      <c r="C2747" t="str">
        <f t="shared" si="132"/>
        <v>FFDFD7C0</v>
      </c>
      <c r="D2747" t="s">
        <v>124</v>
      </c>
      <c r="E2747">
        <v>11</v>
      </c>
      <c r="F2747">
        <v>1011</v>
      </c>
      <c r="G2747" t="s">
        <v>590</v>
      </c>
      <c r="J2747" t="s">
        <v>125</v>
      </c>
      <c r="K2747">
        <v>0</v>
      </c>
      <c r="L2747">
        <v>3</v>
      </c>
      <c r="M2747">
        <v>0</v>
      </c>
      <c r="N2747">
        <v>2</v>
      </c>
      <c r="O2747">
        <v>1</v>
      </c>
      <c r="P2747">
        <v>0</v>
      </c>
      <c r="Q2747">
        <v>0</v>
      </c>
      <c r="S2747" t="str">
        <f>"20:29:13.508"</f>
        <v>20:29:13.508</v>
      </c>
      <c r="T2747" t="str">
        <f>"20:29:13.108"</f>
        <v>20:29:13.108</v>
      </c>
      <c r="U2747" t="str">
        <f t="shared" si="131"/>
        <v>AB01F4</v>
      </c>
      <c r="V2747">
        <v>0</v>
      </c>
      <c r="W2747">
        <v>0</v>
      </c>
      <c r="X2747">
        <v>2</v>
      </c>
      <c r="Z2747">
        <v>0</v>
      </c>
      <c r="AA2747">
        <v>9</v>
      </c>
      <c r="AB2747">
        <v>3</v>
      </c>
      <c r="AC2747">
        <v>0</v>
      </c>
      <c r="AD2747">
        <v>10</v>
      </c>
      <c r="AE2747">
        <v>0</v>
      </c>
      <c r="AF2747">
        <v>3</v>
      </c>
      <c r="AG2747">
        <v>2</v>
      </c>
      <c r="AH2747">
        <v>0</v>
      </c>
      <c r="AI2747" t="s">
        <v>1623</v>
      </c>
      <c r="AJ2747">
        <v>40.022120000000001</v>
      </c>
      <c r="AK2747" t="s">
        <v>1624</v>
      </c>
      <c r="AL2747">
        <v>-92.788466999999997</v>
      </c>
      <c r="AM2747">
        <v>100</v>
      </c>
      <c r="AN2747">
        <v>1600</v>
      </c>
      <c r="AO2747" t="s">
        <v>118</v>
      </c>
      <c r="AP2747">
        <v>-121</v>
      </c>
      <c r="AQ2747">
        <v>65</v>
      </c>
      <c r="AR2747">
        <v>-192</v>
      </c>
      <c r="AZ2747">
        <v>1200</v>
      </c>
      <c r="BA2747">
        <v>1</v>
      </c>
      <c r="BB2747" t="str">
        <f t="shared" si="133"/>
        <v xml:space="preserve">N8080G  </v>
      </c>
      <c r="BC2747">
        <v>1</v>
      </c>
      <c r="BE2747">
        <v>0</v>
      </c>
      <c r="BF2747">
        <v>0</v>
      </c>
      <c r="BG2747">
        <v>0</v>
      </c>
      <c r="BH2747">
        <v>1575</v>
      </c>
      <c r="BI2747">
        <v>1</v>
      </c>
      <c r="BJ2747">
        <v>1</v>
      </c>
      <c r="BK2747">
        <v>1</v>
      </c>
      <c r="BL2747">
        <v>0</v>
      </c>
      <c r="BO2747">
        <v>0</v>
      </c>
      <c r="BP2747">
        <v>0</v>
      </c>
      <c r="BW2747" t="str">
        <f>"20:29:13.508"</f>
        <v>20:29:13.508</v>
      </c>
      <c r="BZ2747">
        <v>0</v>
      </c>
      <c r="CA2747">
        <v>1792</v>
      </c>
      <c r="CB2747">
        <v>224</v>
      </c>
      <c r="CD2747">
        <v>1</v>
      </c>
      <c r="CE2747">
        <v>0</v>
      </c>
      <c r="CF2747">
        <v>0</v>
      </c>
      <c r="CG2747">
        <v>0</v>
      </c>
      <c r="CH2747">
        <v>0</v>
      </c>
      <c r="CI2747">
        <v>0</v>
      </c>
      <c r="CJ2747">
        <v>0</v>
      </c>
      <c r="CK2747">
        <v>2</v>
      </c>
      <c r="CL2747">
        <v>0</v>
      </c>
      <c r="CM2747">
        <v>2</v>
      </c>
      <c r="CN2747">
        <v>0</v>
      </c>
      <c r="CO2747">
        <v>3</v>
      </c>
      <c r="CP2747" t="s">
        <v>119</v>
      </c>
      <c r="CQ2747">
        <v>179</v>
      </c>
      <c r="CR2747">
        <v>1</v>
      </c>
      <c r="CW2747">
        <v>9072694</v>
      </c>
      <c r="CY2747">
        <v>1</v>
      </c>
      <c r="CZ2747">
        <v>0</v>
      </c>
      <c r="DA2747">
        <v>0</v>
      </c>
      <c r="DB2747">
        <v>0</v>
      </c>
      <c r="DC2747">
        <v>0</v>
      </c>
      <c r="DD2747">
        <v>0</v>
      </c>
      <c r="DE2747">
        <v>0</v>
      </c>
      <c r="DF2747">
        <v>0</v>
      </c>
      <c r="DG2747">
        <v>0</v>
      </c>
      <c r="DH2747">
        <v>0</v>
      </c>
      <c r="DI2747">
        <v>0</v>
      </c>
    </row>
    <row r="2748" spans="1:113" x14ac:dyDescent="0.3">
      <c r="A2748" t="str">
        <f>"02/08/2021 20:29:11.179"</f>
        <v>02/08/2021 20:29:11.179</v>
      </c>
      <c r="C2748" t="str">
        <f t="shared" si="132"/>
        <v>FFDFD7C0</v>
      </c>
      <c r="D2748" t="s">
        <v>124</v>
      </c>
      <c r="E2748">
        <v>12</v>
      </c>
      <c r="F2748">
        <v>1012</v>
      </c>
      <c r="G2748" t="s">
        <v>675</v>
      </c>
      <c r="J2748" t="s">
        <v>125</v>
      </c>
      <c r="K2748">
        <v>0</v>
      </c>
      <c r="L2748">
        <v>3</v>
      </c>
      <c r="M2748">
        <v>0</v>
      </c>
      <c r="N2748">
        <v>2</v>
      </c>
      <c r="O2748">
        <v>1</v>
      </c>
      <c r="P2748">
        <v>0</v>
      </c>
      <c r="Q2748">
        <v>0</v>
      </c>
      <c r="S2748" t="str">
        <f>"20:29:13.508"</f>
        <v>20:29:13.508</v>
      </c>
      <c r="T2748" t="str">
        <f>"20:29:13.108"</f>
        <v>20:29:13.108</v>
      </c>
      <c r="U2748" t="str">
        <f t="shared" si="131"/>
        <v>AB01F4</v>
      </c>
      <c r="V2748">
        <v>0</v>
      </c>
      <c r="W2748">
        <v>0</v>
      </c>
      <c r="X2748">
        <v>2</v>
      </c>
      <c r="Z2748">
        <v>0</v>
      </c>
      <c r="AA2748">
        <v>9</v>
      </c>
      <c r="AB2748">
        <v>3</v>
      </c>
      <c r="AC2748">
        <v>0</v>
      </c>
      <c r="AD2748">
        <v>10</v>
      </c>
      <c r="AE2748">
        <v>0</v>
      </c>
      <c r="AF2748">
        <v>3</v>
      </c>
      <c r="AG2748">
        <v>2</v>
      </c>
      <c r="AH2748">
        <v>0</v>
      </c>
      <c r="AI2748" t="s">
        <v>1623</v>
      </c>
      <c r="AJ2748">
        <v>40.022120000000001</v>
      </c>
      <c r="AK2748" t="s">
        <v>1624</v>
      </c>
      <c r="AL2748">
        <v>-92.788466999999997</v>
      </c>
      <c r="AM2748">
        <v>100</v>
      </c>
      <c r="AN2748">
        <v>1600</v>
      </c>
      <c r="AO2748" t="s">
        <v>118</v>
      </c>
      <c r="AP2748">
        <v>-121</v>
      </c>
      <c r="AQ2748">
        <v>65</v>
      </c>
      <c r="AR2748">
        <v>-192</v>
      </c>
      <c r="AZ2748">
        <v>1200</v>
      </c>
      <c r="BA2748">
        <v>1</v>
      </c>
      <c r="BB2748" t="str">
        <f t="shared" si="133"/>
        <v xml:space="preserve">N8080G  </v>
      </c>
      <c r="BC2748">
        <v>1</v>
      </c>
      <c r="BE2748">
        <v>0</v>
      </c>
      <c r="BF2748">
        <v>0</v>
      </c>
      <c r="BG2748">
        <v>0</v>
      </c>
      <c r="BH2748">
        <v>1575</v>
      </c>
      <c r="BI2748">
        <v>1</v>
      </c>
      <c r="BJ2748">
        <v>1</v>
      </c>
      <c r="BK2748">
        <v>1</v>
      </c>
      <c r="BL2748">
        <v>0</v>
      </c>
      <c r="BO2748">
        <v>0</v>
      </c>
      <c r="BP2748">
        <v>0</v>
      </c>
      <c r="BW2748" t="str">
        <f>"20:29:13.508"</f>
        <v>20:29:13.508</v>
      </c>
      <c r="BZ2748">
        <v>0</v>
      </c>
      <c r="CA2748">
        <v>1792</v>
      </c>
      <c r="CB2748">
        <v>224</v>
      </c>
      <c r="CD2748">
        <v>1</v>
      </c>
      <c r="CE2748">
        <v>0</v>
      </c>
      <c r="CF2748">
        <v>0</v>
      </c>
      <c r="CG2748">
        <v>0</v>
      </c>
      <c r="CH2748">
        <v>0</v>
      </c>
      <c r="CI2748">
        <v>0</v>
      </c>
      <c r="CJ2748">
        <v>0</v>
      </c>
      <c r="CK2748">
        <v>2</v>
      </c>
      <c r="CL2748">
        <v>0</v>
      </c>
      <c r="CM2748">
        <v>2</v>
      </c>
      <c r="CN2748">
        <v>0</v>
      </c>
      <c r="CO2748">
        <v>3</v>
      </c>
      <c r="CP2748" t="s">
        <v>119</v>
      </c>
      <c r="CQ2748">
        <v>179</v>
      </c>
      <c r="CR2748">
        <v>1</v>
      </c>
      <c r="CW2748">
        <v>9072694</v>
      </c>
      <c r="CY2748">
        <v>1</v>
      </c>
      <c r="CZ2748">
        <v>0</v>
      </c>
      <c r="DA2748">
        <v>1</v>
      </c>
      <c r="DB2748">
        <v>0</v>
      </c>
      <c r="DC2748">
        <v>0</v>
      </c>
      <c r="DD2748">
        <v>0</v>
      </c>
      <c r="DE2748">
        <v>0</v>
      </c>
      <c r="DF2748">
        <v>0</v>
      </c>
      <c r="DG2748">
        <v>0</v>
      </c>
      <c r="DH2748">
        <v>0</v>
      </c>
      <c r="DI2748">
        <v>0</v>
      </c>
    </row>
    <row r="2749" spans="1:113" x14ac:dyDescent="0.3">
      <c r="A2749" t="str">
        <f>"02/08/2021 20:29:11.179"</f>
        <v>02/08/2021 20:29:11.179</v>
      </c>
      <c r="C2749" t="str">
        <f t="shared" si="132"/>
        <v>FFDFD7C0</v>
      </c>
      <c r="D2749" t="s">
        <v>124</v>
      </c>
      <c r="E2749">
        <v>13</v>
      </c>
      <c r="F2749">
        <v>1013</v>
      </c>
      <c r="G2749" t="s">
        <v>114</v>
      </c>
      <c r="J2749" t="s">
        <v>125</v>
      </c>
      <c r="K2749">
        <v>0</v>
      </c>
      <c r="L2749">
        <v>3</v>
      </c>
      <c r="M2749">
        <v>0</v>
      </c>
      <c r="N2749">
        <v>2</v>
      </c>
      <c r="O2749">
        <v>1</v>
      </c>
      <c r="P2749">
        <v>0</v>
      </c>
      <c r="Q2749">
        <v>0</v>
      </c>
      <c r="S2749" t="str">
        <f>"20:29:13.508"</f>
        <v>20:29:13.508</v>
      </c>
      <c r="T2749" t="str">
        <f>"20:29:13.108"</f>
        <v>20:29:13.108</v>
      </c>
      <c r="U2749" t="str">
        <f t="shared" si="131"/>
        <v>AB01F4</v>
      </c>
      <c r="V2749">
        <v>0</v>
      </c>
      <c r="W2749">
        <v>0</v>
      </c>
      <c r="X2749">
        <v>2</v>
      </c>
      <c r="Z2749">
        <v>0</v>
      </c>
      <c r="AA2749">
        <v>9</v>
      </c>
      <c r="AB2749">
        <v>3</v>
      </c>
      <c r="AC2749">
        <v>0</v>
      </c>
      <c r="AD2749">
        <v>10</v>
      </c>
      <c r="AE2749">
        <v>0</v>
      </c>
      <c r="AF2749">
        <v>3</v>
      </c>
      <c r="AG2749">
        <v>2</v>
      </c>
      <c r="AH2749">
        <v>0</v>
      </c>
      <c r="AI2749" t="s">
        <v>1623</v>
      </c>
      <c r="AJ2749">
        <v>40.022120000000001</v>
      </c>
      <c r="AK2749" t="s">
        <v>1624</v>
      </c>
      <c r="AL2749">
        <v>-92.788466999999997</v>
      </c>
      <c r="AM2749">
        <v>100</v>
      </c>
      <c r="AN2749">
        <v>1600</v>
      </c>
      <c r="AO2749" t="s">
        <v>118</v>
      </c>
      <c r="AP2749">
        <v>-121</v>
      </c>
      <c r="AQ2749">
        <v>65</v>
      </c>
      <c r="AR2749">
        <v>-192</v>
      </c>
      <c r="AZ2749">
        <v>1200</v>
      </c>
      <c r="BA2749">
        <v>1</v>
      </c>
      <c r="BB2749" t="str">
        <f t="shared" si="133"/>
        <v xml:space="preserve">N8080G  </v>
      </c>
      <c r="BC2749">
        <v>1</v>
      </c>
      <c r="BE2749">
        <v>0</v>
      </c>
      <c r="BF2749">
        <v>0</v>
      </c>
      <c r="BG2749">
        <v>0</v>
      </c>
      <c r="BH2749">
        <v>1575</v>
      </c>
      <c r="BI2749">
        <v>1</v>
      </c>
      <c r="BJ2749">
        <v>1</v>
      </c>
      <c r="BK2749">
        <v>1</v>
      </c>
      <c r="BL2749">
        <v>0</v>
      </c>
      <c r="BO2749">
        <v>0</v>
      </c>
      <c r="BP2749">
        <v>0</v>
      </c>
      <c r="BW2749" t="str">
        <f>"20:29:13.508"</f>
        <v>20:29:13.508</v>
      </c>
      <c r="BZ2749">
        <v>0</v>
      </c>
      <c r="CA2749">
        <v>1792</v>
      </c>
      <c r="CB2749">
        <v>224</v>
      </c>
      <c r="CD2749">
        <v>1</v>
      </c>
      <c r="CE2749">
        <v>0</v>
      </c>
      <c r="CF2749">
        <v>0</v>
      </c>
      <c r="CG2749">
        <v>0</v>
      </c>
      <c r="CH2749">
        <v>0</v>
      </c>
      <c r="CI2749">
        <v>0</v>
      </c>
      <c r="CJ2749">
        <v>0</v>
      </c>
      <c r="CK2749">
        <v>2</v>
      </c>
      <c r="CL2749">
        <v>0</v>
      </c>
      <c r="CM2749">
        <v>2</v>
      </c>
      <c r="CN2749">
        <v>0</v>
      </c>
      <c r="CO2749">
        <v>3</v>
      </c>
      <c r="CP2749" t="s">
        <v>119</v>
      </c>
      <c r="CQ2749">
        <v>179</v>
      </c>
      <c r="CR2749">
        <v>1</v>
      </c>
      <c r="CW2749">
        <v>9072694</v>
      </c>
      <c r="CY2749">
        <v>1</v>
      </c>
      <c r="CZ2749">
        <v>0</v>
      </c>
      <c r="DA2749">
        <v>1</v>
      </c>
      <c r="DB2749">
        <v>0</v>
      </c>
      <c r="DC2749">
        <v>0</v>
      </c>
      <c r="DD2749">
        <v>0</v>
      </c>
      <c r="DE2749">
        <v>0</v>
      </c>
      <c r="DF2749">
        <v>0</v>
      </c>
      <c r="DG2749">
        <v>0</v>
      </c>
      <c r="DH2749">
        <v>0</v>
      </c>
      <c r="DI2749">
        <v>0</v>
      </c>
    </row>
    <row r="2750" spans="1:113" x14ac:dyDescent="0.3">
      <c r="A2750" t="str">
        <f>"02/08/2021 20:29:11.179"</f>
        <v>02/08/2021 20:29:11.179</v>
      </c>
      <c r="C2750" t="str">
        <f t="shared" si="132"/>
        <v>FFDFD7C0</v>
      </c>
      <c r="D2750" t="s">
        <v>113</v>
      </c>
      <c r="E2750">
        <v>6</v>
      </c>
      <c r="H2750">
        <v>165</v>
      </c>
      <c r="I2750" t="s">
        <v>114</v>
      </c>
      <c r="J2750" t="s">
        <v>115</v>
      </c>
      <c r="K2750">
        <v>0</v>
      </c>
      <c r="L2750">
        <v>3</v>
      </c>
      <c r="M2750">
        <v>0</v>
      </c>
      <c r="N2750">
        <v>2</v>
      </c>
      <c r="O2750">
        <v>1</v>
      </c>
      <c r="P2750">
        <v>0</v>
      </c>
      <c r="Q2750">
        <v>0</v>
      </c>
      <c r="S2750" t="str">
        <f>"20:29:13.508"</f>
        <v>20:29:13.508</v>
      </c>
      <c r="T2750" t="str">
        <f>"20:29:13.108"</f>
        <v>20:29:13.108</v>
      </c>
      <c r="U2750" t="str">
        <f t="shared" si="131"/>
        <v>AB01F4</v>
      </c>
      <c r="V2750">
        <v>0</v>
      </c>
      <c r="W2750">
        <v>0</v>
      </c>
      <c r="X2750">
        <v>2</v>
      </c>
      <c r="Z2750">
        <v>0</v>
      </c>
      <c r="AA2750">
        <v>9</v>
      </c>
      <c r="AB2750">
        <v>3</v>
      </c>
      <c r="AC2750">
        <v>0</v>
      </c>
      <c r="AD2750">
        <v>10</v>
      </c>
      <c r="AE2750">
        <v>0</v>
      </c>
      <c r="AF2750">
        <v>3</v>
      </c>
      <c r="AG2750">
        <v>2</v>
      </c>
      <c r="AH2750">
        <v>0</v>
      </c>
      <c r="AI2750" t="s">
        <v>1623</v>
      </c>
      <c r="AJ2750">
        <v>40.022120000000001</v>
      </c>
      <c r="AK2750" t="s">
        <v>1624</v>
      </c>
      <c r="AL2750">
        <v>-92.788466999999997</v>
      </c>
      <c r="AM2750">
        <v>100</v>
      </c>
      <c r="AN2750">
        <v>1600</v>
      </c>
      <c r="AO2750" t="s">
        <v>118</v>
      </c>
      <c r="AP2750">
        <v>-121</v>
      </c>
      <c r="AQ2750">
        <v>65</v>
      </c>
      <c r="AR2750">
        <v>-192</v>
      </c>
      <c r="AZ2750">
        <v>1200</v>
      </c>
      <c r="BA2750">
        <v>1</v>
      </c>
      <c r="BB2750" t="str">
        <f t="shared" si="133"/>
        <v xml:space="preserve">N8080G  </v>
      </c>
      <c r="BC2750">
        <v>1</v>
      </c>
      <c r="BE2750">
        <v>0</v>
      </c>
      <c r="BF2750">
        <v>0</v>
      </c>
      <c r="BG2750">
        <v>0</v>
      </c>
      <c r="BH2750">
        <v>1575</v>
      </c>
      <c r="BI2750">
        <v>1</v>
      </c>
      <c r="BJ2750">
        <v>1</v>
      </c>
      <c r="BK2750">
        <v>1</v>
      </c>
      <c r="BL2750">
        <v>0</v>
      </c>
      <c r="BO2750">
        <v>0</v>
      </c>
      <c r="BP2750">
        <v>0</v>
      </c>
      <c r="BW2750" t="str">
        <f>"20:29:13.508"</f>
        <v>20:29:13.508</v>
      </c>
      <c r="BZ2750">
        <v>0</v>
      </c>
      <c r="CA2750">
        <v>1792</v>
      </c>
      <c r="CB2750">
        <v>224</v>
      </c>
      <c r="CD2750">
        <v>1</v>
      </c>
      <c r="CE2750">
        <v>0</v>
      </c>
      <c r="CF2750">
        <v>0</v>
      </c>
      <c r="CG2750">
        <v>0</v>
      </c>
      <c r="CH2750">
        <v>0</v>
      </c>
      <c r="CI2750">
        <v>0</v>
      </c>
      <c r="CJ2750">
        <v>0</v>
      </c>
      <c r="CK2750">
        <v>2</v>
      </c>
      <c r="CL2750">
        <v>0</v>
      </c>
      <c r="CM2750">
        <v>2</v>
      </c>
      <c r="CN2750">
        <v>0</v>
      </c>
      <c r="CO2750">
        <v>3</v>
      </c>
      <c r="CP2750" t="s">
        <v>119</v>
      </c>
      <c r="CQ2750">
        <v>179</v>
      </c>
      <c r="CR2750">
        <v>1</v>
      </c>
      <c r="CW2750">
        <v>9072694</v>
      </c>
      <c r="CY2750">
        <v>1</v>
      </c>
      <c r="CZ2750">
        <v>0</v>
      </c>
      <c r="DA2750">
        <v>1</v>
      </c>
      <c r="DB2750">
        <v>0</v>
      </c>
      <c r="DC2750">
        <v>0</v>
      </c>
      <c r="DD2750">
        <v>0</v>
      </c>
      <c r="DE2750">
        <v>0</v>
      </c>
      <c r="DF2750">
        <v>0</v>
      </c>
      <c r="DG2750">
        <v>0</v>
      </c>
      <c r="DH2750">
        <v>0</v>
      </c>
      <c r="DI2750">
        <v>0</v>
      </c>
    </row>
    <row r="2751" spans="1:113" x14ac:dyDescent="0.3">
      <c r="A2751" t="str">
        <f>"02/08/2021 20:29:12.064"</f>
        <v>02/08/2021 20:29:12.064</v>
      </c>
      <c r="C2751" t="str">
        <f t="shared" si="132"/>
        <v>FFDFD7C0</v>
      </c>
      <c r="D2751" t="s">
        <v>124</v>
      </c>
      <c r="E2751">
        <v>13</v>
      </c>
      <c r="F2751">
        <v>1013</v>
      </c>
      <c r="G2751" t="s">
        <v>114</v>
      </c>
      <c r="J2751" t="s">
        <v>125</v>
      </c>
      <c r="K2751">
        <v>0</v>
      </c>
      <c r="L2751">
        <v>3</v>
      </c>
      <c r="M2751">
        <v>0</v>
      </c>
      <c r="N2751">
        <v>2</v>
      </c>
      <c r="O2751">
        <v>1</v>
      </c>
      <c r="P2751">
        <v>0</v>
      </c>
      <c r="Q2751">
        <v>0</v>
      </c>
      <c r="S2751" t="str">
        <f>"20:29:14.398"</f>
        <v>20:29:14.398</v>
      </c>
      <c r="T2751" t="str">
        <f>"20:29:13.998"</f>
        <v>20:29:13.998</v>
      </c>
      <c r="U2751" t="str">
        <f t="shared" si="131"/>
        <v>AB01F4</v>
      </c>
      <c r="V2751">
        <v>0</v>
      </c>
      <c r="W2751">
        <v>0</v>
      </c>
      <c r="X2751">
        <v>2</v>
      </c>
      <c r="Z2751">
        <v>0</v>
      </c>
      <c r="AA2751">
        <v>9</v>
      </c>
      <c r="AB2751">
        <v>3</v>
      </c>
      <c r="AC2751">
        <v>0</v>
      </c>
      <c r="AD2751">
        <v>10</v>
      </c>
      <c r="AE2751">
        <v>0</v>
      </c>
      <c r="AF2751">
        <v>3</v>
      </c>
      <c r="AG2751">
        <v>2</v>
      </c>
      <c r="AH2751">
        <v>0</v>
      </c>
      <c r="AI2751" t="s">
        <v>1625</v>
      </c>
      <c r="AJ2751">
        <v>40.022421000000001</v>
      </c>
      <c r="AK2751" t="s">
        <v>1626</v>
      </c>
      <c r="AL2751">
        <v>-92.789133000000007</v>
      </c>
      <c r="AM2751">
        <v>100</v>
      </c>
      <c r="AN2751">
        <v>1600</v>
      </c>
      <c r="AO2751" t="s">
        <v>118</v>
      </c>
      <c r="AP2751">
        <v>-123</v>
      </c>
      <c r="AQ2751">
        <v>63</v>
      </c>
      <c r="AR2751">
        <v>-192</v>
      </c>
      <c r="AZ2751">
        <v>1200</v>
      </c>
      <c r="BA2751">
        <v>1</v>
      </c>
      <c r="BB2751" t="str">
        <f t="shared" si="133"/>
        <v xml:space="preserve">N8080G  </v>
      </c>
      <c r="BC2751">
        <v>1</v>
      </c>
      <c r="BE2751">
        <v>0</v>
      </c>
      <c r="BF2751">
        <v>0</v>
      </c>
      <c r="BG2751">
        <v>0</v>
      </c>
      <c r="BH2751">
        <v>1575</v>
      </c>
      <c r="BI2751">
        <v>1</v>
      </c>
      <c r="BJ2751">
        <v>1</v>
      </c>
      <c r="BK2751">
        <v>1</v>
      </c>
      <c r="BL2751">
        <v>0</v>
      </c>
      <c r="BO2751">
        <v>0</v>
      </c>
      <c r="BP2751">
        <v>0</v>
      </c>
      <c r="BW2751" t="str">
        <f>"20:29:14.403"</f>
        <v>20:29:14.403</v>
      </c>
      <c r="BZ2751">
        <v>0</v>
      </c>
      <c r="CA2751">
        <v>1792</v>
      </c>
      <c r="CB2751">
        <v>224</v>
      </c>
      <c r="CD2751">
        <v>1</v>
      </c>
      <c r="CE2751">
        <v>0</v>
      </c>
      <c r="CF2751">
        <v>0</v>
      </c>
      <c r="CG2751">
        <v>0</v>
      </c>
      <c r="CH2751">
        <v>0</v>
      </c>
      <c r="CI2751">
        <v>0</v>
      </c>
      <c r="CJ2751">
        <v>0</v>
      </c>
      <c r="CK2751">
        <v>2</v>
      </c>
      <c r="CL2751">
        <v>0</v>
      </c>
      <c r="CM2751">
        <v>2</v>
      </c>
      <c r="CN2751">
        <v>0</v>
      </c>
      <c r="CO2751">
        <v>3</v>
      </c>
      <c r="CP2751" t="s">
        <v>119</v>
      </c>
      <c r="CQ2751">
        <v>179</v>
      </c>
      <c r="CR2751">
        <v>1</v>
      </c>
      <c r="CW2751">
        <v>9073592</v>
      </c>
      <c r="CY2751">
        <v>1</v>
      </c>
      <c r="CZ2751">
        <v>0</v>
      </c>
      <c r="DA2751">
        <v>0</v>
      </c>
      <c r="DB2751">
        <v>0</v>
      </c>
      <c r="DC2751">
        <v>0</v>
      </c>
      <c r="DD2751">
        <v>0</v>
      </c>
      <c r="DE2751">
        <v>0</v>
      </c>
      <c r="DF2751">
        <v>0</v>
      </c>
      <c r="DG2751">
        <v>0</v>
      </c>
      <c r="DH2751">
        <v>0</v>
      </c>
      <c r="DI2751">
        <v>0</v>
      </c>
    </row>
    <row r="2752" spans="1:113" x14ac:dyDescent="0.3">
      <c r="A2752" t="str">
        <f>"02/08/2021 20:29:12.064"</f>
        <v>02/08/2021 20:29:12.064</v>
      </c>
      <c r="C2752" t="str">
        <f t="shared" si="132"/>
        <v>FFDFD7C0</v>
      </c>
      <c r="D2752" t="s">
        <v>113</v>
      </c>
      <c r="E2752">
        <v>6</v>
      </c>
      <c r="H2752">
        <v>165</v>
      </c>
      <c r="I2752" t="s">
        <v>114</v>
      </c>
      <c r="J2752" t="s">
        <v>115</v>
      </c>
      <c r="K2752">
        <v>0</v>
      </c>
      <c r="L2752">
        <v>3</v>
      </c>
      <c r="M2752">
        <v>0</v>
      </c>
      <c r="N2752">
        <v>2</v>
      </c>
      <c r="O2752">
        <v>1</v>
      </c>
      <c r="P2752">
        <v>0</v>
      </c>
      <c r="Q2752">
        <v>0</v>
      </c>
      <c r="S2752" t="str">
        <f>"20:29:14.398"</f>
        <v>20:29:14.398</v>
      </c>
      <c r="T2752" t="str">
        <f>"20:29:13.998"</f>
        <v>20:29:13.998</v>
      </c>
      <c r="U2752" t="str">
        <f t="shared" si="131"/>
        <v>AB01F4</v>
      </c>
      <c r="V2752">
        <v>0</v>
      </c>
      <c r="W2752">
        <v>0</v>
      </c>
      <c r="X2752">
        <v>2</v>
      </c>
      <c r="Z2752">
        <v>0</v>
      </c>
      <c r="AA2752">
        <v>9</v>
      </c>
      <c r="AB2752">
        <v>3</v>
      </c>
      <c r="AC2752">
        <v>0</v>
      </c>
      <c r="AD2752">
        <v>10</v>
      </c>
      <c r="AE2752">
        <v>0</v>
      </c>
      <c r="AF2752">
        <v>3</v>
      </c>
      <c r="AG2752">
        <v>2</v>
      </c>
      <c r="AH2752">
        <v>0</v>
      </c>
      <c r="AI2752" t="s">
        <v>1625</v>
      </c>
      <c r="AJ2752">
        <v>40.022421000000001</v>
      </c>
      <c r="AK2752" t="s">
        <v>1626</v>
      </c>
      <c r="AL2752">
        <v>-92.789133000000007</v>
      </c>
      <c r="AM2752">
        <v>100</v>
      </c>
      <c r="AN2752">
        <v>1600</v>
      </c>
      <c r="AO2752" t="s">
        <v>118</v>
      </c>
      <c r="AP2752">
        <v>-123</v>
      </c>
      <c r="AQ2752">
        <v>63</v>
      </c>
      <c r="AR2752">
        <v>-192</v>
      </c>
      <c r="AZ2752">
        <v>1200</v>
      </c>
      <c r="BA2752">
        <v>1</v>
      </c>
      <c r="BB2752" t="str">
        <f t="shared" si="133"/>
        <v xml:space="preserve">N8080G  </v>
      </c>
      <c r="BC2752">
        <v>1</v>
      </c>
      <c r="BE2752">
        <v>0</v>
      </c>
      <c r="BF2752">
        <v>0</v>
      </c>
      <c r="BG2752">
        <v>0</v>
      </c>
      <c r="BH2752">
        <v>1575</v>
      </c>
      <c r="BI2752">
        <v>1</v>
      </c>
      <c r="BJ2752">
        <v>1</v>
      </c>
      <c r="BK2752">
        <v>1</v>
      </c>
      <c r="BL2752">
        <v>0</v>
      </c>
      <c r="BO2752">
        <v>0</v>
      </c>
      <c r="BP2752">
        <v>0</v>
      </c>
      <c r="BW2752" t="str">
        <f>"20:29:14.403"</f>
        <v>20:29:14.403</v>
      </c>
      <c r="BZ2752">
        <v>0</v>
      </c>
      <c r="CA2752">
        <v>1792</v>
      </c>
      <c r="CB2752">
        <v>224</v>
      </c>
      <c r="CD2752">
        <v>1</v>
      </c>
      <c r="CE2752">
        <v>0</v>
      </c>
      <c r="CF2752">
        <v>0</v>
      </c>
      <c r="CG2752">
        <v>0</v>
      </c>
      <c r="CH2752">
        <v>0</v>
      </c>
      <c r="CI2752">
        <v>0</v>
      </c>
      <c r="CJ2752">
        <v>0</v>
      </c>
      <c r="CK2752">
        <v>2</v>
      </c>
      <c r="CL2752">
        <v>0</v>
      </c>
      <c r="CM2752">
        <v>2</v>
      </c>
      <c r="CN2752">
        <v>0</v>
      </c>
      <c r="CO2752">
        <v>3</v>
      </c>
      <c r="CP2752" t="s">
        <v>119</v>
      </c>
      <c r="CQ2752">
        <v>179</v>
      </c>
      <c r="CR2752">
        <v>1</v>
      </c>
      <c r="CW2752">
        <v>9073592</v>
      </c>
      <c r="CY2752">
        <v>1</v>
      </c>
      <c r="CZ2752">
        <v>0</v>
      </c>
      <c r="DA2752">
        <v>1</v>
      </c>
      <c r="DB2752">
        <v>0</v>
      </c>
      <c r="DC2752">
        <v>0</v>
      </c>
      <c r="DD2752">
        <v>0</v>
      </c>
      <c r="DE2752">
        <v>0</v>
      </c>
      <c r="DF2752">
        <v>0</v>
      </c>
      <c r="DG2752">
        <v>0</v>
      </c>
      <c r="DH2752">
        <v>0</v>
      </c>
      <c r="DI2752">
        <v>0</v>
      </c>
    </row>
    <row r="2753" spans="1:113" x14ac:dyDescent="0.3">
      <c r="A2753" t="str">
        <f>"02/08/2021 20:29:12.064"</f>
        <v>02/08/2021 20:29:12.064</v>
      </c>
      <c r="C2753" t="str">
        <f t="shared" si="132"/>
        <v>FFDFD7C0</v>
      </c>
      <c r="D2753" t="s">
        <v>124</v>
      </c>
      <c r="E2753">
        <v>11</v>
      </c>
      <c r="F2753">
        <v>1011</v>
      </c>
      <c r="G2753" t="s">
        <v>590</v>
      </c>
      <c r="J2753" t="s">
        <v>125</v>
      </c>
      <c r="K2753">
        <v>0</v>
      </c>
      <c r="L2753">
        <v>3</v>
      </c>
      <c r="M2753">
        <v>0</v>
      </c>
      <c r="N2753">
        <v>2</v>
      </c>
      <c r="O2753">
        <v>1</v>
      </c>
      <c r="P2753">
        <v>0</v>
      </c>
      <c r="Q2753">
        <v>0</v>
      </c>
      <c r="S2753" t="str">
        <f>"20:29:14.398"</f>
        <v>20:29:14.398</v>
      </c>
      <c r="T2753" t="str">
        <f>"20:29:13.998"</f>
        <v>20:29:13.998</v>
      </c>
      <c r="U2753" t="str">
        <f t="shared" si="131"/>
        <v>AB01F4</v>
      </c>
      <c r="V2753">
        <v>0</v>
      </c>
      <c r="W2753">
        <v>0</v>
      </c>
      <c r="X2753">
        <v>2</v>
      </c>
      <c r="Z2753">
        <v>0</v>
      </c>
      <c r="AA2753">
        <v>9</v>
      </c>
      <c r="AB2753">
        <v>3</v>
      </c>
      <c r="AC2753">
        <v>0</v>
      </c>
      <c r="AD2753">
        <v>10</v>
      </c>
      <c r="AE2753">
        <v>0</v>
      </c>
      <c r="AF2753">
        <v>3</v>
      </c>
      <c r="AG2753">
        <v>2</v>
      </c>
      <c r="AH2753">
        <v>0</v>
      </c>
      <c r="AI2753" t="s">
        <v>1625</v>
      </c>
      <c r="AJ2753">
        <v>40.022421000000001</v>
      </c>
      <c r="AK2753" t="s">
        <v>1626</v>
      </c>
      <c r="AL2753">
        <v>-92.789133000000007</v>
      </c>
      <c r="AM2753">
        <v>100</v>
      </c>
      <c r="AN2753">
        <v>1600</v>
      </c>
      <c r="AO2753" t="s">
        <v>118</v>
      </c>
      <c r="AP2753">
        <v>-123</v>
      </c>
      <c r="AQ2753">
        <v>63</v>
      </c>
      <c r="AR2753">
        <v>-192</v>
      </c>
      <c r="AZ2753">
        <v>1200</v>
      </c>
      <c r="BA2753">
        <v>1</v>
      </c>
      <c r="BB2753" t="str">
        <f t="shared" si="133"/>
        <v xml:space="preserve">N8080G  </v>
      </c>
      <c r="BC2753">
        <v>1</v>
      </c>
      <c r="BE2753">
        <v>0</v>
      </c>
      <c r="BF2753">
        <v>0</v>
      </c>
      <c r="BG2753">
        <v>0</v>
      </c>
      <c r="BH2753">
        <v>1575</v>
      </c>
      <c r="BI2753">
        <v>1</v>
      </c>
      <c r="BJ2753">
        <v>1</v>
      </c>
      <c r="BK2753">
        <v>1</v>
      </c>
      <c r="BL2753">
        <v>0</v>
      </c>
      <c r="BO2753">
        <v>0</v>
      </c>
      <c r="BP2753">
        <v>0</v>
      </c>
      <c r="BW2753" t="str">
        <f>"20:29:14.403"</f>
        <v>20:29:14.403</v>
      </c>
      <c r="BZ2753">
        <v>0</v>
      </c>
      <c r="CA2753">
        <v>1792</v>
      </c>
      <c r="CB2753">
        <v>224</v>
      </c>
      <c r="CD2753">
        <v>1</v>
      </c>
      <c r="CE2753">
        <v>0</v>
      </c>
      <c r="CF2753">
        <v>0</v>
      </c>
      <c r="CG2753">
        <v>0</v>
      </c>
      <c r="CH2753">
        <v>0</v>
      </c>
      <c r="CI2753">
        <v>0</v>
      </c>
      <c r="CJ2753">
        <v>0</v>
      </c>
      <c r="CK2753">
        <v>2</v>
      </c>
      <c r="CL2753">
        <v>0</v>
      </c>
      <c r="CM2753">
        <v>2</v>
      </c>
      <c r="CN2753">
        <v>0</v>
      </c>
      <c r="CO2753">
        <v>3</v>
      </c>
      <c r="CP2753" t="s">
        <v>119</v>
      </c>
      <c r="CQ2753">
        <v>179</v>
      </c>
      <c r="CR2753">
        <v>1</v>
      </c>
      <c r="CW2753">
        <v>9073592</v>
      </c>
      <c r="CY2753">
        <v>1</v>
      </c>
      <c r="CZ2753">
        <v>0</v>
      </c>
      <c r="DA2753">
        <v>1</v>
      </c>
      <c r="DB2753">
        <v>0</v>
      </c>
      <c r="DC2753">
        <v>0</v>
      </c>
      <c r="DD2753">
        <v>0</v>
      </c>
      <c r="DE2753">
        <v>0</v>
      </c>
      <c r="DF2753">
        <v>0</v>
      </c>
      <c r="DG2753">
        <v>0</v>
      </c>
      <c r="DH2753">
        <v>0</v>
      </c>
      <c r="DI2753">
        <v>0</v>
      </c>
    </row>
    <row r="2754" spans="1:113" x14ac:dyDescent="0.3">
      <c r="A2754" t="str">
        <f>"02/08/2021 20:29:12.064"</f>
        <v>02/08/2021 20:29:12.064</v>
      </c>
      <c r="C2754" t="str">
        <f t="shared" si="132"/>
        <v>FFDFD7C0</v>
      </c>
      <c r="D2754" t="s">
        <v>124</v>
      </c>
      <c r="E2754">
        <v>12</v>
      </c>
      <c r="F2754">
        <v>1012</v>
      </c>
      <c r="G2754" t="s">
        <v>675</v>
      </c>
      <c r="J2754" t="s">
        <v>125</v>
      </c>
      <c r="K2754">
        <v>0</v>
      </c>
      <c r="L2754">
        <v>3</v>
      </c>
      <c r="M2754">
        <v>0</v>
      </c>
      <c r="N2754">
        <v>2</v>
      </c>
      <c r="O2754">
        <v>1</v>
      </c>
      <c r="P2754">
        <v>0</v>
      </c>
      <c r="Q2754">
        <v>0</v>
      </c>
      <c r="S2754" t="str">
        <f>"20:29:14.398"</f>
        <v>20:29:14.398</v>
      </c>
      <c r="T2754" t="str">
        <f>"20:29:13.998"</f>
        <v>20:29:13.998</v>
      </c>
      <c r="U2754" t="str">
        <f t="shared" ref="U2754:U2817" si="134">"AB01F4"</f>
        <v>AB01F4</v>
      </c>
      <c r="V2754">
        <v>0</v>
      </c>
      <c r="W2754">
        <v>0</v>
      </c>
      <c r="X2754">
        <v>2</v>
      </c>
      <c r="Z2754">
        <v>0</v>
      </c>
      <c r="AA2754">
        <v>9</v>
      </c>
      <c r="AB2754">
        <v>3</v>
      </c>
      <c r="AC2754">
        <v>0</v>
      </c>
      <c r="AD2754">
        <v>10</v>
      </c>
      <c r="AE2754">
        <v>0</v>
      </c>
      <c r="AF2754">
        <v>3</v>
      </c>
      <c r="AG2754">
        <v>2</v>
      </c>
      <c r="AH2754">
        <v>0</v>
      </c>
      <c r="AI2754" t="s">
        <v>1625</v>
      </c>
      <c r="AJ2754">
        <v>40.022421000000001</v>
      </c>
      <c r="AK2754" t="s">
        <v>1626</v>
      </c>
      <c r="AL2754">
        <v>-92.789133000000007</v>
      </c>
      <c r="AM2754">
        <v>100</v>
      </c>
      <c r="AN2754">
        <v>1600</v>
      </c>
      <c r="AO2754" t="s">
        <v>118</v>
      </c>
      <c r="AP2754">
        <v>-123</v>
      </c>
      <c r="AQ2754">
        <v>63</v>
      </c>
      <c r="AR2754">
        <v>-192</v>
      </c>
      <c r="AZ2754">
        <v>1200</v>
      </c>
      <c r="BA2754">
        <v>1</v>
      </c>
      <c r="BB2754" t="str">
        <f t="shared" si="133"/>
        <v xml:space="preserve">N8080G  </v>
      </c>
      <c r="BC2754">
        <v>1</v>
      </c>
      <c r="BE2754">
        <v>0</v>
      </c>
      <c r="BF2754">
        <v>0</v>
      </c>
      <c r="BG2754">
        <v>0</v>
      </c>
      <c r="BH2754">
        <v>1575</v>
      </c>
      <c r="BI2754">
        <v>1</v>
      </c>
      <c r="BJ2754">
        <v>1</v>
      </c>
      <c r="BK2754">
        <v>1</v>
      </c>
      <c r="BL2754">
        <v>0</v>
      </c>
      <c r="BO2754">
        <v>0</v>
      </c>
      <c r="BP2754">
        <v>0</v>
      </c>
      <c r="BW2754" t="str">
        <f>"20:29:14.403"</f>
        <v>20:29:14.403</v>
      </c>
      <c r="BZ2754">
        <v>0</v>
      </c>
      <c r="CA2754">
        <v>1792</v>
      </c>
      <c r="CB2754">
        <v>224</v>
      </c>
      <c r="CD2754">
        <v>1</v>
      </c>
      <c r="CE2754">
        <v>0</v>
      </c>
      <c r="CF2754">
        <v>0</v>
      </c>
      <c r="CG2754">
        <v>0</v>
      </c>
      <c r="CH2754">
        <v>0</v>
      </c>
      <c r="CI2754">
        <v>0</v>
      </c>
      <c r="CJ2754">
        <v>0</v>
      </c>
      <c r="CK2754">
        <v>2</v>
      </c>
      <c r="CL2754">
        <v>0</v>
      </c>
      <c r="CM2754">
        <v>2</v>
      </c>
      <c r="CN2754">
        <v>0</v>
      </c>
      <c r="CO2754">
        <v>3</v>
      </c>
      <c r="CP2754" t="s">
        <v>119</v>
      </c>
      <c r="CQ2754">
        <v>179</v>
      </c>
      <c r="CR2754">
        <v>1</v>
      </c>
      <c r="CW2754">
        <v>9073592</v>
      </c>
      <c r="CY2754">
        <v>1</v>
      </c>
      <c r="CZ2754">
        <v>0</v>
      </c>
      <c r="DA2754">
        <v>1</v>
      </c>
      <c r="DB2754">
        <v>0</v>
      </c>
      <c r="DC2754">
        <v>0</v>
      </c>
      <c r="DD2754">
        <v>0</v>
      </c>
      <c r="DE2754">
        <v>0</v>
      </c>
      <c r="DF2754">
        <v>0</v>
      </c>
      <c r="DG2754">
        <v>0</v>
      </c>
      <c r="DH2754">
        <v>0</v>
      </c>
      <c r="DI2754">
        <v>0</v>
      </c>
    </row>
    <row r="2755" spans="1:113" x14ac:dyDescent="0.3">
      <c r="A2755" t="str">
        <f>"02/08/2021 20:29:13.086"</f>
        <v>02/08/2021 20:29:13.086</v>
      </c>
      <c r="C2755" t="str">
        <f t="shared" si="132"/>
        <v>FFDFD7C0</v>
      </c>
      <c r="D2755" t="s">
        <v>113</v>
      </c>
      <c r="E2755">
        <v>6</v>
      </c>
      <c r="H2755">
        <v>165</v>
      </c>
      <c r="I2755" t="s">
        <v>114</v>
      </c>
      <c r="J2755" t="s">
        <v>115</v>
      </c>
      <c r="K2755">
        <v>0</v>
      </c>
      <c r="L2755">
        <v>3</v>
      </c>
      <c r="M2755">
        <v>0</v>
      </c>
      <c r="N2755">
        <v>2</v>
      </c>
      <c r="O2755">
        <v>1</v>
      </c>
      <c r="P2755">
        <v>0</v>
      </c>
      <c r="Q2755">
        <v>0</v>
      </c>
      <c r="S2755" t="str">
        <f>"20:29:15.414"</f>
        <v>20:29:15.414</v>
      </c>
      <c r="T2755" t="str">
        <f>"20:29:14.914"</f>
        <v>20:29:14.914</v>
      </c>
      <c r="U2755" t="str">
        <f t="shared" si="134"/>
        <v>AB01F4</v>
      </c>
      <c r="V2755">
        <v>0</v>
      </c>
      <c r="W2755">
        <v>0</v>
      </c>
      <c r="X2755">
        <v>2</v>
      </c>
      <c r="Z2755">
        <v>0</v>
      </c>
      <c r="AA2755">
        <v>9</v>
      </c>
      <c r="AB2755">
        <v>3</v>
      </c>
      <c r="AC2755">
        <v>0</v>
      </c>
      <c r="AD2755">
        <v>10</v>
      </c>
      <c r="AE2755">
        <v>0</v>
      </c>
      <c r="AF2755">
        <v>3</v>
      </c>
      <c r="AG2755">
        <v>2</v>
      </c>
      <c r="AH2755">
        <v>0</v>
      </c>
      <c r="AI2755" t="s">
        <v>1627</v>
      </c>
      <c r="AJ2755">
        <v>40.0227</v>
      </c>
      <c r="AK2755" t="s">
        <v>1628</v>
      </c>
      <c r="AL2755">
        <v>-92.789861999999999</v>
      </c>
      <c r="AM2755">
        <v>100</v>
      </c>
      <c r="AN2755">
        <v>1600</v>
      </c>
      <c r="AO2755" t="s">
        <v>118</v>
      </c>
      <c r="AP2755">
        <v>-124</v>
      </c>
      <c r="AQ2755">
        <v>61</v>
      </c>
      <c r="AR2755">
        <v>-128</v>
      </c>
      <c r="AZ2755">
        <v>1200</v>
      </c>
      <c r="BA2755">
        <v>1</v>
      </c>
      <c r="BB2755" t="str">
        <f t="shared" si="133"/>
        <v xml:space="preserve">N8080G  </v>
      </c>
      <c r="BC2755">
        <v>1</v>
      </c>
      <c r="BE2755">
        <v>0</v>
      </c>
      <c r="BF2755">
        <v>0</v>
      </c>
      <c r="BG2755">
        <v>0</v>
      </c>
      <c r="BH2755">
        <v>1575</v>
      </c>
      <c r="BI2755">
        <v>1</v>
      </c>
      <c r="BJ2755">
        <v>1</v>
      </c>
      <c r="BK2755">
        <v>1</v>
      </c>
      <c r="BL2755">
        <v>0</v>
      </c>
      <c r="BO2755">
        <v>0</v>
      </c>
      <c r="BP2755">
        <v>0</v>
      </c>
      <c r="BW2755" t="str">
        <f>"20:29:15.418"</f>
        <v>20:29:15.418</v>
      </c>
      <c r="BZ2755">
        <v>0</v>
      </c>
      <c r="CA2755">
        <v>1792</v>
      </c>
      <c r="CB2755">
        <v>224</v>
      </c>
      <c r="CD2755">
        <v>1</v>
      </c>
      <c r="CE2755">
        <v>0</v>
      </c>
      <c r="CF2755">
        <v>0</v>
      </c>
      <c r="CG2755">
        <v>0</v>
      </c>
      <c r="CH2755">
        <v>0</v>
      </c>
      <c r="CI2755">
        <v>0</v>
      </c>
      <c r="CJ2755">
        <v>0</v>
      </c>
      <c r="CK2755">
        <v>2</v>
      </c>
      <c r="CL2755">
        <v>0</v>
      </c>
      <c r="CM2755">
        <v>2</v>
      </c>
      <c r="CN2755">
        <v>0</v>
      </c>
      <c r="CO2755">
        <v>3</v>
      </c>
      <c r="CP2755" t="s">
        <v>119</v>
      </c>
      <c r="CQ2755">
        <v>179</v>
      </c>
      <c r="CR2755">
        <v>1</v>
      </c>
      <c r="CW2755">
        <v>9074546</v>
      </c>
      <c r="CY2755">
        <v>1</v>
      </c>
      <c r="CZ2755">
        <v>0</v>
      </c>
      <c r="DA2755">
        <v>0</v>
      </c>
      <c r="DB2755">
        <v>0</v>
      </c>
      <c r="DC2755">
        <v>0</v>
      </c>
      <c r="DD2755">
        <v>0</v>
      </c>
      <c r="DE2755">
        <v>0</v>
      </c>
      <c r="DF2755">
        <v>0</v>
      </c>
      <c r="DG2755">
        <v>0</v>
      </c>
      <c r="DH2755">
        <v>0</v>
      </c>
      <c r="DI2755">
        <v>0</v>
      </c>
    </row>
    <row r="2756" spans="1:113" x14ac:dyDescent="0.3">
      <c r="A2756" t="str">
        <f>"02/08/2021 20:29:13.086"</f>
        <v>02/08/2021 20:29:13.086</v>
      </c>
      <c r="C2756" t="str">
        <f t="shared" si="132"/>
        <v>FFDFD7C0</v>
      </c>
      <c r="D2756" t="s">
        <v>124</v>
      </c>
      <c r="E2756">
        <v>11</v>
      </c>
      <c r="F2756">
        <v>1011</v>
      </c>
      <c r="G2756" t="s">
        <v>590</v>
      </c>
      <c r="J2756" t="s">
        <v>125</v>
      </c>
      <c r="K2756">
        <v>0</v>
      </c>
      <c r="L2756">
        <v>3</v>
      </c>
      <c r="M2756">
        <v>0</v>
      </c>
      <c r="N2756">
        <v>2</v>
      </c>
      <c r="O2756">
        <v>1</v>
      </c>
      <c r="P2756">
        <v>0</v>
      </c>
      <c r="Q2756">
        <v>0</v>
      </c>
      <c r="S2756" t="str">
        <f>"20:29:15.414"</f>
        <v>20:29:15.414</v>
      </c>
      <c r="T2756" t="str">
        <f>"20:29:14.914"</f>
        <v>20:29:14.914</v>
      </c>
      <c r="U2756" t="str">
        <f t="shared" si="134"/>
        <v>AB01F4</v>
      </c>
      <c r="V2756">
        <v>0</v>
      </c>
      <c r="W2756">
        <v>0</v>
      </c>
      <c r="X2756">
        <v>2</v>
      </c>
      <c r="Z2756">
        <v>0</v>
      </c>
      <c r="AA2756">
        <v>9</v>
      </c>
      <c r="AB2756">
        <v>3</v>
      </c>
      <c r="AC2756">
        <v>0</v>
      </c>
      <c r="AD2756">
        <v>10</v>
      </c>
      <c r="AE2756">
        <v>0</v>
      </c>
      <c r="AF2756">
        <v>3</v>
      </c>
      <c r="AG2756">
        <v>2</v>
      </c>
      <c r="AH2756">
        <v>0</v>
      </c>
      <c r="AI2756" t="s">
        <v>1627</v>
      </c>
      <c r="AJ2756">
        <v>40.0227</v>
      </c>
      <c r="AK2756" t="s">
        <v>1628</v>
      </c>
      <c r="AL2756">
        <v>-92.789861999999999</v>
      </c>
      <c r="AM2756">
        <v>100</v>
      </c>
      <c r="AN2756">
        <v>1600</v>
      </c>
      <c r="AO2756" t="s">
        <v>118</v>
      </c>
      <c r="AP2756">
        <v>-124</v>
      </c>
      <c r="AQ2756">
        <v>61</v>
      </c>
      <c r="AR2756">
        <v>-128</v>
      </c>
      <c r="AZ2756">
        <v>1200</v>
      </c>
      <c r="BA2756">
        <v>1</v>
      </c>
      <c r="BB2756" t="str">
        <f t="shared" si="133"/>
        <v xml:space="preserve">N8080G  </v>
      </c>
      <c r="BC2756">
        <v>1</v>
      </c>
      <c r="BE2756">
        <v>0</v>
      </c>
      <c r="BF2756">
        <v>0</v>
      </c>
      <c r="BG2756">
        <v>0</v>
      </c>
      <c r="BH2756">
        <v>1575</v>
      </c>
      <c r="BI2756">
        <v>1</v>
      </c>
      <c r="BJ2756">
        <v>1</v>
      </c>
      <c r="BK2756">
        <v>1</v>
      </c>
      <c r="BL2756">
        <v>0</v>
      </c>
      <c r="BO2756">
        <v>0</v>
      </c>
      <c r="BP2756">
        <v>0</v>
      </c>
      <c r="BW2756" t="str">
        <f>"20:29:15.418"</f>
        <v>20:29:15.418</v>
      </c>
      <c r="BZ2756">
        <v>0</v>
      </c>
      <c r="CA2756">
        <v>1792</v>
      </c>
      <c r="CB2756">
        <v>224</v>
      </c>
      <c r="CD2756">
        <v>1</v>
      </c>
      <c r="CE2756">
        <v>0</v>
      </c>
      <c r="CF2756">
        <v>0</v>
      </c>
      <c r="CG2756">
        <v>0</v>
      </c>
      <c r="CH2756">
        <v>0</v>
      </c>
      <c r="CI2756">
        <v>0</v>
      </c>
      <c r="CJ2756">
        <v>0</v>
      </c>
      <c r="CK2756">
        <v>2</v>
      </c>
      <c r="CL2756">
        <v>0</v>
      </c>
      <c r="CM2756">
        <v>2</v>
      </c>
      <c r="CN2756">
        <v>0</v>
      </c>
      <c r="CO2756">
        <v>3</v>
      </c>
      <c r="CP2756" t="s">
        <v>119</v>
      </c>
      <c r="CQ2756">
        <v>179</v>
      </c>
      <c r="CR2756">
        <v>1</v>
      </c>
      <c r="CW2756">
        <v>9074546</v>
      </c>
      <c r="CY2756">
        <v>1</v>
      </c>
      <c r="CZ2756">
        <v>0</v>
      </c>
      <c r="DA2756">
        <v>1</v>
      </c>
      <c r="DB2756">
        <v>0</v>
      </c>
      <c r="DC2756">
        <v>0</v>
      </c>
      <c r="DD2756">
        <v>0</v>
      </c>
      <c r="DE2756">
        <v>0</v>
      </c>
      <c r="DF2756">
        <v>0</v>
      </c>
      <c r="DG2756">
        <v>0</v>
      </c>
      <c r="DH2756">
        <v>0</v>
      </c>
      <c r="DI2756">
        <v>0</v>
      </c>
    </row>
    <row r="2757" spans="1:113" x14ac:dyDescent="0.3">
      <c r="A2757" t="str">
        <f>"02/08/2021 20:29:13.086"</f>
        <v>02/08/2021 20:29:13.086</v>
      </c>
      <c r="C2757" t="str">
        <f t="shared" si="132"/>
        <v>FFDFD7C0</v>
      </c>
      <c r="D2757" t="s">
        <v>124</v>
      </c>
      <c r="E2757">
        <v>12</v>
      </c>
      <c r="F2757">
        <v>1012</v>
      </c>
      <c r="G2757" t="s">
        <v>675</v>
      </c>
      <c r="J2757" t="s">
        <v>125</v>
      </c>
      <c r="K2757">
        <v>0</v>
      </c>
      <c r="L2757">
        <v>3</v>
      </c>
      <c r="M2757">
        <v>0</v>
      </c>
      <c r="N2757">
        <v>2</v>
      </c>
      <c r="O2757">
        <v>1</v>
      </c>
      <c r="P2757">
        <v>0</v>
      </c>
      <c r="Q2757">
        <v>0</v>
      </c>
      <c r="S2757" t="str">
        <f>"20:29:15.414"</f>
        <v>20:29:15.414</v>
      </c>
      <c r="T2757" t="str">
        <f>"20:29:14.914"</f>
        <v>20:29:14.914</v>
      </c>
      <c r="U2757" t="str">
        <f t="shared" si="134"/>
        <v>AB01F4</v>
      </c>
      <c r="V2757">
        <v>0</v>
      </c>
      <c r="W2757">
        <v>0</v>
      </c>
      <c r="X2757">
        <v>2</v>
      </c>
      <c r="Z2757">
        <v>0</v>
      </c>
      <c r="AA2757">
        <v>9</v>
      </c>
      <c r="AB2757">
        <v>3</v>
      </c>
      <c r="AC2757">
        <v>0</v>
      </c>
      <c r="AD2757">
        <v>10</v>
      </c>
      <c r="AE2757">
        <v>0</v>
      </c>
      <c r="AF2757">
        <v>3</v>
      </c>
      <c r="AG2757">
        <v>2</v>
      </c>
      <c r="AH2757">
        <v>0</v>
      </c>
      <c r="AI2757" t="s">
        <v>1627</v>
      </c>
      <c r="AJ2757">
        <v>40.0227</v>
      </c>
      <c r="AK2757" t="s">
        <v>1628</v>
      </c>
      <c r="AL2757">
        <v>-92.789861999999999</v>
      </c>
      <c r="AM2757">
        <v>100</v>
      </c>
      <c r="AN2757">
        <v>1600</v>
      </c>
      <c r="AO2757" t="s">
        <v>118</v>
      </c>
      <c r="AP2757">
        <v>-124</v>
      </c>
      <c r="AQ2757">
        <v>61</v>
      </c>
      <c r="AR2757">
        <v>-128</v>
      </c>
      <c r="AZ2757">
        <v>1200</v>
      </c>
      <c r="BA2757">
        <v>1</v>
      </c>
      <c r="BB2757" t="str">
        <f t="shared" si="133"/>
        <v xml:space="preserve">N8080G  </v>
      </c>
      <c r="BC2757">
        <v>1</v>
      </c>
      <c r="BE2757">
        <v>0</v>
      </c>
      <c r="BF2757">
        <v>0</v>
      </c>
      <c r="BG2757">
        <v>0</v>
      </c>
      <c r="BH2757">
        <v>1575</v>
      </c>
      <c r="BI2757">
        <v>1</v>
      </c>
      <c r="BJ2757">
        <v>1</v>
      </c>
      <c r="BK2757">
        <v>1</v>
      </c>
      <c r="BL2757">
        <v>0</v>
      </c>
      <c r="BO2757">
        <v>0</v>
      </c>
      <c r="BP2757">
        <v>0</v>
      </c>
      <c r="BW2757" t="str">
        <f>"20:29:15.418"</f>
        <v>20:29:15.418</v>
      </c>
      <c r="BZ2757">
        <v>0</v>
      </c>
      <c r="CA2757">
        <v>1792</v>
      </c>
      <c r="CB2757">
        <v>224</v>
      </c>
      <c r="CD2757">
        <v>1</v>
      </c>
      <c r="CE2757">
        <v>0</v>
      </c>
      <c r="CF2757">
        <v>0</v>
      </c>
      <c r="CG2757">
        <v>0</v>
      </c>
      <c r="CH2757">
        <v>0</v>
      </c>
      <c r="CI2757">
        <v>0</v>
      </c>
      <c r="CJ2757">
        <v>0</v>
      </c>
      <c r="CK2757">
        <v>2</v>
      </c>
      <c r="CL2757">
        <v>0</v>
      </c>
      <c r="CM2757">
        <v>2</v>
      </c>
      <c r="CN2757">
        <v>0</v>
      </c>
      <c r="CO2757">
        <v>3</v>
      </c>
      <c r="CP2757" t="s">
        <v>119</v>
      </c>
      <c r="CQ2757">
        <v>179</v>
      </c>
      <c r="CR2757">
        <v>1</v>
      </c>
      <c r="CW2757">
        <v>9074546</v>
      </c>
      <c r="CY2757">
        <v>1</v>
      </c>
      <c r="CZ2757">
        <v>0</v>
      </c>
      <c r="DA2757">
        <v>1</v>
      </c>
      <c r="DB2757">
        <v>0</v>
      </c>
      <c r="DC2757">
        <v>0</v>
      </c>
      <c r="DD2757">
        <v>0</v>
      </c>
      <c r="DE2757">
        <v>0</v>
      </c>
      <c r="DF2757">
        <v>0</v>
      </c>
      <c r="DG2757">
        <v>0</v>
      </c>
      <c r="DH2757">
        <v>0</v>
      </c>
      <c r="DI2757">
        <v>0</v>
      </c>
    </row>
    <row r="2758" spans="1:113" x14ac:dyDescent="0.3">
      <c r="A2758" t="str">
        <f>"02/08/2021 20:29:13.086"</f>
        <v>02/08/2021 20:29:13.086</v>
      </c>
      <c r="C2758" t="str">
        <f t="shared" si="132"/>
        <v>FFDFD7C0</v>
      </c>
      <c r="D2758" t="s">
        <v>124</v>
      </c>
      <c r="E2758">
        <v>13</v>
      </c>
      <c r="F2758">
        <v>1013</v>
      </c>
      <c r="G2758" t="s">
        <v>114</v>
      </c>
      <c r="J2758" t="s">
        <v>125</v>
      </c>
      <c r="K2758">
        <v>0</v>
      </c>
      <c r="L2758">
        <v>3</v>
      </c>
      <c r="M2758">
        <v>0</v>
      </c>
      <c r="N2758">
        <v>2</v>
      </c>
      <c r="O2758">
        <v>1</v>
      </c>
      <c r="P2758">
        <v>0</v>
      </c>
      <c r="Q2758">
        <v>0</v>
      </c>
      <c r="S2758" t="str">
        <f>"20:29:15.414"</f>
        <v>20:29:15.414</v>
      </c>
      <c r="T2758" t="str">
        <f>"20:29:14.914"</f>
        <v>20:29:14.914</v>
      </c>
      <c r="U2758" t="str">
        <f t="shared" si="134"/>
        <v>AB01F4</v>
      </c>
      <c r="V2758">
        <v>0</v>
      </c>
      <c r="W2758">
        <v>0</v>
      </c>
      <c r="X2758">
        <v>2</v>
      </c>
      <c r="Z2758">
        <v>0</v>
      </c>
      <c r="AA2758">
        <v>9</v>
      </c>
      <c r="AB2758">
        <v>3</v>
      </c>
      <c r="AC2758">
        <v>0</v>
      </c>
      <c r="AD2758">
        <v>10</v>
      </c>
      <c r="AE2758">
        <v>0</v>
      </c>
      <c r="AF2758">
        <v>3</v>
      </c>
      <c r="AG2758">
        <v>2</v>
      </c>
      <c r="AH2758">
        <v>0</v>
      </c>
      <c r="AI2758" t="s">
        <v>1627</v>
      </c>
      <c r="AJ2758">
        <v>40.0227</v>
      </c>
      <c r="AK2758" t="s">
        <v>1628</v>
      </c>
      <c r="AL2758">
        <v>-92.789861999999999</v>
      </c>
      <c r="AM2758">
        <v>100</v>
      </c>
      <c r="AN2758">
        <v>1600</v>
      </c>
      <c r="AO2758" t="s">
        <v>118</v>
      </c>
      <c r="AP2758">
        <v>-124</v>
      </c>
      <c r="AQ2758">
        <v>61</v>
      </c>
      <c r="AR2758">
        <v>-128</v>
      </c>
      <c r="AZ2758">
        <v>1200</v>
      </c>
      <c r="BA2758">
        <v>1</v>
      </c>
      <c r="BB2758" t="str">
        <f t="shared" si="133"/>
        <v xml:space="preserve">N8080G  </v>
      </c>
      <c r="BC2758">
        <v>1</v>
      </c>
      <c r="BE2758">
        <v>0</v>
      </c>
      <c r="BF2758">
        <v>0</v>
      </c>
      <c r="BG2758">
        <v>0</v>
      </c>
      <c r="BH2758">
        <v>1575</v>
      </c>
      <c r="BI2758">
        <v>1</v>
      </c>
      <c r="BJ2758">
        <v>1</v>
      </c>
      <c r="BK2758">
        <v>1</v>
      </c>
      <c r="BL2758">
        <v>0</v>
      </c>
      <c r="BO2758">
        <v>0</v>
      </c>
      <c r="BP2758">
        <v>0</v>
      </c>
      <c r="BW2758" t="str">
        <f>"20:29:15.418"</f>
        <v>20:29:15.418</v>
      </c>
      <c r="BZ2758">
        <v>0</v>
      </c>
      <c r="CA2758">
        <v>1792</v>
      </c>
      <c r="CB2758">
        <v>224</v>
      </c>
      <c r="CD2758">
        <v>1</v>
      </c>
      <c r="CE2758">
        <v>0</v>
      </c>
      <c r="CF2758">
        <v>0</v>
      </c>
      <c r="CG2758">
        <v>0</v>
      </c>
      <c r="CH2758">
        <v>0</v>
      </c>
      <c r="CI2758">
        <v>0</v>
      </c>
      <c r="CJ2758">
        <v>0</v>
      </c>
      <c r="CK2758">
        <v>2</v>
      </c>
      <c r="CL2758">
        <v>0</v>
      </c>
      <c r="CM2758">
        <v>2</v>
      </c>
      <c r="CN2758">
        <v>0</v>
      </c>
      <c r="CO2758">
        <v>3</v>
      </c>
      <c r="CP2758" t="s">
        <v>119</v>
      </c>
      <c r="CQ2758">
        <v>179</v>
      </c>
      <c r="CR2758">
        <v>1</v>
      </c>
      <c r="CW2758">
        <v>9074546</v>
      </c>
      <c r="CY2758">
        <v>1</v>
      </c>
      <c r="CZ2758">
        <v>0</v>
      </c>
      <c r="DA2758">
        <v>1</v>
      </c>
      <c r="DB2758">
        <v>0</v>
      </c>
      <c r="DC2758">
        <v>0</v>
      </c>
      <c r="DD2758">
        <v>0</v>
      </c>
      <c r="DE2758">
        <v>0</v>
      </c>
      <c r="DF2758">
        <v>0</v>
      </c>
      <c r="DG2758">
        <v>0</v>
      </c>
      <c r="DH2758">
        <v>0</v>
      </c>
      <c r="DI2758">
        <v>0</v>
      </c>
    </row>
    <row r="2759" spans="1:113" x14ac:dyDescent="0.3">
      <c r="A2759" t="str">
        <f>"02/08/2021 20:29:13.997"</f>
        <v>02/08/2021 20:29:13.997</v>
      </c>
      <c r="C2759" t="str">
        <f t="shared" si="132"/>
        <v>FFDFD7C0</v>
      </c>
      <c r="D2759" t="s">
        <v>113</v>
      </c>
      <c r="E2759">
        <v>6</v>
      </c>
      <c r="H2759">
        <v>165</v>
      </c>
      <c r="I2759" t="s">
        <v>114</v>
      </c>
      <c r="J2759" t="s">
        <v>115</v>
      </c>
      <c r="K2759">
        <v>0</v>
      </c>
      <c r="L2759">
        <v>3</v>
      </c>
      <c r="M2759">
        <v>0</v>
      </c>
      <c r="N2759">
        <v>2</v>
      </c>
      <c r="O2759">
        <v>1</v>
      </c>
      <c r="P2759">
        <v>0</v>
      </c>
      <c r="Q2759">
        <v>0</v>
      </c>
      <c r="S2759" t="str">
        <f>"20:29:16.313"</f>
        <v>20:29:16.313</v>
      </c>
      <c r="T2759" t="str">
        <f>"20:29:15.913"</f>
        <v>20:29:15.913</v>
      </c>
      <c r="U2759" t="str">
        <f t="shared" si="134"/>
        <v>AB01F4</v>
      </c>
      <c r="V2759">
        <v>0</v>
      </c>
      <c r="W2759">
        <v>0</v>
      </c>
      <c r="X2759">
        <v>2</v>
      </c>
      <c r="Z2759">
        <v>0</v>
      </c>
      <c r="AA2759">
        <v>9</v>
      </c>
      <c r="AB2759">
        <v>3</v>
      </c>
      <c r="AC2759">
        <v>0</v>
      </c>
      <c r="AD2759">
        <v>10</v>
      </c>
      <c r="AE2759">
        <v>0</v>
      </c>
      <c r="AF2759">
        <v>3</v>
      </c>
      <c r="AG2759">
        <v>2</v>
      </c>
      <c r="AH2759">
        <v>0</v>
      </c>
      <c r="AI2759" t="s">
        <v>1629</v>
      </c>
      <c r="AJ2759">
        <v>40.022914</v>
      </c>
      <c r="AK2759" t="s">
        <v>1630</v>
      </c>
      <c r="AL2759">
        <v>-92.790526999999997</v>
      </c>
      <c r="AM2759">
        <v>100</v>
      </c>
      <c r="AN2759">
        <v>1600</v>
      </c>
      <c r="AO2759" t="s">
        <v>118</v>
      </c>
      <c r="AP2759">
        <v>-125</v>
      </c>
      <c r="AQ2759">
        <v>60</v>
      </c>
      <c r="AR2759">
        <v>-128</v>
      </c>
      <c r="AZ2759">
        <v>1200</v>
      </c>
      <c r="BA2759">
        <v>1</v>
      </c>
      <c r="BB2759" t="str">
        <f t="shared" si="133"/>
        <v xml:space="preserve">N8080G  </v>
      </c>
      <c r="BC2759">
        <v>1</v>
      </c>
      <c r="BE2759">
        <v>0</v>
      </c>
      <c r="BF2759">
        <v>0</v>
      </c>
      <c r="BG2759">
        <v>0</v>
      </c>
      <c r="BH2759">
        <v>1550</v>
      </c>
      <c r="BI2759">
        <v>1</v>
      </c>
      <c r="BJ2759">
        <v>1</v>
      </c>
      <c r="BK2759">
        <v>1</v>
      </c>
      <c r="BL2759">
        <v>0</v>
      </c>
      <c r="BO2759">
        <v>0</v>
      </c>
      <c r="BP2759">
        <v>0</v>
      </c>
      <c r="BW2759" t="str">
        <f>"20:29:16.314"</f>
        <v>20:29:16.314</v>
      </c>
      <c r="BZ2759">
        <v>0</v>
      </c>
      <c r="CA2759">
        <v>1792</v>
      </c>
      <c r="CB2759">
        <v>224</v>
      </c>
      <c r="CD2759">
        <v>1</v>
      </c>
      <c r="CE2759">
        <v>0</v>
      </c>
      <c r="CF2759">
        <v>0</v>
      </c>
      <c r="CG2759">
        <v>0</v>
      </c>
      <c r="CH2759">
        <v>0</v>
      </c>
      <c r="CI2759">
        <v>0</v>
      </c>
      <c r="CJ2759">
        <v>0</v>
      </c>
      <c r="CK2759">
        <v>2</v>
      </c>
      <c r="CL2759">
        <v>0</v>
      </c>
      <c r="CM2759">
        <v>2</v>
      </c>
      <c r="CN2759">
        <v>0</v>
      </c>
      <c r="CO2759">
        <v>7</v>
      </c>
      <c r="CP2759" t="s">
        <v>119</v>
      </c>
      <c r="CQ2759">
        <v>180</v>
      </c>
      <c r="CR2759">
        <v>3</v>
      </c>
      <c r="CW2759">
        <v>971508</v>
      </c>
      <c r="CY2759">
        <v>1</v>
      </c>
      <c r="CZ2759">
        <v>0</v>
      </c>
      <c r="DA2759">
        <v>0</v>
      </c>
      <c r="DB2759">
        <v>0</v>
      </c>
      <c r="DC2759">
        <v>0</v>
      </c>
      <c r="DD2759">
        <v>0</v>
      </c>
      <c r="DE2759">
        <v>0</v>
      </c>
      <c r="DF2759">
        <v>0</v>
      </c>
      <c r="DG2759">
        <v>0</v>
      </c>
      <c r="DH2759">
        <v>0</v>
      </c>
      <c r="DI2759">
        <v>0</v>
      </c>
    </row>
    <row r="2760" spans="1:113" x14ac:dyDescent="0.3">
      <c r="A2760" t="str">
        <f>"02/08/2021 20:29:13.997"</f>
        <v>02/08/2021 20:29:13.997</v>
      </c>
      <c r="C2760" t="str">
        <f t="shared" si="132"/>
        <v>FFDFD7C0</v>
      </c>
      <c r="D2760" t="s">
        <v>124</v>
      </c>
      <c r="E2760">
        <v>12</v>
      </c>
      <c r="F2760">
        <v>1012</v>
      </c>
      <c r="G2760" t="s">
        <v>675</v>
      </c>
      <c r="J2760" t="s">
        <v>125</v>
      </c>
      <c r="K2760">
        <v>0</v>
      </c>
      <c r="L2760">
        <v>3</v>
      </c>
      <c r="M2760">
        <v>0</v>
      </c>
      <c r="N2760">
        <v>2</v>
      </c>
      <c r="O2760">
        <v>1</v>
      </c>
      <c r="P2760">
        <v>0</v>
      </c>
      <c r="Q2760">
        <v>0</v>
      </c>
      <c r="S2760" t="str">
        <f>"20:29:16.313"</f>
        <v>20:29:16.313</v>
      </c>
      <c r="T2760" t="str">
        <f>"20:29:15.913"</f>
        <v>20:29:15.913</v>
      </c>
      <c r="U2760" t="str">
        <f t="shared" si="134"/>
        <v>AB01F4</v>
      </c>
      <c r="V2760">
        <v>0</v>
      </c>
      <c r="W2760">
        <v>0</v>
      </c>
      <c r="X2760">
        <v>2</v>
      </c>
      <c r="Z2760">
        <v>0</v>
      </c>
      <c r="AA2760">
        <v>9</v>
      </c>
      <c r="AB2760">
        <v>3</v>
      </c>
      <c r="AC2760">
        <v>0</v>
      </c>
      <c r="AD2760">
        <v>10</v>
      </c>
      <c r="AE2760">
        <v>0</v>
      </c>
      <c r="AF2760">
        <v>3</v>
      </c>
      <c r="AG2760">
        <v>2</v>
      </c>
      <c r="AH2760">
        <v>0</v>
      </c>
      <c r="AI2760" t="s">
        <v>1629</v>
      </c>
      <c r="AJ2760">
        <v>40.022914</v>
      </c>
      <c r="AK2760" t="s">
        <v>1630</v>
      </c>
      <c r="AL2760">
        <v>-92.790526999999997</v>
      </c>
      <c r="AM2760">
        <v>100</v>
      </c>
      <c r="AN2760">
        <v>1600</v>
      </c>
      <c r="AO2760" t="s">
        <v>118</v>
      </c>
      <c r="AP2760">
        <v>-125</v>
      </c>
      <c r="AQ2760">
        <v>60</v>
      </c>
      <c r="AR2760">
        <v>-128</v>
      </c>
      <c r="AZ2760">
        <v>1200</v>
      </c>
      <c r="BA2760">
        <v>1</v>
      </c>
      <c r="BB2760" t="str">
        <f t="shared" si="133"/>
        <v xml:space="preserve">N8080G  </v>
      </c>
      <c r="BC2760">
        <v>1</v>
      </c>
      <c r="BE2760">
        <v>0</v>
      </c>
      <c r="BF2760">
        <v>0</v>
      </c>
      <c r="BG2760">
        <v>0</v>
      </c>
      <c r="BH2760">
        <v>1550</v>
      </c>
      <c r="BI2760">
        <v>1</v>
      </c>
      <c r="BJ2760">
        <v>1</v>
      </c>
      <c r="BK2760">
        <v>1</v>
      </c>
      <c r="BL2760">
        <v>0</v>
      </c>
      <c r="BO2760">
        <v>0</v>
      </c>
      <c r="BP2760">
        <v>0</v>
      </c>
      <c r="BW2760" t="str">
        <f>"20:29:16.314"</f>
        <v>20:29:16.314</v>
      </c>
      <c r="BZ2760">
        <v>0</v>
      </c>
      <c r="CA2760">
        <v>1792</v>
      </c>
      <c r="CB2760">
        <v>224</v>
      </c>
      <c r="CD2760">
        <v>1</v>
      </c>
      <c r="CE2760">
        <v>0</v>
      </c>
      <c r="CF2760">
        <v>0</v>
      </c>
      <c r="CG2760">
        <v>0</v>
      </c>
      <c r="CH2760">
        <v>0</v>
      </c>
      <c r="CI2760">
        <v>0</v>
      </c>
      <c r="CJ2760">
        <v>0</v>
      </c>
      <c r="CK2760">
        <v>2</v>
      </c>
      <c r="CL2760">
        <v>0</v>
      </c>
      <c r="CM2760">
        <v>2</v>
      </c>
      <c r="CN2760">
        <v>0</v>
      </c>
      <c r="CO2760">
        <v>7</v>
      </c>
      <c r="CP2760" t="s">
        <v>119</v>
      </c>
      <c r="CQ2760">
        <v>180</v>
      </c>
      <c r="CR2760">
        <v>3</v>
      </c>
      <c r="CW2760">
        <v>971508</v>
      </c>
      <c r="CY2760">
        <v>1</v>
      </c>
      <c r="CZ2760">
        <v>0</v>
      </c>
      <c r="DA2760">
        <v>1</v>
      </c>
      <c r="DB2760">
        <v>0</v>
      </c>
      <c r="DC2760">
        <v>0</v>
      </c>
      <c r="DD2760">
        <v>0</v>
      </c>
      <c r="DE2760">
        <v>0</v>
      </c>
      <c r="DF2760">
        <v>0</v>
      </c>
      <c r="DG2760">
        <v>0</v>
      </c>
      <c r="DH2760">
        <v>0</v>
      </c>
      <c r="DI2760">
        <v>0</v>
      </c>
    </row>
    <row r="2761" spans="1:113" x14ac:dyDescent="0.3">
      <c r="A2761" t="str">
        <f>"02/08/2021 20:29:13.997"</f>
        <v>02/08/2021 20:29:13.997</v>
      </c>
      <c r="C2761" t="str">
        <f t="shared" si="132"/>
        <v>FFDFD7C0</v>
      </c>
      <c r="D2761" t="s">
        <v>124</v>
      </c>
      <c r="E2761">
        <v>11</v>
      </c>
      <c r="F2761">
        <v>1011</v>
      </c>
      <c r="G2761" t="s">
        <v>590</v>
      </c>
      <c r="J2761" t="s">
        <v>125</v>
      </c>
      <c r="K2761">
        <v>0</v>
      </c>
      <c r="L2761">
        <v>3</v>
      </c>
      <c r="M2761">
        <v>0</v>
      </c>
      <c r="N2761">
        <v>2</v>
      </c>
      <c r="O2761">
        <v>1</v>
      </c>
      <c r="P2761">
        <v>0</v>
      </c>
      <c r="Q2761">
        <v>0</v>
      </c>
      <c r="S2761" t="str">
        <f>"20:29:16.313"</f>
        <v>20:29:16.313</v>
      </c>
      <c r="T2761" t="str">
        <f>"20:29:15.913"</f>
        <v>20:29:15.913</v>
      </c>
      <c r="U2761" t="str">
        <f t="shared" si="134"/>
        <v>AB01F4</v>
      </c>
      <c r="V2761">
        <v>0</v>
      </c>
      <c r="W2761">
        <v>0</v>
      </c>
      <c r="X2761">
        <v>2</v>
      </c>
      <c r="Z2761">
        <v>0</v>
      </c>
      <c r="AA2761">
        <v>9</v>
      </c>
      <c r="AB2761">
        <v>3</v>
      </c>
      <c r="AC2761">
        <v>0</v>
      </c>
      <c r="AD2761">
        <v>10</v>
      </c>
      <c r="AE2761">
        <v>0</v>
      </c>
      <c r="AF2761">
        <v>3</v>
      </c>
      <c r="AG2761">
        <v>2</v>
      </c>
      <c r="AH2761">
        <v>0</v>
      </c>
      <c r="AI2761" t="s">
        <v>1629</v>
      </c>
      <c r="AJ2761">
        <v>40.022914</v>
      </c>
      <c r="AK2761" t="s">
        <v>1630</v>
      </c>
      <c r="AL2761">
        <v>-92.790526999999997</v>
      </c>
      <c r="AM2761">
        <v>100</v>
      </c>
      <c r="AN2761">
        <v>1600</v>
      </c>
      <c r="AO2761" t="s">
        <v>118</v>
      </c>
      <c r="AP2761">
        <v>-125</v>
      </c>
      <c r="AQ2761">
        <v>60</v>
      </c>
      <c r="AR2761">
        <v>-128</v>
      </c>
      <c r="AZ2761">
        <v>1200</v>
      </c>
      <c r="BA2761">
        <v>1</v>
      </c>
      <c r="BB2761" t="str">
        <f t="shared" si="133"/>
        <v xml:space="preserve">N8080G  </v>
      </c>
      <c r="BC2761">
        <v>1</v>
      </c>
      <c r="BE2761">
        <v>0</v>
      </c>
      <c r="BF2761">
        <v>0</v>
      </c>
      <c r="BG2761">
        <v>0</v>
      </c>
      <c r="BH2761">
        <v>1550</v>
      </c>
      <c r="BI2761">
        <v>1</v>
      </c>
      <c r="BJ2761">
        <v>1</v>
      </c>
      <c r="BK2761">
        <v>1</v>
      </c>
      <c r="BL2761">
        <v>0</v>
      </c>
      <c r="BO2761">
        <v>0</v>
      </c>
      <c r="BP2761">
        <v>0</v>
      </c>
      <c r="BW2761" t="str">
        <f>"20:29:16.314"</f>
        <v>20:29:16.314</v>
      </c>
      <c r="BZ2761">
        <v>0</v>
      </c>
      <c r="CA2761">
        <v>1792</v>
      </c>
      <c r="CB2761">
        <v>224</v>
      </c>
      <c r="CD2761">
        <v>1</v>
      </c>
      <c r="CE2761">
        <v>0</v>
      </c>
      <c r="CF2761">
        <v>0</v>
      </c>
      <c r="CG2761">
        <v>0</v>
      </c>
      <c r="CH2761">
        <v>0</v>
      </c>
      <c r="CI2761">
        <v>0</v>
      </c>
      <c r="CJ2761">
        <v>0</v>
      </c>
      <c r="CK2761">
        <v>2</v>
      </c>
      <c r="CL2761">
        <v>0</v>
      </c>
      <c r="CM2761">
        <v>2</v>
      </c>
      <c r="CN2761">
        <v>0</v>
      </c>
      <c r="CO2761">
        <v>7</v>
      </c>
      <c r="CP2761" t="s">
        <v>119</v>
      </c>
      <c r="CQ2761">
        <v>180</v>
      </c>
      <c r="CR2761">
        <v>3</v>
      </c>
      <c r="CW2761">
        <v>971508</v>
      </c>
      <c r="CY2761">
        <v>1</v>
      </c>
      <c r="CZ2761">
        <v>0</v>
      </c>
      <c r="DA2761">
        <v>1</v>
      </c>
      <c r="DB2761">
        <v>0</v>
      </c>
      <c r="DC2761">
        <v>0</v>
      </c>
      <c r="DD2761">
        <v>0</v>
      </c>
      <c r="DE2761">
        <v>0</v>
      </c>
      <c r="DF2761">
        <v>0</v>
      </c>
      <c r="DG2761">
        <v>0</v>
      </c>
      <c r="DH2761">
        <v>0</v>
      </c>
      <c r="DI2761">
        <v>0</v>
      </c>
    </row>
    <row r="2762" spans="1:113" x14ac:dyDescent="0.3">
      <c r="A2762" t="str">
        <f>"02/08/2021 20:29:13.997"</f>
        <v>02/08/2021 20:29:13.997</v>
      </c>
      <c r="C2762" t="str">
        <f t="shared" si="132"/>
        <v>FFDFD7C0</v>
      </c>
      <c r="D2762" t="s">
        <v>124</v>
      </c>
      <c r="E2762">
        <v>13</v>
      </c>
      <c r="F2762">
        <v>1013</v>
      </c>
      <c r="G2762" t="s">
        <v>114</v>
      </c>
      <c r="J2762" t="s">
        <v>125</v>
      </c>
      <c r="K2762">
        <v>0</v>
      </c>
      <c r="L2762">
        <v>3</v>
      </c>
      <c r="M2762">
        <v>0</v>
      </c>
      <c r="N2762">
        <v>2</v>
      </c>
      <c r="O2762">
        <v>1</v>
      </c>
      <c r="P2762">
        <v>0</v>
      </c>
      <c r="Q2762">
        <v>0</v>
      </c>
      <c r="S2762" t="str">
        <f>"20:29:16.313"</f>
        <v>20:29:16.313</v>
      </c>
      <c r="T2762" t="str">
        <f>"20:29:15.913"</f>
        <v>20:29:15.913</v>
      </c>
      <c r="U2762" t="str">
        <f t="shared" si="134"/>
        <v>AB01F4</v>
      </c>
      <c r="V2762">
        <v>0</v>
      </c>
      <c r="W2762">
        <v>0</v>
      </c>
      <c r="X2762">
        <v>2</v>
      </c>
      <c r="Z2762">
        <v>0</v>
      </c>
      <c r="AA2762">
        <v>9</v>
      </c>
      <c r="AB2762">
        <v>3</v>
      </c>
      <c r="AC2762">
        <v>0</v>
      </c>
      <c r="AD2762">
        <v>10</v>
      </c>
      <c r="AE2762">
        <v>0</v>
      </c>
      <c r="AF2762">
        <v>3</v>
      </c>
      <c r="AG2762">
        <v>2</v>
      </c>
      <c r="AH2762">
        <v>0</v>
      </c>
      <c r="AI2762" t="s">
        <v>1629</v>
      </c>
      <c r="AJ2762">
        <v>40.022914</v>
      </c>
      <c r="AK2762" t="s">
        <v>1630</v>
      </c>
      <c r="AL2762">
        <v>-92.790526999999997</v>
      </c>
      <c r="AM2762">
        <v>100</v>
      </c>
      <c r="AN2762">
        <v>1600</v>
      </c>
      <c r="AO2762" t="s">
        <v>118</v>
      </c>
      <c r="AP2762">
        <v>-125</v>
      </c>
      <c r="AQ2762">
        <v>60</v>
      </c>
      <c r="AR2762">
        <v>-128</v>
      </c>
      <c r="AZ2762">
        <v>1200</v>
      </c>
      <c r="BA2762">
        <v>1</v>
      </c>
      <c r="BB2762" t="str">
        <f t="shared" si="133"/>
        <v xml:space="preserve">N8080G  </v>
      </c>
      <c r="BC2762">
        <v>1</v>
      </c>
      <c r="BE2762">
        <v>0</v>
      </c>
      <c r="BF2762">
        <v>0</v>
      </c>
      <c r="BG2762">
        <v>0</v>
      </c>
      <c r="BH2762">
        <v>1550</v>
      </c>
      <c r="BI2762">
        <v>1</v>
      </c>
      <c r="BJ2762">
        <v>1</v>
      </c>
      <c r="BK2762">
        <v>1</v>
      </c>
      <c r="BL2762">
        <v>0</v>
      </c>
      <c r="BO2762">
        <v>0</v>
      </c>
      <c r="BP2762">
        <v>0</v>
      </c>
      <c r="BW2762" t="str">
        <f>"20:29:16.314"</f>
        <v>20:29:16.314</v>
      </c>
      <c r="BZ2762">
        <v>0</v>
      </c>
      <c r="CA2762">
        <v>1792</v>
      </c>
      <c r="CB2762">
        <v>224</v>
      </c>
      <c r="CD2762">
        <v>1</v>
      </c>
      <c r="CE2762">
        <v>0</v>
      </c>
      <c r="CF2762">
        <v>0</v>
      </c>
      <c r="CG2762">
        <v>0</v>
      </c>
      <c r="CH2762">
        <v>0</v>
      </c>
      <c r="CI2762">
        <v>0</v>
      </c>
      <c r="CJ2762">
        <v>0</v>
      </c>
      <c r="CK2762">
        <v>2</v>
      </c>
      <c r="CL2762">
        <v>0</v>
      </c>
      <c r="CM2762">
        <v>2</v>
      </c>
      <c r="CN2762">
        <v>0</v>
      </c>
      <c r="CO2762">
        <v>7</v>
      </c>
      <c r="CP2762" t="s">
        <v>119</v>
      </c>
      <c r="CQ2762">
        <v>180</v>
      </c>
      <c r="CR2762">
        <v>3</v>
      </c>
      <c r="CW2762">
        <v>971508</v>
      </c>
      <c r="CY2762">
        <v>1</v>
      </c>
      <c r="CZ2762">
        <v>0</v>
      </c>
      <c r="DA2762">
        <v>1</v>
      </c>
      <c r="DB2762">
        <v>0</v>
      </c>
      <c r="DC2762">
        <v>0</v>
      </c>
      <c r="DD2762">
        <v>0</v>
      </c>
      <c r="DE2762">
        <v>0</v>
      </c>
      <c r="DF2762">
        <v>0</v>
      </c>
      <c r="DG2762">
        <v>0</v>
      </c>
      <c r="DH2762">
        <v>0</v>
      </c>
      <c r="DI2762">
        <v>0</v>
      </c>
    </row>
    <row r="2763" spans="1:113" x14ac:dyDescent="0.3">
      <c r="A2763" t="str">
        <f>"02/08/2021 20:29:14.906"</f>
        <v>02/08/2021 20:29:14.906</v>
      </c>
      <c r="C2763" t="str">
        <f t="shared" si="132"/>
        <v>FFDFD7C0</v>
      </c>
      <c r="D2763" t="s">
        <v>124</v>
      </c>
      <c r="E2763">
        <v>12</v>
      </c>
      <c r="F2763">
        <v>1012</v>
      </c>
      <c r="G2763" t="s">
        <v>675</v>
      </c>
      <c r="J2763" t="s">
        <v>125</v>
      </c>
      <c r="K2763">
        <v>0</v>
      </c>
      <c r="L2763">
        <v>3</v>
      </c>
      <c r="M2763">
        <v>0</v>
      </c>
      <c r="N2763">
        <v>2</v>
      </c>
      <c r="O2763">
        <v>1</v>
      </c>
      <c r="P2763">
        <v>0</v>
      </c>
      <c r="Q2763">
        <v>0</v>
      </c>
      <c r="S2763" t="str">
        <f>"20:29:17.211"</f>
        <v>20:29:17.211</v>
      </c>
      <c r="T2763" t="str">
        <f>"20:29:16.811"</f>
        <v>20:29:16.811</v>
      </c>
      <c r="U2763" t="str">
        <f t="shared" si="134"/>
        <v>AB01F4</v>
      </c>
      <c r="V2763">
        <v>0</v>
      </c>
      <c r="W2763">
        <v>0</v>
      </c>
      <c r="X2763">
        <v>2</v>
      </c>
      <c r="Z2763">
        <v>0</v>
      </c>
      <c r="AA2763">
        <v>9</v>
      </c>
      <c r="AB2763">
        <v>3</v>
      </c>
      <c r="AC2763">
        <v>0</v>
      </c>
      <c r="AD2763">
        <v>10</v>
      </c>
      <c r="AE2763">
        <v>0</v>
      </c>
      <c r="AF2763">
        <v>3</v>
      </c>
      <c r="AG2763">
        <v>2</v>
      </c>
      <c r="AH2763">
        <v>0</v>
      </c>
      <c r="AI2763" t="s">
        <v>1631</v>
      </c>
      <c r="AJ2763">
        <v>40.023150000000001</v>
      </c>
      <c r="AK2763" t="s">
        <v>1632</v>
      </c>
      <c r="AL2763">
        <v>-92.791193000000007</v>
      </c>
      <c r="AM2763">
        <v>100</v>
      </c>
      <c r="AN2763">
        <v>1600</v>
      </c>
      <c r="AO2763" t="s">
        <v>118</v>
      </c>
      <c r="AP2763">
        <v>-125</v>
      </c>
      <c r="AQ2763">
        <v>58</v>
      </c>
      <c r="AR2763">
        <v>-192</v>
      </c>
      <c r="AZ2763">
        <v>1200</v>
      </c>
      <c r="BA2763">
        <v>1</v>
      </c>
      <c r="BB2763" t="str">
        <f t="shared" si="133"/>
        <v xml:space="preserve">N8080G  </v>
      </c>
      <c r="BC2763">
        <v>1</v>
      </c>
      <c r="BE2763">
        <v>0</v>
      </c>
      <c r="BF2763">
        <v>0</v>
      </c>
      <c r="BG2763">
        <v>0</v>
      </c>
      <c r="BH2763">
        <v>1550</v>
      </c>
      <c r="BI2763">
        <v>1</v>
      </c>
      <c r="BJ2763">
        <v>1</v>
      </c>
      <c r="BK2763">
        <v>1</v>
      </c>
      <c r="BL2763">
        <v>0</v>
      </c>
      <c r="BO2763">
        <v>0</v>
      </c>
      <c r="BP2763">
        <v>0</v>
      </c>
      <c r="BW2763" t="str">
        <f>"20:29:17.214"</f>
        <v>20:29:17.214</v>
      </c>
      <c r="BZ2763">
        <v>0</v>
      </c>
      <c r="CA2763">
        <v>1792</v>
      </c>
      <c r="CB2763">
        <v>224</v>
      </c>
      <c r="CD2763">
        <v>1</v>
      </c>
      <c r="CE2763">
        <v>0</v>
      </c>
      <c r="CF2763">
        <v>0</v>
      </c>
      <c r="CG2763">
        <v>0</v>
      </c>
      <c r="CH2763">
        <v>0</v>
      </c>
      <c r="CI2763">
        <v>0</v>
      </c>
      <c r="CJ2763">
        <v>0</v>
      </c>
      <c r="CK2763">
        <v>2</v>
      </c>
      <c r="CL2763">
        <v>0</v>
      </c>
      <c r="CM2763">
        <v>2</v>
      </c>
      <c r="CN2763">
        <v>0</v>
      </c>
      <c r="CO2763">
        <v>3</v>
      </c>
      <c r="CP2763" t="s">
        <v>119</v>
      </c>
      <c r="CQ2763">
        <v>179</v>
      </c>
      <c r="CR2763">
        <v>1</v>
      </c>
      <c r="CW2763">
        <v>9076048</v>
      </c>
      <c r="CY2763">
        <v>1</v>
      </c>
      <c r="CZ2763">
        <v>0</v>
      </c>
      <c r="DA2763">
        <v>0</v>
      </c>
      <c r="DB2763">
        <v>0</v>
      </c>
      <c r="DC2763">
        <v>0</v>
      </c>
      <c r="DD2763">
        <v>0</v>
      </c>
      <c r="DE2763">
        <v>0</v>
      </c>
      <c r="DF2763">
        <v>0</v>
      </c>
      <c r="DG2763">
        <v>0</v>
      </c>
      <c r="DH2763">
        <v>0</v>
      </c>
      <c r="DI2763">
        <v>0</v>
      </c>
    </row>
    <row r="2764" spans="1:113" x14ac:dyDescent="0.3">
      <c r="A2764" t="str">
        <f>"02/08/2021 20:29:14.906"</f>
        <v>02/08/2021 20:29:14.906</v>
      </c>
      <c r="C2764" t="str">
        <f t="shared" si="132"/>
        <v>FFDFD7C0</v>
      </c>
      <c r="D2764" t="s">
        <v>113</v>
      </c>
      <c r="E2764">
        <v>6</v>
      </c>
      <c r="H2764">
        <v>165</v>
      </c>
      <c r="I2764" t="s">
        <v>114</v>
      </c>
      <c r="J2764" t="s">
        <v>115</v>
      </c>
      <c r="K2764">
        <v>0</v>
      </c>
      <c r="L2764">
        <v>3</v>
      </c>
      <c r="M2764">
        <v>0</v>
      </c>
      <c r="N2764">
        <v>2</v>
      </c>
      <c r="O2764">
        <v>1</v>
      </c>
      <c r="P2764">
        <v>0</v>
      </c>
      <c r="Q2764">
        <v>0</v>
      </c>
      <c r="S2764" t="str">
        <f>"20:29:17.211"</f>
        <v>20:29:17.211</v>
      </c>
      <c r="T2764" t="str">
        <f>"20:29:16.811"</f>
        <v>20:29:16.811</v>
      </c>
      <c r="U2764" t="str">
        <f t="shared" si="134"/>
        <v>AB01F4</v>
      </c>
      <c r="V2764">
        <v>0</v>
      </c>
      <c r="W2764">
        <v>0</v>
      </c>
      <c r="X2764">
        <v>2</v>
      </c>
      <c r="Z2764">
        <v>0</v>
      </c>
      <c r="AA2764">
        <v>9</v>
      </c>
      <c r="AB2764">
        <v>3</v>
      </c>
      <c r="AC2764">
        <v>0</v>
      </c>
      <c r="AD2764">
        <v>10</v>
      </c>
      <c r="AE2764">
        <v>0</v>
      </c>
      <c r="AF2764">
        <v>3</v>
      </c>
      <c r="AG2764">
        <v>2</v>
      </c>
      <c r="AH2764">
        <v>0</v>
      </c>
      <c r="AI2764" t="s">
        <v>1631</v>
      </c>
      <c r="AJ2764">
        <v>40.023150000000001</v>
      </c>
      <c r="AK2764" t="s">
        <v>1632</v>
      </c>
      <c r="AL2764">
        <v>-92.791193000000007</v>
      </c>
      <c r="AM2764">
        <v>100</v>
      </c>
      <c r="AN2764">
        <v>1600</v>
      </c>
      <c r="AO2764" t="s">
        <v>118</v>
      </c>
      <c r="AP2764">
        <v>-125</v>
      </c>
      <c r="AQ2764">
        <v>58</v>
      </c>
      <c r="AR2764">
        <v>-192</v>
      </c>
      <c r="AZ2764">
        <v>1200</v>
      </c>
      <c r="BA2764">
        <v>1</v>
      </c>
      <c r="BB2764" t="str">
        <f t="shared" si="133"/>
        <v xml:space="preserve">N8080G  </v>
      </c>
      <c r="BC2764">
        <v>1</v>
      </c>
      <c r="BE2764">
        <v>0</v>
      </c>
      <c r="BF2764">
        <v>0</v>
      </c>
      <c r="BG2764">
        <v>0</v>
      </c>
      <c r="BH2764">
        <v>1550</v>
      </c>
      <c r="BI2764">
        <v>1</v>
      </c>
      <c r="BJ2764">
        <v>1</v>
      </c>
      <c r="BK2764">
        <v>1</v>
      </c>
      <c r="BL2764">
        <v>0</v>
      </c>
      <c r="BO2764">
        <v>0</v>
      </c>
      <c r="BP2764">
        <v>0</v>
      </c>
      <c r="BW2764" t="str">
        <f>"20:29:17.214"</f>
        <v>20:29:17.214</v>
      </c>
      <c r="BZ2764">
        <v>0</v>
      </c>
      <c r="CA2764">
        <v>1792</v>
      </c>
      <c r="CB2764">
        <v>224</v>
      </c>
      <c r="CD2764">
        <v>1</v>
      </c>
      <c r="CE2764">
        <v>0</v>
      </c>
      <c r="CF2764">
        <v>0</v>
      </c>
      <c r="CG2764">
        <v>0</v>
      </c>
      <c r="CH2764">
        <v>0</v>
      </c>
      <c r="CI2764">
        <v>0</v>
      </c>
      <c r="CJ2764">
        <v>0</v>
      </c>
      <c r="CK2764">
        <v>2</v>
      </c>
      <c r="CL2764">
        <v>0</v>
      </c>
      <c r="CM2764">
        <v>2</v>
      </c>
      <c r="CN2764">
        <v>0</v>
      </c>
      <c r="CO2764">
        <v>3</v>
      </c>
      <c r="CP2764" t="s">
        <v>119</v>
      </c>
      <c r="CQ2764">
        <v>179</v>
      </c>
      <c r="CR2764">
        <v>1</v>
      </c>
      <c r="CW2764">
        <v>9076048</v>
      </c>
      <c r="CY2764">
        <v>1</v>
      </c>
      <c r="CZ2764">
        <v>0</v>
      </c>
      <c r="DA2764">
        <v>1</v>
      </c>
      <c r="DB2764">
        <v>0</v>
      </c>
      <c r="DC2764">
        <v>0</v>
      </c>
      <c r="DD2764">
        <v>0</v>
      </c>
      <c r="DE2764">
        <v>0</v>
      </c>
      <c r="DF2764">
        <v>0</v>
      </c>
      <c r="DG2764">
        <v>0</v>
      </c>
      <c r="DH2764">
        <v>0</v>
      </c>
      <c r="DI2764">
        <v>0</v>
      </c>
    </row>
    <row r="2765" spans="1:113" x14ac:dyDescent="0.3">
      <c r="A2765" t="str">
        <f>"02/08/2021 20:29:14.906"</f>
        <v>02/08/2021 20:29:14.906</v>
      </c>
      <c r="C2765" t="str">
        <f t="shared" si="132"/>
        <v>FFDFD7C0</v>
      </c>
      <c r="D2765" t="s">
        <v>124</v>
      </c>
      <c r="E2765">
        <v>11</v>
      </c>
      <c r="F2765">
        <v>1011</v>
      </c>
      <c r="G2765" t="s">
        <v>590</v>
      </c>
      <c r="J2765" t="s">
        <v>125</v>
      </c>
      <c r="K2765">
        <v>0</v>
      </c>
      <c r="L2765">
        <v>3</v>
      </c>
      <c r="M2765">
        <v>0</v>
      </c>
      <c r="N2765">
        <v>2</v>
      </c>
      <c r="O2765">
        <v>1</v>
      </c>
      <c r="P2765">
        <v>0</v>
      </c>
      <c r="Q2765">
        <v>0</v>
      </c>
      <c r="S2765" t="str">
        <f>"20:29:17.211"</f>
        <v>20:29:17.211</v>
      </c>
      <c r="T2765" t="str">
        <f>"20:29:16.811"</f>
        <v>20:29:16.811</v>
      </c>
      <c r="U2765" t="str">
        <f t="shared" si="134"/>
        <v>AB01F4</v>
      </c>
      <c r="V2765">
        <v>0</v>
      </c>
      <c r="W2765">
        <v>0</v>
      </c>
      <c r="X2765">
        <v>2</v>
      </c>
      <c r="Z2765">
        <v>0</v>
      </c>
      <c r="AA2765">
        <v>9</v>
      </c>
      <c r="AB2765">
        <v>3</v>
      </c>
      <c r="AC2765">
        <v>0</v>
      </c>
      <c r="AD2765">
        <v>10</v>
      </c>
      <c r="AE2765">
        <v>0</v>
      </c>
      <c r="AF2765">
        <v>3</v>
      </c>
      <c r="AG2765">
        <v>2</v>
      </c>
      <c r="AH2765">
        <v>0</v>
      </c>
      <c r="AI2765" t="s">
        <v>1631</v>
      </c>
      <c r="AJ2765">
        <v>40.023150000000001</v>
      </c>
      <c r="AK2765" t="s">
        <v>1632</v>
      </c>
      <c r="AL2765">
        <v>-92.791193000000007</v>
      </c>
      <c r="AM2765">
        <v>100</v>
      </c>
      <c r="AN2765">
        <v>1600</v>
      </c>
      <c r="AO2765" t="s">
        <v>118</v>
      </c>
      <c r="AP2765">
        <v>-125</v>
      </c>
      <c r="AQ2765">
        <v>58</v>
      </c>
      <c r="AR2765">
        <v>-192</v>
      </c>
      <c r="AZ2765">
        <v>1200</v>
      </c>
      <c r="BA2765">
        <v>1</v>
      </c>
      <c r="BB2765" t="str">
        <f t="shared" si="133"/>
        <v xml:space="preserve">N8080G  </v>
      </c>
      <c r="BC2765">
        <v>1</v>
      </c>
      <c r="BE2765">
        <v>0</v>
      </c>
      <c r="BF2765">
        <v>0</v>
      </c>
      <c r="BG2765">
        <v>0</v>
      </c>
      <c r="BH2765">
        <v>1550</v>
      </c>
      <c r="BI2765">
        <v>1</v>
      </c>
      <c r="BJ2765">
        <v>1</v>
      </c>
      <c r="BK2765">
        <v>1</v>
      </c>
      <c r="BL2765">
        <v>0</v>
      </c>
      <c r="BO2765">
        <v>0</v>
      </c>
      <c r="BP2765">
        <v>0</v>
      </c>
      <c r="BW2765" t="str">
        <f>"20:29:17.214"</f>
        <v>20:29:17.214</v>
      </c>
      <c r="BZ2765">
        <v>0</v>
      </c>
      <c r="CA2765">
        <v>1792</v>
      </c>
      <c r="CB2765">
        <v>224</v>
      </c>
      <c r="CD2765">
        <v>1</v>
      </c>
      <c r="CE2765">
        <v>0</v>
      </c>
      <c r="CF2765">
        <v>0</v>
      </c>
      <c r="CG2765">
        <v>0</v>
      </c>
      <c r="CH2765">
        <v>0</v>
      </c>
      <c r="CI2765">
        <v>0</v>
      </c>
      <c r="CJ2765">
        <v>0</v>
      </c>
      <c r="CK2765">
        <v>2</v>
      </c>
      <c r="CL2765">
        <v>0</v>
      </c>
      <c r="CM2765">
        <v>2</v>
      </c>
      <c r="CN2765">
        <v>0</v>
      </c>
      <c r="CO2765">
        <v>3</v>
      </c>
      <c r="CP2765" t="s">
        <v>119</v>
      </c>
      <c r="CQ2765">
        <v>179</v>
      </c>
      <c r="CR2765">
        <v>1</v>
      </c>
      <c r="CW2765">
        <v>9076048</v>
      </c>
      <c r="CY2765">
        <v>1</v>
      </c>
      <c r="CZ2765">
        <v>0</v>
      </c>
      <c r="DA2765">
        <v>1</v>
      </c>
      <c r="DB2765">
        <v>0</v>
      </c>
      <c r="DC2765">
        <v>0</v>
      </c>
      <c r="DD2765">
        <v>0</v>
      </c>
      <c r="DE2765">
        <v>0</v>
      </c>
      <c r="DF2765">
        <v>0</v>
      </c>
      <c r="DG2765">
        <v>0</v>
      </c>
      <c r="DH2765">
        <v>0</v>
      </c>
      <c r="DI2765">
        <v>0</v>
      </c>
    </row>
    <row r="2766" spans="1:113" x14ac:dyDescent="0.3">
      <c r="A2766" t="str">
        <f>"02/08/2021 20:29:14.906"</f>
        <v>02/08/2021 20:29:14.906</v>
      </c>
      <c r="C2766" t="str">
        <f t="shared" si="132"/>
        <v>FFDFD7C0</v>
      </c>
      <c r="D2766" t="s">
        <v>124</v>
      </c>
      <c r="E2766">
        <v>13</v>
      </c>
      <c r="F2766">
        <v>1013</v>
      </c>
      <c r="G2766" t="s">
        <v>114</v>
      </c>
      <c r="J2766" t="s">
        <v>125</v>
      </c>
      <c r="K2766">
        <v>0</v>
      </c>
      <c r="L2766">
        <v>3</v>
      </c>
      <c r="M2766">
        <v>0</v>
      </c>
      <c r="N2766">
        <v>2</v>
      </c>
      <c r="O2766">
        <v>1</v>
      </c>
      <c r="P2766">
        <v>0</v>
      </c>
      <c r="Q2766">
        <v>0</v>
      </c>
      <c r="S2766" t="str">
        <f>"20:29:17.211"</f>
        <v>20:29:17.211</v>
      </c>
      <c r="T2766" t="str">
        <f>"20:29:16.811"</f>
        <v>20:29:16.811</v>
      </c>
      <c r="U2766" t="str">
        <f t="shared" si="134"/>
        <v>AB01F4</v>
      </c>
      <c r="V2766">
        <v>0</v>
      </c>
      <c r="W2766">
        <v>0</v>
      </c>
      <c r="X2766">
        <v>2</v>
      </c>
      <c r="Z2766">
        <v>0</v>
      </c>
      <c r="AA2766">
        <v>9</v>
      </c>
      <c r="AB2766">
        <v>3</v>
      </c>
      <c r="AC2766">
        <v>0</v>
      </c>
      <c r="AD2766">
        <v>10</v>
      </c>
      <c r="AE2766">
        <v>0</v>
      </c>
      <c r="AF2766">
        <v>3</v>
      </c>
      <c r="AG2766">
        <v>2</v>
      </c>
      <c r="AH2766">
        <v>0</v>
      </c>
      <c r="AI2766" t="s">
        <v>1631</v>
      </c>
      <c r="AJ2766">
        <v>40.023150000000001</v>
      </c>
      <c r="AK2766" t="s">
        <v>1632</v>
      </c>
      <c r="AL2766">
        <v>-92.791193000000007</v>
      </c>
      <c r="AM2766">
        <v>100</v>
      </c>
      <c r="AN2766">
        <v>1600</v>
      </c>
      <c r="AO2766" t="s">
        <v>118</v>
      </c>
      <c r="AP2766">
        <v>-125</v>
      </c>
      <c r="AQ2766">
        <v>58</v>
      </c>
      <c r="AR2766">
        <v>-192</v>
      </c>
      <c r="AZ2766">
        <v>1200</v>
      </c>
      <c r="BA2766">
        <v>1</v>
      </c>
      <c r="BB2766" t="str">
        <f t="shared" si="133"/>
        <v xml:space="preserve">N8080G  </v>
      </c>
      <c r="BC2766">
        <v>1</v>
      </c>
      <c r="BE2766">
        <v>0</v>
      </c>
      <c r="BF2766">
        <v>0</v>
      </c>
      <c r="BG2766">
        <v>0</v>
      </c>
      <c r="BH2766">
        <v>1550</v>
      </c>
      <c r="BI2766">
        <v>1</v>
      </c>
      <c r="BJ2766">
        <v>1</v>
      </c>
      <c r="BK2766">
        <v>1</v>
      </c>
      <c r="BL2766">
        <v>0</v>
      </c>
      <c r="BO2766">
        <v>0</v>
      </c>
      <c r="BP2766">
        <v>0</v>
      </c>
      <c r="BW2766" t="str">
        <f>"20:29:17.214"</f>
        <v>20:29:17.214</v>
      </c>
      <c r="BZ2766">
        <v>0</v>
      </c>
      <c r="CA2766">
        <v>1792</v>
      </c>
      <c r="CB2766">
        <v>224</v>
      </c>
      <c r="CD2766">
        <v>1</v>
      </c>
      <c r="CE2766">
        <v>0</v>
      </c>
      <c r="CF2766">
        <v>0</v>
      </c>
      <c r="CG2766">
        <v>0</v>
      </c>
      <c r="CH2766">
        <v>0</v>
      </c>
      <c r="CI2766">
        <v>0</v>
      </c>
      <c r="CJ2766">
        <v>0</v>
      </c>
      <c r="CK2766">
        <v>2</v>
      </c>
      <c r="CL2766">
        <v>0</v>
      </c>
      <c r="CM2766">
        <v>2</v>
      </c>
      <c r="CN2766">
        <v>0</v>
      </c>
      <c r="CO2766">
        <v>3</v>
      </c>
      <c r="CP2766" t="s">
        <v>119</v>
      </c>
      <c r="CQ2766">
        <v>179</v>
      </c>
      <c r="CR2766">
        <v>1</v>
      </c>
      <c r="CW2766">
        <v>9076048</v>
      </c>
      <c r="CY2766">
        <v>1</v>
      </c>
      <c r="CZ2766">
        <v>0</v>
      </c>
      <c r="DA2766">
        <v>1</v>
      </c>
      <c r="DB2766">
        <v>0</v>
      </c>
      <c r="DC2766">
        <v>0</v>
      </c>
      <c r="DD2766">
        <v>0</v>
      </c>
      <c r="DE2766">
        <v>0</v>
      </c>
      <c r="DF2766">
        <v>0</v>
      </c>
      <c r="DG2766">
        <v>0</v>
      </c>
      <c r="DH2766">
        <v>0</v>
      </c>
      <c r="DI2766">
        <v>0</v>
      </c>
    </row>
    <row r="2767" spans="1:113" x14ac:dyDescent="0.3">
      <c r="A2767" t="str">
        <f>"02/08/2021 20:29:15.967"</f>
        <v>02/08/2021 20:29:15.967</v>
      </c>
      <c r="C2767" t="str">
        <f t="shared" si="132"/>
        <v>FFDFD7C0</v>
      </c>
      <c r="D2767" t="s">
        <v>124</v>
      </c>
      <c r="E2767">
        <v>11</v>
      </c>
      <c r="F2767">
        <v>1011</v>
      </c>
      <c r="G2767" t="s">
        <v>590</v>
      </c>
      <c r="J2767" t="s">
        <v>125</v>
      </c>
      <c r="K2767">
        <v>0</v>
      </c>
      <c r="L2767">
        <v>3</v>
      </c>
      <c r="M2767">
        <v>0</v>
      </c>
      <c r="N2767">
        <v>2</v>
      </c>
      <c r="O2767">
        <v>1</v>
      </c>
      <c r="P2767">
        <v>0</v>
      </c>
      <c r="Q2767">
        <v>0</v>
      </c>
      <c r="S2767" t="str">
        <f>"20:29:18.289"</f>
        <v>20:29:18.289</v>
      </c>
      <c r="T2767" t="str">
        <f>"20:29:17.789"</f>
        <v>20:29:17.789</v>
      </c>
      <c r="U2767" t="str">
        <f t="shared" si="134"/>
        <v>AB01F4</v>
      </c>
      <c r="V2767">
        <v>0</v>
      </c>
      <c r="W2767">
        <v>0</v>
      </c>
      <c r="X2767">
        <v>2</v>
      </c>
      <c r="Z2767">
        <v>0</v>
      </c>
      <c r="AA2767">
        <v>9</v>
      </c>
      <c r="AB2767">
        <v>3</v>
      </c>
      <c r="AC2767">
        <v>0</v>
      </c>
      <c r="AD2767">
        <v>10</v>
      </c>
      <c r="AE2767">
        <v>0</v>
      </c>
      <c r="AF2767">
        <v>3</v>
      </c>
      <c r="AG2767">
        <v>2</v>
      </c>
      <c r="AH2767">
        <v>0</v>
      </c>
      <c r="AI2767" t="s">
        <v>1633</v>
      </c>
      <c r="AJ2767">
        <v>40.023471999999998</v>
      </c>
      <c r="AK2767" t="s">
        <v>1634</v>
      </c>
      <c r="AL2767">
        <v>-92.792028999999999</v>
      </c>
      <c r="AM2767">
        <v>100</v>
      </c>
      <c r="AN2767">
        <v>1600</v>
      </c>
      <c r="AO2767" t="s">
        <v>118</v>
      </c>
      <c r="AP2767">
        <v>-126</v>
      </c>
      <c r="AQ2767">
        <v>57</v>
      </c>
      <c r="AR2767">
        <v>-256</v>
      </c>
      <c r="AZ2767">
        <v>1200</v>
      </c>
      <c r="BA2767">
        <v>1</v>
      </c>
      <c r="BB2767" t="str">
        <f t="shared" si="133"/>
        <v xml:space="preserve">N8080G  </v>
      </c>
      <c r="BC2767">
        <v>1</v>
      </c>
      <c r="BE2767">
        <v>0</v>
      </c>
      <c r="BF2767">
        <v>0</v>
      </c>
      <c r="BG2767">
        <v>0</v>
      </c>
      <c r="BH2767">
        <v>1550</v>
      </c>
      <c r="BI2767">
        <v>1</v>
      </c>
      <c r="BJ2767">
        <v>1</v>
      </c>
      <c r="BK2767">
        <v>1</v>
      </c>
      <c r="BL2767">
        <v>0</v>
      </c>
      <c r="BO2767">
        <v>0</v>
      </c>
      <c r="BP2767">
        <v>0</v>
      </c>
      <c r="BW2767" t="str">
        <f>"20:29:18.291"</f>
        <v>20:29:18.291</v>
      </c>
      <c r="BZ2767">
        <v>0</v>
      </c>
      <c r="CA2767">
        <v>1792</v>
      </c>
      <c r="CB2767">
        <v>224</v>
      </c>
      <c r="CD2767">
        <v>1</v>
      </c>
      <c r="CE2767">
        <v>0</v>
      </c>
      <c r="CF2767">
        <v>0</v>
      </c>
      <c r="CG2767">
        <v>0</v>
      </c>
      <c r="CH2767">
        <v>0</v>
      </c>
      <c r="CI2767">
        <v>0</v>
      </c>
      <c r="CJ2767">
        <v>0</v>
      </c>
      <c r="CK2767">
        <v>2</v>
      </c>
      <c r="CL2767">
        <v>0</v>
      </c>
      <c r="CM2767">
        <v>2</v>
      </c>
      <c r="CN2767">
        <v>0</v>
      </c>
      <c r="CO2767">
        <v>3</v>
      </c>
      <c r="CP2767" t="s">
        <v>119</v>
      </c>
      <c r="CQ2767">
        <v>179</v>
      </c>
      <c r="CR2767">
        <v>1</v>
      </c>
      <c r="CW2767">
        <v>9077042</v>
      </c>
      <c r="CY2767">
        <v>1</v>
      </c>
      <c r="CZ2767">
        <v>0</v>
      </c>
      <c r="DA2767">
        <v>0</v>
      </c>
      <c r="DB2767">
        <v>0</v>
      </c>
      <c r="DC2767">
        <v>0</v>
      </c>
      <c r="DD2767">
        <v>0</v>
      </c>
      <c r="DE2767">
        <v>0</v>
      </c>
      <c r="DF2767">
        <v>0</v>
      </c>
      <c r="DG2767">
        <v>0</v>
      </c>
      <c r="DH2767">
        <v>0</v>
      </c>
      <c r="DI2767">
        <v>0</v>
      </c>
    </row>
    <row r="2768" spans="1:113" x14ac:dyDescent="0.3">
      <c r="A2768" t="str">
        <f>"02/08/2021 20:29:15.967"</f>
        <v>02/08/2021 20:29:15.967</v>
      </c>
      <c r="C2768" t="str">
        <f t="shared" si="132"/>
        <v>FFDFD7C0</v>
      </c>
      <c r="D2768" t="s">
        <v>113</v>
      </c>
      <c r="E2768">
        <v>6</v>
      </c>
      <c r="H2768">
        <v>165</v>
      </c>
      <c r="I2768" t="s">
        <v>114</v>
      </c>
      <c r="J2768" t="s">
        <v>115</v>
      </c>
      <c r="K2768">
        <v>0</v>
      </c>
      <c r="L2768">
        <v>3</v>
      </c>
      <c r="M2768">
        <v>0</v>
      </c>
      <c r="N2768">
        <v>2</v>
      </c>
      <c r="O2768">
        <v>1</v>
      </c>
      <c r="P2768">
        <v>0</v>
      </c>
      <c r="Q2768">
        <v>0</v>
      </c>
      <c r="S2768" t="str">
        <f>"20:29:18.289"</f>
        <v>20:29:18.289</v>
      </c>
      <c r="T2768" t="str">
        <f>"20:29:17.789"</f>
        <v>20:29:17.789</v>
      </c>
      <c r="U2768" t="str">
        <f t="shared" si="134"/>
        <v>AB01F4</v>
      </c>
      <c r="V2768">
        <v>0</v>
      </c>
      <c r="W2768">
        <v>0</v>
      </c>
      <c r="X2768">
        <v>2</v>
      </c>
      <c r="Z2768">
        <v>0</v>
      </c>
      <c r="AA2768">
        <v>9</v>
      </c>
      <c r="AB2768">
        <v>3</v>
      </c>
      <c r="AC2768">
        <v>0</v>
      </c>
      <c r="AD2768">
        <v>10</v>
      </c>
      <c r="AE2768">
        <v>0</v>
      </c>
      <c r="AF2768">
        <v>3</v>
      </c>
      <c r="AG2768">
        <v>2</v>
      </c>
      <c r="AH2768">
        <v>0</v>
      </c>
      <c r="AI2768" t="s">
        <v>1633</v>
      </c>
      <c r="AJ2768">
        <v>40.023471999999998</v>
      </c>
      <c r="AK2768" t="s">
        <v>1634</v>
      </c>
      <c r="AL2768">
        <v>-92.792028999999999</v>
      </c>
      <c r="AM2768">
        <v>100</v>
      </c>
      <c r="AN2768">
        <v>1600</v>
      </c>
      <c r="AO2768" t="s">
        <v>118</v>
      </c>
      <c r="AP2768">
        <v>-126</v>
      </c>
      <c r="AQ2768">
        <v>57</v>
      </c>
      <c r="AR2768">
        <v>-256</v>
      </c>
      <c r="AZ2768">
        <v>1200</v>
      </c>
      <c r="BA2768">
        <v>1</v>
      </c>
      <c r="BB2768" t="str">
        <f t="shared" si="133"/>
        <v xml:space="preserve">N8080G  </v>
      </c>
      <c r="BC2768">
        <v>1</v>
      </c>
      <c r="BE2768">
        <v>0</v>
      </c>
      <c r="BF2768">
        <v>0</v>
      </c>
      <c r="BG2768">
        <v>0</v>
      </c>
      <c r="BH2768">
        <v>1550</v>
      </c>
      <c r="BI2768">
        <v>1</v>
      </c>
      <c r="BJ2768">
        <v>1</v>
      </c>
      <c r="BK2768">
        <v>1</v>
      </c>
      <c r="BL2768">
        <v>0</v>
      </c>
      <c r="BO2768">
        <v>0</v>
      </c>
      <c r="BP2768">
        <v>0</v>
      </c>
      <c r="BW2768" t="str">
        <f>"20:29:18.291"</f>
        <v>20:29:18.291</v>
      </c>
      <c r="BZ2768">
        <v>0</v>
      </c>
      <c r="CA2768">
        <v>1792</v>
      </c>
      <c r="CB2768">
        <v>224</v>
      </c>
      <c r="CD2768">
        <v>1</v>
      </c>
      <c r="CE2768">
        <v>0</v>
      </c>
      <c r="CF2768">
        <v>0</v>
      </c>
      <c r="CG2768">
        <v>0</v>
      </c>
      <c r="CH2768">
        <v>0</v>
      </c>
      <c r="CI2768">
        <v>0</v>
      </c>
      <c r="CJ2768">
        <v>0</v>
      </c>
      <c r="CK2768">
        <v>2</v>
      </c>
      <c r="CL2768">
        <v>0</v>
      </c>
      <c r="CM2768">
        <v>2</v>
      </c>
      <c r="CN2768">
        <v>0</v>
      </c>
      <c r="CO2768">
        <v>3</v>
      </c>
      <c r="CP2768" t="s">
        <v>119</v>
      </c>
      <c r="CQ2768">
        <v>179</v>
      </c>
      <c r="CR2768">
        <v>1</v>
      </c>
      <c r="CW2768">
        <v>9077042</v>
      </c>
      <c r="CY2768">
        <v>1</v>
      </c>
      <c r="CZ2768">
        <v>0</v>
      </c>
      <c r="DA2768">
        <v>1</v>
      </c>
      <c r="DB2768">
        <v>0</v>
      </c>
      <c r="DC2768">
        <v>0</v>
      </c>
      <c r="DD2768">
        <v>0</v>
      </c>
      <c r="DE2768">
        <v>0</v>
      </c>
      <c r="DF2768">
        <v>0</v>
      </c>
      <c r="DG2768">
        <v>0</v>
      </c>
      <c r="DH2768">
        <v>0</v>
      </c>
      <c r="DI2768">
        <v>0</v>
      </c>
    </row>
    <row r="2769" spans="1:113" x14ac:dyDescent="0.3">
      <c r="A2769" t="str">
        <f>"02/08/2021 20:29:15.967"</f>
        <v>02/08/2021 20:29:15.967</v>
      </c>
      <c r="C2769" t="str">
        <f t="shared" si="132"/>
        <v>FFDFD7C0</v>
      </c>
      <c r="D2769" t="s">
        <v>124</v>
      </c>
      <c r="E2769">
        <v>13</v>
      </c>
      <c r="F2769">
        <v>1013</v>
      </c>
      <c r="G2769" t="s">
        <v>114</v>
      </c>
      <c r="J2769" t="s">
        <v>125</v>
      </c>
      <c r="K2769">
        <v>0</v>
      </c>
      <c r="L2769">
        <v>3</v>
      </c>
      <c r="M2769">
        <v>0</v>
      </c>
      <c r="N2769">
        <v>2</v>
      </c>
      <c r="O2769">
        <v>1</v>
      </c>
      <c r="P2769">
        <v>0</v>
      </c>
      <c r="Q2769">
        <v>0</v>
      </c>
      <c r="S2769" t="str">
        <f>"20:29:18.289"</f>
        <v>20:29:18.289</v>
      </c>
      <c r="T2769" t="str">
        <f>"20:29:17.789"</f>
        <v>20:29:17.789</v>
      </c>
      <c r="U2769" t="str">
        <f t="shared" si="134"/>
        <v>AB01F4</v>
      </c>
      <c r="V2769">
        <v>0</v>
      </c>
      <c r="W2769">
        <v>0</v>
      </c>
      <c r="X2769">
        <v>2</v>
      </c>
      <c r="Z2769">
        <v>0</v>
      </c>
      <c r="AA2769">
        <v>9</v>
      </c>
      <c r="AB2769">
        <v>3</v>
      </c>
      <c r="AC2769">
        <v>0</v>
      </c>
      <c r="AD2769">
        <v>10</v>
      </c>
      <c r="AE2769">
        <v>0</v>
      </c>
      <c r="AF2769">
        <v>3</v>
      </c>
      <c r="AG2769">
        <v>2</v>
      </c>
      <c r="AH2769">
        <v>0</v>
      </c>
      <c r="AI2769" t="s">
        <v>1633</v>
      </c>
      <c r="AJ2769">
        <v>40.023471999999998</v>
      </c>
      <c r="AK2769" t="s">
        <v>1634</v>
      </c>
      <c r="AL2769">
        <v>-92.792028999999999</v>
      </c>
      <c r="AM2769">
        <v>100</v>
      </c>
      <c r="AN2769">
        <v>1600</v>
      </c>
      <c r="AO2769" t="s">
        <v>118</v>
      </c>
      <c r="AP2769">
        <v>-126</v>
      </c>
      <c r="AQ2769">
        <v>57</v>
      </c>
      <c r="AR2769">
        <v>-256</v>
      </c>
      <c r="AZ2769">
        <v>1200</v>
      </c>
      <c r="BA2769">
        <v>1</v>
      </c>
      <c r="BB2769" t="str">
        <f t="shared" si="133"/>
        <v xml:space="preserve">N8080G  </v>
      </c>
      <c r="BC2769">
        <v>1</v>
      </c>
      <c r="BE2769">
        <v>0</v>
      </c>
      <c r="BF2769">
        <v>0</v>
      </c>
      <c r="BG2769">
        <v>0</v>
      </c>
      <c r="BH2769">
        <v>1550</v>
      </c>
      <c r="BI2769">
        <v>1</v>
      </c>
      <c r="BJ2769">
        <v>1</v>
      </c>
      <c r="BK2769">
        <v>1</v>
      </c>
      <c r="BL2769">
        <v>0</v>
      </c>
      <c r="BO2769">
        <v>0</v>
      </c>
      <c r="BP2769">
        <v>0</v>
      </c>
      <c r="BW2769" t="str">
        <f>"20:29:18.291"</f>
        <v>20:29:18.291</v>
      </c>
      <c r="BZ2769">
        <v>0</v>
      </c>
      <c r="CA2769">
        <v>1792</v>
      </c>
      <c r="CB2769">
        <v>224</v>
      </c>
      <c r="CD2769">
        <v>1</v>
      </c>
      <c r="CE2769">
        <v>0</v>
      </c>
      <c r="CF2769">
        <v>0</v>
      </c>
      <c r="CG2769">
        <v>0</v>
      </c>
      <c r="CH2769">
        <v>0</v>
      </c>
      <c r="CI2769">
        <v>0</v>
      </c>
      <c r="CJ2769">
        <v>0</v>
      </c>
      <c r="CK2769">
        <v>2</v>
      </c>
      <c r="CL2769">
        <v>0</v>
      </c>
      <c r="CM2769">
        <v>2</v>
      </c>
      <c r="CN2769">
        <v>0</v>
      </c>
      <c r="CO2769">
        <v>3</v>
      </c>
      <c r="CP2769" t="s">
        <v>119</v>
      </c>
      <c r="CQ2769">
        <v>179</v>
      </c>
      <c r="CR2769">
        <v>1</v>
      </c>
      <c r="CW2769">
        <v>9077042</v>
      </c>
      <c r="CY2769">
        <v>1</v>
      </c>
      <c r="CZ2769">
        <v>0</v>
      </c>
      <c r="DA2769">
        <v>1</v>
      </c>
      <c r="DB2769">
        <v>0</v>
      </c>
      <c r="DC2769">
        <v>0</v>
      </c>
      <c r="DD2769">
        <v>0</v>
      </c>
      <c r="DE2769">
        <v>0</v>
      </c>
      <c r="DF2769">
        <v>0</v>
      </c>
      <c r="DG2769">
        <v>0</v>
      </c>
      <c r="DH2769">
        <v>0</v>
      </c>
      <c r="DI2769">
        <v>0</v>
      </c>
    </row>
    <row r="2770" spans="1:113" x14ac:dyDescent="0.3">
      <c r="A2770" t="str">
        <f>"02/08/2021 20:29:15.967"</f>
        <v>02/08/2021 20:29:15.967</v>
      </c>
      <c r="C2770" t="str">
        <f t="shared" si="132"/>
        <v>FFDFD7C0</v>
      </c>
      <c r="D2770" t="s">
        <v>124</v>
      </c>
      <c r="E2770">
        <v>12</v>
      </c>
      <c r="F2770">
        <v>1012</v>
      </c>
      <c r="G2770" t="s">
        <v>675</v>
      </c>
      <c r="J2770" t="s">
        <v>125</v>
      </c>
      <c r="K2770">
        <v>0</v>
      </c>
      <c r="L2770">
        <v>3</v>
      </c>
      <c r="M2770">
        <v>0</v>
      </c>
      <c r="N2770">
        <v>2</v>
      </c>
      <c r="O2770">
        <v>1</v>
      </c>
      <c r="P2770">
        <v>0</v>
      </c>
      <c r="Q2770">
        <v>0</v>
      </c>
      <c r="S2770" t="str">
        <f>"20:29:18.289"</f>
        <v>20:29:18.289</v>
      </c>
      <c r="T2770" t="str">
        <f>"20:29:17.789"</f>
        <v>20:29:17.789</v>
      </c>
      <c r="U2770" t="str">
        <f t="shared" si="134"/>
        <v>AB01F4</v>
      </c>
      <c r="V2770">
        <v>0</v>
      </c>
      <c r="W2770">
        <v>0</v>
      </c>
      <c r="X2770">
        <v>2</v>
      </c>
      <c r="Z2770">
        <v>0</v>
      </c>
      <c r="AA2770">
        <v>9</v>
      </c>
      <c r="AB2770">
        <v>3</v>
      </c>
      <c r="AC2770">
        <v>0</v>
      </c>
      <c r="AD2770">
        <v>10</v>
      </c>
      <c r="AE2770">
        <v>0</v>
      </c>
      <c r="AF2770">
        <v>3</v>
      </c>
      <c r="AG2770">
        <v>2</v>
      </c>
      <c r="AH2770">
        <v>0</v>
      </c>
      <c r="AI2770" t="s">
        <v>1633</v>
      </c>
      <c r="AJ2770">
        <v>40.023471999999998</v>
      </c>
      <c r="AK2770" t="s">
        <v>1634</v>
      </c>
      <c r="AL2770">
        <v>-92.792028999999999</v>
      </c>
      <c r="AM2770">
        <v>100</v>
      </c>
      <c r="AN2770">
        <v>1600</v>
      </c>
      <c r="AO2770" t="s">
        <v>118</v>
      </c>
      <c r="AP2770">
        <v>-126</v>
      </c>
      <c r="AQ2770">
        <v>57</v>
      </c>
      <c r="AR2770">
        <v>-256</v>
      </c>
      <c r="AZ2770">
        <v>1200</v>
      </c>
      <c r="BA2770">
        <v>1</v>
      </c>
      <c r="BB2770" t="str">
        <f t="shared" si="133"/>
        <v xml:space="preserve">N8080G  </v>
      </c>
      <c r="BC2770">
        <v>1</v>
      </c>
      <c r="BE2770">
        <v>0</v>
      </c>
      <c r="BF2770">
        <v>0</v>
      </c>
      <c r="BG2770">
        <v>0</v>
      </c>
      <c r="BH2770">
        <v>1550</v>
      </c>
      <c r="BI2770">
        <v>1</v>
      </c>
      <c r="BJ2770">
        <v>1</v>
      </c>
      <c r="BK2770">
        <v>1</v>
      </c>
      <c r="BL2770">
        <v>0</v>
      </c>
      <c r="BO2770">
        <v>0</v>
      </c>
      <c r="BP2770">
        <v>0</v>
      </c>
      <c r="BW2770" t="str">
        <f>"20:29:18.291"</f>
        <v>20:29:18.291</v>
      </c>
      <c r="BZ2770">
        <v>0</v>
      </c>
      <c r="CA2770">
        <v>1792</v>
      </c>
      <c r="CB2770">
        <v>224</v>
      </c>
      <c r="CD2770">
        <v>1</v>
      </c>
      <c r="CE2770">
        <v>0</v>
      </c>
      <c r="CF2770">
        <v>0</v>
      </c>
      <c r="CG2770">
        <v>0</v>
      </c>
      <c r="CH2770">
        <v>0</v>
      </c>
      <c r="CI2770">
        <v>0</v>
      </c>
      <c r="CJ2770">
        <v>0</v>
      </c>
      <c r="CK2770">
        <v>2</v>
      </c>
      <c r="CL2770">
        <v>0</v>
      </c>
      <c r="CM2770">
        <v>2</v>
      </c>
      <c r="CN2770">
        <v>0</v>
      </c>
      <c r="CO2770">
        <v>3</v>
      </c>
      <c r="CP2770" t="s">
        <v>119</v>
      </c>
      <c r="CQ2770">
        <v>179</v>
      </c>
      <c r="CR2770">
        <v>1</v>
      </c>
      <c r="CW2770">
        <v>9077042</v>
      </c>
      <c r="CY2770">
        <v>1</v>
      </c>
      <c r="CZ2770">
        <v>0</v>
      </c>
      <c r="DA2770">
        <v>1</v>
      </c>
      <c r="DB2770">
        <v>0</v>
      </c>
      <c r="DC2770">
        <v>0</v>
      </c>
      <c r="DD2770">
        <v>0</v>
      </c>
      <c r="DE2770">
        <v>0</v>
      </c>
      <c r="DF2770">
        <v>0</v>
      </c>
      <c r="DG2770">
        <v>0</v>
      </c>
      <c r="DH2770">
        <v>0</v>
      </c>
      <c r="DI2770">
        <v>0</v>
      </c>
    </row>
    <row r="2771" spans="1:113" x14ac:dyDescent="0.3">
      <c r="A2771" t="str">
        <f>"02/08/2021 20:29:16.994"</f>
        <v>02/08/2021 20:29:16.994</v>
      </c>
      <c r="C2771" t="str">
        <f t="shared" si="132"/>
        <v>FFDFD7C0</v>
      </c>
      <c r="D2771" t="s">
        <v>124</v>
      </c>
      <c r="E2771">
        <v>13</v>
      </c>
      <c r="F2771">
        <v>1013</v>
      </c>
      <c r="G2771" t="s">
        <v>114</v>
      </c>
      <c r="J2771" t="s">
        <v>125</v>
      </c>
      <c r="K2771">
        <v>0</v>
      </c>
      <c r="L2771">
        <v>3</v>
      </c>
      <c r="M2771">
        <v>0</v>
      </c>
      <c r="N2771">
        <v>2</v>
      </c>
      <c r="O2771">
        <v>1</v>
      </c>
      <c r="P2771">
        <v>0</v>
      </c>
      <c r="Q2771">
        <v>0</v>
      </c>
      <c r="S2771" t="str">
        <f>"20:29:19.336"</f>
        <v>20:29:19.336</v>
      </c>
      <c r="T2771" t="str">
        <f>"20:29:18.936"</f>
        <v>20:29:18.936</v>
      </c>
      <c r="U2771" t="str">
        <f t="shared" si="134"/>
        <v>AB01F4</v>
      </c>
      <c r="V2771">
        <v>0</v>
      </c>
      <c r="W2771">
        <v>0</v>
      </c>
      <c r="X2771">
        <v>2</v>
      </c>
      <c r="Z2771">
        <v>0</v>
      </c>
      <c r="AA2771">
        <v>9</v>
      </c>
      <c r="AB2771">
        <v>3</v>
      </c>
      <c r="AC2771">
        <v>0</v>
      </c>
      <c r="AD2771">
        <v>10</v>
      </c>
      <c r="AE2771">
        <v>0</v>
      </c>
      <c r="AF2771">
        <v>3</v>
      </c>
      <c r="AG2771">
        <v>2</v>
      </c>
      <c r="AH2771">
        <v>0</v>
      </c>
      <c r="AI2771" t="s">
        <v>1635</v>
      </c>
      <c r="AJ2771">
        <v>40.023750999999997</v>
      </c>
      <c r="AK2771" t="s">
        <v>1636</v>
      </c>
      <c r="AL2771">
        <v>-92.792908999999995</v>
      </c>
      <c r="AM2771">
        <v>100</v>
      </c>
      <c r="AN2771">
        <v>1600</v>
      </c>
      <c r="AO2771" t="s">
        <v>118</v>
      </c>
      <c r="AP2771">
        <v>-127</v>
      </c>
      <c r="AQ2771">
        <v>56</v>
      </c>
      <c r="AR2771">
        <v>-192</v>
      </c>
      <c r="AZ2771">
        <v>1200</v>
      </c>
      <c r="BA2771">
        <v>1</v>
      </c>
      <c r="BB2771" t="str">
        <f t="shared" si="133"/>
        <v xml:space="preserve">N8080G  </v>
      </c>
      <c r="BC2771">
        <v>1</v>
      </c>
      <c r="BE2771">
        <v>0</v>
      </c>
      <c r="BF2771">
        <v>0</v>
      </c>
      <c r="BG2771">
        <v>0</v>
      </c>
      <c r="BH2771">
        <v>1550</v>
      </c>
      <c r="BI2771">
        <v>1</v>
      </c>
      <c r="BJ2771">
        <v>1</v>
      </c>
      <c r="BK2771">
        <v>1</v>
      </c>
      <c r="BL2771">
        <v>0</v>
      </c>
      <c r="BO2771">
        <v>0</v>
      </c>
      <c r="BP2771">
        <v>0</v>
      </c>
      <c r="BW2771" t="str">
        <f>"20:29:19.337"</f>
        <v>20:29:19.337</v>
      </c>
      <c r="BZ2771">
        <v>0</v>
      </c>
      <c r="CA2771">
        <v>1792</v>
      </c>
      <c r="CB2771">
        <v>224</v>
      </c>
      <c r="CD2771">
        <v>1</v>
      </c>
      <c r="CE2771">
        <v>0</v>
      </c>
      <c r="CF2771">
        <v>0</v>
      </c>
      <c r="CG2771">
        <v>1</v>
      </c>
      <c r="CH2771">
        <v>0</v>
      </c>
      <c r="CI2771">
        <v>0</v>
      </c>
      <c r="CJ2771">
        <v>0</v>
      </c>
      <c r="CK2771">
        <v>2</v>
      </c>
      <c r="CL2771">
        <v>0</v>
      </c>
      <c r="CM2771">
        <v>2</v>
      </c>
      <c r="CN2771">
        <v>0</v>
      </c>
      <c r="CO2771">
        <v>7</v>
      </c>
      <c r="CP2771" t="s">
        <v>119</v>
      </c>
      <c r="CQ2771">
        <v>180</v>
      </c>
      <c r="CR2771">
        <v>3</v>
      </c>
      <c r="CW2771">
        <v>973911</v>
      </c>
      <c r="CY2771">
        <v>1</v>
      </c>
      <c r="CZ2771">
        <v>0</v>
      </c>
      <c r="DA2771">
        <v>0</v>
      </c>
      <c r="DB2771">
        <v>0</v>
      </c>
      <c r="DC2771">
        <v>0</v>
      </c>
      <c r="DD2771">
        <v>0</v>
      </c>
      <c r="DE2771">
        <v>0</v>
      </c>
      <c r="DF2771">
        <v>0</v>
      </c>
      <c r="DG2771">
        <v>0</v>
      </c>
      <c r="DH2771">
        <v>0</v>
      </c>
      <c r="DI2771">
        <v>0</v>
      </c>
    </row>
    <row r="2772" spans="1:113" x14ac:dyDescent="0.3">
      <c r="A2772" t="str">
        <f>"02/08/2021 20:29:16.994"</f>
        <v>02/08/2021 20:29:16.994</v>
      </c>
      <c r="C2772" t="str">
        <f t="shared" si="132"/>
        <v>FFDFD7C0</v>
      </c>
      <c r="D2772" t="s">
        <v>124</v>
      </c>
      <c r="E2772">
        <v>12</v>
      </c>
      <c r="F2772">
        <v>1012</v>
      </c>
      <c r="G2772" t="s">
        <v>675</v>
      </c>
      <c r="J2772" t="s">
        <v>125</v>
      </c>
      <c r="K2772">
        <v>0</v>
      </c>
      <c r="L2772">
        <v>3</v>
      </c>
      <c r="M2772">
        <v>0</v>
      </c>
      <c r="N2772">
        <v>2</v>
      </c>
      <c r="O2772">
        <v>1</v>
      </c>
      <c r="P2772">
        <v>0</v>
      </c>
      <c r="Q2772">
        <v>0</v>
      </c>
      <c r="S2772" t="str">
        <f>"20:29:19.336"</f>
        <v>20:29:19.336</v>
      </c>
      <c r="T2772" t="str">
        <f>"20:29:18.936"</f>
        <v>20:29:18.936</v>
      </c>
      <c r="U2772" t="str">
        <f t="shared" si="134"/>
        <v>AB01F4</v>
      </c>
      <c r="V2772">
        <v>0</v>
      </c>
      <c r="W2772">
        <v>0</v>
      </c>
      <c r="X2772">
        <v>2</v>
      </c>
      <c r="Z2772">
        <v>0</v>
      </c>
      <c r="AA2772">
        <v>9</v>
      </c>
      <c r="AB2772">
        <v>3</v>
      </c>
      <c r="AC2772">
        <v>0</v>
      </c>
      <c r="AD2772">
        <v>10</v>
      </c>
      <c r="AE2772">
        <v>0</v>
      </c>
      <c r="AF2772">
        <v>3</v>
      </c>
      <c r="AG2772">
        <v>2</v>
      </c>
      <c r="AH2772">
        <v>0</v>
      </c>
      <c r="AI2772" t="s">
        <v>1635</v>
      </c>
      <c r="AJ2772">
        <v>40.023750999999997</v>
      </c>
      <c r="AK2772" t="s">
        <v>1636</v>
      </c>
      <c r="AL2772">
        <v>-92.792908999999995</v>
      </c>
      <c r="AM2772">
        <v>100</v>
      </c>
      <c r="AN2772">
        <v>1600</v>
      </c>
      <c r="AO2772" t="s">
        <v>118</v>
      </c>
      <c r="AP2772">
        <v>-127</v>
      </c>
      <c r="AQ2772">
        <v>56</v>
      </c>
      <c r="AR2772">
        <v>-192</v>
      </c>
      <c r="AZ2772">
        <v>1200</v>
      </c>
      <c r="BA2772">
        <v>1</v>
      </c>
      <c r="BB2772" t="str">
        <f t="shared" si="133"/>
        <v xml:space="preserve">N8080G  </v>
      </c>
      <c r="BC2772">
        <v>1</v>
      </c>
      <c r="BE2772">
        <v>0</v>
      </c>
      <c r="BF2772">
        <v>0</v>
      </c>
      <c r="BG2772">
        <v>0</v>
      </c>
      <c r="BH2772">
        <v>1550</v>
      </c>
      <c r="BI2772">
        <v>1</v>
      </c>
      <c r="BJ2772">
        <v>1</v>
      </c>
      <c r="BK2772">
        <v>1</v>
      </c>
      <c r="BL2772">
        <v>0</v>
      </c>
      <c r="BO2772">
        <v>0</v>
      </c>
      <c r="BP2772">
        <v>0</v>
      </c>
      <c r="BW2772" t="str">
        <f>"20:29:19.337"</f>
        <v>20:29:19.337</v>
      </c>
      <c r="BZ2772">
        <v>0</v>
      </c>
      <c r="CA2772">
        <v>1792</v>
      </c>
      <c r="CB2772">
        <v>224</v>
      </c>
      <c r="CD2772">
        <v>1</v>
      </c>
      <c r="CE2772">
        <v>0</v>
      </c>
      <c r="CF2772">
        <v>0</v>
      </c>
      <c r="CG2772">
        <v>1</v>
      </c>
      <c r="CH2772">
        <v>0</v>
      </c>
      <c r="CI2772">
        <v>0</v>
      </c>
      <c r="CJ2772">
        <v>0</v>
      </c>
      <c r="CK2772">
        <v>2</v>
      </c>
      <c r="CL2772">
        <v>0</v>
      </c>
      <c r="CM2772">
        <v>2</v>
      </c>
      <c r="CN2772">
        <v>0</v>
      </c>
      <c r="CO2772">
        <v>7</v>
      </c>
      <c r="CP2772" t="s">
        <v>119</v>
      </c>
      <c r="CQ2772">
        <v>180</v>
      </c>
      <c r="CR2772">
        <v>3</v>
      </c>
      <c r="CW2772">
        <v>973911</v>
      </c>
      <c r="CY2772">
        <v>1</v>
      </c>
      <c r="CZ2772">
        <v>0</v>
      </c>
      <c r="DA2772">
        <v>1</v>
      </c>
      <c r="DB2772">
        <v>0</v>
      </c>
      <c r="DC2772">
        <v>0</v>
      </c>
      <c r="DD2772">
        <v>0</v>
      </c>
      <c r="DE2772">
        <v>0</v>
      </c>
      <c r="DF2772">
        <v>0</v>
      </c>
      <c r="DG2772">
        <v>0</v>
      </c>
      <c r="DH2772">
        <v>0</v>
      </c>
      <c r="DI2772">
        <v>0</v>
      </c>
    </row>
    <row r="2773" spans="1:113" x14ac:dyDescent="0.3">
      <c r="A2773" t="str">
        <f>"02/08/2021 20:29:16.994"</f>
        <v>02/08/2021 20:29:16.994</v>
      </c>
      <c r="C2773" t="str">
        <f t="shared" si="132"/>
        <v>FFDFD7C0</v>
      </c>
      <c r="D2773" t="s">
        <v>124</v>
      </c>
      <c r="E2773">
        <v>11</v>
      </c>
      <c r="F2773">
        <v>1011</v>
      </c>
      <c r="G2773" t="s">
        <v>590</v>
      </c>
      <c r="J2773" t="s">
        <v>125</v>
      </c>
      <c r="K2773">
        <v>0</v>
      </c>
      <c r="L2773">
        <v>3</v>
      </c>
      <c r="M2773">
        <v>0</v>
      </c>
      <c r="N2773">
        <v>2</v>
      </c>
      <c r="O2773">
        <v>1</v>
      </c>
      <c r="P2773">
        <v>0</v>
      </c>
      <c r="Q2773">
        <v>0</v>
      </c>
      <c r="S2773" t="str">
        <f>"20:29:19.336"</f>
        <v>20:29:19.336</v>
      </c>
      <c r="T2773" t="str">
        <f>"20:29:18.936"</f>
        <v>20:29:18.936</v>
      </c>
      <c r="U2773" t="str">
        <f t="shared" si="134"/>
        <v>AB01F4</v>
      </c>
      <c r="V2773">
        <v>0</v>
      </c>
      <c r="W2773">
        <v>0</v>
      </c>
      <c r="X2773">
        <v>2</v>
      </c>
      <c r="Z2773">
        <v>0</v>
      </c>
      <c r="AA2773">
        <v>9</v>
      </c>
      <c r="AB2773">
        <v>3</v>
      </c>
      <c r="AC2773">
        <v>0</v>
      </c>
      <c r="AD2773">
        <v>10</v>
      </c>
      <c r="AE2773">
        <v>0</v>
      </c>
      <c r="AF2773">
        <v>3</v>
      </c>
      <c r="AG2773">
        <v>2</v>
      </c>
      <c r="AH2773">
        <v>0</v>
      </c>
      <c r="AI2773" t="s">
        <v>1635</v>
      </c>
      <c r="AJ2773">
        <v>40.023750999999997</v>
      </c>
      <c r="AK2773" t="s">
        <v>1636</v>
      </c>
      <c r="AL2773">
        <v>-92.792908999999995</v>
      </c>
      <c r="AM2773">
        <v>100</v>
      </c>
      <c r="AN2773">
        <v>1600</v>
      </c>
      <c r="AO2773" t="s">
        <v>118</v>
      </c>
      <c r="AP2773">
        <v>-127</v>
      </c>
      <c r="AQ2773">
        <v>56</v>
      </c>
      <c r="AR2773">
        <v>-192</v>
      </c>
      <c r="AZ2773">
        <v>1200</v>
      </c>
      <c r="BA2773">
        <v>1</v>
      </c>
      <c r="BB2773" t="str">
        <f t="shared" si="133"/>
        <v xml:space="preserve">N8080G  </v>
      </c>
      <c r="BC2773">
        <v>1</v>
      </c>
      <c r="BE2773">
        <v>0</v>
      </c>
      <c r="BF2773">
        <v>0</v>
      </c>
      <c r="BG2773">
        <v>0</v>
      </c>
      <c r="BH2773">
        <v>1550</v>
      </c>
      <c r="BI2773">
        <v>1</v>
      </c>
      <c r="BJ2773">
        <v>1</v>
      </c>
      <c r="BK2773">
        <v>1</v>
      </c>
      <c r="BL2773">
        <v>0</v>
      </c>
      <c r="BO2773">
        <v>0</v>
      </c>
      <c r="BP2773">
        <v>0</v>
      </c>
      <c r="BW2773" t="str">
        <f>"20:29:19.337"</f>
        <v>20:29:19.337</v>
      </c>
      <c r="BZ2773">
        <v>0</v>
      </c>
      <c r="CA2773">
        <v>1792</v>
      </c>
      <c r="CB2773">
        <v>224</v>
      </c>
      <c r="CD2773">
        <v>1</v>
      </c>
      <c r="CE2773">
        <v>0</v>
      </c>
      <c r="CF2773">
        <v>0</v>
      </c>
      <c r="CG2773">
        <v>1</v>
      </c>
      <c r="CH2773">
        <v>0</v>
      </c>
      <c r="CI2773">
        <v>0</v>
      </c>
      <c r="CJ2773">
        <v>0</v>
      </c>
      <c r="CK2773">
        <v>2</v>
      </c>
      <c r="CL2773">
        <v>0</v>
      </c>
      <c r="CM2773">
        <v>2</v>
      </c>
      <c r="CN2773">
        <v>0</v>
      </c>
      <c r="CO2773">
        <v>7</v>
      </c>
      <c r="CP2773" t="s">
        <v>119</v>
      </c>
      <c r="CQ2773">
        <v>180</v>
      </c>
      <c r="CR2773">
        <v>3</v>
      </c>
      <c r="CW2773">
        <v>973911</v>
      </c>
      <c r="CY2773">
        <v>1</v>
      </c>
      <c r="CZ2773">
        <v>0</v>
      </c>
      <c r="DA2773">
        <v>1</v>
      </c>
      <c r="DB2773">
        <v>0</v>
      </c>
      <c r="DC2773">
        <v>0</v>
      </c>
      <c r="DD2773">
        <v>0</v>
      </c>
      <c r="DE2773">
        <v>0</v>
      </c>
      <c r="DF2773">
        <v>0</v>
      </c>
      <c r="DG2773">
        <v>0</v>
      </c>
      <c r="DH2773">
        <v>0</v>
      </c>
      <c r="DI2773">
        <v>0</v>
      </c>
    </row>
    <row r="2774" spans="1:113" x14ac:dyDescent="0.3">
      <c r="A2774" t="str">
        <f>"02/08/2021 20:29:16.994"</f>
        <v>02/08/2021 20:29:16.994</v>
      </c>
      <c r="C2774" t="str">
        <f t="shared" si="132"/>
        <v>FFDFD7C0</v>
      </c>
      <c r="D2774" t="s">
        <v>113</v>
      </c>
      <c r="E2774">
        <v>6</v>
      </c>
      <c r="H2774">
        <v>165</v>
      </c>
      <c r="I2774" t="s">
        <v>114</v>
      </c>
      <c r="J2774" t="s">
        <v>115</v>
      </c>
      <c r="K2774">
        <v>0</v>
      </c>
      <c r="L2774">
        <v>3</v>
      </c>
      <c r="M2774">
        <v>0</v>
      </c>
      <c r="N2774">
        <v>2</v>
      </c>
      <c r="O2774">
        <v>1</v>
      </c>
      <c r="P2774">
        <v>0</v>
      </c>
      <c r="Q2774">
        <v>0</v>
      </c>
      <c r="S2774" t="str">
        <f>"20:29:19.336"</f>
        <v>20:29:19.336</v>
      </c>
      <c r="T2774" t="str">
        <f>"20:29:18.936"</f>
        <v>20:29:18.936</v>
      </c>
      <c r="U2774" t="str">
        <f t="shared" si="134"/>
        <v>AB01F4</v>
      </c>
      <c r="V2774">
        <v>0</v>
      </c>
      <c r="W2774">
        <v>0</v>
      </c>
      <c r="X2774">
        <v>2</v>
      </c>
      <c r="Z2774">
        <v>0</v>
      </c>
      <c r="AA2774">
        <v>9</v>
      </c>
      <c r="AB2774">
        <v>3</v>
      </c>
      <c r="AC2774">
        <v>0</v>
      </c>
      <c r="AD2774">
        <v>10</v>
      </c>
      <c r="AE2774">
        <v>0</v>
      </c>
      <c r="AF2774">
        <v>3</v>
      </c>
      <c r="AG2774">
        <v>2</v>
      </c>
      <c r="AH2774">
        <v>0</v>
      </c>
      <c r="AI2774" t="s">
        <v>1635</v>
      </c>
      <c r="AJ2774">
        <v>40.023750999999997</v>
      </c>
      <c r="AK2774" t="s">
        <v>1636</v>
      </c>
      <c r="AL2774">
        <v>-92.792908999999995</v>
      </c>
      <c r="AM2774">
        <v>100</v>
      </c>
      <c r="AN2774">
        <v>1600</v>
      </c>
      <c r="AO2774" t="s">
        <v>118</v>
      </c>
      <c r="AP2774">
        <v>-127</v>
      </c>
      <c r="AQ2774">
        <v>56</v>
      </c>
      <c r="AR2774">
        <v>-192</v>
      </c>
      <c r="AZ2774">
        <v>1200</v>
      </c>
      <c r="BA2774">
        <v>1</v>
      </c>
      <c r="BB2774" t="str">
        <f t="shared" si="133"/>
        <v xml:space="preserve">N8080G  </v>
      </c>
      <c r="BC2774">
        <v>1</v>
      </c>
      <c r="BE2774">
        <v>0</v>
      </c>
      <c r="BF2774">
        <v>0</v>
      </c>
      <c r="BG2774">
        <v>0</v>
      </c>
      <c r="BH2774">
        <v>1550</v>
      </c>
      <c r="BI2774">
        <v>1</v>
      </c>
      <c r="BJ2774">
        <v>1</v>
      </c>
      <c r="BK2774">
        <v>1</v>
      </c>
      <c r="BL2774">
        <v>0</v>
      </c>
      <c r="BO2774">
        <v>0</v>
      </c>
      <c r="BP2774">
        <v>0</v>
      </c>
      <c r="BW2774" t="str">
        <f>"20:29:19.337"</f>
        <v>20:29:19.337</v>
      </c>
      <c r="BZ2774">
        <v>0</v>
      </c>
      <c r="CA2774">
        <v>1792</v>
      </c>
      <c r="CB2774">
        <v>224</v>
      </c>
      <c r="CD2774">
        <v>1</v>
      </c>
      <c r="CE2774">
        <v>0</v>
      </c>
      <c r="CF2774">
        <v>0</v>
      </c>
      <c r="CG2774">
        <v>1</v>
      </c>
      <c r="CH2774">
        <v>0</v>
      </c>
      <c r="CI2774">
        <v>0</v>
      </c>
      <c r="CJ2774">
        <v>0</v>
      </c>
      <c r="CK2774">
        <v>2</v>
      </c>
      <c r="CL2774">
        <v>0</v>
      </c>
      <c r="CM2774">
        <v>2</v>
      </c>
      <c r="CN2774">
        <v>0</v>
      </c>
      <c r="CO2774">
        <v>7</v>
      </c>
      <c r="CP2774" t="s">
        <v>119</v>
      </c>
      <c r="CQ2774">
        <v>180</v>
      </c>
      <c r="CR2774">
        <v>3</v>
      </c>
      <c r="CW2774">
        <v>973911</v>
      </c>
      <c r="CY2774">
        <v>1</v>
      </c>
      <c r="CZ2774">
        <v>0</v>
      </c>
      <c r="DA2774">
        <v>1</v>
      </c>
      <c r="DB2774">
        <v>0</v>
      </c>
      <c r="DC2774">
        <v>0</v>
      </c>
      <c r="DD2774">
        <v>0</v>
      </c>
      <c r="DE2774">
        <v>0</v>
      </c>
      <c r="DF2774">
        <v>0</v>
      </c>
      <c r="DG2774">
        <v>0</v>
      </c>
      <c r="DH2774">
        <v>0</v>
      </c>
      <c r="DI2774">
        <v>0</v>
      </c>
    </row>
    <row r="2775" spans="1:113" x14ac:dyDescent="0.3">
      <c r="A2775" t="str">
        <f>"02/08/2021 20:29:18.034"</f>
        <v>02/08/2021 20:29:18.034</v>
      </c>
      <c r="C2775" t="str">
        <f t="shared" si="132"/>
        <v>FFDFD7C0</v>
      </c>
      <c r="D2775" t="s">
        <v>124</v>
      </c>
      <c r="E2775">
        <v>11</v>
      </c>
      <c r="F2775">
        <v>1011</v>
      </c>
      <c r="G2775" t="s">
        <v>590</v>
      </c>
      <c r="J2775" t="s">
        <v>125</v>
      </c>
      <c r="K2775">
        <v>0</v>
      </c>
      <c r="L2775">
        <v>3</v>
      </c>
      <c r="M2775">
        <v>0</v>
      </c>
      <c r="N2775">
        <v>2</v>
      </c>
      <c r="O2775">
        <v>1</v>
      </c>
      <c r="P2775">
        <v>0</v>
      </c>
      <c r="Q2775">
        <v>0</v>
      </c>
      <c r="S2775" t="str">
        <f>"20:29:20.359"</f>
        <v>20:29:20.359</v>
      </c>
      <c r="T2775" t="str">
        <f>"20:29:19.959"</f>
        <v>20:29:19.959</v>
      </c>
      <c r="U2775" t="str">
        <f t="shared" si="134"/>
        <v>AB01F4</v>
      </c>
      <c r="V2775">
        <v>0</v>
      </c>
      <c r="W2775">
        <v>0</v>
      </c>
      <c r="X2775">
        <v>2</v>
      </c>
      <c r="Z2775">
        <v>0</v>
      </c>
      <c r="AA2775">
        <v>9</v>
      </c>
      <c r="AB2775">
        <v>3</v>
      </c>
      <c r="AC2775">
        <v>0</v>
      </c>
      <c r="AD2775">
        <v>10</v>
      </c>
      <c r="AE2775">
        <v>0</v>
      </c>
      <c r="AF2775">
        <v>3</v>
      </c>
      <c r="AG2775">
        <v>2</v>
      </c>
      <c r="AH2775">
        <v>0</v>
      </c>
      <c r="AI2775" t="s">
        <v>1637</v>
      </c>
      <c r="AJ2775">
        <v>40.024009</v>
      </c>
      <c r="AK2775" t="s">
        <v>1638</v>
      </c>
      <c r="AL2775">
        <v>-92.793638999999999</v>
      </c>
      <c r="AM2775">
        <v>100</v>
      </c>
      <c r="AN2775">
        <v>1500</v>
      </c>
      <c r="AO2775" t="s">
        <v>118</v>
      </c>
      <c r="AP2775">
        <v>-127</v>
      </c>
      <c r="AQ2775">
        <v>55</v>
      </c>
      <c r="AR2775">
        <v>-192</v>
      </c>
      <c r="AZ2775">
        <v>1200</v>
      </c>
      <c r="BA2775">
        <v>1</v>
      </c>
      <c r="BB2775" t="str">
        <f t="shared" si="133"/>
        <v xml:space="preserve">N8080G  </v>
      </c>
      <c r="BC2775">
        <v>1</v>
      </c>
      <c r="BE2775">
        <v>0</v>
      </c>
      <c r="BF2775">
        <v>0</v>
      </c>
      <c r="BG2775">
        <v>0</v>
      </c>
      <c r="BH2775">
        <v>1550</v>
      </c>
      <c r="BI2775">
        <v>1</v>
      </c>
      <c r="BJ2775">
        <v>1</v>
      </c>
      <c r="BK2775">
        <v>1</v>
      </c>
      <c r="BL2775">
        <v>0</v>
      </c>
      <c r="BO2775">
        <v>0</v>
      </c>
      <c r="BP2775">
        <v>0</v>
      </c>
      <c r="BW2775" t="str">
        <f>"20:29:20.366"</f>
        <v>20:29:20.366</v>
      </c>
      <c r="BZ2775">
        <v>0</v>
      </c>
      <c r="CA2775">
        <v>1792</v>
      </c>
      <c r="CB2775">
        <v>224</v>
      </c>
      <c r="CD2775">
        <v>1</v>
      </c>
      <c r="CE2775">
        <v>0</v>
      </c>
      <c r="CF2775">
        <v>0</v>
      </c>
      <c r="CG2775">
        <v>1</v>
      </c>
      <c r="CH2775">
        <v>0</v>
      </c>
      <c r="CI2775">
        <v>0</v>
      </c>
      <c r="CJ2775">
        <v>0</v>
      </c>
      <c r="CK2775">
        <v>2</v>
      </c>
      <c r="CL2775">
        <v>0</v>
      </c>
      <c r="CM2775">
        <v>2</v>
      </c>
      <c r="CN2775">
        <v>0</v>
      </c>
      <c r="CO2775">
        <v>3</v>
      </c>
      <c r="CP2775" t="s">
        <v>119</v>
      </c>
      <c r="CQ2775">
        <v>179</v>
      </c>
      <c r="CR2775">
        <v>1</v>
      </c>
      <c r="CW2775">
        <v>9078989</v>
      </c>
      <c r="CY2775">
        <v>1</v>
      </c>
      <c r="CZ2775">
        <v>0</v>
      </c>
      <c r="DA2775">
        <v>0</v>
      </c>
      <c r="DB2775">
        <v>0</v>
      </c>
      <c r="DC2775">
        <v>0</v>
      </c>
      <c r="DD2775">
        <v>0</v>
      </c>
      <c r="DE2775">
        <v>0</v>
      </c>
      <c r="DF2775">
        <v>0</v>
      </c>
      <c r="DG2775">
        <v>0</v>
      </c>
      <c r="DH2775">
        <v>0</v>
      </c>
      <c r="DI2775">
        <v>0</v>
      </c>
    </row>
    <row r="2776" spans="1:113" x14ac:dyDescent="0.3">
      <c r="A2776" t="str">
        <f>"02/08/2021 20:29:18.034"</f>
        <v>02/08/2021 20:29:18.034</v>
      </c>
      <c r="C2776" t="str">
        <f t="shared" si="132"/>
        <v>FFDFD7C0</v>
      </c>
      <c r="D2776" t="s">
        <v>113</v>
      </c>
      <c r="E2776">
        <v>6</v>
      </c>
      <c r="H2776">
        <v>165</v>
      </c>
      <c r="I2776" t="s">
        <v>114</v>
      </c>
      <c r="J2776" t="s">
        <v>115</v>
      </c>
      <c r="K2776">
        <v>0</v>
      </c>
      <c r="L2776">
        <v>3</v>
      </c>
      <c r="M2776">
        <v>0</v>
      </c>
      <c r="N2776">
        <v>2</v>
      </c>
      <c r="O2776">
        <v>1</v>
      </c>
      <c r="P2776">
        <v>0</v>
      </c>
      <c r="Q2776">
        <v>0</v>
      </c>
      <c r="S2776" t="str">
        <f>"20:29:20.359"</f>
        <v>20:29:20.359</v>
      </c>
      <c r="T2776" t="str">
        <f>"20:29:19.959"</f>
        <v>20:29:19.959</v>
      </c>
      <c r="U2776" t="str">
        <f t="shared" si="134"/>
        <v>AB01F4</v>
      </c>
      <c r="V2776">
        <v>0</v>
      </c>
      <c r="W2776">
        <v>0</v>
      </c>
      <c r="X2776">
        <v>2</v>
      </c>
      <c r="Z2776">
        <v>0</v>
      </c>
      <c r="AA2776">
        <v>9</v>
      </c>
      <c r="AB2776">
        <v>3</v>
      </c>
      <c r="AC2776">
        <v>0</v>
      </c>
      <c r="AD2776">
        <v>10</v>
      </c>
      <c r="AE2776">
        <v>0</v>
      </c>
      <c r="AF2776">
        <v>3</v>
      </c>
      <c r="AG2776">
        <v>2</v>
      </c>
      <c r="AH2776">
        <v>0</v>
      </c>
      <c r="AI2776" t="s">
        <v>1637</v>
      </c>
      <c r="AJ2776">
        <v>40.024009</v>
      </c>
      <c r="AK2776" t="s">
        <v>1638</v>
      </c>
      <c r="AL2776">
        <v>-92.793638999999999</v>
      </c>
      <c r="AM2776">
        <v>100</v>
      </c>
      <c r="AN2776">
        <v>1500</v>
      </c>
      <c r="AO2776" t="s">
        <v>118</v>
      </c>
      <c r="AP2776">
        <v>-127</v>
      </c>
      <c r="AQ2776">
        <v>55</v>
      </c>
      <c r="AR2776">
        <v>-192</v>
      </c>
      <c r="AZ2776">
        <v>1200</v>
      </c>
      <c r="BA2776">
        <v>1</v>
      </c>
      <c r="BB2776" t="str">
        <f t="shared" si="133"/>
        <v xml:space="preserve">N8080G  </v>
      </c>
      <c r="BC2776">
        <v>1</v>
      </c>
      <c r="BE2776">
        <v>0</v>
      </c>
      <c r="BF2776">
        <v>0</v>
      </c>
      <c r="BG2776">
        <v>0</v>
      </c>
      <c r="BH2776">
        <v>1550</v>
      </c>
      <c r="BI2776">
        <v>1</v>
      </c>
      <c r="BJ2776">
        <v>1</v>
      </c>
      <c r="BK2776">
        <v>1</v>
      </c>
      <c r="BL2776">
        <v>0</v>
      </c>
      <c r="BO2776">
        <v>0</v>
      </c>
      <c r="BP2776">
        <v>0</v>
      </c>
      <c r="BW2776" t="str">
        <f>"20:29:20.366"</f>
        <v>20:29:20.366</v>
      </c>
      <c r="BZ2776">
        <v>0</v>
      </c>
      <c r="CA2776">
        <v>1792</v>
      </c>
      <c r="CB2776">
        <v>224</v>
      </c>
      <c r="CD2776">
        <v>1</v>
      </c>
      <c r="CE2776">
        <v>0</v>
      </c>
      <c r="CF2776">
        <v>0</v>
      </c>
      <c r="CG2776">
        <v>1</v>
      </c>
      <c r="CH2776">
        <v>0</v>
      </c>
      <c r="CI2776">
        <v>0</v>
      </c>
      <c r="CJ2776">
        <v>0</v>
      </c>
      <c r="CK2776">
        <v>2</v>
      </c>
      <c r="CL2776">
        <v>0</v>
      </c>
      <c r="CM2776">
        <v>2</v>
      </c>
      <c r="CN2776">
        <v>0</v>
      </c>
      <c r="CO2776">
        <v>3</v>
      </c>
      <c r="CP2776" t="s">
        <v>119</v>
      </c>
      <c r="CQ2776">
        <v>179</v>
      </c>
      <c r="CR2776">
        <v>1</v>
      </c>
      <c r="CW2776">
        <v>9078989</v>
      </c>
      <c r="CY2776">
        <v>1</v>
      </c>
      <c r="CZ2776">
        <v>0</v>
      </c>
      <c r="DA2776">
        <v>1</v>
      </c>
      <c r="DB2776">
        <v>0</v>
      </c>
      <c r="DC2776">
        <v>0</v>
      </c>
      <c r="DD2776">
        <v>0</v>
      </c>
      <c r="DE2776">
        <v>0</v>
      </c>
      <c r="DF2776">
        <v>0</v>
      </c>
      <c r="DG2776">
        <v>0</v>
      </c>
      <c r="DH2776">
        <v>0</v>
      </c>
      <c r="DI2776">
        <v>0</v>
      </c>
    </row>
    <row r="2777" spans="1:113" x14ac:dyDescent="0.3">
      <c r="A2777" t="str">
        <f>"02/08/2021 20:29:18.034"</f>
        <v>02/08/2021 20:29:18.034</v>
      </c>
      <c r="C2777" t="str">
        <f t="shared" si="132"/>
        <v>FFDFD7C0</v>
      </c>
      <c r="D2777" t="s">
        <v>124</v>
      </c>
      <c r="E2777">
        <v>13</v>
      </c>
      <c r="F2777">
        <v>1013</v>
      </c>
      <c r="G2777" t="s">
        <v>114</v>
      </c>
      <c r="J2777" t="s">
        <v>125</v>
      </c>
      <c r="K2777">
        <v>0</v>
      </c>
      <c r="L2777">
        <v>3</v>
      </c>
      <c r="M2777">
        <v>0</v>
      </c>
      <c r="N2777">
        <v>2</v>
      </c>
      <c r="O2777">
        <v>1</v>
      </c>
      <c r="P2777">
        <v>0</v>
      </c>
      <c r="Q2777">
        <v>0</v>
      </c>
      <c r="S2777" t="str">
        <f>"20:29:20.359"</f>
        <v>20:29:20.359</v>
      </c>
      <c r="T2777" t="str">
        <f>"20:29:19.959"</f>
        <v>20:29:19.959</v>
      </c>
      <c r="U2777" t="str">
        <f t="shared" si="134"/>
        <v>AB01F4</v>
      </c>
      <c r="V2777">
        <v>0</v>
      </c>
      <c r="W2777">
        <v>0</v>
      </c>
      <c r="X2777">
        <v>2</v>
      </c>
      <c r="Z2777">
        <v>0</v>
      </c>
      <c r="AA2777">
        <v>9</v>
      </c>
      <c r="AB2777">
        <v>3</v>
      </c>
      <c r="AC2777">
        <v>0</v>
      </c>
      <c r="AD2777">
        <v>10</v>
      </c>
      <c r="AE2777">
        <v>0</v>
      </c>
      <c r="AF2777">
        <v>3</v>
      </c>
      <c r="AG2777">
        <v>2</v>
      </c>
      <c r="AH2777">
        <v>0</v>
      </c>
      <c r="AI2777" t="s">
        <v>1637</v>
      </c>
      <c r="AJ2777">
        <v>40.024009</v>
      </c>
      <c r="AK2777" t="s">
        <v>1638</v>
      </c>
      <c r="AL2777">
        <v>-92.793638999999999</v>
      </c>
      <c r="AM2777">
        <v>100</v>
      </c>
      <c r="AN2777">
        <v>1500</v>
      </c>
      <c r="AO2777" t="s">
        <v>118</v>
      </c>
      <c r="AP2777">
        <v>-127</v>
      </c>
      <c r="AQ2777">
        <v>55</v>
      </c>
      <c r="AR2777">
        <v>-192</v>
      </c>
      <c r="AZ2777">
        <v>1200</v>
      </c>
      <c r="BA2777">
        <v>1</v>
      </c>
      <c r="BB2777" t="str">
        <f t="shared" si="133"/>
        <v xml:space="preserve">N8080G  </v>
      </c>
      <c r="BC2777">
        <v>1</v>
      </c>
      <c r="BE2777">
        <v>0</v>
      </c>
      <c r="BF2777">
        <v>0</v>
      </c>
      <c r="BG2777">
        <v>0</v>
      </c>
      <c r="BH2777">
        <v>1550</v>
      </c>
      <c r="BI2777">
        <v>1</v>
      </c>
      <c r="BJ2777">
        <v>1</v>
      </c>
      <c r="BK2777">
        <v>1</v>
      </c>
      <c r="BL2777">
        <v>0</v>
      </c>
      <c r="BO2777">
        <v>0</v>
      </c>
      <c r="BP2777">
        <v>0</v>
      </c>
      <c r="BW2777" t="str">
        <f>"20:29:20.366"</f>
        <v>20:29:20.366</v>
      </c>
      <c r="BZ2777">
        <v>0</v>
      </c>
      <c r="CA2777">
        <v>1792</v>
      </c>
      <c r="CB2777">
        <v>224</v>
      </c>
      <c r="CD2777">
        <v>1</v>
      </c>
      <c r="CE2777">
        <v>0</v>
      </c>
      <c r="CF2777">
        <v>0</v>
      </c>
      <c r="CG2777">
        <v>1</v>
      </c>
      <c r="CH2777">
        <v>0</v>
      </c>
      <c r="CI2777">
        <v>0</v>
      </c>
      <c r="CJ2777">
        <v>0</v>
      </c>
      <c r="CK2777">
        <v>2</v>
      </c>
      <c r="CL2777">
        <v>0</v>
      </c>
      <c r="CM2777">
        <v>2</v>
      </c>
      <c r="CN2777">
        <v>0</v>
      </c>
      <c r="CO2777">
        <v>3</v>
      </c>
      <c r="CP2777" t="s">
        <v>119</v>
      </c>
      <c r="CQ2777">
        <v>179</v>
      </c>
      <c r="CR2777">
        <v>1</v>
      </c>
      <c r="CW2777">
        <v>9078989</v>
      </c>
      <c r="CY2777">
        <v>1</v>
      </c>
      <c r="CZ2777">
        <v>0</v>
      </c>
      <c r="DA2777">
        <v>1</v>
      </c>
      <c r="DB2777">
        <v>0</v>
      </c>
      <c r="DC2777">
        <v>0</v>
      </c>
      <c r="DD2777">
        <v>0</v>
      </c>
      <c r="DE2777">
        <v>0</v>
      </c>
      <c r="DF2777">
        <v>0</v>
      </c>
      <c r="DG2777">
        <v>0</v>
      </c>
      <c r="DH2777">
        <v>0</v>
      </c>
      <c r="DI2777">
        <v>0</v>
      </c>
    </row>
    <row r="2778" spans="1:113" x14ac:dyDescent="0.3">
      <c r="A2778" t="str">
        <f>"02/08/2021 20:29:18.034"</f>
        <v>02/08/2021 20:29:18.034</v>
      </c>
      <c r="C2778" t="str">
        <f t="shared" si="132"/>
        <v>FFDFD7C0</v>
      </c>
      <c r="D2778" t="s">
        <v>124</v>
      </c>
      <c r="E2778">
        <v>12</v>
      </c>
      <c r="F2778">
        <v>1012</v>
      </c>
      <c r="G2778" t="s">
        <v>675</v>
      </c>
      <c r="J2778" t="s">
        <v>125</v>
      </c>
      <c r="K2778">
        <v>0</v>
      </c>
      <c r="L2778">
        <v>3</v>
      </c>
      <c r="M2778">
        <v>0</v>
      </c>
      <c r="N2778">
        <v>2</v>
      </c>
      <c r="O2778">
        <v>1</v>
      </c>
      <c r="P2778">
        <v>0</v>
      </c>
      <c r="Q2778">
        <v>0</v>
      </c>
      <c r="S2778" t="str">
        <f>"20:29:20.359"</f>
        <v>20:29:20.359</v>
      </c>
      <c r="T2778" t="str">
        <f>"20:29:19.959"</f>
        <v>20:29:19.959</v>
      </c>
      <c r="U2778" t="str">
        <f t="shared" si="134"/>
        <v>AB01F4</v>
      </c>
      <c r="V2778">
        <v>0</v>
      </c>
      <c r="W2778">
        <v>0</v>
      </c>
      <c r="X2778">
        <v>2</v>
      </c>
      <c r="Z2778">
        <v>0</v>
      </c>
      <c r="AA2778">
        <v>9</v>
      </c>
      <c r="AB2778">
        <v>3</v>
      </c>
      <c r="AC2778">
        <v>0</v>
      </c>
      <c r="AD2778">
        <v>10</v>
      </c>
      <c r="AE2778">
        <v>0</v>
      </c>
      <c r="AF2778">
        <v>3</v>
      </c>
      <c r="AG2778">
        <v>2</v>
      </c>
      <c r="AH2778">
        <v>0</v>
      </c>
      <c r="AI2778" t="s">
        <v>1637</v>
      </c>
      <c r="AJ2778">
        <v>40.024009</v>
      </c>
      <c r="AK2778" t="s">
        <v>1638</v>
      </c>
      <c r="AL2778">
        <v>-92.793638999999999</v>
      </c>
      <c r="AM2778">
        <v>100</v>
      </c>
      <c r="AN2778">
        <v>1500</v>
      </c>
      <c r="AO2778" t="s">
        <v>118</v>
      </c>
      <c r="AP2778">
        <v>-127</v>
      </c>
      <c r="AQ2778">
        <v>55</v>
      </c>
      <c r="AR2778">
        <v>-192</v>
      </c>
      <c r="AZ2778">
        <v>1200</v>
      </c>
      <c r="BA2778">
        <v>1</v>
      </c>
      <c r="BB2778" t="str">
        <f t="shared" si="133"/>
        <v xml:space="preserve">N8080G  </v>
      </c>
      <c r="BC2778">
        <v>1</v>
      </c>
      <c r="BE2778">
        <v>0</v>
      </c>
      <c r="BF2778">
        <v>0</v>
      </c>
      <c r="BG2778">
        <v>0</v>
      </c>
      <c r="BH2778">
        <v>1550</v>
      </c>
      <c r="BI2778">
        <v>1</v>
      </c>
      <c r="BJ2778">
        <v>1</v>
      </c>
      <c r="BK2778">
        <v>1</v>
      </c>
      <c r="BL2778">
        <v>0</v>
      </c>
      <c r="BO2778">
        <v>0</v>
      </c>
      <c r="BP2778">
        <v>0</v>
      </c>
      <c r="BW2778" t="str">
        <f>"20:29:20.366"</f>
        <v>20:29:20.366</v>
      </c>
      <c r="BZ2778">
        <v>0</v>
      </c>
      <c r="CA2778">
        <v>1792</v>
      </c>
      <c r="CB2778">
        <v>224</v>
      </c>
      <c r="CD2778">
        <v>1</v>
      </c>
      <c r="CE2778">
        <v>0</v>
      </c>
      <c r="CF2778">
        <v>0</v>
      </c>
      <c r="CG2778">
        <v>1</v>
      </c>
      <c r="CH2778">
        <v>0</v>
      </c>
      <c r="CI2778">
        <v>0</v>
      </c>
      <c r="CJ2778">
        <v>0</v>
      </c>
      <c r="CK2778">
        <v>2</v>
      </c>
      <c r="CL2778">
        <v>0</v>
      </c>
      <c r="CM2778">
        <v>2</v>
      </c>
      <c r="CN2778">
        <v>0</v>
      </c>
      <c r="CO2778">
        <v>3</v>
      </c>
      <c r="CP2778" t="s">
        <v>119</v>
      </c>
      <c r="CQ2778">
        <v>179</v>
      </c>
      <c r="CR2778">
        <v>1</v>
      </c>
      <c r="CW2778">
        <v>9078989</v>
      </c>
      <c r="CY2778">
        <v>1</v>
      </c>
      <c r="CZ2778">
        <v>0</v>
      </c>
      <c r="DA2778">
        <v>1</v>
      </c>
      <c r="DB2778">
        <v>0</v>
      </c>
      <c r="DC2778">
        <v>0</v>
      </c>
      <c r="DD2778">
        <v>0</v>
      </c>
      <c r="DE2778">
        <v>0</v>
      </c>
      <c r="DF2778">
        <v>0</v>
      </c>
      <c r="DG2778">
        <v>0</v>
      </c>
      <c r="DH2778">
        <v>0</v>
      </c>
      <c r="DI2778">
        <v>0</v>
      </c>
    </row>
    <row r="2779" spans="1:113" x14ac:dyDescent="0.3">
      <c r="A2779" t="str">
        <f>"02/08/2021 20:29:20.713"</f>
        <v>02/08/2021 20:29:20.713</v>
      </c>
      <c r="C2779" t="str">
        <f t="shared" si="132"/>
        <v>FFDFD7C0</v>
      </c>
      <c r="D2779" t="s">
        <v>124</v>
      </c>
      <c r="E2779">
        <v>13</v>
      </c>
      <c r="F2779">
        <v>1013</v>
      </c>
      <c r="G2779" t="s">
        <v>114</v>
      </c>
      <c r="J2779" t="s">
        <v>125</v>
      </c>
      <c r="K2779">
        <v>0</v>
      </c>
      <c r="L2779">
        <v>3</v>
      </c>
      <c r="M2779">
        <v>0</v>
      </c>
      <c r="N2779">
        <v>2</v>
      </c>
      <c r="O2779">
        <v>1</v>
      </c>
      <c r="P2779">
        <v>0</v>
      </c>
      <c r="Q2779">
        <v>0</v>
      </c>
      <c r="S2779" t="str">
        <f>"20:29:23.055"</f>
        <v>20:29:23.055</v>
      </c>
      <c r="T2779" t="str">
        <f>"20:29:22.655"</f>
        <v>20:29:22.655</v>
      </c>
      <c r="U2779" t="str">
        <f t="shared" si="134"/>
        <v>AB01F4</v>
      </c>
      <c r="V2779">
        <v>0</v>
      </c>
      <c r="W2779">
        <v>0</v>
      </c>
      <c r="X2779">
        <v>2</v>
      </c>
      <c r="Z2779">
        <v>0</v>
      </c>
      <c r="AA2779">
        <v>9</v>
      </c>
      <c r="AB2779">
        <v>3</v>
      </c>
      <c r="AC2779">
        <v>0</v>
      </c>
      <c r="AD2779">
        <v>10</v>
      </c>
      <c r="AE2779">
        <v>0</v>
      </c>
      <c r="AF2779">
        <v>3</v>
      </c>
      <c r="AG2779">
        <v>2</v>
      </c>
      <c r="AH2779">
        <v>0</v>
      </c>
      <c r="AI2779" t="s">
        <v>1639</v>
      </c>
      <c r="AJ2779">
        <v>40.024630999999999</v>
      </c>
      <c r="AK2779" t="s">
        <v>1640</v>
      </c>
      <c r="AL2779">
        <v>-92.795762999999994</v>
      </c>
      <c r="AM2779">
        <v>100</v>
      </c>
      <c r="AN2779">
        <v>1500</v>
      </c>
      <c r="AO2779" t="s">
        <v>118</v>
      </c>
      <c r="AP2779">
        <v>-130</v>
      </c>
      <c r="AQ2779">
        <v>50</v>
      </c>
      <c r="AR2779">
        <v>-128</v>
      </c>
      <c r="AZ2779">
        <v>1200</v>
      </c>
      <c r="BA2779">
        <v>1</v>
      </c>
      <c r="BB2779" t="str">
        <f t="shared" si="133"/>
        <v xml:space="preserve">N8080G  </v>
      </c>
      <c r="BC2779">
        <v>1</v>
      </c>
      <c r="BE2779">
        <v>0</v>
      </c>
      <c r="BF2779">
        <v>0</v>
      </c>
      <c r="BG2779">
        <v>0</v>
      </c>
      <c r="BH2779">
        <v>1550</v>
      </c>
      <c r="BI2779">
        <v>1</v>
      </c>
      <c r="BJ2779">
        <v>1</v>
      </c>
      <c r="BK2779">
        <v>1</v>
      </c>
      <c r="BL2779">
        <v>0</v>
      </c>
      <c r="BO2779">
        <v>0</v>
      </c>
      <c r="BP2779">
        <v>0</v>
      </c>
      <c r="BW2779" t="str">
        <f>"20:29:23.062"</f>
        <v>20:29:23.062</v>
      </c>
      <c r="BZ2779">
        <v>0</v>
      </c>
      <c r="CA2779">
        <v>1792</v>
      </c>
      <c r="CB2779">
        <v>224</v>
      </c>
      <c r="CD2779">
        <v>1</v>
      </c>
      <c r="CE2779">
        <v>0</v>
      </c>
      <c r="CF2779">
        <v>0</v>
      </c>
      <c r="CG2779">
        <v>1</v>
      </c>
      <c r="CH2779">
        <v>0</v>
      </c>
      <c r="CI2779">
        <v>0</v>
      </c>
      <c r="CJ2779">
        <v>0</v>
      </c>
      <c r="CK2779">
        <v>2</v>
      </c>
      <c r="CL2779">
        <v>0</v>
      </c>
      <c r="CM2779">
        <v>2</v>
      </c>
      <c r="CN2779">
        <v>0</v>
      </c>
      <c r="CO2779">
        <v>3</v>
      </c>
      <c r="CP2779" t="s">
        <v>119</v>
      </c>
      <c r="CQ2779">
        <v>179</v>
      </c>
      <c r="CR2779">
        <v>1</v>
      </c>
      <c r="CW2779">
        <v>9081312</v>
      </c>
      <c r="CY2779">
        <v>1</v>
      </c>
      <c r="CZ2779">
        <v>0</v>
      </c>
      <c r="DA2779">
        <v>0</v>
      </c>
      <c r="DB2779">
        <v>0</v>
      </c>
      <c r="DC2779">
        <v>0</v>
      </c>
      <c r="DD2779">
        <v>0</v>
      </c>
      <c r="DE2779">
        <v>0</v>
      </c>
      <c r="DF2779">
        <v>0</v>
      </c>
      <c r="DG2779">
        <v>0</v>
      </c>
      <c r="DH2779">
        <v>0</v>
      </c>
      <c r="DI2779">
        <v>0</v>
      </c>
    </row>
    <row r="2780" spans="1:113" x14ac:dyDescent="0.3">
      <c r="A2780" t="str">
        <f>"02/08/2021 20:29:20.713"</f>
        <v>02/08/2021 20:29:20.713</v>
      </c>
      <c r="C2780" t="str">
        <f t="shared" si="132"/>
        <v>FFDFD7C0</v>
      </c>
      <c r="D2780" t="s">
        <v>113</v>
      </c>
      <c r="E2780">
        <v>6</v>
      </c>
      <c r="H2780">
        <v>165</v>
      </c>
      <c r="I2780" t="s">
        <v>114</v>
      </c>
      <c r="J2780" t="s">
        <v>115</v>
      </c>
      <c r="K2780">
        <v>0</v>
      </c>
      <c r="L2780">
        <v>3</v>
      </c>
      <c r="M2780">
        <v>0</v>
      </c>
      <c r="N2780">
        <v>2</v>
      </c>
      <c r="O2780">
        <v>1</v>
      </c>
      <c r="P2780">
        <v>0</v>
      </c>
      <c r="Q2780">
        <v>0</v>
      </c>
      <c r="S2780" t="str">
        <f>"20:29:23.055"</f>
        <v>20:29:23.055</v>
      </c>
      <c r="T2780" t="str">
        <f>"20:29:22.655"</f>
        <v>20:29:22.655</v>
      </c>
      <c r="U2780" t="str">
        <f t="shared" si="134"/>
        <v>AB01F4</v>
      </c>
      <c r="V2780">
        <v>0</v>
      </c>
      <c r="W2780">
        <v>0</v>
      </c>
      <c r="X2780">
        <v>2</v>
      </c>
      <c r="Z2780">
        <v>0</v>
      </c>
      <c r="AA2780">
        <v>9</v>
      </c>
      <c r="AB2780">
        <v>3</v>
      </c>
      <c r="AC2780">
        <v>0</v>
      </c>
      <c r="AD2780">
        <v>10</v>
      </c>
      <c r="AE2780">
        <v>0</v>
      </c>
      <c r="AF2780">
        <v>3</v>
      </c>
      <c r="AG2780">
        <v>2</v>
      </c>
      <c r="AH2780">
        <v>0</v>
      </c>
      <c r="AI2780" t="s">
        <v>1639</v>
      </c>
      <c r="AJ2780">
        <v>40.024630999999999</v>
      </c>
      <c r="AK2780" t="s">
        <v>1640</v>
      </c>
      <c r="AL2780">
        <v>-92.795762999999994</v>
      </c>
      <c r="AM2780">
        <v>100</v>
      </c>
      <c r="AN2780">
        <v>1500</v>
      </c>
      <c r="AO2780" t="s">
        <v>118</v>
      </c>
      <c r="AP2780">
        <v>-130</v>
      </c>
      <c r="AQ2780">
        <v>50</v>
      </c>
      <c r="AR2780">
        <v>-128</v>
      </c>
      <c r="AZ2780">
        <v>1200</v>
      </c>
      <c r="BA2780">
        <v>1</v>
      </c>
      <c r="BB2780" t="str">
        <f t="shared" si="133"/>
        <v xml:space="preserve">N8080G  </v>
      </c>
      <c r="BC2780">
        <v>1</v>
      </c>
      <c r="BE2780">
        <v>0</v>
      </c>
      <c r="BF2780">
        <v>0</v>
      </c>
      <c r="BG2780">
        <v>0</v>
      </c>
      <c r="BH2780">
        <v>1550</v>
      </c>
      <c r="BI2780">
        <v>1</v>
      </c>
      <c r="BJ2780">
        <v>1</v>
      </c>
      <c r="BK2780">
        <v>1</v>
      </c>
      <c r="BL2780">
        <v>0</v>
      </c>
      <c r="BO2780">
        <v>0</v>
      </c>
      <c r="BP2780">
        <v>0</v>
      </c>
      <c r="BW2780" t="str">
        <f>"20:29:23.062"</f>
        <v>20:29:23.062</v>
      </c>
      <c r="BZ2780">
        <v>0</v>
      </c>
      <c r="CA2780">
        <v>1792</v>
      </c>
      <c r="CB2780">
        <v>224</v>
      </c>
      <c r="CD2780">
        <v>1</v>
      </c>
      <c r="CE2780">
        <v>0</v>
      </c>
      <c r="CF2780">
        <v>0</v>
      </c>
      <c r="CG2780">
        <v>1</v>
      </c>
      <c r="CH2780">
        <v>0</v>
      </c>
      <c r="CI2780">
        <v>0</v>
      </c>
      <c r="CJ2780">
        <v>0</v>
      </c>
      <c r="CK2780">
        <v>2</v>
      </c>
      <c r="CL2780">
        <v>0</v>
      </c>
      <c r="CM2780">
        <v>2</v>
      </c>
      <c r="CN2780">
        <v>0</v>
      </c>
      <c r="CO2780">
        <v>3</v>
      </c>
      <c r="CP2780" t="s">
        <v>119</v>
      </c>
      <c r="CQ2780">
        <v>179</v>
      </c>
      <c r="CR2780">
        <v>1</v>
      </c>
      <c r="CW2780">
        <v>9081312</v>
      </c>
      <c r="CY2780">
        <v>1</v>
      </c>
      <c r="CZ2780">
        <v>0</v>
      </c>
      <c r="DA2780">
        <v>1</v>
      </c>
      <c r="DB2780">
        <v>0</v>
      </c>
      <c r="DC2780">
        <v>0</v>
      </c>
      <c r="DD2780">
        <v>0</v>
      </c>
      <c r="DE2780">
        <v>0</v>
      </c>
      <c r="DF2780">
        <v>0</v>
      </c>
      <c r="DG2780">
        <v>0</v>
      </c>
      <c r="DH2780">
        <v>0</v>
      </c>
      <c r="DI2780">
        <v>0</v>
      </c>
    </row>
    <row r="2781" spans="1:113" x14ac:dyDescent="0.3">
      <c r="A2781" t="str">
        <f>"02/08/2021 20:29:20.713"</f>
        <v>02/08/2021 20:29:20.713</v>
      </c>
      <c r="C2781" t="str">
        <f t="shared" si="132"/>
        <v>FFDFD7C0</v>
      </c>
      <c r="D2781" t="s">
        <v>124</v>
      </c>
      <c r="E2781">
        <v>12</v>
      </c>
      <c r="F2781">
        <v>1012</v>
      </c>
      <c r="G2781" t="s">
        <v>675</v>
      </c>
      <c r="J2781" t="s">
        <v>125</v>
      </c>
      <c r="K2781">
        <v>0</v>
      </c>
      <c r="L2781">
        <v>3</v>
      </c>
      <c r="M2781">
        <v>0</v>
      </c>
      <c r="N2781">
        <v>2</v>
      </c>
      <c r="O2781">
        <v>1</v>
      </c>
      <c r="P2781">
        <v>0</v>
      </c>
      <c r="Q2781">
        <v>0</v>
      </c>
      <c r="S2781" t="str">
        <f>"20:29:23.055"</f>
        <v>20:29:23.055</v>
      </c>
      <c r="T2781" t="str">
        <f>"20:29:22.655"</f>
        <v>20:29:22.655</v>
      </c>
      <c r="U2781" t="str">
        <f t="shared" si="134"/>
        <v>AB01F4</v>
      </c>
      <c r="V2781">
        <v>0</v>
      </c>
      <c r="W2781">
        <v>0</v>
      </c>
      <c r="X2781">
        <v>2</v>
      </c>
      <c r="Z2781">
        <v>0</v>
      </c>
      <c r="AA2781">
        <v>9</v>
      </c>
      <c r="AB2781">
        <v>3</v>
      </c>
      <c r="AC2781">
        <v>0</v>
      </c>
      <c r="AD2781">
        <v>10</v>
      </c>
      <c r="AE2781">
        <v>0</v>
      </c>
      <c r="AF2781">
        <v>3</v>
      </c>
      <c r="AG2781">
        <v>2</v>
      </c>
      <c r="AH2781">
        <v>0</v>
      </c>
      <c r="AI2781" t="s">
        <v>1639</v>
      </c>
      <c r="AJ2781">
        <v>40.024630999999999</v>
      </c>
      <c r="AK2781" t="s">
        <v>1640</v>
      </c>
      <c r="AL2781">
        <v>-92.795762999999994</v>
      </c>
      <c r="AM2781">
        <v>100</v>
      </c>
      <c r="AN2781">
        <v>1500</v>
      </c>
      <c r="AO2781" t="s">
        <v>118</v>
      </c>
      <c r="AP2781">
        <v>-130</v>
      </c>
      <c r="AQ2781">
        <v>50</v>
      </c>
      <c r="AR2781">
        <v>-128</v>
      </c>
      <c r="AZ2781">
        <v>1200</v>
      </c>
      <c r="BA2781">
        <v>1</v>
      </c>
      <c r="BB2781" t="str">
        <f t="shared" si="133"/>
        <v xml:space="preserve">N8080G  </v>
      </c>
      <c r="BC2781">
        <v>1</v>
      </c>
      <c r="BE2781">
        <v>0</v>
      </c>
      <c r="BF2781">
        <v>0</v>
      </c>
      <c r="BG2781">
        <v>0</v>
      </c>
      <c r="BH2781">
        <v>1550</v>
      </c>
      <c r="BI2781">
        <v>1</v>
      </c>
      <c r="BJ2781">
        <v>1</v>
      </c>
      <c r="BK2781">
        <v>1</v>
      </c>
      <c r="BL2781">
        <v>0</v>
      </c>
      <c r="BO2781">
        <v>0</v>
      </c>
      <c r="BP2781">
        <v>0</v>
      </c>
      <c r="BW2781" t="str">
        <f>"20:29:23.062"</f>
        <v>20:29:23.062</v>
      </c>
      <c r="BZ2781">
        <v>0</v>
      </c>
      <c r="CA2781">
        <v>1792</v>
      </c>
      <c r="CB2781">
        <v>224</v>
      </c>
      <c r="CD2781">
        <v>1</v>
      </c>
      <c r="CE2781">
        <v>0</v>
      </c>
      <c r="CF2781">
        <v>0</v>
      </c>
      <c r="CG2781">
        <v>1</v>
      </c>
      <c r="CH2781">
        <v>0</v>
      </c>
      <c r="CI2781">
        <v>0</v>
      </c>
      <c r="CJ2781">
        <v>0</v>
      </c>
      <c r="CK2781">
        <v>2</v>
      </c>
      <c r="CL2781">
        <v>0</v>
      </c>
      <c r="CM2781">
        <v>2</v>
      </c>
      <c r="CN2781">
        <v>0</v>
      </c>
      <c r="CO2781">
        <v>3</v>
      </c>
      <c r="CP2781" t="s">
        <v>119</v>
      </c>
      <c r="CQ2781">
        <v>179</v>
      </c>
      <c r="CR2781">
        <v>1</v>
      </c>
      <c r="CW2781">
        <v>9081312</v>
      </c>
      <c r="CY2781">
        <v>1</v>
      </c>
      <c r="CZ2781">
        <v>0</v>
      </c>
      <c r="DA2781">
        <v>1</v>
      </c>
      <c r="DB2781">
        <v>0</v>
      </c>
      <c r="DC2781">
        <v>0</v>
      </c>
      <c r="DD2781">
        <v>0</v>
      </c>
      <c r="DE2781">
        <v>0</v>
      </c>
      <c r="DF2781">
        <v>0</v>
      </c>
      <c r="DG2781">
        <v>0</v>
      </c>
      <c r="DH2781">
        <v>0</v>
      </c>
      <c r="DI2781">
        <v>0</v>
      </c>
    </row>
    <row r="2782" spans="1:113" x14ac:dyDescent="0.3">
      <c r="A2782" t="str">
        <f>"02/08/2021 20:29:20.713"</f>
        <v>02/08/2021 20:29:20.713</v>
      </c>
      <c r="C2782" t="str">
        <f t="shared" si="132"/>
        <v>FFDFD7C0</v>
      </c>
      <c r="D2782" t="s">
        <v>124</v>
      </c>
      <c r="E2782">
        <v>11</v>
      </c>
      <c r="F2782">
        <v>1011</v>
      </c>
      <c r="G2782" t="s">
        <v>590</v>
      </c>
      <c r="J2782" t="s">
        <v>125</v>
      </c>
      <c r="K2782">
        <v>0</v>
      </c>
      <c r="L2782">
        <v>3</v>
      </c>
      <c r="M2782">
        <v>0</v>
      </c>
      <c r="N2782">
        <v>2</v>
      </c>
      <c r="O2782">
        <v>1</v>
      </c>
      <c r="P2782">
        <v>0</v>
      </c>
      <c r="Q2782">
        <v>0</v>
      </c>
      <c r="S2782" t="str">
        <f>"20:29:23.055"</f>
        <v>20:29:23.055</v>
      </c>
      <c r="T2782" t="str">
        <f>"20:29:22.655"</f>
        <v>20:29:22.655</v>
      </c>
      <c r="U2782" t="str">
        <f t="shared" si="134"/>
        <v>AB01F4</v>
      </c>
      <c r="V2782">
        <v>0</v>
      </c>
      <c r="W2782">
        <v>0</v>
      </c>
      <c r="X2782">
        <v>2</v>
      </c>
      <c r="Z2782">
        <v>0</v>
      </c>
      <c r="AA2782">
        <v>9</v>
      </c>
      <c r="AB2782">
        <v>3</v>
      </c>
      <c r="AC2782">
        <v>0</v>
      </c>
      <c r="AD2782">
        <v>10</v>
      </c>
      <c r="AE2782">
        <v>0</v>
      </c>
      <c r="AF2782">
        <v>3</v>
      </c>
      <c r="AG2782">
        <v>2</v>
      </c>
      <c r="AH2782">
        <v>0</v>
      </c>
      <c r="AI2782" t="s">
        <v>1639</v>
      </c>
      <c r="AJ2782">
        <v>40.024630999999999</v>
      </c>
      <c r="AK2782" t="s">
        <v>1640</v>
      </c>
      <c r="AL2782">
        <v>-92.795762999999994</v>
      </c>
      <c r="AM2782">
        <v>100</v>
      </c>
      <c r="AN2782">
        <v>1500</v>
      </c>
      <c r="AO2782" t="s">
        <v>118</v>
      </c>
      <c r="AP2782">
        <v>-130</v>
      </c>
      <c r="AQ2782">
        <v>50</v>
      </c>
      <c r="AR2782">
        <v>-128</v>
      </c>
      <c r="AZ2782">
        <v>1200</v>
      </c>
      <c r="BA2782">
        <v>1</v>
      </c>
      <c r="BB2782" t="str">
        <f t="shared" si="133"/>
        <v xml:space="preserve">N8080G  </v>
      </c>
      <c r="BC2782">
        <v>1</v>
      </c>
      <c r="BE2782">
        <v>0</v>
      </c>
      <c r="BF2782">
        <v>0</v>
      </c>
      <c r="BG2782">
        <v>0</v>
      </c>
      <c r="BH2782">
        <v>1550</v>
      </c>
      <c r="BI2782">
        <v>1</v>
      </c>
      <c r="BJ2782">
        <v>1</v>
      </c>
      <c r="BK2782">
        <v>1</v>
      </c>
      <c r="BL2782">
        <v>0</v>
      </c>
      <c r="BO2782">
        <v>0</v>
      </c>
      <c r="BP2782">
        <v>0</v>
      </c>
      <c r="BW2782" t="str">
        <f>"20:29:23.062"</f>
        <v>20:29:23.062</v>
      </c>
      <c r="BZ2782">
        <v>0</v>
      </c>
      <c r="CA2782">
        <v>1792</v>
      </c>
      <c r="CB2782">
        <v>224</v>
      </c>
      <c r="CD2782">
        <v>1</v>
      </c>
      <c r="CE2782">
        <v>0</v>
      </c>
      <c r="CF2782">
        <v>0</v>
      </c>
      <c r="CG2782">
        <v>1</v>
      </c>
      <c r="CH2782">
        <v>0</v>
      </c>
      <c r="CI2782">
        <v>0</v>
      </c>
      <c r="CJ2782">
        <v>0</v>
      </c>
      <c r="CK2782">
        <v>2</v>
      </c>
      <c r="CL2782">
        <v>0</v>
      </c>
      <c r="CM2782">
        <v>2</v>
      </c>
      <c r="CN2782">
        <v>0</v>
      </c>
      <c r="CO2782">
        <v>3</v>
      </c>
      <c r="CP2782" t="s">
        <v>119</v>
      </c>
      <c r="CQ2782">
        <v>179</v>
      </c>
      <c r="CR2782">
        <v>1</v>
      </c>
      <c r="CW2782">
        <v>9081312</v>
      </c>
      <c r="CY2782">
        <v>1</v>
      </c>
      <c r="CZ2782">
        <v>0</v>
      </c>
      <c r="DA2782">
        <v>1</v>
      </c>
      <c r="DB2782">
        <v>0</v>
      </c>
      <c r="DC2782">
        <v>0</v>
      </c>
      <c r="DD2782">
        <v>0</v>
      </c>
      <c r="DE2782">
        <v>0</v>
      </c>
      <c r="DF2782">
        <v>0</v>
      </c>
      <c r="DG2782">
        <v>0</v>
      </c>
      <c r="DH2782">
        <v>0</v>
      </c>
      <c r="DI2782">
        <v>0</v>
      </c>
    </row>
    <row r="2783" spans="1:113" x14ac:dyDescent="0.3">
      <c r="A2783" t="str">
        <f>"02/08/2021 20:29:21.762"</f>
        <v>02/08/2021 20:29:21.762</v>
      </c>
      <c r="C2783" t="str">
        <f t="shared" si="132"/>
        <v>FFDFD7C0</v>
      </c>
      <c r="D2783" t="s">
        <v>124</v>
      </c>
      <c r="E2783">
        <v>11</v>
      </c>
      <c r="F2783">
        <v>1011</v>
      </c>
      <c r="G2783" t="s">
        <v>590</v>
      </c>
      <c r="J2783" t="s">
        <v>125</v>
      </c>
      <c r="K2783">
        <v>0</v>
      </c>
      <c r="L2783">
        <v>3</v>
      </c>
      <c r="M2783">
        <v>0</v>
      </c>
      <c r="N2783">
        <v>2</v>
      </c>
      <c r="O2783">
        <v>1</v>
      </c>
      <c r="P2783">
        <v>0</v>
      </c>
      <c r="Q2783">
        <v>0</v>
      </c>
      <c r="S2783" t="str">
        <f>"20:29:24.086"</f>
        <v>20:29:24.086</v>
      </c>
      <c r="T2783" t="str">
        <f>"20:29:23.686"</f>
        <v>20:29:23.686</v>
      </c>
      <c r="U2783" t="str">
        <f t="shared" si="134"/>
        <v>AB01F4</v>
      </c>
      <c r="V2783">
        <v>0</v>
      </c>
      <c r="W2783">
        <v>0</v>
      </c>
      <c r="X2783">
        <v>2</v>
      </c>
      <c r="Z2783">
        <v>0</v>
      </c>
      <c r="AA2783">
        <v>9</v>
      </c>
      <c r="AB2783">
        <v>3</v>
      </c>
      <c r="AC2783">
        <v>0</v>
      </c>
      <c r="AD2783">
        <v>10</v>
      </c>
      <c r="AE2783">
        <v>0</v>
      </c>
      <c r="AF2783">
        <v>3</v>
      </c>
      <c r="AG2783">
        <v>2</v>
      </c>
      <c r="AH2783">
        <v>0</v>
      </c>
      <c r="AI2783" t="s">
        <v>1641</v>
      </c>
      <c r="AJ2783">
        <v>40.024867</v>
      </c>
      <c r="AK2783" t="s">
        <v>1642</v>
      </c>
      <c r="AL2783">
        <v>-92.796514000000002</v>
      </c>
      <c r="AM2783">
        <v>100</v>
      </c>
      <c r="AN2783">
        <v>1500</v>
      </c>
      <c r="AO2783" t="s">
        <v>118</v>
      </c>
      <c r="AP2783">
        <v>-131</v>
      </c>
      <c r="AQ2783">
        <v>47</v>
      </c>
      <c r="AR2783">
        <v>-128</v>
      </c>
      <c r="AZ2783">
        <v>1200</v>
      </c>
      <c r="BA2783">
        <v>1</v>
      </c>
      <c r="BB2783" t="str">
        <f t="shared" si="133"/>
        <v xml:space="preserve">N8080G  </v>
      </c>
      <c r="BC2783">
        <v>1</v>
      </c>
      <c r="BE2783">
        <v>0</v>
      </c>
      <c r="BF2783">
        <v>0</v>
      </c>
      <c r="BG2783">
        <v>0</v>
      </c>
      <c r="BH2783">
        <v>1550</v>
      </c>
      <c r="BI2783">
        <v>1</v>
      </c>
      <c r="BJ2783">
        <v>1</v>
      </c>
      <c r="BK2783">
        <v>1</v>
      </c>
      <c r="BL2783">
        <v>0</v>
      </c>
      <c r="BO2783">
        <v>0</v>
      </c>
      <c r="BP2783">
        <v>0</v>
      </c>
      <c r="BW2783" t="str">
        <f>"20:29:24.091"</f>
        <v>20:29:24.091</v>
      </c>
      <c r="BZ2783">
        <v>0</v>
      </c>
      <c r="CA2783">
        <v>1792</v>
      </c>
      <c r="CB2783">
        <v>224</v>
      </c>
      <c r="CD2783">
        <v>1</v>
      </c>
      <c r="CE2783">
        <v>0</v>
      </c>
      <c r="CF2783">
        <v>0</v>
      </c>
      <c r="CG2783">
        <v>1</v>
      </c>
      <c r="CH2783">
        <v>0</v>
      </c>
      <c r="CI2783">
        <v>0</v>
      </c>
      <c r="CJ2783">
        <v>0</v>
      </c>
      <c r="CK2783">
        <v>2</v>
      </c>
      <c r="CL2783">
        <v>0</v>
      </c>
      <c r="CM2783">
        <v>2</v>
      </c>
      <c r="CN2783">
        <v>0</v>
      </c>
      <c r="CO2783">
        <v>3</v>
      </c>
      <c r="CP2783" t="s">
        <v>119</v>
      </c>
      <c r="CQ2783">
        <v>179</v>
      </c>
      <c r="CR2783">
        <v>1</v>
      </c>
      <c r="CW2783">
        <v>9082279</v>
      </c>
      <c r="CY2783">
        <v>1</v>
      </c>
      <c r="CZ2783">
        <v>0</v>
      </c>
      <c r="DA2783">
        <v>0</v>
      </c>
      <c r="DB2783">
        <v>0</v>
      </c>
      <c r="DC2783">
        <v>0</v>
      </c>
      <c r="DD2783">
        <v>0</v>
      </c>
      <c r="DE2783">
        <v>0</v>
      </c>
      <c r="DF2783">
        <v>0</v>
      </c>
      <c r="DG2783">
        <v>0</v>
      </c>
      <c r="DH2783">
        <v>0</v>
      </c>
      <c r="DI2783">
        <v>0</v>
      </c>
    </row>
    <row r="2784" spans="1:113" x14ac:dyDescent="0.3">
      <c r="A2784" t="str">
        <f>"02/08/2021 20:29:21.762"</f>
        <v>02/08/2021 20:29:21.762</v>
      </c>
      <c r="C2784" t="str">
        <f t="shared" si="132"/>
        <v>FFDFD7C0</v>
      </c>
      <c r="D2784" t="s">
        <v>124</v>
      </c>
      <c r="E2784">
        <v>13</v>
      </c>
      <c r="F2784">
        <v>1013</v>
      </c>
      <c r="G2784" t="s">
        <v>114</v>
      </c>
      <c r="J2784" t="s">
        <v>125</v>
      </c>
      <c r="K2784">
        <v>0</v>
      </c>
      <c r="L2784">
        <v>3</v>
      </c>
      <c r="M2784">
        <v>0</v>
      </c>
      <c r="N2784">
        <v>2</v>
      </c>
      <c r="O2784">
        <v>1</v>
      </c>
      <c r="P2784">
        <v>0</v>
      </c>
      <c r="Q2784">
        <v>0</v>
      </c>
      <c r="S2784" t="str">
        <f>"20:29:24.086"</f>
        <v>20:29:24.086</v>
      </c>
      <c r="T2784" t="str">
        <f>"20:29:23.686"</f>
        <v>20:29:23.686</v>
      </c>
      <c r="U2784" t="str">
        <f t="shared" si="134"/>
        <v>AB01F4</v>
      </c>
      <c r="V2784">
        <v>0</v>
      </c>
      <c r="W2784">
        <v>0</v>
      </c>
      <c r="X2784">
        <v>2</v>
      </c>
      <c r="Z2784">
        <v>0</v>
      </c>
      <c r="AA2784">
        <v>9</v>
      </c>
      <c r="AB2784">
        <v>3</v>
      </c>
      <c r="AC2784">
        <v>0</v>
      </c>
      <c r="AD2784">
        <v>10</v>
      </c>
      <c r="AE2784">
        <v>0</v>
      </c>
      <c r="AF2784">
        <v>3</v>
      </c>
      <c r="AG2784">
        <v>2</v>
      </c>
      <c r="AH2784">
        <v>0</v>
      </c>
      <c r="AI2784" t="s">
        <v>1641</v>
      </c>
      <c r="AJ2784">
        <v>40.024867</v>
      </c>
      <c r="AK2784" t="s">
        <v>1642</v>
      </c>
      <c r="AL2784">
        <v>-92.796514000000002</v>
      </c>
      <c r="AM2784">
        <v>100</v>
      </c>
      <c r="AN2784">
        <v>1500</v>
      </c>
      <c r="AO2784" t="s">
        <v>118</v>
      </c>
      <c r="AP2784">
        <v>-131</v>
      </c>
      <c r="AQ2784">
        <v>47</v>
      </c>
      <c r="AR2784">
        <v>-128</v>
      </c>
      <c r="AZ2784">
        <v>1200</v>
      </c>
      <c r="BA2784">
        <v>1</v>
      </c>
      <c r="BB2784" t="str">
        <f t="shared" si="133"/>
        <v xml:space="preserve">N8080G  </v>
      </c>
      <c r="BC2784">
        <v>1</v>
      </c>
      <c r="BE2784">
        <v>0</v>
      </c>
      <c r="BF2784">
        <v>0</v>
      </c>
      <c r="BG2784">
        <v>0</v>
      </c>
      <c r="BH2784">
        <v>1550</v>
      </c>
      <c r="BI2784">
        <v>1</v>
      </c>
      <c r="BJ2784">
        <v>1</v>
      </c>
      <c r="BK2784">
        <v>1</v>
      </c>
      <c r="BL2784">
        <v>0</v>
      </c>
      <c r="BO2784">
        <v>0</v>
      </c>
      <c r="BP2784">
        <v>0</v>
      </c>
      <c r="BW2784" t="str">
        <f>"20:29:24.091"</f>
        <v>20:29:24.091</v>
      </c>
      <c r="BZ2784">
        <v>0</v>
      </c>
      <c r="CA2784">
        <v>1792</v>
      </c>
      <c r="CB2784">
        <v>224</v>
      </c>
      <c r="CD2784">
        <v>1</v>
      </c>
      <c r="CE2784">
        <v>0</v>
      </c>
      <c r="CF2784">
        <v>0</v>
      </c>
      <c r="CG2784">
        <v>1</v>
      </c>
      <c r="CH2784">
        <v>0</v>
      </c>
      <c r="CI2784">
        <v>0</v>
      </c>
      <c r="CJ2784">
        <v>0</v>
      </c>
      <c r="CK2784">
        <v>2</v>
      </c>
      <c r="CL2784">
        <v>0</v>
      </c>
      <c r="CM2784">
        <v>2</v>
      </c>
      <c r="CN2784">
        <v>0</v>
      </c>
      <c r="CO2784">
        <v>3</v>
      </c>
      <c r="CP2784" t="s">
        <v>119</v>
      </c>
      <c r="CQ2784">
        <v>179</v>
      </c>
      <c r="CR2784">
        <v>1</v>
      </c>
      <c r="CW2784">
        <v>9082279</v>
      </c>
      <c r="CY2784">
        <v>1</v>
      </c>
      <c r="CZ2784">
        <v>0</v>
      </c>
      <c r="DA2784">
        <v>1</v>
      </c>
      <c r="DB2784">
        <v>0</v>
      </c>
      <c r="DC2784">
        <v>0</v>
      </c>
      <c r="DD2784">
        <v>0</v>
      </c>
      <c r="DE2784">
        <v>0</v>
      </c>
      <c r="DF2784">
        <v>0</v>
      </c>
      <c r="DG2784">
        <v>0</v>
      </c>
      <c r="DH2784">
        <v>0</v>
      </c>
      <c r="DI2784">
        <v>0</v>
      </c>
    </row>
    <row r="2785" spans="1:113" x14ac:dyDescent="0.3">
      <c r="A2785" t="str">
        <f>"02/08/2021 20:29:21.762"</f>
        <v>02/08/2021 20:29:21.762</v>
      </c>
      <c r="C2785" t="str">
        <f t="shared" si="132"/>
        <v>FFDFD7C0</v>
      </c>
      <c r="D2785" t="s">
        <v>113</v>
      </c>
      <c r="E2785">
        <v>6</v>
      </c>
      <c r="H2785">
        <v>165</v>
      </c>
      <c r="I2785" t="s">
        <v>114</v>
      </c>
      <c r="J2785" t="s">
        <v>115</v>
      </c>
      <c r="K2785">
        <v>0</v>
      </c>
      <c r="L2785">
        <v>3</v>
      </c>
      <c r="M2785">
        <v>0</v>
      </c>
      <c r="N2785">
        <v>2</v>
      </c>
      <c r="O2785">
        <v>1</v>
      </c>
      <c r="P2785">
        <v>0</v>
      </c>
      <c r="Q2785">
        <v>0</v>
      </c>
      <c r="S2785" t="str">
        <f>"20:29:24.086"</f>
        <v>20:29:24.086</v>
      </c>
      <c r="T2785" t="str">
        <f>"20:29:23.686"</f>
        <v>20:29:23.686</v>
      </c>
      <c r="U2785" t="str">
        <f t="shared" si="134"/>
        <v>AB01F4</v>
      </c>
      <c r="V2785">
        <v>0</v>
      </c>
      <c r="W2785">
        <v>0</v>
      </c>
      <c r="X2785">
        <v>2</v>
      </c>
      <c r="Z2785">
        <v>0</v>
      </c>
      <c r="AA2785">
        <v>9</v>
      </c>
      <c r="AB2785">
        <v>3</v>
      </c>
      <c r="AC2785">
        <v>0</v>
      </c>
      <c r="AD2785">
        <v>10</v>
      </c>
      <c r="AE2785">
        <v>0</v>
      </c>
      <c r="AF2785">
        <v>3</v>
      </c>
      <c r="AG2785">
        <v>2</v>
      </c>
      <c r="AH2785">
        <v>0</v>
      </c>
      <c r="AI2785" t="s">
        <v>1641</v>
      </c>
      <c r="AJ2785">
        <v>40.024867</v>
      </c>
      <c r="AK2785" t="s">
        <v>1642</v>
      </c>
      <c r="AL2785">
        <v>-92.796514000000002</v>
      </c>
      <c r="AM2785">
        <v>100</v>
      </c>
      <c r="AN2785">
        <v>1500</v>
      </c>
      <c r="AO2785" t="s">
        <v>118</v>
      </c>
      <c r="AP2785">
        <v>-131</v>
      </c>
      <c r="AQ2785">
        <v>47</v>
      </c>
      <c r="AR2785">
        <v>-128</v>
      </c>
      <c r="AZ2785">
        <v>1200</v>
      </c>
      <c r="BA2785">
        <v>1</v>
      </c>
      <c r="BB2785" t="str">
        <f t="shared" si="133"/>
        <v xml:space="preserve">N8080G  </v>
      </c>
      <c r="BC2785">
        <v>1</v>
      </c>
      <c r="BE2785">
        <v>0</v>
      </c>
      <c r="BF2785">
        <v>0</v>
      </c>
      <c r="BG2785">
        <v>0</v>
      </c>
      <c r="BH2785">
        <v>1550</v>
      </c>
      <c r="BI2785">
        <v>1</v>
      </c>
      <c r="BJ2785">
        <v>1</v>
      </c>
      <c r="BK2785">
        <v>1</v>
      </c>
      <c r="BL2785">
        <v>0</v>
      </c>
      <c r="BO2785">
        <v>0</v>
      </c>
      <c r="BP2785">
        <v>0</v>
      </c>
      <c r="BW2785" t="str">
        <f>"20:29:24.091"</f>
        <v>20:29:24.091</v>
      </c>
      <c r="BZ2785">
        <v>0</v>
      </c>
      <c r="CA2785">
        <v>1792</v>
      </c>
      <c r="CB2785">
        <v>224</v>
      </c>
      <c r="CD2785">
        <v>1</v>
      </c>
      <c r="CE2785">
        <v>0</v>
      </c>
      <c r="CF2785">
        <v>0</v>
      </c>
      <c r="CG2785">
        <v>1</v>
      </c>
      <c r="CH2785">
        <v>0</v>
      </c>
      <c r="CI2785">
        <v>0</v>
      </c>
      <c r="CJ2785">
        <v>0</v>
      </c>
      <c r="CK2785">
        <v>2</v>
      </c>
      <c r="CL2785">
        <v>0</v>
      </c>
      <c r="CM2785">
        <v>2</v>
      </c>
      <c r="CN2785">
        <v>0</v>
      </c>
      <c r="CO2785">
        <v>3</v>
      </c>
      <c r="CP2785" t="s">
        <v>119</v>
      </c>
      <c r="CQ2785">
        <v>179</v>
      </c>
      <c r="CR2785">
        <v>1</v>
      </c>
      <c r="CW2785">
        <v>9082279</v>
      </c>
      <c r="CY2785">
        <v>1</v>
      </c>
      <c r="CZ2785">
        <v>0</v>
      </c>
      <c r="DA2785">
        <v>1</v>
      </c>
      <c r="DB2785">
        <v>0</v>
      </c>
      <c r="DC2785">
        <v>0</v>
      </c>
      <c r="DD2785">
        <v>0</v>
      </c>
      <c r="DE2785">
        <v>0</v>
      </c>
      <c r="DF2785">
        <v>0</v>
      </c>
      <c r="DG2785">
        <v>0</v>
      </c>
      <c r="DH2785">
        <v>0</v>
      </c>
      <c r="DI2785">
        <v>0</v>
      </c>
    </row>
    <row r="2786" spans="1:113" x14ac:dyDescent="0.3">
      <c r="A2786" t="str">
        <f>"02/08/2021 20:29:21.762"</f>
        <v>02/08/2021 20:29:21.762</v>
      </c>
      <c r="C2786" t="str">
        <f t="shared" si="132"/>
        <v>FFDFD7C0</v>
      </c>
      <c r="D2786" t="s">
        <v>124</v>
      </c>
      <c r="E2786">
        <v>12</v>
      </c>
      <c r="F2786">
        <v>1012</v>
      </c>
      <c r="G2786" t="s">
        <v>675</v>
      </c>
      <c r="J2786" t="s">
        <v>125</v>
      </c>
      <c r="K2786">
        <v>0</v>
      </c>
      <c r="L2786">
        <v>3</v>
      </c>
      <c r="M2786">
        <v>0</v>
      </c>
      <c r="N2786">
        <v>2</v>
      </c>
      <c r="O2786">
        <v>1</v>
      </c>
      <c r="P2786">
        <v>0</v>
      </c>
      <c r="Q2786">
        <v>0</v>
      </c>
      <c r="S2786" t="str">
        <f>"20:29:24.086"</f>
        <v>20:29:24.086</v>
      </c>
      <c r="T2786" t="str">
        <f>"20:29:23.686"</f>
        <v>20:29:23.686</v>
      </c>
      <c r="U2786" t="str">
        <f t="shared" si="134"/>
        <v>AB01F4</v>
      </c>
      <c r="V2786">
        <v>0</v>
      </c>
      <c r="W2786">
        <v>0</v>
      </c>
      <c r="X2786">
        <v>2</v>
      </c>
      <c r="Z2786">
        <v>0</v>
      </c>
      <c r="AA2786">
        <v>9</v>
      </c>
      <c r="AB2786">
        <v>3</v>
      </c>
      <c r="AC2786">
        <v>0</v>
      </c>
      <c r="AD2786">
        <v>10</v>
      </c>
      <c r="AE2786">
        <v>0</v>
      </c>
      <c r="AF2786">
        <v>3</v>
      </c>
      <c r="AG2786">
        <v>2</v>
      </c>
      <c r="AH2786">
        <v>0</v>
      </c>
      <c r="AI2786" t="s">
        <v>1641</v>
      </c>
      <c r="AJ2786">
        <v>40.024867</v>
      </c>
      <c r="AK2786" t="s">
        <v>1642</v>
      </c>
      <c r="AL2786">
        <v>-92.796514000000002</v>
      </c>
      <c r="AM2786">
        <v>100</v>
      </c>
      <c r="AN2786">
        <v>1500</v>
      </c>
      <c r="AO2786" t="s">
        <v>118</v>
      </c>
      <c r="AP2786">
        <v>-131</v>
      </c>
      <c r="AQ2786">
        <v>47</v>
      </c>
      <c r="AR2786">
        <v>-128</v>
      </c>
      <c r="AZ2786">
        <v>1200</v>
      </c>
      <c r="BA2786">
        <v>1</v>
      </c>
      <c r="BB2786" t="str">
        <f t="shared" si="133"/>
        <v xml:space="preserve">N8080G  </v>
      </c>
      <c r="BC2786">
        <v>1</v>
      </c>
      <c r="BE2786">
        <v>0</v>
      </c>
      <c r="BF2786">
        <v>0</v>
      </c>
      <c r="BG2786">
        <v>0</v>
      </c>
      <c r="BH2786">
        <v>1550</v>
      </c>
      <c r="BI2786">
        <v>1</v>
      </c>
      <c r="BJ2786">
        <v>1</v>
      </c>
      <c r="BK2786">
        <v>1</v>
      </c>
      <c r="BL2786">
        <v>0</v>
      </c>
      <c r="BO2786">
        <v>0</v>
      </c>
      <c r="BP2786">
        <v>0</v>
      </c>
      <c r="BW2786" t="str">
        <f>"20:29:24.091"</f>
        <v>20:29:24.091</v>
      </c>
      <c r="BZ2786">
        <v>0</v>
      </c>
      <c r="CA2786">
        <v>1792</v>
      </c>
      <c r="CB2786">
        <v>224</v>
      </c>
      <c r="CD2786">
        <v>1</v>
      </c>
      <c r="CE2786">
        <v>0</v>
      </c>
      <c r="CF2786">
        <v>0</v>
      </c>
      <c r="CG2786">
        <v>1</v>
      </c>
      <c r="CH2786">
        <v>0</v>
      </c>
      <c r="CI2786">
        <v>0</v>
      </c>
      <c r="CJ2786">
        <v>0</v>
      </c>
      <c r="CK2786">
        <v>2</v>
      </c>
      <c r="CL2786">
        <v>0</v>
      </c>
      <c r="CM2786">
        <v>2</v>
      </c>
      <c r="CN2786">
        <v>0</v>
      </c>
      <c r="CO2786">
        <v>3</v>
      </c>
      <c r="CP2786" t="s">
        <v>119</v>
      </c>
      <c r="CQ2786">
        <v>179</v>
      </c>
      <c r="CR2786">
        <v>1</v>
      </c>
      <c r="CW2786">
        <v>9082279</v>
      </c>
      <c r="CY2786">
        <v>1</v>
      </c>
      <c r="CZ2786">
        <v>0</v>
      </c>
      <c r="DA2786">
        <v>1</v>
      </c>
      <c r="DB2786">
        <v>0</v>
      </c>
      <c r="DC2786">
        <v>0</v>
      </c>
      <c r="DD2786">
        <v>0</v>
      </c>
      <c r="DE2786">
        <v>0</v>
      </c>
      <c r="DF2786">
        <v>0</v>
      </c>
      <c r="DG2786">
        <v>0</v>
      </c>
      <c r="DH2786">
        <v>0</v>
      </c>
      <c r="DI2786">
        <v>0</v>
      </c>
    </row>
    <row r="2787" spans="1:113" x14ac:dyDescent="0.3">
      <c r="A2787" t="str">
        <f>"02/08/2021 20:29:22.920"</f>
        <v>02/08/2021 20:29:22.920</v>
      </c>
      <c r="C2787" t="str">
        <f t="shared" si="132"/>
        <v>FFDFD7C0</v>
      </c>
      <c r="D2787" t="s">
        <v>124</v>
      </c>
      <c r="E2787">
        <v>11</v>
      </c>
      <c r="F2787">
        <v>1011</v>
      </c>
      <c r="G2787" t="s">
        <v>590</v>
      </c>
      <c r="J2787" t="s">
        <v>125</v>
      </c>
      <c r="K2787">
        <v>0</v>
      </c>
      <c r="L2787">
        <v>3</v>
      </c>
      <c r="M2787">
        <v>0</v>
      </c>
      <c r="N2787">
        <v>2</v>
      </c>
      <c r="O2787">
        <v>1</v>
      </c>
      <c r="P2787">
        <v>0</v>
      </c>
      <c r="Q2787">
        <v>0</v>
      </c>
      <c r="S2787" t="str">
        <f>"20:29:25.242"</f>
        <v>20:29:25.242</v>
      </c>
      <c r="T2787" t="str">
        <f>"20:29:24.742"</f>
        <v>20:29:24.742</v>
      </c>
      <c r="U2787" t="str">
        <f t="shared" si="134"/>
        <v>AB01F4</v>
      </c>
      <c r="V2787">
        <v>0</v>
      </c>
      <c r="W2787">
        <v>0</v>
      </c>
      <c r="X2787">
        <v>2</v>
      </c>
      <c r="Z2787">
        <v>0</v>
      </c>
      <c r="AA2787">
        <v>9</v>
      </c>
      <c r="AB2787">
        <v>3</v>
      </c>
      <c r="AC2787">
        <v>0</v>
      </c>
      <c r="AD2787">
        <v>10</v>
      </c>
      <c r="AE2787">
        <v>0</v>
      </c>
      <c r="AF2787">
        <v>3</v>
      </c>
      <c r="AG2787">
        <v>2</v>
      </c>
      <c r="AH2787">
        <v>0</v>
      </c>
      <c r="AI2787" t="s">
        <v>1643</v>
      </c>
      <c r="AJ2787">
        <v>40.025103000000001</v>
      </c>
      <c r="AK2787" t="s">
        <v>1644</v>
      </c>
      <c r="AL2787">
        <v>-92.797522999999998</v>
      </c>
      <c r="AM2787">
        <v>100</v>
      </c>
      <c r="AN2787">
        <v>1500</v>
      </c>
      <c r="AO2787" t="s">
        <v>118</v>
      </c>
      <c r="AP2787">
        <v>-133</v>
      </c>
      <c r="AQ2787">
        <v>44</v>
      </c>
      <c r="AR2787">
        <v>-192</v>
      </c>
      <c r="AZ2787">
        <v>1200</v>
      </c>
      <c r="BA2787">
        <v>1</v>
      </c>
      <c r="BB2787" t="str">
        <f t="shared" si="133"/>
        <v xml:space="preserve">N8080G  </v>
      </c>
      <c r="BC2787">
        <v>1</v>
      </c>
      <c r="BE2787">
        <v>0</v>
      </c>
      <c r="BF2787">
        <v>0</v>
      </c>
      <c r="BG2787">
        <v>0</v>
      </c>
      <c r="BH2787">
        <v>1525</v>
      </c>
      <c r="BI2787">
        <v>1</v>
      </c>
      <c r="BJ2787">
        <v>1</v>
      </c>
      <c r="BK2787">
        <v>1</v>
      </c>
      <c r="BL2787">
        <v>0</v>
      </c>
      <c r="BO2787">
        <v>0</v>
      </c>
      <c r="BP2787">
        <v>0</v>
      </c>
      <c r="BW2787" t="str">
        <f>"20:29:25.247"</f>
        <v>20:29:25.247</v>
      </c>
      <c r="BZ2787">
        <v>0</v>
      </c>
      <c r="CA2787">
        <v>1792</v>
      </c>
      <c r="CB2787">
        <v>224</v>
      </c>
      <c r="CD2787">
        <v>1</v>
      </c>
      <c r="CE2787">
        <v>0</v>
      </c>
      <c r="CF2787">
        <v>0</v>
      </c>
      <c r="CG2787">
        <v>1</v>
      </c>
      <c r="CH2787">
        <v>0</v>
      </c>
      <c r="CI2787">
        <v>0</v>
      </c>
      <c r="CJ2787">
        <v>0</v>
      </c>
      <c r="CK2787">
        <v>2</v>
      </c>
      <c r="CL2787">
        <v>0</v>
      </c>
      <c r="CM2787">
        <v>2</v>
      </c>
      <c r="CN2787">
        <v>0</v>
      </c>
      <c r="CO2787">
        <v>7</v>
      </c>
      <c r="CP2787" t="s">
        <v>119</v>
      </c>
      <c r="CQ2787">
        <v>180</v>
      </c>
      <c r="CR2787">
        <v>3</v>
      </c>
      <c r="CW2787">
        <v>978597</v>
      </c>
      <c r="CY2787">
        <v>1</v>
      </c>
      <c r="CZ2787">
        <v>0</v>
      </c>
      <c r="DA2787">
        <v>0</v>
      </c>
      <c r="DB2787">
        <v>0</v>
      </c>
      <c r="DC2787">
        <v>0</v>
      </c>
      <c r="DD2787">
        <v>0</v>
      </c>
      <c r="DE2787">
        <v>0</v>
      </c>
      <c r="DF2787">
        <v>0</v>
      </c>
      <c r="DG2787">
        <v>0</v>
      </c>
      <c r="DH2787">
        <v>0</v>
      </c>
      <c r="DI2787">
        <v>0</v>
      </c>
    </row>
    <row r="2788" spans="1:113" x14ac:dyDescent="0.3">
      <c r="A2788" t="str">
        <f>"02/08/2021 20:29:22.920"</f>
        <v>02/08/2021 20:29:22.920</v>
      </c>
      <c r="C2788" t="str">
        <f t="shared" si="132"/>
        <v>FFDFD7C0</v>
      </c>
      <c r="D2788" t="s">
        <v>124</v>
      </c>
      <c r="E2788">
        <v>13</v>
      </c>
      <c r="F2788">
        <v>1013</v>
      </c>
      <c r="G2788" t="s">
        <v>114</v>
      </c>
      <c r="J2788" t="s">
        <v>125</v>
      </c>
      <c r="K2788">
        <v>0</v>
      </c>
      <c r="L2788">
        <v>3</v>
      </c>
      <c r="M2788">
        <v>0</v>
      </c>
      <c r="N2788">
        <v>2</v>
      </c>
      <c r="O2788">
        <v>1</v>
      </c>
      <c r="P2788">
        <v>0</v>
      </c>
      <c r="Q2788">
        <v>0</v>
      </c>
      <c r="S2788" t="str">
        <f>"20:29:25.242"</f>
        <v>20:29:25.242</v>
      </c>
      <c r="T2788" t="str">
        <f>"20:29:24.742"</f>
        <v>20:29:24.742</v>
      </c>
      <c r="U2788" t="str">
        <f t="shared" si="134"/>
        <v>AB01F4</v>
      </c>
      <c r="V2788">
        <v>0</v>
      </c>
      <c r="W2788">
        <v>0</v>
      </c>
      <c r="X2788">
        <v>2</v>
      </c>
      <c r="Z2788">
        <v>0</v>
      </c>
      <c r="AA2788">
        <v>9</v>
      </c>
      <c r="AB2788">
        <v>3</v>
      </c>
      <c r="AC2788">
        <v>0</v>
      </c>
      <c r="AD2788">
        <v>10</v>
      </c>
      <c r="AE2788">
        <v>0</v>
      </c>
      <c r="AF2788">
        <v>3</v>
      </c>
      <c r="AG2788">
        <v>2</v>
      </c>
      <c r="AH2788">
        <v>0</v>
      </c>
      <c r="AI2788" t="s">
        <v>1643</v>
      </c>
      <c r="AJ2788">
        <v>40.025103000000001</v>
      </c>
      <c r="AK2788" t="s">
        <v>1644</v>
      </c>
      <c r="AL2788">
        <v>-92.797522999999998</v>
      </c>
      <c r="AM2788">
        <v>100</v>
      </c>
      <c r="AN2788">
        <v>1500</v>
      </c>
      <c r="AO2788" t="s">
        <v>118</v>
      </c>
      <c r="AP2788">
        <v>-133</v>
      </c>
      <c r="AQ2788">
        <v>44</v>
      </c>
      <c r="AR2788">
        <v>-192</v>
      </c>
      <c r="AZ2788">
        <v>1200</v>
      </c>
      <c r="BA2788">
        <v>1</v>
      </c>
      <c r="BB2788" t="str">
        <f t="shared" si="133"/>
        <v xml:space="preserve">N8080G  </v>
      </c>
      <c r="BC2788">
        <v>1</v>
      </c>
      <c r="BE2788">
        <v>0</v>
      </c>
      <c r="BF2788">
        <v>0</v>
      </c>
      <c r="BG2788">
        <v>0</v>
      </c>
      <c r="BH2788">
        <v>1525</v>
      </c>
      <c r="BI2788">
        <v>1</v>
      </c>
      <c r="BJ2788">
        <v>1</v>
      </c>
      <c r="BK2788">
        <v>1</v>
      </c>
      <c r="BL2788">
        <v>0</v>
      </c>
      <c r="BO2788">
        <v>0</v>
      </c>
      <c r="BP2788">
        <v>0</v>
      </c>
      <c r="BW2788" t="str">
        <f>"20:29:25.247"</f>
        <v>20:29:25.247</v>
      </c>
      <c r="BZ2788">
        <v>0</v>
      </c>
      <c r="CA2788">
        <v>1792</v>
      </c>
      <c r="CB2788">
        <v>224</v>
      </c>
      <c r="CD2788">
        <v>1</v>
      </c>
      <c r="CE2788">
        <v>0</v>
      </c>
      <c r="CF2788">
        <v>0</v>
      </c>
      <c r="CG2788">
        <v>1</v>
      </c>
      <c r="CH2788">
        <v>0</v>
      </c>
      <c r="CI2788">
        <v>0</v>
      </c>
      <c r="CJ2788">
        <v>0</v>
      </c>
      <c r="CK2788">
        <v>2</v>
      </c>
      <c r="CL2788">
        <v>0</v>
      </c>
      <c r="CM2788">
        <v>2</v>
      </c>
      <c r="CN2788">
        <v>0</v>
      </c>
      <c r="CO2788">
        <v>7</v>
      </c>
      <c r="CP2788" t="s">
        <v>119</v>
      </c>
      <c r="CQ2788">
        <v>180</v>
      </c>
      <c r="CR2788">
        <v>3</v>
      </c>
      <c r="CW2788">
        <v>978597</v>
      </c>
      <c r="CY2788">
        <v>1</v>
      </c>
      <c r="CZ2788">
        <v>0</v>
      </c>
      <c r="DA2788">
        <v>1</v>
      </c>
      <c r="DB2788">
        <v>0</v>
      </c>
      <c r="DC2788">
        <v>0</v>
      </c>
      <c r="DD2788">
        <v>0</v>
      </c>
      <c r="DE2788">
        <v>0</v>
      </c>
      <c r="DF2788">
        <v>0</v>
      </c>
      <c r="DG2788">
        <v>0</v>
      </c>
      <c r="DH2788">
        <v>0</v>
      </c>
      <c r="DI2788">
        <v>0</v>
      </c>
    </row>
    <row r="2789" spans="1:113" x14ac:dyDescent="0.3">
      <c r="A2789" t="str">
        <f>"02/08/2021 20:29:22.920"</f>
        <v>02/08/2021 20:29:22.920</v>
      </c>
      <c r="C2789" t="str">
        <f t="shared" si="132"/>
        <v>FFDFD7C0</v>
      </c>
      <c r="D2789" t="s">
        <v>124</v>
      </c>
      <c r="E2789">
        <v>12</v>
      </c>
      <c r="F2789">
        <v>1012</v>
      </c>
      <c r="G2789" t="s">
        <v>675</v>
      </c>
      <c r="J2789" t="s">
        <v>125</v>
      </c>
      <c r="K2789">
        <v>0</v>
      </c>
      <c r="L2789">
        <v>3</v>
      </c>
      <c r="M2789">
        <v>0</v>
      </c>
      <c r="N2789">
        <v>2</v>
      </c>
      <c r="O2789">
        <v>1</v>
      </c>
      <c r="P2789">
        <v>0</v>
      </c>
      <c r="Q2789">
        <v>0</v>
      </c>
      <c r="S2789" t="str">
        <f>"20:29:25.242"</f>
        <v>20:29:25.242</v>
      </c>
      <c r="T2789" t="str">
        <f>"20:29:24.742"</f>
        <v>20:29:24.742</v>
      </c>
      <c r="U2789" t="str">
        <f t="shared" si="134"/>
        <v>AB01F4</v>
      </c>
      <c r="V2789">
        <v>0</v>
      </c>
      <c r="W2789">
        <v>0</v>
      </c>
      <c r="X2789">
        <v>2</v>
      </c>
      <c r="Z2789">
        <v>0</v>
      </c>
      <c r="AA2789">
        <v>9</v>
      </c>
      <c r="AB2789">
        <v>3</v>
      </c>
      <c r="AC2789">
        <v>0</v>
      </c>
      <c r="AD2789">
        <v>10</v>
      </c>
      <c r="AE2789">
        <v>0</v>
      </c>
      <c r="AF2789">
        <v>3</v>
      </c>
      <c r="AG2789">
        <v>2</v>
      </c>
      <c r="AH2789">
        <v>0</v>
      </c>
      <c r="AI2789" t="s">
        <v>1643</v>
      </c>
      <c r="AJ2789">
        <v>40.025103000000001</v>
      </c>
      <c r="AK2789" t="s">
        <v>1644</v>
      </c>
      <c r="AL2789">
        <v>-92.797522999999998</v>
      </c>
      <c r="AM2789">
        <v>100</v>
      </c>
      <c r="AN2789">
        <v>1500</v>
      </c>
      <c r="AO2789" t="s">
        <v>118</v>
      </c>
      <c r="AP2789">
        <v>-133</v>
      </c>
      <c r="AQ2789">
        <v>44</v>
      </c>
      <c r="AR2789">
        <v>-192</v>
      </c>
      <c r="AZ2789">
        <v>1200</v>
      </c>
      <c r="BA2789">
        <v>1</v>
      </c>
      <c r="BB2789" t="str">
        <f t="shared" si="133"/>
        <v xml:space="preserve">N8080G  </v>
      </c>
      <c r="BC2789">
        <v>1</v>
      </c>
      <c r="BE2789">
        <v>0</v>
      </c>
      <c r="BF2789">
        <v>0</v>
      </c>
      <c r="BG2789">
        <v>0</v>
      </c>
      <c r="BH2789">
        <v>1525</v>
      </c>
      <c r="BI2789">
        <v>1</v>
      </c>
      <c r="BJ2789">
        <v>1</v>
      </c>
      <c r="BK2789">
        <v>1</v>
      </c>
      <c r="BL2789">
        <v>0</v>
      </c>
      <c r="BO2789">
        <v>0</v>
      </c>
      <c r="BP2789">
        <v>0</v>
      </c>
      <c r="BW2789" t="str">
        <f>"20:29:25.247"</f>
        <v>20:29:25.247</v>
      </c>
      <c r="BZ2789">
        <v>0</v>
      </c>
      <c r="CA2789">
        <v>1792</v>
      </c>
      <c r="CB2789">
        <v>224</v>
      </c>
      <c r="CD2789">
        <v>1</v>
      </c>
      <c r="CE2789">
        <v>0</v>
      </c>
      <c r="CF2789">
        <v>0</v>
      </c>
      <c r="CG2789">
        <v>1</v>
      </c>
      <c r="CH2789">
        <v>0</v>
      </c>
      <c r="CI2789">
        <v>0</v>
      </c>
      <c r="CJ2789">
        <v>0</v>
      </c>
      <c r="CK2789">
        <v>2</v>
      </c>
      <c r="CL2789">
        <v>0</v>
      </c>
      <c r="CM2789">
        <v>2</v>
      </c>
      <c r="CN2789">
        <v>0</v>
      </c>
      <c r="CO2789">
        <v>7</v>
      </c>
      <c r="CP2789" t="s">
        <v>119</v>
      </c>
      <c r="CQ2789">
        <v>180</v>
      </c>
      <c r="CR2789">
        <v>3</v>
      </c>
      <c r="CW2789">
        <v>978597</v>
      </c>
      <c r="CY2789">
        <v>1</v>
      </c>
      <c r="CZ2789">
        <v>0</v>
      </c>
      <c r="DA2789">
        <v>1</v>
      </c>
      <c r="DB2789">
        <v>0</v>
      </c>
      <c r="DC2789">
        <v>0</v>
      </c>
      <c r="DD2789">
        <v>0</v>
      </c>
      <c r="DE2789">
        <v>0</v>
      </c>
      <c r="DF2789">
        <v>0</v>
      </c>
      <c r="DG2789">
        <v>0</v>
      </c>
      <c r="DH2789">
        <v>0</v>
      </c>
      <c r="DI2789">
        <v>0</v>
      </c>
    </row>
    <row r="2790" spans="1:113" x14ac:dyDescent="0.3">
      <c r="A2790" t="str">
        <f>"02/08/2021 20:29:22.920"</f>
        <v>02/08/2021 20:29:22.920</v>
      </c>
      <c r="C2790" t="str">
        <f t="shared" si="132"/>
        <v>FFDFD7C0</v>
      </c>
      <c r="D2790" t="s">
        <v>113</v>
      </c>
      <c r="E2790">
        <v>6</v>
      </c>
      <c r="H2790">
        <v>165</v>
      </c>
      <c r="I2790" t="s">
        <v>114</v>
      </c>
      <c r="J2790" t="s">
        <v>115</v>
      </c>
      <c r="K2790">
        <v>0</v>
      </c>
      <c r="L2790">
        <v>3</v>
      </c>
      <c r="M2790">
        <v>0</v>
      </c>
      <c r="N2790">
        <v>2</v>
      </c>
      <c r="O2790">
        <v>1</v>
      </c>
      <c r="P2790">
        <v>0</v>
      </c>
      <c r="Q2790">
        <v>0</v>
      </c>
      <c r="S2790" t="str">
        <f>"20:29:25.242"</f>
        <v>20:29:25.242</v>
      </c>
      <c r="T2790" t="str">
        <f>"20:29:24.742"</f>
        <v>20:29:24.742</v>
      </c>
      <c r="U2790" t="str">
        <f t="shared" si="134"/>
        <v>AB01F4</v>
      </c>
      <c r="V2790">
        <v>0</v>
      </c>
      <c r="W2790">
        <v>0</v>
      </c>
      <c r="X2790">
        <v>2</v>
      </c>
      <c r="Z2790">
        <v>0</v>
      </c>
      <c r="AA2790">
        <v>9</v>
      </c>
      <c r="AB2790">
        <v>3</v>
      </c>
      <c r="AC2790">
        <v>0</v>
      </c>
      <c r="AD2790">
        <v>10</v>
      </c>
      <c r="AE2790">
        <v>0</v>
      </c>
      <c r="AF2790">
        <v>3</v>
      </c>
      <c r="AG2790">
        <v>2</v>
      </c>
      <c r="AH2790">
        <v>0</v>
      </c>
      <c r="AI2790" t="s">
        <v>1643</v>
      </c>
      <c r="AJ2790">
        <v>40.025103000000001</v>
      </c>
      <c r="AK2790" t="s">
        <v>1644</v>
      </c>
      <c r="AL2790">
        <v>-92.797522999999998</v>
      </c>
      <c r="AM2790">
        <v>100</v>
      </c>
      <c r="AN2790">
        <v>1500</v>
      </c>
      <c r="AO2790" t="s">
        <v>118</v>
      </c>
      <c r="AP2790">
        <v>-133</v>
      </c>
      <c r="AQ2790">
        <v>44</v>
      </c>
      <c r="AR2790">
        <v>-192</v>
      </c>
      <c r="AZ2790">
        <v>1200</v>
      </c>
      <c r="BA2790">
        <v>1</v>
      </c>
      <c r="BB2790" t="str">
        <f t="shared" si="133"/>
        <v xml:space="preserve">N8080G  </v>
      </c>
      <c r="BC2790">
        <v>1</v>
      </c>
      <c r="BE2790">
        <v>0</v>
      </c>
      <c r="BF2790">
        <v>0</v>
      </c>
      <c r="BG2790">
        <v>0</v>
      </c>
      <c r="BH2790">
        <v>1525</v>
      </c>
      <c r="BI2790">
        <v>1</v>
      </c>
      <c r="BJ2790">
        <v>1</v>
      </c>
      <c r="BK2790">
        <v>1</v>
      </c>
      <c r="BL2790">
        <v>0</v>
      </c>
      <c r="BO2790">
        <v>0</v>
      </c>
      <c r="BP2790">
        <v>0</v>
      </c>
      <c r="BW2790" t="str">
        <f>"20:29:25.247"</f>
        <v>20:29:25.247</v>
      </c>
      <c r="BZ2790">
        <v>0</v>
      </c>
      <c r="CA2790">
        <v>1792</v>
      </c>
      <c r="CB2790">
        <v>224</v>
      </c>
      <c r="CD2790">
        <v>1</v>
      </c>
      <c r="CE2790">
        <v>0</v>
      </c>
      <c r="CF2790">
        <v>0</v>
      </c>
      <c r="CG2790">
        <v>1</v>
      </c>
      <c r="CH2790">
        <v>0</v>
      </c>
      <c r="CI2790">
        <v>0</v>
      </c>
      <c r="CJ2790">
        <v>0</v>
      </c>
      <c r="CK2790">
        <v>2</v>
      </c>
      <c r="CL2790">
        <v>0</v>
      </c>
      <c r="CM2790">
        <v>2</v>
      </c>
      <c r="CN2790">
        <v>0</v>
      </c>
      <c r="CO2790">
        <v>7</v>
      </c>
      <c r="CP2790" t="s">
        <v>119</v>
      </c>
      <c r="CQ2790">
        <v>180</v>
      </c>
      <c r="CR2790">
        <v>3</v>
      </c>
      <c r="CW2790">
        <v>978597</v>
      </c>
      <c r="CY2790">
        <v>1</v>
      </c>
      <c r="CZ2790">
        <v>0</v>
      </c>
      <c r="DA2790">
        <v>1</v>
      </c>
      <c r="DB2790">
        <v>0</v>
      </c>
      <c r="DC2790">
        <v>0</v>
      </c>
      <c r="DD2790">
        <v>0</v>
      </c>
      <c r="DE2790">
        <v>0</v>
      </c>
      <c r="DF2790">
        <v>0</v>
      </c>
      <c r="DG2790">
        <v>0</v>
      </c>
      <c r="DH2790">
        <v>0</v>
      </c>
      <c r="DI2790">
        <v>0</v>
      </c>
    </row>
    <row r="2791" spans="1:113" x14ac:dyDescent="0.3">
      <c r="A2791" t="str">
        <f>"02/08/2021 20:29:23.900"</f>
        <v>02/08/2021 20:29:23.900</v>
      </c>
      <c r="C2791" t="str">
        <f t="shared" si="132"/>
        <v>FFDFD7C0</v>
      </c>
      <c r="D2791" t="s">
        <v>124</v>
      </c>
      <c r="E2791">
        <v>12</v>
      </c>
      <c r="F2791">
        <v>1012</v>
      </c>
      <c r="G2791" t="s">
        <v>675</v>
      </c>
      <c r="J2791" t="s">
        <v>125</v>
      </c>
      <c r="K2791">
        <v>0</v>
      </c>
      <c r="L2791">
        <v>3</v>
      </c>
      <c r="M2791">
        <v>0</v>
      </c>
      <c r="N2791">
        <v>2</v>
      </c>
      <c r="O2791">
        <v>1</v>
      </c>
      <c r="P2791">
        <v>0</v>
      </c>
      <c r="Q2791">
        <v>0</v>
      </c>
      <c r="S2791" t="str">
        <f>"20:29:26.242"</f>
        <v>20:29:26.242</v>
      </c>
      <c r="T2791" t="str">
        <f>"20:29:25.742"</f>
        <v>20:29:25.742</v>
      </c>
      <c r="U2791" t="str">
        <f t="shared" si="134"/>
        <v>AB01F4</v>
      </c>
      <c r="V2791">
        <v>0</v>
      </c>
      <c r="W2791">
        <v>0</v>
      </c>
      <c r="X2791">
        <v>2</v>
      </c>
      <c r="Z2791">
        <v>0</v>
      </c>
      <c r="AA2791">
        <v>9</v>
      </c>
      <c r="AB2791">
        <v>3</v>
      </c>
      <c r="AC2791">
        <v>0</v>
      </c>
      <c r="AD2791">
        <v>10</v>
      </c>
      <c r="AE2791">
        <v>0</v>
      </c>
      <c r="AF2791">
        <v>3</v>
      </c>
      <c r="AG2791">
        <v>2</v>
      </c>
      <c r="AH2791">
        <v>0</v>
      </c>
      <c r="AI2791" t="s">
        <v>1645</v>
      </c>
      <c r="AJ2791">
        <v>40.025295999999997</v>
      </c>
      <c r="AK2791" t="s">
        <v>1646</v>
      </c>
      <c r="AL2791">
        <v>-92.798338000000001</v>
      </c>
      <c r="AM2791">
        <v>100</v>
      </c>
      <c r="AN2791">
        <v>1500</v>
      </c>
      <c r="AO2791" t="s">
        <v>118</v>
      </c>
      <c r="AP2791">
        <v>-133</v>
      </c>
      <c r="AQ2791">
        <v>42</v>
      </c>
      <c r="AR2791">
        <v>-192</v>
      </c>
      <c r="AZ2791">
        <v>1200</v>
      </c>
      <c r="BA2791">
        <v>1</v>
      </c>
      <c r="BB2791" t="str">
        <f t="shared" si="133"/>
        <v xml:space="preserve">N8080G  </v>
      </c>
      <c r="BC2791">
        <v>1</v>
      </c>
      <c r="BE2791">
        <v>0</v>
      </c>
      <c r="BF2791">
        <v>0</v>
      </c>
      <c r="BG2791">
        <v>0</v>
      </c>
      <c r="BH2791">
        <v>1525</v>
      </c>
      <c r="BI2791">
        <v>1</v>
      </c>
      <c r="BJ2791">
        <v>1</v>
      </c>
      <c r="BK2791">
        <v>1</v>
      </c>
      <c r="BL2791">
        <v>0</v>
      </c>
      <c r="BO2791">
        <v>0</v>
      </c>
      <c r="BP2791">
        <v>0</v>
      </c>
      <c r="BW2791" t="str">
        <f>"20:29:26.247"</f>
        <v>20:29:26.247</v>
      </c>
      <c r="BZ2791">
        <v>0</v>
      </c>
      <c r="CA2791">
        <v>1792</v>
      </c>
      <c r="CB2791">
        <v>224</v>
      </c>
      <c r="CD2791">
        <v>1</v>
      </c>
      <c r="CE2791">
        <v>0</v>
      </c>
      <c r="CF2791">
        <v>0</v>
      </c>
      <c r="CG2791">
        <v>1</v>
      </c>
      <c r="CH2791">
        <v>0</v>
      </c>
      <c r="CI2791">
        <v>0</v>
      </c>
      <c r="CJ2791">
        <v>0</v>
      </c>
      <c r="CK2791">
        <v>2</v>
      </c>
      <c r="CL2791">
        <v>0</v>
      </c>
      <c r="CM2791">
        <v>2</v>
      </c>
      <c r="CN2791">
        <v>0</v>
      </c>
      <c r="CO2791">
        <v>3</v>
      </c>
      <c r="CP2791" t="s">
        <v>119</v>
      </c>
      <c r="CQ2791">
        <v>179</v>
      </c>
      <c r="CR2791">
        <v>1</v>
      </c>
      <c r="CW2791">
        <v>9084145</v>
      </c>
      <c r="CY2791">
        <v>1</v>
      </c>
      <c r="CZ2791">
        <v>0</v>
      </c>
      <c r="DA2791">
        <v>0</v>
      </c>
      <c r="DB2791">
        <v>0</v>
      </c>
      <c r="DC2791">
        <v>0</v>
      </c>
      <c r="DD2791">
        <v>0</v>
      </c>
      <c r="DE2791">
        <v>0</v>
      </c>
      <c r="DF2791">
        <v>0</v>
      </c>
      <c r="DG2791">
        <v>0</v>
      </c>
      <c r="DH2791">
        <v>0</v>
      </c>
      <c r="DI2791">
        <v>0</v>
      </c>
    </row>
    <row r="2792" spans="1:113" x14ac:dyDescent="0.3">
      <c r="A2792" t="str">
        <f>"02/08/2021 20:29:23.900"</f>
        <v>02/08/2021 20:29:23.900</v>
      </c>
      <c r="C2792" t="str">
        <f t="shared" si="132"/>
        <v>FFDFD7C0</v>
      </c>
      <c r="D2792" t="s">
        <v>113</v>
      </c>
      <c r="E2792">
        <v>6</v>
      </c>
      <c r="H2792">
        <v>165</v>
      </c>
      <c r="I2792" t="s">
        <v>114</v>
      </c>
      <c r="J2792" t="s">
        <v>115</v>
      </c>
      <c r="K2792">
        <v>0</v>
      </c>
      <c r="L2792">
        <v>3</v>
      </c>
      <c r="M2792">
        <v>0</v>
      </c>
      <c r="N2792">
        <v>2</v>
      </c>
      <c r="O2792">
        <v>1</v>
      </c>
      <c r="P2792">
        <v>0</v>
      </c>
      <c r="Q2792">
        <v>0</v>
      </c>
      <c r="S2792" t="str">
        <f>"20:29:26.242"</f>
        <v>20:29:26.242</v>
      </c>
      <c r="T2792" t="str">
        <f>"20:29:25.742"</f>
        <v>20:29:25.742</v>
      </c>
      <c r="U2792" t="str">
        <f t="shared" si="134"/>
        <v>AB01F4</v>
      </c>
      <c r="V2792">
        <v>0</v>
      </c>
      <c r="W2792">
        <v>0</v>
      </c>
      <c r="X2792">
        <v>2</v>
      </c>
      <c r="Z2792">
        <v>0</v>
      </c>
      <c r="AA2792">
        <v>9</v>
      </c>
      <c r="AB2792">
        <v>3</v>
      </c>
      <c r="AC2792">
        <v>0</v>
      </c>
      <c r="AD2792">
        <v>10</v>
      </c>
      <c r="AE2792">
        <v>0</v>
      </c>
      <c r="AF2792">
        <v>3</v>
      </c>
      <c r="AG2792">
        <v>2</v>
      </c>
      <c r="AH2792">
        <v>0</v>
      </c>
      <c r="AI2792" t="s">
        <v>1645</v>
      </c>
      <c r="AJ2792">
        <v>40.025295999999997</v>
      </c>
      <c r="AK2792" t="s">
        <v>1646</v>
      </c>
      <c r="AL2792">
        <v>-92.798338000000001</v>
      </c>
      <c r="AM2792">
        <v>100</v>
      </c>
      <c r="AN2792">
        <v>1500</v>
      </c>
      <c r="AO2792" t="s">
        <v>118</v>
      </c>
      <c r="AP2792">
        <v>-133</v>
      </c>
      <c r="AQ2792">
        <v>42</v>
      </c>
      <c r="AR2792">
        <v>-192</v>
      </c>
      <c r="AZ2792">
        <v>1200</v>
      </c>
      <c r="BA2792">
        <v>1</v>
      </c>
      <c r="BB2792" t="str">
        <f t="shared" si="133"/>
        <v xml:space="preserve">N8080G  </v>
      </c>
      <c r="BC2792">
        <v>1</v>
      </c>
      <c r="BE2792">
        <v>0</v>
      </c>
      <c r="BF2792">
        <v>0</v>
      </c>
      <c r="BG2792">
        <v>0</v>
      </c>
      <c r="BH2792">
        <v>1525</v>
      </c>
      <c r="BI2792">
        <v>1</v>
      </c>
      <c r="BJ2792">
        <v>1</v>
      </c>
      <c r="BK2792">
        <v>1</v>
      </c>
      <c r="BL2792">
        <v>0</v>
      </c>
      <c r="BO2792">
        <v>0</v>
      </c>
      <c r="BP2792">
        <v>0</v>
      </c>
      <c r="BW2792" t="str">
        <f>"20:29:26.247"</f>
        <v>20:29:26.247</v>
      </c>
      <c r="BZ2792">
        <v>0</v>
      </c>
      <c r="CA2792">
        <v>1792</v>
      </c>
      <c r="CB2792">
        <v>224</v>
      </c>
      <c r="CD2792">
        <v>1</v>
      </c>
      <c r="CE2792">
        <v>0</v>
      </c>
      <c r="CF2792">
        <v>0</v>
      </c>
      <c r="CG2792">
        <v>1</v>
      </c>
      <c r="CH2792">
        <v>0</v>
      </c>
      <c r="CI2792">
        <v>0</v>
      </c>
      <c r="CJ2792">
        <v>0</v>
      </c>
      <c r="CK2792">
        <v>2</v>
      </c>
      <c r="CL2792">
        <v>0</v>
      </c>
      <c r="CM2792">
        <v>2</v>
      </c>
      <c r="CN2792">
        <v>0</v>
      </c>
      <c r="CO2792">
        <v>3</v>
      </c>
      <c r="CP2792" t="s">
        <v>119</v>
      </c>
      <c r="CQ2792">
        <v>179</v>
      </c>
      <c r="CR2792">
        <v>1</v>
      </c>
      <c r="CW2792">
        <v>9084145</v>
      </c>
      <c r="CY2792">
        <v>1</v>
      </c>
      <c r="CZ2792">
        <v>0</v>
      </c>
      <c r="DA2792">
        <v>1</v>
      </c>
      <c r="DB2792">
        <v>0</v>
      </c>
      <c r="DC2792">
        <v>0</v>
      </c>
      <c r="DD2792">
        <v>0</v>
      </c>
      <c r="DE2792">
        <v>0</v>
      </c>
      <c r="DF2792">
        <v>0</v>
      </c>
      <c r="DG2792">
        <v>0</v>
      </c>
      <c r="DH2792">
        <v>0</v>
      </c>
      <c r="DI2792">
        <v>0</v>
      </c>
    </row>
    <row r="2793" spans="1:113" x14ac:dyDescent="0.3">
      <c r="A2793" t="str">
        <f>"02/08/2021 20:29:23.900"</f>
        <v>02/08/2021 20:29:23.900</v>
      </c>
      <c r="C2793" t="str">
        <f t="shared" si="132"/>
        <v>FFDFD7C0</v>
      </c>
      <c r="D2793" t="s">
        <v>124</v>
      </c>
      <c r="E2793">
        <v>11</v>
      </c>
      <c r="F2793">
        <v>1011</v>
      </c>
      <c r="G2793" t="s">
        <v>590</v>
      </c>
      <c r="J2793" t="s">
        <v>125</v>
      </c>
      <c r="K2793">
        <v>0</v>
      </c>
      <c r="L2793">
        <v>3</v>
      </c>
      <c r="M2793">
        <v>0</v>
      </c>
      <c r="N2793">
        <v>2</v>
      </c>
      <c r="O2793">
        <v>1</v>
      </c>
      <c r="P2793">
        <v>0</v>
      </c>
      <c r="Q2793">
        <v>0</v>
      </c>
      <c r="S2793" t="str">
        <f>"20:29:26.242"</f>
        <v>20:29:26.242</v>
      </c>
      <c r="T2793" t="str">
        <f>"20:29:25.742"</f>
        <v>20:29:25.742</v>
      </c>
      <c r="U2793" t="str">
        <f t="shared" si="134"/>
        <v>AB01F4</v>
      </c>
      <c r="V2793">
        <v>0</v>
      </c>
      <c r="W2793">
        <v>0</v>
      </c>
      <c r="X2793">
        <v>2</v>
      </c>
      <c r="Z2793">
        <v>0</v>
      </c>
      <c r="AA2793">
        <v>9</v>
      </c>
      <c r="AB2793">
        <v>3</v>
      </c>
      <c r="AC2793">
        <v>0</v>
      </c>
      <c r="AD2793">
        <v>10</v>
      </c>
      <c r="AE2793">
        <v>0</v>
      </c>
      <c r="AF2793">
        <v>3</v>
      </c>
      <c r="AG2793">
        <v>2</v>
      </c>
      <c r="AH2793">
        <v>0</v>
      </c>
      <c r="AI2793" t="s">
        <v>1645</v>
      </c>
      <c r="AJ2793">
        <v>40.025295999999997</v>
      </c>
      <c r="AK2793" t="s">
        <v>1646</v>
      </c>
      <c r="AL2793">
        <v>-92.798338000000001</v>
      </c>
      <c r="AM2793">
        <v>100</v>
      </c>
      <c r="AN2793">
        <v>1500</v>
      </c>
      <c r="AO2793" t="s">
        <v>118</v>
      </c>
      <c r="AP2793">
        <v>-133</v>
      </c>
      <c r="AQ2793">
        <v>42</v>
      </c>
      <c r="AR2793">
        <v>-192</v>
      </c>
      <c r="AZ2793">
        <v>1200</v>
      </c>
      <c r="BA2793">
        <v>1</v>
      </c>
      <c r="BB2793" t="str">
        <f t="shared" si="133"/>
        <v xml:space="preserve">N8080G  </v>
      </c>
      <c r="BC2793">
        <v>1</v>
      </c>
      <c r="BE2793">
        <v>0</v>
      </c>
      <c r="BF2793">
        <v>0</v>
      </c>
      <c r="BG2793">
        <v>0</v>
      </c>
      <c r="BH2793">
        <v>1525</v>
      </c>
      <c r="BI2793">
        <v>1</v>
      </c>
      <c r="BJ2793">
        <v>1</v>
      </c>
      <c r="BK2793">
        <v>1</v>
      </c>
      <c r="BL2793">
        <v>0</v>
      </c>
      <c r="BO2793">
        <v>0</v>
      </c>
      <c r="BP2793">
        <v>0</v>
      </c>
      <c r="BW2793" t="str">
        <f>"20:29:26.247"</f>
        <v>20:29:26.247</v>
      </c>
      <c r="BZ2793">
        <v>0</v>
      </c>
      <c r="CA2793">
        <v>1792</v>
      </c>
      <c r="CB2793">
        <v>224</v>
      </c>
      <c r="CD2793">
        <v>1</v>
      </c>
      <c r="CE2793">
        <v>0</v>
      </c>
      <c r="CF2793">
        <v>0</v>
      </c>
      <c r="CG2793">
        <v>1</v>
      </c>
      <c r="CH2793">
        <v>0</v>
      </c>
      <c r="CI2793">
        <v>0</v>
      </c>
      <c r="CJ2793">
        <v>0</v>
      </c>
      <c r="CK2793">
        <v>2</v>
      </c>
      <c r="CL2793">
        <v>0</v>
      </c>
      <c r="CM2793">
        <v>2</v>
      </c>
      <c r="CN2793">
        <v>0</v>
      </c>
      <c r="CO2793">
        <v>3</v>
      </c>
      <c r="CP2793" t="s">
        <v>119</v>
      </c>
      <c r="CQ2793">
        <v>179</v>
      </c>
      <c r="CR2793">
        <v>1</v>
      </c>
      <c r="CW2793">
        <v>9084145</v>
      </c>
      <c r="CY2793">
        <v>1</v>
      </c>
      <c r="CZ2793">
        <v>0</v>
      </c>
      <c r="DA2793">
        <v>1</v>
      </c>
      <c r="DB2793">
        <v>0</v>
      </c>
      <c r="DC2793">
        <v>0</v>
      </c>
      <c r="DD2793">
        <v>0</v>
      </c>
      <c r="DE2793">
        <v>0</v>
      </c>
      <c r="DF2793">
        <v>0</v>
      </c>
      <c r="DG2793">
        <v>0</v>
      </c>
      <c r="DH2793">
        <v>0</v>
      </c>
      <c r="DI2793">
        <v>0</v>
      </c>
    </row>
    <row r="2794" spans="1:113" x14ac:dyDescent="0.3">
      <c r="A2794" t="str">
        <f>"02/08/2021 20:29:23.900"</f>
        <v>02/08/2021 20:29:23.900</v>
      </c>
      <c r="C2794" t="str">
        <f t="shared" si="132"/>
        <v>FFDFD7C0</v>
      </c>
      <c r="D2794" t="s">
        <v>124</v>
      </c>
      <c r="E2794">
        <v>13</v>
      </c>
      <c r="F2794">
        <v>1013</v>
      </c>
      <c r="G2794" t="s">
        <v>114</v>
      </c>
      <c r="J2794" t="s">
        <v>125</v>
      </c>
      <c r="K2794">
        <v>0</v>
      </c>
      <c r="L2794">
        <v>3</v>
      </c>
      <c r="M2794">
        <v>0</v>
      </c>
      <c r="N2794">
        <v>2</v>
      </c>
      <c r="O2794">
        <v>1</v>
      </c>
      <c r="P2794">
        <v>0</v>
      </c>
      <c r="Q2794">
        <v>0</v>
      </c>
      <c r="S2794" t="str">
        <f>"20:29:26.242"</f>
        <v>20:29:26.242</v>
      </c>
      <c r="T2794" t="str">
        <f>"20:29:25.742"</f>
        <v>20:29:25.742</v>
      </c>
      <c r="U2794" t="str">
        <f t="shared" si="134"/>
        <v>AB01F4</v>
      </c>
      <c r="V2794">
        <v>0</v>
      </c>
      <c r="W2794">
        <v>0</v>
      </c>
      <c r="X2794">
        <v>2</v>
      </c>
      <c r="Z2794">
        <v>0</v>
      </c>
      <c r="AA2794">
        <v>9</v>
      </c>
      <c r="AB2794">
        <v>3</v>
      </c>
      <c r="AC2794">
        <v>0</v>
      </c>
      <c r="AD2794">
        <v>10</v>
      </c>
      <c r="AE2794">
        <v>0</v>
      </c>
      <c r="AF2794">
        <v>3</v>
      </c>
      <c r="AG2794">
        <v>2</v>
      </c>
      <c r="AH2794">
        <v>0</v>
      </c>
      <c r="AI2794" t="s">
        <v>1645</v>
      </c>
      <c r="AJ2794">
        <v>40.025295999999997</v>
      </c>
      <c r="AK2794" t="s">
        <v>1646</v>
      </c>
      <c r="AL2794">
        <v>-92.798338000000001</v>
      </c>
      <c r="AM2794">
        <v>100</v>
      </c>
      <c r="AN2794">
        <v>1500</v>
      </c>
      <c r="AO2794" t="s">
        <v>118</v>
      </c>
      <c r="AP2794">
        <v>-133</v>
      </c>
      <c r="AQ2794">
        <v>42</v>
      </c>
      <c r="AR2794">
        <v>-192</v>
      </c>
      <c r="AZ2794">
        <v>1200</v>
      </c>
      <c r="BA2794">
        <v>1</v>
      </c>
      <c r="BB2794" t="str">
        <f t="shared" si="133"/>
        <v xml:space="preserve">N8080G  </v>
      </c>
      <c r="BC2794">
        <v>1</v>
      </c>
      <c r="BE2794">
        <v>0</v>
      </c>
      <c r="BF2794">
        <v>0</v>
      </c>
      <c r="BG2794">
        <v>0</v>
      </c>
      <c r="BH2794">
        <v>1525</v>
      </c>
      <c r="BI2794">
        <v>1</v>
      </c>
      <c r="BJ2794">
        <v>1</v>
      </c>
      <c r="BK2794">
        <v>1</v>
      </c>
      <c r="BL2794">
        <v>0</v>
      </c>
      <c r="BO2794">
        <v>0</v>
      </c>
      <c r="BP2794">
        <v>0</v>
      </c>
      <c r="BW2794" t="str">
        <f>"20:29:26.247"</f>
        <v>20:29:26.247</v>
      </c>
      <c r="BZ2794">
        <v>0</v>
      </c>
      <c r="CA2794">
        <v>1792</v>
      </c>
      <c r="CB2794">
        <v>224</v>
      </c>
      <c r="CD2794">
        <v>1</v>
      </c>
      <c r="CE2794">
        <v>0</v>
      </c>
      <c r="CF2794">
        <v>0</v>
      </c>
      <c r="CG2794">
        <v>1</v>
      </c>
      <c r="CH2794">
        <v>0</v>
      </c>
      <c r="CI2794">
        <v>0</v>
      </c>
      <c r="CJ2794">
        <v>0</v>
      </c>
      <c r="CK2794">
        <v>2</v>
      </c>
      <c r="CL2794">
        <v>0</v>
      </c>
      <c r="CM2794">
        <v>2</v>
      </c>
      <c r="CN2794">
        <v>0</v>
      </c>
      <c r="CO2794">
        <v>3</v>
      </c>
      <c r="CP2794" t="s">
        <v>119</v>
      </c>
      <c r="CQ2794">
        <v>179</v>
      </c>
      <c r="CR2794">
        <v>1</v>
      </c>
      <c r="CW2794">
        <v>9084145</v>
      </c>
      <c r="CY2794">
        <v>1</v>
      </c>
      <c r="CZ2794">
        <v>0</v>
      </c>
      <c r="DA2794">
        <v>1</v>
      </c>
      <c r="DB2794">
        <v>0</v>
      </c>
      <c r="DC2794">
        <v>0</v>
      </c>
      <c r="DD2794">
        <v>0</v>
      </c>
      <c r="DE2794">
        <v>0</v>
      </c>
      <c r="DF2794">
        <v>0</v>
      </c>
      <c r="DG2794">
        <v>0</v>
      </c>
      <c r="DH2794">
        <v>0</v>
      </c>
      <c r="DI2794">
        <v>0</v>
      </c>
    </row>
    <row r="2795" spans="1:113" x14ac:dyDescent="0.3">
      <c r="A2795" t="str">
        <f>"02/08/2021 20:29:24.924"</f>
        <v>02/08/2021 20:29:24.924</v>
      </c>
      <c r="C2795" t="str">
        <f t="shared" si="132"/>
        <v>FFDFD7C0</v>
      </c>
      <c r="D2795" t="s">
        <v>113</v>
      </c>
      <c r="E2795">
        <v>6</v>
      </c>
      <c r="H2795">
        <v>165</v>
      </c>
      <c r="I2795" t="s">
        <v>114</v>
      </c>
      <c r="J2795" t="s">
        <v>115</v>
      </c>
      <c r="K2795">
        <v>0</v>
      </c>
      <c r="L2795">
        <v>3</v>
      </c>
      <c r="M2795">
        <v>0</v>
      </c>
      <c r="N2795">
        <v>2</v>
      </c>
      <c r="O2795">
        <v>1</v>
      </c>
      <c r="P2795">
        <v>0</v>
      </c>
      <c r="Q2795">
        <v>0</v>
      </c>
      <c r="S2795" t="str">
        <f>"20:29:27.258"</f>
        <v>20:29:27.258</v>
      </c>
      <c r="T2795" t="str">
        <f>"20:29:26.858"</f>
        <v>20:29:26.858</v>
      </c>
      <c r="U2795" t="str">
        <f t="shared" si="134"/>
        <v>AB01F4</v>
      </c>
      <c r="V2795">
        <v>0</v>
      </c>
      <c r="W2795">
        <v>0</v>
      </c>
      <c r="X2795">
        <v>2</v>
      </c>
      <c r="Z2795">
        <v>0</v>
      </c>
      <c r="AA2795">
        <v>9</v>
      </c>
      <c r="AB2795">
        <v>3</v>
      </c>
      <c r="AC2795">
        <v>0</v>
      </c>
      <c r="AD2795">
        <v>10</v>
      </c>
      <c r="AE2795">
        <v>0</v>
      </c>
      <c r="AF2795">
        <v>3</v>
      </c>
      <c r="AG2795">
        <v>2</v>
      </c>
      <c r="AH2795">
        <v>0</v>
      </c>
      <c r="AI2795" t="s">
        <v>1647</v>
      </c>
      <c r="AJ2795">
        <v>40.025467999999996</v>
      </c>
      <c r="AK2795" t="s">
        <v>1648</v>
      </c>
      <c r="AL2795">
        <v>-92.799132</v>
      </c>
      <c r="AM2795">
        <v>100</v>
      </c>
      <c r="AN2795">
        <v>1500</v>
      </c>
      <c r="AO2795" t="s">
        <v>118</v>
      </c>
      <c r="AP2795">
        <v>-134</v>
      </c>
      <c r="AQ2795">
        <v>40</v>
      </c>
      <c r="AR2795">
        <v>-192</v>
      </c>
      <c r="AZ2795">
        <v>1200</v>
      </c>
      <c r="BA2795">
        <v>1</v>
      </c>
      <c r="BB2795" t="str">
        <f t="shared" si="133"/>
        <v xml:space="preserve">N8080G  </v>
      </c>
      <c r="BC2795">
        <v>1</v>
      </c>
      <c r="BE2795">
        <v>0</v>
      </c>
      <c r="BF2795">
        <v>0</v>
      </c>
      <c r="BG2795">
        <v>0</v>
      </c>
      <c r="BH2795">
        <v>1525</v>
      </c>
      <c r="BI2795">
        <v>1</v>
      </c>
      <c r="BJ2795">
        <v>1</v>
      </c>
      <c r="BK2795">
        <v>1</v>
      </c>
      <c r="BL2795">
        <v>0</v>
      </c>
      <c r="BO2795">
        <v>0</v>
      </c>
      <c r="BP2795">
        <v>0</v>
      </c>
      <c r="BW2795" t="str">
        <f>"20:29:27.264"</f>
        <v>20:29:27.264</v>
      </c>
      <c r="BZ2795">
        <v>0</v>
      </c>
      <c r="CA2795">
        <v>1792</v>
      </c>
      <c r="CB2795">
        <v>224</v>
      </c>
      <c r="CD2795">
        <v>1</v>
      </c>
      <c r="CE2795">
        <v>0</v>
      </c>
      <c r="CF2795">
        <v>0</v>
      </c>
      <c r="CG2795">
        <v>1</v>
      </c>
      <c r="CH2795">
        <v>0</v>
      </c>
      <c r="CI2795">
        <v>0</v>
      </c>
      <c r="CJ2795">
        <v>0</v>
      </c>
      <c r="CK2795">
        <v>2</v>
      </c>
      <c r="CL2795">
        <v>0</v>
      </c>
      <c r="CM2795">
        <v>2</v>
      </c>
      <c r="CN2795">
        <v>0</v>
      </c>
      <c r="CO2795">
        <v>2</v>
      </c>
      <c r="CP2795" t="s">
        <v>119</v>
      </c>
      <c r="CQ2795">
        <v>179</v>
      </c>
      <c r="CR2795">
        <v>1</v>
      </c>
      <c r="CW2795">
        <v>9085054</v>
      </c>
      <c r="CY2795">
        <v>1</v>
      </c>
      <c r="CZ2795">
        <v>0</v>
      </c>
      <c r="DA2795">
        <v>0</v>
      </c>
      <c r="DB2795">
        <v>0</v>
      </c>
      <c r="DC2795">
        <v>0</v>
      </c>
      <c r="DD2795">
        <v>0</v>
      </c>
      <c r="DE2795">
        <v>0</v>
      </c>
      <c r="DF2795">
        <v>0</v>
      </c>
      <c r="DG2795">
        <v>0</v>
      </c>
      <c r="DH2795">
        <v>0</v>
      </c>
      <c r="DI2795">
        <v>0</v>
      </c>
    </row>
    <row r="2796" spans="1:113" x14ac:dyDescent="0.3">
      <c r="A2796" t="str">
        <f>"02/08/2021 20:29:24.924"</f>
        <v>02/08/2021 20:29:24.924</v>
      </c>
      <c r="C2796" t="str">
        <f t="shared" si="132"/>
        <v>FFDFD7C0</v>
      </c>
      <c r="D2796" t="s">
        <v>124</v>
      </c>
      <c r="E2796">
        <v>11</v>
      </c>
      <c r="F2796">
        <v>1011</v>
      </c>
      <c r="G2796" t="s">
        <v>590</v>
      </c>
      <c r="J2796" t="s">
        <v>125</v>
      </c>
      <c r="K2796">
        <v>0</v>
      </c>
      <c r="L2796">
        <v>3</v>
      </c>
      <c r="M2796">
        <v>0</v>
      </c>
      <c r="N2796">
        <v>2</v>
      </c>
      <c r="O2796">
        <v>1</v>
      </c>
      <c r="P2796">
        <v>0</v>
      </c>
      <c r="Q2796">
        <v>0</v>
      </c>
      <c r="S2796" t="str">
        <f>"20:29:27.258"</f>
        <v>20:29:27.258</v>
      </c>
      <c r="T2796" t="str">
        <f>"20:29:26.858"</f>
        <v>20:29:26.858</v>
      </c>
      <c r="U2796" t="str">
        <f t="shared" si="134"/>
        <v>AB01F4</v>
      </c>
      <c r="V2796">
        <v>0</v>
      </c>
      <c r="W2796">
        <v>0</v>
      </c>
      <c r="X2796">
        <v>2</v>
      </c>
      <c r="Z2796">
        <v>0</v>
      </c>
      <c r="AA2796">
        <v>9</v>
      </c>
      <c r="AB2796">
        <v>3</v>
      </c>
      <c r="AC2796">
        <v>0</v>
      </c>
      <c r="AD2796">
        <v>10</v>
      </c>
      <c r="AE2796">
        <v>0</v>
      </c>
      <c r="AF2796">
        <v>3</v>
      </c>
      <c r="AG2796">
        <v>2</v>
      </c>
      <c r="AH2796">
        <v>0</v>
      </c>
      <c r="AI2796" t="s">
        <v>1647</v>
      </c>
      <c r="AJ2796">
        <v>40.025467999999996</v>
      </c>
      <c r="AK2796" t="s">
        <v>1648</v>
      </c>
      <c r="AL2796">
        <v>-92.799132</v>
      </c>
      <c r="AM2796">
        <v>100</v>
      </c>
      <c r="AN2796">
        <v>1500</v>
      </c>
      <c r="AO2796" t="s">
        <v>118</v>
      </c>
      <c r="AP2796">
        <v>-134</v>
      </c>
      <c r="AQ2796">
        <v>40</v>
      </c>
      <c r="AR2796">
        <v>-192</v>
      </c>
      <c r="AZ2796">
        <v>1200</v>
      </c>
      <c r="BA2796">
        <v>1</v>
      </c>
      <c r="BB2796" t="str">
        <f t="shared" si="133"/>
        <v xml:space="preserve">N8080G  </v>
      </c>
      <c r="BC2796">
        <v>1</v>
      </c>
      <c r="BE2796">
        <v>0</v>
      </c>
      <c r="BF2796">
        <v>0</v>
      </c>
      <c r="BG2796">
        <v>0</v>
      </c>
      <c r="BH2796">
        <v>1525</v>
      </c>
      <c r="BI2796">
        <v>1</v>
      </c>
      <c r="BJ2796">
        <v>1</v>
      </c>
      <c r="BK2796">
        <v>1</v>
      </c>
      <c r="BL2796">
        <v>0</v>
      </c>
      <c r="BO2796">
        <v>0</v>
      </c>
      <c r="BP2796">
        <v>0</v>
      </c>
      <c r="BW2796" t="str">
        <f>"20:29:27.264"</f>
        <v>20:29:27.264</v>
      </c>
      <c r="BZ2796">
        <v>0</v>
      </c>
      <c r="CA2796">
        <v>1792</v>
      </c>
      <c r="CB2796">
        <v>224</v>
      </c>
      <c r="CD2796">
        <v>1</v>
      </c>
      <c r="CE2796">
        <v>0</v>
      </c>
      <c r="CF2796">
        <v>0</v>
      </c>
      <c r="CG2796">
        <v>1</v>
      </c>
      <c r="CH2796">
        <v>0</v>
      </c>
      <c r="CI2796">
        <v>0</v>
      </c>
      <c r="CJ2796">
        <v>0</v>
      </c>
      <c r="CK2796">
        <v>2</v>
      </c>
      <c r="CL2796">
        <v>0</v>
      </c>
      <c r="CM2796">
        <v>2</v>
      </c>
      <c r="CN2796">
        <v>0</v>
      </c>
      <c r="CO2796">
        <v>2</v>
      </c>
      <c r="CP2796" t="s">
        <v>119</v>
      </c>
      <c r="CQ2796">
        <v>179</v>
      </c>
      <c r="CR2796">
        <v>1</v>
      </c>
      <c r="CW2796">
        <v>9085054</v>
      </c>
      <c r="CY2796">
        <v>1</v>
      </c>
      <c r="CZ2796">
        <v>0</v>
      </c>
      <c r="DA2796">
        <v>1</v>
      </c>
      <c r="DB2796">
        <v>0</v>
      </c>
      <c r="DC2796">
        <v>0</v>
      </c>
      <c r="DD2796">
        <v>0</v>
      </c>
      <c r="DE2796">
        <v>0</v>
      </c>
      <c r="DF2796">
        <v>0</v>
      </c>
      <c r="DG2796">
        <v>0</v>
      </c>
      <c r="DH2796">
        <v>0</v>
      </c>
      <c r="DI2796">
        <v>0</v>
      </c>
    </row>
    <row r="2797" spans="1:113" x14ac:dyDescent="0.3">
      <c r="A2797" t="str">
        <f>"02/08/2021 20:29:24.924"</f>
        <v>02/08/2021 20:29:24.924</v>
      </c>
      <c r="C2797" t="str">
        <f t="shared" si="132"/>
        <v>FFDFD7C0</v>
      </c>
      <c r="D2797" t="s">
        <v>124</v>
      </c>
      <c r="E2797">
        <v>13</v>
      </c>
      <c r="F2797">
        <v>1013</v>
      </c>
      <c r="G2797" t="s">
        <v>114</v>
      </c>
      <c r="J2797" t="s">
        <v>125</v>
      </c>
      <c r="K2797">
        <v>0</v>
      </c>
      <c r="L2797">
        <v>3</v>
      </c>
      <c r="M2797">
        <v>0</v>
      </c>
      <c r="N2797">
        <v>2</v>
      </c>
      <c r="O2797">
        <v>1</v>
      </c>
      <c r="P2797">
        <v>0</v>
      </c>
      <c r="Q2797">
        <v>0</v>
      </c>
      <c r="S2797" t="str">
        <f>"20:29:27.258"</f>
        <v>20:29:27.258</v>
      </c>
      <c r="T2797" t="str">
        <f>"20:29:26.858"</f>
        <v>20:29:26.858</v>
      </c>
      <c r="U2797" t="str">
        <f t="shared" si="134"/>
        <v>AB01F4</v>
      </c>
      <c r="V2797">
        <v>0</v>
      </c>
      <c r="W2797">
        <v>0</v>
      </c>
      <c r="X2797">
        <v>2</v>
      </c>
      <c r="Z2797">
        <v>0</v>
      </c>
      <c r="AA2797">
        <v>9</v>
      </c>
      <c r="AB2797">
        <v>3</v>
      </c>
      <c r="AC2797">
        <v>0</v>
      </c>
      <c r="AD2797">
        <v>10</v>
      </c>
      <c r="AE2797">
        <v>0</v>
      </c>
      <c r="AF2797">
        <v>3</v>
      </c>
      <c r="AG2797">
        <v>2</v>
      </c>
      <c r="AH2797">
        <v>0</v>
      </c>
      <c r="AI2797" t="s">
        <v>1647</v>
      </c>
      <c r="AJ2797">
        <v>40.025467999999996</v>
      </c>
      <c r="AK2797" t="s">
        <v>1648</v>
      </c>
      <c r="AL2797">
        <v>-92.799132</v>
      </c>
      <c r="AM2797">
        <v>100</v>
      </c>
      <c r="AN2797">
        <v>1500</v>
      </c>
      <c r="AO2797" t="s">
        <v>118</v>
      </c>
      <c r="AP2797">
        <v>-134</v>
      </c>
      <c r="AQ2797">
        <v>40</v>
      </c>
      <c r="AR2797">
        <v>-192</v>
      </c>
      <c r="AZ2797">
        <v>1200</v>
      </c>
      <c r="BA2797">
        <v>1</v>
      </c>
      <c r="BB2797" t="str">
        <f t="shared" si="133"/>
        <v xml:space="preserve">N8080G  </v>
      </c>
      <c r="BC2797">
        <v>1</v>
      </c>
      <c r="BE2797">
        <v>0</v>
      </c>
      <c r="BF2797">
        <v>0</v>
      </c>
      <c r="BG2797">
        <v>0</v>
      </c>
      <c r="BH2797">
        <v>1525</v>
      </c>
      <c r="BI2797">
        <v>1</v>
      </c>
      <c r="BJ2797">
        <v>1</v>
      </c>
      <c r="BK2797">
        <v>1</v>
      </c>
      <c r="BL2797">
        <v>0</v>
      </c>
      <c r="BO2797">
        <v>0</v>
      </c>
      <c r="BP2797">
        <v>0</v>
      </c>
      <c r="BW2797" t="str">
        <f>"20:29:27.264"</f>
        <v>20:29:27.264</v>
      </c>
      <c r="BZ2797">
        <v>0</v>
      </c>
      <c r="CA2797">
        <v>1792</v>
      </c>
      <c r="CB2797">
        <v>224</v>
      </c>
      <c r="CD2797">
        <v>1</v>
      </c>
      <c r="CE2797">
        <v>0</v>
      </c>
      <c r="CF2797">
        <v>0</v>
      </c>
      <c r="CG2797">
        <v>1</v>
      </c>
      <c r="CH2797">
        <v>0</v>
      </c>
      <c r="CI2797">
        <v>0</v>
      </c>
      <c r="CJ2797">
        <v>0</v>
      </c>
      <c r="CK2797">
        <v>2</v>
      </c>
      <c r="CL2797">
        <v>0</v>
      </c>
      <c r="CM2797">
        <v>2</v>
      </c>
      <c r="CN2797">
        <v>0</v>
      </c>
      <c r="CO2797">
        <v>2</v>
      </c>
      <c r="CP2797" t="s">
        <v>119</v>
      </c>
      <c r="CQ2797">
        <v>179</v>
      </c>
      <c r="CR2797">
        <v>1</v>
      </c>
      <c r="CW2797">
        <v>9085054</v>
      </c>
      <c r="CY2797">
        <v>1</v>
      </c>
      <c r="CZ2797">
        <v>0</v>
      </c>
      <c r="DA2797">
        <v>1</v>
      </c>
      <c r="DB2797">
        <v>0</v>
      </c>
      <c r="DC2797">
        <v>0</v>
      </c>
      <c r="DD2797">
        <v>0</v>
      </c>
      <c r="DE2797">
        <v>0</v>
      </c>
      <c r="DF2797">
        <v>0</v>
      </c>
      <c r="DG2797">
        <v>0</v>
      </c>
      <c r="DH2797">
        <v>0</v>
      </c>
      <c r="DI2797">
        <v>0</v>
      </c>
    </row>
    <row r="2798" spans="1:113" x14ac:dyDescent="0.3">
      <c r="A2798" t="str">
        <f>"02/08/2021 20:29:24.924"</f>
        <v>02/08/2021 20:29:24.924</v>
      </c>
      <c r="C2798" t="str">
        <f t="shared" si="132"/>
        <v>FFDFD7C0</v>
      </c>
      <c r="D2798" t="s">
        <v>124</v>
      </c>
      <c r="E2798">
        <v>12</v>
      </c>
      <c r="F2798">
        <v>1012</v>
      </c>
      <c r="G2798" t="s">
        <v>675</v>
      </c>
      <c r="J2798" t="s">
        <v>125</v>
      </c>
      <c r="K2798">
        <v>0</v>
      </c>
      <c r="L2798">
        <v>3</v>
      </c>
      <c r="M2798">
        <v>0</v>
      </c>
      <c r="N2798">
        <v>2</v>
      </c>
      <c r="O2798">
        <v>1</v>
      </c>
      <c r="P2798">
        <v>0</v>
      </c>
      <c r="Q2798">
        <v>0</v>
      </c>
      <c r="S2798" t="str">
        <f>"20:29:27.258"</f>
        <v>20:29:27.258</v>
      </c>
      <c r="T2798" t="str">
        <f>"20:29:26.858"</f>
        <v>20:29:26.858</v>
      </c>
      <c r="U2798" t="str">
        <f t="shared" si="134"/>
        <v>AB01F4</v>
      </c>
      <c r="V2798">
        <v>0</v>
      </c>
      <c r="W2798">
        <v>0</v>
      </c>
      <c r="X2798">
        <v>2</v>
      </c>
      <c r="Z2798">
        <v>0</v>
      </c>
      <c r="AA2798">
        <v>9</v>
      </c>
      <c r="AB2798">
        <v>3</v>
      </c>
      <c r="AC2798">
        <v>0</v>
      </c>
      <c r="AD2798">
        <v>10</v>
      </c>
      <c r="AE2798">
        <v>0</v>
      </c>
      <c r="AF2798">
        <v>3</v>
      </c>
      <c r="AG2798">
        <v>2</v>
      </c>
      <c r="AH2798">
        <v>0</v>
      </c>
      <c r="AI2798" t="s">
        <v>1647</v>
      </c>
      <c r="AJ2798">
        <v>40.025467999999996</v>
      </c>
      <c r="AK2798" t="s">
        <v>1648</v>
      </c>
      <c r="AL2798">
        <v>-92.799132</v>
      </c>
      <c r="AM2798">
        <v>100</v>
      </c>
      <c r="AN2798">
        <v>1500</v>
      </c>
      <c r="AO2798" t="s">
        <v>118</v>
      </c>
      <c r="AP2798">
        <v>-134</v>
      </c>
      <c r="AQ2798">
        <v>40</v>
      </c>
      <c r="AR2798">
        <v>-192</v>
      </c>
      <c r="AZ2798">
        <v>1200</v>
      </c>
      <c r="BA2798">
        <v>1</v>
      </c>
      <c r="BB2798" t="str">
        <f t="shared" si="133"/>
        <v xml:space="preserve">N8080G  </v>
      </c>
      <c r="BC2798">
        <v>1</v>
      </c>
      <c r="BE2798">
        <v>0</v>
      </c>
      <c r="BF2798">
        <v>0</v>
      </c>
      <c r="BG2798">
        <v>0</v>
      </c>
      <c r="BH2798">
        <v>1525</v>
      </c>
      <c r="BI2798">
        <v>1</v>
      </c>
      <c r="BJ2798">
        <v>1</v>
      </c>
      <c r="BK2798">
        <v>1</v>
      </c>
      <c r="BL2798">
        <v>0</v>
      </c>
      <c r="BO2798">
        <v>0</v>
      </c>
      <c r="BP2798">
        <v>0</v>
      </c>
      <c r="BW2798" t="str">
        <f>"20:29:27.264"</f>
        <v>20:29:27.264</v>
      </c>
      <c r="BZ2798">
        <v>0</v>
      </c>
      <c r="CA2798">
        <v>1792</v>
      </c>
      <c r="CB2798">
        <v>224</v>
      </c>
      <c r="CD2798">
        <v>1</v>
      </c>
      <c r="CE2798">
        <v>0</v>
      </c>
      <c r="CF2798">
        <v>0</v>
      </c>
      <c r="CG2798">
        <v>1</v>
      </c>
      <c r="CH2798">
        <v>0</v>
      </c>
      <c r="CI2798">
        <v>0</v>
      </c>
      <c r="CJ2798">
        <v>0</v>
      </c>
      <c r="CK2798">
        <v>2</v>
      </c>
      <c r="CL2798">
        <v>0</v>
      </c>
      <c r="CM2798">
        <v>2</v>
      </c>
      <c r="CN2798">
        <v>0</v>
      </c>
      <c r="CO2798">
        <v>2</v>
      </c>
      <c r="CP2798" t="s">
        <v>119</v>
      </c>
      <c r="CQ2798">
        <v>179</v>
      </c>
      <c r="CR2798">
        <v>1</v>
      </c>
      <c r="CW2798">
        <v>9085054</v>
      </c>
      <c r="CY2798">
        <v>1</v>
      </c>
      <c r="CZ2798">
        <v>0</v>
      </c>
      <c r="DA2798">
        <v>1</v>
      </c>
      <c r="DB2798">
        <v>0</v>
      </c>
      <c r="DC2798">
        <v>0</v>
      </c>
      <c r="DD2798">
        <v>0</v>
      </c>
      <c r="DE2798">
        <v>0</v>
      </c>
      <c r="DF2798">
        <v>0</v>
      </c>
      <c r="DG2798">
        <v>0</v>
      </c>
      <c r="DH2798">
        <v>0</v>
      </c>
      <c r="DI2798">
        <v>0</v>
      </c>
    </row>
    <row r="2799" spans="1:113" x14ac:dyDescent="0.3">
      <c r="A2799" t="str">
        <f>"02/08/2021 20:29:25.936"</f>
        <v>02/08/2021 20:29:25.936</v>
      </c>
      <c r="C2799" t="str">
        <f t="shared" ref="C2799:C2862" si="135">"FFDFD7C0"</f>
        <v>FFDFD7C0</v>
      </c>
      <c r="D2799" t="s">
        <v>113</v>
      </c>
      <c r="E2799">
        <v>6</v>
      </c>
      <c r="H2799">
        <v>165</v>
      </c>
      <c r="I2799" t="s">
        <v>114</v>
      </c>
      <c r="J2799" t="s">
        <v>115</v>
      </c>
      <c r="K2799">
        <v>0</v>
      </c>
      <c r="L2799">
        <v>3</v>
      </c>
      <c r="M2799">
        <v>0</v>
      </c>
      <c r="N2799">
        <v>2</v>
      </c>
      <c r="O2799">
        <v>1</v>
      </c>
      <c r="P2799">
        <v>0</v>
      </c>
      <c r="Q2799">
        <v>0</v>
      </c>
      <c r="S2799" t="str">
        <f>"20:29:28.273"</f>
        <v>20:29:28.273</v>
      </c>
      <c r="T2799" t="str">
        <f>"20:29:27.773"</f>
        <v>20:29:27.773</v>
      </c>
      <c r="U2799" t="str">
        <f t="shared" si="134"/>
        <v>AB01F4</v>
      </c>
      <c r="V2799">
        <v>0</v>
      </c>
      <c r="W2799">
        <v>0</v>
      </c>
      <c r="X2799">
        <v>2</v>
      </c>
      <c r="Z2799">
        <v>0</v>
      </c>
      <c r="AA2799">
        <v>9</v>
      </c>
      <c r="AB2799">
        <v>3</v>
      </c>
      <c r="AC2799">
        <v>0</v>
      </c>
      <c r="AD2799">
        <v>10</v>
      </c>
      <c r="AE2799">
        <v>0</v>
      </c>
      <c r="AF2799">
        <v>3</v>
      </c>
      <c r="AG2799">
        <v>2</v>
      </c>
      <c r="AH2799">
        <v>0</v>
      </c>
      <c r="AI2799" t="s">
        <v>1649</v>
      </c>
      <c r="AJ2799">
        <v>40.025660999999999</v>
      </c>
      <c r="AK2799" t="s">
        <v>1650</v>
      </c>
      <c r="AL2799">
        <v>-92.799947000000003</v>
      </c>
      <c r="AM2799">
        <v>100</v>
      </c>
      <c r="AN2799">
        <v>1500</v>
      </c>
      <c r="AO2799" t="s">
        <v>118</v>
      </c>
      <c r="AP2799">
        <v>-135</v>
      </c>
      <c r="AQ2799">
        <v>39</v>
      </c>
      <c r="AR2799">
        <v>-192</v>
      </c>
      <c r="AZ2799">
        <v>1200</v>
      </c>
      <c r="BA2799">
        <v>1</v>
      </c>
      <c r="BB2799" t="str">
        <f t="shared" ref="BB2799:BB2862" si="136">"N8080G  "</f>
        <v xml:space="preserve">N8080G  </v>
      </c>
      <c r="BC2799">
        <v>1</v>
      </c>
      <c r="BE2799">
        <v>0</v>
      </c>
      <c r="BF2799">
        <v>0</v>
      </c>
      <c r="BG2799">
        <v>0</v>
      </c>
      <c r="BH2799">
        <v>1525</v>
      </c>
      <c r="BI2799">
        <v>1</v>
      </c>
      <c r="BJ2799">
        <v>1</v>
      </c>
      <c r="BK2799">
        <v>1</v>
      </c>
      <c r="BL2799">
        <v>0</v>
      </c>
      <c r="BO2799">
        <v>0</v>
      </c>
      <c r="BP2799">
        <v>0</v>
      </c>
      <c r="BW2799" t="str">
        <f>"20:29:28.277"</f>
        <v>20:29:28.277</v>
      </c>
      <c r="BZ2799">
        <v>0</v>
      </c>
      <c r="CA2799">
        <v>1792</v>
      </c>
      <c r="CB2799">
        <v>224</v>
      </c>
      <c r="CD2799">
        <v>1</v>
      </c>
      <c r="CE2799">
        <v>0</v>
      </c>
      <c r="CF2799">
        <v>0</v>
      </c>
      <c r="CG2799">
        <v>1</v>
      </c>
      <c r="CH2799">
        <v>0</v>
      </c>
      <c r="CI2799">
        <v>0</v>
      </c>
      <c r="CJ2799">
        <v>0</v>
      </c>
      <c r="CK2799">
        <v>2</v>
      </c>
      <c r="CL2799">
        <v>0</v>
      </c>
      <c r="CM2799">
        <v>2</v>
      </c>
      <c r="CN2799">
        <v>0</v>
      </c>
      <c r="CO2799">
        <v>7</v>
      </c>
      <c r="CP2799" t="s">
        <v>119</v>
      </c>
      <c r="CQ2799">
        <v>180</v>
      </c>
      <c r="CR2799">
        <v>3</v>
      </c>
      <c r="CW2799">
        <v>980953</v>
      </c>
      <c r="CY2799">
        <v>1</v>
      </c>
      <c r="CZ2799">
        <v>0</v>
      </c>
      <c r="DA2799">
        <v>0</v>
      </c>
      <c r="DB2799">
        <v>0</v>
      </c>
      <c r="DC2799">
        <v>0</v>
      </c>
      <c r="DD2799">
        <v>0</v>
      </c>
      <c r="DE2799">
        <v>0</v>
      </c>
      <c r="DF2799">
        <v>0</v>
      </c>
      <c r="DG2799">
        <v>0</v>
      </c>
      <c r="DH2799">
        <v>0</v>
      </c>
      <c r="DI2799">
        <v>0</v>
      </c>
    </row>
    <row r="2800" spans="1:113" x14ac:dyDescent="0.3">
      <c r="A2800" t="str">
        <f>"02/08/2021 20:29:25.936"</f>
        <v>02/08/2021 20:29:25.936</v>
      </c>
      <c r="C2800" t="str">
        <f t="shared" si="135"/>
        <v>FFDFD7C0</v>
      </c>
      <c r="D2800" t="s">
        <v>124</v>
      </c>
      <c r="E2800">
        <v>13</v>
      </c>
      <c r="F2800">
        <v>1013</v>
      </c>
      <c r="G2800" t="s">
        <v>114</v>
      </c>
      <c r="J2800" t="s">
        <v>125</v>
      </c>
      <c r="K2800">
        <v>0</v>
      </c>
      <c r="L2800">
        <v>3</v>
      </c>
      <c r="M2800">
        <v>0</v>
      </c>
      <c r="N2800">
        <v>2</v>
      </c>
      <c r="O2800">
        <v>1</v>
      </c>
      <c r="P2800">
        <v>0</v>
      </c>
      <c r="Q2800">
        <v>0</v>
      </c>
      <c r="S2800" t="str">
        <f>"20:29:28.273"</f>
        <v>20:29:28.273</v>
      </c>
      <c r="T2800" t="str">
        <f>"20:29:27.773"</f>
        <v>20:29:27.773</v>
      </c>
      <c r="U2800" t="str">
        <f t="shared" si="134"/>
        <v>AB01F4</v>
      </c>
      <c r="V2800">
        <v>0</v>
      </c>
      <c r="W2800">
        <v>0</v>
      </c>
      <c r="X2800">
        <v>2</v>
      </c>
      <c r="Z2800">
        <v>0</v>
      </c>
      <c r="AA2800">
        <v>9</v>
      </c>
      <c r="AB2800">
        <v>3</v>
      </c>
      <c r="AC2800">
        <v>0</v>
      </c>
      <c r="AD2800">
        <v>10</v>
      </c>
      <c r="AE2800">
        <v>0</v>
      </c>
      <c r="AF2800">
        <v>3</v>
      </c>
      <c r="AG2800">
        <v>2</v>
      </c>
      <c r="AH2800">
        <v>0</v>
      </c>
      <c r="AI2800" t="s">
        <v>1649</v>
      </c>
      <c r="AJ2800">
        <v>40.025660999999999</v>
      </c>
      <c r="AK2800" t="s">
        <v>1650</v>
      </c>
      <c r="AL2800">
        <v>-92.799947000000003</v>
      </c>
      <c r="AM2800">
        <v>100</v>
      </c>
      <c r="AN2800">
        <v>1500</v>
      </c>
      <c r="AO2800" t="s">
        <v>118</v>
      </c>
      <c r="AP2800">
        <v>-135</v>
      </c>
      <c r="AQ2800">
        <v>39</v>
      </c>
      <c r="AR2800">
        <v>-192</v>
      </c>
      <c r="AZ2800">
        <v>1200</v>
      </c>
      <c r="BA2800">
        <v>1</v>
      </c>
      <c r="BB2800" t="str">
        <f t="shared" si="136"/>
        <v xml:space="preserve">N8080G  </v>
      </c>
      <c r="BC2800">
        <v>1</v>
      </c>
      <c r="BE2800">
        <v>0</v>
      </c>
      <c r="BF2800">
        <v>0</v>
      </c>
      <c r="BG2800">
        <v>0</v>
      </c>
      <c r="BH2800">
        <v>1525</v>
      </c>
      <c r="BI2800">
        <v>1</v>
      </c>
      <c r="BJ2800">
        <v>1</v>
      </c>
      <c r="BK2800">
        <v>1</v>
      </c>
      <c r="BL2800">
        <v>0</v>
      </c>
      <c r="BO2800">
        <v>0</v>
      </c>
      <c r="BP2800">
        <v>0</v>
      </c>
      <c r="BW2800" t="str">
        <f>"20:29:28.277"</f>
        <v>20:29:28.277</v>
      </c>
      <c r="BZ2800">
        <v>0</v>
      </c>
      <c r="CA2800">
        <v>1792</v>
      </c>
      <c r="CB2800">
        <v>224</v>
      </c>
      <c r="CD2800">
        <v>1</v>
      </c>
      <c r="CE2800">
        <v>0</v>
      </c>
      <c r="CF2800">
        <v>0</v>
      </c>
      <c r="CG2800">
        <v>1</v>
      </c>
      <c r="CH2800">
        <v>0</v>
      </c>
      <c r="CI2800">
        <v>0</v>
      </c>
      <c r="CJ2800">
        <v>0</v>
      </c>
      <c r="CK2800">
        <v>2</v>
      </c>
      <c r="CL2800">
        <v>0</v>
      </c>
      <c r="CM2800">
        <v>2</v>
      </c>
      <c r="CN2800">
        <v>0</v>
      </c>
      <c r="CO2800">
        <v>7</v>
      </c>
      <c r="CP2800" t="s">
        <v>119</v>
      </c>
      <c r="CQ2800">
        <v>180</v>
      </c>
      <c r="CR2800">
        <v>3</v>
      </c>
      <c r="CW2800">
        <v>980953</v>
      </c>
      <c r="CY2800">
        <v>1</v>
      </c>
      <c r="CZ2800">
        <v>0</v>
      </c>
      <c r="DA2800">
        <v>1</v>
      </c>
      <c r="DB2800">
        <v>0</v>
      </c>
      <c r="DC2800">
        <v>0</v>
      </c>
      <c r="DD2800">
        <v>0</v>
      </c>
      <c r="DE2800">
        <v>0</v>
      </c>
      <c r="DF2800">
        <v>0</v>
      </c>
      <c r="DG2800">
        <v>0</v>
      </c>
      <c r="DH2800">
        <v>0</v>
      </c>
      <c r="DI2800">
        <v>0</v>
      </c>
    </row>
    <row r="2801" spans="1:113" x14ac:dyDescent="0.3">
      <c r="A2801" t="str">
        <f>"02/08/2021 20:29:25.936"</f>
        <v>02/08/2021 20:29:25.936</v>
      </c>
      <c r="C2801" t="str">
        <f t="shared" si="135"/>
        <v>FFDFD7C0</v>
      </c>
      <c r="D2801" t="s">
        <v>124</v>
      </c>
      <c r="E2801">
        <v>11</v>
      </c>
      <c r="F2801">
        <v>1011</v>
      </c>
      <c r="G2801" t="s">
        <v>590</v>
      </c>
      <c r="J2801" t="s">
        <v>125</v>
      </c>
      <c r="K2801">
        <v>0</v>
      </c>
      <c r="L2801">
        <v>3</v>
      </c>
      <c r="M2801">
        <v>0</v>
      </c>
      <c r="N2801">
        <v>2</v>
      </c>
      <c r="O2801">
        <v>1</v>
      </c>
      <c r="P2801">
        <v>0</v>
      </c>
      <c r="Q2801">
        <v>0</v>
      </c>
      <c r="S2801" t="str">
        <f>"20:29:28.273"</f>
        <v>20:29:28.273</v>
      </c>
      <c r="T2801" t="str">
        <f>"20:29:27.773"</f>
        <v>20:29:27.773</v>
      </c>
      <c r="U2801" t="str">
        <f t="shared" si="134"/>
        <v>AB01F4</v>
      </c>
      <c r="V2801">
        <v>0</v>
      </c>
      <c r="W2801">
        <v>0</v>
      </c>
      <c r="X2801">
        <v>2</v>
      </c>
      <c r="Z2801">
        <v>0</v>
      </c>
      <c r="AA2801">
        <v>9</v>
      </c>
      <c r="AB2801">
        <v>3</v>
      </c>
      <c r="AC2801">
        <v>0</v>
      </c>
      <c r="AD2801">
        <v>10</v>
      </c>
      <c r="AE2801">
        <v>0</v>
      </c>
      <c r="AF2801">
        <v>3</v>
      </c>
      <c r="AG2801">
        <v>2</v>
      </c>
      <c r="AH2801">
        <v>0</v>
      </c>
      <c r="AI2801" t="s">
        <v>1649</v>
      </c>
      <c r="AJ2801">
        <v>40.025660999999999</v>
      </c>
      <c r="AK2801" t="s">
        <v>1650</v>
      </c>
      <c r="AL2801">
        <v>-92.799947000000003</v>
      </c>
      <c r="AM2801">
        <v>100</v>
      </c>
      <c r="AN2801">
        <v>1500</v>
      </c>
      <c r="AO2801" t="s">
        <v>118</v>
      </c>
      <c r="AP2801">
        <v>-135</v>
      </c>
      <c r="AQ2801">
        <v>39</v>
      </c>
      <c r="AR2801">
        <v>-192</v>
      </c>
      <c r="AZ2801">
        <v>1200</v>
      </c>
      <c r="BA2801">
        <v>1</v>
      </c>
      <c r="BB2801" t="str">
        <f t="shared" si="136"/>
        <v xml:space="preserve">N8080G  </v>
      </c>
      <c r="BC2801">
        <v>1</v>
      </c>
      <c r="BE2801">
        <v>0</v>
      </c>
      <c r="BF2801">
        <v>0</v>
      </c>
      <c r="BG2801">
        <v>0</v>
      </c>
      <c r="BH2801">
        <v>1525</v>
      </c>
      <c r="BI2801">
        <v>1</v>
      </c>
      <c r="BJ2801">
        <v>1</v>
      </c>
      <c r="BK2801">
        <v>1</v>
      </c>
      <c r="BL2801">
        <v>0</v>
      </c>
      <c r="BO2801">
        <v>0</v>
      </c>
      <c r="BP2801">
        <v>0</v>
      </c>
      <c r="BW2801" t="str">
        <f>"20:29:28.277"</f>
        <v>20:29:28.277</v>
      </c>
      <c r="BZ2801">
        <v>0</v>
      </c>
      <c r="CA2801">
        <v>1792</v>
      </c>
      <c r="CB2801">
        <v>224</v>
      </c>
      <c r="CD2801">
        <v>1</v>
      </c>
      <c r="CE2801">
        <v>0</v>
      </c>
      <c r="CF2801">
        <v>0</v>
      </c>
      <c r="CG2801">
        <v>1</v>
      </c>
      <c r="CH2801">
        <v>0</v>
      </c>
      <c r="CI2801">
        <v>0</v>
      </c>
      <c r="CJ2801">
        <v>0</v>
      </c>
      <c r="CK2801">
        <v>2</v>
      </c>
      <c r="CL2801">
        <v>0</v>
      </c>
      <c r="CM2801">
        <v>2</v>
      </c>
      <c r="CN2801">
        <v>0</v>
      </c>
      <c r="CO2801">
        <v>7</v>
      </c>
      <c r="CP2801" t="s">
        <v>119</v>
      </c>
      <c r="CQ2801">
        <v>180</v>
      </c>
      <c r="CR2801">
        <v>3</v>
      </c>
      <c r="CW2801">
        <v>980953</v>
      </c>
      <c r="CY2801">
        <v>1</v>
      </c>
      <c r="CZ2801">
        <v>0</v>
      </c>
      <c r="DA2801">
        <v>1</v>
      </c>
      <c r="DB2801">
        <v>0</v>
      </c>
      <c r="DC2801">
        <v>0</v>
      </c>
      <c r="DD2801">
        <v>0</v>
      </c>
      <c r="DE2801">
        <v>0</v>
      </c>
      <c r="DF2801">
        <v>0</v>
      </c>
      <c r="DG2801">
        <v>0</v>
      </c>
      <c r="DH2801">
        <v>0</v>
      </c>
      <c r="DI2801">
        <v>0</v>
      </c>
    </row>
    <row r="2802" spans="1:113" x14ac:dyDescent="0.3">
      <c r="A2802" t="str">
        <f>"02/08/2021 20:29:25.936"</f>
        <v>02/08/2021 20:29:25.936</v>
      </c>
      <c r="C2802" t="str">
        <f t="shared" si="135"/>
        <v>FFDFD7C0</v>
      </c>
      <c r="D2802" t="s">
        <v>124</v>
      </c>
      <c r="E2802">
        <v>12</v>
      </c>
      <c r="F2802">
        <v>1012</v>
      </c>
      <c r="G2802" t="s">
        <v>675</v>
      </c>
      <c r="J2802" t="s">
        <v>125</v>
      </c>
      <c r="K2802">
        <v>0</v>
      </c>
      <c r="L2802">
        <v>3</v>
      </c>
      <c r="M2802">
        <v>0</v>
      </c>
      <c r="N2802">
        <v>2</v>
      </c>
      <c r="O2802">
        <v>1</v>
      </c>
      <c r="P2802">
        <v>0</v>
      </c>
      <c r="Q2802">
        <v>0</v>
      </c>
      <c r="S2802" t="str">
        <f>"20:29:28.273"</f>
        <v>20:29:28.273</v>
      </c>
      <c r="T2802" t="str">
        <f>"20:29:27.773"</f>
        <v>20:29:27.773</v>
      </c>
      <c r="U2802" t="str">
        <f t="shared" si="134"/>
        <v>AB01F4</v>
      </c>
      <c r="V2802">
        <v>0</v>
      </c>
      <c r="W2802">
        <v>0</v>
      </c>
      <c r="X2802">
        <v>2</v>
      </c>
      <c r="Z2802">
        <v>0</v>
      </c>
      <c r="AA2802">
        <v>9</v>
      </c>
      <c r="AB2802">
        <v>3</v>
      </c>
      <c r="AC2802">
        <v>0</v>
      </c>
      <c r="AD2802">
        <v>10</v>
      </c>
      <c r="AE2802">
        <v>0</v>
      </c>
      <c r="AF2802">
        <v>3</v>
      </c>
      <c r="AG2802">
        <v>2</v>
      </c>
      <c r="AH2802">
        <v>0</v>
      </c>
      <c r="AI2802" t="s">
        <v>1649</v>
      </c>
      <c r="AJ2802">
        <v>40.025660999999999</v>
      </c>
      <c r="AK2802" t="s">
        <v>1650</v>
      </c>
      <c r="AL2802">
        <v>-92.799947000000003</v>
      </c>
      <c r="AM2802">
        <v>100</v>
      </c>
      <c r="AN2802">
        <v>1500</v>
      </c>
      <c r="AO2802" t="s">
        <v>118</v>
      </c>
      <c r="AP2802">
        <v>-135</v>
      </c>
      <c r="AQ2802">
        <v>39</v>
      </c>
      <c r="AR2802">
        <v>-192</v>
      </c>
      <c r="AZ2802">
        <v>1200</v>
      </c>
      <c r="BA2802">
        <v>1</v>
      </c>
      <c r="BB2802" t="str">
        <f t="shared" si="136"/>
        <v xml:space="preserve">N8080G  </v>
      </c>
      <c r="BC2802">
        <v>1</v>
      </c>
      <c r="BE2802">
        <v>0</v>
      </c>
      <c r="BF2802">
        <v>0</v>
      </c>
      <c r="BG2802">
        <v>0</v>
      </c>
      <c r="BH2802">
        <v>1525</v>
      </c>
      <c r="BI2802">
        <v>1</v>
      </c>
      <c r="BJ2802">
        <v>1</v>
      </c>
      <c r="BK2802">
        <v>1</v>
      </c>
      <c r="BL2802">
        <v>0</v>
      </c>
      <c r="BO2802">
        <v>0</v>
      </c>
      <c r="BP2802">
        <v>0</v>
      </c>
      <c r="BW2802" t="str">
        <f>"20:29:28.277"</f>
        <v>20:29:28.277</v>
      </c>
      <c r="BZ2802">
        <v>0</v>
      </c>
      <c r="CA2802">
        <v>1792</v>
      </c>
      <c r="CB2802">
        <v>224</v>
      </c>
      <c r="CD2802">
        <v>1</v>
      </c>
      <c r="CE2802">
        <v>0</v>
      </c>
      <c r="CF2802">
        <v>0</v>
      </c>
      <c r="CG2802">
        <v>1</v>
      </c>
      <c r="CH2802">
        <v>0</v>
      </c>
      <c r="CI2802">
        <v>0</v>
      </c>
      <c r="CJ2802">
        <v>0</v>
      </c>
      <c r="CK2802">
        <v>2</v>
      </c>
      <c r="CL2802">
        <v>0</v>
      </c>
      <c r="CM2802">
        <v>2</v>
      </c>
      <c r="CN2802">
        <v>0</v>
      </c>
      <c r="CO2802">
        <v>7</v>
      </c>
      <c r="CP2802" t="s">
        <v>119</v>
      </c>
      <c r="CQ2802">
        <v>180</v>
      </c>
      <c r="CR2802">
        <v>3</v>
      </c>
      <c r="CW2802">
        <v>980953</v>
      </c>
      <c r="CY2802">
        <v>1</v>
      </c>
      <c r="CZ2802">
        <v>0</v>
      </c>
      <c r="DA2802">
        <v>1</v>
      </c>
      <c r="DB2802">
        <v>0</v>
      </c>
      <c r="DC2802">
        <v>0</v>
      </c>
      <c r="DD2802">
        <v>0</v>
      </c>
      <c r="DE2802">
        <v>0</v>
      </c>
      <c r="DF2802">
        <v>0</v>
      </c>
      <c r="DG2802">
        <v>0</v>
      </c>
      <c r="DH2802">
        <v>0</v>
      </c>
      <c r="DI2802">
        <v>0</v>
      </c>
    </row>
    <row r="2803" spans="1:113" x14ac:dyDescent="0.3">
      <c r="A2803" t="str">
        <f>"02/08/2021 20:29:28.153"</f>
        <v>02/08/2021 20:29:28.153</v>
      </c>
      <c r="C2803" t="str">
        <f t="shared" si="135"/>
        <v>FFDFD7C0</v>
      </c>
      <c r="D2803" t="s">
        <v>124</v>
      </c>
      <c r="E2803">
        <v>13</v>
      </c>
      <c r="F2803">
        <v>1013</v>
      </c>
      <c r="G2803" t="s">
        <v>114</v>
      </c>
      <c r="J2803" t="s">
        <v>125</v>
      </c>
      <c r="K2803">
        <v>0</v>
      </c>
      <c r="L2803">
        <v>3</v>
      </c>
      <c r="M2803">
        <v>0</v>
      </c>
      <c r="N2803">
        <v>2</v>
      </c>
      <c r="O2803">
        <v>1</v>
      </c>
      <c r="P2803">
        <v>0</v>
      </c>
      <c r="Q2803">
        <v>0</v>
      </c>
      <c r="S2803" t="str">
        <f>"20:29:30.477"</f>
        <v>20:29:30.477</v>
      </c>
      <c r="T2803" t="str">
        <f>"20:29:29.977"</f>
        <v>20:29:29.977</v>
      </c>
      <c r="U2803" t="str">
        <f t="shared" si="134"/>
        <v>AB01F4</v>
      </c>
      <c r="V2803">
        <v>0</v>
      </c>
      <c r="W2803">
        <v>0</v>
      </c>
      <c r="X2803">
        <v>2</v>
      </c>
      <c r="Z2803">
        <v>0</v>
      </c>
      <c r="AA2803">
        <v>9</v>
      </c>
      <c r="AB2803">
        <v>3</v>
      </c>
      <c r="AC2803">
        <v>0</v>
      </c>
      <c r="AD2803">
        <v>10</v>
      </c>
      <c r="AE2803">
        <v>0</v>
      </c>
      <c r="AF2803">
        <v>3</v>
      </c>
      <c r="AG2803">
        <v>2</v>
      </c>
      <c r="AH2803">
        <v>0</v>
      </c>
      <c r="AI2803" t="s">
        <v>1651</v>
      </c>
      <c r="AJ2803">
        <v>40.026026000000002</v>
      </c>
      <c r="AK2803" t="s">
        <v>1652</v>
      </c>
      <c r="AL2803">
        <v>-92.801706999999993</v>
      </c>
      <c r="AM2803">
        <v>100</v>
      </c>
      <c r="AN2803">
        <v>1500</v>
      </c>
      <c r="AO2803" t="s">
        <v>118</v>
      </c>
      <c r="AP2803">
        <v>-135</v>
      </c>
      <c r="AQ2803">
        <v>37</v>
      </c>
      <c r="AR2803">
        <v>-256</v>
      </c>
      <c r="AZ2803">
        <v>1200</v>
      </c>
      <c r="BA2803">
        <v>1</v>
      </c>
      <c r="BB2803" t="str">
        <f t="shared" si="136"/>
        <v xml:space="preserve">N8080G  </v>
      </c>
      <c r="BC2803">
        <v>1</v>
      </c>
      <c r="BE2803">
        <v>0</v>
      </c>
      <c r="BF2803">
        <v>0</v>
      </c>
      <c r="BG2803">
        <v>0</v>
      </c>
      <c r="BH2803">
        <v>1525</v>
      </c>
      <c r="BI2803">
        <v>1</v>
      </c>
      <c r="BJ2803">
        <v>1</v>
      </c>
      <c r="BK2803">
        <v>1</v>
      </c>
      <c r="BL2803">
        <v>0</v>
      </c>
      <c r="BO2803">
        <v>0</v>
      </c>
      <c r="BP2803">
        <v>0</v>
      </c>
      <c r="BW2803" t="str">
        <f>"20:29:30.480"</f>
        <v>20:29:30.480</v>
      </c>
      <c r="BZ2803">
        <v>0</v>
      </c>
      <c r="CA2803">
        <v>1792</v>
      </c>
      <c r="CB2803">
        <v>224</v>
      </c>
      <c r="CD2803">
        <v>1</v>
      </c>
      <c r="CE2803">
        <v>0</v>
      </c>
      <c r="CF2803">
        <v>0</v>
      </c>
      <c r="CG2803">
        <v>1</v>
      </c>
      <c r="CH2803">
        <v>0</v>
      </c>
      <c r="CI2803">
        <v>0</v>
      </c>
      <c r="CJ2803">
        <v>0</v>
      </c>
      <c r="CK2803">
        <v>2</v>
      </c>
      <c r="CL2803">
        <v>0</v>
      </c>
      <c r="CM2803">
        <v>2</v>
      </c>
      <c r="CN2803">
        <v>0</v>
      </c>
      <c r="CO2803">
        <v>2</v>
      </c>
      <c r="CP2803" t="s">
        <v>119</v>
      </c>
      <c r="CQ2803">
        <v>179</v>
      </c>
      <c r="CR2803">
        <v>1</v>
      </c>
      <c r="CW2803">
        <v>9087981</v>
      </c>
      <c r="CY2803">
        <v>1</v>
      </c>
      <c r="CZ2803">
        <v>0</v>
      </c>
      <c r="DA2803">
        <v>0</v>
      </c>
      <c r="DB2803">
        <v>0</v>
      </c>
      <c r="DC2803">
        <v>0</v>
      </c>
      <c r="DD2803">
        <v>0</v>
      </c>
      <c r="DE2803">
        <v>0</v>
      </c>
      <c r="DF2803">
        <v>0</v>
      </c>
      <c r="DG2803">
        <v>0</v>
      </c>
      <c r="DH2803">
        <v>0</v>
      </c>
      <c r="DI2803">
        <v>0</v>
      </c>
    </row>
    <row r="2804" spans="1:113" x14ac:dyDescent="0.3">
      <c r="A2804" t="str">
        <f>"02/08/2021 20:29:28.153"</f>
        <v>02/08/2021 20:29:28.153</v>
      </c>
      <c r="C2804" t="str">
        <f t="shared" si="135"/>
        <v>FFDFD7C0</v>
      </c>
      <c r="D2804" t="s">
        <v>113</v>
      </c>
      <c r="E2804">
        <v>6</v>
      </c>
      <c r="H2804">
        <v>165</v>
      </c>
      <c r="I2804" t="s">
        <v>114</v>
      </c>
      <c r="J2804" t="s">
        <v>115</v>
      </c>
      <c r="K2804">
        <v>0</v>
      </c>
      <c r="L2804">
        <v>3</v>
      </c>
      <c r="M2804">
        <v>0</v>
      </c>
      <c r="N2804">
        <v>2</v>
      </c>
      <c r="O2804">
        <v>1</v>
      </c>
      <c r="P2804">
        <v>0</v>
      </c>
      <c r="Q2804">
        <v>0</v>
      </c>
      <c r="S2804" t="str">
        <f>"20:29:30.477"</f>
        <v>20:29:30.477</v>
      </c>
      <c r="T2804" t="str">
        <f>"20:29:29.977"</f>
        <v>20:29:29.977</v>
      </c>
      <c r="U2804" t="str">
        <f t="shared" si="134"/>
        <v>AB01F4</v>
      </c>
      <c r="V2804">
        <v>0</v>
      </c>
      <c r="W2804">
        <v>0</v>
      </c>
      <c r="X2804">
        <v>2</v>
      </c>
      <c r="Z2804">
        <v>0</v>
      </c>
      <c r="AA2804">
        <v>9</v>
      </c>
      <c r="AB2804">
        <v>3</v>
      </c>
      <c r="AC2804">
        <v>0</v>
      </c>
      <c r="AD2804">
        <v>10</v>
      </c>
      <c r="AE2804">
        <v>0</v>
      </c>
      <c r="AF2804">
        <v>3</v>
      </c>
      <c r="AG2804">
        <v>2</v>
      </c>
      <c r="AH2804">
        <v>0</v>
      </c>
      <c r="AI2804" t="s">
        <v>1651</v>
      </c>
      <c r="AJ2804">
        <v>40.026026000000002</v>
      </c>
      <c r="AK2804" t="s">
        <v>1652</v>
      </c>
      <c r="AL2804">
        <v>-92.801706999999993</v>
      </c>
      <c r="AM2804">
        <v>100</v>
      </c>
      <c r="AN2804">
        <v>1500</v>
      </c>
      <c r="AO2804" t="s">
        <v>118</v>
      </c>
      <c r="AP2804">
        <v>-135</v>
      </c>
      <c r="AQ2804">
        <v>37</v>
      </c>
      <c r="AR2804">
        <v>-256</v>
      </c>
      <c r="AZ2804">
        <v>1200</v>
      </c>
      <c r="BA2804">
        <v>1</v>
      </c>
      <c r="BB2804" t="str">
        <f t="shared" si="136"/>
        <v xml:space="preserve">N8080G  </v>
      </c>
      <c r="BC2804">
        <v>1</v>
      </c>
      <c r="BE2804">
        <v>0</v>
      </c>
      <c r="BF2804">
        <v>0</v>
      </c>
      <c r="BG2804">
        <v>0</v>
      </c>
      <c r="BH2804">
        <v>1525</v>
      </c>
      <c r="BI2804">
        <v>1</v>
      </c>
      <c r="BJ2804">
        <v>1</v>
      </c>
      <c r="BK2804">
        <v>1</v>
      </c>
      <c r="BL2804">
        <v>0</v>
      </c>
      <c r="BO2804">
        <v>0</v>
      </c>
      <c r="BP2804">
        <v>0</v>
      </c>
      <c r="BW2804" t="str">
        <f>"20:29:30.480"</f>
        <v>20:29:30.480</v>
      </c>
      <c r="BZ2804">
        <v>0</v>
      </c>
      <c r="CA2804">
        <v>1792</v>
      </c>
      <c r="CB2804">
        <v>224</v>
      </c>
      <c r="CD2804">
        <v>1</v>
      </c>
      <c r="CE2804">
        <v>0</v>
      </c>
      <c r="CF2804">
        <v>0</v>
      </c>
      <c r="CG2804">
        <v>1</v>
      </c>
      <c r="CH2804">
        <v>0</v>
      </c>
      <c r="CI2804">
        <v>0</v>
      </c>
      <c r="CJ2804">
        <v>0</v>
      </c>
      <c r="CK2804">
        <v>2</v>
      </c>
      <c r="CL2804">
        <v>0</v>
      </c>
      <c r="CM2804">
        <v>2</v>
      </c>
      <c r="CN2804">
        <v>0</v>
      </c>
      <c r="CO2804">
        <v>2</v>
      </c>
      <c r="CP2804" t="s">
        <v>119</v>
      </c>
      <c r="CQ2804">
        <v>179</v>
      </c>
      <c r="CR2804">
        <v>1</v>
      </c>
      <c r="CW2804">
        <v>9087981</v>
      </c>
      <c r="CY2804">
        <v>1</v>
      </c>
      <c r="CZ2804">
        <v>0</v>
      </c>
      <c r="DA2804">
        <v>1</v>
      </c>
      <c r="DB2804">
        <v>0</v>
      </c>
      <c r="DC2804">
        <v>0</v>
      </c>
      <c r="DD2804">
        <v>0</v>
      </c>
      <c r="DE2804">
        <v>0</v>
      </c>
      <c r="DF2804">
        <v>0</v>
      </c>
      <c r="DG2804">
        <v>0</v>
      </c>
      <c r="DH2804">
        <v>0</v>
      </c>
      <c r="DI2804">
        <v>0</v>
      </c>
    </row>
    <row r="2805" spans="1:113" x14ac:dyDescent="0.3">
      <c r="A2805" t="str">
        <f>"02/08/2021 20:29:28.153"</f>
        <v>02/08/2021 20:29:28.153</v>
      </c>
      <c r="C2805" t="str">
        <f t="shared" si="135"/>
        <v>FFDFD7C0</v>
      </c>
      <c r="D2805" t="s">
        <v>124</v>
      </c>
      <c r="E2805">
        <v>11</v>
      </c>
      <c r="F2805">
        <v>1011</v>
      </c>
      <c r="G2805" t="s">
        <v>590</v>
      </c>
      <c r="J2805" t="s">
        <v>125</v>
      </c>
      <c r="K2805">
        <v>0</v>
      </c>
      <c r="L2805">
        <v>3</v>
      </c>
      <c r="M2805">
        <v>0</v>
      </c>
      <c r="N2805">
        <v>2</v>
      </c>
      <c r="O2805">
        <v>1</v>
      </c>
      <c r="P2805">
        <v>0</v>
      </c>
      <c r="Q2805">
        <v>0</v>
      </c>
      <c r="S2805" t="str">
        <f>"20:29:30.477"</f>
        <v>20:29:30.477</v>
      </c>
      <c r="T2805" t="str">
        <f>"20:29:29.977"</f>
        <v>20:29:29.977</v>
      </c>
      <c r="U2805" t="str">
        <f t="shared" si="134"/>
        <v>AB01F4</v>
      </c>
      <c r="V2805">
        <v>0</v>
      </c>
      <c r="W2805">
        <v>0</v>
      </c>
      <c r="X2805">
        <v>2</v>
      </c>
      <c r="Z2805">
        <v>0</v>
      </c>
      <c r="AA2805">
        <v>9</v>
      </c>
      <c r="AB2805">
        <v>3</v>
      </c>
      <c r="AC2805">
        <v>0</v>
      </c>
      <c r="AD2805">
        <v>10</v>
      </c>
      <c r="AE2805">
        <v>0</v>
      </c>
      <c r="AF2805">
        <v>3</v>
      </c>
      <c r="AG2805">
        <v>2</v>
      </c>
      <c r="AH2805">
        <v>0</v>
      </c>
      <c r="AI2805" t="s">
        <v>1651</v>
      </c>
      <c r="AJ2805">
        <v>40.026026000000002</v>
      </c>
      <c r="AK2805" t="s">
        <v>1652</v>
      </c>
      <c r="AL2805">
        <v>-92.801706999999993</v>
      </c>
      <c r="AM2805">
        <v>100</v>
      </c>
      <c r="AN2805">
        <v>1500</v>
      </c>
      <c r="AO2805" t="s">
        <v>118</v>
      </c>
      <c r="AP2805">
        <v>-135</v>
      </c>
      <c r="AQ2805">
        <v>37</v>
      </c>
      <c r="AR2805">
        <v>-256</v>
      </c>
      <c r="AZ2805">
        <v>1200</v>
      </c>
      <c r="BA2805">
        <v>1</v>
      </c>
      <c r="BB2805" t="str">
        <f t="shared" si="136"/>
        <v xml:space="preserve">N8080G  </v>
      </c>
      <c r="BC2805">
        <v>1</v>
      </c>
      <c r="BE2805">
        <v>0</v>
      </c>
      <c r="BF2805">
        <v>0</v>
      </c>
      <c r="BG2805">
        <v>0</v>
      </c>
      <c r="BH2805">
        <v>1525</v>
      </c>
      <c r="BI2805">
        <v>1</v>
      </c>
      <c r="BJ2805">
        <v>1</v>
      </c>
      <c r="BK2805">
        <v>1</v>
      </c>
      <c r="BL2805">
        <v>0</v>
      </c>
      <c r="BO2805">
        <v>0</v>
      </c>
      <c r="BP2805">
        <v>0</v>
      </c>
      <c r="BW2805" t="str">
        <f>"20:29:30.480"</f>
        <v>20:29:30.480</v>
      </c>
      <c r="BZ2805">
        <v>0</v>
      </c>
      <c r="CA2805">
        <v>1792</v>
      </c>
      <c r="CB2805">
        <v>224</v>
      </c>
      <c r="CD2805">
        <v>1</v>
      </c>
      <c r="CE2805">
        <v>0</v>
      </c>
      <c r="CF2805">
        <v>0</v>
      </c>
      <c r="CG2805">
        <v>1</v>
      </c>
      <c r="CH2805">
        <v>0</v>
      </c>
      <c r="CI2805">
        <v>0</v>
      </c>
      <c r="CJ2805">
        <v>0</v>
      </c>
      <c r="CK2805">
        <v>2</v>
      </c>
      <c r="CL2805">
        <v>0</v>
      </c>
      <c r="CM2805">
        <v>2</v>
      </c>
      <c r="CN2805">
        <v>0</v>
      </c>
      <c r="CO2805">
        <v>2</v>
      </c>
      <c r="CP2805" t="s">
        <v>119</v>
      </c>
      <c r="CQ2805">
        <v>179</v>
      </c>
      <c r="CR2805">
        <v>1</v>
      </c>
      <c r="CW2805">
        <v>9087981</v>
      </c>
      <c r="CY2805">
        <v>1</v>
      </c>
      <c r="CZ2805">
        <v>0</v>
      </c>
      <c r="DA2805">
        <v>1</v>
      </c>
      <c r="DB2805">
        <v>0</v>
      </c>
      <c r="DC2805">
        <v>0</v>
      </c>
      <c r="DD2805">
        <v>0</v>
      </c>
      <c r="DE2805">
        <v>0</v>
      </c>
      <c r="DF2805">
        <v>0</v>
      </c>
      <c r="DG2805">
        <v>0</v>
      </c>
      <c r="DH2805">
        <v>0</v>
      </c>
      <c r="DI2805">
        <v>0</v>
      </c>
    </row>
    <row r="2806" spans="1:113" x14ac:dyDescent="0.3">
      <c r="A2806" t="str">
        <f>"02/08/2021 20:29:28.153"</f>
        <v>02/08/2021 20:29:28.153</v>
      </c>
      <c r="C2806" t="str">
        <f t="shared" si="135"/>
        <v>FFDFD7C0</v>
      </c>
      <c r="D2806" t="s">
        <v>124</v>
      </c>
      <c r="E2806">
        <v>12</v>
      </c>
      <c r="F2806">
        <v>1012</v>
      </c>
      <c r="G2806" t="s">
        <v>675</v>
      </c>
      <c r="J2806" t="s">
        <v>125</v>
      </c>
      <c r="K2806">
        <v>0</v>
      </c>
      <c r="L2806">
        <v>3</v>
      </c>
      <c r="M2806">
        <v>0</v>
      </c>
      <c r="N2806">
        <v>2</v>
      </c>
      <c r="O2806">
        <v>1</v>
      </c>
      <c r="P2806">
        <v>0</v>
      </c>
      <c r="Q2806">
        <v>0</v>
      </c>
      <c r="S2806" t="str">
        <f>"20:29:30.477"</f>
        <v>20:29:30.477</v>
      </c>
      <c r="T2806" t="str">
        <f>"20:29:29.977"</f>
        <v>20:29:29.977</v>
      </c>
      <c r="U2806" t="str">
        <f t="shared" si="134"/>
        <v>AB01F4</v>
      </c>
      <c r="V2806">
        <v>0</v>
      </c>
      <c r="W2806">
        <v>0</v>
      </c>
      <c r="X2806">
        <v>2</v>
      </c>
      <c r="Z2806">
        <v>0</v>
      </c>
      <c r="AA2806">
        <v>9</v>
      </c>
      <c r="AB2806">
        <v>3</v>
      </c>
      <c r="AC2806">
        <v>0</v>
      </c>
      <c r="AD2806">
        <v>10</v>
      </c>
      <c r="AE2806">
        <v>0</v>
      </c>
      <c r="AF2806">
        <v>3</v>
      </c>
      <c r="AG2806">
        <v>2</v>
      </c>
      <c r="AH2806">
        <v>0</v>
      </c>
      <c r="AI2806" t="s">
        <v>1651</v>
      </c>
      <c r="AJ2806">
        <v>40.026026000000002</v>
      </c>
      <c r="AK2806" t="s">
        <v>1652</v>
      </c>
      <c r="AL2806">
        <v>-92.801706999999993</v>
      </c>
      <c r="AM2806">
        <v>100</v>
      </c>
      <c r="AN2806">
        <v>1500</v>
      </c>
      <c r="AO2806" t="s">
        <v>118</v>
      </c>
      <c r="AP2806">
        <v>-135</v>
      </c>
      <c r="AQ2806">
        <v>37</v>
      </c>
      <c r="AR2806">
        <v>-256</v>
      </c>
      <c r="AZ2806">
        <v>1200</v>
      </c>
      <c r="BA2806">
        <v>1</v>
      </c>
      <c r="BB2806" t="str">
        <f t="shared" si="136"/>
        <v xml:space="preserve">N8080G  </v>
      </c>
      <c r="BC2806">
        <v>1</v>
      </c>
      <c r="BE2806">
        <v>0</v>
      </c>
      <c r="BF2806">
        <v>0</v>
      </c>
      <c r="BG2806">
        <v>0</v>
      </c>
      <c r="BH2806">
        <v>1525</v>
      </c>
      <c r="BI2806">
        <v>1</v>
      </c>
      <c r="BJ2806">
        <v>1</v>
      </c>
      <c r="BK2806">
        <v>1</v>
      </c>
      <c r="BL2806">
        <v>0</v>
      </c>
      <c r="BO2806">
        <v>0</v>
      </c>
      <c r="BP2806">
        <v>0</v>
      </c>
      <c r="BW2806" t="str">
        <f>"20:29:30.480"</f>
        <v>20:29:30.480</v>
      </c>
      <c r="BZ2806">
        <v>0</v>
      </c>
      <c r="CA2806">
        <v>1792</v>
      </c>
      <c r="CB2806">
        <v>224</v>
      </c>
      <c r="CD2806">
        <v>1</v>
      </c>
      <c r="CE2806">
        <v>0</v>
      </c>
      <c r="CF2806">
        <v>0</v>
      </c>
      <c r="CG2806">
        <v>1</v>
      </c>
      <c r="CH2806">
        <v>0</v>
      </c>
      <c r="CI2806">
        <v>0</v>
      </c>
      <c r="CJ2806">
        <v>0</v>
      </c>
      <c r="CK2806">
        <v>2</v>
      </c>
      <c r="CL2806">
        <v>0</v>
      </c>
      <c r="CM2806">
        <v>2</v>
      </c>
      <c r="CN2806">
        <v>0</v>
      </c>
      <c r="CO2806">
        <v>2</v>
      </c>
      <c r="CP2806" t="s">
        <v>119</v>
      </c>
      <c r="CQ2806">
        <v>179</v>
      </c>
      <c r="CR2806">
        <v>1</v>
      </c>
      <c r="CW2806">
        <v>9087981</v>
      </c>
      <c r="CY2806">
        <v>1</v>
      </c>
      <c r="CZ2806">
        <v>0</v>
      </c>
      <c r="DA2806">
        <v>1</v>
      </c>
      <c r="DB2806">
        <v>0</v>
      </c>
      <c r="DC2806">
        <v>0</v>
      </c>
      <c r="DD2806">
        <v>0</v>
      </c>
      <c r="DE2806">
        <v>0</v>
      </c>
      <c r="DF2806">
        <v>0</v>
      </c>
      <c r="DG2806">
        <v>0</v>
      </c>
      <c r="DH2806">
        <v>0</v>
      </c>
      <c r="DI2806">
        <v>0</v>
      </c>
    </row>
    <row r="2807" spans="1:113" x14ac:dyDescent="0.3">
      <c r="A2807" t="str">
        <f>"02/08/2021 20:29:29.016"</f>
        <v>02/08/2021 20:29:29.016</v>
      </c>
      <c r="C2807" t="str">
        <f t="shared" si="135"/>
        <v>FFDFD7C0</v>
      </c>
      <c r="D2807" t="s">
        <v>124</v>
      </c>
      <c r="E2807">
        <v>11</v>
      </c>
      <c r="F2807">
        <v>1011</v>
      </c>
      <c r="G2807" t="s">
        <v>590</v>
      </c>
      <c r="J2807" t="s">
        <v>125</v>
      </c>
      <c r="K2807">
        <v>0</v>
      </c>
      <c r="L2807">
        <v>3</v>
      </c>
      <c r="M2807">
        <v>0</v>
      </c>
      <c r="N2807">
        <v>2</v>
      </c>
      <c r="O2807">
        <v>1</v>
      </c>
      <c r="P2807">
        <v>0</v>
      </c>
      <c r="Q2807">
        <v>0</v>
      </c>
      <c r="S2807" t="str">
        <f>"20:29:31.359"</f>
        <v>20:29:31.359</v>
      </c>
      <c r="T2807" t="str">
        <f>"20:29:30.959"</f>
        <v>20:29:30.959</v>
      </c>
      <c r="U2807" t="str">
        <f t="shared" si="134"/>
        <v>AB01F4</v>
      </c>
      <c r="V2807">
        <v>0</v>
      </c>
      <c r="W2807">
        <v>0</v>
      </c>
      <c r="X2807">
        <v>2</v>
      </c>
      <c r="Z2807">
        <v>0</v>
      </c>
      <c r="AA2807">
        <v>9</v>
      </c>
      <c r="AB2807">
        <v>3</v>
      </c>
      <c r="AC2807">
        <v>0</v>
      </c>
      <c r="AD2807">
        <v>10</v>
      </c>
      <c r="AE2807">
        <v>0</v>
      </c>
      <c r="AF2807">
        <v>3</v>
      </c>
      <c r="AG2807">
        <v>2</v>
      </c>
      <c r="AH2807">
        <v>0</v>
      </c>
      <c r="AI2807" t="s">
        <v>1653</v>
      </c>
      <c r="AJ2807">
        <v>40.026176</v>
      </c>
      <c r="AK2807" t="s">
        <v>1654</v>
      </c>
      <c r="AL2807">
        <v>-92.802436</v>
      </c>
      <c r="AM2807">
        <v>100</v>
      </c>
      <c r="AN2807">
        <v>1500</v>
      </c>
      <c r="AO2807" t="s">
        <v>118</v>
      </c>
      <c r="AP2807">
        <v>-136</v>
      </c>
      <c r="AQ2807">
        <v>36</v>
      </c>
      <c r="AR2807">
        <v>-256</v>
      </c>
      <c r="AZ2807">
        <v>1200</v>
      </c>
      <c r="BA2807">
        <v>1</v>
      </c>
      <c r="BB2807" t="str">
        <f t="shared" si="136"/>
        <v xml:space="preserve">N8080G  </v>
      </c>
      <c r="BC2807">
        <v>1</v>
      </c>
      <c r="BE2807">
        <v>0</v>
      </c>
      <c r="BF2807">
        <v>0</v>
      </c>
      <c r="BG2807">
        <v>0</v>
      </c>
      <c r="BH2807">
        <v>1525</v>
      </c>
      <c r="BI2807">
        <v>1</v>
      </c>
      <c r="BJ2807">
        <v>1</v>
      </c>
      <c r="BK2807">
        <v>1</v>
      </c>
      <c r="BL2807">
        <v>0</v>
      </c>
      <c r="BO2807">
        <v>0</v>
      </c>
      <c r="BP2807">
        <v>0</v>
      </c>
      <c r="BW2807" t="str">
        <f>"20:29:31.367"</f>
        <v>20:29:31.367</v>
      </c>
      <c r="BZ2807">
        <v>0</v>
      </c>
      <c r="CA2807">
        <v>1792</v>
      </c>
      <c r="CB2807">
        <v>224</v>
      </c>
      <c r="CD2807">
        <v>1</v>
      </c>
      <c r="CE2807">
        <v>0</v>
      </c>
      <c r="CF2807">
        <v>0</v>
      </c>
      <c r="CG2807">
        <v>1</v>
      </c>
      <c r="CH2807">
        <v>0</v>
      </c>
      <c r="CI2807">
        <v>0</v>
      </c>
      <c r="CJ2807">
        <v>0</v>
      </c>
      <c r="CK2807">
        <v>2</v>
      </c>
      <c r="CL2807">
        <v>0</v>
      </c>
      <c r="CM2807">
        <v>2</v>
      </c>
      <c r="CN2807">
        <v>0</v>
      </c>
      <c r="CO2807">
        <v>7</v>
      </c>
      <c r="CP2807" t="s">
        <v>119</v>
      </c>
      <c r="CQ2807">
        <v>180</v>
      </c>
      <c r="CR2807">
        <v>3</v>
      </c>
      <c r="CW2807">
        <v>983433</v>
      </c>
      <c r="CY2807">
        <v>1</v>
      </c>
      <c r="CZ2807">
        <v>0</v>
      </c>
      <c r="DA2807">
        <v>0</v>
      </c>
      <c r="DB2807">
        <v>0</v>
      </c>
      <c r="DC2807">
        <v>0</v>
      </c>
      <c r="DD2807">
        <v>0</v>
      </c>
      <c r="DE2807">
        <v>0</v>
      </c>
      <c r="DF2807">
        <v>0</v>
      </c>
      <c r="DG2807">
        <v>0</v>
      </c>
      <c r="DH2807">
        <v>0</v>
      </c>
      <c r="DI2807">
        <v>0</v>
      </c>
    </row>
    <row r="2808" spans="1:113" x14ac:dyDescent="0.3">
      <c r="A2808" t="str">
        <f>"02/08/2021 20:29:29.016"</f>
        <v>02/08/2021 20:29:29.016</v>
      </c>
      <c r="C2808" t="str">
        <f t="shared" si="135"/>
        <v>FFDFD7C0</v>
      </c>
      <c r="D2808" t="s">
        <v>113</v>
      </c>
      <c r="E2808">
        <v>6</v>
      </c>
      <c r="H2808">
        <v>165</v>
      </c>
      <c r="I2808" t="s">
        <v>114</v>
      </c>
      <c r="J2808" t="s">
        <v>115</v>
      </c>
      <c r="K2808">
        <v>0</v>
      </c>
      <c r="L2808">
        <v>3</v>
      </c>
      <c r="M2808">
        <v>0</v>
      </c>
      <c r="N2808">
        <v>2</v>
      </c>
      <c r="O2808">
        <v>1</v>
      </c>
      <c r="P2808">
        <v>0</v>
      </c>
      <c r="Q2808">
        <v>0</v>
      </c>
      <c r="S2808" t="str">
        <f>"20:29:31.359"</f>
        <v>20:29:31.359</v>
      </c>
      <c r="T2808" t="str">
        <f>"20:29:30.959"</f>
        <v>20:29:30.959</v>
      </c>
      <c r="U2808" t="str">
        <f t="shared" si="134"/>
        <v>AB01F4</v>
      </c>
      <c r="V2808">
        <v>0</v>
      </c>
      <c r="W2808">
        <v>0</v>
      </c>
      <c r="X2808">
        <v>2</v>
      </c>
      <c r="Z2808">
        <v>0</v>
      </c>
      <c r="AA2808">
        <v>9</v>
      </c>
      <c r="AB2808">
        <v>3</v>
      </c>
      <c r="AC2808">
        <v>0</v>
      </c>
      <c r="AD2808">
        <v>10</v>
      </c>
      <c r="AE2808">
        <v>0</v>
      </c>
      <c r="AF2808">
        <v>3</v>
      </c>
      <c r="AG2808">
        <v>2</v>
      </c>
      <c r="AH2808">
        <v>0</v>
      </c>
      <c r="AI2808" t="s">
        <v>1653</v>
      </c>
      <c r="AJ2808">
        <v>40.026176</v>
      </c>
      <c r="AK2808" t="s">
        <v>1654</v>
      </c>
      <c r="AL2808">
        <v>-92.802436</v>
      </c>
      <c r="AM2808">
        <v>100</v>
      </c>
      <c r="AN2808">
        <v>1500</v>
      </c>
      <c r="AO2808" t="s">
        <v>118</v>
      </c>
      <c r="AP2808">
        <v>-136</v>
      </c>
      <c r="AQ2808">
        <v>36</v>
      </c>
      <c r="AR2808">
        <v>-256</v>
      </c>
      <c r="AZ2808">
        <v>1200</v>
      </c>
      <c r="BA2808">
        <v>1</v>
      </c>
      <c r="BB2808" t="str">
        <f t="shared" si="136"/>
        <v xml:space="preserve">N8080G  </v>
      </c>
      <c r="BC2808">
        <v>1</v>
      </c>
      <c r="BE2808">
        <v>0</v>
      </c>
      <c r="BF2808">
        <v>0</v>
      </c>
      <c r="BG2808">
        <v>0</v>
      </c>
      <c r="BH2808">
        <v>1525</v>
      </c>
      <c r="BI2808">
        <v>1</v>
      </c>
      <c r="BJ2808">
        <v>1</v>
      </c>
      <c r="BK2808">
        <v>1</v>
      </c>
      <c r="BL2808">
        <v>0</v>
      </c>
      <c r="BO2808">
        <v>0</v>
      </c>
      <c r="BP2808">
        <v>0</v>
      </c>
      <c r="BW2808" t="str">
        <f>"20:29:31.367"</f>
        <v>20:29:31.367</v>
      </c>
      <c r="BZ2808">
        <v>0</v>
      </c>
      <c r="CA2808">
        <v>1792</v>
      </c>
      <c r="CB2808">
        <v>224</v>
      </c>
      <c r="CD2808">
        <v>1</v>
      </c>
      <c r="CE2808">
        <v>0</v>
      </c>
      <c r="CF2808">
        <v>0</v>
      </c>
      <c r="CG2808">
        <v>1</v>
      </c>
      <c r="CH2808">
        <v>0</v>
      </c>
      <c r="CI2808">
        <v>0</v>
      </c>
      <c r="CJ2808">
        <v>0</v>
      </c>
      <c r="CK2808">
        <v>2</v>
      </c>
      <c r="CL2808">
        <v>0</v>
      </c>
      <c r="CM2808">
        <v>2</v>
      </c>
      <c r="CN2808">
        <v>0</v>
      </c>
      <c r="CO2808">
        <v>7</v>
      </c>
      <c r="CP2808" t="s">
        <v>119</v>
      </c>
      <c r="CQ2808">
        <v>180</v>
      </c>
      <c r="CR2808">
        <v>3</v>
      </c>
      <c r="CW2808">
        <v>983433</v>
      </c>
      <c r="CY2808">
        <v>1</v>
      </c>
      <c r="CZ2808">
        <v>0</v>
      </c>
      <c r="DA2808">
        <v>1</v>
      </c>
      <c r="DB2808">
        <v>0</v>
      </c>
      <c r="DC2808">
        <v>0</v>
      </c>
      <c r="DD2808">
        <v>0</v>
      </c>
      <c r="DE2808">
        <v>0</v>
      </c>
      <c r="DF2808">
        <v>0</v>
      </c>
      <c r="DG2808">
        <v>0</v>
      </c>
      <c r="DH2808">
        <v>0</v>
      </c>
      <c r="DI2808">
        <v>0</v>
      </c>
    </row>
    <row r="2809" spans="1:113" x14ac:dyDescent="0.3">
      <c r="A2809" t="str">
        <f>"02/08/2021 20:29:29.016"</f>
        <v>02/08/2021 20:29:29.016</v>
      </c>
      <c r="C2809" t="str">
        <f t="shared" si="135"/>
        <v>FFDFD7C0</v>
      </c>
      <c r="D2809" t="s">
        <v>124</v>
      </c>
      <c r="E2809">
        <v>12</v>
      </c>
      <c r="F2809">
        <v>1012</v>
      </c>
      <c r="G2809" t="s">
        <v>675</v>
      </c>
      <c r="J2809" t="s">
        <v>125</v>
      </c>
      <c r="K2809">
        <v>0</v>
      </c>
      <c r="L2809">
        <v>3</v>
      </c>
      <c r="M2809">
        <v>0</v>
      </c>
      <c r="N2809">
        <v>2</v>
      </c>
      <c r="O2809">
        <v>1</v>
      </c>
      <c r="P2809">
        <v>0</v>
      </c>
      <c r="Q2809">
        <v>0</v>
      </c>
      <c r="S2809" t="str">
        <f>"20:29:31.359"</f>
        <v>20:29:31.359</v>
      </c>
      <c r="T2809" t="str">
        <f>"20:29:30.959"</f>
        <v>20:29:30.959</v>
      </c>
      <c r="U2809" t="str">
        <f t="shared" si="134"/>
        <v>AB01F4</v>
      </c>
      <c r="V2809">
        <v>0</v>
      </c>
      <c r="W2809">
        <v>0</v>
      </c>
      <c r="X2809">
        <v>2</v>
      </c>
      <c r="Z2809">
        <v>0</v>
      </c>
      <c r="AA2809">
        <v>9</v>
      </c>
      <c r="AB2809">
        <v>3</v>
      </c>
      <c r="AC2809">
        <v>0</v>
      </c>
      <c r="AD2809">
        <v>10</v>
      </c>
      <c r="AE2809">
        <v>0</v>
      </c>
      <c r="AF2809">
        <v>3</v>
      </c>
      <c r="AG2809">
        <v>2</v>
      </c>
      <c r="AH2809">
        <v>0</v>
      </c>
      <c r="AI2809" t="s">
        <v>1653</v>
      </c>
      <c r="AJ2809">
        <v>40.026176</v>
      </c>
      <c r="AK2809" t="s">
        <v>1654</v>
      </c>
      <c r="AL2809">
        <v>-92.802436</v>
      </c>
      <c r="AM2809">
        <v>100</v>
      </c>
      <c r="AN2809">
        <v>1500</v>
      </c>
      <c r="AO2809" t="s">
        <v>118</v>
      </c>
      <c r="AP2809">
        <v>-136</v>
      </c>
      <c r="AQ2809">
        <v>36</v>
      </c>
      <c r="AR2809">
        <v>-256</v>
      </c>
      <c r="AZ2809">
        <v>1200</v>
      </c>
      <c r="BA2809">
        <v>1</v>
      </c>
      <c r="BB2809" t="str">
        <f t="shared" si="136"/>
        <v xml:space="preserve">N8080G  </v>
      </c>
      <c r="BC2809">
        <v>1</v>
      </c>
      <c r="BE2809">
        <v>0</v>
      </c>
      <c r="BF2809">
        <v>0</v>
      </c>
      <c r="BG2809">
        <v>0</v>
      </c>
      <c r="BH2809">
        <v>1525</v>
      </c>
      <c r="BI2809">
        <v>1</v>
      </c>
      <c r="BJ2809">
        <v>1</v>
      </c>
      <c r="BK2809">
        <v>1</v>
      </c>
      <c r="BL2809">
        <v>0</v>
      </c>
      <c r="BO2809">
        <v>0</v>
      </c>
      <c r="BP2809">
        <v>0</v>
      </c>
      <c r="BW2809" t="str">
        <f>"20:29:31.367"</f>
        <v>20:29:31.367</v>
      </c>
      <c r="BZ2809">
        <v>0</v>
      </c>
      <c r="CA2809">
        <v>1792</v>
      </c>
      <c r="CB2809">
        <v>224</v>
      </c>
      <c r="CD2809">
        <v>1</v>
      </c>
      <c r="CE2809">
        <v>0</v>
      </c>
      <c r="CF2809">
        <v>0</v>
      </c>
      <c r="CG2809">
        <v>1</v>
      </c>
      <c r="CH2809">
        <v>0</v>
      </c>
      <c r="CI2809">
        <v>0</v>
      </c>
      <c r="CJ2809">
        <v>0</v>
      </c>
      <c r="CK2809">
        <v>2</v>
      </c>
      <c r="CL2809">
        <v>0</v>
      </c>
      <c r="CM2809">
        <v>2</v>
      </c>
      <c r="CN2809">
        <v>0</v>
      </c>
      <c r="CO2809">
        <v>7</v>
      </c>
      <c r="CP2809" t="s">
        <v>119</v>
      </c>
      <c r="CQ2809">
        <v>180</v>
      </c>
      <c r="CR2809">
        <v>3</v>
      </c>
      <c r="CW2809">
        <v>983433</v>
      </c>
      <c r="CY2809">
        <v>1</v>
      </c>
      <c r="CZ2809">
        <v>0</v>
      </c>
      <c r="DA2809">
        <v>1</v>
      </c>
      <c r="DB2809">
        <v>0</v>
      </c>
      <c r="DC2809">
        <v>0</v>
      </c>
      <c r="DD2809">
        <v>0</v>
      </c>
      <c r="DE2809">
        <v>0</v>
      </c>
      <c r="DF2809">
        <v>0</v>
      </c>
      <c r="DG2809">
        <v>0</v>
      </c>
      <c r="DH2809">
        <v>0</v>
      </c>
      <c r="DI2809">
        <v>0</v>
      </c>
    </row>
    <row r="2810" spans="1:113" x14ac:dyDescent="0.3">
      <c r="A2810" t="str">
        <f>"02/08/2021 20:29:29.016"</f>
        <v>02/08/2021 20:29:29.016</v>
      </c>
      <c r="C2810" t="str">
        <f t="shared" si="135"/>
        <v>FFDFD7C0</v>
      </c>
      <c r="D2810" t="s">
        <v>124</v>
      </c>
      <c r="E2810">
        <v>13</v>
      </c>
      <c r="F2810">
        <v>1013</v>
      </c>
      <c r="G2810" t="s">
        <v>114</v>
      </c>
      <c r="J2810" t="s">
        <v>125</v>
      </c>
      <c r="K2810">
        <v>0</v>
      </c>
      <c r="L2810">
        <v>3</v>
      </c>
      <c r="M2810">
        <v>0</v>
      </c>
      <c r="N2810">
        <v>2</v>
      </c>
      <c r="O2810">
        <v>1</v>
      </c>
      <c r="P2810">
        <v>0</v>
      </c>
      <c r="Q2810">
        <v>0</v>
      </c>
      <c r="S2810" t="str">
        <f>"20:29:31.359"</f>
        <v>20:29:31.359</v>
      </c>
      <c r="T2810" t="str">
        <f>"20:29:30.959"</f>
        <v>20:29:30.959</v>
      </c>
      <c r="U2810" t="str">
        <f t="shared" si="134"/>
        <v>AB01F4</v>
      </c>
      <c r="V2810">
        <v>0</v>
      </c>
      <c r="W2810">
        <v>0</v>
      </c>
      <c r="X2810">
        <v>2</v>
      </c>
      <c r="Z2810">
        <v>0</v>
      </c>
      <c r="AA2810">
        <v>9</v>
      </c>
      <c r="AB2810">
        <v>3</v>
      </c>
      <c r="AC2810">
        <v>0</v>
      </c>
      <c r="AD2810">
        <v>10</v>
      </c>
      <c r="AE2810">
        <v>0</v>
      </c>
      <c r="AF2810">
        <v>3</v>
      </c>
      <c r="AG2810">
        <v>2</v>
      </c>
      <c r="AH2810">
        <v>0</v>
      </c>
      <c r="AI2810" t="s">
        <v>1653</v>
      </c>
      <c r="AJ2810">
        <v>40.026176</v>
      </c>
      <c r="AK2810" t="s">
        <v>1654</v>
      </c>
      <c r="AL2810">
        <v>-92.802436</v>
      </c>
      <c r="AM2810">
        <v>100</v>
      </c>
      <c r="AN2810">
        <v>1500</v>
      </c>
      <c r="AO2810" t="s">
        <v>118</v>
      </c>
      <c r="AP2810">
        <v>-136</v>
      </c>
      <c r="AQ2810">
        <v>36</v>
      </c>
      <c r="AR2810">
        <v>-256</v>
      </c>
      <c r="AZ2810">
        <v>1200</v>
      </c>
      <c r="BA2810">
        <v>1</v>
      </c>
      <c r="BB2810" t="str">
        <f t="shared" si="136"/>
        <v xml:space="preserve">N8080G  </v>
      </c>
      <c r="BC2810">
        <v>1</v>
      </c>
      <c r="BE2810">
        <v>0</v>
      </c>
      <c r="BF2810">
        <v>0</v>
      </c>
      <c r="BG2810">
        <v>0</v>
      </c>
      <c r="BH2810">
        <v>1525</v>
      </c>
      <c r="BI2810">
        <v>1</v>
      </c>
      <c r="BJ2810">
        <v>1</v>
      </c>
      <c r="BK2810">
        <v>1</v>
      </c>
      <c r="BL2810">
        <v>0</v>
      </c>
      <c r="BO2810">
        <v>0</v>
      </c>
      <c r="BP2810">
        <v>0</v>
      </c>
      <c r="BW2810" t="str">
        <f>"20:29:31.367"</f>
        <v>20:29:31.367</v>
      </c>
      <c r="BZ2810">
        <v>0</v>
      </c>
      <c r="CA2810">
        <v>1792</v>
      </c>
      <c r="CB2810">
        <v>224</v>
      </c>
      <c r="CD2810">
        <v>1</v>
      </c>
      <c r="CE2810">
        <v>0</v>
      </c>
      <c r="CF2810">
        <v>0</v>
      </c>
      <c r="CG2810">
        <v>1</v>
      </c>
      <c r="CH2810">
        <v>0</v>
      </c>
      <c r="CI2810">
        <v>0</v>
      </c>
      <c r="CJ2810">
        <v>0</v>
      </c>
      <c r="CK2810">
        <v>2</v>
      </c>
      <c r="CL2810">
        <v>0</v>
      </c>
      <c r="CM2810">
        <v>2</v>
      </c>
      <c r="CN2810">
        <v>0</v>
      </c>
      <c r="CO2810">
        <v>7</v>
      </c>
      <c r="CP2810" t="s">
        <v>119</v>
      </c>
      <c r="CQ2810">
        <v>180</v>
      </c>
      <c r="CR2810">
        <v>3</v>
      </c>
      <c r="CW2810">
        <v>983433</v>
      </c>
      <c r="CY2810">
        <v>1</v>
      </c>
      <c r="CZ2810">
        <v>0</v>
      </c>
      <c r="DA2810">
        <v>1</v>
      </c>
      <c r="DB2810">
        <v>0</v>
      </c>
      <c r="DC2810">
        <v>0</v>
      </c>
      <c r="DD2810">
        <v>0</v>
      </c>
      <c r="DE2810">
        <v>0</v>
      </c>
      <c r="DF2810">
        <v>0</v>
      </c>
      <c r="DG2810">
        <v>0</v>
      </c>
      <c r="DH2810">
        <v>0</v>
      </c>
      <c r="DI2810">
        <v>0</v>
      </c>
    </row>
    <row r="2811" spans="1:113" x14ac:dyDescent="0.3">
      <c r="A2811" t="str">
        <f>"02/08/2021 20:29:30.165"</f>
        <v>02/08/2021 20:29:30.165</v>
      </c>
      <c r="C2811" t="str">
        <f t="shared" si="135"/>
        <v>FFDFD7C0</v>
      </c>
      <c r="D2811" t="s">
        <v>124</v>
      </c>
      <c r="E2811">
        <v>13</v>
      </c>
      <c r="F2811">
        <v>1013</v>
      </c>
      <c r="G2811" t="s">
        <v>114</v>
      </c>
      <c r="J2811" t="s">
        <v>125</v>
      </c>
      <c r="K2811">
        <v>0</v>
      </c>
      <c r="L2811">
        <v>3</v>
      </c>
      <c r="M2811">
        <v>0</v>
      </c>
      <c r="N2811">
        <v>2</v>
      </c>
      <c r="O2811">
        <v>1</v>
      </c>
      <c r="P2811">
        <v>0</v>
      </c>
      <c r="Q2811">
        <v>0</v>
      </c>
      <c r="S2811" t="str">
        <f>"20:29:32.484"</f>
        <v>20:29:32.484</v>
      </c>
      <c r="T2811" t="str">
        <f>"20:29:31.984"</f>
        <v>20:29:31.984</v>
      </c>
      <c r="U2811" t="str">
        <f t="shared" si="134"/>
        <v>AB01F4</v>
      </c>
      <c r="V2811">
        <v>0</v>
      </c>
      <c r="W2811">
        <v>0</v>
      </c>
      <c r="X2811">
        <v>2</v>
      </c>
      <c r="Z2811">
        <v>0</v>
      </c>
      <c r="AA2811">
        <v>9</v>
      </c>
      <c r="AB2811">
        <v>3</v>
      </c>
      <c r="AC2811">
        <v>0</v>
      </c>
      <c r="AD2811">
        <v>10</v>
      </c>
      <c r="AE2811">
        <v>0</v>
      </c>
      <c r="AF2811">
        <v>3</v>
      </c>
      <c r="AG2811">
        <v>2</v>
      </c>
      <c r="AH2811">
        <v>0</v>
      </c>
      <c r="AI2811" t="s">
        <v>1655</v>
      </c>
      <c r="AJ2811">
        <v>40.026369000000003</v>
      </c>
      <c r="AK2811" t="s">
        <v>1656</v>
      </c>
      <c r="AL2811">
        <v>-92.803380000000004</v>
      </c>
      <c r="AM2811">
        <v>100</v>
      </c>
      <c r="AN2811">
        <v>1500</v>
      </c>
      <c r="AO2811" t="s">
        <v>118</v>
      </c>
      <c r="AP2811">
        <v>-136</v>
      </c>
      <c r="AQ2811">
        <v>35</v>
      </c>
      <c r="AR2811">
        <v>-128</v>
      </c>
      <c r="AZ2811">
        <v>1200</v>
      </c>
      <c r="BA2811">
        <v>1</v>
      </c>
      <c r="BB2811" t="str">
        <f t="shared" si="136"/>
        <v xml:space="preserve">N8080G  </v>
      </c>
      <c r="BC2811">
        <v>1</v>
      </c>
      <c r="BE2811">
        <v>0</v>
      </c>
      <c r="BF2811">
        <v>0</v>
      </c>
      <c r="BG2811">
        <v>0</v>
      </c>
      <c r="BH2811">
        <v>1525</v>
      </c>
      <c r="BI2811">
        <v>1</v>
      </c>
      <c r="BJ2811">
        <v>1</v>
      </c>
      <c r="BK2811">
        <v>1</v>
      </c>
      <c r="BL2811">
        <v>0</v>
      </c>
      <c r="BO2811">
        <v>0</v>
      </c>
      <c r="BP2811">
        <v>0</v>
      </c>
      <c r="BW2811" t="str">
        <f>"20:29:32.488"</f>
        <v>20:29:32.488</v>
      </c>
      <c r="BZ2811">
        <v>0</v>
      </c>
      <c r="CA2811">
        <v>1792</v>
      </c>
      <c r="CB2811">
        <v>224</v>
      </c>
      <c r="CD2811">
        <v>1</v>
      </c>
      <c r="CE2811">
        <v>0</v>
      </c>
      <c r="CF2811">
        <v>0</v>
      </c>
      <c r="CG2811">
        <v>1</v>
      </c>
      <c r="CH2811">
        <v>0</v>
      </c>
      <c r="CI2811">
        <v>0</v>
      </c>
      <c r="CJ2811">
        <v>0</v>
      </c>
      <c r="CK2811">
        <v>2</v>
      </c>
      <c r="CL2811">
        <v>0</v>
      </c>
      <c r="CM2811">
        <v>2</v>
      </c>
      <c r="CN2811">
        <v>0</v>
      </c>
      <c r="CO2811">
        <v>2</v>
      </c>
      <c r="CP2811" t="s">
        <v>119</v>
      </c>
      <c r="CQ2811">
        <v>179</v>
      </c>
      <c r="CR2811">
        <v>1</v>
      </c>
      <c r="CW2811">
        <v>9089809</v>
      </c>
      <c r="CY2811">
        <v>1</v>
      </c>
      <c r="CZ2811">
        <v>0</v>
      </c>
      <c r="DA2811">
        <v>0</v>
      </c>
      <c r="DB2811">
        <v>0</v>
      </c>
      <c r="DC2811">
        <v>0</v>
      </c>
      <c r="DD2811">
        <v>0</v>
      </c>
      <c r="DE2811">
        <v>0</v>
      </c>
      <c r="DF2811">
        <v>0</v>
      </c>
      <c r="DG2811">
        <v>0</v>
      </c>
      <c r="DH2811">
        <v>0</v>
      </c>
      <c r="DI2811">
        <v>0</v>
      </c>
    </row>
    <row r="2812" spans="1:113" x14ac:dyDescent="0.3">
      <c r="A2812" t="str">
        <f>"02/08/2021 20:29:30.165"</f>
        <v>02/08/2021 20:29:30.165</v>
      </c>
      <c r="C2812" t="str">
        <f t="shared" si="135"/>
        <v>FFDFD7C0</v>
      </c>
      <c r="D2812" t="s">
        <v>124</v>
      </c>
      <c r="E2812">
        <v>11</v>
      </c>
      <c r="F2812">
        <v>1011</v>
      </c>
      <c r="G2812" t="s">
        <v>590</v>
      </c>
      <c r="J2812" t="s">
        <v>125</v>
      </c>
      <c r="K2812">
        <v>0</v>
      </c>
      <c r="L2812">
        <v>3</v>
      </c>
      <c r="M2812">
        <v>0</v>
      </c>
      <c r="N2812">
        <v>2</v>
      </c>
      <c r="O2812">
        <v>1</v>
      </c>
      <c r="P2812">
        <v>0</v>
      </c>
      <c r="Q2812">
        <v>0</v>
      </c>
      <c r="S2812" t="str">
        <f>"20:29:32.484"</f>
        <v>20:29:32.484</v>
      </c>
      <c r="T2812" t="str">
        <f>"20:29:31.984"</f>
        <v>20:29:31.984</v>
      </c>
      <c r="U2812" t="str">
        <f t="shared" si="134"/>
        <v>AB01F4</v>
      </c>
      <c r="V2812">
        <v>0</v>
      </c>
      <c r="W2812">
        <v>0</v>
      </c>
      <c r="X2812">
        <v>2</v>
      </c>
      <c r="Z2812">
        <v>0</v>
      </c>
      <c r="AA2812">
        <v>9</v>
      </c>
      <c r="AB2812">
        <v>3</v>
      </c>
      <c r="AC2812">
        <v>0</v>
      </c>
      <c r="AD2812">
        <v>10</v>
      </c>
      <c r="AE2812">
        <v>0</v>
      </c>
      <c r="AF2812">
        <v>3</v>
      </c>
      <c r="AG2812">
        <v>2</v>
      </c>
      <c r="AH2812">
        <v>0</v>
      </c>
      <c r="AI2812" t="s">
        <v>1655</v>
      </c>
      <c r="AJ2812">
        <v>40.026369000000003</v>
      </c>
      <c r="AK2812" t="s">
        <v>1656</v>
      </c>
      <c r="AL2812">
        <v>-92.803380000000004</v>
      </c>
      <c r="AM2812">
        <v>100</v>
      </c>
      <c r="AN2812">
        <v>1500</v>
      </c>
      <c r="AO2812" t="s">
        <v>118</v>
      </c>
      <c r="AP2812">
        <v>-136</v>
      </c>
      <c r="AQ2812">
        <v>35</v>
      </c>
      <c r="AR2812">
        <v>-128</v>
      </c>
      <c r="AZ2812">
        <v>1200</v>
      </c>
      <c r="BA2812">
        <v>1</v>
      </c>
      <c r="BB2812" t="str">
        <f t="shared" si="136"/>
        <v xml:space="preserve">N8080G  </v>
      </c>
      <c r="BC2812">
        <v>1</v>
      </c>
      <c r="BE2812">
        <v>0</v>
      </c>
      <c r="BF2812">
        <v>0</v>
      </c>
      <c r="BG2812">
        <v>0</v>
      </c>
      <c r="BH2812">
        <v>1525</v>
      </c>
      <c r="BI2812">
        <v>1</v>
      </c>
      <c r="BJ2812">
        <v>1</v>
      </c>
      <c r="BK2812">
        <v>1</v>
      </c>
      <c r="BL2812">
        <v>0</v>
      </c>
      <c r="BO2812">
        <v>0</v>
      </c>
      <c r="BP2812">
        <v>0</v>
      </c>
      <c r="BW2812" t="str">
        <f>"20:29:32.488"</f>
        <v>20:29:32.488</v>
      </c>
      <c r="BZ2812">
        <v>0</v>
      </c>
      <c r="CA2812">
        <v>1792</v>
      </c>
      <c r="CB2812">
        <v>224</v>
      </c>
      <c r="CD2812">
        <v>1</v>
      </c>
      <c r="CE2812">
        <v>0</v>
      </c>
      <c r="CF2812">
        <v>0</v>
      </c>
      <c r="CG2812">
        <v>1</v>
      </c>
      <c r="CH2812">
        <v>0</v>
      </c>
      <c r="CI2812">
        <v>0</v>
      </c>
      <c r="CJ2812">
        <v>0</v>
      </c>
      <c r="CK2812">
        <v>2</v>
      </c>
      <c r="CL2812">
        <v>0</v>
      </c>
      <c r="CM2812">
        <v>2</v>
      </c>
      <c r="CN2812">
        <v>0</v>
      </c>
      <c r="CO2812">
        <v>2</v>
      </c>
      <c r="CP2812" t="s">
        <v>119</v>
      </c>
      <c r="CQ2812">
        <v>179</v>
      </c>
      <c r="CR2812">
        <v>1</v>
      </c>
      <c r="CW2812">
        <v>9089809</v>
      </c>
      <c r="CY2812">
        <v>1</v>
      </c>
      <c r="CZ2812">
        <v>0</v>
      </c>
      <c r="DA2812">
        <v>1</v>
      </c>
      <c r="DB2812">
        <v>0</v>
      </c>
      <c r="DC2812">
        <v>0</v>
      </c>
      <c r="DD2812">
        <v>0</v>
      </c>
      <c r="DE2812">
        <v>0</v>
      </c>
      <c r="DF2812">
        <v>0</v>
      </c>
      <c r="DG2812">
        <v>0</v>
      </c>
      <c r="DH2812">
        <v>0</v>
      </c>
      <c r="DI2812">
        <v>0</v>
      </c>
    </row>
    <row r="2813" spans="1:113" x14ac:dyDescent="0.3">
      <c r="A2813" t="str">
        <f>"02/08/2021 20:29:30.165"</f>
        <v>02/08/2021 20:29:30.165</v>
      </c>
      <c r="C2813" t="str">
        <f t="shared" si="135"/>
        <v>FFDFD7C0</v>
      </c>
      <c r="D2813" t="s">
        <v>113</v>
      </c>
      <c r="E2813">
        <v>6</v>
      </c>
      <c r="H2813">
        <v>165</v>
      </c>
      <c r="I2813" t="s">
        <v>114</v>
      </c>
      <c r="J2813" t="s">
        <v>115</v>
      </c>
      <c r="K2813">
        <v>0</v>
      </c>
      <c r="L2813">
        <v>3</v>
      </c>
      <c r="M2813">
        <v>0</v>
      </c>
      <c r="N2813">
        <v>2</v>
      </c>
      <c r="O2813">
        <v>1</v>
      </c>
      <c r="P2813">
        <v>0</v>
      </c>
      <c r="Q2813">
        <v>0</v>
      </c>
      <c r="S2813" t="str">
        <f>"20:29:32.484"</f>
        <v>20:29:32.484</v>
      </c>
      <c r="T2813" t="str">
        <f>"20:29:31.984"</f>
        <v>20:29:31.984</v>
      </c>
      <c r="U2813" t="str">
        <f t="shared" si="134"/>
        <v>AB01F4</v>
      </c>
      <c r="V2813">
        <v>0</v>
      </c>
      <c r="W2813">
        <v>0</v>
      </c>
      <c r="X2813">
        <v>2</v>
      </c>
      <c r="Z2813">
        <v>0</v>
      </c>
      <c r="AA2813">
        <v>9</v>
      </c>
      <c r="AB2813">
        <v>3</v>
      </c>
      <c r="AC2813">
        <v>0</v>
      </c>
      <c r="AD2813">
        <v>10</v>
      </c>
      <c r="AE2813">
        <v>0</v>
      </c>
      <c r="AF2813">
        <v>3</v>
      </c>
      <c r="AG2813">
        <v>2</v>
      </c>
      <c r="AH2813">
        <v>0</v>
      </c>
      <c r="AI2813" t="s">
        <v>1655</v>
      </c>
      <c r="AJ2813">
        <v>40.026369000000003</v>
      </c>
      <c r="AK2813" t="s">
        <v>1656</v>
      </c>
      <c r="AL2813">
        <v>-92.803380000000004</v>
      </c>
      <c r="AM2813">
        <v>100</v>
      </c>
      <c r="AN2813">
        <v>1500</v>
      </c>
      <c r="AO2813" t="s">
        <v>118</v>
      </c>
      <c r="AP2813">
        <v>-136</v>
      </c>
      <c r="AQ2813">
        <v>35</v>
      </c>
      <c r="AR2813">
        <v>-128</v>
      </c>
      <c r="AZ2813">
        <v>1200</v>
      </c>
      <c r="BA2813">
        <v>1</v>
      </c>
      <c r="BB2813" t="str">
        <f t="shared" si="136"/>
        <v xml:space="preserve">N8080G  </v>
      </c>
      <c r="BC2813">
        <v>1</v>
      </c>
      <c r="BE2813">
        <v>0</v>
      </c>
      <c r="BF2813">
        <v>0</v>
      </c>
      <c r="BG2813">
        <v>0</v>
      </c>
      <c r="BH2813">
        <v>1525</v>
      </c>
      <c r="BI2813">
        <v>1</v>
      </c>
      <c r="BJ2813">
        <v>1</v>
      </c>
      <c r="BK2813">
        <v>1</v>
      </c>
      <c r="BL2813">
        <v>0</v>
      </c>
      <c r="BO2813">
        <v>0</v>
      </c>
      <c r="BP2813">
        <v>0</v>
      </c>
      <c r="BW2813" t="str">
        <f>"20:29:32.488"</f>
        <v>20:29:32.488</v>
      </c>
      <c r="BZ2813">
        <v>0</v>
      </c>
      <c r="CA2813">
        <v>1792</v>
      </c>
      <c r="CB2813">
        <v>224</v>
      </c>
      <c r="CD2813">
        <v>1</v>
      </c>
      <c r="CE2813">
        <v>0</v>
      </c>
      <c r="CF2813">
        <v>0</v>
      </c>
      <c r="CG2813">
        <v>1</v>
      </c>
      <c r="CH2813">
        <v>0</v>
      </c>
      <c r="CI2813">
        <v>0</v>
      </c>
      <c r="CJ2813">
        <v>0</v>
      </c>
      <c r="CK2813">
        <v>2</v>
      </c>
      <c r="CL2813">
        <v>0</v>
      </c>
      <c r="CM2813">
        <v>2</v>
      </c>
      <c r="CN2813">
        <v>0</v>
      </c>
      <c r="CO2813">
        <v>2</v>
      </c>
      <c r="CP2813" t="s">
        <v>119</v>
      </c>
      <c r="CQ2813">
        <v>179</v>
      </c>
      <c r="CR2813">
        <v>1</v>
      </c>
      <c r="CW2813">
        <v>9089809</v>
      </c>
      <c r="CY2813">
        <v>1</v>
      </c>
      <c r="CZ2813">
        <v>0</v>
      </c>
      <c r="DA2813">
        <v>1</v>
      </c>
      <c r="DB2813">
        <v>0</v>
      </c>
      <c r="DC2813">
        <v>0</v>
      </c>
      <c r="DD2813">
        <v>0</v>
      </c>
      <c r="DE2813">
        <v>0</v>
      </c>
      <c r="DF2813">
        <v>0</v>
      </c>
      <c r="DG2813">
        <v>0</v>
      </c>
      <c r="DH2813">
        <v>0</v>
      </c>
      <c r="DI2813">
        <v>0</v>
      </c>
    </row>
    <row r="2814" spans="1:113" x14ac:dyDescent="0.3">
      <c r="A2814" t="str">
        <f>"02/08/2021 20:29:30.165"</f>
        <v>02/08/2021 20:29:30.165</v>
      </c>
      <c r="C2814" t="str">
        <f t="shared" si="135"/>
        <v>FFDFD7C0</v>
      </c>
      <c r="D2814" t="s">
        <v>124</v>
      </c>
      <c r="E2814">
        <v>12</v>
      </c>
      <c r="F2814">
        <v>1012</v>
      </c>
      <c r="G2814" t="s">
        <v>675</v>
      </c>
      <c r="J2814" t="s">
        <v>125</v>
      </c>
      <c r="K2814">
        <v>0</v>
      </c>
      <c r="L2814">
        <v>3</v>
      </c>
      <c r="M2814">
        <v>0</v>
      </c>
      <c r="N2814">
        <v>2</v>
      </c>
      <c r="O2814">
        <v>1</v>
      </c>
      <c r="P2814">
        <v>0</v>
      </c>
      <c r="Q2814">
        <v>0</v>
      </c>
      <c r="S2814" t="str">
        <f>"20:29:32.484"</f>
        <v>20:29:32.484</v>
      </c>
      <c r="T2814" t="str">
        <f>"20:29:31.984"</f>
        <v>20:29:31.984</v>
      </c>
      <c r="U2814" t="str">
        <f t="shared" si="134"/>
        <v>AB01F4</v>
      </c>
      <c r="V2814">
        <v>0</v>
      </c>
      <c r="W2814">
        <v>0</v>
      </c>
      <c r="X2814">
        <v>2</v>
      </c>
      <c r="Z2814">
        <v>0</v>
      </c>
      <c r="AA2814">
        <v>9</v>
      </c>
      <c r="AB2814">
        <v>3</v>
      </c>
      <c r="AC2814">
        <v>0</v>
      </c>
      <c r="AD2814">
        <v>10</v>
      </c>
      <c r="AE2814">
        <v>0</v>
      </c>
      <c r="AF2814">
        <v>3</v>
      </c>
      <c r="AG2814">
        <v>2</v>
      </c>
      <c r="AH2814">
        <v>0</v>
      </c>
      <c r="AI2814" t="s">
        <v>1655</v>
      </c>
      <c r="AJ2814">
        <v>40.026369000000003</v>
      </c>
      <c r="AK2814" t="s">
        <v>1656</v>
      </c>
      <c r="AL2814">
        <v>-92.803380000000004</v>
      </c>
      <c r="AM2814">
        <v>100</v>
      </c>
      <c r="AN2814">
        <v>1500</v>
      </c>
      <c r="AO2814" t="s">
        <v>118</v>
      </c>
      <c r="AP2814">
        <v>-136</v>
      </c>
      <c r="AQ2814">
        <v>35</v>
      </c>
      <c r="AR2814">
        <v>-128</v>
      </c>
      <c r="AZ2814">
        <v>1200</v>
      </c>
      <c r="BA2814">
        <v>1</v>
      </c>
      <c r="BB2814" t="str">
        <f t="shared" si="136"/>
        <v xml:space="preserve">N8080G  </v>
      </c>
      <c r="BC2814">
        <v>1</v>
      </c>
      <c r="BE2814">
        <v>0</v>
      </c>
      <c r="BF2814">
        <v>0</v>
      </c>
      <c r="BG2814">
        <v>0</v>
      </c>
      <c r="BH2814">
        <v>1525</v>
      </c>
      <c r="BI2814">
        <v>1</v>
      </c>
      <c r="BJ2814">
        <v>1</v>
      </c>
      <c r="BK2814">
        <v>1</v>
      </c>
      <c r="BL2814">
        <v>0</v>
      </c>
      <c r="BO2814">
        <v>0</v>
      </c>
      <c r="BP2814">
        <v>0</v>
      </c>
      <c r="BW2814" t="str">
        <f>"20:29:32.488"</f>
        <v>20:29:32.488</v>
      </c>
      <c r="BZ2814">
        <v>0</v>
      </c>
      <c r="CA2814">
        <v>1792</v>
      </c>
      <c r="CB2814">
        <v>224</v>
      </c>
      <c r="CD2814">
        <v>1</v>
      </c>
      <c r="CE2814">
        <v>0</v>
      </c>
      <c r="CF2814">
        <v>0</v>
      </c>
      <c r="CG2814">
        <v>1</v>
      </c>
      <c r="CH2814">
        <v>0</v>
      </c>
      <c r="CI2814">
        <v>0</v>
      </c>
      <c r="CJ2814">
        <v>0</v>
      </c>
      <c r="CK2814">
        <v>2</v>
      </c>
      <c r="CL2814">
        <v>0</v>
      </c>
      <c r="CM2814">
        <v>2</v>
      </c>
      <c r="CN2814">
        <v>0</v>
      </c>
      <c r="CO2814">
        <v>2</v>
      </c>
      <c r="CP2814" t="s">
        <v>119</v>
      </c>
      <c r="CQ2814">
        <v>179</v>
      </c>
      <c r="CR2814">
        <v>1</v>
      </c>
      <c r="CW2814">
        <v>9089809</v>
      </c>
      <c r="CY2814">
        <v>1</v>
      </c>
      <c r="CZ2814">
        <v>0</v>
      </c>
      <c r="DA2814">
        <v>1</v>
      </c>
      <c r="DB2814">
        <v>0</v>
      </c>
      <c r="DC2814">
        <v>0</v>
      </c>
      <c r="DD2814">
        <v>0</v>
      </c>
      <c r="DE2814">
        <v>0</v>
      </c>
      <c r="DF2814">
        <v>0</v>
      </c>
      <c r="DG2814">
        <v>0</v>
      </c>
      <c r="DH2814">
        <v>0</v>
      </c>
      <c r="DI2814">
        <v>0</v>
      </c>
    </row>
    <row r="2815" spans="1:113" x14ac:dyDescent="0.3">
      <c r="A2815" t="str">
        <f>"02/08/2021 20:29:31.082"</f>
        <v>02/08/2021 20:29:31.082</v>
      </c>
      <c r="C2815" t="str">
        <f t="shared" si="135"/>
        <v>FFDFD7C0</v>
      </c>
      <c r="D2815" t="s">
        <v>124</v>
      </c>
      <c r="E2815">
        <v>11</v>
      </c>
      <c r="F2815">
        <v>1011</v>
      </c>
      <c r="G2815" t="s">
        <v>590</v>
      </c>
      <c r="J2815" t="s">
        <v>125</v>
      </c>
      <c r="K2815">
        <v>0</v>
      </c>
      <c r="L2815">
        <v>3</v>
      </c>
      <c r="M2815">
        <v>0</v>
      </c>
      <c r="N2815">
        <v>2</v>
      </c>
      <c r="O2815">
        <v>1</v>
      </c>
      <c r="P2815">
        <v>0</v>
      </c>
      <c r="Q2815">
        <v>0</v>
      </c>
      <c r="S2815" t="str">
        <f>"20:29:33.391"</f>
        <v>20:29:33.391</v>
      </c>
      <c r="T2815" t="str">
        <f>"20:29:32.991"</f>
        <v>20:29:32.991</v>
      </c>
      <c r="U2815" t="str">
        <f t="shared" si="134"/>
        <v>AB01F4</v>
      </c>
      <c r="V2815">
        <v>0</v>
      </c>
      <c r="W2815">
        <v>0</v>
      </c>
      <c r="X2815">
        <v>2</v>
      </c>
      <c r="Z2815">
        <v>0</v>
      </c>
      <c r="AA2815">
        <v>9</v>
      </c>
      <c r="AB2815">
        <v>3</v>
      </c>
      <c r="AC2815">
        <v>0</v>
      </c>
      <c r="AD2815">
        <v>10</v>
      </c>
      <c r="AE2815">
        <v>0</v>
      </c>
      <c r="AF2815">
        <v>3</v>
      </c>
      <c r="AG2815">
        <v>2</v>
      </c>
      <c r="AH2815">
        <v>0</v>
      </c>
      <c r="AI2815" t="s">
        <v>1657</v>
      </c>
      <c r="AJ2815">
        <v>40.026497999999997</v>
      </c>
      <c r="AK2815" t="s">
        <v>1658</v>
      </c>
      <c r="AL2815">
        <v>-92.804067000000003</v>
      </c>
      <c r="AM2815">
        <v>100</v>
      </c>
      <c r="AN2815">
        <v>1500</v>
      </c>
      <c r="AO2815" t="s">
        <v>118</v>
      </c>
      <c r="AP2815">
        <v>-136</v>
      </c>
      <c r="AQ2815">
        <v>34</v>
      </c>
      <c r="AR2815">
        <v>-64</v>
      </c>
      <c r="AZ2815">
        <v>1200</v>
      </c>
      <c r="BA2815">
        <v>1</v>
      </c>
      <c r="BB2815" t="str">
        <f t="shared" si="136"/>
        <v xml:space="preserve">N8080G  </v>
      </c>
      <c r="BC2815">
        <v>1</v>
      </c>
      <c r="BE2815">
        <v>0</v>
      </c>
      <c r="BF2815">
        <v>0</v>
      </c>
      <c r="BG2815">
        <v>0</v>
      </c>
      <c r="BH2815">
        <v>1525</v>
      </c>
      <c r="BI2815">
        <v>1</v>
      </c>
      <c r="BJ2815">
        <v>1</v>
      </c>
      <c r="BK2815">
        <v>1</v>
      </c>
      <c r="BL2815">
        <v>0</v>
      </c>
      <c r="BO2815">
        <v>0</v>
      </c>
      <c r="BP2815">
        <v>0</v>
      </c>
      <c r="BW2815" t="str">
        <f>"20:29:33.394"</f>
        <v>20:29:33.394</v>
      </c>
      <c r="BZ2815">
        <v>0</v>
      </c>
      <c r="CA2815">
        <v>1792</v>
      </c>
      <c r="CB2815">
        <v>224</v>
      </c>
      <c r="CD2815">
        <v>1</v>
      </c>
      <c r="CE2815">
        <v>0</v>
      </c>
      <c r="CF2815">
        <v>0</v>
      </c>
      <c r="CG2815">
        <v>1</v>
      </c>
      <c r="CH2815">
        <v>0</v>
      </c>
      <c r="CI2815">
        <v>0</v>
      </c>
      <c r="CJ2815">
        <v>0</v>
      </c>
      <c r="CK2815">
        <v>2</v>
      </c>
      <c r="CL2815">
        <v>0</v>
      </c>
      <c r="CM2815">
        <v>2</v>
      </c>
      <c r="CN2815">
        <v>0</v>
      </c>
      <c r="CO2815">
        <v>2</v>
      </c>
      <c r="CP2815" t="s">
        <v>119</v>
      </c>
      <c r="CQ2815">
        <v>179</v>
      </c>
      <c r="CR2815">
        <v>1</v>
      </c>
      <c r="CW2815">
        <v>9090662</v>
      </c>
      <c r="CY2815">
        <v>1</v>
      </c>
      <c r="CZ2815">
        <v>0</v>
      </c>
      <c r="DA2815">
        <v>0</v>
      </c>
      <c r="DB2815">
        <v>0</v>
      </c>
      <c r="DC2815">
        <v>0</v>
      </c>
      <c r="DD2815">
        <v>0</v>
      </c>
      <c r="DE2815">
        <v>0</v>
      </c>
      <c r="DF2815">
        <v>0</v>
      </c>
      <c r="DG2815">
        <v>0</v>
      </c>
      <c r="DH2815">
        <v>0</v>
      </c>
      <c r="DI2815">
        <v>0</v>
      </c>
    </row>
    <row r="2816" spans="1:113" x14ac:dyDescent="0.3">
      <c r="A2816" t="str">
        <f>"02/08/2021 20:29:31.082"</f>
        <v>02/08/2021 20:29:31.082</v>
      </c>
      <c r="C2816" t="str">
        <f t="shared" si="135"/>
        <v>FFDFD7C0</v>
      </c>
      <c r="D2816" t="s">
        <v>113</v>
      </c>
      <c r="E2816">
        <v>6</v>
      </c>
      <c r="H2816">
        <v>165</v>
      </c>
      <c r="I2816" t="s">
        <v>114</v>
      </c>
      <c r="J2816" t="s">
        <v>115</v>
      </c>
      <c r="K2816">
        <v>0</v>
      </c>
      <c r="L2816">
        <v>3</v>
      </c>
      <c r="M2816">
        <v>0</v>
      </c>
      <c r="N2816">
        <v>2</v>
      </c>
      <c r="O2816">
        <v>1</v>
      </c>
      <c r="P2816">
        <v>0</v>
      </c>
      <c r="Q2816">
        <v>0</v>
      </c>
      <c r="S2816" t="str">
        <f>"20:29:33.391"</f>
        <v>20:29:33.391</v>
      </c>
      <c r="T2816" t="str">
        <f>"20:29:32.991"</f>
        <v>20:29:32.991</v>
      </c>
      <c r="U2816" t="str">
        <f t="shared" si="134"/>
        <v>AB01F4</v>
      </c>
      <c r="V2816">
        <v>0</v>
      </c>
      <c r="W2816">
        <v>0</v>
      </c>
      <c r="X2816">
        <v>2</v>
      </c>
      <c r="Z2816">
        <v>0</v>
      </c>
      <c r="AA2816">
        <v>9</v>
      </c>
      <c r="AB2816">
        <v>3</v>
      </c>
      <c r="AC2816">
        <v>0</v>
      </c>
      <c r="AD2816">
        <v>10</v>
      </c>
      <c r="AE2816">
        <v>0</v>
      </c>
      <c r="AF2816">
        <v>3</v>
      </c>
      <c r="AG2816">
        <v>2</v>
      </c>
      <c r="AH2816">
        <v>0</v>
      </c>
      <c r="AI2816" t="s">
        <v>1657</v>
      </c>
      <c r="AJ2816">
        <v>40.026497999999997</v>
      </c>
      <c r="AK2816" t="s">
        <v>1658</v>
      </c>
      <c r="AL2816">
        <v>-92.804067000000003</v>
      </c>
      <c r="AM2816">
        <v>100</v>
      </c>
      <c r="AN2816">
        <v>1500</v>
      </c>
      <c r="AO2816" t="s">
        <v>118</v>
      </c>
      <c r="AP2816">
        <v>-136</v>
      </c>
      <c r="AQ2816">
        <v>34</v>
      </c>
      <c r="AR2816">
        <v>-64</v>
      </c>
      <c r="AZ2816">
        <v>1200</v>
      </c>
      <c r="BA2816">
        <v>1</v>
      </c>
      <c r="BB2816" t="str">
        <f t="shared" si="136"/>
        <v xml:space="preserve">N8080G  </v>
      </c>
      <c r="BC2816">
        <v>1</v>
      </c>
      <c r="BE2816">
        <v>0</v>
      </c>
      <c r="BF2816">
        <v>0</v>
      </c>
      <c r="BG2816">
        <v>0</v>
      </c>
      <c r="BH2816">
        <v>1525</v>
      </c>
      <c r="BI2816">
        <v>1</v>
      </c>
      <c r="BJ2816">
        <v>1</v>
      </c>
      <c r="BK2816">
        <v>1</v>
      </c>
      <c r="BL2816">
        <v>0</v>
      </c>
      <c r="BO2816">
        <v>0</v>
      </c>
      <c r="BP2816">
        <v>0</v>
      </c>
      <c r="BW2816" t="str">
        <f>"20:29:33.394"</f>
        <v>20:29:33.394</v>
      </c>
      <c r="BZ2816">
        <v>0</v>
      </c>
      <c r="CA2816">
        <v>1792</v>
      </c>
      <c r="CB2816">
        <v>224</v>
      </c>
      <c r="CD2816">
        <v>1</v>
      </c>
      <c r="CE2816">
        <v>0</v>
      </c>
      <c r="CF2816">
        <v>0</v>
      </c>
      <c r="CG2816">
        <v>1</v>
      </c>
      <c r="CH2816">
        <v>0</v>
      </c>
      <c r="CI2816">
        <v>0</v>
      </c>
      <c r="CJ2816">
        <v>0</v>
      </c>
      <c r="CK2816">
        <v>2</v>
      </c>
      <c r="CL2816">
        <v>0</v>
      </c>
      <c r="CM2816">
        <v>2</v>
      </c>
      <c r="CN2816">
        <v>0</v>
      </c>
      <c r="CO2816">
        <v>2</v>
      </c>
      <c r="CP2816" t="s">
        <v>119</v>
      </c>
      <c r="CQ2816">
        <v>179</v>
      </c>
      <c r="CR2816">
        <v>1</v>
      </c>
      <c r="CW2816">
        <v>9090662</v>
      </c>
      <c r="CY2816">
        <v>1</v>
      </c>
      <c r="CZ2816">
        <v>0</v>
      </c>
      <c r="DA2816">
        <v>1</v>
      </c>
      <c r="DB2816">
        <v>0</v>
      </c>
      <c r="DC2816">
        <v>0</v>
      </c>
      <c r="DD2816">
        <v>0</v>
      </c>
      <c r="DE2816">
        <v>0</v>
      </c>
      <c r="DF2816">
        <v>0</v>
      </c>
      <c r="DG2816">
        <v>0</v>
      </c>
      <c r="DH2816">
        <v>0</v>
      </c>
      <c r="DI2816">
        <v>0</v>
      </c>
    </row>
    <row r="2817" spans="1:113" x14ac:dyDescent="0.3">
      <c r="A2817" t="str">
        <f>"02/08/2021 20:29:31.082"</f>
        <v>02/08/2021 20:29:31.082</v>
      </c>
      <c r="C2817" t="str">
        <f t="shared" si="135"/>
        <v>FFDFD7C0</v>
      </c>
      <c r="D2817" t="s">
        <v>124</v>
      </c>
      <c r="E2817">
        <v>12</v>
      </c>
      <c r="F2817">
        <v>1012</v>
      </c>
      <c r="G2817" t="s">
        <v>675</v>
      </c>
      <c r="J2817" t="s">
        <v>125</v>
      </c>
      <c r="K2817">
        <v>0</v>
      </c>
      <c r="L2817">
        <v>3</v>
      </c>
      <c r="M2817">
        <v>0</v>
      </c>
      <c r="N2817">
        <v>2</v>
      </c>
      <c r="O2817">
        <v>1</v>
      </c>
      <c r="P2817">
        <v>0</v>
      </c>
      <c r="Q2817">
        <v>0</v>
      </c>
      <c r="S2817" t="str">
        <f>"20:29:33.391"</f>
        <v>20:29:33.391</v>
      </c>
      <c r="T2817" t="str">
        <f>"20:29:32.991"</f>
        <v>20:29:32.991</v>
      </c>
      <c r="U2817" t="str">
        <f t="shared" si="134"/>
        <v>AB01F4</v>
      </c>
      <c r="V2817">
        <v>0</v>
      </c>
      <c r="W2817">
        <v>0</v>
      </c>
      <c r="X2817">
        <v>2</v>
      </c>
      <c r="Z2817">
        <v>0</v>
      </c>
      <c r="AA2817">
        <v>9</v>
      </c>
      <c r="AB2817">
        <v>3</v>
      </c>
      <c r="AC2817">
        <v>0</v>
      </c>
      <c r="AD2817">
        <v>10</v>
      </c>
      <c r="AE2817">
        <v>0</v>
      </c>
      <c r="AF2817">
        <v>3</v>
      </c>
      <c r="AG2817">
        <v>2</v>
      </c>
      <c r="AH2817">
        <v>0</v>
      </c>
      <c r="AI2817" t="s">
        <v>1657</v>
      </c>
      <c r="AJ2817">
        <v>40.026497999999997</v>
      </c>
      <c r="AK2817" t="s">
        <v>1658</v>
      </c>
      <c r="AL2817">
        <v>-92.804067000000003</v>
      </c>
      <c r="AM2817">
        <v>100</v>
      </c>
      <c r="AN2817">
        <v>1500</v>
      </c>
      <c r="AO2817" t="s">
        <v>118</v>
      </c>
      <c r="AP2817">
        <v>-136</v>
      </c>
      <c r="AQ2817">
        <v>34</v>
      </c>
      <c r="AR2817">
        <v>-64</v>
      </c>
      <c r="AZ2817">
        <v>1200</v>
      </c>
      <c r="BA2817">
        <v>1</v>
      </c>
      <c r="BB2817" t="str">
        <f t="shared" si="136"/>
        <v xml:space="preserve">N8080G  </v>
      </c>
      <c r="BC2817">
        <v>1</v>
      </c>
      <c r="BE2817">
        <v>0</v>
      </c>
      <c r="BF2817">
        <v>0</v>
      </c>
      <c r="BG2817">
        <v>0</v>
      </c>
      <c r="BH2817">
        <v>1525</v>
      </c>
      <c r="BI2817">
        <v>1</v>
      </c>
      <c r="BJ2817">
        <v>1</v>
      </c>
      <c r="BK2817">
        <v>1</v>
      </c>
      <c r="BL2817">
        <v>0</v>
      </c>
      <c r="BO2817">
        <v>0</v>
      </c>
      <c r="BP2817">
        <v>0</v>
      </c>
      <c r="BW2817" t="str">
        <f>"20:29:33.394"</f>
        <v>20:29:33.394</v>
      </c>
      <c r="BZ2817">
        <v>0</v>
      </c>
      <c r="CA2817">
        <v>1792</v>
      </c>
      <c r="CB2817">
        <v>224</v>
      </c>
      <c r="CD2817">
        <v>1</v>
      </c>
      <c r="CE2817">
        <v>0</v>
      </c>
      <c r="CF2817">
        <v>0</v>
      </c>
      <c r="CG2817">
        <v>1</v>
      </c>
      <c r="CH2817">
        <v>0</v>
      </c>
      <c r="CI2817">
        <v>0</v>
      </c>
      <c r="CJ2817">
        <v>0</v>
      </c>
      <c r="CK2817">
        <v>2</v>
      </c>
      <c r="CL2817">
        <v>0</v>
      </c>
      <c r="CM2817">
        <v>2</v>
      </c>
      <c r="CN2817">
        <v>0</v>
      </c>
      <c r="CO2817">
        <v>2</v>
      </c>
      <c r="CP2817" t="s">
        <v>119</v>
      </c>
      <c r="CQ2817">
        <v>179</v>
      </c>
      <c r="CR2817">
        <v>1</v>
      </c>
      <c r="CW2817">
        <v>9090662</v>
      </c>
      <c r="CY2817">
        <v>1</v>
      </c>
      <c r="CZ2817">
        <v>0</v>
      </c>
      <c r="DA2817">
        <v>1</v>
      </c>
      <c r="DB2817">
        <v>0</v>
      </c>
      <c r="DC2817">
        <v>0</v>
      </c>
      <c r="DD2817">
        <v>0</v>
      </c>
      <c r="DE2817">
        <v>0</v>
      </c>
      <c r="DF2817">
        <v>0</v>
      </c>
      <c r="DG2817">
        <v>0</v>
      </c>
      <c r="DH2817">
        <v>0</v>
      </c>
      <c r="DI2817">
        <v>0</v>
      </c>
    </row>
    <row r="2818" spans="1:113" x14ac:dyDescent="0.3">
      <c r="A2818" t="str">
        <f>"02/08/2021 20:29:31.082"</f>
        <v>02/08/2021 20:29:31.082</v>
      </c>
      <c r="C2818" t="str">
        <f t="shared" si="135"/>
        <v>FFDFD7C0</v>
      </c>
      <c r="D2818" t="s">
        <v>124</v>
      </c>
      <c r="E2818">
        <v>13</v>
      </c>
      <c r="F2818">
        <v>1013</v>
      </c>
      <c r="G2818" t="s">
        <v>114</v>
      </c>
      <c r="J2818" t="s">
        <v>125</v>
      </c>
      <c r="K2818">
        <v>0</v>
      </c>
      <c r="L2818">
        <v>3</v>
      </c>
      <c r="M2818">
        <v>0</v>
      </c>
      <c r="N2818">
        <v>2</v>
      </c>
      <c r="O2818">
        <v>1</v>
      </c>
      <c r="P2818">
        <v>0</v>
      </c>
      <c r="Q2818">
        <v>0</v>
      </c>
      <c r="S2818" t="str">
        <f>"20:29:33.391"</f>
        <v>20:29:33.391</v>
      </c>
      <c r="T2818" t="str">
        <f>"20:29:32.991"</f>
        <v>20:29:32.991</v>
      </c>
      <c r="U2818" t="str">
        <f t="shared" ref="U2818:U2881" si="137">"AB01F4"</f>
        <v>AB01F4</v>
      </c>
      <c r="V2818">
        <v>0</v>
      </c>
      <c r="W2818">
        <v>0</v>
      </c>
      <c r="X2818">
        <v>2</v>
      </c>
      <c r="Z2818">
        <v>0</v>
      </c>
      <c r="AA2818">
        <v>9</v>
      </c>
      <c r="AB2818">
        <v>3</v>
      </c>
      <c r="AC2818">
        <v>0</v>
      </c>
      <c r="AD2818">
        <v>10</v>
      </c>
      <c r="AE2818">
        <v>0</v>
      </c>
      <c r="AF2818">
        <v>3</v>
      </c>
      <c r="AG2818">
        <v>2</v>
      </c>
      <c r="AH2818">
        <v>0</v>
      </c>
      <c r="AI2818" t="s">
        <v>1657</v>
      </c>
      <c r="AJ2818">
        <v>40.026497999999997</v>
      </c>
      <c r="AK2818" t="s">
        <v>1658</v>
      </c>
      <c r="AL2818">
        <v>-92.804067000000003</v>
      </c>
      <c r="AM2818">
        <v>100</v>
      </c>
      <c r="AN2818">
        <v>1500</v>
      </c>
      <c r="AO2818" t="s">
        <v>118</v>
      </c>
      <c r="AP2818">
        <v>-136</v>
      </c>
      <c r="AQ2818">
        <v>34</v>
      </c>
      <c r="AR2818">
        <v>-64</v>
      </c>
      <c r="AZ2818">
        <v>1200</v>
      </c>
      <c r="BA2818">
        <v>1</v>
      </c>
      <c r="BB2818" t="str">
        <f t="shared" si="136"/>
        <v xml:space="preserve">N8080G  </v>
      </c>
      <c r="BC2818">
        <v>1</v>
      </c>
      <c r="BE2818">
        <v>0</v>
      </c>
      <c r="BF2818">
        <v>0</v>
      </c>
      <c r="BG2818">
        <v>0</v>
      </c>
      <c r="BH2818">
        <v>1525</v>
      </c>
      <c r="BI2818">
        <v>1</v>
      </c>
      <c r="BJ2818">
        <v>1</v>
      </c>
      <c r="BK2818">
        <v>1</v>
      </c>
      <c r="BL2818">
        <v>0</v>
      </c>
      <c r="BO2818">
        <v>0</v>
      </c>
      <c r="BP2818">
        <v>0</v>
      </c>
      <c r="BW2818" t="str">
        <f>"20:29:33.394"</f>
        <v>20:29:33.394</v>
      </c>
      <c r="BZ2818">
        <v>0</v>
      </c>
      <c r="CA2818">
        <v>1792</v>
      </c>
      <c r="CB2818">
        <v>224</v>
      </c>
      <c r="CD2818">
        <v>1</v>
      </c>
      <c r="CE2818">
        <v>0</v>
      </c>
      <c r="CF2818">
        <v>0</v>
      </c>
      <c r="CG2818">
        <v>1</v>
      </c>
      <c r="CH2818">
        <v>0</v>
      </c>
      <c r="CI2818">
        <v>0</v>
      </c>
      <c r="CJ2818">
        <v>0</v>
      </c>
      <c r="CK2818">
        <v>2</v>
      </c>
      <c r="CL2818">
        <v>0</v>
      </c>
      <c r="CM2818">
        <v>2</v>
      </c>
      <c r="CN2818">
        <v>0</v>
      </c>
      <c r="CO2818">
        <v>2</v>
      </c>
      <c r="CP2818" t="s">
        <v>119</v>
      </c>
      <c r="CQ2818">
        <v>179</v>
      </c>
      <c r="CR2818">
        <v>1</v>
      </c>
      <c r="CW2818">
        <v>9090662</v>
      </c>
      <c r="CY2818">
        <v>1</v>
      </c>
      <c r="CZ2818">
        <v>0</v>
      </c>
      <c r="DA2818">
        <v>1</v>
      </c>
      <c r="DB2818">
        <v>0</v>
      </c>
      <c r="DC2818">
        <v>0</v>
      </c>
      <c r="DD2818">
        <v>0</v>
      </c>
      <c r="DE2818">
        <v>0</v>
      </c>
      <c r="DF2818">
        <v>0</v>
      </c>
      <c r="DG2818">
        <v>0</v>
      </c>
      <c r="DH2818">
        <v>0</v>
      </c>
      <c r="DI2818">
        <v>0</v>
      </c>
    </row>
    <row r="2819" spans="1:113" x14ac:dyDescent="0.3">
      <c r="A2819" t="str">
        <f>"02/08/2021 20:29:32.092"</f>
        <v>02/08/2021 20:29:32.092</v>
      </c>
      <c r="C2819" t="str">
        <f t="shared" si="135"/>
        <v>FFDFD7C0</v>
      </c>
      <c r="D2819" t="s">
        <v>124</v>
      </c>
      <c r="E2819">
        <v>11</v>
      </c>
      <c r="F2819">
        <v>1011</v>
      </c>
      <c r="G2819" t="s">
        <v>590</v>
      </c>
      <c r="J2819" t="s">
        <v>125</v>
      </c>
      <c r="K2819">
        <v>0</v>
      </c>
      <c r="L2819">
        <v>3</v>
      </c>
      <c r="M2819">
        <v>0</v>
      </c>
      <c r="N2819">
        <v>2</v>
      </c>
      <c r="O2819">
        <v>1</v>
      </c>
      <c r="P2819">
        <v>0</v>
      </c>
      <c r="Q2819">
        <v>0</v>
      </c>
      <c r="S2819" t="str">
        <f>"20:29:34.422"</f>
        <v>20:29:34.422</v>
      </c>
      <c r="T2819" t="str">
        <f>"20:29:33.922"</f>
        <v>20:29:33.922</v>
      </c>
      <c r="U2819" t="str">
        <f t="shared" si="137"/>
        <v>AB01F4</v>
      </c>
      <c r="V2819">
        <v>0</v>
      </c>
      <c r="W2819">
        <v>0</v>
      </c>
      <c r="X2819">
        <v>2</v>
      </c>
      <c r="Z2819">
        <v>0</v>
      </c>
      <c r="AA2819">
        <v>9</v>
      </c>
      <c r="AB2819">
        <v>3</v>
      </c>
      <c r="AC2819">
        <v>0</v>
      </c>
      <c r="AD2819">
        <v>10</v>
      </c>
      <c r="AE2819">
        <v>0</v>
      </c>
      <c r="AF2819">
        <v>3</v>
      </c>
      <c r="AG2819">
        <v>2</v>
      </c>
      <c r="AH2819">
        <v>0</v>
      </c>
      <c r="AI2819" t="s">
        <v>1659</v>
      </c>
      <c r="AJ2819">
        <v>40.026691</v>
      </c>
      <c r="AK2819" t="s">
        <v>1660</v>
      </c>
      <c r="AL2819">
        <v>-92.805010999999993</v>
      </c>
      <c r="AM2819">
        <v>100</v>
      </c>
      <c r="AN2819">
        <v>1500</v>
      </c>
      <c r="AO2819" t="s">
        <v>118</v>
      </c>
      <c r="AP2819">
        <v>-136</v>
      </c>
      <c r="AQ2819">
        <v>33</v>
      </c>
      <c r="AR2819">
        <v>-64</v>
      </c>
      <c r="AZ2819">
        <v>1200</v>
      </c>
      <c r="BA2819">
        <v>1</v>
      </c>
      <c r="BB2819" t="str">
        <f t="shared" si="136"/>
        <v xml:space="preserve">N8080G  </v>
      </c>
      <c r="BC2819">
        <v>1</v>
      </c>
      <c r="BE2819">
        <v>0</v>
      </c>
      <c r="BF2819">
        <v>0</v>
      </c>
      <c r="BG2819">
        <v>0</v>
      </c>
      <c r="BH2819">
        <v>1525</v>
      </c>
      <c r="BI2819">
        <v>1</v>
      </c>
      <c r="BJ2819">
        <v>1</v>
      </c>
      <c r="BK2819">
        <v>1</v>
      </c>
      <c r="BL2819">
        <v>0</v>
      </c>
      <c r="BO2819">
        <v>0</v>
      </c>
      <c r="BP2819">
        <v>0</v>
      </c>
      <c r="BW2819" t="str">
        <f>"20:29:34.429"</f>
        <v>20:29:34.429</v>
      </c>
      <c r="BZ2819">
        <v>0</v>
      </c>
      <c r="CA2819">
        <v>1792</v>
      </c>
      <c r="CB2819">
        <v>224</v>
      </c>
      <c r="CD2819">
        <v>1</v>
      </c>
      <c r="CE2819">
        <v>0</v>
      </c>
      <c r="CF2819">
        <v>0</v>
      </c>
      <c r="CG2819">
        <v>1</v>
      </c>
      <c r="CH2819">
        <v>0</v>
      </c>
      <c r="CI2819">
        <v>0</v>
      </c>
      <c r="CJ2819">
        <v>0</v>
      </c>
      <c r="CK2819">
        <v>2</v>
      </c>
      <c r="CL2819">
        <v>0</v>
      </c>
      <c r="CM2819">
        <v>2</v>
      </c>
      <c r="CN2819">
        <v>0</v>
      </c>
      <c r="CO2819">
        <v>7</v>
      </c>
      <c r="CP2819" t="s">
        <v>119</v>
      </c>
      <c r="CQ2819">
        <v>180</v>
      </c>
      <c r="CR2819">
        <v>3</v>
      </c>
      <c r="CW2819">
        <v>985970</v>
      </c>
      <c r="CY2819">
        <v>1</v>
      </c>
      <c r="CZ2819">
        <v>0</v>
      </c>
      <c r="DA2819">
        <v>0</v>
      </c>
      <c r="DB2819">
        <v>0</v>
      </c>
      <c r="DC2819">
        <v>0</v>
      </c>
      <c r="DD2819">
        <v>0</v>
      </c>
      <c r="DE2819">
        <v>0</v>
      </c>
      <c r="DF2819">
        <v>0</v>
      </c>
      <c r="DG2819">
        <v>0</v>
      </c>
      <c r="DH2819">
        <v>0</v>
      </c>
      <c r="DI2819">
        <v>0</v>
      </c>
    </row>
    <row r="2820" spans="1:113" x14ac:dyDescent="0.3">
      <c r="A2820" t="str">
        <f>"02/08/2021 20:29:32.092"</f>
        <v>02/08/2021 20:29:32.092</v>
      </c>
      <c r="C2820" t="str">
        <f t="shared" si="135"/>
        <v>FFDFD7C0</v>
      </c>
      <c r="D2820" t="s">
        <v>124</v>
      </c>
      <c r="E2820">
        <v>12</v>
      </c>
      <c r="F2820">
        <v>1012</v>
      </c>
      <c r="G2820" t="s">
        <v>675</v>
      </c>
      <c r="J2820" t="s">
        <v>125</v>
      </c>
      <c r="K2820">
        <v>0</v>
      </c>
      <c r="L2820">
        <v>3</v>
      </c>
      <c r="M2820">
        <v>0</v>
      </c>
      <c r="N2820">
        <v>2</v>
      </c>
      <c r="O2820">
        <v>1</v>
      </c>
      <c r="P2820">
        <v>0</v>
      </c>
      <c r="Q2820">
        <v>0</v>
      </c>
      <c r="S2820" t="str">
        <f>"20:29:34.422"</f>
        <v>20:29:34.422</v>
      </c>
      <c r="T2820" t="str">
        <f>"20:29:33.922"</f>
        <v>20:29:33.922</v>
      </c>
      <c r="U2820" t="str">
        <f t="shared" si="137"/>
        <v>AB01F4</v>
      </c>
      <c r="V2820">
        <v>0</v>
      </c>
      <c r="W2820">
        <v>0</v>
      </c>
      <c r="X2820">
        <v>2</v>
      </c>
      <c r="Z2820">
        <v>0</v>
      </c>
      <c r="AA2820">
        <v>9</v>
      </c>
      <c r="AB2820">
        <v>3</v>
      </c>
      <c r="AC2820">
        <v>0</v>
      </c>
      <c r="AD2820">
        <v>10</v>
      </c>
      <c r="AE2820">
        <v>0</v>
      </c>
      <c r="AF2820">
        <v>3</v>
      </c>
      <c r="AG2820">
        <v>2</v>
      </c>
      <c r="AH2820">
        <v>0</v>
      </c>
      <c r="AI2820" t="s">
        <v>1659</v>
      </c>
      <c r="AJ2820">
        <v>40.026691</v>
      </c>
      <c r="AK2820" t="s">
        <v>1660</v>
      </c>
      <c r="AL2820">
        <v>-92.805010999999993</v>
      </c>
      <c r="AM2820">
        <v>100</v>
      </c>
      <c r="AN2820">
        <v>1500</v>
      </c>
      <c r="AO2820" t="s">
        <v>118</v>
      </c>
      <c r="AP2820">
        <v>-136</v>
      </c>
      <c r="AQ2820">
        <v>33</v>
      </c>
      <c r="AR2820">
        <v>-64</v>
      </c>
      <c r="AZ2820">
        <v>1200</v>
      </c>
      <c r="BA2820">
        <v>1</v>
      </c>
      <c r="BB2820" t="str">
        <f t="shared" si="136"/>
        <v xml:space="preserve">N8080G  </v>
      </c>
      <c r="BC2820">
        <v>1</v>
      </c>
      <c r="BE2820">
        <v>0</v>
      </c>
      <c r="BF2820">
        <v>0</v>
      </c>
      <c r="BG2820">
        <v>0</v>
      </c>
      <c r="BH2820">
        <v>1525</v>
      </c>
      <c r="BI2820">
        <v>1</v>
      </c>
      <c r="BJ2820">
        <v>1</v>
      </c>
      <c r="BK2820">
        <v>1</v>
      </c>
      <c r="BL2820">
        <v>0</v>
      </c>
      <c r="BO2820">
        <v>0</v>
      </c>
      <c r="BP2820">
        <v>0</v>
      </c>
      <c r="BW2820" t="str">
        <f>"20:29:34.429"</f>
        <v>20:29:34.429</v>
      </c>
      <c r="BZ2820">
        <v>0</v>
      </c>
      <c r="CA2820">
        <v>1792</v>
      </c>
      <c r="CB2820">
        <v>224</v>
      </c>
      <c r="CD2820">
        <v>1</v>
      </c>
      <c r="CE2820">
        <v>0</v>
      </c>
      <c r="CF2820">
        <v>0</v>
      </c>
      <c r="CG2820">
        <v>1</v>
      </c>
      <c r="CH2820">
        <v>0</v>
      </c>
      <c r="CI2820">
        <v>0</v>
      </c>
      <c r="CJ2820">
        <v>0</v>
      </c>
      <c r="CK2820">
        <v>2</v>
      </c>
      <c r="CL2820">
        <v>0</v>
      </c>
      <c r="CM2820">
        <v>2</v>
      </c>
      <c r="CN2820">
        <v>0</v>
      </c>
      <c r="CO2820">
        <v>7</v>
      </c>
      <c r="CP2820" t="s">
        <v>119</v>
      </c>
      <c r="CQ2820">
        <v>180</v>
      </c>
      <c r="CR2820">
        <v>3</v>
      </c>
      <c r="CW2820">
        <v>985970</v>
      </c>
      <c r="CY2820">
        <v>1</v>
      </c>
      <c r="CZ2820">
        <v>0</v>
      </c>
      <c r="DA2820">
        <v>1</v>
      </c>
      <c r="DB2820">
        <v>0</v>
      </c>
      <c r="DC2820">
        <v>0</v>
      </c>
      <c r="DD2820">
        <v>0</v>
      </c>
      <c r="DE2820">
        <v>0</v>
      </c>
      <c r="DF2820">
        <v>0</v>
      </c>
      <c r="DG2820">
        <v>0</v>
      </c>
      <c r="DH2820">
        <v>0</v>
      </c>
      <c r="DI2820">
        <v>0</v>
      </c>
    </row>
    <row r="2821" spans="1:113" x14ac:dyDescent="0.3">
      <c r="A2821" t="str">
        <f>"02/08/2021 20:29:32.092"</f>
        <v>02/08/2021 20:29:32.092</v>
      </c>
      <c r="C2821" t="str">
        <f t="shared" si="135"/>
        <v>FFDFD7C0</v>
      </c>
      <c r="D2821" t="s">
        <v>113</v>
      </c>
      <c r="E2821">
        <v>6</v>
      </c>
      <c r="H2821">
        <v>165</v>
      </c>
      <c r="I2821" t="s">
        <v>114</v>
      </c>
      <c r="J2821" t="s">
        <v>115</v>
      </c>
      <c r="K2821">
        <v>0</v>
      </c>
      <c r="L2821">
        <v>3</v>
      </c>
      <c r="M2821">
        <v>0</v>
      </c>
      <c r="N2821">
        <v>2</v>
      </c>
      <c r="O2821">
        <v>1</v>
      </c>
      <c r="P2821">
        <v>0</v>
      </c>
      <c r="Q2821">
        <v>0</v>
      </c>
      <c r="S2821" t="str">
        <f>"20:29:34.422"</f>
        <v>20:29:34.422</v>
      </c>
      <c r="T2821" t="str">
        <f>"20:29:33.922"</f>
        <v>20:29:33.922</v>
      </c>
      <c r="U2821" t="str">
        <f t="shared" si="137"/>
        <v>AB01F4</v>
      </c>
      <c r="V2821">
        <v>0</v>
      </c>
      <c r="W2821">
        <v>0</v>
      </c>
      <c r="X2821">
        <v>2</v>
      </c>
      <c r="Z2821">
        <v>0</v>
      </c>
      <c r="AA2821">
        <v>9</v>
      </c>
      <c r="AB2821">
        <v>3</v>
      </c>
      <c r="AC2821">
        <v>0</v>
      </c>
      <c r="AD2821">
        <v>10</v>
      </c>
      <c r="AE2821">
        <v>0</v>
      </c>
      <c r="AF2821">
        <v>3</v>
      </c>
      <c r="AG2821">
        <v>2</v>
      </c>
      <c r="AH2821">
        <v>0</v>
      </c>
      <c r="AI2821" t="s">
        <v>1659</v>
      </c>
      <c r="AJ2821">
        <v>40.026691</v>
      </c>
      <c r="AK2821" t="s">
        <v>1660</v>
      </c>
      <c r="AL2821">
        <v>-92.805010999999993</v>
      </c>
      <c r="AM2821">
        <v>100</v>
      </c>
      <c r="AN2821">
        <v>1500</v>
      </c>
      <c r="AO2821" t="s">
        <v>118</v>
      </c>
      <c r="AP2821">
        <v>-136</v>
      </c>
      <c r="AQ2821">
        <v>33</v>
      </c>
      <c r="AR2821">
        <v>-64</v>
      </c>
      <c r="AZ2821">
        <v>1200</v>
      </c>
      <c r="BA2821">
        <v>1</v>
      </c>
      <c r="BB2821" t="str">
        <f t="shared" si="136"/>
        <v xml:space="preserve">N8080G  </v>
      </c>
      <c r="BC2821">
        <v>1</v>
      </c>
      <c r="BE2821">
        <v>0</v>
      </c>
      <c r="BF2821">
        <v>0</v>
      </c>
      <c r="BG2821">
        <v>0</v>
      </c>
      <c r="BH2821">
        <v>1525</v>
      </c>
      <c r="BI2821">
        <v>1</v>
      </c>
      <c r="BJ2821">
        <v>1</v>
      </c>
      <c r="BK2821">
        <v>1</v>
      </c>
      <c r="BL2821">
        <v>0</v>
      </c>
      <c r="BO2821">
        <v>0</v>
      </c>
      <c r="BP2821">
        <v>0</v>
      </c>
      <c r="BW2821" t="str">
        <f>"20:29:34.429"</f>
        <v>20:29:34.429</v>
      </c>
      <c r="BZ2821">
        <v>0</v>
      </c>
      <c r="CA2821">
        <v>1792</v>
      </c>
      <c r="CB2821">
        <v>224</v>
      </c>
      <c r="CD2821">
        <v>1</v>
      </c>
      <c r="CE2821">
        <v>0</v>
      </c>
      <c r="CF2821">
        <v>0</v>
      </c>
      <c r="CG2821">
        <v>1</v>
      </c>
      <c r="CH2821">
        <v>0</v>
      </c>
      <c r="CI2821">
        <v>0</v>
      </c>
      <c r="CJ2821">
        <v>0</v>
      </c>
      <c r="CK2821">
        <v>2</v>
      </c>
      <c r="CL2821">
        <v>0</v>
      </c>
      <c r="CM2821">
        <v>2</v>
      </c>
      <c r="CN2821">
        <v>0</v>
      </c>
      <c r="CO2821">
        <v>7</v>
      </c>
      <c r="CP2821" t="s">
        <v>119</v>
      </c>
      <c r="CQ2821">
        <v>180</v>
      </c>
      <c r="CR2821">
        <v>3</v>
      </c>
      <c r="CW2821">
        <v>985970</v>
      </c>
      <c r="CY2821">
        <v>1</v>
      </c>
      <c r="CZ2821">
        <v>0</v>
      </c>
      <c r="DA2821">
        <v>1</v>
      </c>
      <c r="DB2821">
        <v>0</v>
      </c>
      <c r="DC2821">
        <v>0</v>
      </c>
      <c r="DD2821">
        <v>0</v>
      </c>
      <c r="DE2821">
        <v>0</v>
      </c>
      <c r="DF2821">
        <v>0</v>
      </c>
      <c r="DG2821">
        <v>0</v>
      </c>
      <c r="DH2821">
        <v>0</v>
      </c>
      <c r="DI2821">
        <v>0</v>
      </c>
    </row>
    <row r="2822" spans="1:113" x14ac:dyDescent="0.3">
      <c r="A2822" t="str">
        <f>"02/08/2021 20:29:32.092"</f>
        <v>02/08/2021 20:29:32.092</v>
      </c>
      <c r="C2822" t="str">
        <f t="shared" si="135"/>
        <v>FFDFD7C0</v>
      </c>
      <c r="D2822" t="s">
        <v>124</v>
      </c>
      <c r="E2822">
        <v>13</v>
      </c>
      <c r="F2822">
        <v>1013</v>
      </c>
      <c r="G2822" t="s">
        <v>114</v>
      </c>
      <c r="J2822" t="s">
        <v>125</v>
      </c>
      <c r="K2822">
        <v>0</v>
      </c>
      <c r="L2822">
        <v>3</v>
      </c>
      <c r="M2822">
        <v>0</v>
      </c>
      <c r="N2822">
        <v>2</v>
      </c>
      <c r="O2822">
        <v>1</v>
      </c>
      <c r="P2822">
        <v>0</v>
      </c>
      <c r="Q2822">
        <v>0</v>
      </c>
      <c r="S2822" t="str">
        <f>"20:29:34.422"</f>
        <v>20:29:34.422</v>
      </c>
      <c r="T2822" t="str">
        <f>"20:29:33.922"</f>
        <v>20:29:33.922</v>
      </c>
      <c r="U2822" t="str">
        <f t="shared" si="137"/>
        <v>AB01F4</v>
      </c>
      <c r="V2822">
        <v>0</v>
      </c>
      <c r="W2822">
        <v>0</v>
      </c>
      <c r="X2822">
        <v>2</v>
      </c>
      <c r="Z2822">
        <v>0</v>
      </c>
      <c r="AA2822">
        <v>9</v>
      </c>
      <c r="AB2822">
        <v>3</v>
      </c>
      <c r="AC2822">
        <v>0</v>
      </c>
      <c r="AD2822">
        <v>10</v>
      </c>
      <c r="AE2822">
        <v>0</v>
      </c>
      <c r="AF2822">
        <v>3</v>
      </c>
      <c r="AG2822">
        <v>2</v>
      </c>
      <c r="AH2822">
        <v>0</v>
      </c>
      <c r="AI2822" t="s">
        <v>1659</v>
      </c>
      <c r="AJ2822">
        <v>40.026691</v>
      </c>
      <c r="AK2822" t="s">
        <v>1660</v>
      </c>
      <c r="AL2822">
        <v>-92.805010999999993</v>
      </c>
      <c r="AM2822">
        <v>100</v>
      </c>
      <c r="AN2822">
        <v>1500</v>
      </c>
      <c r="AO2822" t="s">
        <v>118</v>
      </c>
      <c r="AP2822">
        <v>-136</v>
      </c>
      <c r="AQ2822">
        <v>33</v>
      </c>
      <c r="AR2822">
        <v>-64</v>
      </c>
      <c r="AZ2822">
        <v>1200</v>
      </c>
      <c r="BA2822">
        <v>1</v>
      </c>
      <c r="BB2822" t="str">
        <f t="shared" si="136"/>
        <v xml:space="preserve">N8080G  </v>
      </c>
      <c r="BC2822">
        <v>1</v>
      </c>
      <c r="BE2822">
        <v>0</v>
      </c>
      <c r="BF2822">
        <v>0</v>
      </c>
      <c r="BG2822">
        <v>0</v>
      </c>
      <c r="BH2822">
        <v>1525</v>
      </c>
      <c r="BI2822">
        <v>1</v>
      </c>
      <c r="BJ2822">
        <v>1</v>
      </c>
      <c r="BK2822">
        <v>1</v>
      </c>
      <c r="BL2822">
        <v>0</v>
      </c>
      <c r="BO2822">
        <v>0</v>
      </c>
      <c r="BP2822">
        <v>0</v>
      </c>
      <c r="BW2822" t="str">
        <f>"20:29:34.429"</f>
        <v>20:29:34.429</v>
      </c>
      <c r="BZ2822">
        <v>0</v>
      </c>
      <c r="CA2822">
        <v>1792</v>
      </c>
      <c r="CB2822">
        <v>224</v>
      </c>
      <c r="CD2822">
        <v>1</v>
      </c>
      <c r="CE2822">
        <v>0</v>
      </c>
      <c r="CF2822">
        <v>0</v>
      </c>
      <c r="CG2822">
        <v>1</v>
      </c>
      <c r="CH2822">
        <v>0</v>
      </c>
      <c r="CI2822">
        <v>0</v>
      </c>
      <c r="CJ2822">
        <v>0</v>
      </c>
      <c r="CK2822">
        <v>2</v>
      </c>
      <c r="CL2822">
        <v>0</v>
      </c>
      <c r="CM2822">
        <v>2</v>
      </c>
      <c r="CN2822">
        <v>0</v>
      </c>
      <c r="CO2822">
        <v>7</v>
      </c>
      <c r="CP2822" t="s">
        <v>119</v>
      </c>
      <c r="CQ2822">
        <v>180</v>
      </c>
      <c r="CR2822">
        <v>3</v>
      </c>
      <c r="CW2822">
        <v>985970</v>
      </c>
      <c r="CY2822">
        <v>1</v>
      </c>
      <c r="CZ2822">
        <v>0</v>
      </c>
      <c r="DA2822">
        <v>1</v>
      </c>
      <c r="DB2822">
        <v>0</v>
      </c>
      <c r="DC2822">
        <v>0</v>
      </c>
      <c r="DD2822">
        <v>0</v>
      </c>
      <c r="DE2822">
        <v>0</v>
      </c>
      <c r="DF2822">
        <v>0</v>
      </c>
      <c r="DG2822">
        <v>0</v>
      </c>
      <c r="DH2822">
        <v>0</v>
      </c>
      <c r="DI2822">
        <v>0</v>
      </c>
    </row>
    <row r="2823" spans="1:113" x14ac:dyDescent="0.3">
      <c r="A2823" t="str">
        <f>"02/08/2021 20:29:33.032"</f>
        <v>02/08/2021 20:29:33.032</v>
      </c>
      <c r="C2823" t="str">
        <f t="shared" si="135"/>
        <v>FFDFD7C0</v>
      </c>
      <c r="D2823" t="s">
        <v>124</v>
      </c>
      <c r="E2823">
        <v>13</v>
      </c>
      <c r="F2823">
        <v>1013</v>
      </c>
      <c r="G2823" t="s">
        <v>114</v>
      </c>
      <c r="J2823" t="s">
        <v>125</v>
      </c>
      <c r="K2823">
        <v>0</v>
      </c>
      <c r="L2823">
        <v>3</v>
      </c>
      <c r="M2823">
        <v>0</v>
      </c>
      <c r="N2823">
        <v>2</v>
      </c>
      <c r="O2823">
        <v>1</v>
      </c>
      <c r="P2823">
        <v>0</v>
      </c>
      <c r="Q2823">
        <v>0</v>
      </c>
      <c r="S2823" t="str">
        <f>"20:29:35.359"</f>
        <v>20:29:35.359</v>
      </c>
      <c r="T2823" t="str">
        <f>"20:29:35.059"</f>
        <v>20:29:35.059</v>
      </c>
      <c r="U2823" t="str">
        <f t="shared" si="137"/>
        <v>AB01F4</v>
      </c>
      <c r="V2823">
        <v>0</v>
      </c>
      <c r="W2823">
        <v>0</v>
      </c>
      <c r="X2823">
        <v>2</v>
      </c>
      <c r="Z2823">
        <v>0</v>
      </c>
      <c r="AA2823">
        <v>9</v>
      </c>
      <c r="AB2823">
        <v>3</v>
      </c>
      <c r="AC2823">
        <v>0</v>
      </c>
      <c r="AD2823">
        <v>10</v>
      </c>
      <c r="AE2823">
        <v>0</v>
      </c>
      <c r="AF2823">
        <v>3</v>
      </c>
      <c r="AG2823">
        <v>2</v>
      </c>
      <c r="AH2823">
        <v>0</v>
      </c>
      <c r="AI2823" t="s">
        <v>1661</v>
      </c>
      <c r="AJ2823">
        <v>40.026820000000001</v>
      </c>
      <c r="AK2823" t="s">
        <v>1662</v>
      </c>
      <c r="AL2823">
        <v>-92.805718999999996</v>
      </c>
      <c r="AM2823">
        <v>100</v>
      </c>
      <c r="AN2823">
        <v>1500</v>
      </c>
      <c r="AO2823" t="s">
        <v>118</v>
      </c>
      <c r="AP2823">
        <v>-136</v>
      </c>
      <c r="AQ2823">
        <v>32</v>
      </c>
      <c r="AR2823">
        <v>0</v>
      </c>
      <c r="AZ2823">
        <v>1200</v>
      </c>
      <c r="BA2823">
        <v>1</v>
      </c>
      <c r="BB2823" t="str">
        <f t="shared" si="136"/>
        <v xml:space="preserve">N8080G  </v>
      </c>
      <c r="BC2823">
        <v>1</v>
      </c>
      <c r="BE2823">
        <v>0</v>
      </c>
      <c r="BF2823">
        <v>0</v>
      </c>
      <c r="BG2823">
        <v>0</v>
      </c>
      <c r="BH2823">
        <v>1525</v>
      </c>
      <c r="BI2823">
        <v>1</v>
      </c>
      <c r="BJ2823">
        <v>1</v>
      </c>
      <c r="BK2823">
        <v>1</v>
      </c>
      <c r="BL2823">
        <v>0</v>
      </c>
      <c r="BO2823">
        <v>0</v>
      </c>
      <c r="BP2823">
        <v>0</v>
      </c>
      <c r="BW2823" t="str">
        <f>"20:29:35.366"</f>
        <v>20:29:35.366</v>
      </c>
      <c r="BZ2823">
        <v>0</v>
      </c>
      <c r="CA2823">
        <v>1792</v>
      </c>
      <c r="CB2823">
        <v>224</v>
      </c>
      <c r="CD2823">
        <v>1</v>
      </c>
      <c r="CE2823">
        <v>0</v>
      </c>
      <c r="CF2823">
        <v>0</v>
      </c>
      <c r="CG2823">
        <v>1</v>
      </c>
      <c r="CH2823">
        <v>0</v>
      </c>
      <c r="CI2823">
        <v>0</v>
      </c>
      <c r="CJ2823">
        <v>0</v>
      </c>
      <c r="CK2823">
        <v>2</v>
      </c>
      <c r="CL2823">
        <v>0</v>
      </c>
      <c r="CM2823">
        <v>2</v>
      </c>
      <c r="CN2823">
        <v>0</v>
      </c>
      <c r="CO2823">
        <v>2</v>
      </c>
      <c r="CP2823" t="s">
        <v>119</v>
      </c>
      <c r="CQ2823">
        <v>179</v>
      </c>
      <c r="CR2823">
        <v>1</v>
      </c>
      <c r="CW2823">
        <v>9092327</v>
      </c>
      <c r="CY2823">
        <v>1</v>
      </c>
      <c r="CZ2823">
        <v>0</v>
      </c>
      <c r="DA2823">
        <v>0</v>
      </c>
      <c r="DB2823">
        <v>0</v>
      </c>
      <c r="DC2823">
        <v>0</v>
      </c>
      <c r="DD2823">
        <v>0</v>
      </c>
      <c r="DE2823">
        <v>0</v>
      </c>
      <c r="DF2823">
        <v>0</v>
      </c>
      <c r="DG2823">
        <v>0</v>
      </c>
      <c r="DH2823">
        <v>0</v>
      </c>
      <c r="DI2823">
        <v>0</v>
      </c>
    </row>
    <row r="2824" spans="1:113" x14ac:dyDescent="0.3">
      <c r="A2824" t="str">
        <f>"02/08/2021 20:29:33.032"</f>
        <v>02/08/2021 20:29:33.032</v>
      </c>
      <c r="C2824" t="str">
        <f t="shared" si="135"/>
        <v>FFDFD7C0</v>
      </c>
      <c r="D2824" t="s">
        <v>124</v>
      </c>
      <c r="E2824">
        <v>11</v>
      </c>
      <c r="F2824">
        <v>1011</v>
      </c>
      <c r="G2824" t="s">
        <v>590</v>
      </c>
      <c r="J2824" t="s">
        <v>125</v>
      </c>
      <c r="K2824">
        <v>0</v>
      </c>
      <c r="L2824">
        <v>3</v>
      </c>
      <c r="M2824">
        <v>0</v>
      </c>
      <c r="N2824">
        <v>2</v>
      </c>
      <c r="O2824">
        <v>1</v>
      </c>
      <c r="P2824">
        <v>0</v>
      </c>
      <c r="Q2824">
        <v>0</v>
      </c>
      <c r="S2824" t="str">
        <f>"20:29:35.359"</f>
        <v>20:29:35.359</v>
      </c>
      <c r="T2824" t="str">
        <f>"20:29:35.059"</f>
        <v>20:29:35.059</v>
      </c>
      <c r="U2824" t="str">
        <f t="shared" si="137"/>
        <v>AB01F4</v>
      </c>
      <c r="V2824">
        <v>0</v>
      </c>
      <c r="W2824">
        <v>0</v>
      </c>
      <c r="X2824">
        <v>2</v>
      </c>
      <c r="Z2824">
        <v>0</v>
      </c>
      <c r="AA2824">
        <v>9</v>
      </c>
      <c r="AB2824">
        <v>3</v>
      </c>
      <c r="AC2824">
        <v>0</v>
      </c>
      <c r="AD2824">
        <v>10</v>
      </c>
      <c r="AE2824">
        <v>0</v>
      </c>
      <c r="AF2824">
        <v>3</v>
      </c>
      <c r="AG2824">
        <v>2</v>
      </c>
      <c r="AH2824">
        <v>0</v>
      </c>
      <c r="AI2824" t="s">
        <v>1661</v>
      </c>
      <c r="AJ2824">
        <v>40.026820000000001</v>
      </c>
      <c r="AK2824" t="s">
        <v>1662</v>
      </c>
      <c r="AL2824">
        <v>-92.805718999999996</v>
      </c>
      <c r="AM2824">
        <v>100</v>
      </c>
      <c r="AN2824">
        <v>1500</v>
      </c>
      <c r="AO2824" t="s">
        <v>118</v>
      </c>
      <c r="AP2824">
        <v>-136</v>
      </c>
      <c r="AQ2824">
        <v>32</v>
      </c>
      <c r="AR2824">
        <v>0</v>
      </c>
      <c r="AZ2824">
        <v>1200</v>
      </c>
      <c r="BA2824">
        <v>1</v>
      </c>
      <c r="BB2824" t="str">
        <f t="shared" si="136"/>
        <v xml:space="preserve">N8080G  </v>
      </c>
      <c r="BC2824">
        <v>1</v>
      </c>
      <c r="BE2824">
        <v>0</v>
      </c>
      <c r="BF2824">
        <v>0</v>
      </c>
      <c r="BG2824">
        <v>0</v>
      </c>
      <c r="BH2824">
        <v>1525</v>
      </c>
      <c r="BI2824">
        <v>1</v>
      </c>
      <c r="BJ2824">
        <v>1</v>
      </c>
      <c r="BK2824">
        <v>1</v>
      </c>
      <c r="BL2824">
        <v>0</v>
      </c>
      <c r="BO2824">
        <v>0</v>
      </c>
      <c r="BP2824">
        <v>0</v>
      </c>
      <c r="BW2824" t="str">
        <f>"20:29:35.366"</f>
        <v>20:29:35.366</v>
      </c>
      <c r="BZ2824">
        <v>0</v>
      </c>
      <c r="CA2824">
        <v>1792</v>
      </c>
      <c r="CB2824">
        <v>224</v>
      </c>
      <c r="CD2824">
        <v>1</v>
      </c>
      <c r="CE2824">
        <v>0</v>
      </c>
      <c r="CF2824">
        <v>0</v>
      </c>
      <c r="CG2824">
        <v>1</v>
      </c>
      <c r="CH2824">
        <v>0</v>
      </c>
      <c r="CI2824">
        <v>0</v>
      </c>
      <c r="CJ2824">
        <v>0</v>
      </c>
      <c r="CK2824">
        <v>2</v>
      </c>
      <c r="CL2824">
        <v>0</v>
      </c>
      <c r="CM2824">
        <v>2</v>
      </c>
      <c r="CN2824">
        <v>0</v>
      </c>
      <c r="CO2824">
        <v>2</v>
      </c>
      <c r="CP2824" t="s">
        <v>119</v>
      </c>
      <c r="CQ2824">
        <v>179</v>
      </c>
      <c r="CR2824">
        <v>1</v>
      </c>
      <c r="CW2824">
        <v>9092327</v>
      </c>
      <c r="CY2824">
        <v>1</v>
      </c>
      <c r="CZ2824">
        <v>0</v>
      </c>
      <c r="DA2824">
        <v>1</v>
      </c>
      <c r="DB2824">
        <v>0</v>
      </c>
      <c r="DC2824">
        <v>0</v>
      </c>
      <c r="DD2824">
        <v>0</v>
      </c>
      <c r="DE2824">
        <v>0</v>
      </c>
      <c r="DF2824">
        <v>0</v>
      </c>
      <c r="DG2824">
        <v>0</v>
      </c>
      <c r="DH2824">
        <v>0</v>
      </c>
      <c r="DI2824">
        <v>0</v>
      </c>
    </row>
    <row r="2825" spans="1:113" x14ac:dyDescent="0.3">
      <c r="A2825" t="str">
        <f>"02/08/2021 20:29:33.032"</f>
        <v>02/08/2021 20:29:33.032</v>
      </c>
      <c r="C2825" t="str">
        <f t="shared" si="135"/>
        <v>FFDFD7C0</v>
      </c>
      <c r="D2825" t="s">
        <v>124</v>
      </c>
      <c r="E2825">
        <v>12</v>
      </c>
      <c r="F2825">
        <v>1012</v>
      </c>
      <c r="G2825" t="s">
        <v>675</v>
      </c>
      <c r="J2825" t="s">
        <v>125</v>
      </c>
      <c r="K2825">
        <v>0</v>
      </c>
      <c r="L2825">
        <v>3</v>
      </c>
      <c r="M2825">
        <v>0</v>
      </c>
      <c r="N2825">
        <v>2</v>
      </c>
      <c r="O2825">
        <v>1</v>
      </c>
      <c r="P2825">
        <v>0</v>
      </c>
      <c r="Q2825">
        <v>0</v>
      </c>
      <c r="S2825" t="str">
        <f>"20:29:35.359"</f>
        <v>20:29:35.359</v>
      </c>
      <c r="T2825" t="str">
        <f>"20:29:35.059"</f>
        <v>20:29:35.059</v>
      </c>
      <c r="U2825" t="str">
        <f t="shared" si="137"/>
        <v>AB01F4</v>
      </c>
      <c r="V2825">
        <v>0</v>
      </c>
      <c r="W2825">
        <v>0</v>
      </c>
      <c r="X2825">
        <v>2</v>
      </c>
      <c r="Z2825">
        <v>0</v>
      </c>
      <c r="AA2825">
        <v>9</v>
      </c>
      <c r="AB2825">
        <v>3</v>
      </c>
      <c r="AC2825">
        <v>0</v>
      </c>
      <c r="AD2825">
        <v>10</v>
      </c>
      <c r="AE2825">
        <v>0</v>
      </c>
      <c r="AF2825">
        <v>3</v>
      </c>
      <c r="AG2825">
        <v>2</v>
      </c>
      <c r="AH2825">
        <v>0</v>
      </c>
      <c r="AI2825" t="s">
        <v>1661</v>
      </c>
      <c r="AJ2825">
        <v>40.026820000000001</v>
      </c>
      <c r="AK2825" t="s">
        <v>1662</v>
      </c>
      <c r="AL2825">
        <v>-92.805718999999996</v>
      </c>
      <c r="AM2825">
        <v>100</v>
      </c>
      <c r="AN2825">
        <v>1500</v>
      </c>
      <c r="AO2825" t="s">
        <v>118</v>
      </c>
      <c r="AP2825">
        <v>-136</v>
      </c>
      <c r="AQ2825">
        <v>32</v>
      </c>
      <c r="AR2825">
        <v>0</v>
      </c>
      <c r="AZ2825">
        <v>1200</v>
      </c>
      <c r="BA2825">
        <v>1</v>
      </c>
      <c r="BB2825" t="str">
        <f t="shared" si="136"/>
        <v xml:space="preserve">N8080G  </v>
      </c>
      <c r="BC2825">
        <v>1</v>
      </c>
      <c r="BE2825">
        <v>0</v>
      </c>
      <c r="BF2825">
        <v>0</v>
      </c>
      <c r="BG2825">
        <v>0</v>
      </c>
      <c r="BH2825">
        <v>1525</v>
      </c>
      <c r="BI2825">
        <v>1</v>
      </c>
      <c r="BJ2825">
        <v>1</v>
      </c>
      <c r="BK2825">
        <v>1</v>
      </c>
      <c r="BL2825">
        <v>0</v>
      </c>
      <c r="BO2825">
        <v>0</v>
      </c>
      <c r="BP2825">
        <v>0</v>
      </c>
      <c r="BW2825" t="str">
        <f>"20:29:35.366"</f>
        <v>20:29:35.366</v>
      </c>
      <c r="BZ2825">
        <v>0</v>
      </c>
      <c r="CA2825">
        <v>1792</v>
      </c>
      <c r="CB2825">
        <v>224</v>
      </c>
      <c r="CD2825">
        <v>1</v>
      </c>
      <c r="CE2825">
        <v>0</v>
      </c>
      <c r="CF2825">
        <v>0</v>
      </c>
      <c r="CG2825">
        <v>1</v>
      </c>
      <c r="CH2825">
        <v>0</v>
      </c>
      <c r="CI2825">
        <v>0</v>
      </c>
      <c r="CJ2825">
        <v>0</v>
      </c>
      <c r="CK2825">
        <v>2</v>
      </c>
      <c r="CL2825">
        <v>0</v>
      </c>
      <c r="CM2825">
        <v>2</v>
      </c>
      <c r="CN2825">
        <v>0</v>
      </c>
      <c r="CO2825">
        <v>2</v>
      </c>
      <c r="CP2825" t="s">
        <v>119</v>
      </c>
      <c r="CQ2825">
        <v>179</v>
      </c>
      <c r="CR2825">
        <v>1</v>
      </c>
      <c r="CW2825">
        <v>9092327</v>
      </c>
      <c r="CY2825">
        <v>1</v>
      </c>
      <c r="CZ2825">
        <v>0</v>
      </c>
      <c r="DA2825">
        <v>1</v>
      </c>
      <c r="DB2825">
        <v>0</v>
      </c>
      <c r="DC2825">
        <v>0</v>
      </c>
      <c r="DD2825">
        <v>0</v>
      </c>
      <c r="DE2825">
        <v>0</v>
      </c>
      <c r="DF2825">
        <v>0</v>
      </c>
      <c r="DG2825">
        <v>0</v>
      </c>
      <c r="DH2825">
        <v>0</v>
      </c>
      <c r="DI2825">
        <v>0</v>
      </c>
    </row>
    <row r="2826" spans="1:113" x14ac:dyDescent="0.3">
      <c r="A2826" t="str">
        <f>"02/08/2021 20:29:33.032"</f>
        <v>02/08/2021 20:29:33.032</v>
      </c>
      <c r="C2826" t="str">
        <f t="shared" si="135"/>
        <v>FFDFD7C0</v>
      </c>
      <c r="D2826" t="s">
        <v>113</v>
      </c>
      <c r="E2826">
        <v>6</v>
      </c>
      <c r="H2826">
        <v>165</v>
      </c>
      <c r="I2826" t="s">
        <v>114</v>
      </c>
      <c r="J2826" t="s">
        <v>115</v>
      </c>
      <c r="K2826">
        <v>0</v>
      </c>
      <c r="L2826">
        <v>3</v>
      </c>
      <c r="M2826">
        <v>0</v>
      </c>
      <c r="N2826">
        <v>2</v>
      </c>
      <c r="O2826">
        <v>1</v>
      </c>
      <c r="P2826">
        <v>0</v>
      </c>
      <c r="Q2826">
        <v>0</v>
      </c>
      <c r="S2826" t="str">
        <f>"20:29:35.359"</f>
        <v>20:29:35.359</v>
      </c>
      <c r="T2826" t="str">
        <f>"20:29:35.059"</f>
        <v>20:29:35.059</v>
      </c>
      <c r="U2826" t="str">
        <f t="shared" si="137"/>
        <v>AB01F4</v>
      </c>
      <c r="V2826">
        <v>0</v>
      </c>
      <c r="W2826">
        <v>0</v>
      </c>
      <c r="X2826">
        <v>2</v>
      </c>
      <c r="Z2826">
        <v>0</v>
      </c>
      <c r="AA2826">
        <v>9</v>
      </c>
      <c r="AB2826">
        <v>3</v>
      </c>
      <c r="AC2826">
        <v>0</v>
      </c>
      <c r="AD2826">
        <v>10</v>
      </c>
      <c r="AE2826">
        <v>0</v>
      </c>
      <c r="AF2826">
        <v>3</v>
      </c>
      <c r="AG2826">
        <v>2</v>
      </c>
      <c r="AH2826">
        <v>0</v>
      </c>
      <c r="AI2826" t="s">
        <v>1661</v>
      </c>
      <c r="AJ2826">
        <v>40.026820000000001</v>
      </c>
      <c r="AK2826" t="s">
        <v>1662</v>
      </c>
      <c r="AL2826">
        <v>-92.805718999999996</v>
      </c>
      <c r="AM2826">
        <v>100</v>
      </c>
      <c r="AN2826">
        <v>1500</v>
      </c>
      <c r="AO2826" t="s">
        <v>118</v>
      </c>
      <c r="AP2826">
        <v>-136</v>
      </c>
      <c r="AQ2826">
        <v>32</v>
      </c>
      <c r="AR2826">
        <v>0</v>
      </c>
      <c r="AZ2826">
        <v>1200</v>
      </c>
      <c r="BA2826">
        <v>1</v>
      </c>
      <c r="BB2826" t="str">
        <f t="shared" si="136"/>
        <v xml:space="preserve">N8080G  </v>
      </c>
      <c r="BC2826">
        <v>1</v>
      </c>
      <c r="BE2826">
        <v>0</v>
      </c>
      <c r="BF2826">
        <v>0</v>
      </c>
      <c r="BG2826">
        <v>0</v>
      </c>
      <c r="BH2826">
        <v>1525</v>
      </c>
      <c r="BI2826">
        <v>1</v>
      </c>
      <c r="BJ2826">
        <v>1</v>
      </c>
      <c r="BK2826">
        <v>1</v>
      </c>
      <c r="BL2826">
        <v>0</v>
      </c>
      <c r="BO2826">
        <v>0</v>
      </c>
      <c r="BP2826">
        <v>0</v>
      </c>
      <c r="BW2826" t="str">
        <f>"20:29:35.366"</f>
        <v>20:29:35.366</v>
      </c>
      <c r="BZ2826">
        <v>0</v>
      </c>
      <c r="CA2826">
        <v>1792</v>
      </c>
      <c r="CB2826">
        <v>224</v>
      </c>
      <c r="CD2826">
        <v>1</v>
      </c>
      <c r="CE2826">
        <v>0</v>
      </c>
      <c r="CF2826">
        <v>0</v>
      </c>
      <c r="CG2826">
        <v>1</v>
      </c>
      <c r="CH2826">
        <v>0</v>
      </c>
      <c r="CI2826">
        <v>0</v>
      </c>
      <c r="CJ2826">
        <v>0</v>
      </c>
      <c r="CK2826">
        <v>2</v>
      </c>
      <c r="CL2826">
        <v>0</v>
      </c>
      <c r="CM2826">
        <v>2</v>
      </c>
      <c r="CN2826">
        <v>0</v>
      </c>
      <c r="CO2826">
        <v>2</v>
      </c>
      <c r="CP2826" t="s">
        <v>119</v>
      </c>
      <c r="CQ2826">
        <v>179</v>
      </c>
      <c r="CR2826">
        <v>1</v>
      </c>
      <c r="CW2826">
        <v>9092327</v>
      </c>
      <c r="CY2826">
        <v>1</v>
      </c>
      <c r="CZ2826">
        <v>0</v>
      </c>
      <c r="DA2826">
        <v>1</v>
      </c>
      <c r="DB2826">
        <v>0</v>
      </c>
      <c r="DC2826">
        <v>0</v>
      </c>
      <c r="DD2826">
        <v>0</v>
      </c>
      <c r="DE2826">
        <v>0</v>
      </c>
      <c r="DF2826">
        <v>0</v>
      </c>
      <c r="DG2826">
        <v>0</v>
      </c>
      <c r="DH2826">
        <v>0</v>
      </c>
      <c r="DI2826">
        <v>0</v>
      </c>
    </row>
    <row r="2827" spans="1:113" x14ac:dyDescent="0.3">
      <c r="A2827" t="str">
        <f>"02/08/2021 20:29:34.010"</f>
        <v>02/08/2021 20:29:34.010</v>
      </c>
      <c r="C2827" t="str">
        <f t="shared" si="135"/>
        <v>FFDFD7C0</v>
      </c>
      <c r="D2827" t="s">
        <v>124</v>
      </c>
      <c r="E2827">
        <v>11</v>
      </c>
      <c r="F2827">
        <v>1011</v>
      </c>
      <c r="G2827" t="s">
        <v>590</v>
      </c>
      <c r="J2827" t="s">
        <v>125</v>
      </c>
      <c r="K2827">
        <v>0</v>
      </c>
      <c r="L2827">
        <v>3</v>
      </c>
      <c r="M2827">
        <v>0</v>
      </c>
      <c r="N2827">
        <v>2</v>
      </c>
      <c r="O2827">
        <v>1</v>
      </c>
      <c r="P2827">
        <v>0</v>
      </c>
      <c r="Q2827">
        <v>0</v>
      </c>
      <c r="S2827" t="str">
        <f>"20:29:36.328"</f>
        <v>20:29:36.328</v>
      </c>
      <c r="T2827" t="str">
        <f>"20:29:35.928"</f>
        <v>20:29:35.928</v>
      </c>
      <c r="U2827" t="str">
        <f t="shared" si="137"/>
        <v>AB01F4</v>
      </c>
      <c r="V2827">
        <v>0</v>
      </c>
      <c r="W2827">
        <v>0</v>
      </c>
      <c r="X2827">
        <v>2</v>
      </c>
      <c r="Z2827">
        <v>0</v>
      </c>
      <c r="AA2827">
        <v>9</v>
      </c>
      <c r="AB2827">
        <v>3</v>
      </c>
      <c r="AC2827">
        <v>0</v>
      </c>
      <c r="AD2827">
        <v>10</v>
      </c>
      <c r="AE2827">
        <v>0</v>
      </c>
      <c r="AF2827">
        <v>3</v>
      </c>
      <c r="AG2827">
        <v>2</v>
      </c>
      <c r="AH2827">
        <v>0</v>
      </c>
      <c r="AI2827" t="s">
        <v>1663</v>
      </c>
      <c r="AJ2827">
        <v>40.026947999999997</v>
      </c>
      <c r="AK2827" t="s">
        <v>1664</v>
      </c>
      <c r="AL2827">
        <v>-92.806512999999995</v>
      </c>
      <c r="AM2827">
        <v>100</v>
      </c>
      <c r="AN2827">
        <v>1500</v>
      </c>
      <c r="AO2827" t="s">
        <v>118</v>
      </c>
      <c r="AP2827">
        <v>-136</v>
      </c>
      <c r="AQ2827">
        <v>32</v>
      </c>
      <c r="AR2827">
        <v>0</v>
      </c>
      <c r="AZ2827">
        <v>1200</v>
      </c>
      <c r="BA2827">
        <v>1</v>
      </c>
      <c r="BB2827" t="str">
        <f t="shared" si="136"/>
        <v xml:space="preserve">N8080G  </v>
      </c>
      <c r="BC2827">
        <v>1</v>
      </c>
      <c r="BE2827">
        <v>0</v>
      </c>
      <c r="BF2827">
        <v>0</v>
      </c>
      <c r="BG2827">
        <v>0</v>
      </c>
      <c r="BH2827">
        <v>1525</v>
      </c>
      <c r="BI2827">
        <v>1</v>
      </c>
      <c r="BJ2827">
        <v>1</v>
      </c>
      <c r="BK2827">
        <v>1</v>
      </c>
      <c r="BL2827">
        <v>0</v>
      </c>
      <c r="BO2827">
        <v>0</v>
      </c>
      <c r="BP2827">
        <v>0</v>
      </c>
      <c r="BW2827" t="str">
        <f>"20:29:36.330"</f>
        <v>20:29:36.330</v>
      </c>
      <c r="BZ2827">
        <v>0</v>
      </c>
      <c r="CA2827">
        <v>1792</v>
      </c>
      <c r="CB2827">
        <v>224</v>
      </c>
      <c r="CD2827">
        <v>1</v>
      </c>
      <c r="CE2827">
        <v>0</v>
      </c>
      <c r="CF2827">
        <v>0</v>
      </c>
      <c r="CG2827">
        <v>1</v>
      </c>
      <c r="CH2827">
        <v>0</v>
      </c>
      <c r="CI2827">
        <v>0</v>
      </c>
      <c r="CJ2827">
        <v>0</v>
      </c>
      <c r="CK2827">
        <v>2</v>
      </c>
      <c r="CL2827">
        <v>0</v>
      </c>
      <c r="CM2827">
        <v>2</v>
      </c>
      <c r="CN2827">
        <v>0</v>
      </c>
      <c r="CO2827">
        <v>2</v>
      </c>
      <c r="CP2827" t="s">
        <v>119</v>
      </c>
      <c r="CQ2827">
        <v>179</v>
      </c>
      <c r="CR2827">
        <v>1</v>
      </c>
      <c r="CW2827">
        <v>9093126</v>
      </c>
      <c r="CY2827">
        <v>1</v>
      </c>
      <c r="CZ2827">
        <v>0</v>
      </c>
      <c r="DA2827">
        <v>0</v>
      </c>
      <c r="DB2827">
        <v>0</v>
      </c>
      <c r="DC2827">
        <v>0</v>
      </c>
      <c r="DD2827">
        <v>0</v>
      </c>
      <c r="DE2827">
        <v>0</v>
      </c>
      <c r="DF2827">
        <v>0</v>
      </c>
      <c r="DG2827">
        <v>0</v>
      </c>
      <c r="DH2827">
        <v>0</v>
      </c>
      <c r="DI2827">
        <v>0</v>
      </c>
    </row>
    <row r="2828" spans="1:113" x14ac:dyDescent="0.3">
      <c r="A2828" t="str">
        <f>"02/08/2021 20:29:34.010"</f>
        <v>02/08/2021 20:29:34.010</v>
      </c>
      <c r="C2828" t="str">
        <f t="shared" si="135"/>
        <v>FFDFD7C0</v>
      </c>
      <c r="D2828" t="s">
        <v>124</v>
      </c>
      <c r="E2828">
        <v>12</v>
      </c>
      <c r="F2828">
        <v>1012</v>
      </c>
      <c r="G2828" t="s">
        <v>675</v>
      </c>
      <c r="J2828" t="s">
        <v>125</v>
      </c>
      <c r="K2828">
        <v>0</v>
      </c>
      <c r="L2828">
        <v>3</v>
      </c>
      <c r="M2828">
        <v>0</v>
      </c>
      <c r="N2828">
        <v>2</v>
      </c>
      <c r="O2828">
        <v>1</v>
      </c>
      <c r="P2828">
        <v>0</v>
      </c>
      <c r="Q2828">
        <v>0</v>
      </c>
      <c r="S2828" t="str">
        <f>"20:29:36.328"</f>
        <v>20:29:36.328</v>
      </c>
      <c r="T2828" t="str">
        <f>"20:29:35.928"</f>
        <v>20:29:35.928</v>
      </c>
      <c r="U2828" t="str">
        <f t="shared" si="137"/>
        <v>AB01F4</v>
      </c>
      <c r="V2828">
        <v>0</v>
      </c>
      <c r="W2828">
        <v>0</v>
      </c>
      <c r="X2828">
        <v>2</v>
      </c>
      <c r="Z2828">
        <v>0</v>
      </c>
      <c r="AA2828">
        <v>9</v>
      </c>
      <c r="AB2828">
        <v>3</v>
      </c>
      <c r="AC2828">
        <v>0</v>
      </c>
      <c r="AD2828">
        <v>10</v>
      </c>
      <c r="AE2828">
        <v>0</v>
      </c>
      <c r="AF2828">
        <v>3</v>
      </c>
      <c r="AG2828">
        <v>2</v>
      </c>
      <c r="AH2828">
        <v>0</v>
      </c>
      <c r="AI2828" t="s">
        <v>1663</v>
      </c>
      <c r="AJ2828">
        <v>40.026947999999997</v>
      </c>
      <c r="AK2828" t="s">
        <v>1664</v>
      </c>
      <c r="AL2828">
        <v>-92.806512999999995</v>
      </c>
      <c r="AM2828">
        <v>100</v>
      </c>
      <c r="AN2828">
        <v>1500</v>
      </c>
      <c r="AO2828" t="s">
        <v>118</v>
      </c>
      <c r="AP2828">
        <v>-136</v>
      </c>
      <c r="AQ2828">
        <v>32</v>
      </c>
      <c r="AR2828">
        <v>0</v>
      </c>
      <c r="AZ2828">
        <v>1200</v>
      </c>
      <c r="BA2828">
        <v>1</v>
      </c>
      <c r="BB2828" t="str">
        <f t="shared" si="136"/>
        <v xml:space="preserve">N8080G  </v>
      </c>
      <c r="BC2828">
        <v>1</v>
      </c>
      <c r="BE2828">
        <v>0</v>
      </c>
      <c r="BF2828">
        <v>0</v>
      </c>
      <c r="BG2828">
        <v>0</v>
      </c>
      <c r="BH2828">
        <v>1525</v>
      </c>
      <c r="BI2828">
        <v>1</v>
      </c>
      <c r="BJ2828">
        <v>1</v>
      </c>
      <c r="BK2828">
        <v>1</v>
      </c>
      <c r="BL2828">
        <v>0</v>
      </c>
      <c r="BO2828">
        <v>0</v>
      </c>
      <c r="BP2828">
        <v>0</v>
      </c>
      <c r="BW2828" t="str">
        <f>"20:29:36.330"</f>
        <v>20:29:36.330</v>
      </c>
      <c r="BZ2828">
        <v>0</v>
      </c>
      <c r="CA2828">
        <v>1792</v>
      </c>
      <c r="CB2828">
        <v>224</v>
      </c>
      <c r="CD2828">
        <v>1</v>
      </c>
      <c r="CE2828">
        <v>0</v>
      </c>
      <c r="CF2828">
        <v>0</v>
      </c>
      <c r="CG2828">
        <v>1</v>
      </c>
      <c r="CH2828">
        <v>0</v>
      </c>
      <c r="CI2828">
        <v>0</v>
      </c>
      <c r="CJ2828">
        <v>0</v>
      </c>
      <c r="CK2828">
        <v>2</v>
      </c>
      <c r="CL2828">
        <v>0</v>
      </c>
      <c r="CM2828">
        <v>2</v>
      </c>
      <c r="CN2828">
        <v>0</v>
      </c>
      <c r="CO2828">
        <v>2</v>
      </c>
      <c r="CP2828" t="s">
        <v>119</v>
      </c>
      <c r="CQ2828">
        <v>179</v>
      </c>
      <c r="CR2828">
        <v>1</v>
      </c>
      <c r="CW2828">
        <v>9093126</v>
      </c>
      <c r="CY2828">
        <v>1</v>
      </c>
      <c r="CZ2828">
        <v>0</v>
      </c>
      <c r="DA2828">
        <v>1</v>
      </c>
      <c r="DB2828">
        <v>0</v>
      </c>
      <c r="DC2828">
        <v>0</v>
      </c>
      <c r="DD2828">
        <v>0</v>
      </c>
      <c r="DE2828">
        <v>0</v>
      </c>
      <c r="DF2828">
        <v>0</v>
      </c>
      <c r="DG2828">
        <v>0</v>
      </c>
      <c r="DH2828">
        <v>0</v>
      </c>
      <c r="DI2828">
        <v>0</v>
      </c>
    </row>
    <row r="2829" spans="1:113" x14ac:dyDescent="0.3">
      <c r="A2829" t="str">
        <f>"02/08/2021 20:29:34.010"</f>
        <v>02/08/2021 20:29:34.010</v>
      </c>
      <c r="C2829" t="str">
        <f t="shared" si="135"/>
        <v>FFDFD7C0</v>
      </c>
      <c r="D2829" t="s">
        <v>113</v>
      </c>
      <c r="E2829">
        <v>6</v>
      </c>
      <c r="H2829">
        <v>165</v>
      </c>
      <c r="I2829" t="s">
        <v>114</v>
      </c>
      <c r="J2829" t="s">
        <v>115</v>
      </c>
      <c r="K2829">
        <v>0</v>
      </c>
      <c r="L2829">
        <v>3</v>
      </c>
      <c r="M2829">
        <v>0</v>
      </c>
      <c r="N2829">
        <v>2</v>
      </c>
      <c r="O2829">
        <v>1</v>
      </c>
      <c r="P2829">
        <v>0</v>
      </c>
      <c r="Q2829">
        <v>0</v>
      </c>
      <c r="S2829" t="str">
        <f>"20:29:36.328"</f>
        <v>20:29:36.328</v>
      </c>
      <c r="T2829" t="str">
        <f>"20:29:35.928"</f>
        <v>20:29:35.928</v>
      </c>
      <c r="U2829" t="str">
        <f t="shared" si="137"/>
        <v>AB01F4</v>
      </c>
      <c r="V2829">
        <v>0</v>
      </c>
      <c r="W2829">
        <v>0</v>
      </c>
      <c r="X2829">
        <v>2</v>
      </c>
      <c r="Z2829">
        <v>0</v>
      </c>
      <c r="AA2829">
        <v>9</v>
      </c>
      <c r="AB2829">
        <v>3</v>
      </c>
      <c r="AC2829">
        <v>0</v>
      </c>
      <c r="AD2829">
        <v>10</v>
      </c>
      <c r="AE2829">
        <v>0</v>
      </c>
      <c r="AF2829">
        <v>3</v>
      </c>
      <c r="AG2829">
        <v>2</v>
      </c>
      <c r="AH2829">
        <v>0</v>
      </c>
      <c r="AI2829" t="s">
        <v>1663</v>
      </c>
      <c r="AJ2829">
        <v>40.026947999999997</v>
      </c>
      <c r="AK2829" t="s">
        <v>1664</v>
      </c>
      <c r="AL2829">
        <v>-92.806512999999995</v>
      </c>
      <c r="AM2829">
        <v>100</v>
      </c>
      <c r="AN2829">
        <v>1500</v>
      </c>
      <c r="AO2829" t="s">
        <v>118</v>
      </c>
      <c r="AP2829">
        <v>-136</v>
      </c>
      <c r="AQ2829">
        <v>32</v>
      </c>
      <c r="AR2829">
        <v>0</v>
      </c>
      <c r="AZ2829">
        <v>1200</v>
      </c>
      <c r="BA2829">
        <v>1</v>
      </c>
      <c r="BB2829" t="str">
        <f t="shared" si="136"/>
        <v xml:space="preserve">N8080G  </v>
      </c>
      <c r="BC2829">
        <v>1</v>
      </c>
      <c r="BE2829">
        <v>0</v>
      </c>
      <c r="BF2829">
        <v>0</v>
      </c>
      <c r="BG2829">
        <v>0</v>
      </c>
      <c r="BH2829">
        <v>1525</v>
      </c>
      <c r="BI2829">
        <v>1</v>
      </c>
      <c r="BJ2829">
        <v>1</v>
      </c>
      <c r="BK2829">
        <v>1</v>
      </c>
      <c r="BL2829">
        <v>0</v>
      </c>
      <c r="BO2829">
        <v>0</v>
      </c>
      <c r="BP2829">
        <v>0</v>
      </c>
      <c r="BW2829" t="str">
        <f>"20:29:36.330"</f>
        <v>20:29:36.330</v>
      </c>
      <c r="BZ2829">
        <v>0</v>
      </c>
      <c r="CA2829">
        <v>1792</v>
      </c>
      <c r="CB2829">
        <v>224</v>
      </c>
      <c r="CD2829">
        <v>1</v>
      </c>
      <c r="CE2829">
        <v>0</v>
      </c>
      <c r="CF2829">
        <v>0</v>
      </c>
      <c r="CG2829">
        <v>1</v>
      </c>
      <c r="CH2829">
        <v>0</v>
      </c>
      <c r="CI2829">
        <v>0</v>
      </c>
      <c r="CJ2829">
        <v>0</v>
      </c>
      <c r="CK2829">
        <v>2</v>
      </c>
      <c r="CL2829">
        <v>0</v>
      </c>
      <c r="CM2829">
        <v>2</v>
      </c>
      <c r="CN2829">
        <v>0</v>
      </c>
      <c r="CO2829">
        <v>2</v>
      </c>
      <c r="CP2829" t="s">
        <v>119</v>
      </c>
      <c r="CQ2829">
        <v>179</v>
      </c>
      <c r="CR2829">
        <v>1</v>
      </c>
      <c r="CW2829">
        <v>9093126</v>
      </c>
      <c r="CY2829">
        <v>1</v>
      </c>
      <c r="CZ2829">
        <v>0</v>
      </c>
      <c r="DA2829">
        <v>1</v>
      </c>
      <c r="DB2829">
        <v>0</v>
      </c>
      <c r="DC2829">
        <v>0</v>
      </c>
      <c r="DD2829">
        <v>0</v>
      </c>
      <c r="DE2829">
        <v>0</v>
      </c>
      <c r="DF2829">
        <v>0</v>
      </c>
      <c r="DG2829">
        <v>0</v>
      </c>
      <c r="DH2829">
        <v>0</v>
      </c>
      <c r="DI2829">
        <v>0</v>
      </c>
    </row>
    <row r="2830" spans="1:113" x14ac:dyDescent="0.3">
      <c r="A2830" t="str">
        <f>"02/08/2021 20:29:34.010"</f>
        <v>02/08/2021 20:29:34.010</v>
      </c>
      <c r="C2830" t="str">
        <f t="shared" si="135"/>
        <v>FFDFD7C0</v>
      </c>
      <c r="D2830" t="s">
        <v>124</v>
      </c>
      <c r="E2830">
        <v>13</v>
      </c>
      <c r="F2830">
        <v>1013</v>
      </c>
      <c r="G2830" t="s">
        <v>114</v>
      </c>
      <c r="J2830" t="s">
        <v>125</v>
      </c>
      <c r="K2830">
        <v>0</v>
      </c>
      <c r="L2830">
        <v>3</v>
      </c>
      <c r="M2830">
        <v>0</v>
      </c>
      <c r="N2830">
        <v>2</v>
      </c>
      <c r="O2830">
        <v>1</v>
      </c>
      <c r="P2830">
        <v>0</v>
      </c>
      <c r="Q2830">
        <v>0</v>
      </c>
      <c r="S2830" t="str">
        <f>"20:29:36.328"</f>
        <v>20:29:36.328</v>
      </c>
      <c r="T2830" t="str">
        <f>"20:29:35.928"</f>
        <v>20:29:35.928</v>
      </c>
      <c r="U2830" t="str">
        <f t="shared" si="137"/>
        <v>AB01F4</v>
      </c>
      <c r="V2830">
        <v>0</v>
      </c>
      <c r="W2830">
        <v>0</v>
      </c>
      <c r="X2830">
        <v>2</v>
      </c>
      <c r="Z2830">
        <v>0</v>
      </c>
      <c r="AA2830">
        <v>9</v>
      </c>
      <c r="AB2830">
        <v>3</v>
      </c>
      <c r="AC2830">
        <v>0</v>
      </c>
      <c r="AD2830">
        <v>10</v>
      </c>
      <c r="AE2830">
        <v>0</v>
      </c>
      <c r="AF2830">
        <v>3</v>
      </c>
      <c r="AG2830">
        <v>2</v>
      </c>
      <c r="AH2830">
        <v>0</v>
      </c>
      <c r="AI2830" t="s">
        <v>1663</v>
      </c>
      <c r="AJ2830">
        <v>40.026947999999997</v>
      </c>
      <c r="AK2830" t="s">
        <v>1664</v>
      </c>
      <c r="AL2830">
        <v>-92.806512999999995</v>
      </c>
      <c r="AM2830">
        <v>100</v>
      </c>
      <c r="AN2830">
        <v>1500</v>
      </c>
      <c r="AO2830" t="s">
        <v>118</v>
      </c>
      <c r="AP2830">
        <v>-136</v>
      </c>
      <c r="AQ2830">
        <v>32</v>
      </c>
      <c r="AR2830">
        <v>0</v>
      </c>
      <c r="AZ2830">
        <v>1200</v>
      </c>
      <c r="BA2830">
        <v>1</v>
      </c>
      <c r="BB2830" t="str">
        <f t="shared" si="136"/>
        <v xml:space="preserve">N8080G  </v>
      </c>
      <c r="BC2830">
        <v>1</v>
      </c>
      <c r="BE2830">
        <v>0</v>
      </c>
      <c r="BF2830">
        <v>0</v>
      </c>
      <c r="BG2830">
        <v>0</v>
      </c>
      <c r="BH2830">
        <v>1525</v>
      </c>
      <c r="BI2830">
        <v>1</v>
      </c>
      <c r="BJ2830">
        <v>1</v>
      </c>
      <c r="BK2830">
        <v>1</v>
      </c>
      <c r="BL2830">
        <v>0</v>
      </c>
      <c r="BO2830">
        <v>0</v>
      </c>
      <c r="BP2830">
        <v>0</v>
      </c>
      <c r="BW2830" t="str">
        <f>"20:29:36.330"</f>
        <v>20:29:36.330</v>
      </c>
      <c r="BZ2830">
        <v>0</v>
      </c>
      <c r="CA2830">
        <v>1792</v>
      </c>
      <c r="CB2830">
        <v>224</v>
      </c>
      <c r="CD2830">
        <v>1</v>
      </c>
      <c r="CE2830">
        <v>0</v>
      </c>
      <c r="CF2830">
        <v>0</v>
      </c>
      <c r="CG2830">
        <v>1</v>
      </c>
      <c r="CH2830">
        <v>0</v>
      </c>
      <c r="CI2830">
        <v>0</v>
      </c>
      <c r="CJ2830">
        <v>0</v>
      </c>
      <c r="CK2830">
        <v>2</v>
      </c>
      <c r="CL2830">
        <v>0</v>
      </c>
      <c r="CM2830">
        <v>2</v>
      </c>
      <c r="CN2830">
        <v>0</v>
      </c>
      <c r="CO2830">
        <v>2</v>
      </c>
      <c r="CP2830" t="s">
        <v>119</v>
      </c>
      <c r="CQ2830">
        <v>179</v>
      </c>
      <c r="CR2830">
        <v>1</v>
      </c>
      <c r="CW2830">
        <v>9093126</v>
      </c>
      <c r="CY2830">
        <v>1</v>
      </c>
      <c r="CZ2830">
        <v>0</v>
      </c>
      <c r="DA2830">
        <v>1</v>
      </c>
      <c r="DB2830">
        <v>0</v>
      </c>
      <c r="DC2830">
        <v>0</v>
      </c>
      <c r="DD2830">
        <v>0</v>
      </c>
      <c r="DE2830">
        <v>0</v>
      </c>
      <c r="DF2830">
        <v>0</v>
      </c>
      <c r="DG2830">
        <v>0</v>
      </c>
      <c r="DH2830">
        <v>0</v>
      </c>
      <c r="DI2830">
        <v>0</v>
      </c>
    </row>
    <row r="2831" spans="1:113" x14ac:dyDescent="0.3">
      <c r="A2831" t="str">
        <f>"02/08/2021 20:29:36.429"</f>
        <v>02/08/2021 20:29:36.429</v>
      </c>
      <c r="C2831" t="str">
        <f t="shared" si="135"/>
        <v>FFDFD7C0</v>
      </c>
      <c r="D2831" t="s">
        <v>124</v>
      </c>
      <c r="E2831">
        <v>11</v>
      </c>
      <c r="F2831">
        <v>1011</v>
      </c>
      <c r="G2831" t="s">
        <v>590</v>
      </c>
      <c r="J2831" t="s">
        <v>125</v>
      </c>
      <c r="K2831">
        <v>0</v>
      </c>
      <c r="L2831">
        <v>3</v>
      </c>
      <c r="M2831">
        <v>0</v>
      </c>
      <c r="N2831">
        <v>2</v>
      </c>
      <c r="O2831">
        <v>1</v>
      </c>
      <c r="P2831">
        <v>0</v>
      </c>
      <c r="Q2831">
        <v>0</v>
      </c>
      <c r="S2831" t="str">
        <f>"20:29:38.742"</f>
        <v>20:29:38.742</v>
      </c>
      <c r="T2831" t="str">
        <f>"20:29:38.242"</f>
        <v>20:29:38.242</v>
      </c>
      <c r="U2831" t="str">
        <f t="shared" si="137"/>
        <v>AB01F4</v>
      </c>
      <c r="V2831">
        <v>0</v>
      </c>
      <c r="W2831">
        <v>0</v>
      </c>
      <c r="X2831">
        <v>2</v>
      </c>
      <c r="Z2831">
        <v>0</v>
      </c>
      <c r="AA2831">
        <v>9</v>
      </c>
      <c r="AB2831">
        <v>3</v>
      </c>
      <c r="AC2831">
        <v>0</v>
      </c>
      <c r="AD2831">
        <v>10</v>
      </c>
      <c r="AE2831">
        <v>0</v>
      </c>
      <c r="AF2831">
        <v>3</v>
      </c>
      <c r="AG2831">
        <v>2</v>
      </c>
      <c r="AH2831">
        <v>0</v>
      </c>
      <c r="AI2831" t="s">
        <v>1665</v>
      </c>
      <c r="AJ2831">
        <v>40.027312999999999</v>
      </c>
      <c r="AK2831" t="s">
        <v>1666</v>
      </c>
      <c r="AL2831">
        <v>-92.808530000000005</v>
      </c>
      <c r="AM2831">
        <v>100</v>
      </c>
      <c r="AN2831">
        <v>1500</v>
      </c>
      <c r="AO2831" t="s">
        <v>118</v>
      </c>
      <c r="AP2831">
        <v>-136</v>
      </c>
      <c r="AQ2831">
        <v>31</v>
      </c>
      <c r="AR2831">
        <v>-64</v>
      </c>
      <c r="AZ2831">
        <v>1200</v>
      </c>
      <c r="BA2831">
        <v>1</v>
      </c>
      <c r="BB2831" t="str">
        <f t="shared" si="136"/>
        <v xml:space="preserve">N8080G  </v>
      </c>
      <c r="BC2831">
        <v>1</v>
      </c>
      <c r="BE2831">
        <v>0</v>
      </c>
      <c r="BF2831">
        <v>0</v>
      </c>
      <c r="BG2831">
        <v>0</v>
      </c>
      <c r="BH2831">
        <v>1525</v>
      </c>
      <c r="BI2831">
        <v>1</v>
      </c>
      <c r="BJ2831">
        <v>1</v>
      </c>
      <c r="BK2831">
        <v>1</v>
      </c>
      <c r="BL2831">
        <v>0</v>
      </c>
      <c r="BO2831">
        <v>0</v>
      </c>
      <c r="BP2831">
        <v>0</v>
      </c>
      <c r="BW2831" t="str">
        <f>"20:29:38.746"</f>
        <v>20:29:38.746</v>
      </c>
      <c r="BZ2831">
        <v>0</v>
      </c>
      <c r="CA2831">
        <v>1792</v>
      </c>
      <c r="CB2831">
        <v>224</v>
      </c>
      <c r="CD2831">
        <v>1</v>
      </c>
      <c r="CE2831">
        <v>0</v>
      </c>
      <c r="CF2831">
        <v>0</v>
      </c>
      <c r="CG2831">
        <v>1</v>
      </c>
      <c r="CH2831">
        <v>0</v>
      </c>
      <c r="CI2831">
        <v>0</v>
      </c>
      <c r="CJ2831">
        <v>0</v>
      </c>
      <c r="CK2831">
        <v>2</v>
      </c>
      <c r="CL2831">
        <v>0</v>
      </c>
      <c r="CM2831">
        <v>2</v>
      </c>
      <c r="CN2831">
        <v>0</v>
      </c>
      <c r="CO2831">
        <v>2</v>
      </c>
      <c r="CP2831" t="s">
        <v>119</v>
      </c>
      <c r="CQ2831">
        <v>179</v>
      </c>
      <c r="CR2831">
        <v>1</v>
      </c>
      <c r="CW2831">
        <v>9095431</v>
      </c>
      <c r="CY2831">
        <v>1</v>
      </c>
      <c r="CZ2831">
        <v>0</v>
      </c>
      <c r="DA2831">
        <v>0</v>
      </c>
      <c r="DB2831">
        <v>0</v>
      </c>
      <c r="DC2831">
        <v>0</v>
      </c>
      <c r="DD2831">
        <v>0</v>
      </c>
      <c r="DE2831">
        <v>0</v>
      </c>
      <c r="DF2831">
        <v>0</v>
      </c>
      <c r="DG2831">
        <v>0</v>
      </c>
      <c r="DH2831">
        <v>0</v>
      </c>
      <c r="DI2831">
        <v>0</v>
      </c>
    </row>
    <row r="2832" spans="1:113" x14ac:dyDescent="0.3">
      <c r="A2832" t="str">
        <f>"02/08/2021 20:29:36.429"</f>
        <v>02/08/2021 20:29:36.429</v>
      </c>
      <c r="C2832" t="str">
        <f t="shared" si="135"/>
        <v>FFDFD7C0</v>
      </c>
      <c r="D2832" t="s">
        <v>113</v>
      </c>
      <c r="E2832">
        <v>6</v>
      </c>
      <c r="H2832">
        <v>165</v>
      </c>
      <c r="I2832" t="s">
        <v>114</v>
      </c>
      <c r="J2832" t="s">
        <v>115</v>
      </c>
      <c r="K2832">
        <v>0</v>
      </c>
      <c r="L2832">
        <v>3</v>
      </c>
      <c r="M2832">
        <v>0</v>
      </c>
      <c r="N2832">
        <v>2</v>
      </c>
      <c r="O2832">
        <v>1</v>
      </c>
      <c r="P2832">
        <v>0</v>
      </c>
      <c r="Q2832">
        <v>0</v>
      </c>
      <c r="S2832" t="str">
        <f>"20:29:38.742"</f>
        <v>20:29:38.742</v>
      </c>
      <c r="T2832" t="str">
        <f>"20:29:38.242"</f>
        <v>20:29:38.242</v>
      </c>
      <c r="U2832" t="str">
        <f t="shared" si="137"/>
        <v>AB01F4</v>
      </c>
      <c r="V2832">
        <v>0</v>
      </c>
      <c r="W2832">
        <v>0</v>
      </c>
      <c r="X2832">
        <v>2</v>
      </c>
      <c r="Z2832">
        <v>0</v>
      </c>
      <c r="AA2832">
        <v>9</v>
      </c>
      <c r="AB2832">
        <v>3</v>
      </c>
      <c r="AC2832">
        <v>0</v>
      </c>
      <c r="AD2832">
        <v>10</v>
      </c>
      <c r="AE2832">
        <v>0</v>
      </c>
      <c r="AF2832">
        <v>3</v>
      </c>
      <c r="AG2832">
        <v>2</v>
      </c>
      <c r="AH2832">
        <v>0</v>
      </c>
      <c r="AI2832" t="s">
        <v>1665</v>
      </c>
      <c r="AJ2832">
        <v>40.027312999999999</v>
      </c>
      <c r="AK2832" t="s">
        <v>1666</v>
      </c>
      <c r="AL2832">
        <v>-92.808530000000005</v>
      </c>
      <c r="AM2832">
        <v>100</v>
      </c>
      <c r="AN2832">
        <v>1500</v>
      </c>
      <c r="AO2832" t="s">
        <v>118</v>
      </c>
      <c r="AP2832">
        <v>-136</v>
      </c>
      <c r="AQ2832">
        <v>31</v>
      </c>
      <c r="AR2832">
        <v>-64</v>
      </c>
      <c r="AZ2832">
        <v>1200</v>
      </c>
      <c r="BA2832">
        <v>1</v>
      </c>
      <c r="BB2832" t="str">
        <f t="shared" si="136"/>
        <v xml:space="preserve">N8080G  </v>
      </c>
      <c r="BC2832">
        <v>1</v>
      </c>
      <c r="BE2832">
        <v>0</v>
      </c>
      <c r="BF2832">
        <v>0</v>
      </c>
      <c r="BG2832">
        <v>0</v>
      </c>
      <c r="BH2832">
        <v>1525</v>
      </c>
      <c r="BI2832">
        <v>1</v>
      </c>
      <c r="BJ2832">
        <v>1</v>
      </c>
      <c r="BK2832">
        <v>1</v>
      </c>
      <c r="BL2832">
        <v>0</v>
      </c>
      <c r="BO2832">
        <v>0</v>
      </c>
      <c r="BP2832">
        <v>0</v>
      </c>
      <c r="BW2832" t="str">
        <f>"20:29:38.746"</f>
        <v>20:29:38.746</v>
      </c>
      <c r="BZ2832">
        <v>0</v>
      </c>
      <c r="CA2832">
        <v>1792</v>
      </c>
      <c r="CB2832">
        <v>224</v>
      </c>
      <c r="CD2832">
        <v>1</v>
      </c>
      <c r="CE2832">
        <v>0</v>
      </c>
      <c r="CF2832">
        <v>0</v>
      </c>
      <c r="CG2832">
        <v>1</v>
      </c>
      <c r="CH2832">
        <v>0</v>
      </c>
      <c r="CI2832">
        <v>0</v>
      </c>
      <c r="CJ2832">
        <v>0</v>
      </c>
      <c r="CK2832">
        <v>2</v>
      </c>
      <c r="CL2832">
        <v>0</v>
      </c>
      <c r="CM2832">
        <v>2</v>
      </c>
      <c r="CN2832">
        <v>0</v>
      </c>
      <c r="CO2832">
        <v>2</v>
      </c>
      <c r="CP2832" t="s">
        <v>119</v>
      </c>
      <c r="CQ2832">
        <v>179</v>
      </c>
      <c r="CR2832">
        <v>1</v>
      </c>
      <c r="CW2832">
        <v>9095431</v>
      </c>
      <c r="CY2832">
        <v>1</v>
      </c>
      <c r="CZ2832">
        <v>0</v>
      </c>
      <c r="DA2832">
        <v>1</v>
      </c>
      <c r="DB2832">
        <v>0</v>
      </c>
      <c r="DC2832">
        <v>0</v>
      </c>
      <c r="DD2832">
        <v>0</v>
      </c>
      <c r="DE2832">
        <v>0</v>
      </c>
      <c r="DF2832">
        <v>0</v>
      </c>
      <c r="DG2832">
        <v>0</v>
      </c>
      <c r="DH2832">
        <v>0</v>
      </c>
      <c r="DI2832">
        <v>0</v>
      </c>
    </row>
    <row r="2833" spans="1:113" x14ac:dyDescent="0.3">
      <c r="A2833" t="str">
        <f>"02/08/2021 20:29:36.429"</f>
        <v>02/08/2021 20:29:36.429</v>
      </c>
      <c r="C2833" t="str">
        <f t="shared" si="135"/>
        <v>FFDFD7C0</v>
      </c>
      <c r="D2833" t="s">
        <v>124</v>
      </c>
      <c r="E2833">
        <v>13</v>
      </c>
      <c r="F2833">
        <v>1013</v>
      </c>
      <c r="G2833" t="s">
        <v>114</v>
      </c>
      <c r="J2833" t="s">
        <v>125</v>
      </c>
      <c r="K2833">
        <v>0</v>
      </c>
      <c r="L2833">
        <v>3</v>
      </c>
      <c r="M2833">
        <v>0</v>
      </c>
      <c r="N2833">
        <v>2</v>
      </c>
      <c r="O2833">
        <v>1</v>
      </c>
      <c r="P2833">
        <v>0</v>
      </c>
      <c r="Q2833">
        <v>0</v>
      </c>
      <c r="S2833" t="str">
        <f>"20:29:38.742"</f>
        <v>20:29:38.742</v>
      </c>
      <c r="T2833" t="str">
        <f>"20:29:38.242"</f>
        <v>20:29:38.242</v>
      </c>
      <c r="U2833" t="str">
        <f t="shared" si="137"/>
        <v>AB01F4</v>
      </c>
      <c r="V2833">
        <v>0</v>
      </c>
      <c r="W2833">
        <v>0</v>
      </c>
      <c r="X2833">
        <v>2</v>
      </c>
      <c r="Z2833">
        <v>0</v>
      </c>
      <c r="AA2833">
        <v>9</v>
      </c>
      <c r="AB2833">
        <v>3</v>
      </c>
      <c r="AC2833">
        <v>0</v>
      </c>
      <c r="AD2833">
        <v>10</v>
      </c>
      <c r="AE2833">
        <v>0</v>
      </c>
      <c r="AF2833">
        <v>3</v>
      </c>
      <c r="AG2833">
        <v>2</v>
      </c>
      <c r="AH2833">
        <v>0</v>
      </c>
      <c r="AI2833" t="s">
        <v>1665</v>
      </c>
      <c r="AJ2833">
        <v>40.027312999999999</v>
      </c>
      <c r="AK2833" t="s">
        <v>1666</v>
      </c>
      <c r="AL2833">
        <v>-92.808530000000005</v>
      </c>
      <c r="AM2833">
        <v>100</v>
      </c>
      <c r="AN2833">
        <v>1500</v>
      </c>
      <c r="AO2833" t="s">
        <v>118</v>
      </c>
      <c r="AP2833">
        <v>-136</v>
      </c>
      <c r="AQ2833">
        <v>31</v>
      </c>
      <c r="AR2833">
        <v>-64</v>
      </c>
      <c r="AZ2833">
        <v>1200</v>
      </c>
      <c r="BA2833">
        <v>1</v>
      </c>
      <c r="BB2833" t="str">
        <f t="shared" si="136"/>
        <v xml:space="preserve">N8080G  </v>
      </c>
      <c r="BC2833">
        <v>1</v>
      </c>
      <c r="BE2833">
        <v>0</v>
      </c>
      <c r="BF2833">
        <v>0</v>
      </c>
      <c r="BG2833">
        <v>0</v>
      </c>
      <c r="BH2833">
        <v>1525</v>
      </c>
      <c r="BI2833">
        <v>1</v>
      </c>
      <c r="BJ2833">
        <v>1</v>
      </c>
      <c r="BK2833">
        <v>1</v>
      </c>
      <c r="BL2833">
        <v>0</v>
      </c>
      <c r="BO2833">
        <v>0</v>
      </c>
      <c r="BP2833">
        <v>0</v>
      </c>
      <c r="BW2833" t="str">
        <f>"20:29:38.746"</f>
        <v>20:29:38.746</v>
      </c>
      <c r="BZ2833">
        <v>0</v>
      </c>
      <c r="CA2833">
        <v>1792</v>
      </c>
      <c r="CB2833">
        <v>224</v>
      </c>
      <c r="CD2833">
        <v>1</v>
      </c>
      <c r="CE2833">
        <v>0</v>
      </c>
      <c r="CF2833">
        <v>0</v>
      </c>
      <c r="CG2833">
        <v>1</v>
      </c>
      <c r="CH2833">
        <v>0</v>
      </c>
      <c r="CI2833">
        <v>0</v>
      </c>
      <c r="CJ2833">
        <v>0</v>
      </c>
      <c r="CK2833">
        <v>2</v>
      </c>
      <c r="CL2833">
        <v>0</v>
      </c>
      <c r="CM2833">
        <v>2</v>
      </c>
      <c r="CN2833">
        <v>0</v>
      </c>
      <c r="CO2833">
        <v>2</v>
      </c>
      <c r="CP2833" t="s">
        <v>119</v>
      </c>
      <c r="CQ2833">
        <v>179</v>
      </c>
      <c r="CR2833">
        <v>1</v>
      </c>
      <c r="CW2833">
        <v>9095431</v>
      </c>
      <c r="CY2833">
        <v>1</v>
      </c>
      <c r="CZ2833">
        <v>0</v>
      </c>
      <c r="DA2833">
        <v>1</v>
      </c>
      <c r="DB2833">
        <v>0</v>
      </c>
      <c r="DC2833">
        <v>0</v>
      </c>
      <c r="DD2833">
        <v>0</v>
      </c>
      <c r="DE2833">
        <v>0</v>
      </c>
      <c r="DF2833">
        <v>0</v>
      </c>
      <c r="DG2833">
        <v>0</v>
      </c>
      <c r="DH2833">
        <v>0</v>
      </c>
      <c r="DI2833">
        <v>0</v>
      </c>
    </row>
    <row r="2834" spans="1:113" x14ac:dyDescent="0.3">
      <c r="A2834" t="str">
        <f>"02/08/2021 20:29:36.429"</f>
        <v>02/08/2021 20:29:36.429</v>
      </c>
      <c r="C2834" t="str">
        <f t="shared" si="135"/>
        <v>FFDFD7C0</v>
      </c>
      <c r="D2834" t="s">
        <v>124</v>
      </c>
      <c r="E2834">
        <v>12</v>
      </c>
      <c r="F2834">
        <v>1012</v>
      </c>
      <c r="G2834" t="s">
        <v>675</v>
      </c>
      <c r="J2834" t="s">
        <v>125</v>
      </c>
      <c r="K2834">
        <v>0</v>
      </c>
      <c r="L2834">
        <v>3</v>
      </c>
      <c r="M2834">
        <v>0</v>
      </c>
      <c r="N2834">
        <v>2</v>
      </c>
      <c r="O2834">
        <v>1</v>
      </c>
      <c r="P2834">
        <v>0</v>
      </c>
      <c r="Q2834">
        <v>0</v>
      </c>
      <c r="S2834" t="str">
        <f>"20:29:38.742"</f>
        <v>20:29:38.742</v>
      </c>
      <c r="T2834" t="str">
        <f>"20:29:38.242"</f>
        <v>20:29:38.242</v>
      </c>
      <c r="U2834" t="str">
        <f t="shared" si="137"/>
        <v>AB01F4</v>
      </c>
      <c r="V2834">
        <v>0</v>
      </c>
      <c r="W2834">
        <v>0</v>
      </c>
      <c r="X2834">
        <v>2</v>
      </c>
      <c r="Z2834">
        <v>0</v>
      </c>
      <c r="AA2834">
        <v>9</v>
      </c>
      <c r="AB2834">
        <v>3</v>
      </c>
      <c r="AC2834">
        <v>0</v>
      </c>
      <c r="AD2834">
        <v>10</v>
      </c>
      <c r="AE2834">
        <v>0</v>
      </c>
      <c r="AF2834">
        <v>3</v>
      </c>
      <c r="AG2834">
        <v>2</v>
      </c>
      <c r="AH2834">
        <v>0</v>
      </c>
      <c r="AI2834" t="s">
        <v>1665</v>
      </c>
      <c r="AJ2834">
        <v>40.027312999999999</v>
      </c>
      <c r="AK2834" t="s">
        <v>1666</v>
      </c>
      <c r="AL2834">
        <v>-92.808530000000005</v>
      </c>
      <c r="AM2834">
        <v>100</v>
      </c>
      <c r="AN2834">
        <v>1500</v>
      </c>
      <c r="AO2834" t="s">
        <v>118</v>
      </c>
      <c r="AP2834">
        <v>-136</v>
      </c>
      <c r="AQ2834">
        <v>31</v>
      </c>
      <c r="AR2834">
        <v>-64</v>
      </c>
      <c r="AZ2834">
        <v>1200</v>
      </c>
      <c r="BA2834">
        <v>1</v>
      </c>
      <c r="BB2834" t="str">
        <f t="shared" si="136"/>
        <v xml:space="preserve">N8080G  </v>
      </c>
      <c r="BC2834">
        <v>1</v>
      </c>
      <c r="BE2834">
        <v>0</v>
      </c>
      <c r="BF2834">
        <v>0</v>
      </c>
      <c r="BG2834">
        <v>0</v>
      </c>
      <c r="BH2834">
        <v>1525</v>
      </c>
      <c r="BI2834">
        <v>1</v>
      </c>
      <c r="BJ2834">
        <v>1</v>
      </c>
      <c r="BK2834">
        <v>1</v>
      </c>
      <c r="BL2834">
        <v>0</v>
      </c>
      <c r="BO2834">
        <v>0</v>
      </c>
      <c r="BP2834">
        <v>0</v>
      </c>
      <c r="BW2834" t="str">
        <f>"20:29:38.746"</f>
        <v>20:29:38.746</v>
      </c>
      <c r="BZ2834">
        <v>0</v>
      </c>
      <c r="CA2834">
        <v>1792</v>
      </c>
      <c r="CB2834">
        <v>224</v>
      </c>
      <c r="CD2834">
        <v>1</v>
      </c>
      <c r="CE2834">
        <v>0</v>
      </c>
      <c r="CF2834">
        <v>0</v>
      </c>
      <c r="CG2834">
        <v>1</v>
      </c>
      <c r="CH2834">
        <v>0</v>
      </c>
      <c r="CI2834">
        <v>0</v>
      </c>
      <c r="CJ2834">
        <v>0</v>
      </c>
      <c r="CK2834">
        <v>2</v>
      </c>
      <c r="CL2834">
        <v>0</v>
      </c>
      <c r="CM2834">
        <v>2</v>
      </c>
      <c r="CN2834">
        <v>0</v>
      </c>
      <c r="CO2834">
        <v>2</v>
      </c>
      <c r="CP2834" t="s">
        <v>119</v>
      </c>
      <c r="CQ2834">
        <v>179</v>
      </c>
      <c r="CR2834">
        <v>1</v>
      </c>
      <c r="CW2834">
        <v>9095431</v>
      </c>
      <c r="CY2834">
        <v>1</v>
      </c>
      <c r="CZ2834">
        <v>0</v>
      </c>
      <c r="DA2834">
        <v>1</v>
      </c>
      <c r="DB2834">
        <v>0</v>
      </c>
      <c r="DC2834">
        <v>0</v>
      </c>
      <c r="DD2834">
        <v>0</v>
      </c>
      <c r="DE2834">
        <v>0</v>
      </c>
      <c r="DF2834">
        <v>0</v>
      </c>
      <c r="DG2834">
        <v>0</v>
      </c>
      <c r="DH2834">
        <v>0</v>
      </c>
      <c r="DI2834">
        <v>0</v>
      </c>
    </row>
    <row r="2835" spans="1:113" x14ac:dyDescent="0.3">
      <c r="A2835" t="str">
        <f>"02/08/2021 20:29:37.386"</f>
        <v>02/08/2021 20:29:37.386</v>
      </c>
      <c r="C2835" t="str">
        <f t="shared" si="135"/>
        <v>FFDFD7C0</v>
      </c>
      <c r="D2835" t="s">
        <v>124</v>
      </c>
      <c r="E2835">
        <v>11</v>
      </c>
      <c r="F2835">
        <v>1011</v>
      </c>
      <c r="G2835" t="s">
        <v>590</v>
      </c>
      <c r="J2835" t="s">
        <v>125</v>
      </c>
      <c r="K2835">
        <v>0</v>
      </c>
      <c r="L2835">
        <v>3</v>
      </c>
      <c r="M2835">
        <v>0</v>
      </c>
      <c r="N2835">
        <v>2</v>
      </c>
      <c r="O2835">
        <v>1</v>
      </c>
      <c r="P2835">
        <v>0</v>
      </c>
      <c r="Q2835">
        <v>0</v>
      </c>
      <c r="S2835" t="str">
        <f>"20:29:39.719"</f>
        <v>20:29:39.719</v>
      </c>
      <c r="T2835" t="str">
        <f>"20:29:39.219"</f>
        <v>20:29:39.219</v>
      </c>
      <c r="U2835" t="str">
        <f t="shared" si="137"/>
        <v>AB01F4</v>
      </c>
      <c r="V2835">
        <v>0</v>
      </c>
      <c r="W2835">
        <v>0</v>
      </c>
      <c r="X2835">
        <v>2</v>
      </c>
      <c r="Z2835">
        <v>0</v>
      </c>
      <c r="AA2835">
        <v>9</v>
      </c>
      <c r="AB2835">
        <v>3</v>
      </c>
      <c r="AC2835">
        <v>0</v>
      </c>
      <c r="AD2835">
        <v>10</v>
      </c>
      <c r="AE2835">
        <v>0</v>
      </c>
      <c r="AF2835">
        <v>3</v>
      </c>
      <c r="AG2835">
        <v>2</v>
      </c>
      <c r="AH2835">
        <v>0</v>
      </c>
      <c r="AI2835" t="s">
        <v>1667</v>
      </c>
      <c r="AJ2835">
        <v>40.027420999999997</v>
      </c>
      <c r="AK2835" t="s">
        <v>1668</v>
      </c>
      <c r="AL2835">
        <v>-92.809259999999995</v>
      </c>
      <c r="AM2835">
        <v>100</v>
      </c>
      <c r="AN2835">
        <v>1500</v>
      </c>
      <c r="AO2835" t="s">
        <v>118</v>
      </c>
      <c r="AP2835">
        <v>-135</v>
      </c>
      <c r="AQ2835">
        <v>30</v>
      </c>
      <c r="AR2835">
        <v>-64</v>
      </c>
      <c r="AZ2835">
        <v>1200</v>
      </c>
      <c r="BA2835">
        <v>1</v>
      </c>
      <c r="BB2835" t="str">
        <f t="shared" si="136"/>
        <v xml:space="preserve">N8080G  </v>
      </c>
      <c r="BC2835">
        <v>1</v>
      </c>
      <c r="BE2835">
        <v>0</v>
      </c>
      <c r="BF2835">
        <v>0</v>
      </c>
      <c r="BG2835">
        <v>0</v>
      </c>
      <c r="BH2835">
        <v>1525</v>
      </c>
      <c r="BI2835">
        <v>1</v>
      </c>
      <c r="BJ2835">
        <v>1</v>
      </c>
      <c r="BK2835">
        <v>1</v>
      </c>
      <c r="BL2835">
        <v>0</v>
      </c>
      <c r="BO2835">
        <v>0</v>
      </c>
      <c r="BP2835">
        <v>0</v>
      </c>
      <c r="BW2835" t="str">
        <f>"20:29:39.721"</f>
        <v>20:29:39.721</v>
      </c>
      <c r="BZ2835">
        <v>0</v>
      </c>
      <c r="CA2835">
        <v>1792</v>
      </c>
      <c r="CB2835">
        <v>224</v>
      </c>
      <c r="CD2835">
        <v>1</v>
      </c>
      <c r="CE2835">
        <v>0</v>
      </c>
      <c r="CF2835">
        <v>0</v>
      </c>
      <c r="CG2835">
        <v>1</v>
      </c>
      <c r="CH2835">
        <v>0</v>
      </c>
      <c r="CI2835">
        <v>0</v>
      </c>
      <c r="CJ2835">
        <v>0</v>
      </c>
      <c r="CK2835">
        <v>2</v>
      </c>
      <c r="CL2835">
        <v>0</v>
      </c>
      <c r="CM2835">
        <v>2</v>
      </c>
      <c r="CN2835">
        <v>0</v>
      </c>
      <c r="CO2835">
        <v>7</v>
      </c>
      <c r="CP2835" t="s">
        <v>119</v>
      </c>
      <c r="CQ2835">
        <v>180</v>
      </c>
      <c r="CR2835">
        <v>3</v>
      </c>
      <c r="CW2835">
        <v>990252</v>
      </c>
      <c r="CY2835">
        <v>1</v>
      </c>
      <c r="CZ2835">
        <v>0</v>
      </c>
      <c r="DA2835">
        <v>0</v>
      </c>
      <c r="DB2835">
        <v>0</v>
      </c>
      <c r="DC2835">
        <v>0</v>
      </c>
      <c r="DD2835">
        <v>0</v>
      </c>
      <c r="DE2835">
        <v>0</v>
      </c>
      <c r="DF2835">
        <v>0</v>
      </c>
      <c r="DG2835">
        <v>0</v>
      </c>
      <c r="DH2835">
        <v>0</v>
      </c>
      <c r="DI2835">
        <v>0</v>
      </c>
    </row>
    <row r="2836" spans="1:113" x14ac:dyDescent="0.3">
      <c r="A2836" t="str">
        <f>"02/08/2021 20:29:37.386"</f>
        <v>02/08/2021 20:29:37.386</v>
      </c>
      <c r="C2836" t="str">
        <f t="shared" si="135"/>
        <v>FFDFD7C0</v>
      </c>
      <c r="D2836" t="s">
        <v>124</v>
      </c>
      <c r="E2836">
        <v>13</v>
      </c>
      <c r="F2836">
        <v>1013</v>
      </c>
      <c r="G2836" t="s">
        <v>114</v>
      </c>
      <c r="J2836" t="s">
        <v>125</v>
      </c>
      <c r="K2836">
        <v>0</v>
      </c>
      <c r="L2836">
        <v>3</v>
      </c>
      <c r="M2836">
        <v>0</v>
      </c>
      <c r="N2836">
        <v>2</v>
      </c>
      <c r="O2836">
        <v>1</v>
      </c>
      <c r="P2836">
        <v>0</v>
      </c>
      <c r="Q2836">
        <v>0</v>
      </c>
      <c r="S2836" t="str">
        <f>"20:29:39.719"</f>
        <v>20:29:39.719</v>
      </c>
      <c r="T2836" t="str">
        <f>"20:29:39.219"</f>
        <v>20:29:39.219</v>
      </c>
      <c r="U2836" t="str">
        <f t="shared" si="137"/>
        <v>AB01F4</v>
      </c>
      <c r="V2836">
        <v>0</v>
      </c>
      <c r="W2836">
        <v>0</v>
      </c>
      <c r="X2836">
        <v>2</v>
      </c>
      <c r="Z2836">
        <v>0</v>
      </c>
      <c r="AA2836">
        <v>9</v>
      </c>
      <c r="AB2836">
        <v>3</v>
      </c>
      <c r="AC2836">
        <v>0</v>
      </c>
      <c r="AD2836">
        <v>10</v>
      </c>
      <c r="AE2836">
        <v>0</v>
      </c>
      <c r="AF2836">
        <v>3</v>
      </c>
      <c r="AG2836">
        <v>2</v>
      </c>
      <c r="AH2836">
        <v>0</v>
      </c>
      <c r="AI2836" t="s">
        <v>1667</v>
      </c>
      <c r="AJ2836">
        <v>40.027420999999997</v>
      </c>
      <c r="AK2836" t="s">
        <v>1668</v>
      </c>
      <c r="AL2836">
        <v>-92.809259999999995</v>
      </c>
      <c r="AM2836">
        <v>100</v>
      </c>
      <c r="AN2836">
        <v>1500</v>
      </c>
      <c r="AO2836" t="s">
        <v>118</v>
      </c>
      <c r="AP2836">
        <v>-135</v>
      </c>
      <c r="AQ2836">
        <v>30</v>
      </c>
      <c r="AR2836">
        <v>-64</v>
      </c>
      <c r="AZ2836">
        <v>1200</v>
      </c>
      <c r="BA2836">
        <v>1</v>
      </c>
      <c r="BB2836" t="str">
        <f t="shared" si="136"/>
        <v xml:space="preserve">N8080G  </v>
      </c>
      <c r="BC2836">
        <v>1</v>
      </c>
      <c r="BE2836">
        <v>0</v>
      </c>
      <c r="BF2836">
        <v>0</v>
      </c>
      <c r="BG2836">
        <v>0</v>
      </c>
      <c r="BH2836">
        <v>1525</v>
      </c>
      <c r="BI2836">
        <v>1</v>
      </c>
      <c r="BJ2836">
        <v>1</v>
      </c>
      <c r="BK2836">
        <v>1</v>
      </c>
      <c r="BL2836">
        <v>0</v>
      </c>
      <c r="BO2836">
        <v>0</v>
      </c>
      <c r="BP2836">
        <v>0</v>
      </c>
      <c r="BW2836" t="str">
        <f>"20:29:39.721"</f>
        <v>20:29:39.721</v>
      </c>
      <c r="BZ2836">
        <v>0</v>
      </c>
      <c r="CA2836">
        <v>1792</v>
      </c>
      <c r="CB2836">
        <v>224</v>
      </c>
      <c r="CD2836">
        <v>1</v>
      </c>
      <c r="CE2836">
        <v>0</v>
      </c>
      <c r="CF2836">
        <v>0</v>
      </c>
      <c r="CG2836">
        <v>1</v>
      </c>
      <c r="CH2836">
        <v>0</v>
      </c>
      <c r="CI2836">
        <v>0</v>
      </c>
      <c r="CJ2836">
        <v>0</v>
      </c>
      <c r="CK2836">
        <v>2</v>
      </c>
      <c r="CL2836">
        <v>0</v>
      </c>
      <c r="CM2836">
        <v>2</v>
      </c>
      <c r="CN2836">
        <v>0</v>
      </c>
      <c r="CO2836">
        <v>7</v>
      </c>
      <c r="CP2836" t="s">
        <v>119</v>
      </c>
      <c r="CQ2836">
        <v>180</v>
      </c>
      <c r="CR2836">
        <v>3</v>
      </c>
      <c r="CW2836">
        <v>990252</v>
      </c>
      <c r="CY2836">
        <v>1</v>
      </c>
      <c r="CZ2836">
        <v>0</v>
      </c>
      <c r="DA2836">
        <v>1</v>
      </c>
      <c r="DB2836">
        <v>0</v>
      </c>
      <c r="DC2836">
        <v>0</v>
      </c>
      <c r="DD2836">
        <v>0</v>
      </c>
      <c r="DE2836">
        <v>0</v>
      </c>
      <c r="DF2836">
        <v>0</v>
      </c>
      <c r="DG2836">
        <v>0</v>
      </c>
      <c r="DH2836">
        <v>0</v>
      </c>
      <c r="DI2836">
        <v>0</v>
      </c>
    </row>
    <row r="2837" spans="1:113" x14ac:dyDescent="0.3">
      <c r="A2837" t="str">
        <f>"02/08/2021 20:29:37.386"</f>
        <v>02/08/2021 20:29:37.386</v>
      </c>
      <c r="C2837" t="str">
        <f t="shared" si="135"/>
        <v>FFDFD7C0</v>
      </c>
      <c r="D2837" t="s">
        <v>113</v>
      </c>
      <c r="E2837">
        <v>6</v>
      </c>
      <c r="H2837">
        <v>165</v>
      </c>
      <c r="I2837" t="s">
        <v>114</v>
      </c>
      <c r="J2837" t="s">
        <v>115</v>
      </c>
      <c r="K2837">
        <v>0</v>
      </c>
      <c r="L2837">
        <v>3</v>
      </c>
      <c r="M2837">
        <v>0</v>
      </c>
      <c r="N2837">
        <v>2</v>
      </c>
      <c r="O2837">
        <v>1</v>
      </c>
      <c r="P2837">
        <v>0</v>
      </c>
      <c r="Q2837">
        <v>0</v>
      </c>
      <c r="S2837" t="str">
        <f>"20:29:39.719"</f>
        <v>20:29:39.719</v>
      </c>
      <c r="T2837" t="str">
        <f>"20:29:39.219"</f>
        <v>20:29:39.219</v>
      </c>
      <c r="U2837" t="str">
        <f t="shared" si="137"/>
        <v>AB01F4</v>
      </c>
      <c r="V2837">
        <v>0</v>
      </c>
      <c r="W2837">
        <v>0</v>
      </c>
      <c r="X2837">
        <v>2</v>
      </c>
      <c r="Z2837">
        <v>0</v>
      </c>
      <c r="AA2837">
        <v>9</v>
      </c>
      <c r="AB2837">
        <v>3</v>
      </c>
      <c r="AC2837">
        <v>0</v>
      </c>
      <c r="AD2837">
        <v>10</v>
      </c>
      <c r="AE2837">
        <v>0</v>
      </c>
      <c r="AF2837">
        <v>3</v>
      </c>
      <c r="AG2837">
        <v>2</v>
      </c>
      <c r="AH2837">
        <v>0</v>
      </c>
      <c r="AI2837" t="s">
        <v>1667</v>
      </c>
      <c r="AJ2837">
        <v>40.027420999999997</v>
      </c>
      <c r="AK2837" t="s">
        <v>1668</v>
      </c>
      <c r="AL2837">
        <v>-92.809259999999995</v>
      </c>
      <c r="AM2837">
        <v>100</v>
      </c>
      <c r="AN2837">
        <v>1500</v>
      </c>
      <c r="AO2837" t="s">
        <v>118</v>
      </c>
      <c r="AP2837">
        <v>-135</v>
      </c>
      <c r="AQ2837">
        <v>30</v>
      </c>
      <c r="AR2837">
        <v>-64</v>
      </c>
      <c r="AZ2837">
        <v>1200</v>
      </c>
      <c r="BA2837">
        <v>1</v>
      </c>
      <c r="BB2837" t="str">
        <f t="shared" si="136"/>
        <v xml:space="preserve">N8080G  </v>
      </c>
      <c r="BC2837">
        <v>1</v>
      </c>
      <c r="BE2837">
        <v>0</v>
      </c>
      <c r="BF2837">
        <v>0</v>
      </c>
      <c r="BG2837">
        <v>0</v>
      </c>
      <c r="BH2837">
        <v>1525</v>
      </c>
      <c r="BI2837">
        <v>1</v>
      </c>
      <c r="BJ2837">
        <v>1</v>
      </c>
      <c r="BK2837">
        <v>1</v>
      </c>
      <c r="BL2837">
        <v>0</v>
      </c>
      <c r="BO2837">
        <v>0</v>
      </c>
      <c r="BP2837">
        <v>0</v>
      </c>
      <c r="BW2837" t="str">
        <f>"20:29:39.721"</f>
        <v>20:29:39.721</v>
      </c>
      <c r="BZ2837">
        <v>0</v>
      </c>
      <c r="CA2837">
        <v>1792</v>
      </c>
      <c r="CB2837">
        <v>224</v>
      </c>
      <c r="CD2837">
        <v>1</v>
      </c>
      <c r="CE2837">
        <v>0</v>
      </c>
      <c r="CF2837">
        <v>0</v>
      </c>
      <c r="CG2837">
        <v>1</v>
      </c>
      <c r="CH2837">
        <v>0</v>
      </c>
      <c r="CI2837">
        <v>0</v>
      </c>
      <c r="CJ2837">
        <v>0</v>
      </c>
      <c r="CK2837">
        <v>2</v>
      </c>
      <c r="CL2837">
        <v>0</v>
      </c>
      <c r="CM2837">
        <v>2</v>
      </c>
      <c r="CN2837">
        <v>0</v>
      </c>
      <c r="CO2837">
        <v>7</v>
      </c>
      <c r="CP2837" t="s">
        <v>119</v>
      </c>
      <c r="CQ2837">
        <v>180</v>
      </c>
      <c r="CR2837">
        <v>3</v>
      </c>
      <c r="CW2837">
        <v>990252</v>
      </c>
      <c r="CY2837">
        <v>1</v>
      </c>
      <c r="CZ2837">
        <v>0</v>
      </c>
      <c r="DA2837">
        <v>1</v>
      </c>
      <c r="DB2837">
        <v>0</v>
      </c>
      <c r="DC2837">
        <v>0</v>
      </c>
      <c r="DD2837">
        <v>0</v>
      </c>
      <c r="DE2837">
        <v>0</v>
      </c>
      <c r="DF2837">
        <v>0</v>
      </c>
      <c r="DG2837">
        <v>0</v>
      </c>
      <c r="DH2837">
        <v>0</v>
      </c>
      <c r="DI2837">
        <v>0</v>
      </c>
    </row>
    <row r="2838" spans="1:113" x14ac:dyDescent="0.3">
      <c r="A2838" t="str">
        <f>"02/08/2021 20:29:37.386"</f>
        <v>02/08/2021 20:29:37.386</v>
      </c>
      <c r="C2838" t="str">
        <f t="shared" si="135"/>
        <v>FFDFD7C0</v>
      </c>
      <c r="D2838" t="s">
        <v>124</v>
      </c>
      <c r="E2838">
        <v>12</v>
      </c>
      <c r="F2838">
        <v>1012</v>
      </c>
      <c r="G2838" t="s">
        <v>675</v>
      </c>
      <c r="J2838" t="s">
        <v>125</v>
      </c>
      <c r="K2838">
        <v>0</v>
      </c>
      <c r="L2838">
        <v>3</v>
      </c>
      <c r="M2838">
        <v>0</v>
      </c>
      <c r="N2838">
        <v>2</v>
      </c>
      <c r="O2838">
        <v>1</v>
      </c>
      <c r="P2838">
        <v>0</v>
      </c>
      <c r="Q2838">
        <v>0</v>
      </c>
      <c r="S2838" t="str">
        <f>"20:29:39.719"</f>
        <v>20:29:39.719</v>
      </c>
      <c r="T2838" t="str">
        <f>"20:29:39.219"</f>
        <v>20:29:39.219</v>
      </c>
      <c r="U2838" t="str">
        <f t="shared" si="137"/>
        <v>AB01F4</v>
      </c>
      <c r="V2838">
        <v>0</v>
      </c>
      <c r="W2838">
        <v>0</v>
      </c>
      <c r="X2838">
        <v>2</v>
      </c>
      <c r="Z2838">
        <v>0</v>
      </c>
      <c r="AA2838">
        <v>9</v>
      </c>
      <c r="AB2838">
        <v>3</v>
      </c>
      <c r="AC2838">
        <v>0</v>
      </c>
      <c r="AD2838">
        <v>10</v>
      </c>
      <c r="AE2838">
        <v>0</v>
      </c>
      <c r="AF2838">
        <v>3</v>
      </c>
      <c r="AG2838">
        <v>2</v>
      </c>
      <c r="AH2838">
        <v>0</v>
      </c>
      <c r="AI2838" t="s">
        <v>1667</v>
      </c>
      <c r="AJ2838">
        <v>40.027420999999997</v>
      </c>
      <c r="AK2838" t="s">
        <v>1668</v>
      </c>
      <c r="AL2838">
        <v>-92.809259999999995</v>
      </c>
      <c r="AM2838">
        <v>100</v>
      </c>
      <c r="AN2838">
        <v>1500</v>
      </c>
      <c r="AO2838" t="s">
        <v>118</v>
      </c>
      <c r="AP2838">
        <v>-135</v>
      </c>
      <c r="AQ2838">
        <v>30</v>
      </c>
      <c r="AR2838">
        <v>-64</v>
      </c>
      <c r="AZ2838">
        <v>1200</v>
      </c>
      <c r="BA2838">
        <v>1</v>
      </c>
      <c r="BB2838" t="str">
        <f t="shared" si="136"/>
        <v xml:space="preserve">N8080G  </v>
      </c>
      <c r="BC2838">
        <v>1</v>
      </c>
      <c r="BE2838">
        <v>0</v>
      </c>
      <c r="BF2838">
        <v>0</v>
      </c>
      <c r="BG2838">
        <v>0</v>
      </c>
      <c r="BH2838">
        <v>1525</v>
      </c>
      <c r="BI2838">
        <v>1</v>
      </c>
      <c r="BJ2838">
        <v>1</v>
      </c>
      <c r="BK2838">
        <v>1</v>
      </c>
      <c r="BL2838">
        <v>0</v>
      </c>
      <c r="BO2838">
        <v>0</v>
      </c>
      <c r="BP2838">
        <v>0</v>
      </c>
      <c r="BW2838" t="str">
        <f>"20:29:39.721"</f>
        <v>20:29:39.721</v>
      </c>
      <c r="BZ2838">
        <v>0</v>
      </c>
      <c r="CA2838">
        <v>1792</v>
      </c>
      <c r="CB2838">
        <v>224</v>
      </c>
      <c r="CD2838">
        <v>1</v>
      </c>
      <c r="CE2838">
        <v>0</v>
      </c>
      <c r="CF2838">
        <v>0</v>
      </c>
      <c r="CG2838">
        <v>1</v>
      </c>
      <c r="CH2838">
        <v>0</v>
      </c>
      <c r="CI2838">
        <v>0</v>
      </c>
      <c r="CJ2838">
        <v>0</v>
      </c>
      <c r="CK2838">
        <v>2</v>
      </c>
      <c r="CL2838">
        <v>0</v>
      </c>
      <c r="CM2838">
        <v>2</v>
      </c>
      <c r="CN2838">
        <v>0</v>
      </c>
      <c r="CO2838">
        <v>7</v>
      </c>
      <c r="CP2838" t="s">
        <v>119</v>
      </c>
      <c r="CQ2838">
        <v>180</v>
      </c>
      <c r="CR2838">
        <v>3</v>
      </c>
      <c r="CW2838">
        <v>990252</v>
      </c>
      <c r="CY2838">
        <v>1</v>
      </c>
      <c r="CZ2838">
        <v>0</v>
      </c>
      <c r="DA2838">
        <v>1</v>
      </c>
      <c r="DB2838">
        <v>0</v>
      </c>
      <c r="DC2838">
        <v>0</v>
      </c>
      <c r="DD2838">
        <v>0</v>
      </c>
      <c r="DE2838">
        <v>0</v>
      </c>
      <c r="DF2838">
        <v>0</v>
      </c>
      <c r="DG2838">
        <v>0</v>
      </c>
      <c r="DH2838">
        <v>0</v>
      </c>
      <c r="DI2838">
        <v>0</v>
      </c>
    </row>
    <row r="2839" spans="1:113" x14ac:dyDescent="0.3">
      <c r="A2839" t="str">
        <f>"02/08/2021 20:29:38.371"</f>
        <v>02/08/2021 20:29:38.371</v>
      </c>
      <c r="C2839" t="str">
        <f t="shared" si="135"/>
        <v>FFDFD7C0</v>
      </c>
      <c r="D2839" t="s">
        <v>113</v>
      </c>
      <c r="E2839">
        <v>6</v>
      </c>
      <c r="H2839">
        <v>165</v>
      </c>
      <c r="I2839" t="s">
        <v>114</v>
      </c>
      <c r="J2839" t="s">
        <v>115</v>
      </c>
      <c r="K2839">
        <v>0</v>
      </c>
      <c r="L2839">
        <v>3</v>
      </c>
      <c r="M2839">
        <v>0</v>
      </c>
      <c r="N2839">
        <v>2</v>
      </c>
      <c r="O2839">
        <v>1</v>
      </c>
      <c r="P2839">
        <v>0</v>
      </c>
      <c r="Q2839">
        <v>0</v>
      </c>
      <c r="S2839" t="str">
        <f>"20:29:40.727"</f>
        <v>20:29:40.727</v>
      </c>
      <c r="T2839" t="str">
        <f>"20:29:40.327"</f>
        <v>20:29:40.327</v>
      </c>
      <c r="U2839" t="str">
        <f t="shared" si="137"/>
        <v>AB01F4</v>
      </c>
      <c r="V2839">
        <v>0</v>
      </c>
      <c r="W2839">
        <v>0</v>
      </c>
      <c r="X2839">
        <v>2</v>
      </c>
      <c r="Z2839">
        <v>0</v>
      </c>
      <c r="AA2839">
        <v>9</v>
      </c>
      <c r="AB2839">
        <v>3</v>
      </c>
      <c r="AC2839">
        <v>0</v>
      </c>
      <c r="AD2839">
        <v>10</v>
      </c>
      <c r="AE2839">
        <v>0</v>
      </c>
      <c r="AF2839">
        <v>3</v>
      </c>
      <c r="AG2839">
        <v>2</v>
      </c>
      <c r="AH2839">
        <v>0</v>
      </c>
      <c r="AI2839" t="s">
        <v>1669</v>
      </c>
      <c r="AJ2839">
        <v>40.027591999999999</v>
      </c>
      <c r="AK2839" t="s">
        <v>1670</v>
      </c>
      <c r="AL2839">
        <v>-92.810118000000003</v>
      </c>
      <c r="AM2839">
        <v>100</v>
      </c>
      <c r="AN2839">
        <v>1500</v>
      </c>
      <c r="AO2839" t="s">
        <v>118</v>
      </c>
      <c r="AP2839">
        <v>-135</v>
      </c>
      <c r="AQ2839">
        <v>30</v>
      </c>
      <c r="AR2839">
        <v>-128</v>
      </c>
      <c r="AZ2839">
        <v>1200</v>
      </c>
      <c r="BA2839">
        <v>1</v>
      </c>
      <c r="BB2839" t="str">
        <f t="shared" si="136"/>
        <v xml:space="preserve">N8080G  </v>
      </c>
      <c r="BC2839">
        <v>1</v>
      </c>
      <c r="BE2839">
        <v>0</v>
      </c>
      <c r="BF2839">
        <v>0</v>
      </c>
      <c r="BG2839">
        <v>0</v>
      </c>
      <c r="BH2839">
        <v>1525</v>
      </c>
      <c r="BI2839">
        <v>1</v>
      </c>
      <c r="BJ2839">
        <v>1</v>
      </c>
      <c r="BK2839">
        <v>1</v>
      </c>
      <c r="BL2839">
        <v>0</v>
      </c>
      <c r="BO2839">
        <v>0</v>
      </c>
      <c r="BP2839">
        <v>0</v>
      </c>
      <c r="BW2839" t="str">
        <f>"20:29:40.729"</f>
        <v>20:29:40.729</v>
      </c>
      <c r="BZ2839">
        <v>0</v>
      </c>
      <c r="CA2839">
        <v>1792</v>
      </c>
      <c r="CB2839">
        <v>224</v>
      </c>
      <c r="CD2839">
        <v>1</v>
      </c>
      <c r="CE2839">
        <v>0</v>
      </c>
      <c r="CF2839">
        <v>0</v>
      </c>
      <c r="CG2839">
        <v>1</v>
      </c>
      <c r="CH2839">
        <v>0</v>
      </c>
      <c r="CI2839">
        <v>0</v>
      </c>
      <c r="CJ2839">
        <v>0</v>
      </c>
      <c r="CK2839">
        <v>2</v>
      </c>
      <c r="CL2839">
        <v>0</v>
      </c>
      <c r="CM2839">
        <v>2</v>
      </c>
      <c r="CN2839">
        <v>0</v>
      </c>
      <c r="CO2839">
        <v>2</v>
      </c>
      <c r="CP2839" t="s">
        <v>119</v>
      </c>
      <c r="CQ2839">
        <v>179</v>
      </c>
      <c r="CR2839">
        <v>1</v>
      </c>
      <c r="CW2839">
        <v>9097091</v>
      </c>
      <c r="CY2839">
        <v>1</v>
      </c>
      <c r="CZ2839">
        <v>0</v>
      </c>
      <c r="DA2839">
        <v>0</v>
      </c>
      <c r="DB2839">
        <v>0</v>
      </c>
      <c r="DC2839">
        <v>0</v>
      </c>
      <c r="DD2839">
        <v>0</v>
      </c>
      <c r="DE2839">
        <v>0</v>
      </c>
      <c r="DF2839">
        <v>0</v>
      </c>
      <c r="DG2839">
        <v>0</v>
      </c>
      <c r="DH2839">
        <v>0</v>
      </c>
      <c r="DI2839">
        <v>0</v>
      </c>
    </row>
    <row r="2840" spans="1:113" x14ac:dyDescent="0.3">
      <c r="A2840" t="str">
        <f>"02/08/2021 20:29:38.371"</f>
        <v>02/08/2021 20:29:38.371</v>
      </c>
      <c r="C2840" t="str">
        <f t="shared" si="135"/>
        <v>FFDFD7C0</v>
      </c>
      <c r="D2840" t="s">
        <v>124</v>
      </c>
      <c r="E2840">
        <v>12</v>
      </c>
      <c r="F2840">
        <v>1012</v>
      </c>
      <c r="G2840" t="s">
        <v>675</v>
      </c>
      <c r="J2840" t="s">
        <v>125</v>
      </c>
      <c r="K2840">
        <v>0</v>
      </c>
      <c r="L2840">
        <v>3</v>
      </c>
      <c r="M2840">
        <v>0</v>
      </c>
      <c r="N2840">
        <v>2</v>
      </c>
      <c r="O2840">
        <v>1</v>
      </c>
      <c r="P2840">
        <v>0</v>
      </c>
      <c r="Q2840">
        <v>0</v>
      </c>
      <c r="S2840" t="str">
        <f>"20:29:40.727"</f>
        <v>20:29:40.727</v>
      </c>
      <c r="T2840" t="str">
        <f>"20:29:40.327"</f>
        <v>20:29:40.327</v>
      </c>
      <c r="U2840" t="str">
        <f t="shared" si="137"/>
        <v>AB01F4</v>
      </c>
      <c r="V2840">
        <v>0</v>
      </c>
      <c r="W2840">
        <v>0</v>
      </c>
      <c r="X2840">
        <v>2</v>
      </c>
      <c r="Z2840">
        <v>0</v>
      </c>
      <c r="AA2840">
        <v>9</v>
      </c>
      <c r="AB2840">
        <v>3</v>
      </c>
      <c r="AC2840">
        <v>0</v>
      </c>
      <c r="AD2840">
        <v>10</v>
      </c>
      <c r="AE2840">
        <v>0</v>
      </c>
      <c r="AF2840">
        <v>3</v>
      </c>
      <c r="AG2840">
        <v>2</v>
      </c>
      <c r="AH2840">
        <v>0</v>
      </c>
      <c r="AI2840" t="s">
        <v>1669</v>
      </c>
      <c r="AJ2840">
        <v>40.027591999999999</v>
      </c>
      <c r="AK2840" t="s">
        <v>1670</v>
      </c>
      <c r="AL2840">
        <v>-92.810118000000003</v>
      </c>
      <c r="AM2840">
        <v>100</v>
      </c>
      <c r="AN2840">
        <v>1500</v>
      </c>
      <c r="AO2840" t="s">
        <v>118</v>
      </c>
      <c r="AP2840">
        <v>-135</v>
      </c>
      <c r="AQ2840">
        <v>30</v>
      </c>
      <c r="AR2840">
        <v>-128</v>
      </c>
      <c r="AZ2840">
        <v>1200</v>
      </c>
      <c r="BA2840">
        <v>1</v>
      </c>
      <c r="BB2840" t="str">
        <f t="shared" si="136"/>
        <v xml:space="preserve">N8080G  </v>
      </c>
      <c r="BC2840">
        <v>1</v>
      </c>
      <c r="BE2840">
        <v>0</v>
      </c>
      <c r="BF2840">
        <v>0</v>
      </c>
      <c r="BG2840">
        <v>0</v>
      </c>
      <c r="BH2840">
        <v>1525</v>
      </c>
      <c r="BI2840">
        <v>1</v>
      </c>
      <c r="BJ2840">
        <v>1</v>
      </c>
      <c r="BK2840">
        <v>1</v>
      </c>
      <c r="BL2840">
        <v>0</v>
      </c>
      <c r="BO2840">
        <v>0</v>
      </c>
      <c r="BP2840">
        <v>0</v>
      </c>
      <c r="BW2840" t="str">
        <f>"20:29:40.729"</f>
        <v>20:29:40.729</v>
      </c>
      <c r="BZ2840">
        <v>0</v>
      </c>
      <c r="CA2840">
        <v>1792</v>
      </c>
      <c r="CB2840">
        <v>224</v>
      </c>
      <c r="CD2840">
        <v>1</v>
      </c>
      <c r="CE2840">
        <v>0</v>
      </c>
      <c r="CF2840">
        <v>0</v>
      </c>
      <c r="CG2840">
        <v>1</v>
      </c>
      <c r="CH2840">
        <v>0</v>
      </c>
      <c r="CI2840">
        <v>0</v>
      </c>
      <c r="CJ2840">
        <v>0</v>
      </c>
      <c r="CK2840">
        <v>2</v>
      </c>
      <c r="CL2840">
        <v>0</v>
      </c>
      <c r="CM2840">
        <v>2</v>
      </c>
      <c r="CN2840">
        <v>0</v>
      </c>
      <c r="CO2840">
        <v>2</v>
      </c>
      <c r="CP2840" t="s">
        <v>119</v>
      </c>
      <c r="CQ2840">
        <v>179</v>
      </c>
      <c r="CR2840">
        <v>1</v>
      </c>
      <c r="CW2840">
        <v>9097091</v>
      </c>
      <c r="CY2840">
        <v>1</v>
      </c>
      <c r="CZ2840">
        <v>0</v>
      </c>
      <c r="DA2840">
        <v>1</v>
      </c>
      <c r="DB2840">
        <v>0</v>
      </c>
      <c r="DC2840">
        <v>0</v>
      </c>
      <c r="DD2840">
        <v>0</v>
      </c>
      <c r="DE2840">
        <v>0</v>
      </c>
      <c r="DF2840">
        <v>0</v>
      </c>
      <c r="DG2840">
        <v>0</v>
      </c>
      <c r="DH2840">
        <v>0</v>
      </c>
      <c r="DI2840">
        <v>0</v>
      </c>
    </row>
    <row r="2841" spans="1:113" x14ac:dyDescent="0.3">
      <c r="A2841" t="str">
        <f>"02/08/2021 20:29:38.371"</f>
        <v>02/08/2021 20:29:38.371</v>
      </c>
      <c r="C2841" t="str">
        <f t="shared" si="135"/>
        <v>FFDFD7C0</v>
      </c>
      <c r="D2841" t="s">
        <v>124</v>
      </c>
      <c r="E2841">
        <v>11</v>
      </c>
      <c r="F2841">
        <v>1011</v>
      </c>
      <c r="G2841" t="s">
        <v>590</v>
      </c>
      <c r="J2841" t="s">
        <v>125</v>
      </c>
      <c r="K2841">
        <v>0</v>
      </c>
      <c r="L2841">
        <v>3</v>
      </c>
      <c r="M2841">
        <v>0</v>
      </c>
      <c r="N2841">
        <v>2</v>
      </c>
      <c r="O2841">
        <v>1</v>
      </c>
      <c r="P2841">
        <v>0</v>
      </c>
      <c r="Q2841">
        <v>0</v>
      </c>
      <c r="S2841" t="str">
        <f>"20:29:40.727"</f>
        <v>20:29:40.727</v>
      </c>
      <c r="T2841" t="str">
        <f>"20:29:40.327"</f>
        <v>20:29:40.327</v>
      </c>
      <c r="U2841" t="str">
        <f t="shared" si="137"/>
        <v>AB01F4</v>
      </c>
      <c r="V2841">
        <v>0</v>
      </c>
      <c r="W2841">
        <v>0</v>
      </c>
      <c r="X2841">
        <v>2</v>
      </c>
      <c r="Z2841">
        <v>0</v>
      </c>
      <c r="AA2841">
        <v>9</v>
      </c>
      <c r="AB2841">
        <v>3</v>
      </c>
      <c r="AC2841">
        <v>0</v>
      </c>
      <c r="AD2841">
        <v>10</v>
      </c>
      <c r="AE2841">
        <v>0</v>
      </c>
      <c r="AF2841">
        <v>3</v>
      </c>
      <c r="AG2841">
        <v>2</v>
      </c>
      <c r="AH2841">
        <v>0</v>
      </c>
      <c r="AI2841" t="s">
        <v>1669</v>
      </c>
      <c r="AJ2841">
        <v>40.027591999999999</v>
      </c>
      <c r="AK2841" t="s">
        <v>1670</v>
      </c>
      <c r="AL2841">
        <v>-92.810118000000003</v>
      </c>
      <c r="AM2841">
        <v>100</v>
      </c>
      <c r="AN2841">
        <v>1500</v>
      </c>
      <c r="AO2841" t="s">
        <v>118</v>
      </c>
      <c r="AP2841">
        <v>-135</v>
      </c>
      <c r="AQ2841">
        <v>30</v>
      </c>
      <c r="AR2841">
        <v>-128</v>
      </c>
      <c r="AZ2841">
        <v>1200</v>
      </c>
      <c r="BA2841">
        <v>1</v>
      </c>
      <c r="BB2841" t="str">
        <f t="shared" si="136"/>
        <v xml:space="preserve">N8080G  </v>
      </c>
      <c r="BC2841">
        <v>1</v>
      </c>
      <c r="BE2841">
        <v>0</v>
      </c>
      <c r="BF2841">
        <v>0</v>
      </c>
      <c r="BG2841">
        <v>0</v>
      </c>
      <c r="BH2841">
        <v>1525</v>
      </c>
      <c r="BI2841">
        <v>1</v>
      </c>
      <c r="BJ2841">
        <v>1</v>
      </c>
      <c r="BK2841">
        <v>1</v>
      </c>
      <c r="BL2841">
        <v>0</v>
      </c>
      <c r="BO2841">
        <v>0</v>
      </c>
      <c r="BP2841">
        <v>0</v>
      </c>
      <c r="BW2841" t="str">
        <f>"20:29:40.729"</f>
        <v>20:29:40.729</v>
      </c>
      <c r="BZ2841">
        <v>0</v>
      </c>
      <c r="CA2841">
        <v>1792</v>
      </c>
      <c r="CB2841">
        <v>224</v>
      </c>
      <c r="CD2841">
        <v>1</v>
      </c>
      <c r="CE2841">
        <v>0</v>
      </c>
      <c r="CF2841">
        <v>0</v>
      </c>
      <c r="CG2841">
        <v>1</v>
      </c>
      <c r="CH2841">
        <v>0</v>
      </c>
      <c r="CI2841">
        <v>0</v>
      </c>
      <c r="CJ2841">
        <v>0</v>
      </c>
      <c r="CK2841">
        <v>2</v>
      </c>
      <c r="CL2841">
        <v>0</v>
      </c>
      <c r="CM2841">
        <v>2</v>
      </c>
      <c r="CN2841">
        <v>0</v>
      </c>
      <c r="CO2841">
        <v>2</v>
      </c>
      <c r="CP2841" t="s">
        <v>119</v>
      </c>
      <c r="CQ2841">
        <v>179</v>
      </c>
      <c r="CR2841">
        <v>1</v>
      </c>
      <c r="CW2841">
        <v>9097091</v>
      </c>
      <c r="CY2841">
        <v>1</v>
      </c>
      <c r="CZ2841">
        <v>0</v>
      </c>
      <c r="DA2841">
        <v>1</v>
      </c>
      <c r="DB2841">
        <v>0</v>
      </c>
      <c r="DC2841">
        <v>0</v>
      </c>
      <c r="DD2841">
        <v>0</v>
      </c>
      <c r="DE2841">
        <v>0</v>
      </c>
      <c r="DF2841">
        <v>0</v>
      </c>
      <c r="DG2841">
        <v>0</v>
      </c>
      <c r="DH2841">
        <v>0</v>
      </c>
      <c r="DI2841">
        <v>0</v>
      </c>
    </row>
    <row r="2842" spans="1:113" x14ac:dyDescent="0.3">
      <c r="A2842" t="str">
        <f>"02/08/2021 20:29:38.371"</f>
        <v>02/08/2021 20:29:38.371</v>
      </c>
      <c r="C2842" t="str">
        <f t="shared" si="135"/>
        <v>FFDFD7C0</v>
      </c>
      <c r="D2842" t="s">
        <v>124</v>
      </c>
      <c r="E2842">
        <v>13</v>
      </c>
      <c r="F2842">
        <v>1013</v>
      </c>
      <c r="G2842" t="s">
        <v>114</v>
      </c>
      <c r="J2842" t="s">
        <v>125</v>
      </c>
      <c r="K2842">
        <v>0</v>
      </c>
      <c r="L2842">
        <v>3</v>
      </c>
      <c r="M2842">
        <v>0</v>
      </c>
      <c r="N2842">
        <v>2</v>
      </c>
      <c r="O2842">
        <v>1</v>
      </c>
      <c r="P2842">
        <v>0</v>
      </c>
      <c r="Q2842">
        <v>0</v>
      </c>
      <c r="S2842" t="str">
        <f>"20:29:40.727"</f>
        <v>20:29:40.727</v>
      </c>
      <c r="T2842" t="str">
        <f>"20:29:40.327"</f>
        <v>20:29:40.327</v>
      </c>
      <c r="U2842" t="str">
        <f t="shared" si="137"/>
        <v>AB01F4</v>
      </c>
      <c r="V2842">
        <v>0</v>
      </c>
      <c r="W2842">
        <v>0</v>
      </c>
      <c r="X2842">
        <v>2</v>
      </c>
      <c r="Z2842">
        <v>0</v>
      </c>
      <c r="AA2842">
        <v>9</v>
      </c>
      <c r="AB2842">
        <v>3</v>
      </c>
      <c r="AC2842">
        <v>0</v>
      </c>
      <c r="AD2842">
        <v>10</v>
      </c>
      <c r="AE2842">
        <v>0</v>
      </c>
      <c r="AF2842">
        <v>3</v>
      </c>
      <c r="AG2842">
        <v>2</v>
      </c>
      <c r="AH2842">
        <v>0</v>
      </c>
      <c r="AI2842" t="s">
        <v>1669</v>
      </c>
      <c r="AJ2842">
        <v>40.027591999999999</v>
      </c>
      <c r="AK2842" t="s">
        <v>1670</v>
      </c>
      <c r="AL2842">
        <v>-92.810118000000003</v>
      </c>
      <c r="AM2842">
        <v>100</v>
      </c>
      <c r="AN2842">
        <v>1500</v>
      </c>
      <c r="AO2842" t="s">
        <v>118</v>
      </c>
      <c r="AP2842">
        <v>-135</v>
      </c>
      <c r="AQ2842">
        <v>30</v>
      </c>
      <c r="AR2842">
        <v>-128</v>
      </c>
      <c r="AZ2842">
        <v>1200</v>
      </c>
      <c r="BA2842">
        <v>1</v>
      </c>
      <c r="BB2842" t="str">
        <f t="shared" si="136"/>
        <v xml:space="preserve">N8080G  </v>
      </c>
      <c r="BC2842">
        <v>1</v>
      </c>
      <c r="BE2842">
        <v>0</v>
      </c>
      <c r="BF2842">
        <v>0</v>
      </c>
      <c r="BG2842">
        <v>0</v>
      </c>
      <c r="BH2842">
        <v>1525</v>
      </c>
      <c r="BI2842">
        <v>1</v>
      </c>
      <c r="BJ2842">
        <v>1</v>
      </c>
      <c r="BK2842">
        <v>1</v>
      </c>
      <c r="BL2842">
        <v>0</v>
      </c>
      <c r="BO2842">
        <v>0</v>
      </c>
      <c r="BP2842">
        <v>0</v>
      </c>
      <c r="BW2842" t="str">
        <f>"20:29:40.729"</f>
        <v>20:29:40.729</v>
      </c>
      <c r="BZ2842">
        <v>0</v>
      </c>
      <c r="CA2842">
        <v>1792</v>
      </c>
      <c r="CB2842">
        <v>224</v>
      </c>
      <c r="CD2842">
        <v>1</v>
      </c>
      <c r="CE2842">
        <v>0</v>
      </c>
      <c r="CF2842">
        <v>0</v>
      </c>
      <c r="CG2842">
        <v>1</v>
      </c>
      <c r="CH2842">
        <v>0</v>
      </c>
      <c r="CI2842">
        <v>0</v>
      </c>
      <c r="CJ2842">
        <v>0</v>
      </c>
      <c r="CK2842">
        <v>2</v>
      </c>
      <c r="CL2842">
        <v>0</v>
      </c>
      <c r="CM2842">
        <v>2</v>
      </c>
      <c r="CN2842">
        <v>0</v>
      </c>
      <c r="CO2842">
        <v>2</v>
      </c>
      <c r="CP2842" t="s">
        <v>119</v>
      </c>
      <c r="CQ2842">
        <v>179</v>
      </c>
      <c r="CR2842">
        <v>1</v>
      </c>
      <c r="CW2842">
        <v>9097091</v>
      </c>
      <c r="CY2842">
        <v>1</v>
      </c>
      <c r="CZ2842">
        <v>0</v>
      </c>
      <c r="DA2842">
        <v>1</v>
      </c>
      <c r="DB2842">
        <v>0</v>
      </c>
      <c r="DC2842">
        <v>0</v>
      </c>
      <c r="DD2842">
        <v>0</v>
      </c>
      <c r="DE2842">
        <v>0</v>
      </c>
      <c r="DF2842">
        <v>0</v>
      </c>
      <c r="DG2842">
        <v>0</v>
      </c>
      <c r="DH2842">
        <v>0</v>
      </c>
      <c r="DI2842">
        <v>0</v>
      </c>
    </row>
    <row r="2843" spans="1:113" x14ac:dyDescent="0.3">
      <c r="A2843" t="str">
        <f>"02/08/2021 20:29:39.334"</f>
        <v>02/08/2021 20:29:39.334</v>
      </c>
      <c r="C2843" t="str">
        <f t="shared" si="135"/>
        <v>FFDFD7C0</v>
      </c>
      <c r="D2843" t="s">
        <v>113</v>
      </c>
      <c r="E2843">
        <v>6</v>
      </c>
      <c r="H2843">
        <v>165</v>
      </c>
      <c r="I2843" t="s">
        <v>114</v>
      </c>
      <c r="J2843" t="s">
        <v>115</v>
      </c>
      <c r="K2843">
        <v>0</v>
      </c>
      <c r="L2843">
        <v>3</v>
      </c>
      <c r="M2843">
        <v>0</v>
      </c>
      <c r="N2843">
        <v>2</v>
      </c>
      <c r="O2843">
        <v>1</v>
      </c>
      <c r="P2843">
        <v>0</v>
      </c>
      <c r="Q2843">
        <v>0</v>
      </c>
      <c r="S2843" t="str">
        <f>"20:29:41.688"</f>
        <v>20:29:41.688</v>
      </c>
      <c r="T2843" t="str">
        <f>"20:29:41.188"</f>
        <v>20:29:41.188</v>
      </c>
      <c r="U2843" t="str">
        <f t="shared" si="137"/>
        <v>AB01F4</v>
      </c>
      <c r="V2843">
        <v>0</v>
      </c>
      <c r="W2843">
        <v>0</v>
      </c>
      <c r="X2843">
        <v>2</v>
      </c>
      <c r="Z2843">
        <v>0</v>
      </c>
      <c r="AA2843">
        <v>9</v>
      </c>
      <c r="AB2843">
        <v>3</v>
      </c>
      <c r="AC2843">
        <v>0</v>
      </c>
      <c r="AD2843">
        <v>10</v>
      </c>
      <c r="AE2843">
        <v>0</v>
      </c>
      <c r="AF2843">
        <v>3</v>
      </c>
      <c r="AG2843">
        <v>2</v>
      </c>
      <c r="AH2843">
        <v>0</v>
      </c>
      <c r="AI2843" t="s">
        <v>1671</v>
      </c>
      <c r="AJ2843">
        <v>40.027698999999998</v>
      </c>
      <c r="AK2843" t="s">
        <v>1672</v>
      </c>
      <c r="AL2843">
        <v>-92.810868999999997</v>
      </c>
      <c r="AM2843">
        <v>100</v>
      </c>
      <c r="AN2843">
        <v>1500</v>
      </c>
      <c r="AO2843" t="s">
        <v>118</v>
      </c>
      <c r="AP2843">
        <v>-135</v>
      </c>
      <c r="AQ2843">
        <v>30</v>
      </c>
      <c r="AR2843">
        <v>-128</v>
      </c>
      <c r="AZ2843">
        <v>1200</v>
      </c>
      <c r="BA2843">
        <v>1</v>
      </c>
      <c r="BB2843" t="str">
        <f t="shared" si="136"/>
        <v xml:space="preserve">N8080G  </v>
      </c>
      <c r="BC2843">
        <v>1</v>
      </c>
      <c r="BE2843">
        <v>0</v>
      </c>
      <c r="BF2843">
        <v>0</v>
      </c>
      <c r="BG2843">
        <v>0</v>
      </c>
      <c r="BH2843">
        <v>1500</v>
      </c>
      <c r="BI2843">
        <v>1</v>
      </c>
      <c r="BJ2843">
        <v>1</v>
      </c>
      <c r="BK2843">
        <v>1</v>
      </c>
      <c r="BL2843">
        <v>0</v>
      </c>
      <c r="BO2843">
        <v>0</v>
      </c>
      <c r="BP2843">
        <v>0</v>
      </c>
      <c r="BW2843" t="str">
        <f>"20:29:41.690"</f>
        <v>20:29:41.690</v>
      </c>
      <c r="BZ2843">
        <v>0</v>
      </c>
      <c r="CA2843">
        <v>1792</v>
      </c>
      <c r="CB2843">
        <v>224</v>
      </c>
      <c r="CD2843">
        <v>1</v>
      </c>
      <c r="CE2843">
        <v>0</v>
      </c>
      <c r="CF2843">
        <v>0</v>
      </c>
      <c r="CG2843">
        <v>1</v>
      </c>
      <c r="CH2843">
        <v>0</v>
      </c>
      <c r="CI2843">
        <v>0</v>
      </c>
      <c r="CJ2843">
        <v>0</v>
      </c>
      <c r="CK2843">
        <v>2</v>
      </c>
      <c r="CL2843">
        <v>0</v>
      </c>
      <c r="CM2843">
        <v>2</v>
      </c>
      <c r="CN2843">
        <v>0</v>
      </c>
      <c r="CO2843">
        <v>7</v>
      </c>
      <c r="CP2843" t="s">
        <v>119</v>
      </c>
      <c r="CQ2843">
        <v>180</v>
      </c>
      <c r="CR2843">
        <v>2</v>
      </c>
      <c r="CW2843">
        <v>8639815</v>
      </c>
      <c r="CY2843">
        <v>1</v>
      </c>
      <c r="CZ2843">
        <v>0</v>
      </c>
      <c r="DA2843">
        <v>0</v>
      </c>
      <c r="DB2843">
        <v>0</v>
      </c>
      <c r="DC2843">
        <v>0</v>
      </c>
      <c r="DD2843">
        <v>0</v>
      </c>
      <c r="DE2843">
        <v>0</v>
      </c>
      <c r="DF2843">
        <v>0</v>
      </c>
      <c r="DG2843">
        <v>0</v>
      </c>
      <c r="DH2843">
        <v>0</v>
      </c>
      <c r="DI2843">
        <v>0</v>
      </c>
    </row>
    <row r="2844" spans="1:113" x14ac:dyDescent="0.3">
      <c r="A2844" t="str">
        <f>"02/08/2021 20:29:39.334"</f>
        <v>02/08/2021 20:29:39.334</v>
      </c>
      <c r="C2844" t="str">
        <f t="shared" si="135"/>
        <v>FFDFD7C0</v>
      </c>
      <c r="D2844" t="s">
        <v>124</v>
      </c>
      <c r="E2844">
        <v>12</v>
      </c>
      <c r="F2844">
        <v>1012</v>
      </c>
      <c r="G2844" t="s">
        <v>675</v>
      </c>
      <c r="J2844" t="s">
        <v>125</v>
      </c>
      <c r="K2844">
        <v>0</v>
      </c>
      <c r="L2844">
        <v>3</v>
      </c>
      <c r="M2844">
        <v>0</v>
      </c>
      <c r="N2844">
        <v>2</v>
      </c>
      <c r="O2844">
        <v>1</v>
      </c>
      <c r="P2844">
        <v>0</v>
      </c>
      <c r="Q2844">
        <v>0</v>
      </c>
      <c r="S2844" t="str">
        <f>"20:29:41.688"</f>
        <v>20:29:41.688</v>
      </c>
      <c r="T2844" t="str">
        <f>"20:29:41.188"</f>
        <v>20:29:41.188</v>
      </c>
      <c r="U2844" t="str">
        <f t="shared" si="137"/>
        <v>AB01F4</v>
      </c>
      <c r="V2844">
        <v>0</v>
      </c>
      <c r="W2844">
        <v>0</v>
      </c>
      <c r="X2844">
        <v>2</v>
      </c>
      <c r="Z2844">
        <v>0</v>
      </c>
      <c r="AA2844">
        <v>9</v>
      </c>
      <c r="AB2844">
        <v>3</v>
      </c>
      <c r="AC2844">
        <v>0</v>
      </c>
      <c r="AD2844">
        <v>10</v>
      </c>
      <c r="AE2844">
        <v>0</v>
      </c>
      <c r="AF2844">
        <v>3</v>
      </c>
      <c r="AG2844">
        <v>2</v>
      </c>
      <c r="AH2844">
        <v>0</v>
      </c>
      <c r="AI2844" t="s">
        <v>1671</v>
      </c>
      <c r="AJ2844">
        <v>40.027698999999998</v>
      </c>
      <c r="AK2844" t="s">
        <v>1672</v>
      </c>
      <c r="AL2844">
        <v>-92.810868999999997</v>
      </c>
      <c r="AM2844">
        <v>100</v>
      </c>
      <c r="AN2844">
        <v>1500</v>
      </c>
      <c r="AO2844" t="s">
        <v>118</v>
      </c>
      <c r="AP2844">
        <v>-135</v>
      </c>
      <c r="AQ2844">
        <v>30</v>
      </c>
      <c r="AR2844">
        <v>-128</v>
      </c>
      <c r="AZ2844">
        <v>1200</v>
      </c>
      <c r="BA2844">
        <v>1</v>
      </c>
      <c r="BB2844" t="str">
        <f t="shared" si="136"/>
        <v xml:space="preserve">N8080G  </v>
      </c>
      <c r="BC2844">
        <v>1</v>
      </c>
      <c r="BE2844">
        <v>0</v>
      </c>
      <c r="BF2844">
        <v>0</v>
      </c>
      <c r="BG2844">
        <v>0</v>
      </c>
      <c r="BH2844">
        <v>1500</v>
      </c>
      <c r="BI2844">
        <v>1</v>
      </c>
      <c r="BJ2844">
        <v>1</v>
      </c>
      <c r="BK2844">
        <v>1</v>
      </c>
      <c r="BL2844">
        <v>0</v>
      </c>
      <c r="BO2844">
        <v>0</v>
      </c>
      <c r="BP2844">
        <v>0</v>
      </c>
      <c r="BW2844" t="str">
        <f>"20:29:41.690"</f>
        <v>20:29:41.690</v>
      </c>
      <c r="BZ2844">
        <v>0</v>
      </c>
      <c r="CA2844">
        <v>1792</v>
      </c>
      <c r="CB2844">
        <v>224</v>
      </c>
      <c r="CD2844">
        <v>1</v>
      </c>
      <c r="CE2844">
        <v>0</v>
      </c>
      <c r="CF2844">
        <v>0</v>
      </c>
      <c r="CG2844">
        <v>1</v>
      </c>
      <c r="CH2844">
        <v>0</v>
      </c>
      <c r="CI2844">
        <v>0</v>
      </c>
      <c r="CJ2844">
        <v>0</v>
      </c>
      <c r="CK2844">
        <v>2</v>
      </c>
      <c r="CL2844">
        <v>0</v>
      </c>
      <c r="CM2844">
        <v>2</v>
      </c>
      <c r="CN2844">
        <v>0</v>
      </c>
      <c r="CO2844">
        <v>7</v>
      </c>
      <c r="CP2844" t="s">
        <v>119</v>
      </c>
      <c r="CQ2844">
        <v>180</v>
      </c>
      <c r="CR2844">
        <v>2</v>
      </c>
      <c r="CW2844">
        <v>8639815</v>
      </c>
      <c r="CY2844">
        <v>1</v>
      </c>
      <c r="CZ2844">
        <v>0</v>
      </c>
      <c r="DA2844">
        <v>1</v>
      </c>
      <c r="DB2844">
        <v>0</v>
      </c>
      <c r="DC2844">
        <v>0</v>
      </c>
      <c r="DD2844">
        <v>0</v>
      </c>
      <c r="DE2844">
        <v>0</v>
      </c>
      <c r="DF2844">
        <v>0</v>
      </c>
      <c r="DG2844">
        <v>0</v>
      </c>
      <c r="DH2844">
        <v>0</v>
      </c>
      <c r="DI2844">
        <v>0</v>
      </c>
    </row>
    <row r="2845" spans="1:113" x14ac:dyDescent="0.3">
      <c r="A2845" t="str">
        <f>"02/08/2021 20:29:39.334"</f>
        <v>02/08/2021 20:29:39.334</v>
      </c>
      <c r="C2845" t="str">
        <f t="shared" si="135"/>
        <v>FFDFD7C0</v>
      </c>
      <c r="D2845" t="s">
        <v>124</v>
      </c>
      <c r="E2845">
        <v>11</v>
      </c>
      <c r="F2845">
        <v>1011</v>
      </c>
      <c r="G2845" t="s">
        <v>590</v>
      </c>
      <c r="J2845" t="s">
        <v>125</v>
      </c>
      <c r="K2845">
        <v>0</v>
      </c>
      <c r="L2845">
        <v>3</v>
      </c>
      <c r="M2845">
        <v>0</v>
      </c>
      <c r="N2845">
        <v>2</v>
      </c>
      <c r="O2845">
        <v>1</v>
      </c>
      <c r="P2845">
        <v>0</v>
      </c>
      <c r="Q2845">
        <v>0</v>
      </c>
      <c r="S2845" t="str">
        <f>"20:29:41.688"</f>
        <v>20:29:41.688</v>
      </c>
      <c r="T2845" t="str">
        <f>"20:29:41.188"</f>
        <v>20:29:41.188</v>
      </c>
      <c r="U2845" t="str">
        <f t="shared" si="137"/>
        <v>AB01F4</v>
      </c>
      <c r="V2845">
        <v>0</v>
      </c>
      <c r="W2845">
        <v>0</v>
      </c>
      <c r="X2845">
        <v>2</v>
      </c>
      <c r="Z2845">
        <v>0</v>
      </c>
      <c r="AA2845">
        <v>9</v>
      </c>
      <c r="AB2845">
        <v>3</v>
      </c>
      <c r="AC2845">
        <v>0</v>
      </c>
      <c r="AD2845">
        <v>10</v>
      </c>
      <c r="AE2845">
        <v>0</v>
      </c>
      <c r="AF2845">
        <v>3</v>
      </c>
      <c r="AG2845">
        <v>2</v>
      </c>
      <c r="AH2845">
        <v>0</v>
      </c>
      <c r="AI2845" t="s">
        <v>1671</v>
      </c>
      <c r="AJ2845">
        <v>40.027698999999998</v>
      </c>
      <c r="AK2845" t="s">
        <v>1672</v>
      </c>
      <c r="AL2845">
        <v>-92.810868999999997</v>
      </c>
      <c r="AM2845">
        <v>100</v>
      </c>
      <c r="AN2845">
        <v>1500</v>
      </c>
      <c r="AO2845" t="s">
        <v>118</v>
      </c>
      <c r="AP2845">
        <v>-135</v>
      </c>
      <c r="AQ2845">
        <v>30</v>
      </c>
      <c r="AR2845">
        <v>-128</v>
      </c>
      <c r="AZ2845">
        <v>1200</v>
      </c>
      <c r="BA2845">
        <v>1</v>
      </c>
      <c r="BB2845" t="str">
        <f t="shared" si="136"/>
        <v xml:space="preserve">N8080G  </v>
      </c>
      <c r="BC2845">
        <v>1</v>
      </c>
      <c r="BE2845">
        <v>0</v>
      </c>
      <c r="BF2845">
        <v>0</v>
      </c>
      <c r="BG2845">
        <v>0</v>
      </c>
      <c r="BH2845">
        <v>1500</v>
      </c>
      <c r="BI2845">
        <v>1</v>
      </c>
      <c r="BJ2845">
        <v>1</v>
      </c>
      <c r="BK2845">
        <v>1</v>
      </c>
      <c r="BL2845">
        <v>0</v>
      </c>
      <c r="BO2845">
        <v>0</v>
      </c>
      <c r="BP2845">
        <v>0</v>
      </c>
      <c r="BW2845" t="str">
        <f>"20:29:41.690"</f>
        <v>20:29:41.690</v>
      </c>
      <c r="BZ2845">
        <v>0</v>
      </c>
      <c r="CA2845">
        <v>1792</v>
      </c>
      <c r="CB2845">
        <v>224</v>
      </c>
      <c r="CD2845">
        <v>1</v>
      </c>
      <c r="CE2845">
        <v>0</v>
      </c>
      <c r="CF2845">
        <v>0</v>
      </c>
      <c r="CG2845">
        <v>1</v>
      </c>
      <c r="CH2845">
        <v>0</v>
      </c>
      <c r="CI2845">
        <v>0</v>
      </c>
      <c r="CJ2845">
        <v>0</v>
      </c>
      <c r="CK2845">
        <v>2</v>
      </c>
      <c r="CL2845">
        <v>0</v>
      </c>
      <c r="CM2845">
        <v>2</v>
      </c>
      <c r="CN2845">
        <v>0</v>
      </c>
      <c r="CO2845">
        <v>7</v>
      </c>
      <c r="CP2845" t="s">
        <v>119</v>
      </c>
      <c r="CQ2845">
        <v>180</v>
      </c>
      <c r="CR2845">
        <v>2</v>
      </c>
      <c r="CW2845">
        <v>8639815</v>
      </c>
      <c r="CY2845">
        <v>1</v>
      </c>
      <c r="CZ2845">
        <v>0</v>
      </c>
      <c r="DA2845">
        <v>1</v>
      </c>
      <c r="DB2845">
        <v>0</v>
      </c>
      <c r="DC2845">
        <v>0</v>
      </c>
      <c r="DD2845">
        <v>0</v>
      </c>
      <c r="DE2845">
        <v>0</v>
      </c>
      <c r="DF2845">
        <v>0</v>
      </c>
      <c r="DG2845">
        <v>0</v>
      </c>
      <c r="DH2845">
        <v>0</v>
      </c>
      <c r="DI2845">
        <v>0</v>
      </c>
    </row>
    <row r="2846" spans="1:113" x14ac:dyDescent="0.3">
      <c r="A2846" t="str">
        <f>"02/08/2021 20:29:39.334"</f>
        <v>02/08/2021 20:29:39.334</v>
      </c>
      <c r="C2846" t="str">
        <f t="shared" si="135"/>
        <v>FFDFD7C0</v>
      </c>
      <c r="D2846" t="s">
        <v>124</v>
      </c>
      <c r="E2846">
        <v>13</v>
      </c>
      <c r="F2846">
        <v>1013</v>
      </c>
      <c r="G2846" t="s">
        <v>114</v>
      </c>
      <c r="J2846" t="s">
        <v>125</v>
      </c>
      <c r="K2846">
        <v>0</v>
      </c>
      <c r="L2846">
        <v>3</v>
      </c>
      <c r="M2846">
        <v>0</v>
      </c>
      <c r="N2846">
        <v>2</v>
      </c>
      <c r="O2846">
        <v>1</v>
      </c>
      <c r="P2846">
        <v>0</v>
      </c>
      <c r="Q2846">
        <v>0</v>
      </c>
      <c r="S2846" t="str">
        <f>"20:29:41.688"</f>
        <v>20:29:41.688</v>
      </c>
      <c r="T2846" t="str">
        <f>"20:29:41.188"</f>
        <v>20:29:41.188</v>
      </c>
      <c r="U2846" t="str">
        <f t="shared" si="137"/>
        <v>AB01F4</v>
      </c>
      <c r="V2846">
        <v>0</v>
      </c>
      <c r="W2846">
        <v>0</v>
      </c>
      <c r="X2846">
        <v>2</v>
      </c>
      <c r="Z2846">
        <v>0</v>
      </c>
      <c r="AA2846">
        <v>9</v>
      </c>
      <c r="AB2846">
        <v>3</v>
      </c>
      <c r="AC2846">
        <v>0</v>
      </c>
      <c r="AD2846">
        <v>10</v>
      </c>
      <c r="AE2846">
        <v>0</v>
      </c>
      <c r="AF2846">
        <v>3</v>
      </c>
      <c r="AG2846">
        <v>2</v>
      </c>
      <c r="AH2846">
        <v>0</v>
      </c>
      <c r="AI2846" t="s">
        <v>1671</v>
      </c>
      <c r="AJ2846">
        <v>40.027698999999998</v>
      </c>
      <c r="AK2846" t="s">
        <v>1672</v>
      </c>
      <c r="AL2846">
        <v>-92.810868999999997</v>
      </c>
      <c r="AM2846">
        <v>100</v>
      </c>
      <c r="AN2846">
        <v>1500</v>
      </c>
      <c r="AO2846" t="s">
        <v>118</v>
      </c>
      <c r="AP2846">
        <v>-135</v>
      </c>
      <c r="AQ2846">
        <v>30</v>
      </c>
      <c r="AR2846">
        <v>-128</v>
      </c>
      <c r="AZ2846">
        <v>1200</v>
      </c>
      <c r="BA2846">
        <v>1</v>
      </c>
      <c r="BB2846" t="str">
        <f t="shared" si="136"/>
        <v xml:space="preserve">N8080G  </v>
      </c>
      <c r="BC2846">
        <v>1</v>
      </c>
      <c r="BE2846">
        <v>0</v>
      </c>
      <c r="BF2846">
        <v>0</v>
      </c>
      <c r="BG2846">
        <v>0</v>
      </c>
      <c r="BH2846">
        <v>1500</v>
      </c>
      <c r="BI2846">
        <v>1</v>
      </c>
      <c r="BJ2846">
        <v>1</v>
      </c>
      <c r="BK2846">
        <v>1</v>
      </c>
      <c r="BL2846">
        <v>0</v>
      </c>
      <c r="BO2846">
        <v>0</v>
      </c>
      <c r="BP2846">
        <v>0</v>
      </c>
      <c r="BW2846" t="str">
        <f>"20:29:41.690"</f>
        <v>20:29:41.690</v>
      </c>
      <c r="BZ2846">
        <v>0</v>
      </c>
      <c r="CA2846">
        <v>1792</v>
      </c>
      <c r="CB2846">
        <v>224</v>
      </c>
      <c r="CD2846">
        <v>1</v>
      </c>
      <c r="CE2846">
        <v>0</v>
      </c>
      <c r="CF2846">
        <v>0</v>
      </c>
      <c r="CG2846">
        <v>1</v>
      </c>
      <c r="CH2846">
        <v>0</v>
      </c>
      <c r="CI2846">
        <v>0</v>
      </c>
      <c r="CJ2846">
        <v>0</v>
      </c>
      <c r="CK2846">
        <v>2</v>
      </c>
      <c r="CL2846">
        <v>0</v>
      </c>
      <c r="CM2846">
        <v>2</v>
      </c>
      <c r="CN2846">
        <v>0</v>
      </c>
      <c r="CO2846">
        <v>7</v>
      </c>
      <c r="CP2846" t="s">
        <v>119</v>
      </c>
      <c r="CQ2846">
        <v>180</v>
      </c>
      <c r="CR2846">
        <v>2</v>
      </c>
      <c r="CW2846">
        <v>8639815</v>
      </c>
      <c r="CY2846">
        <v>1</v>
      </c>
      <c r="CZ2846">
        <v>0</v>
      </c>
      <c r="DA2846">
        <v>1</v>
      </c>
      <c r="DB2846">
        <v>0</v>
      </c>
      <c r="DC2846">
        <v>0</v>
      </c>
      <c r="DD2846">
        <v>0</v>
      </c>
      <c r="DE2846">
        <v>0</v>
      </c>
      <c r="DF2846">
        <v>0</v>
      </c>
      <c r="DG2846">
        <v>0</v>
      </c>
      <c r="DH2846">
        <v>0</v>
      </c>
      <c r="DI2846">
        <v>0</v>
      </c>
    </row>
    <row r="2847" spans="1:113" x14ac:dyDescent="0.3">
      <c r="A2847" t="str">
        <f>"02/08/2021 20:29:40.478"</f>
        <v>02/08/2021 20:29:40.478</v>
      </c>
      <c r="C2847" t="str">
        <f t="shared" si="135"/>
        <v>FFDFD7C0</v>
      </c>
      <c r="D2847" t="s">
        <v>124</v>
      </c>
      <c r="E2847">
        <v>13</v>
      </c>
      <c r="F2847">
        <v>1013</v>
      </c>
      <c r="G2847" t="s">
        <v>114</v>
      </c>
      <c r="J2847" t="s">
        <v>125</v>
      </c>
      <c r="K2847">
        <v>0</v>
      </c>
      <c r="L2847">
        <v>3</v>
      </c>
      <c r="M2847">
        <v>0</v>
      </c>
      <c r="N2847">
        <v>2</v>
      </c>
      <c r="O2847">
        <v>1</v>
      </c>
      <c r="P2847">
        <v>0</v>
      </c>
      <c r="Q2847">
        <v>0</v>
      </c>
      <c r="S2847" t="str">
        <f>"20:29:42.781"</f>
        <v>20:29:42.781</v>
      </c>
      <c r="T2847" t="str">
        <f>"20:29:42.281"</f>
        <v>20:29:42.281</v>
      </c>
      <c r="U2847" t="str">
        <f t="shared" si="137"/>
        <v>AB01F4</v>
      </c>
      <c r="V2847">
        <v>0</v>
      </c>
      <c r="W2847">
        <v>0</v>
      </c>
      <c r="X2847">
        <v>2</v>
      </c>
      <c r="Z2847">
        <v>0</v>
      </c>
      <c r="AA2847">
        <v>9</v>
      </c>
      <c r="AB2847">
        <v>3</v>
      </c>
      <c r="AC2847">
        <v>0</v>
      </c>
      <c r="AD2847">
        <v>10</v>
      </c>
      <c r="AE2847">
        <v>0</v>
      </c>
      <c r="AF2847">
        <v>3</v>
      </c>
      <c r="AG2847">
        <v>2</v>
      </c>
      <c r="AH2847">
        <v>0</v>
      </c>
      <c r="AI2847" t="s">
        <v>1673</v>
      </c>
      <c r="AJ2847">
        <v>40.027870999999998</v>
      </c>
      <c r="AK2847" t="s">
        <v>1674</v>
      </c>
      <c r="AL2847">
        <v>-92.811769999999996</v>
      </c>
      <c r="AM2847">
        <v>100</v>
      </c>
      <c r="AN2847">
        <v>1500</v>
      </c>
      <c r="AO2847" t="s">
        <v>118</v>
      </c>
      <c r="AP2847">
        <v>-135</v>
      </c>
      <c r="AQ2847">
        <v>30</v>
      </c>
      <c r="AR2847">
        <v>-64</v>
      </c>
      <c r="AZ2847">
        <v>1200</v>
      </c>
      <c r="BA2847">
        <v>1</v>
      </c>
      <c r="BB2847" t="str">
        <f t="shared" si="136"/>
        <v xml:space="preserve">N8080G  </v>
      </c>
      <c r="BC2847">
        <v>1</v>
      </c>
      <c r="BE2847">
        <v>0</v>
      </c>
      <c r="BF2847">
        <v>0</v>
      </c>
      <c r="BG2847">
        <v>0</v>
      </c>
      <c r="BH2847">
        <v>1500</v>
      </c>
      <c r="BI2847">
        <v>1</v>
      </c>
      <c r="BJ2847">
        <v>1</v>
      </c>
      <c r="BK2847">
        <v>1</v>
      </c>
      <c r="BL2847">
        <v>0</v>
      </c>
      <c r="BO2847">
        <v>0</v>
      </c>
      <c r="BP2847">
        <v>0</v>
      </c>
      <c r="BW2847" t="str">
        <f>"20:29:42.785"</f>
        <v>20:29:42.785</v>
      </c>
      <c r="BZ2847">
        <v>0</v>
      </c>
      <c r="CA2847">
        <v>1792</v>
      </c>
      <c r="CB2847">
        <v>224</v>
      </c>
      <c r="CD2847">
        <v>1</v>
      </c>
      <c r="CE2847">
        <v>0</v>
      </c>
      <c r="CF2847">
        <v>0</v>
      </c>
      <c r="CG2847">
        <v>1</v>
      </c>
      <c r="CH2847">
        <v>0</v>
      </c>
      <c r="CI2847">
        <v>0</v>
      </c>
      <c r="CJ2847">
        <v>0</v>
      </c>
      <c r="CK2847">
        <v>2</v>
      </c>
      <c r="CL2847">
        <v>0</v>
      </c>
      <c r="CM2847">
        <v>2</v>
      </c>
      <c r="CN2847">
        <v>0</v>
      </c>
      <c r="CO2847">
        <v>2</v>
      </c>
      <c r="CP2847" t="s">
        <v>119</v>
      </c>
      <c r="CQ2847">
        <v>179</v>
      </c>
      <c r="CR2847">
        <v>1</v>
      </c>
      <c r="CW2847">
        <v>9099098</v>
      </c>
      <c r="CY2847">
        <v>1</v>
      </c>
      <c r="CZ2847">
        <v>0</v>
      </c>
      <c r="DA2847">
        <v>0</v>
      </c>
      <c r="DB2847">
        <v>0</v>
      </c>
      <c r="DC2847">
        <v>0</v>
      </c>
      <c r="DD2847">
        <v>0</v>
      </c>
      <c r="DE2847">
        <v>0</v>
      </c>
      <c r="DF2847">
        <v>0</v>
      </c>
      <c r="DG2847">
        <v>0</v>
      </c>
      <c r="DH2847">
        <v>0</v>
      </c>
      <c r="DI2847">
        <v>0</v>
      </c>
    </row>
    <row r="2848" spans="1:113" x14ac:dyDescent="0.3">
      <c r="A2848" t="str">
        <f>"02/08/2021 20:29:40.478"</f>
        <v>02/08/2021 20:29:40.478</v>
      </c>
      <c r="C2848" t="str">
        <f t="shared" si="135"/>
        <v>FFDFD7C0</v>
      </c>
      <c r="D2848" t="s">
        <v>113</v>
      </c>
      <c r="E2848">
        <v>6</v>
      </c>
      <c r="H2848">
        <v>165</v>
      </c>
      <c r="I2848" t="s">
        <v>114</v>
      </c>
      <c r="J2848" t="s">
        <v>115</v>
      </c>
      <c r="K2848">
        <v>0</v>
      </c>
      <c r="L2848">
        <v>3</v>
      </c>
      <c r="M2848">
        <v>0</v>
      </c>
      <c r="N2848">
        <v>2</v>
      </c>
      <c r="O2848">
        <v>1</v>
      </c>
      <c r="P2848">
        <v>0</v>
      </c>
      <c r="Q2848">
        <v>0</v>
      </c>
      <c r="S2848" t="str">
        <f>"20:29:42.781"</f>
        <v>20:29:42.781</v>
      </c>
      <c r="T2848" t="str">
        <f>"20:29:42.281"</f>
        <v>20:29:42.281</v>
      </c>
      <c r="U2848" t="str">
        <f t="shared" si="137"/>
        <v>AB01F4</v>
      </c>
      <c r="V2848">
        <v>0</v>
      </c>
      <c r="W2848">
        <v>0</v>
      </c>
      <c r="X2848">
        <v>2</v>
      </c>
      <c r="Z2848">
        <v>0</v>
      </c>
      <c r="AA2848">
        <v>9</v>
      </c>
      <c r="AB2848">
        <v>3</v>
      </c>
      <c r="AC2848">
        <v>0</v>
      </c>
      <c r="AD2848">
        <v>10</v>
      </c>
      <c r="AE2848">
        <v>0</v>
      </c>
      <c r="AF2848">
        <v>3</v>
      </c>
      <c r="AG2848">
        <v>2</v>
      </c>
      <c r="AH2848">
        <v>0</v>
      </c>
      <c r="AI2848" t="s">
        <v>1673</v>
      </c>
      <c r="AJ2848">
        <v>40.027870999999998</v>
      </c>
      <c r="AK2848" t="s">
        <v>1674</v>
      </c>
      <c r="AL2848">
        <v>-92.811769999999996</v>
      </c>
      <c r="AM2848">
        <v>100</v>
      </c>
      <c r="AN2848">
        <v>1500</v>
      </c>
      <c r="AO2848" t="s">
        <v>118</v>
      </c>
      <c r="AP2848">
        <v>-135</v>
      </c>
      <c r="AQ2848">
        <v>30</v>
      </c>
      <c r="AR2848">
        <v>-64</v>
      </c>
      <c r="AZ2848">
        <v>1200</v>
      </c>
      <c r="BA2848">
        <v>1</v>
      </c>
      <c r="BB2848" t="str">
        <f t="shared" si="136"/>
        <v xml:space="preserve">N8080G  </v>
      </c>
      <c r="BC2848">
        <v>1</v>
      </c>
      <c r="BE2848">
        <v>0</v>
      </c>
      <c r="BF2848">
        <v>0</v>
      </c>
      <c r="BG2848">
        <v>0</v>
      </c>
      <c r="BH2848">
        <v>1500</v>
      </c>
      <c r="BI2848">
        <v>1</v>
      </c>
      <c r="BJ2848">
        <v>1</v>
      </c>
      <c r="BK2848">
        <v>1</v>
      </c>
      <c r="BL2848">
        <v>0</v>
      </c>
      <c r="BO2848">
        <v>0</v>
      </c>
      <c r="BP2848">
        <v>0</v>
      </c>
      <c r="BW2848" t="str">
        <f>"20:29:42.785"</f>
        <v>20:29:42.785</v>
      </c>
      <c r="BZ2848">
        <v>0</v>
      </c>
      <c r="CA2848">
        <v>1792</v>
      </c>
      <c r="CB2848">
        <v>224</v>
      </c>
      <c r="CD2848">
        <v>1</v>
      </c>
      <c r="CE2848">
        <v>0</v>
      </c>
      <c r="CF2848">
        <v>0</v>
      </c>
      <c r="CG2848">
        <v>1</v>
      </c>
      <c r="CH2848">
        <v>0</v>
      </c>
      <c r="CI2848">
        <v>0</v>
      </c>
      <c r="CJ2848">
        <v>0</v>
      </c>
      <c r="CK2848">
        <v>2</v>
      </c>
      <c r="CL2848">
        <v>0</v>
      </c>
      <c r="CM2848">
        <v>2</v>
      </c>
      <c r="CN2848">
        <v>0</v>
      </c>
      <c r="CO2848">
        <v>2</v>
      </c>
      <c r="CP2848" t="s">
        <v>119</v>
      </c>
      <c r="CQ2848">
        <v>179</v>
      </c>
      <c r="CR2848">
        <v>1</v>
      </c>
      <c r="CW2848">
        <v>9099098</v>
      </c>
      <c r="CY2848">
        <v>1</v>
      </c>
      <c r="CZ2848">
        <v>0</v>
      </c>
      <c r="DA2848">
        <v>1</v>
      </c>
      <c r="DB2848">
        <v>0</v>
      </c>
      <c r="DC2848">
        <v>0</v>
      </c>
      <c r="DD2848">
        <v>0</v>
      </c>
      <c r="DE2848">
        <v>0</v>
      </c>
      <c r="DF2848">
        <v>0</v>
      </c>
      <c r="DG2848">
        <v>0</v>
      </c>
      <c r="DH2848">
        <v>0</v>
      </c>
      <c r="DI2848">
        <v>0</v>
      </c>
    </row>
    <row r="2849" spans="1:113" x14ac:dyDescent="0.3">
      <c r="A2849" t="str">
        <f>"02/08/2021 20:29:40.478"</f>
        <v>02/08/2021 20:29:40.478</v>
      </c>
      <c r="C2849" t="str">
        <f t="shared" si="135"/>
        <v>FFDFD7C0</v>
      </c>
      <c r="D2849" t="s">
        <v>124</v>
      </c>
      <c r="E2849">
        <v>12</v>
      </c>
      <c r="F2849">
        <v>1012</v>
      </c>
      <c r="G2849" t="s">
        <v>675</v>
      </c>
      <c r="J2849" t="s">
        <v>125</v>
      </c>
      <c r="K2849">
        <v>0</v>
      </c>
      <c r="L2849">
        <v>3</v>
      </c>
      <c r="M2849">
        <v>0</v>
      </c>
      <c r="N2849">
        <v>2</v>
      </c>
      <c r="O2849">
        <v>1</v>
      </c>
      <c r="P2849">
        <v>0</v>
      </c>
      <c r="Q2849">
        <v>0</v>
      </c>
      <c r="S2849" t="str">
        <f>"20:29:42.781"</f>
        <v>20:29:42.781</v>
      </c>
      <c r="T2849" t="str">
        <f>"20:29:42.281"</f>
        <v>20:29:42.281</v>
      </c>
      <c r="U2849" t="str">
        <f t="shared" si="137"/>
        <v>AB01F4</v>
      </c>
      <c r="V2849">
        <v>0</v>
      </c>
      <c r="W2849">
        <v>0</v>
      </c>
      <c r="X2849">
        <v>2</v>
      </c>
      <c r="Z2849">
        <v>0</v>
      </c>
      <c r="AA2849">
        <v>9</v>
      </c>
      <c r="AB2849">
        <v>3</v>
      </c>
      <c r="AC2849">
        <v>0</v>
      </c>
      <c r="AD2849">
        <v>10</v>
      </c>
      <c r="AE2849">
        <v>0</v>
      </c>
      <c r="AF2849">
        <v>3</v>
      </c>
      <c r="AG2849">
        <v>2</v>
      </c>
      <c r="AH2849">
        <v>0</v>
      </c>
      <c r="AI2849" t="s">
        <v>1673</v>
      </c>
      <c r="AJ2849">
        <v>40.027870999999998</v>
      </c>
      <c r="AK2849" t="s">
        <v>1674</v>
      </c>
      <c r="AL2849">
        <v>-92.811769999999996</v>
      </c>
      <c r="AM2849">
        <v>100</v>
      </c>
      <c r="AN2849">
        <v>1500</v>
      </c>
      <c r="AO2849" t="s">
        <v>118</v>
      </c>
      <c r="AP2849">
        <v>-135</v>
      </c>
      <c r="AQ2849">
        <v>30</v>
      </c>
      <c r="AR2849">
        <v>-64</v>
      </c>
      <c r="AZ2849">
        <v>1200</v>
      </c>
      <c r="BA2849">
        <v>1</v>
      </c>
      <c r="BB2849" t="str">
        <f t="shared" si="136"/>
        <v xml:space="preserve">N8080G  </v>
      </c>
      <c r="BC2849">
        <v>1</v>
      </c>
      <c r="BE2849">
        <v>0</v>
      </c>
      <c r="BF2849">
        <v>0</v>
      </c>
      <c r="BG2849">
        <v>0</v>
      </c>
      <c r="BH2849">
        <v>1500</v>
      </c>
      <c r="BI2849">
        <v>1</v>
      </c>
      <c r="BJ2849">
        <v>1</v>
      </c>
      <c r="BK2849">
        <v>1</v>
      </c>
      <c r="BL2849">
        <v>0</v>
      </c>
      <c r="BO2849">
        <v>0</v>
      </c>
      <c r="BP2849">
        <v>0</v>
      </c>
      <c r="BW2849" t="str">
        <f>"20:29:42.785"</f>
        <v>20:29:42.785</v>
      </c>
      <c r="BZ2849">
        <v>0</v>
      </c>
      <c r="CA2849">
        <v>1792</v>
      </c>
      <c r="CB2849">
        <v>224</v>
      </c>
      <c r="CD2849">
        <v>1</v>
      </c>
      <c r="CE2849">
        <v>0</v>
      </c>
      <c r="CF2849">
        <v>0</v>
      </c>
      <c r="CG2849">
        <v>1</v>
      </c>
      <c r="CH2849">
        <v>0</v>
      </c>
      <c r="CI2849">
        <v>0</v>
      </c>
      <c r="CJ2849">
        <v>0</v>
      </c>
      <c r="CK2849">
        <v>2</v>
      </c>
      <c r="CL2849">
        <v>0</v>
      </c>
      <c r="CM2849">
        <v>2</v>
      </c>
      <c r="CN2849">
        <v>0</v>
      </c>
      <c r="CO2849">
        <v>2</v>
      </c>
      <c r="CP2849" t="s">
        <v>119</v>
      </c>
      <c r="CQ2849">
        <v>179</v>
      </c>
      <c r="CR2849">
        <v>1</v>
      </c>
      <c r="CW2849">
        <v>9099098</v>
      </c>
      <c r="CY2849">
        <v>1</v>
      </c>
      <c r="CZ2849">
        <v>0</v>
      </c>
      <c r="DA2849">
        <v>1</v>
      </c>
      <c r="DB2849">
        <v>0</v>
      </c>
      <c r="DC2849">
        <v>0</v>
      </c>
      <c r="DD2849">
        <v>0</v>
      </c>
      <c r="DE2849">
        <v>0</v>
      </c>
      <c r="DF2849">
        <v>0</v>
      </c>
      <c r="DG2849">
        <v>0</v>
      </c>
      <c r="DH2849">
        <v>0</v>
      </c>
      <c r="DI2849">
        <v>0</v>
      </c>
    </row>
    <row r="2850" spans="1:113" x14ac:dyDescent="0.3">
      <c r="A2850" t="str">
        <f>"02/08/2021 20:29:40.478"</f>
        <v>02/08/2021 20:29:40.478</v>
      </c>
      <c r="C2850" t="str">
        <f t="shared" si="135"/>
        <v>FFDFD7C0</v>
      </c>
      <c r="D2850" t="s">
        <v>124</v>
      </c>
      <c r="E2850">
        <v>11</v>
      </c>
      <c r="F2850">
        <v>1011</v>
      </c>
      <c r="G2850" t="s">
        <v>590</v>
      </c>
      <c r="J2850" t="s">
        <v>125</v>
      </c>
      <c r="K2850">
        <v>0</v>
      </c>
      <c r="L2850">
        <v>3</v>
      </c>
      <c r="M2850">
        <v>0</v>
      </c>
      <c r="N2850">
        <v>2</v>
      </c>
      <c r="O2850">
        <v>1</v>
      </c>
      <c r="P2850">
        <v>0</v>
      </c>
      <c r="Q2850">
        <v>0</v>
      </c>
      <c r="S2850" t="str">
        <f>"20:29:42.781"</f>
        <v>20:29:42.781</v>
      </c>
      <c r="T2850" t="str">
        <f>"20:29:42.281"</f>
        <v>20:29:42.281</v>
      </c>
      <c r="U2850" t="str">
        <f t="shared" si="137"/>
        <v>AB01F4</v>
      </c>
      <c r="V2850">
        <v>0</v>
      </c>
      <c r="W2850">
        <v>0</v>
      </c>
      <c r="X2850">
        <v>2</v>
      </c>
      <c r="Z2850">
        <v>0</v>
      </c>
      <c r="AA2850">
        <v>9</v>
      </c>
      <c r="AB2850">
        <v>3</v>
      </c>
      <c r="AC2850">
        <v>0</v>
      </c>
      <c r="AD2850">
        <v>10</v>
      </c>
      <c r="AE2850">
        <v>0</v>
      </c>
      <c r="AF2850">
        <v>3</v>
      </c>
      <c r="AG2850">
        <v>2</v>
      </c>
      <c r="AH2850">
        <v>0</v>
      </c>
      <c r="AI2850" t="s">
        <v>1673</v>
      </c>
      <c r="AJ2850">
        <v>40.027870999999998</v>
      </c>
      <c r="AK2850" t="s">
        <v>1674</v>
      </c>
      <c r="AL2850">
        <v>-92.811769999999996</v>
      </c>
      <c r="AM2850">
        <v>100</v>
      </c>
      <c r="AN2850">
        <v>1500</v>
      </c>
      <c r="AO2850" t="s">
        <v>118</v>
      </c>
      <c r="AP2850">
        <v>-135</v>
      </c>
      <c r="AQ2850">
        <v>30</v>
      </c>
      <c r="AR2850">
        <v>-64</v>
      </c>
      <c r="AZ2850">
        <v>1200</v>
      </c>
      <c r="BA2850">
        <v>1</v>
      </c>
      <c r="BB2850" t="str">
        <f t="shared" si="136"/>
        <v xml:space="preserve">N8080G  </v>
      </c>
      <c r="BC2850">
        <v>1</v>
      </c>
      <c r="BE2850">
        <v>0</v>
      </c>
      <c r="BF2850">
        <v>0</v>
      </c>
      <c r="BG2850">
        <v>0</v>
      </c>
      <c r="BH2850">
        <v>1500</v>
      </c>
      <c r="BI2850">
        <v>1</v>
      </c>
      <c r="BJ2850">
        <v>1</v>
      </c>
      <c r="BK2850">
        <v>1</v>
      </c>
      <c r="BL2850">
        <v>0</v>
      </c>
      <c r="BO2850">
        <v>0</v>
      </c>
      <c r="BP2850">
        <v>0</v>
      </c>
      <c r="BW2850" t="str">
        <f>"20:29:42.785"</f>
        <v>20:29:42.785</v>
      </c>
      <c r="BZ2850">
        <v>0</v>
      </c>
      <c r="CA2850">
        <v>1792</v>
      </c>
      <c r="CB2850">
        <v>224</v>
      </c>
      <c r="CD2850">
        <v>1</v>
      </c>
      <c r="CE2850">
        <v>0</v>
      </c>
      <c r="CF2850">
        <v>0</v>
      </c>
      <c r="CG2850">
        <v>1</v>
      </c>
      <c r="CH2850">
        <v>0</v>
      </c>
      <c r="CI2850">
        <v>0</v>
      </c>
      <c r="CJ2850">
        <v>0</v>
      </c>
      <c r="CK2850">
        <v>2</v>
      </c>
      <c r="CL2850">
        <v>0</v>
      </c>
      <c r="CM2850">
        <v>2</v>
      </c>
      <c r="CN2850">
        <v>0</v>
      </c>
      <c r="CO2850">
        <v>2</v>
      </c>
      <c r="CP2850" t="s">
        <v>119</v>
      </c>
      <c r="CQ2850">
        <v>179</v>
      </c>
      <c r="CR2850">
        <v>1</v>
      </c>
      <c r="CW2850">
        <v>9099098</v>
      </c>
      <c r="CY2850">
        <v>1</v>
      </c>
      <c r="CZ2850">
        <v>0</v>
      </c>
      <c r="DA2850">
        <v>1</v>
      </c>
      <c r="DB2850">
        <v>0</v>
      </c>
      <c r="DC2850">
        <v>0</v>
      </c>
      <c r="DD2850">
        <v>0</v>
      </c>
      <c r="DE2850">
        <v>0</v>
      </c>
      <c r="DF2850">
        <v>0</v>
      </c>
      <c r="DG2850">
        <v>0</v>
      </c>
      <c r="DH2850">
        <v>0</v>
      </c>
      <c r="DI2850">
        <v>0</v>
      </c>
    </row>
    <row r="2851" spans="1:113" x14ac:dyDescent="0.3">
      <c r="A2851" t="str">
        <f>"02/08/2021 20:29:41.561"</f>
        <v>02/08/2021 20:29:41.561</v>
      </c>
      <c r="C2851" t="str">
        <f t="shared" si="135"/>
        <v>FFDFD7C0</v>
      </c>
      <c r="D2851" t="s">
        <v>113</v>
      </c>
      <c r="E2851">
        <v>6</v>
      </c>
      <c r="H2851">
        <v>165</v>
      </c>
      <c r="I2851" t="s">
        <v>114</v>
      </c>
      <c r="J2851" t="s">
        <v>115</v>
      </c>
      <c r="K2851">
        <v>0</v>
      </c>
      <c r="L2851">
        <v>3</v>
      </c>
      <c r="M2851">
        <v>0</v>
      </c>
      <c r="N2851">
        <v>2</v>
      </c>
      <c r="O2851">
        <v>1</v>
      </c>
      <c r="P2851">
        <v>0</v>
      </c>
      <c r="Q2851">
        <v>0</v>
      </c>
      <c r="S2851" t="str">
        <f>"20:29:43.891"</f>
        <v>20:29:43.891</v>
      </c>
      <c r="T2851" t="str">
        <f>"20:29:43.391"</f>
        <v>20:29:43.391</v>
      </c>
      <c r="U2851" t="str">
        <f t="shared" si="137"/>
        <v>AB01F4</v>
      </c>
      <c r="V2851">
        <v>0</v>
      </c>
      <c r="W2851">
        <v>0</v>
      </c>
      <c r="X2851">
        <v>2</v>
      </c>
      <c r="Z2851">
        <v>0</v>
      </c>
      <c r="AA2851">
        <v>9</v>
      </c>
      <c r="AB2851">
        <v>3</v>
      </c>
      <c r="AC2851">
        <v>0</v>
      </c>
      <c r="AD2851">
        <v>10</v>
      </c>
      <c r="AE2851">
        <v>0</v>
      </c>
      <c r="AF2851">
        <v>3</v>
      </c>
      <c r="AG2851">
        <v>2</v>
      </c>
      <c r="AH2851">
        <v>0</v>
      </c>
      <c r="AI2851" t="s">
        <v>1675</v>
      </c>
      <c r="AJ2851">
        <v>40.027977999999997</v>
      </c>
      <c r="AK2851" t="s">
        <v>1676</v>
      </c>
      <c r="AL2851">
        <v>-92.812692999999996</v>
      </c>
      <c r="AM2851">
        <v>100</v>
      </c>
      <c r="AN2851">
        <v>1500</v>
      </c>
      <c r="AO2851" t="s">
        <v>118</v>
      </c>
      <c r="AP2851">
        <v>-135</v>
      </c>
      <c r="AQ2851">
        <v>30</v>
      </c>
      <c r="AR2851">
        <v>-64</v>
      </c>
      <c r="AZ2851">
        <v>1200</v>
      </c>
      <c r="BA2851">
        <v>1</v>
      </c>
      <c r="BB2851" t="str">
        <f t="shared" si="136"/>
        <v xml:space="preserve">N8080G  </v>
      </c>
      <c r="BC2851">
        <v>1</v>
      </c>
      <c r="BE2851">
        <v>0</v>
      </c>
      <c r="BF2851">
        <v>0</v>
      </c>
      <c r="BG2851">
        <v>0</v>
      </c>
      <c r="BH2851">
        <v>1500</v>
      </c>
      <c r="BI2851">
        <v>1</v>
      </c>
      <c r="BJ2851">
        <v>1</v>
      </c>
      <c r="BK2851">
        <v>1</v>
      </c>
      <c r="BL2851">
        <v>0</v>
      </c>
      <c r="BO2851">
        <v>0</v>
      </c>
      <c r="BP2851">
        <v>0</v>
      </c>
      <c r="BW2851" t="str">
        <f>"20:29:43.896"</f>
        <v>20:29:43.896</v>
      </c>
      <c r="BZ2851">
        <v>0</v>
      </c>
      <c r="CA2851">
        <v>1792</v>
      </c>
      <c r="CB2851">
        <v>224</v>
      </c>
      <c r="CD2851">
        <v>1</v>
      </c>
      <c r="CE2851">
        <v>0</v>
      </c>
      <c r="CF2851">
        <v>0</v>
      </c>
      <c r="CG2851">
        <v>1</v>
      </c>
      <c r="CH2851">
        <v>0</v>
      </c>
      <c r="CI2851">
        <v>0</v>
      </c>
      <c r="CJ2851">
        <v>0</v>
      </c>
      <c r="CK2851">
        <v>2</v>
      </c>
      <c r="CL2851">
        <v>0</v>
      </c>
      <c r="CM2851">
        <v>2</v>
      </c>
      <c r="CN2851">
        <v>0</v>
      </c>
      <c r="CO2851">
        <v>2</v>
      </c>
      <c r="CP2851" t="s">
        <v>119</v>
      </c>
      <c r="CQ2851">
        <v>179</v>
      </c>
      <c r="CR2851">
        <v>1</v>
      </c>
      <c r="CW2851">
        <v>9100114</v>
      </c>
      <c r="CY2851">
        <v>1</v>
      </c>
      <c r="CZ2851">
        <v>0</v>
      </c>
      <c r="DA2851">
        <v>0</v>
      </c>
      <c r="DB2851">
        <v>0</v>
      </c>
      <c r="DC2851">
        <v>0</v>
      </c>
      <c r="DD2851">
        <v>0</v>
      </c>
      <c r="DE2851">
        <v>0</v>
      </c>
      <c r="DF2851">
        <v>0</v>
      </c>
      <c r="DG2851">
        <v>0</v>
      </c>
      <c r="DH2851">
        <v>0</v>
      </c>
      <c r="DI2851">
        <v>0</v>
      </c>
    </row>
    <row r="2852" spans="1:113" x14ac:dyDescent="0.3">
      <c r="A2852" t="str">
        <f>"02/08/2021 20:29:41.561"</f>
        <v>02/08/2021 20:29:41.561</v>
      </c>
      <c r="C2852" t="str">
        <f t="shared" si="135"/>
        <v>FFDFD7C0</v>
      </c>
      <c r="D2852" t="s">
        <v>124</v>
      </c>
      <c r="E2852">
        <v>11</v>
      </c>
      <c r="F2852">
        <v>1011</v>
      </c>
      <c r="G2852" t="s">
        <v>590</v>
      </c>
      <c r="J2852" t="s">
        <v>125</v>
      </c>
      <c r="K2852">
        <v>0</v>
      </c>
      <c r="L2852">
        <v>3</v>
      </c>
      <c r="M2852">
        <v>0</v>
      </c>
      <c r="N2852">
        <v>2</v>
      </c>
      <c r="O2852">
        <v>1</v>
      </c>
      <c r="P2852">
        <v>0</v>
      </c>
      <c r="Q2852">
        <v>0</v>
      </c>
      <c r="S2852" t="str">
        <f>"20:29:43.891"</f>
        <v>20:29:43.891</v>
      </c>
      <c r="T2852" t="str">
        <f>"20:29:43.391"</f>
        <v>20:29:43.391</v>
      </c>
      <c r="U2852" t="str">
        <f t="shared" si="137"/>
        <v>AB01F4</v>
      </c>
      <c r="V2852">
        <v>0</v>
      </c>
      <c r="W2852">
        <v>0</v>
      </c>
      <c r="X2852">
        <v>2</v>
      </c>
      <c r="Z2852">
        <v>0</v>
      </c>
      <c r="AA2852">
        <v>9</v>
      </c>
      <c r="AB2852">
        <v>3</v>
      </c>
      <c r="AC2852">
        <v>0</v>
      </c>
      <c r="AD2852">
        <v>10</v>
      </c>
      <c r="AE2852">
        <v>0</v>
      </c>
      <c r="AF2852">
        <v>3</v>
      </c>
      <c r="AG2852">
        <v>2</v>
      </c>
      <c r="AH2852">
        <v>0</v>
      </c>
      <c r="AI2852" t="s">
        <v>1675</v>
      </c>
      <c r="AJ2852">
        <v>40.027977999999997</v>
      </c>
      <c r="AK2852" t="s">
        <v>1676</v>
      </c>
      <c r="AL2852">
        <v>-92.812692999999996</v>
      </c>
      <c r="AM2852">
        <v>100</v>
      </c>
      <c r="AN2852">
        <v>1500</v>
      </c>
      <c r="AO2852" t="s">
        <v>118</v>
      </c>
      <c r="AP2852">
        <v>-135</v>
      </c>
      <c r="AQ2852">
        <v>30</v>
      </c>
      <c r="AR2852">
        <v>-64</v>
      </c>
      <c r="AZ2852">
        <v>1200</v>
      </c>
      <c r="BA2852">
        <v>1</v>
      </c>
      <c r="BB2852" t="str">
        <f t="shared" si="136"/>
        <v xml:space="preserve">N8080G  </v>
      </c>
      <c r="BC2852">
        <v>1</v>
      </c>
      <c r="BE2852">
        <v>0</v>
      </c>
      <c r="BF2852">
        <v>0</v>
      </c>
      <c r="BG2852">
        <v>0</v>
      </c>
      <c r="BH2852">
        <v>1500</v>
      </c>
      <c r="BI2852">
        <v>1</v>
      </c>
      <c r="BJ2852">
        <v>1</v>
      </c>
      <c r="BK2852">
        <v>1</v>
      </c>
      <c r="BL2852">
        <v>0</v>
      </c>
      <c r="BO2852">
        <v>0</v>
      </c>
      <c r="BP2852">
        <v>0</v>
      </c>
      <c r="BW2852" t="str">
        <f>"20:29:43.896"</f>
        <v>20:29:43.896</v>
      </c>
      <c r="BZ2852">
        <v>0</v>
      </c>
      <c r="CA2852">
        <v>1792</v>
      </c>
      <c r="CB2852">
        <v>224</v>
      </c>
      <c r="CD2852">
        <v>1</v>
      </c>
      <c r="CE2852">
        <v>0</v>
      </c>
      <c r="CF2852">
        <v>0</v>
      </c>
      <c r="CG2852">
        <v>1</v>
      </c>
      <c r="CH2852">
        <v>0</v>
      </c>
      <c r="CI2852">
        <v>0</v>
      </c>
      <c r="CJ2852">
        <v>0</v>
      </c>
      <c r="CK2852">
        <v>2</v>
      </c>
      <c r="CL2852">
        <v>0</v>
      </c>
      <c r="CM2852">
        <v>2</v>
      </c>
      <c r="CN2852">
        <v>0</v>
      </c>
      <c r="CO2852">
        <v>2</v>
      </c>
      <c r="CP2852" t="s">
        <v>119</v>
      </c>
      <c r="CQ2852">
        <v>179</v>
      </c>
      <c r="CR2852">
        <v>1</v>
      </c>
      <c r="CW2852">
        <v>9100114</v>
      </c>
      <c r="CY2852">
        <v>1</v>
      </c>
      <c r="CZ2852">
        <v>0</v>
      </c>
      <c r="DA2852">
        <v>1</v>
      </c>
      <c r="DB2852">
        <v>0</v>
      </c>
      <c r="DC2852">
        <v>0</v>
      </c>
      <c r="DD2852">
        <v>0</v>
      </c>
      <c r="DE2852">
        <v>0</v>
      </c>
      <c r="DF2852">
        <v>0</v>
      </c>
      <c r="DG2852">
        <v>0</v>
      </c>
      <c r="DH2852">
        <v>0</v>
      </c>
      <c r="DI2852">
        <v>0</v>
      </c>
    </row>
    <row r="2853" spans="1:113" x14ac:dyDescent="0.3">
      <c r="A2853" t="str">
        <f>"02/08/2021 20:29:41.561"</f>
        <v>02/08/2021 20:29:41.561</v>
      </c>
      <c r="C2853" t="str">
        <f t="shared" si="135"/>
        <v>FFDFD7C0</v>
      </c>
      <c r="D2853" t="s">
        <v>124</v>
      </c>
      <c r="E2853">
        <v>13</v>
      </c>
      <c r="F2853">
        <v>1013</v>
      </c>
      <c r="G2853" t="s">
        <v>114</v>
      </c>
      <c r="J2853" t="s">
        <v>125</v>
      </c>
      <c r="K2853">
        <v>0</v>
      </c>
      <c r="L2853">
        <v>3</v>
      </c>
      <c r="M2853">
        <v>0</v>
      </c>
      <c r="N2853">
        <v>2</v>
      </c>
      <c r="O2853">
        <v>1</v>
      </c>
      <c r="P2853">
        <v>0</v>
      </c>
      <c r="Q2853">
        <v>0</v>
      </c>
      <c r="S2853" t="str">
        <f>"20:29:43.891"</f>
        <v>20:29:43.891</v>
      </c>
      <c r="T2853" t="str">
        <f>"20:29:43.391"</f>
        <v>20:29:43.391</v>
      </c>
      <c r="U2853" t="str">
        <f t="shared" si="137"/>
        <v>AB01F4</v>
      </c>
      <c r="V2853">
        <v>0</v>
      </c>
      <c r="W2853">
        <v>0</v>
      </c>
      <c r="X2853">
        <v>2</v>
      </c>
      <c r="Z2853">
        <v>0</v>
      </c>
      <c r="AA2853">
        <v>9</v>
      </c>
      <c r="AB2853">
        <v>3</v>
      </c>
      <c r="AC2853">
        <v>0</v>
      </c>
      <c r="AD2853">
        <v>10</v>
      </c>
      <c r="AE2853">
        <v>0</v>
      </c>
      <c r="AF2853">
        <v>3</v>
      </c>
      <c r="AG2853">
        <v>2</v>
      </c>
      <c r="AH2853">
        <v>0</v>
      </c>
      <c r="AI2853" t="s">
        <v>1675</v>
      </c>
      <c r="AJ2853">
        <v>40.027977999999997</v>
      </c>
      <c r="AK2853" t="s">
        <v>1676</v>
      </c>
      <c r="AL2853">
        <v>-92.812692999999996</v>
      </c>
      <c r="AM2853">
        <v>100</v>
      </c>
      <c r="AN2853">
        <v>1500</v>
      </c>
      <c r="AO2853" t="s">
        <v>118</v>
      </c>
      <c r="AP2853">
        <v>-135</v>
      </c>
      <c r="AQ2853">
        <v>30</v>
      </c>
      <c r="AR2853">
        <v>-64</v>
      </c>
      <c r="AZ2853">
        <v>1200</v>
      </c>
      <c r="BA2853">
        <v>1</v>
      </c>
      <c r="BB2853" t="str">
        <f t="shared" si="136"/>
        <v xml:space="preserve">N8080G  </v>
      </c>
      <c r="BC2853">
        <v>1</v>
      </c>
      <c r="BE2853">
        <v>0</v>
      </c>
      <c r="BF2853">
        <v>0</v>
      </c>
      <c r="BG2853">
        <v>0</v>
      </c>
      <c r="BH2853">
        <v>1500</v>
      </c>
      <c r="BI2853">
        <v>1</v>
      </c>
      <c r="BJ2853">
        <v>1</v>
      </c>
      <c r="BK2853">
        <v>1</v>
      </c>
      <c r="BL2853">
        <v>0</v>
      </c>
      <c r="BO2853">
        <v>0</v>
      </c>
      <c r="BP2853">
        <v>0</v>
      </c>
      <c r="BW2853" t="str">
        <f>"20:29:43.896"</f>
        <v>20:29:43.896</v>
      </c>
      <c r="BZ2853">
        <v>0</v>
      </c>
      <c r="CA2853">
        <v>1792</v>
      </c>
      <c r="CB2853">
        <v>224</v>
      </c>
      <c r="CD2853">
        <v>1</v>
      </c>
      <c r="CE2853">
        <v>0</v>
      </c>
      <c r="CF2853">
        <v>0</v>
      </c>
      <c r="CG2853">
        <v>1</v>
      </c>
      <c r="CH2853">
        <v>0</v>
      </c>
      <c r="CI2853">
        <v>0</v>
      </c>
      <c r="CJ2853">
        <v>0</v>
      </c>
      <c r="CK2853">
        <v>2</v>
      </c>
      <c r="CL2853">
        <v>0</v>
      </c>
      <c r="CM2853">
        <v>2</v>
      </c>
      <c r="CN2853">
        <v>0</v>
      </c>
      <c r="CO2853">
        <v>2</v>
      </c>
      <c r="CP2853" t="s">
        <v>119</v>
      </c>
      <c r="CQ2853">
        <v>179</v>
      </c>
      <c r="CR2853">
        <v>1</v>
      </c>
      <c r="CW2853">
        <v>9100114</v>
      </c>
      <c r="CY2853">
        <v>1</v>
      </c>
      <c r="CZ2853">
        <v>0</v>
      </c>
      <c r="DA2853">
        <v>1</v>
      </c>
      <c r="DB2853">
        <v>0</v>
      </c>
      <c r="DC2853">
        <v>0</v>
      </c>
      <c r="DD2853">
        <v>0</v>
      </c>
      <c r="DE2853">
        <v>0</v>
      </c>
      <c r="DF2853">
        <v>0</v>
      </c>
      <c r="DG2853">
        <v>0</v>
      </c>
      <c r="DH2853">
        <v>0</v>
      </c>
      <c r="DI2853">
        <v>0</v>
      </c>
    </row>
    <row r="2854" spans="1:113" x14ac:dyDescent="0.3">
      <c r="A2854" t="str">
        <f>"02/08/2021 20:29:41.561"</f>
        <v>02/08/2021 20:29:41.561</v>
      </c>
      <c r="C2854" t="str">
        <f t="shared" si="135"/>
        <v>FFDFD7C0</v>
      </c>
      <c r="D2854" t="s">
        <v>124</v>
      </c>
      <c r="E2854">
        <v>12</v>
      </c>
      <c r="F2854">
        <v>1012</v>
      </c>
      <c r="G2854" t="s">
        <v>675</v>
      </c>
      <c r="J2854" t="s">
        <v>125</v>
      </c>
      <c r="K2854">
        <v>0</v>
      </c>
      <c r="L2854">
        <v>3</v>
      </c>
      <c r="M2854">
        <v>0</v>
      </c>
      <c r="N2854">
        <v>2</v>
      </c>
      <c r="O2854">
        <v>1</v>
      </c>
      <c r="P2854">
        <v>0</v>
      </c>
      <c r="Q2854">
        <v>0</v>
      </c>
      <c r="S2854" t="str">
        <f>"20:29:43.891"</f>
        <v>20:29:43.891</v>
      </c>
      <c r="T2854" t="str">
        <f>"20:29:43.391"</f>
        <v>20:29:43.391</v>
      </c>
      <c r="U2854" t="str">
        <f t="shared" si="137"/>
        <v>AB01F4</v>
      </c>
      <c r="V2854">
        <v>0</v>
      </c>
      <c r="W2854">
        <v>0</v>
      </c>
      <c r="X2854">
        <v>2</v>
      </c>
      <c r="Z2854">
        <v>0</v>
      </c>
      <c r="AA2854">
        <v>9</v>
      </c>
      <c r="AB2854">
        <v>3</v>
      </c>
      <c r="AC2854">
        <v>0</v>
      </c>
      <c r="AD2854">
        <v>10</v>
      </c>
      <c r="AE2854">
        <v>0</v>
      </c>
      <c r="AF2854">
        <v>3</v>
      </c>
      <c r="AG2854">
        <v>2</v>
      </c>
      <c r="AH2854">
        <v>0</v>
      </c>
      <c r="AI2854" t="s">
        <v>1675</v>
      </c>
      <c r="AJ2854">
        <v>40.027977999999997</v>
      </c>
      <c r="AK2854" t="s">
        <v>1676</v>
      </c>
      <c r="AL2854">
        <v>-92.812692999999996</v>
      </c>
      <c r="AM2854">
        <v>100</v>
      </c>
      <c r="AN2854">
        <v>1500</v>
      </c>
      <c r="AO2854" t="s">
        <v>118</v>
      </c>
      <c r="AP2854">
        <v>-135</v>
      </c>
      <c r="AQ2854">
        <v>30</v>
      </c>
      <c r="AR2854">
        <v>-64</v>
      </c>
      <c r="AZ2854">
        <v>1200</v>
      </c>
      <c r="BA2854">
        <v>1</v>
      </c>
      <c r="BB2854" t="str">
        <f t="shared" si="136"/>
        <v xml:space="preserve">N8080G  </v>
      </c>
      <c r="BC2854">
        <v>1</v>
      </c>
      <c r="BE2854">
        <v>0</v>
      </c>
      <c r="BF2854">
        <v>0</v>
      </c>
      <c r="BG2854">
        <v>0</v>
      </c>
      <c r="BH2854">
        <v>1500</v>
      </c>
      <c r="BI2854">
        <v>1</v>
      </c>
      <c r="BJ2854">
        <v>1</v>
      </c>
      <c r="BK2854">
        <v>1</v>
      </c>
      <c r="BL2854">
        <v>0</v>
      </c>
      <c r="BO2854">
        <v>0</v>
      </c>
      <c r="BP2854">
        <v>0</v>
      </c>
      <c r="BW2854" t="str">
        <f>"20:29:43.896"</f>
        <v>20:29:43.896</v>
      </c>
      <c r="BZ2854">
        <v>0</v>
      </c>
      <c r="CA2854">
        <v>1792</v>
      </c>
      <c r="CB2854">
        <v>224</v>
      </c>
      <c r="CD2854">
        <v>1</v>
      </c>
      <c r="CE2854">
        <v>0</v>
      </c>
      <c r="CF2854">
        <v>0</v>
      </c>
      <c r="CG2854">
        <v>1</v>
      </c>
      <c r="CH2854">
        <v>0</v>
      </c>
      <c r="CI2854">
        <v>0</v>
      </c>
      <c r="CJ2854">
        <v>0</v>
      </c>
      <c r="CK2854">
        <v>2</v>
      </c>
      <c r="CL2854">
        <v>0</v>
      </c>
      <c r="CM2854">
        <v>2</v>
      </c>
      <c r="CN2854">
        <v>0</v>
      </c>
      <c r="CO2854">
        <v>2</v>
      </c>
      <c r="CP2854" t="s">
        <v>119</v>
      </c>
      <c r="CQ2854">
        <v>179</v>
      </c>
      <c r="CR2854">
        <v>1</v>
      </c>
      <c r="CW2854">
        <v>9100114</v>
      </c>
      <c r="CY2854">
        <v>1</v>
      </c>
      <c r="CZ2854">
        <v>0</v>
      </c>
      <c r="DA2854">
        <v>1</v>
      </c>
      <c r="DB2854">
        <v>0</v>
      </c>
      <c r="DC2854">
        <v>0</v>
      </c>
      <c r="DD2854">
        <v>0</v>
      </c>
      <c r="DE2854">
        <v>0</v>
      </c>
      <c r="DF2854">
        <v>0</v>
      </c>
      <c r="DG2854">
        <v>0</v>
      </c>
      <c r="DH2854">
        <v>0</v>
      </c>
      <c r="DI2854">
        <v>0</v>
      </c>
    </row>
    <row r="2855" spans="1:113" x14ac:dyDescent="0.3">
      <c r="A2855" t="str">
        <f>"02/08/2021 20:29:42.376"</f>
        <v>02/08/2021 20:29:42.376</v>
      </c>
      <c r="C2855" t="str">
        <f t="shared" si="135"/>
        <v>FFDFD7C0</v>
      </c>
      <c r="D2855" t="s">
        <v>124</v>
      </c>
      <c r="E2855">
        <v>11</v>
      </c>
      <c r="F2855">
        <v>1011</v>
      </c>
      <c r="G2855" t="s">
        <v>590</v>
      </c>
      <c r="J2855" t="s">
        <v>125</v>
      </c>
      <c r="K2855">
        <v>0</v>
      </c>
      <c r="L2855">
        <v>3</v>
      </c>
      <c r="M2855">
        <v>0</v>
      </c>
      <c r="N2855">
        <v>2</v>
      </c>
      <c r="O2855">
        <v>1</v>
      </c>
      <c r="P2855">
        <v>0</v>
      </c>
      <c r="Q2855">
        <v>0</v>
      </c>
      <c r="S2855" t="str">
        <f>"20:29:44.727"</f>
        <v>20:29:44.727</v>
      </c>
      <c r="T2855" t="str">
        <f>"20:29:44.327"</f>
        <v>20:29:44.327</v>
      </c>
      <c r="U2855" t="str">
        <f t="shared" si="137"/>
        <v>AB01F4</v>
      </c>
      <c r="V2855">
        <v>0</v>
      </c>
      <c r="W2855">
        <v>0</v>
      </c>
      <c r="X2855">
        <v>2</v>
      </c>
      <c r="Z2855">
        <v>0</v>
      </c>
      <c r="AA2855">
        <v>9</v>
      </c>
      <c r="AB2855">
        <v>3</v>
      </c>
      <c r="AC2855">
        <v>0</v>
      </c>
      <c r="AD2855">
        <v>10</v>
      </c>
      <c r="AE2855">
        <v>0</v>
      </c>
      <c r="AF2855">
        <v>3</v>
      </c>
      <c r="AG2855">
        <v>2</v>
      </c>
      <c r="AH2855">
        <v>0</v>
      </c>
      <c r="AI2855" t="s">
        <v>1677</v>
      </c>
      <c r="AJ2855">
        <v>40.028129</v>
      </c>
      <c r="AK2855" t="s">
        <v>1678</v>
      </c>
      <c r="AL2855">
        <v>-92.813423</v>
      </c>
      <c r="AM2855">
        <v>100</v>
      </c>
      <c r="AN2855">
        <v>1500</v>
      </c>
      <c r="AO2855" t="s">
        <v>118</v>
      </c>
      <c r="AP2855">
        <v>-135</v>
      </c>
      <c r="AQ2855">
        <v>30</v>
      </c>
      <c r="AR2855">
        <v>0</v>
      </c>
      <c r="AZ2855">
        <v>1200</v>
      </c>
      <c r="BA2855">
        <v>1</v>
      </c>
      <c r="BB2855" t="str">
        <f t="shared" si="136"/>
        <v xml:space="preserve">N8080G  </v>
      </c>
      <c r="BC2855">
        <v>1</v>
      </c>
      <c r="BE2855">
        <v>0</v>
      </c>
      <c r="BF2855">
        <v>0</v>
      </c>
      <c r="BG2855">
        <v>0</v>
      </c>
      <c r="BH2855">
        <v>1500</v>
      </c>
      <c r="BI2855">
        <v>1</v>
      </c>
      <c r="BJ2855">
        <v>1</v>
      </c>
      <c r="BK2855">
        <v>1</v>
      </c>
      <c r="BL2855">
        <v>0</v>
      </c>
      <c r="BO2855">
        <v>0</v>
      </c>
      <c r="BP2855">
        <v>0</v>
      </c>
      <c r="BW2855" t="str">
        <f>"20:29:44.731"</f>
        <v>20:29:44.731</v>
      </c>
      <c r="BZ2855">
        <v>0</v>
      </c>
      <c r="CA2855">
        <v>1792</v>
      </c>
      <c r="CB2855">
        <v>224</v>
      </c>
      <c r="CD2855">
        <v>1</v>
      </c>
      <c r="CE2855">
        <v>0</v>
      </c>
      <c r="CF2855">
        <v>0</v>
      </c>
      <c r="CG2855">
        <v>1</v>
      </c>
      <c r="CH2855">
        <v>0</v>
      </c>
      <c r="CI2855">
        <v>0</v>
      </c>
      <c r="CJ2855">
        <v>0</v>
      </c>
      <c r="CK2855">
        <v>2</v>
      </c>
      <c r="CL2855">
        <v>0</v>
      </c>
      <c r="CM2855">
        <v>2</v>
      </c>
      <c r="CN2855">
        <v>0</v>
      </c>
      <c r="CO2855">
        <v>7</v>
      </c>
      <c r="CP2855" t="s">
        <v>119</v>
      </c>
      <c r="CQ2855">
        <v>180</v>
      </c>
      <c r="CR2855">
        <v>2</v>
      </c>
      <c r="CW2855">
        <v>8642458</v>
      </c>
      <c r="CY2855">
        <v>1</v>
      </c>
      <c r="CZ2855">
        <v>0</v>
      </c>
      <c r="DA2855">
        <v>0</v>
      </c>
      <c r="DB2855">
        <v>0</v>
      </c>
      <c r="DC2855">
        <v>0</v>
      </c>
      <c r="DD2855">
        <v>0</v>
      </c>
      <c r="DE2855">
        <v>0</v>
      </c>
      <c r="DF2855">
        <v>0</v>
      </c>
      <c r="DG2855">
        <v>0</v>
      </c>
      <c r="DH2855">
        <v>0</v>
      </c>
      <c r="DI2855">
        <v>0</v>
      </c>
    </row>
    <row r="2856" spans="1:113" x14ac:dyDescent="0.3">
      <c r="A2856" t="str">
        <f>"02/08/2021 20:29:42.376"</f>
        <v>02/08/2021 20:29:42.376</v>
      </c>
      <c r="C2856" t="str">
        <f t="shared" si="135"/>
        <v>FFDFD7C0</v>
      </c>
      <c r="D2856" t="s">
        <v>124</v>
      </c>
      <c r="E2856">
        <v>13</v>
      </c>
      <c r="F2856">
        <v>1013</v>
      </c>
      <c r="G2856" t="s">
        <v>114</v>
      </c>
      <c r="J2856" t="s">
        <v>125</v>
      </c>
      <c r="K2856">
        <v>0</v>
      </c>
      <c r="L2856">
        <v>3</v>
      </c>
      <c r="M2856">
        <v>0</v>
      </c>
      <c r="N2856">
        <v>2</v>
      </c>
      <c r="O2856">
        <v>1</v>
      </c>
      <c r="P2856">
        <v>0</v>
      </c>
      <c r="Q2856">
        <v>0</v>
      </c>
      <c r="S2856" t="str">
        <f>"20:29:44.727"</f>
        <v>20:29:44.727</v>
      </c>
      <c r="T2856" t="str">
        <f>"20:29:44.327"</f>
        <v>20:29:44.327</v>
      </c>
      <c r="U2856" t="str">
        <f t="shared" si="137"/>
        <v>AB01F4</v>
      </c>
      <c r="V2856">
        <v>0</v>
      </c>
      <c r="W2856">
        <v>0</v>
      </c>
      <c r="X2856">
        <v>2</v>
      </c>
      <c r="Z2856">
        <v>0</v>
      </c>
      <c r="AA2856">
        <v>9</v>
      </c>
      <c r="AB2856">
        <v>3</v>
      </c>
      <c r="AC2856">
        <v>0</v>
      </c>
      <c r="AD2856">
        <v>10</v>
      </c>
      <c r="AE2856">
        <v>0</v>
      </c>
      <c r="AF2856">
        <v>3</v>
      </c>
      <c r="AG2856">
        <v>2</v>
      </c>
      <c r="AH2856">
        <v>0</v>
      </c>
      <c r="AI2856" t="s">
        <v>1677</v>
      </c>
      <c r="AJ2856">
        <v>40.028129</v>
      </c>
      <c r="AK2856" t="s">
        <v>1678</v>
      </c>
      <c r="AL2856">
        <v>-92.813423</v>
      </c>
      <c r="AM2856">
        <v>100</v>
      </c>
      <c r="AN2856">
        <v>1500</v>
      </c>
      <c r="AO2856" t="s">
        <v>118</v>
      </c>
      <c r="AP2856">
        <v>-135</v>
      </c>
      <c r="AQ2856">
        <v>30</v>
      </c>
      <c r="AR2856">
        <v>0</v>
      </c>
      <c r="AZ2856">
        <v>1200</v>
      </c>
      <c r="BA2856">
        <v>1</v>
      </c>
      <c r="BB2856" t="str">
        <f t="shared" si="136"/>
        <v xml:space="preserve">N8080G  </v>
      </c>
      <c r="BC2856">
        <v>1</v>
      </c>
      <c r="BE2856">
        <v>0</v>
      </c>
      <c r="BF2856">
        <v>0</v>
      </c>
      <c r="BG2856">
        <v>0</v>
      </c>
      <c r="BH2856">
        <v>1500</v>
      </c>
      <c r="BI2856">
        <v>1</v>
      </c>
      <c r="BJ2856">
        <v>1</v>
      </c>
      <c r="BK2856">
        <v>1</v>
      </c>
      <c r="BL2856">
        <v>0</v>
      </c>
      <c r="BO2856">
        <v>0</v>
      </c>
      <c r="BP2856">
        <v>0</v>
      </c>
      <c r="BW2856" t="str">
        <f>"20:29:44.731"</f>
        <v>20:29:44.731</v>
      </c>
      <c r="BZ2856">
        <v>0</v>
      </c>
      <c r="CA2856">
        <v>1792</v>
      </c>
      <c r="CB2856">
        <v>224</v>
      </c>
      <c r="CD2856">
        <v>1</v>
      </c>
      <c r="CE2856">
        <v>0</v>
      </c>
      <c r="CF2856">
        <v>0</v>
      </c>
      <c r="CG2856">
        <v>1</v>
      </c>
      <c r="CH2856">
        <v>0</v>
      </c>
      <c r="CI2856">
        <v>0</v>
      </c>
      <c r="CJ2856">
        <v>0</v>
      </c>
      <c r="CK2856">
        <v>2</v>
      </c>
      <c r="CL2856">
        <v>0</v>
      </c>
      <c r="CM2856">
        <v>2</v>
      </c>
      <c r="CN2856">
        <v>0</v>
      </c>
      <c r="CO2856">
        <v>7</v>
      </c>
      <c r="CP2856" t="s">
        <v>119</v>
      </c>
      <c r="CQ2856">
        <v>180</v>
      </c>
      <c r="CR2856">
        <v>2</v>
      </c>
      <c r="CW2856">
        <v>8642458</v>
      </c>
      <c r="CY2856">
        <v>1</v>
      </c>
      <c r="CZ2856">
        <v>0</v>
      </c>
      <c r="DA2856">
        <v>1</v>
      </c>
      <c r="DB2856">
        <v>0</v>
      </c>
      <c r="DC2856">
        <v>0</v>
      </c>
      <c r="DD2856">
        <v>0</v>
      </c>
      <c r="DE2856">
        <v>0</v>
      </c>
      <c r="DF2856">
        <v>0</v>
      </c>
      <c r="DG2856">
        <v>0</v>
      </c>
      <c r="DH2856">
        <v>0</v>
      </c>
      <c r="DI2856">
        <v>0</v>
      </c>
    </row>
    <row r="2857" spans="1:113" x14ac:dyDescent="0.3">
      <c r="A2857" t="str">
        <f>"02/08/2021 20:29:42.376"</f>
        <v>02/08/2021 20:29:42.376</v>
      </c>
      <c r="C2857" t="str">
        <f t="shared" si="135"/>
        <v>FFDFD7C0</v>
      </c>
      <c r="D2857" t="s">
        <v>124</v>
      </c>
      <c r="E2857">
        <v>12</v>
      </c>
      <c r="F2857">
        <v>1012</v>
      </c>
      <c r="G2857" t="s">
        <v>675</v>
      </c>
      <c r="J2857" t="s">
        <v>125</v>
      </c>
      <c r="K2857">
        <v>0</v>
      </c>
      <c r="L2857">
        <v>3</v>
      </c>
      <c r="M2857">
        <v>0</v>
      </c>
      <c r="N2857">
        <v>2</v>
      </c>
      <c r="O2857">
        <v>1</v>
      </c>
      <c r="P2857">
        <v>0</v>
      </c>
      <c r="Q2857">
        <v>0</v>
      </c>
      <c r="S2857" t="str">
        <f>"20:29:44.727"</f>
        <v>20:29:44.727</v>
      </c>
      <c r="T2857" t="str">
        <f>"20:29:44.327"</f>
        <v>20:29:44.327</v>
      </c>
      <c r="U2857" t="str">
        <f t="shared" si="137"/>
        <v>AB01F4</v>
      </c>
      <c r="V2857">
        <v>0</v>
      </c>
      <c r="W2857">
        <v>0</v>
      </c>
      <c r="X2857">
        <v>2</v>
      </c>
      <c r="Z2857">
        <v>0</v>
      </c>
      <c r="AA2857">
        <v>9</v>
      </c>
      <c r="AB2857">
        <v>3</v>
      </c>
      <c r="AC2857">
        <v>0</v>
      </c>
      <c r="AD2857">
        <v>10</v>
      </c>
      <c r="AE2857">
        <v>0</v>
      </c>
      <c r="AF2857">
        <v>3</v>
      </c>
      <c r="AG2857">
        <v>2</v>
      </c>
      <c r="AH2857">
        <v>0</v>
      </c>
      <c r="AI2857" t="s">
        <v>1677</v>
      </c>
      <c r="AJ2857">
        <v>40.028129</v>
      </c>
      <c r="AK2857" t="s">
        <v>1678</v>
      </c>
      <c r="AL2857">
        <v>-92.813423</v>
      </c>
      <c r="AM2857">
        <v>100</v>
      </c>
      <c r="AN2857">
        <v>1500</v>
      </c>
      <c r="AO2857" t="s">
        <v>118</v>
      </c>
      <c r="AP2857">
        <v>-135</v>
      </c>
      <c r="AQ2857">
        <v>30</v>
      </c>
      <c r="AR2857">
        <v>0</v>
      </c>
      <c r="AZ2857">
        <v>1200</v>
      </c>
      <c r="BA2857">
        <v>1</v>
      </c>
      <c r="BB2857" t="str">
        <f t="shared" si="136"/>
        <v xml:space="preserve">N8080G  </v>
      </c>
      <c r="BC2857">
        <v>1</v>
      </c>
      <c r="BE2857">
        <v>0</v>
      </c>
      <c r="BF2857">
        <v>0</v>
      </c>
      <c r="BG2857">
        <v>0</v>
      </c>
      <c r="BH2857">
        <v>1500</v>
      </c>
      <c r="BI2857">
        <v>1</v>
      </c>
      <c r="BJ2857">
        <v>1</v>
      </c>
      <c r="BK2857">
        <v>1</v>
      </c>
      <c r="BL2857">
        <v>0</v>
      </c>
      <c r="BO2857">
        <v>0</v>
      </c>
      <c r="BP2857">
        <v>0</v>
      </c>
      <c r="BW2857" t="str">
        <f>"20:29:44.731"</f>
        <v>20:29:44.731</v>
      </c>
      <c r="BZ2857">
        <v>0</v>
      </c>
      <c r="CA2857">
        <v>1792</v>
      </c>
      <c r="CB2857">
        <v>224</v>
      </c>
      <c r="CD2857">
        <v>1</v>
      </c>
      <c r="CE2857">
        <v>0</v>
      </c>
      <c r="CF2857">
        <v>0</v>
      </c>
      <c r="CG2857">
        <v>1</v>
      </c>
      <c r="CH2857">
        <v>0</v>
      </c>
      <c r="CI2857">
        <v>0</v>
      </c>
      <c r="CJ2857">
        <v>0</v>
      </c>
      <c r="CK2857">
        <v>2</v>
      </c>
      <c r="CL2857">
        <v>0</v>
      </c>
      <c r="CM2857">
        <v>2</v>
      </c>
      <c r="CN2857">
        <v>0</v>
      </c>
      <c r="CO2857">
        <v>7</v>
      </c>
      <c r="CP2857" t="s">
        <v>119</v>
      </c>
      <c r="CQ2857">
        <v>180</v>
      </c>
      <c r="CR2857">
        <v>2</v>
      </c>
      <c r="CW2857">
        <v>8642458</v>
      </c>
      <c r="CY2857">
        <v>1</v>
      </c>
      <c r="CZ2857">
        <v>0</v>
      </c>
      <c r="DA2857">
        <v>1</v>
      </c>
      <c r="DB2857">
        <v>0</v>
      </c>
      <c r="DC2857">
        <v>0</v>
      </c>
      <c r="DD2857">
        <v>0</v>
      </c>
      <c r="DE2857">
        <v>0</v>
      </c>
      <c r="DF2857">
        <v>0</v>
      </c>
      <c r="DG2857">
        <v>0</v>
      </c>
      <c r="DH2857">
        <v>0</v>
      </c>
      <c r="DI2857">
        <v>0</v>
      </c>
    </row>
    <row r="2858" spans="1:113" x14ac:dyDescent="0.3">
      <c r="A2858" t="str">
        <f>"02/08/2021 20:29:42.376"</f>
        <v>02/08/2021 20:29:42.376</v>
      </c>
      <c r="C2858" t="str">
        <f t="shared" si="135"/>
        <v>FFDFD7C0</v>
      </c>
      <c r="D2858" t="s">
        <v>113</v>
      </c>
      <c r="E2858">
        <v>6</v>
      </c>
      <c r="H2858">
        <v>165</v>
      </c>
      <c r="I2858" t="s">
        <v>114</v>
      </c>
      <c r="J2858" t="s">
        <v>115</v>
      </c>
      <c r="K2858">
        <v>0</v>
      </c>
      <c r="L2858">
        <v>3</v>
      </c>
      <c r="M2858">
        <v>0</v>
      </c>
      <c r="N2858">
        <v>2</v>
      </c>
      <c r="O2858">
        <v>1</v>
      </c>
      <c r="P2858">
        <v>0</v>
      </c>
      <c r="Q2858">
        <v>0</v>
      </c>
      <c r="S2858" t="str">
        <f>"20:29:44.727"</f>
        <v>20:29:44.727</v>
      </c>
      <c r="T2858" t="str">
        <f>"20:29:44.327"</f>
        <v>20:29:44.327</v>
      </c>
      <c r="U2858" t="str">
        <f t="shared" si="137"/>
        <v>AB01F4</v>
      </c>
      <c r="V2858">
        <v>0</v>
      </c>
      <c r="W2858">
        <v>0</v>
      </c>
      <c r="X2858">
        <v>2</v>
      </c>
      <c r="Z2858">
        <v>0</v>
      </c>
      <c r="AA2858">
        <v>9</v>
      </c>
      <c r="AB2858">
        <v>3</v>
      </c>
      <c r="AC2858">
        <v>0</v>
      </c>
      <c r="AD2858">
        <v>10</v>
      </c>
      <c r="AE2858">
        <v>0</v>
      </c>
      <c r="AF2858">
        <v>3</v>
      </c>
      <c r="AG2858">
        <v>2</v>
      </c>
      <c r="AH2858">
        <v>0</v>
      </c>
      <c r="AI2858" t="s">
        <v>1677</v>
      </c>
      <c r="AJ2858">
        <v>40.028129</v>
      </c>
      <c r="AK2858" t="s">
        <v>1678</v>
      </c>
      <c r="AL2858">
        <v>-92.813423</v>
      </c>
      <c r="AM2858">
        <v>100</v>
      </c>
      <c r="AN2858">
        <v>1500</v>
      </c>
      <c r="AO2858" t="s">
        <v>118</v>
      </c>
      <c r="AP2858">
        <v>-135</v>
      </c>
      <c r="AQ2858">
        <v>30</v>
      </c>
      <c r="AR2858">
        <v>0</v>
      </c>
      <c r="AZ2858">
        <v>1200</v>
      </c>
      <c r="BA2858">
        <v>1</v>
      </c>
      <c r="BB2858" t="str">
        <f t="shared" si="136"/>
        <v xml:space="preserve">N8080G  </v>
      </c>
      <c r="BC2858">
        <v>1</v>
      </c>
      <c r="BE2858">
        <v>0</v>
      </c>
      <c r="BF2858">
        <v>0</v>
      </c>
      <c r="BG2858">
        <v>0</v>
      </c>
      <c r="BH2858">
        <v>1500</v>
      </c>
      <c r="BI2858">
        <v>1</v>
      </c>
      <c r="BJ2858">
        <v>1</v>
      </c>
      <c r="BK2858">
        <v>1</v>
      </c>
      <c r="BL2858">
        <v>0</v>
      </c>
      <c r="BO2858">
        <v>0</v>
      </c>
      <c r="BP2858">
        <v>0</v>
      </c>
      <c r="BW2858" t="str">
        <f>"20:29:44.731"</f>
        <v>20:29:44.731</v>
      </c>
      <c r="BZ2858">
        <v>0</v>
      </c>
      <c r="CA2858">
        <v>1792</v>
      </c>
      <c r="CB2858">
        <v>224</v>
      </c>
      <c r="CD2858">
        <v>1</v>
      </c>
      <c r="CE2858">
        <v>0</v>
      </c>
      <c r="CF2858">
        <v>0</v>
      </c>
      <c r="CG2858">
        <v>1</v>
      </c>
      <c r="CH2858">
        <v>0</v>
      </c>
      <c r="CI2858">
        <v>0</v>
      </c>
      <c r="CJ2858">
        <v>0</v>
      </c>
      <c r="CK2858">
        <v>2</v>
      </c>
      <c r="CL2858">
        <v>0</v>
      </c>
      <c r="CM2858">
        <v>2</v>
      </c>
      <c r="CN2858">
        <v>0</v>
      </c>
      <c r="CO2858">
        <v>7</v>
      </c>
      <c r="CP2858" t="s">
        <v>119</v>
      </c>
      <c r="CQ2858">
        <v>180</v>
      </c>
      <c r="CR2858">
        <v>2</v>
      </c>
      <c r="CW2858">
        <v>8642458</v>
      </c>
      <c r="CY2858">
        <v>1</v>
      </c>
      <c r="CZ2858">
        <v>0</v>
      </c>
      <c r="DA2858">
        <v>1</v>
      </c>
      <c r="DB2858">
        <v>0</v>
      </c>
      <c r="DC2858">
        <v>0</v>
      </c>
      <c r="DD2858">
        <v>0</v>
      </c>
      <c r="DE2858">
        <v>0</v>
      </c>
      <c r="DF2858">
        <v>0</v>
      </c>
      <c r="DG2858">
        <v>0</v>
      </c>
      <c r="DH2858">
        <v>0</v>
      </c>
      <c r="DI2858">
        <v>0</v>
      </c>
    </row>
    <row r="2859" spans="1:113" x14ac:dyDescent="0.3">
      <c r="A2859" t="str">
        <f>"02/08/2021 20:29:45.476"</f>
        <v>02/08/2021 20:29:45.476</v>
      </c>
      <c r="C2859" t="str">
        <f t="shared" si="135"/>
        <v>FFDFD7C0</v>
      </c>
      <c r="D2859" t="s">
        <v>124</v>
      </c>
      <c r="E2859">
        <v>12</v>
      </c>
      <c r="F2859">
        <v>1012</v>
      </c>
      <c r="G2859" t="s">
        <v>675</v>
      </c>
      <c r="J2859" t="s">
        <v>125</v>
      </c>
      <c r="K2859">
        <v>0</v>
      </c>
      <c r="L2859">
        <v>3</v>
      </c>
      <c r="M2859">
        <v>0</v>
      </c>
      <c r="N2859">
        <v>2</v>
      </c>
      <c r="O2859">
        <v>1</v>
      </c>
      <c r="P2859">
        <v>0</v>
      </c>
      <c r="Q2859">
        <v>0</v>
      </c>
      <c r="S2859" t="str">
        <f>"20:29:47.828"</f>
        <v>20:29:47.828</v>
      </c>
      <c r="T2859" t="str">
        <f>"20:29:47.328"</f>
        <v>20:29:47.328</v>
      </c>
      <c r="U2859" t="str">
        <f t="shared" si="137"/>
        <v>AB01F4</v>
      </c>
      <c r="V2859">
        <v>0</v>
      </c>
      <c r="W2859">
        <v>0</v>
      </c>
      <c r="X2859">
        <v>2</v>
      </c>
      <c r="Z2859">
        <v>0</v>
      </c>
      <c r="AA2859">
        <v>9</v>
      </c>
      <c r="AB2859">
        <v>3</v>
      </c>
      <c r="AC2859">
        <v>0</v>
      </c>
      <c r="AD2859">
        <v>10</v>
      </c>
      <c r="AE2859">
        <v>0</v>
      </c>
      <c r="AF2859">
        <v>3</v>
      </c>
      <c r="AG2859">
        <v>2</v>
      </c>
      <c r="AH2859">
        <v>0</v>
      </c>
      <c r="AI2859" t="s">
        <v>1679</v>
      </c>
      <c r="AJ2859">
        <v>40.028536000000003</v>
      </c>
      <c r="AK2859" t="s">
        <v>1680</v>
      </c>
      <c r="AL2859">
        <v>-92.815933000000001</v>
      </c>
      <c r="AM2859">
        <v>100</v>
      </c>
      <c r="AN2859">
        <v>1500</v>
      </c>
      <c r="AO2859" t="s">
        <v>118</v>
      </c>
      <c r="AP2859">
        <v>-134</v>
      </c>
      <c r="AQ2859">
        <v>29</v>
      </c>
      <c r="AR2859">
        <v>-64</v>
      </c>
      <c r="AZ2859">
        <v>1200</v>
      </c>
      <c r="BA2859">
        <v>1</v>
      </c>
      <c r="BB2859" t="str">
        <f t="shared" si="136"/>
        <v xml:space="preserve">N8080G  </v>
      </c>
      <c r="BC2859">
        <v>1</v>
      </c>
      <c r="BE2859">
        <v>0</v>
      </c>
      <c r="BF2859">
        <v>0</v>
      </c>
      <c r="BG2859">
        <v>0</v>
      </c>
      <c r="BH2859">
        <v>1500</v>
      </c>
      <c r="BI2859">
        <v>1</v>
      </c>
      <c r="BJ2859">
        <v>1</v>
      </c>
      <c r="BK2859">
        <v>1</v>
      </c>
      <c r="BL2859">
        <v>0</v>
      </c>
      <c r="BO2859">
        <v>0</v>
      </c>
      <c r="BP2859">
        <v>0</v>
      </c>
      <c r="BW2859" t="str">
        <f>"20:29:47.833"</f>
        <v>20:29:47.833</v>
      </c>
      <c r="BZ2859">
        <v>0</v>
      </c>
      <c r="CA2859">
        <v>1792</v>
      </c>
      <c r="CB2859">
        <v>224</v>
      </c>
      <c r="CD2859">
        <v>1</v>
      </c>
      <c r="CE2859">
        <v>0</v>
      </c>
      <c r="CF2859">
        <v>0</v>
      </c>
      <c r="CG2859">
        <v>1</v>
      </c>
      <c r="CH2859">
        <v>0</v>
      </c>
      <c r="CI2859">
        <v>0</v>
      </c>
      <c r="CJ2859">
        <v>0</v>
      </c>
      <c r="CK2859">
        <v>2</v>
      </c>
      <c r="CL2859">
        <v>0</v>
      </c>
      <c r="CM2859">
        <v>2</v>
      </c>
      <c r="CN2859">
        <v>0</v>
      </c>
      <c r="CO2859">
        <v>7</v>
      </c>
      <c r="CP2859" t="s">
        <v>119</v>
      </c>
      <c r="CQ2859">
        <v>180</v>
      </c>
      <c r="CR2859">
        <v>2</v>
      </c>
      <c r="CW2859">
        <v>8645128</v>
      </c>
      <c r="CY2859">
        <v>1</v>
      </c>
      <c r="CZ2859">
        <v>0</v>
      </c>
      <c r="DA2859">
        <v>0</v>
      </c>
      <c r="DB2859">
        <v>0</v>
      </c>
      <c r="DC2859">
        <v>0</v>
      </c>
      <c r="DD2859">
        <v>0</v>
      </c>
      <c r="DE2859">
        <v>0</v>
      </c>
      <c r="DF2859">
        <v>0</v>
      </c>
      <c r="DG2859">
        <v>0</v>
      </c>
      <c r="DH2859">
        <v>0</v>
      </c>
      <c r="DI2859">
        <v>0</v>
      </c>
    </row>
    <row r="2860" spans="1:113" x14ac:dyDescent="0.3">
      <c r="A2860" t="str">
        <f>"02/08/2021 20:29:45.476"</f>
        <v>02/08/2021 20:29:45.476</v>
      </c>
      <c r="C2860" t="str">
        <f t="shared" si="135"/>
        <v>FFDFD7C0</v>
      </c>
      <c r="D2860" t="s">
        <v>124</v>
      </c>
      <c r="E2860">
        <v>11</v>
      </c>
      <c r="F2860">
        <v>1011</v>
      </c>
      <c r="G2860" t="s">
        <v>590</v>
      </c>
      <c r="J2860" t="s">
        <v>125</v>
      </c>
      <c r="K2860">
        <v>0</v>
      </c>
      <c r="L2860">
        <v>3</v>
      </c>
      <c r="M2860">
        <v>0</v>
      </c>
      <c r="N2860">
        <v>2</v>
      </c>
      <c r="O2860">
        <v>1</v>
      </c>
      <c r="P2860">
        <v>0</v>
      </c>
      <c r="Q2860">
        <v>0</v>
      </c>
      <c r="S2860" t="str">
        <f>"20:29:47.828"</f>
        <v>20:29:47.828</v>
      </c>
      <c r="T2860" t="str">
        <f>"20:29:47.328"</f>
        <v>20:29:47.328</v>
      </c>
      <c r="U2860" t="str">
        <f t="shared" si="137"/>
        <v>AB01F4</v>
      </c>
      <c r="V2860">
        <v>0</v>
      </c>
      <c r="W2860">
        <v>0</v>
      </c>
      <c r="X2860">
        <v>2</v>
      </c>
      <c r="Z2860">
        <v>0</v>
      </c>
      <c r="AA2860">
        <v>9</v>
      </c>
      <c r="AB2860">
        <v>3</v>
      </c>
      <c r="AC2860">
        <v>0</v>
      </c>
      <c r="AD2860">
        <v>10</v>
      </c>
      <c r="AE2860">
        <v>0</v>
      </c>
      <c r="AF2860">
        <v>3</v>
      </c>
      <c r="AG2860">
        <v>2</v>
      </c>
      <c r="AH2860">
        <v>0</v>
      </c>
      <c r="AI2860" t="s">
        <v>1679</v>
      </c>
      <c r="AJ2860">
        <v>40.028536000000003</v>
      </c>
      <c r="AK2860" t="s">
        <v>1680</v>
      </c>
      <c r="AL2860">
        <v>-92.815933000000001</v>
      </c>
      <c r="AM2860">
        <v>100</v>
      </c>
      <c r="AN2860">
        <v>1500</v>
      </c>
      <c r="AO2860" t="s">
        <v>118</v>
      </c>
      <c r="AP2860">
        <v>-134</v>
      </c>
      <c r="AQ2860">
        <v>29</v>
      </c>
      <c r="AR2860">
        <v>-64</v>
      </c>
      <c r="AZ2860">
        <v>1200</v>
      </c>
      <c r="BA2860">
        <v>1</v>
      </c>
      <c r="BB2860" t="str">
        <f t="shared" si="136"/>
        <v xml:space="preserve">N8080G  </v>
      </c>
      <c r="BC2860">
        <v>1</v>
      </c>
      <c r="BE2860">
        <v>0</v>
      </c>
      <c r="BF2860">
        <v>0</v>
      </c>
      <c r="BG2860">
        <v>0</v>
      </c>
      <c r="BH2860">
        <v>1500</v>
      </c>
      <c r="BI2860">
        <v>1</v>
      </c>
      <c r="BJ2860">
        <v>1</v>
      </c>
      <c r="BK2860">
        <v>1</v>
      </c>
      <c r="BL2860">
        <v>0</v>
      </c>
      <c r="BO2860">
        <v>0</v>
      </c>
      <c r="BP2860">
        <v>0</v>
      </c>
      <c r="BW2860" t="str">
        <f>"20:29:47.833"</f>
        <v>20:29:47.833</v>
      </c>
      <c r="BZ2860">
        <v>0</v>
      </c>
      <c r="CA2860">
        <v>1792</v>
      </c>
      <c r="CB2860">
        <v>224</v>
      </c>
      <c r="CD2860">
        <v>1</v>
      </c>
      <c r="CE2860">
        <v>0</v>
      </c>
      <c r="CF2860">
        <v>0</v>
      </c>
      <c r="CG2860">
        <v>1</v>
      </c>
      <c r="CH2860">
        <v>0</v>
      </c>
      <c r="CI2860">
        <v>0</v>
      </c>
      <c r="CJ2860">
        <v>0</v>
      </c>
      <c r="CK2860">
        <v>2</v>
      </c>
      <c r="CL2860">
        <v>0</v>
      </c>
      <c r="CM2860">
        <v>2</v>
      </c>
      <c r="CN2860">
        <v>0</v>
      </c>
      <c r="CO2860">
        <v>7</v>
      </c>
      <c r="CP2860" t="s">
        <v>119</v>
      </c>
      <c r="CQ2860">
        <v>180</v>
      </c>
      <c r="CR2860">
        <v>2</v>
      </c>
      <c r="CW2860">
        <v>8645128</v>
      </c>
      <c r="CY2860">
        <v>1</v>
      </c>
      <c r="CZ2860">
        <v>0</v>
      </c>
      <c r="DA2860">
        <v>1</v>
      </c>
      <c r="DB2860">
        <v>0</v>
      </c>
      <c r="DC2860">
        <v>0</v>
      </c>
      <c r="DD2860">
        <v>0</v>
      </c>
      <c r="DE2860">
        <v>0</v>
      </c>
      <c r="DF2860">
        <v>0</v>
      </c>
      <c r="DG2860">
        <v>0</v>
      </c>
      <c r="DH2860">
        <v>0</v>
      </c>
      <c r="DI2860">
        <v>0</v>
      </c>
    </row>
    <row r="2861" spans="1:113" x14ac:dyDescent="0.3">
      <c r="A2861" t="str">
        <f>"02/08/2021 20:29:45.476"</f>
        <v>02/08/2021 20:29:45.476</v>
      </c>
      <c r="C2861" t="str">
        <f t="shared" si="135"/>
        <v>FFDFD7C0</v>
      </c>
      <c r="D2861" t="s">
        <v>113</v>
      </c>
      <c r="E2861">
        <v>6</v>
      </c>
      <c r="H2861">
        <v>165</v>
      </c>
      <c r="I2861" t="s">
        <v>114</v>
      </c>
      <c r="J2861" t="s">
        <v>115</v>
      </c>
      <c r="K2861">
        <v>0</v>
      </c>
      <c r="L2861">
        <v>3</v>
      </c>
      <c r="M2861">
        <v>0</v>
      </c>
      <c r="N2861">
        <v>2</v>
      </c>
      <c r="O2861">
        <v>1</v>
      </c>
      <c r="P2861">
        <v>0</v>
      </c>
      <c r="Q2861">
        <v>0</v>
      </c>
      <c r="S2861" t="str">
        <f>"20:29:47.828"</f>
        <v>20:29:47.828</v>
      </c>
      <c r="T2861" t="str">
        <f>"20:29:47.328"</f>
        <v>20:29:47.328</v>
      </c>
      <c r="U2861" t="str">
        <f t="shared" si="137"/>
        <v>AB01F4</v>
      </c>
      <c r="V2861">
        <v>0</v>
      </c>
      <c r="W2861">
        <v>0</v>
      </c>
      <c r="X2861">
        <v>2</v>
      </c>
      <c r="Z2861">
        <v>0</v>
      </c>
      <c r="AA2861">
        <v>9</v>
      </c>
      <c r="AB2861">
        <v>3</v>
      </c>
      <c r="AC2861">
        <v>0</v>
      </c>
      <c r="AD2861">
        <v>10</v>
      </c>
      <c r="AE2861">
        <v>0</v>
      </c>
      <c r="AF2861">
        <v>3</v>
      </c>
      <c r="AG2861">
        <v>2</v>
      </c>
      <c r="AH2861">
        <v>0</v>
      </c>
      <c r="AI2861" t="s">
        <v>1679</v>
      </c>
      <c r="AJ2861">
        <v>40.028536000000003</v>
      </c>
      <c r="AK2861" t="s">
        <v>1680</v>
      </c>
      <c r="AL2861">
        <v>-92.815933000000001</v>
      </c>
      <c r="AM2861">
        <v>100</v>
      </c>
      <c r="AN2861">
        <v>1500</v>
      </c>
      <c r="AO2861" t="s">
        <v>118</v>
      </c>
      <c r="AP2861">
        <v>-134</v>
      </c>
      <c r="AQ2861">
        <v>29</v>
      </c>
      <c r="AR2861">
        <v>-64</v>
      </c>
      <c r="AZ2861">
        <v>1200</v>
      </c>
      <c r="BA2861">
        <v>1</v>
      </c>
      <c r="BB2861" t="str">
        <f t="shared" si="136"/>
        <v xml:space="preserve">N8080G  </v>
      </c>
      <c r="BC2861">
        <v>1</v>
      </c>
      <c r="BE2861">
        <v>0</v>
      </c>
      <c r="BF2861">
        <v>0</v>
      </c>
      <c r="BG2861">
        <v>0</v>
      </c>
      <c r="BH2861">
        <v>1500</v>
      </c>
      <c r="BI2861">
        <v>1</v>
      </c>
      <c r="BJ2861">
        <v>1</v>
      </c>
      <c r="BK2861">
        <v>1</v>
      </c>
      <c r="BL2861">
        <v>0</v>
      </c>
      <c r="BO2861">
        <v>0</v>
      </c>
      <c r="BP2861">
        <v>0</v>
      </c>
      <c r="BW2861" t="str">
        <f>"20:29:47.833"</f>
        <v>20:29:47.833</v>
      </c>
      <c r="BZ2861">
        <v>0</v>
      </c>
      <c r="CA2861">
        <v>1792</v>
      </c>
      <c r="CB2861">
        <v>224</v>
      </c>
      <c r="CD2861">
        <v>1</v>
      </c>
      <c r="CE2861">
        <v>0</v>
      </c>
      <c r="CF2861">
        <v>0</v>
      </c>
      <c r="CG2861">
        <v>1</v>
      </c>
      <c r="CH2861">
        <v>0</v>
      </c>
      <c r="CI2861">
        <v>0</v>
      </c>
      <c r="CJ2861">
        <v>0</v>
      </c>
      <c r="CK2861">
        <v>2</v>
      </c>
      <c r="CL2861">
        <v>0</v>
      </c>
      <c r="CM2861">
        <v>2</v>
      </c>
      <c r="CN2861">
        <v>0</v>
      </c>
      <c r="CO2861">
        <v>7</v>
      </c>
      <c r="CP2861" t="s">
        <v>119</v>
      </c>
      <c r="CQ2861">
        <v>180</v>
      </c>
      <c r="CR2861">
        <v>2</v>
      </c>
      <c r="CW2861">
        <v>8645128</v>
      </c>
      <c r="CY2861">
        <v>1</v>
      </c>
      <c r="CZ2861">
        <v>0</v>
      </c>
      <c r="DA2861">
        <v>1</v>
      </c>
      <c r="DB2861">
        <v>0</v>
      </c>
      <c r="DC2861">
        <v>0</v>
      </c>
      <c r="DD2861">
        <v>0</v>
      </c>
      <c r="DE2861">
        <v>0</v>
      </c>
      <c r="DF2861">
        <v>0</v>
      </c>
      <c r="DG2861">
        <v>0</v>
      </c>
      <c r="DH2861">
        <v>0</v>
      </c>
      <c r="DI2861">
        <v>0</v>
      </c>
    </row>
    <row r="2862" spans="1:113" x14ac:dyDescent="0.3">
      <c r="A2862" t="str">
        <f>"02/08/2021 20:29:45.476"</f>
        <v>02/08/2021 20:29:45.476</v>
      </c>
      <c r="C2862" t="str">
        <f t="shared" si="135"/>
        <v>FFDFD7C0</v>
      </c>
      <c r="D2862" t="s">
        <v>124</v>
      </c>
      <c r="E2862">
        <v>13</v>
      </c>
      <c r="F2862">
        <v>1013</v>
      </c>
      <c r="G2862" t="s">
        <v>114</v>
      </c>
      <c r="J2862" t="s">
        <v>125</v>
      </c>
      <c r="K2862">
        <v>0</v>
      </c>
      <c r="L2862">
        <v>3</v>
      </c>
      <c r="M2862">
        <v>0</v>
      </c>
      <c r="N2862">
        <v>2</v>
      </c>
      <c r="O2862">
        <v>1</v>
      </c>
      <c r="P2862">
        <v>0</v>
      </c>
      <c r="Q2862">
        <v>0</v>
      </c>
      <c r="S2862" t="str">
        <f>"20:29:47.828"</f>
        <v>20:29:47.828</v>
      </c>
      <c r="T2862" t="str">
        <f>"20:29:47.328"</f>
        <v>20:29:47.328</v>
      </c>
      <c r="U2862" t="str">
        <f t="shared" si="137"/>
        <v>AB01F4</v>
      </c>
      <c r="V2862">
        <v>0</v>
      </c>
      <c r="W2862">
        <v>0</v>
      </c>
      <c r="X2862">
        <v>2</v>
      </c>
      <c r="Z2862">
        <v>0</v>
      </c>
      <c r="AA2862">
        <v>9</v>
      </c>
      <c r="AB2862">
        <v>3</v>
      </c>
      <c r="AC2862">
        <v>0</v>
      </c>
      <c r="AD2862">
        <v>10</v>
      </c>
      <c r="AE2862">
        <v>0</v>
      </c>
      <c r="AF2862">
        <v>3</v>
      </c>
      <c r="AG2862">
        <v>2</v>
      </c>
      <c r="AH2862">
        <v>0</v>
      </c>
      <c r="AI2862" t="s">
        <v>1679</v>
      </c>
      <c r="AJ2862">
        <v>40.028536000000003</v>
      </c>
      <c r="AK2862" t="s">
        <v>1680</v>
      </c>
      <c r="AL2862">
        <v>-92.815933000000001</v>
      </c>
      <c r="AM2862">
        <v>100</v>
      </c>
      <c r="AN2862">
        <v>1500</v>
      </c>
      <c r="AO2862" t="s">
        <v>118</v>
      </c>
      <c r="AP2862">
        <v>-134</v>
      </c>
      <c r="AQ2862">
        <v>29</v>
      </c>
      <c r="AR2862">
        <v>-64</v>
      </c>
      <c r="AZ2862">
        <v>1200</v>
      </c>
      <c r="BA2862">
        <v>1</v>
      </c>
      <c r="BB2862" t="str">
        <f t="shared" si="136"/>
        <v xml:space="preserve">N8080G  </v>
      </c>
      <c r="BC2862">
        <v>1</v>
      </c>
      <c r="BE2862">
        <v>0</v>
      </c>
      <c r="BF2862">
        <v>0</v>
      </c>
      <c r="BG2862">
        <v>0</v>
      </c>
      <c r="BH2862">
        <v>1500</v>
      </c>
      <c r="BI2862">
        <v>1</v>
      </c>
      <c r="BJ2862">
        <v>1</v>
      </c>
      <c r="BK2862">
        <v>1</v>
      </c>
      <c r="BL2862">
        <v>0</v>
      </c>
      <c r="BO2862">
        <v>0</v>
      </c>
      <c r="BP2862">
        <v>0</v>
      </c>
      <c r="BW2862" t="str">
        <f>"20:29:47.833"</f>
        <v>20:29:47.833</v>
      </c>
      <c r="BZ2862">
        <v>0</v>
      </c>
      <c r="CA2862">
        <v>1792</v>
      </c>
      <c r="CB2862">
        <v>224</v>
      </c>
      <c r="CD2862">
        <v>1</v>
      </c>
      <c r="CE2862">
        <v>0</v>
      </c>
      <c r="CF2862">
        <v>0</v>
      </c>
      <c r="CG2862">
        <v>1</v>
      </c>
      <c r="CH2862">
        <v>0</v>
      </c>
      <c r="CI2862">
        <v>0</v>
      </c>
      <c r="CJ2862">
        <v>0</v>
      </c>
      <c r="CK2862">
        <v>2</v>
      </c>
      <c r="CL2862">
        <v>0</v>
      </c>
      <c r="CM2862">
        <v>2</v>
      </c>
      <c r="CN2862">
        <v>0</v>
      </c>
      <c r="CO2862">
        <v>7</v>
      </c>
      <c r="CP2862" t="s">
        <v>119</v>
      </c>
      <c r="CQ2862">
        <v>180</v>
      </c>
      <c r="CR2862">
        <v>2</v>
      </c>
      <c r="CW2862">
        <v>8645128</v>
      </c>
      <c r="CY2862">
        <v>1</v>
      </c>
      <c r="CZ2862">
        <v>0</v>
      </c>
      <c r="DA2862">
        <v>1</v>
      </c>
      <c r="DB2862">
        <v>0</v>
      </c>
      <c r="DC2862">
        <v>0</v>
      </c>
      <c r="DD2862">
        <v>0</v>
      </c>
      <c r="DE2862">
        <v>0</v>
      </c>
      <c r="DF2862">
        <v>0</v>
      </c>
      <c r="DG2862">
        <v>0</v>
      </c>
      <c r="DH2862">
        <v>0</v>
      </c>
      <c r="DI2862">
        <v>0</v>
      </c>
    </row>
    <row r="2863" spans="1:113" x14ac:dyDescent="0.3">
      <c r="A2863" t="str">
        <f>"02/08/2021 20:29:46.509"</f>
        <v>02/08/2021 20:29:46.509</v>
      </c>
      <c r="C2863" t="str">
        <f t="shared" ref="C2863:C2926" si="138">"FFDFD7C0"</f>
        <v>FFDFD7C0</v>
      </c>
      <c r="D2863" t="s">
        <v>124</v>
      </c>
      <c r="E2863">
        <v>11</v>
      </c>
      <c r="F2863">
        <v>1011</v>
      </c>
      <c r="G2863" t="s">
        <v>590</v>
      </c>
      <c r="J2863" t="s">
        <v>125</v>
      </c>
      <c r="K2863">
        <v>0</v>
      </c>
      <c r="L2863">
        <v>3</v>
      </c>
      <c r="M2863">
        <v>0</v>
      </c>
      <c r="N2863">
        <v>2</v>
      </c>
      <c r="O2863">
        <v>1</v>
      </c>
      <c r="P2863">
        <v>0</v>
      </c>
      <c r="Q2863">
        <v>0</v>
      </c>
      <c r="S2863" t="str">
        <f>"20:29:48.797"</f>
        <v>20:29:48.797</v>
      </c>
      <c r="T2863" t="str">
        <f>"20:29:48.397"</f>
        <v>20:29:48.397</v>
      </c>
      <c r="U2863" t="str">
        <f t="shared" si="137"/>
        <v>AB01F4</v>
      </c>
      <c r="V2863">
        <v>0</v>
      </c>
      <c r="W2863">
        <v>0</v>
      </c>
      <c r="X2863">
        <v>2</v>
      </c>
      <c r="Z2863">
        <v>0</v>
      </c>
      <c r="AA2863">
        <v>9</v>
      </c>
      <c r="AB2863">
        <v>3</v>
      </c>
      <c r="AC2863">
        <v>0</v>
      </c>
      <c r="AD2863">
        <v>10</v>
      </c>
      <c r="AE2863">
        <v>0</v>
      </c>
      <c r="AF2863">
        <v>3</v>
      </c>
      <c r="AG2863">
        <v>2</v>
      </c>
      <c r="AH2863">
        <v>0</v>
      </c>
      <c r="AI2863" t="s">
        <v>1681</v>
      </c>
      <c r="AJ2863">
        <v>40.028644</v>
      </c>
      <c r="AK2863" t="s">
        <v>1682</v>
      </c>
      <c r="AL2863">
        <v>-92.816641000000004</v>
      </c>
      <c r="AM2863">
        <v>100</v>
      </c>
      <c r="AN2863">
        <v>1500</v>
      </c>
      <c r="AO2863" t="s">
        <v>118</v>
      </c>
      <c r="AP2863">
        <v>-134</v>
      </c>
      <c r="AQ2863">
        <v>29</v>
      </c>
      <c r="AR2863">
        <v>-128</v>
      </c>
      <c r="AZ2863">
        <v>1200</v>
      </c>
      <c r="BA2863">
        <v>1</v>
      </c>
      <c r="BB2863" t="str">
        <f t="shared" ref="BB2863:BB2926" si="139">"N8080G  "</f>
        <v xml:space="preserve">N8080G  </v>
      </c>
      <c r="BC2863">
        <v>1</v>
      </c>
      <c r="BE2863">
        <v>0</v>
      </c>
      <c r="BF2863">
        <v>0</v>
      </c>
      <c r="BG2863">
        <v>0</v>
      </c>
      <c r="BH2863">
        <v>1500</v>
      </c>
      <c r="BI2863">
        <v>1</v>
      </c>
      <c r="BJ2863">
        <v>1</v>
      </c>
      <c r="BK2863">
        <v>1</v>
      </c>
      <c r="BL2863">
        <v>0</v>
      </c>
      <c r="BO2863">
        <v>0</v>
      </c>
      <c r="BP2863">
        <v>0</v>
      </c>
      <c r="BW2863" t="str">
        <f>"20:29:48.798"</f>
        <v>20:29:48.798</v>
      </c>
      <c r="BZ2863">
        <v>0</v>
      </c>
      <c r="CA2863">
        <v>1792</v>
      </c>
      <c r="CB2863">
        <v>224</v>
      </c>
      <c r="CD2863">
        <v>1</v>
      </c>
      <c r="CE2863">
        <v>0</v>
      </c>
      <c r="CF2863">
        <v>0</v>
      </c>
      <c r="CG2863">
        <v>1</v>
      </c>
      <c r="CH2863">
        <v>0</v>
      </c>
      <c r="CI2863">
        <v>0</v>
      </c>
      <c r="CJ2863">
        <v>0</v>
      </c>
      <c r="CK2863">
        <v>2</v>
      </c>
      <c r="CL2863">
        <v>0</v>
      </c>
      <c r="CM2863">
        <v>2</v>
      </c>
      <c r="CN2863">
        <v>0</v>
      </c>
      <c r="CO2863">
        <v>2</v>
      </c>
      <c r="CP2863" t="s">
        <v>119</v>
      </c>
      <c r="CQ2863">
        <v>179</v>
      </c>
      <c r="CR2863">
        <v>1</v>
      </c>
      <c r="CW2863">
        <v>9104492</v>
      </c>
      <c r="CY2863">
        <v>1</v>
      </c>
      <c r="CZ2863">
        <v>0</v>
      </c>
      <c r="DA2863">
        <v>0</v>
      </c>
      <c r="DB2863">
        <v>0</v>
      </c>
      <c r="DC2863">
        <v>0</v>
      </c>
      <c r="DD2863">
        <v>0</v>
      </c>
      <c r="DE2863">
        <v>0</v>
      </c>
      <c r="DF2863">
        <v>0</v>
      </c>
      <c r="DG2863">
        <v>0</v>
      </c>
      <c r="DH2863">
        <v>0</v>
      </c>
      <c r="DI2863">
        <v>0</v>
      </c>
    </row>
    <row r="2864" spans="1:113" x14ac:dyDescent="0.3">
      <c r="A2864" t="str">
        <f>"02/08/2021 20:29:46.509"</f>
        <v>02/08/2021 20:29:46.509</v>
      </c>
      <c r="C2864" t="str">
        <f t="shared" si="138"/>
        <v>FFDFD7C0</v>
      </c>
      <c r="D2864" t="s">
        <v>124</v>
      </c>
      <c r="E2864">
        <v>13</v>
      </c>
      <c r="F2864">
        <v>1013</v>
      </c>
      <c r="G2864" t="s">
        <v>114</v>
      </c>
      <c r="J2864" t="s">
        <v>125</v>
      </c>
      <c r="K2864">
        <v>0</v>
      </c>
      <c r="L2864">
        <v>3</v>
      </c>
      <c r="M2864">
        <v>0</v>
      </c>
      <c r="N2864">
        <v>2</v>
      </c>
      <c r="O2864">
        <v>1</v>
      </c>
      <c r="P2864">
        <v>0</v>
      </c>
      <c r="Q2864">
        <v>0</v>
      </c>
      <c r="S2864" t="str">
        <f>"20:29:48.797"</f>
        <v>20:29:48.797</v>
      </c>
      <c r="T2864" t="str">
        <f>"20:29:48.397"</f>
        <v>20:29:48.397</v>
      </c>
      <c r="U2864" t="str">
        <f t="shared" si="137"/>
        <v>AB01F4</v>
      </c>
      <c r="V2864">
        <v>0</v>
      </c>
      <c r="W2864">
        <v>0</v>
      </c>
      <c r="X2864">
        <v>2</v>
      </c>
      <c r="Z2864">
        <v>0</v>
      </c>
      <c r="AA2864">
        <v>9</v>
      </c>
      <c r="AB2864">
        <v>3</v>
      </c>
      <c r="AC2864">
        <v>0</v>
      </c>
      <c r="AD2864">
        <v>10</v>
      </c>
      <c r="AE2864">
        <v>0</v>
      </c>
      <c r="AF2864">
        <v>3</v>
      </c>
      <c r="AG2864">
        <v>2</v>
      </c>
      <c r="AH2864">
        <v>0</v>
      </c>
      <c r="AI2864" t="s">
        <v>1681</v>
      </c>
      <c r="AJ2864">
        <v>40.028644</v>
      </c>
      <c r="AK2864" t="s">
        <v>1682</v>
      </c>
      <c r="AL2864">
        <v>-92.816641000000004</v>
      </c>
      <c r="AM2864">
        <v>100</v>
      </c>
      <c r="AN2864">
        <v>1500</v>
      </c>
      <c r="AO2864" t="s">
        <v>118</v>
      </c>
      <c r="AP2864">
        <v>-134</v>
      </c>
      <c r="AQ2864">
        <v>29</v>
      </c>
      <c r="AR2864">
        <v>-128</v>
      </c>
      <c r="AZ2864">
        <v>1200</v>
      </c>
      <c r="BA2864">
        <v>1</v>
      </c>
      <c r="BB2864" t="str">
        <f t="shared" si="139"/>
        <v xml:space="preserve">N8080G  </v>
      </c>
      <c r="BC2864">
        <v>1</v>
      </c>
      <c r="BE2864">
        <v>0</v>
      </c>
      <c r="BF2864">
        <v>0</v>
      </c>
      <c r="BG2864">
        <v>0</v>
      </c>
      <c r="BH2864">
        <v>1500</v>
      </c>
      <c r="BI2864">
        <v>1</v>
      </c>
      <c r="BJ2864">
        <v>1</v>
      </c>
      <c r="BK2864">
        <v>1</v>
      </c>
      <c r="BL2864">
        <v>0</v>
      </c>
      <c r="BO2864">
        <v>0</v>
      </c>
      <c r="BP2864">
        <v>0</v>
      </c>
      <c r="BW2864" t="str">
        <f>"20:29:48.798"</f>
        <v>20:29:48.798</v>
      </c>
      <c r="BZ2864">
        <v>0</v>
      </c>
      <c r="CA2864">
        <v>1792</v>
      </c>
      <c r="CB2864">
        <v>224</v>
      </c>
      <c r="CD2864">
        <v>1</v>
      </c>
      <c r="CE2864">
        <v>0</v>
      </c>
      <c r="CF2864">
        <v>0</v>
      </c>
      <c r="CG2864">
        <v>1</v>
      </c>
      <c r="CH2864">
        <v>0</v>
      </c>
      <c r="CI2864">
        <v>0</v>
      </c>
      <c r="CJ2864">
        <v>0</v>
      </c>
      <c r="CK2864">
        <v>2</v>
      </c>
      <c r="CL2864">
        <v>0</v>
      </c>
      <c r="CM2864">
        <v>2</v>
      </c>
      <c r="CN2864">
        <v>0</v>
      </c>
      <c r="CO2864">
        <v>2</v>
      </c>
      <c r="CP2864" t="s">
        <v>119</v>
      </c>
      <c r="CQ2864">
        <v>179</v>
      </c>
      <c r="CR2864">
        <v>1</v>
      </c>
      <c r="CW2864">
        <v>9104492</v>
      </c>
      <c r="CY2864">
        <v>1</v>
      </c>
      <c r="CZ2864">
        <v>0</v>
      </c>
      <c r="DA2864">
        <v>1</v>
      </c>
      <c r="DB2864">
        <v>0</v>
      </c>
      <c r="DC2864">
        <v>0</v>
      </c>
      <c r="DD2864">
        <v>0</v>
      </c>
      <c r="DE2864">
        <v>0</v>
      </c>
      <c r="DF2864">
        <v>0</v>
      </c>
      <c r="DG2864">
        <v>0</v>
      </c>
      <c r="DH2864">
        <v>0</v>
      </c>
      <c r="DI2864">
        <v>0</v>
      </c>
    </row>
    <row r="2865" spans="1:113" x14ac:dyDescent="0.3">
      <c r="A2865" t="str">
        <f>"02/08/2021 20:29:46.509"</f>
        <v>02/08/2021 20:29:46.509</v>
      </c>
      <c r="C2865" t="str">
        <f t="shared" si="138"/>
        <v>FFDFD7C0</v>
      </c>
      <c r="D2865" t="s">
        <v>113</v>
      </c>
      <c r="E2865">
        <v>6</v>
      </c>
      <c r="H2865">
        <v>165</v>
      </c>
      <c r="I2865" t="s">
        <v>114</v>
      </c>
      <c r="J2865" t="s">
        <v>115</v>
      </c>
      <c r="K2865">
        <v>0</v>
      </c>
      <c r="L2865">
        <v>3</v>
      </c>
      <c r="M2865">
        <v>0</v>
      </c>
      <c r="N2865">
        <v>2</v>
      </c>
      <c r="O2865">
        <v>1</v>
      </c>
      <c r="P2865">
        <v>0</v>
      </c>
      <c r="Q2865">
        <v>0</v>
      </c>
      <c r="S2865" t="str">
        <f>"20:29:48.797"</f>
        <v>20:29:48.797</v>
      </c>
      <c r="T2865" t="str">
        <f>"20:29:48.397"</f>
        <v>20:29:48.397</v>
      </c>
      <c r="U2865" t="str">
        <f t="shared" si="137"/>
        <v>AB01F4</v>
      </c>
      <c r="V2865">
        <v>0</v>
      </c>
      <c r="W2865">
        <v>0</v>
      </c>
      <c r="X2865">
        <v>2</v>
      </c>
      <c r="Z2865">
        <v>0</v>
      </c>
      <c r="AA2865">
        <v>9</v>
      </c>
      <c r="AB2865">
        <v>3</v>
      </c>
      <c r="AC2865">
        <v>0</v>
      </c>
      <c r="AD2865">
        <v>10</v>
      </c>
      <c r="AE2865">
        <v>0</v>
      </c>
      <c r="AF2865">
        <v>3</v>
      </c>
      <c r="AG2865">
        <v>2</v>
      </c>
      <c r="AH2865">
        <v>0</v>
      </c>
      <c r="AI2865" t="s">
        <v>1681</v>
      </c>
      <c r="AJ2865">
        <v>40.028644</v>
      </c>
      <c r="AK2865" t="s">
        <v>1682</v>
      </c>
      <c r="AL2865">
        <v>-92.816641000000004</v>
      </c>
      <c r="AM2865">
        <v>100</v>
      </c>
      <c r="AN2865">
        <v>1500</v>
      </c>
      <c r="AO2865" t="s">
        <v>118</v>
      </c>
      <c r="AP2865">
        <v>-134</v>
      </c>
      <c r="AQ2865">
        <v>29</v>
      </c>
      <c r="AR2865">
        <v>-128</v>
      </c>
      <c r="AZ2865">
        <v>1200</v>
      </c>
      <c r="BA2865">
        <v>1</v>
      </c>
      <c r="BB2865" t="str">
        <f t="shared" si="139"/>
        <v xml:space="preserve">N8080G  </v>
      </c>
      <c r="BC2865">
        <v>1</v>
      </c>
      <c r="BE2865">
        <v>0</v>
      </c>
      <c r="BF2865">
        <v>0</v>
      </c>
      <c r="BG2865">
        <v>0</v>
      </c>
      <c r="BH2865">
        <v>1500</v>
      </c>
      <c r="BI2865">
        <v>1</v>
      </c>
      <c r="BJ2865">
        <v>1</v>
      </c>
      <c r="BK2865">
        <v>1</v>
      </c>
      <c r="BL2865">
        <v>0</v>
      </c>
      <c r="BO2865">
        <v>0</v>
      </c>
      <c r="BP2865">
        <v>0</v>
      </c>
      <c r="BW2865" t="str">
        <f>"20:29:48.798"</f>
        <v>20:29:48.798</v>
      </c>
      <c r="BZ2865">
        <v>0</v>
      </c>
      <c r="CA2865">
        <v>1792</v>
      </c>
      <c r="CB2865">
        <v>224</v>
      </c>
      <c r="CD2865">
        <v>1</v>
      </c>
      <c r="CE2865">
        <v>0</v>
      </c>
      <c r="CF2865">
        <v>0</v>
      </c>
      <c r="CG2865">
        <v>1</v>
      </c>
      <c r="CH2865">
        <v>0</v>
      </c>
      <c r="CI2865">
        <v>0</v>
      </c>
      <c r="CJ2865">
        <v>0</v>
      </c>
      <c r="CK2865">
        <v>2</v>
      </c>
      <c r="CL2865">
        <v>0</v>
      </c>
      <c r="CM2865">
        <v>2</v>
      </c>
      <c r="CN2865">
        <v>0</v>
      </c>
      <c r="CO2865">
        <v>2</v>
      </c>
      <c r="CP2865" t="s">
        <v>119</v>
      </c>
      <c r="CQ2865">
        <v>179</v>
      </c>
      <c r="CR2865">
        <v>1</v>
      </c>
      <c r="CW2865">
        <v>9104492</v>
      </c>
      <c r="CY2865">
        <v>1</v>
      </c>
      <c r="CZ2865">
        <v>0</v>
      </c>
      <c r="DA2865">
        <v>1</v>
      </c>
      <c r="DB2865">
        <v>0</v>
      </c>
      <c r="DC2865">
        <v>0</v>
      </c>
      <c r="DD2865">
        <v>0</v>
      </c>
      <c r="DE2865">
        <v>0</v>
      </c>
      <c r="DF2865">
        <v>0</v>
      </c>
      <c r="DG2865">
        <v>0</v>
      </c>
      <c r="DH2865">
        <v>0</v>
      </c>
      <c r="DI2865">
        <v>0</v>
      </c>
    </row>
    <row r="2866" spans="1:113" x14ac:dyDescent="0.3">
      <c r="A2866" t="str">
        <f>"02/08/2021 20:29:46.509"</f>
        <v>02/08/2021 20:29:46.509</v>
      </c>
      <c r="C2866" t="str">
        <f t="shared" si="138"/>
        <v>FFDFD7C0</v>
      </c>
      <c r="D2866" t="s">
        <v>124</v>
      </c>
      <c r="E2866">
        <v>12</v>
      </c>
      <c r="F2866">
        <v>1012</v>
      </c>
      <c r="G2866" t="s">
        <v>675</v>
      </c>
      <c r="J2866" t="s">
        <v>125</v>
      </c>
      <c r="K2866">
        <v>0</v>
      </c>
      <c r="L2866">
        <v>3</v>
      </c>
      <c r="M2866">
        <v>0</v>
      </c>
      <c r="N2866">
        <v>2</v>
      </c>
      <c r="O2866">
        <v>1</v>
      </c>
      <c r="P2866">
        <v>0</v>
      </c>
      <c r="Q2866">
        <v>0</v>
      </c>
      <c r="S2866" t="str">
        <f>"20:29:48.797"</f>
        <v>20:29:48.797</v>
      </c>
      <c r="T2866" t="str">
        <f>"20:29:48.397"</f>
        <v>20:29:48.397</v>
      </c>
      <c r="U2866" t="str">
        <f t="shared" si="137"/>
        <v>AB01F4</v>
      </c>
      <c r="V2866">
        <v>0</v>
      </c>
      <c r="W2866">
        <v>0</v>
      </c>
      <c r="X2866">
        <v>2</v>
      </c>
      <c r="Z2866">
        <v>0</v>
      </c>
      <c r="AA2866">
        <v>9</v>
      </c>
      <c r="AB2866">
        <v>3</v>
      </c>
      <c r="AC2866">
        <v>0</v>
      </c>
      <c r="AD2866">
        <v>10</v>
      </c>
      <c r="AE2866">
        <v>0</v>
      </c>
      <c r="AF2866">
        <v>3</v>
      </c>
      <c r="AG2866">
        <v>2</v>
      </c>
      <c r="AH2866">
        <v>0</v>
      </c>
      <c r="AI2866" t="s">
        <v>1681</v>
      </c>
      <c r="AJ2866">
        <v>40.028644</v>
      </c>
      <c r="AK2866" t="s">
        <v>1682</v>
      </c>
      <c r="AL2866">
        <v>-92.816641000000004</v>
      </c>
      <c r="AM2866">
        <v>100</v>
      </c>
      <c r="AN2866">
        <v>1500</v>
      </c>
      <c r="AO2866" t="s">
        <v>118</v>
      </c>
      <c r="AP2866">
        <v>-134</v>
      </c>
      <c r="AQ2866">
        <v>29</v>
      </c>
      <c r="AR2866">
        <v>-128</v>
      </c>
      <c r="AZ2866">
        <v>1200</v>
      </c>
      <c r="BA2866">
        <v>1</v>
      </c>
      <c r="BB2866" t="str">
        <f t="shared" si="139"/>
        <v xml:space="preserve">N8080G  </v>
      </c>
      <c r="BC2866">
        <v>1</v>
      </c>
      <c r="BE2866">
        <v>0</v>
      </c>
      <c r="BF2866">
        <v>0</v>
      </c>
      <c r="BG2866">
        <v>0</v>
      </c>
      <c r="BH2866">
        <v>1500</v>
      </c>
      <c r="BI2866">
        <v>1</v>
      </c>
      <c r="BJ2866">
        <v>1</v>
      </c>
      <c r="BK2866">
        <v>1</v>
      </c>
      <c r="BL2866">
        <v>0</v>
      </c>
      <c r="BO2866">
        <v>0</v>
      </c>
      <c r="BP2866">
        <v>0</v>
      </c>
      <c r="BW2866" t="str">
        <f>"20:29:48.798"</f>
        <v>20:29:48.798</v>
      </c>
      <c r="BZ2866">
        <v>0</v>
      </c>
      <c r="CA2866">
        <v>1792</v>
      </c>
      <c r="CB2866">
        <v>224</v>
      </c>
      <c r="CD2866">
        <v>1</v>
      </c>
      <c r="CE2866">
        <v>0</v>
      </c>
      <c r="CF2866">
        <v>0</v>
      </c>
      <c r="CG2866">
        <v>1</v>
      </c>
      <c r="CH2866">
        <v>0</v>
      </c>
      <c r="CI2866">
        <v>0</v>
      </c>
      <c r="CJ2866">
        <v>0</v>
      </c>
      <c r="CK2866">
        <v>2</v>
      </c>
      <c r="CL2866">
        <v>0</v>
      </c>
      <c r="CM2866">
        <v>2</v>
      </c>
      <c r="CN2866">
        <v>0</v>
      </c>
      <c r="CO2866">
        <v>2</v>
      </c>
      <c r="CP2866" t="s">
        <v>119</v>
      </c>
      <c r="CQ2866">
        <v>179</v>
      </c>
      <c r="CR2866">
        <v>1</v>
      </c>
      <c r="CW2866">
        <v>9104492</v>
      </c>
      <c r="CY2866">
        <v>1</v>
      </c>
      <c r="CZ2866">
        <v>0</v>
      </c>
      <c r="DA2866">
        <v>1</v>
      </c>
      <c r="DB2866">
        <v>0</v>
      </c>
      <c r="DC2866">
        <v>0</v>
      </c>
      <c r="DD2866">
        <v>0</v>
      </c>
      <c r="DE2866">
        <v>0</v>
      </c>
      <c r="DF2866">
        <v>0</v>
      </c>
      <c r="DG2866">
        <v>0</v>
      </c>
      <c r="DH2866">
        <v>0</v>
      </c>
      <c r="DI2866">
        <v>0</v>
      </c>
    </row>
    <row r="2867" spans="1:113" x14ac:dyDescent="0.3">
      <c r="A2867" t="str">
        <f>"02/08/2021 20:29:47.427"</f>
        <v>02/08/2021 20:29:47.427</v>
      </c>
      <c r="C2867" t="str">
        <f t="shared" si="138"/>
        <v>FFDFD7C0</v>
      </c>
      <c r="D2867" t="s">
        <v>113</v>
      </c>
      <c r="E2867">
        <v>6</v>
      </c>
      <c r="H2867">
        <v>165</v>
      </c>
      <c r="I2867" t="s">
        <v>114</v>
      </c>
      <c r="J2867" t="s">
        <v>115</v>
      </c>
      <c r="K2867">
        <v>0</v>
      </c>
      <c r="L2867">
        <v>3</v>
      </c>
      <c r="M2867">
        <v>0</v>
      </c>
      <c r="N2867">
        <v>2</v>
      </c>
      <c r="O2867">
        <v>1</v>
      </c>
      <c r="P2867">
        <v>0</v>
      </c>
      <c r="Q2867">
        <v>0</v>
      </c>
      <c r="S2867" t="str">
        <f>"20:29:49.750"</f>
        <v>20:29:49.750</v>
      </c>
      <c r="T2867" t="str">
        <f>"20:29:49.250"</f>
        <v>20:29:49.250</v>
      </c>
      <c r="U2867" t="str">
        <f t="shared" si="137"/>
        <v>AB01F4</v>
      </c>
      <c r="V2867">
        <v>0</v>
      </c>
      <c r="W2867">
        <v>0</v>
      </c>
      <c r="X2867">
        <v>2</v>
      </c>
      <c r="Z2867">
        <v>0</v>
      </c>
      <c r="AA2867">
        <v>9</v>
      </c>
      <c r="AB2867">
        <v>3</v>
      </c>
      <c r="AC2867">
        <v>0</v>
      </c>
      <c r="AD2867">
        <v>10</v>
      </c>
      <c r="AE2867">
        <v>0</v>
      </c>
      <c r="AF2867">
        <v>3</v>
      </c>
      <c r="AG2867">
        <v>2</v>
      </c>
      <c r="AH2867">
        <v>0</v>
      </c>
      <c r="AI2867" t="s">
        <v>1683</v>
      </c>
      <c r="AJ2867">
        <v>40.028771999999996</v>
      </c>
      <c r="AK2867" t="s">
        <v>1684</v>
      </c>
      <c r="AL2867">
        <v>-92.817435000000003</v>
      </c>
      <c r="AM2867">
        <v>100</v>
      </c>
      <c r="AN2867">
        <v>1500</v>
      </c>
      <c r="AO2867" t="s">
        <v>118</v>
      </c>
      <c r="AP2867">
        <v>-134</v>
      </c>
      <c r="AQ2867">
        <v>29</v>
      </c>
      <c r="AR2867">
        <v>-128</v>
      </c>
      <c r="AZ2867">
        <v>1200</v>
      </c>
      <c r="BA2867">
        <v>1</v>
      </c>
      <c r="BB2867" t="str">
        <f t="shared" si="139"/>
        <v xml:space="preserve">N8080G  </v>
      </c>
      <c r="BC2867">
        <v>1</v>
      </c>
      <c r="BE2867">
        <v>0</v>
      </c>
      <c r="BF2867">
        <v>0</v>
      </c>
      <c r="BG2867">
        <v>0</v>
      </c>
      <c r="BH2867">
        <v>1500</v>
      </c>
      <c r="BI2867">
        <v>1</v>
      </c>
      <c r="BJ2867">
        <v>1</v>
      </c>
      <c r="BK2867">
        <v>1</v>
      </c>
      <c r="BL2867">
        <v>0</v>
      </c>
      <c r="BO2867">
        <v>0</v>
      </c>
      <c r="BP2867">
        <v>0</v>
      </c>
      <c r="BW2867" t="str">
        <f>"20:29:49.752"</f>
        <v>20:29:49.752</v>
      </c>
      <c r="BZ2867">
        <v>0</v>
      </c>
      <c r="CA2867">
        <v>1792</v>
      </c>
      <c r="CB2867">
        <v>224</v>
      </c>
      <c r="CD2867">
        <v>1</v>
      </c>
      <c r="CE2867">
        <v>0</v>
      </c>
      <c r="CF2867">
        <v>0</v>
      </c>
      <c r="CG2867">
        <v>1</v>
      </c>
      <c r="CH2867">
        <v>0</v>
      </c>
      <c r="CI2867">
        <v>0</v>
      </c>
      <c r="CJ2867">
        <v>0</v>
      </c>
      <c r="CK2867">
        <v>2</v>
      </c>
      <c r="CL2867">
        <v>0</v>
      </c>
      <c r="CM2867">
        <v>2</v>
      </c>
      <c r="CN2867">
        <v>0</v>
      </c>
      <c r="CO2867">
        <v>2</v>
      </c>
      <c r="CP2867" t="s">
        <v>119</v>
      </c>
      <c r="CQ2867">
        <v>179</v>
      </c>
      <c r="CR2867">
        <v>1</v>
      </c>
      <c r="CW2867">
        <v>9105305</v>
      </c>
      <c r="CY2867">
        <v>1</v>
      </c>
      <c r="CZ2867">
        <v>0</v>
      </c>
      <c r="DA2867">
        <v>0</v>
      </c>
      <c r="DB2867">
        <v>0</v>
      </c>
      <c r="DC2867">
        <v>0</v>
      </c>
      <c r="DD2867">
        <v>0</v>
      </c>
      <c r="DE2867">
        <v>0</v>
      </c>
      <c r="DF2867">
        <v>0</v>
      </c>
      <c r="DG2867">
        <v>0</v>
      </c>
      <c r="DH2867">
        <v>0</v>
      </c>
      <c r="DI2867">
        <v>0</v>
      </c>
    </row>
    <row r="2868" spans="1:113" x14ac:dyDescent="0.3">
      <c r="A2868" t="str">
        <f>"02/08/2021 20:29:47.427"</f>
        <v>02/08/2021 20:29:47.427</v>
      </c>
      <c r="C2868" t="str">
        <f t="shared" si="138"/>
        <v>FFDFD7C0</v>
      </c>
      <c r="D2868" t="s">
        <v>124</v>
      </c>
      <c r="E2868">
        <v>12</v>
      </c>
      <c r="F2868">
        <v>1012</v>
      </c>
      <c r="G2868" t="s">
        <v>675</v>
      </c>
      <c r="J2868" t="s">
        <v>125</v>
      </c>
      <c r="K2868">
        <v>0</v>
      </c>
      <c r="L2868">
        <v>3</v>
      </c>
      <c r="M2868">
        <v>0</v>
      </c>
      <c r="N2868">
        <v>2</v>
      </c>
      <c r="O2868">
        <v>1</v>
      </c>
      <c r="P2868">
        <v>0</v>
      </c>
      <c r="Q2868">
        <v>0</v>
      </c>
      <c r="S2868" t="str">
        <f>"20:29:49.750"</f>
        <v>20:29:49.750</v>
      </c>
      <c r="T2868" t="str">
        <f>"20:29:49.250"</f>
        <v>20:29:49.250</v>
      </c>
      <c r="U2868" t="str">
        <f t="shared" si="137"/>
        <v>AB01F4</v>
      </c>
      <c r="V2868">
        <v>0</v>
      </c>
      <c r="W2868">
        <v>0</v>
      </c>
      <c r="X2868">
        <v>2</v>
      </c>
      <c r="Z2868">
        <v>0</v>
      </c>
      <c r="AA2868">
        <v>9</v>
      </c>
      <c r="AB2868">
        <v>3</v>
      </c>
      <c r="AC2868">
        <v>0</v>
      </c>
      <c r="AD2868">
        <v>10</v>
      </c>
      <c r="AE2868">
        <v>0</v>
      </c>
      <c r="AF2868">
        <v>3</v>
      </c>
      <c r="AG2868">
        <v>2</v>
      </c>
      <c r="AH2868">
        <v>0</v>
      </c>
      <c r="AI2868" t="s">
        <v>1683</v>
      </c>
      <c r="AJ2868">
        <v>40.028771999999996</v>
      </c>
      <c r="AK2868" t="s">
        <v>1684</v>
      </c>
      <c r="AL2868">
        <v>-92.817435000000003</v>
      </c>
      <c r="AM2868">
        <v>100</v>
      </c>
      <c r="AN2868">
        <v>1500</v>
      </c>
      <c r="AO2868" t="s">
        <v>118</v>
      </c>
      <c r="AP2868">
        <v>-134</v>
      </c>
      <c r="AQ2868">
        <v>29</v>
      </c>
      <c r="AR2868">
        <v>-128</v>
      </c>
      <c r="AZ2868">
        <v>1200</v>
      </c>
      <c r="BA2868">
        <v>1</v>
      </c>
      <c r="BB2868" t="str">
        <f t="shared" si="139"/>
        <v xml:space="preserve">N8080G  </v>
      </c>
      <c r="BC2868">
        <v>1</v>
      </c>
      <c r="BE2868">
        <v>0</v>
      </c>
      <c r="BF2868">
        <v>0</v>
      </c>
      <c r="BG2868">
        <v>0</v>
      </c>
      <c r="BH2868">
        <v>1500</v>
      </c>
      <c r="BI2868">
        <v>1</v>
      </c>
      <c r="BJ2868">
        <v>1</v>
      </c>
      <c r="BK2868">
        <v>1</v>
      </c>
      <c r="BL2868">
        <v>0</v>
      </c>
      <c r="BO2868">
        <v>0</v>
      </c>
      <c r="BP2868">
        <v>0</v>
      </c>
      <c r="BW2868" t="str">
        <f>"20:29:49.752"</f>
        <v>20:29:49.752</v>
      </c>
      <c r="BZ2868">
        <v>0</v>
      </c>
      <c r="CA2868">
        <v>1792</v>
      </c>
      <c r="CB2868">
        <v>224</v>
      </c>
      <c r="CD2868">
        <v>1</v>
      </c>
      <c r="CE2868">
        <v>0</v>
      </c>
      <c r="CF2868">
        <v>0</v>
      </c>
      <c r="CG2868">
        <v>1</v>
      </c>
      <c r="CH2868">
        <v>0</v>
      </c>
      <c r="CI2868">
        <v>0</v>
      </c>
      <c r="CJ2868">
        <v>0</v>
      </c>
      <c r="CK2868">
        <v>2</v>
      </c>
      <c r="CL2868">
        <v>0</v>
      </c>
      <c r="CM2868">
        <v>2</v>
      </c>
      <c r="CN2868">
        <v>0</v>
      </c>
      <c r="CO2868">
        <v>2</v>
      </c>
      <c r="CP2868" t="s">
        <v>119</v>
      </c>
      <c r="CQ2868">
        <v>179</v>
      </c>
      <c r="CR2868">
        <v>1</v>
      </c>
      <c r="CW2868">
        <v>9105305</v>
      </c>
      <c r="CY2868">
        <v>1</v>
      </c>
      <c r="CZ2868">
        <v>0</v>
      </c>
      <c r="DA2868">
        <v>1</v>
      </c>
      <c r="DB2868">
        <v>0</v>
      </c>
      <c r="DC2868">
        <v>0</v>
      </c>
      <c r="DD2868">
        <v>0</v>
      </c>
      <c r="DE2868">
        <v>0</v>
      </c>
      <c r="DF2868">
        <v>0</v>
      </c>
      <c r="DG2868">
        <v>0</v>
      </c>
      <c r="DH2868">
        <v>0</v>
      </c>
      <c r="DI2868">
        <v>0</v>
      </c>
    </row>
    <row r="2869" spans="1:113" x14ac:dyDescent="0.3">
      <c r="A2869" t="str">
        <f>"02/08/2021 20:29:47.427"</f>
        <v>02/08/2021 20:29:47.427</v>
      </c>
      <c r="C2869" t="str">
        <f t="shared" si="138"/>
        <v>FFDFD7C0</v>
      </c>
      <c r="D2869" t="s">
        <v>124</v>
      </c>
      <c r="E2869">
        <v>11</v>
      </c>
      <c r="F2869">
        <v>1011</v>
      </c>
      <c r="G2869" t="s">
        <v>590</v>
      </c>
      <c r="J2869" t="s">
        <v>125</v>
      </c>
      <c r="K2869">
        <v>0</v>
      </c>
      <c r="L2869">
        <v>3</v>
      </c>
      <c r="M2869">
        <v>0</v>
      </c>
      <c r="N2869">
        <v>2</v>
      </c>
      <c r="O2869">
        <v>1</v>
      </c>
      <c r="P2869">
        <v>0</v>
      </c>
      <c r="Q2869">
        <v>0</v>
      </c>
      <c r="S2869" t="str">
        <f>"20:29:49.750"</f>
        <v>20:29:49.750</v>
      </c>
      <c r="T2869" t="str">
        <f>"20:29:49.250"</f>
        <v>20:29:49.250</v>
      </c>
      <c r="U2869" t="str">
        <f t="shared" si="137"/>
        <v>AB01F4</v>
      </c>
      <c r="V2869">
        <v>0</v>
      </c>
      <c r="W2869">
        <v>0</v>
      </c>
      <c r="X2869">
        <v>2</v>
      </c>
      <c r="Z2869">
        <v>0</v>
      </c>
      <c r="AA2869">
        <v>9</v>
      </c>
      <c r="AB2869">
        <v>3</v>
      </c>
      <c r="AC2869">
        <v>0</v>
      </c>
      <c r="AD2869">
        <v>10</v>
      </c>
      <c r="AE2869">
        <v>0</v>
      </c>
      <c r="AF2869">
        <v>3</v>
      </c>
      <c r="AG2869">
        <v>2</v>
      </c>
      <c r="AH2869">
        <v>0</v>
      </c>
      <c r="AI2869" t="s">
        <v>1683</v>
      </c>
      <c r="AJ2869">
        <v>40.028771999999996</v>
      </c>
      <c r="AK2869" t="s">
        <v>1684</v>
      </c>
      <c r="AL2869">
        <v>-92.817435000000003</v>
      </c>
      <c r="AM2869">
        <v>100</v>
      </c>
      <c r="AN2869">
        <v>1500</v>
      </c>
      <c r="AO2869" t="s">
        <v>118</v>
      </c>
      <c r="AP2869">
        <v>-134</v>
      </c>
      <c r="AQ2869">
        <v>29</v>
      </c>
      <c r="AR2869">
        <v>-128</v>
      </c>
      <c r="AZ2869">
        <v>1200</v>
      </c>
      <c r="BA2869">
        <v>1</v>
      </c>
      <c r="BB2869" t="str">
        <f t="shared" si="139"/>
        <v xml:space="preserve">N8080G  </v>
      </c>
      <c r="BC2869">
        <v>1</v>
      </c>
      <c r="BE2869">
        <v>0</v>
      </c>
      <c r="BF2869">
        <v>0</v>
      </c>
      <c r="BG2869">
        <v>0</v>
      </c>
      <c r="BH2869">
        <v>1500</v>
      </c>
      <c r="BI2869">
        <v>1</v>
      </c>
      <c r="BJ2869">
        <v>1</v>
      </c>
      <c r="BK2869">
        <v>1</v>
      </c>
      <c r="BL2869">
        <v>0</v>
      </c>
      <c r="BO2869">
        <v>0</v>
      </c>
      <c r="BP2869">
        <v>0</v>
      </c>
      <c r="BW2869" t="str">
        <f>"20:29:49.752"</f>
        <v>20:29:49.752</v>
      </c>
      <c r="BZ2869">
        <v>0</v>
      </c>
      <c r="CA2869">
        <v>1792</v>
      </c>
      <c r="CB2869">
        <v>224</v>
      </c>
      <c r="CD2869">
        <v>1</v>
      </c>
      <c r="CE2869">
        <v>0</v>
      </c>
      <c r="CF2869">
        <v>0</v>
      </c>
      <c r="CG2869">
        <v>1</v>
      </c>
      <c r="CH2869">
        <v>0</v>
      </c>
      <c r="CI2869">
        <v>0</v>
      </c>
      <c r="CJ2869">
        <v>0</v>
      </c>
      <c r="CK2869">
        <v>2</v>
      </c>
      <c r="CL2869">
        <v>0</v>
      </c>
      <c r="CM2869">
        <v>2</v>
      </c>
      <c r="CN2869">
        <v>0</v>
      </c>
      <c r="CO2869">
        <v>2</v>
      </c>
      <c r="CP2869" t="s">
        <v>119</v>
      </c>
      <c r="CQ2869">
        <v>179</v>
      </c>
      <c r="CR2869">
        <v>1</v>
      </c>
      <c r="CW2869">
        <v>9105305</v>
      </c>
      <c r="CY2869">
        <v>1</v>
      </c>
      <c r="CZ2869">
        <v>0</v>
      </c>
      <c r="DA2869">
        <v>1</v>
      </c>
      <c r="DB2869">
        <v>0</v>
      </c>
      <c r="DC2869">
        <v>0</v>
      </c>
      <c r="DD2869">
        <v>0</v>
      </c>
      <c r="DE2869">
        <v>0</v>
      </c>
      <c r="DF2869">
        <v>0</v>
      </c>
      <c r="DG2869">
        <v>0</v>
      </c>
      <c r="DH2869">
        <v>0</v>
      </c>
      <c r="DI2869">
        <v>0</v>
      </c>
    </row>
    <row r="2870" spans="1:113" x14ac:dyDescent="0.3">
      <c r="A2870" t="str">
        <f>"02/08/2021 20:29:47.427"</f>
        <v>02/08/2021 20:29:47.427</v>
      </c>
      <c r="C2870" t="str">
        <f t="shared" si="138"/>
        <v>FFDFD7C0</v>
      </c>
      <c r="D2870" t="s">
        <v>124</v>
      </c>
      <c r="E2870">
        <v>13</v>
      </c>
      <c r="F2870">
        <v>1013</v>
      </c>
      <c r="G2870" t="s">
        <v>114</v>
      </c>
      <c r="J2870" t="s">
        <v>125</v>
      </c>
      <c r="K2870">
        <v>0</v>
      </c>
      <c r="L2870">
        <v>3</v>
      </c>
      <c r="M2870">
        <v>0</v>
      </c>
      <c r="N2870">
        <v>2</v>
      </c>
      <c r="O2870">
        <v>1</v>
      </c>
      <c r="P2870">
        <v>0</v>
      </c>
      <c r="Q2870">
        <v>0</v>
      </c>
      <c r="S2870" t="str">
        <f>"20:29:49.750"</f>
        <v>20:29:49.750</v>
      </c>
      <c r="T2870" t="str">
        <f>"20:29:49.250"</f>
        <v>20:29:49.250</v>
      </c>
      <c r="U2870" t="str">
        <f t="shared" si="137"/>
        <v>AB01F4</v>
      </c>
      <c r="V2870">
        <v>0</v>
      </c>
      <c r="W2870">
        <v>0</v>
      </c>
      <c r="X2870">
        <v>2</v>
      </c>
      <c r="Z2870">
        <v>0</v>
      </c>
      <c r="AA2870">
        <v>9</v>
      </c>
      <c r="AB2870">
        <v>3</v>
      </c>
      <c r="AC2870">
        <v>0</v>
      </c>
      <c r="AD2870">
        <v>10</v>
      </c>
      <c r="AE2870">
        <v>0</v>
      </c>
      <c r="AF2870">
        <v>3</v>
      </c>
      <c r="AG2870">
        <v>2</v>
      </c>
      <c r="AH2870">
        <v>0</v>
      </c>
      <c r="AI2870" t="s">
        <v>1683</v>
      </c>
      <c r="AJ2870">
        <v>40.028771999999996</v>
      </c>
      <c r="AK2870" t="s">
        <v>1684</v>
      </c>
      <c r="AL2870">
        <v>-92.817435000000003</v>
      </c>
      <c r="AM2870">
        <v>100</v>
      </c>
      <c r="AN2870">
        <v>1500</v>
      </c>
      <c r="AO2870" t="s">
        <v>118</v>
      </c>
      <c r="AP2870">
        <v>-134</v>
      </c>
      <c r="AQ2870">
        <v>29</v>
      </c>
      <c r="AR2870">
        <v>-128</v>
      </c>
      <c r="AZ2870">
        <v>1200</v>
      </c>
      <c r="BA2870">
        <v>1</v>
      </c>
      <c r="BB2870" t="str">
        <f t="shared" si="139"/>
        <v xml:space="preserve">N8080G  </v>
      </c>
      <c r="BC2870">
        <v>1</v>
      </c>
      <c r="BE2870">
        <v>0</v>
      </c>
      <c r="BF2870">
        <v>0</v>
      </c>
      <c r="BG2870">
        <v>0</v>
      </c>
      <c r="BH2870">
        <v>1500</v>
      </c>
      <c r="BI2870">
        <v>1</v>
      </c>
      <c r="BJ2870">
        <v>1</v>
      </c>
      <c r="BK2870">
        <v>1</v>
      </c>
      <c r="BL2870">
        <v>0</v>
      </c>
      <c r="BO2870">
        <v>0</v>
      </c>
      <c r="BP2870">
        <v>0</v>
      </c>
      <c r="BW2870" t="str">
        <f>"20:29:49.752"</f>
        <v>20:29:49.752</v>
      </c>
      <c r="BZ2870">
        <v>0</v>
      </c>
      <c r="CA2870">
        <v>1792</v>
      </c>
      <c r="CB2870">
        <v>224</v>
      </c>
      <c r="CD2870">
        <v>1</v>
      </c>
      <c r="CE2870">
        <v>0</v>
      </c>
      <c r="CF2870">
        <v>0</v>
      </c>
      <c r="CG2870">
        <v>1</v>
      </c>
      <c r="CH2870">
        <v>0</v>
      </c>
      <c r="CI2870">
        <v>0</v>
      </c>
      <c r="CJ2870">
        <v>0</v>
      </c>
      <c r="CK2870">
        <v>2</v>
      </c>
      <c r="CL2870">
        <v>0</v>
      </c>
      <c r="CM2870">
        <v>2</v>
      </c>
      <c r="CN2870">
        <v>0</v>
      </c>
      <c r="CO2870">
        <v>2</v>
      </c>
      <c r="CP2870" t="s">
        <v>119</v>
      </c>
      <c r="CQ2870">
        <v>179</v>
      </c>
      <c r="CR2870">
        <v>1</v>
      </c>
      <c r="CW2870">
        <v>9105305</v>
      </c>
      <c r="CY2870">
        <v>1</v>
      </c>
      <c r="CZ2870">
        <v>0</v>
      </c>
      <c r="DA2870">
        <v>1</v>
      </c>
      <c r="DB2870">
        <v>0</v>
      </c>
      <c r="DC2870">
        <v>0</v>
      </c>
      <c r="DD2870">
        <v>0</v>
      </c>
      <c r="DE2870">
        <v>0</v>
      </c>
      <c r="DF2870">
        <v>0</v>
      </c>
      <c r="DG2870">
        <v>0</v>
      </c>
      <c r="DH2870">
        <v>0</v>
      </c>
      <c r="DI2870">
        <v>0</v>
      </c>
    </row>
    <row r="2871" spans="1:113" x14ac:dyDescent="0.3">
      <c r="A2871" t="str">
        <f>"02/08/2021 20:29:48.419"</f>
        <v>02/08/2021 20:29:48.419</v>
      </c>
      <c r="C2871" t="str">
        <f t="shared" si="138"/>
        <v>FFDFD7C0</v>
      </c>
      <c r="D2871" t="s">
        <v>124</v>
      </c>
      <c r="E2871">
        <v>13</v>
      </c>
      <c r="F2871">
        <v>1013</v>
      </c>
      <c r="G2871" t="s">
        <v>114</v>
      </c>
      <c r="J2871" t="s">
        <v>125</v>
      </c>
      <c r="K2871">
        <v>0</v>
      </c>
      <c r="L2871">
        <v>3</v>
      </c>
      <c r="M2871">
        <v>0</v>
      </c>
      <c r="N2871">
        <v>2</v>
      </c>
      <c r="O2871">
        <v>1</v>
      </c>
      <c r="P2871">
        <v>0</v>
      </c>
      <c r="Q2871">
        <v>0</v>
      </c>
      <c r="S2871" t="str">
        <f>"20:29:50.727"</f>
        <v>20:29:50.727</v>
      </c>
      <c r="T2871" t="str">
        <f>"20:29:50.327"</f>
        <v>20:29:50.327</v>
      </c>
      <c r="U2871" t="str">
        <f t="shared" si="137"/>
        <v>AB01F4</v>
      </c>
      <c r="V2871">
        <v>0</v>
      </c>
      <c r="W2871">
        <v>0</v>
      </c>
      <c r="X2871">
        <v>2</v>
      </c>
      <c r="Z2871">
        <v>0</v>
      </c>
      <c r="AA2871">
        <v>9</v>
      </c>
      <c r="AB2871">
        <v>3</v>
      </c>
      <c r="AC2871">
        <v>0</v>
      </c>
      <c r="AD2871">
        <v>10</v>
      </c>
      <c r="AE2871">
        <v>0</v>
      </c>
      <c r="AF2871">
        <v>3</v>
      </c>
      <c r="AG2871">
        <v>2</v>
      </c>
      <c r="AH2871">
        <v>0</v>
      </c>
      <c r="AI2871" t="s">
        <v>1685</v>
      </c>
      <c r="AJ2871">
        <v>40.028922999999999</v>
      </c>
      <c r="AK2871" t="s">
        <v>1686</v>
      </c>
      <c r="AL2871">
        <v>-92.818229000000002</v>
      </c>
      <c r="AM2871">
        <v>100</v>
      </c>
      <c r="AN2871">
        <v>1500</v>
      </c>
      <c r="AO2871" t="s">
        <v>118</v>
      </c>
      <c r="AP2871">
        <v>-134</v>
      </c>
      <c r="AQ2871">
        <v>29</v>
      </c>
      <c r="AR2871">
        <v>-64</v>
      </c>
      <c r="AZ2871">
        <v>1200</v>
      </c>
      <c r="BA2871">
        <v>1</v>
      </c>
      <c r="BB2871" t="str">
        <f t="shared" si="139"/>
        <v xml:space="preserve">N8080G  </v>
      </c>
      <c r="BC2871">
        <v>1</v>
      </c>
      <c r="BE2871">
        <v>0</v>
      </c>
      <c r="BF2871">
        <v>0</v>
      </c>
      <c r="BG2871">
        <v>0</v>
      </c>
      <c r="BH2871">
        <v>1500</v>
      </c>
      <c r="BI2871">
        <v>1</v>
      </c>
      <c r="BJ2871">
        <v>1</v>
      </c>
      <c r="BK2871">
        <v>1</v>
      </c>
      <c r="BL2871">
        <v>0</v>
      </c>
      <c r="BO2871">
        <v>0</v>
      </c>
      <c r="BP2871">
        <v>0</v>
      </c>
      <c r="BW2871" t="str">
        <f>"20:29:50.733"</f>
        <v>20:29:50.733</v>
      </c>
      <c r="BZ2871">
        <v>0</v>
      </c>
      <c r="CA2871">
        <v>1792</v>
      </c>
      <c r="CB2871">
        <v>224</v>
      </c>
      <c r="CD2871">
        <v>1</v>
      </c>
      <c r="CE2871">
        <v>0</v>
      </c>
      <c r="CF2871">
        <v>0</v>
      </c>
      <c r="CG2871">
        <v>1</v>
      </c>
      <c r="CH2871">
        <v>0</v>
      </c>
      <c r="CI2871">
        <v>0</v>
      </c>
      <c r="CJ2871">
        <v>0</v>
      </c>
      <c r="CK2871">
        <v>2</v>
      </c>
      <c r="CL2871">
        <v>0</v>
      </c>
      <c r="CM2871">
        <v>2</v>
      </c>
      <c r="CN2871">
        <v>0</v>
      </c>
      <c r="CO2871">
        <v>7</v>
      </c>
      <c r="CP2871" t="s">
        <v>119</v>
      </c>
      <c r="CQ2871">
        <v>180</v>
      </c>
      <c r="CR2871">
        <v>2</v>
      </c>
      <c r="CW2871">
        <v>8647450</v>
      </c>
      <c r="CY2871">
        <v>1</v>
      </c>
      <c r="CZ2871">
        <v>0</v>
      </c>
      <c r="DA2871">
        <v>0</v>
      </c>
      <c r="DB2871">
        <v>0</v>
      </c>
      <c r="DC2871">
        <v>0</v>
      </c>
      <c r="DD2871">
        <v>0</v>
      </c>
      <c r="DE2871">
        <v>0</v>
      </c>
      <c r="DF2871">
        <v>0</v>
      </c>
      <c r="DG2871">
        <v>0</v>
      </c>
      <c r="DH2871">
        <v>0</v>
      </c>
      <c r="DI2871">
        <v>0</v>
      </c>
    </row>
    <row r="2872" spans="1:113" x14ac:dyDescent="0.3">
      <c r="A2872" t="str">
        <f>"02/08/2021 20:29:48.419"</f>
        <v>02/08/2021 20:29:48.419</v>
      </c>
      <c r="C2872" t="str">
        <f t="shared" si="138"/>
        <v>FFDFD7C0</v>
      </c>
      <c r="D2872" t="s">
        <v>124</v>
      </c>
      <c r="E2872">
        <v>11</v>
      </c>
      <c r="F2872">
        <v>1011</v>
      </c>
      <c r="G2872" t="s">
        <v>590</v>
      </c>
      <c r="J2872" t="s">
        <v>125</v>
      </c>
      <c r="K2872">
        <v>0</v>
      </c>
      <c r="L2872">
        <v>3</v>
      </c>
      <c r="M2872">
        <v>0</v>
      </c>
      <c r="N2872">
        <v>2</v>
      </c>
      <c r="O2872">
        <v>1</v>
      </c>
      <c r="P2872">
        <v>0</v>
      </c>
      <c r="Q2872">
        <v>0</v>
      </c>
      <c r="S2872" t="str">
        <f>"20:29:50.727"</f>
        <v>20:29:50.727</v>
      </c>
      <c r="T2872" t="str">
        <f>"20:29:50.327"</f>
        <v>20:29:50.327</v>
      </c>
      <c r="U2872" t="str">
        <f t="shared" si="137"/>
        <v>AB01F4</v>
      </c>
      <c r="V2872">
        <v>0</v>
      </c>
      <c r="W2872">
        <v>0</v>
      </c>
      <c r="X2872">
        <v>2</v>
      </c>
      <c r="Z2872">
        <v>0</v>
      </c>
      <c r="AA2872">
        <v>9</v>
      </c>
      <c r="AB2872">
        <v>3</v>
      </c>
      <c r="AC2872">
        <v>0</v>
      </c>
      <c r="AD2872">
        <v>10</v>
      </c>
      <c r="AE2872">
        <v>0</v>
      </c>
      <c r="AF2872">
        <v>3</v>
      </c>
      <c r="AG2872">
        <v>2</v>
      </c>
      <c r="AH2872">
        <v>0</v>
      </c>
      <c r="AI2872" t="s">
        <v>1685</v>
      </c>
      <c r="AJ2872">
        <v>40.028922999999999</v>
      </c>
      <c r="AK2872" t="s">
        <v>1686</v>
      </c>
      <c r="AL2872">
        <v>-92.818229000000002</v>
      </c>
      <c r="AM2872">
        <v>100</v>
      </c>
      <c r="AN2872">
        <v>1500</v>
      </c>
      <c r="AO2872" t="s">
        <v>118</v>
      </c>
      <c r="AP2872">
        <v>-134</v>
      </c>
      <c r="AQ2872">
        <v>29</v>
      </c>
      <c r="AR2872">
        <v>-64</v>
      </c>
      <c r="AZ2872">
        <v>1200</v>
      </c>
      <c r="BA2872">
        <v>1</v>
      </c>
      <c r="BB2872" t="str">
        <f t="shared" si="139"/>
        <v xml:space="preserve">N8080G  </v>
      </c>
      <c r="BC2872">
        <v>1</v>
      </c>
      <c r="BE2872">
        <v>0</v>
      </c>
      <c r="BF2872">
        <v>0</v>
      </c>
      <c r="BG2872">
        <v>0</v>
      </c>
      <c r="BH2872">
        <v>1500</v>
      </c>
      <c r="BI2872">
        <v>1</v>
      </c>
      <c r="BJ2872">
        <v>1</v>
      </c>
      <c r="BK2872">
        <v>1</v>
      </c>
      <c r="BL2872">
        <v>0</v>
      </c>
      <c r="BO2872">
        <v>0</v>
      </c>
      <c r="BP2872">
        <v>0</v>
      </c>
      <c r="BW2872" t="str">
        <f>"20:29:50.733"</f>
        <v>20:29:50.733</v>
      </c>
      <c r="BZ2872">
        <v>0</v>
      </c>
      <c r="CA2872">
        <v>1792</v>
      </c>
      <c r="CB2872">
        <v>224</v>
      </c>
      <c r="CD2872">
        <v>1</v>
      </c>
      <c r="CE2872">
        <v>0</v>
      </c>
      <c r="CF2872">
        <v>0</v>
      </c>
      <c r="CG2872">
        <v>1</v>
      </c>
      <c r="CH2872">
        <v>0</v>
      </c>
      <c r="CI2872">
        <v>0</v>
      </c>
      <c r="CJ2872">
        <v>0</v>
      </c>
      <c r="CK2872">
        <v>2</v>
      </c>
      <c r="CL2872">
        <v>0</v>
      </c>
      <c r="CM2872">
        <v>2</v>
      </c>
      <c r="CN2872">
        <v>0</v>
      </c>
      <c r="CO2872">
        <v>7</v>
      </c>
      <c r="CP2872" t="s">
        <v>119</v>
      </c>
      <c r="CQ2872">
        <v>180</v>
      </c>
      <c r="CR2872">
        <v>2</v>
      </c>
      <c r="CW2872">
        <v>8647450</v>
      </c>
      <c r="CY2872">
        <v>1</v>
      </c>
      <c r="CZ2872">
        <v>0</v>
      </c>
      <c r="DA2872">
        <v>1</v>
      </c>
      <c r="DB2872">
        <v>0</v>
      </c>
      <c r="DC2872">
        <v>0</v>
      </c>
      <c r="DD2872">
        <v>0</v>
      </c>
      <c r="DE2872">
        <v>0</v>
      </c>
      <c r="DF2872">
        <v>0</v>
      </c>
      <c r="DG2872">
        <v>0</v>
      </c>
      <c r="DH2872">
        <v>0</v>
      </c>
      <c r="DI2872">
        <v>0</v>
      </c>
    </row>
    <row r="2873" spans="1:113" x14ac:dyDescent="0.3">
      <c r="A2873" t="str">
        <f>"02/08/2021 20:29:48.419"</f>
        <v>02/08/2021 20:29:48.419</v>
      </c>
      <c r="C2873" t="str">
        <f t="shared" si="138"/>
        <v>FFDFD7C0</v>
      </c>
      <c r="D2873" t="s">
        <v>113</v>
      </c>
      <c r="E2873">
        <v>6</v>
      </c>
      <c r="H2873">
        <v>165</v>
      </c>
      <c r="I2873" t="s">
        <v>114</v>
      </c>
      <c r="J2873" t="s">
        <v>115</v>
      </c>
      <c r="K2873">
        <v>0</v>
      </c>
      <c r="L2873">
        <v>3</v>
      </c>
      <c r="M2873">
        <v>0</v>
      </c>
      <c r="N2873">
        <v>2</v>
      </c>
      <c r="O2873">
        <v>1</v>
      </c>
      <c r="P2873">
        <v>0</v>
      </c>
      <c r="Q2873">
        <v>0</v>
      </c>
      <c r="S2873" t="str">
        <f>"20:29:50.727"</f>
        <v>20:29:50.727</v>
      </c>
      <c r="T2873" t="str">
        <f>"20:29:50.327"</f>
        <v>20:29:50.327</v>
      </c>
      <c r="U2873" t="str">
        <f t="shared" si="137"/>
        <v>AB01F4</v>
      </c>
      <c r="V2873">
        <v>0</v>
      </c>
      <c r="W2873">
        <v>0</v>
      </c>
      <c r="X2873">
        <v>2</v>
      </c>
      <c r="Z2873">
        <v>0</v>
      </c>
      <c r="AA2873">
        <v>9</v>
      </c>
      <c r="AB2873">
        <v>3</v>
      </c>
      <c r="AC2873">
        <v>0</v>
      </c>
      <c r="AD2873">
        <v>10</v>
      </c>
      <c r="AE2873">
        <v>0</v>
      </c>
      <c r="AF2873">
        <v>3</v>
      </c>
      <c r="AG2873">
        <v>2</v>
      </c>
      <c r="AH2873">
        <v>0</v>
      </c>
      <c r="AI2873" t="s">
        <v>1685</v>
      </c>
      <c r="AJ2873">
        <v>40.028922999999999</v>
      </c>
      <c r="AK2873" t="s">
        <v>1686</v>
      </c>
      <c r="AL2873">
        <v>-92.818229000000002</v>
      </c>
      <c r="AM2873">
        <v>100</v>
      </c>
      <c r="AN2873">
        <v>1500</v>
      </c>
      <c r="AO2873" t="s">
        <v>118</v>
      </c>
      <c r="AP2873">
        <v>-134</v>
      </c>
      <c r="AQ2873">
        <v>29</v>
      </c>
      <c r="AR2873">
        <v>-64</v>
      </c>
      <c r="AZ2873">
        <v>1200</v>
      </c>
      <c r="BA2873">
        <v>1</v>
      </c>
      <c r="BB2873" t="str">
        <f t="shared" si="139"/>
        <v xml:space="preserve">N8080G  </v>
      </c>
      <c r="BC2873">
        <v>1</v>
      </c>
      <c r="BE2873">
        <v>0</v>
      </c>
      <c r="BF2873">
        <v>0</v>
      </c>
      <c r="BG2873">
        <v>0</v>
      </c>
      <c r="BH2873">
        <v>1500</v>
      </c>
      <c r="BI2873">
        <v>1</v>
      </c>
      <c r="BJ2873">
        <v>1</v>
      </c>
      <c r="BK2873">
        <v>1</v>
      </c>
      <c r="BL2873">
        <v>0</v>
      </c>
      <c r="BO2873">
        <v>0</v>
      </c>
      <c r="BP2873">
        <v>0</v>
      </c>
      <c r="BW2873" t="str">
        <f>"20:29:50.733"</f>
        <v>20:29:50.733</v>
      </c>
      <c r="BZ2873">
        <v>0</v>
      </c>
      <c r="CA2873">
        <v>1792</v>
      </c>
      <c r="CB2873">
        <v>224</v>
      </c>
      <c r="CD2873">
        <v>1</v>
      </c>
      <c r="CE2873">
        <v>0</v>
      </c>
      <c r="CF2873">
        <v>0</v>
      </c>
      <c r="CG2873">
        <v>1</v>
      </c>
      <c r="CH2873">
        <v>0</v>
      </c>
      <c r="CI2873">
        <v>0</v>
      </c>
      <c r="CJ2873">
        <v>0</v>
      </c>
      <c r="CK2873">
        <v>2</v>
      </c>
      <c r="CL2873">
        <v>0</v>
      </c>
      <c r="CM2873">
        <v>2</v>
      </c>
      <c r="CN2873">
        <v>0</v>
      </c>
      <c r="CO2873">
        <v>7</v>
      </c>
      <c r="CP2873" t="s">
        <v>119</v>
      </c>
      <c r="CQ2873">
        <v>180</v>
      </c>
      <c r="CR2873">
        <v>2</v>
      </c>
      <c r="CW2873">
        <v>8647450</v>
      </c>
      <c r="CY2873">
        <v>1</v>
      </c>
      <c r="CZ2873">
        <v>0</v>
      </c>
      <c r="DA2873">
        <v>1</v>
      </c>
      <c r="DB2873">
        <v>0</v>
      </c>
      <c r="DC2873">
        <v>0</v>
      </c>
      <c r="DD2873">
        <v>0</v>
      </c>
      <c r="DE2873">
        <v>0</v>
      </c>
      <c r="DF2873">
        <v>0</v>
      </c>
      <c r="DG2873">
        <v>0</v>
      </c>
      <c r="DH2873">
        <v>0</v>
      </c>
      <c r="DI2873">
        <v>0</v>
      </c>
    </row>
    <row r="2874" spans="1:113" x14ac:dyDescent="0.3">
      <c r="A2874" t="str">
        <f>"02/08/2021 20:29:48.419"</f>
        <v>02/08/2021 20:29:48.419</v>
      </c>
      <c r="C2874" t="str">
        <f t="shared" si="138"/>
        <v>FFDFD7C0</v>
      </c>
      <c r="D2874" t="s">
        <v>124</v>
      </c>
      <c r="E2874">
        <v>12</v>
      </c>
      <c r="F2874">
        <v>1012</v>
      </c>
      <c r="G2874" t="s">
        <v>675</v>
      </c>
      <c r="J2874" t="s">
        <v>125</v>
      </c>
      <c r="K2874">
        <v>0</v>
      </c>
      <c r="L2874">
        <v>3</v>
      </c>
      <c r="M2874">
        <v>0</v>
      </c>
      <c r="N2874">
        <v>2</v>
      </c>
      <c r="O2874">
        <v>1</v>
      </c>
      <c r="P2874">
        <v>0</v>
      </c>
      <c r="Q2874">
        <v>0</v>
      </c>
      <c r="S2874" t="str">
        <f>"20:29:50.727"</f>
        <v>20:29:50.727</v>
      </c>
      <c r="T2874" t="str">
        <f>"20:29:50.327"</f>
        <v>20:29:50.327</v>
      </c>
      <c r="U2874" t="str">
        <f t="shared" si="137"/>
        <v>AB01F4</v>
      </c>
      <c r="V2874">
        <v>0</v>
      </c>
      <c r="W2874">
        <v>0</v>
      </c>
      <c r="X2874">
        <v>2</v>
      </c>
      <c r="Z2874">
        <v>0</v>
      </c>
      <c r="AA2874">
        <v>9</v>
      </c>
      <c r="AB2874">
        <v>3</v>
      </c>
      <c r="AC2874">
        <v>0</v>
      </c>
      <c r="AD2874">
        <v>10</v>
      </c>
      <c r="AE2874">
        <v>0</v>
      </c>
      <c r="AF2874">
        <v>3</v>
      </c>
      <c r="AG2874">
        <v>2</v>
      </c>
      <c r="AH2874">
        <v>0</v>
      </c>
      <c r="AI2874" t="s">
        <v>1685</v>
      </c>
      <c r="AJ2874">
        <v>40.028922999999999</v>
      </c>
      <c r="AK2874" t="s">
        <v>1686</v>
      </c>
      <c r="AL2874">
        <v>-92.818229000000002</v>
      </c>
      <c r="AM2874">
        <v>100</v>
      </c>
      <c r="AN2874">
        <v>1500</v>
      </c>
      <c r="AO2874" t="s">
        <v>118</v>
      </c>
      <c r="AP2874">
        <v>-134</v>
      </c>
      <c r="AQ2874">
        <v>29</v>
      </c>
      <c r="AR2874">
        <v>-64</v>
      </c>
      <c r="AZ2874">
        <v>1200</v>
      </c>
      <c r="BA2874">
        <v>1</v>
      </c>
      <c r="BB2874" t="str">
        <f t="shared" si="139"/>
        <v xml:space="preserve">N8080G  </v>
      </c>
      <c r="BC2874">
        <v>1</v>
      </c>
      <c r="BE2874">
        <v>0</v>
      </c>
      <c r="BF2874">
        <v>0</v>
      </c>
      <c r="BG2874">
        <v>0</v>
      </c>
      <c r="BH2874">
        <v>1500</v>
      </c>
      <c r="BI2874">
        <v>1</v>
      </c>
      <c r="BJ2874">
        <v>1</v>
      </c>
      <c r="BK2874">
        <v>1</v>
      </c>
      <c r="BL2874">
        <v>0</v>
      </c>
      <c r="BO2874">
        <v>0</v>
      </c>
      <c r="BP2874">
        <v>0</v>
      </c>
      <c r="BW2874" t="str">
        <f>"20:29:50.733"</f>
        <v>20:29:50.733</v>
      </c>
      <c r="BZ2874">
        <v>0</v>
      </c>
      <c r="CA2874">
        <v>1792</v>
      </c>
      <c r="CB2874">
        <v>224</v>
      </c>
      <c r="CD2874">
        <v>1</v>
      </c>
      <c r="CE2874">
        <v>0</v>
      </c>
      <c r="CF2874">
        <v>0</v>
      </c>
      <c r="CG2874">
        <v>1</v>
      </c>
      <c r="CH2874">
        <v>0</v>
      </c>
      <c r="CI2874">
        <v>0</v>
      </c>
      <c r="CJ2874">
        <v>0</v>
      </c>
      <c r="CK2874">
        <v>2</v>
      </c>
      <c r="CL2874">
        <v>0</v>
      </c>
      <c r="CM2874">
        <v>2</v>
      </c>
      <c r="CN2874">
        <v>0</v>
      </c>
      <c r="CO2874">
        <v>7</v>
      </c>
      <c r="CP2874" t="s">
        <v>119</v>
      </c>
      <c r="CQ2874">
        <v>180</v>
      </c>
      <c r="CR2874">
        <v>2</v>
      </c>
      <c r="CW2874">
        <v>8647450</v>
      </c>
      <c r="CY2874">
        <v>1</v>
      </c>
      <c r="CZ2874">
        <v>0</v>
      </c>
      <c r="DA2874">
        <v>1</v>
      </c>
      <c r="DB2874">
        <v>0</v>
      </c>
      <c r="DC2874">
        <v>0</v>
      </c>
      <c r="DD2874">
        <v>0</v>
      </c>
      <c r="DE2874">
        <v>0</v>
      </c>
      <c r="DF2874">
        <v>0</v>
      </c>
      <c r="DG2874">
        <v>0</v>
      </c>
      <c r="DH2874">
        <v>0</v>
      </c>
      <c r="DI2874">
        <v>0</v>
      </c>
    </row>
    <row r="2875" spans="1:113" x14ac:dyDescent="0.3">
      <c r="A2875" t="str">
        <f>"02/08/2021 20:29:49.373"</f>
        <v>02/08/2021 20:29:49.373</v>
      </c>
      <c r="C2875" t="str">
        <f t="shared" si="138"/>
        <v>FFDFD7C0</v>
      </c>
      <c r="D2875" t="s">
        <v>124</v>
      </c>
      <c r="E2875">
        <v>13</v>
      </c>
      <c r="F2875">
        <v>1013</v>
      </c>
      <c r="G2875" t="s">
        <v>114</v>
      </c>
      <c r="J2875" t="s">
        <v>125</v>
      </c>
      <c r="K2875">
        <v>0</v>
      </c>
      <c r="L2875">
        <v>3</v>
      </c>
      <c r="M2875">
        <v>0</v>
      </c>
      <c r="N2875">
        <v>2</v>
      </c>
      <c r="O2875">
        <v>1</v>
      </c>
      <c r="P2875">
        <v>0</v>
      </c>
      <c r="Q2875">
        <v>0</v>
      </c>
      <c r="S2875" t="str">
        <f>"20:29:51.719"</f>
        <v>20:29:51.719</v>
      </c>
      <c r="T2875" t="str">
        <f>"20:29:51.219"</f>
        <v>20:29:51.219</v>
      </c>
      <c r="U2875" t="str">
        <f t="shared" si="137"/>
        <v>AB01F4</v>
      </c>
      <c r="V2875">
        <v>0</v>
      </c>
      <c r="W2875">
        <v>0</v>
      </c>
      <c r="X2875">
        <v>2</v>
      </c>
      <c r="Z2875">
        <v>0</v>
      </c>
      <c r="AA2875">
        <v>9</v>
      </c>
      <c r="AB2875">
        <v>3</v>
      </c>
      <c r="AC2875">
        <v>0</v>
      </c>
      <c r="AD2875">
        <v>10</v>
      </c>
      <c r="AE2875">
        <v>0</v>
      </c>
      <c r="AF2875">
        <v>3</v>
      </c>
      <c r="AG2875">
        <v>2</v>
      </c>
      <c r="AH2875">
        <v>0</v>
      </c>
      <c r="AI2875" t="s">
        <v>1687</v>
      </c>
      <c r="AJ2875">
        <v>40.029051000000003</v>
      </c>
      <c r="AK2875" t="s">
        <v>1688</v>
      </c>
      <c r="AL2875">
        <v>-92.819023000000001</v>
      </c>
      <c r="AM2875">
        <v>100</v>
      </c>
      <c r="AN2875">
        <v>1500</v>
      </c>
      <c r="AO2875" t="s">
        <v>118</v>
      </c>
      <c r="AP2875">
        <v>-134</v>
      </c>
      <c r="AQ2875">
        <v>29</v>
      </c>
      <c r="AR2875">
        <v>64</v>
      </c>
      <c r="AZ2875">
        <v>1200</v>
      </c>
      <c r="BA2875">
        <v>1</v>
      </c>
      <c r="BB2875" t="str">
        <f t="shared" si="139"/>
        <v xml:space="preserve">N8080G  </v>
      </c>
      <c r="BC2875">
        <v>1</v>
      </c>
      <c r="BE2875">
        <v>0</v>
      </c>
      <c r="BF2875">
        <v>0</v>
      </c>
      <c r="BG2875">
        <v>0</v>
      </c>
      <c r="BH2875">
        <v>1500</v>
      </c>
      <c r="BI2875">
        <v>1</v>
      </c>
      <c r="BJ2875">
        <v>1</v>
      </c>
      <c r="BK2875">
        <v>1</v>
      </c>
      <c r="BL2875">
        <v>0</v>
      </c>
      <c r="BO2875">
        <v>0</v>
      </c>
      <c r="BP2875">
        <v>0</v>
      </c>
      <c r="BW2875" t="str">
        <f>"20:29:51.724"</f>
        <v>20:29:51.724</v>
      </c>
      <c r="BZ2875">
        <v>0</v>
      </c>
      <c r="CA2875">
        <v>1792</v>
      </c>
      <c r="CB2875">
        <v>224</v>
      </c>
      <c r="CD2875">
        <v>1</v>
      </c>
      <c r="CE2875">
        <v>0</v>
      </c>
      <c r="CF2875">
        <v>0</v>
      </c>
      <c r="CG2875">
        <v>1</v>
      </c>
      <c r="CH2875">
        <v>0</v>
      </c>
      <c r="CI2875">
        <v>0</v>
      </c>
      <c r="CJ2875">
        <v>0</v>
      </c>
      <c r="CK2875">
        <v>2</v>
      </c>
      <c r="CL2875">
        <v>0</v>
      </c>
      <c r="CM2875">
        <v>2</v>
      </c>
      <c r="CN2875">
        <v>0</v>
      </c>
      <c r="CO2875">
        <v>2</v>
      </c>
      <c r="CP2875" t="s">
        <v>119</v>
      </c>
      <c r="CQ2875">
        <v>179</v>
      </c>
      <c r="CR2875">
        <v>1</v>
      </c>
      <c r="CW2875">
        <v>9107196</v>
      </c>
      <c r="CY2875">
        <v>1</v>
      </c>
      <c r="CZ2875">
        <v>0</v>
      </c>
      <c r="DA2875">
        <v>0</v>
      </c>
      <c r="DB2875">
        <v>0</v>
      </c>
      <c r="DC2875">
        <v>0</v>
      </c>
      <c r="DD2875">
        <v>0</v>
      </c>
      <c r="DE2875">
        <v>0</v>
      </c>
      <c r="DF2875">
        <v>0</v>
      </c>
      <c r="DG2875">
        <v>0</v>
      </c>
      <c r="DH2875">
        <v>0</v>
      </c>
      <c r="DI2875">
        <v>0</v>
      </c>
    </row>
    <row r="2876" spans="1:113" x14ac:dyDescent="0.3">
      <c r="A2876" t="str">
        <f>"02/08/2021 20:29:49.373"</f>
        <v>02/08/2021 20:29:49.373</v>
      </c>
      <c r="C2876" t="str">
        <f t="shared" si="138"/>
        <v>FFDFD7C0</v>
      </c>
      <c r="D2876" t="s">
        <v>124</v>
      </c>
      <c r="E2876">
        <v>11</v>
      </c>
      <c r="F2876">
        <v>1011</v>
      </c>
      <c r="G2876" t="s">
        <v>590</v>
      </c>
      <c r="J2876" t="s">
        <v>125</v>
      </c>
      <c r="K2876">
        <v>0</v>
      </c>
      <c r="L2876">
        <v>3</v>
      </c>
      <c r="M2876">
        <v>0</v>
      </c>
      <c r="N2876">
        <v>2</v>
      </c>
      <c r="O2876">
        <v>1</v>
      </c>
      <c r="P2876">
        <v>0</v>
      </c>
      <c r="Q2876">
        <v>0</v>
      </c>
      <c r="S2876" t="str">
        <f>"20:29:51.719"</f>
        <v>20:29:51.719</v>
      </c>
      <c r="T2876" t="str">
        <f>"20:29:51.219"</f>
        <v>20:29:51.219</v>
      </c>
      <c r="U2876" t="str">
        <f t="shared" si="137"/>
        <v>AB01F4</v>
      </c>
      <c r="V2876">
        <v>0</v>
      </c>
      <c r="W2876">
        <v>0</v>
      </c>
      <c r="X2876">
        <v>2</v>
      </c>
      <c r="Z2876">
        <v>0</v>
      </c>
      <c r="AA2876">
        <v>9</v>
      </c>
      <c r="AB2876">
        <v>3</v>
      </c>
      <c r="AC2876">
        <v>0</v>
      </c>
      <c r="AD2876">
        <v>10</v>
      </c>
      <c r="AE2876">
        <v>0</v>
      </c>
      <c r="AF2876">
        <v>3</v>
      </c>
      <c r="AG2876">
        <v>2</v>
      </c>
      <c r="AH2876">
        <v>0</v>
      </c>
      <c r="AI2876" t="s">
        <v>1687</v>
      </c>
      <c r="AJ2876">
        <v>40.029051000000003</v>
      </c>
      <c r="AK2876" t="s">
        <v>1688</v>
      </c>
      <c r="AL2876">
        <v>-92.819023000000001</v>
      </c>
      <c r="AM2876">
        <v>100</v>
      </c>
      <c r="AN2876">
        <v>1500</v>
      </c>
      <c r="AO2876" t="s">
        <v>118</v>
      </c>
      <c r="AP2876">
        <v>-134</v>
      </c>
      <c r="AQ2876">
        <v>29</v>
      </c>
      <c r="AR2876">
        <v>64</v>
      </c>
      <c r="AZ2876">
        <v>1200</v>
      </c>
      <c r="BA2876">
        <v>1</v>
      </c>
      <c r="BB2876" t="str">
        <f t="shared" si="139"/>
        <v xml:space="preserve">N8080G  </v>
      </c>
      <c r="BC2876">
        <v>1</v>
      </c>
      <c r="BE2876">
        <v>0</v>
      </c>
      <c r="BF2876">
        <v>0</v>
      </c>
      <c r="BG2876">
        <v>0</v>
      </c>
      <c r="BH2876">
        <v>1500</v>
      </c>
      <c r="BI2876">
        <v>1</v>
      </c>
      <c r="BJ2876">
        <v>1</v>
      </c>
      <c r="BK2876">
        <v>1</v>
      </c>
      <c r="BL2876">
        <v>0</v>
      </c>
      <c r="BO2876">
        <v>0</v>
      </c>
      <c r="BP2876">
        <v>0</v>
      </c>
      <c r="BW2876" t="str">
        <f>"20:29:51.724"</f>
        <v>20:29:51.724</v>
      </c>
      <c r="BZ2876">
        <v>0</v>
      </c>
      <c r="CA2876">
        <v>1792</v>
      </c>
      <c r="CB2876">
        <v>224</v>
      </c>
      <c r="CD2876">
        <v>1</v>
      </c>
      <c r="CE2876">
        <v>0</v>
      </c>
      <c r="CF2876">
        <v>0</v>
      </c>
      <c r="CG2876">
        <v>1</v>
      </c>
      <c r="CH2876">
        <v>0</v>
      </c>
      <c r="CI2876">
        <v>0</v>
      </c>
      <c r="CJ2876">
        <v>0</v>
      </c>
      <c r="CK2876">
        <v>2</v>
      </c>
      <c r="CL2876">
        <v>0</v>
      </c>
      <c r="CM2876">
        <v>2</v>
      </c>
      <c r="CN2876">
        <v>0</v>
      </c>
      <c r="CO2876">
        <v>2</v>
      </c>
      <c r="CP2876" t="s">
        <v>119</v>
      </c>
      <c r="CQ2876">
        <v>179</v>
      </c>
      <c r="CR2876">
        <v>1</v>
      </c>
      <c r="CW2876">
        <v>9107196</v>
      </c>
      <c r="CY2876">
        <v>1</v>
      </c>
      <c r="CZ2876">
        <v>0</v>
      </c>
      <c r="DA2876">
        <v>1</v>
      </c>
      <c r="DB2876">
        <v>0</v>
      </c>
      <c r="DC2876">
        <v>0</v>
      </c>
      <c r="DD2876">
        <v>0</v>
      </c>
      <c r="DE2876">
        <v>0</v>
      </c>
      <c r="DF2876">
        <v>0</v>
      </c>
      <c r="DG2876">
        <v>0</v>
      </c>
      <c r="DH2876">
        <v>0</v>
      </c>
      <c r="DI2876">
        <v>0</v>
      </c>
    </row>
    <row r="2877" spans="1:113" x14ac:dyDescent="0.3">
      <c r="A2877" t="str">
        <f>"02/08/2021 20:29:49.373"</f>
        <v>02/08/2021 20:29:49.373</v>
      </c>
      <c r="C2877" t="str">
        <f t="shared" si="138"/>
        <v>FFDFD7C0</v>
      </c>
      <c r="D2877" t="s">
        <v>124</v>
      </c>
      <c r="E2877">
        <v>12</v>
      </c>
      <c r="F2877">
        <v>1012</v>
      </c>
      <c r="G2877" t="s">
        <v>675</v>
      </c>
      <c r="J2877" t="s">
        <v>125</v>
      </c>
      <c r="K2877">
        <v>0</v>
      </c>
      <c r="L2877">
        <v>3</v>
      </c>
      <c r="M2877">
        <v>0</v>
      </c>
      <c r="N2877">
        <v>2</v>
      </c>
      <c r="O2877">
        <v>1</v>
      </c>
      <c r="P2877">
        <v>0</v>
      </c>
      <c r="Q2877">
        <v>0</v>
      </c>
      <c r="S2877" t="str">
        <f>"20:29:51.719"</f>
        <v>20:29:51.719</v>
      </c>
      <c r="T2877" t="str">
        <f>"20:29:51.219"</f>
        <v>20:29:51.219</v>
      </c>
      <c r="U2877" t="str">
        <f t="shared" si="137"/>
        <v>AB01F4</v>
      </c>
      <c r="V2877">
        <v>0</v>
      </c>
      <c r="W2877">
        <v>0</v>
      </c>
      <c r="X2877">
        <v>2</v>
      </c>
      <c r="Z2877">
        <v>0</v>
      </c>
      <c r="AA2877">
        <v>9</v>
      </c>
      <c r="AB2877">
        <v>3</v>
      </c>
      <c r="AC2877">
        <v>0</v>
      </c>
      <c r="AD2877">
        <v>10</v>
      </c>
      <c r="AE2877">
        <v>0</v>
      </c>
      <c r="AF2877">
        <v>3</v>
      </c>
      <c r="AG2877">
        <v>2</v>
      </c>
      <c r="AH2877">
        <v>0</v>
      </c>
      <c r="AI2877" t="s">
        <v>1687</v>
      </c>
      <c r="AJ2877">
        <v>40.029051000000003</v>
      </c>
      <c r="AK2877" t="s">
        <v>1688</v>
      </c>
      <c r="AL2877">
        <v>-92.819023000000001</v>
      </c>
      <c r="AM2877">
        <v>100</v>
      </c>
      <c r="AN2877">
        <v>1500</v>
      </c>
      <c r="AO2877" t="s">
        <v>118</v>
      </c>
      <c r="AP2877">
        <v>-134</v>
      </c>
      <c r="AQ2877">
        <v>29</v>
      </c>
      <c r="AR2877">
        <v>64</v>
      </c>
      <c r="AZ2877">
        <v>1200</v>
      </c>
      <c r="BA2877">
        <v>1</v>
      </c>
      <c r="BB2877" t="str">
        <f t="shared" si="139"/>
        <v xml:space="preserve">N8080G  </v>
      </c>
      <c r="BC2877">
        <v>1</v>
      </c>
      <c r="BE2877">
        <v>0</v>
      </c>
      <c r="BF2877">
        <v>0</v>
      </c>
      <c r="BG2877">
        <v>0</v>
      </c>
      <c r="BH2877">
        <v>1500</v>
      </c>
      <c r="BI2877">
        <v>1</v>
      </c>
      <c r="BJ2877">
        <v>1</v>
      </c>
      <c r="BK2877">
        <v>1</v>
      </c>
      <c r="BL2877">
        <v>0</v>
      </c>
      <c r="BO2877">
        <v>0</v>
      </c>
      <c r="BP2877">
        <v>0</v>
      </c>
      <c r="BW2877" t="str">
        <f>"20:29:51.724"</f>
        <v>20:29:51.724</v>
      </c>
      <c r="BZ2877">
        <v>0</v>
      </c>
      <c r="CA2877">
        <v>1792</v>
      </c>
      <c r="CB2877">
        <v>224</v>
      </c>
      <c r="CD2877">
        <v>1</v>
      </c>
      <c r="CE2877">
        <v>0</v>
      </c>
      <c r="CF2877">
        <v>0</v>
      </c>
      <c r="CG2877">
        <v>1</v>
      </c>
      <c r="CH2877">
        <v>0</v>
      </c>
      <c r="CI2877">
        <v>0</v>
      </c>
      <c r="CJ2877">
        <v>0</v>
      </c>
      <c r="CK2877">
        <v>2</v>
      </c>
      <c r="CL2877">
        <v>0</v>
      </c>
      <c r="CM2877">
        <v>2</v>
      </c>
      <c r="CN2877">
        <v>0</v>
      </c>
      <c r="CO2877">
        <v>2</v>
      </c>
      <c r="CP2877" t="s">
        <v>119</v>
      </c>
      <c r="CQ2877">
        <v>179</v>
      </c>
      <c r="CR2877">
        <v>1</v>
      </c>
      <c r="CW2877">
        <v>9107196</v>
      </c>
      <c r="CY2877">
        <v>1</v>
      </c>
      <c r="CZ2877">
        <v>0</v>
      </c>
      <c r="DA2877">
        <v>1</v>
      </c>
      <c r="DB2877">
        <v>0</v>
      </c>
      <c r="DC2877">
        <v>0</v>
      </c>
      <c r="DD2877">
        <v>0</v>
      </c>
      <c r="DE2877">
        <v>0</v>
      </c>
      <c r="DF2877">
        <v>0</v>
      </c>
      <c r="DG2877">
        <v>0</v>
      </c>
      <c r="DH2877">
        <v>0</v>
      </c>
      <c r="DI2877">
        <v>0</v>
      </c>
    </row>
    <row r="2878" spans="1:113" x14ac:dyDescent="0.3">
      <c r="A2878" t="str">
        <f>"02/08/2021 20:29:49.373"</f>
        <v>02/08/2021 20:29:49.373</v>
      </c>
      <c r="C2878" t="str">
        <f t="shared" si="138"/>
        <v>FFDFD7C0</v>
      </c>
      <c r="D2878" t="s">
        <v>113</v>
      </c>
      <c r="E2878">
        <v>6</v>
      </c>
      <c r="H2878">
        <v>165</v>
      </c>
      <c r="I2878" t="s">
        <v>114</v>
      </c>
      <c r="J2878" t="s">
        <v>115</v>
      </c>
      <c r="K2878">
        <v>0</v>
      </c>
      <c r="L2878">
        <v>3</v>
      </c>
      <c r="M2878">
        <v>0</v>
      </c>
      <c r="N2878">
        <v>2</v>
      </c>
      <c r="O2878">
        <v>1</v>
      </c>
      <c r="P2878">
        <v>0</v>
      </c>
      <c r="Q2878">
        <v>0</v>
      </c>
      <c r="S2878" t="str">
        <f>"20:29:51.719"</f>
        <v>20:29:51.719</v>
      </c>
      <c r="T2878" t="str">
        <f>"20:29:51.219"</f>
        <v>20:29:51.219</v>
      </c>
      <c r="U2878" t="str">
        <f t="shared" si="137"/>
        <v>AB01F4</v>
      </c>
      <c r="V2878">
        <v>0</v>
      </c>
      <c r="W2878">
        <v>0</v>
      </c>
      <c r="X2878">
        <v>2</v>
      </c>
      <c r="Z2878">
        <v>0</v>
      </c>
      <c r="AA2878">
        <v>9</v>
      </c>
      <c r="AB2878">
        <v>3</v>
      </c>
      <c r="AC2878">
        <v>0</v>
      </c>
      <c r="AD2878">
        <v>10</v>
      </c>
      <c r="AE2878">
        <v>0</v>
      </c>
      <c r="AF2878">
        <v>3</v>
      </c>
      <c r="AG2878">
        <v>2</v>
      </c>
      <c r="AH2878">
        <v>0</v>
      </c>
      <c r="AI2878" t="s">
        <v>1687</v>
      </c>
      <c r="AJ2878">
        <v>40.029051000000003</v>
      </c>
      <c r="AK2878" t="s">
        <v>1688</v>
      </c>
      <c r="AL2878">
        <v>-92.819023000000001</v>
      </c>
      <c r="AM2878">
        <v>100</v>
      </c>
      <c r="AN2878">
        <v>1500</v>
      </c>
      <c r="AO2878" t="s">
        <v>118</v>
      </c>
      <c r="AP2878">
        <v>-134</v>
      </c>
      <c r="AQ2878">
        <v>29</v>
      </c>
      <c r="AR2878">
        <v>64</v>
      </c>
      <c r="AZ2878">
        <v>1200</v>
      </c>
      <c r="BA2878">
        <v>1</v>
      </c>
      <c r="BB2878" t="str">
        <f t="shared" si="139"/>
        <v xml:space="preserve">N8080G  </v>
      </c>
      <c r="BC2878">
        <v>1</v>
      </c>
      <c r="BE2878">
        <v>0</v>
      </c>
      <c r="BF2878">
        <v>0</v>
      </c>
      <c r="BG2878">
        <v>0</v>
      </c>
      <c r="BH2878">
        <v>1500</v>
      </c>
      <c r="BI2878">
        <v>1</v>
      </c>
      <c r="BJ2878">
        <v>1</v>
      </c>
      <c r="BK2878">
        <v>1</v>
      </c>
      <c r="BL2878">
        <v>0</v>
      </c>
      <c r="BO2878">
        <v>0</v>
      </c>
      <c r="BP2878">
        <v>0</v>
      </c>
      <c r="BW2878" t="str">
        <f>"20:29:51.724"</f>
        <v>20:29:51.724</v>
      </c>
      <c r="BZ2878">
        <v>0</v>
      </c>
      <c r="CA2878">
        <v>1792</v>
      </c>
      <c r="CB2878">
        <v>224</v>
      </c>
      <c r="CD2878">
        <v>1</v>
      </c>
      <c r="CE2878">
        <v>0</v>
      </c>
      <c r="CF2878">
        <v>0</v>
      </c>
      <c r="CG2878">
        <v>1</v>
      </c>
      <c r="CH2878">
        <v>0</v>
      </c>
      <c r="CI2878">
        <v>0</v>
      </c>
      <c r="CJ2878">
        <v>0</v>
      </c>
      <c r="CK2878">
        <v>2</v>
      </c>
      <c r="CL2878">
        <v>0</v>
      </c>
      <c r="CM2878">
        <v>2</v>
      </c>
      <c r="CN2878">
        <v>0</v>
      </c>
      <c r="CO2878">
        <v>2</v>
      </c>
      <c r="CP2878" t="s">
        <v>119</v>
      </c>
      <c r="CQ2878">
        <v>179</v>
      </c>
      <c r="CR2878">
        <v>1</v>
      </c>
      <c r="CW2878">
        <v>9107196</v>
      </c>
      <c r="CY2878">
        <v>1</v>
      </c>
      <c r="CZ2878">
        <v>0</v>
      </c>
      <c r="DA2878">
        <v>1</v>
      </c>
      <c r="DB2878">
        <v>0</v>
      </c>
      <c r="DC2878">
        <v>0</v>
      </c>
      <c r="DD2878">
        <v>0</v>
      </c>
      <c r="DE2878">
        <v>0</v>
      </c>
      <c r="DF2878">
        <v>0</v>
      </c>
      <c r="DG2878">
        <v>0</v>
      </c>
      <c r="DH2878">
        <v>0</v>
      </c>
      <c r="DI2878">
        <v>0</v>
      </c>
    </row>
    <row r="2879" spans="1:113" x14ac:dyDescent="0.3">
      <c r="A2879" t="str">
        <f>"02/08/2021 20:29:50.301"</f>
        <v>02/08/2021 20:29:50.301</v>
      </c>
      <c r="C2879" t="str">
        <f t="shared" si="138"/>
        <v>FFDFD7C0</v>
      </c>
      <c r="D2879" t="s">
        <v>124</v>
      </c>
      <c r="E2879">
        <v>12</v>
      </c>
      <c r="F2879">
        <v>1012</v>
      </c>
      <c r="G2879" t="s">
        <v>675</v>
      </c>
      <c r="J2879" t="s">
        <v>125</v>
      </c>
      <c r="K2879">
        <v>0</v>
      </c>
      <c r="L2879">
        <v>3</v>
      </c>
      <c r="M2879">
        <v>0</v>
      </c>
      <c r="N2879">
        <v>2</v>
      </c>
      <c r="O2879">
        <v>1</v>
      </c>
      <c r="P2879">
        <v>0</v>
      </c>
      <c r="Q2879">
        <v>0</v>
      </c>
      <c r="S2879" t="str">
        <f>"20:29:52.633"</f>
        <v>20:29:52.633</v>
      </c>
      <c r="T2879" t="str">
        <f>"20:29:52.233"</f>
        <v>20:29:52.233</v>
      </c>
      <c r="U2879" t="str">
        <f t="shared" si="137"/>
        <v>AB01F4</v>
      </c>
      <c r="V2879">
        <v>0</v>
      </c>
      <c r="W2879">
        <v>0</v>
      </c>
      <c r="X2879">
        <v>2</v>
      </c>
      <c r="Z2879">
        <v>0</v>
      </c>
      <c r="AA2879">
        <v>9</v>
      </c>
      <c r="AB2879">
        <v>3</v>
      </c>
      <c r="AC2879">
        <v>0</v>
      </c>
      <c r="AD2879">
        <v>10</v>
      </c>
      <c r="AE2879">
        <v>0</v>
      </c>
      <c r="AF2879">
        <v>3</v>
      </c>
      <c r="AG2879">
        <v>2</v>
      </c>
      <c r="AH2879">
        <v>0</v>
      </c>
      <c r="AI2879" t="s">
        <v>1689</v>
      </c>
      <c r="AJ2879">
        <v>40.029201999999998</v>
      </c>
      <c r="AK2879" t="s">
        <v>1690</v>
      </c>
      <c r="AL2879">
        <v>-92.819795999999997</v>
      </c>
      <c r="AM2879">
        <v>100</v>
      </c>
      <c r="AN2879">
        <v>1500</v>
      </c>
      <c r="AO2879" t="s">
        <v>118</v>
      </c>
      <c r="AP2879">
        <v>-134</v>
      </c>
      <c r="AQ2879">
        <v>29</v>
      </c>
      <c r="AR2879">
        <v>0</v>
      </c>
      <c r="AZ2879">
        <v>1200</v>
      </c>
      <c r="BA2879">
        <v>1</v>
      </c>
      <c r="BB2879" t="str">
        <f t="shared" si="139"/>
        <v xml:space="preserve">N8080G  </v>
      </c>
      <c r="BC2879">
        <v>1</v>
      </c>
      <c r="BE2879">
        <v>0</v>
      </c>
      <c r="BF2879">
        <v>0</v>
      </c>
      <c r="BG2879">
        <v>0</v>
      </c>
      <c r="BH2879">
        <v>1500</v>
      </c>
      <c r="BI2879">
        <v>1</v>
      </c>
      <c r="BJ2879">
        <v>1</v>
      </c>
      <c r="BK2879">
        <v>1</v>
      </c>
      <c r="BL2879">
        <v>0</v>
      </c>
      <c r="BO2879">
        <v>0</v>
      </c>
      <c r="BP2879">
        <v>0</v>
      </c>
      <c r="BW2879" t="str">
        <f>"20:29:52.635"</f>
        <v>20:29:52.635</v>
      </c>
      <c r="BZ2879">
        <v>0</v>
      </c>
      <c r="CA2879">
        <v>1792</v>
      </c>
      <c r="CB2879">
        <v>224</v>
      </c>
      <c r="CD2879">
        <v>1</v>
      </c>
      <c r="CE2879">
        <v>0</v>
      </c>
      <c r="CF2879">
        <v>0</v>
      </c>
      <c r="CG2879">
        <v>1</v>
      </c>
      <c r="CH2879">
        <v>0</v>
      </c>
      <c r="CI2879">
        <v>0</v>
      </c>
      <c r="CJ2879">
        <v>0</v>
      </c>
      <c r="CK2879">
        <v>2</v>
      </c>
      <c r="CL2879">
        <v>0</v>
      </c>
      <c r="CM2879">
        <v>2</v>
      </c>
      <c r="CN2879">
        <v>0</v>
      </c>
      <c r="CO2879">
        <v>2</v>
      </c>
      <c r="CP2879" t="s">
        <v>119</v>
      </c>
      <c r="CQ2879">
        <v>179</v>
      </c>
      <c r="CR2879">
        <v>1</v>
      </c>
      <c r="CW2879">
        <v>9108051</v>
      </c>
      <c r="CY2879">
        <v>1</v>
      </c>
      <c r="CZ2879">
        <v>0</v>
      </c>
      <c r="DA2879">
        <v>0</v>
      </c>
      <c r="DB2879">
        <v>0</v>
      </c>
      <c r="DC2879">
        <v>0</v>
      </c>
      <c r="DD2879">
        <v>0</v>
      </c>
      <c r="DE2879">
        <v>0</v>
      </c>
      <c r="DF2879">
        <v>0</v>
      </c>
      <c r="DG2879">
        <v>0</v>
      </c>
      <c r="DH2879">
        <v>0</v>
      </c>
      <c r="DI2879">
        <v>0</v>
      </c>
    </row>
    <row r="2880" spans="1:113" x14ac:dyDescent="0.3">
      <c r="A2880" t="str">
        <f>"02/08/2021 20:29:50.301"</f>
        <v>02/08/2021 20:29:50.301</v>
      </c>
      <c r="C2880" t="str">
        <f t="shared" si="138"/>
        <v>FFDFD7C0</v>
      </c>
      <c r="D2880" t="s">
        <v>113</v>
      </c>
      <c r="E2880">
        <v>6</v>
      </c>
      <c r="H2880">
        <v>165</v>
      </c>
      <c r="I2880" t="s">
        <v>114</v>
      </c>
      <c r="J2880" t="s">
        <v>115</v>
      </c>
      <c r="K2880">
        <v>0</v>
      </c>
      <c r="L2880">
        <v>3</v>
      </c>
      <c r="M2880">
        <v>0</v>
      </c>
      <c r="N2880">
        <v>2</v>
      </c>
      <c r="O2880">
        <v>1</v>
      </c>
      <c r="P2880">
        <v>0</v>
      </c>
      <c r="Q2880">
        <v>0</v>
      </c>
      <c r="S2880" t="str">
        <f>"20:29:52.633"</f>
        <v>20:29:52.633</v>
      </c>
      <c r="T2880" t="str">
        <f>"20:29:52.233"</f>
        <v>20:29:52.233</v>
      </c>
      <c r="U2880" t="str">
        <f t="shared" si="137"/>
        <v>AB01F4</v>
      </c>
      <c r="V2880">
        <v>0</v>
      </c>
      <c r="W2880">
        <v>0</v>
      </c>
      <c r="X2880">
        <v>2</v>
      </c>
      <c r="Z2880">
        <v>0</v>
      </c>
      <c r="AA2880">
        <v>9</v>
      </c>
      <c r="AB2880">
        <v>3</v>
      </c>
      <c r="AC2880">
        <v>0</v>
      </c>
      <c r="AD2880">
        <v>10</v>
      </c>
      <c r="AE2880">
        <v>0</v>
      </c>
      <c r="AF2880">
        <v>3</v>
      </c>
      <c r="AG2880">
        <v>2</v>
      </c>
      <c r="AH2880">
        <v>0</v>
      </c>
      <c r="AI2880" t="s">
        <v>1689</v>
      </c>
      <c r="AJ2880">
        <v>40.029201999999998</v>
      </c>
      <c r="AK2880" t="s">
        <v>1690</v>
      </c>
      <c r="AL2880">
        <v>-92.819795999999997</v>
      </c>
      <c r="AM2880">
        <v>100</v>
      </c>
      <c r="AN2880">
        <v>1500</v>
      </c>
      <c r="AO2880" t="s">
        <v>118</v>
      </c>
      <c r="AP2880">
        <v>-134</v>
      </c>
      <c r="AQ2880">
        <v>29</v>
      </c>
      <c r="AR2880">
        <v>0</v>
      </c>
      <c r="AZ2880">
        <v>1200</v>
      </c>
      <c r="BA2880">
        <v>1</v>
      </c>
      <c r="BB2880" t="str">
        <f t="shared" si="139"/>
        <v xml:space="preserve">N8080G  </v>
      </c>
      <c r="BC2880">
        <v>1</v>
      </c>
      <c r="BE2880">
        <v>0</v>
      </c>
      <c r="BF2880">
        <v>0</v>
      </c>
      <c r="BG2880">
        <v>0</v>
      </c>
      <c r="BH2880">
        <v>1500</v>
      </c>
      <c r="BI2880">
        <v>1</v>
      </c>
      <c r="BJ2880">
        <v>1</v>
      </c>
      <c r="BK2880">
        <v>1</v>
      </c>
      <c r="BL2880">
        <v>0</v>
      </c>
      <c r="BO2880">
        <v>0</v>
      </c>
      <c r="BP2880">
        <v>0</v>
      </c>
      <c r="BW2880" t="str">
        <f>"20:29:52.635"</f>
        <v>20:29:52.635</v>
      </c>
      <c r="BZ2880">
        <v>0</v>
      </c>
      <c r="CA2880">
        <v>1792</v>
      </c>
      <c r="CB2880">
        <v>224</v>
      </c>
      <c r="CD2880">
        <v>1</v>
      </c>
      <c r="CE2880">
        <v>0</v>
      </c>
      <c r="CF2880">
        <v>0</v>
      </c>
      <c r="CG2880">
        <v>1</v>
      </c>
      <c r="CH2880">
        <v>0</v>
      </c>
      <c r="CI2880">
        <v>0</v>
      </c>
      <c r="CJ2880">
        <v>0</v>
      </c>
      <c r="CK2880">
        <v>2</v>
      </c>
      <c r="CL2880">
        <v>0</v>
      </c>
      <c r="CM2880">
        <v>2</v>
      </c>
      <c r="CN2880">
        <v>0</v>
      </c>
      <c r="CO2880">
        <v>2</v>
      </c>
      <c r="CP2880" t="s">
        <v>119</v>
      </c>
      <c r="CQ2880">
        <v>179</v>
      </c>
      <c r="CR2880">
        <v>1</v>
      </c>
      <c r="CW2880">
        <v>9108051</v>
      </c>
      <c r="CY2880">
        <v>1</v>
      </c>
      <c r="CZ2880">
        <v>0</v>
      </c>
      <c r="DA2880">
        <v>1</v>
      </c>
      <c r="DB2880">
        <v>0</v>
      </c>
      <c r="DC2880">
        <v>0</v>
      </c>
      <c r="DD2880">
        <v>0</v>
      </c>
      <c r="DE2880">
        <v>0</v>
      </c>
      <c r="DF2880">
        <v>0</v>
      </c>
      <c r="DG2880">
        <v>0</v>
      </c>
      <c r="DH2880">
        <v>0</v>
      </c>
      <c r="DI2880">
        <v>0</v>
      </c>
    </row>
    <row r="2881" spans="1:113" x14ac:dyDescent="0.3">
      <c r="A2881" t="str">
        <f>"02/08/2021 20:29:50.301"</f>
        <v>02/08/2021 20:29:50.301</v>
      </c>
      <c r="C2881" t="str">
        <f t="shared" si="138"/>
        <v>FFDFD7C0</v>
      </c>
      <c r="D2881" t="s">
        <v>124</v>
      </c>
      <c r="E2881">
        <v>13</v>
      </c>
      <c r="F2881">
        <v>1013</v>
      </c>
      <c r="G2881" t="s">
        <v>114</v>
      </c>
      <c r="J2881" t="s">
        <v>125</v>
      </c>
      <c r="K2881">
        <v>0</v>
      </c>
      <c r="L2881">
        <v>3</v>
      </c>
      <c r="M2881">
        <v>0</v>
      </c>
      <c r="N2881">
        <v>2</v>
      </c>
      <c r="O2881">
        <v>1</v>
      </c>
      <c r="P2881">
        <v>0</v>
      </c>
      <c r="Q2881">
        <v>0</v>
      </c>
      <c r="S2881" t="str">
        <f>"20:29:52.633"</f>
        <v>20:29:52.633</v>
      </c>
      <c r="T2881" t="str">
        <f>"20:29:52.233"</f>
        <v>20:29:52.233</v>
      </c>
      <c r="U2881" t="str">
        <f t="shared" si="137"/>
        <v>AB01F4</v>
      </c>
      <c r="V2881">
        <v>0</v>
      </c>
      <c r="W2881">
        <v>0</v>
      </c>
      <c r="X2881">
        <v>2</v>
      </c>
      <c r="Z2881">
        <v>0</v>
      </c>
      <c r="AA2881">
        <v>9</v>
      </c>
      <c r="AB2881">
        <v>3</v>
      </c>
      <c r="AC2881">
        <v>0</v>
      </c>
      <c r="AD2881">
        <v>10</v>
      </c>
      <c r="AE2881">
        <v>0</v>
      </c>
      <c r="AF2881">
        <v>3</v>
      </c>
      <c r="AG2881">
        <v>2</v>
      </c>
      <c r="AH2881">
        <v>0</v>
      </c>
      <c r="AI2881" t="s">
        <v>1689</v>
      </c>
      <c r="AJ2881">
        <v>40.029201999999998</v>
      </c>
      <c r="AK2881" t="s">
        <v>1690</v>
      </c>
      <c r="AL2881">
        <v>-92.819795999999997</v>
      </c>
      <c r="AM2881">
        <v>100</v>
      </c>
      <c r="AN2881">
        <v>1500</v>
      </c>
      <c r="AO2881" t="s">
        <v>118</v>
      </c>
      <c r="AP2881">
        <v>-134</v>
      </c>
      <c r="AQ2881">
        <v>29</v>
      </c>
      <c r="AR2881">
        <v>0</v>
      </c>
      <c r="AZ2881">
        <v>1200</v>
      </c>
      <c r="BA2881">
        <v>1</v>
      </c>
      <c r="BB2881" t="str">
        <f t="shared" si="139"/>
        <v xml:space="preserve">N8080G  </v>
      </c>
      <c r="BC2881">
        <v>1</v>
      </c>
      <c r="BE2881">
        <v>0</v>
      </c>
      <c r="BF2881">
        <v>0</v>
      </c>
      <c r="BG2881">
        <v>0</v>
      </c>
      <c r="BH2881">
        <v>1500</v>
      </c>
      <c r="BI2881">
        <v>1</v>
      </c>
      <c r="BJ2881">
        <v>1</v>
      </c>
      <c r="BK2881">
        <v>1</v>
      </c>
      <c r="BL2881">
        <v>0</v>
      </c>
      <c r="BO2881">
        <v>0</v>
      </c>
      <c r="BP2881">
        <v>0</v>
      </c>
      <c r="BW2881" t="str">
        <f>"20:29:52.635"</f>
        <v>20:29:52.635</v>
      </c>
      <c r="BZ2881">
        <v>0</v>
      </c>
      <c r="CA2881">
        <v>1792</v>
      </c>
      <c r="CB2881">
        <v>224</v>
      </c>
      <c r="CD2881">
        <v>1</v>
      </c>
      <c r="CE2881">
        <v>0</v>
      </c>
      <c r="CF2881">
        <v>0</v>
      </c>
      <c r="CG2881">
        <v>1</v>
      </c>
      <c r="CH2881">
        <v>0</v>
      </c>
      <c r="CI2881">
        <v>0</v>
      </c>
      <c r="CJ2881">
        <v>0</v>
      </c>
      <c r="CK2881">
        <v>2</v>
      </c>
      <c r="CL2881">
        <v>0</v>
      </c>
      <c r="CM2881">
        <v>2</v>
      </c>
      <c r="CN2881">
        <v>0</v>
      </c>
      <c r="CO2881">
        <v>2</v>
      </c>
      <c r="CP2881" t="s">
        <v>119</v>
      </c>
      <c r="CQ2881">
        <v>179</v>
      </c>
      <c r="CR2881">
        <v>1</v>
      </c>
      <c r="CW2881">
        <v>9108051</v>
      </c>
      <c r="CY2881">
        <v>1</v>
      </c>
      <c r="CZ2881">
        <v>0</v>
      </c>
      <c r="DA2881">
        <v>1</v>
      </c>
      <c r="DB2881">
        <v>0</v>
      </c>
      <c r="DC2881">
        <v>0</v>
      </c>
      <c r="DD2881">
        <v>0</v>
      </c>
      <c r="DE2881">
        <v>0</v>
      </c>
      <c r="DF2881">
        <v>0</v>
      </c>
      <c r="DG2881">
        <v>0</v>
      </c>
      <c r="DH2881">
        <v>0</v>
      </c>
      <c r="DI2881">
        <v>0</v>
      </c>
    </row>
    <row r="2882" spans="1:113" x14ac:dyDescent="0.3">
      <c r="A2882" t="str">
        <f>"02/08/2021 20:29:50.301"</f>
        <v>02/08/2021 20:29:50.301</v>
      </c>
      <c r="C2882" t="str">
        <f t="shared" si="138"/>
        <v>FFDFD7C0</v>
      </c>
      <c r="D2882" t="s">
        <v>124</v>
      </c>
      <c r="E2882">
        <v>11</v>
      </c>
      <c r="F2882">
        <v>1011</v>
      </c>
      <c r="G2882" t="s">
        <v>590</v>
      </c>
      <c r="J2882" t="s">
        <v>125</v>
      </c>
      <c r="K2882">
        <v>0</v>
      </c>
      <c r="L2882">
        <v>3</v>
      </c>
      <c r="M2882">
        <v>0</v>
      </c>
      <c r="N2882">
        <v>2</v>
      </c>
      <c r="O2882">
        <v>1</v>
      </c>
      <c r="P2882">
        <v>0</v>
      </c>
      <c r="Q2882">
        <v>0</v>
      </c>
      <c r="S2882" t="str">
        <f>"20:29:52.633"</f>
        <v>20:29:52.633</v>
      </c>
      <c r="T2882" t="str">
        <f>"20:29:52.233"</f>
        <v>20:29:52.233</v>
      </c>
      <c r="U2882" t="str">
        <f t="shared" ref="U2882:U2945" si="140">"AB01F4"</f>
        <v>AB01F4</v>
      </c>
      <c r="V2882">
        <v>0</v>
      </c>
      <c r="W2882">
        <v>0</v>
      </c>
      <c r="X2882">
        <v>2</v>
      </c>
      <c r="Z2882">
        <v>0</v>
      </c>
      <c r="AA2882">
        <v>9</v>
      </c>
      <c r="AB2882">
        <v>3</v>
      </c>
      <c r="AC2882">
        <v>0</v>
      </c>
      <c r="AD2882">
        <v>10</v>
      </c>
      <c r="AE2882">
        <v>0</v>
      </c>
      <c r="AF2882">
        <v>3</v>
      </c>
      <c r="AG2882">
        <v>2</v>
      </c>
      <c r="AH2882">
        <v>0</v>
      </c>
      <c r="AI2882" t="s">
        <v>1689</v>
      </c>
      <c r="AJ2882">
        <v>40.029201999999998</v>
      </c>
      <c r="AK2882" t="s">
        <v>1690</v>
      </c>
      <c r="AL2882">
        <v>-92.819795999999997</v>
      </c>
      <c r="AM2882">
        <v>100</v>
      </c>
      <c r="AN2882">
        <v>1500</v>
      </c>
      <c r="AO2882" t="s">
        <v>118</v>
      </c>
      <c r="AP2882">
        <v>-134</v>
      </c>
      <c r="AQ2882">
        <v>29</v>
      </c>
      <c r="AR2882">
        <v>0</v>
      </c>
      <c r="AZ2882">
        <v>1200</v>
      </c>
      <c r="BA2882">
        <v>1</v>
      </c>
      <c r="BB2882" t="str">
        <f t="shared" si="139"/>
        <v xml:space="preserve">N8080G  </v>
      </c>
      <c r="BC2882">
        <v>1</v>
      </c>
      <c r="BE2882">
        <v>0</v>
      </c>
      <c r="BF2882">
        <v>0</v>
      </c>
      <c r="BG2882">
        <v>0</v>
      </c>
      <c r="BH2882">
        <v>1500</v>
      </c>
      <c r="BI2882">
        <v>1</v>
      </c>
      <c r="BJ2882">
        <v>1</v>
      </c>
      <c r="BK2882">
        <v>1</v>
      </c>
      <c r="BL2882">
        <v>0</v>
      </c>
      <c r="BO2882">
        <v>0</v>
      </c>
      <c r="BP2882">
        <v>0</v>
      </c>
      <c r="BW2882" t="str">
        <f>"20:29:52.635"</f>
        <v>20:29:52.635</v>
      </c>
      <c r="BZ2882">
        <v>0</v>
      </c>
      <c r="CA2882">
        <v>1792</v>
      </c>
      <c r="CB2882">
        <v>224</v>
      </c>
      <c r="CD2882">
        <v>1</v>
      </c>
      <c r="CE2882">
        <v>0</v>
      </c>
      <c r="CF2882">
        <v>0</v>
      </c>
      <c r="CG2882">
        <v>1</v>
      </c>
      <c r="CH2882">
        <v>0</v>
      </c>
      <c r="CI2882">
        <v>0</v>
      </c>
      <c r="CJ2882">
        <v>0</v>
      </c>
      <c r="CK2882">
        <v>2</v>
      </c>
      <c r="CL2882">
        <v>0</v>
      </c>
      <c r="CM2882">
        <v>2</v>
      </c>
      <c r="CN2882">
        <v>0</v>
      </c>
      <c r="CO2882">
        <v>2</v>
      </c>
      <c r="CP2882" t="s">
        <v>119</v>
      </c>
      <c r="CQ2882">
        <v>179</v>
      </c>
      <c r="CR2882">
        <v>1</v>
      </c>
      <c r="CW2882">
        <v>9108051</v>
      </c>
      <c r="CY2882">
        <v>1</v>
      </c>
      <c r="CZ2882">
        <v>0</v>
      </c>
      <c r="DA2882">
        <v>1</v>
      </c>
      <c r="DB2882">
        <v>0</v>
      </c>
      <c r="DC2882">
        <v>0</v>
      </c>
      <c r="DD2882">
        <v>0</v>
      </c>
      <c r="DE2882">
        <v>0</v>
      </c>
      <c r="DF2882">
        <v>0</v>
      </c>
      <c r="DG2882">
        <v>0</v>
      </c>
      <c r="DH2882">
        <v>0</v>
      </c>
      <c r="DI2882">
        <v>0</v>
      </c>
    </row>
    <row r="2883" spans="1:113" x14ac:dyDescent="0.3">
      <c r="A2883" t="str">
        <f>"02/08/2021 20:29:51.435"</f>
        <v>02/08/2021 20:29:51.435</v>
      </c>
      <c r="C2883" t="str">
        <f t="shared" si="138"/>
        <v>FFDFD7C0</v>
      </c>
      <c r="D2883" t="s">
        <v>124</v>
      </c>
      <c r="E2883">
        <v>13</v>
      </c>
      <c r="F2883">
        <v>1013</v>
      </c>
      <c r="G2883" t="s">
        <v>114</v>
      </c>
      <c r="J2883" t="s">
        <v>125</v>
      </c>
      <c r="K2883">
        <v>0</v>
      </c>
      <c r="L2883">
        <v>3</v>
      </c>
      <c r="M2883">
        <v>0</v>
      </c>
      <c r="N2883">
        <v>2</v>
      </c>
      <c r="O2883">
        <v>1</v>
      </c>
      <c r="P2883">
        <v>0</v>
      </c>
      <c r="Q2883">
        <v>0</v>
      </c>
      <c r="S2883" t="str">
        <f>"20:29:53.750"</f>
        <v>20:29:53.750</v>
      </c>
      <c r="T2883" t="str">
        <f>"20:29:53.250"</f>
        <v>20:29:53.250</v>
      </c>
      <c r="U2883" t="str">
        <f t="shared" si="140"/>
        <v>AB01F4</v>
      </c>
      <c r="V2883">
        <v>0</v>
      </c>
      <c r="W2883">
        <v>0</v>
      </c>
      <c r="X2883">
        <v>2</v>
      </c>
      <c r="Z2883">
        <v>0</v>
      </c>
      <c r="AA2883">
        <v>9</v>
      </c>
      <c r="AB2883">
        <v>3</v>
      </c>
      <c r="AC2883">
        <v>0</v>
      </c>
      <c r="AD2883">
        <v>10</v>
      </c>
      <c r="AE2883">
        <v>0</v>
      </c>
      <c r="AF2883">
        <v>3</v>
      </c>
      <c r="AG2883">
        <v>2</v>
      </c>
      <c r="AH2883">
        <v>0</v>
      </c>
      <c r="AI2883" t="s">
        <v>1691</v>
      </c>
      <c r="AJ2883">
        <v>40.029330000000002</v>
      </c>
      <c r="AK2883" t="s">
        <v>1692</v>
      </c>
      <c r="AL2883">
        <v>-92.820674999999994</v>
      </c>
      <c r="AM2883">
        <v>100</v>
      </c>
      <c r="AN2883">
        <v>1500</v>
      </c>
      <c r="AO2883" t="s">
        <v>118</v>
      </c>
      <c r="AP2883">
        <v>-133</v>
      </c>
      <c r="AQ2883">
        <v>30</v>
      </c>
      <c r="AR2883">
        <v>64</v>
      </c>
      <c r="AZ2883">
        <v>1200</v>
      </c>
      <c r="BA2883">
        <v>1</v>
      </c>
      <c r="BB2883" t="str">
        <f t="shared" si="139"/>
        <v xml:space="preserve">N8080G  </v>
      </c>
      <c r="BC2883">
        <v>1</v>
      </c>
      <c r="BE2883">
        <v>0</v>
      </c>
      <c r="BF2883">
        <v>0</v>
      </c>
      <c r="BG2883">
        <v>0</v>
      </c>
      <c r="BH2883">
        <v>1500</v>
      </c>
      <c r="BI2883">
        <v>1</v>
      </c>
      <c r="BJ2883">
        <v>1</v>
      </c>
      <c r="BK2883">
        <v>1</v>
      </c>
      <c r="BL2883">
        <v>0</v>
      </c>
      <c r="BO2883">
        <v>0</v>
      </c>
      <c r="BP2883">
        <v>0</v>
      </c>
      <c r="BW2883" t="str">
        <f>"20:29:53.756"</f>
        <v>20:29:53.756</v>
      </c>
      <c r="BZ2883">
        <v>0</v>
      </c>
      <c r="CA2883">
        <v>1792</v>
      </c>
      <c r="CB2883">
        <v>224</v>
      </c>
      <c r="CD2883">
        <v>1</v>
      </c>
      <c r="CE2883">
        <v>0</v>
      </c>
      <c r="CF2883">
        <v>0</v>
      </c>
      <c r="CG2883">
        <v>1</v>
      </c>
      <c r="CH2883">
        <v>0</v>
      </c>
      <c r="CI2883">
        <v>0</v>
      </c>
      <c r="CJ2883">
        <v>0</v>
      </c>
      <c r="CK2883">
        <v>2</v>
      </c>
      <c r="CL2883">
        <v>0</v>
      </c>
      <c r="CM2883">
        <v>2</v>
      </c>
      <c r="CN2883">
        <v>0</v>
      </c>
      <c r="CO2883">
        <v>7</v>
      </c>
      <c r="CP2883" t="s">
        <v>119</v>
      </c>
      <c r="CQ2883">
        <v>180</v>
      </c>
      <c r="CR2883">
        <v>3</v>
      </c>
      <c r="CW2883">
        <v>1001809</v>
      </c>
      <c r="CY2883">
        <v>1</v>
      </c>
      <c r="CZ2883">
        <v>0</v>
      </c>
      <c r="DA2883">
        <v>0</v>
      </c>
      <c r="DB2883">
        <v>0</v>
      </c>
      <c r="DC2883">
        <v>0</v>
      </c>
      <c r="DD2883">
        <v>0</v>
      </c>
      <c r="DE2883">
        <v>0</v>
      </c>
      <c r="DF2883">
        <v>0</v>
      </c>
      <c r="DG2883">
        <v>0</v>
      </c>
      <c r="DH2883">
        <v>0</v>
      </c>
      <c r="DI2883">
        <v>0</v>
      </c>
    </row>
    <row r="2884" spans="1:113" x14ac:dyDescent="0.3">
      <c r="A2884" t="str">
        <f>"02/08/2021 20:29:51.435"</f>
        <v>02/08/2021 20:29:51.435</v>
      </c>
      <c r="C2884" t="str">
        <f t="shared" si="138"/>
        <v>FFDFD7C0</v>
      </c>
      <c r="D2884" t="s">
        <v>124</v>
      </c>
      <c r="E2884">
        <v>11</v>
      </c>
      <c r="F2884">
        <v>1011</v>
      </c>
      <c r="G2884" t="s">
        <v>590</v>
      </c>
      <c r="J2884" t="s">
        <v>125</v>
      </c>
      <c r="K2884">
        <v>0</v>
      </c>
      <c r="L2884">
        <v>3</v>
      </c>
      <c r="M2884">
        <v>0</v>
      </c>
      <c r="N2884">
        <v>2</v>
      </c>
      <c r="O2884">
        <v>1</v>
      </c>
      <c r="P2884">
        <v>0</v>
      </c>
      <c r="Q2884">
        <v>0</v>
      </c>
      <c r="S2884" t="str">
        <f>"20:29:53.750"</f>
        <v>20:29:53.750</v>
      </c>
      <c r="T2884" t="str">
        <f>"20:29:53.250"</f>
        <v>20:29:53.250</v>
      </c>
      <c r="U2884" t="str">
        <f t="shared" si="140"/>
        <v>AB01F4</v>
      </c>
      <c r="V2884">
        <v>0</v>
      </c>
      <c r="W2884">
        <v>0</v>
      </c>
      <c r="X2884">
        <v>2</v>
      </c>
      <c r="Z2884">
        <v>0</v>
      </c>
      <c r="AA2884">
        <v>9</v>
      </c>
      <c r="AB2884">
        <v>3</v>
      </c>
      <c r="AC2884">
        <v>0</v>
      </c>
      <c r="AD2884">
        <v>10</v>
      </c>
      <c r="AE2884">
        <v>0</v>
      </c>
      <c r="AF2884">
        <v>3</v>
      </c>
      <c r="AG2884">
        <v>2</v>
      </c>
      <c r="AH2884">
        <v>0</v>
      </c>
      <c r="AI2884" t="s">
        <v>1691</v>
      </c>
      <c r="AJ2884">
        <v>40.029330000000002</v>
      </c>
      <c r="AK2884" t="s">
        <v>1692</v>
      </c>
      <c r="AL2884">
        <v>-92.820674999999994</v>
      </c>
      <c r="AM2884">
        <v>100</v>
      </c>
      <c r="AN2884">
        <v>1500</v>
      </c>
      <c r="AO2884" t="s">
        <v>118</v>
      </c>
      <c r="AP2884">
        <v>-133</v>
      </c>
      <c r="AQ2884">
        <v>30</v>
      </c>
      <c r="AR2884">
        <v>64</v>
      </c>
      <c r="AZ2884">
        <v>1200</v>
      </c>
      <c r="BA2884">
        <v>1</v>
      </c>
      <c r="BB2884" t="str">
        <f t="shared" si="139"/>
        <v xml:space="preserve">N8080G  </v>
      </c>
      <c r="BC2884">
        <v>1</v>
      </c>
      <c r="BE2884">
        <v>0</v>
      </c>
      <c r="BF2884">
        <v>0</v>
      </c>
      <c r="BG2884">
        <v>0</v>
      </c>
      <c r="BH2884">
        <v>1500</v>
      </c>
      <c r="BI2884">
        <v>1</v>
      </c>
      <c r="BJ2884">
        <v>1</v>
      </c>
      <c r="BK2884">
        <v>1</v>
      </c>
      <c r="BL2884">
        <v>0</v>
      </c>
      <c r="BO2884">
        <v>0</v>
      </c>
      <c r="BP2884">
        <v>0</v>
      </c>
      <c r="BW2884" t="str">
        <f>"20:29:53.756"</f>
        <v>20:29:53.756</v>
      </c>
      <c r="BZ2884">
        <v>0</v>
      </c>
      <c r="CA2884">
        <v>1792</v>
      </c>
      <c r="CB2884">
        <v>224</v>
      </c>
      <c r="CD2884">
        <v>1</v>
      </c>
      <c r="CE2884">
        <v>0</v>
      </c>
      <c r="CF2884">
        <v>0</v>
      </c>
      <c r="CG2884">
        <v>1</v>
      </c>
      <c r="CH2884">
        <v>0</v>
      </c>
      <c r="CI2884">
        <v>0</v>
      </c>
      <c r="CJ2884">
        <v>0</v>
      </c>
      <c r="CK2884">
        <v>2</v>
      </c>
      <c r="CL2884">
        <v>0</v>
      </c>
      <c r="CM2884">
        <v>2</v>
      </c>
      <c r="CN2884">
        <v>0</v>
      </c>
      <c r="CO2884">
        <v>7</v>
      </c>
      <c r="CP2884" t="s">
        <v>119</v>
      </c>
      <c r="CQ2884">
        <v>180</v>
      </c>
      <c r="CR2884">
        <v>3</v>
      </c>
      <c r="CW2884">
        <v>1001809</v>
      </c>
      <c r="CY2884">
        <v>1</v>
      </c>
      <c r="CZ2884">
        <v>0</v>
      </c>
      <c r="DA2884">
        <v>1</v>
      </c>
      <c r="DB2884">
        <v>0</v>
      </c>
      <c r="DC2884">
        <v>0</v>
      </c>
      <c r="DD2884">
        <v>0</v>
      </c>
      <c r="DE2884">
        <v>0</v>
      </c>
      <c r="DF2884">
        <v>0</v>
      </c>
      <c r="DG2884">
        <v>0</v>
      </c>
      <c r="DH2884">
        <v>0</v>
      </c>
      <c r="DI2884">
        <v>0</v>
      </c>
    </row>
    <row r="2885" spans="1:113" x14ac:dyDescent="0.3">
      <c r="A2885" t="str">
        <f>"02/08/2021 20:29:51.435"</f>
        <v>02/08/2021 20:29:51.435</v>
      </c>
      <c r="C2885" t="str">
        <f t="shared" si="138"/>
        <v>FFDFD7C0</v>
      </c>
      <c r="D2885" t="s">
        <v>124</v>
      </c>
      <c r="E2885">
        <v>12</v>
      </c>
      <c r="F2885">
        <v>1012</v>
      </c>
      <c r="G2885" t="s">
        <v>675</v>
      </c>
      <c r="J2885" t="s">
        <v>125</v>
      </c>
      <c r="K2885">
        <v>0</v>
      </c>
      <c r="L2885">
        <v>3</v>
      </c>
      <c r="M2885">
        <v>0</v>
      </c>
      <c r="N2885">
        <v>2</v>
      </c>
      <c r="O2885">
        <v>1</v>
      </c>
      <c r="P2885">
        <v>0</v>
      </c>
      <c r="Q2885">
        <v>0</v>
      </c>
      <c r="S2885" t="str">
        <f>"20:29:53.750"</f>
        <v>20:29:53.750</v>
      </c>
      <c r="T2885" t="str">
        <f>"20:29:53.250"</f>
        <v>20:29:53.250</v>
      </c>
      <c r="U2885" t="str">
        <f t="shared" si="140"/>
        <v>AB01F4</v>
      </c>
      <c r="V2885">
        <v>0</v>
      </c>
      <c r="W2885">
        <v>0</v>
      </c>
      <c r="X2885">
        <v>2</v>
      </c>
      <c r="Z2885">
        <v>0</v>
      </c>
      <c r="AA2885">
        <v>9</v>
      </c>
      <c r="AB2885">
        <v>3</v>
      </c>
      <c r="AC2885">
        <v>0</v>
      </c>
      <c r="AD2885">
        <v>10</v>
      </c>
      <c r="AE2885">
        <v>0</v>
      </c>
      <c r="AF2885">
        <v>3</v>
      </c>
      <c r="AG2885">
        <v>2</v>
      </c>
      <c r="AH2885">
        <v>0</v>
      </c>
      <c r="AI2885" t="s">
        <v>1691</v>
      </c>
      <c r="AJ2885">
        <v>40.029330000000002</v>
      </c>
      <c r="AK2885" t="s">
        <v>1692</v>
      </c>
      <c r="AL2885">
        <v>-92.820674999999994</v>
      </c>
      <c r="AM2885">
        <v>100</v>
      </c>
      <c r="AN2885">
        <v>1500</v>
      </c>
      <c r="AO2885" t="s">
        <v>118</v>
      </c>
      <c r="AP2885">
        <v>-133</v>
      </c>
      <c r="AQ2885">
        <v>30</v>
      </c>
      <c r="AR2885">
        <v>64</v>
      </c>
      <c r="AZ2885">
        <v>1200</v>
      </c>
      <c r="BA2885">
        <v>1</v>
      </c>
      <c r="BB2885" t="str">
        <f t="shared" si="139"/>
        <v xml:space="preserve">N8080G  </v>
      </c>
      <c r="BC2885">
        <v>1</v>
      </c>
      <c r="BE2885">
        <v>0</v>
      </c>
      <c r="BF2885">
        <v>0</v>
      </c>
      <c r="BG2885">
        <v>0</v>
      </c>
      <c r="BH2885">
        <v>1500</v>
      </c>
      <c r="BI2885">
        <v>1</v>
      </c>
      <c r="BJ2885">
        <v>1</v>
      </c>
      <c r="BK2885">
        <v>1</v>
      </c>
      <c r="BL2885">
        <v>0</v>
      </c>
      <c r="BO2885">
        <v>0</v>
      </c>
      <c r="BP2885">
        <v>0</v>
      </c>
      <c r="BW2885" t="str">
        <f>"20:29:53.756"</f>
        <v>20:29:53.756</v>
      </c>
      <c r="BZ2885">
        <v>0</v>
      </c>
      <c r="CA2885">
        <v>1792</v>
      </c>
      <c r="CB2885">
        <v>224</v>
      </c>
      <c r="CD2885">
        <v>1</v>
      </c>
      <c r="CE2885">
        <v>0</v>
      </c>
      <c r="CF2885">
        <v>0</v>
      </c>
      <c r="CG2885">
        <v>1</v>
      </c>
      <c r="CH2885">
        <v>0</v>
      </c>
      <c r="CI2885">
        <v>0</v>
      </c>
      <c r="CJ2885">
        <v>0</v>
      </c>
      <c r="CK2885">
        <v>2</v>
      </c>
      <c r="CL2885">
        <v>0</v>
      </c>
      <c r="CM2885">
        <v>2</v>
      </c>
      <c r="CN2885">
        <v>0</v>
      </c>
      <c r="CO2885">
        <v>7</v>
      </c>
      <c r="CP2885" t="s">
        <v>119</v>
      </c>
      <c r="CQ2885">
        <v>180</v>
      </c>
      <c r="CR2885">
        <v>3</v>
      </c>
      <c r="CW2885">
        <v>1001809</v>
      </c>
      <c r="CY2885">
        <v>1</v>
      </c>
      <c r="CZ2885">
        <v>0</v>
      </c>
      <c r="DA2885">
        <v>1</v>
      </c>
      <c r="DB2885">
        <v>0</v>
      </c>
      <c r="DC2885">
        <v>0</v>
      </c>
      <c r="DD2885">
        <v>0</v>
      </c>
      <c r="DE2885">
        <v>0</v>
      </c>
      <c r="DF2885">
        <v>0</v>
      </c>
      <c r="DG2885">
        <v>0</v>
      </c>
      <c r="DH2885">
        <v>0</v>
      </c>
      <c r="DI2885">
        <v>0</v>
      </c>
    </row>
    <row r="2886" spans="1:113" x14ac:dyDescent="0.3">
      <c r="A2886" t="str">
        <f>"02/08/2021 20:29:51.435"</f>
        <v>02/08/2021 20:29:51.435</v>
      </c>
      <c r="C2886" t="str">
        <f t="shared" si="138"/>
        <v>FFDFD7C0</v>
      </c>
      <c r="D2886" t="s">
        <v>113</v>
      </c>
      <c r="E2886">
        <v>6</v>
      </c>
      <c r="H2886">
        <v>165</v>
      </c>
      <c r="I2886" t="s">
        <v>114</v>
      </c>
      <c r="J2886" t="s">
        <v>115</v>
      </c>
      <c r="K2886">
        <v>0</v>
      </c>
      <c r="L2886">
        <v>3</v>
      </c>
      <c r="M2886">
        <v>0</v>
      </c>
      <c r="N2886">
        <v>2</v>
      </c>
      <c r="O2886">
        <v>1</v>
      </c>
      <c r="P2886">
        <v>0</v>
      </c>
      <c r="Q2886">
        <v>0</v>
      </c>
      <c r="S2886" t="str">
        <f>"20:29:53.750"</f>
        <v>20:29:53.750</v>
      </c>
      <c r="T2886" t="str">
        <f>"20:29:53.250"</f>
        <v>20:29:53.250</v>
      </c>
      <c r="U2886" t="str">
        <f t="shared" si="140"/>
        <v>AB01F4</v>
      </c>
      <c r="V2886">
        <v>0</v>
      </c>
      <c r="W2886">
        <v>0</v>
      </c>
      <c r="X2886">
        <v>2</v>
      </c>
      <c r="Z2886">
        <v>0</v>
      </c>
      <c r="AA2886">
        <v>9</v>
      </c>
      <c r="AB2886">
        <v>3</v>
      </c>
      <c r="AC2886">
        <v>0</v>
      </c>
      <c r="AD2886">
        <v>10</v>
      </c>
      <c r="AE2886">
        <v>0</v>
      </c>
      <c r="AF2886">
        <v>3</v>
      </c>
      <c r="AG2886">
        <v>2</v>
      </c>
      <c r="AH2886">
        <v>0</v>
      </c>
      <c r="AI2886" t="s">
        <v>1691</v>
      </c>
      <c r="AJ2886">
        <v>40.029330000000002</v>
      </c>
      <c r="AK2886" t="s">
        <v>1692</v>
      </c>
      <c r="AL2886">
        <v>-92.820674999999994</v>
      </c>
      <c r="AM2886">
        <v>100</v>
      </c>
      <c r="AN2886">
        <v>1500</v>
      </c>
      <c r="AO2886" t="s">
        <v>118</v>
      </c>
      <c r="AP2886">
        <v>-133</v>
      </c>
      <c r="AQ2886">
        <v>30</v>
      </c>
      <c r="AR2886">
        <v>64</v>
      </c>
      <c r="AZ2886">
        <v>1200</v>
      </c>
      <c r="BA2886">
        <v>1</v>
      </c>
      <c r="BB2886" t="str">
        <f t="shared" si="139"/>
        <v xml:space="preserve">N8080G  </v>
      </c>
      <c r="BC2886">
        <v>1</v>
      </c>
      <c r="BE2886">
        <v>0</v>
      </c>
      <c r="BF2886">
        <v>0</v>
      </c>
      <c r="BG2886">
        <v>0</v>
      </c>
      <c r="BH2886">
        <v>1500</v>
      </c>
      <c r="BI2886">
        <v>1</v>
      </c>
      <c r="BJ2886">
        <v>1</v>
      </c>
      <c r="BK2886">
        <v>1</v>
      </c>
      <c r="BL2886">
        <v>0</v>
      </c>
      <c r="BO2886">
        <v>0</v>
      </c>
      <c r="BP2886">
        <v>0</v>
      </c>
      <c r="BW2886" t="str">
        <f>"20:29:53.756"</f>
        <v>20:29:53.756</v>
      </c>
      <c r="BZ2886">
        <v>0</v>
      </c>
      <c r="CA2886">
        <v>1792</v>
      </c>
      <c r="CB2886">
        <v>224</v>
      </c>
      <c r="CD2886">
        <v>1</v>
      </c>
      <c r="CE2886">
        <v>0</v>
      </c>
      <c r="CF2886">
        <v>0</v>
      </c>
      <c r="CG2886">
        <v>1</v>
      </c>
      <c r="CH2886">
        <v>0</v>
      </c>
      <c r="CI2886">
        <v>0</v>
      </c>
      <c r="CJ2886">
        <v>0</v>
      </c>
      <c r="CK2886">
        <v>2</v>
      </c>
      <c r="CL2886">
        <v>0</v>
      </c>
      <c r="CM2886">
        <v>2</v>
      </c>
      <c r="CN2886">
        <v>0</v>
      </c>
      <c r="CO2886">
        <v>7</v>
      </c>
      <c r="CP2886" t="s">
        <v>119</v>
      </c>
      <c r="CQ2886">
        <v>180</v>
      </c>
      <c r="CR2886">
        <v>3</v>
      </c>
      <c r="CW2886">
        <v>1001809</v>
      </c>
      <c r="CY2886">
        <v>1</v>
      </c>
      <c r="CZ2886">
        <v>0</v>
      </c>
      <c r="DA2886">
        <v>1</v>
      </c>
      <c r="DB2886">
        <v>0</v>
      </c>
      <c r="DC2886">
        <v>0</v>
      </c>
      <c r="DD2886">
        <v>0</v>
      </c>
      <c r="DE2886">
        <v>0</v>
      </c>
      <c r="DF2886">
        <v>0</v>
      </c>
      <c r="DG2886">
        <v>0</v>
      </c>
      <c r="DH2886">
        <v>0</v>
      </c>
      <c r="DI2886">
        <v>0</v>
      </c>
    </row>
    <row r="2887" spans="1:113" x14ac:dyDescent="0.3">
      <c r="A2887" t="str">
        <f>"02/08/2021 20:29:52.388"</f>
        <v>02/08/2021 20:29:52.388</v>
      </c>
      <c r="C2887" t="str">
        <f t="shared" si="138"/>
        <v>FFDFD7C0</v>
      </c>
      <c r="D2887" t="s">
        <v>124</v>
      </c>
      <c r="E2887">
        <v>13</v>
      </c>
      <c r="F2887">
        <v>1013</v>
      </c>
      <c r="G2887" t="s">
        <v>114</v>
      </c>
      <c r="J2887" t="s">
        <v>125</v>
      </c>
      <c r="K2887">
        <v>0</v>
      </c>
      <c r="L2887">
        <v>3</v>
      </c>
      <c r="M2887">
        <v>0</v>
      </c>
      <c r="N2887">
        <v>2</v>
      </c>
      <c r="O2887">
        <v>1</v>
      </c>
      <c r="P2887">
        <v>0</v>
      </c>
      <c r="Q2887">
        <v>0</v>
      </c>
      <c r="S2887" t="str">
        <f>"20:29:54.688"</f>
        <v>20:29:54.688</v>
      </c>
      <c r="T2887" t="str">
        <f>"20:29:54.288"</f>
        <v>20:29:54.288</v>
      </c>
      <c r="U2887" t="str">
        <f t="shared" si="140"/>
        <v>AB01F4</v>
      </c>
      <c r="V2887">
        <v>0</v>
      </c>
      <c r="W2887">
        <v>0</v>
      </c>
      <c r="X2887">
        <v>2</v>
      </c>
      <c r="Z2887">
        <v>0</v>
      </c>
      <c r="AA2887">
        <v>9</v>
      </c>
      <c r="AB2887">
        <v>3</v>
      </c>
      <c r="AC2887">
        <v>0</v>
      </c>
      <c r="AD2887">
        <v>10</v>
      </c>
      <c r="AE2887">
        <v>0</v>
      </c>
      <c r="AF2887">
        <v>3</v>
      </c>
      <c r="AG2887">
        <v>2</v>
      </c>
      <c r="AH2887">
        <v>0</v>
      </c>
      <c r="AI2887" t="s">
        <v>1693</v>
      </c>
      <c r="AJ2887">
        <v>40.02948</v>
      </c>
      <c r="AK2887" t="s">
        <v>1694</v>
      </c>
      <c r="AL2887">
        <v>-92.821361999999993</v>
      </c>
      <c r="AM2887">
        <v>100</v>
      </c>
      <c r="AN2887">
        <v>1500</v>
      </c>
      <c r="AO2887" t="s">
        <v>118</v>
      </c>
      <c r="AP2887">
        <v>-133</v>
      </c>
      <c r="AQ2887">
        <v>31</v>
      </c>
      <c r="AR2887">
        <v>64</v>
      </c>
      <c r="AZ2887">
        <v>1200</v>
      </c>
      <c r="BA2887">
        <v>1</v>
      </c>
      <c r="BB2887" t="str">
        <f t="shared" si="139"/>
        <v xml:space="preserve">N8080G  </v>
      </c>
      <c r="BC2887">
        <v>1</v>
      </c>
      <c r="BE2887">
        <v>0</v>
      </c>
      <c r="BF2887">
        <v>0</v>
      </c>
      <c r="BG2887">
        <v>0</v>
      </c>
      <c r="BH2887">
        <v>1500</v>
      </c>
      <c r="BI2887">
        <v>1</v>
      </c>
      <c r="BJ2887">
        <v>1</v>
      </c>
      <c r="BK2887">
        <v>1</v>
      </c>
      <c r="BL2887">
        <v>0</v>
      </c>
      <c r="BO2887">
        <v>0</v>
      </c>
      <c r="BP2887">
        <v>0</v>
      </c>
      <c r="BW2887" t="str">
        <f>"20:29:54.695"</f>
        <v>20:29:54.695</v>
      </c>
      <c r="BZ2887">
        <v>0</v>
      </c>
      <c r="CA2887">
        <v>1792</v>
      </c>
      <c r="CB2887">
        <v>224</v>
      </c>
      <c r="CD2887">
        <v>1</v>
      </c>
      <c r="CE2887">
        <v>0</v>
      </c>
      <c r="CF2887">
        <v>0</v>
      </c>
      <c r="CG2887">
        <v>1</v>
      </c>
      <c r="CH2887">
        <v>0</v>
      </c>
      <c r="CI2887">
        <v>0</v>
      </c>
      <c r="CJ2887">
        <v>0</v>
      </c>
      <c r="CK2887">
        <v>2</v>
      </c>
      <c r="CL2887">
        <v>0</v>
      </c>
      <c r="CM2887">
        <v>2</v>
      </c>
      <c r="CN2887">
        <v>0</v>
      </c>
      <c r="CO2887">
        <v>2</v>
      </c>
      <c r="CP2887" t="s">
        <v>119</v>
      </c>
      <c r="CQ2887">
        <v>179</v>
      </c>
      <c r="CR2887">
        <v>1</v>
      </c>
      <c r="CW2887">
        <v>9109803</v>
      </c>
      <c r="CY2887">
        <v>1</v>
      </c>
      <c r="CZ2887">
        <v>0</v>
      </c>
      <c r="DA2887">
        <v>0</v>
      </c>
      <c r="DB2887">
        <v>0</v>
      </c>
      <c r="DC2887">
        <v>0</v>
      </c>
      <c r="DD2887">
        <v>0</v>
      </c>
      <c r="DE2887">
        <v>0</v>
      </c>
      <c r="DF2887">
        <v>0</v>
      </c>
      <c r="DG2887">
        <v>0</v>
      </c>
      <c r="DH2887">
        <v>0</v>
      </c>
      <c r="DI2887">
        <v>0</v>
      </c>
    </row>
    <row r="2888" spans="1:113" x14ac:dyDescent="0.3">
      <c r="A2888" t="str">
        <f>"02/08/2021 20:29:52.388"</f>
        <v>02/08/2021 20:29:52.388</v>
      </c>
      <c r="C2888" t="str">
        <f t="shared" si="138"/>
        <v>FFDFD7C0</v>
      </c>
      <c r="D2888" t="s">
        <v>124</v>
      </c>
      <c r="E2888">
        <v>11</v>
      </c>
      <c r="F2888">
        <v>1011</v>
      </c>
      <c r="G2888" t="s">
        <v>590</v>
      </c>
      <c r="J2888" t="s">
        <v>125</v>
      </c>
      <c r="K2888">
        <v>0</v>
      </c>
      <c r="L2888">
        <v>3</v>
      </c>
      <c r="M2888">
        <v>0</v>
      </c>
      <c r="N2888">
        <v>2</v>
      </c>
      <c r="O2888">
        <v>1</v>
      </c>
      <c r="P2888">
        <v>0</v>
      </c>
      <c r="Q2888">
        <v>0</v>
      </c>
      <c r="S2888" t="str">
        <f>"20:29:54.688"</f>
        <v>20:29:54.688</v>
      </c>
      <c r="T2888" t="str">
        <f>"20:29:54.288"</f>
        <v>20:29:54.288</v>
      </c>
      <c r="U2888" t="str">
        <f t="shared" si="140"/>
        <v>AB01F4</v>
      </c>
      <c r="V2888">
        <v>0</v>
      </c>
      <c r="W2888">
        <v>0</v>
      </c>
      <c r="X2888">
        <v>2</v>
      </c>
      <c r="Z2888">
        <v>0</v>
      </c>
      <c r="AA2888">
        <v>9</v>
      </c>
      <c r="AB2888">
        <v>3</v>
      </c>
      <c r="AC2888">
        <v>0</v>
      </c>
      <c r="AD2888">
        <v>10</v>
      </c>
      <c r="AE2888">
        <v>0</v>
      </c>
      <c r="AF2888">
        <v>3</v>
      </c>
      <c r="AG2888">
        <v>2</v>
      </c>
      <c r="AH2888">
        <v>0</v>
      </c>
      <c r="AI2888" t="s">
        <v>1693</v>
      </c>
      <c r="AJ2888">
        <v>40.02948</v>
      </c>
      <c r="AK2888" t="s">
        <v>1694</v>
      </c>
      <c r="AL2888">
        <v>-92.821361999999993</v>
      </c>
      <c r="AM2888">
        <v>100</v>
      </c>
      <c r="AN2888">
        <v>1500</v>
      </c>
      <c r="AO2888" t="s">
        <v>118</v>
      </c>
      <c r="AP2888">
        <v>-133</v>
      </c>
      <c r="AQ2888">
        <v>31</v>
      </c>
      <c r="AR2888">
        <v>64</v>
      </c>
      <c r="AZ2888">
        <v>1200</v>
      </c>
      <c r="BA2888">
        <v>1</v>
      </c>
      <c r="BB2888" t="str">
        <f t="shared" si="139"/>
        <v xml:space="preserve">N8080G  </v>
      </c>
      <c r="BC2888">
        <v>1</v>
      </c>
      <c r="BE2888">
        <v>0</v>
      </c>
      <c r="BF2888">
        <v>0</v>
      </c>
      <c r="BG2888">
        <v>0</v>
      </c>
      <c r="BH2888">
        <v>1500</v>
      </c>
      <c r="BI2888">
        <v>1</v>
      </c>
      <c r="BJ2888">
        <v>1</v>
      </c>
      <c r="BK2888">
        <v>1</v>
      </c>
      <c r="BL2888">
        <v>0</v>
      </c>
      <c r="BO2888">
        <v>0</v>
      </c>
      <c r="BP2888">
        <v>0</v>
      </c>
      <c r="BW2888" t="str">
        <f>"20:29:54.695"</f>
        <v>20:29:54.695</v>
      </c>
      <c r="BZ2888">
        <v>0</v>
      </c>
      <c r="CA2888">
        <v>1792</v>
      </c>
      <c r="CB2888">
        <v>224</v>
      </c>
      <c r="CD2888">
        <v>1</v>
      </c>
      <c r="CE2888">
        <v>0</v>
      </c>
      <c r="CF2888">
        <v>0</v>
      </c>
      <c r="CG2888">
        <v>1</v>
      </c>
      <c r="CH2888">
        <v>0</v>
      </c>
      <c r="CI2888">
        <v>0</v>
      </c>
      <c r="CJ2888">
        <v>0</v>
      </c>
      <c r="CK2888">
        <v>2</v>
      </c>
      <c r="CL2888">
        <v>0</v>
      </c>
      <c r="CM2888">
        <v>2</v>
      </c>
      <c r="CN2888">
        <v>0</v>
      </c>
      <c r="CO2888">
        <v>2</v>
      </c>
      <c r="CP2888" t="s">
        <v>119</v>
      </c>
      <c r="CQ2888">
        <v>179</v>
      </c>
      <c r="CR2888">
        <v>1</v>
      </c>
      <c r="CW2888">
        <v>9109803</v>
      </c>
      <c r="CY2888">
        <v>1</v>
      </c>
      <c r="CZ2888">
        <v>0</v>
      </c>
      <c r="DA2888">
        <v>1</v>
      </c>
      <c r="DB2888">
        <v>0</v>
      </c>
      <c r="DC2888">
        <v>0</v>
      </c>
      <c r="DD2888">
        <v>0</v>
      </c>
      <c r="DE2888">
        <v>0</v>
      </c>
      <c r="DF2888">
        <v>0</v>
      </c>
      <c r="DG2888">
        <v>0</v>
      </c>
      <c r="DH2888">
        <v>0</v>
      </c>
      <c r="DI2888">
        <v>0</v>
      </c>
    </row>
    <row r="2889" spans="1:113" x14ac:dyDescent="0.3">
      <c r="A2889" t="str">
        <f>"02/08/2021 20:29:52.388"</f>
        <v>02/08/2021 20:29:52.388</v>
      </c>
      <c r="C2889" t="str">
        <f t="shared" si="138"/>
        <v>FFDFD7C0</v>
      </c>
      <c r="D2889" t="s">
        <v>124</v>
      </c>
      <c r="E2889">
        <v>12</v>
      </c>
      <c r="F2889">
        <v>1012</v>
      </c>
      <c r="G2889" t="s">
        <v>675</v>
      </c>
      <c r="J2889" t="s">
        <v>125</v>
      </c>
      <c r="K2889">
        <v>0</v>
      </c>
      <c r="L2889">
        <v>3</v>
      </c>
      <c r="M2889">
        <v>0</v>
      </c>
      <c r="N2889">
        <v>2</v>
      </c>
      <c r="O2889">
        <v>1</v>
      </c>
      <c r="P2889">
        <v>0</v>
      </c>
      <c r="Q2889">
        <v>0</v>
      </c>
      <c r="S2889" t="str">
        <f>"20:29:54.688"</f>
        <v>20:29:54.688</v>
      </c>
      <c r="T2889" t="str">
        <f>"20:29:54.288"</f>
        <v>20:29:54.288</v>
      </c>
      <c r="U2889" t="str">
        <f t="shared" si="140"/>
        <v>AB01F4</v>
      </c>
      <c r="V2889">
        <v>0</v>
      </c>
      <c r="W2889">
        <v>0</v>
      </c>
      <c r="X2889">
        <v>2</v>
      </c>
      <c r="Z2889">
        <v>0</v>
      </c>
      <c r="AA2889">
        <v>9</v>
      </c>
      <c r="AB2889">
        <v>3</v>
      </c>
      <c r="AC2889">
        <v>0</v>
      </c>
      <c r="AD2889">
        <v>10</v>
      </c>
      <c r="AE2889">
        <v>0</v>
      </c>
      <c r="AF2889">
        <v>3</v>
      </c>
      <c r="AG2889">
        <v>2</v>
      </c>
      <c r="AH2889">
        <v>0</v>
      </c>
      <c r="AI2889" t="s">
        <v>1693</v>
      </c>
      <c r="AJ2889">
        <v>40.02948</v>
      </c>
      <c r="AK2889" t="s">
        <v>1694</v>
      </c>
      <c r="AL2889">
        <v>-92.821361999999993</v>
      </c>
      <c r="AM2889">
        <v>100</v>
      </c>
      <c r="AN2889">
        <v>1500</v>
      </c>
      <c r="AO2889" t="s">
        <v>118</v>
      </c>
      <c r="AP2889">
        <v>-133</v>
      </c>
      <c r="AQ2889">
        <v>31</v>
      </c>
      <c r="AR2889">
        <v>64</v>
      </c>
      <c r="AZ2889">
        <v>1200</v>
      </c>
      <c r="BA2889">
        <v>1</v>
      </c>
      <c r="BB2889" t="str">
        <f t="shared" si="139"/>
        <v xml:space="preserve">N8080G  </v>
      </c>
      <c r="BC2889">
        <v>1</v>
      </c>
      <c r="BE2889">
        <v>0</v>
      </c>
      <c r="BF2889">
        <v>0</v>
      </c>
      <c r="BG2889">
        <v>0</v>
      </c>
      <c r="BH2889">
        <v>1500</v>
      </c>
      <c r="BI2889">
        <v>1</v>
      </c>
      <c r="BJ2889">
        <v>1</v>
      </c>
      <c r="BK2889">
        <v>1</v>
      </c>
      <c r="BL2889">
        <v>0</v>
      </c>
      <c r="BO2889">
        <v>0</v>
      </c>
      <c r="BP2889">
        <v>0</v>
      </c>
      <c r="BW2889" t="str">
        <f>"20:29:54.695"</f>
        <v>20:29:54.695</v>
      </c>
      <c r="BZ2889">
        <v>0</v>
      </c>
      <c r="CA2889">
        <v>1792</v>
      </c>
      <c r="CB2889">
        <v>224</v>
      </c>
      <c r="CD2889">
        <v>1</v>
      </c>
      <c r="CE2889">
        <v>0</v>
      </c>
      <c r="CF2889">
        <v>0</v>
      </c>
      <c r="CG2889">
        <v>1</v>
      </c>
      <c r="CH2889">
        <v>0</v>
      </c>
      <c r="CI2889">
        <v>0</v>
      </c>
      <c r="CJ2889">
        <v>0</v>
      </c>
      <c r="CK2889">
        <v>2</v>
      </c>
      <c r="CL2889">
        <v>0</v>
      </c>
      <c r="CM2889">
        <v>2</v>
      </c>
      <c r="CN2889">
        <v>0</v>
      </c>
      <c r="CO2889">
        <v>2</v>
      </c>
      <c r="CP2889" t="s">
        <v>119</v>
      </c>
      <c r="CQ2889">
        <v>179</v>
      </c>
      <c r="CR2889">
        <v>1</v>
      </c>
      <c r="CW2889">
        <v>9109803</v>
      </c>
      <c r="CY2889">
        <v>1</v>
      </c>
      <c r="CZ2889">
        <v>0</v>
      </c>
      <c r="DA2889">
        <v>1</v>
      </c>
      <c r="DB2889">
        <v>0</v>
      </c>
      <c r="DC2889">
        <v>0</v>
      </c>
      <c r="DD2889">
        <v>0</v>
      </c>
      <c r="DE2889">
        <v>0</v>
      </c>
      <c r="DF2889">
        <v>0</v>
      </c>
      <c r="DG2889">
        <v>0</v>
      </c>
      <c r="DH2889">
        <v>0</v>
      </c>
      <c r="DI2889">
        <v>0</v>
      </c>
    </row>
    <row r="2890" spans="1:113" x14ac:dyDescent="0.3">
      <c r="A2890" t="str">
        <f>"02/08/2021 20:29:52.388"</f>
        <v>02/08/2021 20:29:52.388</v>
      </c>
      <c r="C2890" t="str">
        <f t="shared" si="138"/>
        <v>FFDFD7C0</v>
      </c>
      <c r="D2890" t="s">
        <v>113</v>
      </c>
      <c r="E2890">
        <v>6</v>
      </c>
      <c r="H2890">
        <v>165</v>
      </c>
      <c r="I2890" t="s">
        <v>114</v>
      </c>
      <c r="J2890" t="s">
        <v>115</v>
      </c>
      <c r="K2890">
        <v>0</v>
      </c>
      <c r="L2890">
        <v>3</v>
      </c>
      <c r="M2890">
        <v>0</v>
      </c>
      <c r="N2890">
        <v>2</v>
      </c>
      <c r="O2890">
        <v>1</v>
      </c>
      <c r="P2890">
        <v>0</v>
      </c>
      <c r="Q2890">
        <v>0</v>
      </c>
      <c r="S2890" t="str">
        <f>"20:29:54.688"</f>
        <v>20:29:54.688</v>
      </c>
      <c r="T2890" t="str">
        <f>"20:29:54.288"</f>
        <v>20:29:54.288</v>
      </c>
      <c r="U2890" t="str">
        <f t="shared" si="140"/>
        <v>AB01F4</v>
      </c>
      <c r="V2890">
        <v>0</v>
      </c>
      <c r="W2890">
        <v>0</v>
      </c>
      <c r="X2890">
        <v>2</v>
      </c>
      <c r="Z2890">
        <v>0</v>
      </c>
      <c r="AA2890">
        <v>9</v>
      </c>
      <c r="AB2890">
        <v>3</v>
      </c>
      <c r="AC2890">
        <v>0</v>
      </c>
      <c r="AD2890">
        <v>10</v>
      </c>
      <c r="AE2890">
        <v>0</v>
      </c>
      <c r="AF2890">
        <v>3</v>
      </c>
      <c r="AG2890">
        <v>2</v>
      </c>
      <c r="AH2890">
        <v>0</v>
      </c>
      <c r="AI2890" t="s">
        <v>1693</v>
      </c>
      <c r="AJ2890">
        <v>40.02948</v>
      </c>
      <c r="AK2890" t="s">
        <v>1694</v>
      </c>
      <c r="AL2890">
        <v>-92.821361999999993</v>
      </c>
      <c r="AM2890">
        <v>100</v>
      </c>
      <c r="AN2890">
        <v>1500</v>
      </c>
      <c r="AO2890" t="s">
        <v>118</v>
      </c>
      <c r="AP2890">
        <v>-133</v>
      </c>
      <c r="AQ2890">
        <v>31</v>
      </c>
      <c r="AR2890">
        <v>64</v>
      </c>
      <c r="AZ2890">
        <v>1200</v>
      </c>
      <c r="BA2890">
        <v>1</v>
      </c>
      <c r="BB2890" t="str">
        <f t="shared" si="139"/>
        <v xml:space="preserve">N8080G  </v>
      </c>
      <c r="BC2890">
        <v>1</v>
      </c>
      <c r="BE2890">
        <v>0</v>
      </c>
      <c r="BF2890">
        <v>0</v>
      </c>
      <c r="BG2890">
        <v>0</v>
      </c>
      <c r="BH2890">
        <v>1500</v>
      </c>
      <c r="BI2890">
        <v>1</v>
      </c>
      <c r="BJ2890">
        <v>1</v>
      </c>
      <c r="BK2890">
        <v>1</v>
      </c>
      <c r="BL2890">
        <v>0</v>
      </c>
      <c r="BO2890">
        <v>0</v>
      </c>
      <c r="BP2890">
        <v>0</v>
      </c>
      <c r="BW2890" t="str">
        <f>"20:29:54.695"</f>
        <v>20:29:54.695</v>
      </c>
      <c r="BZ2890">
        <v>0</v>
      </c>
      <c r="CA2890">
        <v>1792</v>
      </c>
      <c r="CB2890">
        <v>224</v>
      </c>
      <c r="CD2890">
        <v>1</v>
      </c>
      <c r="CE2890">
        <v>0</v>
      </c>
      <c r="CF2890">
        <v>0</v>
      </c>
      <c r="CG2890">
        <v>1</v>
      </c>
      <c r="CH2890">
        <v>0</v>
      </c>
      <c r="CI2890">
        <v>0</v>
      </c>
      <c r="CJ2890">
        <v>0</v>
      </c>
      <c r="CK2890">
        <v>2</v>
      </c>
      <c r="CL2890">
        <v>0</v>
      </c>
      <c r="CM2890">
        <v>2</v>
      </c>
      <c r="CN2890">
        <v>0</v>
      </c>
      <c r="CO2890">
        <v>2</v>
      </c>
      <c r="CP2890" t="s">
        <v>119</v>
      </c>
      <c r="CQ2890">
        <v>179</v>
      </c>
      <c r="CR2890">
        <v>1</v>
      </c>
      <c r="CW2890">
        <v>9109803</v>
      </c>
      <c r="CY2890">
        <v>1</v>
      </c>
      <c r="CZ2890">
        <v>0</v>
      </c>
      <c r="DA2890">
        <v>1</v>
      </c>
      <c r="DB2890">
        <v>0</v>
      </c>
      <c r="DC2890">
        <v>0</v>
      </c>
      <c r="DD2890">
        <v>0</v>
      </c>
      <c r="DE2890">
        <v>0</v>
      </c>
      <c r="DF2890">
        <v>0</v>
      </c>
      <c r="DG2890">
        <v>0</v>
      </c>
      <c r="DH2890">
        <v>0</v>
      </c>
      <c r="DI2890">
        <v>0</v>
      </c>
    </row>
    <row r="2891" spans="1:113" x14ac:dyDescent="0.3">
      <c r="A2891" t="str">
        <f>"02/08/2021 20:29:53.390"</f>
        <v>02/08/2021 20:29:53.390</v>
      </c>
      <c r="C2891" t="str">
        <f t="shared" si="138"/>
        <v>FFDFD7C0</v>
      </c>
      <c r="D2891" t="s">
        <v>113</v>
      </c>
      <c r="E2891">
        <v>6</v>
      </c>
      <c r="H2891">
        <v>165</v>
      </c>
      <c r="I2891" t="s">
        <v>114</v>
      </c>
      <c r="J2891" t="s">
        <v>115</v>
      </c>
      <c r="K2891">
        <v>0</v>
      </c>
      <c r="L2891">
        <v>3</v>
      </c>
      <c r="M2891">
        <v>0</v>
      </c>
      <c r="N2891">
        <v>2</v>
      </c>
      <c r="O2891">
        <v>1</v>
      </c>
      <c r="P2891">
        <v>0</v>
      </c>
      <c r="Q2891">
        <v>0</v>
      </c>
      <c r="S2891" t="str">
        <f>"20:29:55.703"</f>
        <v>20:29:55.703</v>
      </c>
      <c r="T2891" t="str">
        <f>"20:29:55.203"</f>
        <v>20:29:55.203</v>
      </c>
      <c r="U2891" t="str">
        <f t="shared" si="140"/>
        <v>AB01F4</v>
      </c>
      <c r="V2891">
        <v>0</v>
      </c>
      <c r="W2891">
        <v>0</v>
      </c>
      <c r="X2891">
        <v>2</v>
      </c>
      <c r="Z2891">
        <v>0</v>
      </c>
      <c r="AA2891">
        <v>9</v>
      </c>
      <c r="AB2891">
        <v>3</v>
      </c>
      <c r="AC2891">
        <v>0</v>
      </c>
      <c r="AD2891">
        <v>10</v>
      </c>
      <c r="AE2891">
        <v>0</v>
      </c>
      <c r="AF2891">
        <v>3</v>
      </c>
      <c r="AG2891">
        <v>2</v>
      </c>
      <c r="AH2891">
        <v>0</v>
      </c>
      <c r="AI2891" t="s">
        <v>1695</v>
      </c>
      <c r="AJ2891">
        <v>40.029609000000001</v>
      </c>
      <c r="AK2891" t="s">
        <v>1696</v>
      </c>
      <c r="AL2891">
        <v>-92.822176999999996</v>
      </c>
      <c r="AM2891">
        <v>100</v>
      </c>
      <c r="AN2891">
        <v>1500</v>
      </c>
      <c r="AO2891" t="s">
        <v>118</v>
      </c>
      <c r="AP2891">
        <v>-133</v>
      </c>
      <c r="AQ2891">
        <v>32</v>
      </c>
      <c r="AR2891">
        <v>64</v>
      </c>
      <c r="AZ2891">
        <v>1200</v>
      </c>
      <c r="BA2891">
        <v>1</v>
      </c>
      <c r="BB2891" t="str">
        <f t="shared" si="139"/>
        <v xml:space="preserve">N8080G  </v>
      </c>
      <c r="BC2891">
        <v>1</v>
      </c>
      <c r="BE2891">
        <v>0</v>
      </c>
      <c r="BF2891">
        <v>0</v>
      </c>
      <c r="BG2891">
        <v>0</v>
      </c>
      <c r="BH2891">
        <v>1500</v>
      </c>
      <c r="BI2891">
        <v>1</v>
      </c>
      <c r="BJ2891">
        <v>1</v>
      </c>
      <c r="BK2891">
        <v>1</v>
      </c>
      <c r="BL2891">
        <v>0</v>
      </c>
      <c r="BO2891">
        <v>0</v>
      </c>
      <c r="BP2891">
        <v>0</v>
      </c>
      <c r="BW2891" t="str">
        <f>"20:29:55.711"</f>
        <v>20:29:55.711</v>
      </c>
      <c r="BZ2891">
        <v>0</v>
      </c>
      <c r="CA2891">
        <v>1792</v>
      </c>
      <c r="CB2891">
        <v>224</v>
      </c>
      <c r="CD2891">
        <v>1</v>
      </c>
      <c r="CE2891">
        <v>0</v>
      </c>
      <c r="CF2891">
        <v>0</v>
      </c>
      <c r="CG2891">
        <v>1</v>
      </c>
      <c r="CH2891">
        <v>0</v>
      </c>
      <c r="CI2891">
        <v>0</v>
      </c>
      <c r="CJ2891">
        <v>0</v>
      </c>
      <c r="CK2891">
        <v>2</v>
      </c>
      <c r="CL2891">
        <v>0</v>
      </c>
      <c r="CM2891">
        <v>2</v>
      </c>
      <c r="CN2891">
        <v>0</v>
      </c>
      <c r="CO2891">
        <v>2</v>
      </c>
      <c r="CP2891" t="s">
        <v>119</v>
      </c>
      <c r="CQ2891">
        <v>179</v>
      </c>
      <c r="CR2891">
        <v>1</v>
      </c>
      <c r="CW2891">
        <v>9110849</v>
      </c>
      <c r="CY2891">
        <v>1</v>
      </c>
      <c r="CZ2891">
        <v>0</v>
      </c>
      <c r="DA2891">
        <v>0</v>
      </c>
      <c r="DB2891">
        <v>0</v>
      </c>
      <c r="DC2891">
        <v>0</v>
      </c>
      <c r="DD2891">
        <v>0</v>
      </c>
      <c r="DE2891">
        <v>0</v>
      </c>
      <c r="DF2891">
        <v>0</v>
      </c>
      <c r="DG2891">
        <v>0</v>
      </c>
      <c r="DH2891">
        <v>0</v>
      </c>
      <c r="DI2891">
        <v>0</v>
      </c>
    </row>
    <row r="2892" spans="1:113" x14ac:dyDescent="0.3">
      <c r="A2892" t="str">
        <f>"02/08/2021 20:29:53.390"</f>
        <v>02/08/2021 20:29:53.390</v>
      </c>
      <c r="C2892" t="str">
        <f t="shared" si="138"/>
        <v>FFDFD7C0</v>
      </c>
      <c r="D2892" t="s">
        <v>124</v>
      </c>
      <c r="E2892">
        <v>13</v>
      </c>
      <c r="F2892">
        <v>1013</v>
      </c>
      <c r="G2892" t="s">
        <v>114</v>
      </c>
      <c r="J2892" t="s">
        <v>125</v>
      </c>
      <c r="K2892">
        <v>0</v>
      </c>
      <c r="L2892">
        <v>3</v>
      </c>
      <c r="M2892">
        <v>0</v>
      </c>
      <c r="N2892">
        <v>2</v>
      </c>
      <c r="O2892">
        <v>1</v>
      </c>
      <c r="P2892">
        <v>0</v>
      </c>
      <c r="Q2892">
        <v>0</v>
      </c>
      <c r="S2892" t="str">
        <f>"20:29:55.703"</f>
        <v>20:29:55.703</v>
      </c>
      <c r="T2892" t="str">
        <f>"20:29:55.203"</f>
        <v>20:29:55.203</v>
      </c>
      <c r="U2892" t="str">
        <f t="shared" si="140"/>
        <v>AB01F4</v>
      </c>
      <c r="V2892">
        <v>0</v>
      </c>
      <c r="W2892">
        <v>0</v>
      </c>
      <c r="X2892">
        <v>2</v>
      </c>
      <c r="Z2892">
        <v>0</v>
      </c>
      <c r="AA2892">
        <v>9</v>
      </c>
      <c r="AB2892">
        <v>3</v>
      </c>
      <c r="AC2892">
        <v>0</v>
      </c>
      <c r="AD2892">
        <v>10</v>
      </c>
      <c r="AE2892">
        <v>0</v>
      </c>
      <c r="AF2892">
        <v>3</v>
      </c>
      <c r="AG2892">
        <v>2</v>
      </c>
      <c r="AH2892">
        <v>0</v>
      </c>
      <c r="AI2892" t="s">
        <v>1695</v>
      </c>
      <c r="AJ2892">
        <v>40.029609000000001</v>
      </c>
      <c r="AK2892" t="s">
        <v>1696</v>
      </c>
      <c r="AL2892">
        <v>-92.822176999999996</v>
      </c>
      <c r="AM2892">
        <v>100</v>
      </c>
      <c r="AN2892">
        <v>1500</v>
      </c>
      <c r="AO2892" t="s">
        <v>118</v>
      </c>
      <c r="AP2892">
        <v>-133</v>
      </c>
      <c r="AQ2892">
        <v>32</v>
      </c>
      <c r="AR2892">
        <v>64</v>
      </c>
      <c r="AZ2892">
        <v>1200</v>
      </c>
      <c r="BA2892">
        <v>1</v>
      </c>
      <c r="BB2892" t="str">
        <f t="shared" si="139"/>
        <v xml:space="preserve">N8080G  </v>
      </c>
      <c r="BC2892">
        <v>1</v>
      </c>
      <c r="BE2892">
        <v>0</v>
      </c>
      <c r="BF2892">
        <v>0</v>
      </c>
      <c r="BG2892">
        <v>0</v>
      </c>
      <c r="BH2892">
        <v>1500</v>
      </c>
      <c r="BI2892">
        <v>1</v>
      </c>
      <c r="BJ2892">
        <v>1</v>
      </c>
      <c r="BK2892">
        <v>1</v>
      </c>
      <c r="BL2892">
        <v>0</v>
      </c>
      <c r="BO2892">
        <v>0</v>
      </c>
      <c r="BP2892">
        <v>0</v>
      </c>
      <c r="BW2892" t="str">
        <f>"20:29:55.711"</f>
        <v>20:29:55.711</v>
      </c>
      <c r="BZ2892">
        <v>0</v>
      </c>
      <c r="CA2892">
        <v>1792</v>
      </c>
      <c r="CB2892">
        <v>224</v>
      </c>
      <c r="CD2892">
        <v>1</v>
      </c>
      <c r="CE2892">
        <v>0</v>
      </c>
      <c r="CF2892">
        <v>0</v>
      </c>
      <c r="CG2892">
        <v>1</v>
      </c>
      <c r="CH2892">
        <v>0</v>
      </c>
      <c r="CI2892">
        <v>0</v>
      </c>
      <c r="CJ2892">
        <v>0</v>
      </c>
      <c r="CK2892">
        <v>2</v>
      </c>
      <c r="CL2892">
        <v>0</v>
      </c>
      <c r="CM2892">
        <v>2</v>
      </c>
      <c r="CN2892">
        <v>0</v>
      </c>
      <c r="CO2892">
        <v>2</v>
      </c>
      <c r="CP2892" t="s">
        <v>119</v>
      </c>
      <c r="CQ2892">
        <v>179</v>
      </c>
      <c r="CR2892">
        <v>1</v>
      </c>
      <c r="CW2892">
        <v>9110849</v>
      </c>
      <c r="CY2892">
        <v>1</v>
      </c>
      <c r="CZ2892">
        <v>0</v>
      </c>
      <c r="DA2892">
        <v>1</v>
      </c>
      <c r="DB2892">
        <v>0</v>
      </c>
      <c r="DC2892">
        <v>0</v>
      </c>
      <c r="DD2892">
        <v>0</v>
      </c>
      <c r="DE2892">
        <v>0</v>
      </c>
      <c r="DF2892">
        <v>0</v>
      </c>
      <c r="DG2892">
        <v>0</v>
      </c>
      <c r="DH2892">
        <v>0</v>
      </c>
      <c r="DI2892">
        <v>0</v>
      </c>
    </row>
    <row r="2893" spans="1:113" x14ac:dyDescent="0.3">
      <c r="A2893" t="str">
        <f>"02/08/2021 20:29:53.390"</f>
        <v>02/08/2021 20:29:53.390</v>
      </c>
      <c r="C2893" t="str">
        <f t="shared" si="138"/>
        <v>FFDFD7C0</v>
      </c>
      <c r="D2893" t="s">
        <v>124</v>
      </c>
      <c r="E2893">
        <v>11</v>
      </c>
      <c r="F2893">
        <v>1011</v>
      </c>
      <c r="G2893" t="s">
        <v>590</v>
      </c>
      <c r="J2893" t="s">
        <v>125</v>
      </c>
      <c r="K2893">
        <v>0</v>
      </c>
      <c r="L2893">
        <v>3</v>
      </c>
      <c r="M2893">
        <v>0</v>
      </c>
      <c r="N2893">
        <v>2</v>
      </c>
      <c r="O2893">
        <v>1</v>
      </c>
      <c r="P2893">
        <v>0</v>
      </c>
      <c r="Q2893">
        <v>0</v>
      </c>
      <c r="S2893" t="str">
        <f>"20:29:55.703"</f>
        <v>20:29:55.703</v>
      </c>
      <c r="T2893" t="str">
        <f>"20:29:55.203"</f>
        <v>20:29:55.203</v>
      </c>
      <c r="U2893" t="str">
        <f t="shared" si="140"/>
        <v>AB01F4</v>
      </c>
      <c r="V2893">
        <v>0</v>
      </c>
      <c r="W2893">
        <v>0</v>
      </c>
      <c r="X2893">
        <v>2</v>
      </c>
      <c r="Z2893">
        <v>0</v>
      </c>
      <c r="AA2893">
        <v>9</v>
      </c>
      <c r="AB2893">
        <v>3</v>
      </c>
      <c r="AC2893">
        <v>0</v>
      </c>
      <c r="AD2893">
        <v>10</v>
      </c>
      <c r="AE2893">
        <v>0</v>
      </c>
      <c r="AF2893">
        <v>3</v>
      </c>
      <c r="AG2893">
        <v>2</v>
      </c>
      <c r="AH2893">
        <v>0</v>
      </c>
      <c r="AI2893" t="s">
        <v>1695</v>
      </c>
      <c r="AJ2893">
        <v>40.029609000000001</v>
      </c>
      <c r="AK2893" t="s">
        <v>1696</v>
      </c>
      <c r="AL2893">
        <v>-92.822176999999996</v>
      </c>
      <c r="AM2893">
        <v>100</v>
      </c>
      <c r="AN2893">
        <v>1500</v>
      </c>
      <c r="AO2893" t="s">
        <v>118</v>
      </c>
      <c r="AP2893">
        <v>-133</v>
      </c>
      <c r="AQ2893">
        <v>32</v>
      </c>
      <c r="AR2893">
        <v>64</v>
      </c>
      <c r="AZ2893">
        <v>1200</v>
      </c>
      <c r="BA2893">
        <v>1</v>
      </c>
      <c r="BB2893" t="str">
        <f t="shared" si="139"/>
        <v xml:space="preserve">N8080G  </v>
      </c>
      <c r="BC2893">
        <v>1</v>
      </c>
      <c r="BE2893">
        <v>0</v>
      </c>
      <c r="BF2893">
        <v>0</v>
      </c>
      <c r="BG2893">
        <v>0</v>
      </c>
      <c r="BH2893">
        <v>1500</v>
      </c>
      <c r="BI2893">
        <v>1</v>
      </c>
      <c r="BJ2893">
        <v>1</v>
      </c>
      <c r="BK2893">
        <v>1</v>
      </c>
      <c r="BL2893">
        <v>0</v>
      </c>
      <c r="BO2893">
        <v>0</v>
      </c>
      <c r="BP2893">
        <v>0</v>
      </c>
      <c r="BW2893" t="str">
        <f>"20:29:55.711"</f>
        <v>20:29:55.711</v>
      </c>
      <c r="BZ2893">
        <v>0</v>
      </c>
      <c r="CA2893">
        <v>1792</v>
      </c>
      <c r="CB2893">
        <v>224</v>
      </c>
      <c r="CD2893">
        <v>1</v>
      </c>
      <c r="CE2893">
        <v>0</v>
      </c>
      <c r="CF2893">
        <v>0</v>
      </c>
      <c r="CG2893">
        <v>1</v>
      </c>
      <c r="CH2893">
        <v>0</v>
      </c>
      <c r="CI2893">
        <v>0</v>
      </c>
      <c r="CJ2893">
        <v>0</v>
      </c>
      <c r="CK2893">
        <v>2</v>
      </c>
      <c r="CL2893">
        <v>0</v>
      </c>
      <c r="CM2893">
        <v>2</v>
      </c>
      <c r="CN2893">
        <v>0</v>
      </c>
      <c r="CO2893">
        <v>2</v>
      </c>
      <c r="CP2893" t="s">
        <v>119</v>
      </c>
      <c r="CQ2893">
        <v>179</v>
      </c>
      <c r="CR2893">
        <v>1</v>
      </c>
      <c r="CW2893">
        <v>9110849</v>
      </c>
      <c r="CY2893">
        <v>1</v>
      </c>
      <c r="CZ2893">
        <v>0</v>
      </c>
      <c r="DA2893">
        <v>1</v>
      </c>
      <c r="DB2893">
        <v>0</v>
      </c>
      <c r="DC2893">
        <v>0</v>
      </c>
      <c r="DD2893">
        <v>0</v>
      </c>
      <c r="DE2893">
        <v>0</v>
      </c>
      <c r="DF2893">
        <v>0</v>
      </c>
      <c r="DG2893">
        <v>0</v>
      </c>
      <c r="DH2893">
        <v>0</v>
      </c>
      <c r="DI2893">
        <v>0</v>
      </c>
    </row>
    <row r="2894" spans="1:113" x14ac:dyDescent="0.3">
      <c r="A2894" t="str">
        <f>"02/08/2021 20:29:53.390"</f>
        <v>02/08/2021 20:29:53.390</v>
      </c>
      <c r="C2894" t="str">
        <f t="shared" si="138"/>
        <v>FFDFD7C0</v>
      </c>
      <c r="D2894" t="s">
        <v>124</v>
      </c>
      <c r="E2894">
        <v>12</v>
      </c>
      <c r="F2894">
        <v>1012</v>
      </c>
      <c r="G2894" t="s">
        <v>675</v>
      </c>
      <c r="J2894" t="s">
        <v>125</v>
      </c>
      <c r="K2894">
        <v>0</v>
      </c>
      <c r="L2894">
        <v>3</v>
      </c>
      <c r="M2894">
        <v>0</v>
      </c>
      <c r="N2894">
        <v>2</v>
      </c>
      <c r="O2894">
        <v>1</v>
      </c>
      <c r="P2894">
        <v>0</v>
      </c>
      <c r="Q2894">
        <v>0</v>
      </c>
      <c r="S2894" t="str">
        <f>"20:29:55.703"</f>
        <v>20:29:55.703</v>
      </c>
      <c r="T2894" t="str">
        <f>"20:29:55.203"</f>
        <v>20:29:55.203</v>
      </c>
      <c r="U2894" t="str">
        <f t="shared" si="140"/>
        <v>AB01F4</v>
      </c>
      <c r="V2894">
        <v>0</v>
      </c>
      <c r="W2894">
        <v>0</v>
      </c>
      <c r="X2894">
        <v>2</v>
      </c>
      <c r="Z2894">
        <v>0</v>
      </c>
      <c r="AA2894">
        <v>9</v>
      </c>
      <c r="AB2894">
        <v>3</v>
      </c>
      <c r="AC2894">
        <v>0</v>
      </c>
      <c r="AD2894">
        <v>10</v>
      </c>
      <c r="AE2894">
        <v>0</v>
      </c>
      <c r="AF2894">
        <v>3</v>
      </c>
      <c r="AG2894">
        <v>2</v>
      </c>
      <c r="AH2894">
        <v>0</v>
      </c>
      <c r="AI2894" t="s">
        <v>1695</v>
      </c>
      <c r="AJ2894">
        <v>40.029609000000001</v>
      </c>
      <c r="AK2894" t="s">
        <v>1696</v>
      </c>
      <c r="AL2894">
        <v>-92.822176999999996</v>
      </c>
      <c r="AM2894">
        <v>100</v>
      </c>
      <c r="AN2894">
        <v>1500</v>
      </c>
      <c r="AO2894" t="s">
        <v>118</v>
      </c>
      <c r="AP2894">
        <v>-133</v>
      </c>
      <c r="AQ2894">
        <v>32</v>
      </c>
      <c r="AR2894">
        <v>64</v>
      </c>
      <c r="AZ2894">
        <v>1200</v>
      </c>
      <c r="BA2894">
        <v>1</v>
      </c>
      <c r="BB2894" t="str">
        <f t="shared" si="139"/>
        <v xml:space="preserve">N8080G  </v>
      </c>
      <c r="BC2894">
        <v>1</v>
      </c>
      <c r="BE2894">
        <v>0</v>
      </c>
      <c r="BF2894">
        <v>0</v>
      </c>
      <c r="BG2894">
        <v>0</v>
      </c>
      <c r="BH2894">
        <v>1500</v>
      </c>
      <c r="BI2894">
        <v>1</v>
      </c>
      <c r="BJ2894">
        <v>1</v>
      </c>
      <c r="BK2894">
        <v>1</v>
      </c>
      <c r="BL2894">
        <v>0</v>
      </c>
      <c r="BO2894">
        <v>0</v>
      </c>
      <c r="BP2894">
        <v>0</v>
      </c>
      <c r="BW2894" t="str">
        <f>"20:29:55.711"</f>
        <v>20:29:55.711</v>
      </c>
      <c r="BZ2894">
        <v>0</v>
      </c>
      <c r="CA2894">
        <v>1792</v>
      </c>
      <c r="CB2894">
        <v>224</v>
      </c>
      <c r="CD2894">
        <v>1</v>
      </c>
      <c r="CE2894">
        <v>0</v>
      </c>
      <c r="CF2894">
        <v>0</v>
      </c>
      <c r="CG2894">
        <v>1</v>
      </c>
      <c r="CH2894">
        <v>0</v>
      </c>
      <c r="CI2894">
        <v>0</v>
      </c>
      <c r="CJ2894">
        <v>0</v>
      </c>
      <c r="CK2894">
        <v>2</v>
      </c>
      <c r="CL2894">
        <v>0</v>
      </c>
      <c r="CM2894">
        <v>2</v>
      </c>
      <c r="CN2894">
        <v>0</v>
      </c>
      <c r="CO2894">
        <v>2</v>
      </c>
      <c r="CP2894" t="s">
        <v>119</v>
      </c>
      <c r="CQ2894">
        <v>179</v>
      </c>
      <c r="CR2894">
        <v>1</v>
      </c>
      <c r="CW2894">
        <v>9110849</v>
      </c>
      <c r="CY2894">
        <v>1</v>
      </c>
      <c r="CZ2894">
        <v>0</v>
      </c>
      <c r="DA2894">
        <v>1</v>
      </c>
      <c r="DB2894">
        <v>0</v>
      </c>
      <c r="DC2894">
        <v>0</v>
      </c>
      <c r="DD2894">
        <v>0</v>
      </c>
      <c r="DE2894">
        <v>0</v>
      </c>
      <c r="DF2894">
        <v>0</v>
      </c>
      <c r="DG2894">
        <v>0</v>
      </c>
      <c r="DH2894">
        <v>0</v>
      </c>
      <c r="DI2894">
        <v>0</v>
      </c>
    </row>
    <row r="2895" spans="1:113" x14ac:dyDescent="0.3">
      <c r="A2895" t="str">
        <f>"02/08/2021 20:29:54.269"</f>
        <v>02/08/2021 20:29:54.269</v>
      </c>
      <c r="C2895" t="str">
        <f t="shared" si="138"/>
        <v>FFDFD7C0</v>
      </c>
      <c r="D2895" t="s">
        <v>124</v>
      </c>
      <c r="E2895">
        <v>11</v>
      </c>
      <c r="F2895">
        <v>1011</v>
      </c>
      <c r="G2895" t="s">
        <v>590</v>
      </c>
      <c r="J2895" t="s">
        <v>125</v>
      </c>
      <c r="K2895">
        <v>0</v>
      </c>
      <c r="L2895">
        <v>3</v>
      </c>
      <c r="M2895">
        <v>0</v>
      </c>
      <c r="N2895">
        <v>2</v>
      </c>
      <c r="O2895">
        <v>1</v>
      </c>
      <c r="P2895">
        <v>0</v>
      </c>
      <c r="Q2895">
        <v>0</v>
      </c>
      <c r="S2895" t="str">
        <f>"20:29:56.609"</f>
        <v>20:29:56.609</v>
      </c>
      <c r="T2895" t="str">
        <f>"20:29:56.209"</f>
        <v>20:29:56.209</v>
      </c>
      <c r="U2895" t="str">
        <f t="shared" si="140"/>
        <v>AB01F4</v>
      </c>
      <c r="V2895">
        <v>0</v>
      </c>
      <c r="W2895">
        <v>0</v>
      </c>
      <c r="X2895">
        <v>2</v>
      </c>
      <c r="Z2895">
        <v>0</v>
      </c>
      <c r="AA2895">
        <v>9</v>
      </c>
      <c r="AB2895">
        <v>3</v>
      </c>
      <c r="AC2895">
        <v>0</v>
      </c>
      <c r="AD2895">
        <v>10</v>
      </c>
      <c r="AE2895">
        <v>0</v>
      </c>
      <c r="AF2895">
        <v>3</v>
      </c>
      <c r="AG2895">
        <v>2</v>
      </c>
      <c r="AH2895">
        <v>0</v>
      </c>
      <c r="AI2895" t="s">
        <v>1697</v>
      </c>
      <c r="AJ2895">
        <v>40.029738000000002</v>
      </c>
      <c r="AK2895" t="s">
        <v>1698</v>
      </c>
      <c r="AL2895">
        <v>-92.822885999999997</v>
      </c>
      <c r="AM2895">
        <v>100</v>
      </c>
      <c r="AN2895">
        <v>1500</v>
      </c>
      <c r="AO2895" t="s">
        <v>118</v>
      </c>
      <c r="AP2895">
        <v>-132</v>
      </c>
      <c r="AQ2895">
        <v>33</v>
      </c>
      <c r="AR2895">
        <v>0</v>
      </c>
      <c r="AZ2895">
        <v>1200</v>
      </c>
      <c r="BA2895">
        <v>1</v>
      </c>
      <c r="BB2895" t="str">
        <f t="shared" si="139"/>
        <v xml:space="preserve">N8080G  </v>
      </c>
      <c r="BC2895">
        <v>1</v>
      </c>
      <c r="BE2895">
        <v>0</v>
      </c>
      <c r="BF2895">
        <v>0</v>
      </c>
      <c r="BG2895">
        <v>0</v>
      </c>
      <c r="BH2895">
        <v>1500</v>
      </c>
      <c r="BI2895">
        <v>1</v>
      </c>
      <c r="BJ2895">
        <v>1</v>
      </c>
      <c r="BK2895">
        <v>1</v>
      </c>
      <c r="BL2895">
        <v>0</v>
      </c>
      <c r="BO2895">
        <v>0</v>
      </c>
      <c r="BP2895">
        <v>0</v>
      </c>
      <c r="BW2895" t="str">
        <f>"20:29:56.615"</f>
        <v>20:29:56.615</v>
      </c>
      <c r="BZ2895">
        <v>0</v>
      </c>
      <c r="CA2895">
        <v>1792</v>
      </c>
      <c r="CB2895">
        <v>224</v>
      </c>
      <c r="CD2895">
        <v>1</v>
      </c>
      <c r="CE2895">
        <v>0</v>
      </c>
      <c r="CF2895">
        <v>0</v>
      </c>
      <c r="CG2895">
        <v>1</v>
      </c>
      <c r="CH2895">
        <v>0</v>
      </c>
      <c r="CI2895">
        <v>0</v>
      </c>
      <c r="CJ2895">
        <v>0</v>
      </c>
      <c r="CK2895">
        <v>2</v>
      </c>
      <c r="CL2895">
        <v>0</v>
      </c>
      <c r="CM2895">
        <v>2</v>
      </c>
      <c r="CN2895">
        <v>0</v>
      </c>
      <c r="CO2895">
        <v>7</v>
      </c>
      <c r="CP2895" t="s">
        <v>119</v>
      </c>
      <c r="CQ2895">
        <v>180</v>
      </c>
      <c r="CR2895">
        <v>2</v>
      </c>
      <c r="CW2895">
        <v>8652611</v>
      </c>
      <c r="CY2895">
        <v>1</v>
      </c>
      <c r="CZ2895">
        <v>0</v>
      </c>
      <c r="DA2895">
        <v>0</v>
      </c>
      <c r="DB2895">
        <v>0</v>
      </c>
      <c r="DC2895">
        <v>0</v>
      </c>
      <c r="DD2895">
        <v>0</v>
      </c>
      <c r="DE2895">
        <v>0</v>
      </c>
      <c r="DF2895">
        <v>0</v>
      </c>
      <c r="DG2895">
        <v>0</v>
      </c>
      <c r="DH2895">
        <v>0</v>
      </c>
      <c r="DI2895">
        <v>0</v>
      </c>
    </row>
    <row r="2896" spans="1:113" x14ac:dyDescent="0.3">
      <c r="A2896" t="str">
        <f>"02/08/2021 20:29:54.269"</f>
        <v>02/08/2021 20:29:54.269</v>
      </c>
      <c r="C2896" t="str">
        <f t="shared" si="138"/>
        <v>FFDFD7C0</v>
      </c>
      <c r="D2896" t="s">
        <v>124</v>
      </c>
      <c r="E2896">
        <v>12</v>
      </c>
      <c r="F2896">
        <v>1012</v>
      </c>
      <c r="G2896" t="s">
        <v>675</v>
      </c>
      <c r="J2896" t="s">
        <v>125</v>
      </c>
      <c r="K2896">
        <v>0</v>
      </c>
      <c r="L2896">
        <v>3</v>
      </c>
      <c r="M2896">
        <v>0</v>
      </c>
      <c r="N2896">
        <v>2</v>
      </c>
      <c r="O2896">
        <v>1</v>
      </c>
      <c r="P2896">
        <v>0</v>
      </c>
      <c r="Q2896">
        <v>0</v>
      </c>
      <c r="S2896" t="str">
        <f>"20:29:56.609"</f>
        <v>20:29:56.609</v>
      </c>
      <c r="T2896" t="str">
        <f>"20:29:56.209"</f>
        <v>20:29:56.209</v>
      </c>
      <c r="U2896" t="str">
        <f t="shared" si="140"/>
        <v>AB01F4</v>
      </c>
      <c r="V2896">
        <v>0</v>
      </c>
      <c r="W2896">
        <v>0</v>
      </c>
      <c r="X2896">
        <v>2</v>
      </c>
      <c r="Z2896">
        <v>0</v>
      </c>
      <c r="AA2896">
        <v>9</v>
      </c>
      <c r="AB2896">
        <v>3</v>
      </c>
      <c r="AC2896">
        <v>0</v>
      </c>
      <c r="AD2896">
        <v>10</v>
      </c>
      <c r="AE2896">
        <v>0</v>
      </c>
      <c r="AF2896">
        <v>3</v>
      </c>
      <c r="AG2896">
        <v>2</v>
      </c>
      <c r="AH2896">
        <v>0</v>
      </c>
      <c r="AI2896" t="s">
        <v>1697</v>
      </c>
      <c r="AJ2896">
        <v>40.029738000000002</v>
      </c>
      <c r="AK2896" t="s">
        <v>1698</v>
      </c>
      <c r="AL2896">
        <v>-92.822885999999997</v>
      </c>
      <c r="AM2896">
        <v>100</v>
      </c>
      <c r="AN2896">
        <v>1500</v>
      </c>
      <c r="AO2896" t="s">
        <v>118</v>
      </c>
      <c r="AP2896">
        <v>-132</v>
      </c>
      <c r="AQ2896">
        <v>33</v>
      </c>
      <c r="AR2896">
        <v>0</v>
      </c>
      <c r="AZ2896">
        <v>1200</v>
      </c>
      <c r="BA2896">
        <v>1</v>
      </c>
      <c r="BB2896" t="str">
        <f t="shared" si="139"/>
        <v xml:space="preserve">N8080G  </v>
      </c>
      <c r="BC2896">
        <v>1</v>
      </c>
      <c r="BE2896">
        <v>0</v>
      </c>
      <c r="BF2896">
        <v>0</v>
      </c>
      <c r="BG2896">
        <v>0</v>
      </c>
      <c r="BH2896">
        <v>1500</v>
      </c>
      <c r="BI2896">
        <v>1</v>
      </c>
      <c r="BJ2896">
        <v>1</v>
      </c>
      <c r="BK2896">
        <v>1</v>
      </c>
      <c r="BL2896">
        <v>0</v>
      </c>
      <c r="BO2896">
        <v>0</v>
      </c>
      <c r="BP2896">
        <v>0</v>
      </c>
      <c r="BW2896" t="str">
        <f>"20:29:56.615"</f>
        <v>20:29:56.615</v>
      </c>
      <c r="BZ2896">
        <v>0</v>
      </c>
      <c r="CA2896">
        <v>1792</v>
      </c>
      <c r="CB2896">
        <v>224</v>
      </c>
      <c r="CD2896">
        <v>1</v>
      </c>
      <c r="CE2896">
        <v>0</v>
      </c>
      <c r="CF2896">
        <v>0</v>
      </c>
      <c r="CG2896">
        <v>1</v>
      </c>
      <c r="CH2896">
        <v>0</v>
      </c>
      <c r="CI2896">
        <v>0</v>
      </c>
      <c r="CJ2896">
        <v>0</v>
      </c>
      <c r="CK2896">
        <v>2</v>
      </c>
      <c r="CL2896">
        <v>0</v>
      </c>
      <c r="CM2896">
        <v>2</v>
      </c>
      <c r="CN2896">
        <v>0</v>
      </c>
      <c r="CO2896">
        <v>7</v>
      </c>
      <c r="CP2896" t="s">
        <v>119</v>
      </c>
      <c r="CQ2896">
        <v>180</v>
      </c>
      <c r="CR2896">
        <v>2</v>
      </c>
      <c r="CW2896">
        <v>8652611</v>
      </c>
      <c r="CY2896">
        <v>1</v>
      </c>
      <c r="CZ2896">
        <v>0</v>
      </c>
      <c r="DA2896">
        <v>1</v>
      </c>
      <c r="DB2896">
        <v>0</v>
      </c>
      <c r="DC2896">
        <v>0</v>
      </c>
      <c r="DD2896">
        <v>0</v>
      </c>
      <c r="DE2896">
        <v>0</v>
      </c>
      <c r="DF2896">
        <v>0</v>
      </c>
      <c r="DG2896">
        <v>0</v>
      </c>
      <c r="DH2896">
        <v>0</v>
      </c>
      <c r="DI2896">
        <v>0</v>
      </c>
    </row>
    <row r="2897" spans="1:113" x14ac:dyDescent="0.3">
      <c r="A2897" t="str">
        <f>"02/08/2021 20:29:54.269"</f>
        <v>02/08/2021 20:29:54.269</v>
      </c>
      <c r="C2897" t="str">
        <f t="shared" si="138"/>
        <v>FFDFD7C0</v>
      </c>
      <c r="D2897" t="s">
        <v>124</v>
      </c>
      <c r="E2897">
        <v>13</v>
      </c>
      <c r="F2897">
        <v>1013</v>
      </c>
      <c r="G2897" t="s">
        <v>114</v>
      </c>
      <c r="J2897" t="s">
        <v>125</v>
      </c>
      <c r="K2897">
        <v>0</v>
      </c>
      <c r="L2897">
        <v>3</v>
      </c>
      <c r="M2897">
        <v>0</v>
      </c>
      <c r="N2897">
        <v>2</v>
      </c>
      <c r="O2897">
        <v>1</v>
      </c>
      <c r="P2897">
        <v>0</v>
      </c>
      <c r="Q2897">
        <v>0</v>
      </c>
      <c r="S2897" t="str">
        <f>"20:29:56.609"</f>
        <v>20:29:56.609</v>
      </c>
      <c r="T2897" t="str">
        <f>"20:29:56.209"</f>
        <v>20:29:56.209</v>
      </c>
      <c r="U2897" t="str">
        <f t="shared" si="140"/>
        <v>AB01F4</v>
      </c>
      <c r="V2897">
        <v>0</v>
      </c>
      <c r="W2897">
        <v>0</v>
      </c>
      <c r="X2897">
        <v>2</v>
      </c>
      <c r="Z2897">
        <v>0</v>
      </c>
      <c r="AA2897">
        <v>9</v>
      </c>
      <c r="AB2897">
        <v>3</v>
      </c>
      <c r="AC2897">
        <v>0</v>
      </c>
      <c r="AD2897">
        <v>10</v>
      </c>
      <c r="AE2897">
        <v>0</v>
      </c>
      <c r="AF2897">
        <v>3</v>
      </c>
      <c r="AG2897">
        <v>2</v>
      </c>
      <c r="AH2897">
        <v>0</v>
      </c>
      <c r="AI2897" t="s">
        <v>1697</v>
      </c>
      <c r="AJ2897">
        <v>40.029738000000002</v>
      </c>
      <c r="AK2897" t="s">
        <v>1698</v>
      </c>
      <c r="AL2897">
        <v>-92.822885999999997</v>
      </c>
      <c r="AM2897">
        <v>100</v>
      </c>
      <c r="AN2897">
        <v>1500</v>
      </c>
      <c r="AO2897" t="s">
        <v>118</v>
      </c>
      <c r="AP2897">
        <v>-132</v>
      </c>
      <c r="AQ2897">
        <v>33</v>
      </c>
      <c r="AR2897">
        <v>0</v>
      </c>
      <c r="AZ2897">
        <v>1200</v>
      </c>
      <c r="BA2897">
        <v>1</v>
      </c>
      <c r="BB2897" t="str">
        <f t="shared" si="139"/>
        <v xml:space="preserve">N8080G  </v>
      </c>
      <c r="BC2897">
        <v>1</v>
      </c>
      <c r="BE2897">
        <v>0</v>
      </c>
      <c r="BF2897">
        <v>0</v>
      </c>
      <c r="BG2897">
        <v>0</v>
      </c>
      <c r="BH2897">
        <v>1500</v>
      </c>
      <c r="BI2897">
        <v>1</v>
      </c>
      <c r="BJ2897">
        <v>1</v>
      </c>
      <c r="BK2897">
        <v>1</v>
      </c>
      <c r="BL2897">
        <v>0</v>
      </c>
      <c r="BO2897">
        <v>0</v>
      </c>
      <c r="BP2897">
        <v>0</v>
      </c>
      <c r="BW2897" t="str">
        <f>"20:29:56.615"</f>
        <v>20:29:56.615</v>
      </c>
      <c r="BZ2897">
        <v>0</v>
      </c>
      <c r="CA2897">
        <v>1792</v>
      </c>
      <c r="CB2897">
        <v>224</v>
      </c>
      <c r="CD2897">
        <v>1</v>
      </c>
      <c r="CE2897">
        <v>0</v>
      </c>
      <c r="CF2897">
        <v>0</v>
      </c>
      <c r="CG2897">
        <v>1</v>
      </c>
      <c r="CH2897">
        <v>0</v>
      </c>
      <c r="CI2897">
        <v>0</v>
      </c>
      <c r="CJ2897">
        <v>0</v>
      </c>
      <c r="CK2897">
        <v>2</v>
      </c>
      <c r="CL2897">
        <v>0</v>
      </c>
      <c r="CM2897">
        <v>2</v>
      </c>
      <c r="CN2897">
        <v>0</v>
      </c>
      <c r="CO2897">
        <v>7</v>
      </c>
      <c r="CP2897" t="s">
        <v>119</v>
      </c>
      <c r="CQ2897">
        <v>180</v>
      </c>
      <c r="CR2897">
        <v>2</v>
      </c>
      <c r="CW2897">
        <v>8652611</v>
      </c>
      <c r="CY2897">
        <v>1</v>
      </c>
      <c r="CZ2897">
        <v>0</v>
      </c>
      <c r="DA2897">
        <v>1</v>
      </c>
      <c r="DB2897">
        <v>0</v>
      </c>
      <c r="DC2897">
        <v>0</v>
      </c>
      <c r="DD2897">
        <v>0</v>
      </c>
      <c r="DE2897">
        <v>0</v>
      </c>
      <c r="DF2897">
        <v>0</v>
      </c>
      <c r="DG2897">
        <v>0</v>
      </c>
      <c r="DH2897">
        <v>0</v>
      </c>
      <c r="DI2897">
        <v>0</v>
      </c>
    </row>
    <row r="2898" spans="1:113" x14ac:dyDescent="0.3">
      <c r="A2898" t="str">
        <f>"02/08/2021 20:29:54.269"</f>
        <v>02/08/2021 20:29:54.269</v>
      </c>
      <c r="C2898" t="str">
        <f t="shared" si="138"/>
        <v>FFDFD7C0</v>
      </c>
      <c r="D2898" t="s">
        <v>113</v>
      </c>
      <c r="E2898">
        <v>6</v>
      </c>
      <c r="H2898">
        <v>165</v>
      </c>
      <c r="I2898" t="s">
        <v>114</v>
      </c>
      <c r="J2898" t="s">
        <v>115</v>
      </c>
      <c r="K2898">
        <v>0</v>
      </c>
      <c r="L2898">
        <v>3</v>
      </c>
      <c r="M2898">
        <v>0</v>
      </c>
      <c r="N2898">
        <v>2</v>
      </c>
      <c r="O2898">
        <v>1</v>
      </c>
      <c r="P2898">
        <v>0</v>
      </c>
      <c r="Q2898">
        <v>0</v>
      </c>
      <c r="S2898" t="str">
        <f>"20:29:56.609"</f>
        <v>20:29:56.609</v>
      </c>
      <c r="T2898" t="str">
        <f>"20:29:56.209"</f>
        <v>20:29:56.209</v>
      </c>
      <c r="U2898" t="str">
        <f t="shared" si="140"/>
        <v>AB01F4</v>
      </c>
      <c r="V2898">
        <v>0</v>
      </c>
      <c r="W2898">
        <v>0</v>
      </c>
      <c r="X2898">
        <v>2</v>
      </c>
      <c r="Z2898">
        <v>0</v>
      </c>
      <c r="AA2898">
        <v>9</v>
      </c>
      <c r="AB2898">
        <v>3</v>
      </c>
      <c r="AC2898">
        <v>0</v>
      </c>
      <c r="AD2898">
        <v>10</v>
      </c>
      <c r="AE2898">
        <v>0</v>
      </c>
      <c r="AF2898">
        <v>3</v>
      </c>
      <c r="AG2898">
        <v>2</v>
      </c>
      <c r="AH2898">
        <v>0</v>
      </c>
      <c r="AI2898" t="s">
        <v>1697</v>
      </c>
      <c r="AJ2898">
        <v>40.029738000000002</v>
      </c>
      <c r="AK2898" t="s">
        <v>1698</v>
      </c>
      <c r="AL2898">
        <v>-92.822885999999997</v>
      </c>
      <c r="AM2898">
        <v>100</v>
      </c>
      <c r="AN2898">
        <v>1500</v>
      </c>
      <c r="AO2898" t="s">
        <v>118</v>
      </c>
      <c r="AP2898">
        <v>-132</v>
      </c>
      <c r="AQ2898">
        <v>33</v>
      </c>
      <c r="AR2898">
        <v>0</v>
      </c>
      <c r="AZ2898">
        <v>1200</v>
      </c>
      <c r="BA2898">
        <v>1</v>
      </c>
      <c r="BB2898" t="str">
        <f t="shared" si="139"/>
        <v xml:space="preserve">N8080G  </v>
      </c>
      <c r="BC2898">
        <v>1</v>
      </c>
      <c r="BE2898">
        <v>0</v>
      </c>
      <c r="BF2898">
        <v>0</v>
      </c>
      <c r="BG2898">
        <v>0</v>
      </c>
      <c r="BH2898">
        <v>1500</v>
      </c>
      <c r="BI2898">
        <v>1</v>
      </c>
      <c r="BJ2898">
        <v>1</v>
      </c>
      <c r="BK2898">
        <v>1</v>
      </c>
      <c r="BL2898">
        <v>0</v>
      </c>
      <c r="BO2898">
        <v>0</v>
      </c>
      <c r="BP2898">
        <v>0</v>
      </c>
      <c r="BW2898" t="str">
        <f>"20:29:56.615"</f>
        <v>20:29:56.615</v>
      </c>
      <c r="BZ2898">
        <v>0</v>
      </c>
      <c r="CA2898">
        <v>1792</v>
      </c>
      <c r="CB2898">
        <v>224</v>
      </c>
      <c r="CD2898">
        <v>1</v>
      </c>
      <c r="CE2898">
        <v>0</v>
      </c>
      <c r="CF2898">
        <v>0</v>
      </c>
      <c r="CG2898">
        <v>1</v>
      </c>
      <c r="CH2898">
        <v>0</v>
      </c>
      <c r="CI2898">
        <v>0</v>
      </c>
      <c r="CJ2898">
        <v>0</v>
      </c>
      <c r="CK2898">
        <v>2</v>
      </c>
      <c r="CL2898">
        <v>0</v>
      </c>
      <c r="CM2898">
        <v>2</v>
      </c>
      <c r="CN2898">
        <v>0</v>
      </c>
      <c r="CO2898">
        <v>7</v>
      </c>
      <c r="CP2898" t="s">
        <v>119</v>
      </c>
      <c r="CQ2898">
        <v>180</v>
      </c>
      <c r="CR2898">
        <v>2</v>
      </c>
      <c r="CW2898">
        <v>8652611</v>
      </c>
      <c r="CY2898">
        <v>1</v>
      </c>
      <c r="CZ2898">
        <v>0</v>
      </c>
      <c r="DA2898">
        <v>1</v>
      </c>
      <c r="DB2898">
        <v>0</v>
      </c>
      <c r="DC2898">
        <v>0</v>
      </c>
      <c r="DD2898">
        <v>0</v>
      </c>
      <c r="DE2898">
        <v>0</v>
      </c>
      <c r="DF2898">
        <v>0</v>
      </c>
      <c r="DG2898">
        <v>0</v>
      </c>
      <c r="DH2898">
        <v>0</v>
      </c>
      <c r="DI2898">
        <v>0</v>
      </c>
    </row>
    <row r="2899" spans="1:113" x14ac:dyDescent="0.3">
      <c r="A2899" t="str">
        <f>"02/08/2021 20:29:55.716"</f>
        <v>02/08/2021 20:29:55.716</v>
      </c>
      <c r="C2899" t="str">
        <f t="shared" si="138"/>
        <v>FFDFD7C0</v>
      </c>
      <c r="D2899" t="s">
        <v>113</v>
      </c>
      <c r="E2899">
        <v>6</v>
      </c>
      <c r="H2899">
        <v>165</v>
      </c>
      <c r="I2899" t="s">
        <v>114</v>
      </c>
      <c r="J2899" t="s">
        <v>115</v>
      </c>
      <c r="K2899">
        <v>0</v>
      </c>
      <c r="L2899">
        <v>3</v>
      </c>
      <c r="M2899">
        <v>0</v>
      </c>
      <c r="N2899">
        <v>2</v>
      </c>
      <c r="O2899">
        <v>1</v>
      </c>
      <c r="P2899">
        <v>0</v>
      </c>
      <c r="Q2899">
        <v>0</v>
      </c>
      <c r="S2899" t="str">
        <f>"20:29:58.031"</f>
        <v>20:29:58.031</v>
      </c>
      <c r="T2899" t="str">
        <f>"20:29:57.531"</f>
        <v>20:29:57.531</v>
      </c>
      <c r="U2899" t="str">
        <f t="shared" si="140"/>
        <v>AB01F4</v>
      </c>
      <c r="V2899">
        <v>0</v>
      </c>
      <c r="W2899">
        <v>0</v>
      </c>
      <c r="X2899">
        <v>2</v>
      </c>
      <c r="Z2899">
        <v>0</v>
      </c>
      <c r="AA2899">
        <v>9</v>
      </c>
      <c r="AB2899">
        <v>3</v>
      </c>
      <c r="AC2899">
        <v>0</v>
      </c>
      <c r="AD2899">
        <v>10</v>
      </c>
      <c r="AE2899">
        <v>0</v>
      </c>
      <c r="AF2899">
        <v>3</v>
      </c>
      <c r="AG2899">
        <v>2</v>
      </c>
      <c r="AH2899">
        <v>0</v>
      </c>
      <c r="AI2899" t="s">
        <v>1699</v>
      </c>
      <c r="AJ2899">
        <v>40.029995</v>
      </c>
      <c r="AK2899" t="s">
        <v>1700</v>
      </c>
      <c r="AL2899">
        <v>-92.824109000000007</v>
      </c>
      <c r="AM2899">
        <v>100</v>
      </c>
      <c r="AN2899">
        <v>1500</v>
      </c>
      <c r="AO2899" t="s">
        <v>118</v>
      </c>
      <c r="AP2899">
        <v>-132</v>
      </c>
      <c r="AQ2899">
        <v>33</v>
      </c>
      <c r="AR2899">
        <v>0</v>
      </c>
      <c r="AZ2899">
        <v>1200</v>
      </c>
      <c r="BA2899">
        <v>1</v>
      </c>
      <c r="BB2899" t="str">
        <f t="shared" si="139"/>
        <v xml:space="preserve">N8080G  </v>
      </c>
      <c r="BC2899">
        <v>1</v>
      </c>
      <c r="BE2899">
        <v>0</v>
      </c>
      <c r="BF2899">
        <v>0</v>
      </c>
      <c r="BG2899">
        <v>0</v>
      </c>
      <c r="BH2899">
        <v>1500</v>
      </c>
      <c r="BI2899">
        <v>1</v>
      </c>
      <c r="BJ2899">
        <v>1</v>
      </c>
      <c r="BK2899">
        <v>1</v>
      </c>
      <c r="BL2899">
        <v>0</v>
      </c>
      <c r="BO2899">
        <v>0</v>
      </c>
      <c r="BP2899">
        <v>0</v>
      </c>
      <c r="BW2899" t="str">
        <f>"20:29:58.039"</f>
        <v>20:29:58.039</v>
      </c>
      <c r="BZ2899">
        <v>0</v>
      </c>
      <c r="CA2899">
        <v>1792</v>
      </c>
      <c r="CB2899">
        <v>224</v>
      </c>
      <c r="CD2899">
        <v>1</v>
      </c>
      <c r="CE2899">
        <v>0</v>
      </c>
      <c r="CF2899">
        <v>0</v>
      </c>
      <c r="CG2899">
        <v>1</v>
      </c>
      <c r="CH2899">
        <v>0</v>
      </c>
      <c r="CI2899">
        <v>0</v>
      </c>
      <c r="CJ2899">
        <v>0</v>
      </c>
      <c r="CK2899">
        <v>2</v>
      </c>
      <c r="CL2899">
        <v>0</v>
      </c>
      <c r="CM2899">
        <v>2</v>
      </c>
      <c r="CN2899">
        <v>0</v>
      </c>
      <c r="CO2899">
        <v>2</v>
      </c>
      <c r="CP2899" t="s">
        <v>119</v>
      </c>
      <c r="CQ2899">
        <v>179</v>
      </c>
      <c r="CR2899">
        <v>1</v>
      </c>
      <c r="CW2899">
        <v>9112878</v>
      </c>
      <c r="CY2899">
        <v>1</v>
      </c>
      <c r="CZ2899">
        <v>0</v>
      </c>
      <c r="DA2899">
        <v>0</v>
      </c>
      <c r="DB2899">
        <v>0</v>
      </c>
      <c r="DC2899">
        <v>0</v>
      </c>
      <c r="DD2899">
        <v>0</v>
      </c>
      <c r="DE2899">
        <v>0</v>
      </c>
      <c r="DF2899">
        <v>0</v>
      </c>
      <c r="DG2899">
        <v>0</v>
      </c>
      <c r="DH2899">
        <v>0</v>
      </c>
      <c r="DI2899">
        <v>0</v>
      </c>
    </row>
    <row r="2900" spans="1:113" x14ac:dyDescent="0.3">
      <c r="A2900" t="str">
        <f>"02/08/2021 20:29:55.716"</f>
        <v>02/08/2021 20:29:55.716</v>
      </c>
      <c r="C2900" t="str">
        <f t="shared" si="138"/>
        <v>FFDFD7C0</v>
      </c>
      <c r="D2900" t="s">
        <v>124</v>
      </c>
      <c r="E2900">
        <v>12</v>
      </c>
      <c r="F2900">
        <v>1012</v>
      </c>
      <c r="G2900" t="s">
        <v>675</v>
      </c>
      <c r="J2900" t="s">
        <v>125</v>
      </c>
      <c r="K2900">
        <v>0</v>
      </c>
      <c r="L2900">
        <v>3</v>
      </c>
      <c r="M2900">
        <v>0</v>
      </c>
      <c r="N2900">
        <v>2</v>
      </c>
      <c r="O2900">
        <v>1</v>
      </c>
      <c r="P2900">
        <v>0</v>
      </c>
      <c r="Q2900">
        <v>0</v>
      </c>
      <c r="S2900" t="str">
        <f>"20:29:58.031"</f>
        <v>20:29:58.031</v>
      </c>
      <c r="T2900" t="str">
        <f>"20:29:57.531"</f>
        <v>20:29:57.531</v>
      </c>
      <c r="U2900" t="str">
        <f t="shared" si="140"/>
        <v>AB01F4</v>
      </c>
      <c r="V2900">
        <v>0</v>
      </c>
      <c r="W2900">
        <v>0</v>
      </c>
      <c r="X2900">
        <v>2</v>
      </c>
      <c r="Z2900">
        <v>0</v>
      </c>
      <c r="AA2900">
        <v>9</v>
      </c>
      <c r="AB2900">
        <v>3</v>
      </c>
      <c r="AC2900">
        <v>0</v>
      </c>
      <c r="AD2900">
        <v>10</v>
      </c>
      <c r="AE2900">
        <v>0</v>
      </c>
      <c r="AF2900">
        <v>3</v>
      </c>
      <c r="AG2900">
        <v>2</v>
      </c>
      <c r="AH2900">
        <v>0</v>
      </c>
      <c r="AI2900" t="s">
        <v>1699</v>
      </c>
      <c r="AJ2900">
        <v>40.029995</v>
      </c>
      <c r="AK2900" t="s">
        <v>1700</v>
      </c>
      <c r="AL2900">
        <v>-92.824109000000007</v>
      </c>
      <c r="AM2900">
        <v>100</v>
      </c>
      <c r="AN2900">
        <v>1500</v>
      </c>
      <c r="AO2900" t="s">
        <v>118</v>
      </c>
      <c r="AP2900">
        <v>-132</v>
      </c>
      <c r="AQ2900">
        <v>33</v>
      </c>
      <c r="AR2900">
        <v>0</v>
      </c>
      <c r="AZ2900">
        <v>1200</v>
      </c>
      <c r="BA2900">
        <v>1</v>
      </c>
      <c r="BB2900" t="str">
        <f t="shared" si="139"/>
        <v xml:space="preserve">N8080G  </v>
      </c>
      <c r="BC2900">
        <v>1</v>
      </c>
      <c r="BE2900">
        <v>0</v>
      </c>
      <c r="BF2900">
        <v>0</v>
      </c>
      <c r="BG2900">
        <v>0</v>
      </c>
      <c r="BH2900">
        <v>1500</v>
      </c>
      <c r="BI2900">
        <v>1</v>
      </c>
      <c r="BJ2900">
        <v>1</v>
      </c>
      <c r="BK2900">
        <v>1</v>
      </c>
      <c r="BL2900">
        <v>0</v>
      </c>
      <c r="BO2900">
        <v>0</v>
      </c>
      <c r="BP2900">
        <v>0</v>
      </c>
      <c r="BW2900" t="str">
        <f>"20:29:58.039"</f>
        <v>20:29:58.039</v>
      </c>
      <c r="BZ2900">
        <v>0</v>
      </c>
      <c r="CA2900">
        <v>1792</v>
      </c>
      <c r="CB2900">
        <v>224</v>
      </c>
      <c r="CD2900">
        <v>1</v>
      </c>
      <c r="CE2900">
        <v>0</v>
      </c>
      <c r="CF2900">
        <v>0</v>
      </c>
      <c r="CG2900">
        <v>1</v>
      </c>
      <c r="CH2900">
        <v>0</v>
      </c>
      <c r="CI2900">
        <v>0</v>
      </c>
      <c r="CJ2900">
        <v>0</v>
      </c>
      <c r="CK2900">
        <v>2</v>
      </c>
      <c r="CL2900">
        <v>0</v>
      </c>
      <c r="CM2900">
        <v>2</v>
      </c>
      <c r="CN2900">
        <v>0</v>
      </c>
      <c r="CO2900">
        <v>2</v>
      </c>
      <c r="CP2900" t="s">
        <v>119</v>
      </c>
      <c r="CQ2900">
        <v>179</v>
      </c>
      <c r="CR2900">
        <v>1</v>
      </c>
      <c r="CW2900">
        <v>9112878</v>
      </c>
      <c r="CY2900">
        <v>1</v>
      </c>
      <c r="CZ2900">
        <v>0</v>
      </c>
      <c r="DA2900">
        <v>1</v>
      </c>
      <c r="DB2900">
        <v>0</v>
      </c>
      <c r="DC2900">
        <v>0</v>
      </c>
      <c r="DD2900">
        <v>0</v>
      </c>
      <c r="DE2900">
        <v>0</v>
      </c>
      <c r="DF2900">
        <v>0</v>
      </c>
      <c r="DG2900">
        <v>0</v>
      </c>
      <c r="DH2900">
        <v>0</v>
      </c>
      <c r="DI2900">
        <v>0</v>
      </c>
    </row>
    <row r="2901" spans="1:113" x14ac:dyDescent="0.3">
      <c r="A2901" t="str">
        <f>"02/08/2021 20:29:55.716"</f>
        <v>02/08/2021 20:29:55.716</v>
      </c>
      <c r="C2901" t="str">
        <f t="shared" si="138"/>
        <v>FFDFD7C0</v>
      </c>
      <c r="D2901" t="s">
        <v>124</v>
      </c>
      <c r="E2901">
        <v>11</v>
      </c>
      <c r="F2901">
        <v>1011</v>
      </c>
      <c r="G2901" t="s">
        <v>590</v>
      </c>
      <c r="J2901" t="s">
        <v>125</v>
      </c>
      <c r="K2901">
        <v>0</v>
      </c>
      <c r="L2901">
        <v>3</v>
      </c>
      <c r="M2901">
        <v>0</v>
      </c>
      <c r="N2901">
        <v>2</v>
      </c>
      <c r="O2901">
        <v>1</v>
      </c>
      <c r="P2901">
        <v>0</v>
      </c>
      <c r="Q2901">
        <v>0</v>
      </c>
      <c r="S2901" t="str">
        <f>"20:29:58.031"</f>
        <v>20:29:58.031</v>
      </c>
      <c r="T2901" t="str">
        <f>"20:29:57.531"</f>
        <v>20:29:57.531</v>
      </c>
      <c r="U2901" t="str">
        <f t="shared" si="140"/>
        <v>AB01F4</v>
      </c>
      <c r="V2901">
        <v>0</v>
      </c>
      <c r="W2901">
        <v>0</v>
      </c>
      <c r="X2901">
        <v>2</v>
      </c>
      <c r="Z2901">
        <v>0</v>
      </c>
      <c r="AA2901">
        <v>9</v>
      </c>
      <c r="AB2901">
        <v>3</v>
      </c>
      <c r="AC2901">
        <v>0</v>
      </c>
      <c r="AD2901">
        <v>10</v>
      </c>
      <c r="AE2901">
        <v>0</v>
      </c>
      <c r="AF2901">
        <v>3</v>
      </c>
      <c r="AG2901">
        <v>2</v>
      </c>
      <c r="AH2901">
        <v>0</v>
      </c>
      <c r="AI2901" t="s">
        <v>1699</v>
      </c>
      <c r="AJ2901">
        <v>40.029995</v>
      </c>
      <c r="AK2901" t="s">
        <v>1700</v>
      </c>
      <c r="AL2901">
        <v>-92.824109000000007</v>
      </c>
      <c r="AM2901">
        <v>100</v>
      </c>
      <c r="AN2901">
        <v>1500</v>
      </c>
      <c r="AO2901" t="s">
        <v>118</v>
      </c>
      <c r="AP2901">
        <v>-132</v>
      </c>
      <c r="AQ2901">
        <v>33</v>
      </c>
      <c r="AR2901">
        <v>0</v>
      </c>
      <c r="AZ2901">
        <v>1200</v>
      </c>
      <c r="BA2901">
        <v>1</v>
      </c>
      <c r="BB2901" t="str">
        <f t="shared" si="139"/>
        <v xml:space="preserve">N8080G  </v>
      </c>
      <c r="BC2901">
        <v>1</v>
      </c>
      <c r="BE2901">
        <v>0</v>
      </c>
      <c r="BF2901">
        <v>0</v>
      </c>
      <c r="BG2901">
        <v>0</v>
      </c>
      <c r="BH2901">
        <v>1500</v>
      </c>
      <c r="BI2901">
        <v>1</v>
      </c>
      <c r="BJ2901">
        <v>1</v>
      </c>
      <c r="BK2901">
        <v>1</v>
      </c>
      <c r="BL2901">
        <v>0</v>
      </c>
      <c r="BO2901">
        <v>0</v>
      </c>
      <c r="BP2901">
        <v>0</v>
      </c>
      <c r="BW2901" t="str">
        <f>"20:29:58.039"</f>
        <v>20:29:58.039</v>
      </c>
      <c r="BZ2901">
        <v>0</v>
      </c>
      <c r="CA2901">
        <v>1792</v>
      </c>
      <c r="CB2901">
        <v>224</v>
      </c>
      <c r="CD2901">
        <v>1</v>
      </c>
      <c r="CE2901">
        <v>0</v>
      </c>
      <c r="CF2901">
        <v>0</v>
      </c>
      <c r="CG2901">
        <v>1</v>
      </c>
      <c r="CH2901">
        <v>0</v>
      </c>
      <c r="CI2901">
        <v>0</v>
      </c>
      <c r="CJ2901">
        <v>0</v>
      </c>
      <c r="CK2901">
        <v>2</v>
      </c>
      <c r="CL2901">
        <v>0</v>
      </c>
      <c r="CM2901">
        <v>2</v>
      </c>
      <c r="CN2901">
        <v>0</v>
      </c>
      <c r="CO2901">
        <v>2</v>
      </c>
      <c r="CP2901" t="s">
        <v>119</v>
      </c>
      <c r="CQ2901">
        <v>179</v>
      </c>
      <c r="CR2901">
        <v>1</v>
      </c>
      <c r="CW2901">
        <v>9112878</v>
      </c>
      <c r="CY2901">
        <v>1</v>
      </c>
      <c r="CZ2901">
        <v>0</v>
      </c>
      <c r="DA2901">
        <v>1</v>
      </c>
      <c r="DB2901">
        <v>0</v>
      </c>
      <c r="DC2901">
        <v>0</v>
      </c>
      <c r="DD2901">
        <v>0</v>
      </c>
      <c r="DE2901">
        <v>0</v>
      </c>
      <c r="DF2901">
        <v>0</v>
      </c>
      <c r="DG2901">
        <v>0</v>
      </c>
      <c r="DH2901">
        <v>0</v>
      </c>
      <c r="DI2901">
        <v>0</v>
      </c>
    </row>
    <row r="2902" spans="1:113" x14ac:dyDescent="0.3">
      <c r="A2902" t="str">
        <f>"02/08/2021 20:29:55.716"</f>
        <v>02/08/2021 20:29:55.716</v>
      </c>
      <c r="C2902" t="str">
        <f t="shared" si="138"/>
        <v>FFDFD7C0</v>
      </c>
      <c r="D2902" t="s">
        <v>124</v>
      </c>
      <c r="E2902">
        <v>13</v>
      </c>
      <c r="F2902">
        <v>1013</v>
      </c>
      <c r="G2902" t="s">
        <v>114</v>
      </c>
      <c r="J2902" t="s">
        <v>125</v>
      </c>
      <c r="K2902">
        <v>0</v>
      </c>
      <c r="L2902">
        <v>3</v>
      </c>
      <c r="M2902">
        <v>0</v>
      </c>
      <c r="N2902">
        <v>2</v>
      </c>
      <c r="O2902">
        <v>1</v>
      </c>
      <c r="P2902">
        <v>0</v>
      </c>
      <c r="Q2902">
        <v>0</v>
      </c>
      <c r="S2902" t="str">
        <f>"20:29:58.031"</f>
        <v>20:29:58.031</v>
      </c>
      <c r="T2902" t="str">
        <f>"20:29:57.531"</f>
        <v>20:29:57.531</v>
      </c>
      <c r="U2902" t="str">
        <f t="shared" si="140"/>
        <v>AB01F4</v>
      </c>
      <c r="V2902">
        <v>0</v>
      </c>
      <c r="W2902">
        <v>0</v>
      </c>
      <c r="X2902">
        <v>2</v>
      </c>
      <c r="Z2902">
        <v>0</v>
      </c>
      <c r="AA2902">
        <v>9</v>
      </c>
      <c r="AB2902">
        <v>3</v>
      </c>
      <c r="AC2902">
        <v>0</v>
      </c>
      <c r="AD2902">
        <v>10</v>
      </c>
      <c r="AE2902">
        <v>0</v>
      </c>
      <c r="AF2902">
        <v>3</v>
      </c>
      <c r="AG2902">
        <v>2</v>
      </c>
      <c r="AH2902">
        <v>0</v>
      </c>
      <c r="AI2902" t="s">
        <v>1699</v>
      </c>
      <c r="AJ2902">
        <v>40.029995</v>
      </c>
      <c r="AK2902" t="s">
        <v>1700</v>
      </c>
      <c r="AL2902">
        <v>-92.824109000000007</v>
      </c>
      <c r="AM2902">
        <v>100</v>
      </c>
      <c r="AN2902">
        <v>1500</v>
      </c>
      <c r="AO2902" t="s">
        <v>118</v>
      </c>
      <c r="AP2902">
        <v>-132</v>
      </c>
      <c r="AQ2902">
        <v>33</v>
      </c>
      <c r="AR2902">
        <v>0</v>
      </c>
      <c r="AZ2902">
        <v>1200</v>
      </c>
      <c r="BA2902">
        <v>1</v>
      </c>
      <c r="BB2902" t="str">
        <f t="shared" si="139"/>
        <v xml:space="preserve">N8080G  </v>
      </c>
      <c r="BC2902">
        <v>1</v>
      </c>
      <c r="BE2902">
        <v>0</v>
      </c>
      <c r="BF2902">
        <v>0</v>
      </c>
      <c r="BG2902">
        <v>0</v>
      </c>
      <c r="BH2902">
        <v>1500</v>
      </c>
      <c r="BI2902">
        <v>1</v>
      </c>
      <c r="BJ2902">
        <v>1</v>
      </c>
      <c r="BK2902">
        <v>1</v>
      </c>
      <c r="BL2902">
        <v>0</v>
      </c>
      <c r="BO2902">
        <v>0</v>
      </c>
      <c r="BP2902">
        <v>0</v>
      </c>
      <c r="BW2902" t="str">
        <f>"20:29:58.039"</f>
        <v>20:29:58.039</v>
      </c>
      <c r="BZ2902">
        <v>0</v>
      </c>
      <c r="CA2902">
        <v>1792</v>
      </c>
      <c r="CB2902">
        <v>224</v>
      </c>
      <c r="CD2902">
        <v>1</v>
      </c>
      <c r="CE2902">
        <v>0</v>
      </c>
      <c r="CF2902">
        <v>0</v>
      </c>
      <c r="CG2902">
        <v>1</v>
      </c>
      <c r="CH2902">
        <v>0</v>
      </c>
      <c r="CI2902">
        <v>0</v>
      </c>
      <c r="CJ2902">
        <v>0</v>
      </c>
      <c r="CK2902">
        <v>2</v>
      </c>
      <c r="CL2902">
        <v>0</v>
      </c>
      <c r="CM2902">
        <v>2</v>
      </c>
      <c r="CN2902">
        <v>0</v>
      </c>
      <c r="CO2902">
        <v>2</v>
      </c>
      <c r="CP2902" t="s">
        <v>119</v>
      </c>
      <c r="CQ2902">
        <v>179</v>
      </c>
      <c r="CR2902">
        <v>1</v>
      </c>
      <c r="CW2902">
        <v>9112878</v>
      </c>
      <c r="CY2902">
        <v>1</v>
      </c>
      <c r="CZ2902">
        <v>0</v>
      </c>
      <c r="DA2902">
        <v>1</v>
      </c>
      <c r="DB2902">
        <v>0</v>
      </c>
      <c r="DC2902">
        <v>0</v>
      </c>
      <c r="DD2902">
        <v>0</v>
      </c>
      <c r="DE2902">
        <v>0</v>
      </c>
      <c r="DF2902">
        <v>0</v>
      </c>
      <c r="DG2902">
        <v>0</v>
      </c>
      <c r="DH2902">
        <v>0</v>
      </c>
      <c r="DI2902">
        <v>0</v>
      </c>
    </row>
    <row r="2903" spans="1:113" x14ac:dyDescent="0.3">
      <c r="A2903" t="str">
        <f>"02/08/2021 20:29:56.708"</f>
        <v>02/08/2021 20:29:56.708</v>
      </c>
      <c r="C2903" t="str">
        <f t="shared" si="138"/>
        <v>FFDFD7C0</v>
      </c>
      <c r="D2903" t="s">
        <v>124</v>
      </c>
      <c r="E2903">
        <v>13</v>
      </c>
      <c r="F2903">
        <v>1013</v>
      </c>
      <c r="G2903" t="s">
        <v>114</v>
      </c>
      <c r="J2903" t="s">
        <v>125</v>
      </c>
      <c r="K2903">
        <v>0</v>
      </c>
      <c r="L2903">
        <v>3</v>
      </c>
      <c r="M2903">
        <v>0</v>
      </c>
      <c r="N2903">
        <v>2</v>
      </c>
      <c r="O2903">
        <v>1</v>
      </c>
      <c r="P2903">
        <v>0</v>
      </c>
      <c r="Q2903">
        <v>0</v>
      </c>
      <c r="S2903" t="str">
        <f>"20:29:59.016"</f>
        <v>20:29:59.016</v>
      </c>
      <c r="T2903" t="str">
        <f>"20:29:58.616"</f>
        <v>20:29:58.616</v>
      </c>
      <c r="U2903" t="str">
        <f t="shared" si="140"/>
        <v>AB01F4</v>
      </c>
      <c r="V2903">
        <v>0</v>
      </c>
      <c r="W2903">
        <v>0</v>
      </c>
      <c r="X2903">
        <v>2</v>
      </c>
      <c r="Z2903">
        <v>0</v>
      </c>
      <c r="AA2903">
        <v>9</v>
      </c>
      <c r="AB2903">
        <v>3</v>
      </c>
      <c r="AC2903">
        <v>0</v>
      </c>
      <c r="AD2903">
        <v>10</v>
      </c>
      <c r="AE2903">
        <v>0</v>
      </c>
      <c r="AF2903">
        <v>3</v>
      </c>
      <c r="AG2903">
        <v>2</v>
      </c>
      <c r="AH2903">
        <v>0</v>
      </c>
      <c r="AI2903" t="s">
        <v>1701</v>
      </c>
      <c r="AJ2903">
        <v>40.030102999999997</v>
      </c>
      <c r="AK2903" t="s">
        <v>1702</v>
      </c>
      <c r="AL2903">
        <v>-92.824774000000005</v>
      </c>
      <c r="AM2903">
        <v>100</v>
      </c>
      <c r="AN2903">
        <v>1500</v>
      </c>
      <c r="AO2903" t="s">
        <v>118</v>
      </c>
      <c r="AP2903">
        <v>-131</v>
      </c>
      <c r="AQ2903">
        <v>33</v>
      </c>
      <c r="AR2903">
        <v>-64</v>
      </c>
      <c r="AZ2903">
        <v>1200</v>
      </c>
      <c r="BA2903">
        <v>1</v>
      </c>
      <c r="BB2903" t="str">
        <f t="shared" si="139"/>
        <v xml:space="preserve">N8080G  </v>
      </c>
      <c r="BC2903">
        <v>1</v>
      </c>
      <c r="BE2903">
        <v>0</v>
      </c>
      <c r="BF2903">
        <v>0</v>
      </c>
      <c r="BG2903">
        <v>0</v>
      </c>
      <c r="BH2903">
        <v>1500</v>
      </c>
      <c r="BI2903">
        <v>1</v>
      </c>
      <c r="BJ2903">
        <v>1</v>
      </c>
      <c r="BK2903">
        <v>1</v>
      </c>
      <c r="BL2903">
        <v>0</v>
      </c>
      <c r="BO2903">
        <v>0</v>
      </c>
      <c r="BP2903">
        <v>0</v>
      </c>
      <c r="BW2903" t="str">
        <f>"20:29:59.017"</f>
        <v>20:29:59.017</v>
      </c>
      <c r="BZ2903">
        <v>0</v>
      </c>
      <c r="CA2903">
        <v>1600</v>
      </c>
      <c r="CB2903">
        <v>224</v>
      </c>
      <c r="CD2903">
        <v>1</v>
      </c>
      <c r="CE2903">
        <v>0</v>
      </c>
      <c r="CF2903">
        <v>0</v>
      </c>
      <c r="CG2903">
        <v>1</v>
      </c>
      <c r="CH2903">
        <v>0</v>
      </c>
      <c r="CI2903">
        <v>0</v>
      </c>
      <c r="CJ2903">
        <v>0</v>
      </c>
      <c r="CK2903">
        <v>2</v>
      </c>
      <c r="CL2903">
        <v>0</v>
      </c>
      <c r="CM2903">
        <v>2</v>
      </c>
      <c r="CN2903">
        <v>0</v>
      </c>
      <c r="CO2903">
        <v>1</v>
      </c>
      <c r="CP2903" t="s">
        <v>119</v>
      </c>
      <c r="CQ2903">
        <v>179</v>
      </c>
      <c r="CR2903">
        <v>2</v>
      </c>
      <c r="CW2903">
        <v>12264354</v>
      </c>
      <c r="CY2903">
        <v>1</v>
      </c>
      <c r="CZ2903">
        <v>0</v>
      </c>
      <c r="DA2903">
        <v>0</v>
      </c>
      <c r="DB2903">
        <v>0</v>
      </c>
      <c r="DC2903">
        <v>0</v>
      </c>
      <c r="DD2903">
        <v>0</v>
      </c>
      <c r="DE2903">
        <v>0</v>
      </c>
      <c r="DF2903">
        <v>0</v>
      </c>
      <c r="DG2903">
        <v>0</v>
      </c>
      <c r="DH2903">
        <v>0</v>
      </c>
      <c r="DI2903">
        <v>0</v>
      </c>
    </row>
    <row r="2904" spans="1:113" x14ac:dyDescent="0.3">
      <c r="A2904" t="str">
        <f>"02/08/2021 20:29:56.708"</f>
        <v>02/08/2021 20:29:56.708</v>
      </c>
      <c r="C2904" t="str">
        <f t="shared" si="138"/>
        <v>FFDFD7C0</v>
      </c>
      <c r="D2904" t="s">
        <v>113</v>
      </c>
      <c r="E2904">
        <v>6</v>
      </c>
      <c r="H2904">
        <v>165</v>
      </c>
      <c r="I2904" t="s">
        <v>114</v>
      </c>
      <c r="J2904" t="s">
        <v>115</v>
      </c>
      <c r="K2904">
        <v>0</v>
      </c>
      <c r="L2904">
        <v>3</v>
      </c>
      <c r="M2904">
        <v>0</v>
      </c>
      <c r="N2904">
        <v>2</v>
      </c>
      <c r="O2904">
        <v>1</v>
      </c>
      <c r="P2904">
        <v>0</v>
      </c>
      <c r="Q2904">
        <v>0</v>
      </c>
      <c r="S2904" t="str">
        <f>"20:29:59.016"</f>
        <v>20:29:59.016</v>
      </c>
      <c r="T2904" t="str">
        <f>"20:29:58.616"</f>
        <v>20:29:58.616</v>
      </c>
      <c r="U2904" t="str">
        <f t="shared" si="140"/>
        <v>AB01F4</v>
      </c>
      <c r="V2904">
        <v>0</v>
      </c>
      <c r="W2904">
        <v>0</v>
      </c>
      <c r="X2904">
        <v>2</v>
      </c>
      <c r="Z2904">
        <v>0</v>
      </c>
      <c r="AA2904">
        <v>9</v>
      </c>
      <c r="AB2904">
        <v>3</v>
      </c>
      <c r="AC2904">
        <v>0</v>
      </c>
      <c r="AD2904">
        <v>10</v>
      </c>
      <c r="AE2904">
        <v>0</v>
      </c>
      <c r="AF2904">
        <v>3</v>
      </c>
      <c r="AG2904">
        <v>2</v>
      </c>
      <c r="AH2904">
        <v>0</v>
      </c>
      <c r="AI2904" t="s">
        <v>1701</v>
      </c>
      <c r="AJ2904">
        <v>40.030102999999997</v>
      </c>
      <c r="AK2904" t="s">
        <v>1702</v>
      </c>
      <c r="AL2904">
        <v>-92.824774000000005</v>
      </c>
      <c r="AM2904">
        <v>100</v>
      </c>
      <c r="AN2904">
        <v>1500</v>
      </c>
      <c r="AO2904" t="s">
        <v>118</v>
      </c>
      <c r="AP2904">
        <v>-131</v>
      </c>
      <c r="AQ2904">
        <v>33</v>
      </c>
      <c r="AR2904">
        <v>-64</v>
      </c>
      <c r="AZ2904">
        <v>1200</v>
      </c>
      <c r="BA2904">
        <v>1</v>
      </c>
      <c r="BB2904" t="str">
        <f t="shared" si="139"/>
        <v xml:space="preserve">N8080G  </v>
      </c>
      <c r="BC2904">
        <v>1</v>
      </c>
      <c r="BE2904">
        <v>0</v>
      </c>
      <c r="BF2904">
        <v>0</v>
      </c>
      <c r="BG2904">
        <v>0</v>
      </c>
      <c r="BH2904">
        <v>1500</v>
      </c>
      <c r="BI2904">
        <v>1</v>
      </c>
      <c r="BJ2904">
        <v>1</v>
      </c>
      <c r="BK2904">
        <v>1</v>
      </c>
      <c r="BL2904">
        <v>0</v>
      </c>
      <c r="BO2904">
        <v>0</v>
      </c>
      <c r="BP2904">
        <v>0</v>
      </c>
      <c r="BW2904" t="str">
        <f>"20:29:59.017"</f>
        <v>20:29:59.017</v>
      </c>
      <c r="BZ2904">
        <v>0</v>
      </c>
      <c r="CA2904">
        <v>1600</v>
      </c>
      <c r="CB2904">
        <v>224</v>
      </c>
      <c r="CD2904">
        <v>1</v>
      </c>
      <c r="CE2904">
        <v>0</v>
      </c>
      <c r="CF2904">
        <v>0</v>
      </c>
      <c r="CG2904">
        <v>1</v>
      </c>
      <c r="CH2904">
        <v>0</v>
      </c>
      <c r="CI2904">
        <v>0</v>
      </c>
      <c r="CJ2904">
        <v>0</v>
      </c>
      <c r="CK2904">
        <v>2</v>
      </c>
      <c r="CL2904">
        <v>0</v>
      </c>
      <c r="CM2904">
        <v>2</v>
      </c>
      <c r="CN2904">
        <v>0</v>
      </c>
      <c r="CO2904">
        <v>1</v>
      </c>
      <c r="CP2904" t="s">
        <v>119</v>
      </c>
      <c r="CQ2904">
        <v>179</v>
      </c>
      <c r="CR2904">
        <v>2</v>
      </c>
      <c r="CW2904">
        <v>12264354</v>
      </c>
      <c r="CY2904">
        <v>1</v>
      </c>
      <c r="CZ2904">
        <v>0</v>
      </c>
      <c r="DA2904">
        <v>1</v>
      </c>
      <c r="DB2904">
        <v>0</v>
      </c>
      <c r="DC2904">
        <v>0</v>
      </c>
      <c r="DD2904">
        <v>0</v>
      </c>
      <c r="DE2904">
        <v>0</v>
      </c>
      <c r="DF2904">
        <v>0</v>
      </c>
      <c r="DG2904">
        <v>0</v>
      </c>
      <c r="DH2904">
        <v>0</v>
      </c>
      <c r="DI2904">
        <v>0</v>
      </c>
    </row>
    <row r="2905" spans="1:113" x14ac:dyDescent="0.3">
      <c r="A2905" t="str">
        <f>"02/08/2021 20:29:56.708"</f>
        <v>02/08/2021 20:29:56.708</v>
      </c>
      <c r="C2905" t="str">
        <f t="shared" si="138"/>
        <v>FFDFD7C0</v>
      </c>
      <c r="D2905" t="s">
        <v>124</v>
      </c>
      <c r="E2905">
        <v>12</v>
      </c>
      <c r="F2905">
        <v>1012</v>
      </c>
      <c r="G2905" t="s">
        <v>675</v>
      </c>
      <c r="J2905" t="s">
        <v>125</v>
      </c>
      <c r="K2905">
        <v>0</v>
      </c>
      <c r="L2905">
        <v>3</v>
      </c>
      <c r="M2905">
        <v>0</v>
      </c>
      <c r="N2905">
        <v>2</v>
      </c>
      <c r="O2905">
        <v>1</v>
      </c>
      <c r="P2905">
        <v>0</v>
      </c>
      <c r="Q2905">
        <v>0</v>
      </c>
      <c r="S2905" t="str">
        <f>"20:29:59.016"</f>
        <v>20:29:59.016</v>
      </c>
      <c r="T2905" t="str">
        <f>"20:29:58.616"</f>
        <v>20:29:58.616</v>
      </c>
      <c r="U2905" t="str">
        <f t="shared" si="140"/>
        <v>AB01F4</v>
      </c>
      <c r="V2905">
        <v>0</v>
      </c>
      <c r="W2905">
        <v>0</v>
      </c>
      <c r="X2905">
        <v>2</v>
      </c>
      <c r="Z2905">
        <v>0</v>
      </c>
      <c r="AA2905">
        <v>9</v>
      </c>
      <c r="AB2905">
        <v>3</v>
      </c>
      <c r="AC2905">
        <v>0</v>
      </c>
      <c r="AD2905">
        <v>10</v>
      </c>
      <c r="AE2905">
        <v>0</v>
      </c>
      <c r="AF2905">
        <v>3</v>
      </c>
      <c r="AG2905">
        <v>2</v>
      </c>
      <c r="AH2905">
        <v>0</v>
      </c>
      <c r="AI2905" t="s">
        <v>1701</v>
      </c>
      <c r="AJ2905">
        <v>40.030102999999997</v>
      </c>
      <c r="AK2905" t="s">
        <v>1702</v>
      </c>
      <c r="AL2905">
        <v>-92.824774000000005</v>
      </c>
      <c r="AM2905">
        <v>100</v>
      </c>
      <c r="AN2905">
        <v>1500</v>
      </c>
      <c r="AO2905" t="s">
        <v>118</v>
      </c>
      <c r="AP2905">
        <v>-131</v>
      </c>
      <c r="AQ2905">
        <v>33</v>
      </c>
      <c r="AR2905">
        <v>-64</v>
      </c>
      <c r="AZ2905">
        <v>1200</v>
      </c>
      <c r="BA2905">
        <v>1</v>
      </c>
      <c r="BB2905" t="str">
        <f t="shared" si="139"/>
        <v xml:space="preserve">N8080G  </v>
      </c>
      <c r="BC2905">
        <v>1</v>
      </c>
      <c r="BE2905">
        <v>0</v>
      </c>
      <c r="BF2905">
        <v>0</v>
      </c>
      <c r="BG2905">
        <v>0</v>
      </c>
      <c r="BH2905">
        <v>1500</v>
      </c>
      <c r="BI2905">
        <v>1</v>
      </c>
      <c r="BJ2905">
        <v>1</v>
      </c>
      <c r="BK2905">
        <v>1</v>
      </c>
      <c r="BL2905">
        <v>0</v>
      </c>
      <c r="BO2905">
        <v>0</v>
      </c>
      <c r="BP2905">
        <v>0</v>
      </c>
      <c r="BW2905" t="str">
        <f>"20:29:59.017"</f>
        <v>20:29:59.017</v>
      </c>
      <c r="BZ2905">
        <v>0</v>
      </c>
      <c r="CA2905">
        <v>1600</v>
      </c>
      <c r="CB2905">
        <v>224</v>
      </c>
      <c r="CD2905">
        <v>1</v>
      </c>
      <c r="CE2905">
        <v>0</v>
      </c>
      <c r="CF2905">
        <v>0</v>
      </c>
      <c r="CG2905">
        <v>1</v>
      </c>
      <c r="CH2905">
        <v>0</v>
      </c>
      <c r="CI2905">
        <v>0</v>
      </c>
      <c r="CJ2905">
        <v>0</v>
      </c>
      <c r="CK2905">
        <v>2</v>
      </c>
      <c r="CL2905">
        <v>0</v>
      </c>
      <c r="CM2905">
        <v>2</v>
      </c>
      <c r="CN2905">
        <v>0</v>
      </c>
      <c r="CO2905">
        <v>1</v>
      </c>
      <c r="CP2905" t="s">
        <v>119</v>
      </c>
      <c r="CQ2905">
        <v>179</v>
      </c>
      <c r="CR2905">
        <v>2</v>
      </c>
      <c r="CW2905">
        <v>12264354</v>
      </c>
      <c r="CY2905">
        <v>1</v>
      </c>
      <c r="CZ2905">
        <v>0</v>
      </c>
      <c r="DA2905">
        <v>1</v>
      </c>
      <c r="DB2905">
        <v>0</v>
      </c>
      <c r="DC2905">
        <v>0</v>
      </c>
      <c r="DD2905">
        <v>0</v>
      </c>
      <c r="DE2905">
        <v>0</v>
      </c>
      <c r="DF2905">
        <v>0</v>
      </c>
      <c r="DG2905">
        <v>0</v>
      </c>
      <c r="DH2905">
        <v>0</v>
      </c>
      <c r="DI2905">
        <v>0</v>
      </c>
    </row>
    <row r="2906" spans="1:113" x14ac:dyDescent="0.3">
      <c r="A2906" t="str">
        <f>"02/08/2021 20:29:56.708"</f>
        <v>02/08/2021 20:29:56.708</v>
      </c>
      <c r="C2906" t="str">
        <f t="shared" si="138"/>
        <v>FFDFD7C0</v>
      </c>
      <c r="D2906" t="s">
        <v>124</v>
      </c>
      <c r="E2906">
        <v>11</v>
      </c>
      <c r="F2906">
        <v>1011</v>
      </c>
      <c r="G2906" t="s">
        <v>590</v>
      </c>
      <c r="J2906" t="s">
        <v>125</v>
      </c>
      <c r="K2906">
        <v>0</v>
      </c>
      <c r="L2906">
        <v>3</v>
      </c>
      <c r="M2906">
        <v>0</v>
      </c>
      <c r="N2906">
        <v>2</v>
      </c>
      <c r="O2906">
        <v>1</v>
      </c>
      <c r="P2906">
        <v>0</v>
      </c>
      <c r="Q2906">
        <v>0</v>
      </c>
      <c r="S2906" t="str">
        <f>"20:29:59.016"</f>
        <v>20:29:59.016</v>
      </c>
      <c r="T2906" t="str">
        <f>"20:29:58.616"</f>
        <v>20:29:58.616</v>
      </c>
      <c r="U2906" t="str">
        <f t="shared" si="140"/>
        <v>AB01F4</v>
      </c>
      <c r="V2906">
        <v>0</v>
      </c>
      <c r="W2906">
        <v>0</v>
      </c>
      <c r="X2906">
        <v>2</v>
      </c>
      <c r="Z2906">
        <v>0</v>
      </c>
      <c r="AA2906">
        <v>9</v>
      </c>
      <c r="AB2906">
        <v>3</v>
      </c>
      <c r="AC2906">
        <v>0</v>
      </c>
      <c r="AD2906">
        <v>10</v>
      </c>
      <c r="AE2906">
        <v>0</v>
      </c>
      <c r="AF2906">
        <v>3</v>
      </c>
      <c r="AG2906">
        <v>2</v>
      </c>
      <c r="AH2906">
        <v>0</v>
      </c>
      <c r="AI2906" t="s">
        <v>1701</v>
      </c>
      <c r="AJ2906">
        <v>40.030102999999997</v>
      </c>
      <c r="AK2906" t="s">
        <v>1702</v>
      </c>
      <c r="AL2906">
        <v>-92.824774000000005</v>
      </c>
      <c r="AM2906">
        <v>100</v>
      </c>
      <c r="AN2906">
        <v>1500</v>
      </c>
      <c r="AO2906" t="s">
        <v>118</v>
      </c>
      <c r="AP2906">
        <v>-131</v>
      </c>
      <c r="AQ2906">
        <v>33</v>
      </c>
      <c r="AR2906">
        <v>-64</v>
      </c>
      <c r="AZ2906">
        <v>1200</v>
      </c>
      <c r="BA2906">
        <v>1</v>
      </c>
      <c r="BB2906" t="str">
        <f t="shared" si="139"/>
        <v xml:space="preserve">N8080G  </v>
      </c>
      <c r="BC2906">
        <v>1</v>
      </c>
      <c r="BE2906">
        <v>0</v>
      </c>
      <c r="BF2906">
        <v>0</v>
      </c>
      <c r="BG2906">
        <v>0</v>
      </c>
      <c r="BH2906">
        <v>1500</v>
      </c>
      <c r="BI2906">
        <v>1</v>
      </c>
      <c r="BJ2906">
        <v>1</v>
      </c>
      <c r="BK2906">
        <v>1</v>
      </c>
      <c r="BL2906">
        <v>0</v>
      </c>
      <c r="BO2906">
        <v>0</v>
      </c>
      <c r="BP2906">
        <v>0</v>
      </c>
      <c r="BW2906" t="str">
        <f>"20:29:59.017"</f>
        <v>20:29:59.017</v>
      </c>
      <c r="BZ2906">
        <v>0</v>
      </c>
      <c r="CA2906">
        <v>1600</v>
      </c>
      <c r="CB2906">
        <v>224</v>
      </c>
      <c r="CD2906">
        <v>1</v>
      </c>
      <c r="CE2906">
        <v>0</v>
      </c>
      <c r="CF2906">
        <v>0</v>
      </c>
      <c r="CG2906">
        <v>1</v>
      </c>
      <c r="CH2906">
        <v>0</v>
      </c>
      <c r="CI2906">
        <v>0</v>
      </c>
      <c r="CJ2906">
        <v>0</v>
      </c>
      <c r="CK2906">
        <v>2</v>
      </c>
      <c r="CL2906">
        <v>0</v>
      </c>
      <c r="CM2906">
        <v>2</v>
      </c>
      <c r="CN2906">
        <v>0</v>
      </c>
      <c r="CO2906">
        <v>1</v>
      </c>
      <c r="CP2906" t="s">
        <v>119</v>
      </c>
      <c r="CQ2906">
        <v>179</v>
      </c>
      <c r="CR2906">
        <v>2</v>
      </c>
      <c r="CW2906">
        <v>12264354</v>
      </c>
      <c r="CY2906">
        <v>1</v>
      </c>
      <c r="CZ2906">
        <v>0</v>
      </c>
      <c r="DA2906">
        <v>1</v>
      </c>
      <c r="DB2906">
        <v>0</v>
      </c>
      <c r="DC2906">
        <v>0</v>
      </c>
      <c r="DD2906">
        <v>0</v>
      </c>
      <c r="DE2906">
        <v>0</v>
      </c>
      <c r="DF2906">
        <v>0</v>
      </c>
      <c r="DG2906">
        <v>0</v>
      </c>
      <c r="DH2906">
        <v>0</v>
      </c>
      <c r="DI2906">
        <v>0</v>
      </c>
    </row>
    <row r="2907" spans="1:113" x14ac:dyDescent="0.3">
      <c r="A2907" t="str">
        <f>"02/08/2021 20:29:57.638"</f>
        <v>02/08/2021 20:29:57.638</v>
      </c>
      <c r="C2907" t="str">
        <f t="shared" si="138"/>
        <v>FFDFD7C0</v>
      </c>
      <c r="D2907" t="s">
        <v>124</v>
      </c>
      <c r="E2907">
        <v>12</v>
      </c>
      <c r="F2907">
        <v>1012</v>
      </c>
      <c r="G2907" t="s">
        <v>675</v>
      </c>
      <c r="J2907" t="s">
        <v>125</v>
      </c>
      <c r="K2907">
        <v>0</v>
      </c>
      <c r="L2907">
        <v>3</v>
      </c>
      <c r="M2907">
        <v>0</v>
      </c>
      <c r="N2907">
        <v>2</v>
      </c>
      <c r="O2907">
        <v>1</v>
      </c>
      <c r="P2907">
        <v>0</v>
      </c>
      <c r="Q2907">
        <v>0</v>
      </c>
      <c r="S2907" t="str">
        <f>"20:29:59.945"</f>
        <v>20:29:59.945</v>
      </c>
      <c r="T2907" t="str">
        <f>"20:29:59.545"</f>
        <v>20:29:59.545</v>
      </c>
      <c r="U2907" t="str">
        <f t="shared" si="140"/>
        <v>AB01F4</v>
      </c>
      <c r="V2907">
        <v>0</v>
      </c>
      <c r="W2907">
        <v>0</v>
      </c>
      <c r="X2907">
        <v>2</v>
      </c>
      <c r="Z2907">
        <v>0</v>
      </c>
      <c r="AA2907">
        <v>9</v>
      </c>
      <c r="AB2907">
        <v>3</v>
      </c>
      <c r="AC2907">
        <v>0</v>
      </c>
      <c r="AD2907">
        <v>10</v>
      </c>
      <c r="AE2907">
        <v>0</v>
      </c>
      <c r="AF2907">
        <v>3</v>
      </c>
      <c r="AG2907">
        <v>2</v>
      </c>
      <c r="AH2907">
        <v>0</v>
      </c>
      <c r="AI2907" t="s">
        <v>1703</v>
      </c>
      <c r="AJ2907">
        <v>40.030296</v>
      </c>
      <c r="AK2907" t="s">
        <v>1704</v>
      </c>
      <c r="AL2907">
        <v>-92.825568000000004</v>
      </c>
      <c r="AM2907">
        <v>100</v>
      </c>
      <c r="AN2907">
        <v>1500</v>
      </c>
      <c r="AO2907" t="s">
        <v>118</v>
      </c>
      <c r="AP2907">
        <v>-131</v>
      </c>
      <c r="AQ2907">
        <v>33</v>
      </c>
      <c r="AR2907">
        <v>64</v>
      </c>
      <c r="AZ2907">
        <v>1200</v>
      </c>
      <c r="BA2907">
        <v>1</v>
      </c>
      <c r="BB2907" t="str">
        <f t="shared" si="139"/>
        <v xml:space="preserve">N8080G  </v>
      </c>
      <c r="BC2907">
        <v>1</v>
      </c>
      <c r="BE2907">
        <v>0</v>
      </c>
      <c r="BF2907">
        <v>0</v>
      </c>
      <c r="BG2907">
        <v>0</v>
      </c>
      <c r="BH2907">
        <v>1500</v>
      </c>
      <c r="BI2907">
        <v>1</v>
      </c>
      <c r="BJ2907">
        <v>1</v>
      </c>
      <c r="BK2907">
        <v>1</v>
      </c>
      <c r="BL2907">
        <v>0</v>
      </c>
      <c r="BO2907">
        <v>0</v>
      </c>
      <c r="BP2907">
        <v>0</v>
      </c>
      <c r="BW2907" t="str">
        <f>"20:29:59.951"</f>
        <v>20:29:59.951</v>
      </c>
      <c r="BZ2907">
        <v>0</v>
      </c>
      <c r="CA2907">
        <v>1600</v>
      </c>
      <c r="CB2907">
        <v>224</v>
      </c>
      <c r="CD2907">
        <v>1</v>
      </c>
      <c r="CE2907">
        <v>0</v>
      </c>
      <c r="CF2907">
        <v>0</v>
      </c>
      <c r="CG2907">
        <v>1</v>
      </c>
      <c r="CH2907">
        <v>0</v>
      </c>
      <c r="CI2907">
        <v>0</v>
      </c>
      <c r="CJ2907">
        <v>0</v>
      </c>
      <c r="CK2907">
        <v>2</v>
      </c>
      <c r="CL2907">
        <v>0</v>
      </c>
      <c r="CM2907">
        <v>2</v>
      </c>
      <c r="CN2907">
        <v>0</v>
      </c>
      <c r="CO2907">
        <v>7</v>
      </c>
      <c r="CP2907" t="s">
        <v>119</v>
      </c>
      <c r="CQ2907">
        <v>180</v>
      </c>
      <c r="CR2907">
        <v>3</v>
      </c>
      <c r="CW2907">
        <v>1006821</v>
      </c>
      <c r="CY2907">
        <v>1</v>
      </c>
      <c r="CZ2907">
        <v>0</v>
      </c>
      <c r="DA2907">
        <v>0</v>
      </c>
      <c r="DB2907">
        <v>0</v>
      </c>
      <c r="DC2907">
        <v>0</v>
      </c>
      <c r="DD2907">
        <v>0</v>
      </c>
      <c r="DE2907">
        <v>0</v>
      </c>
      <c r="DF2907">
        <v>0</v>
      </c>
      <c r="DG2907">
        <v>0</v>
      </c>
      <c r="DH2907">
        <v>0</v>
      </c>
      <c r="DI2907">
        <v>0</v>
      </c>
    </row>
    <row r="2908" spans="1:113" x14ac:dyDescent="0.3">
      <c r="A2908" t="str">
        <f>"02/08/2021 20:29:57.638"</f>
        <v>02/08/2021 20:29:57.638</v>
      </c>
      <c r="C2908" t="str">
        <f t="shared" si="138"/>
        <v>FFDFD7C0</v>
      </c>
      <c r="D2908" t="s">
        <v>124</v>
      </c>
      <c r="E2908">
        <v>11</v>
      </c>
      <c r="F2908">
        <v>1011</v>
      </c>
      <c r="G2908" t="s">
        <v>590</v>
      </c>
      <c r="J2908" t="s">
        <v>125</v>
      </c>
      <c r="K2908">
        <v>0</v>
      </c>
      <c r="L2908">
        <v>3</v>
      </c>
      <c r="M2908">
        <v>0</v>
      </c>
      <c r="N2908">
        <v>2</v>
      </c>
      <c r="O2908">
        <v>1</v>
      </c>
      <c r="P2908">
        <v>0</v>
      </c>
      <c r="Q2908">
        <v>0</v>
      </c>
      <c r="S2908" t="str">
        <f>"20:29:59.945"</f>
        <v>20:29:59.945</v>
      </c>
      <c r="T2908" t="str">
        <f>"20:29:59.545"</f>
        <v>20:29:59.545</v>
      </c>
      <c r="U2908" t="str">
        <f t="shared" si="140"/>
        <v>AB01F4</v>
      </c>
      <c r="V2908">
        <v>0</v>
      </c>
      <c r="W2908">
        <v>0</v>
      </c>
      <c r="X2908">
        <v>2</v>
      </c>
      <c r="Z2908">
        <v>0</v>
      </c>
      <c r="AA2908">
        <v>9</v>
      </c>
      <c r="AB2908">
        <v>3</v>
      </c>
      <c r="AC2908">
        <v>0</v>
      </c>
      <c r="AD2908">
        <v>10</v>
      </c>
      <c r="AE2908">
        <v>0</v>
      </c>
      <c r="AF2908">
        <v>3</v>
      </c>
      <c r="AG2908">
        <v>2</v>
      </c>
      <c r="AH2908">
        <v>0</v>
      </c>
      <c r="AI2908" t="s">
        <v>1703</v>
      </c>
      <c r="AJ2908">
        <v>40.030296</v>
      </c>
      <c r="AK2908" t="s">
        <v>1704</v>
      </c>
      <c r="AL2908">
        <v>-92.825568000000004</v>
      </c>
      <c r="AM2908">
        <v>100</v>
      </c>
      <c r="AN2908">
        <v>1500</v>
      </c>
      <c r="AO2908" t="s">
        <v>118</v>
      </c>
      <c r="AP2908">
        <v>-131</v>
      </c>
      <c r="AQ2908">
        <v>33</v>
      </c>
      <c r="AR2908">
        <v>64</v>
      </c>
      <c r="AZ2908">
        <v>1200</v>
      </c>
      <c r="BA2908">
        <v>1</v>
      </c>
      <c r="BB2908" t="str">
        <f t="shared" si="139"/>
        <v xml:space="preserve">N8080G  </v>
      </c>
      <c r="BC2908">
        <v>1</v>
      </c>
      <c r="BE2908">
        <v>0</v>
      </c>
      <c r="BF2908">
        <v>0</v>
      </c>
      <c r="BG2908">
        <v>0</v>
      </c>
      <c r="BH2908">
        <v>1500</v>
      </c>
      <c r="BI2908">
        <v>1</v>
      </c>
      <c r="BJ2908">
        <v>1</v>
      </c>
      <c r="BK2908">
        <v>1</v>
      </c>
      <c r="BL2908">
        <v>0</v>
      </c>
      <c r="BO2908">
        <v>0</v>
      </c>
      <c r="BP2908">
        <v>0</v>
      </c>
      <c r="BW2908" t="str">
        <f>"20:29:59.951"</f>
        <v>20:29:59.951</v>
      </c>
      <c r="BZ2908">
        <v>0</v>
      </c>
      <c r="CA2908">
        <v>1600</v>
      </c>
      <c r="CB2908">
        <v>224</v>
      </c>
      <c r="CD2908">
        <v>1</v>
      </c>
      <c r="CE2908">
        <v>0</v>
      </c>
      <c r="CF2908">
        <v>0</v>
      </c>
      <c r="CG2908">
        <v>1</v>
      </c>
      <c r="CH2908">
        <v>0</v>
      </c>
      <c r="CI2908">
        <v>0</v>
      </c>
      <c r="CJ2908">
        <v>0</v>
      </c>
      <c r="CK2908">
        <v>2</v>
      </c>
      <c r="CL2908">
        <v>0</v>
      </c>
      <c r="CM2908">
        <v>2</v>
      </c>
      <c r="CN2908">
        <v>0</v>
      </c>
      <c r="CO2908">
        <v>7</v>
      </c>
      <c r="CP2908" t="s">
        <v>119</v>
      </c>
      <c r="CQ2908">
        <v>180</v>
      </c>
      <c r="CR2908">
        <v>3</v>
      </c>
      <c r="CW2908">
        <v>1006821</v>
      </c>
      <c r="CY2908">
        <v>1</v>
      </c>
      <c r="CZ2908">
        <v>0</v>
      </c>
      <c r="DA2908">
        <v>1</v>
      </c>
      <c r="DB2908">
        <v>0</v>
      </c>
      <c r="DC2908">
        <v>0</v>
      </c>
      <c r="DD2908">
        <v>0</v>
      </c>
      <c r="DE2908">
        <v>0</v>
      </c>
      <c r="DF2908">
        <v>0</v>
      </c>
      <c r="DG2908">
        <v>0</v>
      </c>
      <c r="DH2908">
        <v>0</v>
      </c>
      <c r="DI2908">
        <v>0</v>
      </c>
    </row>
    <row r="2909" spans="1:113" x14ac:dyDescent="0.3">
      <c r="A2909" t="str">
        <f>"02/08/2021 20:29:57.638"</f>
        <v>02/08/2021 20:29:57.638</v>
      </c>
      <c r="C2909" t="str">
        <f t="shared" si="138"/>
        <v>FFDFD7C0</v>
      </c>
      <c r="D2909" t="s">
        <v>124</v>
      </c>
      <c r="E2909">
        <v>13</v>
      </c>
      <c r="F2909">
        <v>1013</v>
      </c>
      <c r="G2909" t="s">
        <v>114</v>
      </c>
      <c r="J2909" t="s">
        <v>125</v>
      </c>
      <c r="K2909">
        <v>0</v>
      </c>
      <c r="L2909">
        <v>3</v>
      </c>
      <c r="M2909">
        <v>0</v>
      </c>
      <c r="N2909">
        <v>2</v>
      </c>
      <c r="O2909">
        <v>1</v>
      </c>
      <c r="P2909">
        <v>0</v>
      </c>
      <c r="Q2909">
        <v>0</v>
      </c>
      <c r="S2909" t="str">
        <f>"20:29:59.945"</f>
        <v>20:29:59.945</v>
      </c>
      <c r="T2909" t="str">
        <f>"20:29:59.545"</f>
        <v>20:29:59.545</v>
      </c>
      <c r="U2909" t="str">
        <f t="shared" si="140"/>
        <v>AB01F4</v>
      </c>
      <c r="V2909">
        <v>0</v>
      </c>
      <c r="W2909">
        <v>0</v>
      </c>
      <c r="X2909">
        <v>2</v>
      </c>
      <c r="Z2909">
        <v>0</v>
      </c>
      <c r="AA2909">
        <v>9</v>
      </c>
      <c r="AB2909">
        <v>3</v>
      </c>
      <c r="AC2909">
        <v>0</v>
      </c>
      <c r="AD2909">
        <v>10</v>
      </c>
      <c r="AE2909">
        <v>0</v>
      </c>
      <c r="AF2909">
        <v>3</v>
      </c>
      <c r="AG2909">
        <v>2</v>
      </c>
      <c r="AH2909">
        <v>0</v>
      </c>
      <c r="AI2909" t="s">
        <v>1703</v>
      </c>
      <c r="AJ2909">
        <v>40.030296</v>
      </c>
      <c r="AK2909" t="s">
        <v>1704</v>
      </c>
      <c r="AL2909">
        <v>-92.825568000000004</v>
      </c>
      <c r="AM2909">
        <v>100</v>
      </c>
      <c r="AN2909">
        <v>1500</v>
      </c>
      <c r="AO2909" t="s">
        <v>118</v>
      </c>
      <c r="AP2909">
        <v>-131</v>
      </c>
      <c r="AQ2909">
        <v>33</v>
      </c>
      <c r="AR2909">
        <v>64</v>
      </c>
      <c r="AZ2909">
        <v>1200</v>
      </c>
      <c r="BA2909">
        <v>1</v>
      </c>
      <c r="BB2909" t="str">
        <f t="shared" si="139"/>
        <v xml:space="preserve">N8080G  </v>
      </c>
      <c r="BC2909">
        <v>1</v>
      </c>
      <c r="BE2909">
        <v>0</v>
      </c>
      <c r="BF2909">
        <v>0</v>
      </c>
      <c r="BG2909">
        <v>0</v>
      </c>
      <c r="BH2909">
        <v>1500</v>
      </c>
      <c r="BI2909">
        <v>1</v>
      </c>
      <c r="BJ2909">
        <v>1</v>
      </c>
      <c r="BK2909">
        <v>1</v>
      </c>
      <c r="BL2909">
        <v>0</v>
      </c>
      <c r="BO2909">
        <v>0</v>
      </c>
      <c r="BP2909">
        <v>0</v>
      </c>
      <c r="BW2909" t="str">
        <f>"20:29:59.951"</f>
        <v>20:29:59.951</v>
      </c>
      <c r="BZ2909">
        <v>0</v>
      </c>
      <c r="CA2909">
        <v>1600</v>
      </c>
      <c r="CB2909">
        <v>224</v>
      </c>
      <c r="CD2909">
        <v>1</v>
      </c>
      <c r="CE2909">
        <v>0</v>
      </c>
      <c r="CF2909">
        <v>0</v>
      </c>
      <c r="CG2909">
        <v>1</v>
      </c>
      <c r="CH2909">
        <v>0</v>
      </c>
      <c r="CI2909">
        <v>0</v>
      </c>
      <c r="CJ2909">
        <v>0</v>
      </c>
      <c r="CK2909">
        <v>2</v>
      </c>
      <c r="CL2909">
        <v>0</v>
      </c>
      <c r="CM2909">
        <v>2</v>
      </c>
      <c r="CN2909">
        <v>0</v>
      </c>
      <c r="CO2909">
        <v>7</v>
      </c>
      <c r="CP2909" t="s">
        <v>119</v>
      </c>
      <c r="CQ2909">
        <v>180</v>
      </c>
      <c r="CR2909">
        <v>3</v>
      </c>
      <c r="CW2909">
        <v>1006821</v>
      </c>
      <c r="CY2909">
        <v>1</v>
      </c>
      <c r="CZ2909">
        <v>0</v>
      </c>
      <c r="DA2909">
        <v>1</v>
      </c>
      <c r="DB2909">
        <v>0</v>
      </c>
      <c r="DC2909">
        <v>0</v>
      </c>
      <c r="DD2909">
        <v>0</v>
      </c>
      <c r="DE2909">
        <v>0</v>
      </c>
      <c r="DF2909">
        <v>0</v>
      </c>
      <c r="DG2909">
        <v>0</v>
      </c>
      <c r="DH2909">
        <v>0</v>
      </c>
      <c r="DI2909">
        <v>0</v>
      </c>
    </row>
    <row r="2910" spans="1:113" x14ac:dyDescent="0.3">
      <c r="A2910" t="str">
        <f>"02/08/2021 20:29:57.638"</f>
        <v>02/08/2021 20:29:57.638</v>
      </c>
      <c r="C2910" t="str">
        <f t="shared" si="138"/>
        <v>FFDFD7C0</v>
      </c>
      <c r="D2910" t="s">
        <v>113</v>
      </c>
      <c r="E2910">
        <v>6</v>
      </c>
      <c r="H2910">
        <v>165</v>
      </c>
      <c r="I2910" t="s">
        <v>114</v>
      </c>
      <c r="J2910" t="s">
        <v>115</v>
      </c>
      <c r="K2910">
        <v>0</v>
      </c>
      <c r="L2910">
        <v>3</v>
      </c>
      <c r="M2910">
        <v>0</v>
      </c>
      <c r="N2910">
        <v>2</v>
      </c>
      <c r="O2910">
        <v>1</v>
      </c>
      <c r="P2910">
        <v>0</v>
      </c>
      <c r="Q2910">
        <v>0</v>
      </c>
      <c r="S2910" t="str">
        <f>"20:29:59.945"</f>
        <v>20:29:59.945</v>
      </c>
      <c r="T2910" t="str">
        <f>"20:29:59.545"</f>
        <v>20:29:59.545</v>
      </c>
      <c r="U2910" t="str">
        <f t="shared" si="140"/>
        <v>AB01F4</v>
      </c>
      <c r="V2910">
        <v>0</v>
      </c>
      <c r="W2910">
        <v>0</v>
      </c>
      <c r="X2910">
        <v>2</v>
      </c>
      <c r="Z2910">
        <v>0</v>
      </c>
      <c r="AA2910">
        <v>9</v>
      </c>
      <c r="AB2910">
        <v>3</v>
      </c>
      <c r="AC2910">
        <v>0</v>
      </c>
      <c r="AD2910">
        <v>10</v>
      </c>
      <c r="AE2910">
        <v>0</v>
      </c>
      <c r="AF2910">
        <v>3</v>
      </c>
      <c r="AG2910">
        <v>2</v>
      </c>
      <c r="AH2910">
        <v>0</v>
      </c>
      <c r="AI2910" t="s">
        <v>1703</v>
      </c>
      <c r="AJ2910">
        <v>40.030296</v>
      </c>
      <c r="AK2910" t="s">
        <v>1704</v>
      </c>
      <c r="AL2910">
        <v>-92.825568000000004</v>
      </c>
      <c r="AM2910">
        <v>100</v>
      </c>
      <c r="AN2910">
        <v>1500</v>
      </c>
      <c r="AO2910" t="s">
        <v>118</v>
      </c>
      <c r="AP2910">
        <v>-131</v>
      </c>
      <c r="AQ2910">
        <v>33</v>
      </c>
      <c r="AR2910">
        <v>64</v>
      </c>
      <c r="AZ2910">
        <v>1200</v>
      </c>
      <c r="BA2910">
        <v>1</v>
      </c>
      <c r="BB2910" t="str">
        <f t="shared" si="139"/>
        <v xml:space="preserve">N8080G  </v>
      </c>
      <c r="BC2910">
        <v>1</v>
      </c>
      <c r="BE2910">
        <v>0</v>
      </c>
      <c r="BF2910">
        <v>0</v>
      </c>
      <c r="BG2910">
        <v>0</v>
      </c>
      <c r="BH2910">
        <v>1500</v>
      </c>
      <c r="BI2910">
        <v>1</v>
      </c>
      <c r="BJ2910">
        <v>1</v>
      </c>
      <c r="BK2910">
        <v>1</v>
      </c>
      <c r="BL2910">
        <v>0</v>
      </c>
      <c r="BO2910">
        <v>0</v>
      </c>
      <c r="BP2910">
        <v>0</v>
      </c>
      <c r="BW2910" t="str">
        <f>"20:29:59.951"</f>
        <v>20:29:59.951</v>
      </c>
      <c r="BZ2910">
        <v>0</v>
      </c>
      <c r="CA2910">
        <v>1600</v>
      </c>
      <c r="CB2910">
        <v>224</v>
      </c>
      <c r="CD2910">
        <v>1</v>
      </c>
      <c r="CE2910">
        <v>0</v>
      </c>
      <c r="CF2910">
        <v>0</v>
      </c>
      <c r="CG2910">
        <v>1</v>
      </c>
      <c r="CH2910">
        <v>0</v>
      </c>
      <c r="CI2910">
        <v>0</v>
      </c>
      <c r="CJ2910">
        <v>0</v>
      </c>
      <c r="CK2910">
        <v>2</v>
      </c>
      <c r="CL2910">
        <v>0</v>
      </c>
      <c r="CM2910">
        <v>2</v>
      </c>
      <c r="CN2910">
        <v>0</v>
      </c>
      <c r="CO2910">
        <v>7</v>
      </c>
      <c r="CP2910" t="s">
        <v>119</v>
      </c>
      <c r="CQ2910">
        <v>180</v>
      </c>
      <c r="CR2910">
        <v>3</v>
      </c>
      <c r="CW2910">
        <v>1006821</v>
      </c>
      <c r="CY2910">
        <v>1</v>
      </c>
      <c r="CZ2910">
        <v>0</v>
      </c>
      <c r="DA2910">
        <v>1</v>
      </c>
      <c r="DB2910">
        <v>0</v>
      </c>
      <c r="DC2910">
        <v>0</v>
      </c>
      <c r="DD2910">
        <v>0</v>
      </c>
      <c r="DE2910">
        <v>0</v>
      </c>
      <c r="DF2910">
        <v>0</v>
      </c>
      <c r="DG2910">
        <v>0</v>
      </c>
      <c r="DH2910">
        <v>0</v>
      </c>
      <c r="DI2910">
        <v>0</v>
      </c>
    </row>
    <row r="2911" spans="1:113" x14ac:dyDescent="0.3">
      <c r="A2911" t="str">
        <f>"02/08/2021 20:29:58.520"</f>
        <v>02/08/2021 20:29:58.520</v>
      </c>
      <c r="C2911" t="str">
        <f t="shared" si="138"/>
        <v>FFDFD7C0</v>
      </c>
      <c r="D2911" t="s">
        <v>124</v>
      </c>
      <c r="E2911">
        <v>13</v>
      </c>
      <c r="F2911">
        <v>1013</v>
      </c>
      <c r="G2911" t="s">
        <v>114</v>
      </c>
      <c r="J2911" t="s">
        <v>125</v>
      </c>
      <c r="K2911">
        <v>0</v>
      </c>
      <c r="L2911">
        <v>3</v>
      </c>
      <c r="M2911">
        <v>0</v>
      </c>
      <c r="N2911">
        <v>2</v>
      </c>
      <c r="O2911">
        <v>1</v>
      </c>
      <c r="P2911">
        <v>0</v>
      </c>
      <c r="Q2911">
        <v>0</v>
      </c>
      <c r="S2911" t="str">
        <f>"20:30:00.820"</f>
        <v>20:30:00.820</v>
      </c>
      <c r="T2911" t="str">
        <f>"20:30:00.420"</f>
        <v>20:30:00.420</v>
      </c>
      <c r="U2911" t="str">
        <f t="shared" si="140"/>
        <v>AB01F4</v>
      </c>
      <c r="V2911">
        <v>0</v>
      </c>
      <c r="W2911">
        <v>0</v>
      </c>
      <c r="X2911">
        <v>2</v>
      </c>
      <c r="Z2911">
        <v>0</v>
      </c>
      <c r="AA2911">
        <v>9</v>
      </c>
      <c r="AB2911">
        <v>3</v>
      </c>
      <c r="AC2911">
        <v>0</v>
      </c>
      <c r="AD2911">
        <v>10</v>
      </c>
      <c r="AE2911">
        <v>0</v>
      </c>
      <c r="AF2911">
        <v>3</v>
      </c>
      <c r="AG2911">
        <v>2</v>
      </c>
      <c r="AH2911">
        <v>0</v>
      </c>
      <c r="AI2911" t="s">
        <v>1705</v>
      </c>
      <c r="AJ2911">
        <v>40.030382000000003</v>
      </c>
      <c r="AK2911" t="s">
        <v>1706</v>
      </c>
      <c r="AL2911">
        <v>-92.826233000000002</v>
      </c>
      <c r="AM2911">
        <v>100</v>
      </c>
      <c r="AN2911">
        <v>1500</v>
      </c>
      <c r="AO2911" t="s">
        <v>118</v>
      </c>
      <c r="AP2911">
        <v>-131</v>
      </c>
      <c r="AQ2911">
        <v>34</v>
      </c>
      <c r="AR2911">
        <v>0</v>
      </c>
      <c r="AZ2911">
        <v>1200</v>
      </c>
      <c r="BA2911">
        <v>1</v>
      </c>
      <c r="BB2911" t="str">
        <f t="shared" si="139"/>
        <v xml:space="preserve">N8080G  </v>
      </c>
      <c r="BC2911">
        <v>1</v>
      </c>
      <c r="BE2911">
        <v>0</v>
      </c>
      <c r="BF2911">
        <v>0</v>
      </c>
      <c r="BG2911">
        <v>0</v>
      </c>
      <c r="BH2911">
        <v>1525</v>
      </c>
      <c r="BI2911">
        <v>1</v>
      </c>
      <c r="BJ2911">
        <v>1</v>
      </c>
      <c r="BK2911">
        <v>1</v>
      </c>
      <c r="BL2911">
        <v>0</v>
      </c>
      <c r="BO2911">
        <v>0</v>
      </c>
      <c r="BP2911">
        <v>0</v>
      </c>
      <c r="BW2911" t="str">
        <f>"20:30:00.821"</f>
        <v>20:30:00.821</v>
      </c>
      <c r="BZ2911">
        <v>0</v>
      </c>
      <c r="CA2911">
        <v>1600</v>
      </c>
      <c r="CB2911">
        <v>224</v>
      </c>
      <c r="CD2911">
        <v>1</v>
      </c>
      <c r="CE2911">
        <v>0</v>
      </c>
      <c r="CF2911">
        <v>0</v>
      </c>
      <c r="CG2911">
        <v>0</v>
      </c>
      <c r="CH2911">
        <v>0</v>
      </c>
      <c r="CI2911">
        <v>0</v>
      </c>
      <c r="CJ2911">
        <v>0</v>
      </c>
      <c r="CK2911">
        <v>2</v>
      </c>
      <c r="CL2911">
        <v>0</v>
      </c>
      <c r="CM2911">
        <v>2</v>
      </c>
      <c r="CN2911">
        <v>0</v>
      </c>
      <c r="CO2911">
        <v>2</v>
      </c>
      <c r="CP2911" t="s">
        <v>119</v>
      </c>
      <c r="CQ2911">
        <v>179</v>
      </c>
      <c r="CR2911">
        <v>2</v>
      </c>
      <c r="CW2911">
        <v>12265781</v>
      </c>
      <c r="CY2911">
        <v>1</v>
      </c>
      <c r="CZ2911">
        <v>0</v>
      </c>
      <c r="DA2911">
        <v>0</v>
      </c>
      <c r="DB2911">
        <v>0</v>
      </c>
      <c r="DC2911">
        <v>0</v>
      </c>
      <c r="DD2911">
        <v>0</v>
      </c>
      <c r="DE2911">
        <v>0</v>
      </c>
      <c r="DF2911">
        <v>0</v>
      </c>
      <c r="DG2911">
        <v>0</v>
      </c>
      <c r="DH2911">
        <v>0</v>
      </c>
      <c r="DI2911">
        <v>0</v>
      </c>
    </row>
    <row r="2912" spans="1:113" x14ac:dyDescent="0.3">
      <c r="A2912" t="str">
        <f>"02/08/2021 20:29:58.520"</f>
        <v>02/08/2021 20:29:58.520</v>
      </c>
      <c r="C2912" t="str">
        <f t="shared" si="138"/>
        <v>FFDFD7C0</v>
      </c>
      <c r="D2912" t="s">
        <v>124</v>
      </c>
      <c r="E2912">
        <v>12</v>
      </c>
      <c r="F2912">
        <v>1012</v>
      </c>
      <c r="G2912" t="s">
        <v>675</v>
      </c>
      <c r="J2912" t="s">
        <v>125</v>
      </c>
      <c r="K2912">
        <v>0</v>
      </c>
      <c r="L2912">
        <v>3</v>
      </c>
      <c r="M2912">
        <v>0</v>
      </c>
      <c r="N2912">
        <v>2</v>
      </c>
      <c r="O2912">
        <v>1</v>
      </c>
      <c r="P2912">
        <v>0</v>
      </c>
      <c r="Q2912">
        <v>0</v>
      </c>
      <c r="S2912" t="str">
        <f>"20:30:00.820"</f>
        <v>20:30:00.820</v>
      </c>
      <c r="T2912" t="str">
        <f>"20:30:00.420"</f>
        <v>20:30:00.420</v>
      </c>
      <c r="U2912" t="str">
        <f t="shared" si="140"/>
        <v>AB01F4</v>
      </c>
      <c r="V2912">
        <v>0</v>
      </c>
      <c r="W2912">
        <v>0</v>
      </c>
      <c r="X2912">
        <v>2</v>
      </c>
      <c r="Z2912">
        <v>0</v>
      </c>
      <c r="AA2912">
        <v>9</v>
      </c>
      <c r="AB2912">
        <v>3</v>
      </c>
      <c r="AC2912">
        <v>0</v>
      </c>
      <c r="AD2912">
        <v>10</v>
      </c>
      <c r="AE2912">
        <v>0</v>
      </c>
      <c r="AF2912">
        <v>3</v>
      </c>
      <c r="AG2912">
        <v>2</v>
      </c>
      <c r="AH2912">
        <v>0</v>
      </c>
      <c r="AI2912" t="s">
        <v>1705</v>
      </c>
      <c r="AJ2912">
        <v>40.030382000000003</v>
      </c>
      <c r="AK2912" t="s">
        <v>1706</v>
      </c>
      <c r="AL2912">
        <v>-92.826233000000002</v>
      </c>
      <c r="AM2912">
        <v>100</v>
      </c>
      <c r="AN2912">
        <v>1500</v>
      </c>
      <c r="AO2912" t="s">
        <v>118</v>
      </c>
      <c r="AP2912">
        <v>-131</v>
      </c>
      <c r="AQ2912">
        <v>34</v>
      </c>
      <c r="AR2912">
        <v>0</v>
      </c>
      <c r="AZ2912">
        <v>1200</v>
      </c>
      <c r="BA2912">
        <v>1</v>
      </c>
      <c r="BB2912" t="str">
        <f t="shared" si="139"/>
        <v xml:space="preserve">N8080G  </v>
      </c>
      <c r="BC2912">
        <v>1</v>
      </c>
      <c r="BE2912">
        <v>0</v>
      </c>
      <c r="BF2912">
        <v>0</v>
      </c>
      <c r="BG2912">
        <v>0</v>
      </c>
      <c r="BH2912">
        <v>1525</v>
      </c>
      <c r="BI2912">
        <v>1</v>
      </c>
      <c r="BJ2912">
        <v>1</v>
      </c>
      <c r="BK2912">
        <v>1</v>
      </c>
      <c r="BL2912">
        <v>0</v>
      </c>
      <c r="BO2912">
        <v>0</v>
      </c>
      <c r="BP2912">
        <v>0</v>
      </c>
      <c r="BW2912" t="str">
        <f>"20:30:00.821"</f>
        <v>20:30:00.821</v>
      </c>
      <c r="BZ2912">
        <v>0</v>
      </c>
      <c r="CA2912">
        <v>1600</v>
      </c>
      <c r="CB2912">
        <v>224</v>
      </c>
      <c r="CD2912">
        <v>1</v>
      </c>
      <c r="CE2912">
        <v>0</v>
      </c>
      <c r="CF2912">
        <v>0</v>
      </c>
      <c r="CG2912">
        <v>0</v>
      </c>
      <c r="CH2912">
        <v>0</v>
      </c>
      <c r="CI2912">
        <v>0</v>
      </c>
      <c r="CJ2912">
        <v>0</v>
      </c>
      <c r="CK2912">
        <v>2</v>
      </c>
      <c r="CL2912">
        <v>0</v>
      </c>
      <c r="CM2912">
        <v>2</v>
      </c>
      <c r="CN2912">
        <v>0</v>
      </c>
      <c r="CO2912">
        <v>2</v>
      </c>
      <c r="CP2912" t="s">
        <v>119</v>
      </c>
      <c r="CQ2912">
        <v>179</v>
      </c>
      <c r="CR2912">
        <v>2</v>
      </c>
      <c r="CW2912">
        <v>12265781</v>
      </c>
      <c r="CY2912">
        <v>1</v>
      </c>
      <c r="CZ2912">
        <v>0</v>
      </c>
      <c r="DA2912">
        <v>1</v>
      </c>
      <c r="DB2912">
        <v>0</v>
      </c>
      <c r="DC2912">
        <v>0</v>
      </c>
      <c r="DD2912">
        <v>0</v>
      </c>
      <c r="DE2912">
        <v>0</v>
      </c>
      <c r="DF2912">
        <v>0</v>
      </c>
      <c r="DG2912">
        <v>0</v>
      </c>
      <c r="DH2912">
        <v>0</v>
      </c>
      <c r="DI2912">
        <v>0</v>
      </c>
    </row>
    <row r="2913" spans="1:113" x14ac:dyDescent="0.3">
      <c r="A2913" t="str">
        <f>"02/08/2021 20:29:58.520"</f>
        <v>02/08/2021 20:29:58.520</v>
      </c>
      <c r="C2913" t="str">
        <f t="shared" si="138"/>
        <v>FFDFD7C0</v>
      </c>
      <c r="D2913" t="s">
        <v>113</v>
      </c>
      <c r="E2913">
        <v>6</v>
      </c>
      <c r="H2913">
        <v>165</v>
      </c>
      <c r="I2913" t="s">
        <v>114</v>
      </c>
      <c r="J2913" t="s">
        <v>115</v>
      </c>
      <c r="K2913">
        <v>0</v>
      </c>
      <c r="L2913">
        <v>3</v>
      </c>
      <c r="M2913">
        <v>0</v>
      </c>
      <c r="N2913">
        <v>2</v>
      </c>
      <c r="O2913">
        <v>1</v>
      </c>
      <c r="P2913">
        <v>0</v>
      </c>
      <c r="Q2913">
        <v>0</v>
      </c>
      <c r="S2913" t="str">
        <f>"20:30:00.820"</f>
        <v>20:30:00.820</v>
      </c>
      <c r="T2913" t="str">
        <f>"20:30:00.420"</f>
        <v>20:30:00.420</v>
      </c>
      <c r="U2913" t="str">
        <f t="shared" si="140"/>
        <v>AB01F4</v>
      </c>
      <c r="V2913">
        <v>0</v>
      </c>
      <c r="W2913">
        <v>0</v>
      </c>
      <c r="X2913">
        <v>2</v>
      </c>
      <c r="Z2913">
        <v>0</v>
      </c>
      <c r="AA2913">
        <v>9</v>
      </c>
      <c r="AB2913">
        <v>3</v>
      </c>
      <c r="AC2913">
        <v>0</v>
      </c>
      <c r="AD2913">
        <v>10</v>
      </c>
      <c r="AE2913">
        <v>0</v>
      </c>
      <c r="AF2913">
        <v>3</v>
      </c>
      <c r="AG2913">
        <v>2</v>
      </c>
      <c r="AH2913">
        <v>0</v>
      </c>
      <c r="AI2913" t="s">
        <v>1705</v>
      </c>
      <c r="AJ2913">
        <v>40.030382000000003</v>
      </c>
      <c r="AK2913" t="s">
        <v>1706</v>
      </c>
      <c r="AL2913">
        <v>-92.826233000000002</v>
      </c>
      <c r="AM2913">
        <v>100</v>
      </c>
      <c r="AN2913">
        <v>1500</v>
      </c>
      <c r="AO2913" t="s">
        <v>118</v>
      </c>
      <c r="AP2913">
        <v>-131</v>
      </c>
      <c r="AQ2913">
        <v>34</v>
      </c>
      <c r="AR2913">
        <v>0</v>
      </c>
      <c r="AZ2913">
        <v>1200</v>
      </c>
      <c r="BA2913">
        <v>1</v>
      </c>
      <c r="BB2913" t="str">
        <f t="shared" si="139"/>
        <v xml:space="preserve">N8080G  </v>
      </c>
      <c r="BC2913">
        <v>1</v>
      </c>
      <c r="BE2913">
        <v>0</v>
      </c>
      <c r="BF2913">
        <v>0</v>
      </c>
      <c r="BG2913">
        <v>0</v>
      </c>
      <c r="BH2913">
        <v>1525</v>
      </c>
      <c r="BI2913">
        <v>1</v>
      </c>
      <c r="BJ2913">
        <v>1</v>
      </c>
      <c r="BK2913">
        <v>1</v>
      </c>
      <c r="BL2913">
        <v>0</v>
      </c>
      <c r="BO2913">
        <v>0</v>
      </c>
      <c r="BP2913">
        <v>0</v>
      </c>
      <c r="BW2913" t="str">
        <f>"20:30:00.821"</f>
        <v>20:30:00.821</v>
      </c>
      <c r="BZ2913">
        <v>0</v>
      </c>
      <c r="CA2913">
        <v>1600</v>
      </c>
      <c r="CB2913">
        <v>224</v>
      </c>
      <c r="CD2913">
        <v>1</v>
      </c>
      <c r="CE2913">
        <v>0</v>
      </c>
      <c r="CF2913">
        <v>0</v>
      </c>
      <c r="CG2913">
        <v>0</v>
      </c>
      <c r="CH2913">
        <v>0</v>
      </c>
      <c r="CI2913">
        <v>0</v>
      </c>
      <c r="CJ2913">
        <v>0</v>
      </c>
      <c r="CK2913">
        <v>2</v>
      </c>
      <c r="CL2913">
        <v>0</v>
      </c>
      <c r="CM2913">
        <v>2</v>
      </c>
      <c r="CN2913">
        <v>0</v>
      </c>
      <c r="CO2913">
        <v>2</v>
      </c>
      <c r="CP2913" t="s">
        <v>119</v>
      </c>
      <c r="CQ2913">
        <v>179</v>
      </c>
      <c r="CR2913">
        <v>2</v>
      </c>
      <c r="CW2913">
        <v>12265781</v>
      </c>
      <c r="CY2913">
        <v>1</v>
      </c>
      <c r="CZ2913">
        <v>0</v>
      </c>
      <c r="DA2913">
        <v>1</v>
      </c>
      <c r="DB2913">
        <v>0</v>
      </c>
      <c r="DC2913">
        <v>0</v>
      </c>
      <c r="DD2913">
        <v>0</v>
      </c>
      <c r="DE2913">
        <v>0</v>
      </c>
      <c r="DF2913">
        <v>0</v>
      </c>
      <c r="DG2913">
        <v>0</v>
      </c>
      <c r="DH2913">
        <v>0</v>
      </c>
      <c r="DI2913">
        <v>0</v>
      </c>
    </row>
    <row r="2914" spans="1:113" x14ac:dyDescent="0.3">
      <c r="A2914" t="str">
        <f>"02/08/2021 20:29:58.520"</f>
        <v>02/08/2021 20:29:58.520</v>
      </c>
      <c r="C2914" t="str">
        <f t="shared" si="138"/>
        <v>FFDFD7C0</v>
      </c>
      <c r="D2914" t="s">
        <v>124</v>
      </c>
      <c r="E2914">
        <v>11</v>
      </c>
      <c r="F2914">
        <v>1011</v>
      </c>
      <c r="G2914" t="s">
        <v>590</v>
      </c>
      <c r="J2914" t="s">
        <v>125</v>
      </c>
      <c r="K2914">
        <v>0</v>
      </c>
      <c r="L2914">
        <v>3</v>
      </c>
      <c r="M2914">
        <v>0</v>
      </c>
      <c r="N2914">
        <v>2</v>
      </c>
      <c r="O2914">
        <v>1</v>
      </c>
      <c r="P2914">
        <v>0</v>
      </c>
      <c r="Q2914">
        <v>0</v>
      </c>
      <c r="S2914" t="str">
        <f>"20:30:00.820"</f>
        <v>20:30:00.820</v>
      </c>
      <c r="T2914" t="str">
        <f>"20:30:00.420"</f>
        <v>20:30:00.420</v>
      </c>
      <c r="U2914" t="str">
        <f t="shared" si="140"/>
        <v>AB01F4</v>
      </c>
      <c r="V2914">
        <v>0</v>
      </c>
      <c r="W2914">
        <v>0</v>
      </c>
      <c r="X2914">
        <v>2</v>
      </c>
      <c r="Z2914">
        <v>0</v>
      </c>
      <c r="AA2914">
        <v>9</v>
      </c>
      <c r="AB2914">
        <v>3</v>
      </c>
      <c r="AC2914">
        <v>0</v>
      </c>
      <c r="AD2914">
        <v>10</v>
      </c>
      <c r="AE2914">
        <v>0</v>
      </c>
      <c r="AF2914">
        <v>3</v>
      </c>
      <c r="AG2914">
        <v>2</v>
      </c>
      <c r="AH2914">
        <v>0</v>
      </c>
      <c r="AI2914" t="s">
        <v>1705</v>
      </c>
      <c r="AJ2914">
        <v>40.030382000000003</v>
      </c>
      <c r="AK2914" t="s">
        <v>1706</v>
      </c>
      <c r="AL2914">
        <v>-92.826233000000002</v>
      </c>
      <c r="AM2914">
        <v>100</v>
      </c>
      <c r="AN2914">
        <v>1500</v>
      </c>
      <c r="AO2914" t="s">
        <v>118</v>
      </c>
      <c r="AP2914">
        <v>-131</v>
      </c>
      <c r="AQ2914">
        <v>34</v>
      </c>
      <c r="AR2914">
        <v>0</v>
      </c>
      <c r="AZ2914">
        <v>1200</v>
      </c>
      <c r="BA2914">
        <v>1</v>
      </c>
      <c r="BB2914" t="str">
        <f t="shared" si="139"/>
        <v xml:space="preserve">N8080G  </v>
      </c>
      <c r="BC2914">
        <v>1</v>
      </c>
      <c r="BE2914">
        <v>0</v>
      </c>
      <c r="BF2914">
        <v>0</v>
      </c>
      <c r="BG2914">
        <v>0</v>
      </c>
      <c r="BH2914">
        <v>1525</v>
      </c>
      <c r="BI2914">
        <v>1</v>
      </c>
      <c r="BJ2914">
        <v>1</v>
      </c>
      <c r="BK2914">
        <v>1</v>
      </c>
      <c r="BL2914">
        <v>0</v>
      </c>
      <c r="BO2914">
        <v>0</v>
      </c>
      <c r="BP2914">
        <v>0</v>
      </c>
      <c r="BW2914" t="str">
        <f>"20:30:00.821"</f>
        <v>20:30:00.821</v>
      </c>
      <c r="BZ2914">
        <v>0</v>
      </c>
      <c r="CA2914">
        <v>1600</v>
      </c>
      <c r="CB2914">
        <v>224</v>
      </c>
      <c r="CD2914">
        <v>1</v>
      </c>
      <c r="CE2914">
        <v>0</v>
      </c>
      <c r="CF2914">
        <v>0</v>
      </c>
      <c r="CG2914">
        <v>0</v>
      </c>
      <c r="CH2914">
        <v>0</v>
      </c>
      <c r="CI2914">
        <v>0</v>
      </c>
      <c r="CJ2914">
        <v>0</v>
      </c>
      <c r="CK2914">
        <v>2</v>
      </c>
      <c r="CL2914">
        <v>0</v>
      </c>
      <c r="CM2914">
        <v>2</v>
      </c>
      <c r="CN2914">
        <v>0</v>
      </c>
      <c r="CO2914">
        <v>2</v>
      </c>
      <c r="CP2914" t="s">
        <v>119</v>
      </c>
      <c r="CQ2914">
        <v>179</v>
      </c>
      <c r="CR2914">
        <v>2</v>
      </c>
      <c r="CW2914">
        <v>12265781</v>
      </c>
      <c r="CY2914">
        <v>1</v>
      </c>
      <c r="CZ2914">
        <v>0</v>
      </c>
      <c r="DA2914">
        <v>1</v>
      </c>
      <c r="DB2914">
        <v>0</v>
      </c>
      <c r="DC2914">
        <v>0</v>
      </c>
      <c r="DD2914">
        <v>0</v>
      </c>
      <c r="DE2914">
        <v>0</v>
      </c>
      <c r="DF2914">
        <v>0</v>
      </c>
      <c r="DG2914">
        <v>0</v>
      </c>
      <c r="DH2914">
        <v>0</v>
      </c>
      <c r="DI2914">
        <v>0</v>
      </c>
    </row>
    <row r="2915" spans="1:113" x14ac:dyDescent="0.3">
      <c r="A2915" t="str">
        <f>"02/08/2021 20:29:59.275"</f>
        <v>02/08/2021 20:29:59.275</v>
      </c>
      <c r="C2915" t="str">
        <f t="shared" si="138"/>
        <v>FFDFD7C0</v>
      </c>
      <c r="D2915" t="s">
        <v>124</v>
      </c>
      <c r="E2915">
        <v>13</v>
      </c>
      <c r="F2915">
        <v>1013</v>
      </c>
      <c r="G2915" t="s">
        <v>114</v>
      </c>
      <c r="J2915" t="s">
        <v>125</v>
      </c>
      <c r="K2915">
        <v>0</v>
      </c>
      <c r="L2915">
        <v>3</v>
      </c>
      <c r="M2915">
        <v>0</v>
      </c>
      <c r="N2915">
        <v>2</v>
      </c>
      <c r="O2915">
        <v>1</v>
      </c>
      <c r="P2915">
        <v>0</v>
      </c>
      <c r="Q2915">
        <v>0</v>
      </c>
      <c r="S2915" t="str">
        <f>"20:30:01.625"</f>
        <v>20:30:01.625</v>
      </c>
      <c r="T2915" t="str">
        <f>"20:30:01.225"</f>
        <v>20:30:01.225</v>
      </c>
      <c r="U2915" t="str">
        <f t="shared" si="140"/>
        <v>AB01F4</v>
      </c>
      <c r="V2915">
        <v>0</v>
      </c>
      <c r="W2915">
        <v>0</v>
      </c>
      <c r="X2915">
        <v>2</v>
      </c>
      <c r="Z2915">
        <v>0</v>
      </c>
      <c r="AA2915">
        <v>9</v>
      </c>
      <c r="AB2915">
        <v>3</v>
      </c>
      <c r="AC2915">
        <v>0</v>
      </c>
      <c r="AD2915">
        <v>10</v>
      </c>
      <c r="AE2915">
        <v>0</v>
      </c>
      <c r="AF2915">
        <v>3</v>
      </c>
      <c r="AG2915">
        <v>2</v>
      </c>
      <c r="AH2915">
        <v>0</v>
      </c>
      <c r="AI2915" t="s">
        <v>1707</v>
      </c>
      <c r="AJ2915">
        <v>40.030552999999998</v>
      </c>
      <c r="AK2915" t="s">
        <v>1708</v>
      </c>
      <c r="AL2915">
        <v>-92.826920000000001</v>
      </c>
      <c r="AM2915">
        <v>100</v>
      </c>
      <c r="AN2915">
        <v>1500</v>
      </c>
      <c r="AO2915" t="s">
        <v>118</v>
      </c>
      <c r="AP2915">
        <v>-131</v>
      </c>
      <c r="AQ2915">
        <v>34</v>
      </c>
      <c r="AR2915">
        <v>64</v>
      </c>
      <c r="AZ2915">
        <v>1200</v>
      </c>
      <c r="BA2915">
        <v>1</v>
      </c>
      <c r="BB2915" t="str">
        <f t="shared" si="139"/>
        <v xml:space="preserve">N8080G  </v>
      </c>
      <c r="BC2915">
        <v>1</v>
      </c>
      <c r="BE2915">
        <v>0</v>
      </c>
      <c r="BF2915">
        <v>0</v>
      </c>
      <c r="BG2915">
        <v>0</v>
      </c>
      <c r="BH2915">
        <v>1525</v>
      </c>
      <c r="BI2915">
        <v>1</v>
      </c>
      <c r="BJ2915">
        <v>1</v>
      </c>
      <c r="BK2915">
        <v>1</v>
      </c>
      <c r="BL2915">
        <v>0</v>
      </c>
      <c r="BO2915">
        <v>0</v>
      </c>
      <c r="BP2915">
        <v>0</v>
      </c>
      <c r="BW2915" t="str">
        <f>"20:30:01.632"</f>
        <v>20:30:01.632</v>
      </c>
      <c r="BZ2915">
        <v>0</v>
      </c>
      <c r="CA2915">
        <v>1600</v>
      </c>
      <c r="CB2915">
        <v>224</v>
      </c>
      <c r="CD2915">
        <v>1</v>
      </c>
      <c r="CE2915">
        <v>0</v>
      </c>
      <c r="CF2915">
        <v>0</v>
      </c>
      <c r="CG2915">
        <v>0</v>
      </c>
      <c r="CH2915">
        <v>0</v>
      </c>
      <c r="CI2915">
        <v>0</v>
      </c>
      <c r="CJ2915">
        <v>0</v>
      </c>
      <c r="CK2915">
        <v>2</v>
      </c>
      <c r="CL2915">
        <v>0</v>
      </c>
      <c r="CM2915">
        <v>2</v>
      </c>
      <c r="CN2915">
        <v>0</v>
      </c>
      <c r="CO2915">
        <v>7</v>
      </c>
      <c r="CP2915" t="s">
        <v>119</v>
      </c>
      <c r="CQ2915">
        <v>180</v>
      </c>
      <c r="CR2915">
        <v>3</v>
      </c>
      <c r="CW2915">
        <v>1008252</v>
      </c>
      <c r="CY2915">
        <v>1</v>
      </c>
      <c r="CZ2915">
        <v>0</v>
      </c>
      <c r="DA2915">
        <v>0</v>
      </c>
      <c r="DB2915">
        <v>0</v>
      </c>
      <c r="DC2915">
        <v>0</v>
      </c>
      <c r="DD2915">
        <v>0</v>
      </c>
      <c r="DE2915">
        <v>0</v>
      </c>
      <c r="DF2915">
        <v>0</v>
      </c>
      <c r="DG2915">
        <v>0</v>
      </c>
      <c r="DH2915">
        <v>0</v>
      </c>
      <c r="DI2915">
        <v>0</v>
      </c>
    </row>
    <row r="2916" spans="1:113" x14ac:dyDescent="0.3">
      <c r="A2916" t="str">
        <f>"02/08/2021 20:29:59.275"</f>
        <v>02/08/2021 20:29:59.275</v>
      </c>
      <c r="C2916" t="str">
        <f t="shared" si="138"/>
        <v>FFDFD7C0</v>
      </c>
      <c r="D2916" t="s">
        <v>124</v>
      </c>
      <c r="E2916">
        <v>12</v>
      </c>
      <c r="F2916">
        <v>1012</v>
      </c>
      <c r="G2916" t="s">
        <v>675</v>
      </c>
      <c r="J2916" t="s">
        <v>125</v>
      </c>
      <c r="K2916">
        <v>0</v>
      </c>
      <c r="L2916">
        <v>3</v>
      </c>
      <c r="M2916">
        <v>0</v>
      </c>
      <c r="N2916">
        <v>2</v>
      </c>
      <c r="O2916">
        <v>1</v>
      </c>
      <c r="P2916">
        <v>0</v>
      </c>
      <c r="Q2916">
        <v>0</v>
      </c>
      <c r="S2916" t="str">
        <f>"20:30:01.625"</f>
        <v>20:30:01.625</v>
      </c>
      <c r="T2916" t="str">
        <f>"20:30:01.225"</f>
        <v>20:30:01.225</v>
      </c>
      <c r="U2916" t="str">
        <f t="shared" si="140"/>
        <v>AB01F4</v>
      </c>
      <c r="V2916">
        <v>0</v>
      </c>
      <c r="W2916">
        <v>0</v>
      </c>
      <c r="X2916">
        <v>2</v>
      </c>
      <c r="Z2916">
        <v>0</v>
      </c>
      <c r="AA2916">
        <v>9</v>
      </c>
      <c r="AB2916">
        <v>3</v>
      </c>
      <c r="AC2916">
        <v>0</v>
      </c>
      <c r="AD2916">
        <v>10</v>
      </c>
      <c r="AE2916">
        <v>0</v>
      </c>
      <c r="AF2916">
        <v>3</v>
      </c>
      <c r="AG2916">
        <v>2</v>
      </c>
      <c r="AH2916">
        <v>0</v>
      </c>
      <c r="AI2916" t="s">
        <v>1707</v>
      </c>
      <c r="AJ2916">
        <v>40.030552999999998</v>
      </c>
      <c r="AK2916" t="s">
        <v>1708</v>
      </c>
      <c r="AL2916">
        <v>-92.826920000000001</v>
      </c>
      <c r="AM2916">
        <v>100</v>
      </c>
      <c r="AN2916">
        <v>1500</v>
      </c>
      <c r="AO2916" t="s">
        <v>118</v>
      </c>
      <c r="AP2916">
        <v>-131</v>
      </c>
      <c r="AQ2916">
        <v>34</v>
      </c>
      <c r="AR2916">
        <v>64</v>
      </c>
      <c r="AZ2916">
        <v>1200</v>
      </c>
      <c r="BA2916">
        <v>1</v>
      </c>
      <c r="BB2916" t="str">
        <f t="shared" si="139"/>
        <v xml:space="preserve">N8080G  </v>
      </c>
      <c r="BC2916">
        <v>1</v>
      </c>
      <c r="BE2916">
        <v>0</v>
      </c>
      <c r="BF2916">
        <v>0</v>
      </c>
      <c r="BG2916">
        <v>0</v>
      </c>
      <c r="BH2916">
        <v>1525</v>
      </c>
      <c r="BI2916">
        <v>1</v>
      </c>
      <c r="BJ2916">
        <v>1</v>
      </c>
      <c r="BK2916">
        <v>1</v>
      </c>
      <c r="BL2916">
        <v>0</v>
      </c>
      <c r="BO2916">
        <v>0</v>
      </c>
      <c r="BP2916">
        <v>0</v>
      </c>
      <c r="BW2916" t="str">
        <f>"20:30:01.632"</f>
        <v>20:30:01.632</v>
      </c>
      <c r="BZ2916">
        <v>0</v>
      </c>
      <c r="CA2916">
        <v>1600</v>
      </c>
      <c r="CB2916">
        <v>224</v>
      </c>
      <c r="CD2916">
        <v>1</v>
      </c>
      <c r="CE2916">
        <v>0</v>
      </c>
      <c r="CF2916">
        <v>0</v>
      </c>
      <c r="CG2916">
        <v>0</v>
      </c>
      <c r="CH2916">
        <v>0</v>
      </c>
      <c r="CI2916">
        <v>0</v>
      </c>
      <c r="CJ2916">
        <v>0</v>
      </c>
      <c r="CK2916">
        <v>2</v>
      </c>
      <c r="CL2916">
        <v>0</v>
      </c>
      <c r="CM2916">
        <v>2</v>
      </c>
      <c r="CN2916">
        <v>0</v>
      </c>
      <c r="CO2916">
        <v>7</v>
      </c>
      <c r="CP2916" t="s">
        <v>119</v>
      </c>
      <c r="CQ2916">
        <v>180</v>
      </c>
      <c r="CR2916">
        <v>3</v>
      </c>
      <c r="CW2916">
        <v>1008252</v>
      </c>
      <c r="CY2916">
        <v>1</v>
      </c>
      <c r="CZ2916">
        <v>0</v>
      </c>
      <c r="DA2916">
        <v>1</v>
      </c>
      <c r="DB2916">
        <v>0</v>
      </c>
      <c r="DC2916">
        <v>0</v>
      </c>
      <c r="DD2916">
        <v>0</v>
      </c>
      <c r="DE2916">
        <v>0</v>
      </c>
      <c r="DF2916">
        <v>0</v>
      </c>
      <c r="DG2916">
        <v>0</v>
      </c>
      <c r="DH2916">
        <v>0</v>
      </c>
      <c r="DI2916">
        <v>0</v>
      </c>
    </row>
    <row r="2917" spans="1:113" x14ac:dyDescent="0.3">
      <c r="A2917" t="str">
        <f>"02/08/2021 20:29:59.275"</f>
        <v>02/08/2021 20:29:59.275</v>
      </c>
      <c r="C2917" t="str">
        <f t="shared" si="138"/>
        <v>FFDFD7C0</v>
      </c>
      <c r="D2917" t="s">
        <v>113</v>
      </c>
      <c r="E2917">
        <v>6</v>
      </c>
      <c r="H2917">
        <v>165</v>
      </c>
      <c r="I2917" t="s">
        <v>114</v>
      </c>
      <c r="J2917" t="s">
        <v>115</v>
      </c>
      <c r="K2917">
        <v>0</v>
      </c>
      <c r="L2917">
        <v>3</v>
      </c>
      <c r="M2917">
        <v>0</v>
      </c>
      <c r="N2917">
        <v>2</v>
      </c>
      <c r="O2917">
        <v>1</v>
      </c>
      <c r="P2917">
        <v>0</v>
      </c>
      <c r="Q2917">
        <v>0</v>
      </c>
      <c r="S2917" t="str">
        <f>"20:30:01.625"</f>
        <v>20:30:01.625</v>
      </c>
      <c r="T2917" t="str">
        <f>"20:30:01.225"</f>
        <v>20:30:01.225</v>
      </c>
      <c r="U2917" t="str">
        <f t="shared" si="140"/>
        <v>AB01F4</v>
      </c>
      <c r="V2917">
        <v>0</v>
      </c>
      <c r="W2917">
        <v>0</v>
      </c>
      <c r="X2917">
        <v>2</v>
      </c>
      <c r="Z2917">
        <v>0</v>
      </c>
      <c r="AA2917">
        <v>9</v>
      </c>
      <c r="AB2917">
        <v>3</v>
      </c>
      <c r="AC2917">
        <v>0</v>
      </c>
      <c r="AD2917">
        <v>10</v>
      </c>
      <c r="AE2917">
        <v>0</v>
      </c>
      <c r="AF2917">
        <v>3</v>
      </c>
      <c r="AG2917">
        <v>2</v>
      </c>
      <c r="AH2917">
        <v>0</v>
      </c>
      <c r="AI2917" t="s">
        <v>1707</v>
      </c>
      <c r="AJ2917">
        <v>40.030552999999998</v>
      </c>
      <c r="AK2917" t="s">
        <v>1708</v>
      </c>
      <c r="AL2917">
        <v>-92.826920000000001</v>
      </c>
      <c r="AM2917">
        <v>100</v>
      </c>
      <c r="AN2917">
        <v>1500</v>
      </c>
      <c r="AO2917" t="s">
        <v>118</v>
      </c>
      <c r="AP2917">
        <v>-131</v>
      </c>
      <c r="AQ2917">
        <v>34</v>
      </c>
      <c r="AR2917">
        <v>64</v>
      </c>
      <c r="AZ2917">
        <v>1200</v>
      </c>
      <c r="BA2917">
        <v>1</v>
      </c>
      <c r="BB2917" t="str">
        <f t="shared" si="139"/>
        <v xml:space="preserve">N8080G  </v>
      </c>
      <c r="BC2917">
        <v>1</v>
      </c>
      <c r="BE2917">
        <v>0</v>
      </c>
      <c r="BF2917">
        <v>0</v>
      </c>
      <c r="BG2917">
        <v>0</v>
      </c>
      <c r="BH2917">
        <v>1525</v>
      </c>
      <c r="BI2917">
        <v>1</v>
      </c>
      <c r="BJ2917">
        <v>1</v>
      </c>
      <c r="BK2917">
        <v>1</v>
      </c>
      <c r="BL2917">
        <v>0</v>
      </c>
      <c r="BO2917">
        <v>0</v>
      </c>
      <c r="BP2917">
        <v>0</v>
      </c>
      <c r="BW2917" t="str">
        <f>"20:30:01.632"</f>
        <v>20:30:01.632</v>
      </c>
      <c r="BZ2917">
        <v>0</v>
      </c>
      <c r="CA2917">
        <v>1600</v>
      </c>
      <c r="CB2917">
        <v>224</v>
      </c>
      <c r="CD2917">
        <v>1</v>
      </c>
      <c r="CE2917">
        <v>0</v>
      </c>
      <c r="CF2917">
        <v>0</v>
      </c>
      <c r="CG2917">
        <v>0</v>
      </c>
      <c r="CH2917">
        <v>0</v>
      </c>
      <c r="CI2917">
        <v>0</v>
      </c>
      <c r="CJ2917">
        <v>0</v>
      </c>
      <c r="CK2917">
        <v>2</v>
      </c>
      <c r="CL2917">
        <v>0</v>
      </c>
      <c r="CM2917">
        <v>2</v>
      </c>
      <c r="CN2917">
        <v>0</v>
      </c>
      <c r="CO2917">
        <v>7</v>
      </c>
      <c r="CP2917" t="s">
        <v>119</v>
      </c>
      <c r="CQ2917">
        <v>180</v>
      </c>
      <c r="CR2917">
        <v>3</v>
      </c>
      <c r="CW2917">
        <v>1008252</v>
      </c>
      <c r="CY2917">
        <v>1</v>
      </c>
      <c r="CZ2917">
        <v>0</v>
      </c>
      <c r="DA2917">
        <v>1</v>
      </c>
      <c r="DB2917">
        <v>0</v>
      </c>
      <c r="DC2917">
        <v>0</v>
      </c>
      <c r="DD2917">
        <v>0</v>
      </c>
      <c r="DE2917">
        <v>0</v>
      </c>
      <c r="DF2917">
        <v>0</v>
      </c>
      <c r="DG2917">
        <v>0</v>
      </c>
      <c r="DH2917">
        <v>0</v>
      </c>
      <c r="DI2917">
        <v>0</v>
      </c>
    </row>
    <row r="2918" spans="1:113" x14ac:dyDescent="0.3">
      <c r="A2918" t="str">
        <f>"02/08/2021 20:29:59.275"</f>
        <v>02/08/2021 20:29:59.275</v>
      </c>
      <c r="C2918" t="str">
        <f t="shared" si="138"/>
        <v>FFDFD7C0</v>
      </c>
      <c r="D2918" t="s">
        <v>124</v>
      </c>
      <c r="E2918">
        <v>11</v>
      </c>
      <c r="F2918">
        <v>1011</v>
      </c>
      <c r="G2918" t="s">
        <v>590</v>
      </c>
      <c r="J2918" t="s">
        <v>125</v>
      </c>
      <c r="K2918">
        <v>0</v>
      </c>
      <c r="L2918">
        <v>3</v>
      </c>
      <c r="M2918">
        <v>0</v>
      </c>
      <c r="N2918">
        <v>2</v>
      </c>
      <c r="O2918">
        <v>1</v>
      </c>
      <c r="P2918">
        <v>0</v>
      </c>
      <c r="Q2918">
        <v>0</v>
      </c>
      <c r="S2918" t="str">
        <f>"20:30:01.625"</f>
        <v>20:30:01.625</v>
      </c>
      <c r="T2918" t="str">
        <f>"20:30:01.225"</f>
        <v>20:30:01.225</v>
      </c>
      <c r="U2918" t="str">
        <f t="shared" si="140"/>
        <v>AB01F4</v>
      </c>
      <c r="V2918">
        <v>0</v>
      </c>
      <c r="W2918">
        <v>0</v>
      </c>
      <c r="X2918">
        <v>2</v>
      </c>
      <c r="Z2918">
        <v>0</v>
      </c>
      <c r="AA2918">
        <v>9</v>
      </c>
      <c r="AB2918">
        <v>3</v>
      </c>
      <c r="AC2918">
        <v>0</v>
      </c>
      <c r="AD2918">
        <v>10</v>
      </c>
      <c r="AE2918">
        <v>0</v>
      </c>
      <c r="AF2918">
        <v>3</v>
      </c>
      <c r="AG2918">
        <v>2</v>
      </c>
      <c r="AH2918">
        <v>0</v>
      </c>
      <c r="AI2918" t="s">
        <v>1707</v>
      </c>
      <c r="AJ2918">
        <v>40.030552999999998</v>
      </c>
      <c r="AK2918" t="s">
        <v>1708</v>
      </c>
      <c r="AL2918">
        <v>-92.826920000000001</v>
      </c>
      <c r="AM2918">
        <v>100</v>
      </c>
      <c r="AN2918">
        <v>1500</v>
      </c>
      <c r="AO2918" t="s">
        <v>118</v>
      </c>
      <c r="AP2918">
        <v>-131</v>
      </c>
      <c r="AQ2918">
        <v>34</v>
      </c>
      <c r="AR2918">
        <v>64</v>
      </c>
      <c r="AZ2918">
        <v>1200</v>
      </c>
      <c r="BA2918">
        <v>1</v>
      </c>
      <c r="BB2918" t="str">
        <f t="shared" si="139"/>
        <v xml:space="preserve">N8080G  </v>
      </c>
      <c r="BC2918">
        <v>1</v>
      </c>
      <c r="BE2918">
        <v>0</v>
      </c>
      <c r="BF2918">
        <v>0</v>
      </c>
      <c r="BG2918">
        <v>0</v>
      </c>
      <c r="BH2918">
        <v>1525</v>
      </c>
      <c r="BI2918">
        <v>1</v>
      </c>
      <c r="BJ2918">
        <v>1</v>
      </c>
      <c r="BK2918">
        <v>1</v>
      </c>
      <c r="BL2918">
        <v>0</v>
      </c>
      <c r="BO2918">
        <v>0</v>
      </c>
      <c r="BP2918">
        <v>0</v>
      </c>
      <c r="BW2918" t="str">
        <f>"20:30:01.632"</f>
        <v>20:30:01.632</v>
      </c>
      <c r="BZ2918">
        <v>0</v>
      </c>
      <c r="CA2918">
        <v>1600</v>
      </c>
      <c r="CB2918">
        <v>224</v>
      </c>
      <c r="CD2918">
        <v>1</v>
      </c>
      <c r="CE2918">
        <v>0</v>
      </c>
      <c r="CF2918">
        <v>0</v>
      </c>
      <c r="CG2918">
        <v>0</v>
      </c>
      <c r="CH2918">
        <v>0</v>
      </c>
      <c r="CI2918">
        <v>0</v>
      </c>
      <c r="CJ2918">
        <v>0</v>
      </c>
      <c r="CK2918">
        <v>2</v>
      </c>
      <c r="CL2918">
        <v>0</v>
      </c>
      <c r="CM2918">
        <v>2</v>
      </c>
      <c r="CN2918">
        <v>0</v>
      </c>
      <c r="CO2918">
        <v>7</v>
      </c>
      <c r="CP2918" t="s">
        <v>119</v>
      </c>
      <c r="CQ2918">
        <v>180</v>
      </c>
      <c r="CR2918">
        <v>3</v>
      </c>
      <c r="CW2918">
        <v>1008252</v>
      </c>
      <c r="CY2918">
        <v>1</v>
      </c>
      <c r="CZ2918">
        <v>0</v>
      </c>
      <c r="DA2918">
        <v>1</v>
      </c>
      <c r="DB2918">
        <v>0</v>
      </c>
      <c r="DC2918">
        <v>0</v>
      </c>
      <c r="DD2918">
        <v>0</v>
      </c>
      <c r="DE2918">
        <v>0</v>
      </c>
      <c r="DF2918">
        <v>0</v>
      </c>
      <c r="DG2918">
        <v>0</v>
      </c>
      <c r="DH2918">
        <v>0</v>
      </c>
      <c r="DI2918">
        <v>0</v>
      </c>
    </row>
    <row r="2919" spans="1:113" x14ac:dyDescent="0.3">
      <c r="A2919" t="str">
        <f>"02/08/2021 20:30:00.775"</f>
        <v>02/08/2021 20:30:00.775</v>
      </c>
      <c r="C2919" t="str">
        <f t="shared" si="138"/>
        <v>FFDFD7C0</v>
      </c>
      <c r="D2919" t="s">
        <v>124</v>
      </c>
      <c r="E2919">
        <v>11</v>
      </c>
      <c r="F2919">
        <v>1011</v>
      </c>
      <c r="G2919" t="s">
        <v>590</v>
      </c>
      <c r="J2919" t="s">
        <v>125</v>
      </c>
      <c r="K2919">
        <v>0</v>
      </c>
      <c r="L2919">
        <v>3</v>
      </c>
      <c r="M2919">
        <v>0</v>
      </c>
      <c r="N2919">
        <v>2</v>
      </c>
      <c r="O2919">
        <v>1</v>
      </c>
      <c r="P2919">
        <v>0</v>
      </c>
      <c r="Q2919">
        <v>0</v>
      </c>
      <c r="S2919" t="str">
        <f>"20:30:03.109"</f>
        <v>20:30:03.109</v>
      </c>
      <c r="T2919" t="str">
        <f>"20:30:02.709"</f>
        <v>20:30:02.709</v>
      </c>
      <c r="U2919" t="str">
        <f t="shared" si="140"/>
        <v>AB01F4</v>
      </c>
      <c r="V2919">
        <v>0</v>
      </c>
      <c r="W2919">
        <v>0</v>
      </c>
      <c r="X2919">
        <v>2</v>
      </c>
      <c r="Z2919">
        <v>0</v>
      </c>
      <c r="AA2919">
        <v>9</v>
      </c>
      <c r="AB2919">
        <v>3</v>
      </c>
      <c r="AC2919">
        <v>0</v>
      </c>
      <c r="AD2919">
        <v>10</v>
      </c>
      <c r="AE2919">
        <v>0</v>
      </c>
      <c r="AF2919">
        <v>3</v>
      </c>
      <c r="AG2919">
        <v>2</v>
      </c>
      <c r="AH2919">
        <v>0</v>
      </c>
      <c r="AI2919" t="s">
        <v>1709</v>
      </c>
      <c r="AJ2919">
        <v>40.030788999999999</v>
      </c>
      <c r="AK2919" t="s">
        <v>1710</v>
      </c>
      <c r="AL2919">
        <v>-92.828035</v>
      </c>
      <c r="AM2919">
        <v>100</v>
      </c>
      <c r="AN2919">
        <v>1500</v>
      </c>
      <c r="AO2919" t="s">
        <v>118</v>
      </c>
      <c r="AP2919">
        <v>-130</v>
      </c>
      <c r="AQ2919">
        <v>35</v>
      </c>
      <c r="AR2919">
        <v>64</v>
      </c>
      <c r="AZ2919">
        <v>1200</v>
      </c>
      <c r="BA2919">
        <v>1</v>
      </c>
      <c r="BB2919" t="str">
        <f t="shared" si="139"/>
        <v xml:space="preserve">N8080G  </v>
      </c>
      <c r="BC2919">
        <v>1</v>
      </c>
      <c r="BE2919">
        <v>0</v>
      </c>
      <c r="BF2919">
        <v>0</v>
      </c>
      <c r="BG2919">
        <v>0</v>
      </c>
      <c r="BH2919">
        <v>1525</v>
      </c>
      <c r="BI2919">
        <v>1</v>
      </c>
      <c r="BJ2919">
        <v>1</v>
      </c>
      <c r="BK2919">
        <v>1</v>
      </c>
      <c r="BL2919">
        <v>0</v>
      </c>
      <c r="BO2919">
        <v>0</v>
      </c>
      <c r="BP2919">
        <v>0</v>
      </c>
      <c r="BW2919" t="str">
        <f>"20:30:03.113"</f>
        <v>20:30:03.113</v>
      </c>
      <c r="BZ2919">
        <v>0</v>
      </c>
      <c r="CA2919">
        <v>1600</v>
      </c>
      <c r="CB2919">
        <v>224</v>
      </c>
      <c r="CD2919">
        <v>1</v>
      </c>
      <c r="CE2919">
        <v>0</v>
      </c>
      <c r="CF2919">
        <v>0</v>
      </c>
      <c r="CG2919">
        <v>0</v>
      </c>
      <c r="CH2919">
        <v>0</v>
      </c>
      <c r="CI2919">
        <v>0</v>
      </c>
      <c r="CJ2919">
        <v>0</v>
      </c>
      <c r="CK2919">
        <v>2</v>
      </c>
      <c r="CL2919">
        <v>0</v>
      </c>
      <c r="CM2919">
        <v>2</v>
      </c>
      <c r="CN2919">
        <v>0</v>
      </c>
      <c r="CO2919">
        <v>7</v>
      </c>
      <c r="CP2919" t="s">
        <v>119</v>
      </c>
      <c r="CQ2919">
        <v>180</v>
      </c>
      <c r="CR2919">
        <v>2</v>
      </c>
      <c r="CW2919">
        <v>8657976</v>
      </c>
      <c r="CY2919">
        <v>1</v>
      </c>
      <c r="CZ2919">
        <v>0</v>
      </c>
      <c r="DA2919">
        <v>0</v>
      </c>
      <c r="DB2919">
        <v>0</v>
      </c>
      <c r="DC2919">
        <v>0</v>
      </c>
      <c r="DD2919">
        <v>0</v>
      </c>
      <c r="DE2919">
        <v>0</v>
      </c>
      <c r="DF2919">
        <v>0</v>
      </c>
      <c r="DG2919">
        <v>0</v>
      </c>
      <c r="DH2919">
        <v>0</v>
      </c>
      <c r="DI2919">
        <v>0</v>
      </c>
    </row>
    <row r="2920" spans="1:113" x14ac:dyDescent="0.3">
      <c r="A2920" t="str">
        <f>"02/08/2021 20:30:00.775"</f>
        <v>02/08/2021 20:30:00.775</v>
      </c>
      <c r="C2920" t="str">
        <f t="shared" si="138"/>
        <v>FFDFD7C0</v>
      </c>
      <c r="D2920" t="s">
        <v>113</v>
      </c>
      <c r="E2920">
        <v>6</v>
      </c>
      <c r="H2920">
        <v>165</v>
      </c>
      <c r="I2920" t="s">
        <v>114</v>
      </c>
      <c r="J2920" t="s">
        <v>115</v>
      </c>
      <c r="K2920">
        <v>0</v>
      </c>
      <c r="L2920">
        <v>3</v>
      </c>
      <c r="M2920">
        <v>0</v>
      </c>
      <c r="N2920">
        <v>2</v>
      </c>
      <c r="O2920">
        <v>1</v>
      </c>
      <c r="P2920">
        <v>0</v>
      </c>
      <c r="Q2920">
        <v>0</v>
      </c>
      <c r="S2920" t="str">
        <f>"20:30:03.109"</f>
        <v>20:30:03.109</v>
      </c>
      <c r="T2920" t="str">
        <f>"20:30:02.709"</f>
        <v>20:30:02.709</v>
      </c>
      <c r="U2920" t="str">
        <f t="shared" si="140"/>
        <v>AB01F4</v>
      </c>
      <c r="V2920">
        <v>0</v>
      </c>
      <c r="W2920">
        <v>0</v>
      </c>
      <c r="X2920">
        <v>2</v>
      </c>
      <c r="Z2920">
        <v>0</v>
      </c>
      <c r="AA2920">
        <v>9</v>
      </c>
      <c r="AB2920">
        <v>3</v>
      </c>
      <c r="AC2920">
        <v>0</v>
      </c>
      <c r="AD2920">
        <v>10</v>
      </c>
      <c r="AE2920">
        <v>0</v>
      </c>
      <c r="AF2920">
        <v>3</v>
      </c>
      <c r="AG2920">
        <v>2</v>
      </c>
      <c r="AH2920">
        <v>0</v>
      </c>
      <c r="AI2920" t="s">
        <v>1709</v>
      </c>
      <c r="AJ2920">
        <v>40.030788999999999</v>
      </c>
      <c r="AK2920" t="s">
        <v>1710</v>
      </c>
      <c r="AL2920">
        <v>-92.828035</v>
      </c>
      <c r="AM2920">
        <v>100</v>
      </c>
      <c r="AN2920">
        <v>1500</v>
      </c>
      <c r="AO2920" t="s">
        <v>118</v>
      </c>
      <c r="AP2920">
        <v>-130</v>
      </c>
      <c r="AQ2920">
        <v>35</v>
      </c>
      <c r="AR2920">
        <v>64</v>
      </c>
      <c r="AZ2920">
        <v>1200</v>
      </c>
      <c r="BA2920">
        <v>1</v>
      </c>
      <c r="BB2920" t="str">
        <f t="shared" si="139"/>
        <v xml:space="preserve">N8080G  </v>
      </c>
      <c r="BC2920">
        <v>1</v>
      </c>
      <c r="BE2920">
        <v>0</v>
      </c>
      <c r="BF2920">
        <v>0</v>
      </c>
      <c r="BG2920">
        <v>0</v>
      </c>
      <c r="BH2920">
        <v>1525</v>
      </c>
      <c r="BI2920">
        <v>1</v>
      </c>
      <c r="BJ2920">
        <v>1</v>
      </c>
      <c r="BK2920">
        <v>1</v>
      </c>
      <c r="BL2920">
        <v>0</v>
      </c>
      <c r="BO2920">
        <v>0</v>
      </c>
      <c r="BP2920">
        <v>0</v>
      </c>
      <c r="BW2920" t="str">
        <f>"20:30:03.113"</f>
        <v>20:30:03.113</v>
      </c>
      <c r="BZ2920">
        <v>0</v>
      </c>
      <c r="CA2920">
        <v>1600</v>
      </c>
      <c r="CB2920">
        <v>224</v>
      </c>
      <c r="CD2920">
        <v>1</v>
      </c>
      <c r="CE2920">
        <v>0</v>
      </c>
      <c r="CF2920">
        <v>0</v>
      </c>
      <c r="CG2920">
        <v>0</v>
      </c>
      <c r="CH2920">
        <v>0</v>
      </c>
      <c r="CI2920">
        <v>0</v>
      </c>
      <c r="CJ2920">
        <v>0</v>
      </c>
      <c r="CK2920">
        <v>2</v>
      </c>
      <c r="CL2920">
        <v>0</v>
      </c>
      <c r="CM2920">
        <v>2</v>
      </c>
      <c r="CN2920">
        <v>0</v>
      </c>
      <c r="CO2920">
        <v>7</v>
      </c>
      <c r="CP2920" t="s">
        <v>119</v>
      </c>
      <c r="CQ2920">
        <v>180</v>
      </c>
      <c r="CR2920">
        <v>2</v>
      </c>
      <c r="CW2920">
        <v>8657976</v>
      </c>
      <c r="CY2920">
        <v>1</v>
      </c>
      <c r="CZ2920">
        <v>0</v>
      </c>
      <c r="DA2920">
        <v>1</v>
      </c>
      <c r="DB2920">
        <v>0</v>
      </c>
      <c r="DC2920">
        <v>0</v>
      </c>
      <c r="DD2920">
        <v>0</v>
      </c>
      <c r="DE2920">
        <v>0</v>
      </c>
      <c r="DF2920">
        <v>0</v>
      </c>
      <c r="DG2920">
        <v>0</v>
      </c>
      <c r="DH2920">
        <v>0</v>
      </c>
      <c r="DI2920">
        <v>0</v>
      </c>
    </row>
    <row r="2921" spans="1:113" x14ac:dyDescent="0.3">
      <c r="A2921" t="str">
        <f>"02/08/2021 20:30:00.775"</f>
        <v>02/08/2021 20:30:00.775</v>
      </c>
      <c r="C2921" t="str">
        <f t="shared" si="138"/>
        <v>FFDFD7C0</v>
      </c>
      <c r="D2921" t="s">
        <v>124</v>
      </c>
      <c r="E2921">
        <v>13</v>
      </c>
      <c r="F2921">
        <v>1013</v>
      </c>
      <c r="G2921" t="s">
        <v>114</v>
      </c>
      <c r="J2921" t="s">
        <v>125</v>
      </c>
      <c r="K2921">
        <v>0</v>
      </c>
      <c r="L2921">
        <v>3</v>
      </c>
      <c r="M2921">
        <v>0</v>
      </c>
      <c r="N2921">
        <v>2</v>
      </c>
      <c r="O2921">
        <v>1</v>
      </c>
      <c r="P2921">
        <v>0</v>
      </c>
      <c r="Q2921">
        <v>0</v>
      </c>
      <c r="S2921" t="str">
        <f>"20:30:03.109"</f>
        <v>20:30:03.109</v>
      </c>
      <c r="T2921" t="str">
        <f>"20:30:02.709"</f>
        <v>20:30:02.709</v>
      </c>
      <c r="U2921" t="str">
        <f t="shared" si="140"/>
        <v>AB01F4</v>
      </c>
      <c r="V2921">
        <v>0</v>
      </c>
      <c r="W2921">
        <v>0</v>
      </c>
      <c r="X2921">
        <v>2</v>
      </c>
      <c r="Z2921">
        <v>0</v>
      </c>
      <c r="AA2921">
        <v>9</v>
      </c>
      <c r="AB2921">
        <v>3</v>
      </c>
      <c r="AC2921">
        <v>0</v>
      </c>
      <c r="AD2921">
        <v>10</v>
      </c>
      <c r="AE2921">
        <v>0</v>
      </c>
      <c r="AF2921">
        <v>3</v>
      </c>
      <c r="AG2921">
        <v>2</v>
      </c>
      <c r="AH2921">
        <v>0</v>
      </c>
      <c r="AI2921" t="s">
        <v>1709</v>
      </c>
      <c r="AJ2921">
        <v>40.030788999999999</v>
      </c>
      <c r="AK2921" t="s">
        <v>1710</v>
      </c>
      <c r="AL2921">
        <v>-92.828035</v>
      </c>
      <c r="AM2921">
        <v>100</v>
      </c>
      <c r="AN2921">
        <v>1500</v>
      </c>
      <c r="AO2921" t="s">
        <v>118</v>
      </c>
      <c r="AP2921">
        <v>-130</v>
      </c>
      <c r="AQ2921">
        <v>35</v>
      </c>
      <c r="AR2921">
        <v>64</v>
      </c>
      <c r="AZ2921">
        <v>1200</v>
      </c>
      <c r="BA2921">
        <v>1</v>
      </c>
      <c r="BB2921" t="str">
        <f t="shared" si="139"/>
        <v xml:space="preserve">N8080G  </v>
      </c>
      <c r="BC2921">
        <v>1</v>
      </c>
      <c r="BE2921">
        <v>0</v>
      </c>
      <c r="BF2921">
        <v>0</v>
      </c>
      <c r="BG2921">
        <v>0</v>
      </c>
      <c r="BH2921">
        <v>1525</v>
      </c>
      <c r="BI2921">
        <v>1</v>
      </c>
      <c r="BJ2921">
        <v>1</v>
      </c>
      <c r="BK2921">
        <v>1</v>
      </c>
      <c r="BL2921">
        <v>0</v>
      </c>
      <c r="BO2921">
        <v>0</v>
      </c>
      <c r="BP2921">
        <v>0</v>
      </c>
      <c r="BW2921" t="str">
        <f>"20:30:03.113"</f>
        <v>20:30:03.113</v>
      </c>
      <c r="BZ2921">
        <v>0</v>
      </c>
      <c r="CA2921">
        <v>1600</v>
      </c>
      <c r="CB2921">
        <v>224</v>
      </c>
      <c r="CD2921">
        <v>1</v>
      </c>
      <c r="CE2921">
        <v>0</v>
      </c>
      <c r="CF2921">
        <v>0</v>
      </c>
      <c r="CG2921">
        <v>0</v>
      </c>
      <c r="CH2921">
        <v>0</v>
      </c>
      <c r="CI2921">
        <v>0</v>
      </c>
      <c r="CJ2921">
        <v>0</v>
      </c>
      <c r="CK2921">
        <v>2</v>
      </c>
      <c r="CL2921">
        <v>0</v>
      </c>
      <c r="CM2921">
        <v>2</v>
      </c>
      <c r="CN2921">
        <v>0</v>
      </c>
      <c r="CO2921">
        <v>7</v>
      </c>
      <c r="CP2921" t="s">
        <v>119</v>
      </c>
      <c r="CQ2921">
        <v>180</v>
      </c>
      <c r="CR2921">
        <v>2</v>
      </c>
      <c r="CW2921">
        <v>8657976</v>
      </c>
      <c r="CY2921">
        <v>1</v>
      </c>
      <c r="CZ2921">
        <v>0</v>
      </c>
      <c r="DA2921">
        <v>1</v>
      </c>
      <c r="DB2921">
        <v>0</v>
      </c>
      <c r="DC2921">
        <v>0</v>
      </c>
      <c r="DD2921">
        <v>0</v>
      </c>
      <c r="DE2921">
        <v>0</v>
      </c>
      <c r="DF2921">
        <v>0</v>
      </c>
      <c r="DG2921">
        <v>0</v>
      </c>
      <c r="DH2921">
        <v>0</v>
      </c>
      <c r="DI2921">
        <v>0</v>
      </c>
    </row>
    <row r="2922" spans="1:113" x14ac:dyDescent="0.3">
      <c r="A2922" t="str">
        <f>"02/08/2021 20:30:00.775"</f>
        <v>02/08/2021 20:30:00.775</v>
      </c>
      <c r="C2922" t="str">
        <f t="shared" si="138"/>
        <v>FFDFD7C0</v>
      </c>
      <c r="D2922" t="s">
        <v>124</v>
      </c>
      <c r="E2922">
        <v>12</v>
      </c>
      <c r="F2922">
        <v>1012</v>
      </c>
      <c r="G2922" t="s">
        <v>675</v>
      </c>
      <c r="J2922" t="s">
        <v>125</v>
      </c>
      <c r="K2922">
        <v>0</v>
      </c>
      <c r="L2922">
        <v>3</v>
      </c>
      <c r="M2922">
        <v>0</v>
      </c>
      <c r="N2922">
        <v>2</v>
      </c>
      <c r="O2922">
        <v>1</v>
      </c>
      <c r="P2922">
        <v>0</v>
      </c>
      <c r="Q2922">
        <v>0</v>
      </c>
      <c r="S2922" t="str">
        <f>"20:30:03.109"</f>
        <v>20:30:03.109</v>
      </c>
      <c r="T2922" t="str">
        <f>"20:30:02.709"</f>
        <v>20:30:02.709</v>
      </c>
      <c r="U2922" t="str">
        <f t="shared" si="140"/>
        <v>AB01F4</v>
      </c>
      <c r="V2922">
        <v>0</v>
      </c>
      <c r="W2922">
        <v>0</v>
      </c>
      <c r="X2922">
        <v>2</v>
      </c>
      <c r="Z2922">
        <v>0</v>
      </c>
      <c r="AA2922">
        <v>9</v>
      </c>
      <c r="AB2922">
        <v>3</v>
      </c>
      <c r="AC2922">
        <v>0</v>
      </c>
      <c r="AD2922">
        <v>10</v>
      </c>
      <c r="AE2922">
        <v>0</v>
      </c>
      <c r="AF2922">
        <v>3</v>
      </c>
      <c r="AG2922">
        <v>2</v>
      </c>
      <c r="AH2922">
        <v>0</v>
      </c>
      <c r="AI2922" t="s">
        <v>1709</v>
      </c>
      <c r="AJ2922">
        <v>40.030788999999999</v>
      </c>
      <c r="AK2922" t="s">
        <v>1710</v>
      </c>
      <c r="AL2922">
        <v>-92.828035</v>
      </c>
      <c r="AM2922">
        <v>100</v>
      </c>
      <c r="AN2922">
        <v>1500</v>
      </c>
      <c r="AO2922" t="s">
        <v>118</v>
      </c>
      <c r="AP2922">
        <v>-130</v>
      </c>
      <c r="AQ2922">
        <v>35</v>
      </c>
      <c r="AR2922">
        <v>64</v>
      </c>
      <c r="AZ2922">
        <v>1200</v>
      </c>
      <c r="BA2922">
        <v>1</v>
      </c>
      <c r="BB2922" t="str">
        <f t="shared" si="139"/>
        <v xml:space="preserve">N8080G  </v>
      </c>
      <c r="BC2922">
        <v>1</v>
      </c>
      <c r="BE2922">
        <v>0</v>
      </c>
      <c r="BF2922">
        <v>0</v>
      </c>
      <c r="BG2922">
        <v>0</v>
      </c>
      <c r="BH2922">
        <v>1525</v>
      </c>
      <c r="BI2922">
        <v>1</v>
      </c>
      <c r="BJ2922">
        <v>1</v>
      </c>
      <c r="BK2922">
        <v>1</v>
      </c>
      <c r="BL2922">
        <v>0</v>
      </c>
      <c r="BO2922">
        <v>0</v>
      </c>
      <c r="BP2922">
        <v>0</v>
      </c>
      <c r="BW2922" t="str">
        <f>"20:30:03.113"</f>
        <v>20:30:03.113</v>
      </c>
      <c r="BZ2922">
        <v>0</v>
      </c>
      <c r="CA2922">
        <v>1600</v>
      </c>
      <c r="CB2922">
        <v>224</v>
      </c>
      <c r="CD2922">
        <v>1</v>
      </c>
      <c r="CE2922">
        <v>0</v>
      </c>
      <c r="CF2922">
        <v>0</v>
      </c>
      <c r="CG2922">
        <v>0</v>
      </c>
      <c r="CH2922">
        <v>0</v>
      </c>
      <c r="CI2922">
        <v>0</v>
      </c>
      <c r="CJ2922">
        <v>0</v>
      </c>
      <c r="CK2922">
        <v>2</v>
      </c>
      <c r="CL2922">
        <v>0</v>
      </c>
      <c r="CM2922">
        <v>2</v>
      </c>
      <c r="CN2922">
        <v>0</v>
      </c>
      <c r="CO2922">
        <v>7</v>
      </c>
      <c r="CP2922" t="s">
        <v>119</v>
      </c>
      <c r="CQ2922">
        <v>180</v>
      </c>
      <c r="CR2922">
        <v>2</v>
      </c>
      <c r="CW2922">
        <v>8657976</v>
      </c>
      <c r="CY2922">
        <v>1</v>
      </c>
      <c r="CZ2922">
        <v>0</v>
      </c>
      <c r="DA2922">
        <v>1</v>
      </c>
      <c r="DB2922">
        <v>0</v>
      </c>
      <c r="DC2922">
        <v>0</v>
      </c>
      <c r="DD2922">
        <v>0</v>
      </c>
      <c r="DE2922">
        <v>0</v>
      </c>
      <c r="DF2922">
        <v>0</v>
      </c>
      <c r="DG2922">
        <v>0</v>
      </c>
      <c r="DH2922">
        <v>0</v>
      </c>
      <c r="DI2922">
        <v>0</v>
      </c>
    </row>
    <row r="2923" spans="1:113" x14ac:dyDescent="0.3">
      <c r="A2923" t="str">
        <f>"02/08/2021 20:30:01.817"</f>
        <v>02/08/2021 20:30:01.817</v>
      </c>
      <c r="C2923" t="str">
        <f t="shared" si="138"/>
        <v>FFDFD7C0</v>
      </c>
      <c r="D2923" t="s">
        <v>124</v>
      </c>
      <c r="E2923">
        <v>12</v>
      </c>
      <c r="F2923">
        <v>1012</v>
      </c>
      <c r="G2923" t="s">
        <v>675</v>
      </c>
      <c r="J2923" t="s">
        <v>125</v>
      </c>
      <c r="K2923">
        <v>0</v>
      </c>
      <c r="L2923">
        <v>3</v>
      </c>
      <c r="M2923">
        <v>0</v>
      </c>
      <c r="N2923">
        <v>2</v>
      </c>
      <c r="O2923">
        <v>1</v>
      </c>
      <c r="P2923">
        <v>0</v>
      </c>
      <c r="Q2923">
        <v>0</v>
      </c>
      <c r="S2923" t="str">
        <f>"20:30:04.133"</f>
        <v>20:30:04.133</v>
      </c>
      <c r="T2923" t="str">
        <f>"20:30:03.733"</f>
        <v>20:30:03.733</v>
      </c>
      <c r="U2923" t="str">
        <f t="shared" si="140"/>
        <v>AB01F4</v>
      </c>
      <c r="V2923">
        <v>0</v>
      </c>
      <c r="W2923">
        <v>0</v>
      </c>
      <c r="X2923">
        <v>2</v>
      </c>
      <c r="Z2923">
        <v>0</v>
      </c>
      <c r="AA2923">
        <v>9</v>
      </c>
      <c r="AB2923">
        <v>3</v>
      </c>
      <c r="AC2923">
        <v>0</v>
      </c>
      <c r="AD2923">
        <v>10</v>
      </c>
      <c r="AE2923">
        <v>0</v>
      </c>
      <c r="AF2923">
        <v>3</v>
      </c>
      <c r="AG2923">
        <v>2</v>
      </c>
      <c r="AH2923">
        <v>0</v>
      </c>
      <c r="AI2923" t="s">
        <v>1711</v>
      </c>
      <c r="AJ2923">
        <v>40.030982000000002</v>
      </c>
      <c r="AK2923" t="s">
        <v>1712</v>
      </c>
      <c r="AL2923">
        <v>-92.828914999999995</v>
      </c>
      <c r="AM2923">
        <v>100</v>
      </c>
      <c r="AN2923">
        <v>1500</v>
      </c>
      <c r="AO2923" t="s">
        <v>118</v>
      </c>
      <c r="AP2923">
        <v>-130</v>
      </c>
      <c r="AQ2923">
        <v>36</v>
      </c>
      <c r="AR2923">
        <v>64</v>
      </c>
      <c r="AZ2923">
        <v>1200</v>
      </c>
      <c r="BA2923">
        <v>1</v>
      </c>
      <c r="BB2923" t="str">
        <f t="shared" si="139"/>
        <v xml:space="preserve">N8080G  </v>
      </c>
      <c r="BC2923">
        <v>1</v>
      </c>
      <c r="BE2923">
        <v>0</v>
      </c>
      <c r="BF2923">
        <v>0</v>
      </c>
      <c r="BG2923">
        <v>0</v>
      </c>
      <c r="BH2923">
        <v>1525</v>
      </c>
      <c r="BI2923">
        <v>1</v>
      </c>
      <c r="BJ2923">
        <v>1</v>
      </c>
      <c r="BK2923">
        <v>1</v>
      </c>
      <c r="BL2923">
        <v>0</v>
      </c>
      <c r="BO2923">
        <v>0</v>
      </c>
      <c r="BP2923">
        <v>0</v>
      </c>
      <c r="BW2923" t="str">
        <f>"20:30:04.140"</f>
        <v>20:30:04.140</v>
      </c>
      <c r="BZ2923">
        <v>0</v>
      </c>
      <c r="CA2923">
        <v>1600</v>
      </c>
      <c r="CB2923">
        <v>224</v>
      </c>
      <c r="CD2923">
        <v>1</v>
      </c>
      <c r="CE2923">
        <v>0</v>
      </c>
      <c r="CF2923">
        <v>0</v>
      </c>
      <c r="CG2923">
        <v>0</v>
      </c>
      <c r="CH2923">
        <v>0</v>
      </c>
      <c r="CI2923">
        <v>0</v>
      </c>
      <c r="CJ2923">
        <v>0</v>
      </c>
      <c r="CK2923">
        <v>2</v>
      </c>
      <c r="CL2923">
        <v>0</v>
      </c>
      <c r="CM2923">
        <v>2</v>
      </c>
      <c r="CN2923">
        <v>0</v>
      </c>
      <c r="CO2923">
        <v>1</v>
      </c>
      <c r="CP2923" t="s">
        <v>119</v>
      </c>
      <c r="CQ2923">
        <v>179</v>
      </c>
      <c r="CR2923">
        <v>1</v>
      </c>
      <c r="CW2923">
        <v>9118217</v>
      </c>
      <c r="CY2923">
        <v>1</v>
      </c>
      <c r="CZ2923">
        <v>0</v>
      </c>
      <c r="DA2923">
        <v>0</v>
      </c>
      <c r="DB2923">
        <v>0</v>
      </c>
      <c r="DC2923">
        <v>0</v>
      </c>
      <c r="DD2923">
        <v>0</v>
      </c>
      <c r="DE2923">
        <v>0</v>
      </c>
      <c r="DF2923">
        <v>0</v>
      </c>
      <c r="DG2923">
        <v>0</v>
      </c>
      <c r="DH2923">
        <v>0</v>
      </c>
      <c r="DI2923">
        <v>0</v>
      </c>
    </row>
    <row r="2924" spans="1:113" x14ac:dyDescent="0.3">
      <c r="A2924" t="str">
        <f>"02/08/2021 20:30:01.817"</f>
        <v>02/08/2021 20:30:01.817</v>
      </c>
      <c r="C2924" t="str">
        <f t="shared" si="138"/>
        <v>FFDFD7C0</v>
      </c>
      <c r="D2924" t="s">
        <v>124</v>
      </c>
      <c r="E2924">
        <v>11</v>
      </c>
      <c r="F2924">
        <v>1011</v>
      </c>
      <c r="G2924" t="s">
        <v>590</v>
      </c>
      <c r="J2924" t="s">
        <v>125</v>
      </c>
      <c r="K2924">
        <v>0</v>
      </c>
      <c r="L2924">
        <v>3</v>
      </c>
      <c r="M2924">
        <v>0</v>
      </c>
      <c r="N2924">
        <v>2</v>
      </c>
      <c r="O2924">
        <v>1</v>
      </c>
      <c r="P2924">
        <v>0</v>
      </c>
      <c r="Q2924">
        <v>0</v>
      </c>
      <c r="S2924" t="str">
        <f>"20:30:04.133"</f>
        <v>20:30:04.133</v>
      </c>
      <c r="T2924" t="str">
        <f>"20:30:03.733"</f>
        <v>20:30:03.733</v>
      </c>
      <c r="U2924" t="str">
        <f t="shared" si="140"/>
        <v>AB01F4</v>
      </c>
      <c r="V2924">
        <v>0</v>
      </c>
      <c r="W2924">
        <v>0</v>
      </c>
      <c r="X2924">
        <v>2</v>
      </c>
      <c r="Z2924">
        <v>0</v>
      </c>
      <c r="AA2924">
        <v>9</v>
      </c>
      <c r="AB2924">
        <v>3</v>
      </c>
      <c r="AC2924">
        <v>0</v>
      </c>
      <c r="AD2924">
        <v>10</v>
      </c>
      <c r="AE2924">
        <v>0</v>
      </c>
      <c r="AF2924">
        <v>3</v>
      </c>
      <c r="AG2924">
        <v>2</v>
      </c>
      <c r="AH2924">
        <v>0</v>
      </c>
      <c r="AI2924" t="s">
        <v>1711</v>
      </c>
      <c r="AJ2924">
        <v>40.030982000000002</v>
      </c>
      <c r="AK2924" t="s">
        <v>1712</v>
      </c>
      <c r="AL2924">
        <v>-92.828914999999995</v>
      </c>
      <c r="AM2924">
        <v>100</v>
      </c>
      <c r="AN2924">
        <v>1500</v>
      </c>
      <c r="AO2924" t="s">
        <v>118</v>
      </c>
      <c r="AP2924">
        <v>-130</v>
      </c>
      <c r="AQ2924">
        <v>36</v>
      </c>
      <c r="AR2924">
        <v>64</v>
      </c>
      <c r="AZ2924">
        <v>1200</v>
      </c>
      <c r="BA2924">
        <v>1</v>
      </c>
      <c r="BB2924" t="str">
        <f t="shared" si="139"/>
        <v xml:space="preserve">N8080G  </v>
      </c>
      <c r="BC2924">
        <v>1</v>
      </c>
      <c r="BE2924">
        <v>0</v>
      </c>
      <c r="BF2924">
        <v>0</v>
      </c>
      <c r="BG2924">
        <v>0</v>
      </c>
      <c r="BH2924">
        <v>1525</v>
      </c>
      <c r="BI2924">
        <v>1</v>
      </c>
      <c r="BJ2924">
        <v>1</v>
      </c>
      <c r="BK2924">
        <v>1</v>
      </c>
      <c r="BL2924">
        <v>0</v>
      </c>
      <c r="BO2924">
        <v>0</v>
      </c>
      <c r="BP2924">
        <v>0</v>
      </c>
      <c r="BW2924" t="str">
        <f>"20:30:04.140"</f>
        <v>20:30:04.140</v>
      </c>
      <c r="BZ2924">
        <v>0</v>
      </c>
      <c r="CA2924">
        <v>1600</v>
      </c>
      <c r="CB2924">
        <v>224</v>
      </c>
      <c r="CD2924">
        <v>1</v>
      </c>
      <c r="CE2924">
        <v>0</v>
      </c>
      <c r="CF2924">
        <v>0</v>
      </c>
      <c r="CG2924">
        <v>0</v>
      </c>
      <c r="CH2924">
        <v>0</v>
      </c>
      <c r="CI2924">
        <v>0</v>
      </c>
      <c r="CJ2924">
        <v>0</v>
      </c>
      <c r="CK2924">
        <v>2</v>
      </c>
      <c r="CL2924">
        <v>0</v>
      </c>
      <c r="CM2924">
        <v>2</v>
      </c>
      <c r="CN2924">
        <v>0</v>
      </c>
      <c r="CO2924">
        <v>1</v>
      </c>
      <c r="CP2924" t="s">
        <v>119</v>
      </c>
      <c r="CQ2924">
        <v>179</v>
      </c>
      <c r="CR2924">
        <v>1</v>
      </c>
      <c r="CW2924">
        <v>9118217</v>
      </c>
      <c r="CY2924">
        <v>1</v>
      </c>
      <c r="CZ2924">
        <v>0</v>
      </c>
      <c r="DA2924">
        <v>1</v>
      </c>
      <c r="DB2924">
        <v>0</v>
      </c>
      <c r="DC2924">
        <v>0</v>
      </c>
      <c r="DD2924">
        <v>0</v>
      </c>
      <c r="DE2924">
        <v>0</v>
      </c>
      <c r="DF2924">
        <v>0</v>
      </c>
      <c r="DG2924">
        <v>0</v>
      </c>
      <c r="DH2924">
        <v>0</v>
      </c>
      <c r="DI2924">
        <v>0</v>
      </c>
    </row>
    <row r="2925" spans="1:113" x14ac:dyDescent="0.3">
      <c r="A2925" t="str">
        <f>"02/08/2021 20:30:01.817"</f>
        <v>02/08/2021 20:30:01.817</v>
      </c>
      <c r="C2925" t="str">
        <f t="shared" si="138"/>
        <v>FFDFD7C0</v>
      </c>
      <c r="D2925" t="s">
        <v>113</v>
      </c>
      <c r="E2925">
        <v>6</v>
      </c>
      <c r="H2925">
        <v>165</v>
      </c>
      <c r="I2925" t="s">
        <v>114</v>
      </c>
      <c r="J2925" t="s">
        <v>115</v>
      </c>
      <c r="K2925">
        <v>0</v>
      </c>
      <c r="L2925">
        <v>3</v>
      </c>
      <c r="M2925">
        <v>0</v>
      </c>
      <c r="N2925">
        <v>2</v>
      </c>
      <c r="O2925">
        <v>1</v>
      </c>
      <c r="P2925">
        <v>0</v>
      </c>
      <c r="Q2925">
        <v>0</v>
      </c>
      <c r="S2925" t="str">
        <f>"20:30:04.133"</f>
        <v>20:30:04.133</v>
      </c>
      <c r="T2925" t="str">
        <f>"20:30:03.733"</f>
        <v>20:30:03.733</v>
      </c>
      <c r="U2925" t="str">
        <f t="shared" si="140"/>
        <v>AB01F4</v>
      </c>
      <c r="V2925">
        <v>0</v>
      </c>
      <c r="W2925">
        <v>0</v>
      </c>
      <c r="X2925">
        <v>2</v>
      </c>
      <c r="Z2925">
        <v>0</v>
      </c>
      <c r="AA2925">
        <v>9</v>
      </c>
      <c r="AB2925">
        <v>3</v>
      </c>
      <c r="AC2925">
        <v>0</v>
      </c>
      <c r="AD2925">
        <v>10</v>
      </c>
      <c r="AE2925">
        <v>0</v>
      </c>
      <c r="AF2925">
        <v>3</v>
      </c>
      <c r="AG2925">
        <v>2</v>
      </c>
      <c r="AH2925">
        <v>0</v>
      </c>
      <c r="AI2925" t="s">
        <v>1711</v>
      </c>
      <c r="AJ2925">
        <v>40.030982000000002</v>
      </c>
      <c r="AK2925" t="s">
        <v>1712</v>
      </c>
      <c r="AL2925">
        <v>-92.828914999999995</v>
      </c>
      <c r="AM2925">
        <v>100</v>
      </c>
      <c r="AN2925">
        <v>1500</v>
      </c>
      <c r="AO2925" t="s">
        <v>118</v>
      </c>
      <c r="AP2925">
        <v>-130</v>
      </c>
      <c r="AQ2925">
        <v>36</v>
      </c>
      <c r="AR2925">
        <v>64</v>
      </c>
      <c r="AZ2925">
        <v>1200</v>
      </c>
      <c r="BA2925">
        <v>1</v>
      </c>
      <c r="BB2925" t="str">
        <f t="shared" si="139"/>
        <v xml:space="preserve">N8080G  </v>
      </c>
      <c r="BC2925">
        <v>1</v>
      </c>
      <c r="BE2925">
        <v>0</v>
      </c>
      <c r="BF2925">
        <v>0</v>
      </c>
      <c r="BG2925">
        <v>0</v>
      </c>
      <c r="BH2925">
        <v>1525</v>
      </c>
      <c r="BI2925">
        <v>1</v>
      </c>
      <c r="BJ2925">
        <v>1</v>
      </c>
      <c r="BK2925">
        <v>1</v>
      </c>
      <c r="BL2925">
        <v>0</v>
      </c>
      <c r="BO2925">
        <v>0</v>
      </c>
      <c r="BP2925">
        <v>0</v>
      </c>
      <c r="BW2925" t="str">
        <f>"20:30:04.140"</f>
        <v>20:30:04.140</v>
      </c>
      <c r="BZ2925">
        <v>0</v>
      </c>
      <c r="CA2925">
        <v>1600</v>
      </c>
      <c r="CB2925">
        <v>224</v>
      </c>
      <c r="CD2925">
        <v>1</v>
      </c>
      <c r="CE2925">
        <v>0</v>
      </c>
      <c r="CF2925">
        <v>0</v>
      </c>
      <c r="CG2925">
        <v>0</v>
      </c>
      <c r="CH2925">
        <v>0</v>
      </c>
      <c r="CI2925">
        <v>0</v>
      </c>
      <c r="CJ2925">
        <v>0</v>
      </c>
      <c r="CK2925">
        <v>2</v>
      </c>
      <c r="CL2925">
        <v>0</v>
      </c>
      <c r="CM2925">
        <v>2</v>
      </c>
      <c r="CN2925">
        <v>0</v>
      </c>
      <c r="CO2925">
        <v>1</v>
      </c>
      <c r="CP2925" t="s">
        <v>119</v>
      </c>
      <c r="CQ2925">
        <v>179</v>
      </c>
      <c r="CR2925">
        <v>1</v>
      </c>
      <c r="CW2925">
        <v>9118217</v>
      </c>
      <c r="CY2925">
        <v>1</v>
      </c>
      <c r="CZ2925">
        <v>0</v>
      </c>
      <c r="DA2925">
        <v>1</v>
      </c>
      <c r="DB2925">
        <v>0</v>
      </c>
      <c r="DC2925">
        <v>0</v>
      </c>
      <c r="DD2925">
        <v>0</v>
      </c>
      <c r="DE2925">
        <v>0</v>
      </c>
      <c r="DF2925">
        <v>0</v>
      </c>
      <c r="DG2925">
        <v>0</v>
      </c>
      <c r="DH2925">
        <v>0</v>
      </c>
      <c r="DI2925">
        <v>0</v>
      </c>
    </row>
    <row r="2926" spans="1:113" x14ac:dyDescent="0.3">
      <c r="A2926" t="str">
        <f>"02/08/2021 20:30:01.817"</f>
        <v>02/08/2021 20:30:01.817</v>
      </c>
      <c r="C2926" t="str">
        <f t="shared" si="138"/>
        <v>FFDFD7C0</v>
      </c>
      <c r="D2926" t="s">
        <v>124</v>
      </c>
      <c r="E2926">
        <v>13</v>
      </c>
      <c r="F2926">
        <v>1013</v>
      </c>
      <c r="G2926" t="s">
        <v>114</v>
      </c>
      <c r="J2926" t="s">
        <v>125</v>
      </c>
      <c r="K2926">
        <v>0</v>
      </c>
      <c r="L2926">
        <v>3</v>
      </c>
      <c r="M2926">
        <v>0</v>
      </c>
      <c r="N2926">
        <v>2</v>
      </c>
      <c r="O2926">
        <v>1</v>
      </c>
      <c r="P2926">
        <v>0</v>
      </c>
      <c r="Q2926">
        <v>0</v>
      </c>
      <c r="S2926" t="str">
        <f>"20:30:04.133"</f>
        <v>20:30:04.133</v>
      </c>
      <c r="T2926" t="str">
        <f>"20:30:03.733"</f>
        <v>20:30:03.733</v>
      </c>
      <c r="U2926" t="str">
        <f t="shared" si="140"/>
        <v>AB01F4</v>
      </c>
      <c r="V2926">
        <v>0</v>
      </c>
      <c r="W2926">
        <v>0</v>
      </c>
      <c r="X2926">
        <v>2</v>
      </c>
      <c r="Z2926">
        <v>0</v>
      </c>
      <c r="AA2926">
        <v>9</v>
      </c>
      <c r="AB2926">
        <v>3</v>
      </c>
      <c r="AC2926">
        <v>0</v>
      </c>
      <c r="AD2926">
        <v>10</v>
      </c>
      <c r="AE2926">
        <v>0</v>
      </c>
      <c r="AF2926">
        <v>3</v>
      </c>
      <c r="AG2926">
        <v>2</v>
      </c>
      <c r="AH2926">
        <v>0</v>
      </c>
      <c r="AI2926" t="s">
        <v>1711</v>
      </c>
      <c r="AJ2926">
        <v>40.030982000000002</v>
      </c>
      <c r="AK2926" t="s">
        <v>1712</v>
      </c>
      <c r="AL2926">
        <v>-92.828914999999995</v>
      </c>
      <c r="AM2926">
        <v>100</v>
      </c>
      <c r="AN2926">
        <v>1500</v>
      </c>
      <c r="AO2926" t="s">
        <v>118</v>
      </c>
      <c r="AP2926">
        <v>-130</v>
      </c>
      <c r="AQ2926">
        <v>36</v>
      </c>
      <c r="AR2926">
        <v>64</v>
      </c>
      <c r="AZ2926">
        <v>1200</v>
      </c>
      <c r="BA2926">
        <v>1</v>
      </c>
      <c r="BB2926" t="str">
        <f t="shared" si="139"/>
        <v xml:space="preserve">N8080G  </v>
      </c>
      <c r="BC2926">
        <v>1</v>
      </c>
      <c r="BE2926">
        <v>0</v>
      </c>
      <c r="BF2926">
        <v>0</v>
      </c>
      <c r="BG2926">
        <v>0</v>
      </c>
      <c r="BH2926">
        <v>1525</v>
      </c>
      <c r="BI2926">
        <v>1</v>
      </c>
      <c r="BJ2926">
        <v>1</v>
      </c>
      <c r="BK2926">
        <v>1</v>
      </c>
      <c r="BL2926">
        <v>0</v>
      </c>
      <c r="BO2926">
        <v>0</v>
      </c>
      <c r="BP2926">
        <v>0</v>
      </c>
      <c r="BW2926" t="str">
        <f>"20:30:04.140"</f>
        <v>20:30:04.140</v>
      </c>
      <c r="BZ2926">
        <v>0</v>
      </c>
      <c r="CA2926">
        <v>1600</v>
      </c>
      <c r="CB2926">
        <v>224</v>
      </c>
      <c r="CD2926">
        <v>1</v>
      </c>
      <c r="CE2926">
        <v>0</v>
      </c>
      <c r="CF2926">
        <v>0</v>
      </c>
      <c r="CG2926">
        <v>0</v>
      </c>
      <c r="CH2926">
        <v>0</v>
      </c>
      <c r="CI2926">
        <v>0</v>
      </c>
      <c r="CJ2926">
        <v>0</v>
      </c>
      <c r="CK2926">
        <v>2</v>
      </c>
      <c r="CL2926">
        <v>0</v>
      </c>
      <c r="CM2926">
        <v>2</v>
      </c>
      <c r="CN2926">
        <v>0</v>
      </c>
      <c r="CO2926">
        <v>1</v>
      </c>
      <c r="CP2926" t="s">
        <v>119</v>
      </c>
      <c r="CQ2926">
        <v>179</v>
      </c>
      <c r="CR2926">
        <v>1</v>
      </c>
      <c r="CW2926">
        <v>9118217</v>
      </c>
      <c r="CY2926">
        <v>1</v>
      </c>
      <c r="CZ2926">
        <v>0</v>
      </c>
      <c r="DA2926">
        <v>1</v>
      </c>
      <c r="DB2926">
        <v>0</v>
      </c>
      <c r="DC2926">
        <v>0</v>
      </c>
      <c r="DD2926">
        <v>0</v>
      </c>
      <c r="DE2926">
        <v>0</v>
      </c>
      <c r="DF2926">
        <v>0</v>
      </c>
      <c r="DG2926">
        <v>0</v>
      </c>
      <c r="DH2926">
        <v>0</v>
      </c>
      <c r="DI2926">
        <v>0</v>
      </c>
    </row>
    <row r="2927" spans="1:113" x14ac:dyDescent="0.3">
      <c r="A2927" t="str">
        <f>"02/08/2021 20:30:03.224"</f>
        <v>02/08/2021 20:30:03.224</v>
      </c>
      <c r="C2927" t="str">
        <f t="shared" ref="C2927:C2990" si="141">"FFDFD7C0"</f>
        <v>FFDFD7C0</v>
      </c>
      <c r="D2927" t="s">
        <v>124</v>
      </c>
      <c r="E2927">
        <v>12</v>
      </c>
      <c r="F2927">
        <v>1012</v>
      </c>
      <c r="G2927" t="s">
        <v>675</v>
      </c>
      <c r="J2927" t="s">
        <v>125</v>
      </c>
      <c r="K2927">
        <v>0</v>
      </c>
      <c r="L2927">
        <v>3</v>
      </c>
      <c r="M2927">
        <v>0</v>
      </c>
      <c r="N2927">
        <v>2</v>
      </c>
      <c r="O2927">
        <v>1</v>
      </c>
      <c r="P2927">
        <v>0</v>
      </c>
      <c r="Q2927">
        <v>0</v>
      </c>
      <c r="S2927" t="str">
        <f>"20:30:05.570"</f>
        <v>20:30:05.570</v>
      </c>
      <c r="T2927" t="str">
        <f t="shared" ref="T2927:T2934" si="142">"20:30:05.170"</f>
        <v>20:30:05.170</v>
      </c>
      <c r="U2927" t="str">
        <f t="shared" si="140"/>
        <v>AB01F4</v>
      </c>
      <c r="V2927">
        <v>0</v>
      </c>
      <c r="W2927">
        <v>0</v>
      </c>
      <c r="X2927">
        <v>2</v>
      </c>
      <c r="Z2927">
        <v>0</v>
      </c>
      <c r="AA2927">
        <v>9</v>
      </c>
      <c r="AB2927">
        <v>3</v>
      </c>
      <c r="AC2927">
        <v>0</v>
      </c>
      <c r="AD2927">
        <v>10</v>
      </c>
      <c r="AE2927">
        <v>0</v>
      </c>
      <c r="AF2927">
        <v>3</v>
      </c>
      <c r="AG2927">
        <v>2</v>
      </c>
      <c r="AH2927">
        <v>0</v>
      </c>
      <c r="AI2927" t="s">
        <v>1713</v>
      </c>
      <c r="AJ2927">
        <v>40.031196999999999</v>
      </c>
      <c r="AK2927" t="s">
        <v>1714</v>
      </c>
      <c r="AL2927">
        <v>-92.830009000000004</v>
      </c>
      <c r="AM2927">
        <v>100</v>
      </c>
      <c r="AN2927">
        <v>1500</v>
      </c>
      <c r="AO2927" t="s">
        <v>118</v>
      </c>
      <c r="AP2927">
        <v>-130</v>
      </c>
      <c r="AQ2927">
        <v>36</v>
      </c>
      <c r="AR2927">
        <v>-128</v>
      </c>
      <c r="AZ2927">
        <v>1200</v>
      </c>
      <c r="BA2927">
        <v>1</v>
      </c>
      <c r="BB2927" t="str">
        <f t="shared" ref="BB2927:BB2990" si="143">"N8080G  "</f>
        <v xml:space="preserve">N8080G  </v>
      </c>
      <c r="BC2927">
        <v>1</v>
      </c>
      <c r="BE2927">
        <v>0</v>
      </c>
      <c r="BF2927">
        <v>0</v>
      </c>
      <c r="BG2927">
        <v>0</v>
      </c>
      <c r="BH2927">
        <v>1500</v>
      </c>
      <c r="BI2927">
        <v>1</v>
      </c>
      <c r="BJ2927">
        <v>1</v>
      </c>
      <c r="BK2927">
        <v>1</v>
      </c>
      <c r="BL2927">
        <v>0</v>
      </c>
      <c r="BO2927">
        <v>0</v>
      </c>
      <c r="BP2927">
        <v>0</v>
      </c>
      <c r="BW2927" t="str">
        <f>"20:30:05.572"</f>
        <v>20:30:05.572</v>
      </c>
      <c r="BZ2927">
        <v>0</v>
      </c>
      <c r="CA2927">
        <v>1600</v>
      </c>
      <c r="CB2927">
        <v>224</v>
      </c>
      <c r="CD2927">
        <v>1</v>
      </c>
      <c r="CE2927">
        <v>0</v>
      </c>
      <c r="CF2927">
        <v>0</v>
      </c>
      <c r="CG2927">
        <v>0</v>
      </c>
      <c r="CH2927">
        <v>0</v>
      </c>
      <c r="CI2927">
        <v>0</v>
      </c>
      <c r="CJ2927">
        <v>0</v>
      </c>
      <c r="CK2927">
        <v>2</v>
      </c>
      <c r="CL2927">
        <v>0</v>
      </c>
      <c r="CM2927">
        <v>2</v>
      </c>
      <c r="CN2927">
        <v>0</v>
      </c>
      <c r="CO2927">
        <v>2</v>
      </c>
      <c r="CP2927" t="s">
        <v>119</v>
      </c>
      <c r="CQ2927">
        <v>179</v>
      </c>
      <c r="CR2927">
        <v>1</v>
      </c>
      <c r="CW2927">
        <v>9119602</v>
      </c>
      <c r="CY2927">
        <v>1</v>
      </c>
      <c r="CZ2927">
        <v>0</v>
      </c>
      <c r="DA2927">
        <v>0</v>
      </c>
      <c r="DB2927">
        <v>0</v>
      </c>
      <c r="DC2927">
        <v>0</v>
      </c>
      <c r="DD2927">
        <v>0</v>
      </c>
      <c r="DE2927">
        <v>0</v>
      </c>
      <c r="DF2927">
        <v>0</v>
      </c>
      <c r="DG2927">
        <v>0</v>
      </c>
      <c r="DH2927">
        <v>0</v>
      </c>
      <c r="DI2927">
        <v>0</v>
      </c>
    </row>
    <row r="2928" spans="1:113" x14ac:dyDescent="0.3">
      <c r="A2928" t="str">
        <f>"02/08/2021 20:30:03.224"</f>
        <v>02/08/2021 20:30:03.224</v>
      </c>
      <c r="C2928" t="str">
        <f t="shared" si="141"/>
        <v>FFDFD7C0</v>
      </c>
      <c r="D2928" t="s">
        <v>124</v>
      </c>
      <c r="E2928">
        <v>11</v>
      </c>
      <c r="F2928">
        <v>1011</v>
      </c>
      <c r="G2928" t="s">
        <v>590</v>
      </c>
      <c r="J2928" t="s">
        <v>125</v>
      </c>
      <c r="K2928">
        <v>0</v>
      </c>
      <c r="L2928">
        <v>3</v>
      </c>
      <c r="M2928">
        <v>0</v>
      </c>
      <c r="N2928">
        <v>2</v>
      </c>
      <c r="O2928">
        <v>1</v>
      </c>
      <c r="P2928">
        <v>0</v>
      </c>
      <c r="Q2928">
        <v>0</v>
      </c>
      <c r="S2928" t="str">
        <f>"20:30:05.570"</f>
        <v>20:30:05.570</v>
      </c>
      <c r="T2928" t="str">
        <f t="shared" si="142"/>
        <v>20:30:05.170</v>
      </c>
      <c r="U2928" t="str">
        <f t="shared" si="140"/>
        <v>AB01F4</v>
      </c>
      <c r="V2928">
        <v>0</v>
      </c>
      <c r="W2928">
        <v>0</v>
      </c>
      <c r="X2928">
        <v>2</v>
      </c>
      <c r="Z2928">
        <v>0</v>
      </c>
      <c r="AA2928">
        <v>9</v>
      </c>
      <c r="AB2928">
        <v>3</v>
      </c>
      <c r="AC2928">
        <v>0</v>
      </c>
      <c r="AD2928">
        <v>10</v>
      </c>
      <c r="AE2928">
        <v>0</v>
      </c>
      <c r="AF2928">
        <v>3</v>
      </c>
      <c r="AG2928">
        <v>2</v>
      </c>
      <c r="AH2928">
        <v>0</v>
      </c>
      <c r="AI2928" t="s">
        <v>1713</v>
      </c>
      <c r="AJ2928">
        <v>40.031196999999999</v>
      </c>
      <c r="AK2928" t="s">
        <v>1714</v>
      </c>
      <c r="AL2928">
        <v>-92.830009000000004</v>
      </c>
      <c r="AM2928">
        <v>100</v>
      </c>
      <c r="AN2928">
        <v>1500</v>
      </c>
      <c r="AO2928" t="s">
        <v>118</v>
      </c>
      <c r="AP2928">
        <v>-130</v>
      </c>
      <c r="AQ2928">
        <v>36</v>
      </c>
      <c r="AR2928">
        <v>-128</v>
      </c>
      <c r="AZ2928">
        <v>1200</v>
      </c>
      <c r="BA2928">
        <v>1</v>
      </c>
      <c r="BB2928" t="str">
        <f t="shared" si="143"/>
        <v xml:space="preserve">N8080G  </v>
      </c>
      <c r="BC2928">
        <v>1</v>
      </c>
      <c r="BE2928">
        <v>0</v>
      </c>
      <c r="BF2928">
        <v>0</v>
      </c>
      <c r="BG2928">
        <v>0</v>
      </c>
      <c r="BH2928">
        <v>1500</v>
      </c>
      <c r="BI2928">
        <v>1</v>
      </c>
      <c r="BJ2928">
        <v>1</v>
      </c>
      <c r="BK2928">
        <v>1</v>
      </c>
      <c r="BL2928">
        <v>0</v>
      </c>
      <c r="BO2928">
        <v>0</v>
      </c>
      <c r="BP2928">
        <v>0</v>
      </c>
      <c r="BW2928" t="str">
        <f>"20:30:05.572"</f>
        <v>20:30:05.572</v>
      </c>
      <c r="BZ2928">
        <v>0</v>
      </c>
      <c r="CA2928">
        <v>1600</v>
      </c>
      <c r="CB2928">
        <v>224</v>
      </c>
      <c r="CD2928">
        <v>1</v>
      </c>
      <c r="CE2928">
        <v>0</v>
      </c>
      <c r="CF2928">
        <v>0</v>
      </c>
      <c r="CG2928">
        <v>0</v>
      </c>
      <c r="CH2928">
        <v>0</v>
      </c>
      <c r="CI2928">
        <v>0</v>
      </c>
      <c r="CJ2928">
        <v>0</v>
      </c>
      <c r="CK2928">
        <v>2</v>
      </c>
      <c r="CL2928">
        <v>0</v>
      </c>
      <c r="CM2928">
        <v>2</v>
      </c>
      <c r="CN2928">
        <v>0</v>
      </c>
      <c r="CO2928">
        <v>2</v>
      </c>
      <c r="CP2928" t="s">
        <v>119</v>
      </c>
      <c r="CQ2928">
        <v>179</v>
      </c>
      <c r="CR2928">
        <v>1</v>
      </c>
      <c r="CW2928">
        <v>9119602</v>
      </c>
      <c r="CY2928">
        <v>1</v>
      </c>
      <c r="CZ2928">
        <v>0</v>
      </c>
      <c r="DA2928">
        <v>1</v>
      </c>
      <c r="DB2928">
        <v>0</v>
      </c>
      <c r="DC2928">
        <v>0</v>
      </c>
      <c r="DD2928">
        <v>0</v>
      </c>
      <c r="DE2928">
        <v>0</v>
      </c>
      <c r="DF2928">
        <v>0</v>
      </c>
      <c r="DG2928">
        <v>0</v>
      </c>
      <c r="DH2928">
        <v>0</v>
      </c>
      <c r="DI2928">
        <v>0</v>
      </c>
    </row>
    <row r="2929" spans="1:113" x14ac:dyDescent="0.3">
      <c r="A2929" t="str">
        <f>"02/08/2021 20:30:03.224"</f>
        <v>02/08/2021 20:30:03.224</v>
      </c>
      <c r="C2929" t="str">
        <f t="shared" si="141"/>
        <v>FFDFD7C0</v>
      </c>
      <c r="D2929" t="s">
        <v>124</v>
      </c>
      <c r="E2929">
        <v>13</v>
      </c>
      <c r="F2929">
        <v>1013</v>
      </c>
      <c r="G2929" t="s">
        <v>114</v>
      </c>
      <c r="J2929" t="s">
        <v>125</v>
      </c>
      <c r="K2929">
        <v>0</v>
      </c>
      <c r="L2929">
        <v>3</v>
      </c>
      <c r="M2929">
        <v>0</v>
      </c>
      <c r="N2929">
        <v>2</v>
      </c>
      <c r="O2929">
        <v>1</v>
      </c>
      <c r="P2929">
        <v>0</v>
      </c>
      <c r="Q2929">
        <v>0</v>
      </c>
      <c r="S2929" t="str">
        <f>"20:30:05.570"</f>
        <v>20:30:05.570</v>
      </c>
      <c r="T2929" t="str">
        <f t="shared" si="142"/>
        <v>20:30:05.170</v>
      </c>
      <c r="U2929" t="str">
        <f t="shared" si="140"/>
        <v>AB01F4</v>
      </c>
      <c r="V2929">
        <v>0</v>
      </c>
      <c r="W2929">
        <v>0</v>
      </c>
      <c r="X2929">
        <v>2</v>
      </c>
      <c r="Z2929">
        <v>0</v>
      </c>
      <c r="AA2929">
        <v>9</v>
      </c>
      <c r="AB2929">
        <v>3</v>
      </c>
      <c r="AC2929">
        <v>0</v>
      </c>
      <c r="AD2929">
        <v>10</v>
      </c>
      <c r="AE2929">
        <v>0</v>
      </c>
      <c r="AF2929">
        <v>3</v>
      </c>
      <c r="AG2929">
        <v>2</v>
      </c>
      <c r="AH2929">
        <v>0</v>
      </c>
      <c r="AI2929" t="s">
        <v>1713</v>
      </c>
      <c r="AJ2929">
        <v>40.031196999999999</v>
      </c>
      <c r="AK2929" t="s">
        <v>1714</v>
      </c>
      <c r="AL2929">
        <v>-92.830009000000004</v>
      </c>
      <c r="AM2929">
        <v>100</v>
      </c>
      <c r="AN2929">
        <v>1500</v>
      </c>
      <c r="AO2929" t="s">
        <v>118</v>
      </c>
      <c r="AP2929">
        <v>-130</v>
      </c>
      <c r="AQ2929">
        <v>36</v>
      </c>
      <c r="AR2929">
        <v>-128</v>
      </c>
      <c r="AZ2929">
        <v>1200</v>
      </c>
      <c r="BA2929">
        <v>1</v>
      </c>
      <c r="BB2929" t="str">
        <f t="shared" si="143"/>
        <v xml:space="preserve">N8080G  </v>
      </c>
      <c r="BC2929">
        <v>1</v>
      </c>
      <c r="BE2929">
        <v>0</v>
      </c>
      <c r="BF2929">
        <v>0</v>
      </c>
      <c r="BG2929">
        <v>0</v>
      </c>
      <c r="BH2929">
        <v>1500</v>
      </c>
      <c r="BI2929">
        <v>1</v>
      </c>
      <c r="BJ2929">
        <v>1</v>
      </c>
      <c r="BK2929">
        <v>1</v>
      </c>
      <c r="BL2929">
        <v>0</v>
      </c>
      <c r="BO2929">
        <v>0</v>
      </c>
      <c r="BP2929">
        <v>0</v>
      </c>
      <c r="BW2929" t="str">
        <f>"20:30:05.572"</f>
        <v>20:30:05.572</v>
      </c>
      <c r="BZ2929">
        <v>0</v>
      </c>
      <c r="CA2929">
        <v>1600</v>
      </c>
      <c r="CB2929">
        <v>224</v>
      </c>
      <c r="CD2929">
        <v>1</v>
      </c>
      <c r="CE2929">
        <v>0</v>
      </c>
      <c r="CF2929">
        <v>0</v>
      </c>
      <c r="CG2929">
        <v>0</v>
      </c>
      <c r="CH2929">
        <v>0</v>
      </c>
      <c r="CI2929">
        <v>0</v>
      </c>
      <c r="CJ2929">
        <v>0</v>
      </c>
      <c r="CK2929">
        <v>2</v>
      </c>
      <c r="CL2929">
        <v>0</v>
      </c>
      <c r="CM2929">
        <v>2</v>
      </c>
      <c r="CN2929">
        <v>0</v>
      </c>
      <c r="CO2929">
        <v>2</v>
      </c>
      <c r="CP2929" t="s">
        <v>119</v>
      </c>
      <c r="CQ2929">
        <v>179</v>
      </c>
      <c r="CR2929">
        <v>1</v>
      </c>
      <c r="CW2929">
        <v>9119602</v>
      </c>
      <c r="CY2929">
        <v>1</v>
      </c>
      <c r="CZ2929">
        <v>0</v>
      </c>
      <c r="DA2929">
        <v>1</v>
      </c>
      <c r="DB2929">
        <v>0</v>
      </c>
      <c r="DC2929">
        <v>0</v>
      </c>
      <c r="DD2929">
        <v>0</v>
      </c>
      <c r="DE2929">
        <v>0</v>
      </c>
      <c r="DF2929">
        <v>0</v>
      </c>
      <c r="DG2929">
        <v>0</v>
      </c>
      <c r="DH2929">
        <v>0</v>
      </c>
      <c r="DI2929">
        <v>0</v>
      </c>
    </row>
    <row r="2930" spans="1:113" x14ac:dyDescent="0.3">
      <c r="A2930" t="str">
        <f>"02/08/2021 20:30:03.224"</f>
        <v>02/08/2021 20:30:03.224</v>
      </c>
      <c r="C2930" t="str">
        <f t="shared" si="141"/>
        <v>FFDFD7C0</v>
      </c>
      <c r="D2930" t="s">
        <v>113</v>
      </c>
      <c r="E2930">
        <v>6</v>
      </c>
      <c r="H2930">
        <v>165</v>
      </c>
      <c r="I2930" t="s">
        <v>114</v>
      </c>
      <c r="J2930" t="s">
        <v>115</v>
      </c>
      <c r="K2930">
        <v>0</v>
      </c>
      <c r="L2930">
        <v>3</v>
      </c>
      <c r="M2930">
        <v>0</v>
      </c>
      <c r="N2930">
        <v>2</v>
      </c>
      <c r="O2930">
        <v>1</v>
      </c>
      <c r="P2930">
        <v>0</v>
      </c>
      <c r="Q2930">
        <v>0</v>
      </c>
      <c r="S2930" t="str">
        <f>"20:30:05.570"</f>
        <v>20:30:05.570</v>
      </c>
      <c r="T2930" t="str">
        <f t="shared" si="142"/>
        <v>20:30:05.170</v>
      </c>
      <c r="U2930" t="str">
        <f t="shared" si="140"/>
        <v>AB01F4</v>
      </c>
      <c r="V2930">
        <v>0</v>
      </c>
      <c r="W2930">
        <v>0</v>
      </c>
      <c r="X2930">
        <v>2</v>
      </c>
      <c r="Z2930">
        <v>0</v>
      </c>
      <c r="AA2930">
        <v>9</v>
      </c>
      <c r="AB2930">
        <v>3</v>
      </c>
      <c r="AC2930">
        <v>0</v>
      </c>
      <c r="AD2930">
        <v>10</v>
      </c>
      <c r="AE2930">
        <v>0</v>
      </c>
      <c r="AF2930">
        <v>3</v>
      </c>
      <c r="AG2930">
        <v>2</v>
      </c>
      <c r="AH2930">
        <v>0</v>
      </c>
      <c r="AI2930" t="s">
        <v>1713</v>
      </c>
      <c r="AJ2930">
        <v>40.031196999999999</v>
      </c>
      <c r="AK2930" t="s">
        <v>1714</v>
      </c>
      <c r="AL2930">
        <v>-92.830009000000004</v>
      </c>
      <c r="AM2930">
        <v>100</v>
      </c>
      <c r="AN2930">
        <v>1500</v>
      </c>
      <c r="AO2930" t="s">
        <v>118</v>
      </c>
      <c r="AP2930">
        <v>-130</v>
      </c>
      <c r="AQ2930">
        <v>36</v>
      </c>
      <c r="AR2930">
        <v>-128</v>
      </c>
      <c r="AZ2930">
        <v>1200</v>
      </c>
      <c r="BA2930">
        <v>1</v>
      </c>
      <c r="BB2930" t="str">
        <f t="shared" si="143"/>
        <v xml:space="preserve">N8080G  </v>
      </c>
      <c r="BC2930">
        <v>1</v>
      </c>
      <c r="BE2930">
        <v>0</v>
      </c>
      <c r="BF2930">
        <v>0</v>
      </c>
      <c r="BG2930">
        <v>0</v>
      </c>
      <c r="BH2930">
        <v>1500</v>
      </c>
      <c r="BI2930">
        <v>1</v>
      </c>
      <c r="BJ2930">
        <v>1</v>
      </c>
      <c r="BK2930">
        <v>1</v>
      </c>
      <c r="BL2930">
        <v>0</v>
      </c>
      <c r="BO2930">
        <v>0</v>
      </c>
      <c r="BP2930">
        <v>0</v>
      </c>
      <c r="BW2930" t="str">
        <f>"20:30:05.572"</f>
        <v>20:30:05.572</v>
      </c>
      <c r="BZ2930">
        <v>0</v>
      </c>
      <c r="CA2930">
        <v>1600</v>
      </c>
      <c r="CB2930">
        <v>224</v>
      </c>
      <c r="CD2930">
        <v>1</v>
      </c>
      <c r="CE2930">
        <v>0</v>
      </c>
      <c r="CF2930">
        <v>0</v>
      </c>
      <c r="CG2930">
        <v>0</v>
      </c>
      <c r="CH2930">
        <v>0</v>
      </c>
      <c r="CI2930">
        <v>0</v>
      </c>
      <c r="CJ2930">
        <v>0</v>
      </c>
      <c r="CK2930">
        <v>2</v>
      </c>
      <c r="CL2930">
        <v>0</v>
      </c>
      <c r="CM2930">
        <v>2</v>
      </c>
      <c r="CN2930">
        <v>0</v>
      </c>
      <c r="CO2930">
        <v>2</v>
      </c>
      <c r="CP2930" t="s">
        <v>119</v>
      </c>
      <c r="CQ2930">
        <v>179</v>
      </c>
      <c r="CR2930">
        <v>1</v>
      </c>
      <c r="CW2930">
        <v>9119602</v>
      </c>
      <c r="CY2930">
        <v>1</v>
      </c>
      <c r="CZ2930">
        <v>0</v>
      </c>
      <c r="DA2930">
        <v>1</v>
      </c>
      <c r="DB2930">
        <v>0</v>
      </c>
      <c r="DC2930">
        <v>0</v>
      </c>
      <c r="DD2930">
        <v>0</v>
      </c>
      <c r="DE2930">
        <v>0</v>
      </c>
      <c r="DF2930">
        <v>0</v>
      </c>
      <c r="DG2930">
        <v>0</v>
      </c>
      <c r="DH2930">
        <v>0</v>
      </c>
      <c r="DI2930">
        <v>0</v>
      </c>
    </row>
    <row r="2931" spans="1:113" x14ac:dyDescent="0.3">
      <c r="A2931" t="str">
        <f>"02/08/2021 20:30:04.231"</f>
        <v>02/08/2021 20:30:04.231</v>
      </c>
      <c r="C2931" t="str">
        <f t="shared" si="141"/>
        <v>FFDFD7C0</v>
      </c>
      <c r="D2931" t="s">
        <v>124</v>
      </c>
      <c r="E2931">
        <v>12</v>
      </c>
      <c r="F2931">
        <v>1012</v>
      </c>
      <c r="G2931" t="s">
        <v>675</v>
      </c>
      <c r="J2931" t="s">
        <v>125</v>
      </c>
      <c r="K2931">
        <v>0</v>
      </c>
      <c r="L2931">
        <v>3</v>
      </c>
      <c r="M2931">
        <v>0</v>
      </c>
      <c r="N2931">
        <v>2</v>
      </c>
      <c r="O2931">
        <v>1</v>
      </c>
      <c r="P2931">
        <v>0</v>
      </c>
      <c r="Q2931">
        <v>0</v>
      </c>
      <c r="S2931" t="str">
        <f>"20:30:06.570"</f>
        <v>20:30:06.570</v>
      </c>
      <c r="T2931" t="str">
        <f t="shared" si="142"/>
        <v>20:30:05.170</v>
      </c>
      <c r="U2931" t="str">
        <f t="shared" si="140"/>
        <v>AB01F4</v>
      </c>
      <c r="V2931">
        <v>0</v>
      </c>
      <c r="W2931">
        <v>0</v>
      </c>
      <c r="X2931">
        <v>2</v>
      </c>
      <c r="Z2931">
        <v>0</v>
      </c>
      <c r="AA2931">
        <v>9</v>
      </c>
      <c r="AB2931">
        <v>3</v>
      </c>
      <c r="AC2931">
        <v>0</v>
      </c>
      <c r="AD2931">
        <v>10</v>
      </c>
      <c r="AE2931">
        <v>0</v>
      </c>
      <c r="AF2931">
        <v>3</v>
      </c>
      <c r="AG2931">
        <v>2</v>
      </c>
      <c r="AH2931">
        <v>0</v>
      </c>
      <c r="AI2931" t="s">
        <v>1715</v>
      </c>
      <c r="AJ2931">
        <v>40.031346999999997</v>
      </c>
      <c r="AK2931" t="s">
        <v>1716</v>
      </c>
      <c r="AL2931">
        <v>-92.830738999999994</v>
      </c>
      <c r="AM2931">
        <v>100</v>
      </c>
      <c r="AN2931">
        <v>1500</v>
      </c>
      <c r="AO2931" t="s">
        <v>118</v>
      </c>
      <c r="AP2931">
        <v>-130</v>
      </c>
      <c r="AQ2931">
        <v>36</v>
      </c>
      <c r="AR2931">
        <v>-128</v>
      </c>
      <c r="AZ2931">
        <v>1200</v>
      </c>
      <c r="BA2931">
        <v>1</v>
      </c>
      <c r="BB2931" t="str">
        <f t="shared" si="143"/>
        <v xml:space="preserve">N8080G  </v>
      </c>
      <c r="BC2931">
        <v>1</v>
      </c>
      <c r="BE2931">
        <v>0</v>
      </c>
      <c r="BF2931">
        <v>0</v>
      </c>
      <c r="BG2931">
        <v>0</v>
      </c>
      <c r="BH2931">
        <v>1500</v>
      </c>
      <c r="BI2931">
        <v>1</v>
      </c>
      <c r="BJ2931">
        <v>1</v>
      </c>
      <c r="BK2931">
        <v>1</v>
      </c>
      <c r="BL2931">
        <v>0</v>
      </c>
      <c r="BO2931">
        <v>0</v>
      </c>
      <c r="BP2931">
        <v>0</v>
      </c>
      <c r="BW2931" t="str">
        <f>"20:30:06.575"</f>
        <v>20:30:06.575</v>
      </c>
      <c r="BZ2931">
        <v>0</v>
      </c>
      <c r="CA2931">
        <v>1600</v>
      </c>
      <c r="CB2931">
        <v>224</v>
      </c>
      <c r="CD2931">
        <v>1</v>
      </c>
      <c r="CE2931">
        <v>0</v>
      </c>
      <c r="CF2931">
        <v>0</v>
      </c>
      <c r="CG2931">
        <v>0</v>
      </c>
      <c r="CH2931">
        <v>0</v>
      </c>
      <c r="CI2931">
        <v>0</v>
      </c>
      <c r="CJ2931">
        <v>0</v>
      </c>
      <c r="CK2931">
        <v>2</v>
      </c>
      <c r="CL2931">
        <v>0</v>
      </c>
      <c r="CM2931">
        <v>2</v>
      </c>
      <c r="CN2931">
        <v>0</v>
      </c>
      <c r="CO2931">
        <v>2</v>
      </c>
      <c r="CP2931" t="s">
        <v>119</v>
      </c>
      <c r="CQ2931">
        <v>179</v>
      </c>
      <c r="CR2931">
        <v>1</v>
      </c>
      <c r="CW2931">
        <v>9120562</v>
      </c>
      <c r="CY2931">
        <v>1</v>
      </c>
      <c r="CZ2931">
        <v>0</v>
      </c>
      <c r="DA2931">
        <v>0</v>
      </c>
      <c r="DB2931">
        <v>0</v>
      </c>
      <c r="DC2931">
        <v>0</v>
      </c>
      <c r="DD2931">
        <v>0</v>
      </c>
      <c r="DE2931">
        <v>0</v>
      </c>
      <c r="DF2931">
        <v>0</v>
      </c>
      <c r="DG2931">
        <v>0</v>
      </c>
      <c r="DH2931">
        <v>0</v>
      </c>
      <c r="DI2931">
        <v>0</v>
      </c>
    </row>
    <row r="2932" spans="1:113" x14ac:dyDescent="0.3">
      <c r="A2932" t="str">
        <f>"02/08/2021 20:30:04.231"</f>
        <v>02/08/2021 20:30:04.231</v>
      </c>
      <c r="C2932" t="str">
        <f t="shared" si="141"/>
        <v>FFDFD7C0</v>
      </c>
      <c r="D2932" t="s">
        <v>124</v>
      </c>
      <c r="E2932">
        <v>11</v>
      </c>
      <c r="F2932">
        <v>1011</v>
      </c>
      <c r="G2932" t="s">
        <v>590</v>
      </c>
      <c r="J2932" t="s">
        <v>125</v>
      </c>
      <c r="K2932">
        <v>0</v>
      </c>
      <c r="L2932">
        <v>3</v>
      </c>
      <c r="M2932">
        <v>0</v>
      </c>
      <c r="N2932">
        <v>2</v>
      </c>
      <c r="O2932">
        <v>1</v>
      </c>
      <c r="P2932">
        <v>0</v>
      </c>
      <c r="Q2932">
        <v>0</v>
      </c>
      <c r="S2932" t="str">
        <f>"20:30:06.570"</f>
        <v>20:30:06.570</v>
      </c>
      <c r="T2932" t="str">
        <f t="shared" si="142"/>
        <v>20:30:05.170</v>
      </c>
      <c r="U2932" t="str">
        <f t="shared" si="140"/>
        <v>AB01F4</v>
      </c>
      <c r="V2932">
        <v>0</v>
      </c>
      <c r="W2932">
        <v>0</v>
      </c>
      <c r="X2932">
        <v>2</v>
      </c>
      <c r="Z2932">
        <v>0</v>
      </c>
      <c r="AA2932">
        <v>9</v>
      </c>
      <c r="AB2932">
        <v>3</v>
      </c>
      <c r="AC2932">
        <v>0</v>
      </c>
      <c r="AD2932">
        <v>10</v>
      </c>
      <c r="AE2932">
        <v>0</v>
      </c>
      <c r="AF2932">
        <v>3</v>
      </c>
      <c r="AG2932">
        <v>2</v>
      </c>
      <c r="AH2932">
        <v>0</v>
      </c>
      <c r="AI2932" t="s">
        <v>1715</v>
      </c>
      <c r="AJ2932">
        <v>40.031346999999997</v>
      </c>
      <c r="AK2932" t="s">
        <v>1716</v>
      </c>
      <c r="AL2932">
        <v>-92.830738999999994</v>
      </c>
      <c r="AM2932">
        <v>100</v>
      </c>
      <c r="AN2932">
        <v>1500</v>
      </c>
      <c r="AO2932" t="s">
        <v>118</v>
      </c>
      <c r="AP2932">
        <v>-130</v>
      </c>
      <c r="AQ2932">
        <v>36</v>
      </c>
      <c r="AR2932">
        <v>-128</v>
      </c>
      <c r="AZ2932">
        <v>1200</v>
      </c>
      <c r="BA2932">
        <v>1</v>
      </c>
      <c r="BB2932" t="str">
        <f t="shared" si="143"/>
        <v xml:space="preserve">N8080G  </v>
      </c>
      <c r="BC2932">
        <v>1</v>
      </c>
      <c r="BE2932">
        <v>0</v>
      </c>
      <c r="BF2932">
        <v>0</v>
      </c>
      <c r="BG2932">
        <v>0</v>
      </c>
      <c r="BH2932">
        <v>1500</v>
      </c>
      <c r="BI2932">
        <v>1</v>
      </c>
      <c r="BJ2932">
        <v>1</v>
      </c>
      <c r="BK2932">
        <v>1</v>
      </c>
      <c r="BL2932">
        <v>0</v>
      </c>
      <c r="BO2932">
        <v>0</v>
      </c>
      <c r="BP2932">
        <v>0</v>
      </c>
      <c r="BW2932" t="str">
        <f>"20:30:06.575"</f>
        <v>20:30:06.575</v>
      </c>
      <c r="BZ2932">
        <v>0</v>
      </c>
      <c r="CA2932">
        <v>1600</v>
      </c>
      <c r="CB2932">
        <v>224</v>
      </c>
      <c r="CD2932">
        <v>1</v>
      </c>
      <c r="CE2932">
        <v>0</v>
      </c>
      <c r="CF2932">
        <v>0</v>
      </c>
      <c r="CG2932">
        <v>0</v>
      </c>
      <c r="CH2932">
        <v>0</v>
      </c>
      <c r="CI2932">
        <v>0</v>
      </c>
      <c r="CJ2932">
        <v>0</v>
      </c>
      <c r="CK2932">
        <v>2</v>
      </c>
      <c r="CL2932">
        <v>0</v>
      </c>
      <c r="CM2932">
        <v>2</v>
      </c>
      <c r="CN2932">
        <v>0</v>
      </c>
      <c r="CO2932">
        <v>2</v>
      </c>
      <c r="CP2932" t="s">
        <v>119</v>
      </c>
      <c r="CQ2932">
        <v>179</v>
      </c>
      <c r="CR2932">
        <v>1</v>
      </c>
      <c r="CW2932">
        <v>9120562</v>
      </c>
      <c r="CY2932">
        <v>1</v>
      </c>
      <c r="CZ2932">
        <v>0</v>
      </c>
      <c r="DA2932">
        <v>1</v>
      </c>
      <c r="DB2932">
        <v>0</v>
      </c>
      <c r="DC2932">
        <v>0</v>
      </c>
      <c r="DD2932">
        <v>0</v>
      </c>
      <c r="DE2932">
        <v>0</v>
      </c>
      <c r="DF2932">
        <v>0</v>
      </c>
      <c r="DG2932">
        <v>0</v>
      </c>
      <c r="DH2932">
        <v>0</v>
      </c>
      <c r="DI2932">
        <v>0</v>
      </c>
    </row>
    <row r="2933" spans="1:113" x14ac:dyDescent="0.3">
      <c r="A2933" t="str">
        <f>"02/08/2021 20:30:04.231"</f>
        <v>02/08/2021 20:30:04.231</v>
      </c>
      <c r="C2933" t="str">
        <f t="shared" si="141"/>
        <v>FFDFD7C0</v>
      </c>
      <c r="D2933" t="s">
        <v>124</v>
      </c>
      <c r="E2933">
        <v>13</v>
      </c>
      <c r="F2933">
        <v>1013</v>
      </c>
      <c r="G2933" t="s">
        <v>114</v>
      </c>
      <c r="J2933" t="s">
        <v>125</v>
      </c>
      <c r="K2933">
        <v>0</v>
      </c>
      <c r="L2933">
        <v>3</v>
      </c>
      <c r="M2933">
        <v>0</v>
      </c>
      <c r="N2933">
        <v>2</v>
      </c>
      <c r="O2933">
        <v>1</v>
      </c>
      <c r="P2933">
        <v>0</v>
      </c>
      <c r="Q2933">
        <v>0</v>
      </c>
      <c r="S2933" t="str">
        <f>"20:30:06.570"</f>
        <v>20:30:06.570</v>
      </c>
      <c r="T2933" t="str">
        <f t="shared" si="142"/>
        <v>20:30:05.170</v>
      </c>
      <c r="U2933" t="str">
        <f t="shared" si="140"/>
        <v>AB01F4</v>
      </c>
      <c r="V2933">
        <v>0</v>
      </c>
      <c r="W2933">
        <v>0</v>
      </c>
      <c r="X2933">
        <v>2</v>
      </c>
      <c r="Z2933">
        <v>0</v>
      </c>
      <c r="AA2933">
        <v>9</v>
      </c>
      <c r="AB2933">
        <v>3</v>
      </c>
      <c r="AC2933">
        <v>0</v>
      </c>
      <c r="AD2933">
        <v>10</v>
      </c>
      <c r="AE2933">
        <v>0</v>
      </c>
      <c r="AF2933">
        <v>3</v>
      </c>
      <c r="AG2933">
        <v>2</v>
      </c>
      <c r="AH2933">
        <v>0</v>
      </c>
      <c r="AI2933" t="s">
        <v>1715</v>
      </c>
      <c r="AJ2933">
        <v>40.031346999999997</v>
      </c>
      <c r="AK2933" t="s">
        <v>1716</v>
      </c>
      <c r="AL2933">
        <v>-92.830738999999994</v>
      </c>
      <c r="AM2933">
        <v>100</v>
      </c>
      <c r="AN2933">
        <v>1500</v>
      </c>
      <c r="AO2933" t="s">
        <v>118</v>
      </c>
      <c r="AP2933">
        <v>-130</v>
      </c>
      <c r="AQ2933">
        <v>36</v>
      </c>
      <c r="AR2933">
        <v>-128</v>
      </c>
      <c r="AZ2933">
        <v>1200</v>
      </c>
      <c r="BA2933">
        <v>1</v>
      </c>
      <c r="BB2933" t="str">
        <f t="shared" si="143"/>
        <v xml:space="preserve">N8080G  </v>
      </c>
      <c r="BC2933">
        <v>1</v>
      </c>
      <c r="BE2933">
        <v>0</v>
      </c>
      <c r="BF2933">
        <v>0</v>
      </c>
      <c r="BG2933">
        <v>0</v>
      </c>
      <c r="BH2933">
        <v>1500</v>
      </c>
      <c r="BI2933">
        <v>1</v>
      </c>
      <c r="BJ2933">
        <v>1</v>
      </c>
      <c r="BK2933">
        <v>1</v>
      </c>
      <c r="BL2933">
        <v>0</v>
      </c>
      <c r="BO2933">
        <v>0</v>
      </c>
      <c r="BP2933">
        <v>0</v>
      </c>
      <c r="BW2933" t="str">
        <f>"20:30:06.575"</f>
        <v>20:30:06.575</v>
      </c>
      <c r="BZ2933">
        <v>0</v>
      </c>
      <c r="CA2933">
        <v>1600</v>
      </c>
      <c r="CB2933">
        <v>224</v>
      </c>
      <c r="CD2933">
        <v>1</v>
      </c>
      <c r="CE2933">
        <v>0</v>
      </c>
      <c r="CF2933">
        <v>0</v>
      </c>
      <c r="CG2933">
        <v>0</v>
      </c>
      <c r="CH2933">
        <v>0</v>
      </c>
      <c r="CI2933">
        <v>0</v>
      </c>
      <c r="CJ2933">
        <v>0</v>
      </c>
      <c r="CK2933">
        <v>2</v>
      </c>
      <c r="CL2933">
        <v>0</v>
      </c>
      <c r="CM2933">
        <v>2</v>
      </c>
      <c r="CN2933">
        <v>0</v>
      </c>
      <c r="CO2933">
        <v>2</v>
      </c>
      <c r="CP2933" t="s">
        <v>119</v>
      </c>
      <c r="CQ2933">
        <v>179</v>
      </c>
      <c r="CR2933">
        <v>1</v>
      </c>
      <c r="CW2933">
        <v>9120562</v>
      </c>
      <c r="CY2933">
        <v>1</v>
      </c>
      <c r="CZ2933">
        <v>0</v>
      </c>
      <c r="DA2933">
        <v>1</v>
      </c>
      <c r="DB2933">
        <v>0</v>
      </c>
      <c r="DC2933">
        <v>0</v>
      </c>
      <c r="DD2933">
        <v>0</v>
      </c>
      <c r="DE2933">
        <v>0</v>
      </c>
      <c r="DF2933">
        <v>0</v>
      </c>
      <c r="DG2933">
        <v>0</v>
      </c>
      <c r="DH2933">
        <v>0</v>
      </c>
      <c r="DI2933">
        <v>0</v>
      </c>
    </row>
    <row r="2934" spans="1:113" x14ac:dyDescent="0.3">
      <c r="A2934" t="str">
        <f>"02/08/2021 20:30:04.231"</f>
        <v>02/08/2021 20:30:04.231</v>
      </c>
      <c r="C2934" t="str">
        <f t="shared" si="141"/>
        <v>FFDFD7C0</v>
      </c>
      <c r="D2934" t="s">
        <v>113</v>
      </c>
      <c r="E2934">
        <v>6</v>
      </c>
      <c r="H2934">
        <v>165</v>
      </c>
      <c r="I2934" t="s">
        <v>114</v>
      </c>
      <c r="J2934" t="s">
        <v>115</v>
      </c>
      <c r="K2934">
        <v>0</v>
      </c>
      <c r="L2934">
        <v>3</v>
      </c>
      <c r="M2934">
        <v>0</v>
      </c>
      <c r="N2934">
        <v>2</v>
      </c>
      <c r="O2934">
        <v>1</v>
      </c>
      <c r="P2934">
        <v>0</v>
      </c>
      <c r="Q2934">
        <v>0</v>
      </c>
      <c r="S2934" t="str">
        <f>"20:30:06.570"</f>
        <v>20:30:06.570</v>
      </c>
      <c r="T2934" t="str">
        <f t="shared" si="142"/>
        <v>20:30:05.170</v>
      </c>
      <c r="U2934" t="str">
        <f t="shared" si="140"/>
        <v>AB01F4</v>
      </c>
      <c r="V2934">
        <v>0</v>
      </c>
      <c r="W2934">
        <v>0</v>
      </c>
      <c r="X2934">
        <v>2</v>
      </c>
      <c r="Z2934">
        <v>0</v>
      </c>
      <c r="AA2934">
        <v>9</v>
      </c>
      <c r="AB2934">
        <v>3</v>
      </c>
      <c r="AC2934">
        <v>0</v>
      </c>
      <c r="AD2934">
        <v>10</v>
      </c>
      <c r="AE2934">
        <v>0</v>
      </c>
      <c r="AF2934">
        <v>3</v>
      </c>
      <c r="AG2934">
        <v>2</v>
      </c>
      <c r="AH2934">
        <v>0</v>
      </c>
      <c r="AI2934" t="s">
        <v>1715</v>
      </c>
      <c r="AJ2934">
        <v>40.031346999999997</v>
      </c>
      <c r="AK2934" t="s">
        <v>1716</v>
      </c>
      <c r="AL2934">
        <v>-92.830738999999994</v>
      </c>
      <c r="AM2934">
        <v>100</v>
      </c>
      <c r="AN2934">
        <v>1500</v>
      </c>
      <c r="AO2934" t="s">
        <v>118</v>
      </c>
      <c r="AP2934">
        <v>-130</v>
      </c>
      <c r="AQ2934">
        <v>36</v>
      </c>
      <c r="AR2934">
        <v>-128</v>
      </c>
      <c r="AZ2934">
        <v>1200</v>
      </c>
      <c r="BA2934">
        <v>1</v>
      </c>
      <c r="BB2934" t="str">
        <f t="shared" si="143"/>
        <v xml:space="preserve">N8080G  </v>
      </c>
      <c r="BC2934">
        <v>1</v>
      </c>
      <c r="BE2934">
        <v>0</v>
      </c>
      <c r="BF2934">
        <v>0</v>
      </c>
      <c r="BG2934">
        <v>0</v>
      </c>
      <c r="BH2934">
        <v>1500</v>
      </c>
      <c r="BI2934">
        <v>1</v>
      </c>
      <c r="BJ2934">
        <v>1</v>
      </c>
      <c r="BK2934">
        <v>1</v>
      </c>
      <c r="BL2934">
        <v>0</v>
      </c>
      <c r="BO2934">
        <v>0</v>
      </c>
      <c r="BP2934">
        <v>0</v>
      </c>
      <c r="BW2934" t="str">
        <f>"20:30:06.575"</f>
        <v>20:30:06.575</v>
      </c>
      <c r="BZ2934">
        <v>0</v>
      </c>
      <c r="CA2934">
        <v>1600</v>
      </c>
      <c r="CB2934">
        <v>224</v>
      </c>
      <c r="CD2934">
        <v>1</v>
      </c>
      <c r="CE2934">
        <v>0</v>
      </c>
      <c r="CF2934">
        <v>0</v>
      </c>
      <c r="CG2934">
        <v>0</v>
      </c>
      <c r="CH2934">
        <v>0</v>
      </c>
      <c r="CI2934">
        <v>0</v>
      </c>
      <c r="CJ2934">
        <v>0</v>
      </c>
      <c r="CK2934">
        <v>2</v>
      </c>
      <c r="CL2934">
        <v>0</v>
      </c>
      <c r="CM2934">
        <v>2</v>
      </c>
      <c r="CN2934">
        <v>0</v>
      </c>
      <c r="CO2934">
        <v>2</v>
      </c>
      <c r="CP2934" t="s">
        <v>119</v>
      </c>
      <c r="CQ2934">
        <v>179</v>
      </c>
      <c r="CR2934">
        <v>1</v>
      </c>
      <c r="CW2934">
        <v>9120562</v>
      </c>
      <c r="CY2934">
        <v>1</v>
      </c>
      <c r="CZ2934">
        <v>0</v>
      </c>
      <c r="DA2934">
        <v>1</v>
      </c>
      <c r="DB2934">
        <v>0</v>
      </c>
      <c r="DC2934">
        <v>0</v>
      </c>
      <c r="DD2934">
        <v>0</v>
      </c>
      <c r="DE2934">
        <v>0</v>
      </c>
      <c r="DF2934">
        <v>0</v>
      </c>
      <c r="DG2934">
        <v>0</v>
      </c>
      <c r="DH2934">
        <v>0</v>
      </c>
      <c r="DI2934">
        <v>0</v>
      </c>
    </row>
    <row r="2935" spans="1:113" x14ac:dyDescent="0.3">
      <c r="A2935" t="str">
        <f>"02/08/2021 20:30:05.171"</f>
        <v>02/08/2021 20:30:05.171</v>
      </c>
      <c r="C2935" t="str">
        <f t="shared" si="141"/>
        <v>FFDFD7C0</v>
      </c>
      <c r="D2935" t="s">
        <v>113</v>
      </c>
      <c r="E2935">
        <v>6</v>
      </c>
      <c r="H2935">
        <v>165</v>
      </c>
      <c r="I2935" t="s">
        <v>114</v>
      </c>
      <c r="J2935" t="s">
        <v>115</v>
      </c>
      <c r="K2935">
        <v>0</v>
      </c>
      <c r="L2935">
        <v>3</v>
      </c>
      <c r="M2935">
        <v>0</v>
      </c>
      <c r="N2935">
        <v>2</v>
      </c>
      <c r="O2935">
        <v>1</v>
      </c>
      <c r="P2935">
        <v>0</v>
      </c>
      <c r="Q2935">
        <v>0</v>
      </c>
      <c r="S2935" t="str">
        <f>"20:30:07.469"</f>
        <v>20:30:07.469</v>
      </c>
      <c r="T2935" t="str">
        <f>"20:30:07.069"</f>
        <v>20:30:07.069</v>
      </c>
      <c r="U2935" t="str">
        <f t="shared" si="140"/>
        <v>AB01F4</v>
      </c>
      <c r="V2935">
        <v>0</v>
      </c>
      <c r="W2935">
        <v>0</v>
      </c>
      <c r="X2935">
        <v>2</v>
      </c>
      <c r="Z2935">
        <v>0</v>
      </c>
      <c r="AA2935">
        <v>9</v>
      </c>
      <c r="AB2935">
        <v>3</v>
      </c>
      <c r="AC2935">
        <v>0</v>
      </c>
      <c r="AD2935">
        <v>10</v>
      </c>
      <c r="AE2935">
        <v>0</v>
      </c>
      <c r="AF2935">
        <v>3</v>
      </c>
      <c r="AG2935">
        <v>2</v>
      </c>
      <c r="AH2935">
        <v>0</v>
      </c>
      <c r="AI2935" t="s">
        <v>1717</v>
      </c>
      <c r="AJ2935">
        <v>40.031519000000003</v>
      </c>
      <c r="AK2935" t="s">
        <v>1718</v>
      </c>
      <c r="AL2935">
        <v>-92.831468999999998</v>
      </c>
      <c r="AM2935">
        <v>100</v>
      </c>
      <c r="AN2935">
        <v>1500</v>
      </c>
      <c r="AO2935" t="s">
        <v>118</v>
      </c>
      <c r="AP2935">
        <v>-131</v>
      </c>
      <c r="AQ2935">
        <v>36</v>
      </c>
      <c r="AR2935">
        <v>-256</v>
      </c>
      <c r="AZ2935">
        <v>1200</v>
      </c>
      <c r="BA2935">
        <v>1</v>
      </c>
      <c r="BB2935" t="str">
        <f t="shared" si="143"/>
        <v xml:space="preserve">N8080G  </v>
      </c>
      <c r="BC2935">
        <v>1</v>
      </c>
      <c r="BE2935">
        <v>0</v>
      </c>
      <c r="BF2935">
        <v>0</v>
      </c>
      <c r="BG2935">
        <v>0</v>
      </c>
      <c r="BH2935">
        <v>1500</v>
      </c>
      <c r="BI2935">
        <v>1</v>
      </c>
      <c r="BJ2935">
        <v>1</v>
      </c>
      <c r="BK2935">
        <v>1</v>
      </c>
      <c r="BL2935">
        <v>0</v>
      </c>
      <c r="BO2935">
        <v>0</v>
      </c>
      <c r="BP2935">
        <v>0</v>
      </c>
      <c r="BW2935" t="str">
        <f>"20:30:07.476"</f>
        <v>20:30:07.476</v>
      </c>
      <c r="BZ2935">
        <v>0</v>
      </c>
      <c r="CA2935">
        <v>1600</v>
      </c>
      <c r="CB2935">
        <v>224</v>
      </c>
      <c r="CD2935">
        <v>1</v>
      </c>
      <c r="CE2935">
        <v>0</v>
      </c>
      <c r="CF2935">
        <v>0</v>
      </c>
      <c r="CG2935">
        <v>0</v>
      </c>
      <c r="CH2935">
        <v>0</v>
      </c>
      <c r="CI2935">
        <v>0</v>
      </c>
      <c r="CJ2935">
        <v>0</v>
      </c>
      <c r="CK2935">
        <v>2</v>
      </c>
      <c r="CL2935">
        <v>0</v>
      </c>
      <c r="CM2935">
        <v>2</v>
      </c>
      <c r="CN2935">
        <v>0</v>
      </c>
      <c r="CO2935">
        <v>7</v>
      </c>
      <c r="CP2935" t="s">
        <v>119</v>
      </c>
      <c r="CQ2935">
        <v>180</v>
      </c>
      <c r="CR2935">
        <v>3</v>
      </c>
      <c r="CW2935">
        <v>1012942</v>
      </c>
      <c r="CY2935">
        <v>1</v>
      </c>
      <c r="CZ2935">
        <v>0</v>
      </c>
      <c r="DA2935">
        <v>0</v>
      </c>
      <c r="DB2935">
        <v>0</v>
      </c>
      <c r="DC2935">
        <v>0</v>
      </c>
      <c r="DD2935">
        <v>0</v>
      </c>
      <c r="DE2935">
        <v>0</v>
      </c>
      <c r="DF2935">
        <v>0</v>
      </c>
      <c r="DG2935">
        <v>0</v>
      </c>
      <c r="DH2935">
        <v>0</v>
      </c>
      <c r="DI2935">
        <v>0</v>
      </c>
    </row>
    <row r="2936" spans="1:113" x14ac:dyDescent="0.3">
      <c r="A2936" t="str">
        <f>"02/08/2021 20:30:05.171"</f>
        <v>02/08/2021 20:30:05.171</v>
      </c>
      <c r="C2936" t="str">
        <f t="shared" si="141"/>
        <v>FFDFD7C0</v>
      </c>
      <c r="D2936" t="s">
        <v>124</v>
      </c>
      <c r="E2936">
        <v>12</v>
      </c>
      <c r="F2936">
        <v>1012</v>
      </c>
      <c r="G2936" t="s">
        <v>675</v>
      </c>
      <c r="J2936" t="s">
        <v>125</v>
      </c>
      <c r="K2936">
        <v>0</v>
      </c>
      <c r="L2936">
        <v>3</v>
      </c>
      <c r="M2936">
        <v>0</v>
      </c>
      <c r="N2936">
        <v>2</v>
      </c>
      <c r="O2936">
        <v>1</v>
      </c>
      <c r="P2936">
        <v>0</v>
      </c>
      <c r="Q2936">
        <v>0</v>
      </c>
      <c r="S2936" t="str">
        <f>"20:30:07.469"</f>
        <v>20:30:07.469</v>
      </c>
      <c r="T2936" t="str">
        <f>"20:30:07.069"</f>
        <v>20:30:07.069</v>
      </c>
      <c r="U2936" t="str">
        <f t="shared" si="140"/>
        <v>AB01F4</v>
      </c>
      <c r="V2936">
        <v>0</v>
      </c>
      <c r="W2936">
        <v>0</v>
      </c>
      <c r="X2936">
        <v>2</v>
      </c>
      <c r="Z2936">
        <v>0</v>
      </c>
      <c r="AA2936">
        <v>9</v>
      </c>
      <c r="AB2936">
        <v>3</v>
      </c>
      <c r="AC2936">
        <v>0</v>
      </c>
      <c r="AD2936">
        <v>10</v>
      </c>
      <c r="AE2936">
        <v>0</v>
      </c>
      <c r="AF2936">
        <v>3</v>
      </c>
      <c r="AG2936">
        <v>2</v>
      </c>
      <c r="AH2936">
        <v>0</v>
      </c>
      <c r="AI2936" t="s">
        <v>1717</v>
      </c>
      <c r="AJ2936">
        <v>40.031519000000003</v>
      </c>
      <c r="AK2936" t="s">
        <v>1718</v>
      </c>
      <c r="AL2936">
        <v>-92.831468999999998</v>
      </c>
      <c r="AM2936">
        <v>100</v>
      </c>
      <c r="AN2936">
        <v>1500</v>
      </c>
      <c r="AO2936" t="s">
        <v>118</v>
      </c>
      <c r="AP2936">
        <v>-131</v>
      </c>
      <c r="AQ2936">
        <v>36</v>
      </c>
      <c r="AR2936">
        <v>-256</v>
      </c>
      <c r="AZ2936">
        <v>1200</v>
      </c>
      <c r="BA2936">
        <v>1</v>
      </c>
      <c r="BB2936" t="str">
        <f t="shared" si="143"/>
        <v xml:space="preserve">N8080G  </v>
      </c>
      <c r="BC2936">
        <v>1</v>
      </c>
      <c r="BE2936">
        <v>0</v>
      </c>
      <c r="BF2936">
        <v>0</v>
      </c>
      <c r="BG2936">
        <v>0</v>
      </c>
      <c r="BH2936">
        <v>1500</v>
      </c>
      <c r="BI2936">
        <v>1</v>
      </c>
      <c r="BJ2936">
        <v>1</v>
      </c>
      <c r="BK2936">
        <v>1</v>
      </c>
      <c r="BL2936">
        <v>0</v>
      </c>
      <c r="BO2936">
        <v>0</v>
      </c>
      <c r="BP2936">
        <v>0</v>
      </c>
      <c r="BW2936" t="str">
        <f>"20:30:07.476"</f>
        <v>20:30:07.476</v>
      </c>
      <c r="BZ2936">
        <v>0</v>
      </c>
      <c r="CA2936">
        <v>1600</v>
      </c>
      <c r="CB2936">
        <v>224</v>
      </c>
      <c r="CD2936">
        <v>1</v>
      </c>
      <c r="CE2936">
        <v>0</v>
      </c>
      <c r="CF2936">
        <v>0</v>
      </c>
      <c r="CG2936">
        <v>0</v>
      </c>
      <c r="CH2936">
        <v>0</v>
      </c>
      <c r="CI2936">
        <v>0</v>
      </c>
      <c r="CJ2936">
        <v>0</v>
      </c>
      <c r="CK2936">
        <v>2</v>
      </c>
      <c r="CL2936">
        <v>0</v>
      </c>
      <c r="CM2936">
        <v>2</v>
      </c>
      <c r="CN2936">
        <v>0</v>
      </c>
      <c r="CO2936">
        <v>7</v>
      </c>
      <c r="CP2936" t="s">
        <v>119</v>
      </c>
      <c r="CQ2936">
        <v>180</v>
      </c>
      <c r="CR2936">
        <v>3</v>
      </c>
      <c r="CW2936">
        <v>1012942</v>
      </c>
      <c r="CY2936">
        <v>1</v>
      </c>
      <c r="CZ2936">
        <v>0</v>
      </c>
      <c r="DA2936">
        <v>1</v>
      </c>
      <c r="DB2936">
        <v>0</v>
      </c>
      <c r="DC2936">
        <v>0</v>
      </c>
      <c r="DD2936">
        <v>0</v>
      </c>
      <c r="DE2936">
        <v>0</v>
      </c>
      <c r="DF2936">
        <v>0</v>
      </c>
      <c r="DG2936">
        <v>0</v>
      </c>
      <c r="DH2936">
        <v>0</v>
      </c>
      <c r="DI2936">
        <v>0</v>
      </c>
    </row>
    <row r="2937" spans="1:113" x14ac:dyDescent="0.3">
      <c r="A2937" t="str">
        <f>"02/08/2021 20:30:05.171"</f>
        <v>02/08/2021 20:30:05.171</v>
      </c>
      <c r="C2937" t="str">
        <f t="shared" si="141"/>
        <v>FFDFD7C0</v>
      </c>
      <c r="D2937" t="s">
        <v>124</v>
      </c>
      <c r="E2937">
        <v>13</v>
      </c>
      <c r="F2937">
        <v>1013</v>
      </c>
      <c r="G2937" t="s">
        <v>114</v>
      </c>
      <c r="J2937" t="s">
        <v>125</v>
      </c>
      <c r="K2937">
        <v>0</v>
      </c>
      <c r="L2937">
        <v>3</v>
      </c>
      <c r="M2937">
        <v>0</v>
      </c>
      <c r="N2937">
        <v>2</v>
      </c>
      <c r="O2937">
        <v>1</v>
      </c>
      <c r="P2937">
        <v>0</v>
      </c>
      <c r="Q2937">
        <v>0</v>
      </c>
      <c r="S2937" t="str">
        <f>"20:30:07.469"</f>
        <v>20:30:07.469</v>
      </c>
      <c r="T2937" t="str">
        <f>"20:30:07.069"</f>
        <v>20:30:07.069</v>
      </c>
      <c r="U2937" t="str">
        <f t="shared" si="140"/>
        <v>AB01F4</v>
      </c>
      <c r="V2937">
        <v>0</v>
      </c>
      <c r="W2937">
        <v>0</v>
      </c>
      <c r="X2937">
        <v>2</v>
      </c>
      <c r="Z2937">
        <v>0</v>
      </c>
      <c r="AA2937">
        <v>9</v>
      </c>
      <c r="AB2937">
        <v>3</v>
      </c>
      <c r="AC2937">
        <v>0</v>
      </c>
      <c r="AD2937">
        <v>10</v>
      </c>
      <c r="AE2937">
        <v>0</v>
      </c>
      <c r="AF2937">
        <v>3</v>
      </c>
      <c r="AG2937">
        <v>2</v>
      </c>
      <c r="AH2937">
        <v>0</v>
      </c>
      <c r="AI2937" t="s">
        <v>1717</v>
      </c>
      <c r="AJ2937">
        <v>40.031519000000003</v>
      </c>
      <c r="AK2937" t="s">
        <v>1718</v>
      </c>
      <c r="AL2937">
        <v>-92.831468999999998</v>
      </c>
      <c r="AM2937">
        <v>100</v>
      </c>
      <c r="AN2937">
        <v>1500</v>
      </c>
      <c r="AO2937" t="s">
        <v>118</v>
      </c>
      <c r="AP2937">
        <v>-131</v>
      </c>
      <c r="AQ2937">
        <v>36</v>
      </c>
      <c r="AR2937">
        <v>-256</v>
      </c>
      <c r="AZ2937">
        <v>1200</v>
      </c>
      <c r="BA2937">
        <v>1</v>
      </c>
      <c r="BB2937" t="str">
        <f t="shared" si="143"/>
        <v xml:space="preserve">N8080G  </v>
      </c>
      <c r="BC2937">
        <v>1</v>
      </c>
      <c r="BE2937">
        <v>0</v>
      </c>
      <c r="BF2937">
        <v>0</v>
      </c>
      <c r="BG2937">
        <v>0</v>
      </c>
      <c r="BH2937">
        <v>1500</v>
      </c>
      <c r="BI2937">
        <v>1</v>
      </c>
      <c r="BJ2937">
        <v>1</v>
      </c>
      <c r="BK2937">
        <v>1</v>
      </c>
      <c r="BL2937">
        <v>0</v>
      </c>
      <c r="BO2937">
        <v>0</v>
      </c>
      <c r="BP2937">
        <v>0</v>
      </c>
      <c r="BW2937" t="str">
        <f>"20:30:07.476"</f>
        <v>20:30:07.476</v>
      </c>
      <c r="BZ2937">
        <v>0</v>
      </c>
      <c r="CA2937">
        <v>1600</v>
      </c>
      <c r="CB2937">
        <v>224</v>
      </c>
      <c r="CD2937">
        <v>1</v>
      </c>
      <c r="CE2937">
        <v>0</v>
      </c>
      <c r="CF2937">
        <v>0</v>
      </c>
      <c r="CG2937">
        <v>0</v>
      </c>
      <c r="CH2937">
        <v>0</v>
      </c>
      <c r="CI2937">
        <v>0</v>
      </c>
      <c r="CJ2937">
        <v>0</v>
      </c>
      <c r="CK2937">
        <v>2</v>
      </c>
      <c r="CL2937">
        <v>0</v>
      </c>
      <c r="CM2937">
        <v>2</v>
      </c>
      <c r="CN2937">
        <v>0</v>
      </c>
      <c r="CO2937">
        <v>7</v>
      </c>
      <c r="CP2937" t="s">
        <v>119</v>
      </c>
      <c r="CQ2937">
        <v>180</v>
      </c>
      <c r="CR2937">
        <v>3</v>
      </c>
      <c r="CW2937">
        <v>1012942</v>
      </c>
      <c r="CY2937">
        <v>1</v>
      </c>
      <c r="CZ2937">
        <v>0</v>
      </c>
      <c r="DA2937">
        <v>1</v>
      </c>
      <c r="DB2937">
        <v>0</v>
      </c>
      <c r="DC2937">
        <v>0</v>
      </c>
      <c r="DD2937">
        <v>0</v>
      </c>
      <c r="DE2937">
        <v>0</v>
      </c>
      <c r="DF2937">
        <v>0</v>
      </c>
      <c r="DG2937">
        <v>0</v>
      </c>
      <c r="DH2937">
        <v>0</v>
      </c>
      <c r="DI2937">
        <v>0</v>
      </c>
    </row>
    <row r="2938" spans="1:113" x14ac:dyDescent="0.3">
      <c r="A2938" t="str">
        <f>"02/08/2021 20:30:05.171"</f>
        <v>02/08/2021 20:30:05.171</v>
      </c>
      <c r="C2938" t="str">
        <f t="shared" si="141"/>
        <v>FFDFD7C0</v>
      </c>
      <c r="D2938" t="s">
        <v>124</v>
      </c>
      <c r="E2938">
        <v>11</v>
      </c>
      <c r="F2938">
        <v>1011</v>
      </c>
      <c r="G2938" t="s">
        <v>590</v>
      </c>
      <c r="J2938" t="s">
        <v>125</v>
      </c>
      <c r="K2938">
        <v>0</v>
      </c>
      <c r="L2938">
        <v>3</v>
      </c>
      <c r="M2938">
        <v>0</v>
      </c>
      <c r="N2938">
        <v>2</v>
      </c>
      <c r="O2938">
        <v>1</v>
      </c>
      <c r="P2938">
        <v>0</v>
      </c>
      <c r="Q2938">
        <v>0</v>
      </c>
      <c r="S2938" t="str">
        <f>"20:30:07.469"</f>
        <v>20:30:07.469</v>
      </c>
      <c r="T2938" t="str">
        <f>"20:30:07.069"</f>
        <v>20:30:07.069</v>
      </c>
      <c r="U2938" t="str">
        <f t="shared" si="140"/>
        <v>AB01F4</v>
      </c>
      <c r="V2938">
        <v>0</v>
      </c>
      <c r="W2938">
        <v>0</v>
      </c>
      <c r="X2938">
        <v>2</v>
      </c>
      <c r="Z2938">
        <v>0</v>
      </c>
      <c r="AA2938">
        <v>9</v>
      </c>
      <c r="AB2938">
        <v>3</v>
      </c>
      <c r="AC2938">
        <v>0</v>
      </c>
      <c r="AD2938">
        <v>10</v>
      </c>
      <c r="AE2938">
        <v>0</v>
      </c>
      <c r="AF2938">
        <v>3</v>
      </c>
      <c r="AG2938">
        <v>2</v>
      </c>
      <c r="AH2938">
        <v>0</v>
      </c>
      <c r="AI2938" t="s">
        <v>1717</v>
      </c>
      <c r="AJ2938">
        <v>40.031519000000003</v>
      </c>
      <c r="AK2938" t="s">
        <v>1718</v>
      </c>
      <c r="AL2938">
        <v>-92.831468999999998</v>
      </c>
      <c r="AM2938">
        <v>100</v>
      </c>
      <c r="AN2938">
        <v>1500</v>
      </c>
      <c r="AO2938" t="s">
        <v>118</v>
      </c>
      <c r="AP2938">
        <v>-131</v>
      </c>
      <c r="AQ2938">
        <v>36</v>
      </c>
      <c r="AR2938">
        <v>-256</v>
      </c>
      <c r="AZ2938">
        <v>1200</v>
      </c>
      <c r="BA2938">
        <v>1</v>
      </c>
      <c r="BB2938" t="str">
        <f t="shared" si="143"/>
        <v xml:space="preserve">N8080G  </v>
      </c>
      <c r="BC2938">
        <v>1</v>
      </c>
      <c r="BE2938">
        <v>0</v>
      </c>
      <c r="BF2938">
        <v>0</v>
      </c>
      <c r="BG2938">
        <v>0</v>
      </c>
      <c r="BH2938">
        <v>1500</v>
      </c>
      <c r="BI2938">
        <v>1</v>
      </c>
      <c r="BJ2938">
        <v>1</v>
      </c>
      <c r="BK2938">
        <v>1</v>
      </c>
      <c r="BL2938">
        <v>0</v>
      </c>
      <c r="BO2938">
        <v>0</v>
      </c>
      <c r="BP2938">
        <v>0</v>
      </c>
      <c r="BW2938" t="str">
        <f>"20:30:07.476"</f>
        <v>20:30:07.476</v>
      </c>
      <c r="BZ2938">
        <v>0</v>
      </c>
      <c r="CA2938">
        <v>1600</v>
      </c>
      <c r="CB2938">
        <v>224</v>
      </c>
      <c r="CD2938">
        <v>1</v>
      </c>
      <c r="CE2938">
        <v>0</v>
      </c>
      <c r="CF2938">
        <v>0</v>
      </c>
      <c r="CG2938">
        <v>0</v>
      </c>
      <c r="CH2938">
        <v>0</v>
      </c>
      <c r="CI2938">
        <v>0</v>
      </c>
      <c r="CJ2938">
        <v>0</v>
      </c>
      <c r="CK2938">
        <v>2</v>
      </c>
      <c r="CL2938">
        <v>0</v>
      </c>
      <c r="CM2938">
        <v>2</v>
      </c>
      <c r="CN2938">
        <v>0</v>
      </c>
      <c r="CO2938">
        <v>7</v>
      </c>
      <c r="CP2938" t="s">
        <v>119</v>
      </c>
      <c r="CQ2938">
        <v>180</v>
      </c>
      <c r="CR2938">
        <v>3</v>
      </c>
      <c r="CW2938">
        <v>1012942</v>
      </c>
      <c r="CY2938">
        <v>1</v>
      </c>
      <c r="CZ2938">
        <v>0</v>
      </c>
      <c r="DA2938">
        <v>1</v>
      </c>
      <c r="DB2938">
        <v>0</v>
      </c>
      <c r="DC2938">
        <v>0</v>
      </c>
      <c r="DD2938">
        <v>0</v>
      </c>
      <c r="DE2938">
        <v>0</v>
      </c>
      <c r="DF2938">
        <v>0</v>
      </c>
      <c r="DG2938">
        <v>0</v>
      </c>
      <c r="DH2938">
        <v>0</v>
      </c>
      <c r="DI2938">
        <v>0</v>
      </c>
    </row>
    <row r="2939" spans="1:113" x14ac:dyDescent="0.3">
      <c r="A2939" t="str">
        <f>"02/08/2021 20:30:06.013"</f>
        <v>02/08/2021 20:30:06.013</v>
      </c>
      <c r="C2939" t="str">
        <f t="shared" si="141"/>
        <v>FFDFD7C0</v>
      </c>
      <c r="D2939" t="s">
        <v>124</v>
      </c>
      <c r="E2939">
        <v>13</v>
      </c>
      <c r="F2939">
        <v>1013</v>
      </c>
      <c r="G2939" t="s">
        <v>114</v>
      </c>
      <c r="J2939" t="s">
        <v>125</v>
      </c>
      <c r="K2939">
        <v>0</v>
      </c>
      <c r="L2939">
        <v>3</v>
      </c>
      <c r="M2939">
        <v>0</v>
      </c>
      <c r="N2939">
        <v>2</v>
      </c>
      <c r="O2939">
        <v>1</v>
      </c>
      <c r="P2939">
        <v>0</v>
      </c>
      <c r="Q2939">
        <v>0</v>
      </c>
      <c r="S2939" t="str">
        <f>"20:30:08.336"</f>
        <v>20:30:08.336</v>
      </c>
      <c r="T2939" t="str">
        <f>"20:30:07.936"</f>
        <v>20:30:07.936</v>
      </c>
      <c r="U2939" t="str">
        <f t="shared" si="140"/>
        <v>AB01F4</v>
      </c>
      <c r="V2939">
        <v>0</v>
      </c>
      <c r="W2939">
        <v>0</v>
      </c>
      <c r="X2939">
        <v>2</v>
      </c>
      <c r="Z2939">
        <v>0</v>
      </c>
      <c r="AA2939">
        <v>9</v>
      </c>
      <c r="AB2939">
        <v>3</v>
      </c>
      <c r="AC2939">
        <v>0</v>
      </c>
      <c r="AD2939">
        <v>10</v>
      </c>
      <c r="AE2939">
        <v>0</v>
      </c>
      <c r="AF2939">
        <v>3</v>
      </c>
      <c r="AG2939">
        <v>2</v>
      </c>
      <c r="AH2939">
        <v>0</v>
      </c>
      <c r="AI2939" t="s">
        <v>1719</v>
      </c>
      <c r="AJ2939">
        <v>40.031669000000001</v>
      </c>
      <c r="AK2939" t="s">
        <v>1720</v>
      </c>
      <c r="AL2939">
        <v>-92.832220000000007</v>
      </c>
      <c r="AM2939">
        <v>100</v>
      </c>
      <c r="AN2939">
        <v>1500</v>
      </c>
      <c r="AO2939" t="s">
        <v>118</v>
      </c>
      <c r="AP2939">
        <v>-131</v>
      </c>
      <c r="AQ2939">
        <v>36</v>
      </c>
      <c r="AR2939">
        <v>-256</v>
      </c>
      <c r="AZ2939">
        <v>1200</v>
      </c>
      <c r="BA2939">
        <v>1</v>
      </c>
      <c r="BB2939" t="str">
        <f t="shared" si="143"/>
        <v xml:space="preserve">N8080G  </v>
      </c>
      <c r="BC2939">
        <v>1</v>
      </c>
      <c r="BE2939">
        <v>0</v>
      </c>
      <c r="BF2939">
        <v>0</v>
      </c>
      <c r="BG2939">
        <v>0</v>
      </c>
      <c r="BH2939">
        <v>1500</v>
      </c>
      <c r="BI2939">
        <v>1</v>
      </c>
      <c r="BJ2939">
        <v>1</v>
      </c>
      <c r="BK2939">
        <v>1</v>
      </c>
      <c r="BL2939">
        <v>0</v>
      </c>
      <c r="BO2939">
        <v>0</v>
      </c>
      <c r="BP2939">
        <v>0</v>
      </c>
      <c r="BW2939" t="str">
        <f>"20:30:08.338"</f>
        <v>20:30:08.338</v>
      </c>
      <c r="BZ2939">
        <v>0</v>
      </c>
      <c r="CA2939">
        <v>1600</v>
      </c>
      <c r="CB2939">
        <v>224</v>
      </c>
      <c r="CD2939">
        <v>1</v>
      </c>
      <c r="CE2939">
        <v>0</v>
      </c>
      <c r="CF2939">
        <v>0</v>
      </c>
      <c r="CG2939">
        <v>0</v>
      </c>
      <c r="CH2939">
        <v>0</v>
      </c>
      <c r="CI2939">
        <v>0</v>
      </c>
      <c r="CJ2939">
        <v>0</v>
      </c>
      <c r="CK2939">
        <v>2</v>
      </c>
      <c r="CL2939">
        <v>0</v>
      </c>
      <c r="CM2939">
        <v>2</v>
      </c>
      <c r="CN2939">
        <v>0</v>
      </c>
      <c r="CO2939">
        <v>2</v>
      </c>
      <c r="CP2939" t="s">
        <v>119</v>
      </c>
      <c r="CQ2939">
        <v>179</v>
      </c>
      <c r="CR2939">
        <v>1</v>
      </c>
      <c r="CW2939">
        <v>9122032</v>
      </c>
      <c r="CY2939">
        <v>1</v>
      </c>
      <c r="CZ2939">
        <v>0</v>
      </c>
      <c r="DA2939">
        <v>0</v>
      </c>
      <c r="DB2939">
        <v>0</v>
      </c>
      <c r="DC2939">
        <v>0</v>
      </c>
      <c r="DD2939">
        <v>0</v>
      </c>
      <c r="DE2939">
        <v>0</v>
      </c>
      <c r="DF2939">
        <v>0</v>
      </c>
      <c r="DG2939">
        <v>0</v>
      </c>
      <c r="DH2939">
        <v>0</v>
      </c>
      <c r="DI2939">
        <v>0</v>
      </c>
    </row>
    <row r="2940" spans="1:113" x14ac:dyDescent="0.3">
      <c r="A2940" t="str">
        <f>"02/08/2021 20:30:06.013"</f>
        <v>02/08/2021 20:30:06.013</v>
      </c>
      <c r="C2940" t="str">
        <f t="shared" si="141"/>
        <v>FFDFD7C0</v>
      </c>
      <c r="D2940" t="s">
        <v>124</v>
      </c>
      <c r="E2940">
        <v>11</v>
      </c>
      <c r="F2940">
        <v>1011</v>
      </c>
      <c r="G2940" t="s">
        <v>590</v>
      </c>
      <c r="J2940" t="s">
        <v>125</v>
      </c>
      <c r="K2940">
        <v>0</v>
      </c>
      <c r="L2940">
        <v>3</v>
      </c>
      <c r="M2940">
        <v>0</v>
      </c>
      <c r="N2940">
        <v>2</v>
      </c>
      <c r="O2940">
        <v>1</v>
      </c>
      <c r="P2940">
        <v>0</v>
      </c>
      <c r="Q2940">
        <v>0</v>
      </c>
      <c r="S2940" t="str">
        <f>"20:30:08.336"</f>
        <v>20:30:08.336</v>
      </c>
      <c r="T2940" t="str">
        <f>"20:30:07.936"</f>
        <v>20:30:07.936</v>
      </c>
      <c r="U2940" t="str">
        <f t="shared" si="140"/>
        <v>AB01F4</v>
      </c>
      <c r="V2940">
        <v>0</v>
      </c>
      <c r="W2940">
        <v>0</v>
      </c>
      <c r="X2940">
        <v>2</v>
      </c>
      <c r="Z2940">
        <v>0</v>
      </c>
      <c r="AA2940">
        <v>9</v>
      </c>
      <c r="AB2940">
        <v>3</v>
      </c>
      <c r="AC2940">
        <v>0</v>
      </c>
      <c r="AD2940">
        <v>10</v>
      </c>
      <c r="AE2940">
        <v>0</v>
      </c>
      <c r="AF2940">
        <v>3</v>
      </c>
      <c r="AG2940">
        <v>2</v>
      </c>
      <c r="AH2940">
        <v>0</v>
      </c>
      <c r="AI2940" t="s">
        <v>1719</v>
      </c>
      <c r="AJ2940">
        <v>40.031669000000001</v>
      </c>
      <c r="AK2940" t="s">
        <v>1720</v>
      </c>
      <c r="AL2940">
        <v>-92.832220000000007</v>
      </c>
      <c r="AM2940">
        <v>100</v>
      </c>
      <c r="AN2940">
        <v>1500</v>
      </c>
      <c r="AO2940" t="s">
        <v>118</v>
      </c>
      <c r="AP2940">
        <v>-131</v>
      </c>
      <c r="AQ2940">
        <v>36</v>
      </c>
      <c r="AR2940">
        <v>-256</v>
      </c>
      <c r="AZ2940">
        <v>1200</v>
      </c>
      <c r="BA2940">
        <v>1</v>
      </c>
      <c r="BB2940" t="str">
        <f t="shared" si="143"/>
        <v xml:space="preserve">N8080G  </v>
      </c>
      <c r="BC2940">
        <v>1</v>
      </c>
      <c r="BE2940">
        <v>0</v>
      </c>
      <c r="BF2940">
        <v>0</v>
      </c>
      <c r="BG2940">
        <v>0</v>
      </c>
      <c r="BH2940">
        <v>1500</v>
      </c>
      <c r="BI2940">
        <v>1</v>
      </c>
      <c r="BJ2940">
        <v>1</v>
      </c>
      <c r="BK2940">
        <v>1</v>
      </c>
      <c r="BL2940">
        <v>0</v>
      </c>
      <c r="BO2940">
        <v>0</v>
      </c>
      <c r="BP2940">
        <v>0</v>
      </c>
      <c r="BW2940" t="str">
        <f>"20:30:08.338"</f>
        <v>20:30:08.338</v>
      </c>
      <c r="BZ2940">
        <v>0</v>
      </c>
      <c r="CA2940">
        <v>1600</v>
      </c>
      <c r="CB2940">
        <v>224</v>
      </c>
      <c r="CD2940">
        <v>1</v>
      </c>
      <c r="CE2940">
        <v>0</v>
      </c>
      <c r="CF2940">
        <v>0</v>
      </c>
      <c r="CG2940">
        <v>0</v>
      </c>
      <c r="CH2940">
        <v>0</v>
      </c>
      <c r="CI2940">
        <v>0</v>
      </c>
      <c r="CJ2940">
        <v>0</v>
      </c>
      <c r="CK2940">
        <v>2</v>
      </c>
      <c r="CL2940">
        <v>0</v>
      </c>
      <c r="CM2940">
        <v>2</v>
      </c>
      <c r="CN2940">
        <v>0</v>
      </c>
      <c r="CO2940">
        <v>2</v>
      </c>
      <c r="CP2940" t="s">
        <v>119</v>
      </c>
      <c r="CQ2940">
        <v>179</v>
      </c>
      <c r="CR2940">
        <v>1</v>
      </c>
      <c r="CW2940">
        <v>9122032</v>
      </c>
      <c r="CY2940">
        <v>1</v>
      </c>
      <c r="CZ2940">
        <v>0</v>
      </c>
      <c r="DA2940">
        <v>1</v>
      </c>
      <c r="DB2940">
        <v>0</v>
      </c>
      <c r="DC2940">
        <v>0</v>
      </c>
      <c r="DD2940">
        <v>0</v>
      </c>
      <c r="DE2940">
        <v>0</v>
      </c>
      <c r="DF2940">
        <v>0</v>
      </c>
      <c r="DG2940">
        <v>0</v>
      </c>
      <c r="DH2940">
        <v>0</v>
      </c>
      <c r="DI2940">
        <v>0</v>
      </c>
    </row>
    <row r="2941" spans="1:113" x14ac:dyDescent="0.3">
      <c r="A2941" t="str">
        <f>"02/08/2021 20:30:06.013"</f>
        <v>02/08/2021 20:30:06.013</v>
      </c>
      <c r="C2941" t="str">
        <f t="shared" si="141"/>
        <v>FFDFD7C0</v>
      </c>
      <c r="D2941" t="s">
        <v>113</v>
      </c>
      <c r="E2941">
        <v>6</v>
      </c>
      <c r="H2941">
        <v>165</v>
      </c>
      <c r="I2941" t="s">
        <v>114</v>
      </c>
      <c r="J2941" t="s">
        <v>115</v>
      </c>
      <c r="K2941">
        <v>0</v>
      </c>
      <c r="L2941">
        <v>3</v>
      </c>
      <c r="M2941">
        <v>0</v>
      </c>
      <c r="N2941">
        <v>2</v>
      </c>
      <c r="O2941">
        <v>1</v>
      </c>
      <c r="P2941">
        <v>0</v>
      </c>
      <c r="Q2941">
        <v>0</v>
      </c>
      <c r="S2941" t="str">
        <f>"20:30:08.336"</f>
        <v>20:30:08.336</v>
      </c>
      <c r="T2941" t="str">
        <f>"20:30:07.936"</f>
        <v>20:30:07.936</v>
      </c>
      <c r="U2941" t="str">
        <f t="shared" si="140"/>
        <v>AB01F4</v>
      </c>
      <c r="V2941">
        <v>0</v>
      </c>
      <c r="W2941">
        <v>0</v>
      </c>
      <c r="X2941">
        <v>2</v>
      </c>
      <c r="Z2941">
        <v>0</v>
      </c>
      <c r="AA2941">
        <v>9</v>
      </c>
      <c r="AB2941">
        <v>3</v>
      </c>
      <c r="AC2941">
        <v>0</v>
      </c>
      <c r="AD2941">
        <v>10</v>
      </c>
      <c r="AE2941">
        <v>0</v>
      </c>
      <c r="AF2941">
        <v>3</v>
      </c>
      <c r="AG2941">
        <v>2</v>
      </c>
      <c r="AH2941">
        <v>0</v>
      </c>
      <c r="AI2941" t="s">
        <v>1719</v>
      </c>
      <c r="AJ2941">
        <v>40.031669000000001</v>
      </c>
      <c r="AK2941" t="s">
        <v>1720</v>
      </c>
      <c r="AL2941">
        <v>-92.832220000000007</v>
      </c>
      <c r="AM2941">
        <v>100</v>
      </c>
      <c r="AN2941">
        <v>1500</v>
      </c>
      <c r="AO2941" t="s">
        <v>118</v>
      </c>
      <c r="AP2941">
        <v>-131</v>
      </c>
      <c r="AQ2941">
        <v>36</v>
      </c>
      <c r="AR2941">
        <v>-256</v>
      </c>
      <c r="AZ2941">
        <v>1200</v>
      </c>
      <c r="BA2941">
        <v>1</v>
      </c>
      <c r="BB2941" t="str">
        <f t="shared" si="143"/>
        <v xml:space="preserve">N8080G  </v>
      </c>
      <c r="BC2941">
        <v>1</v>
      </c>
      <c r="BE2941">
        <v>0</v>
      </c>
      <c r="BF2941">
        <v>0</v>
      </c>
      <c r="BG2941">
        <v>0</v>
      </c>
      <c r="BH2941">
        <v>1500</v>
      </c>
      <c r="BI2941">
        <v>1</v>
      </c>
      <c r="BJ2941">
        <v>1</v>
      </c>
      <c r="BK2941">
        <v>1</v>
      </c>
      <c r="BL2941">
        <v>0</v>
      </c>
      <c r="BO2941">
        <v>0</v>
      </c>
      <c r="BP2941">
        <v>0</v>
      </c>
      <c r="BW2941" t="str">
        <f>"20:30:08.338"</f>
        <v>20:30:08.338</v>
      </c>
      <c r="BZ2941">
        <v>0</v>
      </c>
      <c r="CA2941">
        <v>1600</v>
      </c>
      <c r="CB2941">
        <v>224</v>
      </c>
      <c r="CD2941">
        <v>1</v>
      </c>
      <c r="CE2941">
        <v>0</v>
      </c>
      <c r="CF2941">
        <v>0</v>
      </c>
      <c r="CG2941">
        <v>0</v>
      </c>
      <c r="CH2941">
        <v>0</v>
      </c>
      <c r="CI2941">
        <v>0</v>
      </c>
      <c r="CJ2941">
        <v>0</v>
      </c>
      <c r="CK2941">
        <v>2</v>
      </c>
      <c r="CL2941">
        <v>0</v>
      </c>
      <c r="CM2941">
        <v>2</v>
      </c>
      <c r="CN2941">
        <v>0</v>
      </c>
      <c r="CO2941">
        <v>2</v>
      </c>
      <c r="CP2941" t="s">
        <v>119</v>
      </c>
      <c r="CQ2941">
        <v>179</v>
      </c>
      <c r="CR2941">
        <v>1</v>
      </c>
      <c r="CW2941">
        <v>9122032</v>
      </c>
      <c r="CY2941">
        <v>1</v>
      </c>
      <c r="CZ2941">
        <v>0</v>
      </c>
      <c r="DA2941">
        <v>1</v>
      </c>
      <c r="DB2941">
        <v>0</v>
      </c>
      <c r="DC2941">
        <v>0</v>
      </c>
      <c r="DD2941">
        <v>0</v>
      </c>
      <c r="DE2941">
        <v>0</v>
      </c>
      <c r="DF2941">
        <v>0</v>
      </c>
      <c r="DG2941">
        <v>0</v>
      </c>
      <c r="DH2941">
        <v>0</v>
      </c>
      <c r="DI2941">
        <v>0</v>
      </c>
    </row>
    <row r="2942" spans="1:113" x14ac:dyDescent="0.3">
      <c r="A2942" t="str">
        <f>"02/08/2021 20:30:06.013"</f>
        <v>02/08/2021 20:30:06.013</v>
      </c>
      <c r="C2942" t="str">
        <f t="shared" si="141"/>
        <v>FFDFD7C0</v>
      </c>
      <c r="D2942" t="s">
        <v>124</v>
      </c>
      <c r="E2942">
        <v>12</v>
      </c>
      <c r="F2942">
        <v>1012</v>
      </c>
      <c r="G2942" t="s">
        <v>675</v>
      </c>
      <c r="J2942" t="s">
        <v>125</v>
      </c>
      <c r="K2942">
        <v>0</v>
      </c>
      <c r="L2942">
        <v>3</v>
      </c>
      <c r="M2942">
        <v>0</v>
      </c>
      <c r="N2942">
        <v>2</v>
      </c>
      <c r="O2942">
        <v>1</v>
      </c>
      <c r="P2942">
        <v>0</v>
      </c>
      <c r="Q2942">
        <v>0</v>
      </c>
      <c r="S2942" t="str">
        <f>"20:30:08.336"</f>
        <v>20:30:08.336</v>
      </c>
      <c r="T2942" t="str">
        <f>"20:30:07.936"</f>
        <v>20:30:07.936</v>
      </c>
      <c r="U2942" t="str">
        <f t="shared" si="140"/>
        <v>AB01F4</v>
      </c>
      <c r="V2942">
        <v>0</v>
      </c>
      <c r="W2942">
        <v>0</v>
      </c>
      <c r="X2942">
        <v>2</v>
      </c>
      <c r="Z2942">
        <v>0</v>
      </c>
      <c r="AA2942">
        <v>9</v>
      </c>
      <c r="AB2942">
        <v>3</v>
      </c>
      <c r="AC2942">
        <v>0</v>
      </c>
      <c r="AD2942">
        <v>10</v>
      </c>
      <c r="AE2942">
        <v>0</v>
      </c>
      <c r="AF2942">
        <v>3</v>
      </c>
      <c r="AG2942">
        <v>2</v>
      </c>
      <c r="AH2942">
        <v>0</v>
      </c>
      <c r="AI2942" t="s">
        <v>1719</v>
      </c>
      <c r="AJ2942">
        <v>40.031669000000001</v>
      </c>
      <c r="AK2942" t="s">
        <v>1720</v>
      </c>
      <c r="AL2942">
        <v>-92.832220000000007</v>
      </c>
      <c r="AM2942">
        <v>100</v>
      </c>
      <c r="AN2942">
        <v>1500</v>
      </c>
      <c r="AO2942" t="s">
        <v>118</v>
      </c>
      <c r="AP2942">
        <v>-131</v>
      </c>
      <c r="AQ2942">
        <v>36</v>
      </c>
      <c r="AR2942">
        <v>-256</v>
      </c>
      <c r="AZ2942">
        <v>1200</v>
      </c>
      <c r="BA2942">
        <v>1</v>
      </c>
      <c r="BB2942" t="str">
        <f t="shared" si="143"/>
        <v xml:space="preserve">N8080G  </v>
      </c>
      <c r="BC2942">
        <v>1</v>
      </c>
      <c r="BE2942">
        <v>0</v>
      </c>
      <c r="BF2942">
        <v>0</v>
      </c>
      <c r="BG2942">
        <v>0</v>
      </c>
      <c r="BH2942">
        <v>1500</v>
      </c>
      <c r="BI2942">
        <v>1</v>
      </c>
      <c r="BJ2942">
        <v>1</v>
      </c>
      <c r="BK2942">
        <v>1</v>
      </c>
      <c r="BL2942">
        <v>0</v>
      </c>
      <c r="BO2942">
        <v>0</v>
      </c>
      <c r="BP2942">
        <v>0</v>
      </c>
      <c r="BW2942" t="str">
        <f>"20:30:08.338"</f>
        <v>20:30:08.338</v>
      </c>
      <c r="BZ2942">
        <v>0</v>
      </c>
      <c r="CA2942">
        <v>1600</v>
      </c>
      <c r="CB2942">
        <v>224</v>
      </c>
      <c r="CD2942">
        <v>1</v>
      </c>
      <c r="CE2942">
        <v>0</v>
      </c>
      <c r="CF2942">
        <v>0</v>
      </c>
      <c r="CG2942">
        <v>0</v>
      </c>
      <c r="CH2942">
        <v>0</v>
      </c>
      <c r="CI2942">
        <v>0</v>
      </c>
      <c r="CJ2942">
        <v>0</v>
      </c>
      <c r="CK2942">
        <v>2</v>
      </c>
      <c r="CL2942">
        <v>0</v>
      </c>
      <c r="CM2942">
        <v>2</v>
      </c>
      <c r="CN2942">
        <v>0</v>
      </c>
      <c r="CO2942">
        <v>2</v>
      </c>
      <c r="CP2942" t="s">
        <v>119</v>
      </c>
      <c r="CQ2942">
        <v>179</v>
      </c>
      <c r="CR2942">
        <v>1</v>
      </c>
      <c r="CW2942">
        <v>9122032</v>
      </c>
      <c r="CY2942">
        <v>1</v>
      </c>
      <c r="CZ2942">
        <v>0</v>
      </c>
      <c r="DA2942">
        <v>1</v>
      </c>
      <c r="DB2942">
        <v>0</v>
      </c>
      <c r="DC2942">
        <v>0</v>
      </c>
      <c r="DD2942">
        <v>0</v>
      </c>
      <c r="DE2942">
        <v>0</v>
      </c>
      <c r="DF2942">
        <v>0</v>
      </c>
      <c r="DG2942">
        <v>0</v>
      </c>
      <c r="DH2942">
        <v>0</v>
      </c>
      <c r="DI2942">
        <v>0</v>
      </c>
    </row>
    <row r="2943" spans="1:113" x14ac:dyDescent="0.3">
      <c r="A2943" t="str">
        <f>"02/08/2021 20:30:07.019"</f>
        <v>02/08/2021 20:30:07.019</v>
      </c>
      <c r="C2943" t="str">
        <f t="shared" si="141"/>
        <v>FFDFD7C0</v>
      </c>
      <c r="D2943" t="s">
        <v>124</v>
      </c>
      <c r="E2943">
        <v>13</v>
      </c>
      <c r="F2943">
        <v>1013</v>
      </c>
      <c r="G2943" t="s">
        <v>114</v>
      </c>
      <c r="J2943" t="s">
        <v>125</v>
      </c>
      <c r="K2943">
        <v>0</v>
      </c>
      <c r="L2943">
        <v>3</v>
      </c>
      <c r="M2943">
        <v>0</v>
      </c>
      <c r="N2943">
        <v>2</v>
      </c>
      <c r="O2943">
        <v>1</v>
      </c>
      <c r="P2943">
        <v>0</v>
      </c>
      <c r="Q2943">
        <v>0</v>
      </c>
      <c r="S2943" t="str">
        <f>"20:30:09.344"</f>
        <v>20:30:09.344</v>
      </c>
      <c r="T2943" t="str">
        <f>"20:30:08.844"</f>
        <v>20:30:08.844</v>
      </c>
      <c r="U2943" t="str">
        <f t="shared" si="140"/>
        <v>AB01F4</v>
      </c>
      <c r="V2943">
        <v>0</v>
      </c>
      <c r="W2943">
        <v>0</v>
      </c>
      <c r="X2943">
        <v>2</v>
      </c>
      <c r="Z2943">
        <v>0</v>
      </c>
      <c r="AA2943">
        <v>9</v>
      </c>
      <c r="AB2943">
        <v>3</v>
      </c>
      <c r="AC2943">
        <v>0</v>
      </c>
      <c r="AD2943">
        <v>10</v>
      </c>
      <c r="AE2943">
        <v>0</v>
      </c>
      <c r="AF2943">
        <v>3</v>
      </c>
      <c r="AG2943">
        <v>2</v>
      </c>
      <c r="AH2943">
        <v>0</v>
      </c>
      <c r="AI2943" t="s">
        <v>1721</v>
      </c>
      <c r="AJ2943">
        <v>40.031841</v>
      </c>
      <c r="AK2943" t="s">
        <v>1722</v>
      </c>
      <c r="AL2943">
        <v>-92.833014000000006</v>
      </c>
      <c r="AM2943">
        <v>100</v>
      </c>
      <c r="AN2943">
        <v>1500</v>
      </c>
      <c r="AO2943" t="s">
        <v>118</v>
      </c>
      <c r="AP2943">
        <v>-131</v>
      </c>
      <c r="AQ2943">
        <v>36</v>
      </c>
      <c r="AR2943">
        <v>-192</v>
      </c>
      <c r="AZ2943">
        <v>1200</v>
      </c>
      <c r="BA2943">
        <v>1</v>
      </c>
      <c r="BB2943" t="str">
        <f t="shared" si="143"/>
        <v xml:space="preserve">N8080G  </v>
      </c>
      <c r="BC2943">
        <v>1</v>
      </c>
      <c r="BE2943">
        <v>0</v>
      </c>
      <c r="BF2943">
        <v>0</v>
      </c>
      <c r="BG2943">
        <v>0</v>
      </c>
      <c r="BH2943">
        <v>1500</v>
      </c>
      <c r="BI2943">
        <v>1</v>
      </c>
      <c r="BJ2943">
        <v>1</v>
      </c>
      <c r="BK2943">
        <v>1</v>
      </c>
      <c r="BL2943">
        <v>0</v>
      </c>
      <c r="BO2943">
        <v>0</v>
      </c>
      <c r="BP2943">
        <v>0</v>
      </c>
      <c r="BW2943" t="str">
        <f>"20:30:09.349"</f>
        <v>20:30:09.349</v>
      </c>
      <c r="BZ2943">
        <v>0</v>
      </c>
      <c r="CA2943">
        <v>1600</v>
      </c>
      <c r="CB2943">
        <v>224</v>
      </c>
      <c r="CD2943">
        <v>1</v>
      </c>
      <c r="CE2943">
        <v>0</v>
      </c>
      <c r="CF2943">
        <v>0</v>
      </c>
      <c r="CG2943">
        <v>0</v>
      </c>
      <c r="CH2943">
        <v>0</v>
      </c>
      <c r="CI2943">
        <v>0</v>
      </c>
      <c r="CJ2943">
        <v>0</v>
      </c>
      <c r="CK2943">
        <v>2</v>
      </c>
      <c r="CL2943">
        <v>0</v>
      </c>
      <c r="CM2943">
        <v>2</v>
      </c>
      <c r="CN2943">
        <v>0</v>
      </c>
      <c r="CO2943">
        <v>2</v>
      </c>
      <c r="CP2943" t="s">
        <v>119</v>
      </c>
      <c r="CQ2943">
        <v>179</v>
      </c>
      <c r="CR2943">
        <v>1</v>
      </c>
      <c r="CW2943">
        <v>9122997</v>
      </c>
      <c r="CY2943">
        <v>1</v>
      </c>
      <c r="CZ2943">
        <v>0</v>
      </c>
      <c r="DA2943">
        <v>0</v>
      </c>
      <c r="DB2943">
        <v>0</v>
      </c>
      <c r="DC2943">
        <v>0</v>
      </c>
      <c r="DD2943">
        <v>0</v>
      </c>
      <c r="DE2943">
        <v>0</v>
      </c>
      <c r="DF2943">
        <v>0</v>
      </c>
      <c r="DG2943">
        <v>0</v>
      </c>
      <c r="DH2943">
        <v>0</v>
      </c>
      <c r="DI2943">
        <v>0</v>
      </c>
    </row>
    <row r="2944" spans="1:113" x14ac:dyDescent="0.3">
      <c r="A2944" t="str">
        <f>"02/08/2021 20:30:07.019"</f>
        <v>02/08/2021 20:30:07.019</v>
      </c>
      <c r="C2944" t="str">
        <f t="shared" si="141"/>
        <v>FFDFD7C0</v>
      </c>
      <c r="D2944" t="s">
        <v>124</v>
      </c>
      <c r="E2944">
        <v>11</v>
      </c>
      <c r="F2944">
        <v>1011</v>
      </c>
      <c r="G2944" t="s">
        <v>590</v>
      </c>
      <c r="J2944" t="s">
        <v>125</v>
      </c>
      <c r="K2944">
        <v>0</v>
      </c>
      <c r="L2944">
        <v>3</v>
      </c>
      <c r="M2944">
        <v>0</v>
      </c>
      <c r="N2944">
        <v>2</v>
      </c>
      <c r="O2944">
        <v>1</v>
      </c>
      <c r="P2944">
        <v>0</v>
      </c>
      <c r="Q2944">
        <v>0</v>
      </c>
      <c r="S2944" t="str">
        <f>"20:30:09.344"</f>
        <v>20:30:09.344</v>
      </c>
      <c r="T2944" t="str">
        <f>"20:30:08.844"</f>
        <v>20:30:08.844</v>
      </c>
      <c r="U2944" t="str">
        <f t="shared" si="140"/>
        <v>AB01F4</v>
      </c>
      <c r="V2944">
        <v>0</v>
      </c>
      <c r="W2944">
        <v>0</v>
      </c>
      <c r="X2944">
        <v>2</v>
      </c>
      <c r="Z2944">
        <v>0</v>
      </c>
      <c r="AA2944">
        <v>9</v>
      </c>
      <c r="AB2944">
        <v>3</v>
      </c>
      <c r="AC2944">
        <v>0</v>
      </c>
      <c r="AD2944">
        <v>10</v>
      </c>
      <c r="AE2944">
        <v>0</v>
      </c>
      <c r="AF2944">
        <v>3</v>
      </c>
      <c r="AG2944">
        <v>2</v>
      </c>
      <c r="AH2944">
        <v>0</v>
      </c>
      <c r="AI2944" t="s">
        <v>1721</v>
      </c>
      <c r="AJ2944">
        <v>40.031841</v>
      </c>
      <c r="AK2944" t="s">
        <v>1722</v>
      </c>
      <c r="AL2944">
        <v>-92.833014000000006</v>
      </c>
      <c r="AM2944">
        <v>100</v>
      </c>
      <c r="AN2944">
        <v>1500</v>
      </c>
      <c r="AO2944" t="s">
        <v>118</v>
      </c>
      <c r="AP2944">
        <v>-131</v>
      </c>
      <c r="AQ2944">
        <v>36</v>
      </c>
      <c r="AR2944">
        <v>-192</v>
      </c>
      <c r="AZ2944">
        <v>1200</v>
      </c>
      <c r="BA2944">
        <v>1</v>
      </c>
      <c r="BB2944" t="str">
        <f t="shared" si="143"/>
        <v xml:space="preserve">N8080G  </v>
      </c>
      <c r="BC2944">
        <v>1</v>
      </c>
      <c r="BE2944">
        <v>0</v>
      </c>
      <c r="BF2944">
        <v>0</v>
      </c>
      <c r="BG2944">
        <v>0</v>
      </c>
      <c r="BH2944">
        <v>1500</v>
      </c>
      <c r="BI2944">
        <v>1</v>
      </c>
      <c r="BJ2944">
        <v>1</v>
      </c>
      <c r="BK2944">
        <v>1</v>
      </c>
      <c r="BL2944">
        <v>0</v>
      </c>
      <c r="BO2944">
        <v>0</v>
      </c>
      <c r="BP2944">
        <v>0</v>
      </c>
      <c r="BW2944" t="str">
        <f>"20:30:09.349"</f>
        <v>20:30:09.349</v>
      </c>
      <c r="BZ2944">
        <v>0</v>
      </c>
      <c r="CA2944">
        <v>1600</v>
      </c>
      <c r="CB2944">
        <v>224</v>
      </c>
      <c r="CD2944">
        <v>1</v>
      </c>
      <c r="CE2944">
        <v>0</v>
      </c>
      <c r="CF2944">
        <v>0</v>
      </c>
      <c r="CG2944">
        <v>0</v>
      </c>
      <c r="CH2944">
        <v>0</v>
      </c>
      <c r="CI2944">
        <v>0</v>
      </c>
      <c r="CJ2944">
        <v>0</v>
      </c>
      <c r="CK2944">
        <v>2</v>
      </c>
      <c r="CL2944">
        <v>0</v>
      </c>
      <c r="CM2944">
        <v>2</v>
      </c>
      <c r="CN2944">
        <v>0</v>
      </c>
      <c r="CO2944">
        <v>2</v>
      </c>
      <c r="CP2944" t="s">
        <v>119</v>
      </c>
      <c r="CQ2944">
        <v>179</v>
      </c>
      <c r="CR2944">
        <v>1</v>
      </c>
      <c r="CW2944">
        <v>9122997</v>
      </c>
      <c r="CY2944">
        <v>1</v>
      </c>
      <c r="CZ2944">
        <v>0</v>
      </c>
      <c r="DA2944">
        <v>1</v>
      </c>
      <c r="DB2944">
        <v>0</v>
      </c>
      <c r="DC2944">
        <v>0</v>
      </c>
      <c r="DD2944">
        <v>0</v>
      </c>
      <c r="DE2944">
        <v>0</v>
      </c>
      <c r="DF2944">
        <v>0</v>
      </c>
      <c r="DG2944">
        <v>0</v>
      </c>
      <c r="DH2944">
        <v>0</v>
      </c>
      <c r="DI2944">
        <v>0</v>
      </c>
    </row>
    <row r="2945" spans="1:113" x14ac:dyDescent="0.3">
      <c r="A2945" t="str">
        <f>"02/08/2021 20:30:07.019"</f>
        <v>02/08/2021 20:30:07.019</v>
      </c>
      <c r="C2945" t="str">
        <f t="shared" si="141"/>
        <v>FFDFD7C0</v>
      </c>
      <c r="D2945" t="s">
        <v>113</v>
      </c>
      <c r="E2945">
        <v>6</v>
      </c>
      <c r="H2945">
        <v>165</v>
      </c>
      <c r="I2945" t="s">
        <v>114</v>
      </c>
      <c r="J2945" t="s">
        <v>115</v>
      </c>
      <c r="K2945">
        <v>0</v>
      </c>
      <c r="L2945">
        <v>3</v>
      </c>
      <c r="M2945">
        <v>0</v>
      </c>
      <c r="N2945">
        <v>2</v>
      </c>
      <c r="O2945">
        <v>1</v>
      </c>
      <c r="P2945">
        <v>0</v>
      </c>
      <c r="Q2945">
        <v>0</v>
      </c>
      <c r="S2945" t="str">
        <f>"20:30:09.344"</f>
        <v>20:30:09.344</v>
      </c>
      <c r="T2945" t="str">
        <f>"20:30:08.844"</f>
        <v>20:30:08.844</v>
      </c>
      <c r="U2945" t="str">
        <f t="shared" si="140"/>
        <v>AB01F4</v>
      </c>
      <c r="V2945">
        <v>0</v>
      </c>
      <c r="W2945">
        <v>0</v>
      </c>
      <c r="X2945">
        <v>2</v>
      </c>
      <c r="Z2945">
        <v>0</v>
      </c>
      <c r="AA2945">
        <v>9</v>
      </c>
      <c r="AB2945">
        <v>3</v>
      </c>
      <c r="AC2945">
        <v>0</v>
      </c>
      <c r="AD2945">
        <v>10</v>
      </c>
      <c r="AE2945">
        <v>0</v>
      </c>
      <c r="AF2945">
        <v>3</v>
      </c>
      <c r="AG2945">
        <v>2</v>
      </c>
      <c r="AH2945">
        <v>0</v>
      </c>
      <c r="AI2945" t="s">
        <v>1721</v>
      </c>
      <c r="AJ2945">
        <v>40.031841</v>
      </c>
      <c r="AK2945" t="s">
        <v>1722</v>
      </c>
      <c r="AL2945">
        <v>-92.833014000000006</v>
      </c>
      <c r="AM2945">
        <v>100</v>
      </c>
      <c r="AN2945">
        <v>1500</v>
      </c>
      <c r="AO2945" t="s">
        <v>118</v>
      </c>
      <c r="AP2945">
        <v>-131</v>
      </c>
      <c r="AQ2945">
        <v>36</v>
      </c>
      <c r="AR2945">
        <v>-192</v>
      </c>
      <c r="AZ2945">
        <v>1200</v>
      </c>
      <c r="BA2945">
        <v>1</v>
      </c>
      <c r="BB2945" t="str">
        <f t="shared" si="143"/>
        <v xml:space="preserve">N8080G  </v>
      </c>
      <c r="BC2945">
        <v>1</v>
      </c>
      <c r="BE2945">
        <v>0</v>
      </c>
      <c r="BF2945">
        <v>0</v>
      </c>
      <c r="BG2945">
        <v>0</v>
      </c>
      <c r="BH2945">
        <v>1500</v>
      </c>
      <c r="BI2945">
        <v>1</v>
      </c>
      <c r="BJ2945">
        <v>1</v>
      </c>
      <c r="BK2945">
        <v>1</v>
      </c>
      <c r="BL2945">
        <v>0</v>
      </c>
      <c r="BO2945">
        <v>0</v>
      </c>
      <c r="BP2945">
        <v>0</v>
      </c>
      <c r="BW2945" t="str">
        <f>"20:30:09.349"</f>
        <v>20:30:09.349</v>
      </c>
      <c r="BZ2945">
        <v>0</v>
      </c>
      <c r="CA2945">
        <v>1600</v>
      </c>
      <c r="CB2945">
        <v>224</v>
      </c>
      <c r="CD2945">
        <v>1</v>
      </c>
      <c r="CE2945">
        <v>0</v>
      </c>
      <c r="CF2945">
        <v>0</v>
      </c>
      <c r="CG2945">
        <v>0</v>
      </c>
      <c r="CH2945">
        <v>0</v>
      </c>
      <c r="CI2945">
        <v>0</v>
      </c>
      <c r="CJ2945">
        <v>0</v>
      </c>
      <c r="CK2945">
        <v>2</v>
      </c>
      <c r="CL2945">
        <v>0</v>
      </c>
      <c r="CM2945">
        <v>2</v>
      </c>
      <c r="CN2945">
        <v>0</v>
      </c>
      <c r="CO2945">
        <v>2</v>
      </c>
      <c r="CP2945" t="s">
        <v>119</v>
      </c>
      <c r="CQ2945">
        <v>179</v>
      </c>
      <c r="CR2945">
        <v>1</v>
      </c>
      <c r="CW2945">
        <v>9122997</v>
      </c>
      <c r="CY2945">
        <v>1</v>
      </c>
      <c r="CZ2945">
        <v>0</v>
      </c>
      <c r="DA2945">
        <v>1</v>
      </c>
      <c r="DB2945">
        <v>0</v>
      </c>
      <c r="DC2945">
        <v>0</v>
      </c>
      <c r="DD2945">
        <v>0</v>
      </c>
      <c r="DE2945">
        <v>0</v>
      </c>
      <c r="DF2945">
        <v>0</v>
      </c>
      <c r="DG2945">
        <v>0</v>
      </c>
      <c r="DH2945">
        <v>0</v>
      </c>
      <c r="DI2945">
        <v>0</v>
      </c>
    </row>
    <row r="2946" spans="1:113" x14ac:dyDescent="0.3">
      <c r="A2946" t="str">
        <f>"02/08/2021 20:30:07.019"</f>
        <v>02/08/2021 20:30:07.019</v>
      </c>
      <c r="C2946" t="str">
        <f t="shared" si="141"/>
        <v>FFDFD7C0</v>
      </c>
      <c r="D2946" t="s">
        <v>124</v>
      </c>
      <c r="E2946">
        <v>12</v>
      </c>
      <c r="F2946">
        <v>1012</v>
      </c>
      <c r="G2946" t="s">
        <v>675</v>
      </c>
      <c r="J2946" t="s">
        <v>125</v>
      </c>
      <c r="K2946">
        <v>0</v>
      </c>
      <c r="L2946">
        <v>3</v>
      </c>
      <c r="M2946">
        <v>0</v>
      </c>
      <c r="N2946">
        <v>2</v>
      </c>
      <c r="O2946">
        <v>1</v>
      </c>
      <c r="P2946">
        <v>0</v>
      </c>
      <c r="Q2946">
        <v>0</v>
      </c>
      <c r="S2946" t="str">
        <f>"20:30:09.344"</f>
        <v>20:30:09.344</v>
      </c>
      <c r="T2946" t="str">
        <f>"20:30:08.844"</f>
        <v>20:30:08.844</v>
      </c>
      <c r="U2946" t="str">
        <f t="shared" ref="U2946:U3009" si="144">"AB01F4"</f>
        <v>AB01F4</v>
      </c>
      <c r="V2946">
        <v>0</v>
      </c>
      <c r="W2946">
        <v>0</v>
      </c>
      <c r="X2946">
        <v>2</v>
      </c>
      <c r="Z2946">
        <v>0</v>
      </c>
      <c r="AA2946">
        <v>9</v>
      </c>
      <c r="AB2946">
        <v>3</v>
      </c>
      <c r="AC2946">
        <v>0</v>
      </c>
      <c r="AD2946">
        <v>10</v>
      </c>
      <c r="AE2946">
        <v>0</v>
      </c>
      <c r="AF2946">
        <v>3</v>
      </c>
      <c r="AG2946">
        <v>2</v>
      </c>
      <c r="AH2946">
        <v>0</v>
      </c>
      <c r="AI2946" t="s">
        <v>1721</v>
      </c>
      <c r="AJ2946">
        <v>40.031841</v>
      </c>
      <c r="AK2946" t="s">
        <v>1722</v>
      </c>
      <c r="AL2946">
        <v>-92.833014000000006</v>
      </c>
      <c r="AM2946">
        <v>100</v>
      </c>
      <c r="AN2946">
        <v>1500</v>
      </c>
      <c r="AO2946" t="s">
        <v>118</v>
      </c>
      <c r="AP2946">
        <v>-131</v>
      </c>
      <c r="AQ2946">
        <v>36</v>
      </c>
      <c r="AR2946">
        <v>-192</v>
      </c>
      <c r="AZ2946">
        <v>1200</v>
      </c>
      <c r="BA2946">
        <v>1</v>
      </c>
      <c r="BB2946" t="str">
        <f t="shared" si="143"/>
        <v xml:space="preserve">N8080G  </v>
      </c>
      <c r="BC2946">
        <v>1</v>
      </c>
      <c r="BE2946">
        <v>0</v>
      </c>
      <c r="BF2946">
        <v>0</v>
      </c>
      <c r="BG2946">
        <v>0</v>
      </c>
      <c r="BH2946">
        <v>1500</v>
      </c>
      <c r="BI2946">
        <v>1</v>
      </c>
      <c r="BJ2946">
        <v>1</v>
      </c>
      <c r="BK2946">
        <v>1</v>
      </c>
      <c r="BL2946">
        <v>0</v>
      </c>
      <c r="BO2946">
        <v>0</v>
      </c>
      <c r="BP2946">
        <v>0</v>
      </c>
      <c r="BW2946" t="str">
        <f>"20:30:09.349"</f>
        <v>20:30:09.349</v>
      </c>
      <c r="BZ2946">
        <v>0</v>
      </c>
      <c r="CA2946">
        <v>1600</v>
      </c>
      <c r="CB2946">
        <v>224</v>
      </c>
      <c r="CD2946">
        <v>1</v>
      </c>
      <c r="CE2946">
        <v>0</v>
      </c>
      <c r="CF2946">
        <v>0</v>
      </c>
      <c r="CG2946">
        <v>0</v>
      </c>
      <c r="CH2946">
        <v>0</v>
      </c>
      <c r="CI2946">
        <v>0</v>
      </c>
      <c r="CJ2946">
        <v>0</v>
      </c>
      <c r="CK2946">
        <v>2</v>
      </c>
      <c r="CL2946">
        <v>0</v>
      </c>
      <c r="CM2946">
        <v>2</v>
      </c>
      <c r="CN2946">
        <v>0</v>
      </c>
      <c r="CO2946">
        <v>2</v>
      </c>
      <c r="CP2946" t="s">
        <v>119</v>
      </c>
      <c r="CQ2946">
        <v>179</v>
      </c>
      <c r="CR2946">
        <v>1</v>
      </c>
      <c r="CW2946">
        <v>9122997</v>
      </c>
      <c r="CY2946">
        <v>1</v>
      </c>
      <c r="CZ2946">
        <v>0</v>
      </c>
      <c r="DA2946">
        <v>1</v>
      </c>
      <c r="DB2946">
        <v>0</v>
      </c>
      <c r="DC2946">
        <v>0</v>
      </c>
      <c r="DD2946">
        <v>0</v>
      </c>
      <c r="DE2946">
        <v>0</v>
      </c>
      <c r="DF2946">
        <v>0</v>
      </c>
      <c r="DG2946">
        <v>0</v>
      </c>
      <c r="DH2946">
        <v>0</v>
      </c>
      <c r="DI2946">
        <v>0</v>
      </c>
    </row>
    <row r="2947" spans="1:113" x14ac:dyDescent="0.3">
      <c r="A2947" t="str">
        <f>"02/08/2021 20:30:11.262"</f>
        <v>02/08/2021 20:30:11.262</v>
      </c>
      <c r="C2947" t="str">
        <f t="shared" si="141"/>
        <v>FFDFD7C0</v>
      </c>
      <c r="D2947" t="s">
        <v>124</v>
      </c>
      <c r="E2947">
        <v>11</v>
      </c>
      <c r="F2947">
        <v>1011</v>
      </c>
      <c r="G2947" t="s">
        <v>590</v>
      </c>
      <c r="J2947" t="s">
        <v>125</v>
      </c>
      <c r="K2947">
        <v>0</v>
      </c>
      <c r="L2947">
        <v>3</v>
      </c>
      <c r="M2947">
        <v>0</v>
      </c>
      <c r="N2947">
        <v>2</v>
      </c>
      <c r="O2947">
        <v>1</v>
      </c>
      <c r="P2947">
        <v>0</v>
      </c>
      <c r="Q2947">
        <v>0</v>
      </c>
      <c r="S2947" t="str">
        <f>"20:30:13.547"</f>
        <v>20:30:13.547</v>
      </c>
      <c r="T2947" t="str">
        <f>"20:30:13.147"</f>
        <v>20:30:13.147</v>
      </c>
      <c r="U2947" t="str">
        <f t="shared" si="144"/>
        <v>AB01F4</v>
      </c>
      <c r="V2947">
        <v>0</v>
      </c>
      <c r="W2947">
        <v>0</v>
      </c>
      <c r="X2947">
        <v>2</v>
      </c>
      <c r="Z2947">
        <v>0</v>
      </c>
      <c r="AA2947">
        <v>9</v>
      </c>
      <c r="AB2947">
        <v>3</v>
      </c>
      <c r="AC2947">
        <v>0</v>
      </c>
      <c r="AD2947">
        <v>10</v>
      </c>
      <c r="AE2947">
        <v>0</v>
      </c>
      <c r="AF2947">
        <v>3</v>
      </c>
      <c r="AG2947">
        <v>2</v>
      </c>
      <c r="AH2947">
        <v>0</v>
      </c>
      <c r="AI2947" t="s">
        <v>1723</v>
      </c>
      <c r="AJ2947">
        <v>40.032527000000002</v>
      </c>
      <c r="AK2947" t="s">
        <v>1724</v>
      </c>
      <c r="AL2947">
        <v>-92.836297000000002</v>
      </c>
      <c r="AM2947">
        <v>100</v>
      </c>
      <c r="AN2947">
        <v>1500</v>
      </c>
      <c r="AO2947" t="s">
        <v>118</v>
      </c>
      <c r="AP2947">
        <v>-132</v>
      </c>
      <c r="AQ2947">
        <v>37</v>
      </c>
      <c r="AR2947">
        <v>-128</v>
      </c>
      <c r="AZ2947">
        <v>1200</v>
      </c>
      <c r="BA2947">
        <v>1</v>
      </c>
      <c r="BB2947" t="str">
        <f t="shared" si="143"/>
        <v xml:space="preserve">N8080G  </v>
      </c>
      <c r="BC2947">
        <v>1</v>
      </c>
      <c r="BE2947">
        <v>0</v>
      </c>
      <c r="BF2947">
        <v>0</v>
      </c>
      <c r="BG2947">
        <v>0</v>
      </c>
      <c r="BH2947">
        <v>1475</v>
      </c>
      <c r="BI2947">
        <v>1</v>
      </c>
      <c r="BJ2947">
        <v>1</v>
      </c>
      <c r="BK2947">
        <v>1</v>
      </c>
      <c r="BL2947">
        <v>0</v>
      </c>
      <c r="BO2947">
        <v>0</v>
      </c>
      <c r="BP2947">
        <v>0</v>
      </c>
      <c r="BW2947" t="str">
        <f>"20:30:13.551"</f>
        <v>20:30:13.551</v>
      </c>
      <c r="BZ2947">
        <v>0</v>
      </c>
      <c r="CA2947">
        <v>1600</v>
      </c>
      <c r="CB2947">
        <v>224</v>
      </c>
      <c r="CD2947">
        <v>1</v>
      </c>
      <c r="CE2947">
        <v>0</v>
      </c>
      <c r="CF2947">
        <v>0</v>
      </c>
      <c r="CG2947">
        <v>0</v>
      </c>
      <c r="CH2947">
        <v>0</v>
      </c>
      <c r="CI2947">
        <v>0</v>
      </c>
      <c r="CJ2947">
        <v>0</v>
      </c>
      <c r="CK2947">
        <v>2</v>
      </c>
      <c r="CL2947">
        <v>0</v>
      </c>
      <c r="CM2947">
        <v>2</v>
      </c>
      <c r="CN2947">
        <v>0</v>
      </c>
      <c r="CO2947">
        <v>7</v>
      </c>
      <c r="CP2947" t="s">
        <v>119</v>
      </c>
      <c r="CQ2947">
        <v>180</v>
      </c>
      <c r="CR2947">
        <v>2</v>
      </c>
      <c r="CW2947">
        <v>8666857</v>
      </c>
      <c r="CY2947">
        <v>1</v>
      </c>
      <c r="CZ2947">
        <v>0</v>
      </c>
      <c r="DA2947">
        <v>0</v>
      </c>
      <c r="DB2947">
        <v>0</v>
      </c>
      <c r="DC2947">
        <v>0</v>
      </c>
      <c r="DD2947">
        <v>0</v>
      </c>
      <c r="DE2947">
        <v>0</v>
      </c>
      <c r="DF2947">
        <v>0</v>
      </c>
      <c r="DG2947">
        <v>0</v>
      </c>
      <c r="DH2947">
        <v>0</v>
      </c>
      <c r="DI2947">
        <v>0</v>
      </c>
    </row>
    <row r="2948" spans="1:113" x14ac:dyDescent="0.3">
      <c r="A2948" t="str">
        <f>"02/08/2021 20:30:11.262"</f>
        <v>02/08/2021 20:30:11.262</v>
      </c>
      <c r="C2948" t="str">
        <f t="shared" si="141"/>
        <v>FFDFD7C0</v>
      </c>
      <c r="D2948" t="s">
        <v>124</v>
      </c>
      <c r="E2948">
        <v>12</v>
      </c>
      <c r="F2948">
        <v>1012</v>
      </c>
      <c r="G2948" t="s">
        <v>675</v>
      </c>
      <c r="J2948" t="s">
        <v>125</v>
      </c>
      <c r="K2948">
        <v>0</v>
      </c>
      <c r="L2948">
        <v>3</v>
      </c>
      <c r="M2948">
        <v>0</v>
      </c>
      <c r="N2948">
        <v>2</v>
      </c>
      <c r="O2948">
        <v>1</v>
      </c>
      <c r="P2948">
        <v>0</v>
      </c>
      <c r="Q2948">
        <v>0</v>
      </c>
      <c r="S2948" t="str">
        <f>"20:30:13.547"</f>
        <v>20:30:13.547</v>
      </c>
      <c r="T2948" t="str">
        <f>"20:30:13.147"</f>
        <v>20:30:13.147</v>
      </c>
      <c r="U2948" t="str">
        <f t="shared" si="144"/>
        <v>AB01F4</v>
      </c>
      <c r="V2948">
        <v>0</v>
      </c>
      <c r="W2948">
        <v>0</v>
      </c>
      <c r="X2948">
        <v>2</v>
      </c>
      <c r="Z2948">
        <v>0</v>
      </c>
      <c r="AA2948">
        <v>9</v>
      </c>
      <c r="AB2948">
        <v>3</v>
      </c>
      <c r="AC2948">
        <v>0</v>
      </c>
      <c r="AD2948">
        <v>10</v>
      </c>
      <c r="AE2948">
        <v>0</v>
      </c>
      <c r="AF2948">
        <v>3</v>
      </c>
      <c r="AG2948">
        <v>2</v>
      </c>
      <c r="AH2948">
        <v>0</v>
      </c>
      <c r="AI2948" t="s">
        <v>1723</v>
      </c>
      <c r="AJ2948">
        <v>40.032527000000002</v>
      </c>
      <c r="AK2948" t="s">
        <v>1724</v>
      </c>
      <c r="AL2948">
        <v>-92.836297000000002</v>
      </c>
      <c r="AM2948">
        <v>100</v>
      </c>
      <c r="AN2948">
        <v>1500</v>
      </c>
      <c r="AO2948" t="s">
        <v>118</v>
      </c>
      <c r="AP2948">
        <v>-132</v>
      </c>
      <c r="AQ2948">
        <v>37</v>
      </c>
      <c r="AR2948">
        <v>-128</v>
      </c>
      <c r="AZ2948">
        <v>1200</v>
      </c>
      <c r="BA2948">
        <v>1</v>
      </c>
      <c r="BB2948" t="str">
        <f t="shared" si="143"/>
        <v xml:space="preserve">N8080G  </v>
      </c>
      <c r="BC2948">
        <v>1</v>
      </c>
      <c r="BE2948">
        <v>0</v>
      </c>
      <c r="BF2948">
        <v>0</v>
      </c>
      <c r="BG2948">
        <v>0</v>
      </c>
      <c r="BH2948">
        <v>1475</v>
      </c>
      <c r="BI2948">
        <v>1</v>
      </c>
      <c r="BJ2948">
        <v>1</v>
      </c>
      <c r="BK2948">
        <v>1</v>
      </c>
      <c r="BL2948">
        <v>0</v>
      </c>
      <c r="BO2948">
        <v>0</v>
      </c>
      <c r="BP2948">
        <v>0</v>
      </c>
      <c r="BW2948" t="str">
        <f>"20:30:13.551"</f>
        <v>20:30:13.551</v>
      </c>
      <c r="BZ2948">
        <v>0</v>
      </c>
      <c r="CA2948">
        <v>1600</v>
      </c>
      <c r="CB2948">
        <v>224</v>
      </c>
      <c r="CD2948">
        <v>1</v>
      </c>
      <c r="CE2948">
        <v>0</v>
      </c>
      <c r="CF2948">
        <v>0</v>
      </c>
      <c r="CG2948">
        <v>0</v>
      </c>
      <c r="CH2948">
        <v>0</v>
      </c>
      <c r="CI2948">
        <v>0</v>
      </c>
      <c r="CJ2948">
        <v>0</v>
      </c>
      <c r="CK2948">
        <v>2</v>
      </c>
      <c r="CL2948">
        <v>0</v>
      </c>
      <c r="CM2948">
        <v>2</v>
      </c>
      <c r="CN2948">
        <v>0</v>
      </c>
      <c r="CO2948">
        <v>7</v>
      </c>
      <c r="CP2948" t="s">
        <v>119</v>
      </c>
      <c r="CQ2948">
        <v>180</v>
      </c>
      <c r="CR2948">
        <v>2</v>
      </c>
      <c r="CW2948">
        <v>8666857</v>
      </c>
      <c r="CY2948">
        <v>1</v>
      </c>
      <c r="CZ2948">
        <v>0</v>
      </c>
      <c r="DA2948">
        <v>1</v>
      </c>
      <c r="DB2948">
        <v>0</v>
      </c>
      <c r="DC2948">
        <v>0</v>
      </c>
      <c r="DD2948">
        <v>0</v>
      </c>
      <c r="DE2948">
        <v>0</v>
      </c>
      <c r="DF2948">
        <v>0</v>
      </c>
      <c r="DG2948">
        <v>0</v>
      </c>
      <c r="DH2948">
        <v>0</v>
      </c>
      <c r="DI2948">
        <v>0</v>
      </c>
    </row>
    <row r="2949" spans="1:113" x14ac:dyDescent="0.3">
      <c r="A2949" t="str">
        <f>"02/08/2021 20:30:11.262"</f>
        <v>02/08/2021 20:30:11.262</v>
      </c>
      <c r="C2949" t="str">
        <f t="shared" si="141"/>
        <v>FFDFD7C0</v>
      </c>
      <c r="D2949" t="s">
        <v>124</v>
      </c>
      <c r="E2949">
        <v>13</v>
      </c>
      <c r="F2949">
        <v>1013</v>
      </c>
      <c r="G2949" t="s">
        <v>114</v>
      </c>
      <c r="J2949" t="s">
        <v>125</v>
      </c>
      <c r="K2949">
        <v>0</v>
      </c>
      <c r="L2949">
        <v>3</v>
      </c>
      <c r="M2949">
        <v>0</v>
      </c>
      <c r="N2949">
        <v>2</v>
      </c>
      <c r="O2949">
        <v>1</v>
      </c>
      <c r="P2949">
        <v>0</v>
      </c>
      <c r="Q2949">
        <v>0</v>
      </c>
      <c r="S2949" t="str">
        <f>"20:30:13.547"</f>
        <v>20:30:13.547</v>
      </c>
      <c r="T2949" t="str">
        <f>"20:30:13.147"</f>
        <v>20:30:13.147</v>
      </c>
      <c r="U2949" t="str">
        <f t="shared" si="144"/>
        <v>AB01F4</v>
      </c>
      <c r="V2949">
        <v>0</v>
      </c>
      <c r="W2949">
        <v>0</v>
      </c>
      <c r="X2949">
        <v>2</v>
      </c>
      <c r="Z2949">
        <v>0</v>
      </c>
      <c r="AA2949">
        <v>9</v>
      </c>
      <c r="AB2949">
        <v>3</v>
      </c>
      <c r="AC2949">
        <v>0</v>
      </c>
      <c r="AD2949">
        <v>10</v>
      </c>
      <c r="AE2949">
        <v>0</v>
      </c>
      <c r="AF2949">
        <v>3</v>
      </c>
      <c r="AG2949">
        <v>2</v>
      </c>
      <c r="AH2949">
        <v>0</v>
      </c>
      <c r="AI2949" t="s">
        <v>1723</v>
      </c>
      <c r="AJ2949">
        <v>40.032527000000002</v>
      </c>
      <c r="AK2949" t="s">
        <v>1724</v>
      </c>
      <c r="AL2949">
        <v>-92.836297000000002</v>
      </c>
      <c r="AM2949">
        <v>100</v>
      </c>
      <c r="AN2949">
        <v>1500</v>
      </c>
      <c r="AO2949" t="s">
        <v>118</v>
      </c>
      <c r="AP2949">
        <v>-132</v>
      </c>
      <c r="AQ2949">
        <v>37</v>
      </c>
      <c r="AR2949">
        <v>-128</v>
      </c>
      <c r="AZ2949">
        <v>1200</v>
      </c>
      <c r="BA2949">
        <v>1</v>
      </c>
      <c r="BB2949" t="str">
        <f t="shared" si="143"/>
        <v xml:space="preserve">N8080G  </v>
      </c>
      <c r="BC2949">
        <v>1</v>
      </c>
      <c r="BE2949">
        <v>0</v>
      </c>
      <c r="BF2949">
        <v>0</v>
      </c>
      <c r="BG2949">
        <v>0</v>
      </c>
      <c r="BH2949">
        <v>1475</v>
      </c>
      <c r="BI2949">
        <v>1</v>
      </c>
      <c r="BJ2949">
        <v>1</v>
      </c>
      <c r="BK2949">
        <v>1</v>
      </c>
      <c r="BL2949">
        <v>0</v>
      </c>
      <c r="BO2949">
        <v>0</v>
      </c>
      <c r="BP2949">
        <v>0</v>
      </c>
      <c r="BW2949" t="str">
        <f>"20:30:13.551"</f>
        <v>20:30:13.551</v>
      </c>
      <c r="BZ2949">
        <v>0</v>
      </c>
      <c r="CA2949">
        <v>1600</v>
      </c>
      <c r="CB2949">
        <v>224</v>
      </c>
      <c r="CD2949">
        <v>1</v>
      </c>
      <c r="CE2949">
        <v>0</v>
      </c>
      <c r="CF2949">
        <v>0</v>
      </c>
      <c r="CG2949">
        <v>0</v>
      </c>
      <c r="CH2949">
        <v>0</v>
      </c>
      <c r="CI2949">
        <v>0</v>
      </c>
      <c r="CJ2949">
        <v>0</v>
      </c>
      <c r="CK2949">
        <v>2</v>
      </c>
      <c r="CL2949">
        <v>0</v>
      </c>
      <c r="CM2949">
        <v>2</v>
      </c>
      <c r="CN2949">
        <v>0</v>
      </c>
      <c r="CO2949">
        <v>7</v>
      </c>
      <c r="CP2949" t="s">
        <v>119</v>
      </c>
      <c r="CQ2949">
        <v>180</v>
      </c>
      <c r="CR2949">
        <v>2</v>
      </c>
      <c r="CW2949">
        <v>8666857</v>
      </c>
      <c r="CY2949">
        <v>1</v>
      </c>
      <c r="CZ2949">
        <v>0</v>
      </c>
      <c r="DA2949">
        <v>1</v>
      </c>
      <c r="DB2949">
        <v>0</v>
      </c>
      <c r="DC2949">
        <v>0</v>
      </c>
      <c r="DD2949">
        <v>0</v>
      </c>
      <c r="DE2949">
        <v>0</v>
      </c>
      <c r="DF2949">
        <v>0</v>
      </c>
      <c r="DG2949">
        <v>0</v>
      </c>
      <c r="DH2949">
        <v>0</v>
      </c>
      <c r="DI2949">
        <v>0</v>
      </c>
    </row>
    <row r="2950" spans="1:113" x14ac:dyDescent="0.3">
      <c r="A2950" t="str">
        <f>"02/08/2021 20:30:11.262"</f>
        <v>02/08/2021 20:30:11.262</v>
      </c>
      <c r="C2950" t="str">
        <f t="shared" si="141"/>
        <v>FFDFD7C0</v>
      </c>
      <c r="D2950" t="s">
        <v>113</v>
      </c>
      <c r="E2950">
        <v>6</v>
      </c>
      <c r="H2950">
        <v>165</v>
      </c>
      <c r="I2950" t="s">
        <v>114</v>
      </c>
      <c r="J2950" t="s">
        <v>115</v>
      </c>
      <c r="K2950">
        <v>0</v>
      </c>
      <c r="L2950">
        <v>3</v>
      </c>
      <c r="M2950">
        <v>0</v>
      </c>
      <c r="N2950">
        <v>2</v>
      </c>
      <c r="O2950">
        <v>1</v>
      </c>
      <c r="P2950">
        <v>0</v>
      </c>
      <c r="Q2950">
        <v>0</v>
      </c>
      <c r="S2950" t="str">
        <f>"20:30:13.547"</f>
        <v>20:30:13.547</v>
      </c>
      <c r="T2950" t="str">
        <f>"20:30:13.147"</f>
        <v>20:30:13.147</v>
      </c>
      <c r="U2950" t="str">
        <f t="shared" si="144"/>
        <v>AB01F4</v>
      </c>
      <c r="V2950">
        <v>0</v>
      </c>
      <c r="W2950">
        <v>0</v>
      </c>
      <c r="X2950">
        <v>2</v>
      </c>
      <c r="Z2950">
        <v>0</v>
      </c>
      <c r="AA2950">
        <v>9</v>
      </c>
      <c r="AB2950">
        <v>3</v>
      </c>
      <c r="AC2950">
        <v>0</v>
      </c>
      <c r="AD2950">
        <v>10</v>
      </c>
      <c r="AE2950">
        <v>0</v>
      </c>
      <c r="AF2950">
        <v>3</v>
      </c>
      <c r="AG2950">
        <v>2</v>
      </c>
      <c r="AH2950">
        <v>0</v>
      </c>
      <c r="AI2950" t="s">
        <v>1723</v>
      </c>
      <c r="AJ2950">
        <v>40.032527000000002</v>
      </c>
      <c r="AK2950" t="s">
        <v>1724</v>
      </c>
      <c r="AL2950">
        <v>-92.836297000000002</v>
      </c>
      <c r="AM2950">
        <v>100</v>
      </c>
      <c r="AN2950">
        <v>1500</v>
      </c>
      <c r="AO2950" t="s">
        <v>118</v>
      </c>
      <c r="AP2950">
        <v>-132</v>
      </c>
      <c r="AQ2950">
        <v>37</v>
      </c>
      <c r="AR2950">
        <v>-128</v>
      </c>
      <c r="AZ2950">
        <v>1200</v>
      </c>
      <c r="BA2950">
        <v>1</v>
      </c>
      <c r="BB2950" t="str">
        <f t="shared" si="143"/>
        <v xml:space="preserve">N8080G  </v>
      </c>
      <c r="BC2950">
        <v>1</v>
      </c>
      <c r="BE2950">
        <v>0</v>
      </c>
      <c r="BF2950">
        <v>0</v>
      </c>
      <c r="BG2950">
        <v>0</v>
      </c>
      <c r="BH2950">
        <v>1475</v>
      </c>
      <c r="BI2950">
        <v>1</v>
      </c>
      <c r="BJ2950">
        <v>1</v>
      </c>
      <c r="BK2950">
        <v>1</v>
      </c>
      <c r="BL2950">
        <v>0</v>
      </c>
      <c r="BO2950">
        <v>0</v>
      </c>
      <c r="BP2950">
        <v>0</v>
      </c>
      <c r="BW2950" t="str">
        <f>"20:30:13.551"</f>
        <v>20:30:13.551</v>
      </c>
      <c r="BZ2950">
        <v>0</v>
      </c>
      <c r="CA2950">
        <v>1600</v>
      </c>
      <c r="CB2950">
        <v>224</v>
      </c>
      <c r="CD2950">
        <v>1</v>
      </c>
      <c r="CE2950">
        <v>0</v>
      </c>
      <c r="CF2950">
        <v>0</v>
      </c>
      <c r="CG2950">
        <v>0</v>
      </c>
      <c r="CH2950">
        <v>0</v>
      </c>
      <c r="CI2950">
        <v>0</v>
      </c>
      <c r="CJ2950">
        <v>0</v>
      </c>
      <c r="CK2950">
        <v>2</v>
      </c>
      <c r="CL2950">
        <v>0</v>
      </c>
      <c r="CM2950">
        <v>2</v>
      </c>
      <c r="CN2950">
        <v>0</v>
      </c>
      <c r="CO2950">
        <v>7</v>
      </c>
      <c r="CP2950" t="s">
        <v>119</v>
      </c>
      <c r="CQ2950">
        <v>180</v>
      </c>
      <c r="CR2950">
        <v>2</v>
      </c>
      <c r="CW2950">
        <v>8666857</v>
      </c>
      <c r="CY2950">
        <v>1</v>
      </c>
      <c r="CZ2950">
        <v>0</v>
      </c>
      <c r="DA2950">
        <v>1</v>
      </c>
      <c r="DB2950">
        <v>0</v>
      </c>
      <c r="DC2950">
        <v>0</v>
      </c>
      <c r="DD2950">
        <v>0</v>
      </c>
      <c r="DE2950">
        <v>0</v>
      </c>
      <c r="DF2950">
        <v>0</v>
      </c>
      <c r="DG2950">
        <v>0</v>
      </c>
      <c r="DH2950">
        <v>0</v>
      </c>
      <c r="DI2950">
        <v>0</v>
      </c>
    </row>
    <row r="2951" spans="1:113" x14ac:dyDescent="0.3">
      <c r="A2951" t="str">
        <f>"02/08/2021 20:30:12.619"</f>
        <v>02/08/2021 20:30:12.619</v>
      </c>
      <c r="C2951" t="str">
        <f t="shared" si="141"/>
        <v>FFDFD7C0</v>
      </c>
      <c r="D2951" t="s">
        <v>124</v>
      </c>
      <c r="E2951">
        <v>12</v>
      </c>
      <c r="F2951">
        <v>1012</v>
      </c>
      <c r="G2951" t="s">
        <v>675</v>
      </c>
      <c r="J2951" t="s">
        <v>125</v>
      </c>
      <c r="K2951">
        <v>0</v>
      </c>
      <c r="L2951">
        <v>3</v>
      </c>
      <c r="M2951">
        <v>0</v>
      </c>
      <c r="N2951">
        <v>2</v>
      </c>
      <c r="O2951">
        <v>1</v>
      </c>
      <c r="P2951">
        <v>0</v>
      </c>
      <c r="Q2951">
        <v>0</v>
      </c>
      <c r="S2951" t="str">
        <f>"20:30:14.977"</f>
        <v>20:30:14.977</v>
      </c>
      <c r="T2951" t="str">
        <f>"20:30:14.477"</f>
        <v>20:30:14.477</v>
      </c>
      <c r="U2951" t="str">
        <f t="shared" si="144"/>
        <v>AB01F4</v>
      </c>
      <c r="V2951">
        <v>0</v>
      </c>
      <c r="W2951">
        <v>0</v>
      </c>
      <c r="X2951">
        <v>2</v>
      </c>
      <c r="Z2951">
        <v>0</v>
      </c>
      <c r="AA2951">
        <v>9</v>
      </c>
      <c r="AB2951">
        <v>3</v>
      </c>
      <c r="AC2951">
        <v>0</v>
      </c>
      <c r="AD2951">
        <v>10</v>
      </c>
      <c r="AE2951">
        <v>0</v>
      </c>
      <c r="AF2951">
        <v>3</v>
      </c>
      <c r="AG2951">
        <v>2</v>
      </c>
      <c r="AH2951">
        <v>0</v>
      </c>
      <c r="AI2951" t="s">
        <v>1725</v>
      </c>
      <c r="AJ2951">
        <v>40.032763000000003</v>
      </c>
      <c r="AK2951" t="s">
        <v>1726</v>
      </c>
      <c r="AL2951">
        <v>-92.837412</v>
      </c>
      <c r="AM2951">
        <v>100</v>
      </c>
      <c r="AN2951">
        <v>1500</v>
      </c>
      <c r="AO2951" t="s">
        <v>118</v>
      </c>
      <c r="AP2951">
        <v>-132</v>
      </c>
      <c r="AQ2951">
        <v>37</v>
      </c>
      <c r="AR2951">
        <v>-192</v>
      </c>
      <c r="AZ2951">
        <v>1200</v>
      </c>
      <c r="BA2951">
        <v>1</v>
      </c>
      <c r="BB2951" t="str">
        <f t="shared" si="143"/>
        <v xml:space="preserve">N8080G  </v>
      </c>
      <c r="BC2951">
        <v>1</v>
      </c>
      <c r="BE2951">
        <v>0</v>
      </c>
      <c r="BF2951">
        <v>0</v>
      </c>
      <c r="BG2951">
        <v>0</v>
      </c>
      <c r="BH2951">
        <v>1475</v>
      </c>
      <c r="BI2951">
        <v>1</v>
      </c>
      <c r="BJ2951">
        <v>1</v>
      </c>
      <c r="BK2951">
        <v>1</v>
      </c>
      <c r="BL2951">
        <v>0</v>
      </c>
      <c r="BO2951">
        <v>0</v>
      </c>
      <c r="BP2951">
        <v>0</v>
      </c>
      <c r="BW2951" t="str">
        <f>"20:30:14.977"</f>
        <v>20:30:14.977</v>
      </c>
      <c r="BZ2951">
        <v>0</v>
      </c>
      <c r="CA2951">
        <v>1600</v>
      </c>
      <c r="CB2951">
        <v>224</v>
      </c>
      <c r="CD2951">
        <v>1</v>
      </c>
      <c r="CE2951">
        <v>0</v>
      </c>
      <c r="CF2951">
        <v>0</v>
      </c>
      <c r="CG2951">
        <v>0</v>
      </c>
      <c r="CH2951">
        <v>0</v>
      </c>
      <c r="CI2951">
        <v>0</v>
      </c>
      <c r="CJ2951">
        <v>0</v>
      </c>
      <c r="CK2951">
        <v>2</v>
      </c>
      <c r="CL2951">
        <v>0</v>
      </c>
      <c r="CM2951">
        <v>2</v>
      </c>
      <c r="CN2951">
        <v>0</v>
      </c>
      <c r="CO2951">
        <v>7</v>
      </c>
      <c r="CP2951" t="s">
        <v>119</v>
      </c>
      <c r="CQ2951">
        <v>180</v>
      </c>
      <c r="CR2951">
        <v>2</v>
      </c>
      <c r="CW2951">
        <v>8668136</v>
      </c>
      <c r="CY2951">
        <v>1</v>
      </c>
      <c r="CZ2951">
        <v>0</v>
      </c>
      <c r="DA2951">
        <v>0</v>
      </c>
      <c r="DB2951">
        <v>0</v>
      </c>
      <c r="DC2951">
        <v>0</v>
      </c>
      <c r="DD2951">
        <v>0</v>
      </c>
      <c r="DE2951">
        <v>0</v>
      </c>
      <c r="DF2951">
        <v>0</v>
      </c>
      <c r="DG2951">
        <v>0</v>
      </c>
      <c r="DH2951">
        <v>0</v>
      </c>
      <c r="DI2951">
        <v>0</v>
      </c>
    </row>
    <row r="2952" spans="1:113" x14ac:dyDescent="0.3">
      <c r="A2952" t="str">
        <f>"02/08/2021 20:30:12.619"</f>
        <v>02/08/2021 20:30:12.619</v>
      </c>
      <c r="C2952" t="str">
        <f t="shared" si="141"/>
        <v>FFDFD7C0</v>
      </c>
      <c r="D2952" t="s">
        <v>124</v>
      </c>
      <c r="E2952">
        <v>11</v>
      </c>
      <c r="F2952">
        <v>1011</v>
      </c>
      <c r="G2952" t="s">
        <v>590</v>
      </c>
      <c r="J2952" t="s">
        <v>125</v>
      </c>
      <c r="K2952">
        <v>0</v>
      </c>
      <c r="L2952">
        <v>3</v>
      </c>
      <c r="M2952">
        <v>0</v>
      </c>
      <c r="N2952">
        <v>2</v>
      </c>
      <c r="O2952">
        <v>1</v>
      </c>
      <c r="P2952">
        <v>0</v>
      </c>
      <c r="Q2952">
        <v>0</v>
      </c>
      <c r="S2952" t="str">
        <f>"20:30:14.977"</f>
        <v>20:30:14.977</v>
      </c>
      <c r="T2952" t="str">
        <f>"20:30:14.477"</f>
        <v>20:30:14.477</v>
      </c>
      <c r="U2952" t="str">
        <f t="shared" si="144"/>
        <v>AB01F4</v>
      </c>
      <c r="V2952">
        <v>0</v>
      </c>
      <c r="W2952">
        <v>0</v>
      </c>
      <c r="X2952">
        <v>2</v>
      </c>
      <c r="Z2952">
        <v>0</v>
      </c>
      <c r="AA2952">
        <v>9</v>
      </c>
      <c r="AB2952">
        <v>3</v>
      </c>
      <c r="AC2952">
        <v>0</v>
      </c>
      <c r="AD2952">
        <v>10</v>
      </c>
      <c r="AE2952">
        <v>0</v>
      </c>
      <c r="AF2952">
        <v>3</v>
      </c>
      <c r="AG2952">
        <v>2</v>
      </c>
      <c r="AH2952">
        <v>0</v>
      </c>
      <c r="AI2952" t="s">
        <v>1725</v>
      </c>
      <c r="AJ2952">
        <v>40.032763000000003</v>
      </c>
      <c r="AK2952" t="s">
        <v>1726</v>
      </c>
      <c r="AL2952">
        <v>-92.837412</v>
      </c>
      <c r="AM2952">
        <v>100</v>
      </c>
      <c r="AN2952">
        <v>1500</v>
      </c>
      <c r="AO2952" t="s">
        <v>118</v>
      </c>
      <c r="AP2952">
        <v>-132</v>
      </c>
      <c r="AQ2952">
        <v>37</v>
      </c>
      <c r="AR2952">
        <v>-192</v>
      </c>
      <c r="AZ2952">
        <v>1200</v>
      </c>
      <c r="BA2952">
        <v>1</v>
      </c>
      <c r="BB2952" t="str">
        <f t="shared" si="143"/>
        <v xml:space="preserve">N8080G  </v>
      </c>
      <c r="BC2952">
        <v>1</v>
      </c>
      <c r="BE2952">
        <v>0</v>
      </c>
      <c r="BF2952">
        <v>0</v>
      </c>
      <c r="BG2952">
        <v>0</v>
      </c>
      <c r="BH2952">
        <v>1475</v>
      </c>
      <c r="BI2952">
        <v>1</v>
      </c>
      <c r="BJ2952">
        <v>1</v>
      </c>
      <c r="BK2952">
        <v>1</v>
      </c>
      <c r="BL2952">
        <v>0</v>
      </c>
      <c r="BO2952">
        <v>0</v>
      </c>
      <c r="BP2952">
        <v>0</v>
      </c>
      <c r="BW2952" t="str">
        <f>"20:30:14.977"</f>
        <v>20:30:14.977</v>
      </c>
      <c r="BZ2952">
        <v>0</v>
      </c>
      <c r="CA2952">
        <v>1600</v>
      </c>
      <c r="CB2952">
        <v>224</v>
      </c>
      <c r="CD2952">
        <v>1</v>
      </c>
      <c r="CE2952">
        <v>0</v>
      </c>
      <c r="CF2952">
        <v>0</v>
      </c>
      <c r="CG2952">
        <v>0</v>
      </c>
      <c r="CH2952">
        <v>0</v>
      </c>
      <c r="CI2952">
        <v>0</v>
      </c>
      <c r="CJ2952">
        <v>0</v>
      </c>
      <c r="CK2952">
        <v>2</v>
      </c>
      <c r="CL2952">
        <v>0</v>
      </c>
      <c r="CM2952">
        <v>2</v>
      </c>
      <c r="CN2952">
        <v>0</v>
      </c>
      <c r="CO2952">
        <v>7</v>
      </c>
      <c r="CP2952" t="s">
        <v>119</v>
      </c>
      <c r="CQ2952">
        <v>180</v>
      </c>
      <c r="CR2952">
        <v>2</v>
      </c>
      <c r="CW2952">
        <v>8668136</v>
      </c>
      <c r="CY2952">
        <v>1</v>
      </c>
      <c r="CZ2952">
        <v>0</v>
      </c>
      <c r="DA2952">
        <v>1</v>
      </c>
      <c r="DB2952">
        <v>0</v>
      </c>
      <c r="DC2952">
        <v>0</v>
      </c>
      <c r="DD2952">
        <v>0</v>
      </c>
      <c r="DE2952">
        <v>0</v>
      </c>
      <c r="DF2952">
        <v>0</v>
      </c>
      <c r="DG2952">
        <v>0</v>
      </c>
      <c r="DH2952">
        <v>0</v>
      </c>
      <c r="DI2952">
        <v>0</v>
      </c>
    </row>
    <row r="2953" spans="1:113" x14ac:dyDescent="0.3">
      <c r="A2953" t="str">
        <f>"02/08/2021 20:30:12.619"</f>
        <v>02/08/2021 20:30:12.619</v>
      </c>
      <c r="C2953" t="str">
        <f t="shared" si="141"/>
        <v>FFDFD7C0</v>
      </c>
      <c r="D2953" t="s">
        <v>124</v>
      </c>
      <c r="E2953">
        <v>13</v>
      </c>
      <c r="F2953">
        <v>1013</v>
      </c>
      <c r="G2953" t="s">
        <v>114</v>
      </c>
      <c r="J2953" t="s">
        <v>125</v>
      </c>
      <c r="K2953">
        <v>0</v>
      </c>
      <c r="L2953">
        <v>3</v>
      </c>
      <c r="M2953">
        <v>0</v>
      </c>
      <c r="N2953">
        <v>2</v>
      </c>
      <c r="O2953">
        <v>1</v>
      </c>
      <c r="P2953">
        <v>0</v>
      </c>
      <c r="Q2953">
        <v>0</v>
      </c>
      <c r="S2953" t="str">
        <f>"20:30:14.977"</f>
        <v>20:30:14.977</v>
      </c>
      <c r="T2953" t="str">
        <f>"20:30:14.477"</f>
        <v>20:30:14.477</v>
      </c>
      <c r="U2953" t="str">
        <f t="shared" si="144"/>
        <v>AB01F4</v>
      </c>
      <c r="V2953">
        <v>0</v>
      </c>
      <c r="W2953">
        <v>0</v>
      </c>
      <c r="X2953">
        <v>2</v>
      </c>
      <c r="Z2953">
        <v>0</v>
      </c>
      <c r="AA2953">
        <v>9</v>
      </c>
      <c r="AB2953">
        <v>3</v>
      </c>
      <c r="AC2953">
        <v>0</v>
      </c>
      <c r="AD2953">
        <v>10</v>
      </c>
      <c r="AE2953">
        <v>0</v>
      </c>
      <c r="AF2953">
        <v>3</v>
      </c>
      <c r="AG2953">
        <v>2</v>
      </c>
      <c r="AH2953">
        <v>0</v>
      </c>
      <c r="AI2953" t="s">
        <v>1725</v>
      </c>
      <c r="AJ2953">
        <v>40.032763000000003</v>
      </c>
      <c r="AK2953" t="s">
        <v>1726</v>
      </c>
      <c r="AL2953">
        <v>-92.837412</v>
      </c>
      <c r="AM2953">
        <v>100</v>
      </c>
      <c r="AN2953">
        <v>1500</v>
      </c>
      <c r="AO2953" t="s">
        <v>118</v>
      </c>
      <c r="AP2953">
        <v>-132</v>
      </c>
      <c r="AQ2953">
        <v>37</v>
      </c>
      <c r="AR2953">
        <v>-192</v>
      </c>
      <c r="AZ2953">
        <v>1200</v>
      </c>
      <c r="BA2953">
        <v>1</v>
      </c>
      <c r="BB2953" t="str">
        <f t="shared" si="143"/>
        <v xml:space="preserve">N8080G  </v>
      </c>
      <c r="BC2953">
        <v>1</v>
      </c>
      <c r="BE2953">
        <v>0</v>
      </c>
      <c r="BF2953">
        <v>0</v>
      </c>
      <c r="BG2953">
        <v>0</v>
      </c>
      <c r="BH2953">
        <v>1475</v>
      </c>
      <c r="BI2953">
        <v>1</v>
      </c>
      <c r="BJ2953">
        <v>1</v>
      </c>
      <c r="BK2953">
        <v>1</v>
      </c>
      <c r="BL2953">
        <v>0</v>
      </c>
      <c r="BO2953">
        <v>0</v>
      </c>
      <c r="BP2953">
        <v>0</v>
      </c>
      <c r="BW2953" t="str">
        <f>"20:30:14.977"</f>
        <v>20:30:14.977</v>
      </c>
      <c r="BZ2953">
        <v>0</v>
      </c>
      <c r="CA2953">
        <v>1600</v>
      </c>
      <c r="CB2953">
        <v>224</v>
      </c>
      <c r="CD2953">
        <v>1</v>
      </c>
      <c r="CE2953">
        <v>0</v>
      </c>
      <c r="CF2953">
        <v>0</v>
      </c>
      <c r="CG2953">
        <v>0</v>
      </c>
      <c r="CH2953">
        <v>0</v>
      </c>
      <c r="CI2953">
        <v>0</v>
      </c>
      <c r="CJ2953">
        <v>0</v>
      </c>
      <c r="CK2953">
        <v>2</v>
      </c>
      <c r="CL2953">
        <v>0</v>
      </c>
      <c r="CM2953">
        <v>2</v>
      </c>
      <c r="CN2953">
        <v>0</v>
      </c>
      <c r="CO2953">
        <v>7</v>
      </c>
      <c r="CP2953" t="s">
        <v>119</v>
      </c>
      <c r="CQ2953">
        <v>180</v>
      </c>
      <c r="CR2953">
        <v>2</v>
      </c>
      <c r="CW2953">
        <v>8668136</v>
      </c>
      <c r="CY2953">
        <v>1</v>
      </c>
      <c r="CZ2953">
        <v>0</v>
      </c>
      <c r="DA2953">
        <v>1</v>
      </c>
      <c r="DB2953">
        <v>0</v>
      </c>
      <c r="DC2953">
        <v>0</v>
      </c>
      <c r="DD2953">
        <v>0</v>
      </c>
      <c r="DE2953">
        <v>0</v>
      </c>
      <c r="DF2953">
        <v>0</v>
      </c>
      <c r="DG2953">
        <v>0</v>
      </c>
      <c r="DH2953">
        <v>0</v>
      </c>
      <c r="DI2953">
        <v>0</v>
      </c>
    </row>
    <row r="2954" spans="1:113" x14ac:dyDescent="0.3">
      <c r="A2954" t="str">
        <f>"02/08/2021 20:30:12.619"</f>
        <v>02/08/2021 20:30:12.619</v>
      </c>
      <c r="C2954" t="str">
        <f t="shared" si="141"/>
        <v>FFDFD7C0</v>
      </c>
      <c r="D2954" t="s">
        <v>113</v>
      </c>
      <c r="E2954">
        <v>6</v>
      </c>
      <c r="H2954">
        <v>165</v>
      </c>
      <c r="I2954" t="s">
        <v>114</v>
      </c>
      <c r="J2954" t="s">
        <v>115</v>
      </c>
      <c r="K2954">
        <v>0</v>
      </c>
      <c r="L2954">
        <v>3</v>
      </c>
      <c r="M2954">
        <v>0</v>
      </c>
      <c r="N2954">
        <v>2</v>
      </c>
      <c r="O2954">
        <v>1</v>
      </c>
      <c r="P2954">
        <v>0</v>
      </c>
      <c r="Q2954">
        <v>0</v>
      </c>
      <c r="S2954" t="str">
        <f>"20:30:14.977"</f>
        <v>20:30:14.977</v>
      </c>
      <c r="T2954" t="str">
        <f>"20:30:14.477"</f>
        <v>20:30:14.477</v>
      </c>
      <c r="U2954" t="str">
        <f t="shared" si="144"/>
        <v>AB01F4</v>
      </c>
      <c r="V2954">
        <v>0</v>
      </c>
      <c r="W2954">
        <v>0</v>
      </c>
      <c r="X2954">
        <v>2</v>
      </c>
      <c r="Z2954">
        <v>0</v>
      </c>
      <c r="AA2954">
        <v>9</v>
      </c>
      <c r="AB2954">
        <v>3</v>
      </c>
      <c r="AC2954">
        <v>0</v>
      </c>
      <c r="AD2954">
        <v>10</v>
      </c>
      <c r="AE2954">
        <v>0</v>
      </c>
      <c r="AF2954">
        <v>3</v>
      </c>
      <c r="AG2954">
        <v>2</v>
      </c>
      <c r="AH2954">
        <v>0</v>
      </c>
      <c r="AI2954" t="s">
        <v>1725</v>
      </c>
      <c r="AJ2954">
        <v>40.032763000000003</v>
      </c>
      <c r="AK2954" t="s">
        <v>1726</v>
      </c>
      <c r="AL2954">
        <v>-92.837412</v>
      </c>
      <c r="AM2954">
        <v>100</v>
      </c>
      <c r="AN2954">
        <v>1500</v>
      </c>
      <c r="AO2954" t="s">
        <v>118</v>
      </c>
      <c r="AP2954">
        <v>-132</v>
      </c>
      <c r="AQ2954">
        <v>37</v>
      </c>
      <c r="AR2954">
        <v>-192</v>
      </c>
      <c r="AZ2954">
        <v>1200</v>
      </c>
      <c r="BA2954">
        <v>1</v>
      </c>
      <c r="BB2954" t="str">
        <f t="shared" si="143"/>
        <v xml:space="preserve">N8080G  </v>
      </c>
      <c r="BC2954">
        <v>1</v>
      </c>
      <c r="BE2954">
        <v>0</v>
      </c>
      <c r="BF2954">
        <v>0</v>
      </c>
      <c r="BG2954">
        <v>0</v>
      </c>
      <c r="BH2954">
        <v>1475</v>
      </c>
      <c r="BI2954">
        <v>1</v>
      </c>
      <c r="BJ2954">
        <v>1</v>
      </c>
      <c r="BK2954">
        <v>1</v>
      </c>
      <c r="BL2954">
        <v>0</v>
      </c>
      <c r="BO2954">
        <v>0</v>
      </c>
      <c r="BP2954">
        <v>0</v>
      </c>
      <c r="BW2954" t="str">
        <f>"20:30:14.977"</f>
        <v>20:30:14.977</v>
      </c>
      <c r="BZ2954">
        <v>0</v>
      </c>
      <c r="CA2954">
        <v>1600</v>
      </c>
      <c r="CB2954">
        <v>224</v>
      </c>
      <c r="CD2954">
        <v>1</v>
      </c>
      <c r="CE2954">
        <v>0</v>
      </c>
      <c r="CF2954">
        <v>0</v>
      </c>
      <c r="CG2954">
        <v>0</v>
      </c>
      <c r="CH2954">
        <v>0</v>
      </c>
      <c r="CI2954">
        <v>0</v>
      </c>
      <c r="CJ2954">
        <v>0</v>
      </c>
      <c r="CK2954">
        <v>2</v>
      </c>
      <c r="CL2954">
        <v>0</v>
      </c>
      <c r="CM2954">
        <v>2</v>
      </c>
      <c r="CN2954">
        <v>0</v>
      </c>
      <c r="CO2954">
        <v>7</v>
      </c>
      <c r="CP2954" t="s">
        <v>119</v>
      </c>
      <c r="CQ2954">
        <v>180</v>
      </c>
      <c r="CR2954">
        <v>2</v>
      </c>
      <c r="CW2954">
        <v>8668136</v>
      </c>
      <c r="CY2954">
        <v>1</v>
      </c>
      <c r="CZ2954">
        <v>0</v>
      </c>
      <c r="DA2954">
        <v>1</v>
      </c>
      <c r="DB2954">
        <v>0</v>
      </c>
      <c r="DC2954">
        <v>0</v>
      </c>
      <c r="DD2954">
        <v>0</v>
      </c>
      <c r="DE2954">
        <v>0</v>
      </c>
      <c r="DF2954">
        <v>0</v>
      </c>
      <c r="DG2954">
        <v>0</v>
      </c>
      <c r="DH2954">
        <v>0</v>
      </c>
      <c r="DI2954">
        <v>0</v>
      </c>
    </row>
    <row r="2955" spans="1:113" x14ac:dyDescent="0.3">
      <c r="A2955" t="str">
        <f>"02/08/2021 20:30:13.595"</f>
        <v>02/08/2021 20:30:13.595</v>
      </c>
      <c r="C2955" t="str">
        <f t="shared" si="141"/>
        <v>FFDFD7C0</v>
      </c>
      <c r="D2955" t="s">
        <v>124</v>
      </c>
      <c r="E2955">
        <v>13</v>
      </c>
      <c r="F2955">
        <v>1013</v>
      </c>
      <c r="G2955" t="s">
        <v>114</v>
      </c>
      <c r="J2955" t="s">
        <v>125</v>
      </c>
      <c r="K2955">
        <v>0</v>
      </c>
      <c r="L2955">
        <v>3</v>
      </c>
      <c r="M2955">
        <v>0</v>
      </c>
      <c r="N2955">
        <v>2</v>
      </c>
      <c r="O2955">
        <v>1</v>
      </c>
      <c r="P2955">
        <v>0</v>
      </c>
      <c r="Q2955">
        <v>0</v>
      </c>
      <c r="S2955" t="str">
        <f>"20:30:15.906"</f>
        <v>20:30:15.906</v>
      </c>
      <c r="T2955" t="str">
        <f>"20:30:15.506"</f>
        <v>20:30:15.506</v>
      </c>
      <c r="U2955" t="str">
        <f t="shared" si="144"/>
        <v>AB01F4</v>
      </c>
      <c r="V2955">
        <v>0</v>
      </c>
      <c r="W2955">
        <v>0</v>
      </c>
      <c r="X2955">
        <v>2</v>
      </c>
      <c r="Z2955">
        <v>0</v>
      </c>
      <c r="AA2955">
        <v>9</v>
      </c>
      <c r="AB2955">
        <v>3</v>
      </c>
      <c r="AC2955">
        <v>0</v>
      </c>
      <c r="AD2955">
        <v>10</v>
      </c>
      <c r="AE2955">
        <v>0</v>
      </c>
      <c r="AF2955">
        <v>3</v>
      </c>
      <c r="AG2955">
        <v>2</v>
      </c>
      <c r="AH2955">
        <v>0</v>
      </c>
      <c r="AI2955" t="s">
        <v>1727</v>
      </c>
      <c r="AJ2955">
        <v>40.032913999999998</v>
      </c>
      <c r="AK2955" t="s">
        <v>1728</v>
      </c>
      <c r="AL2955">
        <v>-92.838162999999994</v>
      </c>
      <c r="AM2955">
        <v>100</v>
      </c>
      <c r="AN2955">
        <v>1500</v>
      </c>
      <c r="AO2955" t="s">
        <v>118</v>
      </c>
      <c r="AP2955">
        <v>-132</v>
      </c>
      <c r="AQ2955">
        <v>37</v>
      </c>
      <c r="AR2955">
        <v>-192</v>
      </c>
      <c r="AZ2955">
        <v>1200</v>
      </c>
      <c r="BA2955">
        <v>1</v>
      </c>
      <c r="BB2955" t="str">
        <f t="shared" si="143"/>
        <v xml:space="preserve">N8080G  </v>
      </c>
      <c r="BC2955">
        <v>1</v>
      </c>
      <c r="BE2955">
        <v>0</v>
      </c>
      <c r="BF2955">
        <v>0</v>
      </c>
      <c r="BG2955">
        <v>0</v>
      </c>
      <c r="BH2955">
        <v>1475</v>
      </c>
      <c r="BI2955">
        <v>1</v>
      </c>
      <c r="BJ2955">
        <v>1</v>
      </c>
      <c r="BK2955">
        <v>1</v>
      </c>
      <c r="BL2955">
        <v>0</v>
      </c>
      <c r="BO2955">
        <v>0</v>
      </c>
      <c r="BP2955">
        <v>0</v>
      </c>
      <c r="BW2955" t="str">
        <f>"20:30:15.907"</f>
        <v>20:30:15.907</v>
      </c>
      <c r="BZ2955">
        <v>0</v>
      </c>
      <c r="CA2955">
        <v>1600</v>
      </c>
      <c r="CB2955">
        <v>224</v>
      </c>
      <c r="CD2955">
        <v>1</v>
      </c>
      <c r="CE2955">
        <v>0</v>
      </c>
      <c r="CF2955">
        <v>0</v>
      </c>
      <c r="CG2955">
        <v>0</v>
      </c>
      <c r="CH2955">
        <v>0</v>
      </c>
      <c r="CI2955">
        <v>0</v>
      </c>
      <c r="CJ2955">
        <v>0</v>
      </c>
      <c r="CK2955">
        <v>2</v>
      </c>
      <c r="CL2955">
        <v>0</v>
      </c>
      <c r="CM2955">
        <v>2</v>
      </c>
      <c r="CN2955">
        <v>0</v>
      </c>
      <c r="CO2955">
        <v>2</v>
      </c>
      <c r="CP2955" t="s">
        <v>119</v>
      </c>
      <c r="CQ2955">
        <v>179</v>
      </c>
      <c r="CR2955">
        <v>1</v>
      </c>
      <c r="CW2955">
        <v>9128928</v>
      </c>
      <c r="CY2955">
        <v>1</v>
      </c>
      <c r="CZ2955">
        <v>0</v>
      </c>
      <c r="DA2955">
        <v>0</v>
      </c>
      <c r="DB2955">
        <v>0</v>
      </c>
      <c r="DC2955">
        <v>0</v>
      </c>
      <c r="DD2955">
        <v>0</v>
      </c>
      <c r="DE2955">
        <v>0</v>
      </c>
      <c r="DF2955">
        <v>0</v>
      </c>
      <c r="DG2955">
        <v>0</v>
      </c>
      <c r="DH2955">
        <v>0</v>
      </c>
      <c r="DI2955">
        <v>0</v>
      </c>
    </row>
    <row r="2956" spans="1:113" x14ac:dyDescent="0.3">
      <c r="A2956" t="str">
        <f>"02/08/2021 20:30:13.595"</f>
        <v>02/08/2021 20:30:13.595</v>
      </c>
      <c r="C2956" t="str">
        <f t="shared" si="141"/>
        <v>FFDFD7C0</v>
      </c>
      <c r="D2956" t="s">
        <v>113</v>
      </c>
      <c r="E2956">
        <v>6</v>
      </c>
      <c r="H2956">
        <v>165</v>
      </c>
      <c r="I2956" t="s">
        <v>114</v>
      </c>
      <c r="J2956" t="s">
        <v>115</v>
      </c>
      <c r="K2956">
        <v>0</v>
      </c>
      <c r="L2956">
        <v>3</v>
      </c>
      <c r="M2956">
        <v>0</v>
      </c>
      <c r="N2956">
        <v>2</v>
      </c>
      <c r="O2956">
        <v>1</v>
      </c>
      <c r="P2956">
        <v>0</v>
      </c>
      <c r="Q2956">
        <v>0</v>
      </c>
      <c r="S2956" t="str">
        <f>"20:30:15.906"</f>
        <v>20:30:15.906</v>
      </c>
      <c r="T2956" t="str">
        <f>"20:30:15.506"</f>
        <v>20:30:15.506</v>
      </c>
      <c r="U2956" t="str">
        <f t="shared" si="144"/>
        <v>AB01F4</v>
      </c>
      <c r="V2956">
        <v>0</v>
      </c>
      <c r="W2956">
        <v>0</v>
      </c>
      <c r="X2956">
        <v>2</v>
      </c>
      <c r="Z2956">
        <v>0</v>
      </c>
      <c r="AA2956">
        <v>9</v>
      </c>
      <c r="AB2956">
        <v>3</v>
      </c>
      <c r="AC2956">
        <v>0</v>
      </c>
      <c r="AD2956">
        <v>10</v>
      </c>
      <c r="AE2956">
        <v>0</v>
      </c>
      <c r="AF2956">
        <v>3</v>
      </c>
      <c r="AG2956">
        <v>2</v>
      </c>
      <c r="AH2956">
        <v>0</v>
      </c>
      <c r="AI2956" t="s">
        <v>1727</v>
      </c>
      <c r="AJ2956">
        <v>40.032913999999998</v>
      </c>
      <c r="AK2956" t="s">
        <v>1728</v>
      </c>
      <c r="AL2956">
        <v>-92.838162999999994</v>
      </c>
      <c r="AM2956">
        <v>100</v>
      </c>
      <c r="AN2956">
        <v>1500</v>
      </c>
      <c r="AO2956" t="s">
        <v>118</v>
      </c>
      <c r="AP2956">
        <v>-132</v>
      </c>
      <c r="AQ2956">
        <v>37</v>
      </c>
      <c r="AR2956">
        <v>-192</v>
      </c>
      <c r="AZ2956">
        <v>1200</v>
      </c>
      <c r="BA2956">
        <v>1</v>
      </c>
      <c r="BB2956" t="str">
        <f t="shared" si="143"/>
        <v xml:space="preserve">N8080G  </v>
      </c>
      <c r="BC2956">
        <v>1</v>
      </c>
      <c r="BE2956">
        <v>0</v>
      </c>
      <c r="BF2956">
        <v>0</v>
      </c>
      <c r="BG2956">
        <v>0</v>
      </c>
      <c r="BH2956">
        <v>1475</v>
      </c>
      <c r="BI2956">
        <v>1</v>
      </c>
      <c r="BJ2956">
        <v>1</v>
      </c>
      <c r="BK2956">
        <v>1</v>
      </c>
      <c r="BL2956">
        <v>0</v>
      </c>
      <c r="BO2956">
        <v>0</v>
      </c>
      <c r="BP2956">
        <v>0</v>
      </c>
      <c r="BW2956" t="str">
        <f>"20:30:15.907"</f>
        <v>20:30:15.907</v>
      </c>
      <c r="BZ2956">
        <v>0</v>
      </c>
      <c r="CA2956">
        <v>1600</v>
      </c>
      <c r="CB2956">
        <v>224</v>
      </c>
      <c r="CD2956">
        <v>1</v>
      </c>
      <c r="CE2956">
        <v>0</v>
      </c>
      <c r="CF2956">
        <v>0</v>
      </c>
      <c r="CG2956">
        <v>0</v>
      </c>
      <c r="CH2956">
        <v>0</v>
      </c>
      <c r="CI2956">
        <v>0</v>
      </c>
      <c r="CJ2956">
        <v>0</v>
      </c>
      <c r="CK2956">
        <v>2</v>
      </c>
      <c r="CL2956">
        <v>0</v>
      </c>
      <c r="CM2956">
        <v>2</v>
      </c>
      <c r="CN2956">
        <v>0</v>
      </c>
      <c r="CO2956">
        <v>2</v>
      </c>
      <c r="CP2956" t="s">
        <v>119</v>
      </c>
      <c r="CQ2956">
        <v>179</v>
      </c>
      <c r="CR2956">
        <v>1</v>
      </c>
      <c r="CW2956">
        <v>9128928</v>
      </c>
      <c r="CY2956">
        <v>1</v>
      </c>
      <c r="CZ2956">
        <v>0</v>
      </c>
      <c r="DA2956">
        <v>1</v>
      </c>
      <c r="DB2956">
        <v>0</v>
      </c>
      <c r="DC2956">
        <v>0</v>
      </c>
      <c r="DD2956">
        <v>0</v>
      </c>
      <c r="DE2956">
        <v>0</v>
      </c>
      <c r="DF2956">
        <v>0</v>
      </c>
      <c r="DG2956">
        <v>0</v>
      </c>
      <c r="DH2956">
        <v>0</v>
      </c>
      <c r="DI2956">
        <v>0</v>
      </c>
    </row>
    <row r="2957" spans="1:113" x14ac:dyDescent="0.3">
      <c r="A2957" t="str">
        <f>"02/08/2021 20:30:13.595"</f>
        <v>02/08/2021 20:30:13.595</v>
      </c>
      <c r="C2957" t="str">
        <f t="shared" si="141"/>
        <v>FFDFD7C0</v>
      </c>
      <c r="D2957" t="s">
        <v>124</v>
      </c>
      <c r="E2957">
        <v>12</v>
      </c>
      <c r="F2957">
        <v>1012</v>
      </c>
      <c r="G2957" t="s">
        <v>675</v>
      </c>
      <c r="J2957" t="s">
        <v>125</v>
      </c>
      <c r="K2957">
        <v>0</v>
      </c>
      <c r="L2957">
        <v>3</v>
      </c>
      <c r="M2957">
        <v>0</v>
      </c>
      <c r="N2957">
        <v>2</v>
      </c>
      <c r="O2957">
        <v>1</v>
      </c>
      <c r="P2957">
        <v>0</v>
      </c>
      <c r="Q2957">
        <v>0</v>
      </c>
      <c r="S2957" t="str">
        <f>"20:30:15.906"</f>
        <v>20:30:15.906</v>
      </c>
      <c r="T2957" t="str">
        <f>"20:30:15.506"</f>
        <v>20:30:15.506</v>
      </c>
      <c r="U2957" t="str">
        <f t="shared" si="144"/>
        <v>AB01F4</v>
      </c>
      <c r="V2957">
        <v>0</v>
      </c>
      <c r="W2957">
        <v>0</v>
      </c>
      <c r="X2957">
        <v>2</v>
      </c>
      <c r="Z2957">
        <v>0</v>
      </c>
      <c r="AA2957">
        <v>9</v>
      </c>
      <c r="AB2957">
        <v>3</v>
      </c>
      <c r="AC2957">
        <v>0</v>
      </c>
      <c r="AD2957">
        <v>10</v>
      </c>
      <c r="AE2957">
        <v>0</v>
      </c>
      <c r="AF2957">
        <v>3</v>
      </c>
      <c r="AG2957">
        <v>2</v>
      </c>
      <c r="AH2957">
        <v>0</v>
      </c>
      <c r="AI2957" t="s">
        <v>1727</v>
      </c>
      <c r="AJ2957">
        <v>40.032913999999998</v>
      </c>
      <c r="AK2957" t="s">
        <v>1728</v>
      </c>
      <c r="AL2957">
        <v>-92.838162999999994</v>
      </c>
      <c r="AM2957">
        <v>100</v>
      </c>
      <c r="AN2957">
        <v>1500</v>
      </c>
      <c r="AO2957" t="s">
        <v>118</v>
      </c>
      <c r="AP2957">
        <v>-132</v>
      </c>
      <c r="AQ2957">
        <v>37</v>
      </c>
      <c r="AR2957">
        <v>-192</v>
      </c>
      <c r="AZ2957">
        <v>1200</v>
      </c>
      <c r="BA2957">
        <v>1</v>
      </c>
      <c r="BB2957" t="str">
        <f t="shared" si="143"/>
        <v xml:space="preserve">N8080G  </v>
      </c>
      <c r="BC2957">
        <v>1</v>
      </c>
      <c r="BE2957">
        <v>0</v>
      </c>
      <c r="BF2957">
        <v>0</v>
      </c>
      <c r="BG2957">
        <v>0</v>
      </c>
      <c r="BH2957">
        <v>1475</v>
      </c>
      <c r="BI2957">
        <v>1</v>
      </c>
      <c r="BJ2957">
        <v>1</v>
      </c>
      <c r="BK2957">
        <v>1</v>
      </c>
      <c r="BL2957">
        <v>0</v>
      </c>
      <c r="BO2957">
        <v>0</v>
      </c>
      <c r="BP2957">
        <v>0</v>
      </c>
      <c r="BW2957" t="str">
        <f>"20:30:15.907"</f>
        <v>20:30:15.907</v>
      </c>
      <c r="BZ2957">
        <v>0</v>
      </c>
      <c r="CA2957">
        <v>1600</v>
      </c>
      <c r="CB2957">
        <v>224</v>
      </c>
      <c r="CD2957">
        <v>1</v>
      </c>
      <c r="CE2957">
        <v>0</v>
      </c>
      <c r="CF2957">
        <v>0</v>
      </c>
      <c r="CG2957">
        <v>0</v>
      </c>
      <c r="CH2957">
        <v>0</v>
      </c>
      <c r="CI2957">
        <v>0</v>
      </c>
      <c r="CJ2957">
        <v>0</v>
      </c>
      <c r="CK2957">
        <v>2</v>
      </c>
      <c r="CL2957">
        <v>0</v>
      </c>
      <c r="CM2957">
        <v>2</v>
      </c>
      <c r="CN2957">
        <v>0</v>
      </c>
      <c r="CO2957">
        <v>2</v>
      </c>
      <c r="CP2957" t="s">
        <v>119</v>
      </c>
      <c r="CQ2957">
        <v>179</v>
      </c>
      <c r="CR2957">
        <v>1</v>
      </c>
      <c r="CW2957">
        <v>9128928</v>
      </c>
      <c r="CY2957">
        <v>1</v>
      </c>
      <c r="CZ2957">
        <v>0</v>
      </c>
      <c r="DA2957">
        <v>1</v>
      </c>
      <c r="DB2957">
        <v>0</v>
      </c>
      <c r="DC2957">
        <v>0</v>
      </c>
      <c r="DD2957">
        <v>0</v>
      </c>
      <c r="DE2957">
        <v>0</v>
      </c>
      <c r="DF2957">
        <v>0</v>
      </c>
      <c r="DG2957">
        <v>0</v>
      </c>
      <c r="DH2957">
        <v>0</v>
      </c>
      <c r="DI2957">
        <v>0</v>
      </c>
    </row>
    <row r="2958" spans="1:113" x14ac:dyDescent="0.3">
      <c r="A2958" t="str">
        <f>"02/08/2021 20:30:13.595"</f>
        <v>02/08/2021 20:30:13.595</v>
      </c>
      <c r="C2958" t="str">
        <f t="shared" si="141"/>
        <v>FFDFD7C0</v>
      </c>
      <c r="D2958" t="s">
        <v>124</v>
      </c>
      <c r="E2958">
        <v>11</v>
      </c>
      <c r="F2958">
        <v>1011</v>
      </c>
      <c r="G2958" t="s">
        <v>590</v>
      </c>
      <c r="J2958" t="s">
        <v>125</v>
      </c>
      <c r="K2958">
        <v>0</v>
      </c>
      <c r="L2958">
        <v>3</v>
      </c>
      <c r="M2958">
        <v>0</v>
      </c>
      <c r="N2958">
        <v>2</v>
      </c>
      <c r="O2958">
        <v>1</v>
      </c>
      <c r="P2958">
        <v>0</v>
      </c>
      <c r="Q2958">
        <v>0</v>
      </c>
      <c r="S2958" t="str">
        <f>"20:30:15.906"</f>
        <v>20:30:15.906</v>
      </c>
      <c r="T2958" t="str">
        <f>"20:30:15.506"</f>
        <v>20:30:15.506</v>
      </c>
      <c r="U2958" t="str">
        <f t="shared" si="144"/>
        <v>AB01F4</v>
      </c>
      <c r="V2958">
        <v>0</v>
      </c>
      <c r="W2958">
        <v>0</v>
      </c>
      <c r="X2958">
        <v>2</v>
      </c>
      <c r="Z2958">
        <v>0</v>
      </c>
      <c r="AA2958">
        <v>9</v>
      </c>
      <c r="AB2958">
        <v>3</v>
      </c>
      <c r="AC2958">
        <v>0</v>
      </c>
      <c r="AD2958">
        <v>10</v>
      </c>
      <c r="AE2958">
        <v>0</v>
      </c>
      <c r="AF2958">
        <v>3</v>
      </c>
      <c r="AG2958">
        <v>2</v>
      </c>
      <c r="AH2958">
        <v>0</v>
      </c>
      <c r="AI2958" t="s">
        <v>1727</v>
      </c>
      <c r="AJ2958">
        <v>40.032913999999998</v>
      </c>
      <c r="AK2958" t="s">
        <v>1728</v>
      </c>
      <c r="AL2958">
        <v>-92.838162999999994</v>
      </c>
      <c r="AM2958">
        <v>100</v>
      </c>
      <c r="AN2958">
        <v>1500</v>
      </c>
      <c r="AO2958" t="s">
        <v>118</v>
      </c>
      <c r="AP2958">
        <v>-132</v>
      </c>
      <c r="AQ2958">
        <v>37</v>
      </c>
      <c r="AR2958">
        <v>-192</v>
      </c>
      <c r="AZ2958">
        <v>1200</v>
      </c>
      <c r="BA2958">
        <v>1</v>
      </c>
      <c r="BB2958" t="str">
        <f t="shared" si="143"/>
        <v xml:space="preserve">N8080G  </v>
      </c>
      <c r="BC2958">
        <v>1</v>
      </c>
      <c r="BE2958">
        <v>0</v>
      </c>
      <c r="BF2958">
        <v>0</v>
      </c>
      <c r="BG2958">
        <v>0</v>
      </c>
      <c r="BH2958">
        <v>1475</v>
      </c>
      <c r="BI2958">
        <v>1</v>
      </c>
      <c r="BJ2958">
        <v>1</v>
      </c>
      <c r="BK2958">
        <v>1</v>
      </c>
      <c r="BL2958">
        <v>0</v>
      </c>
      <c r="BO2958">
        <v>0</v>
      </c>
      <c r="BP2958">
        <v>0</v>
      </c>
      <c r="BW2958" t="str">
        <f>"20:30:15.907"</f>
        <v>20:30:15.907</v>
      </c>
      <c r="BZ2958">
        <v>0</v>
      </c>
      <c r="CA2958">
        <v>1600</v>
      </c>
      <c r="CB2958">
        <v>224</v>
      </c>
      <c r="CD2958">
        <v>1</v>
      </c>
      <c r="CE2958">
        <v>0</v>
      </c>
      <c r="CF2958">
        <v>0</v>
      </c>
      <c r="CG2958">
        <v>0</v>
      </c>
      <c r="CH2958">
        <v>0</v>
      </c>
      <c r="CI2958">
        <v>0</v>
      </c>
      <c r="CJ2958">
        <v>0</v>
      </c>
      <c r="CK2958">
        <v>2</v>
      </c>
      <c r="CL2958">
        <v>0</v>
      </c>
      <c r="CM2958">
        <v>2</v>
      </c>
      <c r="CN2958">
        <v>0</v>
      </c>
      <c r="CO2958">
        <v>2</v>
      </c>
      <c r="CP2958" t="s">
        <v>119</v>
      </c>
      <c r="CQ2958">
        <v>179</v>
      </c>
      <c r="CR2958">
        <v>1</v>
      </c>
      <c r="CW2958">
        <v>9128928</v>
      </c>
      <c r="CY2958">
        <v>1</v>
      </c>
      <c r="CZ2958">
        <v>0</v>
      </c>
      <c r="DA2958">
        <v>1</v>
      </c>
      <c r="DB2958">
        <v>0</v>
      </c>
      <c r="DC2958">
        <v>0</v>
      </c>
      <c r="DD2958">
        <v>0</v>
      </c>
      <c r="DE2958">
        <v>0</v>
      </c>
      <c r="DF2958">
        <v>0</v>
      </c>
      <c r="DG2958">
        <v>0</v>
      </c>
      <c r="DH2958">
        <v>0</v>
      </c>
      <c r="DI2958">
        <v>0</v>
      </c>
    </row>
    <row r="2959" spans="1:113" x14ac:dyDescent="0.3">
      <c r="A2959" t="str">
        <f>"02/08/2021 20:30:15.242"</f>
        <v>02/08/2021 20:30:15.242</v>
      </c>
      <c r="C2959" t="str">
        <f t="shared" si="141"/>
        <v>FFDFD7C0</v>
      </c>
      <c r="D2959" t="s">
        <v>124</v>
      </c>
      <c r="E2959">
        <v>11</v>
      </c>
      <c r="F2959">
        <v>1011</v>
      </c>
      <c r="G2959" t="s">
        <v>590</v>
      </c>
      <c r="J2959" t="s">
        <v>125</v>
      </c>
      <c r="K2959">
        <v>0</v>
      </c>
      <c r="L2959">
        <v>3</v>
      </c>
      <c r="M2959">
        <v>0</v>
      </c>
      <c r="N2959">
        <v>2</v>
      </c>
      <c r="O2959">
        <v>1</v>
      </c>
      <c r="P2959">
        <v>0</v>
      </c>
      <c r="Q2959">
        <v>0</v>
      </c>
      <c r="S2959" t="str">
        <f>"20:30:17.594"</f>
        <v>20:30:17.594</v>
      </c>
      <c r="T2959" t="str">
        <f>"20:30:17.094"</f>
        <v>20:30:17.094</v>
      </c>
      <c r="U2959" t="str">
        <f t="shared" si="144"/>
        <v>AB01F4</v>
      </c>
      <c r="V2959">
        <v>0</v>
      </c>
      <c r="W2959">
        <v>0</v>
      </c>
      <c r="X2959">
        <v>2</v>
      </c>
      <c r="Z2959">
        <v>0</v>
      </c>
      <c r="AA2959">
        <v>9</v>
      </c>
      <c r="AB2959">
        <v>3</v>
      </c>
      <c r="AC2959">
        <v>0</v>
      </c>
      <c r="AD2959">
        <v>10</v>
      </c>
      <c r="AE2959">
        <v>0</v>
      </c>
      <c r="AF2959">
        <v>3</v>
      </c>
      <c r="AG2959">
        <v>2</v>
      </c>
      <c r="AH2959">
        <v>0</v>
      </c>
      <c r="AI2959" t="s">
        <v>1729</v>
      </c>
      <c r="AJ2959">
        <v>40.033214000000001</v>
      </c>
      <c r="AK2959" t="s">
        <v>1730</v>
      </c>
      <c r="AL2959">
        <v>-92.839472000000001</v>
      </c>
      <c r="AM2959">
        <v>100</v>
      </c>
      <c r="AN2959">
        <v>1500</v>
      </c>
      <c r="AO2959" t="s">
        <v>118</v>
      </c>
      <c r="AP2959">
        <v>-132</v>
      </c>
      <c r="AQ2959">
        <v>37</v>
      </c>
      <c r="AR2959">
        <v>-192</v>
      </c>
      <c r="AZ2959">
        <v>1200</v>
      </c>
      <c r="BA2959">
        <v>1</v>
      </c>
      <c r="BB2959" t="str">
        <f t="shared" si="143"/>
        <v xml:space="preserve">N8080G  </v>
      </c>
      <c r="BC2959">
        <v>1</v>
      </c>
      <c r="BE2959">
        <v>0</v>
      </c>
      <c r="BF2959">
        <v>0</v>
      </c>
      <c r="BG2959">
        <v>0</v>
      </c>
      <c r="BH2959">
        <v>1475</v>
      </c>
      <c r="BI2959">
        <v>1</v>
      </c>
      <c r="BJ2959">
        <v>1</v>
      </c>
      <c r="BK2959">
        <v>1</v>
      </c>
      <c r="BL2959">
        <v>0</v>
      </c>
      <c r="BO2959">
        <v>0</v>
      </c>
      <c r="BP2959">
        <v>0</v>
      </c>
      <c r="BW2959" t="str">
        <f>"20:30:17.600"</f>
        <v>20:30:17.600</v>
      </c>
      <c r="BZ2959">
        <v>0</v>
      </c>
      <c r="CA2959">
        <v>1600</v>
      </c>
      <c r="CB2959">
        <v>224</v>
      </c>
      <c r="CD2959">
        <v>1</v>
      </c>
      <c r="CE2959">
        <v>0</v>
      </c>
      <c r="CF2959">
        <v>0</v>
      </c>
      <c r="CG2959">
        <v>0</v>
      </c>
      <c r="CH2959">
        <v>0</v>
      </c>
      <c r="CI2959">
        <v>0</v>
      </c>
      <c r="CJ2959">
        <v>0</v>
      </c>
      <c r="CK2959">
        <v>2</v>
      </c>
      <c r="CL2959">
        <v>0</v>
      </c>
      <c r="CM2959">
        <v>2</v>
      </c>
      <c r="CN2959">
        <v>0</v>
      </c>
      <c r="CO2959">
        <v>7</v>
      </c>
      <c r="CP2959" t="s">
        <v>119</v>
      </c>
      <c r="CQ2959">
        <v>180</v>
      </c>
      <c r="CR2959">
        <v>2</v>
      </c>
      <c r="CW2959">
        <v>8670387</v>
      </c>
      <c r="CY2959">
        <v>1</v>
      </c>
      <c r="CZ2959">
        <v>0</v>
      </c>
      <c r="DA2959">
        <v>0</v>
      </c>
      <c r="DB2959">
        <v>0</v>
      </c>
      <c r="DC2959">
        <v>0</v>
      </c>
      <c r="DD2959">
        <v>0</v>
      </c>
      <c r="DE2959">
        <v>0</v>
      </c>
      <c r="DF2959">
        <v>0</v>
      </c>
      <c r="DG2959">
        <v>0</v>
      </c>
      <c r="DH2959">
        <v>0</v>
      </c>
      <c r="DI2959">
        <v>0</v>
      </c>
    </row>
    <row r="2960" spans="1:113" x14ac:dyDescent="0.3">
      <c r="A2960" t="str">
        <f>"02/08/2021 20:30:15.242"</f>
        <v>02/08/2021 20:30:15.242</v>
      </c>
      <c r="C2960" t="str">
        <f t="shared" si="141"/>
        <v>FFDFD7C0</v>
      </c>
      <c r="D2960" t="s">
        <v>124</v>
      </c>
      <c r="E2960">
        <v>13</v>
      </c>
      <c r="F2960">
        <v>1013</v>
      </c>
      <c r="G2960" t="s">
        <v>114</v>
      </c>
      <c r="J2960" t="s">
        <v>125</v>
      </c>
      <c r="K2960">
        <v>0</v>
      </c>
      <c r="L2960">
        <v>3</v>
      </c>
      <c r="M2960">
        <v>0</v>
      </c>
      <c r="N2960">
        <v>2</v>
      </c>
      <c r="O2960">
        <v>1</v>
      </c>
      <c r="P2960">
        <v>0</v>
      </c>
      <c r="Q2960">
        <v>0</v>
      </c>
      <c r="S2960" t="str">
        <f>"20:30:17.594"</f>
        <v>20:30:17.594</v>
      </c>
      <c r="T2960" t="str">
        <f>"20:30:17.094"</f>
        <v>20:30:17.094</v>
      </c>
      <c r="U2960" t="str">
        <f t="shared" si="144"/>
        <v>AB01F4</v>
      </c>
      <c r="V2960">
        <v>0</v>
      </c>
      <c r="W2960">
        <v>0</v>
      </c>
      <c r="X2960">
        <v>2</v>
      </c>
      <c r="Z2960">
        <v>0</v>
      </c>
      <c r="AA2960">
        <v>9</v>
      </c>
      <c r="AB2960">
        <v>3</v>
      </c>
      <c r="AC2960">
        <v>0</v>
      </c>
      <c r="AD2960">
        <v>10</v>
      </c>
      <c r="AE2960">
        <v>0</v>
      </c>
      <c r="AF2960">
        <v>3</v>
      </c>
      <c r="AG2960">
        <v>2</v>
      </c>
      <c r="AH2960">
        <v>0</v>
      </c>
      <c r="AI2960" t="s">
        <v>1729</v>
      </c>
      <c r="AJ2960">
        <v>40.033214000000001</v>
      </c>
      <c r="AK2960" t="s">
        <v>1730</v>
      </c>
      <c r="AL2960">
        <v>-92.839472000000001</v>
      </c>
      <c r="AM2960">
        <v>100</v>
      </c>
      <c r="AN2960">
        <v>1500</v>
      </c>
      <c r="AO2960" t="s">
        <v>118</v>
      </c>
      <c r="AP2960">
        <v>-132</v>
      </c>
      <c r="AQ2960">
        <v>37</v>
      </c>
      <c r="AR2960">
        <v>-192</v>
      </c>
      <c r="AZ2960">
        <v>1200</v>
      </c>
      <c r="BA2960">
        <v>1</v>
      </c>
      <c r="BB2960" t="str">
        <f t="shared" si="143"/>
        <v xml:space="preserve">N8080G  </v>
      </c>
      <c r="BC2960">
        <v>1</v>
      </c>
      <c r="BE2960">
        <v>0</v>
      </c>
      <c r="BF2960">
        <v>0</v>
      </c>
      <c r="BG2960">
        <v>0</v>
      </c>
      <c r="BH2960">
        <v>1475</v>
      </c>
      <c r="BI2960">
        <v>1</v>
      </c>
      <c r="BJ2960">
        <v>1</v>
      </c>
      <c r="BK2960">
        <v>1</v>
      </c>
      <c r="BL2960">
        <v>0</v>
      </c>
      <c r="BO2960">
        <v>0</v>
      </c>
      <c r="BP2960">
        <v>0</v>
      </c>
      <c r="BW2960" t="str">
        <f>"20:30:17.600"</f>
        <v>20:30:17.600</v>
      </c>
      <c r="BZ2960">
        <v>0</v>
      </c>
      <c r="CA2960">
        <v>1600</v>
      </c>
      <c r="CB2960">
        <v>224</v>
      </c>
      <c r="CD2960">
        <v>1</v>
      </c>
      <c r="CE2960">
        <v>0</v>
      </c>
      <c r="CF2960">
        <v>0</v>
      </c>
      <c r="CG2960">
        <v>0</v>
      </c>
      <c r="CH2960">
        <v>0</v>
      </c>
      <c r="CI2960">
        <v>0</v>
      </c>
      <c r="CJ2960">
        <v>0</v>
      </c>
      <c r="CK2960">
        <v>2</v>
      </c>
      <c r="CL2960">
        <v>0</v>
      </c>
      <c r="CM2960">
        <v>2</v>
      </c>
      <c r="CN2960">
        <v>0</v>
      </c>
      <c r="CO2960">
        <v>7</v>
      </c>
      <c r="CP2960" t="s">
        <v>119</v>
      </c>
      <c r="CQ2960">
        <v>180</v>
      </c>
      <c r="CR2960">
        <v>2</v>
      </c>
      <c r="CW2960">
        <v>8670387</v>
      </c>
      <c r="CY2960">
        <v>1</v>
      </c>
      <c r="CZ2960">
        <v>0</v>
      </c>
      <c r="DA2960">
        <v>1</v>
      </c>
      <c r="DB2960">
        <v>0</v>
      </c>
      <c r="DC2960">
        <v>0</v>
      </c>
      <c r="DD2960">
        <v>0</v>
      </c>
      <c r="DE2960">
        <v>0</v>
      </c>
      <c r="DF2960">
        <v>0</v>
      </c>
      <c r="DG2960">
        <v>0</v>
      </c>
      <c r="DH2960">
        <v>0</v>
      </c>
      <c r="DI2960">
        <v>0</v>
      </c>
    </row>
    <row r="2961" spans="1:113" x14ac:dyDescent="0.3">
      <c r="A2961" t="str">
        <f>"02/08/2021 20:30:15.242"</f>
        <v>02/08/2021 20:30:15.242</v>
      </c>
      <c r="C2961" t="str">
        <f t="shared" si="141"/>
        <v>FFDFD7C0</v>
      </c>
      <c r="D2961" t="s">
        <v>124</v>
      </c>
      <c r="E2961">
        <v>12</v>
      </c>
      <c r="F2961">
        <v>1012</v>
      </c>
      <c r="G2961" t="s">
        <v>675</v>
      </c>
      <c r="J2961" t="s">
        <v>125</v>
      </c>
      <c r="K2961">
        <v>0</v>
      </c>
      <c r="L2961">
        <v>3</v>
      </c>
      <c r="M2961">
        <v>0</v>
      </c>
      <c r="N2961">
        <v>2</v>
      </c>
      <c r="O2961">
        <v>1</v>
      </c>
      <c r="P2961">
        <v>0</v>
      </c>
      <c r="Q2961">
        <v>0</v>
      </c>
      <c r="S2961" t="str">
        <f>"20:30:17.594"</f>
        <v>20:30:17.594</v>
      </c>
      <c r="T2961" t="str">
        <f>"20:30:17.094"</f>
        <v>20:30:17.094</v>
      </c>
      <c r="U2961" t="str">
        <f t="shared" si="144"/>
        <v>AB01F4</v>
      </c>
      <c r="V2961">
        <v>0</v>
      </c>
      <c r="W2961">
        <v>0</v>
      </c>
      <c r="X2961">
        <v>2</v>
      </c>
      <c r="Z2961">
        <v>0</v>
      </c>
      <c r="AA2961">
        <v>9</v>
      </c>
      <c r="AB2961">
        <v>3</v>
      </c>
      <c r="AC2961">
        <v>0</v>
      </c>
      <c r="AD2961">
        <v>10</v>
      </c>
      <c r="AE2961">
        <v>0</v>
      </c>
      <c r="AF2961">
        <v>3</v>
      </c>
      <c r="AG2961">
        <v>2</v>
      </c>
      <c r="AH2961">
        <v>0</v>
      </c>
      <c r="AI2961" t="s">
        <v>1729</v>
      </c>
      <c r="AJ2961">
        <v>40.033214000000001</v>
      </c>
      <c r="AK2961" t="s">
        <v>1730</v>
      </c>
      <c r="AL2961">
        <v>-92.839472000000001</v>
      </c>
      <c r="AM2961">
        <v>100</v>
      </c>
      <c r="AN2961">
        <v>1500</v>
      </c>
      <c r="AO2961" t="s">
        <v>118</v>
      </c>
      <c r="AP2961">
        <v>-132</v>
      </c>
      <c r="AQ2961">
        <v>37</v>
      </c>
      <c r="AR2961">
        <v>-192</v>
      </c>
      <c r="AZ2961">
        <v>1200</v>
      </c>
      <c r="BA2961">
        <v>1</v>
      </c>
      <c r="BB2961" t="str">
        <f t="shared" si="143"/>
        <v xml:space="preserve">N8080G  </v>
      </c>
      <c r="BC2961">
        <v>1</v>
      </c>
      <c r="BE2961">
        <v>0</v>
      </c>
      <c r="BF2961">
        <v>0</v>
      </c>
      <c r="BG2961">
        <v>0</v>
      </c>
      <c r="BH2961">
        <v>1475</v>
      </c>
      <c r="BI2961">
        <v>1</v>
      </c>
      <c r="BJ2961">
        <v>1</v>
      </c>
      <c r="BK2961">
        <v>1</v>
      </c>
      <c r="BL2961">
        <v>0</v>
      </c>
      <c r="BO2961">
        <v>0</v>
      </c>
      <c r="BP2961">
        <v>0</v>
      </c>
      <c r="BW2961" t="str">
        <f>"20:30:17.600"</f>
        <v>20:30:17.600</v>
      </c>
      <c r="BZ2961">
        <v>0</v>
      </c>
      <c r="CA2961">
        <v>1600</v>
      </c>
      <c r="CB2961">
        <v>224</v>
      </c>
      <c r="CD2961">
        <v>1</v>
      </c>
      <c r="CE2961">
        <v>0</v>
      </c>
      <c r="CF2961">
        <v>0</v>
      </c>
      <c r="CG2961">
        <v>0</v>
      </c>
      <c r="CH2961">
        <v>0</v>
      </c>
      <c r="CI2961">
        <v>0</v>
      </c>
      <c r="CJ2961">
        <v>0</v>
      </c>
      <c r="CK2961">
        <v>2</v>
      </c>
      <c r="CL2961">
        <v>0</v>
      </c>
      <c r="CM2961">
        <v>2</v>
      </c>
      <c r="CN2961">
        <v>0</v>
      </c>
      <c r="CO2961">
        <v>7</v>
      </c>
      <c r="CP2961" t="s">
        <v>119</v>
      </c>
      <c r="CQ2961">
        <v>180</v>
      </c>
      <c r="CR2961">
        <v>2</v>
      </c>
      <c r="CW2961">
        <v>8670387</v>
      </c>
      <c r="CY2961">
        <v>1</v>
      </c>
      <c r="CZ2961">
        <v>0</v>
      </c>
      <c r="DA2961">
        <v>1</v>
      </c>
      <c r="DB2961">
        <v>0</v>
      </c>
      <c r="DC2961">
        <v>0</v>
      </c>
      <c r="DD2961">
        <v>0</v>
      </c>
      <c r="DE2961">
        <v>0</v>
      </c>
      <c r="DF2961">
        <v>0</v>
      </c>
      <c r="DG2961">
        <v>0</v>
      </c>
      <c r="DH2961">
        <v>0</v>
      </c>
      <c r="DI2961">
        <v>0</v>
      </c>
    </row>
    <row r="2962" spans="1:113" x14ac:dyDescent="0.3">
      <c r="A2962" t="str">
        <f>"02/08/2021 20:30:15.242"</f>
        <v>02/08/2021 20:30:15.242</v>
      </c>
      <c r="C2962" t="str">
        <f t="shared" si="141"/>
        <v>FFDFD7C0</v>
      </c>
      <c r="D2962" t="s">
        <v>113</v>
      </c>
      <c r="E2962">
        <v>6</v>
      </c>
      <c r="H2962">
        <v>165</v>
      </c>
      <c r="I2962" t="s">
        <v>114</v>
      </c>
      <c r="J2962" t="s">
        <v>115</v>
      </c>
      <c r="K2962">
        <v>0</v>
      </c>
      <c r="L2962">
        <v>3</v>
      </c>
      <c r="M2962">
        <v>0</v>
      </c>
      <c r="N2962">
        <v>2</v>
      </c>
      <c r="O2962">
        <v>1</v>
      </c>
      <c r="P2962">
        <v>0</v>
      </c>
      <c r="Q2962">
        <v>0</v>
      </c>
      <c r="S2962" t="str">
        <f>"20:30:17.594"</f>
        <v>20:30:17.594</v>
      </c>
      <c r="T2962" t="str">
        <f>"20:30:17.094"</f>
        <v>20:30:17.094</v>
      </c>
      <c r="U2962" t="str">
        <f t="shared" si="144"/>
        <v>AB01F4</v>
      </c>
      <c r="V2962">
        <v>0</v>
      </c>
      <c r="W2962">
        <v>0</v>
      </c>
      <c r="X2962">
        <v>2</v>
      </c>
      <c r="Z2962">
        <v>0</v>
      </c>
      <c r="AA2962">
        <v>9</v>
      </c>
      <c r="AB2962">
        <v>3</v>
      </c>
      <c r="AC2962">
        <v>0</v>
      </c>
      <c r="AD2962">
        <v>10</v>
      </c>
      <c r="AE2962">
        <v>0</v>
      </c>
      <c r="AF2962">
        <v>3</v>
      </c>
      <c r="AG2962">
        <v>2</v>
      </c>
      <c r="AH2962">
        <v>0</v>
      </c>
      <c r="AI2962" t="s">
        <v>1729</v>
      </c>
      <c r="AJ2962">
        <v>40.033214000000001</v>
      </c>
      <c r="AK2962" t="s">
        <v>1730</v>
      </c>
      <c r="AL2962">
        <v>-92.839472000000001</v>
      </c>
      <c r="AM2962">
        <v>100</v>
      </c>
      <c r="AN2962">
        <v>1500</v>
      </c>
      <c r="AO2962" t="s">
        <v>118</v>
      </c>
      <c r="AP2962">
        <v>-132</v>
      </c>
      <c r="AQ2962">
        <v>37</v>
      </c>
      <c r="AR2962">
        <v>-192</v>
      </c>
      <c r="AZ2962">
        <v>1200</v>
      </c>
      <c r="BA2962">
        <v>1</v>
      </c>
      <c r="BB2962" t="str">
        <f t="shared" si="143"/>
        <v xml:space="preserve">N8080G  </v>
      </c>
      <c r="BC2962">
        <v>1</v>
      </c>
      <c r="BE2962">
        <v>0</v>
      </c>
      <c r="BF2962">
        <v>0</v>
      </c>
      <c r="BG2962">
        <v>0</v>
      </c>
      <c r="BH2962">
        <v>1475</v>
      </c>
      <c r="BI2962">
        <v>1</v>
      </c>
      <c r="BJ2962">
        <v>1</v>
      </c>
      <c r="BK2962">
        <v>1</v>
      </c>
      <c r="BL2962">
        <v>0</v>
      </c>
      <c r="BO2962">
        <v>0</v>
      </c>
      <c r="BP2962">
        <v>0</v>
      </c>
      <c r="BW2962" t="str">
        <f>"20:30:17.600"</f>
        <v>20:30:17.600</v>
      </c>
      <c r="BZ2962">
        <v>0</v>
      </c>
      <c r="CA2962">
        <v>1600</v>
      </c>
      <c r="CB2962">
        <v>224</v>
      </c>
      <c r="CD2962">
        <v>1</v>
      </c>
      <c r="CE2962">
        <v>0</v>
      </c>
      <c r="CF2962">
        <v>0</v>
      </c>
      <c r="CG2962">
        <v>0</v>
      </c>
      <c r="CH2962">
        <v>0</v>
      </c>
      <c r="CI2962">
        <v>0</v>
      </c>
      <c r="CJ2962">
        <v>0</v>
      </c>
      <c r="CK2962">
        <v>2</v>
      </c>
      <c r="CL2962">
        <v>0</v>
      </c>
      <c r="CM2962">
        <v>2</v>
      </c>
      <c r="CN2962">
        <v>0</v>
      </c>
      <c r="CO2962">
        <v>7</v>
      </c>
      <c r="CP2962" t="s">
        <v>119</v>
      </c>
      <c r="CQ2962">
        <v>180</v>
      </c>
      <c r="CR2962">
        <v>2</v>
      </c>
      <c r="CW2962">
        <v>8670387</v>
      </c>
      <c r="CY2962">
        <v>1</v>
      </c>
      <c r="CZ2962">
        <v>0</v>
      </c>
      <c r="DA2962">
        <v>1</v>
      </c>
      <c r="DB2962">
        <v>0</v>
      </c>
      <c r="DC2962">
        <v>0</v>
      </c>
      <c r="DD2962">
        <v>0</v>
      </c>
      <c r="DE2962">
        <v>0</v>
      </c>
      <c r="DF2962">
        <v>0</v>
      </c>
      <c r="DG2962">
        <v>0</v>
      </c>
      <c r="DH2962">
        <v>0</v>
      </c>
      <c r="DI2962">
        <v>0</v>
      </c>
    </row>
    <row r="2963" spans="1:113" x14ac:dyDescent="0.3">
      <c r="A2963" t="str">
        <f>"02/08/2021 20:30:16.149"</f>
        <v>02/08/2021 20:30:16.149</v>
      </c>
      <c r="C2963" t="str">
        <f t="shared" si="141"/>
        <v>FFDFD7C0</v>
      </c>
      <c r="D2963" t="s">
        <v>124</v>
      </c>
      <c r="E2963">
        <v>11</v>
      </c>
      <c r="F2963">
        <v>1011</v>
      </c>
      <c r="G2963" t="s">
        <v>590</v>
      </c>
      <c r="J2963" t="s">
        <v>125</v>
      </c>
      <c r="K2963">
        <v>0</v>
      </c>
      <c r="L2963">
        <v>3</v>
      </c>
      <c r="M2963">
        <v>0</v>
      </c>
      <c r="N2963">
        <v>2</v>
      </c>
      <c r="O2963">
        <v>1</v>
      </c>
      <c r="P2963">
        <v>0</v>
      </c>
      <c r="Q2963">
        <v>0</v>
      </c>
      <c r="S2963" t="str">
        <f>"20:30:18.484"</f>
        <v>20:30:18.484</v>
      </c>
      <c r="T2963" t="str">
        <f>"20:30:18.084"</f>
        <v>20:30:18.084</v>
      </c>
      <c r="U2963" t="str">
        <f t="shared" si="144"/>
        <v>AB01F4</v>
      </c>
      <c r="V2963">
        <v>0</v>
      </c>
      <c r="W2963">
        <v>0</v>
      </c>
      <c r="X2963">
        <v>2</v>
      </c>
      <c r="Z2963">
        <v>0</v>
      </c>
      <c r="AA2963">
        <v>9</v>
      </c>
      <c r="AB2963">
        <v>3</v>
      </c>
      <c r="AC2963">
        <v>0</v>
      </c>
      <c r="AD2963">
        <v>10</v>
      </c>
      <c r="AE2963">
        <v>0</v>
      </c>
      <c r="AF2963">
        <v>3</v>
      </c>
      <c r="AG2963">
        <v>2</v>
      </c>
      <c r="AH2963">
        <v>0</v>
      </c>
      <c r="AI2963" t="s">
        <v>1731</v>
      </c>
      <c r="AJ2963">
        <v>40.033386</v>
      </c>
      <c r="AK2963" t="s">
        <v>1732</v>
      </c>
      <c r="AL2963">
        <v>-92.840222999999995</v>
      </c>
      <c r="AM2963">
        <v>100</v>
      </c>
      <c r="AN2963">
        <v>1500</v>
      </c>
      <c r="AO2963" t="s">
        <v>118</v>
      </c>
      <c r="AP2963">
        <v>-132</v>
      </c>
      <c r="AQ2963">
        <v>38</v>
      </c>
      <c r="AR2963">
        <v>-320</v>
      </c>
      <c r="AZ2963">
        <v>1200</v>
      </c>
      <c r="BA2963">
        <v>1</v>
      </c>
      <c r="BB2963" t="str">
        <f t="shared" si="143"/>
        <v xml:space="preserve">N8080G  </v>
      </c>
      <c r="BC2963">
        <v>1</v>
      </c>
      <c r="BE2963">
        <v>0</v>
      </c>
      <c r="BF2963">
        <v>0</v>
      </c>
      <c r="BG2963">
        <v>0</v>
      </c>
      <c r="BH2963">
        <v>1475</v>
      </c>
      <c r="BI2963">
        <v>1</v>
      </c>
      <c r="BJ2963">
        <v>1</v>
      </c>
      <c r="BK2963">
        <v>1</v>
      </c>
      <c r="BL2963">
        <v>0</v>
      </c>
      <c r="BO2963">
        <v>0</v>
      </c>
      <c r="BP2963">
        <v>0</v>
      </c>
      <c r="BW2963" t="str">
        <f>"20:30:18.490"</f>
        <v>20:30:18.490</v>
      </c>
      <c r="BZ2963">
        <v>0</v>
      </c>
      <c r="CA2963">
        <v>1600</v>
      </c>
      <c r="CB2963">
        <v>224</v>
      </c>
      <c r="CD2963">
        <v>1</v>
      </c>
      <c r="CE2963">
        <v>0</v>
      </c>
      <c r="CF2963">
        <v>0</v>
      </c>
      <c r="CG2963">
        <v>0</v>
      </c>
      <c r="CH2963">
        <v>0</v>
      </c>
      <c r="CI2963">
        <v>0</v>
      </c>
      <c r="CJ2963">
        <v>0</v>
      </c>
      <c r="CK2963">
        <v>2</v>
      </c>
      <c r="CL2963">
        <v>0</v>
      </c>
      <c r="CM2963">
        <v>2</v>
      </c>
      <c r="CN2963">
        <v>0</v>
      </c>
      <c r="CO2963">
        <v>2</v>
      </c>
      <c r="CP2963" t="s">
        <v>119</v>
      </c>
      <c r="CQ2963">
        <v>179</v>
      </c>
      <c r="CR2963">
        <v>1</v>
      </c>
      <c r="CW2963">
        <v>9131174</v>
      </c>
      <c r="CY2963">
        <v>0</v>
      </c>
      <c r="CZ2963">
        <v>0</v>
      </c>
      <c r="DA2963">
        <v>0</v>
      </c>
      <c r="DB2963">
        <v>0</v>
      </c>
      <c r="DC2963">
        <v>0</v>
      </c>
      <c r="DD2963">
        <v>0</v>
      </c>
      <c r="DE2963">
        <v>0</v>
      </c>
      <c r="DF2963">
        <v>0</v>
      </c>
      <c r="DG2963">
        <v>0</v>
      </c>
      <c r="DH2963">
        <v>0</v>
      </c>
      <c r="DI2963">
        <v>0</v>
      </c>
    </row>
    <row r="2964" spans="1:113" x14ac:dyDescent="0.3">
      <c r="A2964" t="str">
        <f>"02/08/2021 20:30:16.149"</f>
        <v>02/08/2021 20:30:16.149</v>
      </c>
      <c r="C2964" t="str">
        <f t="shared" si="141"/>
        <v>FFDFD7C0</v>
      </c>
      <c r="D2964" t="s">
        <v>124</v>
      </c>
      <c r="E2964">
        <v>13</v>
      </c>
      <c r="F2964">
        <v>1013</v>
      </c>
      <c r="G2964" t="s">
        <v>114</v>
      </c>
      <c r="J2964" t="s">
        <v>125</v>
      </c>
      <c r="K2964">
        <v>0</v>
      </c>
      <c r="L2964">
        <v>3</v>
      </c>
      <c r="M2964">
        <v>0</v>
      </c>
      <c r="N2964">
        <v>2</v>
      </c>
      <c r="O2964">
        <v>1</v>
      </c>
      <c r="P2964">
        <v>0</v>
      </c>
      <c r="Q2964">
        <v>0</v>
      </c>
      <c r="S2964" t="str">
        <f>"20:30:18.484"</f>
        <v>20:30:18.484</v>
      </c>
      <c r="T2964" t="str">
        <f>"20:30:18.084"</f>
        <v>20:30:18.084</v>
      </c>
      <c r="U2964" t="str">
        <f t="shared" si="144"/>
        <v>AB01F4</v>
      </c>
      <c r="V2964">
        <v>0</v>
      </c>
      <c r="W2964">
        <v>0</v>
      </c>
      <c r="X2964">
        <v>2</v>
      </c>
      <c r="Z2964">
        <v>0</v>
      </c>
      <c r="AA2964">
        <v>9</v>
      </c>
      <c r="AB2964">
        <v>3</v>
      </c>
      <c r="AC2964">
        <v>0</v>
      </c>
      <c r="AD2964">
        <v>10</v>
      </c>
      <c r="AE2964">
        <v>0</v>
      </c>
      <c r="AF2964">
        <v>3</v>
      </c>
      <c r="AG2964">
        <v>2</v>
      </c>
      <c r="AH2964">
        <v>0</v>
      </c>
      <c r="AI2964" t="s">
        <v>1731</v>
      </c>
      <c r="AJ2964">
        <v>40.033386</v>
      </c>
      <c r="AK2964" t="s">
        <v>1732</v>
      </c>
      <c r="AL2964">
        <v>-92.840222999999995</v>
      </c>
      <c r="AM2964">
        <v>100</v>
      </c>
      <c r="AN2964">
        <v>1500</v>
      </c>
      <c r="AO2964" t="s">
        <v>118</v>
      </c>
      <c r="AP2964">
        <v>-132</v>
      </c>
      <c r="AQ2964">
        <v>38</v>
      </c>
      <c r="AR2964">
        <v>-320</v>
      </c>
      <c r="AZ2964">
        <v>1200</v>
      </c>
      <c r="BA2964">
        <v>1</v>
      </c>
      <c r="BB2964" t="str">
        <f t="shared" si="143"/>
        <v xml:space="preserve">N8080G  </v>
      </c>
      <c r="BC2964">
        <v>1</v>
      </c>
      <c r="BE2964">
        <v>0</v>
      </c>
      <c r="BF2964">
        <v>0</v>
      </c>
      <c r="BG2964">
        <v>0</v>
      </c>
      <c r="BH2964">
        <v>1475</v>
      </c>
      <c r="BI2964">
        <v>1</v>
      </c>
      <c r="BJ2964">
        <v>1</v>
      </c>
      <c r="BK2964">
        <v>1</v>
      </c>
      <c r="BL2964">
        <v>0</v>
      </c>
      <c r="BO2964">
        <v>0</v>
      </c>
      <c r="BP2964">
        <v>0</v>
      </c>
      <c r="BW2964" t="str">
        <f>"20:30:18.490"</f>
        <v>20:30:18.490</v>
      </c>
      <c r="BZ2964">
        <v>0</v>
      </c>
      <c r="CA2964">
        <v>1600</v>
      </c>
      <c r="CB2964">
        <v>224</v>
      </c>
      <c r="CD2964">
        <v>1</v>
      </c>
      <c r="CE2964">
        <v>0</v>
      </c>
      <c r="CF2964">
        <v>0</v>
      </c>
      <c r="CG2964">
        <v>0</v>
      </c>
      <c r="CH2964">
        <v>0</v>
      </c>
      <c r="CI2964">
        <v>0</v>
      </c>
      <c r="CJ2964">
        <v>0</v>
      </c>
      <c r="CK2964">
        <v>2</v>
      </c>
      <c r="CL2964">
        <v>0</v>
      </c>
      <c r="CM2964">
        <v>2</v>
      </c>
      <c r="CN2964">
        <v>0</v>
      </c>
      <c r="CO2964">
        <v>2</v>
      </c>
      <c r="CP2964" t="s">
        <v>119</v>
      </c>
      <c r="CQ2964">
        <v>179</v>
      </c>
      <c r="CR2964">
        <v>1</v>
      </c>
      <c r="CW2964">
        <v>9131174</v>
      </c>
      <c r="CY2964">
        <v>0</v>
      </c>
      <c r="CZ2964">
        <v>0</v>
      </c>
      <c r="DA2964">
        <v>1</v>
      </c>
      <c r="DB2964">
        <v>0</v>
      </c>
      <c r="DC2964">
        <v>0</v>
      </c>
      <c r="DD2964">
        <v>0</v>
      </c>
      <c r="DE2964">
        <v>0</v>
      </c>
      <c r="DF2964">
        <v>0</v>
      </c>
      <c r="DG2964">
        <v>0</v>
      </c>
      <c r="DH2964">
        <v>0</v>
      </c>
      <c r="DI2964">
        <v>0</v>
      </c>
    </row>
    <row r="2965" spans="1:113" x14ac:dyDescent="0.3">
      <c r="A2965" t="str">
        <f>"02/08/2021 20:30:16.149"</f>
        <v>02/08/2021 20:30:16.149</v>
      </c>
      <c r="C2965" t="str">
        <f t="shared" si="141"/>
        <v>FFDFD7C0</v>
      </c>
      <c r="D2965" t="s">
        <v>124</v>
      </c>
      <c r="E2965">
        <v>12</v>
      </c>
      <c r="F2965">
        <v>1012</v>
      </c>
      <c r="G2965" t="s">
        <v>675</v>
      </c>
      <c r="J2965" t="s">
        <v>125</v>
      </c>
      <c r="K2965">
        <v>0</v>
      </c>
      <c r="L2965">
        <v>3</v>
      </c>
      <c r="M2965">
        <v>0</v>
      </c>
      <c r="N2965">
        <v>2</v>
      </c>
      <c r="O2965">
        <v>1</v>
      </c>
      <c r="P2965">
        <v>0</v>
      </c>
      <c r="Q2965">
        <v>0</v>
      </c>
      <c r="S2965" t="str">
        <f>"20:30:18.484"</f>
        <v>20:30:18.484</v>
      </c>
      <c r="T2965" t="str">
        <f>"20:30:18.084"</f>
        <v>20:30:18.084</v>
      </c>
      <c r="U2965" t="str">
        <f t="shared" si="144"/>
        <v>AB01F4</v>
      </c>
      <c r="V2965">
        <v>0</v>
      </c>
      <c r="W2965">
        <v>0</v>
      </c>
      <c r="X2965">
        <v>2</v>
      </c>
      <c r="Z2965">
        <v>0</v>
      </c>
      <c r="AA2965">
        <v>9</v>
      </c>
      <c r="AB2965">
        <v>3</v>
      </c>
      <c r="AC2965">
        <v>0</v>
      </c>
      <c r="AD2965">
        <v>10</v>
      </c>
      <c r="AE2965">
        <v>0</v>
      </c>
      <c r="AF2965">
        <v>3</v>
      </c>
      <c r="AG2965">
        <v>2</v>
      </c>
      <c r="AH2965">
        <v>0</v>
      </c>
      <c r="AI2965" t="s">
        <v>1731</v>
      </c>
      <c r="AJ2965">
        <v>40.033386</v>
      </c>
      <c r="AK2965" t="s">
        <v>1732</v>
      </c>
      <c r="AL2965">
        <v>-92.840222999999995</v>
      </c>
      <c r="AM2965">
        <v>100</v>
      </c>
      <c r="AN2965">
        <v>1500</v>
      </c>
      <c r="AO2965" t="s">
        <v>118</v>
      </c>
      <c r="AP2965">
        <v>-132</v>
      </c>
      <c r="AQ2965">
        <v>38</v>
      </c>
      <c r="AR2965">
        <v>-320</v>
      </c>
      <c r="AZ2965">
        <v>1200</v>
      </c>
      <c r="BA2965">
        <v>1</v>
      </c>
      <c r="BB2965" t="str">
        <f t="shared" si="143"/>
        <v xml:space="preserve">N8080G  </v>
      </c>
      <c r="BC2965">
        <v>1</v>
      </c>
      <c r="BE2965">
        <v>0</v>
      </c>
      <c r="BF2965">
        <v>0</v>
      </c>
      <c r="BG2965">
        <v>0</v>
      </c>
      <c r="BH2965">
        <v>1475</v>
      </c>
      <c r="BI2965">
        <v>1</v>
      </c>
      <c r="BJ2965">
        <v>1</v>
      </c>
      <c r="BK2965">
        <v>1</v>
      </c>
      <c r="BL2965">
        <v>0</v>
      </c>
      <c r="BO2965">
        <v>0</v>
      </c>
      <c r="BP2965">
        <v>0</v>
      </c>
      <c r="BW2965" t="str">
        <f>"20:30:18.490"</f>
        <v>20:30:18.490</v>
      </c>
      <c r="BZ2965">
        <v>0</v>
      </c>
      <c r="CA2965">
        <v>1600</v>
      </c>
      <c r="CB2965">
        <v>224</v>
      </c>
      <c r="CD2965">
        <v>1</v>
      </c>
      <c r="CE2965">
        <v>0</v>
      </c>
      <c r="CF2965">
        <v>0</v>
      </c>
      <c r="CG2965">
        <v>0</v>
      </c>
      <c r="CH2965">
        <v>0</v>
      </c>
      <c r="CI2965">
        <v>0</v>
      </c>
      <c r="CJ2965">
        <v>0</v>
      </c>
      <c r="CK2965">
        <v>2</v>
      </c>
      <c r="CL2965">
        <v>0</v>
      </c>
      <c r="CM2965">
        <v>2</v>
      </c>
      <c r="CN2965">
        <v>0</v>
      </c>
      <c r="CO2965">
        <v>2</v>
      </c>
      <c r="CP2965" t="s">
        <v>119</v>
      </c>
      <c r="CQ2965">
        <v>179</v>
      </c>
      <c r="CR2965">
        <v>1</v>
      </c>
      <c r="CW2965">
        <v>9131174</v>
      </c>
      <c r="CY2965">
        <v>0</v>
      </c>
      <c r="CZ2965">
        <v>0</v>
      </c>
      <c r="DA2965">
        <v>1</v>
      </c>
      <c r="DB2965">
        <v>0</v>
      </c>
      <c r="DC2965">
        <v>0</v>
      </c>
      <c r="DD2965">
        <v>0</v>
      </c>
      <c r="DE2965">
        <v>0</v>
      </c>
      <c r="DF2965">
        <v>0</v>
      </c>
      <c r="DG2965">
        <v>0</v>
      </c>
      <c r="DH2965">
        <v>0</v>
      </c>
      <c r="DI2965">
        <v>0</v>
      </c>
    </row>
    <row r="2966" spans="1:113" x14ac:dyDescent="0.3">
      <c r="A2966" t="str">
        <f>"02/08/2021 20:30:16.149"</f>
        <v>02/08/2021 20:30:16.149</v>
      </c>
      <c r="C2966" t="str">
        <f t="shared" si="141"/>
        <v>FFDFD7C0</v>
      </c>
      <c r="D2966" t="s">
        <v>113</v>
      </c>
      <c r="E2966">
        <v>6</v>
      </c>
      <c r="H2966">
        <v>165</v>
      </c>
      <c r="I2966" t="s">
        <v>114</v>
      </c>
      <c r="J2966" t="s">
        <v>115</v>
      </c>
      <c r="K2966">
        <v>0</v>
      </c>
      <c r="L2966">
        <v>3</v>
      </c>
      <c r="M2966">
        <v>0</v>
      </c>
      <c r="N2966">
        <v>2</v>
      </c>
      <c r="O2966">
        <v>1</v>
      </c>
      <c r="P2966">
        <v>0</v>
      </c>
      <c r="Q2966">
        <v>0</v>
      </c>
      <c r="S2966" t="str">
        <f>"20:30:18.484"</f>
        <v>20:30:18.484</v>
      </c>
      <c r="T2966" t="str">
        <f>"20:30:18.084"</f>
        <v>20:30:18.084</v>
      </c>
      <c r="U2966" t="str">
        <f t="shared" si="144"/>
        <v>AB01F4</v>
      </c>
      <c r="V2966">
        <v>0</v>
      </c>
      <c r="W2966">
        <v>0</v>
      </c>
      <c r="X2966">
        <v>2</v>
      </c>
      <c r="Z2966">
        <v>0</v>
      </c>
      <c r="AA2966">
        <v>9</v>
      </c>
      <c r="AB2966">
        <v>3</v>
      </c>
      <c r="AC2966">
        <v>0</v>
      </c>
      <c r="AD2966">
        <v>10</v>
      </c>
      <c r="AE2966">
        <v>0</v>
      </c>
      <c r="AF2966">
        <v>3</v>
      </c>
      <c r="AG2966">
        <v>2</v>
      </c>
      <c r="AH2966">
        <v>0</v>
      </c>
      <c r="AI2966" t="s">
        <v>1731</v>
      </c>
      <c r="AJ2966">
        <v>40.033386</v>
      </c>
      <c r="AK2966" t="s">
        <v>1732</v>
      </c>
      <c r="AL2966">
        <v>-92.840222999999995</v>
      </c>
      <c r="AM2966">
        <v>100</v>
      </c>
      <c r="AN2966">
        <v>1500</v>
      </c>
      <c r="AO2966" t="s">
        <v>118</v>
      </c>
      <c r="AP2966">
        <v>-132</v>
      </c>
      <c r="AQ2966">
        <v>38</v>
      </c>
      <c r="AR2966">
        <v>-320</v>
      </c>
      <c r="AZ2966">
        <v>1200</v>
      </c>
      <c r="BA2966">
        <v>1</v>
      </c>
      <c r="BB2966" t="str">
        <f t="shared" si="143"/>
        <v xml:space="preserve">N8080G  </v>
      </c>
      <c r="BC2966">
        <v>1</v>
      </c>
      <c r="BE2966">
        <v>0</v>
      </c>
      <c r="BF2966">
        <v>0</v>
      </c>
      <c r="BG2966">
        <v>0</v>
      </c>
      <c r="BH2966">
        <v>1475</v>
      </c>
      <c r="BI2966">
        <v>1</v>
      </c>
      <c r="BJ2966">
        <v>1</v>
      </c>
      <c r="BK2966">
        <v>1</v>
      </c>
      <c r="BL2966">
        <v>0</v>
      </c>
      <c r="BO2966">
        <v>0</v>
      </c>
      <c r="BP2966">
        <v>0</v>
      </c>
      <c r="BW2966" t="str">
        <f>"20:30:18.490"</f>
        <v>20:30:18.490</v>
      </c>
      <c r="BZ2966">
        <v>0</v>
      </c>
      <c r="CA2966">
        <v>1600</v>
      </c>
      <c r="CB2966">
        <v>224</v>
      </c>
      <c r="CD2966">
        <v>1</v>
      </c>
      <c r="CE2966">
        <v>0</v>
      </c>
      <c r="CF2966">
        <v>0</v>
      </c>
      <c r="CG2966">
        <v>0</v>
      </c>
      <c r="CH2966">
        <v>0</v>
      </c>
      <c r="CI2966">
        <v>0</v>
      </c>
      <c r="CJ2966">
        <v>0</v>
      </c>
      <c r="CK2966">
        <v>2</v>
      </c>
      <c r="CL2966">
        <v>0</v>
      </c>
      <c r="CM2966">
        <v>2</v>
      </c>
      <c r="CN2966">
        <v>0</v>
      </c>
      <c r="CO2966">
        <v>2</v>
      </c>
      <c r="CP2966" t="s">
        <v>119</v>
      </c>
      <c r="CQ2966">
        <v>179</v>
      </c>
      <c r="CR2966">
        <v>1</v>
      </c>
      <c r="CW2966">
        <v>9131174</v>
      </c>
      <c r="CY2966">
        <v>0</v>
      </c>
      <c r="CZ2966">
        <v>0</v>
      </c>
      <c r="DA2966">
        <v>1</v>
      </c>
      <c r="DB2966">
        <v>0</v>
      </c>
      <c r="DC2966">
        <v>0</v>
      </c>
      <c r="DD2966">
        <v>0</v>
      </c>
      <c r="DE2966">
        <v>0</v>
      </c>
      <c r="DF2966">
        <v>0</v>
      </c>
      <c r="DG2966">
        <v>0</v>
      </c>
      <c r="DH2966">
        <v>0</v>
      </c>
      <c r="DI2966">
        <v>0</v>
      </c>
    </row>
    <row r="2967" spans="1:113" x14ac:dyDescent="0.3">
      <c r="A2967" t="str">
        <f>"02/08/2021 20:30:19.454"</f>
        <v>02/08/2021 20:30:19.454</v>
      </c>
      <c r="C2967" t="str">
        <f t="shared" si="141"/>
        <v>FFDFD7C0</v>
      </c>
      <c r="D2967" t="s">
        <v>124</v>
      </c>
      <c r="E2967">
        <v>12</v>
      </c>
      <c r="F2967">
        <v>1012</v>
      </c>
      <c r="G2967" t="s">
        <v>675</v>
      </c>
      <c r="J2967" t="s">
        <v>125</v>
      </c>
      <c r="K2967">
        <v>0</v>
      </c>
      <c r="L2967">
        <v>3</v>
      </c>
      <c r="M2967">
        <v>0</v>
      </c>
      <c r="N2967">
        <v>2</v>
      </c>
      <c r="O2967">
        <v>1</v>
      </c>
      <c r="P2967">
        <v>0</v>
      </c>
      <c r="Q2967">
        <v>0</v>
      </c>
      <c r="S2967" t="str">
        <f>"20:30:21.758"</f>
        <v>20:30:21.758</v>
      </c>
      <c r="T2967" t="str">
        <f>"20:30:21.258"</f>
        <v>20:30:21.258</v>
      </c>
      <c r="U2967" t="str">
        <f t="shared" si="144"/>
        <v>AB01F4</v>
      </c>
      <c r="V2967">
        <v>0</v>
      </c>
      <c r="W2967">
        <v>0</v>
      </c>
      <c r="X2967">
        <v>2</v>
      </c>
      <c r="Z2967">
        <v>0</v>
      </c>
      <c r="AA2967">
        <v>9</v>
      </c>
      <c r="AB2967">
        <v>3</v>
      </c>
      <c r="AC2967">
        <v>0</v>
      </c>
      <c r="AD2967">
        <v>10</v>
      </c>
      <c r="AE2967">
        <v>0</v>
      </c>
      <c r="AF2967">
        <v>3</v>
      </c>
      <c r="AG2967">
        <v>2</v>
      </c>
      <c r="AH2967">
        <v>0</v>
      </c>
      <c r="AI2967" t="s">
        <v>1733</v>
      </c>
      <c r="AJ2967">
        <v>40.033943999999998</v>
      </c>
      <c r="AK2967" t="s">
        <v>1734</v>
      </c>
      <c r="AL2967">
        <v>-92.842841000000007</v>
      </c>
      <c r="AM2967">
        <v>100</v>
      </c>
      <c r="AN2967">
        <v>1400</v>
      </c>
      <c r="AO2967" t="s">
        <v>118</v>
      </c>
      <c r="AP2967">
        <v>-133</v>
      </c>
      <c r="AQ2967">
        <v>38</v>
      </c>
      <c r="AR2967">
        <v>-192</v>
      </c>
      <c r="AZ2967">
        <v>1200</v>
      </c>
      <c r="BA2967">
        <v>1</v>
      </c>
      <c r="BB2967" t="str">
        <f t="shared" si="143"/>
        <v xml:space="preserve">N8080G  </v>
      </c>
      <c r="BC2967">
        <v>1</v>
      </c>
      <c r="BE2967">
        <v>0</v>
      </c>
      <c r="BF2967">
        <v>0</v>
      </c>
      <c r="BG2967">
        <v>0</v>
      </c>
      <c r="BH2967">
        <v>1450</v>
      </c>
      <c r="BI2967">
        <v>1</v>
      </c>
      <c r="BJ2967">
        <v>1</v>
      </c>
      <c r="BK2967">
        <v>1</v>
      </c>
      <c r="BL2967">
        <v>0</v>
      </c>
      <c r="BO2967">
        <v>0</v>
      </c>
      <c r="BP2967">
        <v>0</v>
      </c>
      <c r="BW2967" t="str">
        <f>"20:30:21.765"</f>
        <v>20:30:21.765</v>
      </c>
      <c r="BZ2967">
        <v>0</v>
      </c>
      <c r="CA2967">
        <v>1600</v>
      </c>
      <c r="CB2967">
        <v>224</v>
      </c>
      <c r="CD2967">
        <v>1</v>
      </c>
      <c r="CE2967">
        <v>0</v>
      </c>
      <c r="CF2967">
        <v>0</v>
      </c>
      <c r="CG2967">
        <v>0</v>
      </c>
      <c r="CH2967">
        <v>0</v>
      </c>
      <c r="CI2967">
        <v>0</v>
      </c>
      <c r="CJ2967">
        <v>0</v>
      </c>
      <c r="CK2967">
        <v>2</v>
      </c>
      <c r="CL2967">
        <v>0</v>
      </c>
      <c r="CM2967">
        <v>2</v>
      </c>
      <c r="CN2967">
        <v>0</v>
      </c>
      <c r="CO2967">
        <v>2</v>
      </c>
      <c r="CP2967" t="s">
        <v>119</v>
      </c>
      <c r="CQ2967">
        <v>179</v>
      </c>
      <c r="CR2967">
        <v>1</v>
      </c>
      <c r="CW2967">
        <v>9134068</v>
      </c>
      <c r="CY2967">
        <v>0</v>
      </c>
      <c r="CZ2967">
        <v>0</v>
      </c>
      <c r="DA2967">
        <v>0</v>
      </c>
      <c r="DB2967">
        <v>0</v>
      </c>
      <c r="DC2967">
        <v>0</v>
      </c>
      <c r="DD2967">
        <v>0</v>
      </c>
      <c r="DE2967">
        <v>0</v>
      </c>
      <c r="DF2967">
        <v>0</v>
      </c>
      <c r="DG2967">
        <v>0</v>
      </c>
      <c r="DH2967">
        <v>0</v>
      </c>
      <c r="DI2967">
        <v>0</v>
      </c>
    </row>
    <row r="2968" spans="1:113" x14ac:dyDescent="0.3">
      <c r="A2968" t="str">
        <f>"02/08/2021 20:30:19.454"</f>
        <v>02/08/2021 20:30:19.454</v>
      </c>
      <c r="C2968" t="str">
        <f t="shared" si="141"/>
        <v>FFDFD7C0</v>
      </c>
      <c r="D2968" t="s">
        <v>124</v>
      </c>
      <c r="E2968">
        <v>11</v>
      </c>
      <c r="F2968">
        <v>1011</v>
      </c>
      <c r="G2968" t="s">
        <v>590</v>
      </c>
      <c r="J2968" t="s">
        <v>125</v>
      </c>
      <c r="K2968">
        <v>0</v>
      </c>
      <c r="L2968">
        <v>3</v>
      </c>
      <c r="M2968">
        <v>0</v>
      </c>
      <c r="N2968">
        <v>2</v>
      </c>
      <c r="O2968">
        <v>1</v>
      </c>
      <c r="P2968">
        <v>0</v>
      </c>
      <c r="Q2968">
        <v>0</v>
      </c>
      <c r="S2968" t="str">
        <f>"20:30:21.758"</f>
        <v>20:30:21.758</v>
      </c>
      <c r="T2968" t="str">
        <f>"20:30:21.258"</f>
        <v>20:30:21.258</v>
      </c>
      <c r="U2968" t="str">
        <f t="shared" si="144"/>
        <v>AB01F4</v>
      </c>
      <c r="V2968">
        <v>0</v>
      </c>
      <c r="W2968">
        <v>0</v>
      </c>
      <c r="X2968">
        <v>2</v>
      </c>
      <c r="Z2968">
        <v>0</v>
      </c>
      <c r="AA2968">
        <v>9</v>
      </c>
      <c r="AB2968">
        <v>3</v>
      </c>
      <c r="AC2968">
        <v>0</v>
      </c>
      <c r="AD2968">
        <v>10</v>
      </c>
      <c r="AE2968">
        <v>0</v>
      </c>
      <c r="AF2968">
        <v>3</v>
      </c>
      <c r="AG2968">
        <v>2</v>
      </c>
      <c r="AH2968">
        <v>0</v>
      </c>
      <c r="AI2968" t="s">
        <v>1733</v>
      </c>
      <c r="AJ2968">
        <v>40.033943999999998</v>
      </c>
      <c r="AK2968" t="s">
        <v>1734</v>
      </c>
      <c r="AL2968">
        <v>-92.842841000000007</v>
      </c>
      <c r="AM2968">
        <v>100</v>
      </c>
      <c r="AN2968">
        <v>1400</v>
      </c>
      <c r="AO2968" t="s">
        <v>118</v>
      </c>
      <c r="AP2968">
        <v>-133</v>
      </c>
      <c r="AQ2968">
        <v>38</v>
      </c>
      <c r="AR2968">
        <v>-192</v>
      </c>
      <c r="AZ2968">
        <v>1200</v>
      </c>
      <c r="BA2968">
        <v>1</v>
      </c>
      <c r="BB2968" t="str">
        <f t="shared" si="143"/>
        <v xml:space="preserve">N8080G  </v>
      </c>
      <c r="BC2968">
        <v>1</v>
      </c>
      <c r="BE2968">
        <v>0</v>
      </c>
      <c r="BF2968">
        <v>0</v>
      </c>
      <c r="BG2968">
        <v>0</v>
      </c>
      <c r="BH2968">
        <v>1450</v>
      </c>
      <c r="BI2968">
        <v>1</v>
      </c>
      <c r="BJ2968">
        <v>1</v>
      </c>
      <c r="BK2968">
        <v>1</v>
      </c>
      <c r="BL2968">
        <v>0</v>
      </c>
      <c r="BO2968">
        <v>0</v>
      </c>
      <c r="BP2968">
        <v>0</v>
      </c>
      <c r="BW2968" t="str">
        <f>"20:30:21.765"</f>
        <v>20:30:21.765</v>
      </c>
      <c r="BZ2968">
        <v>0</v>
      </c>
      <c r="CA2968">
        <v>1600</v>
      </c>
      <c r="CB2968">
        <v>224</v>
      </c>
      <c r="CD2968">
        <v>1</v>
      </c>
      <c r="CE2968">
        <v>0</v>
      </c>
      <c r="CF2968">
        <v>0</v>
      </c>
      <c r="CG2968">
        <v>0</v>
      </c>
      <c r="CH2968">
        <v>0</v>
      </c>
      <c r="CI2968">
        <v>0</v>
      </c>
      <c r="CJ2968">
        <v>0</v>
      </c>
      <c r="CK2968">
        <v>2</v>
      </c>
      <c r="CL2968">
        <v>0</v>
      </c>
      <c r="CM2968">
        <v>2</v>
      </c>
      <c r="CN2968">
        <v>0</v>
      </c>
      <c r="CO2968">
        <v>2</v>
      </c>
      <c r="CP2968" t="s">
        <v>119</v>
      </c>
      <c r="CQ2968">
        <v>179</v>
      </c>
      <c r="CR2968">
        <v>1</v>
      </c>
      <c r="CW2968">
        <v>9134068</v>
      </c>
      <c r="CY2968">
        <v>0</v>
      </c>
      <c r="CZ2968">
        <v>0</v>
      </c>
      <c r="DA2968">
        <v>1</v>
      </c>
      <c r="DB2968">
        <v>0</v>
      </c>
      <c r="DC2968">
        <v>0</v>
      </c>
      <c r="DD2968">
        <v>0</v>
      </c>
      <c r="DE2968">
        <v>0</v>
      </c>
      <c r="DF2968">
        <v>0</v>
      </c>
      <c r="DG2968">
        <v>0</v>
      </c>
      <c r="DH2968">
        <v>0</v>
      </c>
      <c r="DI2968">
        <v>0</v>
      </c>
    </row>
    <row r="2969" spans="1:113" x14ac:dyDescent="0.3">
      <c r="A2969" t="str">
        <f>"02/08/2021 20:30:19.454"</f>
        <v>02/08/2021 20:30:19.454</v>
      </c>
      <c r="C2969" t="str">
        <f t="shared" si="141"/>
        <v>FFDFD7C0</v>
      </c>
      <c r="D2969" t="s">
        <v>124</v>
      </c>
      <c r="E2969">
        <v>13</v>
      </c>
      <c r="F2969">
        <v>1013</v>
      </c>
      <c r="G2969" t="s">
        <v>114</v>
      </c>
      <c r="J2969" t="s">
        <v>125</v>
      </c>
      <c r="K2969">
        <v>0</v>
      </c>
      <c r="L2969">
        <v>3</v>
      </c>
      <c r="M2969">
        <v>0</v>
      </c>
      <c r="N2969">
        <v>2</v>
      </c>
      <c r="O2969">
        <v>1</v>
      </c>
      <c r="P2969">
        <v>0</v>
      </c>
      <c r="Q2969">
        <v>0</v>
      </c>
      <c r="S2969" t="str">
        <f>"20:30:21.758"</f>
        <v>20:30:21.758</v>
      </c>
      <c r="T2969" t="str">
        <f>"20:30:21.258"</f>
        <v>20:30:21.258</v>
      </c>
      <c r="U2969" t="str">
        <f t="shared" si="144"/>
        <v>AB01F4</v>
      </c>
      <c r="V2969">
        <v>0</v>
      </c>
      <c r="W2969">
        <v>0</v>
      </c>
      <c r="X2969">
        <v>2</v>
      </c>
      <c r="Z2969">
        <v>0</v>
      </c>
      <c r="AA2969">
        <v>9</v>
      </c>
      <c r="AB2969">
        <v>3</v>
      </c>
      <c r="AC2969">
        <v>0</v>
      </c>
      <c r="AD2969">
        <v>10</v>
      </c>
      <c r="AE2969">
        <v>0</v>
      </c>
      <c r="AF2969">
        <v>3</v>
      </c>
      <c r="AG2969">
        <v>2</v>
      </c>
      <c r="AH2969">
        <v>0</v>
      </c>
      <c r="AI2969" t="s">
        <v>1733</v>
      </c>
      <c r="AJ2969">
        <v>40.033943999999998</v>
      </c>
      <c r="AK2969" t="s">
        <v>1734</v>
      </c>
      <c r="AL2969">
        <v>-92.842841000000007</v>
      </c>
      <c r="AM2969">
        <v>100</v>
      </c>
      <c r="AN2969">
        <v>1400</v>
      </c>
      <c r="AO2969" t="s">
        <v>118</v>
      </c>
      <c r="AP2969">
        <v>-133</v>
      </c>
      <c r="AQ2969">
        <v>38</v>
      </c>
      <c r="AR2969">
        <v>-192</v>
      </c>
      <c r="AZ2969">
        <v>1200</v>
      </c>
      <c r="BA2969">
        <v>1</v>
      </c>
      <c r="BB2969" t="str">
        <f t="shared" si="143"/>
        <v xml:space="preserve">N8080G  </v>
      </c>
      <c r="BC2969">
        <v>1</v>
      </c>
      <c r="BE2969">
        <v>0</v>
      </c>
      <c r="BF2969">
        <v>0</v>
      </c>
      <c r="BG2969">
        <v>0</v>
      </c>
      <c r="BH2969">
        <v>1450</v>
      </c>
      <c r="BI2969">
        <v>1</v>
      </c>
      <c r="BJ2969">
        <v>1</v>
      </c>
      <c r="BK2969">
        <v>1</v>
      </c>
      <c r="BL2969">
        <v>0</v>
      </c>
      <c r="BO2969">
        <v>0</v>
      </c>
      <c r="BP2969">
        <v>0</v>
      </c>
      <c r="BW2969" t="str">
        <f>"20:30:21.765"</f>
        <v>20:30:21.765</v>
      </c>
      <c r="BZ2969">
        <v>0</v>
      </c>
      <c r="CA2969">
        <v>1600</v>
      </c>
      <c r="CB2969">
        <v>224</v>
      </c>
      <c r="CD2969">
        <v>1</v>
      </c>
      <c r="CE2969">
        <v>0</v>
      </c>
      <c r="CF2969">
        <v>0</v>
      </c>
      <c r="CG2969">
        <v>0</v>
      </c>
      <c r="CH2969">
        <v>0</v>
      </c>
      <c r="CI2969">
        <v>0</v>
      </c>
      <c r="CJ2969">
        <v>0</v>
      </c>
      <c r="CK2969">
        <v>2</v>
      </c>
      <c r="CL2969">
        <v>0</v>
      </c>
      <c r="CM2969">
        <v>2</v>
      </c>
      <c r="CN2969">
        <v>0</v>
      </c>
      <c r="CO2969">
        <v>2</v>
      </c>
      <c r="CP2969" t="s">
        <v>119</v>
      </c>
      <c r="CQ2969">
        <v>179</v>
      </c>
      <c r="CR2969">
        <v>1</v>
      </c>
      <c r="CW2969">
        <v>9134068</v>
      </c>
      <c r="CY2969">
        <v>0</v>
      </c>
      <c r="CZ2969">
        <v>0</v>
      </c>
      <c r="DA2969">
        <v>1</v>
      </c>
      <c r="DB2969">
        <v>0</v>
      </c>
      <c r="DC2969">
        <v>0</v>
      </c>
      <c r="DD2969">
        <v>0</v>
      </c>
      <c r="DE2969">
        <v>0</v>
      </c>
      <c r="DF2969">
        <v>0</v>
      </c>
      <c r="DG2969">
        <v>0</v>
      </c>
      <c r="DH2969">
        <v>0</v>
      </c>
      <c r="DI2969">
        <v>0</v>
      </c>
    </row>
    <row r="2970" spans="1:113" x14ac:dyDescent="0.3">
      <c r="A2970" t="str">
        <f>"02/08/2021 20:30:19.454"</f>
        <v>02/08/2021 20:30:19.454</v>
      </c>
      <c r="C2970" t="str">
        <f t="shared" si="141"/>
        <v>FFDFD7C0</v>
      </c>
      <c r="D2970" t="s">
        <v>113</v>
      </c>
      <c r="E2970">
        <v>6</v>
      </c>
      <c r="H2970">
        <v>165</v>
      </c>
      <c r="I2970" t="s">
        <v>114</v>
      </c>
      <c r="J2970" t="s">
        <v>115</v>
      </c>
      <c r="K2970">
        <v>0</v>
      </c>
      <c r="L2970">
        <v>3</v>
      </c>
      <c r="M2970">
        <v>0</v>
      </c>
      <c r="N2970">
        <v>2</v>
      </c>
      <c r="O2970">
        <v>1</v>
      </c>
      <c r="P2970">
        <v>0</v>
      </c>
      <c r="Q2970">
        <v>0</v>
      </c>
      <c r="S2970" t="str">
        <f>"20:30:21.758"</f>
        <v>20:30:21.758</v>
      </c>
      <c r="T2970" t="str">
        <f>"20:30:21.258"</f>
        <v>20:30:21.258</v>
      </c>
      <c r="U2970" t="str">
        <f t="shared" si="144"/>
        <v>AB01F4</v>
      </c>
      <c r="V2970">
        <v>0</v>
      </c>
      <c r="W2970">
        <v>0</v>
      </c>
      <c r="X2970">
        <v>2</v>
      </c>
      <c r="Z2970">
        <v>0</v>
      </c>
      <c r="AA2970">
        <v>9</v>
      </c>
      <c r="AB2970">
        <v>3</v>
      </c>
      <c r="AC2970">
        <v>0</v>
      </c>
      <c r="AD2970">
        <v>10</v>
      </c>
      <c r="AE2970">
        <v>0</v>
      </c>
      <c r="AF2970">
        <v>3</v>
      </c>
      <c r="AG2970">
        <v>2</v>
      </c>
      <c r="AH2970">
        <v>0</v>
      </c>
      <c r="AI2970" t="s">
        <v>1733</v>
      </c>
      <c r="AJ2970">
        <v>40.033943999999998</v>
      </c>
      <c r="AK2970" t="s">
        <v>1734</v>
      </c>
      <c r="AL2970">
        <v>-92.842841000000007</v>
      </c>
      <c r="AM2970">
        <v>100</v>
      </c>
      <c r="AN2970">
        <v>1400</v>
      </c>
      <c r="AO2970" t="s">
        <v>118</v>
      </c>
      <c r="AP2970">
        <v>-133</v>
      </c>
      <c r="AQ2970">
        <v>38</v>
      </c>
      <c r="AR2970">
        <v>-192</v>
      </c>
      <c r="AZ2970">
        <v>1200</v>
      </c>
      <c r="BA2970">
        <v>1</v>
      </c>
      <c r="BB2970" t="str">
        <f t="shared" si="143"/>
        <v xml:space="preserve">N8080G  </v>
      </c>
      <c r="BC2970">
        <v>1</v>
      </c>
      <c r="BE2970">
        <v>0</v>
      </c>
      <c r="BF2970">
        <v>0</v>
      </c>
      <c r="BG2970">
        <v>0</v>
      </c>
      <c r="BH2970">
        <v>1450</v>
      </c>
      <c r="BI2970">
        <v>1</v>
      </c>
      <c r="BJ2970">
        <v>1</v>
      </c>
      <c r="BK2970">
        <v>1</v>
      </c>
      <c r="BL2970">
        <v>0</v>
      </c>
      <c r="BO2970">
        <v>0</v>
      </c>
      <c r="BP2970">
        <v>0</v>
      </c>
      <c r="BW2970" t="str">
        <f>"20:30:21.765"</f>
        <v>20:30:21.765</v>
      </c>
      <c r="BZ2970">
        <v>0</v>
      </c>
      <c r="CA2970">
        <v>1600</v>
      </c>
      <c r="CB2970">
        <v>224</v>
      </c>
      <c r="CD2970">
        <v>1</v>
      </c>
      <c r="CE2970">
        <v>0</v>
      </c>
      <c r="CF2970">
        <v>0</v>
      </c>
      <c r="CG2970">
        <v>0</v>
      </c>
      <c r="CH2970">
        <v>0</v>
      </c>
      <c r="CI2970">
        <v>0</v>
      </c>
      <c r="CJ2970">
        <v>0</v>
      </c>
      <c r="CK2970">
        <v>2</v>
      </c>
      <c r="CL2970">
        <v>0</v>
      </c>
      <c r="CM2970">
        <v>2</v>
      </c>
      <c r="CN2970">
        <v>0</v>
      </c>
      <c r="CO2970">
        <v>2</v>
      </c>
      <c r="CP2970" t="s">
        <v>119</v>
      </c>
      <c r="CQ2970">
        <v>179</v>
      </c>
      <c r="CR2970">
        <v>1</v>
      </c>
      <c r="CW2970">
        <v>9134068</v>
      </c>
      <c r="CY2970">
        <v>0</v>
      </c>
      <c r="CZ2970">
        <v>0</v>
      </c>
      <c r="DA2970">
        <v>1</v>
      </c>
      <c r="DB2970">
        <v>0</v>
      </c>
      <c r="DC2970">
        <v>0</v>
      </c>
      <c r="DD2970">
        <v>0</v>
      </c>
      <c r="DE2970">
        <v>0</v>
      </c>
      <c r="DF2970">
        <v>0</v>
      </c>
      <c r="DG2970">
        <v>0</v>
      </c>
      <c r="DH2970">
        <v>0</v>
      </c>
      <c r="DI2970">
        <v>0</v>
      </c>
    </row>
    <row r="2971" spans="1:113" x14ac:dyDescent="0.3">
      <c r="A2971" t="str">
        <f>"02/08/2021 20:30:20.432"</f>
        <v>02/08/2021 20:30:20.432</v>
      </c>
      <c r="C2971" t="str">
        <f t="shared" si="141"/>
        <v>FFDFD7C0</v>
      </c>
      <c r="D2971" t="s">
        <v>124</v>
      </c>
      <c r="E2971">
        <v>13</v>
      </c>
      <c r="F2971">
        <v>1013</v>
      </c>
      <c r="G2971" t="s">
        <v>114</v>
      </c>
      <c r="J2971" t="s">
        <v>125</v>
      </c>
      <c r="K2971">
        <v>0</v>
      </c>
      <c r="L2971">
        <v>3</v>
      </c>
      <c r="M2971">
        <v>0</v>
      </c>
      <c r="N2971">
        <v>2</v>
      </c>
      <c r="O2971">
        <v>1</v>
      </c>
      <c r="P2971">
        <v>0</v>
      </c>
      <c r="Q2971">
        <v>0</v>
      </c>
      <c r="S2971" t="str">
        <f>"20:30:22.773"</f>
        <v>20:30:22.773</v>
      </c>
      <c r="T2971" t="str">
        <f>"20:30:22.273"</f>
        <v>20:30:22.273</v>
      </c>
      <c r="U2971" t="str">
        <f t="shared" si="144"/>
        <v>AB01F4</v>
      </c>
      <c r="V2971">
        <v>0</v>
      </c>
      <c r="W2971">
        <v>0</v>
      </c>
      <c r="X2971">
        <v>2</v>
      </c>
      <c r="Z2971">
        <v>0</v>
      </c>
      <c r="AA2971">
        <v>9</v>
      </c>
      <c r="AB2971">
        <v>3</v>
      </c>
      <c r="AC2971">
        <v>0</v>
      </c>
      <c r="AD2971">
        <v>10</v>
      </c>
      <c r="AE2971">
        <v>0</v>
      </c>
      <c r="AF2971">
        <v>3</v>
      </c>
      <c r="AG2971">
        <v>2</v>
      </c>
      <c r="AH2971">
        <v>0</v>
      </c>
      <c r="AI2971" t="s">
        <v>1735</v>
      </c>
      <c r="AJ2971">
        <v>40.034137000000001</v>
      </c>
      <c r="AK2971" t="s">
        <v>1736</v>
      </c>
      <c r="AL2971">
        <v>-92.843635000000006</v>
      </c>
      <c r="AM2971">
        <v>100</v>
      </c>
      <c r="AN2971">
        <v>1400</v>
      </c>
      <c r="AO2971" t="s">
        <v>118</v>
      </c>
      <c r="AP2971">
        <v>-133</v>
      </c>
      <c r="AQ2971">
        <v>37</v>
      </c>
      <c r="AR2971">
        <v>-128</v>
      </c>
      <c r="AZ2971">
        <v>1200</v>
      </c>
      <c r="BA2971">
        <v>1</v>
      </c>
      <c r="BB2971" t="str">
        <f t="shared" si="143"/>
        <v xml:space="preserve">N8080G  </v>
      </c>
      <c r="BC2971">
        <v>1</v>
      </c>
      <c r="BE2971">
        <v>0</v>
      </c>
      <c r="BF2971">
        <v>0</v>
      </c>
      <c r="BG2971">
        <v>0</v>
      </c>
      <c r="BH2971">
        <v>1450</v>
      </c>
      <c r="BI2971">
        <v>1</v>
      </c>
      <c r="BJ2971">
        <v>1</v>
      </c>
      <c r="BK2971">
        <v>1</v>
      </c>
      <c r="BL2971">
        <v>0</v>
      </c>
      <c r="BO2971">
        <v>0</v>
      </c>
      <c r="BP2971">
        <v>0</v>
      </c>
      <c r="BW2971" t="str">
        <f>"20:30:22.774"</f>
        <v>20:30:22.774</v>
      </c>
      <c r="BZ2971">
        <v>0</v>
      </c>
      <c r="CA2971">
        <v>1600</v>
      </c>
      <c r="CB2971">
        <v>224</v>
      </c>
      <c r="CD2971">
        <v>1</v>
      </c>
      <c r="CE2971">
        <v>0</v>
      </c>
      <c r="CF2971">
        <v>0</v>
      </c>
      <c r="CG2971">
        <v>0</v>
      </c>
      <c r="CH2971">
        <v>0</v>
      </c>
      <c r="CI2971">
        <v>0</v>
      </c>
      <c r="CJ2971">
        <v>0</v>
      </c>
      <c r="CK2971">
        <v>2</v>
      </c>
      <c r="CL2971">
        <v>0</v>
      </c>
      <c r="CM2971">
        <v>2</v>
      </c>
      <c r="CN2971">
        <v>0</v>
      </c>
      <c r="CO2971">
        <v>1</v>
      </c>
      <c r="CP2971" t="s">
        <v>119</v>
      </c>
      <c r="CQ2971">
        <v>179</v>
      </c>
      <c r="CR2971">
        <v>1</v>
      </c>
      <c r="CW2971">
        <v>9134942</v>
      </c>
      <c r="CY2971">
        <v>0</v>
      </c>
      <c r="CZ2971">
        <v>0</v>
      </c>
      <c r="DA2971">
        <v>0</v>
      </c>
      <c r="DB2971">
        <v>0</v>
      </c>
      <c r="DC2971">
        <v>0</v>
      </c>
      <c r="DD2971">
        <v>0</v>
      </c>
      <c r="DE2971">
        <v>0</v>
      </c>
      <c r="DF2971">
        <v>0</v>
      </c>
      <c r="DG2971">
        <v>0</v>
      </c>
      <c r="DH2971">
        <v>0</v>
      </c>
      <c r="DI2971">
        <v>0</v>
      </c>
    </row>
    <row r="2972" spans="1:113" x14ac:dyDescent="0.3">
      <c r="A2972" t="str">
        <f>"02/08/2021 20:30:20.432"</f>
        <v>02/08/2021 20:30:20.432</v>
      </c>
      <c r="C2972" t="str">
        <f t="shared" si="141"/>
        <v>FFDFD7C0</v>
      </c>
      <c r="D2972" t="s">
        <v>124</v>
      </c>
      <c r="E2972">
        <v>11</v>
      </c>
      <c r="F2972">
        <v>1011</v>
      </c>
      <c r="G2972" t="s">
        <v>590</v>
      </c>
      <c r="J2972" t="s">
        <v>125</v>
      </c>
      <c r="K2972">
        <v>0</v>
      </c>
      <c r="L2972">
        <v>3</v>
      </c>
      <c r="M2972">
        <v>0</v>
      </c>
      <c r="N2972">
        <v>2</v>
      </c>
      <c r="O2972">
        <v>1</v>
      </c>
      <c r="P2972">
        <v>0</v>
      </c>
      <c r="Q2972">
        <v>0</v>
      </c>
      <c r="S2972" t="str">
        <f>"20:30:22.773"</f>
        <v>20:30:22.773</v>
      </c>
      <c r="T2972" t="str">
        <f>"20:30:22.273"</f>
        <v>20:30:22.273</v>
      </c>
      <c r="U2972" t="str">
        <f t="shared" si="144"/>
        <v>AB01F4</v>
      </c>
      <c r="V2972">
        <v>0</v>
      </c>
      <c r="W2972">
        <v>0</v>
      </c>
      <c r="X2972">
        <v>2</v>
      </c>
      <c r="Z2972">
        <v>0</v>
      </c>
      <c r="AA2972">
        <v>9</v>
      </c>
      <c r="AB2972">
        <v>3</v>
      </c>
      <c r="AC2972">
        <v>0</v>
      </c>
      <c r="AD2972">
        <v>10</v>
      </c>
      <c r="AE2972">
        <v>0</v>
      </c>
      <c r="AF2972">
        <v>3</v>
      </c>
      <c r="AG2972">
        <v>2</v>
      </c>
      <c r="AH2972">
        <v>0</v>
      </c>
      <c r="AI2972" t="s">
        <v>1735</v>
      </c>
      <c r="AJ2972">
        <v>40.034137000000001</v>
      </c>
      <c r="AK2972" t="s">
        <v>1736</v>
      </c>
      <c r="AL2972">
        <v>-92.843635000000006</v>
      </c>
      <c r="AM2972">
        <v>100</v>
      </c>
      <c r="AN2972">
        <v>1400</v>
      </c>
      <c r="AO2972" t="s">
        <v>118</v>
      </c>
      <c r="AP2972">
        <v>-133</v>
      </c>
      <c r="AQ2972">
        <v>37</v>
      </c>
      <c r="AR2972">
        <v>-128</v>
      </c>
      <c r="AZ2972">
        <v>1200</v>
      </c>
      <c r="BA2972">
        <v>1</v>
      </c>
      <c r="BB2972" t="str">
        <f t="shared" si="143"/>
        <v xml:space="preserve">N8080G  </v>
      </c>
      <c r="BC2972">
        <v>1</v>
      </c>
      <c r="BE2972">
        <v>0</v>
      </c>
      <c r="BF2972">
        <v>0</v>
      </c>
      <c r="BG2972">
        <v>0</v>
      </c>
      <c r="BH2972">
        <v>1450</v>
      </c>
      <c r="BI2972">
        <v>1</v>
      </c>
      <c r="BJ2972">
        <v>1</v>
      </c>
      <c r="BK2972">
        <v>1</v>
      </c>
      <c r="BL2972">
        <v>0</v>
      </c>
      <c r="BO2972">
        <v>0</v>
      </c>
      <c r="BP2972">
        <v>0</v>
      </c>
      <c r="BW2972" t="str">
        <f>"20:30:22.774"</f>
        <v>20:30:22.774</v>
      </c>
      <c r="BZ2972">
        <v>0</v>
      </c>
      <c r="CA2972">
        <v>1600</v>
      </c>
      <c r="CB2972">
        <v>224</v>
      </c>
      <c r="CD2972">
        <v>1</v>
      </c>
      <c r="CE2972">
        <v>0</v>
      </c>
      <c r="CF2972">
        <v>0</v>
      </c>
      <c r="CG2972">
        <v>0</v>
      </c>
      <c r="CH2972">
        <v>0</v>
      </c>
      <c r="CI2972">
        <v>0</v>
      </c>
      <c r="CJ2972">
        <v>0</v>
      </c>
      <c r="CK2972">
        <v>2</v>
      </c>
      <c r="CL2972">
        <v>0</v>
      </c>
      <c r="CM2972">
        <v>2</v>
      </c>
      <c r="CN2972">
        <v>0</v>
      </c>
      <c r="CO2972">
        <v>1</v>
      </c>
      <c r="CP2972" t="s">
        <v>119</v>
      </c>
      <c r="CQ2972">
        <v>179</v>
      </c>
      <c r="CR2972">
        <v>1</v>
      </c>
      <c r="CW2972">
        <v>9134942</v>
      </c>
      <c r="CY2972">
        <v>0</v>
      </c>
      <c r="CZ2972">
        <v>0</v>
      </c>
      <c r="DA2972">
        <v>1</v>
      </c>
      <c r="DB2972">
        <v>0</v>
      </c>
      <c r="DC2972">
        <v>0</v>
      </c>
      <c r="DD2972">
        <v>0</v>
      </c>
      <c r="DE2972">
        <v>0</v>
      </c>
      <c r="DF2972">
        <v>0</v>
      </c>
      <c r="DG2972">
        <v>0</v>
      </c>
      <c r="DH2972">
        <v>0</v>
      </c>
      <c r="DI2972">
        <v>0</v>
      </c>
    </row>
    <row r="2973" spans="1:113" x14ac:dyDescent="0.3">
      <c r="A2973" t="str">
        <f>"02/08/2021 20:30:20.432"</f>
        <v>02/08/2021 20:30:20.432</v>
      </c>
      <c r="C2973" t="str">
        <f t="shared" si="141"/>
        <v>FFDFD7C0</v>
      </c>
      <c r="D2973" t="s">
        <v>113</v>
      </c>
      <c r="E2973">
        <v>6</v>
      </c>
      <c r="H2973">
        <v>165</v>
      </c>
      <c r="I2973" t="s">
        <v>114</v>
      </c>
      <c r="J2973" t="s">
        <v>115</v>
      </c>
      <c r="K2973">
        <v>0</v>
      </c>
      <c r="L2973">
        <v>3</v>
      </c>
      <c r="M2973">
        <v>0</v>
      </c>
      <c r="N2973">
        <v>2</v>
      </c>
      <c r="O2973">
        <v>1</v>
      </c>
      <c r="P2973">
        <v>0</v>
      </c>
      <c r="Q2973">
        <v>0</v>
      </c>
      <c r="S2973" t="str">
        <f>"20:30:22.773"</f>
        <v>20:30:22.773</v>
      </c>
      <c r="T2973" t="str">
        <f>"20:30:22.273"</f>
        <v>20:30:22.273</v>
      </c>
      <c r="U2973" t="str">
        <f t="shared" si="144"/>
        <v>AB01F4</v>
      </c>
      <c r="V2973">
        <v>0</v>
      </c>
      <c r="W2973">
        <v>0</v>
      </c>
      <c r="X2973">
        <v>2</v>
      </c>
      <c r="Z2973">
        <v>0</v>
      </c>
      <c r="AA2973">
        <v>9</v>
      </c>
      <c r="AB2973">
        <v>3</v>
      </c>
      <c r="AC2973">
        <v>0</v>
      </c>
      <c r="AD2973">
        <v>10</v>
      </c>
      <c r="AE2973">
        <v>0</v>
      </c>
      <c r="AF2973">
        <v>3</v>
      </c>
      <c r="AG2973">
        <v>2</v>
      </c>
      <c r="AH2973">
        <v>0</v>
      </c>
      <c r="AI2973" t="s">
        <v>1735</v>
      </c>
      <c r="AJ2973">
        <v>40.034137000000001</v>
      </c>
      <c r="AK2973" t="s">
        <v>1736</v>
      </c>
      <c r="AL2973">
        <v>-92.843635000000006</v>
      </c>
      <c r="AM2973">
        <v>100</v>
      </c>
      <c r="AN2973">
        <v>1400</v>
      </c>
      <c r="AO2973" t="s">
        <v>118</v>
      </c>
      <c r="AP2973">
        <v>-133</v>
      </c>
      <c r="AQ2973">
        <v>37</v>
      </c>
      <c r="AR2973">
        <v>-128</v>
      </c>
      <c r="AZ2973">
        <v>1200</v>
      </c>
      <c r="BA2973">
        <v>1</v>
      </c>
      <c r="BB2973" t="str">
        <f t="shared" si="143"/>
        <v xml:space="preserve">N8080G  </v>
      </c>
      <c r="BC2973">
        <v>1</v>
      </c>
      <c r="BE2973">
        <v>0</v>
      </c>
      <c r="BF2973">
        <v>0</v>
      </c>
      <c r="BG2973">
        <v>0</v>
      </c>
      <c r="BH2973">
        <v>1450</v>
      </c>
      <c r="BI2973">
        <v>1</v>
      </c>
      <c r="BJ2973">
        <v>1</v>
      </c>
      <c r="BK2973">
        <v>1</v>
      </c>
      <c r="BL2973">
        <v>0</v>
      </c>
      <c r="BO2973">
        <v>0</v>
      </c>
      <c r="BP2973">
        <v>0</v>
      </c>
      <c r="BW2973" t="str">
        <f>"20:30:22.774"</f>
        <v>20:30:22.774</v>
      </c>
      <c r="BZ2973">
        <v>0</v>
      </c>
      <c r="CA2973">
        <v>1600</v>
      </c>
      <c r="CB2973">
        <v>224</v>
      </c>
      <c r="CD2973">
        <v>1</v>
      </c>
      <c r="CE2973">
        <v>0</v>
      </c>
      <c r="CF2973">
        <v>0</v>
      </c>
      <c r="CG2973">
        <v>0</v>
      </c>
      <c r="CH2973">
        <v>0</v>
      </c>
      <c r="CI2973">
        <v>0</v>
      </c>
      <c r="CJ2973">
        <v>0</v>
      </c>
      <c r="CK2973">
        <v>2</v>
      </c>
      <c r="CL2973">
        <v>0</v>
      </c>
      <c r="CM2973">
        <v>2</v>
      </c>
      <c r="CN2973">
        <v>0</v>
      </c>
      <c r="CO2973">
        <v>1</v>
      </c>
      <c r="CP2973" t="s">
        <v>119</v>
      </c>
      <c r="CQ2973">
        <v>179</v>
      </c>
      <c r="CR2973">
        <v>1</v>
      </c>
      <c r="CW2973">
        <v>9134942</v>
      </c>
      <c r="CY2973">
        <v>0</v>
      </c>
      <c r="CZ2973">
        <v>0</v>
      </c>
      <c r="DA2973">
        <v>1</v>
      </c>
      <c r="DB2973">
        <v>0</v>
      </c>
      <c r="DC2973">
        <v>0</v>
      </c>
      <c r="DD2973">
        <v>0</v>
      </c>
      <c r="DE2973">
        <v>0</v>
      </c>
      <c r="DF2973">
        <v>0</v>
      </c>
      <c r="DG2973">
        <v>0</v>
      </c>
      <c r="DH2973">
        <v>0</v>
      </c>
      <c r="DI2973">
        <v>0</v>
      </c>
    </row>
    <row r="2974" spans="1:113" x14ac:dyDescent="0.3">
      <c r="A2974" t="str">
        <f>"02/08/2021 20:30:20.432"</f>
        <v>02/08/2021 20:30:20.432</v>
      </c>
      <c r="C2974" t="str">
        <f t="shared" si="141"/>
        <v>FFDFD7C0</v>
      </c>
      <c r="D2974" t="s">
        <v>124</v>
      </c>
      <c r="E2974">
        <v>12</v>
      </c>
      <c r="F2974">
        <v>1012</v>
      </c>
      <c r="G2974" t="s">
        <v>675</v>
      </c>
      <c r="J2974" t="s">
        <v>125</v>
      </c>
      <c r="K2974">
        <v>0</v>
      </c>
      <c r="L2974">
        <v>3</v>
      </c>
      <c r="M2974">
        <v>0</v>
      </c>
      <c r="N2974">
        <v>2</v>
      </c>
      <c r="O2974">
        <v>1</v>
      </c>
      <c r="P2974">
        <v>0</v>
      </c>
      <c r="Q2974">
        <v>0</v>
      </c>
      <c r="S2974" t="str">
        <f>"20:30:22.773"</f>
        <v>20:30:22.773</v>
      </c>
      <c r="T2974" t="str">
        <f>"20:30:22.273"</f>
        <v>20:30:22.273</v>
      </c>
      <c r="U2974" t="str">
        <f t="shared" si="144"/>
        <v>AB01F4</v>
      </c>
      <c r="V2974">
        <v>0</v>
      </c>
      <c r="W2974">
        <v>0</v>
      </c>
      <c r="X2974">
        <v>2</v>
      </c>
      <c r="Z2974">
        <v>0</v>
      </c>
      <c r="AA2974">
        <v>9</v>
      </c>
      <c r="AB2974">
        <v>3</v>
      </c>
      <c r="AC2974">
        <v>0</v>
      </c>
      <c r="AD2974">
        <v>10</v>
      </c>
      <c r="AE2974">
        <v>0</v>
      </c>
      <c r="AF2974">
        <v>3</v>
      </c>
      <c r="AG2974">
        <v>2</v>
      </c>
      <c r="AH2974">
        <v>0</v>
      </c>
      <c r="AI2974" t="s">
        <v>1735</v>
      </c>
      <c r="AJ2974">
        <v>40.034137000000001</v>
      </c>
      <c r="AK2974" t="s">
        <v>1736</v>
      </c>
      <c r="AL2974">
        <v>-92.843635000000006</v>
      </c>
      <c r="AM2974">
        <v>100</v>
      </c>
      <c r="AN2974">
        <v>1400</v>
      </c>
      <c r="AO2974" t="s">
        <v>118</v>
      </c>
      <c r="AP2974">
        <v>-133</v>
      </c>
      <c r="AQ2974">
        <v>37</v>
      </c>
      <c r="AR2974">
        <v>-128</v>
      </c>
      <c r="AZ2974">
        <v>1200</v>
      </c>
      <c r="BA2974">
        <v>1</v>
      </c>
      <c r="BB2974" t="str">
        <f t="shared" si="143"/>
        <v xml:space="preserve">N8080G  </v>
      </c>
      <c r="BC2974">
        <v>1</v>
      </c>
      <c r="BE2974">
        <v>0</v>
      </c>
      <c r="BF2974">
        <v>0</v>
      </c>
      <c r="BG2974">
        <v>0</v>
      </c>
      <c r="BH2974">
        <v>1450</v>
      </c>
      <c r="BI2974">
        <v>1</v>
      </c>
      <c r="BJ2974">
        <v>1</v>
      </c>
      <c r="BK2974">
        <v>1</v>
      </c>
      <c r="BL2974">
        <v>0</v>
      </c>
      <c r="BO2974">
        <v>0</v>
      </c>
      <c r="BP2974">
        <v>0</v>
      </c>
      <c r="BW2974" t="str">
        <f>"20:30:22.774"</f>
        <v>20:30:22.774</v>
      </c>
      <c r="BZ2974">
        <v>0</v>
      </c>
      <c r="CA2974">
        <v>1600</v>
      </c>
      <c r="CB2974">
        <v>224</v>
      </c>
      <c r="CD2974">
        <v>1</v>
      </c>
      <c r="CE2974">
        <v>0</v>
      </c>
      <c r="CF2974">
        <v>0</v>
      </c>
      <c r="CG2974">
        <v>0</v>
      </c>
      <c r="CH2974">
        <v>0</v>
      </c>
      <c r="CI2974">
        <v>0</v>
      </c>
      <c r="CJ2974">
        <v>0</v>
      </c>
      <c r="CK2974">
        <v>2</v>
      </c>
      <c r="CL2974">
        <v>0</v>
      </c>
      <c r="CM2974">
        <v>2</v>
      </c>
      <c r="CN2974">
        <v>0</v>
      </c>
      <c r="CO2974">
        <v>1</v>
      </c>
      <c r="CP2974" t="s">
        <v>119</v>
      </c>
      <c r="CQ2974">
        <v>179</v>
      </c>
      <c r="CR2974">
        <v>1</v>
      </c>
      <c r="CW2974">
        <v>9134942</v>
      </c>
      <c r="CY2974">
        <v>0</v>
      </c>
      <c r="CZ2974">
        <v>0</v>
      </c>
      <c r="DA2974">
        <v>1</v>
      </c>
      <c r="DB2974">
        <v>0</v>
      </c>
      <c r="DC2974">
        <v>0</v>
      </c>
      <c r="DD2974">
        <v>0</v>
      </c>
      <c r="DE2974">
        <v>0</v>
      </c>
      <c r="DF2974">
        <v>0</v>
      </c>
      <c r="DG2974">
        <v>0</v>
      </c>
      <c r="DH2974">
        <v>0</v>
      </c>
      <c r="DI2974">
        <v>0</v>
      </c>
    </row>
    <row r="2975" spans="1:113" x14ac:dyDescent="0.3">
      <c r="A2975" t="str">
        <f>"02/08/2021 20:30:21.564"</f>
        <v>02/08/2021 20:30:21.564</v>
      </c>
      <c r="C2975" t="str">
        <f t="shared" si="141"/>
        <v>FFDFD7C0</v>
      </c>
      <c r="D2975" t="s">
        <v>124</v>
      </c>
      <c r="E2975">
        <v>12</v>
      </c>
      <c r="F2975">
        <v>1012</v>
      </c>
      <c r="G2975" t="s">
        <v>675</v>
      </c>
      <c r="J2975" t="s">
        <v>125</v>
      </c>
      <c r="K2975">
        <v>0</v>
      </c>
      <c r="L2975">
        <v>3</v>
      </c>
      <c r="M2975">
        <v>0</v>
      </c>
      <c r="N2975">
        <v>2</v>
      </c>
      <c r="O2975">
        <v>1</v>
      </c>
      <c r="P2975">
        <v>0</v>
      </c>
      <c r="Q2975">
        <v>0</v>
      </c>
      <c r="S2975" t="str">
        <f>"20:30:23.914"</f>
        <v>20:30:23.914</v>
      </c>
      <c r="T2975" t="str">
        <f>"20:30:22.814"</f>
        <v>20:30:22.814</v>
      </c>
      <c r="U2975" t="str">
        <f t="shared" si="144"/>
        <v>AB01F4</v>
      </c>
      <c r="V2975">
        <v>0</v>
      </c>
      <c r="W2975">
        <v>0</v>
      </c>
      <c r="X2975">
        <v>2</v>
      </c>
      <c r="Z2975">
        <v>0</v>
      </c>
      <c r="AA2975">
        <v>9</v>
      </c>
      <c r="AB2975">
        <v>3</v>
      </c>
      <c r="AC2975">
        <v>0</v>
      </c>
      <c r="AD2975">
        <v>10</v>
      </c>
      <c r="AE2975">
        <v>0</v>
      </c>
      <c r="AF2975">
        <v>3</v>
      </c>
      <c r="AG2975">
        <v>2</v>
      </c>
      <c r="AH2975">
        <v>0</v>
      </c>
      <c r="AI2975" t="s">
        <v>1737</v>
      </c>
      <c r="AJ2975">
        <v>40.034329999999997</v>
      </c>
      <c r="AK2975" t="s">
        <v>1738</v>
      </c>
      <c r="AL2975">
        <v>-92.844515000000001</v>
      </c>
      <c r="AM2975">
        <v>100</v>
      </c>
      <c r="AN2975">
        <v>1400</v>
      </c>
      <c r="AO2975" t="s">
        <v>118</v>
      </c>
      <c r="AP2975">
        <v>-133</v>
      </c>
      <c r="AQ2975">
        <v>37</v>
      </c>
      <c r="AR2975">
        <v>-64</v>
      </c>
      <c r="AZ2975">
        <v>1200</v>
      </c>
      <c r="BA2975">
        <v>1</v>
      </c>
      <c r="BB2975" t="str">
        <f t="shared" si="143"/>
        <v xml:space="preserve">N8080G  </v>
      </c>
      <c r="BC2975">
        <v>1</v>
      </c>
      <c r="BE2975">
        <v>0</v>
      </c>
      <c r="BF2975">
        <v>0</v>
      </c>
      <c r="BG2975">
        <v>0</v>
      </c>
      <c r="BH2975">
        <v>1450</v>
      </c>
      <c r="BI2975">
        <v>1</v>
      </c>
      <c r="BJ2975">
        <v>1</v>
      </c>
      <c r="BK2975">
        <v>1</v>
      </c>
      <c r="BL2975">
        <v>0</v>
      </c>
      <c r="BO2975">
        <v>0</v>
      </c>
      <c r="BP2975">
        <v>0</v>
      </c>
      <c r="BW2975" t="str">
        <f>"20:30:23.914"</f>
        <v>20:30:23.914</v>
      </c>
      <c r="BZ2975">
        <v>0</v>
      </c>
      <c r="CA2975">
        <v>1600</v>
      </c>
      <c r="CB2975">
        <v>224</v>
      </c>
      <c r="CD2975">
        <v>1</v>
      </c>
      <c r="CE2975">
        <v>0</v>
      </c>
      <c r="CF2975">
        <v>0</v>
      </c>
      <c r="CG2975">
        <v>0</v>
      </c>
      <c r="CH2975">
        <v>0</v>
      </c>
      <c r="CI2975">
        <v>0</v>
      </c>
      <c r="CJ2975">
        <v>0</v>
      </c>
      <c r="CK2975">
        <v>2</v>
      </c>
      <c r="CL2975">
        <v>0</v>
      </c>
      <c r="CM2975">
        <v>2</v>
      </c>
      <c r="CN2975">
        <v>0</v>
      </c>
      <c r="CO2975">
        <v>1</v>
      </c>
      <c r="CP2975" t="s">
        <v>119</v>
      </c>
      <c r="CQ2975">
        <v>179</v>
      </c>
      <c r="CR2975">
        <v>1</v>
      </c>
      <c r="CW2975">
        <v>9136047</v>
      </c>
      <c r="CY2975">
        <v>0</v>
      </c>
      <c r="CZ2975">
        <v>0</v>
      </c>
      <c r="DA2975">
        <v>0</v>
      </c>
      <c r="DB2975">
        <v>0</v>
      </c>
      <c r="DC2975">
        <v>0</v>
      </c>
      <c r="DD2975">
        <v>0</v>
      </c>
      <c r="DE2975">
        <v>0</v>
      </c>
      <c r="DF2975">
        <v>0</v>
      </c>
      <c r="DG2975">
        <v>0</v>
      </c>
      <c r="DH2975">
        <v>0</v>
      </c>
      <c r="DI2975">
        <v>0</v>
      </c>
    </row>
    <row r="2976" spans="1:113" x14ac:dyDescent="0.3">
      <c r="A2976" t="str">
        <f>"02/08/2021 20:30:21.564"</f>
        <v>02/08/2021 20:30:21.564</v>
      </c>
      <c r="C2976" t="str">
        <f t="shared" si="141"/>
        <v>FFDFD7C0</v>
      </c>
      <c r="D2976" t="s">
        <v>124</v>
      </c>
      <c r="E2976">
        <v>13</v>
      </c>
      <c r="F2976">
        <v>1013</v>
      </c>
      <c r="G2976" t="s">
        <v>114</v>
      </c>
      <c r="J2976" t="s">
        <v>125</v>
      </c>
      <c r="K2976">
        <v>0</v>
      </c>
      <c r="L2976">
        <v>3</v>
      </c>
      <c r="M2976">
        <v>0</v>
      </c>
      <c r="N2976">
        <v>2</v>
      </c>
      <c r="O2976">
        <v>1</v>
      </c>
      <c r="P2976">
        <v>0</v>
      </c>
      <c r="Q2976">
        <v>0</v>
      </c>
      <c r="S2976" t="str">
        <f>"20:30:23.914"</f>
        <v>20:30:23.914</v>
      </c>
      <c r="T2976" t="str">
        <f>"20:30:22.814"</f>
        <v>20:30:22.814</v>
      </c>
      <c r="U2976" t="str">
        <f t="shared" si="144"/>
        <v>AB01F4</v>
      </c>
      <c r="V2976">
        <v>0</v>
      </c>
      <c r="W2976">
        <v>0</v>
      </c>
      <c r="X2976">
        <v>2</v>
      </c>
      <c r="Z2976">
        <v>0</v>
      </c>
      <c r="AA2976">
        <v>9</v>
      </c>
      <c r="AB2976">
        <v>3</v>
      </c>
      <c r="AC2976">
        <v>0</v>
      </c>
      <c r="AD2976">
        <v>10</v>
      </c>
      <c r="AE2976">
        <v>0</v>
      </c>
      <c r="AF2976">
        <v>3</v>
      </c>
      <c r="AG2976">
        <v>2</v>
      </c>
      <c r="AH2976">
        <v>0</v>
      </c>
      <c r="AI2976" t="s">
        <v>1737</v>
      </c>
      <c r="AJ2976">
        <v>40.034329999999997</v>
      </c>
      <c r="AK2976" t="s">
        <v>1738</v>
      </c>
      <c r="AL2976">
        <v>-92.844515000000001</v>
      </c>
      <c r="AM2976">
        <v>100</v>
      </c>
      <c r="AN2976">
        <v>1400</v>
      </c>
      <c r="AO2976" t="s">
        <v>118</v>
      </c>
      <c r="AP2976">
        <v>-133</v>
      </c>
      <c r="AQ2976">
        <v>37</v>
      </c>
      <c r="AR2976">
        <v>-64</v>
      </c>
      <c r="AZ2976">
        <v>1200</v>
      </c>
      <c r="BA2976">
        <v>1</v>
      </c>
      <c r="BB2976" t="str">
        <f t="shared" si="143"/>
        <v xml:space="preserve">N8080G  </v>
      </c>
      <c r="BC2976">
        <v>1</v>
      </c>
      <c r="BE2976">
        <v>0</v>
      </c>
      <c r="BF2976">
        <v>0</v>
      </c>
      <c r="BG2976">
        <v>0</v>
      </c>
      <c r="BH2976">
        <v>1450</v>
      </c>
      <c r="BI2976">
        <v>1</v>
      </c>
      <c r="BJ2976">
        <v>1</v>
      </c>
      <c r="BK2976">
        <v>1</v>
      </c>
      <c r="BL2976">
        <v>0</v>
      </c>
      <c r="BO2976">
        <v>0</v>
      </c>
      <c r="BP2976">
        <v>0</v>
      </c>
      <c r="BW2976" t="str">
        <f>"20:30:23.914"</f>
        <v>20:30:23.914</v>
      </c>
      <c r="BZ2976">
        <v>0</v>
      </c>
      <c r="CA2976">
        <v>1600</v>
      </c>
      <c r="CB2976">
        <v>224</v>
      </c>
      <c r="CD2976">
        <v>1</v>
      </c>
      <c r="CE2976">
        <v>0</v>
      </c>
      <c r="CF2976">
        <v>0</v>
      </c>
      <c r="CG2976">
        <v>0</v>
      </c>
      <c r="CH2976">
        <v>0</v>
      </c>
      <c r="CI2976">
        <v>0</v>
      </c>
      <c r="CJ2976">
        <v>0</v>
      </c>
      <c r="CK2976">
        <v>2</v>
      </c>
      <c r="CL2976">
        <v>0</v>
      </c>
      <c r="CM2976">
        <v>2</v>
      </c>
      <c r="CN2976">
        <v>0</v>
      </c>
      <c r="CO2976">
        <v>1</v>
      </c>
      <c r="CP2976" t="s">
        <v>119</v>
      </c>
      <c r="CQ2976">
        <v>179</v>
      </c>
      <c r="CR2976">
        <v>1</v>
      </c>
      <c r="CW2976">
        <v>9136047</v>
      </c>
      <c r="CY2976">
        <v>0</v>
      </c>
      <c r="CZ2976">
        <v>0</v>
      </c>
      <c r="DA2976">
        <v>1</v>
      </c>
      <c r="DB2976">
        <v>0</v>
      </c>
      <c r="DC2976">
        <v>0</v>
      </c>
      <c r="DD2976">
        <v>0</v>
      </c>
      <c r="DE2976">
        <v>0</v>
      </c>
      <c r="DF2976">
        <v>0</v>
      </c>
      <c r="DG2976">
        <v>0</v>
      </c>
      <c r="DH2976">
        <v>0</v>
      </c>
      <c r="DI2976">
        <v>0</v>
      </c>
    </row>
    <row r="2977" spans="1:113" x14ac:dyDescent="0.3">
      <c r="A2977" t="str">
        <f>"02/08/2021 20:30:21.564"</f>
        <v>02/08/2021 20:30:21.564</v>
      </c>
      <c r="C2977" t="str">
        <f t="shared" si="141"/>
        <v>FFDFD7C0</v>
      </c>
      <c r="D2977" t="s">
        <v>124</v>
      </c>
      <c r="E2977">
        <v>11</v>
      </c>
      <c r="F2977">
        <v>1011</v>
      </c>
      <c r="G2977" t="s">
        <v>590</v>
      </c>
      <c r="J2977" t="s">
        <v>125</v>
      </c>
      <c r="K2977">
        <v>0</v>
      </c>
      <c r="L2977">
        <v>3</v>
      </c>
      <c r="M2977">
        <v>0</v>
      </c>
      <c r="N2977">
        <v>2</v>
      </c>
      <c r="O2977">
        <v>1</v>
      </c>
      <c r="P2977">
        <v>0</v>
      </c>
      <c r="Q2977">
        <v>0</v>
      </c>
      <c r="S2977" t="str">
        <f>"20:30:23.914"</f>
        <v>20:30:23.914</v>
      </c>
      <c r="T2977" t="str">
        <f>"20:30:22.814"</f>
        <v>20:30:22.814</v>
      </c>
      <c r="U2977" t="str">
        <f t="shared" si="144"/>
        <v>AB01F4</v>
      </c>
      <c r="V2977">
        <v>0</v>
      </c>
      <c r="W2977">
        <v>0</v>
      </c>
      <c r="X2977">
        <v>2</v>
      </c>
      <c r="Z2977">
        <v>0</v>
      </c>
      <c r="AA2977">
        <v>9</v>
      </c>
      <c r="AB2977">
        <v>3</v>
      </c>
      <c r="AC2977">
        <v>0</v>
      </c>
      <c r="AD2977">
        <v>10</v>
      </c>
      <c r="AE2977">
        <v>0</v>
      </c>
      <c r="AF2977">
        <v>3</v>
      </c>
      <c r="AG2977">
        <v>2</v>
      </c>
      <c r="AH2977">
        <v>0</v>
      </c>
      <c r="AI2977" t="s">
        <v>1737</v>
      </c>
      <c r="AJ2977">
        <v>40.034329999999997</v>
      </c>
      <c r="AK2977" t="s">
        <v>1738</v>
      </c>
      <c r="AL2977">
        <v>-92.844515000000001</v>
      </c>
      <c r="AM2977">
        <v>100</v>
      </c>
      <c r="AN2977">
        <v>1400</v>
      </c>
      <c r="AO2977" t="s">
        <v>118</v>
      </c>
      <c r="AP2977">
        <v>-133</v>
      </c>
      <c r="AQ2977">
        <v>37</v>
      </c>
      <c r="AR2977">
        <v>-64</v>
      </c>
      <c r="AZ2977">
        <v>1200</v>
      </c>
      <c r="BA2977">
        <v>1</v>
      </c>
      <c r="BB2977" t="str">
        <f t="shared" si="143"/>
        <v xml:space="preserve">N8080G  </v>
      </c>
      <c r="BC2977">
        <v>1</v>
      </c>
      <c r="BE2977">
        <v>0</v>
      </c>
      <c r="BF2977">
        <v>0</v>
      </c>
      <c r="BG2977">
        <v>0</v>
      </c>
      <c r="BH2977">
        <v>1450</v>
      </c>
      <c r="BI2977">
        <v>1</v>
      </c>
      <c r="BJ2977">
        <v>1</v>
      </c>
      <c r="BK2977">
        <v>1</v>
      </c>
      <c r="BL2977">
        <v>0</v>
      </c>
      <c r="BO2977">
        <v>0</v>
      </c>
      <c r="BP2977">
        <v>0</v>
      </c>
      <c r="BW2977" t="str">
        <f>"20:30:23.914"</f>
        <v>20:30:23.914</v>
      </c>
      <c r="BZ2977">
        <v>0</v>
      </c>
      <c r="CA2977">
        <v>1600</v>
      </c>
      <c r="CB2977">
        <v>224</v>
      </c>
      <c r="CD2977">
        <v>1</v>
      </c>
      <c r="CE2977">
        <v>0</v>
      </c>
      <c r="CF2977">
        <v>0</v>
      </c>
      <c r="CG2977">
        <v>0</v>
      </c>
      <c r="CH2977">
        <v>0</v>
      </c>
      <c r="CI2977">
        <v>0</v>
      </c>
      <c r="CJ2977">
        <v>0</v>
      </c>
      <c r="CK2977">
        <v>2</v>
      </c>
      <c r="CL2977">
        <v>0</v>
      </c>
      <c r="CM2977">
        <v>2</v>
      </c>
      <c r="CN2977">
        <v>0</v>
      </c>
      <c r="CO2977">
        <v>1</v>
      </c>
      <c r="CP2977" t="s">
        <v>119</v>
      </c>
      <c r="CQ2977">
        <v>179</v>
      </c>
      <c r="CR2977">
        <v>1</v>
      </c>
      <c r="CW2977">
        <v>9136047</v>
      </c>
      <c r="CY2977">
        <v>0</v>
      </c>
      <c r="CZ2977">
        <v>0</v>
      </c>
      <c r="DA2977">
        <v>1</v>
      </c>
      <c r="DB2977">
        <v>0</v>
      </c>
      <c r="DC2977">
        <v>0</v>
      </c>
      <c r="DD2977">
        <v>0</v>
      </c>
      <c r="DE2977">
        <v>0</v>
      </c>
      <c r="DF2977">
        <v>0</v>
      </c>
      <c r="DG2977">
        <v>0</v>
      </c>
      <c r="DH2977">
        <v>0</v>
      </c>
      <c r="DI2977">
        <v>0</v>
      </c>
    </row>
    <row r="2978" spans="1:113" x14ac:dyDescent="0.3">
      <c r="A2978" t="str">
        <f>"02/08/2021 20:30:21.564"</f>
        <v>02/08/2021 20:30:21.564</v>
      </c>
      <c r="C2978" t="str">
        <f t="shared" si="141"/>
        <v>FFDFD7C0</v>
      </c>
      <c r="D2978" t="s">
        <v>113</v>
      </c>
      <c r="E2978">
        <v>6</v>
      </c>
      <c r="H2978">
        <v>165</v>
      </c>
      <c r="I2978" t="s">
        <v>114</v>
      </c>
      <c r="J2978" t="s">
        <v>115</v>
      </c>
      <c r="K2978">
        <v>0</v>
      </c>
      <c r="L2978">
        <v>3</v>
      </c>
      <c r="M2978">
        <v>0</v>
      </c>
      <c r="N2978">
        <v>2</v>
      </c>
      <c r="O2978">
        <v>1</v>
      </c>
      <c r="P2978">
        <v>0</v>
      </c>
      <c r="Q2978">
        <v>0</v>
      </c>
      <c r="S2978" t="str">
        <f>"20:30:23.914"</f>
        <v>20:30:23.914</v>
      </c>
      <c r="T2978" t="str">
        <f>"20:30:22.814"</f>
        <v>20:30:22.814</v>
      </c>
      <c r="U2978" t="str">
        <f t="shared" si="144"/>
        <v>AB01F4</v>
      </c>
      <c r="V2978">
        <v>0</v>
      </c>
      <c r="W2978">
        <v>0</v>
      </c>
      <c r="X2978">
        <v>2</v>
      </c>
      <c r="Z2978">
        <v>0</v>
      </c>
      <c r="AA2978">
        <v>9</v>
      </c>
      <c r="AB2978">
        <v>3</v>
      </c>
      <c r="AC2978">
        <v>0</v>
      </c>
      <c r="AD2978">
        <v>10</v>
      </c>
      <c r="AE2978">
        <v>0</v>
      </c>
      <c r="AF2978">
        <v>3</v>
      </c>
      <c r="AG2978">
        <v>2</v>
      </c>
      <c r="AH2978">
        <v>0</v>
      </c>
      <c r="AI2978" t="s">
        <v>1737</v>
      </c>
      <c r="AJ2978">
        <v>40.034329999999997</v>
      </c>
      <c r="AK2978" t="s">
        <v>1738</v>
      </c>
      <c r="AL2978">
        <v>-92.844515000000001</v>
      </c>
      <c r="AM2978">
        <v>100</v>
      </c>
      <c r="AN2978">
        <v>1400</v>
      </c>
      <c r="AO2978" t="s">
        <v>118</v>
      </c>
      <c r="AP2978">
        <v>-133</v>
      </c>
      <c r="AQ2978">
        <v>37</v>
      </c>
      <c r="AR2978">
        <v>-64</v>
      </c>
      <c r="AZ2978">
        <v>1200</v>
      </c>
      <c r="BA2978">
        <v>1</v>
      </c>
      <c r="BB2978" t="str">
        <f t="shared" si="143"/>
        <v xml:space="preserve">N8080G  </v>
      </c>
      <c r="BC2978">
        <v>1</v>
      </c>
      <c r="BE2978">
        <v>0</v>
      </c>
      <c r="BF2978">
        <v>0</v>
      </c>
      <c r="BG2978">
        <v>0</v>
      </c>
      <c r="BH2978">
        <v>1450</v>
      </c>
      <c r="BI2978">
        <v>1</v>
      </c>
      <c r="BJ2978">
        <v>1</v>
      </c>
      <c r="BK2978">
        <v>1</v>
      </c>
      <c r="BL2978">
        <v>0</v>
      </c>
      <c r="BO2978">
        <v>0</v>
      </c>
      <c r="BP2978">
        <v>0</v>
      </c>
      <c r="BW2978" t="str">
        <f>"20:30:23.914"</f>
        <v>20:30:23.914</v>
      </c>
      <c r="BZ2978">
        <v>0</v>
      </c>
      <c r="CA2978">
        <v>1600</v>
      </c>
      <c r="CB2978">
        <v>224</v>
      </c>
      <c r="CD2978">
        <v>1</v>
      </c>
      <c r="CE2978">
        <v>0</v>
      </c>
      <c r="CF2978">
        <v>0</v>
      </c>
      <c r="CG2978">
        <v>0</v>
      </c>
      <c r="CH2978">
        <v>0</v>
      </c>
      <c r="CI2978">
        <v>0</v>
      </c>
      <c r="CJ2978">
        <v>0</v>
      </c>
      <c r="CK2978">
        <v>2</v>
      </c>
      <c r="CL2978">
        <v>0</v>
      </c>
      <c r="CM2978">
        <v>2</v>
      </c>
      <c r="CN2978">
        <v>0</v>
      </c>
      <c r="CO2978">
        <v>1</v>
      </c>
      <c r="CP2978" t="s">
        <v>119</v>
      </c>
      <c r="CQ2978">
        <v>179</v>
      </c>
      <c r="CR2978">
        <v>1</v>
      </c>
      <c r="CW2978">
        <v>9136047</v>
      </c>
      <c r="CY2978">
        <v>0</v>
      </c>
      <c r="CZ2978">
        <v>0</v>
      </c>
      <c r="DA2978">
        <v>1</v>
      </c>
      <c r="DB2978">
        <v>0</v>
      </c>
      <c r="DC2978">
        <v>0</v>
      </c>
      <c r="DD2978">
        <v>0</v>
      </c>
      <c r="DE2978">
        <v>0</v>
      </c>
      <c r="DF2978">
        <v>0</v>
      </c>
      <c r="DG2978">
        <v>0</v>
      </c>
      <c r="DH2978">
        <v>0</v>
      </c>
      <c r="DI2978">
        <v>0</v>
      </c>
    </row>
    <row r="2979" spans="1:113" x14ac:dyDescent="0.3">
      <c r="A2979" t="str">
        <f>"02/08/2021 20:30:22.711"</f>
        <v>02/08/2021 20:30:22.711</v>
      </c>
      <c r="C2979" t="str">
        <f t="shared" si="141"/>
        <v>FFDFD7C0</v>
      </c>
      <c r="D2979" t="s">
        <v>113</v>
      </c>
      <c r="E2979">
        <v>6</v>
      </c>
      <c r="H2979">
        <v>165</v>
      </c>
      <c r="I2979" t="s">
        <v>114</v>
      </c>
      <c r="J2979" t="s">
        <v>115</v>
      </c>
      <c r="K2979">
        <v>0</v>
      </c>
      <c r="L2979">
        <v>3</v>
      </c>
      <c r="M2979">
        <v>0</v>
      </c>
      <c r="N2979">
        <v>2</v>
      </c>
      <c r="O2979">
        <v>1</v>
      </c>
      <c r="P2979">
        <v>0</v>
      </c>
      <c r="Q2979">
        <v>0</v>
      </c>
      <c r="S2979" t="str">
        <f>"20:30:25.047"</f>
        <v>20:30:25.047</v>
      </c>
      <c r="T2979" t="str">
        <f>"20:30:24.547"</f>
        <v>20:30:24.547</v>
      </c>
      <c r="U2979" t="str">
        <f t="shared" si="144"/>
        <v>AB01F4</v>
      </c>
      <c r="V2979">
        <v>0</v>
      </c>
      <c r="W2979">
        <v>0</v>
      </c>
      <c r="X2979">
        <v>2</v>
      </c>
      <c r="Z2979">
        <v>0</v>
      </c>
      <c r="AA2979">
        <v>9</v>
      </c>
      <c r="AB2979">
        <v>3</v>
      </c>
      <c r="AC2979">
        <v>0</v>
      </c>
      <c r="AD2979">
        <v>10</v>
      </c>
      <c r="AE2979">
        <v>0</v>
      </c>
      <c r="AF2979">
        <v>3</v>
      </c>
      <c r="AG2979">
        <v>2</v>
      </c>
      <c r="AH2979">
        <v>0</v>
      </c>
      <c r="AI2979" t="s">
        <v>1739</v>
      </c>
      <c r="AJ2979">
        <v>40.034543999999997</v>
      </c>
      <c r="AK2979" t="s">
        <v>1740</v>
      </c>
      <c r="AL2979">
        <v>-92.845523</v>
      </c>
      <c r="AM2979">
        <v>100</v>
      </c>
      <c r="AN2979">
        <v>1400</v>
      </c>
      <c r="AO2979" t="s">
        <v>118</v>
      </c>
      <c r="AP2979">
        <v>-133</v>
      </c>
      <c r="AQ2979">
        <v>38</v>
      </c>
      <c r="AR2979">
        <v>-128</v>
      </c>
      <c r="AZ2979">
        <v>1200</v>
      </c>
      <c r="BA2979">
        <v>1</v>
      </c>
      <c r="BB2979" t="str">
        <f t="shared" si="143"/>
        <v xml:space="preserve">N8080G  </v>
      </c>
      <c r="BC2979">
        <v>1</v>
      </c>
      <c r="BE2979">
        <v>0</v>
      </c>
      <c r="BF2979">
        <v>0</v>
      </c>
      <c r="BG2979">
        <v>0</v>
      </c>
      <c r="BH2979">
        <v>1450</v>
      </c>
      <c r="BI2979">
        <v>1</v>
      </c>
      <c r="BJ2979">
        <v>1</v>
      </c>
      <c r="BK2979">
        <v>1</v>
      </c>
      <c r="BL2979">
        <v>0</v>
      </c>
      <c r="BO2979">
        <v>0</v>
      </c>
      <c r="BP2979">
        <v>0</v>
      </c>
      <c r="BW2979" t="str">
        <f>"20:30:25.050"</f>
        <v>20:30:25.050</v>
      </c>
      <c r="BZ2979">
        <v>0</v>
      </c>
      <c r="CA2979">
        <v>1600</v>
      </c>
      <c r="CB2979">
        <v>224</v>
      </c>
      <c r="CD2979">
        <v>1</v>
      </c>
      <c r="CE2979">
        <v>0</v>
      </c>
      <c r="CF2979">
        <v>0</v>
      </c>
      <c r="CG2979">
        <v>0</v>
      </c>
      <c r="CH2979">
        <v>0</v>
      </c>
      <c r="CI2979">
        <v>0</v>
      </c>
      <c r="CJ2979">
        <v>0</v>
      </c>
      <c r="CK2979">
        <v>2</v>
      </c>
      <c r="CL2979">
        <v>0</v>
      </c>
      <c r="CM2979">
        <v>2</v>
      </c>
      <c r="CN2979">
        <v>0</v>
      </c>
      <c r="CO2979">
        <v>1</v>
      </c>
      <c r="CP2979" t="s">
        <v>119</v>
      </c>
      <c r="CQ2979">
        <v>179</v>
      </c>
      <c r="CR2979">
        <v>1</v>
      </c>
      <c r="CW2979">
        <v>9137078</v>
      </c>
      <c r="CY2979">
        <v>0</v>
      </c>
      <c r="CZ2979">
        <v>0</v>
      </c>
      <c r="DA2979">
        <v>0</v>
      </c>
      <c r="DB2979">
        <v>0</v>
      </c>
      <c r="DC2979">
        <v>0</v>
      </c>
      <c r="DD2979">
        <v>0</v>
      </c>
      <c r="DE2979">
        <v>0</v>
      </c>
      <c r="DF2979">
        <v>0</v>
      </c>
      <c r="DG2979">
        <v>0</v>
      </c>
      <c r="DH2979">
        <v>0</v>
      </c>
      <c r="DI2979">
        <v>0</v>
      </c>
    </row>
    <row r="2980" spans="1:113" x14ac:dyDescent="0.3">
      <c r="A2980" t="str">
        <f>"02/08/2021 20:30:22.711"</f>
        <v>02/08/2021 20:30:22.711</v>
      </c>
      <c r="C2980" t="str">
        <f t="shared" si="141"/>
        <v>FFDFD7C0</v>
      </c>
      <c r="D2980" t="s">
        <v>124</v>
      </c>
      <c r="E2980">
        <v>12</v>
      </c>
      <c r="F2980">
        <v>1012</v>
      </c>
      <c r="G2980" t="s">
        <v>675</v>
      </c>
      <c r="J2980" t="s">
        <v>125</v>
      </c>
      <c r="K2980">
        <v>0</v>
      </c>
      <c r="L2980">
        <v>3</v>
      </c>
      <c r="M2980">
        <v>0</v>
      </c>
      <c r="N2980">
        <v>2</v>
      </c>
      <c r="O2980">
        <v>1</v>
      </c>
      <c r="P2980">
        <v>0</v>
      </c>
      <c r="Q2980">
        <v>0</v>
      </c>
      <c r="S2980" t="str">
        <f>"20:30:25.047"</f>
        <v>20:30:25.047</v>
      </c>
      <c r="T2980" t="str">
        <f>"20:30:24.547"</f>
        <v>20:30:24.547</v>
      </c>
      <c r="U2980" t="str">
        <f t="shared" si="144"/>
        <v>AB01F4</v>
      </c>
      <c r="V2980">
        <v>0</v>
      </c>
      <c r="W2980">
        <v>0</v>
      </c>
      <c r="X2980">
        <v>2</v>
      </c>
      <c r="Z2980">
        <v>0</v>
      </c>
      <c r="AA2980">
        <v>9</v>
      </c>
      <c r="AB2980">
        <v>3</v>
      </c>
      <c r="AC2980">
        <v>0</v>
      </c>
      <c r="AD2980">
        <v>10</v>
      </c>
      <c r="AE2980">
        <v>0</v>
      </c>
      <c r="AF2980">
        <v>3</v>
      </c>
      <c r="AG2980">
        <v>2</v>
      </c>
      <c r="AH2980">
        <v>0</v>
      </c>
      <c r="AI2980" t="s">
        <v>1739</v>
      </c>
      <c r="AJ2980">
        <v>40.034543999999997</v>
      </c>
      <c r="AK2980" t="s">
        <v>1740</v>
      </c>
      <c r="AL2980">
        <v>-92.845523</v>
      </c>
      <c r="AM2980">
        <v>100</v>
      </c>
      <c r="AN2980">
        <v>1400</v>
      </c>
      <c r="AO2980" t="s">
        <v>118</v>
      </c>
      <c r="AP2980">
        <v>-133</v>
      </c>
      <c r="AQ2980">
        <v>38</v>
      </c>
      <c r="AR2980">
        <v>-128</v>
      </c>
      <c r="AZ2980">
        <v>1200</v>
      </c>
      <c r="BA2980">
        <v>1</v>
      </c>
      <c r="BB2980" t="str">
        <f t="shared" si="143"/>
        <v xml:space="preserve">N8080G  </v>
      </c>
      <c r="BC2980">
        <v>1</v>
      </c>
      <c r="BE2980">
        <v>0</v>
      </c>
      <c r="BF2980">
        <v>0</v>
      </c>
      <c r="BG2980">
        <v>0</v>
      </c>
      <c r="BH2980">
        <v>1450</v>
      </c>
      <c r="BI2980">
        <v>1</v>
      </c>
      <c r="BJ2980">
        <v>1</v>
      </c>
      <c r="BK2980">
        <v>1</v>
      </c>
      <c r="BL2980">
        <v>0</v>
      </c>
      <c r="BO2980">
        <v>0</v>
      </c>
      <c r="BP2980">
        <v>0</v>
      </c>
      <c r="BW2980" t="str">
        <f>"20:30:25.050"</f>
        <v>20:30:25.050</v>
      </c>
      <c r="BZ2980">
        <v>0</v>
      </c>
      <c r="CA2980">
        <v>1600</v>
      </c>
      <c r="CB2980">
        <v>224</v>
      </c>
      <c r="CD2980">
        <v>1</v>
      </c>
      <c r="CE2980">
        <v>0</v>
      </c>
      <c r="CF2980">
        <v>0</v>
      </c>
      <c r="CG2980">
        <v>0</v>
      </c>
      <c r="CH2980">
        <v>0</v>
      </c>
      <c r="CI2980">
        <v>0</v>
      </c>
      <c r="CJ2980">
        <v>0</v>
      </c>
      <c r="CK2980">
        <v>2</v>
      </c>
      <c r="CL2980">
        <v>0</v>
      </c>
      <c r="CM2980">
        <v>2</v>
      </c>
      <c r="CN2980">
        <v>0</v>
      </c>
      <c r="CO2980">
        <v>1</v>
      </c>
      <c r="CP2980" t="s">
        <v>119</v>
      </c>
      <c r="CQ2980">
        <v>179</v>
      </c>
      <c r="CR2980">
        <v>1</v>
      </c>
      <c r="CW2980">
        <v>9137078</v>
      </c>
      <c r="CY2980">
        <v>0</v>
      </c>
      <c r="CZ2980">
        <v>0</v>
      </c>
      <c r="DA2980">
        <v>1</v>
      </c>
      <c r="DB2980">
        <v>0</v>
      </c>
      <c r="DC2980">
        <v>0</v>
      </c>
      <c r="DD2980">
        <v>0</v>
      </c>
      <c r="DE2980">
        <v>0</v>
      </c>
      <c r="DF2980">
        <v>0</v>
      </c>
      <c r="DG2980">
        <v>0</v>
      </c>
      <c r="DH2980">
        <v>0</v>
      </c>
      <c r="DI2980">
        <v>0</v>
      </c>
    </row>
    <row r="2981" spans="1:113" x14ac:dyDescent="0.3">
      <c r="A2981" t="str">
        <f>"02/08/2021 20:30:22.711"</f>
        <v>02/08/2021 20:30:22.711</v>
      </c>
      <c r="C2981" t="str">
        <f t="shared" si="141"/>
        <v>FFDFD7C0</v>
      </c>
      <c r="D2981" t="s">
        <v>124</v>
      </c>
      <c r="E2981">
        <v>13</v>
      </c>
      <c r="F2981">
        <v>1013</v>
      </c>
      <c r="G2981" t="s">
        <v>114</v>
      </c>
      <c r="J2981" t="s">
        <v>125</v>
      </c>
      <c r="K2981">
        <v>0</v>
      </c>
      <c r="L2981">
        <v>3</v>
      </c>
      <c r="M2981">
        <v>0</v>
      </c>
      <c r="N2981">
        <v>2</v>
      </c>
      <c r="O2981">
        <v>1</v>
      </c>
      <c r="P2981">
        <v>0</v>
      </c>
      <c r="Q2981">
        <v>0</v>
      </c>
      <c r="S2981" t="str">
        <f>"20:30:25.047"</f>
        <v>20:30:25.047</v>
      </c>
      <c r="T2981" t="str">
        <f>"20:30:24.547"</f>
        <v>20:30:24.547</v>
      </c>
      <c r="U2981" t="str">
        <f t="shared" si="144"/>
        <v>AB01F4</v>
      </c>
      <c r="V2981">
        <v>0</v>
      </c>
      <c r="W2981">
        <v>0</v>
      </c>
      <c r="X2981">
        <v>2</v>
      </c>
      <c r="Z2981">
        <v>0</v>
      </c>
      <c r="AA2981">
        <v>9</v>
      </c>
      <c r="AB2981">
        <v>3</v>
      </c>
      <c r="AC2981">
        <v>0</v>
      </c>
      <c r="AD2981">
        <v>10</v>
      </c>
      <c r="AE2981">
        <v>0</v>
      </c>
      <c r="AF2981">
        <v>3</v>
      </c>
      <c r="AG2981">
        <v>2</v>
      </c>
      <c r="AH2981">
        <v>0</v>
      </c>
      <c r="AI2981" t="s">
        <v>1739</v>
      </c>
      <c r="AJ2981">
        <v>40.034543999999997</v>
      </c>
      <c r="AK2981" t="s">
        <v>1740</v>
      </c>
      <c r="AL2981">
        <v>-92.845523</v>
      </c>
      <c r="AM2981">
        <v>100</v>
      </c>
      <c r="AN2981">
        <v>1400</v>
      </c>
      <c r="AO2981" t="s">
        <v>118</v>
      </c>
      <c r="AP2981">
        <v>-133</v>
      </c>
      <c r="AQ2981">
        <v>38</v>
      </c>
      <c r="AR2981">
        <v>-128</v>
      </c>
      <c r="AZ2981">
        <v>1200</v>
      </c>
      <c r="BA2981">
        <v>1</v>
      </c>
      <c r="BB2981" t="str">
        <f t="shared" si="143"/>
        <v xml:space="preserve">N8080G  </v>
      </c>
      <c r="BC2981">
        <v>1</v>
      </c>
      <c r="BE2981">
        <v>0</v>
      </c>
      <c r="BF2981">
        <v>0</v>
      </c>
      <c r="BG2981">
        <v>0</v>
      </c>
      <c r="BH2981">
        <v>1450</v>
      </c>
      <c r="BI2981">
        <v>1</v>
      </c>
      <c r="BJ2981">
        <v>1</v>
      </c>
      <c r="BK2981">
        <v>1</v>
      </c>
      <c r="BL2981">
        <v>0</v>
      </c>
      <c r="BO2981">
        <v>0</v>
      </c>
      <c r="BP2981">
        <v>0</v>
      </c>
      <c r="BW2981" t="str">
        <f>"20:30:25.050"</f>
        <v>20:30:25.050</v>
      </c>
      <c r="BZ2981">
        <v>0</v>
      </c>
      <c r="CA2981">
        <v>1600</v>
      </c>
      <c r="CB2981">
        <v>224</v>
      </c>
      <c r="CD2981">
        <v>1</v>
      </c>
      <c r="CE2981">
        <v>0</v>
      </c>
      <c r="CF2981">
        <v>0</v>
      </c>
      <c r="CG2981">
        <v>0</v>
      </c>
      <c r="CH2981">
        <v>0</v>
      </c>
      <c r="CI2981">
        <v>0</v>
      </c>
      <c r="CJ2981">
        <v>0</v>
      </c>
      <c r="CK2981">
        <v>2</v>
      </c>
      <c r="CL2981">
        <v>0</v>
      </c>
      <c r="CM2981">
        <v>2</v>
      </c>
      <c r="CN2981">
        <v>0</v>
      </c>
      <c r="CO2981">
        <v>1</v>
      </c>
      <c r="CP2981" t="s">
        <v>119</v>
      </c>
      <c r="CQ2981">
        <v>179</v>
      </c>
      <c r="CR2981">
        <v>1</v>
      </c>
      <c r="CW2981">
        <v>9137078</v>
      </c>
      <c r="CY2981">
        <v>0</v>
      </c>
      <c r="CZ2981">
        <v>0</v>
      </c>
      <c r="DA2981">
        <v>1</v>
      </c>
      <c r="DB2981">
        <v>0</v>
      </c>
      <c r="DC2981">
        <v>0</v>
      </c>
      <c r="DD2981">
        <v>0</v>
      </c>
      <c r="DE2981">
        <v>0</v>
      </c>
      <c r="DF2981">
        <v>0</v>
      </c>
      <c r="DG2981">
        <v>0</v>
      </c>
      <c r="DH2981">
        <v>0</v>
      </c>
      <c r="DI2981">
        <v>0</v>
      </c>
    </row>
    <row r="2982" spans="1:113" x14ac:dyDescent="0.3">
      <c r="A2982" t="str">
        <f>"02/08/2021 20:30:22.711"</f>
        <v>02/08/2021 20:30:22.711</v>
      </c>
      <c r="C2982" t="str">
        <f t="shared" si="141"/>
        <v>FFDFD7C0</v>
      </c>
      <c r="D2982" t="s">
        <v>124</v>
      </c>
      <c r="E2982">
        <v>11</v>
      </c>
      <c r="F2982">
        <v>1011</v>
      </c>
      <c r="G2982" t="s">
        <v>590</v>
      </c>
      <c r="J2982" t="s">
        <v>125</v>
      </c>
      <c r="K2982">
        <v>0</v>
      </c>
      <c r="L2982">
        <v>3</v>
      </c>
      <c r="M2982">
        <v>0</v>
      </c>
      <c r="N2982">
        <v>2</v>
      </c>
      <c r="O2982">
        <v>1</v>
      </c>
      <c r="P2982">
        <v>0</v>
      </c>
      <c r="Q2982">
        <v>0</v>
      </c>
      <c r="S2982" t="str">
        <f>"20:30:25.047"</f>
        <v>20:30:25.047</v>
      </c>
      <c r="T2982" t="str">
        <f>"20:30:24.547"</f>
        <v>20:30:24.547</v>
      </c>
      <c r="U2982" t="str">
        <f t="shared" si="144"/>
        <v>AB01F4</v>
      </c>
      <c r="V2982">
        <v>0</v>
      </c>
      <c r="W2982">
        <v>0</v>
      </c>
      <c r="X2982">
        <v>2</v>
      </c>
      <c r="Z2982">
        <v>0</v>
      </c>
      <c r="AA2982">
        <v>9</v>
      </c>
      <c r="AB2982">
        <v>3</v>
      </c>
      <c r="AC2982">
        <v>0</v>
      </c>
      <c r="AD2982">
        <v>10</v>
      </c>
      <c r="AE2982">
        <v>0</v>
      </c>
      <c r="AF2982">
        <v>3</v>
      </c>
      <c r="AG2982">
        <v>2</v>
      </c>
      <c r="AH2982">
        <v>0</v>
      </c>
      <c r="AI2982" t="s">
        <v>1739</v>
      </c>
      <c r="AJ2982">
        <v>40.034543999999997</v>
      </c>
      <c r="AK2982" t="s">
        <v>1740</v>
      </c>
      <c r="AL2982">
        <v>-92.845523</v>
      </c>
      <c r="AM2982">
        <v>100</v>
      </c>
      <c r="AN2982">
        <v>1400</v>
      </c>
      <c r="AO2982" t="s">
        <v>118</v>
      </c>
      <c r="AP2982">
        <v>-133</v>
      </c>
      <c r="AQ2982">
        <v>38</v>
      </c>
      <c r="AR2982">
        <v>-128</v>
      </c>
      <c r="AZ2982">
        <v>1200</v>
      </c>
      <c r="BA2982">
        <v>1</v>
      </c>
      <c r="BB2982" t="str">
        <f t="shared" si="143"/>
        <v xml:space="preserve">N8080G  </v>
      </c>
      <c r="BC2982">
        <v>1</v>
      </c>
      <c r="BE2982">
        <v>0</v>
      </c>
      <c r="BF2982">
        <v>0</v>
      </c>
      <c r="BG2982">
        <v>0</v>
      </c>
      <c r="BH2982">
        <v>1450</v>
      </c>
      <c r="BI2982">
        <v>1</v>
      </c>
      <c r="BJ2982">
        <v>1</v>
      </c>
      <c r="BK2982">
        <v>1</v>
      </c>
      <c r="BL2982">
        <v>0</v>
      </c>
      <c r="BO2982">
        <v>0</v>
      </c>
      <c r="BP2982">
        <v>0</v>
      </c>
      <c r="BW2982" t="str">
        <f>"20:30:25.050"</f>
        <v>20:30:25.050</v>
      </c>
      <c r="BZ2982">
        <v>0</v>
      </c>
      <c r="CA2982">
        <v>1600</v>
      </c>
      <c r="CB2982">
        <v>224</v>
      </c>
      <c r="CD2982">
        <v>1</v>
      </c>
      <c r="CE2982">
        <v>0</v>
      </c>
      <c r="CF2982">
        <v>0</v>
      </c>
      <c r="CG2982">
        <v>0</v>
      </c>
      <c r="CH2982">
        <v>0</v>
      </c>
      <c r="CI2982">
        <v>0</v>
      </c>
      <c r="CJ2982">
        <v>0</v>
      </c>
      <c r="CK2982">
        <v>2</v>
      </c>
      <c r="CL2982">
        <v>0</v>
      </c>
      <c r="CM2982">
        <v>2</v>
      </c>
      <c r="CN2982">
        <v>0</v>
      </c>
      <c r="CO2982">
        <v>1</v>
      </c>
      <c r="CP2982" t="s">
        <v>119</v>
      </c>
      <c r="CQ2982">
        <v>179</v>
      </c>
      <c r="CR2982">
        <v>1</v>
      </c>
      <c r="CW2982">
        <v>9137078</v>
      </c>
      <c r="CY2982">
        <v>0</v>
      </c>
      <c r="CZ2982">
        <v>0</v>
      </c>
      <c r="DA2982">
        <v>1</v>
      </c>
      <c r="DB2982">
        <v>0</v>
      </c>
      <c r="DC2982">
        <v>0</v>
      </c>
      <c r="DD2982">
        <v>0</v>
      </c>
      <c r="DE2982">
        <v>0</v>
      </c>
      <c r="DF2982">
        <v>0</v>
      </c>
      <c r="DG2982">
        <v>0</v>
      </c>
      <c r="DH2982">
        <v>0</v>
      </c>
      <c r="DI2982">
        <v>0</v>
      </c>
    </row>
    <row r="2983" spans="1:113" x14ac:dyDescent="0.3">
      <c r="A2983" t="str">
        <f>"02/08/2021 20:30:24.605"</f>
        <v>02/08/2021 20:30:24.605</v>
      </c>
      <c r="C2983" t="str">
        <f t="shared" si="141"/>
        <v>FFDFD7C0</v>
      </c>
      <c r="D2983" t="s">
        <v>124</v>
      </c>
      <c r="E2983">
        <v>13</v>
      </c>
      <c r="F2983">
        <v>1013</v>
      </c>
      <c r="G2983" t="s">
        <v>114</v>
      </c>
      <c r="J2983" t="s">
        <v>125</v>
      </c>
      <c r="K2983">
        <v>0</v>
      </c>
      <c r="L2983">
        <v>3</v>
      </c>
      <c r="M2983">
        <v>0</v>
      </c>
      <c r="N2983">
        <v>2</v>
      </c>
      <c r="O2983">
        <v>1</v>
      </c>
      <c r="P2983">
        <v>0</v>
      </c>
      <c r="Q2983">
        <v>0</v>
      </c>
      <c r="S2983" t="str">
        <f>"20:30:26.914"</f>
        <v>20:30:26.914</v>
      </c>
      <c r="T2983" t="str">
        <f>"20:30:26.514"</f>
        <v>20:30:26.514</v>
      </c>
      <c r="U2983" t="str">
        <f t="shared" si="144"/>
        <v>AB01F4</v>
      </c>
      <c r="V2983">
        <v>0</v>
      </c>
      <c r="W2983">
        <v>0</v>
      </c>
      <c r="X2983">
        <v>2</v>
      </c>
      <c r="Z2983">
        <v>0</v>
      </c>
      <c r="AA2983">
        <v>9</v>
      </c>
      <c r="AB2983">
        <v>3</v>
      </c>
      <c r="AC2983">
        <v>0</v>
      </c>
      <c r="AD2983">
        <v>10</v>
      </c>
      <c r="AE2983">
        <v>0</v>
      </c>
      <c r="AF2983">
        <v>3</v>
      </c>
      <c r="AG2983">
        <v>2</v>
      </c>
      <c r="AH2983">
        <v>0</v>
      </c>
      <c r="AI2983" t="s">
        <v>1741</v>
      </c>
      <c r="AJ2983">
        <v>40.034823000000003</v>
      </c>
      <c r="AK2983" t="s">
        <v>1742</v>
      </c>
      <c r="AL2983">
        <v>-92.846960999999993</v>
      </c>
      <c r="AM2983">
        <v>100</v>
      </c>
      <c r="AN2983">
        <v>1400</v>
      </c>
      <c r="AO2983" t="s">
        <v>118</v>
      </c>
      <c r="AP2983">
        <v>-133</v>
      </c>
      <c r="AQ2983">
        <v>38</v>
      </c>
      <c r="AR2983">
        <v>-320</v>
      </c>
      <c r="AZ2983">
        <v>1200</v>
      </c>
      <c r="BA2983">
        <v>1</v>
      </c>
      <c r="BB2983" t="str">
        <f t="shared" si="143"/>
        <v xml:space="preserve">N8080G  </v>
      </c>
      <c r="BC2983">
        <v>1</v>
      </c>
      <c r="BE2983">
        <v>0</v>
      </c>
      <c r="BF2983">
        <v>0</v>
      </c>
      <c r="BG2983">
        <v>0</v>
      </c>
      <c r="BH2983">
        <v>1425</v>
      </c>
      <c r="BI2983">
        <v>1</v>
      </c>
      <c r="BJ2983">
        <v>1</v>
      </c>
      <c r="BK2983">
        <v>1</v>
      </c>
      <c r="BL2983">
        <v>0</v>
      </c>
      <c r="BO2983">
        <v>0</v>
      </c>
      <c r="BP2983">
        <v>0</v>
      </c>
      <c r="BW2983" t="str">
        <f>"20:30:26.914"</f>
        <v>20:30:26.914</v>
      </c>
      <c r="BZ2983">
        <v>0</v>
      </c>
      <c r="CA2983">
        <v>1600</v>
      </c>
      <c r="CB2983">
        <v>224</v>
      </c>
      <c r="CD2983">
        <v>1</v>
      </c>
      <c r="CE2983">
        <v>0</v>
      </c>
      <c r="CF2983">
        <v>0</v>
      </c>
      <c r="CG2983">
        <v>0</v>
      </c>
      <c r="CH2983">
        <v>0</v>
      </c>
      <c r="CI2983">
        <v>0</v>
      </c>
      <c r="CJ2983">
        <v>0</v>
      </c>
      <c r="CK2983">
        <v>2</v>
      </c>
      <c r="CL2983">
        <v>0</v>
      </c>
      <c r="CM2983">
        <v>2</v>
      </c>
      <c r="CN2983">
        <v>0</v>
      </c>
      <c r="CO2983">
        <v>7</v>
      </c>
      <c r="CP2983" t="s">
        <v>119</v>
      </c>
      <c r="CQ2983">
        <v>180</v>
      </c>
      <c r="CR2983">
        <v>3</v>
      </c>
      <c r="CW2983">
        <v>1028567</v>
      </c>
      <c r="CY2983">
        <v>0</v>
      </c>
      <c r="CZ2983">
        <v>0</v>
      </c>
      <c r="DA2983">
        <v>0</v>
      </c>
      <c r="DB2983">
        <v>0</v>
      </c>
      <c r="DC2983">
        <v>0</v>
      </c>
      <c r="DD2983">
        <v>0</v>
      </c>
      <c r="DE2983">
        <v>0</v>
      </c>
      <c r="DF2983">
        <v>0</v>
      </c>
      <c r="DG2983">
        <v>0</v>
      </c>
      <c r="DH2983">
        <v>0</v>
      </c>
      <c r="DI2983">
        <v>0</v>
      </c>
    </row>
    <row r="2984" spans="1:113" x14ac:dyDescent="0.3">
      <c r="A2984" t="str">
        <f>"02/08/2021 20:30:24.605"</f>
        <v>02/08/2021 20:30:24.605</v>
      </c>
      <c r="C2984" t="str">
        <f t="shared" si="141"/>
        <v>FFDFD7C0</v>
      </c>
      <c r="D2984" t="s">
        <v>124</v>
      </c>
      <c r="E2984">
        <v>11</v>
      </c>
      <c r="F2984">
        <v>1011</v>
      </c>
      <c r="G2984" t="s">
        <v>590</v>
      </c>
      <c r="J2984" t="s">
        <v>125</v>
      </c>
      <c r="K2984">
        <v>0</v>
      </c>
      <c r="L2984">
        <v>3</v>
      </c>
      <c r="M2984">
        <v>0</v>
      </c>
      <c r="N2984">
        <v>2</v>
      </c>
      <c r="O2984">
        <v>1</v>
      </c>
      <c r="P2984">
        <v>0</v>
      </c>
      <c r="Q2984">
        <v>0</v>
      </c>
      <c r="S2984" t="str">
        <f>"20:30:26.914"</f>
        <v>20:30:26.914</v>
      </c>
      <c r="T2984" t="str">
        <f>"20:30:26.514"</f>
        <v>20:30:26.514</v>
      </c>
      <c r="U2984" t="str">
        <f t="shared" si="144"/>
        <v>AB01F4</v>
      </c>
      <c r="V2984">
        <v>0</v>
      </c>
      <c r="W2984">
        <v>0</v>
      </c>
      <c r="X2984">
        <v>2</v>
      </c>
      <c r="Z2984">
        <v>0</v>
      </c>
      <c r="AA2984">
        <v>9</v>
      </c>
      <c r="AB2984">
        <v>3</v>
      </c>
      <c r="AC2984">
        <v>0</v>
      </c>
      <c r="AD2984">
        <v>10</v>
      </c>
      <c r="AE2984">
        <v>0</v>
      </c>
      <c r="AF2984">
        <v>3</v>
      </c>
      <c r="AG2984">
        <v>2</v>
      </c>
      <c r="AH2984">
        <v>0</v>
      </c>
      <c r="AI2984" t="s">
        <v>1741</v>
      </c>
      <c r="AJ2984">
        <v>40.034823000000003</v>
      </c>
      <c r="AK2984" t="s">
        <v>1742</v>
      </c>
      <c r="AL2984">
        <v>-92.846960999999993</v>
      </c>
      <c r="AM2984">
        <v>100</v>
      </c>
      <c r="AN2984">
        <v>1400</v>
      </c>
      <c r="AO2984" t="s">
        <v>118</v>
      </c>
      <c r="AP2984">
        <v>-133</v>
      </c>
      <c r="AQ2984">
        <v>38</v>
      </c>
      <c r="AR2984">
        <v>-320</v>
      </c>
      <c r="AZ2984">
        <v>1200</v>
      </c>
      <c r="BA2984">
        <v>1</v>
      </c>
      <c r="BB2984" t="str">
        <f t="shared" si="143"/>
        <v xml:space="preserve">N8080G  </v>
      </c>
      <c r="BC2984">
        <v>1</v>
      </c>
      <c r="BE2984">
        <v>0</v>
      </c>
      <c r="BF2984">
        <v>0</v>
      </c>
      <c r="BG2984">
        <v>0</v>
      </c>
      <c r="BH2984">
        <v>1425</v>
      </c>
      <c r="BI2984">
        <v>1</v>
      </c>
      <c r="BJ2984">
        <v>1</v>
      </c>
      <c r="BK2984">
        <v>1</v>
      </c>
      <c r="BL2984">
        <v>0</v>
      </c>
      <c r="BO2984">
        <v>0</v>
      </c>
      <c r="BP2984">
        <v>0</v>
      </c>
      <c r="BW2984" t="str">
        <f>"20:30:26.914"</f>
        <v>20:30:26.914</v>
      </c>
      <c r="BZ2984">
        <v>0</v>
      </c>
      <c r="CA2984">
        <v>1600</v>
      </c>
      <c r="CB2984">
        <v>224</v>
      </c>
      <c r="CD2984">
        <v>1</v>
      </c>
      <c r="CE2984">
        <v>0</v>
      </c>
      <c r="CF2984">
        <v>0</v>
      </c>
      <c r="CG2984">
        <v>0</v>
      </c>
      <c r="CH2984">
        <v>0</v>
      </c>
      <c r="CI2984">
        <v>0</v>
      </c>
      <c r="CJ2984">
        <v>0</v>
      </c>
      <c r="CK2984">
        <v>2</v>
      </c>
      <c r="CL2984">
        <v>0</v>
      </c>
      <c r="CM2984">
        <v>2</v>
      </c>
      <c r="CN2984">
        <v>0</v>
      </c>
      <c r="CO2984">
        <v>7</v>
      </c>
      <c r="CP2984" t="s">
        <v>119</v>
      </c>
      <c r="CQ2984">
        <v>180</v>
      </c>
      <c r="CR2984">
        <v>3</v>
      </c>
      <c r="CW2984">
        <v>1028567</v>
      </c>
      <c r="CY2984">
        <v>0</v>
      </c>
      <c r="CZ2984">
        <v>0</v>
      </c>
      <c r="DA2984">
        <v>1</v>
      </c>
      <c r="DB2984">
        <v>0</v>
      </c>
      <c r="DC2984">
        <v>0</v>
      </c>
      <c r="DD2984">
        <v>0</v>
      </c>
      <c r="DE2984">
        <v>0</v>
      </c>
      <c r="DF2984">
        <v>0</v>
      </c>
      <c r="DG2984">
        <v>0</v>
      </c>
      <c r="DH2984">
        <v>0</v>
      </c>
      <c r="DI2984">
        <v>0</v>
      </c>
    </row>
    <row r="2985" spans="1:113" x14ac:dyDescent="0.3">
      <c r="A2985" t="str">
        <f>"02/08/2021 20:30:24.605"</f>
        <v>02/08/2021 20:30:24.605</v>
      </c>
      <c r="C2985" t="str">
        <f t="shared" si="141"/>
        <v>FFDFD7C0</v>
      </c>
      <c r="D2985" t="s">
        <v>124</v>
      </c>
      <c r="E2985">
        <v>12</v>
      </c>
      <c r="F2985">
        <v>1012</v>
      </c>
      <c r="G2985" t="s">
        <v>675</v>
      </c>
      <c r="J2985" t="s">
        <v>125</v>
      </c>
      <c r="K2985">
        <v>0</v>
      </c>
      <c r="L2985">
        <v>3</v>
      </c>
      <c r="M2985">
        <v>0</v>
      </c>
      <c r="N2985">
        <v>2</v>
      </c>
      <c r="O2985">
        <v>1</v>
      </c>
      <c r="P2985">
        <v>0</v>
      </c>
      <c r="Q2985">
        <v>0</v>
      </c>
      <c r="S2985" t="str">
        <f>"20:30:26.914"</f>
        <v>20:30:26.914</v>
      </c>
      <c r="T2985" t="str">
        <f>"20:30:26.514"</f>
        <v>20:30:26.514</v>
      </c>
      <c r="U2985" t="str">
        <f t="shared" si="144"/>
        <v>AB01F4</v>
      </c>
      <c r="V2985">
        <v>0</v>
      </c>
      <c r="W2985">
        <v>0</v>
      </c>
      <c r="X2985">
        <v>2</v>
      </c>
      <c r="Z2985">
        <v>0</v>
      </c>
      <c r="AA2985">
        <v>9</v>
      </c>
      <c r="AB2985">
        <v>3</v>
      </c>
      <c r="AC2985">
        <v>0</v>
      </c>
      <c r="AD2985">
        <v>10</v>
      </c>
      <c r="AE2985">
        <v>0</v>
      </c>
      <c r="AF2985">
        <v>3</v>
      </c>
      <c r="AG2985">
        <v>2</v>
      </c>
      <c r="AH2985">
        <v>0</v>
      </c>
      <c r="AI2985" t="s">
        <v>1741</v>
      </c>
      <c r="AJ2985">
        <v>40.034823000000003</v>
      </c>
      <c r="AK2985" t="s">
        <v>1742</v>
      </c>
      <c r="AL2985">
        <v>-92.846960999999993</v>
      </c>
      <c r="AM2985">
        <v>100</v>
      </c>
      <c r="AN2985">
        <v>1400</v>
      </c>
      <c r="AO2985" t="s">
        <v>118</v>
      </c>
      <c r="AP2985">
        <v>-133</v>
      </c>
      <c r="AQ2985">
        <v>38</v>
      </c>
      <c r="AR2985">
        <v>-320</v>
      </c>
      <c r="AZ2985">
        <v>1200</v>
      </c>
      <c r="BA2985">
        <v>1</v>
      </c>
      <c r="BB2985" t="str">
        <f t="shared" si="143"/>
        <v xml:space="preserve">N8080G  </v>
      </c>
      <c r="BC2985">
        <v>1</v>
      </c>
      <c r="BE2985">
        <v>0</v>
      </c>
      <c r="BF2985">
        <v>0</v>
      </c>
      <c r="BG2985">
        <v>0</v>
      </c>
      <c r="BH2985">
        <v>1425</v>
      </c>
      <c r="BI2985">
        <v>1</v>
      </c>
      <c r="BJ2985">
        <v>1</v>
      </c>
      <c r="BK2985">
        <v>1</v>
      </c>
      <c r="BL2985">
        <v>0</v>
      </c>
      <c r="BO2985">
        <v>0</v>
      </c>
      <c r="BP2985">
        <v>0</v>
      </c>
      <c r="BW2985" t="str">
        <f>"20:30:26.914"</f>
        <v>20:30:26.914</v>
      </c>
      <c r="BZ2985">
        <v>0</v>
      </c>
      <c r="CA2985">
        <v>1600</v>
      </c>
      <c r="CB2985">
        <v>224</v>
      </c>
      <c r="CD2985">
        <v>1</v>
      </c>
      <c r="CE2985">
        <v>0</v>
      </c>
      <c r="CF2985">
        <v>0</v>
      </c>
      <c r="CG2985">
        <v>0</v>
      </c>
      <c r="CH2985">
        <v>0</v>
      </c>
      <c r="CI2985">
        <v>0</v>
      </c>
      <c r="CJ2985">
        <v>0</v>
      </c>
      <c r="CK2985">
        <v>2</v>
      </c>
      <c r="CL2985">
        <v>0</v>
      </c>
      <c r="CM2985">
        <v>2</v>
      </c>
      <c r="CN2985">
        <v>0</v>
      </c>
      <c r="CO2985">
        <v>7</v>
      </c>
      <c r="CP2985" t="s">
        <v>119</v>
      </c>
      <c r="CQ2985">
        <v>180</v>
      </c>
      <c r="CR2985">
        <v>3</v>
      </c>
      <c r="CW2985">
        <v>1028567</v>
      </c>
      <c r="CY2985">
        <v>0</v>
      </c>
      <c r="CZ2985">
        <v>0</v>
      </c>
      <c r="DA2985">
        <v>1</v>
      </c>
      <c r="DB2985">
        <v>0</v>
      </c>
      <c r="DC2985">
        <v>0</v>
      </c>
      <c r="DD2985">
        <v>0</v>
      </c>
      <c r="DE2985">
        <v>0</v>
      </c>
      <c r="DF2985">
        <v>0</v>
      </c>
      <c r="DG2985">
        <v>0</v>
      </c>
      <c r="DH2985">
        <v>0</v>
      </c>
      <c r="DI2985">
        <v>0</v>
      </c>
    </row>
    <row r="2986" spans="1:113" x14ac:dyDescent="0.3">
      <c r="A2986" t="str">
        <f>"02/08/2021 20:30:24.605"</f>
        <v>02/08/2021 20:30:24.605</v>
      </c>
      <c r="C2986" t="str">
        <f t="shared" si="141"/>
        <v>FFDFD7C0</v>
      </c>
      <c r="D2986" t="s">
        <v>113</v>
      </c>
      <c r="E2986">
        <v>6</v>
      </c>
      <c r="H2986">
        <v>165</v>
      </c>
      <c r="I2986" t="s">
        <v>114</v>
      </c>
      <c r="J2986" t="s">
        <v>115</v>
      </c>
      <c r="K2986">
        <v>0</v>
      </c>
      <c r="L2986">
        <v>3</v>
      </c>
      <c r="M2986">
        <v>0</v>
      </c>
      <c r="N2986">
        <v>2</v>
      </c>
      <c r="O2986">
        <v>1</v>
      </c>
      <c r="P2986">
        <v>0</v>
      </c>
      <c r="Q2986">
        <v>0</v>
      </c>
      <c r="S2986" t="str">
        <f>"20:30:26.914"</f>
        <v>20:30:26.914</v>
      </c>
      <c r="T2986" t="str">
        <f>"20:30:26.514"</f>
        <v>20:30:26.514</v>
      </c>
      <c r="U2986" t="str">
        <f t="shared" si="144"/>
        <v>AB01F4</v>
      </c>
      <c r="V2986">
        <v>0</v>
      </c>
      <c r="W2986">
        <v>0</v>
      </c>
      <c r="X2986">
        <v>2</v>
      </c>
      <c r="Z2986">
        <v>0</v>
      </c>
      <c r="AA2986">
        <v>9</v>
      </c>
      <c r="AB2986">
        <v>3</v>
      </c>
      <c r="AC2986">
        <v>0</v>
      </c>
      <c r="AD2986">
        <v>10</v>
      </c>
      <c r="AE2986">
        <v>0</v>
      </c>
      <c r="AF2986">
        <v>3</v>
      </c>
      <c r="AG2986">
        <v>2</v>
      </c>
      <c r="AH2986">
        <v>0</v>
      </c>
      <c r="AI2986" t="s">
        <v>1741</v>
      </c>
      <c r="AJ2986">
        <v>40.034823000000003</v>
      </c>
      <c r="AK2986" t="s">
        <v>1742</v>
      </c>
      <c r="AL2986">
        <v>-92.846960999999993</v>
      </c>
      <c r="AM2986">
        <v>100</v>
      </c>
      <c r="AN2986">
        <v>1400</v>
      </c>
      <c r="AO2986" t="s">
        <v>118</v>
      </c>
      <c r="AP2986">
        <v>-133</v>
      </c>
      <c r="AQ2986">
        <v>38</v>
      </c>
      <c r="AR2986">
        <v>-320</v>
      </c>
      <c r="AZ2986">
        <v>1200</v>
      </c>
      <c r="BA2986">
        <v>1</v>
      </c>
      <c r="BB2986" t="str">
        <f t="shared" si="143"/>
        <v xml:space="preserve">N8080G  </v>
      </c>
      <c r="BC2986">
        <v>1</v>
      </c>
      <c r="BE2986">
        <v>0</v>
      </c>
      <c r="BF2986">
        <v>0</v>
      </c>
      <c r="BG2986">
        <v>0</v>
      </c>
      <c r="BH2986">
        <v>1425</v>
      </c>
      <c r="BI2986">
        <v>1</v>
      </c>
      <c r="BJ2986">
        <v>1</v>
      </c>
      <c r="BK2986">
        <v>1</v>
      </c>
      <c r="BL2986">
        <v>0</v>
      </c>
      <c r="BO2986">
        <v>0</v>
      </c>
      <c r="BP2986">
        <v>0</v>
      </c>
      <c r="BW2986" t="str">
        <f>"20:30:26.914"</f>
        <v>20:30:26.914</v>
      </c>
      <c r="BZ2986">
        <v>0</v>
      </c>
      <c r="CA2986">
        <v>1600</v>
      </c>
      <c r="CB2986">
        <v>224</v>
      </c>
      <c r="CD2986">
        <v>1</v>
      </c>
      <c r="CE2986">
        <v>0</v>
      </c>
      <c r="CF2986">
        <v>0</v>
      </c>
      <c r="CG2986">
        <v>0</v>
      </c>
      <c r="CH2986">
        <v>0</v>
      </c>
      <c r="CI2986">
        <v>0</v>
      </c>
      <c r="CJ2986">
        <v>0</v>
      </c>
      <c r="CK2986">
        <v>2</v>
      </c>
      <c r="CL2986">
        <v>0</v>
      </c>
      <c r="CM2986">
        <v>2</v>
      </c>
      <c r="CN2986">
        <v>0</v>
      </c>
      <c r="CO2986">
        <v>7</v>
      </c>
      <c r="CP2986" t="s">
        <v>119</v>
      </c>
      <c r="CQ2986">
        <v>180</v>
      </c>
      <c r="CR2986">
        <v>3</v>
      </c>
      <c r="CW2986">
        <v>1028567</v>
      </c>
      <c r="CY2986">
        <v>0</v>
      </c>
      <c r="CZ2986">
        <v>0</v>
      </c>
      <c r="DA2986">
        <v>1</v>
      </c>
      <c r="DB2986">
        <v>0</v>
      </c>
      <c r="DC2986">
        <v>0</v>
      </c>
      <c r="DD2986">
        <v>0</v>
      </c>
      <c r="DE2986">
        <v>0</v>
      </c>
      <c r="DF2986">
        <v>0</v>
      </c>
      <c r="DG2986">
        <v>0</v>
      </c>
      <c r="DH2986">
        <v>0</v>
      </c>
      <c r="DI2986">
        <v>0</v>
      </c>
    </row>
    <row r="2987" spans="1:113" x14ac:dyDescent="0.3">
      <c r="A2987" t="str">
        <f>"02/08/2021 20:30:25.491"</f>
        <v>02/08/2021 20:30:25.491</v>
      </c>
      <c r="C2987" t="str">
        <f t="shared" si="141"/>
        <v>FFDFD7C0</v>
      </c>
      <c r="D2987" t="s">
        <v>113</v>
      </c>
      <c r="E2987">
        <v>6</v>
      </c>
      <c r="H2987">
        <v>165</v>
      </c>
      <c r="I2987" t="s">
        <v>114</v>
      </c>
      <c r="J2987" t="s">
        <v>115</v>
      </c>
      <c r="K2987">
        <v>0</v>
      </c>
      <c r="L2987">
        <v>3</v>
      </c>
      <c r="M2987">
        <v>0</v>
      </c>
      <c r="N2987">
        <v>2</v>
      </c>
      <c r="O2987">
        <v>1</v>
      </c>
      <c r="P2987">
        <v>0</v>
      </c>
      <c r="Q2987">
        <v>0</v>
      </c>
      <c r="S2987" t="str">
        <f>"20:30:27.789"</f>
        <v>20:30:27.789</v>
      </c>
      <c r="T2987" t="str">
        <f>"20:30:27.389"</f>
        <v>20:30:27.389</v>
      </c>
      <c r="U2987" t="str">
        <f t="shared" si="144"/>
        <v>AB01F4</v>
      </c>
      <c r="V2987">
        <v>0</v>
      </c>
      <c r="W2987">
        <v>0</v>
      </c>
      <c r="X2987">
        <v>2</v>
      </c>
      <c r="Z2987">
        <v>0</v>
      </c>
      <c r="AA2987">
        <v>9</v>
      </c>
      <c r="AB2987">
        <v>3</v>
      </c>
      <c r="AC2987">
        <v>0</v>
      </c>
      <c r="AD2987">
        <v>10</v>
      </c>
      <c r="AE2987">
        <v>0</v>
      </c>
      <c r="AF2987">
        <v>3</v>
      </c>
      <c r="AG2987">
        <v>2</v>
      </c>
      <c r="AH2987">
        <v>0</v>
      </c>
      <c r="AI2987" t="s">
        <v>1743</v>
      </c>
      <c r="AJ2987">
        <v>40.034995000000002</v>
      </c>
      <c r="AK2987" t="s">
        <v>1744</v>
      </c>
      <c r="AL2987">
        <v>-92.847648000000007</v>
      </c>
      <c r="AM2987">
        <v>100</v>
      </c>
      <c r="AN2987">
        <v>1400</v>
      </c>
      <c r="AO2987" t="s">
        <v>118</v>
      </c>
      <c r="AP2987">
        <v>-133</v>
      </c>
      <c r="AQ2987">
        <v>38</v>
      </c>
      <c r="AR2987">
        <v>-320</v>
      </c>
      <c r="AZ2987">
        <v>1200</v>
      </c>
      <c r="BA2987">
        <v>1</v>
      </c>
      <c r="BB2987" t="str">
        <f t="shared" si="143"/>
        <v xml:space="preserve">N8080G  </v>
      </c>
      <c r="BC2987">
        <v>1</v>
      </c>
      <c r="BE2987">
        <v>0</v>
      </c>
      <c r="BF2987">
        <v>0</v>
      </c>
      <c r="BG2987">
        <v>0</v>
      </c>
      <c r="BH2987">
        <v>1425</v>
      </c>
      <c r="BI2987">
        <v>1</v>
      </c>
      <c r="BJ2987">
        <v>1</v>
      </c>
      <c r="BK2987">
        <v>1</v>
      </c>
      <c r="BL2987">
        <v>0</v>
      </c>
      <c r="BO2987">
        <v>0</v>
      </c>
      <c r="BP2987">
        <v>0</v>
      </c>
      <c r="BW2987" t="str">
        <f>"20:30:27.794"</f>
        <v>20:30:27.794</v>
      </c>
      <c r="BZ2987">
        <v>0</v>
      </c>
      <c r="CA2987">
        <v>1600</v>
      </c>
      <c r="CB2987">
        <v>224</v>
      </c>
      <c r="CD2987">
        <v>1</v>
      </c>
      <c r="CE2987">
        <v>0</v>
      </c>
      <c r="CF2987">
        <v>0</v>
      </c>
      <c r="CG2987">
        <v>0</v>
      </c>
      <c r="CH2987">
        <v>0</v>
      </c>
      <c r="CI2987">
        <v>0</v>
      </c>
      <c r="CJ2987">
        <v>0</v>
      </c>
      <c r="CK2987">
        <v>2</v>
      </c>
      <c r="CL2987">
        <v>0</v>
      </c>
      <c r="CM2987">
        <v>2</v>
      </c>
      <c r="CN2987">
        <v>0</v>
      </c>
      <c r="CO2987">
        <v>1</v>
      </c>
      <c r="CP2987" t="s">
        <v>119</v>
      </c>
      <c r="CQ2987">
        <v>179</v>
      </c>
      <c r="CR2987">
        <v>1</v>
      </c>
      <c r="CW2987">
        <v>9139438</v>
      </c>
      <c r="CY2987">
        <v>0</v>
      </c>
      <c r="CZ2987">
        <v>0</v>
      </c>
      <c r="DA2987">
        <v>0</v>
      </c>
      <c r="DB2987">
        <v>0</v>
      </c>
      <c r="DC2987">
        <v>0</v>
      </c>
      <c r="DD2987">
        <v>0</v>
      </c>
      <c r="DE2987">
        <v>0</v>
      </c>
      <c r="DF2987">
        <v>0</v>
      </c>
      <c r="DG2987">
        <v>0</v>
      </c>
      <c r="DH2987">
        <v>0</v>
      </c>
      <c r="DI2987">
        <v>0</v>
      </c>
    </row>
    <row r="2988" spans="1:113" x14ac:dyDescent="0.3">
      <c r="A2988" t="str">
        <f>"02/08/2021 20:30:25.491"</f>
        <v>02/08/2021 20:30:25.491</v>
      </c>
      <c r="C2988" t="str">
        <f t="shared" si="141"/>
        <v>FFDFD7C0</v>
      </c>
      <c r="D2988" t="s">
        <v>124</v>
      </c>
      <c r="E2988">
        <v>13</v>
      </c>
      <c r="F2988">
        <v>1013</v>
      </c>
      <c r="G2988" t="s">
        <v>114</v>
      </c>
      <c r="J2988" t="s">
        <v>125</v>
      </c>
      <c r="K2988">
        <v>0</v>
      </c>
      <c r="L2988">
        <v>3</v>
      </c>
      <c r="M2988">
        <v>0</v>
      </c>
      <c r="N2988">
        <v>2</v>
      </c>
      <c r="O2988">
        <v>1</v>
      </c>
      <c r="P2988">
        <v>0</v>
      </c>
      <c r="Q2988">
        <v>0</v>
      </c>
      <c r="S2988" t="str">
        <f>"20:30:27.789"</f>
        <v>20:30:27.789</v>
      </c>
      <c r="T2988" t="str">
        <f>"20:30:27.389"</f>
        <v>20:30:27.389</v>
      </c>
      <c r="U2988" t="str">
        <f t="shared" si="144"/>
        <v>AB01F4</v>
      </c>
      <c r="V2988">
        <v>0</v>
      </c>
      <c r="W2988">
        <v>0</v>
      </c>
      <c r="X2988">
        <v>2</v>
      </c>
      <c r="Z2988">
        <v>0</v>
      </c>
      <c r="AA2988">
        <v>9</v>
      </c>
      <c r="AB2988">
        <v>3</v>
      </c>
      <c r="AC2988">
        <v>0</v>
      </c>
      <c r="AD2988">
        <v>10</v>
      </c>
      <c r="AE2988">
        <v>0</v>
      </c>
      <c r="AF2988">
        <v>3</v>
      </c>
      <c r="AG2988">
        <v>2</v>
      </c>
      <c r="AH2988">
        <v>0</v>
      </c>
      <c r="AI2988" t="s">
        <v>1743</v>
      </c>
      <c r="AJ2988">
        <v>40.034995000000002</v>
      </c>
      <c r="AK2988" t="s">
        <v>1744</v>
      </c>
      <c r="AL2988">
        <v>-92.847648000000007</v>
      </c>
      <c r="AM2988">
        <v>100</v>
      </c>
      <c r="AN2988">
        <v>1400</v>
      </c>
      <c r="AO2988" t="s">
        <v>118</v>
      </c>
      <c r="AP2988">
        <v>-133</v>
      </c>
      <c r="AQ2988">
        <v>38</v>
      </c>
      <c r="AR2988">
        <v>-320</v>
      </c>
      <c r="AZ2988">
        <v>1200</v>
      </c>
      <c r="BA2988">
        <v>1</v>
      </c>
      <c r="BB2988" t="str">
        <f t="shared" si="143"/>
        <v xml:space="preserve">N8080G  </v>
      </c>
      <c r="BC2988">
        <v>1</v>
      </c>
      <c r="BE2988">
        <v>0</v>
      </c>
      <c r="BF2988">
        <v>0</v>
      </c>
      <c r="BG2988">
        <v>0</v>
      </c>
      <c r="BH2988">
        <v>1425</v>
      </c>
      <c r="BI2988">
        <v>1</v>
      </c>
      <c r="BJ2988">
        <v>1</v>
      </c>
      <c r="BK2988">
        <v>1</v>
      </c>
      <c r="BL2988">
        <v>0</v>
      </c>
      <c r="BO2988">
        <v>0</v>
      </c>
      <c r="BP2988">
        <v>0</v>
      </c>
      <c r="BW2988" t="str">
        <f>"20:30:27.794"</f>
        <v>20:30:27.794</v>
      </c>
      <c r="BZ2988">
        <v>0</v>
      </c>
      <c r="CA2988">
        <v>1600</v>
      </c>
      <c r="CB2988">
        <v>224</v>
      </c>
      <c r="CD2988">
        <v>1</v>
      </c>
      <c r="CE2988">
        <v>0</v>
      </c>
      <c r="CF2988">
        <v>0</v>
      </c>
      <c r="CG2988">
        <v>0</v>
      </c>
      <c r="CH2988">
        <v>0</v>
      </c>
      <c r="CI2988">
        <v>0</v>
      </c>
      <c r="CJ2988">
        <v>0</v>
      </c>
      <c r="CK2988">
        <v>2</v>
      </c>
      <c r="CL2988">
        <v>0</v>
      </c>
      <c r="CM2988">
        <v>2</v>
      </c>
      <c r="CN2988">
        <v>0</v>
      </c>
      <c r="CO2988">
        <v>1</v>
      </c>
      <c r="CP2988" t="s">
        <v>119</v>
      </c>
      <c r="CQ2988">
        <v>179</v>
      </c>
      <c r="CR2988">
        <v>1</v>
      </c>
      <c r="CW2988">
        <v>9139438</v>
      </c>
      <c r="CY2988">
        <v>0</v>
      </c>
      <c r="CZ2988">
        <v>0</v>
      </c>
      <c r="DA2988">
        <v>1</v>
      </c>
      <c r="DB2988">
        <v>0</v>
      </c>
      <c r="DC2988">
        <v>0</v>
      </c>
      <c r="DD2988">
        <v>0</v>
      </c>
      <c r="DE2988">
        <v>0</v>
      </c>
      <c r="DF2988">
        <v>0</v>
      </c>
      <c r="DG2988">
        <v>0</v>
      </c>
      <c r="DH2988">
        <v>0</v>
      </c>
      <c r="DI2988">
        <v>0</v>
      </c>
    </row>
    <row r="2989" spans="1:113" x14ac:dyDescent="0.3">
      <c r="A2989" t="str">
        <f>"02/08/2021 20:30:25.491"</f>
        <v>02/08/2021 20:30:25.491</v>
      </c>
      <c r="C2989" t="str">
        <f t="shared" si="141"/>
        <v>FFDFD7C0</v>
      </c>
      <c r="D2989" t="s">
        <v>124</v>
      </c>
      <c r="E2989">
        <v>11</v>
      </c>
      <c r="F2989">
        <v>1011</v>
      </c>
      <c r="G2989" t="s">
        <v>590</v>
      </c>
      <c r="J2989" t="s">
        <v>125</v>
      </c>
      <c r="K2989">
        <v>0</v>
      </c>
      <c r="L2989">
        <v>3</v>
      </c>
      <c r="M2989">
        <v>0</v>
      </c>
      <c r="N2989">
        <v>2</v>
      </c>
      <c r="O2989">
        <v>1</v>
      </c>
      <c r="P2989">
        <v>0</v>
      </c>
      <c r="Q2989">
        <v>0</v>
      </c>
      <c r="S2989" t="str">
        <f>"20:30:27.789"</f>
        <v>20:30:27.789</v>
      </c>
      <c r="T2989" t="str">
        <f>"20:30:27.389"</f>
        <v>20:30:27.389</v>
      </c>
      <c r="U2989" t="str">
        <f t="shared" si="144"/>
        <v>AB01F4</v>
      </c>
      <c r="V2989">
        <v>0</v>
      </c>
      <c r="W2989">
        <v>0</v>
      </c>
      <c r="X2989">
        <v>2</v>
      </c>
      <c r="Z2989">
        <v>0</v>
      </c>
      <c r="AA2989">
        <v>9</v>
      </c>
      <c r="AB2989">
        <v>3</v>
      </c>
      <c r="AC2989">
        <v>0</v>
      </c>
      <c r="AD2989">
        <v>10</v>
      </c>
      <c r="AE2989">
        <v>0</v>
      </c>
      <c r="AF2989">
        <v>3</v>
      </c>
      <c r="AG2989">
        <v>2</v>
      </c>
      <c r="AH2989">
        <v>0</v>
      </c>
      <c r="AI2989" t="s">
        <v>1743</v>
      </c>
      <c r="AJ2989">
        <v>40.034995000000002</v>
      </c>
      <c r="AK2989" t="s">
        <v>1744</v>
      </c>
      <c r="AL2989">
        <v>-92.847648000000007</v>
      </c>
      <c r="AM2989">
        <v>100</v>
      </c>
      <c r="AN2989">
        <v>1400</v>
      </c>
      <c r="AO2989" t="s">
        <v>118</v>
      </c>
      <c r="AP2989">
        <v>-133</v>
      </c>
      <c r="AQ2989">
        <v>38</v>
      </c>
      <c r="AR2989">
        <v>-320</v>
      </c>
      <c r="AZ2989">
        <v>1200</v>
      </c>
      <c r="BA2989">
        <v>1</v>
      </c>
      <c r="BB2989" t="str">
        <f t="shared" si="143"/>
        <v xml:space="preserve">N8080G  </v>
      </c>
      <c r="BC2989">
        <v>1</v>
      </c>
      <c r="BE2989">
        <v>0</v>
      </c>
      <c r="BF2989">
        <v>0</v>
      </c>
      <c r="BG2989">
        <v>0</v>
      </c>
      <c r="BH2989">
        <v>1425</v>
      </c>
      <c r="BI2989">
        <v>1</v>
      </c>
      <c r="BJ2989">
        <v>1</v>
      </c>
      <c r="BK2989">
        <v>1</v>
      </c>
      <c r="BL2989">
        <v>0</v>
      </c>
      <c r="BO2989">
        <v>0</v>
      </c>
      <c r="BP2989">
        <v>0</v>
      </c>
      <c r="BW2989" t="str">
        <f>"20:30:27.794"</f>
        <v>20:30:27.794</v>
      </c>
      <c r="BZ2989">
        <v>0</v>
      </c>
      <c r="CA2989">
        <v>1600</v>
      </c>
      <c r="CB2989">
        <v>224</v>
      </c>
      <c r="CD2989">
        <v>1</v>
      </c>
      <c r="CE2989">
        <v>0</v>
      </c>
      <c r="CF2989">
        <v>0</v>
      </c>
      <c r="CG2989">
        <v>0</v>
      </c>
      <c r="CH2989">
        <v>0</v>
      </c>
      <c r="CI2989">
        <v>0</v>
      </c>
      <c r="CJ2989">
        <v>0</v>
      </c>
      <c r="CK2989">
        <v>2</v>
      </c>
      <c r="CL2989">
        <v>0</v>
      </c>
      <c r="CM2989">
        <v>2</v>
      </c>
      <c r="CN2989">
        <v>0</v>
      </c>
      <c r="CO2989">
        <v>1</v>
      </c>
      <c r="CP2989" t="s">
        <v>119</v>
      </c>
      <c r="CQ2989">
        <v>179</v>
      </c>
      <c r="CR2989">
        <v>1</v>
      </c>
      <c r="CW2989">
        <v>9139438</v>
      </c>
      <c r="CY2989">
        <v>0</v>
      </c>
      <c r="CZ2989">
        <v>0</v>
      </c>
      <c r="DA2989">
        <v>1</v>
      </c>
      <c r="DB2989">
        <v>0</v>
      </c>
      <c r="DC2989">
        <v>0</v>
      </c>
      <c r="DD2989">
        <v>0</v>
      </c>
      <c r="DE2989">
        <v>0</v>
      </c>
      <c r="DF2989">
        <v>0</v>
      </c>
      <c r="DG2989">
        <v>0</v>
      </c>
      <c r="DH2989">
        <v>0</v>
      </c>
      <c r="DI2989">
        <v>0</v>
      </c>
    </row>
    <row r="2990" spans="1:113" x14ac:dyDescent="0.3">
      <c r="A2990" t="str">
        <f>"02/08/2021 20:30:25.491"</f>
        <v>02/08/2021 20:30:25.491</v>
      </c>
      <c r="C2990" t="str">
        <f t="shared" si="141"/>
        <v>FFDFD7C0</v>
      </c>
      <c r="D2990" t="s">
        <v>124</v>
      </c>
      <c r="E2990">
        <v>12</v>
      </c>
      <c r="F2990">
        <v>1012</v>
      </c>
      <c r="G2990" t="s">
        <v>675</v>
      </c>
      <c r="J2990" t="s">
        <v>125</v>
      </c>
      <c r="K2990">
        <v>0</v>
      </c>
      <c r="L2990">
        <v>3</v>
      </c>
      <c r="M2990">
        <v>0</v>
      </c>
      <c r="N2990">
        <v>2</v>
      </c>
      <c r="O2990">
        <v>1</v>
      </c>
      <c r="P2990">
        <v>0</v>
      </c>
      <c r="Q2990">
        <v>0</v>
      </c>
      <c r="S2990" t="str">
        <f>"20:30:27.789"</f>
        <v>20:30:27.789</v>
      </c>
      <c r="T2990" t="str">
        <f>"20:30:27.389"</f>
        <v>20:30:27.389</v>
      </c>
      <c r="U2990" t="str">
        <f t="shared" si="144"/>
        <v>AB01F4</v>
      </c>
      <c r="V2990">
        <v>0</v>
      </c>
      <c r="W2990">
        <v>0</v>
      </c>
      <c r="X2990">
        <v>2</v>
      </c>
      <c r="Z2990">
        <v>0</v>
      </c>
      <c r="AA2990">
        <v>9</v>
      </c>
      <c r="AB2990">
        <v>3</v>
      </c>
      <c r="AC2990">
        <v>0</v>
      </c>
      <c r="AD2990">
        <v>10</v>
      </c>
      <c r="AE2990">
        <v>0</v>
      </c>
      <c r="AF2990">
        <v>3</v>
      </c>
      <c r="AG2990">
        <v>2</v>
      </c>
      <c r="AH2990">
        <v>0</v>
      </c>
      <c r="AI2990" t="s">
        <v>1743</v>
      </c>
      <c r="AJ2990">
        <v>40.034995000000002</v>
      </c>
      <c r="AK2990" t="s">
        <v>1744</v>
      </c>
      <c r="AL2990">
        <v>-92.847648000000007</v>
      </c>
      <c r="AM2990">
        <v>100</v>
      </c>
      <c r="AN2990">
        <v>1400</v>
      </c>
      <c r="AO2990" t="s">
        <v>118</v>
      </c>
      <c r="AP2990">
        <v>-133</v>
      </c>
      <c r="AQ2990">
        <v>38</v>
      </c>
      <c r="AR2990">
        <v>-320</v>
      </c>
      <c r="AZ2990">
        <v>1200</v>
      </c>
      <c r="BA2990">
        <v>1</v>
      </c>
      <c r="BB2990" t="str">
        <f t="shared" si="143"/>
        <v xml:space="preserve">N8080G  </v>
      </c>
      <c r="BC2990">
        <v>1</v>
      </c>
      <c r="BE2990">
        <v>0</v>
      </c>
      <c r="BF2990">
        <v>0</v>
      </c>
      <c r="BG2990">
        <v>0</v>
      </c>
      <c r="BH2990">
        <v>1425</v>
      </c>
      <c r="BI2990">
        <v>1</v>
      </c>
      <c r="BJ2990">
        <v>1</v>
      </c>
      <c r="BK2990">
        <v>1</v>
      </c>
      <c r="BL2990">
        <v>0</v>
      </c>
      <c r="BO2990">
        <v>0</v>
      </c>
      <c r="BP2990">
        <v>0</v>
      </c>
      <c r="BW2990" t="str">
        <f>"20:30:27.794"</f>
        <v>20:30:27.794</v>
      </c>
      <c r="BZ2990">
        <v>0</v>
      </c>
      <c r="CA2990">
        <v>1600</v>
      </c>
      <c r="CB2990">
        <v>224</v>
      </c>
      <c r="CD2990">
        <v>1</v>
      </c>
      <c r="CE2990">
        <v>0</v>
      </c>
      <c r="CF2990">
        <v>0</v>
      </c>
      <c r="CG2990">
        <v>0</v>
      </c>
      <c r="CH2990">
        <v>0</v>
      </c>
      <c r="CI2990">
        <v>0</v>
      </c>
      <c r="CJ2990">
        <v>0</v>
      </c>
      <c r="CK2990">
        <v>2</v>
      </c>
      <c r="CL2990">
        <v>0</v>
      </c>
      <c r="CM2990">
        <v>2</v>
      </c>
      <c r="CN2990">
        <v>0</v>
      </c>
      <c r="CO2990">
        <v>1</v>
      </c>
      <c r="CP2990" t="s">
        <v>119</v>
      </c>
      <c r="CQ2990">
        <v>179</v>
      </c>
      <c r="CR2990">
        <v>1</v>
      </c>
      <c r="CW2990">
        <v>9139438</v>
      </c>
      <c r="CY2990">
        <v>0</v>
      </c>
      <c r="CZ2990">
        <v>0</v>
      </c>
      <c r="DA2990">
        <v>1</v>
      </c>
      <c r="DB2990">
        <v>0</v>
      </c>
      <c r="DC2990">
        <v>0</v>
      </c>
      <c r="DD2990">
        <v>0</v>
      </c>
      <c r="DE2990">
        <v>0</v>
      </c>
      <c r="DF2990">
        <v>0</v>
      </c>
      <c r="DG2990">
        <v>0</v>
      </c>
      <c r="DH2990">
        <v>0</v>
      </c>
      <c r="DI2990">
        <v>0</v>
      </c>
    </row>
    <row r="2991" spans="1:113" x14ac:dyDescent="0.3">
      <c r="A2991" t="str">
        <f>"02/08/2021 20:30:27.009"</f>
        <v>02/08/2021 20:30:27.009</v>
      </c>
      <c r="C2991" t="str">
        <f t="shared" ref="C2991:C3054" si="145">"FFDFD7C0"</f>
        <v>FFDFD7C0</v>
      </c>
      <c r="D2991" t="s">
        <v>113</v>
      </c>
      <c r="E2991">
        <v>6</v>
      </c>
      <c r="H2991">
        <v>165</v>
      </c>
      <c r="I2991" t="s">
        <v>114</v>
      </c>
      <c r="J2991" t="s">
        <v>115</v>
      </c>
      <c r="K2991">
        <v>0</v>
      </c>
      <c r="L2991">
        <v>3</v>
      </c>
      <c r="M2991">
        <v>0</v>
      </c>
      <c r="N2991">
        <v>2</v>
      </c>
      <c r="O2991">
        <v>1</v>
      </c>
      <c r="P2991">
        <v>0</v>
      </c>
      <c r="Q2991">
        <v>0</v>
      </c>
      <c r="S2991" t="str">
        <f>"20:30:29.336"</f>
        <v>20:30:29.336</v>
      </c>
      <c r="T2991" t="str">
        <f>"20:30:28.836"</f>
        <v>20:30:28.836</v>
      </c>
      <c r="U2991" t="str">
        <f t="shared" si="144"/>
        <v>AB01F4</v>
      </c>
      <c r="V2991">
        <v>0</v>
      </c>
      <c r="W2991">
        <v>0</v>
      </c>
      <c r="X2991">
        <v>2</v>
      </c>
      <c r="Z2991">
        <v>0</v>
      </c>
      <c r="AA2991">
        <v>9</v>
      </c>
      <c r="AB2991">
        <v>3</v>
      </c>
      <c r="AC2991">
        <v>0</v>
      </c>
      <c r="AD2991">
        <v>10</v>
      </c>
      <c r="AE2991">
        <v>0</v>
      </c>
      <c r="AF2991">
        <v>3</v>
      </c>
      <c r="AG2991">
        <v>2</v>
      </c>
      <c r="AH2991">
        <v>0</v>
      </c>
      <c r="AI2991" t="s">
        <v>1745</v>
      </c>
      <c r="AJ2991">
        <v>40.035274000000001</v>
      </c>
      <c r="AK2991" t="s">
        <v>1746</v>
      </c>
      <c r="AL2991">
        <v>-92.848934999999997</v>
      </c>
      <c r="AM2991">
        <v>100</v>
      </c>
      <c r="AN2991">
        <v>1400</v>
      </c>
      <c r="AO2991" t="s">
        <v>118</v>
      </c>
      <c r="AP2991">
        <v>-133</v>
      </c>
      <c r="AQ2991">
        <v>39</v>
      </c>
      <c r="AR2991">
        <v>-256</v>
      </c>
      <c r="AZ2991">
        <v>1200</v>
      </c>
      <c r="BA2991">
        <v>1</v>
      </c>
      <c r="BB2991" t="str">
        <f t="shared" ref="BB2991:BB3054" si="146">"N8080G  "</f>
        <v xml:space="preserve">N8080G  </v>
      </c>
      <c r="BC2991">
        <v>1</v>
      </c>
      <c r="BE2991">
        <v>0</v>
      </c>
      <c r="BF2991">
        <v>0</v>
      </c>
      <c r="BG2991">
        <v>0</v>
      </c>
      <c r="BH2991">
        <v>1425</v>
      </c>
      <c r="BI2991">
        <v>1</v>
      </c>
      <c r="BJ2991">
        <v>1</v>
      </c>
      <c r="BK2991">
        <v>1</v>
      </c>
      <c r="BL2991">
        <v>0</v>
      </c>
      <c r="BO2991">
        <v>0</v>
      </c>
      <c r="BP2991">
        <v>0</v>
      </c>
      <c r="BW2991" t="str">
        <f>"20:30:29.341"</f>
        <v>20:30:29.341</v>
      </c>
      <c r="BZ2991">
        <v>0</v>
      </c>
      <c r="CA2991">
        <v>1600</v>
      </c>
      <c r="CB2991">
        <v>224</v>
      </c>
      <c r="CD2991">
        <v>1</v>
      </c>
      <c r="CE2991">
        <v>0</v>
      </c>
      <c r="CF2991">
        <v>0</v>
      </c>
      <c r="CG2991">
        <v>0</v>
      </c>
      <c r="CH2991">
        <v>0</v>
      </c>
      <c r="CI2991">
        <v>0</v>
      </c>
      <c r="CJ2991">
        <v>0</v>
      </c>
      <c r="CK2991">
        <v>2</v>
      </c>
      <c r="CL2991">
        <v>0</v>
      </c>
      <c r="CM2991">
        <v>2</v>
      </c>
      <c r="CN2991">
        <v>0</v>
      </c>
      <c r="CO2991">
        <v>7</v>
      </c>
      <c r="CP2991" t="s">
        <v>119</v>
      </c>
      <c r="CQ2991">
        <v>180</v>
      </c>
      <c r="CR2991">
        <v>3</v>
      </c>
      <c r="CW2991">
        <v>1030657</v>
      </c>
      <c r="CY2991">
        <v>0</v>
      </c>
      <c r="CZ2991">
        <v>0</v>
      </c>
      <c r="DA2991">
        <v>0</v>
      </c>
      <c r="DB2991">
        <v>0</v>
      </c>
      <c r="DC2991">
        <v>0</v>
      </c>
      <c r="DD2991">
        <v>0</v>
      </c>
      <c r="DE2991">
        <v>0</v>
      </c>
      <c r="DF2991">
        <v>0</v>
      </c>
      <c r="DG2991">
        <v>0</v>
      </c>
      <c r="DH2991">
        <v>0</v>
      </c>
      <c r="DI2991">
        <v>0</v>
      </c>
    </row>
    <row r="2992" spans="1:113" x14ac:dyDescent="0.3">
      <c r="A2992" t="str">
        <f>"02/08/2021 20:30:27.009"</f>
        <v>02/08/2021 20:30:27.009</v>
      </c>
      <c r="C2992" t="str">
        <f t="shared" si="145"/>
        <v>FFDFD7C0</v>
      </c>
      <c r="D2992" t="s">
        <v>124</v>
      </c>
      <c r="E2992">
        <v>13</v>
      </c>
      <c r="F2992">
        <v>1013</v>
      </c>
      <c r="G2992" t="s">
        <v>114</v>
      </c>
      <c r="J2992" t="s">
        <v>125</v>
      </c>
      <c r="K2992">
        <v>0</v>
      </c>
      <c r="L2992">
        <v>3</v>
      </c>
      <c r="M2992">
        <v>0</v>
      </c>
      <c r="N2992">
        <v>2</v>
      </c>
      <c r="O2992">
        <v>1</v>
      </c>
      <c r="P2992">
        <v>0</v>
      </c>
      <c r="Q2992">
        <v>0</v>
      </c>
      <c r="S2992" t="str">
        <f>"20:30:29.336"</f>
        <v>20:30:29.336</v>
      </c>
      <c r="T2992" t="str">
        <f>"20:30:28.836"</f>
        <v>20:30:28.836</v>
      </c>
      <c r="U2992" t="str">
        <f t="shared" si="144"/>
        <v>AB01F4</v>
      </c>
      <c r="V2992">
        <v>0</v>
      </c>
      <c r="W2992">
        <v>0</v>
      </c>
      <c r="X2992">
        <v>2</v>
      </c>
      <c r="Z2992">
        <v>0</v>
      </c>
      <c r="AA2992">
        <v>9</v>
      </c>
      <c r="AB2992">
        <v>3</v>
      </c>
      <c r="AC2992">
        <v>0</v>
      </c>
      <c r="AD2992">
        <v>10</v>
      </c>
      <c r="AE2992">
        <v>0</v>
      </c>
      <c r="AF2992">
        <v>3</v>
      </c>
      <c r="AG2992">
        <v>2</v>
      </c>
      <c r="AH2992">
        <v>0</v>
      </c>
      <c r="AI2992" t="s">
        <v>1745</v>
      </c>
      <c r="AJ2992">
        <v>40.035274000000001</v>
      </c>
      <c r="AK2992" t="s">
        <v>1746</v>
      </c>
      <c r="AL2992">
        <v>-92.848934999999997</v>
      </c>
      <c r="AM2992">
        <v>100</v>
      </c>
      <c r="AN2992">
        <v>1400</v>
      </c>
      <c r="AO2992" t="s">
        <v>118</v>
      </c>
      <c r="AP2992">
        <v>-133</v>
      </c>
      <c r="AQ2992">
        <v>39</v>
      </c>
      <c r="AR2992">
        <v>-256</v>
      </c>
      <c r="AZ2992">
        <v>1200</v>
      </c>
      <c r="BA2992">
        <v>1</v>
      </c>
      <c r="BB2992" t="str">
        <f t="shared" si="146"/>
        <v xml:space="preserve">N8080G  </v>
      </c>
      <c r="BC2992">
        <v>1</v>
      </c>
      <c r="BE2992">
        <v>0</v>
      </c>
      <c r="BF2992">
        <v>0</v>
      </c>
      <c r="BG2992">
        <v>0</v>
      </c>
      <c r="BH2992">
        <v>1425</v>
      </c>
      <c r="BI2992">
        <v>1</v>
      </c>
      <c r="BJ2992">
        <v>1</v>
      </c>
      <c r="BK2992">
        <v>1</v>
      </c>
      <c r="BL2992">
        <v>0</v>
      </c>
      <c r="BO2992">
        <v>0</v>
      </c>
      <c r="BP2992">
        <v>0</v>
      </c>
      <c r="BW2992" t="str">
        <f>"20:30:29.341"</f>
        <v>20:30:29.341</v>
      </c>
      <c r="BZ2992">
        <v>0</v>
      </c>
      <c r="CA2992">
        <v>1600</v>
      </c>
      <c r="CB2992">
        <v>224</v>
      </c>
      <c r="CD2992">
        <v>1</v>
      </c>
      <c r="CE2992">
        <v>0</v>
      </c>
      <c r="CF2992">
        <v>0</v>
      </c>
      <c r="CG2992">
        <v>0</v>
      </c>
      <c r="CH2992">
        <v>0</v>
      </c>
      <c r="CI2992">
        <v>0</v>
      </c>
      <c r="CJ2992">
        <v>0</v>
      </c>
      <c r="CK2992">
        <v>2</v>
      </c>
      <c r="CL2992">
        <v>0</v>
      </c>
      <c r="CM2992">
        <v>2</v>
      </c>
      <c r="CN2992">
        <v>0</v>
      </c>
      <c r="CO2992">
        <v>7</v>
      </c>
      <c r="CP2992" t="s">
        <v>119</v>
      </c>
      <c r="CQ2992">
        <v>180</v>
      </c>
      <c r="CR2992">
        <v>3</v>
      </c>
      <c r="CW2992">
        <v>1030657</v>
      </c>
      <c r="CY2992">
        <v>0</v>
      </c>
      <c r="CZ2992">
        <v>0</v>
      </c>
      <c r="DA2992">
        <v>1</v>
      </c>
      <c r="DB2992">
        <v>0</v>
      </c>
      <c r="DC2992">
        <v>0</v>
      </c>
      <c r="DD2992">
        <v>0</v>
      </c>
      <c r="DE2992">
        <v>0</v>
      </c>
      <c r="DF2992">
        <v>0</v>
      </c>
      <c r="DG2992">
        <v>0</v>
      </c>
      <c r="DH2992">
        <v>0</v>
      </c>
      <c r="DI2992">
        <v>0</v>
      </c>
    </row>
    <row r="2993" spans="1:113" x14ac:dyDescent="0.3">
      <c r="A2993" t="str">
        <f>"02/08/2021 20:30:27.009"</f>
        <v>02/08/2021 20:30:27.009</v>
      </c>
      <c r="C2993" t="str">
        <f t="shared" si="145"/>
        <v>FFDFD7C0</v>
      </c>
      <c r="D2993" t="s">
        <v>124</v>
      </c>
      <c r="E2993">
        <v>11</v>
      </c>
      <c r="F2993">
        <v>1011</v>
      </c>
      <c r="G2993" t="s">
        <v>590</v>
      </c>
      <c r="J2993" t="s">
        <v>125</v>
      </c>
      <c r="K2993">
        <v>0</v>
      </c>
      <c r="L2993">
        <v>3</v>
      </c>
      <c r="M2993">
        <v>0</v>
      </c>
      <c r="N2993">
        <v>2</v>
      </c>
      <c r="O2993">
        <v>1</v>
      </c>
      <c r="P2993">
        <v>0</v>
      </c>
      <c r="Q2993">
        <v>0</v>
      </c>
      <c r="S2993" t="str">
        <f>"20:30:29.336"</f>
        <v>20:30:29.336</v>
      </c>
      <c r="T2993" t="str">
        <f>"20:30:28.836"</f>
        <v>20:30:28.836</v>
      </c>
      <c r="U2993" t="str">
        <f t="shared" si="144"/>
        <v>AB01F4</v>
      </c>
      <c r="V2993">
        <v>0</v>
      </c>
      <c r="W2993">
        <v>0</v>
      </c>
      <c r="X2993">
        <v>2</v>
      </c>
      <c r="Z2993">
        <v>0</v>
      </c>
      <c r="AA2993">
        <v>9</v>
      </c>
      <c r="AB2993">
        <v>3</v>
      </c>
      <c r="AC2993">
        <v>0</v>
      </c>
      <c r="AD2993">
        <v>10</v>
      </c>
      <c r="AE2993">
        <v>0</v>
      </c>
      <c r="AF2993">
        <v>3</v>
      </c>
      <c r="AG2993">
        <v>2</v>
      </c>
      <c r="AH2993">
        <v>0</v>
      </c>
      <c r="AI2993" t="s">
        <v>1745</v>
      </c>
      <c r="AJ2993">
        <v>40.035274000000001</v>
      </c>
      <c r="AK2993" t="s">
        <v>1746</v>
      </c>
      <c r="AL2993">
        <v>-92.848934999999997</v>
      </c>
      <c r="AM2993">
        <v>100</v>
      </c>
      <c r="AN2993">
        <v>1400</v>
      </c>
      <c r="AO2993" t="s">
        <v>118</v>
      </c>
      <c r="AP2993">
        <v>-133</v>
      </c>
      <c r="AQ2993">
        <v>39</v>
      </c>
      <c r="AR2993">
        <v>-256</v>
      </c>
      <c r="AZ2993">
        <v>1200</v>
      </c>
      <c r="BA2993">
        <v>1</v>
      </c>
      <c r="BB2993" t="str">
        <f t="shared" si="146"/>
        <v xml:space="preserve">N8080G  </v>
      </c>
      <c r="BC2993">
        <v>1</v>
      </c>
      <c r="BE2993">
        <v>0</v>
      </c>
      <c r="BF2993">
        <v>0</v>
      </c>
      <c r="BG2993">
        <v>0</v>
      </c>
      <c r="BH2993">
        <v>1425</v>
      </c>
      <c r="BI2993">
        <v>1</v>
      </c>
      <c r="BJ2993">
        <v>1</v>
      </c>
      <c r="BK2993">
        <v>1</v>
      </c>
      <c r="BL2993">
        <v>0</v>
      </c>
      <c r="BO2993">
        <v>0</v>
      </c>
      <c r="BP2993">
        <v>0</v>
      </c>
      <c r="BW2993" t="str">
        <f>"20:30:29.341"</f>
        <v>20:30:29.341</v>
      </c>
      <c r="BZ2993">
        <v>0</v>
      </c>
      <c r="CA2993">
        <v>1600</v>
      </c>
      <c r="CB2993">
        <v>224</v>
      </c>
      <c r="CD2993">
        <v>1</v>
      </c>
      <c r="CE2993">
        <v>0</v>
      </c>
      <c r="CF2993">
        <v>0</v>
      </c>
      <c r="CG2993">
        <v>0</v>
      </c>
      <c r="CH2993">
        <v>0</v>
      </c>
      <c r="CI2993">
        <v>0</v>
      </c>
      <c r="CJ2993">
        <v>0</v>
      </c>
      <c r="CK2993">
        <v>2</v>
      </c>
      <c r="CL2993">
        <v>0</v>
      </c>
      <c r="CM2993">
        <v>2</v>
      </c>
      <c r="CN2993">
        <v>0</v>
      </c>
      <c r="CO2993">
        <v>7</v>
      </c>
      <c r="CP2993" t="s">
        <v>119</v>
      </c>
      <c r="CQ2993">
        <v>180</v>
      </c>
      <c r="CR2993">
        <v>3</v>
      </c>
      <c r="CW2993">
        <v>1030657</v>
      </c>
      <c r="CY2993">
        <v>0</v>
      </c>
      <c r="CZ2993">
        <v>0</v>
      </c>
      <c r="DA2993">
        <v>1</v>
      </c>
      <c r="DB2993">
        <v>0</v>
      </c>
      <c r="DC2993">
        <v>0</v>
      </c>
      <c r="DD2993">
        <v>0</v>
      </c>
      <c r="DE2993">
        <v>0</v>
      </c>
      <c r="DF2993">
        <v>0</v>
      </c>
      <c r="DG2993">
        <v>0</v>
      </c>
      <c r="DH2993">
        <v>0</v>
      </c>
      <c r="DI2993">
        <v>0</v>
      </c>
    </row>
    <row r="2994" spans="1:113" x14ac:dyDescent="0.3">
      <c r="A2994" t="str">
        <f>"02/08/2021 20:30:27.009"</f>
        <v>02/08/2021 20:30:27.009</v>
      </c>
      <c r="C2994" t="str">
        <f t="shared" si="145"/>
        <v>FFDFD7C0</v>
      </c>
      <c r="D2994" t="s">
        <v>124</v>
      </c>
      <c r="E2994">
        <v>12</v>
      </c>
      <c r="F2994">
        <v>1012</v>
      </c>
      <c r="G2994" t="s">
        <v>675</v>
      </c>
      <c r="J2994" t="s">
        <v>125</v>
      </c>
      <c r="K2994">
        <v>0</v>
      </c>
      <c r="L2994">
        <v>3</v>
      </c>
      <c r="M2994">
        <v>0</v>
      </c>
      <c r="N2994">
        <v>2</v>
      </c>
      <c r="O2994">
        <v>1</v>
      </c>
      <c r="P2994">
        <v>0</v>
      </c>
      <c r="Q2994">
        <v>0</v>
      </c>
      <c r="S2994" t="str">
        <f>"20:30:29.336"</f>
        <v>20:30:29.336</v>
      </c>
      <c r="T2994" t="str">
        <f>"20:30:28.836"</f>
        <v>20:30:28.836</v>
      </c>
      <c r="U2994" t="str">
        <f t="shared" si="144"/>
        <v>AB01F4</v>
      </c>
      <c r="V2994">
        <v>0</v>
      </c>
      <c r="W2994">
        <v>0</v>
      </c>
      <c r="X2994">
        <v>2</v>
      </c>
      <c r="Z2994">
        <v>0</v>
      </c>
      <c r="AA2994">
        <v>9</v>
      </c>
      <c r="AB2994">
        <v>3</v>
      </c>
      <c r="AC2994">
        <v>0</v>
      </c>
      <c r="AD2994">
        <v>10</v>
      </c>
      <c r="AE2994">
        <v>0</v>
      </c>
      <c r="AF2994">
        <v>3</v>
      </c>
      <c r="AG2994">
        <v>2</v>
      </c>
      <c r="AH2994">
        <v>0</v>
      </c>
      <c r="AI2994" t="s">
        <v>1745</v>
      </c>
      <c r="AJ2994">
        <v>40.035274000000001</v>
      </c>
      <c r="AK2994" t="s">
        <v>1746</v>
      </c>
      <c r="AL2994">
        <v>-92.848934999999997</v>
      </c>
      <c r="AM2994">
        <v>100</v>
      </c>
      <c r="AN2994">
        <v>1400</v>
      </c>
      <c r="AO2994" t="s">
        <v>118</v>
      </c>
      <c r="AP2994">
        <v>-133</v>
      </c>
      <c r="AQ2994">
        <v>39</v>
      </c>
      <c r="AR2994">
        <v>-256</v>
      </c>
      <c r="AZ2994">
        <v>1200</v>
      </c>
      <c r="BA2994">
        <v>1</v>
      </c>
      <c r="BB2994" t="str">
        <f t="shared" si="146"/>
        <v xml:space="preserve">N8080G  </v>
      </c>
      <c r="BC2994">
        <v>1</v>
      </c>
      <c r="BE2994">
        <v>0</v>
      </c>
      <c r="BF2994">
        <v>0</v>
      </c>
      <c r="BG2994">
        <v>0</v>
      </c>
      <c r="BH2994">
        <v>1425</v>
      </c>
      <c r="BI2994">
        <v>1</v>
      </c>
      <c r="BJ2994">
        <v>1</v>
      </c>
      <c r="BK2994">
        <v>1</v>
      </c>
      <c r="BL2994">
        <v>0</v>
      </c>
      <c r="BO2994">
        <v>0</v>
      </c>
      <c r="BP2994">
        <v>0</v>
      </c>
      <c r="BW2994" t="str">
        <f>"20:30:29.341"</f>
        <v>20:30:29.341</v>
      </c>
      <c r="BZ2994">
        <v>0</v>
      </c>
      <c r="CA2994">
        <v>1600</v>
      </c>
      <c r="CB2994">
        <v>224</v>
      </c>
      <c r="CD2994">
        <v>1</v>
      </c>
      <c r="CE2994">
        <v>0</v>
      </c>
      <c r="CF2994">
        <v>0</v>
      </c>
      <c r="CG2994">
        <v>0</v>
      </c>
      <c r="CH2994">
        <v>0</v>
      </c>
      <c r="CI2994">
        <v>0</v>
      </c>
      <c r="CJ2994">
        <v>0</v>
      </c>
      <c r="CK2994">
        <v>2</v>
      </c>
      <c r="CL2994">
        <v>0</v>
      </c>
      <c r="CM2994">
        <v>2</v>
      </c>
      <c r="CN2994">
        <v>0</v>
      </c>
      <c r="CO2994">
        <v>7</v>
      </c>
      <c r="CP2994" t="s">
        <v>119</v>
      </c>
      <c r="CQ2994">
        <v>180</v>
      </c>
      <c r="CR2994">
        <v>3</v>
      </c>
      <c r="CW2994">
        <v>1030657</v>
      </c>
      <c r="CY2994">
        <v>0</v>
      </c>
      <c r="CZ2994">
        <v>0</v>
      </c>
      <c r="DA2994">
        <v>1</v>
      </c>
      <c r="DB2994">
        <v>0</v>
      </c>
      <c r="DC2994">
        <v>0</v>
      </c>
      <c r="DD2994">
        <v>0</v>
      </c>
      <c r="DE2994">
        <v>0</v>
      </c>
      <c r="DF2994">
        <v>0</v>
      </c>
      <c r="DG2994">
        <v>0</v>
      </c>
      <c r="DH2994">
        <v>0</v>
      </c>
      <c r="DI2994">
        <v>0</v>
      </c>
    </row>
    <row r="2995" spans="1:113" x14ac:dyDescent="0.3">
      <c r="A2995" t="str">
        <f>"02/08/2021 20:30:29.536"</f>
        <v>02/08/2021 20:30:29.536</v>
      </c>
      <c r="C2995" t="str">
        <f t="shared" si="145"/>
        <v>FFDFD7C0</v>
      </c>
      <c r="D2995" t="s">
        <v>113</v>
      </c>
      <c r="E2995">
        <v>6</v>
      </c>
      <c r="H2995">
        <v>165</v>
      </c>
      <c r="I2995" t="s">
        <v>114</v>
      </c>
      <c r="J2995" t="s">
        <v>115</v>
      </c>
      <c r="K2995">
        <v>0</v>
      </c>
      <c r="L2995">
        <v>3</v>
      </c>
      <c r="M2995">
        <v>0</v>
      </c>
      <c r="N2995">
        <v>2</v>
      </c>
      <c r="O2995">
        <v>1</v>
      </c>
      <c r="P2995">
        <v>0</v>
      </c>
      <c r="Q2995">
        <v>0</v>
      </c>
      <c r="S2995" t="str">
        <f>"20:30:31.867"</f>
        <v>20:30:31.867</v>
      </c>
      <c r="T2995" t="str">
        <f>"20:30:31.367"</f>
        <v>20:30:31.367</v>
      </c>
      <c r="U2995" t="str">
        <f t="shared" si="144"/>
        <v>AB01F4</v>
      </c>
      <c r="V2995">
        <v>0</v>
      </c>
      <c r="W2995">
        <v>0</v>
      </c>
      <c r="X2995">
        <v>2</v>
      </c>
      <c r="Z2995">
        <v>0</v>
      </c>
      <c r="AA2995">
        <v>9</v>
      </c>
      <c r="AB2995">
        <v>3</v>
      </c>
      <c r="AC2995">
        <v>0</v>
      </c>
      <c r="AD2995">
        <v>10</v>
      </c>
      <c r="AE2995">
        <v>0</v>
      </c>
      <c r="AF2995">
        <v>3</v>
      </c>
      <c r="AG2995">
        <v>2</v>
      </c>
      <c r="AH2995">
        <v>0</v>
      </c>
      <c r="AI2995" t="s">
        <v>1747</v>
      </c>
      <c r="AJ2995">
        <v>40.035767999999997</v>
      </c>
      <c r="AK2995" t="s">
        <v>1748</v>
      </c>
      <c r="AL2995">
        <v>-92.850952000000007</v>
      </c>
      <c r="AM2995">
        <v>100</v>
      </c>
      <c r="AN2995">
        <v>1400</v>
      </c>
      <c r="AO2995" t="s">
        <v>118</v>
      </c>
      <c r="AP2995">
        <v>-133</v>
      </c>
      <c r="AQ2995">
        <v>39</v>
      </c>
      <c r="AR2995">
        <v>-256</v>
      </c>
      <c r="AZ2995">
        <v>1200</v>
      </c>
      <c r="BA2995">
        <v>1</v>
      </c>
      <c r="BB2995" t="str">
        <f t="shared" si="146"/>
        <v xml:space="preserve">N8080G  </v>
      </c>
      <c r="BC2995">
        <v>1</v>
      </c>
      <c r="BE2995">
        <v>0</v>
      </c>
      <c r="BF2995">
        <v>0</v>
      </c>
      <c r="BG2995">
        <v>0</v>
      </c>
      <c r="BH2995">
        <v>1425</v>
      </c>
      <c r="BI2995">
        <v>1</v>
      </c>
      <c r="BJ2995">
        <v>1</v>
      </c>
      <c r="BK2995">
        <v>1</v>
      </c>
      <c r="BL2995">
        <v>0</v>
      </c>
      <c r="BO2995">
        <v>0</v>
      </c>
      <c r="BP2995">
        <v>0</v>
      </c>
      <c r="BW2995" t="str">
        <f>"20:30:31.872"</f>
        <v>20:30:31.872</v>
      </c>
      <c r="BZ2995">
        <v>0</v>
      </c>
      <c r="CA2995">
        <v>1600</v>
      </c>
      <c r="CB2995">
        <v>224</v>
      </c>
      <c r="CD2995">
        <v>1</v>
      </c>
      <c r="CE2995">
        <v>0</v>
      </c>
      <c r="CF2995">
        <v>0</v>
      </c>
      <c r="CG2995">
        <v>0</v>
      </c>
      <c r="CH2995">
        <v>0</v>
      </c>
      <c r="CI2995">
        <v>0</v>
      </c>
      <c r="CJ2995">
        <v>0</v>
      </c>
      <c r="CK2995">
        <v>2</v>
      </c>
      <c r="CL2995">
        <v>0</v>
      </c>
      <c r="CM2995">
        <v>2</v>
      </c>
      <c r="CN2995">
        <v>0</v>
      </c>
      <c r="CO2995">
        <v>7</v>
      </c>
      <c r="CP2995" t="s">
        <v>119</v>
      </c>
      <c r="CQ2995">
        <v>180</v>
      </c>
      <c r="CR2995">
        <v>2</v>
      </c>
      <c r="CW2995">
        <v>8682624</v>
      </c>
      <c r="CY2995">
        <v>0</v>
      </c>
      <c r="CZ2995">
        <v>0</v>
      </c>
      <c r="DA2995">
        <v>0</v>
      </c>
      <c r="DB2995">
        <v>0</v>
      </c>
      <c r="DC2995">
        <v>0</v>
      </c>
      <c r="DD2995">
        <v>0</v>
      </c>
      <c r="DE2995">
        <v>0</v>
      </c>
      <c r="DF2995">
        <v>0</v>
      </c>
      <c r="DG2995">
        <v>0</v>
      </c>
      <c r="DH2995">
        <v>0</v>
      </c>
      <c r="DI2995">
        <v>0</v>
      </c>
    </row>
    <row r="2996" spans="1:113" x14ac:dyDescent="0.3">
      <c r="A2996" t="str">
        <f>"02/08/2021 20:30:29.536"</f>
        <v>02/08/2021 20:30:29.536</v>
      </c>
      <c r="C2996" t="str">
        <f t="shared" si="145"/>
        <v>FFDFD7C0</v>
      </c>
      <c r="D2996" t="s">
        <v>124</v>
      </c>
      <c r="E2996">
        <v>12</v>
      </c>
      <c r="F2996">
        <v>1012</v>
      </c>
      <c r="G2996" t="s">
        <v>675</v>
      </c>
      <c r="J2996" t="s">
        <v>125</v>
      </c>
      <c r="K2996">
        <v>0</v>
      </c>
      <c r="L2996">
        <v>3</v>
      </c>
      <c r="M2996">
        <v>0</v>
      </c>
      <c r="N2996">
        <v>2</v>
      </c>
      <c r="O2996">
        <v>1</v>
      </c>
      <c r="P2996">
        <v>0</v>
      </c>
      <c r="Q2996">
        <v>0</v>
      </c>
      <c r="S2996" t="str">
        <f>"20:30:31.867"</f>
        <v>20:30:31.867</v>
      </c>
      <c r="T2996" t="str">
        <f>"20:30:31.367"</f>
        <v>20:30:31.367</v>
      </c>
      <c r="U2996" t="str">
        <f t="shared" si="144"/>
        <v>AB01F4</v>
      </c>
      <c r="V2996">
        <v>0</v>
      </c>
      <c r="W2996">
        <v>0</v>
      </c>
      <c r="X2996">
        <v>2</v>
      </c>
      <c r="Z2996">
        <v>0</v>
      </c>
      <c r="AA2996">
        <v>9</v>
      </c>
      <c r="AB2996">
        <v>3</v>
      </c>
      <c r="AC2996">
        <v>0</v>
      </c>
      <c r="AD2996">
        <v>10</v>
      </c>
      <c r="AE2996">
        <v>0</v>
      </c>
      <c r="AF2996">
        <v>3</v>
      </c>
      <c r="AG2996">
        <v>2</v>
      </c>
      <c r="AH2996">
        <v>0</v>
      </c>
      <c r="AI2996" t="s">
        <v>1747</v>
      </c>
      <c r="AJ2996">
        <v>40.035767999999997</v>
      </c>
      <c r="AK2996" t="s">
        <v>1748</v>
      </c>
      <c r="AL2996">
        <v>-92.850952000000007</v>
      </c>
      <c r="AM2996">
        <v>100</v>
      </c>
      <c r="AN2996">
        <v>1400</v>
      </c>
      <c r="AO2996" t="s">
        <v>118</v>
      </c>
      <c r="AP2996">
        <v>-133</v>
      </c>
      <c r="AQ2996">
        <v>39</v>
      </c>
      <c r="AR2996">
        <v>-256</v>
      </c>
      <c r="AZ2996">
        <v>1200</v>
      </c>
      <c r="BA2996">
        <v>1</v>
      </c>
      <c r="BB2996" t="str">
        <f t="shared" si="146"/>
        <v xml:space="preserve">N8080G  </v>
      </c>
      <c r="BC2996">
        <v>1</v>
      </c>
      <c r="BE2996">
        <v>0</v>
      </c>
      <c r="BF2996">
        <v>0</v>
      </c>
      <c r="BG2996">
        <v>0</v>
      </c>
      <c r="BH2996">
        <v>1425</v>
      </c>
      <c r="BI2996">
        <v>1</v>
      </c>
      <c r="BJ2996">
        <v>1</v>
      </c>
      <c r="BK2996">
        <v>1</v>
      </c>
      <c r="BL2996">
        <v>0</v>
      </c>
      <c r="BO2996">
        <v>0</v>
      </c>
      <c r="BP2996">
        <v>0</v>
      </c>
      <c r="BW2996" t="str">
        <f>"20:30:31.872"</f>
        <v>20:30:31.872</v>
      </c>
      <c r="BZ2996">
        <v>0</v>
      </c>
      <c r="CA2996">
        <v>1600</v>
      </c>
      <c r="CB2996">
        <v>224</v>
      </c>
      <c r="CD2996">
        <v>1</v>
      </c>
      <c r="CE2996">
        <v>0</v>
      </c>
      <c r="CF2996">
        <v>0</v>
      </c>
      <c r="CG2996">
        <v>0</v>
      </c>
      <c r="CH2996">
        <v>0</v>
      </c>
      <c r="CI2996">
        <v>0</v>
      </c>
      <c r="CJ2996">
        <v>0</v>
      </c>
      <c r="CK2996">
        <v>2</v>
      </c>
      <c r="CL2996">
        <v>0</v>
      </c>
      <c r="CM2996">
        <v>2</v>
      </c>
      <c r="CN2996">
        <v>0</v>
      </c>
      <c r="CO2996">
        <v>7</v>
      </c>
      <c r="CP2996" t="s">
        <v>119</v>
      </c>
      <c r="CQ2996">
        <v>180</v>
      </c>
      <c r="CR2996">
        <v>2</v>
      </c>
      <c r="CW2996">
        <v>8682624</v>
      </c>
      <c r="CY2996">
        <v>0</v>
      </c>
      <c r="CZ2996">
        <v>0</v>
      </c>
      <c r="DA2996">
        <v>1</v>
      </c>
      <c r="DB2996">
        <v>0</v>
      </c>
      <c r="DC2996">
        <v>0</v>
      </c>
      <c r="DD2996">
        <v>0</v>
      </c>
      <c r="DE2996">
        <v>0</v>
      </c>
      <c r="DF2996">
        <v>0</v>
      </c>
      <c r="DG2996">
        <v>0</v>
      </c>
      <c r="DH2996">
        <v>0</v>
      </c>
      <c r="DI2996">
        <v>0</v>
      </c>
    </row>
    <row r="2997" spans="1:113" x14ac:dyDescent="0.3">
      <c r="A2997" t="str">
        <f>"02/08/2021 20:30:29.536"</f>
        <v>02/08/2021 20:30:29.536</v>
      </c>
      <c r="C2997" t="str">
        <f t="shared" si="145"/>
        <v>FFDFD7C0</v>
      </c>
      <c r="D2997" t="s">
        <v>124</v>
      </c>
      <c r="E2997">
        <v>11</v>
      </c>
      <c r="F2997">
        <v>1011</v>
      </c>
      <c r="G2997" t="s">
        <v>590</v>
      </c>
      <c r="J2997" t="s">
        <v>125</v>
      </c>
      <c r="K2997">
        <v>0</v>
      </c>
      <c r="L2997">
        <v>3</v>
      </c>
      <c r="M2997">
        <v>0</v>
      </c>
      <c r="N2997">
        <v>2</v>
      </c>
      <c r="O2997">
        <v>1</v>
      </c>
      <c r="P2997">
        <v>0</v>
      </c>
      <c r="Q2997">
        <v>0</v>
      </c>
      <c r="S2997" t="str">
        <f>"20:30:31.867"</f>
        <v>20:30:31.867</v>
      </c>
      <c r="T2997" t="str">
        <f>"20:30:31.367"</f>
        <v>20:30:31.367</v>
      </c>
      <c r="U2997" t="str">
        <f t="shared" si="144"/>
        <v>AB01F4</v>
      </c>
      <c r="V2997">
        <v>0</v>
      </c>
      <c r="W2997">
        <v>0</v>
      </c>
      <c r="X2997">
        <v>2</v>
      </c>
      <c r="Z2997">
        <v>0</v>
      </c>
      <c r="AA2997">
        <v>9</v>
      </c>
      <c r="AB2997">
        <v>3</v>
      </c>
      <c r="AC2997">
        <v>0</v>
      </c>
      <c r="AD2997">
        <v>10</v>
      </c>
      <c r="AE2997">
        <v>0</v>
      </c>
      <c r="AF2997">
        <v>3</v>
      </c>
      <c r="AG2997">
        <v>2</v>
      </c>
      <c r="AH2997">
        <v>0</v>
      </c>
      <c r="AI2997" t="s">
        <v>1747</v>
      </c>
      <c r="AJ2997">
        <v>40.035767999999997</v>
      </c>
      <c r="AK2997" t="s">
        <v>1748</v>
      </c>
      <c r="AL2997">
        <v>-92.850952000000007</v>
      </c>
      <c r="AM2997">
        <v>100</v>
      </c>
      <c r="AN2997">
        <v>1400</v>
      </c>
      <c r="AO2997" t="s">
        <v>118</v>
      </c>
      <c r="AP2997">
        <v>-133</v>
      </c>
      <c r="AQ2997">
        <v>39</v>
      </c>
      <c r="AR2997">
        <v>-256</v>
      </c>
      <c r="AZ2997">
        <v>1200</v>
      </c>
      <c r="BA2997">
        <v>1</v>
      </c>
      <c r="BB2997" t="str">
        <f t="shared" si="146"/>
        <v xml:space="preserve">N8080G  </v>
      </c>
      <c r="BC2997">
        <v>1</v>
      </c>
      <c r="BE2997">
        <v>0</v>
      </c>
      <c r="BF2997">
        <v>0</v>
      </c>
      <c r="BG2997">
        <v>0</v>
      </c>
      <c r="BH2997">
        <v>1425</v>
      </c>
      <c r="BI2997">
        <v>1</v>
      </c>
      <c r="BJ2997">
        <v>1</v>
      </c>
      <c r="BK2997">
        <v>1</v>
      </c>
      <c r="BL2997">
        <v>0</v>
      </c>
      <c r="BO2997">
        <v>0</v>
      </c>
      <c r="BP2997">
        <v>0</v>
      </c>
      <c r="BW2997" t="str">
        <f>"20:30:31.872"</f>
        <v>20:30:31.872</v>
      </c>
      <c r="BZ2997">
        <v>0</v>
      </c>
      <c r="CA2997">
        <v>1600</v>
      </c>
      <c r="CB2997">
        <v>224</v>
      </c>
      <c r="CD2997">
        <v>1</v>
      </c>
      <c r="CE2997">
        <v>0</v>
      </c>
      <c r="CF2997">
        <v>0</v>
      </c>
      <c r="CG2997">
        <v>0</v>
      </c>
      <c r="CH2997">
        <v>0</v>
      </c>
      <c r="CI2997">
        <v>0</v>
      </c>
      <c r="CJ2997">
        <v>0</v>
      </c>
      <c r="CK2997">
        <v>2</v>
      </c>
      <c r="CL2997">
        <v>0</v>
      </c>
      <c r="CM2997">
        <v>2</v>
      </c>
      <c r="CN2997">
        <v>0</v>
      </c>
      <c r="CO2997">
        <v>7</v>
      </c>
      <c r="CP2997" t="s">
        <v>119</v>
      </c>
      <c r="CQ2997">
        <v>180</v>
      </c>
      <c r="CR2997">
        <v>2</v>
      </c>
      <c r="CW2997">
        <v>8682624</v>
      </c>
      <c r="CY2997">
        <v>0</v>
      </c>
      <c r="CZ2997">
        <v>0</v>
      </c>
      <c r="DA2997">
        <v>1</v>
      </c>
      <c r="DB2997">
        <v>0</v>
      </c>
      <c r="DC2997">
        <v>0</v>
      </c>
      <c r="DD2997">
        <v>0</v>
      </c>
      <c r="DE2997">
        <v>0</v>
      </c>
      <c r="DF2997">
        <v>0</v>
      </c>
      <c r="DG2997">
        <v>0</v>
      </c>
      <c r="DH2997">
        <v>0</v>
      </c>
      <c r="DI2997">
        <v>0</v>
      </c>
    </row>
    <row r="2998" spans="1:113" x14ac:dyDescent="0.3">
      <c r="A2998" t="str">
        <f>"02/08/2021 20:30:29.536"</f>
        <v>02/08/2021 20:30:29.536</v>
      </c>
      <c r="C2998" t="str">
        <f t="shared" si="145"/>
        <v>FFDFD7C0</v>
      </c>
      <c r="D2998" t="s">
        <v>124</v>
      </c>
      <c r="E2998">
        <v>13</v>
      </c>
      <c r="F2998">
        <v>1013</v>
      </c>
      <c r="G2998" t="s">
        <v>114</v>
      </c>
      <c r="J2998" t="s">
        <v>125</v>
      </c>
      <c r="K2998">
        <v>0</v>
      </c>
      <c r="L2998">
        <v>3</v>
      </c>
      <c r="M2998">
        <v>0</v>
      </c>
      <c r="N2998">
        <v>2</v>
      </c>
      <c r="O2998">
        <v>1</v>
      </c>
      <c r="P2998">
        <v>0</v>
      </c>
      <c r="Q2998">
        <v>0</v>
      </c>
      <c r="S2998" t="str">
        <f>"20:30:31.867"</f>
        <v>20:30:31.867</v>
      </c>
      <c r="T2998" t="str">
        <f>"20:30:31.367"</f>
        <v>20:30:31.367</v>
      </c>
      <c r="U2998" t="str">
        <f t="shared" si="144"/>
        <v>AB01F4</v>
      </c>
      <c r="V2998">
        <v>0</v>
      </c>
      <c r="W2998">
        <v>0</v>
      </c>
      <c r="X2998">
        <v>2</v>
      </c>
      <c r="Z2998">
        <v>0</v>
      </c>
      <c r="AA2998">
        <v>9</v>
      </c>
      <c r="AB2998">
        <v>3</v>
      </c>
      <c r="AC2998">
        <v>0</v>
      </c>
      <c r="AD2998">
        <v>10</v>
      </c>
      <c r="AE2998">
        <v>0</v>
      </c>
      <c r="AF2998">
        <v>3</v>
      </c>
      <c r="AG2998">
        <v>2</v>
      </c>
      <c r="AH2998">
        <v>0</v>
      </c>
      <c r="AI2998" t="s">
        <v>1747</v>
      </c>
      <c r="AJ2998">
        <v>40.035767999999997</v>
      </c>
      <c r="AK2998" t="s">
        <v>1748</v>
      </c>
      <c r="AL2998">
        <v>-92.850952000000007</v>
      </c>
      <c r="AM2998">
        <v>100</v>
      </c>
      <c r="AN2998">
        <v>1400</v>
      </c>
      <c r="AO2998" t="s">
        <v>118</v>
      </c>
      <c r="AP2998">
        <v>-133</v>
      </c>
      <c r="AQ2998">
        <v>39</v>
      </c>
      <c r="AR2998">
        <v>-256</v>
      </c>
      <c r="AZ2998">
        <v>1200</v>
      </c>
      <c r="BA2998">
        <v>1</v>
      </c>
      <c r="BB2998" t="str">
        <f t="shared" si="146"/>
        <v xml:space="preserve">N8080G  </v>
      </c>
      <c r="BC2998">
        <v>1</v>
      </c>
      <c r="BE2998">
        <v>0</v>
      </c>
      <c r="BF2998">
        <v>0</v>
      </c>
      <c r="BG2998">
        <v>0</v>
      </c>
      <c r="BH2998">
        <v>1425</v>
      </c>
      <c r="BI2998">
        <v>1</v>
      </c>
      <c r="BJ2998">
        <v>1</v>
      </c>
      <c r="BK2998">
        <v>1</v>
      </c>
      <c r="BL2998">
        <v>0</v>
      </c>
      <c r="BO2998">
        <v>0</v>
      </c>
      <c r="BP2998">
        <v>0</v>
      </c>
      <c r="BW2998" t="str">
        <f>"20:30:31.872"</f>
        <v>20:30:31.872</v>
      </c>
      <c r="BZ2998">
        <v>0</v>
      </c>
      <c r="CA2998">
        <v>1600</v>
      </c>
      <c r="CB2998">
        <v>224</v>
      </c>
      <c r="CD2998">
        <v>1</v>
      </c>
      <c r="CE2998">
        <v>0</v>
      </c>
      <c r="CF2998">
        <v>0</v>
      </c>
      <c r="CG2998">
        <v>0</v>
      </c>
      <c r="CH2998">
        <v>0</v>
      </c>
      <c r="CI2998">
        <v>0</v>
      </c>
      <c r="CJ2998">
        <v>0</v>
      </c>
      <c r="CK2998">
        <v>2</v>
      </c>
      <c r="CL2998">
        <v>0</v>
      </c>
      <c r="CM2998">
        <v>2</v>
      </c>
      <c r="CN2998">
        <v>0</v>
      </c>
      <c r="CO2998">
        <v>7</v>
      </c>
      <c r="CP2998" t="s">
        <v>119</v>
      </c>
      <c r="CQ2998">
        <v>180</v>
      </c>
      <c r="CR2998">
        <v>2</v>
      </c>
      <c r="CW2998">
        <v>8682624</v>
      </c>
      <c r="CY2998">
        <v>0</v>
      </c>
      <c r="CZ2998">
        <v>0</v>
      </c>
      <c r="DA2998">
        <v>1</v>
      </c>
      <c r="DB2998">
        <v>0</v>
      </c>
      <c r="DC2998">
        <v>0</v>
      </c>
      <c r="DD2998">
        <v>0</v>
      </c>
      <c r="DE2998">
        <v>0</v>
      </c>
      <c r="DF2998">
        <v>0</v>
      </c>
      <c r="DG2998">
        <v>0</v>
      </c>
      <c r="DH2998">
        <v>0</v>
      </c>
      <c r="DI2998">
        <v>0</v>
      </c>
    </row>
    <row r="2999" spans="1:113" x14ac:dyDescent="0.3">
      <c r="A2999" t="str">
        <f>"02/08/2021 20:30:30.988"</f>
        <v>02/08/2021 20:30:30.988</v>
      </c>
      <c r="C2999" t="str">
        <f t="shared" si="145"/>
        <v>FFDFD7C0</v>
      </c>
      <c r="D2999" t="s">
        <v>124</v>
      </c>
      <c r="E2999">
        <v>13</v>
      </c>
      <c r="F2999">
        <v>1013</v>
      </c>
      <c r="G2999" t="s">
        <v>114</v>
      </c>
      <c r="J2999" t="s">
        <v>125</v>
      </c>
      <c r="K2999">
        <v>0</v>
      </c>
      <c r="L2999">
        <v>3</v>
      </c>
      <c r="M2999">
        <v>0</v>
      </c>
      <c r="N2999">
        <v>2</v>
      </c>
      <c r="O2999">
        <v>1</v>
      </c>
      <c r="P2999">
        <v>0</v>
      </c>
      <c r="Q2999">
        <v>0</v>
      </c>
      <c r="S2999" t="str">
        <f>"20:30:33.313"</f>
        <v>20:30:33.313</v>
      </c>
      <c r="T2999" t="str">
        <f>"20:30:32.913"</f>
        <v>20:30:32.913</v>
      </c>
      <c r="U2999" t="str">
        <f t="shared" si="144"/>
        <v>AB01F4</v>
      </c>
      <c r="V2999">
        <v>0</v>
      </c>
      <c r="W2999">
        <v>0</v>
      </c>
      <c r="X2999">
        <v>2</v>
      </c>
      <c r="Z2999">
        <v>0</v>
      </c>
      <c r="AA2999">
        <v>9</v>
      </c>
      <c r="AB2999">
        <v>3</v>
      </c>
      <c r="AC2999">
        <v>0</v>
      </c>
      <c r="AD2999">
        <v>10</v>
      </c>
      <c r="AE2999">
        <v>0</v>
      </c>
      <c r="AF2999">
        <v>3</v>
      </c>
      <c r="AG2999">
        <v>2</v>
      </c>
      <c r="AH2999">
        <v>0</v>
      </c>
      <c r="AI2999" t="s">
        <v>1749</v>
      </c>
      <c r="AJ2999">
        <v>40.036003999999998</v>
      </c>
      <c r="AK2999" t="s">
        <v>1750</v>
      </c>
      <c r="AL2999">
        <v>-92.852068000000003</v>
      </c>
      <c r="AM2999">
        <v>100</v>
      </c>
      <c r="AN2999">
        <v>1400</v>
      </c>
      <c r="AO2999" t="s">
        <v>118</v>
      </c>
      <c r="AP2999">
        <v>-133</v>
      </c>
      <c r="AQ2999">
        <v>39</v>
      </c>
      <c r="AR2999">
        <v>-128</v>
      </c>
      <c r="AZ2999">
        <v>1200</v>
      </c>
      <c r="BA2999">
        <v>1</v>
      </c>
      <c r="BB2999" t="str">
        <f t="shared" si="146"/>
        <v xml:space="preserve">N8080G  </v>
      </c>
      <c r="BC2999">
        <v>1</v>
      </c>
      <c r="BE2999">
        <v>0</v>
      </c>
      <c r="BF2999">
        <v>0</v>
      </c>
      <c r="BG2999">
        <v>0</v>
      </c>
      <c r="BH2999">
        <v>1425</v>
      </c>
      <c r="BI2999">
        <v>1</v>
      </c>
      <c r="BJ2999">
        <v>1</v>
      </c>
      <c r="BK2999">
        <v>1</v>
      </c>
      <c r="BL2999">
        <v>0</v>
      </c>
      <c r="BO2999">
        <v>0</v>
      </c>
      <c r="BP2999">
        <v>0</v>
      </c>
      <c r="BW2999" t="str">
        <f>"20:30:33.314"</f>
        <v>20:30:33.314</v>
      </c>
      <c r="BZ2999">
        <v>0</v>
      </c>
      <c r="CA2999">
        <v>1600</v>
      </c>
      <c r="CB2999">
        <v>224</v>
      </c>
      <c r="CD2999">
        <v>1</v>
      </c>
      <c r="CE2999">
        <v>0</v>
      </c>
      <c r="CF2999">
        <v>0</v>
      </c>
      <c r="CG2999">
        <v>0</v>
      </c>
      <c r="CH2999">
        <v>0</v>
      </c>
      <c r="CI2999">
        <v>0</v>
      </c>
      <c r="CJ2999">
        <v>0</v>
      </c>
      <c r="CK2999">
        <v>2</v>
      </c>
      <c r="CL2999">
        <v>0</v>
      </c>
      <c r="CM2999">
        <v>2</v>
      </c>
      <c r="CN2999">
        <v>0</v>
      </c>
      <c r="CO2999">
        <v>7</v>
      </c>
      <c r="CP2999" t="s">
        <v>119</v>
      </c>
      <c r="CQ2999">
        <v>180</v>
      </c>
      <c r="CR2999">
        <v>2</v>
      </c>
      <c r="CW2999">
        <v>8683877</v>
      </c>
      <c r="CY2999">
        <v>0</v>
      </c>
      <c r="CZ2999">
        <v>0</v>
      </c>
      <c r="DA2999">
        <v>0</v>
      </c>
      <c r="DB2999">
        <v>0</v>
      </c>
      <c r="DC2999">
        <v>0</v>
      </c>
      <c r="DD2999">
        <v>0</v>
      </c>
      <c r="DE2999">
        <v>0</v>
      </c>
      <c r="DF2999">
        <v>0</v>
      </c>
      <c r="DG2999">
        <v>0</v>
      </c>
      <c r="DH2999">
        <v>0</v>
      </c>
      <c r="DI2999">
        <v>0</v>
      </c>
    </row>
    <row r="3000" spans="1:113" x14ac:dyDescent="0.3">
      <c r="A3000" t="str">
        <f>"02/08/2021 20:30:30.988"</f>
        <v>02/08/2021 20:30:30.988</v>
      </c>
      <c r="C3000" t="str">
        <f t="shared" si="145"/>
        <v>FFDFD7C0</v>
      </c>
      <c r="D3000" t="s">
        <v>113</v>
      </c>
      <c r="E3000">
        <v>6</v>
      </c>
      <c r="H3000">
        <v>165</v>
      </c>
      <c r="I3000" t="s">
        <v>114</v>
      </c>
      <c r="J3000" t="s">
        <v>115</v>
      </c>
      <c r="K3000">
        <v>0</v>
      </c>
      <c r="L3000">
        <v>3</v>
      </c>
      <c r="M3000">
        <v>0</v>
      </c>
      <c r="N3000">
        <v>2</v>
      </c>
      <c r="O3000">
        <v>1</v>
      </c>
      <c r="P3000">
        <v>0</v>
      </c>
      <c r="Q3000">
        <v>0</v>
      </c>
      <c r="S3000" t="str">
        <f>"20:30:33.313"</f>
        <v>20:30:33.313</v>
      </c>
      <c r="T3000" t="str">
        <f>"20:30:32.913"</f>
        <v>20:30:32.913</v>
      </c>
      <c r="U3000" t="str">
        <f t="shared" si="144"/>
        <v>AB01F4</v>
      </c>
      <c r="V3000">
        <v>0</v>
      </c>
      <c r="W3000">
        <v>0</v>
      </c>
      <c r="X3000">
        <v>2</v>
      </c>
      <c r="Z3000">
        <v>0</v>
      </c>
      <c r="AA3000">
        <v>9</v>
      </c>
      <c r="AB3000">
        <v>3</v>
      </c>
      <c r="AC3000">
        <v>0</v>
      </c>
      <c r="AD3000">
        <v>10</v>
      </c>
      <c r="AE3000">
        <v>0</v>
      </c>
      <c r="AF3000">
        <v>3</v>
      </c>
      <c r="AG3000">
        <v>2</v>
      </c>
      <c r="AH3000">
        <v>0</v>
      </c>
      <c r="AI3000" t="s">
        <v>1749</v>
      </c>
      <c r="AJ3000">
        <v>40.036003999999998</v>
      </c>
      <c r="AK3000" t="s">
        <v>1750</v>
      </c>
      <c r="AL3000">
        <v>-92.852068000000003</v>
      </c>
      <c r="AM3000">
        <v>100</v>
      </c>
      <c r="AN3000">
        <v>1400</v>
      </c>
      <c r="AO3000" t="s">
        <v>118</v>
      </c>
      <c r="AP3000">
        <v>-133</v>
      </c>
      <c r="AQ3000">
        <v>39</v>
      </c>
      <c r="AR3000">
        <v>-128</v>
      </c>
      <c r="AZ3000">
        <v>1200</v>
      </c>
      <c r="BA3000">
        <v>1</v>
      </c>
      <c r="BB3000" t="str">
        <f t="shared" si="146"/>
        <v xml:space="preserve">N8080G  </v>
      </c>
      <c r="BC3000">
        <v>1</v>
      </c>
      <c r="BE3000">
        <v>0</v>
      </c>
      <c r="BF3000">
        <v>0</v>
      </c>
      <c r="BG3000">
        <v>0</v>
      </c>
      <c r="BH3000">
        <v>1425</v>
      </c>
      <c r="BI3000">
        <v>1</v>
      </c>
      <c r="BJ3000">
        <v>1</v>
      </c>
      <c r="BK3000">
        <v>1</v>
      </c>
      <c r="BL3000">
        <v>0</v>
      </c>
      <c r="BO3000">
        <v>0</v>
      </c>
      <c r="BP3000">
        <v>0</v>
      </c>
      <c r="BW3000" t="str">
        <f>"20:30:33.314"</f>
        <v>20:30:33.314</v>
      </c>
      <c r="BZ3000">
        <v>0</v>
      </c>
      <c r="CA3000">
        <v>1600</v>
      </c>
      <c r="CB3000">
        <v>224</v>
      </c>
      <c r="CD3000">
        <v>1</v>
      </c>
      <c r="CE3000">
        <v>0</v>
      </c>
      <c r="CF3000">
        <v>0</v>
      </c>
      <c r="CG3000">
        <v>0</v>
      </c>
      <c r="CH3000">
        <v>0</v>
      </c>
      <c r="CI3000">
        <v>0</v>
      </c>
      <c r="CJ3000">
        <v>0</v>
      </c>
      <c r="CK3000">
        <v>2</v>
      </c>
      <c r="CL3000">
        <v>0</v>
      </c>
      <c r="CM3000">
        <v>2</v>
      </c>
      <c r="CN3000">
        <v>0</v>
      </c>
      <c r="CO3000">
        <v>7</v>
      </c>
      <c r="CP3000" t="s">
        <v>119</v>
      </c>
      <c r="CQ3000">
        <v>180</v>
      </c>
      <c r="CR3000">
        <v>2</v>
      </c>
      <c r="CW3000">
        <v>8683877</v>
      </c>
      <c r="CY3000">
        <v>0</v>
      </c>
      <c r="CZ3000">
        <v>0</v>
      </c>
      <c r="DA3000">
        <v>1</v>
      </c>
      <c r="DB3000">
        <v>0</v>
      </c>
      <c r="DC3000">
        <v>0</v>
      </c>
      <c r="DD3000">
        <v>0</v>
      </c>
      <c r="DE3000">
        <v>0</v>
      </c>
      <c r="DF3000">
        <v>0</v>
      </c>
      <c r="DG3000">
        <v>0</v>
      </c>
      <c r="DH3000">
        <v>0</v>
      </c>
      <c r="DI3000">
        <v>0</v>
      </c>
    </row>
    <row r="3001" spans="1:113" x14ac:dyDescent="0.3">
      <c r="A3001" t="str">
        <f>"02/08/2021 20:30:30.988"</f>
        <v>02/08/2021 20:30:30.988</v>
      </c>
      <c r="C3001" t="str">
        <f t="shared" si="145"/>
        <v>FFDFD7C0</v>
      </c>
      <c r="D3001" t="s">
        <v>124</v>
      </c>
      <c r="E3001">
        <v>12</v>
      </c>
      <c r="F3001">
        <v>1012</v>
      </c>
      <c r="G3001" t="s">
        <v>675</v>
      </c>
      <c r="J3001" t="s">
        <v>125</v>
      </c>
      <c r="K3001">
        <v>0</v>
      </c>
      <c r="L3001">
        <v>3</v>
      </c>
      <c r="M3001">
        <v>0</v>
      </c>
      <c r="N3001">
        <v>2</v>
      </c>
      <c r="O3001">
        <v>1</v>
      </c>
      <c r="P3001">
        <v>0</v>
      </c>
      <c r="Q3001">
        <v>0</v>
      </c>
      <c r="S3001" t="str">
        <f>"20:30:33.313"</f>
        <v>20:30:33.313</v>
      </c>
      <c r="T3001" t="str">
        <f>"20:30:32.913"</f>
        <v>20:30:32.913</v>
      </c>
      <c r="U3001" t="str">
        <f t="shared" si="144"/>
        <v>AB01F4</v>
      </c>
      <c r="V3001">
        <v>0</v>
      </c>
      <c r="W3001">
        <v>0</v>
      </c>
      <c r="X3001">
        <v>2</v>
      </c>
      <c r="Z3001">
        <v>0</v>
      </c>
      <c r="AA3001">
        <v>9</v>
      </c>
      <c r="AB3001">
        <v>3</v>
      </c>
      <c r="AC3001">
        <v>0</v>
      </c>
      <c r="AD3001">
        <v>10</v>
      </c>
      <c r="AE3001">
        <v>0</v>
      </c>
      <c r="AF3001">
        <v>3</v>
      </c>
      <c r="AG3001">
        <v>2</v>
      </c>
      <c r="AH3001">
        <v>0</v>
      </c>
      <c r="AI3001" t="s">
        <v>1749</v>
      </c>
      <c r="AJ3001">
        <v>40.036003999999998</v>
      </c>
      <c r="AK3001" t="s">
        <v>1750</v>
      </c>
      <c r="AL3001">
        <v>-92.852068000000003</v>
      </c>
      <c r="AM3001">
        <v>100</v>
      </c>
      <c r="AN3001">
        <v>1400</v>
      </c>
      <c r="AO3001" t="s">
        <v>118</v>
      </c>
      <c r="AP3001">
        <v>-133</v>
      </c>
      <c r="AQ3001">
        <v>39</v>
      </c>
      <c r="AR3001">
        <v>-128</v>
      </c>
      <c r="AZ3001">
        <v>1200</v>
      </c>
      <c r="BA3001">
        <v>1</v>
      </c>
      <c r="BB3001" t="str">
        <f t="shared" si="146"/>
        <v xml:space="preserve">N8080G  </v>
      </c>
      <c r="BC3001">
        <v>1</v>
      </c>
      <c r="BE3001">
        <v>0</v>
      </c>
      <c r="BF3001">
        <v>0</v>
      </c>
      <c r="BG3001">
        <v>0</v>
      </c>
      <c r="BH3001">
        <v>1425</v>
      </c>
      <c r="BI3001">
        <v>1</v>
      </c>
      <c r="BJ3001">
        <v>1</v>
      </c>
      <c r="BK3001">
        <v>1</v>
      </c>
      <c r="BL3001">
        <v>0</v>
      </c>
      <c r="BO3001">
        <v>0</v>
      </c>
      <c r="BP3001">
        <v>0</v>
      </c>
      <c r="BW3001" t="str">
        <f>"20:30:33.314"</f>
        <v>20:30:33.314</v>
      </c>
      <c r="BZ3001">
        <v>0</v>
      </c>
      <c r="CA3001">
        <v>1600</v>
      </c>
      <c r="CB3001">
        <v>224</v>
      </c>
      <c r="CD3001">
        <v>1</v>
      </c>
      <c r="CE3001">
        <v>0</v>
      </c>
      <c r="CF3001">
        <v>0</v>
      </c>
      <c r="CG3001">
        <v>0</v>
      </c>
      <c r="CH3001">
        <v>0</v>
      </c>
      <c r="CI3001">
        <v>0</v>
      </c>
      <c r="CJ3001">
        <v>0</v>
      </c>
      <c r="CK3001">
        <v>2</v>
      </c>
      <c r="CL3001">
        <v>0</v>
      </c>
      <c r="CM3001">
        <v>2</v>
      </c>
      <c r="CN3001">
        <v>0</v>
      </c>
      <c r="CO3001">
        <v>7</v>
      </c>
      <c r="CP3001" t="s">
        <v>119</v>
      </c>
      <c r="CQ3001">
        <v>180</v>
      </c>
      <c r="CR3001">
        <v>2</v>
      </c>
      <c r="CW3001">
        <v>8683877</v>
      </c>
      <c r="CY3001">
        <v>0</v>
      </c>
      <c r="CZ3001">
        <v>0</v>
      </c>
      <c r="DA3001">
        <v>1</v>
      </c>
      <c r="DB3001">
        <v>0</v>
      </c>
      <c r="DC3001">
        <v>0</v>
      </c>
      <c r="DD3001">
        <v>0</v>
      </c>
      <c r="DE3001">
        <v>0</v>
      </c>
      <c r="DF3001">
        <v>0</v>
      </c>
      <c r="DG3001">
        <v>0</v>
      </c>
      <c r="DH3001">
        <v>0</v>
      </c>
      <c r="DI3001">
        <v>0</v>
      </c>
    </row>
    <row r="3002" spans="1:113" x14ac:dyDescent="0.3">
      <c r="A3002" t="str">
        <f>"02/08/2021 20:30:30.988"</f>
        <v>02/08/2021 20:30:30.988</v>
      </c>
      <c r="C3002" t="str">
        <f t="shared" si="145"/>
        <v>FFDFD7C0</v>
      </c>
      <c r="D3002" t="s">
        <v>124</v>
      </c>
      <c r="E3002">
        <v>11</v>
      </c>
      <c r="F3002">
        <v>1011</v>
      </c>
      <c r="G3002" t="s">
        <v>590</v>
      </c>
      <c r="J3002" t="s">
        <v>125</v>
      </c>
      <c r="K3002">
        <v>0</v>
      </c>
      <c r="L3002">
        <v>3</v>
      </c>
      <c r="M3002">
        <v>0</v>
      </c>
      <c r="N3002">
        <v>2</v>
      </c>
      <c r="O3002">
        <v>1</v>
      </c>
      <c r="P3002">
        <v>0</v>
      </c>
      <c r="Q3002">
        <v>0</v>
      </c>
      <c r="S3002" t="str">
        <f>"20:30:33.313"</f>
        <v>20:30:33.313</v>
      </c>
      <c r="T3002" t="str">
        <f>"20:30:32.913"</f>
        <v>20:30:32.913</v>
      </c>
      <c r="U3002" t="str">
        <f t="shared" si="144"/>
        <v>AB01F4</v>
      </c>
      <c r="V3002">
        <v>0</v>
      </c>
      <c r="W3002">
        <v>0</v>
      </c>
      <c r="X3002">
        <v>2</v>
      </c>
      <c r="Z3002">
        <v>0</v>
      </c>
      <c r="AA3002">
        <v>9</v>
      </c>
      <c r="AB3002">
        <v>3</v>
      </c>
      <c r="AC3002">
        <v>0</v>
      </c>
      <c r="AD3002">
        <v>10</v>
      </c>
      <c r="AE3002">
        <v>0</v>
      </c>
      <c r="AF3002">
        <v>3</v>
      </c>
      <c r="AG3002">
        <v>2</v>
      </c>
      <c r="AH3002">
        <v>0</v>
      </c>
      <c r="AI3002" t="s">
        <v>1749</v>
      </c>
      <c r="AJ3002">
        <v>40.036003999999998</v>
      </c>
      <c r="AK3002" t="s">
        <v>1750</v>
      </c>
      <c r="AL3002">
        <v>-92.852068000000003</v>
      </c>
      <c r="AM3002">
        <v>100</v>
      </c>
      <c r="AN3002">
        <v>1400</v>
      </c>
      <c r="AO3002" t="s">
        <v>118</v>
      </c>
      <c r="AP3002">
        <v>-133</v>
      </c>
      <c r="AQ3002">
        <v>39</v>
      </c>
      <c r="AR3002">
        <v>-128</v>
      </c>
      <c r="AZ3002">
        <v>1200</v>
      </c>
      <c r="BA3002">
        <v>1</v>
      </c>
      <c r="BB3002" t="str">
        <f t="shared" si="146"/>
        <v xml:space="preserve">N8080G  </v>
      </c>
      <c r="BC3002">
        <v>1</v>
      </c>
      <c r="BE3002">
        <v>0</v>
      </c>
      <c r="BF3002">
        <v>0</v>
      </c>
      <c r="BG3002">
        <v>0</v>
      </c>
      <c r="BH3002">
        <v>1425</v>
      </c>
      <c r="BI3002">
        <v>1</v>
      </c>
      <c r="BJ3002">
        <v>1</v>
      </c>
      <c r="BK3002">
        <v>1</v>
      </c>
      <c r="BL3002">
        <v>0</v>
      </c>
      <c r="BO3002">
        <v>0</v>
      </c>
      <c r="BP3002">
        <v>0</v>
      </c>
      <c r="BW3002" t="str">
        <f>"20:30:33.314"</f>
        <v>20:30:33.314</v>
      </c>
      <c r="BZ3002">
        <v>0</v>
      </c>
      <c r="CA3002">
        <v>1600</v>
      </c>
      <c r="CB3002">
        <v>224</v>
      </c>
      <c r="CD3002">
        <v>1</v>
      </c>
      <c r="CE3002">
        <v>0</v>
      </c>
      <c r="CF3002">
        <v>0</v>
      </c>
      <c r="CG3002">
        <v>0</v>
      </c>
      <c r="CH3002">
        <v>0</v>
      </c>
      <c r="CI3002">
        <v>0</v>
      </c>
      <c r="CJ3002">
        <v>0</v>
      </c>
      <c r="CK3002">
        <v>2</v>
      </c>
      <c r="CL3002">
        <v>0</v>
      </c>
      <c r="CM3002">
        <v>2</v>
      </c>
      <c r="CN3002">
        <v>0</v>
      </c>
      <c r="CO3002">
        <v>7</v>
      </c>
      <c r="CP3002" t="s">
        <v>119</v>
      </c>
      <c r="CQ3002">
        <v>180</v>
      </c>
      <c r="CR3002">
        <v>2</v>
      </c>
      <c r="CW3002">
        <v>8683877</v>
      </c>
      <c r="CY3002">
        <v>0</v>
      </c>
      <c r="CZ3002">
        <v>0</v>
      </c>
      <c r="DA3002">
        <v>1</v>
      </c>
      <c r="DB3002">
        <v>0</v>
      </c>
      <c r="DC3002">
        <v>0</v>
      </c>
      <c r="DD3002">
        <v>0</v>
      </c>
      <c r="DE3002">
        <v>0</v>
      </c>
      <c r="DF3002">
        <v>0</v>
      </c>
      <c r="DG3002">
        <v>0</v>
      </c>
      <c r="DH3002">
        <v>0</v>
      </c>
      <c r="DI3002">
        <v>0</v>
      </c>
    </row>
    <row r="3003" spans="1:113" x14ac:dyDescent="0.3">
      <c r="A3003" t="str">
        <f>"02/08/2021 20:30:32.570"</f>
        <v>02/08/2021 20:30:32.570</v>
      </c>
      <c r="C3003" t="str">
        <f t="shared" si="145"/>
        <v>FFDFD7C0</v>
      </c>
      <c r="D3003" t="s">
        <v>113</v>
      </c>
      <c r="E3003">
        <v>6</v>
      </c>
      <c r="H3003">
        <v>165</v>
      </c>
      <c r="I3003" t="s">
        <v>114</v>
      </c>
      <c r="J3003" t="s">
        <v>115</v>
      </c>
      <c r="K3003">
        <v>0</v>
      </c>
      <c r="L3003">
        <v>3</v>
      </c>
      <c r="M3003">
        <v>0</v>
      </c>
      <c r="N3003">
        <v>2</v>
      </c>
      <c r="O3003">
        <v>1</v>
      </c>
      <c r="P3003">
        <v>0</v>
      </c>
      <c r="Q3003">
        <v>0</v>
      </c>
      <c r="S3003" t="str">
        <f>"20:30:34.922"</f>
        <v>20:30:34.922</v>
      </c>
      <c r="T3003" t="str">
        <f>"20:30:34.422"</f>
        <v>20:30:34.422</v>
      </c>
      <c r="U3003" t="str">
        <f t="shared" si="144"/>
        <v>AB01F4</v>
      </c>
      <c r="V3003">
        <v>0</v>
      </c>
      <c r="W3003">
        <v>0</v>
      </c>
      <c r="X3003">
        <v>2</v>
      </c>
      <c r="Z3003">
        <v>0</v>
      </c>
      <c r="AA3003">
        <v>9</v>
      </c>
      <c r="AB3003">
        <v>3</v>
      </c>
      <c r="AC3003">
        <v>0</v>
      </c>
      <c r="AD3003">
        <v>10</v>
      </c>
      <c r="AE3003">
        <v>0</v>
      </c>
      <c r="AF3003">
        <v>3</v>
      </c>
      <c r="AG3003">
        <v>2</v>
      </c>
      <c r="AH3003">
        <v>0</v>
      </c>
      <c r="AI3003" t="s">
        <v>1751</v>
      </c>
      <c r="AJ3003">
        <v>40.036324999999998</v>
      </c>
      <c r="AK3003" t="s">
        <v>1752</v>
      </c>
      <c r="AL3003">
        <v>-92.853397999999999</v>
      </c>
      <c r="AM3003">
        <v>100</v>
      </c>
      <c r="AN3003">
        <v>1400</v>
      </c>
      <c r="AO3003" t="s">
        <v>118</v>
      </c>
      <c r="AP3003">
        <v>-133</v>
      </c>
      <c r="AQ3003">
        <v>40</v>
      </c>
      <c r="AR3003">
        <v>-192</v>
      </c>
      <c r="AZ3003">
        <v>1200</v>
      </c>
      <c r="BA3003">
        <v>1</v>
      </c>
      <c r="BB3003" t="str">
        <f t="shared" si="146"/>
        <v xml:space="preserve">N8080G  </v>
      </c>
      <c r="BC3003">
        <v>1</v>
      </c>
      <c r="BE3003">
        <v>0</v>
      </c>
      <c r="BF3003">
        <v>0</v>
      </c>
      <c r="BG3003">
        <v>0</v>
      </c>
      <c r="BH3003">
        <v>1400</v>
      </c>
      <c r="BI3003">
        <v>1</v>
      </c>
      <c r="BJ3003">
        <v>1</v>
      </c>
      <c r="BK3003">
        <v>1</v>
      </c>
      <c r="BL3003">
        <v>0</v>
      </c>
      <c r="BO3003">
        <v>0</v>
      </c>
      <c r="BP3003">
        <v>0</v>
      </c>
      <c r="BW3003" t="str">
        <f>"20:30:34.923"</f>
        <v>20:30:34.923</v>
      </c>
      <c r="BZ3003">
        <v>0</v>
      </c>
      <c r="CA3003">
        <v>1600</v>
      </c>
      <c r="CB3003">
        <v>224</v>
      </c>
      <c r="CD3003">
        <v>1</v>
      </c>
      <c r="CE3003">
        <v>0</v>
      </c>
      <c r="CF3003">
        <v>0</v>
      </c>
      <c r="CG3003">
        <v>0</v>
      </c>
      <c r="CH3003">
        <v>0</v>
      </c>
      <c r="CI3003">
        <v>0</v>
      </c>
      <c r="CJ3003">
        <v>0</v>
      </c>
      <c r="CK3003">
        <v>2</v>
      </c>
      <c r="CL3003">
        <v>0</v>
      </c>
      <c r="CM3003">
        <v>2</v>
      </c>
      <c r="CN3003">
        <v>0</v>
      </c>
      <c r="CO3003">
        <v>7</v>
      </c>
      <c r="CP3003" t="s">
        <v>119</v>
      </c>
      <c r="CQ3003">
        <v>180</v>
      </c>
      <c r="CR3003">
        <v>2</v>
      </c>
      <c r="CW3003">
        <v>8685217</v>
      </c>
      <c r="CY3003">
        <v>0</v>
      </c>
      <c r="CZ3003">
        <v>0</v>
      </c>
      <c r="DA3003">
        <v>0</v>
      </c>
      <c r="DB3003">
        <v>0</v>
      </c>
      <c r="DC3003">
        <v>0</v>
      </c>
      <c r="DD3003">
        <v>0</v>
      </c>
      <c r="DE3003">
        <v>0</v>
      </c>
      <c r="DF3003">
        <v>0</v>
      </c>
      <c r="DG3003">
        <v>0</v>
      </c>
      <c r="DH3003">
        <v>0</v>
      </c>
      <c r="DI3003">
        <v>0</v>
      </c>
    </row>
    <row r="3004" spans="1:113" x14ac:dyDescent="0.3">
      <c r="A3004" t="str">
        <f>"02/08/2021 20:30:32.570"</f>
        <v>02/08/2021 20:30:32.570</v>
      </c>
      <c r="C3004" t="str">
        <f t="shared" si="145"/>
        <v>FFDFD7C0</v>
      </c>
      <c r="D3004" t="s">
        <v>124</v>
      </c>
      <c r="E3004">
        <v>12</v>
      </c>
      <c r="F3004">
        <v>1012</v>
      </c>
      <c r="G3004" t="s">
        <v>675</v>
      </c>
      <c r="J3004" t="s">
        <v>125</v>
      </c>
      <c r="K3004">
        <v>0</v>
      </c>
      <c r="L3004">
        <v>3</v>
      </c>
      <c r="M3004">
        <v>0</v>
      </c>
      <c r="N3004">
        <v>2</v>
      </c>
      <c r="O3004">
        <v>1</v>
      </c>
      <c r="P3004">
        <v>0</v>
      </c>
      <c r="Q3004">
        <v>0</v>
      </c>
      <c r="S3004" t="str">
        <f>"20:30:34.922"</f>
        <v>20:30:34.922</v>
      </c>
      <c r="T3004" t="str">
        <f>"20:30:34.422"</f>
        <v>20:30:34.422</v>
      </c>
      <c r="U3004" t="str">
        <f t="shared" si="144"/>
        <v>AB01F4</v>
      </c>
      <c r="V3004">
        <v>0</v>
      </c>
      <c r="W3004">
        <v>0</v>
      </c>
      <c r="X3004">
        <v>2</v>
      </c>
      <c r="Z3004">
        <v>0</v>
      </c>
      <c r="AA3004">
        <v>9</v>
      </c>
      <c r="AB3004">
        <v>3</v>
      </c>
      <c r="AC3004">
        <v>0</v>
      </c>
      <c r="AD3004">
        <v>10</v>
      </c>
      <c r="AE3004">
        <v>0</v>
      </c>
      <c r="AF3004">
        <v>3</v>
      </c>
      <c r="AG3004">
        <v>2</v>
      </c>
      <c r="AH3004">
        <v>0</v>
      </c>
      <c r="AI3004" t="s">
        <v>1751</v>
      </c>
      <c r="AJ3004">
        <v>40.036324999999998</v>
      </c>
      <c r="AK3004" t="s">
        <v>1752</v>
      </c>
      <c r="AL3004">
        <v>-92.853397999999999</v>
      </c>
      <c r="AM3004">
        <v>100</v>
      </c>
      <c r="AN3004">
        <v>1400</v>
      </c>
      <c r="AO3004" t="s">
        <v>118</v>
      </c>
      <c r="AP3004">
        <v>-133</v>
      </c>
      <c r="AQ3004">
        <v>40</v>
      </c>
      <c r="AR3004">
        <v>-192</v>
      </c>
      <c r="AZ3004">
        <v>1200</v>
      </c>
      <c r="BA3004">
        <v>1</v>
      </c>
      <c r="BB3004" t="str">
        <f t="shared" si="146"/>
        <v xml:space="preserve">N8080G  </v>
      </c>
      <c r="BC3004">
        <v>1</v>
      </c>
      <c r="BE3004">
        <v>0</v>
      </c>
      <c r="BF3004">
        <v>0</v>
      </c>
      <c r="BG3004">
        <v>0</v>
      </c>
      <c r="BH3004">
        <v>1400</v>
      </c>
      <c r="BI3004">
        <v>1</v>
      </c>
      <c r="BJ3004">
        <v>1</v>
      </c>
      <c r="BK3004">
        <v>1</v>
      </c>
      <c r="BL3004">
        <v>0</v>
      </c>
      <c r="BO3004">
        <v>0</v>
      </c>
      <c r="BP3004">
        <v>0</v>
      </c>
      <c r="BW3004" t="str">
        <f>"20:30:34.923"</f>
        <v>20:30:34.923</v>
      </c>
      <c r="BZ3004">
        <v>0</v>
      </c>
      <c r="CA3004">
        <v>1600</v>
      </c>
      <c r="CB3004">
        <v>224</v>
      </c>
      <c r="CD3004">
        <v>1</v>
      </c>
      <c r="CE3004">
        <v>0</v>
      </c>
      <c r="CF3004">
        <v>0</v>
      </c>
      <c r="CG3004">
        <v>0</v>
      </c>
      <c r="CH3004">
        <v>0</v>
      </c>
      <c r="CI3004">
        <v>0</v>
      </c>
      <c r="CJ3004">
        <v>0</v>
      </c>
      <c r="CK3004">
        <v>2</v>
      </c>
      <c r="CL3004">
        <v>0</v>
      </c>
      <c r="CM3004">
        <v>2</v>
      </c>
      <c r="CN3004">
        <v>0</v>
      </c>
      <c r="CO3004">
        <v>7</v>
      </c>
      <c r="CP3004" t="s">
        <v>119</v>
      </c>
      <c r="CQ3004">
        <v>180</v>
      </c>
      <c r="CR3004">
        <v>2</v>
      </c>
      <c r="CW3004">
        <v>8685217</v>
      </c>
      <c r="CY3004">
        <v>0</v>
      </c>
      <c r="CZ3004">
        <v>0</v>
      </c>
      <c r="DA3004">
        <v>1</v>
      </c>
      <c r="DB3004">
        <v>0</v>
      </c>
      <c r="DC3004">
        <v>0</v>
      </c>
      <c r="DD3004">
        <v>0</v>
      </c>
      <c r="DE3004">
        <v>0</v>
      </c>
      <c r="DF3004">
        <v>0</v>
      </c>
      <c r="DG3004">
        <v>0</v>
      </c>
      <c r="DH3004">
        <v>0</v>
      </c>
      <c r="DI3004">
        <v>0</v>
      </c>
    </row>
    <row r="3005" spans="1:113" x14ac:dyDescent="0.3">
      <c r="A3005" t="str">
        <f>"02/08/2021 20:30:32.570"</f>
        <v>02/08/2021 20:30:32.570</v>
      </c>
      <c r="C3005" t="str">
        <f t="shared" si="145"/>
        <v>FFDFD7C0</v>
      </c>
      <c r="D3005" t="s">
        <v>124</v>
      </c>
      <c r="E3005">
        <v>11</v>
      </c>
      <c r="F3005">
        <v>1011</v>
      </c>
      <c r="G3005" t="s">
        <v>590</v>
      </c>
      <c r="J3005" t="s">
        <v>125</v>
      </c>
      <c r="K3005">
        <v>0</v>
      </c>
      <c r="L3005">
        <v>3</v>
      </c>
      <c r="M3005">
        <v>0</v>
      </c>
      <c r="N3005">
        <v>2</v>
      </c>
      <c r="O3005">
        <v>1</v>
      </c>
      <c r="P3005">
        <v>0</v>
      </c>
      <c r="Q3005">
        <v>0</v>
      </c>
      <c r="S3005" t="str">
        <f>"20:30:34.922"</f>
        <v>20:30:34.922</v>
      </c>
      <c r="T3005" t="str">
        <f>"20:30:34.422"</f>
        <v>20:30:34.422</v>
      </c>
      <c r="U3005" t="str">
        <f t="shared" si="144"/>
        <v>AB01F4</v>
      </c>
      <c r="V3005">
        <v>0</v>
      </c>
      <c r="W3005">
        <v>0</v>
      </c>
      <c r="X3005">
        <v>2</v>
      </c>
      <c r="Z3005">
        <v>0</v>
      </c>
      <c r="AA3005">
        <v>9</v>
      </c>
      <c r="AB3005">
        <v>3</v>
      </c>
      <c r="AC3005">
        <v>0</v>
      </c>
      <c r="AD3005">
        <v>10</v>
      </c>
      <c r="AE3005">
        <v>0</v>
      </c>
      <c r="AF3005">
        <v>3</v>
      </c>
      <c r="AG3005">
        <v>2</v>
      </c>
      <c r="AH3005">
        <v>0</v>
      </c>
      <c r="AI3005" t="s">
        <v>1751</v>
      </c>
      <c r="AJ3005">
        <v>40.036324999999998</v>
      </c>
      <c r="AK3005" t="s">
        <v>1752</v>
      </c>
      <c r="AL3005">
        <v>-92.853397999999999</v>
      </c>
      <c r="AM3005">
        <v>100</v>
      </c>
      <c r="AN3005">
        <v>1400</v>
      </c>
      <c r="AO3005" t="s">
        <v>118</v>
      </c>
      <c r="AP3005">
        <v>-133</v>
      </c>
      <c r="AQ3005">
        <v>40</v>
      </c>
      <c r="AR3005">
        <v>-192</v>
      </c>
      <c r="AZ3005">
        <v>1200</v>
      </c>
      <c r="BA3005">
        <v>1</v>
      </c>
      <c r="BB3005" t="str">
        <f t="shared" si="146"/>
        <v xml:space="preserve">N8080G  </v>
      </c>
      <c r="BC3005">
        <v>1</v>
      </c>
      <c r="BE3005">
        <v>0</v>
      </c>
      <c r="BF3005">
        <v>0</v>
      </c>
      <c r="BG3005">
        <v>0</v>
      </c>
      <c r="BH3005">
        <v>1400</v>
      </c>
      <c r="BI3005">
        <v>1</v>
      </c>
      <c r="BJ3005">
        <v>1</v>
      </c>
      <c r="BK3005">
        <v>1</v>
      </c>
      <c r="BL3005">
        <v>0</v>
      </c>
      <c r="BO3005">
        <v>0</v>
      </c>
      <c r="BP3005">
        <v>0</v>
      </c>
      <c r="BW3005" t="str">
        <f>"20:30:34.923"</f>
        <v>20:30:34.923</v>
      </c>
      <c r="BZ3005">
        <v>0</v>
      </c>
      <c r="CA3005">
        <v>1600</v>
      </c>
      <c r="CB3005">
        <v>224</v>
      </c>
      <c r="CD3005">
        <v>1</v>
      </c>
      <c r="CE3005">
        <v>0</v>
      </c>
      <c r="CF3005">
        <v>0</v>
      </c>
      <c r="CG3005">
        <v>0</v>
      </c>
      <c r="CH3005">
        <v>0</v>
      </c>
      <c r="CI3005">
        <v>0</v>
      </c>
      <c r="CJ3005">
        <v>0</v>
      </c>
      <c r="CK3005">
        <v>2</v>
      </c>
      <c r="CL3005">
        <v>0</v>
      </c>
      <c r="CM3005">
        <v>2</v>
      </c>
      <c r="CN3005">
        <v>0</v>
      </c>
      <c r="CO3005">
        <v>7</v>
      </c>
      <c r="CP3005" t="s">
        <v>119</v>
      </c>
      <c r="CQ3005">
        <v>180</v>
      </c>
      <c r="CR3005">
        <v>2</v>
      </c>
      <c r="CW3005">
        <v>8685217</v>
      </c>
      <c r="CY3005">
        <v>0</v>
      </c>
      <c r="CZ3005">
        <v>0</v>
      </c>
      <c r="DA3005">
        <v>1</v>
      </c>
      <c r="DB3005">
        <v>0</v>
      </c>
      <c r="DC3005">
        <v>0</v>
      </c>
      <c r="DD3005">
        <v>0</v>
      </c>
      <c r="DE3005">
        <v>0</v>
      </c>
      <c r="DF3005">
        <v>0</v>
      </c>
      <c r="DG3005">
        <v>0</v>
      </c>
      <c r="DH3005">
        <v>0</v>
      </c>
      <c r="DI3005">
        <v>0</v>
      </c>
    </row>
    <row r="3006" spans="1:113" x14ac:dyDescent="0.3">
      <c r="A3006" t="str">
        <f>"02/08/2021 20:30:32.570"</f>
        <v>02/08/2021 20:30:32.570</v>
      </c>
      <c r="C3006" t="str">
        <f t="shared" si="145"/>
        <v>FFDFD7C0</v>
      </c>
      <c r="D3006" t="s">
        <v>124</v>
      </c>
      <c r="E3006">
        <v>13</v>
      </c>
      <c r="F3006">
        <v>1013</v>
      </c>
      <c r="G3006" t="s">
        <v>114</v>
      </c>
      <c r="J3006" t="s">
        <v>125</v>
      </c>
      <c r="K3006">
        <v>0</v>
      </c>
      <c r="L3006">
        <v>3</v>
      </c>
      <c r="M3006">
        <v>0</v>
      </c>
      <c r="N3006">
        <v>2</v>
      </c>
      <c r="O3006">
        <v>1</v>
      </c>
      <c r="P3006">
        <v>0</v>
      </c>
      <c r="Q3006">
        <v>0</v>
      </c>
      <c r="S3006" t="str">
        <f>"20:30:34.922"</f>
        <v>20:30:34.922</v>
      </c>
      <c r="T3006" t="str">
        <f>"20:30:34.422"</f>
        <v>20:30:34.422</v>
      </c>
      <c r="U3006" t="str">
        <f t="shared" si="144"/>
        <v>AB01F4</v>
      </c>
      <c r="V3006">
        <v>0</v>
      </c>
      <c r="W3006">
        <v>0</v>
      </c>
      <c r="X3006">
        <v>2</v>
      </c>
      <c r="Z3006">
        <v>0</v>
      </c>
      <c r="AA3006">
        <v>9</v>
      </c>
      <c r="AB3006">
        <v>3</v>
      </c>
      <c r="AC3006">
        <v>0</v>
      </c>
      <c r="AD3006">
        <v>10</v>
      </c>
      <c r="AE3006">
        <v>0</v>
      </c>
      <c r="AF3006">
        <v>3</v>
      </c>
      <c r="AG3006">
        <v>2</v>
      </c>
      <c r="AH3006">
        <v>0</v>
      </c>
      <c r="AI3006" t="s">
        <v>1751</v>
      </c>
      <c r="AJ3006">
        <v>40.036324999999998</v>
      </c>
      <c r="AK3006" t="s">
        <v>1752</v>
      </c>
      <c r="AL3006">
        <v>-92.853397999999999</v>
      </c>
      <c r="AM3006">
        <v>100</v>
      </c>
      <c r="AN3006">
        <v>1400</v>
      </c>
      <c r="AO3006" t="s">
        <v>118</v>
      </c>
      <c r="AP3006">
        <v>-133</v>
      </c>
      <c r="AQ3006">
        <v>40</v>
      </c>
      <c r="AR3006">
        <v>-192</v>
      </c>
      <c r="AZ3006">
        <v>1200</v>
      </c>
      <c r="BA3006">
        <v>1</v>
      </c>
      <c r="BB3006" t="str">
        <f t="shared" si="146"/>
        <v xml:space="preserve">N8080G  </v>
      </c>
      <c r="BC3006">
        <v>1</v>
      </c>
      <c r="BE3006">
        <v>0</v>
      </c>
      <c r="BF3006">
        <v>0</v>
      </c>
      <c r="BG3006">
        <v>0</v>
      </c>
      <c r="BH3006">
        <v>1400</v>
      </c>
      <c r="BI3006">
        <v>1</v>
      </c>
      <c r="BJ3006">
        <v>1</v>
      </c>
      <c r="BK3006">
        <v>1</v>
      </c>
      <c r="BL3006">
        <v>0</v>
      </c>
      <c r="BO3006">
        <v>0</v>
      </c>
      <c r="BP3006">
        <v>0</v>
      </c>
      <c r="BW3006" t="str">
        <f>"20:30:34.923"</f>
        <v>20:30:34.923</v>
      </c>
      <c r="BZ3006">
        <v>0</v>
      </c>
      <c r="CA3006">
        <v>1600</v>
      </c>
      <c r="CB3006">
        <v>224</v>
      </c>
      <c r="CD3006">
        <v>1</v>
      </c>
      <c r="CE3006">
        <v>0</v>
      </c>
      <c r="CF3006">
        <v>0</v>
      </c>
      <c r="CG3006">
        <v>0</v>
      </c>
      <c r="CH3006">
        <v>0</v>
      </c>
      <c r="CI3006">
        <v>0</v>
      </c>
      <c r="CJ3006">
        <v>0</v>
      </c>
      <c r="CK3006">
        <v>2</v>
      </c>
      <c r="CL3006">
        <v>0</v>
      </c>
      <c r="CM3006">
        <v>2</v>
      </c>
      <c r="CN3006">
        <v>0</v>
      </c>
      <c r="CO3006">
        <v>7</v>
      </c>
      <c r="CP3006" t="s">
        <v>119</v>
      </c>
      <c r="CQ3006">
        <v>180</v>
      </c>
      <c r="CR3006">
        <v>2</v>
      </c>
      <c r="CW3006">
        <v>8685217</v>
      </c>
      <c r="CY3006">
        <v>0</v>
      </c>
      <c r="CZ3006">
        <v>0</v>
      </c>
      <c r="DA3006">
        <v>1</v>
      </c>
      <c r="DB3006">
        <v>0</v>
      </c>
      <c r="DC3006">
        <v>0</v>
      </c>
      <c r="DD3006">
        <v>0</v>
      </c>
      <c r="DE3006">
        <v>0</v>
      </c>
      <c r="DF3006">
        <v>0</v>
      </c>
      <c r="DG3006">
        <v>0</v>
      </c>
      <c r="DH3006">
        <v>0</v>
      </c>
      <c r="DI3006">
        <v>0</v>
      </c>
    </row>
    <row r="3007" spans="1:113" x14ac:dyDescent="0.3">
      <c r="A3007" t="str">
        <f>"02/08/2021 20:30:33.732"</f>
        <v>02/08/2021 20:30:33.732</v>
      </c>
      <c r="C3007" t="str">
        <f t="shared" si="145"/>
        <v>FFDFD7C0</v>
      </c>
      <c r="D3007" t="s">
        <v>113</v>
      </c>
      <c r="E3007">
        <v>6</v>
      </c>
      <c r="H3007">
        <v>165</v>
      </c>
      <c r="I3007" t="s">
        <v>114</v>
      </c>
      <c r="J3007" t="s">
        <v>115</v>
      </c>
      <c r="K3007">
        <v>0</v>
      </c>
      <c r="L3007">
        <v>3</v>
      </c>
      <c r="M3007">
        <v>0</v>
      </c>
      <c r="N3007">
        <v>2</v>
      </c>
      <c r="O3007">
        <v>1</v>
      </c>
      <c r="P3007">
        <v>0</v>
      </c>
      <c r="Q3007">
        <v>0</v>
      </c>
      <c r="S3007" t="str">
        <f>"20:30:36.039"</f>
        <v>20:30:36.039</v>
      </c>
      <c r="T3007" t="str">
        <f>"20:30:35.539"</f>
        <v>20:30:35.539</v>
      </c>
      <c r="U3007" t="str">
        <f t="shared" si="144"/>
        <v>AB01F4</v>
      </c>
      <c r="V3007">
        <v>0</v>
      </c>
      <c r="W3007">
        <v>0</v>
      </c>
      <c r="X3007">
        <v>2</v>
      </c>
      <c r="Z3007">
        <v>0</v>
      </c>
      <c r="AA3007">
        <v>9</v>
      </c>
      <c r="AB3007">
        <v>3</v>
      </c>
      <c r="AC3007">
        <v>0</v>
      </c>
      <c r="AD3007">
        <v>10</v>
      </c>
      <c r="AE3007">
        <v>0</v>
      </c>
      <c r="AF3007">
        <v>3</v>
      </c>
      <c r="AG3007">
        <v>2</v>
      </c>
      <c r="AH3007">
        <v>0</v>
      </c>
      <c r="AI3007" t="s">
        <v>1753</v>
      </c>
      <c r="AJ3007">
        <v>40.036496999999997</v>
      </c>
      <c r="AK3007" t="s">
        <v>1754</v>
      </c>
      <c r="AL3007">
        <v>-92.854320999999999</v>
      </c>
      <c r="AM3007">
        <v>100</v>
      </c>
      <c r="AN3007">
        <v>1400</v>
      </c>
      <c r="AO3007" t="s">
        <v>118</v>
      </c>
      <c r="AP3007">
        <v>-133</v>
      </c>
      <c r="AQ3007">
        <v>40</v>
      </c>
      <c r="AR3007">
        <v>-192</v>
      </c>
      <c r="AZ3007">
        <v>1200</v>
      </c>
      <c r="BA3007">
        <v>1</v>
      </c>
      <c r="BB3007" t="str">
        <f t="shared" si="146"/>
        <v xml:space="preserve">N8080G  </v>
      </c>
      <c r="BC3007">
        <v>1</v>
      </c>
      <c r="BE3007">
        <v>0</v>
      </c>
      <c r="BF3007">
        <v>0</v>
      </c>
      <c r="BG3007">
        <v>0</v>
      </c>
      <c r="BH3007">
        <v>1400</v>
      </c>
      <c r="BI3007">
        <v>1</v>
      </c>
      <c r="BJ3007">
        <v>1</v>
      </c>
      <c r="BK3007">
        <v>1</v>
      </c>
      <c r="BL3007">
        <v>0</v>
      </c>
      <c r="BO3007">
        <v>0</v>
      </c>
      <c r="BP3007">
        <v>0</v>
      </c>
      <c r="BW3007" t="str">
        <f>"20:30:36.042"</f>
        <v>20:30:36.042</v>
      </c>
      <c r="BZ3007">
        <v>0</v>
      </c>
      <c r="CA3007">
        <v>1600</v>
      </c>
      <c r="CB3007">
        <v>224</v>
      </c>
      <c r="CD3007">
        <v>1</v>
      </c>
      <c r="CE3007">
        <v>0</v>
      </c>
      <c r="CF3007">
        <v>0</v>
      </c>
      <c r="CG3007">
        <v>0</v>
      </c>
      <c r="CH3007">
        <v>0</v>
      </c>
      <c r="CI3007">
        <v>0</v>
      </c>
      <c r="CJ3007">
        <v>0</v>
      </c>
      <c r="CK3007">
        <v>2</v>
      </c>
      <c r="CL3007">
        <v>0</v>
      </c>
      <c r="CM3007">
        <v>2</v>
      </c>
      <c r="CN3007">
        <v>0</v>
      </c>
      <c r="CO3007">
        <v>7</v>
      </c>
      <c r="CP3007" t="s">
        <v>119</v>
      </c>
      <c r="CQ3007">
        <v>180</v>
      </c>
      <c r="CR3007">
        <v>3</v>
      </c>
      <c r="CW3007">
        <v>1035869</v>
      </c>
      <c r="CY3007">
        <v>0</v>
      </c>
      <c r="CZ3007">
        <v>0</v>
      </c>
      <c r="DA3007">
        <v>0</v>
      </c>
      <c r="DB3007">
        <v>0</v>
      </c>
      <c r="DC3007">
        <v>0</v>
      </c>
      <c r="DD3007">
        <v>0</v>
      </c>
      <c r="DE3007">
        <v>0</v>
      </c>
      <c r="DF3007">
        <v>0</v>
      </c>
      <c r="DG3007">
        <v>0</v>
      </c>
      <c r="DH3007">
        <v>0</v>
      </c>
      <c r="DI3007">
        <v>0</v>
      </c>
    </row>
    <row r="3008" spans="1:113" x14ac:dyDescent="0.3">
      <c r="A3008" t="str">
        <f>"02/08/2021 20:30:33.732"</f>
        <v>02/08/2021 20:30:33.732</v>
      </c>
      <c r="C3008" t="str">
        <f t="shared" si="145"/>
        <v>FFDFD7C0</v>
      </c>
      <c r="D3008" t="s">
        <v>124</v>
      </c>
      <c r="E3008">
        <v>12</v>
      </c>
      <c r="F3008">
        <v>1012</v>
      </c>
      <c r="G3008" t="s">
        <v>675</v>
      </c>
      <c r="J3008" t="s">
        <v>125</v>
      </c>
      <c r="K3008">
        <v>0</v>
      </c>
      <c r="L3008">
        <v>3</v>
      </c>
      <c r="M3008">
        <v>0</v>
      </c>
      <c r="N3008">
        <v>2</v>
      </c>
      <c r="O3008">
        <v>1</v>
      </c>
      <c r="P3008">
        <v>0</v>
      </c>
      <c r="Q3008">
        <v>0</v>
      </c>
      <c r="S3008" t="str">
        <f>"20:30:36.039"</f>
        <v>20:30:36.039</v>
      </c>
      <c r="T3008" t="str">
        <f>"20:30:35.539"</f>
        <v>20:30:35.539</v>
      </c>
      <c r="U3008" t="str">
        <f t="shared" si="144"/>
        <v>AB01F4</v>
      </c>
      <c r="V3008">
        <v>0</v>
      </c>
      <c r="W3008">
        <v>0</v>
      </c>
      <c r="X3008">
        <v>2</v>
      </c>
      <c r="Z3008">
        <v>0</v>
      </c>
      <c r="AA3008">
        <v>9</v>
      </c>
      <c r="AB3008">
        <v>3</v>
      </c>
      <c r="AC3008">
        <v>0</v>
      </c>
      <c r="AD3008">
        <v>10</v>
      </c>
      <c r="AE3008">
        <v>0</v>
      </c>
      <c r="AF3008">
        <v>3</v>
      </c>
      <c r="AG3008">
        <v>2</v>
      </c>
      <c r="AH3008">
        <v>0</v>
      </c>
      <c r="AI3008" t="s">
        <v>1753</v>
      </c>
      <c r="AJ3008">
        <v>40.036496999999997</v>
      </c>
      <c r="AK3008" t="s">
        <v>1754</v>
      </c>
      <c r="AL3008">
        <v>-92.854320999999999</v>
      </c>
      <c r="AM3008">
        <v>100</v>
      </c>
      <c r="AN3008">
        <v>1400</v>
      </c>
      <c r="AO3008" t="s">
        <v>118</v>
      </c>
      <c r="AP3008">
        <v>-133</v>
      </c>
      <c r="AQ3008">
        <v>40</v>
      </c>
      <c r="AR3008">
        <v>-192</v>
      </c>
      <c r="AZ3008">
        <v>1200</v>
      </c>
      <c r="BA3008">
        <v>1</v>
      </c>
      <c r="BB3008" t="str">
        <f t="shared" si="146"/>
        <v xml:space="preserve">N8080G  </v>
      </c>
      <c r="BC3008">
        <v>1</v>
      </c>
      <c r="BE3008">
        <v>0</v>
      </c>
      <c r="BF3008">
        <v>0</v>
      </c>
      <c r="BG3008">
        <v>0</v>
      </c>
      <c r="BH3008">
        <v>1400</v>
      </c>
      <c r="BI3008">
        <v>1</v>
      </c>
      <c r="BJ3008">
        <v>1</v>
      </c>
      <c r="BK3008">
        <v>1</v>
      </c>
      <c r="BL3008">
        <v>0</v>
      </c>
      <c r="BO3008">
        <v>0</v>
      </c>
      <c r="BP3008">
        <v>0</v>
      </c>
      <c r="BW3008" t="str">
        <f>"20:30:36.042"</f>
        <v>20:30:36.042</v>
      </c>
      <c r="BZ3008">
        <v>0</v>
      </c>
      <c r="CA3008">
        <v>1600</v>
      </c>
      <c r="CB3008">
        <v>224</v>
      </c>
      <c r="CD3008">
        <v>1</v>
      </c>
      <c r="CE3008">
        <v>0</v>
      </c>
      <c r="CF3008">
        <v>0</v>
      </c>
      <c r="CG3008">
        <v>0</v>
      </c>
      <c r="CH3008">
        <v>0</v>
      </c>
      <c r="CI3008">
        <v>0</v>
      </c>
      <c r="CJ3008">
        <v>0</v>
      </c>
      <c r="CK3008">
        <v>2</v>
      </c>
      <c r="CL3008">
        <v>0</v>
      </c>
      <c r="CM3008">
        <v>2</v>
      </c>
      <c r="CN3008">
        <v>0</v>
      </c>
      <c r="CO3008">
        <v>7</v>
      </c>
      <c r="CP3008" t="s">
        <v>119</v>
      </c>
      <c r="CQ3008">
        <v>180</v>
      </c>
      <c r="CR3008">
        <v>3</v>
      </c>
      <c r="CW3008">
        <v>1035869</v>
      </c>
      <c r="CY3008">
        <v>0</v>
      </c>
      <c r="CZ3008">
        <v>0</v>
      </c>
      <c r="DA3008">
        <v>1</v>
      </c>
      <c r="DB3008">
        <v>0</v>
      </c>
      <c r="DC3008">
        <v>0</v>
      </c>
      <c r="DD3008">
        <v>0</v>
      </c>
      <c r="DE3008">
        <v>0</v>
      </c>
      <c r="DF3008">
        <v>0</v>
      </c>
      <c r="DG3008">
        <v>0</v>
      </c>
      <c r="DH3008">
        <v>0</v>
      </c>
      <c r="DI3008">
        <v>0</v>
      </c>
    </row>
    <row r="3009" spans="1:113" x14ac:dyDescent="0.3">
      <c r="A3009" t="str">
        <f>"02/08/2021 20:30:33.732"</f>
        <v>02/08/2021 20:30:33.732</v>
      </c>
      <c r="C3009" t="str">
        <f t="shared" si="145"/>
        <v>FFDFD7C0</v>
      </c>
      <c r="D3009" t="s">
        <v>124</v>
      </c>
      <c r="E3009">
        <v>11</v>
      </c>
      <c r="F3009">
        <v>1011</v>
      </c>
      <c r="G3009" t="s">
        <v>590</v>
      </c>
      <c r="J3009" t="s">
        <v>125</v>
      </c>
      <c r="K3009">
        <v>0</v>
      </c>
      <c r="L3009">
        <v>3</v>
      </c>
      <c r="M3009">
        <v>0</v>
      </c>
      <c r="N3009">
        <v>2</v>
      </c>
      <c r="O3009">
        <v>1</v>
      </c>
      <c r="P3009">
        <v>0</v>
      </c>
      <c r="Q3009">
        <v>0</v>
      </c>
      <c r="S3009" t="str">
        <f>"20:30:36.039"</f>
        <v>20:30:36.039</v>
      </c>
      <c r="T3009" t="str">
        <f>"20:30:35.539"</f>
        <v>20:30:35.539</v>
      </c>
      <c r="U3009" t="str">
        <f t="shared" si="144"/>
        <v>AB01F4</v>
      </c>
      <c r="V3009">
        <v>0</v>
      </c>
      <c r="W3009">
        <v>0</v>
      </c>
      <c r="X3009">
        <v>2</v>
      </c>
      <c r="Z3009">
        <v>0</v>
      </c>
      <c r="AA3009">
        <v>9</v>
      </c>
      <c r="AB3009">
        <v>3</v>
      </c>
      <c r="AC3009">
        <v>0</v>
      </c>
      <c r="AD3009">
        <v>10</v>
      </c>
      <c r="AE3009">
        <v>0</v>
      </c>
      <c r="AF3009">
        <v>3</v>
      </c>
      <c r="AG3009">
        <v>2</v>
      </c>
      <c r="AH3009">
        <v>0</v>
      </c>
      <c r="AI3009" t="s">
        <v>1753</v>
      </c>
      <c r="AJ3009">
        <v>40.036496999999997</v>
      </c>
      <c r="AK3009" t="s">
        <v>1754</v>
      </c>
      <c r="AL3009">
        <v>-92.854320999999999</v>
      </c>
      <c r="AM3009">
        <v>100</v>
      </c>
      <c r="AN3009">
        <v>1400</v>
      </c>
      <c r="AO3009" t="s">
        <v>118</v>
      </c>
      <c r="AP3009">
        <v>-133</v>
      </c>
      <c r="AQ3009">
        <v>40</v>
      </c>
      <c r="AR3009">
        <v>-192</v>
      </c>
      <c r="AZ3009">
        <v>1200</v>
      </c>
      <c r="BA3009">
        <v>1</v>
      </c>
      <c r="BB3009" t="str">
        <f t="shared" si="146"/>
        <v xml:space="preserve">N8080G  </v>
      </c>
      <c r="BC3009">
        <v>1</v>
      </c>
      <c r="BE3009">
        <v>0</v>
      </c>
      <c r="BF3009">
        <v>0</v>
      </c>
      <c r="BG3009">
        <v>0</v>
      </c>
      <c r="BH3009">
        <v>1400</v>
      </c>
      <c r="BI3009">
        <v>1</v>
      </c>
      <c r="BJ3009">
        <v>1</v>
      </c>
      <c r="BK3009">
        <v>1</v>
      </c>
      <c r="BL3009">
        <v>0</v>
      </c>
      <c r="BO3009">
        <v>0</v>
      </c>
      <c r="BP3009">
        <v>0</v>
      </c>
      <c r="BW3009" t="str">
        <f>"20:30:36.042"</f>
        <v>20:30:36.042</v>
      </c>
      <c r="BZ3009">
        <v>0</v>
      </c>
      <c r="CA3009">
        <v>1600</v>
      </c>
      <c r="CB3009">
        <v>224</v>
      </c>
      <c r="CD3009">
        <v>1</v>
      </c>
      <c r="CE3009">
        <v>0</v>
      </c>
      <c r="CF3009">
        <v>0</v>
      </c>
      <c r="CG3009">
        <v>0</v>
      </c>
      <c r="CH3009">
        <v>0</v>
      </c>
      <c r="CI3009">
        <v>0</v>
      </c>
      <c r="CJ3009">
        <v>0</v>
      </c>
      <c r="CK3009">
        <v>2</v>
      </c>
      <c r="CL3009">
        <v>0</v>
      </c>
      <c r="CM3009">
        <v>2</v>
      </c>
      <c r="CN3009">
        <v>0</v>
      </c>
      <c r="CO3009">
        <v>7</v>
      </c>
      <c r="CP3009" t="s">
        <v>119</v>
      </c>
      <c r="CQ3009">
        <v>180</v>
      </c>
      <c r="CR3009">
        <v>3</v>
      </c>
      <c r="CW3009">
        <v>1035869</v>
      </c>
      <c r="CY3009">
        <v>0</v>
      </c>
      <c r="CZ3009">
        <v>0</v>
      </c>
      <c r="DA3009">
        <v>1</v>
      </c>
      <c r="DB3009">
        <v>0</v>
      </c>
      <c r="DC3009">
        <v>0</v>
      </c>
      <c r="DD3009">
        <v>0</v>
      </c>
      <c r="DE3009">
        <v>0</v>
      </c>
      <c r="DF3009">
        <v>0</v>
      </c>
      <c r="DG3009">
        <v>0</v>
      </c>
      <c r="DH3009">
        <v>0</v>
      </c>
      <c r="DI3009">
        <v>0</v>
      </c>
    </row>
    <row r="3010" spans="1:113" x14ac:dyDescent="0.3">
      <c r="A3010" t="str">
        <f>"02/08/2021 20:30:33.732"</f>
        <v>02/08/2021 20:30:33.732</v>
      </c>
      <c r="C3010" t="str">
        <f t="shared" si="145"/>
        <v>FFDFD7C0</v>
      </c>
      <c r="D3010" t="s">
        <v>124</v>
      </c>
      <c r="E3010">
        <v>13</v>
      </c>
      <c r="F3010">
        <v>1013</v>
      </c>
      <c r="G3010" t="s">
        <v>114</v>
      </c>
      <c r="J3010" t="s">
        <v>125</v>
      </c>
      <c r="K3010">
        <v>0</v>
      </c>
      <c r="L3010">
        <v>3</v>
      </c>
      <c r="M3010">
        <v>0</v>
      </c>
      <c r="N3010">
        <v>2</v>
      </c>
      <c r="O3010">
        <v>1</v>
      </c>
      <c r="P3010">
        <v>0</v>
      </c>
      <c r="Q3010">
        <v>0</v>
      </c>
      <c r="S3010" t="str">
        <f>"20:30:36.039"</f>
        <v>20:30:36.039</v>
      </c>
      <c r="T3010" t="str">
        <f>"20:30:35.539"</f>
        <v>20:30:35.539</v>
      </c>
      <c r="U3010" t="str">
        <f t="shared" ref="U3010:U3073" si="147">"AB01F4"</f>
        <v>AB01F4</v>
      </c>
      <c r="V3010">
        <v>0</v>
      </c>
      <c r="W3010">
        <v>0</v>
      </c>
      <c r="X3010">
        <v>2</v>
      </c>
      <c r="Z3010">
        <v>0</v>
      </c>
      <c r="AA3010">
        <v>9</v>
      </c>
      <c r="AB3010">
        <v>3</v>
      </c>
      <c r="AC3010">
        <v>0</v>
      </c>
      <c r="AD3010">
        <v>10</v>
      </c>
      <c r="AE3010">
        <v>0</v>
      </c>
      <c r="AF3010">
        <v>3</v>
      </c>
      <c r="AG3010">
        <v>2</v>
      </c>
      <c r="AH3010">
        <v>0</v>
      </c>
      <c r="AI3010" t="s">
        <v>1753</v>
      </c>
      <c r="AJ3010">
        <v>40.036496999999997</v>
      </c>
      <c r="AK3010" t="s">
        <v>1754</v>
      </c>
      <c r="AL3010">
        <v>-92.854320999999999</v>
      </c>
      <c r="AM3010">
        <v>100</v>
      </c>
      <c r="AN3010">
        <v>1400</v>
      </c>
      <c r="AO3010" t="s">
        <v>118</v>
      </c>
      <c r="AP3010">
        <v>-133</v>
      </c>
      <c r="AQ3010">
        <v>40</v>
      </c>
      <c r="AR3010">
        <v>-192</v>
      </c>
      <c r="AZ3010">
        <v>1200</v>
      </c>
      <c r="BA3010">
        <v>1</v>
      </c>
      <c r="BB3010" t="str">
        <f t="shared" si="146"/>
        <v xml:space="preserve">N8080G  </v>
      </c>
      <c r="BC3010">
        <v>1</v>
      </c>
      <c r="BE3010">
        <v>0</v>
      </c>
      <c r="BF3010">
        <v>0</v>
      </c>
      <c r="BG3010">
        <v>0</v>
      </c>
      <c r="BH3010">
        <v>1400</v>
      </c>
      <c r="BI3010">
        <v>1</v>
      </c>
      <c r="BJ3010">
        <v>1</v>
      </c>
      <c r="BK3010">
        <v>1</v>
      </c>
      <c r="BL3010">
        <v>0</v>
      </c>
      <c r="BO3010">
        <v>0</v>
      </c>
      <c r="BP3010">
        <v>0</v>
      </c>
      <c r="BW3010" t="str">
        <f>"20:30:36.042"</f>
        <v>20:30:36.042</v>
      </c>
      <c r="BZ3010">
        <v>0</v>
      </c>
      <c r="CA3010">
        <v>1600</v>
      </c>
      <c r="CB3010">
        <v>224</v>
      </c>
      <c r="CD3010">
        <v>1</v>
      </c>
      <c r="CE3010">
        <v>0</v>
      </c>
      <c r="CF3010">
        <v>0</v>
      </c>
      <c r="CG3010">
        <v>0</v>
      </c>
      <c r="CH3010">
        <v>0</v>
      </c>
      <c r="CI3010">
        <v>0</v>
      </c>
      <c r="CJ3010">
        <v>0</v>
      </c>
      <c r="CK3010">
        <v>2</v>
      </c>
      <c r="CL3010">
        <v>0</v>
      </c>
      <c r="CM3010">
        <v>2</v>
      </c>
      <c r="CN3010">
        <v>0</v>
      </c>
      <c r="CO3010">
        <v>7</v>
      </c>
      <c r="CP3010" t="s">
        <v>119</v>
      </c>
      <c r="CQ3010">
        <v>180</v>
      </c>
      <c r="CR3010">
        <v>3</v>
      </c>
      <c r="CW3010">
        <v>1035869</v>
      </c>
      <c r="CY3010">
        <v>0</v>
      </c>
      <c r="CZ3010">
        <v>0</v>
      </c>
      <c r="DA3010">
        <v>1</v>
      </c>
      <c r="DB3010">
        <v>0</v>
      </c>
      <c r="DC3010">
        <v>0</v>
      </c>
      <c r="DD3010">
        <v>0</v>
      </c>
      <c r="DE3010">
        <v>0</v>
      </c>
      <c r="DF3010">
        <v>0</v>
      </c>
      <c r="DG3010">
        <v>0</v>
      </c>
      <c r="DH3010">
        <v>0</v>
      </c>
      <c r="DI3010">
        <v>0</v>
      </c>
    </row>
    <row r="3011" spans="1:113" x14ac:dyDescent="0.3">
      <c r="A3011" t="str">
        <f>"02/08/2021 20:30:36.803"</f>
        <v>02/08/2021 20:30:36.803</v>
      </c>
      <c r="C3011" t="str">
        <f t="shared" si="145"/>
        <v>FFDFD7C0</v>
      </c>
      <c r="D3011" t="s">
        <v>124</v>
      </c>
      <c r="E3011">
        <v>12</v>
      </c>
      <c r="F3011">
        <v>1012</v>
      </c>
      <c r="G3011" t="s">
        <v>675</v>
      </c>
      <c r="J3011" t="s">
        <v>125</v>
      </c>
      <c r="K3011">
        <v>0</v>
      </c>
      <c r="L3011">
        <v>3</v>
      </c>
      <c r="M3011">
        <v>0</v>
      </c>
      <c r="N3011">
        <v>2</v>
      </c>
      <c r="O3011">
        <v>1</v>
      </c>
      <c r="P3011">
        <v>0</v>
      </c>
      <c r="Q3011">
        <v>0</v>
      </c>
      <c r="S3011" t="str">
        <f>"20:30:39.141"</f>
        <v>20:30:39.141</v>
      </c>
      <c r="T3011" t="str">
        <f>"20:30:38.741"</f>
        <v>20:30:38.741</v>
      </c>
      <c r="U3011" t="str">
        <f t="shared" si="147"/>
        <v>AB01F4</v>
      </c>
      <c r="V3011">
        <v>0</v>
      </c>
      <c r="W3011">
        <v>0</v>
      </c>
      <c r="X3011">
        <v>2</v>
      </c>
      <c r="Z3011">
        <v>0</v>
      </c>
      <c r="AA3011">
        <v>9</v>
      </c>
      <c r="AB3011">
        <v>3</v>
      </c>
      <c r="AC3011">
        <v>0</v>
      </c>
      <c r="AD3011">
        <v>10</v>
      </c>
      <c r="AE3011">
        <v>0</v>
      </c>
      <c r="AF3011">
        <v>3</v>
      </c>
      <c r="AG3011">
        <v>2</v>
      </c>
      <c r="AH3011">
        <v>0</v>
      </c>
      <c r="AI3011" t="s">
        <v>1755</v>
      </c>
      <c r="AJ3011">
        <v>40.037118999999997</v>
      </c>
      <c r="AK3011" t="s">
        <v>1756</v>
      </c>
      <c r="AL3011">
        <v>-92.856746000000001</v>
      </c>
      <c r="AM3011">
        <v>100</v>
      </c>
      <c r="AN3011">
        <v>1400</v>
      </c>
      <c r="AO3011" t="s">
        <v>118</v>
      </c>
      <c r="AP3011">
        <v>-132</v>
      </c>
      <c r="AQ3011">
        <v>40</v>
      </c>
      <c r="AR3011">
        <v>-128</v>
      </c>
      <c r="AZ3011">
        <v>1200</v>
      </c>
      <c r="BA3011">
        <v>1</v>
      </c>
      <c r="BB3011" t="str">
        <f t="shared" si="146"/>
        <v xml:space="preserve">N8080G  </v>
      </c>
      <c r="BC3011">
        <v>1</v>
      </c>
      <c r="BE3011">
        <v>0</v>
      </c>
      <c r="BF3011">
        <v>0</v>
      </c>
      <c r="BG3011">
        <v>0</v>
      </c>
      <c r="BH3011">
        <v>1400</v>
      </c>
      <c r="BI3011">
        <v>1</v>
      </c>
      <c r="BJ3011">
        <v>1</v>
      </c>
      <c r="BK3011">
        <v>1</v>
      </c>
      <c r="BL3011">
        <v>0</v>
      </c>
      <c r="BO3011">
        <v>0</v>
      </c>
      <c r="BP3011">
        <v>0</v>
      </c>
      <c r="BW3011" t="str">
        <f>"20:30:39.147"</f>
        <v>20:30:39.147</v>
      </c>
      <c r="BZ3011">
        <v>0</v>
      </c>
      <c r="CA3011">
        <v>1600</v>
      </c>
      <c r="CB3011">
        <v>224</v>
      </c>
      <c r="CD3011">
        <v>1</v>
      </c>
      <c r="CE3011">
        <v>0</v>
      </c>
      <c r="CF3011">
        <v>0</v>
      </c>
      <c r="CG3011">
        <v>0</v>
      </c>
      <c r="CH3011">
        <v>0</v>
      </c>
      <c r="CI3011">
        <v>0</v>
      </c>
      <c r="CJ3011">
        <v>0</v>
      </c>
      <c r="CK3011">
        <v>2</v>
      </c>
      <c r="CL3011">
        <v>0</v>
      </c>
      <c r="CM3011">
        <v>2</v>
      </c>
      <c r="CN3011">
        <v>0</v>
      </c>
      <c r="CO3011">
        <v>7</v>
      </c>
      <c r="CP3011" t="s">
        <v>119</v>
      </c>
      <c r="CQ3011">
        <v>180</v>
      </c>
      <c r="CR3011">
        <v>2</v>
      </c>
      <c r="CW3011">
        <v>8688820</v>
      </c>
      <c r="CY3011">
        <v>0</v>
      </c>
      <c r="CZ3011">
        <v>0</v>
      </c>
      <c r="DA3011">
        <v>0</v>
      </c>
      <c r="DB3011">
        <v>0</v>
      </c>
      <c r="DC3011">
        <v>0</v>
      </c>
      <c r="DD3011">
        <v>0</v>
      </c>
      <c r="DE3011">
        <v>0</v>
      </c>
      <c r="DF3011">
        <v>0</v>
      </c>
      <c r="DG3011">
        <v>0</v>
      </c>
      <c r="DH3011">
        <v>0</v>
      </c>
      <c r="DI3011">
        <v>0</v>
      </c>
    </row>
    <row r="3012" spans="1:113" x14ac:dyDescent="0.3">
      <c r="A3012" t="str">
        <f>"02/08/2021 20:30:36.803"</f>
        <v>02/08/2021 20:30:36.803</v>
      </c>
      <c r="C3012" t="str">
        <f t="shared" si="145"/>
        <v>FFDFD7C0</v>
      </c>
      <c r="D3012" t="s">
        <v>113</v>
      </c>
      <c r="E3012">
        <v>6</v>
      </c>
      <c r="H3012">
        <v>165</v>
      </c>
      <c r="I3012" t="s">
        <v>114</v>
      </c>
      <c r="J3012" t="s">
        <v>115</v>
      </c>
      <c r="K3012">
        <v>0</v>
      </c>
      <c r="L3012">
        <v>3</v>
      </c>
      <c r="M3012">
        <v>0</v>
      </c>
      <c r="N3012">
        <v>2</v>
      </c>
      <c r="O3012">
        <v>1</v>
      </c>
      <c r="P3012">
        <v>0</v>
      </c>
      <c r="Q3012">
        <v>0</v>
      </c>
      <c r="S3012" t="str">
        <f>"20:30:39.141"</f>
        <v>20:30:39.141</v>
      </c>
      <c r="T3012" t="str">
        <f>"20:30:38.741"</f>
        <v>20:30:38.741</v>
      </c>
      <c r="U3012" t="str">
        <f t="shared" si="147"/>
        <v>AB01F4</v>
      </c>
      <c r="V3012">
        <v>0</v>
      </c>
      <c r="W3012">
        <v>0</v>
      </c>
      <c r="X3012">
        <v>2</v>
      </c>
      <c r="Z3012">
        <v>0</v>
      </c>
      <c r="AA3012">
        <v>9</v>
      </c>
      <c r="AB3012">
        <v>3</v>
      </c>
      <c r="AC3012">
        <v>0</v>
      </c>
      <c r="AD3012">
        <v>10</v>
      </c>
      <c r="AE3012">
        <v>0</v>
      </c>
      <c r="AF3012">
        <v>3</v>
      </c>
      <c r="AG3012">
        <v>2</v>
      </c>
      <c r="AH3012">
        <v>0</v>
      </c>
      <c r="AI3012" t="s">
        <v>1755</v>
      </c>
      <c r="AJ3012">
        <v>40.037118999999997</v>
      </c>
      <c r="AK3012" t="s">
        <v>1756</v>
      </c>
      <c r="AL3012">
        <v>-92.856746000000001</v>
      </c>
      <c r="AM3012">
        <v>100</v>
      </c>
      <c r="AN3012">
        <v>1400</v>
      </c>
      <c r="AO3012" t="s">
        <v>118</v>
      </c>
      <c r="AP3012">
        <v>-132</v>
      </c>
      <c r="AQ3012">
        <v>40</v>
      </c>
      <c r="AR3012">
        <v>-128</v>
      </c>
      <c r="AZ3012">
        <v>1200</v>
      </c>
      <c r="BA3012">
        <v>1</v>
      </c>
      <c r="BB3012" t="str">
        <f t="shared" si="146"/>
        <v xml:space="preserve">N8080G  </v>
      </c>
      <c r="BC3012">
        <v>1</v>
      </c>
      <c r="BE3012">
        <v>0</v>
      </c>
      <c r="BF3012">
        <v>0</v>
      </c>
      <c r="BG3012">
        <v>0</v>
      </c>
      <c r="BH3012">
        <v>1400</v>
      </c>
      <c r="BI3012">
        <v>1</v>
      </c>
      <c r="BJ3012">
        <v>1</v>
      </c>
      <c r="BK3012">
        <v>1</v>
      </c>
      <c r="BL3012">
        <v>0</v>
      </c>
      <c r="BO3012">
        <v>0</v>
      </c>
      <c r="BP3012">
        <v>0</v>
      </c>
      <c r="BW3012" t="str">
        <f>"20:30:39.147"</f>
        <v>20:30:39.147</v>
      </c>
      <c r="BZ3012">
        <v>0</v>
      </c>
      <c r="CA3012">
        <v>1600</v>
      </c>
      <c r="CB3012">
        <v>224</v>
      </c>
      <c r="CD3012">
        <v>1</v>
      </c>
      <c r="CE3012">
        <v>0</v>
      </c>
      <c r="CF3012">
        <v>0</v>
      </c>
      <c r="CG3012">
        <v>0</v>
      </c>
      <c r="CH3012">
        <v>0</v>
      </c>
      <c r="CI3012">
        <v>0</v>
      </c>
      <c r="CJ3012">
        <v>0</v>
      </c>
      <c r="CK3012">
        <v>2</v>
      </c>
      <c r="CL3012">
        <v>0</v>
      </c>
      <c r="CM3012">
        <v>2</v>
      </c>
      <c r="CN3012">
        <v>0</v>
      </c>
      <c r="CO3012">
        <v>7</v>
      </c>
      <c r="CP3012" t="s">
        <v>119</v>
      </c>
      <c r="CQ3012">
        <v>180</v>
      </c>
      <c r="CR3012">
        <v>2</v>
      </c>
      <c r="CW3012">
        <v>8688820</v>
      </c>
      <c r="CY3012">
        <v>0</v>
      </c>
      <c r="CZ3012">
        <v>0</v>
      </c>
      <c r="DA3012">
        <v>1</v>
      </c>
      <c r="DB3012">
        <v>0</v>
      </c>
      <c r="DC3012">
        <v>0</v>
      </c>
      <c r="DD3012">
        <v>0</v>
      </c>
      <c r="DE3012">
        <v>0</v>
      </c>
      <c r="DF3012">
        <v>0</v>
      </c>
      <c r="DG3012">
        <v>0</v>
      </c>
      <c r="DH3012">
        <v>0</v>
      </c>
      <c r="DI3012">
        <v>0</v>
      </c>
    </row>
    <row r="3013" spans="1:113" x14ac:dyDescent="0.3">
      <c r="A3013" t="str">
        <f>"02/08/2021 20:30:36.803"</f>
        <v>02/08/2021 20:30:36.803</v>
      </c>
      <c r="C3013" t="str">
        <f t="shared" si="145"/>
        <v>FFDFD7C0</v>
      </c>
      <c r="D3013" t="s">
        <v>124</v>
      </c>
      <c r="E3013">
        <v>13</v>
      </c>
      <c r="F3013">
        <v>1013</v>
      </c>
      <c r="G3013" t="s">
        <v>114</v>
      </c>
      <c r="J3013" t="s">
        <v>125</v>
      </c>
      <c r="K3013">
        <v>0</v>
      </c>
      <c r="L3013">
        <v>3</v>
      </c>
      <c r="M3013">
        <v>0</v>
      </c>
      <c r="N3013">
        <v>2</v>
      </c>
      <c r="O3013">
        <v>1</v>
      </c>
      <c r="P3013">
        <v>0</v>
      </c>
      <c r="Q3013">
        <v>0</v>
      </c>
      <c r="S3013" t="str">
        <f>"20:30:39.141"</f>
        <v>20:30:39.141</v>
      </c>
      <c r="T3013" t="str">
        <f>"20:30:38.741"</f>
        <v>20:30:38.741</v>
      </c>
      <c r="U3013" t="str">
        <f t="shared" si="147"/>
        <v>AB01F4</v>
      </c>
      <c r="V3013">
        <v>0</v>
      </c>
      <c r="W3013">
        <v>0</v>
      </c>
      <c r="X3013">
        <v>2</v>
      </c>
      <c r="Z3013">
        <v>0</v>
      </c>
      <c r="AA3013">
        <v>9</v>
      </c>
      <c r="AB3013">
        <v>3</v>
      </c>
      <c r="AC3013">
        <v>0</v>
      </c>
      <c r="AD3013">
        <v>10</v>
      </c>
      <c r="AE3013">
        <v>0</v>
      </c>
      <c r="AF3013">
        <v>3</v>
      </c>
      <c r="AG3013">
        <v>2</v>
      </c>
      <c r="AH3013">
        <v>0</v>
      </c>
      <c r="AI3013" t="s">
        <v>1755</v>
      </c>
      <c r="AJ3013">
        <v>40.037118999999997</v>
      </c>
      <c r="AK3013" t="s">
        <v>1756</v>
      </c>
      <c r="AL3013">
        <v>-92.856746000000001</v>
      </c>
      <c r="AM3013">
        <v>100</v>
      </c>
      <c r="AN3013">
        <v>1400</v>
      </c>
      <c r="AO3013" t="s">
        <v>118</v>
      </c>
      <c r="AP3013">
        <v>-132</v>
      </c>
      <c r="AQ3013">
        <v>40</v>
      </c>
      <c r="AR3013">
        <v>-128</v>
      </c>
      <c r="AZ3013">
        <v>1200</v>
      </c>
      <c r="BA3013">
        <v>1</v>
      </c>
      <c r="BB3013" t="str">
        <f t="shared" si="146"/>
        <v xml:space="preserve">N8080G  </v>
      </c>
      <c r="BC3013">
        <v>1</v>
      </c>
      <c r="BE3013">
        <v>0</v>
      </c>
      <c r="BF3013">
        <v>0</v>
      </c>
      <c r="BG3013">
        <v>0</v>
      </c>
      <c r="BH3013">
        <v>1400</v>
      </c>
      <c r="BI3013">
        <v>1</v>
      </c>
      <c r="BJ3013">
        <v>1</v>
      </c>
      <c r="BK3013">
        <v>1</v>
      </c>
      <c r="BL3013">
        <v>0</v>
      </c>
      <c r="BO3013">
        <v>0</v>
      </c>
      <c r="BP3013">
        <v>0</v>
      </c>
      <c r="BW3013" t="str">
        <f>"20:30:39.147"</f>
        <v>20:30:39.147</v>
      </c>
      <c r="BZ3013">
        <v>0</v>
      </c>
      <c r="CA3013">
        <v>1600</v>
      </c>
      <c r="CB3013">
        <v>224</v>
      </c>
      <c r="CD3013">
        <v>1</v>
      </c>
      <c r="CE3013">
        <v>0</v>
      </c>
      <c r="CF3013">
        <v>0</v>
      </c>
      <c r="CG3013">
        <v>0</v>
      </c>
      <c r="CH3013">
        <v>0</v>
      </c>
      <c r="CI3013">
        <v>0</v>
      </c>
      <c r="CJ3013">
        <v>0</v>
      </c>
      <c r="CK3013">
        <v>2</v>
      </c>
      <c r="CL3013">
        <v>0</v>
      </c>
      <c r="CM3013">
        <v>2</v>
      </c>
      <c r="CN3013">
        <v>0</v>
      </c>
      <c r="CO3013">
        <v>7</v>
      </c>
      <c r="CP3013" t="s">
        <v>119</v>
      </c>
      <c r="CQ3013">
        <v>180</v>
      </c>
      <c r="CR3013">
        <v>2</v>
      </c>
      <c r="CW3013">
        <v>8688820</v>
      </c>
      <c r="CY3013">
        <v>0</v>
      </c>
      <c r="CZ3013">
        <v>0</v>
      </c>
      <c r="DA3013">
        <v>1</v>
      </c>
      <c r="DB3013">
        <v>0</v>
      </c>
      <c r="DC3013">
        <v>0</v>
      </c>
      <c r="DD3013">
        <v>0</v>
      </c>
      <c r="DE3013">
        <v>0</v>
      </c>
      <c r="DF3013">
        <v>0</v>
      </c>
      <c r="DG3013">
        <v>0</v>
      </c>
      <c r="DH3013">
        <v>0</v>
      </c>
      <c r="DI3013">
        <v>0</v>
      </c>
    </row>
    <row r="3014" spans="1:113" x14ac:dyDescent="0.3">
      <c r="A3014" t="str">
        <f>"02/08/2021 20:30:36.803"</f>
        <v>02/08/2021 20:30:36.803</v>
      </c>
      <c r="C3014" t="str">
        <f t="shared" si="145"/>
        <v>FFDFD7C0</v>
      </c>
      <c r="D3014" t="s">
        <v>124</v>
      </c>
      <c r="E3014">
        <v>11</v>
      </c>
      <c r="F3014">
        <v>1011</v>
      </c>
      <c r="G3014" t="s">
        <v>590</v>
      </c>
      <c r="J3014" t="s">
        <v>125</v>
      </c>
      <c r="K3014">
        <v>0</v>
      </c>
      <c r="L3014">
        <v>3</v>
      </c>
      <c r="M3014">
        <v>0</v>
      </c>
      <c r="N3014">
        <v>2</v>
      </c>
      <c r="O3014">
        <v>1</v>
      </c>
      <c r="P3014">
        <v>0</v>
      </c>
      <c r="Q3014">
        <v>0</v>
      </c>
      <c r="S3014" t="str">
        <f>"20:30:39.141"</f>
        <v>20:30:39.141</v>
      </c>
      <c r="T3014" t="str">
        <f>"20:30:38.741"</f>
        <v>20:30:38.741</v>
      </c>
      <c r="U3014" t="str">
        <f t="shared" si="147"/>
        <v>AB01F4</v>
      </c>
      <c r="V3014">
        <v>0</v>
      </c>
      <c r="W3014">
        <v>0</v>
      </c>
      <c r="X3014">
        <v>2</v>
      </c>
      <c r="Z3014">
        <v>0</v>
      </c>
      <c r="AA3014">
        <v>9</v>
      </c>
      <c r="AB3014">
        <v>3</v>
      </c>
      <c r="AC3014">
        <v>0</v>
      </c>
      <c r="AD3014">
        <v>10</v>
      </c>
      <c r="AE3014">
        <v>0</v>
      </c>
      <c r="AF3014">
        <v>3</v>
      </c>
      <c r="AG3014">
        <v>2</v>
      </c>
      <c r="AH3014">
        <v>0</v>
      </c>
      <c r="AI3014" t="s">
        <v>1755</v>
      </c>
      <c r="AJ3014">
        <v>40.037118999999997</v>
      </c>
      <c r="AK3014" t="s">
        <v>1756</v>
      </c>
      <c r="AL3014">
        <v>-92.856746000000001</v>
      </c>
      <c r="AM3014">
        <v>100</v>
      </c>
      <c r="AN3014">
        <v>1400</v>
      </c>
      <c r="AO3014" t="s">
        <v>118</v>
      </c>
      <c r="AP3014">
        <v>-132</v>
      </c>
      <c r="AQ3014">
        <v>40</v>
      </c>
      <c r="AR3014">
        <v>-128</v>
      </c>
      <c r="AZ3014">
        <v>1200</v>
      </c>
      <c r="BA3014">
        <v>1</v>
      </c>
      <c r="BB3014" t="str">
        <f t="shared" si="146"/>
        <v xml:space="preserve">N8080G  </v>
      </c>
      <c r="BC3014">
        <v>1</v>
      </c>
      <c r="BE3014">
        <v>0</v>
      </c>
      <c r="BF3014">
        <v>0</v>
      </c>
      <c r="BG3014">
        <v>0</v>
      </c>
      <c r="BH3014">
        <v>1400</v>
      </c>
      <c r="BI3014">
        <v>1</v>
      </c>
      <c r="BJ3014">
        <v>1</v>
      </c>
      <c r="BK3014">
        <v>1</v>
      </c>
      <c r="BL3014">
        <v>0</v>
      </c>
      <c r="BO3014">
        <v>0</v>
      </c>
      <c r="BP3014">
        <v>0</v>
      </c>
      <c r="BW3014" t="str">
        <f>"20:30:39.147"</f>
        <v>20:30:39.147</v>
      </c>
      <c r="BZ3014">
        <v>0</v>
      </c>
      <c r="CA3014">
        <v>1600</v>
      </c>
      <c r="CB3014">
        <v>224</v>
      </c>
      <c r="CD3014">
        <v>1</v>
      </c>
      <c r="CE3014">
        <v>0</v>
      </c>
      <c r="CF3014">
        <v>0</v>
      </c>
      <c r="CG3014">
        <v>0</v>
      </c>
      <c r="CH3014">
        <v>0</v>
      </c>
      <c r="CI3014">
        <v>0</v>
      </c>
      <c r="CJ3014">
        <v>0</v>
      </c>
      <c r="CK3014">
        <v>2</v>
      </c>
      <c r="CL3014">
        <v>0</v>
      </c>
      <c r="CM3014">
        <v>2</v>
      </c>
      <c r="CN3014">
        <v>0</v>
      </c>
      <c r="CO3014">
        <v>7</v>
      </c>
      <c r="CP3014" t="s">
        <v>119</v>
      </c>
      <c r="CQ3014">
        <v>180</v>
      </c>
      <c r="CR3014">
        <v>2</v>
      </c>
      <c r="CW3014">
        <v>8688820</v>
      </c>
      <c r="CY3014">
        <v>0</v>
      </c>
      <c r="CZ3014">
        <v>0</v>
      </c>
      <c r="DA3014">
        <v>1</v>
      </c>
      <c r="DB3014">
        <v>0</v>
      </c>
      <c r="DC3014">
        <v>0</v>
      </c>
      <c r="DD3014">
        <v>0</v>
      </c>
      <c r="DE3014">
        <v>0</v>
      </c>
      <c r="DF3014">
        <v>0</v>
      </c>
      <c r="DG3014">
        <v>0</v>
      </c>
      <c r="DH3014">
        <v>0</v>
      </c>
      <c r="DI3014">
        <v>0</v>
      </c>
    </row>
    <row r="3015" spans="1:113" x14ac:dyDescent="0.3">
      <c r="A3015" t="str">
        <f>"02/08/2021 20:30:38.261"</f>
        <v>02/08/2021 20:30:38.261</v>
      </c>
      <c r="C3015" t="str">
        <f t="shared" si="145"/>
        <v>FFDFD7C0</v>
      </c>
      <c r="D3015" t="s">
        <v>124</v>
      </c>
      <c r="E3015">
        <v>12</v>
      </c>
      <c r="F3015">
        <v>1012</v>
      </c>
      <c r="G3015" t="s">
        <v>675</v>
      </c>
      <c r="J3015" t="s">
        <v>125</v>
      </c>
      <c r="K3015">
        <v>0</v>
      </c>
      <c r="L3015">
        <v>3</v>
      </c>
      <c r="M3015">
        <v>0</v>
      </c>
      <c r="N3015">
        <v>2</v>
      </c>
      <c r="O3015">
        <v>1</v>
      </c>
      <c r="P3015">
        <v>0</v>
      </c>
      <c r="Q3015">
        <v>0</v>
      </c>
      <c r="S3015" t="str">
        <f>"20:30:40.547"</f>
        <v>20:30:40.547</v>
      </c>
      <c r="T3015" t="str">
        <f>"20:30:40.047"</f>
        <v>20:30:40.047</v>
      </c>
      <c r="U3015" t="str">
        <f t="shared" si="147"/>
        <v>AB01F4</v>
      </c>
      <c r="V3015">
        <v>0</v>
      </c>
      <c r="W3015">
        <v>0</v>
      </c>
      <c r="X3015">
        <v>2</v>
      </c>
      <c r="Z3015">
        <v>0</v>
      </c>
      <c r="AA3015">
        <v>9</v>
      </c>
      <c r="AB3015">
        <v>3</v>
      </c>
      <c r="AC3015">
        <v>0</v>
      </c>
      <c r="AD3015">
        <v>10</v>
      </c>
      <c r="AE3015">
        <v>0</v>
      </c>
      <c r="AF3015">
        <v>3</v>
      </c>
      <c r="AG3015">
        <v>2</v>
      </c>
      <c r="AH3015">
        <v>0</v>
      </c>
      <c r="AI3015" t="s">
        <v>1757</v>
      </c>
      <c r="AJ3015">
        <v>40.037334000000001</v>
      </c>
      <c r="AK3015" t="s">
        <v>1758</v>
      </c>
      <c r="AL3015">
        <v>-92.857904000000005</v>
      </c>
      <c r="AM3015">
        <v>100</v>
      </c>
      <c r="AN3015">
        <v>1400</v>
      </c>
      <c r="AO3015" t="s">
        <v>118</v>
      </c>
      <c r="AP3015">
        <v>-133</v>
      </c>
      <c r="AQ3015">
        <v>40</v>
      </c>
      <c r="AR3015">
        <v>-192</v>
      </c>
      <c r="AZ3015">
        <v>1200</v>
      </c>
      <c r="BA3015">
        <v>1</v>
      </c>
      <c r="BB3015" t="str">
        <f t="shared" si="146"/>
        <v xml:space="preserve">N8080G  </v>
      </c>
      <c r="BC3015">
        <v>1</v>
      </c>
      <c r="BE3015">
        <v>0</v>
      </c>
      <c r="BF3015">
        <v>0</v>
      </c>
      <c r="BG3015">
        <v>0</v>
      </c>
      <c r="BH3015">
        <v>1400</v>
      </c>
      <c r="BI3015">
        <v>1</v>
      </c>
      <c r="BJ3015">
        <v>1</v>
      </c>
      <c r="BK3015">
        <v>1</v>
      </c>
      <c r="BL3015">
        <v>0</v>
      </c>
      <c r="BO3015">
        <v>0</v>
      </c>
      <c r="BP3015">
        <v>0</v>
      </c>
      <c r="BW3015" t="str">
        <f>"20:30:40.554"</f>
        <v>20:30:40.554</v>
      </c>
      <c r="BZ3015">
        <v>0</v>
      </c>
      <c r="CA3015">
        <v>1600</v>
      </c>
      <c r="CB3015">
        <v>224</v>
      </c>
      <c r="CD3015">
        <v>1</v>
      </c>
      <c r="CE3015">
        <v>0</v>
      </c>
      <c r="CF3015">
        <v>0</v>
      </c>
      <c r="CG3015">
        <v>0</v>
      </c>
      <c r="CH3015">
        <v>0</v>
      </c>
      <c r="CI3015">
        <v>0</v>
      </c>
      <c r="CJ3015">
        <v>0</v>
      </c>
      <c r="CK3015">
        <v>2</v>
      </c>
      <c r="CL3015">
        <v>0</v>
      </c>
      <c r="CM3015">
        <v>2</v>
      </c>
      <c r="CN3015">
        <v>0</v>
      </c>
      <c r="CO3015">
        <v>7</v>
      </c>
      <c r="CP3015" t="s">
        <v>119</v>
      </c>
      <c r="CQ3015">
        <v>180</v>
      </c>
      <c r="CR3015">
        <v>2</v>
      </c>
      <c r="CW3015">
        <v>8689980</v>
      </c>
      <c r="CY3015">
        <v>0</v>
      </c>
      <c r="CZ3015">
        <v>0</v>
      </c>
      <c r="DA3015">
        <v>0</v>
      </c>
      <c r="DB3015">
        <v>0</v>
      </c>
      <c r="DC3015">
        <v>0</v>
      </c>
      <c r="DD3015">
        <v>0</v>
      </c>
      <c r="DE3015">
        <v>0</v>
      </c>
      <c r="DF3015">
        <v>0</v>
      </c>
      <c r="DG3015">
        <v>0</v>
      </c>
      <c r="DH3015">
        <v>0</v>
      </c>
      <c r="DI3015">
        <v>0</v>
      </c>
    </row>
    <row r="3016" spans="1:113" x14ac:dyDescent="0.3">
      <c r="A3016" t="str">
        <f>"02/08/2021 20:30:38.261"</f>
        <v>02/08/2021 20:30:38.261</v>
      </c>
      <c r="C3016" t="str">
        <f t="shared" si="145"/>
        <v>FFDFD7C0</v>
      </c>
      <c r="D3016" t="s">
        <v>113</v>
      </c>
      <c r="E3016">
        <v>6</v>
      </c>
      <c r="H3016">
        <v>165</v>
      </c>
      <c r="I3016" t="s">
        <v>114</v>
      </c>
      <c r="J3016" t="s">
        <v>115</v>
      </c>
      <c r="K3016">
        <v>0</v>
      </c>
      <c r="L3016">
        <v>3</v>
      </c>
      <c r="M3016">
        <v>0</v>
      </c>
      <c r="N3016">
        <v>2</v>
      </c>
      <c r="O3016">
        <v>1</v>
      </c>
      <c r="P3016">
        <v>0</v>
      </c>
      <c r="Q3016">
        <v>0</v>
      </c>
      <c r="S3016" t="str">
        <f>"20:30:40.547"</f>
        <v>20:30:40.547</v>
      </c>
      <c r="T3016" t="str">
        <f>"20:30:40.047"</f>
        <v>20:30:40.047</v>
      </c>
      <c r="U3016" t="str">
        <f t="shared" si="147"/>
        <v>AB01F4</v>
      </c>
      <c r="V3016">
        <v>0</v>
      </c>
      <c r="W3016">
        <v>0</v>
      </c>
      <c r="X3016">
        <v>2</v>
      </c>
      <c r="Z3016">
        <v>0</v>
      </c>
      <c r="AA3016">
        <v>9</v>
      </c>
      <c r="AB3016">
        <v>3</v>
      </c>
      <c r="AC3016">
        <v>0</v>
      </c>
      <c r="AD3016">
        <v>10</v>
      </c>
      <c r="AE3016">
        <v>0</v>
      </c>
      <c r="AF3016">
        <v>3</v>
      </c>
      <c r="AG3016">
        <v>2</v>
      </c>
      <c r="AH3016">
        <v>0</v>
      </c>
      <c r="AI3016" t="s">
        <v>1757</v>
      </c>
      <c r="AJ3016">
        <v>40.037334000000001</v>
      </c>
      <c r="AK3016" t="s">
        <v>1758</v>
      </c>
      <c r="AL3016">
        <v>-92.857904000000005</v>
      </c>
      <c r="AM3016">
        <v>100</v>
      </c>
      <c r="AN3016">
        <v>1400</v>
      </c>
      <c r="AO3016" t="s">
        <v>118</v>
      </c>
      <c r="AP3016">
        <v>-133</v>
      </c>
      <c r="AQ3016">
        <v>40</v>
      </c>
      <c r="AR3016">
        <v>-192</v>
      </c>
      <c r="AZ3016">
        <v>1200</v>
      </c>
      <c r="BA3016">
        <v>1</v>
      </c>
      <c r="BB3016" t="str">
        <f t="shared" si="146"/>
        <v xml:space="preserve">N8080G  </v>
      </c>
      <c r="BC3016">
        <v>1</v>
      </c>
      <c r="BE3016">
        <v>0</v>
      </c>
      <c r="BF3016">
        <v>0</v>
      </c>
      <c r="BG3016">
        <v>0</v>
      </c>
      <c r="BH3016">
        <v>1400</v>
      </c>
      <c r="BI3016">
        <v>1</v>
      </c>
      <c r="BJ3016">
        <v>1</v>
      </c>
      <c r="BK3016">
        <v>1</v>
      </c>
      <c r="BL3016">
        <v>0</v>
      </c>
      <c r="BO3016">
        <v>0</v>
      </c>
      <c r="BP3016">
        <v>0</v>
      </c>
      <c r="BW3016" t="str">
        <f>"20:30:40.554"</f>
        <v>20:30:40.554</v>
      </c>
      <c r="BZ3016">
        <v>0</v>
      </c>
      <c r="CA3016">
        <v>1600</v>
      </c>
      <c r="CB3016">
        <v>224</v>
      </c>
      <c r="CD3016">
        <v>1</v>
      </c>
      <c r="CE3016">
        <v>0</v>
      </c>
      <c r="CF3016">
        <v>0</v>
      </c>
      <c r="CG3016">
        <v>0</v>
      </c>
      <c r="CH3016">
        <v>0</v>
      </c>
      <c r="CI3016">
        <v>0</v>
      </c>
      <c r="CJ3016">
        <v>0</v>
      </c>
      <c r="CK3016">
        <v>2</v>
      </c>
      <c r="CL3016">
        <v>0</v>
      </c>
      <c r="CM3016">
        <v>2</v>
      </c>
      <c r="CN3016">
        <v>0</v>
      </c>
      <c r="CO3016">
        <v>7</v>
      </c>
      <c r="CP3016" t="s">
        <v>119</v>
      </c>
      <c r="CQ3016">
        <v>180</v>
      </c>
      <c r="CR3016">
        <v>2</v>
      </c>
      <c r="CW3016">
        <v>8689980</v>
      </c>
      <c r="CY3016">
        <v>0</v>
      </c>
      <c r="CZ3016">
        <v>0</v>
      </c>
      <c r="DA3016">
        <v>1</v>
      </c>
      <c r="DB3016">
        <v>0</v>
      </c>
      <c r="DC3016">
        <v>0</v>
      </c>
      <c r="DD3016">
        <v>0</v>
      </c>
      <c r="DE3016">
        <v>0</v>
      </c>
      <c r="DF3016">
        <v>0</v>
      </c>
      <c r="DG3016">
        <v>0</v>
      </c>
      <c r="DH3016">
        <v>0</v>
      </c>
      <c r="DI3016">
        <v>0</v>
      </c>
    </row>
    <row r="3017" spans="1:113" x14ac:dyDescent="0.3">
      <c r="A3017" t="str">
        <f>"02/08/2021 20:30:38.261"</f>
        <v>02/08/2021 20:30:38.261</v>
      </c>
      <c r="C3017" t="str">
        <f t="shared" si="145"/>
        <v>FFDFD7C0</v>
      </c>
      <c r="D3017" t="s">
        <v>124</v>
      </c>
      <c r="E3017">
        <v>13</v>
      </c>
      <c r="F3017">
        <v>1013</v>
      </c>
      <c r="G3017" t="s">
        <v>114</v>
      </c>
      <c r="J3017" t="s">
        <v>125</v>
      </c>
      <c r="K3017">
        <v>0</v>
      </c>
      <c r="L3017">
        <v>3</v>
      </c>
      <c r="M3017">
        <v>0</v>
      </c>
      <c r="N3017">
        <v>2</v>
      </c>
      <c r="O3017">
        <v>1</v>
      </c>
      <c r="P3017">
        <v>0</v>
      </c>
      <c r="Q3017">
        <v>0</v>
      </c>
      <c r="S3017" t="str">
        <f>"20:30:40.547"</f>
        <v>20:30:40.547</v>
      </c>
      <c r="T3017" t="str">
        <f>"20:30:40.047"</f>
        <v>20:30:40.047</v>
      </c>
      <c r="U3017" t="str">
        <f t="shared" si="147"/>
        <v>AB01F4</v>
      </c>
      <c r="V3017">
        <v>0</v>
      </c>
      <c r="W3017">
        <v>0</v>
      </c>
      <c r="X3017">
        <v>2</v>
      </c>
      <c r="Z3017">
        <v>0</v>
      </c>
      <c r="AA3017">
        <v>9</v>
      </c>
      <c r="AB3017">
        <v>3</v>
      </c>
      <c r="AC3017">
        <v>0</v>
      </c>
      <c r="AD3017">
        <v>10</v>
      </c>
      <c r="AE3017">
        <v>0</v>
      </c>
      <c r="AF3017">
        <v>3</v>
      </c>
      <c r="AG3017">
        <v>2</v>
      </c>
      <c r="AH3017">
        <v>0</v>
      </c>
      <c r="AI3017" t="s">
        <v>1757</v>
      </c>
      <c r="AJ3017">
        <v>40.037334000000001</v>
      </c>
      <c r="AK3017" t="s">
        <v>1758</v>
      </c>
      <c r="AL3017">
        <v>-92.857904000000005</v>
      </c>
      <c r="AM3017">
        <v>100</v>
      </c>
      <c r="AN3017">
        <v>1400</v>
      </c>
      <c r="AO3017" t="s">
        <v>118</v>
      </c>
      <c r="AP3017">
        <v>-133</v>
      </c>
      <c r="AQ3017">
        <v>40</v>
      </c>
      <c r="AR3017">
        <v>-192</v>
      </c>
      <c r="AZ3017">
        <v>1200</v>
      </c>
      <c r="BA3017">
        <v>1</v>
      </c>
      <c r="BB3017" t="str">
        <f t="shared" si="146"/>
        <v xml:space="preserve">N8080G  </v>
      </c>
      <c r="BC3017">
        <v>1</v>
      </c>
      <c r="BE3017">
        <v>0</v>
      </c>
      <c r="BF3017">
        <v>0</v>
      </c>
      <c r="BG3017">
        <v>0</v>
      </c>
      <c r="BH3017">
        <v>1400</v>
      </c>
      <c r="BI3017">
        <v>1</v>
      </c>
      <c r="BJ3017">
        <v>1</v>
      </c>
      <c r="BK3017">
        <v>1</v>
      </c>
      <c r="BL3017">
        <v>0</v>
      </c>
      <c r="BO3017">
        <v>0</v>
      </c>
      <c r="BP3017">
        <v>0</v>
      </c>
      <c r="BW3017" t="str">
        <f>"20:30:40.554"</f>
        <v>20:30:40.554</v>
      </c>
      <c r="BZ3017">
        <v>0</v>
      </c>
      <c r="CA3017">
        <v>1600</v>
      </c>
      <c r="CB3017">
        <v>224</v>
      </c>
      <c r="CD3017">
        <v>1</v>
      </c>
      <c r="CE3017">
        <v>0</v>
      </c>
      <c r="CF3017">
        <v>0</v>
      </c>
      <c r="CG3017">
        <v>0</v>
      </c>
      <c r="CH3017">
        <v>0</v>
      </c>
      <c r="CI3017">
        <v>0</v>
      </c>
      <c r="CJ3017">
        <v>0</v>
      </c>
      <c r="CK3017">
        <v>2</v>
      </c>
      <c r="CL3017">
        <v>0</v>
      </c>
      <c r="CM3017">
        <v>2</v>
      </c>
      <c r="CN3017">
        <v>0</v>
      </c>
      <c r="CO3017">
        <v>7</v>
      </c>
      <c r="CP3017" t="s">
        <v>119</v>
      </c>
      <c r="CQ3017">
        <v>180</v>
      </c>
      <c r="CR3017">
        <v>2</v>
      </c>
      <c r="CW3017">
        <v>8689980</v>
      </c>
      <c r="CY3017">
        <v>0</v>
      </c>
      <c r="CZ3017">
        <v>0</v>
      </c>
      <c r="DA3017">
        <v>1</v>
      </c>
      <c r="DB3017">
        <v>0</v>
      </c>
      <c r="DC3017">
        <v>0</v>
      </c>
      <c r="DD3017">
        <v>0</v>
      </c>
      <c r="DE3017">
        <v>0</v>
      </c>
      <c r="DF3017">
        <v>0</v>
      </c>
      <c r="DG3017">
        <v>0</v>
      </c>
      <c r="DH3017">
        <v>0</v>
      </c>
      <c r="DI3017">
        <v>0</v>
      </c>
    </row>
    <row r="3018" spans="1:113" x14ac:dyDescent="0.3">
      <c r="A3018" t="str">
        <f>"02/08/2021 20:30:38.261"</f>
        <v>02/08/2021 20:30:38.261</v>
      </c>
      <c r="C3018" t="str">
        <f t="shared" si="145"/>
        <v>FFDFD7C0</v>
      </c>
      <c r="D3018" t="s">
        <v>124</v>
      </c>
      <c r="E3018">
        <v>11</v>
      </c>
      <c r="F3018">
        <v>1011</v>
      </c>
      <c r="G3018" t="s">
        <v>590</v>
      </c>
      <c r="J3018" t="s">
        <v>125</v>
      </c>
      <c r="K3018">
        <v>0</v>
      </c>
      <c r="L3018">
        <v>3</v>
      </c>
      <c r="M3018">
        <v>0</v>
      </c>
      <c r="N3018">
        <v>2</v>
      </c>
      <c r="O3018">
        <v>1</v>
      </c>
      <c r="P3018">
        <v>0</v>
      </c>
      <c r="Q3018">
        <v>0</v>
      </c>
      <c r="S3018" t="str">
        <f>"20:30:40.547"</f>
        <v>20:30:40.547</v>
      </c>
      <c r="T3018" t="str">
        <f>"20:30:40.047"</f>
        <v>20:30:40.047</v>
      </c>
      <c r="U3018" t="str">
        <f t="shared" si="147"/>
        <v>AB01F4</v>
      </c>
      <c r="V3018">
        <v>0</v>
      </c>
      <c r="W3018">
        <v>0</v>
      </c>
      <c r="X3018">
        <v>2</v>
      </c>
      <c r="Z3018">
        <v>0</v>
      </c>
      <c r="AA3018">
        <v>9</v>
      </c>
      <c r="AB3018">
        <v>3</v>
      </c>
      <c r="AC3018">
        <v>0</v>
      </c>
      <c r="AD3018">
        <v>10</v>
      </c>
      <c r="AE3018">
        <v>0</v>
      </c>
      <c r="AF3018">
        <v>3</v>
      </c>
      <c r="AG3018">
        <v>2</v>
      </c>
      <c r="AH3018">
        <v>0</v>
      </c>
      <c r="AI3018" t="s">
        <v>1757</v>
      </c>
      <c r="AJ3018">
        <v>40.037334000000001</v>
      </c>
      <c r="AK3018" t="s">
        <v>1758</v>
      </c>
      <c r="AL3018">
        <v>-92.857904000000005</v>
      </c>
      <c r="AM3018">
        <v>100</v>
      </c>
      <c r="AN3018">
        <v>1400</v>
      </c>
      <c r="AO3018" t="s">
        <v>118</v>
      </c>
      <c r="AP3018">
        <v>-133</v>
      </c>
      <c r="AQ3018">
        <v>40</v>
      </c>
      <c r="AR3018">
        <v>-192</v>
      </c>
      <c r="AZ3018">
        <v>1200</v>
      </c>
      <c r="BA3018">
        <v>1</v>
      </c>
      <c r="BB3018" t="str">
        <f t="shared" si="146"/>
        <v xml:space="preserve">N8080G  </v>
      </c>
      <c r="BC3018">
        <v>1</v>
      </c>
      <c r="BE3018">
        <v>0</v>
      </c>
      <c r="BF3018">
        <v>0</v>
      </c>
      <c r="BG3018">
        <v>0</v>
      </c>
      <c r="BH3018">
        <v>1400</v>
      </c>
      <c r="BI3018">
        <v>1</v>
      </c>
      <c r="BJ3018">
        <v>1</v>
      </c>
      <c r="BK3018">
        <v>1</v>
      </c>
      <c r="BL3018">
        <v>0</v>
      </c>
      <c r="BO3018">
        <v>0</v>
      </c>
      <c r="BP3018">
        <v>0</v>
      </c>
      <c r="BW3018" t="str">
        <f>"20:30:40.554"</f>
        <v>20:30:40.554</v>
      </c>
      <c r="BZ3018">
        <v>0</v>
      </c>
      <c r="CA3018">
        <v>1600</v>
      </c>
      <c r="CB3018">
        <v>224</v>
      </c>
      <c r="CD3018">
        <v>1</v>
      </c>
      <c r="CE3018">
        <v>0</v>
      </c>
      <c r="CF3018">
        <v>0</v>
      </c>
      <c r="CG3018">
        <v>0</v>
      </c>
      <c r="CH3018">
        <v>0</v>
      </c>
      <c r="CI3018">
        <v>0</v>
      </c>
      <c r="CJ3018">
        <v>0</v>
      </c>
      <c r="CK3018">
        <v>2</v>
      </c>
      <c r="CL3018">
        <v>0</v>
      </c>
      <c r="CM3018">
        <v>2</v>
      </c>
      <c r="CN3018">
        <v>0</v>
      </c>
      <c r="CO3018">
        <v>7</v>
      </c>
      <c r="CP3018" t="s">
        <v>119</v>
      </c>
      <c r="CQ3018">
        <v>180</v>
      </c>
      <c r="CR3018">
        <v>2</v>
      </c>
      <c r="CW3018">
        <v>8689980</v>
      </c>
      <c r="CY3018">
        <v>0</v>
      </c>
      <c r="CZ3018">
        <v>0</v>
      </c>
      <c r="DA3018">
        <v>1</v>
      </c>
      <c r="DB3018">
        <v>0</v>
      </c>
      <c r="DC3018">
        <v>0</v>
      </c>
      <c r="DD3018">
        <v>0</v>
      </c>
      <c r="DE3018">
        <v>0</v>
      </c>
      <c r="DF3018">
        <v>0</v>
      </c>
      <c r="DG3018">
        <v>0</v>
      </c>
      <c r="DH3018">
        <v>0</v>
      </c>
      <c r="DI3018">
        <v>0</v>
      </c>
    </row>
    <row r="3019" spans="1:113" x14ac:dyDescent="0.3">
      <c r="A3019" t="str">
        <f>"02/08/2021 20:30:39.639"</f>
        <v>02/08/2021 20:30:39.639</v>
      </c>
      <c r="C3019" t="str">
        <f t="shared" si="145"/>
        <v>FFDFD7C0</v>
      </c>
      <c r="D3019" t="s">
        <v>124</v>
      </c>
      <c r="E3019">
        <v>13</v>
      </c>
      <c r="F3019">
        <v>1013</v>
      </c>
      <c r="G3019" t="s">
        <v>114</v>
      </c>
      <c r="J3019" t="s">
        <v>125</v>
      </c>
      <c r="K3019">
        <v>0</v>
      </c>
      <c r="L3019">
        <v>3</v>
      </c>
      <c r="M3019">
        <v>0</v>
      </c>
      <c r="N3019">
        <v>2</v>
      </c>
      <c r="O3019">
        <v>1</v>
      </c>
      <c r="P3019">
        <v>0</v>
      </c>
      <c r="Q3019">
        <v>0</v>
      </c>
      <c r="S3019" t="str">
        <f>"20:30:41.984"</f>
        <v>20:30:41.984</v>
      </c>
      <c r="T3019" t="str">
        <f>"20:30:41.484"</f>
        <v>20:30:41.484</v>
      </c>
      <c r="U3019" t="str">
        <f t="shared" si="147"/>
        <v>AB01F4</v>
      </c>
      <c r="V3019">
        <v>0</v>
      </c>
      <c r="W3019">
        <v>0</v>
      </c>
      <c r="X3019">
        <v>2</v>
      </c>
      <c r="Z3019">
        <v>0</v>
      </c>
      <c r="AA3019">
        <v>9</v>
      </c>
      <c r="AB3019">
        <v>3</v>
      </c>
      <c r="AC3019">
        <v>0</v>
      </c>
      <c r="AD3019">
        <v>10</v>
      </c>
      <c r="AE3019">
        <v>0</v>
      </c>
      <c r="AF3019">
        <v>3</v>
      </c>
      <c r="AG3019">
        <v>2</v>
      </c>
      <c r="AH3019">
        <v>0</v>
      </c>
      <c r="AI3019" t="s">
        <v>1759</v>
      </c>
      <c r="AJ3019">
        <v>40.037613</v>
      </c>
      <c r="AK3019" t="s">
        <v>1760</v>
      </c>
      <c r="AL3019">
        <v>-92.858998999999997</v>
      </c>
      <c r="AM3019">
        <v>100</v>
      </c>
      <c r="AN3019">
        <v>1400</v>
      </c>
      <c r="AO3019" t="s">
        <v>118</v>
      </c>
      <c r="AP3019">
        <v>-133</v>
      </c>
      <c r="AQ3019">
        <v>40</v>
      </c>
      <c r="AR3019">
        <v>-256</v>
      </c>
      <c r="AZ3019">
        <v>1200</v>
      </c>
      <c r="BA3019">
        <v>1</v>
      </c>
      <c r="BB3019" t="str">
        <f t="shared" si="146"/>
        <v xml:space="preserve">N8080G  </v>
      </c>
      <c r="BC3019">
        <v>1</v>
      </c>
      <c r="BE3019">
        <v>0</v>
      </c>
      <c r="BF3019">
        <v>0</v>
      </c>
      <c r="BG3019">
        <v>0</v>
      </c>
      <c r="BH3019">
        <v>1400</v>
      </c>
      <c r="BI3019">
        <v>1</v>
      </c>
      <c r="BJ3019">
        <v>1</v>
      </c>
      <c r="BK3019">
        <v>1</v>
      </c>
      <c r="BL3019">
        <v>0</v>
      </c>
      <c r="BO3019">
        <v>0</v>
      </c>
      <c r="BP3019">
        <v>0</v>
      </c>
      <c r="BW3019" t="str">
        <f>"20:30:41.986"</f>
        <v>20:30:41.986</v>
      </c>
      <c r="BZ3019">
        <v>0</v>
      </c>
      <c r="CA3019">
        <v>1600</v>
      </c>
      <c r="CB3019">
        <v>224</v>
      </c>
      <c r="CD3019">
        <v>1</v>
      </c>
      <c r="CE3019">
        <v>0</v>
      </c>
      <c r="CF3019">
        <v>0</v>
      </c>
      <c r="CG3019">
        <v>0</v>
      </c>
      <c r="CH3019">
        <v>0</v>
      </c>
      <c r="CI3019">
        <v>0</v>
      </c>
      <c r="CJ3019">
        <v>0</v>
      </c>
      <c r="CK3019">
        <v>2</v>
      </c>
      <c r="CL3019">
        <v>0</v>
      </c>
      <c r="CM3019">
        <v>2</v>
      </c>
      <c r="CN3019">
        <v>0</v>
      </c>
      <c r="CO3019">
        <v>7</v>
      </c>
      <c r="CP3019" t="s">
        <v>119</v>
      </c>
      <c r="CQ3019">
        <v>180</v>
      </c>
      <c r="CR3019">
        <v>2</v>
      </c>
      <c r="CW3019">
        <v>8691274</v>
      </c>
      <c r="CY3019">
        <v>0</v>
      </c>
      <c r="CZ3019">
        <v>0</v>
      </c>
      <c r="DA3019">
        <v>0</v>
      </c>
      <c r="DB3019">
        <v>0</v>
      </c>
      <c r="DC3019">
        <v>0</v>
      </c>
      <c r="DD3019">
        <v>0</v>
      </c>
      <c r="DE3019">
        <v>0</v>
      </c>
      <c r="DF3019">
        <v>0</v>
      </c>
      <c r="DG3019">
        <v>0</v>
      </c>
      <c r="DH3019">
        <v>0</v>
      </c>
      <c r="DI3019">
        <v>0</v>
      </c>
    </row>
    <row r="3020" spans="1:113" x14ac:dyDescent="0.3">
      <c r="A3020" t="str">
        <f>"02/08/2021 20:30:39.639"</f>
        <v>02/08/2021 20:30:39.639</v>
      </c>
      <c r="C3020" t="str">
        <f t="shared" si="145"/>
        <v>FFDFD7C0</v>
      </c>
      <c r="D3020" t="s">
        <v>113</v>
      </c>
      <c r="E3020">
        <v>6</v>
      </c>
      <c r="H3020">
        <v>165</v>
      </c>
      <c r="I3020" t="s">
        <v>114</v>
      </c>
      <c r="J3020" t="s">
        <v>115</v>
      </c>
      <c r="K3020">
        <v>0</v>
      </c>
      <c r="L3020">
        <v>3</v>
      </c>
      <c r="M3020">
        <v>0</v>
      </c>
      <c r="N3020">
        <v>2</v>
      </c>
      <c r="O3020">
        <v>1</v>
      </c>
      <c r="P3020">
        <v>0</v>
      </c>
      <c r="Q3020">
        <v>0</v>
      </c>
      <c r="S3020" t="str">
        <f>"20:30:41.984"</f>
        <v>20:30:41.984</v>
      </c>
      <c r="T3020" t="str">
        <f>"20:30:41.484"</f>
        <v>20:30:41.484</v>
      </c>
      <c r="U3020" t="str">
        <f t="shared" si="147"/>
        <v>AB01F4</v>
      </c>
      <c r="V3020">
        <v>0</v>
      </c>
      <c r="W3020">
        <v>0</v>
      </c>
      <c r="X3020">
        <v>2</v>
      </c>
      <c r="Z3020">
        <v>0</v>
      </c>
      <c r="AA3020">
        <v>9</v>
      </c>
      <c r="AB3020">
        <v>3</v>
      </c>
      <c r="AC3020">
        <v>0</v>
      </c>
      <c r="AD3020">
        <v>10</v>
      </c>
      <c r="AE3020">
        <v>0</v>
      </c>
      <c r="AF3020">
        <v>3</v>
      </c>
      <c r="AG3020">
        <v>2</v>
      </c>
      <c r="AH3020">
        <v>0</v>
      </c>
      <c r="AI3020" t="s">
        <v>1759</v>
      </c>
      <c r="AJ3020">
        <v>40.037613</v>
      </c>
      <c r="AK3020" t="s">
        <v>1760</v>
      </c>
      <c r="AL3020">
        <v>-92.858998999999997</v>
      </c>
      <c r="AM3020">
        <v>100</v>
      </c>
      <c r="AN3020">
        <v>1400</v>
      </c>
      <c r="AO3020" t="s">
        <v>118</v>
      </c>
      <c r="AP3020">
        <v>-133</v>
      </c>
      <c r="AQ3020">
        <v>40</v>
      </c>
      <c r="AR3020">
        <v>-256</v>
      </c>
      <c r="AZ3020">
        <v>1200</v>
      </c>
      <c r="BA3020">
        <v>1</v>
      </c>
      <c r="BB3020" t="str">
        <f t="shared" si="146"/>
        <v xml:space="preserve">N8080G  </v>
      </c>
      <c r="BC3020">
        <v>1</v>
      </c>
      <c r="BE3020">
        <v>0</v>
      </c>
      <c r="BF3020">
        <v>0</v>
      </c>
      <c r="BG3020">
        <v>0</v>
      </c>
      <c r="BH3020">
        <v>1400</v>
      </c>
      <c r="BI3020">
        <v>1</v>
      </c>
      <c r="BJ3020">
        <v>1</v>
      </c>
      <c r="BK3020">
        <v>1</v>
      </c>
      <c r="BL3020">
        <v>0</v>
      </c>
      <c r="BO3020">
        <v>0</v>
      </c>
      <c r="BP3020">
        <v>0</v>
      </c>
      <c r="BW3020" t="str">
        <f>"20:30:41.986"</f>
        <v>20:30:41.986</v>
      </c>
      <c r="BZ3020">
        <v>0</v>
      </c>
      <c r="CA3020">
        <v>1600</v>
      </c>
      <c r="CB3020">
        <v>224</v>
      </c>
      <c r="CD3020">
        <v>1</v>
      </c>
      <c r="CE3020">
        <v>0</v>
      </c>
      <c r="CF3020">
        <v>0</v>
      </c>
      <c r="CG3020">
        <v>0</v>
      </c>
      <c r="CH3020">
        <v>0</v>
      </c>
      <c r="CI3020">
        <v>0</v>
      </c>
      <c r="CJ3020">
        <v>0</v>
      </c>
      <c r="CK3020">
        <v>2</v>
      </c>
      <c r="CL3020">
        <v>0</v>
      </c>
      <c r="CM3020">
        <v>2</v>
      </c>
      <c r="CN3020">
        <v>0</v>
      </c>
      <c r="CO3020">
        <v>7</v>
      </c>
      <c r="CP3020" t="s">
        <v>119</v>
      </c>
      <c r="CQ3020">
        <v>180</v>
      </c>
      <c r="CR3020">
        <v>2</v>
      </c>
      <c r="CW3020">
        <v>8691274</v>
      </c>
      <c r="CY3020">
        <v>0</v>
      </c>
      <c r="CZ3020">
        <v>0</v>
      </c>
      <c r="DA3020">
        <v>1</v>
      </c>
      <c r="DB3020">
        <v>0</v>
      </c>
      <c r="DC3020">
        <v>0</v>
      </c>
      <c r="DD3020">
        <v>0</v>
      </c>
      <c r="DE3020">
        <v>0</v>
      </c>
      <c r="DF3020">
        <v>0</v>
      </c>
      <c r="DG3020">
        <v>0</v>
      </c>
      <c r="DH3020">
        <v>0</v>
      </c>
      <c r="DI3020">
        <v>0</v>
      </c>
    </row>
    <row r="3021" spans="1:113" x14ac:dyDescent="0.3">
      <c r="A3021" t="str">
        <f>"02/08/2021 20:30:39.639"</f>
        <v>02/08/2021 20:30:39.639</v>
      </c>
      <c r="C3021" t="str">
        <f t="shared" si="145"/>
        <v>FFDFD7C0</v>
      </c>
      <c r="D3021" t="s">
        <v>124</v>
      </c>
      <c r="E3021">
        <v>11</v>
      </c>
      <c r="F3021">
        <v>1011</v>
      </c>
      <c r="G3021" t="s">
        <v>590</v>
      </c>
      <c r="J3021" t="s">
        <v>125</v>
      </c>
      <c r="K3021">
        <v>0</v>
      </c>
      <c r="L3021">
        <v>3</v>
      </c>
      <c r="M3021">
        <v>0</v>
      </c>
      <c r="N3021">
        <v>2</v>
      </c>
      <c r="O3021">
        <v>1</v>
      </c>
      <c r="P3021">
        <v>0</v>
      </c>
      <c r="Q3021">
        <v>0</v>
      </c>
      <c r="S3021" t="str">
        <f>"20:30:41.984"</f>
        <v>20:30:41.984</v>
      </c>
      <c r="T3021" t="str">
        <f>"20:30:41.484"</f>
        <v>20:30:41.484</v>
      </c>
      <c r="U3021" t="str">
        <f t="shared" si="147"/>
        <v>AB01F4</v>
      </c>
      <c r="V3021">
        <v>0</v>
      </c>
      <c r="W3021">
        <v>0</v>
      </c>
      <c r="X3021">
        <v>2</v>
      </c>
      <c r="Z3021">
        <v>0</v>
      </c>
      <c r="AA3021">
        <v>9</v>
      </c>
      <c r="AB3021">
        <v>3</v>
      </c>
      <c r="AC3021">
        <v>0</v>
      </c>
      <c r="AD3021">
        <v>10</v>
      </c>
      <c r="AE3021">
        <v>0</v>
      </c>
      <c r="AF3021">
        <v>3</v>
      </c>
      <c r="AG3021">
        <v>2</v>
      </c>
      <c r="AH3021">
        <v>0</v>
      </c>
      <c r="AI3021" t="s">
        <v>1759</v>
      </c>
      <c r="AJ3021">
        <v>40.037613</v>
      </c>
      <c r="AK3021" t="s">
        <v>1760</v>
      </c>
      <c r="AL3021">
        <v>-92.858998999999997</v>
      </c>
      <c r="AM3021">
        <v>100</v>
      </c>
      <c r="AN3021">
        <v>1400</v>
      </c>
      <c r="AO3021" t="s">
        <v>118</v>
      </c>
      <c r="AP3021">
        <v>-133</v>
      </c>
      <c r="AQ3021">
        <v>40</v>
      </c>
      <c r="AR3021">
        <v>-256</v>
      </c>
      <c r="AZ3021">
        <v>1200</v>
      </c>
      <c r="BA3021">
        <v>1</v>
      </c>
      <c r="BB3021" t="str">
        <f t="shared" si="146"/>
        <v xml:space="preserve">N8080G  </v>
      </c>
      <c r="BC3021">
        <v>1</v>
      </c>
      <c r="BE3021">
        <v>0</v>
      </c>
      <c r="BF3021">
        <v>0</v>
      </c>
      <c r="BG3021">
        <v>0</v>
      </c>
      <c r="BH3021">
        <v>1400</v>
      </c>
      <c r="BI3021">
        <v>1</v>
      </c>
      <c r="BJ3021">
        <v>1</v>
      </c>
      <c r="BK3021">
        <v>1</v>
      </c>
      <c r="BL3021">
        <v>0</v>
      </c>
      <c r="BO3021">
        <v>0</v>
      </c>
      <c r="BP3021">
        <v>0</v>
      </c>
      <c r="BW3021" t="str">
        <f>"20:30:41.986"</f>
        <v>20:30:41.986</v>
      </c>
      <c r="BZ3021">
        <v>0</v>
      </c>
      <c r="CA3021">
        <v>1600</v>
      </c>
      <c r="CB3021">
        <v>224</v>
      </c>
      <c r="CD3021">
        <v>1</v>
      </c>
      <c r="CE3021">
        <v>0</v>
      </c>
      <c r="CF3021">
        <v>0</v>
      </c>
      <c r="CG3021">
        <v>0</v>
      </c>
      <c r="CH3021">
        <v>0</v>
      </c>
      <c r="CI3021">
        <v>0</v>
      </c>
      <c r="CJ3021">
        <v>0</v>
      </c>
      <c r="CK3021">
        <v>2</v>
      </c>
      <c r="CL3021">
        <v>0</v>
      </c>
      <c r="CM3021">
        <v>2</v>
      </c>
      <c r="CN3021">
        <v>0</v>
      </c>
      <c r="CO3021">
        <v>7</v>
      </c>
      <c r="CP3021" t="s">
        <v>119</v>
      </c>
      <c r="CQ3021">
        <v>180</v>
      </c>
      <c r="CR3021">
        <v>2</v>
      </c>
      <c r="CW3021">
        <v>8691274</v>
      </c>
      <c r="CY3021">
        <v>0</v>
      </c>
      <c r="CZ3021">
        <v>0</v>
      </c>
      <c r="DA3021">
        <v>1</v>
      </c>
      <c r="DB3021">
        <v>0</v>
      </c>
      <c r="DC3021">
        <v>0</v>
      </c>
      <c r="DD3021">
        <v>0</v>
      </c>
      <c r="DE3021">
        <v>0</v>
      </c>
      <c r="DF3021">
        <v>0</v>
      </c>
      <c r="DG3021">
        <v>0</v>
      </c>
      <c r="DH3021">
        <v>0</v>
      </c>
      <c r="DI3021">
        <v>0</v>
      </c>
    </row>
    <row r="3022" spans="1:113" x14ac:dyDescent="0.3">
      <c r="A3022" t="str">
        <f>"02/08/2021 20:30:39.639"</f>
        <v>02/08/2021 20:30:39.639</v>
      </c>
      <c r="C3022" t="str">
        <f t="shared" si="145"/>
        <v>FFDFD7C0</v>
      </c>
      <c r="D3022" t="s">
        <v>124</v>
      </c>
      <c r="E3022">
        <v>12</v>
      </c>
      <c r="F3022">
        <v>1012</v>
      </c>
      <c r="G3022" t="s">
        <v>675</v>
      </c>
      <c r="J3022" t="s">
        <v>125</v>
      </c>
      <c r="K3022">
        <v>0</v>
      </c>
      <c r="L3022">
        <v>3</v>
      </c>
      <c r="M3022">
        <v>0</v>
      </c>
      <c r="N3022">
        <v>2</v>
      </c>
      <c r="O3022">
        <v>1</v>
      </c>
      <c r="P3022">
        <v>0</v>
      </c>
      <c r="Q3022">
        <v>0</v>
      </c>
      <c r="S3022" t="str">
        <f>"20:30:41.984"</f>
        <v>20:30:41.984</v>
      </c>
      <c r="T3022" t="str">
        <f>"20:30:41.484"</f>
        <v>20:30:41.484</v>
      </c>
      <c r="U3022" t="str">
        <f t="shared" si="147"/>
        <v>AB01F4</v>
      </c>
      <c r="V3022">
        <v>0</v>
      </c>
      <c r="W3022">
        <v>0</v>
      </c>
      <c r="X3022">
        <v>2</v>
      </c>
      <c r="Z3022">
        <v>0</v>
      </c>
      <c r="AA3022">
        <v>9</v>
      </c>
      <c r="AB3022">
        <v>3</v>
      </c>
      <c r="AC3022">
        <v>0</v>
      </c>
      <c r="AD3022">
        <v>10</v>
      </c>
      <c r="AE3022">
        <v>0</v>
      </c>
      <c r="AF3022">
        <v>3</v>
      </c>
      <c r="AG3022">
        <v>2</v>
      </c>
      <c r="AH3022">
        <v>0</v>
      </c>
      <c r="AI3022" t="s">
        <v>1759</v>
      </c>
      <c r="AJ3022">
        <v>40.037613</v>
      </c>
      <c r="AK3022" t="s">
        <v>1760</v>
      </c>
      <c r="AL3022">
        <v>-92.858998999999997</v>
      </c>
      <c r="AM3022">
        <v>100</v>
      </c>
      <c r="AN3022">
        <v>1400</v>
      </c>
      <c r="AO3022" t="s">
        <v>118</v>
      </c>
      <c r="AP3022">
        <v>-133</v>
      </c>
      <c r="AQ3022">
        <v>40</v>
      </c>
      <c r="AR3022">
        <v>-256</v>
      </c>
      <c r="AZ3022">
        <v>1200</v>
      </c>
      <c r="BA3022">
        <v>1</v>
      </c>
      <c r="BB3022" t="str">
        <f t="shared" si="146"/>
        <v xml:space="preserve">N8080G  </v>
      </c>
      <c r="BC3022">
        <v>1</v>
      </c>
      <c r="BE3022">
        <v>0</v>
      </c>
      <c r="BF3022">
        <v>0</v>
      </c>
      <c r="BG3022">
        <v>0</v>
      </c>
      <c r="BH3022">
        <v>1400</v>
      </c>
      <c r="BI3022">
        <v>1</v>
      </c>
      <c r="BJ3022">
        <v>1</v>
      </c>
      <c r="BK3022">
        <v>1</v>
      </c>
      <c r="BL3022">
        <v>0</v>
      </c>
      <c r="BO3022">
        <v>0</v>
      </c>
      <c r="BP3022">
        <v>0</v>
      </c>
      <c r="BW3022" t="str">
        <f>"20:30:41.986"</f>
        <v>20:30:41.986</v>
      </c>
      <c r="BZ3022">
        <v>0</v>
      </c>
      <c r="CA3022">
        <v>1600</v>
      </c>
      <c r="CB3022">
        <v>224</v>
      </c>
      <c r="CD3022">
        <v>1</v>
      </c>
      <c r="CE3022">
        <v>0</v>
      </c>
      <c r="CF3022">
        <v>0</v>
      </c>
      <c r="CG3022">
        <v>0</v>
      </c>
      <c r="CH3022">
        <v>0</v>
      </c>
      <c r="CI3022">
        <v>0</v>
      </c>
      <c r="CJ3022">
        <v>0</v>
      </c>
      <c r="CK3022">
        <v>2</v>
      </c>
      <c r="CL3022">
        <v>0</v>
      </c>
      <c r="CM3022">
        <v>2</v>
      </c>
      <c r="CN3022">
        <v>0</v>
      </c>
      <c r="CO3022">
        <v>7</v>
      </c>
      <c r="CP3022" t="s">
        <v>119</v>
      </c>
      <c r="CQ3022">
        <v>180</v>
      </c>
      <c r="CR3022">
        <v>2</v>
      </c>
      <c r="CW3022">
        <v>8691274</v>
      </c>
      <c r="CY3022">
        <v>0</v>
      </c>
      <c r="CZ3022">
        <v>0</v>
      </c>
      <c r="DA3022">
        <v>1</v>
      </c>
      <c r="DB3022">
        <v>0</v>
      </c>
      <c r="DC3022">
        <v>0</v>
      </c>
      <c r="DD3022">
        <v>0</v>
      </c>
      <c r="DE3022">
        <v>0</v>
      </c>
      <c r="DF3022">
        <v>0</v>
      </c>
      <c r="DG3022">
        <v>0</v>
      </c>
      <c r="DH3022">
        <v>0</v>
      </c>
      <c r="DI3022">
        <v>0</v>
      </c>
    </row>
    <row r="3023" spans="1:113" x14ac:dyDescent="0.3">
      <c r="A3023" t="str">
        <f>"02/08/2021 20:30:41.226"</f>
        <v>02/08/2021 20:30:41.226</v>
      </c>
      <c r="C3023" t="str">
        <f t="shared" si="145"/>
        <v>FFDFD7C0</v>
      </c>
      <c r="D3023" t="s">
        <v>124</v>
      </c>
      <c r="E3023">
        <v>12</v>
      </c>
      <c r="F3023">
        <v>1012</v>
      </c>
      <c r="G3023" t="s">
        <v>675</v>
      </c>
      <c r="J3023" t="s">
        <v>125</v>
      </c>
      <c r="K3023">
        <v>0</v>
      </c>
      <c r="L3023">
        <v>3</v>
      </c>
      <c r="M3023">
        <v>0</v>
      </c>
      <c r="N3023">
        <v>2</v>
      </c>
      <c r="O3023">
        <v>1</v>
      </c>
      <c r="P3023">
        <v>0</v>
      </c>
      <c r="Q3023">
        <v>0</v>
      </c>
      <c r="S3023" t="str">
        <f>"20:30:43.531"</f>
        <v>20:30:43.531</v>
      </c>
      <c r="T3023" t="str">
        <f>"20:30:43.031"</f>
        <v>20:30:43.031</v>
      </c>
      <c r="U3023" t="str">
        <f t="shared" si="147"/>
        <v>AB01F4</v>
      </c>
      <c r="V3023">
        <v>0</v>
      </c>
      <c r="W3023">
        <v>0</v>
      </c>
      <c r="X3023">
        <v>2</v>
      </c>
      <c r="Z3023">
        <v>0</v>
      </c>
      <c r="AA3023">
        <v>9</v>
      </c>
      <c r="AB3023">
        <v>3</v>
      </c>
      <c r="AC3023">
        <v>0</v>
      </c>
      <c r="AD3023">
        <v>10</v>
      </c>
      <c r="AE3023">
        <v>0</v>
      </c>
      <c r="AF3023">
        <v>3</v>
      </c>
      <c r="AG3023">
        <v>2</v>
      </c>
      <c r="AH3023">
        <v>0</v>
      </c>
      <c r="AI3023" t="s">
        <v>1761</v>
      </c>
      <c r="AJ3023">
        <v>40.037934999999997</v>
      </c>
      <c r="AK3023" t="s">
        <v>1762</v>
      </c>
      <c r="AL3023">
        <v>-92.860286000000002</v>
      </c>
      <c r="AM3023">
        <v>100</v>
      </c>
      <c r="AN3023">
        <v>1400</v>
      </c>
      <c r="AO3023" t="s">
        <v>118</v>
      </c>
      <c r="AP3023">
        <v>-133</v>
      </c>
      <c r="AQ3023">
        <v>40</v>
      </c>
      <c r="AR3023">
        <v>-256</v>
      </c>
      <c r="AZ3023">
        <v>1200</v>
      </c>
      <c r="BA3023">
        <v>1</v>
      </c>
      <c r="BB3023" t="str">
        <f t="shared" si="146"/>
        <v xml:space="preserve">N8080G  </v>
      </c>
      <c r="BC3023">
        <v>1</v>
      </c>
      <c r="BE3023">
        <v>0</v>
      </c>
      <c r="BF3023">
        <v>0</v>
      </c>
      <c r="BG3023">
        <v>0</v>
      </c>
      <c r="BH3023">
        <v>1375</v>
      </c>
      <c r="BI3023">
        <v>1</v>
      </c>
      <c r="BJ3023">
        <v>1</v>
      </c>
      <c r="BK3023">
        <v>1</v>
      </c>
      <c r="BL3023">
        <v>0</v>
      </c>
      <c r="BO3023">
        <v>0</v>
      </c>
      <c r="BP3023">
        <v>0</v>
      </c>
      <c r="BW3023" t="str">
        <f>"20:30:43.533"</f>
        <v>20:30:43.533</v>
      </c>
      <c r="BZ3023">
        <v>0</v>
      </c>
      <c r="CA3023">
        <v>1600</v>
      </c>
      <c r="CB3023">
        <v>224</v>
      </c>
      <c r="CD3023">
        <v>1</v>
      </c>
      <c r="CE3023">
        <v>0</v>
      </c>
      <c r="CF3023">
        <v>0</v>
      </c>
      <c r="CG3023">
        <v>0</v>
      </c>
      <c r="CH3023">
        <v>0</v>
      </c>
      <c r="CI3023">
        <v>0</v>
      </c>
      <c r="CJ3023">
        <v>0</v>
      </c>
      <c r="CK3023">
        <v>2</v>
      </c>
      <c r="CL3023">
        <v>0</v>
      </c>
      <c r="CM3023">
        <v>2</v>
      </c>
      <c r="CN3023">
        <v>0</v>
      </c>
      <c r="CO3023">
        <v>7</v>
      </c>
      <c r="CP3023" t="s">
        <v>119</v>
      </c>
      <c r="CQ3023">
        <v>180</v>
      </c>
      <c r="CR3023">
        <v>2</v>
      </c>
      <c r="CW3023">
        <v>8692668</v>
      </c>
      <c r="CY3023">
        <v>0</v>
      </c>
      <c r="CZ3023">
        <v>0</v>
      </c>
      <c r="DA3023">
        <v>0</v>
      </c>
      <c r="DB3023">
        <v>0</v>
      </c>
      <c r="DC3023">
        <v>0</v>
      </c>
      <c r="DD3023">
        <v>0</v>
      </c>
      <c r="DE3023">
        <v>0</v>
      </c>
      <c r="DF3023">
        <v>0</v>
      </c>
      <c r="DG3023">
        <v>0</v>
      </c>
      <c r="DH3023">
        <v>0</v>
      </c>
      <c r="DI3023">
        <v>0</v>
      </c>
    </row>
    <row r="3024" spans="1:113" x14ac:dyDescent="0.3">
      <c r="A3024" t="str">
        <f>"02/08/2021 20:30:41.226"</f>
        <v>02/08/2021 20:30:41.226</v>
      </c>
      <c r="C3024" t="str">
        <f t="shared" si="145"/>
        <v>FFDFD7C0</v>
      </c>
      <c r="D3024" t="s">
        <v>124</v>
      </c>
      <c r="E3024">
        <v>13</v>
      </c>
      <c r="F3024">
        <v>1013</v>
      </c>
      <c r="G3024" t="s">
        <v>114</v>
      </c>
      <c r="J3024" t="s">
        <v>125</v>
      </c>
      <c r="K3024">
        <v>0</v>
      </c>
      <c r="L3024">
        <v>3</v>
      </c>
      <c r="M3024">
        <v>0</v>
      </c>
      <c r="N3024">
        <v>2</v>
      </c>
      <c r="O3024">
        <v>1</v>
      </c>
      <c r="P3024">
        <v>0</v>
      </c>
      <c r="Q3024">
        <v>0</v>
      </c>
      <c r="S3024" t="str">
        <f>"20:30:43.531"</f>
        <v>20:30:43.531</v>
      </c>
      <c r="T3024" t="str">
        <f>"20:30:43.031"</f>
        <v>20:30:43.031</v>
      </c>
      <c r="U3024" t="str">
        <f t="shared" si="147"/>
        <v>AB01F4</v>
      </c>
      <c r="V3024">
        <v>0</v>
      </c>
      <c r="W3024">
        <v>0</v>
      </c>
      <c r="X3024">
        <v>2</v>
      </c>
      <c r="Z3024">
        <v>0</v>
      </c>
      <c r="AA3024">
        <v>9</v>
      </c>
      <c r="AB3024">
        <v>3</v>
      </c>
      <c r="AC3024">
        <v>0</v>
      </c>
      <c r="AD3024">
        <v>10</v>
      </c>
      <c r="AE3024">
        <v>0</v>
      </c>
      <c r="AF3024">
        <v>3</v>
      </c>
      <c r="AG3024">
        <v>2</v>
      </c>
      <c r="AH3024">
        <v>0</v>
      </c>
      <c r="AI3024" t="s">
        <v>1761</v>
      </c>
      <c r="AJ3024">
        <v>40.037934999999997</v>
      </c>
      <c r="AK3024" t="s">
        <v>1762</v>
      </c>
      <c r="AL3024">
        <v>-92.860286000000002</v>
      </c>
      <c r="AM3024">
        <v>100</v>
      </c>
      <c r="AN3024">
        <v>1400</v>
      </c>
      <c r="AO3024" t="s">
        <v>118</v>
      </c>
      <c r="AP3024">
        <v>-133</v>
      </c>
      <c r="AQ3024">
        <v>40</v>
      </c>
      <c r="AR3024">
        <v>-256</v>
      </c>
      <c r="AZ3024">
        <v>1200</v>
      </c>
      <c r="BA3024">
        <v>1</v>
      </c>
      <c r="BB3024" t="str">
        <f t="shared" si="146"/>
        <v xml:space="preserve">N8080G  </v>
      </c>
      <c r="BC3024">
        <v>1</v>
      </c>
      <c r="BE3024">
        <v>0</v>
      </c>
      <c r="BF3024">
        <v>0</v>
      </c>
      <c r="BG3024">
        <v>0</v>
      </c>
      <c r="BH3024">
        <v>1375</v>
      </c>
      <c r="BI3024">
        <v>1</v>
      </c>
      <c r="BJ3024">
        <v>1</v>
      </c>
      <c r="BK3024">
        <v>1</v>
      </c>
      <c r="BL3024">
        <v>0</v>
      </c>
      <c r="BO3024">
        <v>0</v>
      </c>
      <c r="BP3024">
        <v>0</v>
      </c>
      <c r="BW3024" t="str">
        <f>"20:30:43.533"</f>
        <v>20:30:43.533</v>
      </c>
      <c r="BZ3024">
        <v>0</v>
      </c>
      <c r="CA3024">
        <v>1600</v>
      </c>
      <c r="CB3024">
        <v>224</v>
      </c>
      <c r="CD3024">
        <v>1</v>
      </c>
      <c r="CE3024">
        <v>0</v>
      </c>
      <c r="CF3024">
        <v>0</v>
      </c>
      <c r="CG3024">
        <v>0</v>
      </c>
      <c r="CH3024">
        <v>0</v>
      </c>
      <c r="CI3024">
        <v>0</v>
      </c>
      <c r="CJ3024">
        <v>0</v>
      </c>
      <c r="CK3024">
        <v>2</v>
      </c>
      <c r="CL3024">
        <v>0</v>
      </c>
      <c r="CM3024">
        <v>2</v>
      </c>
      <c r="CN3024">
        <v>0</v>
      </c>
      <c r="CO3024">
        <v>7</v>
      </c>
      <c r="CP3024" t="s">
        <v>119</v>
      </c>
      <c r="CQ3024">
        <v>180</v>
      </c>
      <c r="CR3024">
        <v>2</v>
      </c>
      <c r="CW3024">
        <v>8692668</v>
      </c>
      <c r="CY3024">
        <v>0</v>
      </c>
      <c r="CZ3024">
        <v>0</v>
      </c>
      <c r="DA3024">
        <v>1</v>
      </c>
      <c r="DB3024">
        <v>0</v>
      </c>
      <c r="DC3024">
        <v>0</v>
      </c>
      <c r="DD3024">
        <v>0</v>
      </c>
      <c r="DE3024">
        <v>0</v>
      </c>
      <c r="DF3024">
        <v>0</v>
      </c>
      <c r="DG3024">
        <v>0</v>
      </c>
      <c r="DH3024">
        <v>0</v>
      </c>
      <c r="DI3024">
        <v>0</v>
      </c>
    </row>
    <row r="3025" spans="1:113" x14ac:dyDescent="0.3">
      <c r="A3025" t="str">
        <f>"02/08/2021 20:30:41.226"</f>
        <v>02/08/2021 20:30:41.226</v>
      </c>
      <c r="C3025" t="str">
        <f t="shared" si="145"/>
        <v>FFDFD7C0</v>
      </c>
      <c r="D3025" t="s">
        <v>113</v>
      </c>
      <c r="E3025">
        <v>6</v>
      </c>
      <c r="H3025">
        <v>165</v>
      </c>
      <c r="I3025" t="s">
        <v>114</v>
      </c>
      <c r="J3025" t="s">
        <v>115</v>
      </c>
      <c r="K3025">
        <v>0</v>
      </c>
      <c r="L3025">
        <v>3</v>
      </c>
      <c r="M3025">
        <v>0</v>
      </c>
      <c r="N3025">
        <v>2</v>
      </c>
      <c r="O3025">
        <v>1</v>
      </c>
      <c r="P3025">
        <v>0</v>
      </c>
      <c r="Q3025">
        <v>0</v>
      </c>
      <c r="S3025" t="str">
        <f>"20:30:43.531"</f>
        <v>20:30:43.531</v>
      </c>
      <c r="T3025" t="str">
        <f>"20:30:43.031"</f>
        <v>20:30:43.031</v>
      </c>
      <c r="U3025" t="str">
        <f t="shared" si="147"/>
        <v>AB01F4</v>
      </c>
      <c r="V3025">
        <v>0</v>
      </c>
      <c r="W3025">
        <v>0</v>
      </c>
      <c r="X3025">
        <v>2</v>
      </c>
      <c r="Z3025">
        <v>0</v>
      </c>
      <c r="AA3025">
        <v>9</v>
      </c>
      <c r="AB3025">
        <v>3</v>
      </c>
      <c r="AC3025">
        <v>0</v>
      </c>
      <c r="AD3025">
        <v>10</v>
      </c>
      <c r="AE3025">
        <v>0</v>
      </c>
      <c r="AF3025">
        <v>3</v>
      </c>
      <c r="AG3025">
        <v>2</v>
      </c>
      <c r="AH3025">
        <v>0</v>
      </c>
      <c r="AI3025" t="s">
        <v>1761</v>
      </c>
      <c r="AJ3025">
        <v>40.037934999999997</v>
      </c>
      <c r="AK3025" t="s">
        <v>1762</v>
      </c>
      <c r="AL3025">
        <v>-92.860286000000002</v>
      </c>
      <c r="AM3025">
        <v>100</v>
      </c>
      <c r="AN3025">
        <v>1400</v>
      </c>
      <c r="AO3025" t="s">
        <v>118</v>
      </c>
      <c r="AP3025">
        <v>-133</v>
      </c>
      <c r="AQ3025">
        <v>40</v>
      </c>
      <c r="AR3025">
        <v>-256</v>
      </c>
      <c r="AZ3025">
        <v>1200</v>
      </c>
      <c r="BA3025">
        <v>1</v>
      </c>
      <c r="BB3025" t="str">
        <f t="shared" si="146"/>
        <v xml:space="preserve">N8080G  </v>
      </c>
      <c r="BC3025">
        <v>1</v>
      </c>
      <c r="BE3025">
        <v>0</v>
      </c>
      <c r="BF3025">
        <v>0</v>
      </c>
      <c r="BG3025">
        <v>0</v>
      </c>
      <c r="BH3025">
        <v>1375</v>
      </c>
      <c r="BI3025">
        <v>1</v>
      </c>
      <c r="BJ3025">
        <v>1</v>
      </c>
      <c r="BK3025">
        <v>1</v>
      </c>
      <c r="BL3025">
        <v>0</v>
      </c>
      <c r="BO3025">
        <v>0</v>
      </c>
      <c r="BP3025">
        <v>0</v>
      </c>
      <c r="BW3025" t="str">
        <f>"20:30:43.533"</f>
        <v>20:30:43.533</v>
      </c>
      <c r="BZ3025">
        <v>0</v>
      </c>
      <c r="CA3025">
        <v>1600</v>
      </c>
      <c r="CB3025">
        <v>224</v>
      </c>
      <c r="CD3025">
        <v>1</v>
      </c>
      <c r="CE3025">
        <v>0</v>
      </c>
      <c r="CF3025">
        <v>0</v>
      </c>
      <c r="CG3025">
        <v>0</v>
      </c>
      <c r="CH3025">
        <v>0</v>
      </c>
      <c r="CI3025">
        <v>0</v>
      </c>
      <c r="CJ3025">
        <v>0</v>
      </c>
      <c r="CK3025">
        <v>2</v>
      </c>
      <c r="CL3025">
        <v>0</v>
      </c>
      <c r="CM3025">
        <v>2</v>
      </c>
      <c r="CN3025">
        <v>0</v>
      </c>
      <c r="CO3025">
        <v>7</v>
      </c>
      <c r="CP3025" t="s">
        <v>119</v>
      </c>
      <c r="CQ3025">
        <v>180</v>
      </c>
      <c r="CR3025">
        <v>2</v>
      </c>
      <c r="CW3025">
        <v>8692668</v>
      </c>
      <c r="CY3025">
        <v>0</v>
      </c>
      <c r="CZ3025">
        <v>0</v>
      </c>
      <c r="DA3025">
        <v>1</v>
      </c>
      <c r="DB3025">
        <v>0</v>
      </c>
      <c r="DC3025">
        <v>0</v>
      </c>
      <c r="DD3025">
        <v>0</v>
      </c>
      <c r="DE3025">
        <v>0</v>
      </c>
      <c r="DF3025">
        <v>0</v>
      </c>
      <c r="DG3025">
        <v>0</v>
      </c>
      <c r="DH3025">
        <v>0</v>
      </c>
      <c r="DI3025">
        <v>0</v>
      </c>
    </row>
    <row r="3026" spans="1:113" x14ac:dyDescent="0.3">
      <c r="A3026" t="str">
        <f>"02/08/2021 20:30:41.226"</f>
        <v>02/08/2021 20:30:41.226</v>
      </c>
      <c r="C3026" t="str">
        <f t="shared" si="145"/>
        <v>FFDFD7C0</v>
      </c>
      <c r="D3026" t="s">
        <v>124</v>
      </c>
      <c r="E3026">
        <v>11</v>
      </c>
      <c r="F3026">
        <v>1011</v>
      </c>
      <c r="G3026" t="s">
        <v>590</v>
      </c>
      <c r="J3026" t="s">
        <v>125</v>
      </c>
      <c r="K3026">
        <v>0</v>
      </c>
      <c r="L3026">
        <v>3</v>
      </c>
      <c r="M3026">
        <v>0</v>
      </c>
      <c r="N3026">
        <v>2</v>
      </c>
      <c r="O3026">
        <v>1</v>
      </c>
      <c r="P3026">
        <v>0</v>
      </c>
      <c r="Q3026">
        <v>0</v>
      </c>
      <c r="S3026" t="str">
        <f>"20:30:43.531"</f>
        <v>20:30:43.531</v>
      </c>
      <c r="T3026" t="str">
        <f>"20:30:43.031"</f>
        <v>20:30:43.031</v>
      </c>
      <c r="U3026" t="str">
        <f t="shared" si="147"/>
        <v>AB01F4</v>
      </c>
      <c r="V3026">
        <v>0</v>
      </c>
      <c r="W3026">
        <v>0</v>
      </c>
      <c r="X3026">
        <v>2</v>
      </c>
      <c r="Z3026">
        <v>0</v>
      </c>
      <c r="AA3026">
        <v>9</v>
      </c>
      <c r="AB3026">
        <v>3</v>
      </c>
      <c r="AC3026">
        <v>0</v>
      </c>
      <c r="AD3026">
        <v>10</v>
      </c>
      <c r="AE3026">
        <v>0</v>
      </c>
      <c r="AF3026">
        <v>3</v>
      </c>
      <c r="AG3026">
        <v>2</v>
      </c>
      <c r="AH3026">
        <v>0</v>
      </c>
      <c r="AI3026" t="s">
        <v>1761</v>
      </c>
      <c r="AJ3026">
        <v>40.037934999999997</v>
      </c>
      <c r="AK3026" t="s">
        <v>1762</v>
      </c>
      <c r="AL3026">
        <v>-92.860286000000002</v>
      </c>
      <c r="AM3026">
        <v>100</v>
      </c>
      <c r="AN3026">
        <v>1400</v>
      </c>
      <c r="AO3026" t="s">
        <v>118</v>
      </c>
      <c r="AP3026">
        <v>-133</v>
      </c>
      <c r="AQ3026">
        <v>40</v>
      </c>
      <c r="AR3026">
        <v>-256</v>
      </c>
      <c r="AZ3026">
        <v>1200</v>
      </c>
      <c r="BA3026">
        <v>1</v>
      </c>
      <c r="BB3026" t="str">
        <f t="shared" si="146"/>
        <v xml:space="preserve">N8080G  </v>
      </c>
      <c r="BC3026">
        <v>1</v>
      </c>
      <c r="BE3026">
        <v>0</v>
      </c>
      <c r="BF3026">
        <v>0</v>
      </c>
      <c r="BG3026">
        <v>0</v>
      </c>
      <c r="BH3026">
        <v>1375</v>
      </c>
      <c r="BI3026">
        <v>1</v>
      </c>
      <c r="BJ3026">
        <v>1</v>
      </c>
      <c r="BK3026">
        <v>1</v>
      </c>
      <c r="BL3026">
        <v>0</v>
      </c>
      <c r="BO3026">
        <v>0</v>
      </c>
      <c r="BP3026">
        <v>0</v>
      </c>
      <c r="BW3026" t="str">
        <f>"20:30:43.533"</f>
        <v>20:30:43.533</v>
      </c>
      <c r="BZ3026">
        <v>0</v>
      </c>
      <c r="CA3026">
        <v>1600</v>
      </c>
      <c r="CB3026">
        <v>224</v>
      </c>
      <c r="CD3026">
        <v>1</v>
      </c>
      <c r="CE3026">
        <v>0</v>
      </c>
      <c r="CF3026">
        <v>0</v>
      </c>
      <c r="CG3026">
        <v>0</v>
      </c>
      <c r="CH3026">
        <v>0</v>
      </c>
      <c r="CI3026">
        <v>0</v>
      </c>
      <c r="CJ3026">
        <v>0</v>
      </c>
      <c r="CK3026">
        <v>2</v>
      </c>
      <c r="CL3026">
        <v>0</v>
      </c>
      <c r="CM3026">
        <v>2</v>
      </c>
      <c r="CN3026">
        <v>0</v>
      </c>
      <c r="CO3026">
        <v>7</v>
      </c>
      <c r="CP3026" t="s">
        <v>119</v>
      </c>
      <c r="CQ3026">
        <v>180</v>
      </c>
      <c r="CR3026">
        <v>2</v>
      </c>
      <c r="CW3026">
        <v>8692668</v>
      </c>
      <c r="CY3026">
        <v>0</v>
      </c>
      <c r="CZ3026">
        <v>0</v>
      </c>
      <c r="DA3026">
        <v>1</v>
      </c>
      <c r="DB3026">
        <v>0</v>
      </c>
      <c r="DC3026">
        <v>0</v>
      </c>
      <c r="DD3026">
        <v>0</v>
      </c>
      <c r="DE3026">
        <v>0</v>
      </c>
      <c r="DF3026">
        <v>0</v>
      </c>
      <c r="DG3026">
        <v>0</v>
      </c>
      <c r="DH3026">
        <v>0</v>
      </c>
      <c r="DI3026">
        <v>0</v>
      </c>
    </row>
    <row r="3027" spans="1:113" x14ac:dyDescent="0.3">
      <c r="A3027" t="str">
        <f>"02/08/2021 20:30:42.629"</f>
        <v>02/08/2021 20:30:42.629</v>
      </c>
      <c r="C3027" t="str">
        <f t="shared" si="145"/>
        <v>FFDFD7C0</v>
      </c>
      <c r="D3027" t="s">
        <v>124</v>
      </c>
      <c r="E3027">
        <v>11</v>
      </c>
      <c r="F3027">
        <v>1011</v>
      </c>
      <c r="G3027" t="s">
        <v>590</v>
      </c>
      <c r="J3027" t="s">
        <v>125</v>
      </c>
      <c r="K3027">
        <v>0</v>
      </c>
      <c r="L3027">
        <v>3</v>
      </c>
      <c r="M3027">
        <v>0</v>
      </c>
      <c r="N3027">
        <v>2</v>
      </c>
      <c r="O3027">
        <v>1</v>
      </c>
      <c r="P3027">
        <v>0</v>
      </c>
      <c r="Q3027">
        <v>0</v>
      </c>
      <c r="S3027" t="str">
        <f>"20:30:44.930"</f>
        <v>20:30:44.930</v>
      </c>
      <c r="T3027" t="str">
        <f>"20:30:44.430"</f>
        <v>20:30:44.430</v>
      </c>
      <c r="U3027" t="str">
        <f t="shared" si="147"/>
        <v>AB01F4</v>
      </c>
      <c r="V3027">
        <v>0</v>
      </c>
      <c r="W3027">
        <v>0</v>
      </c>
      <c r="X3027">
        <v>2</v>
      </c>
      <c r="Z3027">
        <v>0</v>
      </c>
      <c r="AA3027">
        <v>9</v>
      </c>
      <c r="AB3027">
        <v>3</v>
      </c>
      <c r="AC3027">
        <v>0</v>
      </c>
      <c r="AD3027">
        <v>10</v>
      </c>
      <c r="AE3027">
        <v>0</v>
      </c>
      <c r="AF3027">
        <v>3</v>
      </c>
      <c r="AG3027">
        <v>2</v>
      </c>
      <c r="AH3027">
        <v>0</v>
      </c>
      <c r="AI3027" t="s">
        <v>1763</v>
      </c>
      <c r="AJ3027">
        <v>40.038170999999998</v>
      </c>
      <c r="AK3027" t="s">
        <v>1764</v>
      </c>
      <c r="AL3027">
        <v>-92.861380999999994</v>
      </c>
      <c r="AM3027">
        <v>100</v>
      </c>
      <c r="AN3027">
        <v>1400</v>
      </c>
      <c r="AO3027" t="s">
        <v>118</v>
      </c>
      <c r="AP3027">
        <v>-132</v>
      </c>
      <c r="AQ3027">
        <v>41</v>
      </c>
      <c r="AR3027">
        <v>-192</v>
      </c>
      <c r="AZ3027">
        <v>1200</v>
      </c>
      <c r="BA3027">
        <v>1</v>
      </c>
      <c r="BB3027" t="str">
        <f t="shared" si="146"/>
        <v xml:space="preserve">N8080G  </v>
      </c>
      <c r="BC3027">
        <v>1</v>
      </c>
      <c r="BE3027">
        <v>0</v>
      </c>
      <c r="BF3027">
        <v>0</v>
      </c>
      <c r="BG3027">
        <v>0</v>
      </c>
      <c r="BH3027">
        <v>1375</v>
      </c>
      <c r="BI3027">
        <v>1</v>
      </c>
      <c r="BJ3027">
        <v>1</v>
      </c>
      <c r="BK3027">
        <v>1</v>
      </c>
      <c r="BL3027">
        <v>0</v>
      </c>
      <c r="BO3027">
        <v>0</v>
      </c>
      <c r="BP3027">
        <v>0</v>
      </c>
      <c r="BW3027" t="str">
        <f>"20:30:44.937"</f>
        <v>20:30:44.937</v>
      </c>
      <c r="BZ3027">
        <v>0</v>
      </c>
      <c r="CA3027">
        <v>1600</v>
      </c>
      <c r="CB3027">
        <v>224</v>
      </c>
      <c r="CD3027">
        <v>1</v>
      </c>
      <c r="CE3027">
        <v>0</v>
      </c>
      <c r="CF3027">
        <v>0</v>
      </c>
      <c r="CG3027">
        <v>0</v>
      </c>
      <c r="CH3027">
        <v>0</v>
      </c>
      <c r="CI3027">
        <v>0</v>
      </c>
      <c r="CJ3027">
        <v>0</v>
      </c>
      <c r="CK3027">
        <v>2</v>
      </c>
      <c r="CL3027">
        <v>0</v>
      </c>
      <c r="CM3027">
        <v>2</v>
      </c>
      <c r="CN3027">
        <v>0</v>
      </c>
      <c r="CO3027">
        <v>7</v>
      </c>
      <c r="CP3027" t="s">
        <v>119</v>
      </c>
      <c r="CQ3027">
        <v>180</v>
      </c>
      <c r="CR3027">
        <v>3</v>
      </c>
      <c r="CW3027">
        <v>1043013</v>
      </c>
      <c r="CY3027">
        <v>0</v>
      </c>
      <c r="CZ3027">
        <v>0</v>
      </c>
      <c r="DA3027">
        <v>0</v>
      </c>
      <c r="DB3027">
        <v>0</v>
      </c>
      <c r="DC3027">
        <v>0</v>
      </c>
      <c r="DD3027">
        <v>0</v>
      </c>
      <c r="DE3027">
        <v>0</v>
      </c>
      <c r="DF3027">
        <v>0</v>
      </c>
      <c r="DG3027">
        <v>0</v>
      </c>
      <c r="DH3027">
        <v>0</v>
      </c>
      <c r="DI3027">
        <v>0</v>
      </c>
    </row>
    <row r="3028" spans="1:113" x14ac:dyDescent="0.3">
      <c r="A3028" t="str">
        <f>"02/08/2021 20:30:42.629"</f>
        <v>02/08/2021 20:30:42.629</v>
      </c>
      <c r="C3028" t="str">
        <f t="shared" si="145"/>
        <v>FFDFD7C0</v>
      </c>
      <c r="D3028" t="s">
        <v>113</v>
      </c>
      <c r="E3028">
        <v>6</v>
      </c>
      <c r="H3028">
        <v>165</v>
      </c>
      <c r="I3028" t="s">
        <v>114</v>
      </c>
      <c r="J3028" t="s">
        <v>115</v>
      </c>
      <c r="K3028">
        <v>0</v>
      </c>
      <c r="L3028">
        <v>3</v>
      </c>
      <c r="M3028">
        <v>0</v>
      </c>
      <c r="N3028">
        <v>2</v>
      </c>
      <c r="O3028">
        <v>1</v>
      </c>
      <c r="P3028">
        <v>0</v>
      </c>
      <c r="Q3028">
        <v>0</v>
      </c>
      <c r="S3028" t="str">
        <f>"20:30:44.930"</f>
        <v>20:30:44.930</v>
      </c>
      <c r="T3028" t="str">
        <f>"20:30:44.430"</f>
        <v>20:30:44.430</v>
      </c>
      <c r="U3028" t="str">
        <f t="shared" si="147"/>
        <v>AB01F4</v>
      </c>
      <c r="V3028">
        <v>0</v>
      </c>
      <c r="W3028">
        <v>0</v>
      </c>
      <c r="X3028">
        <v>2</v>
      </c>
      <c r="Z3028">
        <v>0</v>
      </c>
      <c r="AA3028">
        <v>9</v>
      </c>
      <c r="AB3028">
        <v>3</v>
      </c>
      <c r="AC3028">
        <v>0</v>
      </c>
      <c r="AD3028">
        <v>10</v>
      </c>
      <c r="AE3028">
        <v>0</v>
      </c>
      <c r="AF3028">
        <v>3</v>
      </c>
      <c r="AG3028">
        <v>2</v>
      </c>
      <c r="AH3028">
        <v>0</v>
      </c>
      <c r="AI3028" t="s">
        <v>1763</v>
      </c>
      <c r="AJ3028">
        <v>40.038170999999998</v>
      </c>
      <c r="AK3028" t="s">
        <v>1764</v>
      </c>
      <c r="AL3028">
        <v>-92.861380999999994</v>
      </c>
      <c r="AM3028">
        <v>100</v>
      </c>
      <c r="AN3028">
        <v>1400</v>
      </c>
      <c r="AO3028" t="s">
        <v>118</v>
      </c>
      <c r="AP3028">
        <v>-132</v>
      </c>
      <c r="AQ3028">
        <v>41</v>
      </c>
      <c r="AR3028">
        <v>-192</v>
      </c>
      <c r="AZ3028">
        <v>1200</v>
      </c>
      <c r="BA3028">
        <v>1</v>
      </c>
      <c r="BB3028" t="str">
        <f t="shared" si="146"/>
        <v xml:space="preserve">N8080G  </v>
      </c>
      <c r="BC3028">
        <v>1</v>
      </c>
      <c r="BE3028">
        <v>0</v>
      </c>
      <c r="BF3028">
        <v>0</v>
      </c>
      <c r="BG3028">
        <v>0</v>
      </c>
      <c r="BH3028">
        <v>1375</v>
      </c>
      <c r="BI3028">
        <v>1</v>
      </c>
      <c r="BJ3028">
        <v>1</v>
      </c>
      <c r="BK3028">
        <v>1</v>
      </c>
      <c r="BL3028">
        <v>0</v>
      </c>
      <c r="BO3028">
        <v>0</v>
      </c>
      <c r="BP3028">
        <v>0</v>
      </c>
      <c r="BW3028" t="str">
        <f>"20:30:44.937"</f>
        <v>20:30:44.937</v>
      </c>
      <c r="BZ3028">
        <v>0</v>
      </c>
      <c r="CA3028">
        <v>1600</v>
      </c>
      <c r="CB3028">
        <v>224</v>
      </c>
      <c r="CD3028">
        <v>1</v>
      </c>
      <c r="CE3028">
        <v>0</v>
      </c>
      <c r="CF3028">
        <v>0</v>
      </c>
      <c r="CG3028">
        <v>0</v>
      </c>
      <c r="CH3028">
        <v>0</v>
      </c>
      <c r="CI3028">
        <v>0</v>
      </c>
      <c r="CJ3028">
        <v>0</v>
      </c>
      <c r="CK3028">
        <v>2</v>
      </c>
      <c r="CL3028">
        <v>0</v>
      </c>
      <c r="CM3028">
        <v>2</v>
      </c>
      <c r="CN3028">
        <v>0</v>
      </c>
      <c r="CO3028">
        <v>7</v>
      </c>
      <c r="CP3028" t="s">
        <v>119</v>
      </c>
      <c r="CQ3028">
        <v>180</v>
      </c>
      <c r="CR3028">
        <v>3</v>
      </c>
      <c r="CW3028">
        <v>1043013</v>
      </c>
      <c r="CY3028">
        <v>0</v>
      </c>
      <c r="CZ3028">
        <v>0</v>
      </c>
      <c r="DA3028">
        <v>1</v>
      </c>
      <c r="DB3028">
        <v>0</v>
      </c>
      <c r="DC3028">
        <v>0</v>
      </c>
      <c r="DD3028">
        <v>0</v>
      </c>
      <c r="DE3028">
        <v>0</v>
      </c>
      <c r="DF3028">
        <v>0</v>
      </c>
      <c r="DG3028">
        <v>0</v>
      </c>
      <c r="DH3028">
        <v>0</v>
      </c>
      <c r="DI3028">
        <v>0</v>
      </c>
    </row>
    <row r="3029" spans="1:113" x14ac:dyDescent="0.3">
      <c r="A3029" t="str">
        <f>"02/08/2021 20:30:42.629"</f>
        <v>02/08/2021 20:30:42.629</v>
      </c>
      <c r="C3029" t="str">
        <f t="shared" si="145"/>
        <v>FFDFD7C0</v>
      </c>
      <c r="D3029" t="s">
        <v>124</v>
      </c>
      <c r="E3029">
        <v>12</v>
      </c>
      <c r="F3029">
        <v>1012</v>
      </c>
      <c r="G3029" t="s">
        <v>675</v>
      </c>
      <c r="J3029" t="s">
        <v>125</v>
      </c>
      <c r="K3029">
        <v>0</v>
      </c>
      <c r="L3029">
        <v>3</v>
      </c>
      <c r="M3029">
        <v>0</v>
      </c>
      <c r="N3029">
        <v>2</v>
      </c>
      <c r="O3029">
        <v>1</v>
      </c>
      <c r="P3029">
        <v>0</v>
      </c>
      <c r="Q3029">
        <v>0</v>
      </c>
      <c r="S3029" t="str">
        <f>"20:30:44.930"</f>
        <v>20:30:44.930</v>
      </c>
      <c r="T3029" t="str">
        <f>"20:30:44.430"</f>
        <v>20:30:44.430</v>
      </c>
      <c r="U3029" t="str">
        <f t="shared" si="147"/>
        <v>AB01F4</v>
      </c>
      <c r="V3029">
        <v>0</v>
      </c>
      <c r="W3029">
        <v>0</v>
      </c>
      <c r="X3029">
        <v>2</v>
      </c>
      <c r="Z3029">
        <v>0</v>
      </c>
      <c r="AA3029">
        <v>9</v>
      </c>
      <c r="AB3029">
        <v>3</v>
      </c>
      <c r="AC3029">
        <v>0</v>
      </c>
      <c r="AD3029">
        <v>10</v>
      </c>
      <c r="AE3029">
        <v>0</v>
      </c>
      <c r="AF3029">
        <v>3</v>
      </c>
      <c r="AG3029">
        <v>2</v>
      </c>
      <c r="AH3029">
        <v>0</v>
      </c>
      <c r="AI3029" t="s">
        <v>1763</v>
      </c>
      <c r="AJ3029">
        <v>40.038170999999998</v>
      </c>
      <c r="AK3029" t="s">
        <v>1764</v>
      </c>
      <c r="AL3029">
        <v>-92.861380999999994</v>
      </c>
      <c r="AM3029">
        <v>100</v>
      </c>
      <c r="AN3029">
        <v>1400</v>
      </c>
      <c r="AO3029" t="s">
        <v>118</v>
      </c>
      <c r="AP3029">
        <v>-132</v>
      </c>
      <c r="AQ3029">
        <v>41</v>
      </c>
      <c r="AR3029">
        <v>-192</v>
      </c>
      <c r="AZ3029">
        <v>1200</v>
      </c>
      <c r="BA3029">
        <v>1</v>
      </c>
      <c r="BB3029" t="str">
        <f t="shared" si="146"/>
        <v xml:space="preserve">N8080G  </v>
      </c>
      <c r="BC3029">
        <v>1</v>
      </c>
      <c r="BE3029">
        <v>0</v>
      </c>
      <c r="BF3029">
        <v>0</v>
      </c>
      <c r="BG3029">
        <v>0</v>
      </c>
      <c r="BH3029">
        <v>1375</v>
      </c>
      <c r="BI3029">
        <v>1</v>
      </c>
      <c r="BJ3029">
        <v>1</v>
      </c>
      <c r="BK3029">
        <v>1</v>
      </c>
      <c r="BL3029">
        <v>0</v>
      </c>
      <c r="BO3029">
        <v>0</v>
      </c>
      <c r="BP3029">
        <v>0</v>
      </c>
      <c r="BW3029" t="str">
        <f>"20:30:44.937"</f>
        <v>20:30:44.937</v>
      </c>
      <c r="BZ3029">
        <v>0</v>
      </c>
      <c r="CA3029">
        <v>1600</v>
      </c>
      <c r="CB3029">
        <v>224</v>
      </c>
      <c r="CD3029">
        <v>1</v>
      </c>
      <c r="CE3029">
        <v>0</v>
      </c>
      <c r="CF3029">
        <v>0</v>
      </c>
      <c r="CG3029">
        <v>0</v>
      </c>
      <c r="CH3029">
        <v>0</v>
      </c>
      <c r="CI3029">
        <v>0</v>
      </c>
      <c r="CJ3029">
        <v>0</v>
      </c>
      <c r="CK3029">
        <v>2</v>
      </c>
      <c r="CL3029">
        <v>0</v>
      </c>
      <c r="CM3029">
        <v>2</v>
      </c>
      <c r="CN3029">
        <v>0</v>
      </c>
      <c r="CO3029">
        <v>7</v>
      </c>
      <c r="CP3029" t="s">
        <v>119</v>
      </c>
      <c r="CQ3029">
        <v>180</v>
      </c>
      <c r="CR3029">
        <v>3</v>
      </c>
      <c r="CW3029">
        <v>1043013</v>
      </c>
      <c r="CY3029">
        <v>0</v>
      </c>
      <c r="CZ3029">
        <v>0</v>
      </c>
      <c r="DA3029">
        <v>1</v>
      </c>
      <c r="DB3029">
        <v>0</v>
      </c>
      <c r="DC3029">
        <v>0</v>
      </c>
      <c r="DD3029">
        <v>0</v>
      </c>
      <c r="DE3029">
        <v>0</v>
      </c>
      <c r="DF3029">
        <v>0</v>
      </c>
      <c r="DG3029">
        <v>0</v>
      </c>
      <c r="DH3029">
        <v>0</v>
      </c>
      <c r="DI3029">
        <v>0</v>
      </c>
    </row>
    <row r="3030" spans="1:113" x14ac:dyDescent="0.3">
      <c r="A3030" t="str">
        <f>"02/08/2021 20:30:42.629"</f>
        <v>02/08/2021 20:30:42.629</v>
      </c>
      <c r="C3030" t="str">
        <f t="shared" si="145"/>
        <v>FFDFD7C0</v>
      </c>
      <c r="D3030" t="s">
        <v>124</v>
      </c>
      <c r="E3030">
        <v>13</v>
      </c>
      <c r="F3030">
        <v>1013</v>
      </c>
      <c r="G3030" t="s">
        <v>114</v>
      </c>
      <c r="J3030" t="s">
        <v>125</v>
      </c>
      <c r="K3030">
        <v>0</v>
      </c>
      <c r="L3030">
        <v>3</v>
      </c>
      <c r="M3030">
        <v>0</v>
      </c>
      <c r="N3030">
        <v>2</v>
      </c>
      <c r="O3030">
        <v>1</v>
      </c>
      <c r="P3030">
        <v>0</v>
      </c>
      <c r="Q3030">
        <v>0</v>
      </c>
      <c r="S3030" t="str">
        <f>"20:30:44.930"</f>
        <v>20:30:44.930</v>
      </c>
      <c r="T3030" t="str">
        <f>"20:30:44.430"</f>
        <v>20:30:44.430</v>
      </c>
      <c r="U3030" t="str">
        <f t="shared" si="147"/>
        <v>AB01F4</v>
      </c>
      <c r="V3030">
        <v>0</v>
      </c>
      <c r="W3030">
        <v>0</v>
      </c>
      <c r="X3030">
        <v>2</v>
      </c>
      <c r="Z3030">
        <v>0</v>
      </c>
      <c r="AA3030">
        <v>9</v>
      </c>
      <c r="AB3030">
        <v>3</v>
      </c>
      <c r="AC3030">
        <v>0</v>
      </c>
      <c r="AD3030">
        <v>10</v>
      </c>
      <c r="AE3030">
        <v>0</v>
      </c>
      <c r="AF3030">
        <v>3</v>
      </c>
      <c r="AG3030">
        <v>2</v>
      </c>
      <c r="AH3030">
        <v>0</v>
      </c>
      <c r="AI3030" t="s">
        <v>1763</v>
      </c>
      <c r="AJ3030">
        <v>40.038170999999998</v>
      </c>
      <c r="AK3030" t="s">
        <v>1764</v>
      </c>
      <c r="AL3030">
        <v>-92.861380999999994</v>
      </c>
      <c r="AM3030">
        <v>100</v>
      </c>
      <c r="AN3030">
        <v>1400</v>
      </c>
      <c r="AO3030" t="s">
        <v>118</v>
      </c>
      <c r="AP3030">
        <v>-132</v>
      </c>
      <c r="AQ3030">
        <v>41</v>
      </c>
      <c r="AR3030">
        <v>-192</v>
      </c>
      <c r="AZ3030">
        <v>1200</v>
      </c>
      <c r="BA3030">
        <v>1</v>
      </c>
      <c r="BB3030" t="str">
        <f t="shared" si="146"/>
        <v xml:space="preserve">N8080G  </v>
      </c>
      <c r="BC3030">
        <v>1</v>
      </c>
      <c r="BE3030">
        <v>0</v>
      </c>
      <c r="BF3030">
        <v>0</v>
      </c>
      <c r="BG3030">
        <v>0</v>
      </c>
      <c r="BH3030">
        <v>1375</v>
      </c>
      <c r="BI3030">
        <v>1</v>
      </c>
      <c r="BJ3030">
        <v>1</v>
      </c>
      <c r="BK3030">
        <v>1</v>
      </c>
      <c r="BL3030">
        <v>0</v>
      </c>
      <c r="BO3030">
        <v>0</v>
      </c>
      <c r="BP3030">
        <v>0</v>
      </c>
      <c r="BW3030" t="str">
        <f>"20:30:44.937"</f>
        <v>20:30:44.937</v>
      </c>
      <c r="BZ3030">
        <v>0</v>
      </c>
      <c r="CA3030">
        <v>1600</v>
      </c>
      <c r="CB3030">
        <v>224</v>
      </c>
      <c r="CD3030">
        <v>1</v>
      </c>
      <c r="CE3030">
        <v>0</v>
      </c>
      <c r="CF3030">
        <v>0</v>
      </c>
      <c r="CG3030">
        <v>0</v>
      </c>
      <c r="CH3030">
        <v>0</v>
      </c>
      <c r="CI3030">
        <v>0</v>
      </c>
      <c r="CJ3030">
        <v>0</v>
      </c>
      <c r="CK3030">
        <v>2</v>
      </c>
      <c r="CL3030">
        <v>0</v>
      </c>
      <c r="CM3030">
        <v>2</v>
      </c>
      <c r="CN3030">
        <v>0</v>
      </c>
      <c r="CO3030">
        <v>7</v>
      </c>
      <c r="CP3030" t="s">
        <v>119</v>
      </c>
      <c r="CQ3030">
        <v>180</v>
      </c>
      <c r="CR3030">
        <v>3</v>
      </c>
      <c r="CW3030">
        <v>1043013</v>
      </c>
      <c r="CY3030">
        <v>0</v>
      </c>
      <c r="CZ3030">
        <v>0</v>
      </c>
      <c r="DA3030">
        <v>1</v>
      </c>
      <c r="DB3030">
        <v>0</v>
      </c>
      <c r="DC3030">
        <v>0</v>
      </c>
      <c r="DD3030">
        <v>0</v>
      </c>
      <c r="DE3030">
        <v>0</v>
      </c>
      <c r="DF3030">
        <v>0</v>
      </c>
      <c r="DG3030">
        <v>0</v>
      </c>
      <c r="DH3030">
        <v>0</v>
      </c>
      <c r="DI3030">
        <v>0</v>
      </c>
    </row>
    <row r="3031" spans="1:113" x14ac:dyDescent="0.3">
      <c r="A3031" t="str">
        <f>"02/08/2021 20:30:43.736"</f>
        <v>02/08/2021 20:30:43.736</v>
      </c>
      <c r="C3031" t="str">
        <f t="shared" si="145"/>
        <v>FFDFD7C0</v>
      </c>
      <c r="D3031" t="s">
        <v>124</v>
      </c>
      <c r="E3031">
        <v>12</v>
      </c>
      <c r="F3031">
        <v>1012</v>
      </c>
      <c r="G3031" t="s">
        <v>675</v>
      </c>
      <c r="J3031" t="s">
        <v>125</v>
      </c>
      <c r="K3031">
        <v>0</v>
      </c>
      <c r="L3031">
        <v>3</v>
      </c>
      <c r="M3031">
        <v>0</v>
      </c>
      <c r="N3031">
        <v>2</v>
      </c>
      <c r="O3031">
        <v>1</v>
      </c>
      <c r="P3031">
        <v>0</v>
      </c>
      <c r="Q3031">
        <v>0</v>
      </c>
      <c r="S3031" t="str">
        <f>"20:30:46.063"</f>
        <v>20:30:46.063</v>
      </c>
      <c r="T3031" t="str">
        <f>"20:30:45.563"</f>
        <v>20:30:45.563</v>
      </c>
      <c r="U3031" t="str">
        <f t="shared" si="147"/>
        <v>AB01F4</v>
      </c>
      <c r="V3031">
        <v>0</v>
      </c>
      <c r="W3031">
        <v>0</v>
      </c>
      <c r="X3031">
        <v>2</v>
      </c>
      <c r="Z3031">
        <v>0</v>
      </c>
      <c r="AA3031">
        <v>9</v>
      </c>
      <c r="AB3031">
        <v>3</v>
      </c>
      <c r="AC3031">
        <v>0</v>
      </c>
      <c r="AD3031">
        <v>10</v>
      </c>
      <c r="AE3031">
        <v>0</v>
      </c>
      <c r="AF3031">
        <v>3</v>
      </c>
      <c r="AG3031">
        <v>2</v>
      </c>
      <c r="AH3031">
        <v>0</v>
      </c>
      <c r="AI3031" t="s">
        <v>1765</v>
      </c>
      <c r="AJ3031">
        <v>40.038364000000001</v>
      </c>
      <c r="AK3031" t="s">
        <v>1766</v>
      </c>
      <c r="AL3031">
        <v>-92.862302999999997</v>
      </c>
      <c r="AM3031">
        <v>100</v>
      </c>
      <c r="AN3031">
        <v>1400</v>
      </c>
      <c r="AO3031" t="s">
        <v>118</v>
      </c>
      <c r="AP3031">
        <v>-133</v>
      </c>
      <c r="AQ3031">
        <v>40</v>
      </c>
      <c r="AR3031">
        <v>-192</v>
      </c>
      <c r="AZ3031">
        <v>1200</v>
      </c>
      <c r="BA3031">
        <v>1</v>
      </c>
      <c r="BB3031" t="str">
        <f t="shared" si="146"/>
        <v xml:space="preserve">N8080G  </v>
      </c>
      <c r="BC3031">
        <v>1</v>
      </c>
      <c r="BE3031">
        <v>0</v>
      </c>
      <c r="BF3031">
        <v>0</v>
      </c>
      <c r="BG3031">
        <v>0</v>
      </c>
      <c r="BH3031">
        <v>1375</v>
      </c>
      <c r="BI3031">
        <v>1</v>
      </c>
      <c r="BJ3031">
        <v>1</v>
      </c>
      <c r="BK3031">
        <v>1</v>
      </c>
      <c r="BL3031">
        <v>0</v>
      </c>
      <c r="BO3031">
        <v>0</v>
      </c>
      <c r="BP3031">
        <v>0</v>
      </c>
      <c r="BW3031" t="str">
        <f>"20:30:46.064"</f>
        <v>20:30:46.064</v>
      </c>
      <c r="BZ3031">
        <v>0</v>
      </c>
      <c r="CA3031">
        <v>1600</v>
      </c>
      <c r="CB3031">
        <v>224</v>
      </c>
      <c r="CD3031">
        <v>1</v>
      </c>
      <c r="CE3031">
        <v>0</v>
      </c>
      <c r="CF3031">
        <v>0</v>
      </c>
      <c r="CG3031">
        <v>0</v>
      </c>
      <c r="CH3031">
        <v>0</v>
      </c>
      <c r="CI3031">
        <v>0</v>
      </c>
      <c r="CJ3031">
        <v>0</v>
      </c>
      <c r="CK3031">
        <v>2</v>
      </c>
      <c r="CL3031">
        <v>0</v>
      </c>
      <c r="CM3031">
        <v>2</v>
      </c>
      <c r="CN3031">
        <v>0</v>
      </c>
      <c r="CO3031">
        <v>7</v>
      </c>
      <c r="CP3031" t="s">
        <v>119</v>
      </c>
      <c r="CQ3031">
        <v>180</v>
      </c>
      <c r="CR3031">
        <v>3</v>
      </c>
      <c r="CW3031">
        <v>1043918</v>
      </c>
      <c r="CY3031">
        <v>0</v>
      </c>
      <c r="CZ3031">
        <v>0</v>
      </c>
      <c r="DA3031">
        <v>0</v>
      </c>
      <c r="DB3031">
        <v>0</v>
      </c>
      <c r="DC3031">
        <v>0</v>
      </c>
      <c r="DD3031">
        <v>0</v>
      </c>
      <c r="DE3031">
        <v>0</v>
      </c>
      <c r="DF3031">
        <v>0</v>
      </c>
      <c r="DG3031">
        <v>0</v>
      </c>
      <c r="DH3031">
        <v>0</v>
      </c>
      <c r="DI3031">
        <v>0</v>
      </c>
    </row>
    <row r="3032" spans="1:113" x14ac:dyDescent="0.3">
      <c r="A3032" t="str">
        <f>"02/08/2021 20:30:43.736"</f>
        <v>02/08/2021 20:30:43.736</v>
      </c>
      <c r="C3032" t="str">
        <f t="shared" si="145"/>
        <v>FFDFD7C0</v>
      </c>
      <c r="D3032" t="s">
        <v>113</v>
      </c>
      <c r="E3032">
        <v>6</v>
      </c>
      <c r="H3032">
        <v>165</v>
      </c>
      <c r="I3032" t="s">
        <v>114</v>
      </c>
      <c r="J3032" t="s">
        <v>115</v>
      </c>
      <c r="K3032">
        <v>0</v>
      </c>
      <c r="L3032">
        <v>3</v>
      </c>
      <c r="M3032">
        <v>0</v>
      </c>
      <c r="N3032">
        <v>2</v>
      </c>
      <c r="O3032">
        <v>1</v>
      </c>
      <c r="P3032">
        <v>0</v>
      </c>
      <c r="Q3032">
        <v>0</v>
      </c>
      <c r="S3032" t="str">
        <f>"20:30:46.063"</f>
        <v>20:30:46.063</v>
      </c>
      <c r="T3032" t="str">
        <f>"20:30:45.563"</f>
        <v>20:30:45.563</v>
      </c>
      <c r="U3032" t="str">
        <f t="shared" si="147"/>
        <v>AB01F4</v>
      </c>
      <c r="V3032">
        <v>0</v>
      </c>
      <c r="W3032">
        <v>0</v>
      </c>
      <c r="X3032">
        <v>2</v>
      </c>
      <c r="Z3032">
        <v>0</v>
      </c>
      <c r="AA3032">
        <v>9</v>
      </c>
      <c r="AB3032">
        <v>3</v>
      </c>
      <c r="AC3032">
        <v>0</v>
      </c>
      <c r="AD3032">
        <v>10</v>
      </c>
      <c r="AE3032">
        <v>0</v>
      </c>
      <c r="AF3032">
        <v>3</v>
      </c>
      <c r="AG3032">
        <v>2</v>
      </c>
      <c r="AH3032">
        <v>0</v>
      </c>
      <c r="AI3032" t="s">
        <v>1765</v>
      </c>
      <c r="AJ3032">
        <v>40.038364000000001</v>
      </c>
      <c r="AK3032" t="s">
        <v>1766</v>
      </c>
      <c r="AL3032">
        <v>-92.862302999999997</v>
      </c>
      <c r="AM3032">
        <v>100</v>
      </c>
      <c r="AN3032">
        <v>1400</v>
      </c>
      <c r="AO3032" t="s">
        <v>118</v>
      </c>
      <c r="AP3032">
        <v>-133</v>
      </c>
      <c r="AQ3032">
        <v>40</v>
      </c>
      <c r="AR3032">
        <v>-192</v>
      </c>
      <c r="AZ3032">
        <v>1200</v>
      </c>
      <c r="BA3032">
        <v>1</v>
      </c>
      <c r="BB3032" t="str">
        <f t="shared" si="146"/>
        <v xml:space="preserve">N8080G  </v>
      </c>
      <c r="BC3032">
        <v>1</v>
      </c>
      <c r="BE3032">
        <v>0</v>
      </c>
      <c r="BF3032">
        <v>0</v>
      </c>
      <c r="BG3032">
        <v>0</v>
      </c>
      <c r="BH3032">
        <v>1375</v>
      </c>
      <c r="BI3032">
        <v>1</v>
      </c>
      <c r="BJ3032">
        <v>1</v>
      </c>
      <c r="BK3032">
        <v>1</v>
      </c>
      <c r="BL3032">
        <v>0</v>
      </c>
      <c r="BO3032">
        <v>0</v>
      </c>
      <c r="BP3032">
        <v>0</v>
      </c>
      <c r="BW3032" t="str">
        <f>"20:30:46.064"</f>
        <v>20:30:46.064</v>
      </c>
      <c r="BZ3032">
        <v>0</v>
      </c>
      <c r="CA3032">
        <v>1600</v>
      </c>
      <c r="CB3032">
        <v>224</v>
      </c>
      <c r="CD3032">
        <v>1</v>
      </c>
      <c r="CE3032">
        <v>0</v>
      </c>
      <c r="CF3032">
        <v>0</v>
      </c>
      <c r="CG3032">
        <v>0</v>
      </c>
      <c r="CH3032">
        <v>0</v>
      </c>
      <c r="CI3032">
        <v>0</v>
      </c>
      <c r="CJ3032">
        <v>0</v>
      </c>
      <c r="CK3032">
        <v>2</v>
      </c>
      <c r="CL3032">
        <v>0</v>
      </c>
      <c r="CM3032">
        <v>2</v>
      </c>
      <c r="CN3032">
        <v>0</v>
      </c>
      <c r="CO3032">
        <v>7</v>
      </c>
      <c r="CP3032" t="s">
        <v>119</v>
      </c>
      <c r="CQ3032">
        <v>180</v>
      </c>
      <c r="CR3032">
        <v>3</v>
      </c>
      <c r="CW3032">
        <v>1043918</v>
      </c>
      <c r="CY3032">
        <v>0</v>
      </c>
      <c r="CZ3032">
        <v>0</v>
      </c>
      <c r="DA3032">
        <v>1</v>
      </c>
      <c r="DB3032">
        <v>0</v>
      </c>
      <c r="DC3032">
        <v>0</v>
      </c>
      <c r="DD3032">
        <v>0</v>
      </c>
      <c r="DE3032">
        <v>0</v>
      </c>
      <c r="DF3032">
        <v>0</v>
      </c>
      <c r="DG3032">
        <v>0</v>
      </c>
      <c r="DH3032">
        <v>0</v>
      </c>
      <c r="DI3032">
        <v>0</v>
      </c>
    </row>
    <row r="3033" spans="1:113" x14ac:dyDescent="0.3">
      <c r="A3033" t="str">
        <f>"02/08/2021 20:30:43.736"</f>
        <v>02/08/2021 20:30:43.736</v>
      </c>
      <c r="C3033" t="str">
        <f t="shared" si="145"/>
        <v>FFDFD7C0</v>
      </c>
      <c r="D3033" t="s">
        <v>124</v>
      </c>
      <c r="E3033">
        <v>11</v>
      </c>
      <c r="F3033">
        <v>1011</v>
      </c>
      <c r="G3033" t="s">
        <v>590</v>
      </c>
      <c r="J3033" t="s">
        <v>125</v>
      </c>
      <c r="K3033">
        <v>0</v>
      </c>
      <c r="L3033">
        <v>3</v>
      </c>
      <c r="M3033">
        <v>0</v>
      </c>
      <c r="N3033">
        <v>2</v>
      </c>
      <c r="O3033">
        <v>1</v>
      </c>
      <c r="P3033">
        <v>0</v>
      </c>
      <c r="Q3033">
        <v>0</v>
      </c>
      <c r="S3033" t="str">
        <f>"20:30:46.063"</f>
        <v>20:30:46.063</v>
      </c>
      <c r="T3033" t="str">
        <f>"20:30:45.563"</f>
        <v>20:30:45.563</v>
      </c>
      <c r="U3033" t="str">
        <f t="shared" si="147"/>
        <v>AB01F4</v>
      </c>
      <c r="V3033">
        <v>0</v>
      </c>
      <c r="W3033">
        <v>0</v>
      </c>
      <c r="X3033">
        <v>2</v>
      </c>
      <c r="Z3033">
        <v>0</v>
      </c>
      <c r="AA3033">
        <v>9</v>
      </c>
      <c r="AB3033">
        <v>3</v>
      </c>
      <c r="AC3033">
        <v>0</v>
      </c>
      <c r="AD3033">
        <v>10</v>
      </c>
      <c r="AE3033">
        <v>0</v>
      </c>
      <c r="AF3033">
        <v>3</v>
      </c>
      <c r="AG3033">
        <v>2</v>
      </c>
      <c r="AH3033">
        <v>0</v>
      </c>
      <c r="AI3033" t="s">
        <v>1765</v>
      </c>
      <c r="AJ3033">
        <v>40.038364000000001</v>
      </c>
      <c r="AK3033" t="s">
        <v>1766</v>
      </c>
      <c r="AL3033">
        <v>-92.862302999999997</v>
      </c>
      <c r="AM3033">
        <v>100</v>
      </c>
      <c r="AN3033">
        <v>1400</v>
      </c>
      <c r="AO3033" t="s">
        <v>118</v>
      </c>
      <c r="AP3033">
        <v>-133</v>
      </c>
      <c r="AQ3033">
        <v>40</v>
      </c>
      <c r="AR3033">
        <v>-192</v>
      </c>
      <c r="AZ3033">
        <v>1200</v>
      </c>
      <c r="BA3033">
        <v>1</v>
      </c>
      <c r="BB3033" t="str">
        <f t="shared" si="146"/>
        <v xml:space="preserve">N8080G  </v>
      </c>
      <c r="BC3033">
        <v>1</v>
      </c>
      <c r="BE3033">
        <v>0</v>
      </c>
      <c r="BF3033">
        <v>0</v>
      </c>
      <c r="BG3033">
        <v>0</v>
      </c>
      <c r="BH3033">
        <v>1375</v>
      </c>
      <c r="BI3033">
        <v>1</v>
      </c>
      <c r="BJ3033">
        <v>1</v>
      </c>
      <c r="BK3033">
        <v>1</v>
      </c>
      <c r="BL3033">
        <v>0</v>
      </c>
      <c r="BO3033">
        <v>0</v>
      </c>
      <c r="BP3033">
        <v>0</v>
      </c>
      <c r="BW3033" t="str">
        <f>"20:30:46.064"</f>
        <v>20:30:46.064</v>
      </c>
      <c r="BZ3033">
        <v>0</v>
      </c>
      <c r="CA3033">
        <v>1600</v>
      </c>
      <c r="CB3033">
        <v>224</v>
      </c>
      <c r="CD3033">
        <v>1</v>
      </c>
      <c r="CE3033">
        <v>0</v>
      </c>
      <c r="CF3033">
        <v>0</v>
      </c>
      <c r="CG3033">
        <v>0</v>
      </c>
      <c r="CH3033">
        <v>0</v>
      </c>
      <c r="CI3033">
        <v>0</v>
      </c>
      <c r="CJ3033">
        <v>0</v>
      </c>
      <c r="CK3033">
        <v>2</v>
      </c>
      <c r="CL3033">
        <v>0</v>
      </c>
      <c r="CM3033">
        <v>2</v>
      </c>
      <c r="CN3033">
        <v>0</v>
      </c>
      <c r="CO3033">
        <v>7</v>
      </c>
      <c r="CP3033" t="s">
        <v>119</v>
      </c>
      <c r="CQ3033">
        <v>180</v>
      </c>
      <c r="CR3033">
        <v>3</v>
      </c>
      <c r="CW3033">
        <v>1043918</v>
      </c>
      <c r="CY3033">
        <v>0</v>
      </c>
      <c r="CZ3033">
        <v>0</v>
      </c>
      <c r="DA3033">
        <v>1</v>
      </c>
      <c r="DB3033">
        <v>0</v>
      </c>
      <c r="DC3033">
        <v>0</v>
      </c>
      <c r="DD3033">
        <v>0</v>
      </c>
      <c r="DE3033">
        <v>0</v>
      </c>
      <c r="DF3033">
        <v>0</v>
      </c>
      <c r="DG3033">
        <v>0</v>
      </c>
      <c r="DH3033">
        <v>0</v>
      </c>
      <c r="DI3033">
        <v>0</v>
      </c>
    </row>
    <row r="3034" spans="1:113" x14ac:dyDescent="0.3">
      <c r="A3034" t="str">
        <f>"02/08/2021 20:30:43.736"</f>
        <v>02/08/2021 20:30:43.736</v>
      </c>
      <c r="C3034" t="str">
        <f t="shared" si="145"/>
        <v>FFDFD7C0</v>
      </c>
      <c r="D3034" t="s">
        <v>124</v>
      </c>
      <c r="E3034">
        <v>13</v>
      </c>
      <c r="F3034">
        <v>1013</v>
      </c>
      <c r="G3034" t="s">
        <v>114</v>
      </c>
      <c r="J3034" t="s">
        <v>125</v>
      </c>
      <c r="K3034">
        <v>0</v>
      </c>
      <c r="L3034">
        <v>3</v>
      </c>
      <c r="M3034">
        <v>0</v>
      </c>
      <c r="N3034">
        <v>2</v>
      </c>
      <c r="O3034">
        <v>1</v>
      </c>
      <c r="P3034">
        <v>0</v>
      </c>
      <c r="Q3034">
        <v>0</v>
      </c>
      <c r="S3034" t="str">
        <f>"20:30:46.063"</f>
        <v>20:30:46.063</v>
      </c>
      <c r="T3034" t="str">
        <f>"20:30:45.563"</f>
        <v>20:30:45.563</v>
      </c>
      <c r="U3034" t="str">
        <f t="shared" si="147"/>
        <v>AB01F4</v>
      </c>
      <c r="V3034">
        <v>0</v>
      </c>
      <c r="W3034">
        <v>0</v>
      </c>
      <c r="X3034">
        <v>2</v>
      </c>
      <c r="Z3034">
        <v>0</v>
      </c>
      <c r="AA3034">
        <v>9</v>
      </c>
      <c r="AB3034">
        <v>3</v>
      </c>
      <c r="AC3034">
        <v>0</v>
      </c>
      <c r="AD3034">
        <v>10</v>
      </c>
      <c r="AE3034">
        <v>0</v>
      </c>
      <c r="AF3034">
        <v>3</v>
      </c>
      <c r="AG3034">
        <v>2</v>
      </c>
      <c r="AH3034">
        <v>0</v>
      </c>
      <c r="AI3034" t="s">
        <v>1765</v>
      </c>
      <c r="AJ3034">
        <v>40.038364000000001</v>
      </c>
      <c r="AK3034" t="s">
        <v>1766</v>
      </c>
      <c r="AL3034">
        <v>-92.862302999999997</v>
      </c>
      <c r="AM3034">
        <v>100</v>
      </c>
      <c r="AN3034">
        <v>1400</v>
      </c>
      <c r="AO3034" t="s">
        <v>118</v>
      </c>
      <c r="AP3034">
        <v>-133</v>
      </c>
      <c r="AQ3034">
        <v>40</v>
      </c>
      <c r="AR3034">
        <v>-192</v>
      </c>
      <c r="AZ3034">
        <v>1200</v>
      </c>
      <c r="BA3034">
        <v>1</v>
      </c>
      <c r="BB3034" t="str">
        <f t="shared" si="146"/>
        <v xml:space="preserve">N8080G  </v>
      </c>
      <c r="BC3034">
        <v>1</v>
      </c>
      <c r="BE3034">
        <v>0</v>
      </c>
      <c r="BF3034">
        <v>0</v>
      </c>
      <c r="BG3034">
        <v>0</v>
      </c>
      <c r="BH3034">
        <v>1375</v>
      </c>
      <c r="BI3034">
        <v>1</v>
      </c>
      <c r="BJ3034">
        <v>1</v>
      </c>
      <c r="BK3034">
        <v>1</v>
      </c>
      <c r="BL3034">
        <v>0</v>
      </c>
      <c r="BO3034">
        <v>0</v>
      </c>
      <c r="BP3034">
        <v>0</v>
      </c>
      <c r="BW3034" t="str">
        <f>"20:30:46.064"</f>
        <v>20:30:46.064</v>
      </c>
      <c r="BZ3034">
        <v>0</v>
      </c>
      <c r="CA3034">
        <v>1600</v>
      </c>
      <c r="CB3034">
        <v>224</v>
      </c>
      <c r="CD3034">
        <v>1</v>
      </c>
      <c r="CE3034">
        <v>0</v>
      </c>
      <c r="CF3034">
        <v>0</v>
      </c>
      <c r="CG3034">
        <v>0</v>
      </c>
      <c r="CH3034">
        <v>0</v>
      </c>
      <c r="CI3034">
        <v>0</v>
      </c>
      <c r="CJ3034">
        <v>0</v>
      </c>
      <c r="CK3034">
        <v>2</v>
      </c>
      <c r="CL3034">
        <v>0</v>
      </c>
      <c r="CM3034">
        <v>2</v>
      </c>
      <c r="CN3034">
        <v>0</v>
      </c>
      <c r="CO3034">
        <v>7</v>
      </c>
      <c r="CP3034" t="s">
        <v>119</v>
      </c>
      <c r="CQ3034">
        <v>180</v>
      </c>
      <c r="CR3034">
        <v>3</v>
      </c>
      <c r="CW3034">
        <v>1043918</v>
      </c>
      <c r="CY3034">
        <v>0</v>
      </c>
      <c r="CZ3034">
        <v>0</v>
      </c>
      <c r="DA3034">
        <v>1</v>
      </c>
      <c r="DB3034">
        <v>0</v>
      </c>
      <c r="DC3034">
        <v>0</v>
      </c>
      <c r="DD3034">
        <v>0</v>
      </c>
      <c r="DE3034">
        <v>0</v>
      </c>
      <c r="DF3034">
        <v>0</v>
      </c>
      <c r="DG3034">
        <v>0</v>
      </c>
      <c r="DH3034">
        <v>0</v>
      </c>
      <c r="DI3034">
        <v>0</v>
      </c>
    </row>
    <row r="3035" spans="1:113" x14ac:dyDescent="0.3">
      <c r="A3035" t="str">
        <f>"02/08/2021 20:30:46.100"</f>
        <v>02/08/2021 20:30:46.100</v>
      </c>
      <c r="C3035" t="str">
        <f t="shared" si="145"/>
        <v>FFDFD7C0</v>
      </c>
      <c r="D3035" t="s">
        <v>124</v>
      </c>
      <c r="E3035">
        <v>12</v>
      </c>
      <c r="F3035">
        <v>1012</v>
      </c>
      <c r="G3035" t="s">
        <v>675</v>
      </c>
      <c r="J3035" t="s">
        <v>125</v>
      </c>
      <c r="K3035">
        <v>0</v>
      </c>
      <c r="L3035">
        <v>3</v>
      </c>
      <c r="M3035">
        <v>0</v>
      </c>
      <c r="N3035">
        <v>2</v>
      </c>
      <c r="O3035">
        <v>1</v>
      </c>
      <c r="P3035">
        <v>0</v>
      </c>
      <c r="Q3035">
        <v>0</v>
      </c>
      <c r="S3035" t="str">
        <f>"20:30:48.414"</f>
        <v>20:30:48.414</v>
      </c>
      <c r="T3035" t="str">
        <f>"20:30:47.914"</f>
        <v>20:30:47.914</v>
      </c>
      <c r="U3035" t="str">
        <f t="shared" si="147"/>
        <v>AB01F4</v>
      </c>
      <c r="V3035">
        <v>0</v>
      </c>
      <c r="W3035">
        <v>0</v>
      </c>
      <c r="X3035">
        <v>2</v>
      </c>
      <c r="Z3035">
        <v>0</v>
      </c>
      <c r="AA3035">
        <v>9</v>
      </c>
      <c r="AB3035">
        <v>3</v>
      </c>
      <c r="AC3035">
        <v>0</v>
      </c>
      <c r="AD3035">
        <v>10</v>
      </c>
      <c r="AE3035">
        <v>0</v>
      </c>
      <c r="AF3035">
        <v>3</v>
      </c>
      <c r="AG3035">
        <v>2</v>
      </c>
      <c r="AH3035">
        <v>0</v>
      </c>
      <c r="AI3035" t="s">
        <v>1767</v>
      </c>
      <c r="AJ3035">
        <v>40.038857</v>
      </c>
      <c r="AK3035" t="s">
        <v>1768</v>
      </c>
      <c r="AL3035">
        <v>-92.864126999999996</v>
      </c>
      <c r="AM3035">
        <v>100</v>
      </c>
      <c r="AN3035">
        <v>1400</v>
      </c>
      <c r="AO3035" t="s">
        <v>118</v>
      </c>
      <c r="AP3035">
        <v>-132</v>
      </c>
      <c r="AQ3035">
        <v>42</v>
      </c>
      <c r="AR3035">
        <v>-256</v>
      </c>
      <c r="AZ3035">
        <v>1200</v>
      </c>
      <c r="BA3035">
        <v>1</v>
      </c>
      <c r="BB3035" t="str">
        <f t="shared" si="146"/>
        <v xml:space="preserve">N8080G  </v>
      </c>
      <c r="BC3035">
        <v>1</v>
      </c>
      <c r="BE3035">
        <v>0</v>
      </c>
      <c r="BF3035">
        <v>0</v>
      </c>
      <c r="BG3035">
        <v>0</v>
      </c>
      <c r="BH3035">
        <v>1375</v>
      </c>
      <c r="BI3035">
        <v>1</v>
      </c>
      <c r="BJ3035">
        <v>1</v>
      </c>
      <c r="BK3035">
        <v>1</v>
      </c>
      <c r="BL3035">
        <v>0</v>
      </c>
      <c r="BO3035">
        <v>0</v>
      </c>
      <c r="BP3035">
        <v>0</v>
      </c>
      <c r="BW3035" t="str">
        <f>"20:30:48.417"</f>
        <v>20:30:48.417</v>
      </c>
      <c r="BZ3035">
        <v>0</v>
      </c>
      <c r="CA3035">
        <v>1600</v>
      </c>
      <c r="CB3035">
        <v>224</v>
      </c>
      <c r="CD3035">
        <v>1</v>
      </c>
      <c r="CE3035">
        <v>0</v>
      </c>
      <c r="CF3035">
        <v>0</v>
      </c>
      <c r="CG3035">
        <v>0</v>
      </c>
      <c r="CH3035">
        <v>0</v>
      </c>
      <c r="CI3035">
        <v>0</v>
      </c>
      <c r="CJ3035">
        <v>0</v>
      </c>
      <c r="CK3035">
        <v>2</v>
      </c>
      <c r="CL3035">
        <v>0</v>
      </c>
      <c r="CM3035">
        <v>2</v>
      </c>
      <c r="CN3035">
        <v>0</v>
      </c>
      <c r="CO3035">
        <v>7</v>
      </c>
      <c r="CP3035" t="s">
        <v>119</v>
      </c>
      <c r="CQ3035">
        <v>180</v>
      </c>
      <c r="CR3035">
        <v>2</v>
      </c>
      <c r="CW3035">
        <v>8696877</v>
      </c>
      <c r="CY3035">
        <v>0</v>
      </c>
      <c r="CZ3035">
        <v>0</v>
      </c>
      <c r="DA3035">
        <v>0</v>
      </c>
      <c r="DB3035">
        <v>0</v>
      </c>
      <c r="DC3035">
        <v>0</v>
      </c>
      <c r="DD3035">
        <v>0</v>
      </c>
      <c r="DE3035">
        <v>0</v>
      </c>
      <c r="DF3035">
        <v>0</v>
      </c>
      <c r="DG3035">
        <v>0</v>
      </c>
      <c r="DH3035">
        <v>0</v>
      </c>
      <c r="DI3035">
        <v>0</v>
      </c>
    </row>
    <row r="3036" spans="1:113" x14ac:dyDescent="0.3">
      <c r="A3036" t="str">
        <f>"02/08/2021 20:30:46.100"</f>
        <v>02/08/2021 20:30:46.100</v>
      </c>
      <c r="C3036" t="str">
        <f t="shared" si="145"/>
        <v>FFDFD7C0</v>
      </c>
      <c r="D3036" t="s">
        <v>124</v>
      </c>
      <c r="E3036">
        <v>11</v>
      </c>
      <c r="F3036">
        <v>1011</v>
      </c>
      <c r="G3036" t="s">
        <v>590</v>
      </c>
      <c r="J3036" t="s">
        <v>125</v>
      </c>
      <c r="K3036">
        <v>0</v>
      </c>
      <c r="L3036">
        <v>3</v>
      </c>
      <c r="M3036">
        <v>0</v>
      </c>
      <c r="N3036">
        <v>2</v>
      </c>
      <c r="O3036">
        <v>1</v>
      </c>
      <c r="P3036">
        <v>0</v>
      </c>
      <c r="Q3036">
        <v>0</v>
      </c>
      <c r="S3036" t="str">
        <f>"20:30:48.414"</f>
        <v>20:30:48.414</v>
      </c>
      <c r="T3036" t="str">
        <f>"20:30:47.914"</f>
        <v>20:30:47.914</v>
      </c>
      <c r="U3036" t="str">
        <f t="shared" si="147"/>
        <v>AB01F4</v>
      </c>
      <c r="V3036">
        <v>0</v>
      </c>
      <c r="W3036">
        <v>0</v>
      </c>
      <c r="X3036">
        <v>2</v>
      </c>
      <c r="Z3036">
        <v>0</v>
      </c>
      <c r="AA3036">
        <v>9</v>
      </c>
      <c r="AB3036">
        <v>3</v>
      </c>
      <c r="AC3036">
        <v>0</v>
      </c>
      <c r="AD3036">
        <v>10</v>
      </c>
      <c r="AE3036">
        <v>0</v>
      </c>
      <c r="AF3036">
        <v>3</v>
      </c>
      <c r="AG3036">
        <v>2</v>
      </c>
      <c r="AH3036">
        <v>0</v>
      </c>
      <c r="AI3036" t="s">
        <v>1767</v>
      </c>
      <c r="AJ3036">
        <v>40.038857</v>
      </c>
      <c r="AK3036" t="s">
        <v>1768</v>
      </c>
      <c r="AL3036">
        <v>-92.864126999999996</v>
      </c>
      <c r="AM3036">
        <v>100</v>
      </c>
      <c r="AN3036">
        <v>1400</v>
      </c>
      <c r="AO3036" t="s">
        <v>118</v>
      </c>
      <c r="AP3036">
        <v>-132</v>
      </c>
      <c r="AQ3036">
        <v>42</v>
      </c>
      <c r="AR3036">
        <v>-256</v>
      </c>
      <c r="AZ3036">
        <v>1200</v>
      </c>
      <c r="BA3036">
        <v>1</v>
      </c>
      <c r="BB3036" t="str">
        <f t="shared" si="146"/>
        <v xml:space="preserve">N8080G  </v>
      </c>
      <c r="BC3036">
        <v>1</v>
      </c>
      <c r="BE3036">
        <v>0</v>
      </c>
      <c r="BF3036">
        <v>0</v>
      </c>
      <c r="BG3036">
        <v>0</v>
      </c>
      <c r="BH3036">
        <v>1375</v>
      </c>
      <c r="BI3036">
        <v>1</v>
      </c>
      <c r="BJ3036">
        <v>1</v>
      </c>
      <c r="BK3036">
        <v>1</v>
      </c>
      <c r="BL3036">
        <v>0</v>
      </c>
      <c r="BO3036">
        <v>0</v>
      </c>
      <c r="BP3036">
        <v>0</v>
      </c>
      <c r="BW3036" t="str">
        <f>"20:30:48.417"</f>
        <v>20:30:48.417</v>
      </c>
      <c r="BZ3036">
        <v>0</v>
      </c>
      <c r="CA3036">
        <v>1600</v>
      </c>
      <c r="CB3036">
        <v>224</v>
      </c>
      <c r="CD3036">
        <v>1</v>
      </c>
      <c r="CE3036">
        <v>0</v>
      </c>
      <c r="CF3036">
        <v>0</v>
      </c>
      <c r="CG3036">
        <v>0</v>
      </c>
      <c r="CH3036">
        <v>0</v>
      </c>
      <c r="CI3036">
        <v>0</v>
      </c>
      <c r="CJ3036">
        <v>0</v>
      </c>
      <c r="CK3036">
        <v>2</v>
      </c>
      <c r="CL3036">
        <v>0</v>
      </c>
      <c r="CM3036">
        <v>2</v>
      </c>
      <c r="CN3036">
        <v>0</v>
      </c>
      <c r="CO3036">
        <v>7</v>
      </c>
      <c r="CP3036" t="s">
        <v>119</v>
      </c>
      <c r="CQ3036">
        <v>180</v>
      </c>
      <c r="CR3036">
        <v>2</v>
      </c>
      <c r="CW3036">
        <v>8696877</v>
      </c>
      <c r="CY3036">
        <v>0</v>
      </c>
      <c r="CZ3036">
        <v>0</v>
      </c>
      <c r="DA3036">
        <v>1</v>
      </c>
      <c r="DB3036">
        <v>0</v>
      </c>
      <c r="DC3036">
        <v>0</v>
      </c>
      <c r="DD3036">
        <v>0</v>
      </c>
      <c r="DE3036">
        <v>0</v>
      </c>
      <c r="DF3036">
        <v>0</v>
      </c>
      <c r="DG3036">
        <v>0</v>
      </c>
      <c r="DH3036">
        <v>0</v>
      </c>
      <c r="DI3036">
        <v>0</v>
      </c>
    </row>
    <row r="3037" spans="1:113" x14ac:dyDescent="0.3">
      <c r="A3037" t="str">
        <f>"02/08/2021 20:30:46.100"</f>
        <v>02/08/2021 20:30:46.100</v>
      </c>
      <c r="C3037" t="str">
        <f t="shared" si="145"/>
        <v>FFDFD7C0</v>
      </c>
      <c r="D3037" t="s">
        <v>113</v>
      </c>
      <c r="E3037">
        <v>6</v>
      </c>
      <c r="H3037">
        <v>165</v>
      </c>
      <c r="I3037" t="s">
        <v>114</v>
      </c>
      <c r="J3037" t="s">
        <v>115</v>
      </c>
      <c r="K3037">
        <v>0</v>
      </c>
      <c r="L3037">
        <v>3</v>
      </c>
      <c r="M3037">
        <v>0</v>
      </c>
      <c r="N3037">
        <v>2</v>
      </c>
      <c r="O3037">
        <v>1</v>
      </c>
      <c r="P3037">
        <v>0</v>
      </c>
      <c r="Q3037">
        <v>0</v>
      </c>
      <c r="S3037" t="str">
        <f>"20:30:48.414"</f>
        <v>20:30:48.414</v>
      </c>
      <c r="T3037" t="str">
        <f>"20:30:47.914"</f>
        <v>20:30:47.914</v>
      </c>
      <c r="U3037" t="str">
        <f t="shared" si="147"/>
        <v>AB01F4</v>
      </c>
      <c r="V3037">
        <v>0</v>
      </c>
      <c r="W3037">
        <v>0</v>
      </c>
      <c r="X3037">
        <v>2</v>
      </c>
      <c r="Z3037">
        <v>0</v>
      </c>
      <c r="AA3037">
        <v>9</v>
      </c>
      <c r="AB3037">
        <v>3</v>
      </c>
      <c r="AC3037">
        <v>0</v>
      </c>
      <c r="AD3037">
        <v>10</v>
      </c>
      <c r="AE3037">
        <v>0</v>
      </c>
      <c r="AF3037">
        <v>3</v>
      </c>
      <c r="AG3037">
        <v>2</v>
      </c>
      <c r="AH3037">
        <v>0</v>
      </c>
      <c r="AI3037" t="s">
        <v>1767</v>
      </c>
      <c r="AJ3037">
        <v>40.038857</v>
      </c>
      <c r="AK3037" t="s">
        <v>1768</v>
      </c>
      <c r="AL3037">
        <v>-92.864126999999996</v>
      </c>
      <c r="AM3037">
        <v>100</v>
      </c>
      <c r="AN3037">
        <v>1400</v>
      </c>
      <c r="AO3037" t="s">
        <v>118</v>
      </c>
      <c r="AP3037">
        <v>-132</v>
      </c>
      <c r="AQ3037">
        <v>42</v>
      </c>
      <c r="AR3037">
        <v>-256</v>
      </c>
      <c r="AZ3037">
        <v>1200</v>
      </c>
      <c r="BA3037">
        <v>1</v>
      </c>
      <c r="BB3037" t="str">
        <f t="shared" si="146"/>
        <v xml:space="preserve">N8080G  </v>
      </c>
      <c r="BC3037">
        <v>1</v>
      </c>
      <c r="BE3037">
        <v>0</v>
      </c>
      <c r="BF3037">
        <v>0</v>
      </c>
      <c r="BG3037">
        <v>0</v>
      </c>
      <c r="BH3037">
        <v>1375</v>
      </c>
      <c r="BI3037">
        <v>1</v>
      </c>
      <c r="BJ3037">
        <v>1</v>
      </c>
      <c r="BK3037">
        <v>1</v>
      </c>
      <c r="BL3037">
        <v>0</v>
      </c>
      <c r="BO3037">
        <v>0</v>
      </c>
      <c r="BP3037">
        <v>0</v>
      </c>
      <c r="BW3037" t="str">
        <f>"20:30:48.417"</f>
        <v>20:30:48.417</v>
      </c>
      <c r="BZ3037">
        <v>0</v>
      </c>
      <c r="CA3037">
        <v>1600</v>
      </c>
      <c r="CB3037">
        <v>224</v>
      </c>
      <c r="CD3037">
        <v>1</v>
      </c>
      <c r="CE3037">
        <v>0</v>
      </c>
      <c r="CF3037">
        <v>0</v>
      </c>
      <c r="CG3037">
        <v>0</v>
      </c>
      <c r="CH3037">
        <v>0</v>
      </c>
      <c r="CI3037">
        <v>0</v>
      </c>
      <c r="CJ3037">
        <v>0</v>
      </c>
      <c r="CK3037">
        <v>2</v>
      </c>
      <c r="CL3037">
        <v>0</v>
      </c>
      <c r="CM3037">
        <v>2</v>
      </c>
      <c r="CN3037">
        <v>0</v>
      </c>
      <c r="CO3037">
        <v>7</v>
      </c>
      <c r="CP3037" t="s">
        <v>119</v>
      </c>
      <c r="CQ3037">
        <v>180</v>
      </c>
      <c r="CR3037">
        <v>2</v>
      </c>
      <c r="CW3037">
        <v>8696877</v>
      </c>
      <c r="CY3037">
        <v>0</v>
      </c>
      <c r="CZ3037">
        <v>0</v>
      </c>
      <c r="DA3037">
        <v>1</v>
      </c>
      <c r="DB3037">
        <v>0</v>
      </c>
      <c r="DC3037">
        <v>0</v>
      </c>
      <c r="DD3037">
        <v>0</v>
      </c>
      <c r="DE3037">
        <v>0</v>
      </c>
      <c r="DF3037">
        <v>0</v>
      </c>
      <c r="DG3037">
        <v>0</v>
      </c>
      <c r="DH3037">
        <v>0</v>
      </c>
      <c r="DI3037">
        <v>0</v>
      </c>
    </row>
    <row r="3038" spans="1:113" x14ac:dyDescent="0.3">
      <c r="A3038" t="str">
        <f>"02/08/2021 20:30:46.100"</f>
        <v>02/08/2021 20:30:46.100</v>
      </c>
      <c r="C3038" t="str">
        <f t="shared" si="145"/>
        <v>FFDFD7C0</v>
      </c>
      <c r="D3038" t="s">
        <v>124</v>
      </c>
      <c r="E3038">
        <v>13</v>
      </c>
      <c r="F3038">
        <v>1013</v>
      </c>
      <c r="G3038" t="s">
        <v>114</v>
      </c>
      <c r="J3038" t="s">
        <v>125</v>
      </c>
      <c r="K3038">
        <v>0</v>
      </c>
      <c r="L3038">
        <v>3</v>
      </c>
      <c r="M3038">
        <v>0</v>
      </c>
      <c r="N3038">
        <v>2</v>
      </c>
      <c r="O3038">
        <v>1</v>
      </c>
      <c r="P3038">
        <v>0</v>
      </c>
      <c r="Q3038">
        <v>0</v>
      </c>
      <c r="S3038" t="str">
        <f>"20:30:48.414"</f>
        <v>20:30:48.414</v>
      </c>
      <c r="T3038" t="str">
        <f>"20:30:47.914"</f>
        <v>20:30:47.914</v>
      </c>
      <c r="U3038" t="str">
        <f t="shared" si="147"/>
        <v>AB01F4</v>
      </c>
      <c r="V3038">
        <v>0</v>
      </c>
      <c r="W3038">
        <v>0</v>
      </c>
      <c r="X3038">
        <v>2</v>
      </c>
      <c r="Z3038">
        <v>0</v>
      </c>
      <c r="AA3038">
        <v>9</v>
      </c>
      <c r="AB3038">
        <v>3</v>
      </c>
      <c r="AC3038">
        <v>0</v>
      </c>
      <c r="AD3038">
        <v>10</v>
      </c>
      <c r="AE3038">
        <v>0</v>
      </c>
      <c r="AF3038">
        <v>3</v>
      </c>
      <c r="AG3038">
        <v>2</v>
      </c>
      <c r="AH3038">
        <v>0</v>
      </c>
      <c r="AI3038" t="s">
        <v>1767</v>
      </c>
      <c r="AJ3038">
        <v>40.038857</v>
      </c>
      <c r="AK3038" t="s">
        <v>1768</v>
      </c>
      <c r="AL3038">
        <v>-92.864126999999996</v>
      </c>
      <c r="AM3038">
        <v>100</v>
      </c>
      <c r="AN3038">
        <v>1400</v>
      </c>
      <c r="AO3038" t="s">
        <v>118</v>
      </c>
      <c r="AP3038">
        <v>-132</v>
      </c>
      <c r="AQ3038">
        <v>42</v>
      </c>
      <c r="AR3038">
        <v>-256</v>
      </c>
      <c r="AZ3038">
        <v>1200</v>
      </c>
      <c r="BA3038">
        <v>1</v>
      </c>
      <c r="BB3038" t="str">
        <f t="shared" si="146"/>
        <v xml:space="preserve">N8080G  </v>
      </c>
      <c r="BC3038">
        <v>1</v>
      </c>
      <c r="BE3038">
        <v>0</v>
      </c>
      <c r="BF3038">
        <v>0</v>
      </c>
      <c r="BG3038">
        <v>0</v>
      </c>
      <c r="BH3038">
        <v>1375</v>
      </c>
      <c r="BI3038">
        <v>1</v>
      </c>
      <c r="BJ3038">
        <v>1</v>
      </c>
      <c r="BK3038">
        <v>1</v>
      </c>
      <c r="BL3038">
        <v>0</v>
      </c>
      <c r="BO3038">
        <v>0</v>
      </c>
      <c r="BP3038">
        <v>0</v>
      </c>
      <c r="BW3038" t="str">
        <f>"20:30:48.417"</f>
        <v>20:30:48.417</v>
      </c>
      <c r="BZ3038">
        <v>0</v>
      </c>
      <c r="CA3038">
        <v>1600</v>
      </c>
      <c r="CB3038">
        <v>224</v>
      </c>
      <c r="CD3038">
        <v>1</v>
      </c>
      <c r="CE3038">
        <v>0</v>
      </c>
      <c r="CF3038">
        <v>0</v>
      </c>
      <c r="CG3038">
        <v>0</v>
      </c>
      <c r="CH3038">
        <v>0</v>
      </c>
      <c r="CI3038">
        <v>0</v>
      </c>
      <c r="CJ3038">
        <v>0</v>
      </c>
      <c r="CK3038">
        <v>2</v>
      </c>
      <c r="CL3038">
        <v>0</v>
      </c>
      <c r="CM3038">
        <v>2</v>
      </c>
      <c r="CN3038">
        <v>0</v>
      </c>
      <c r="CO3038">
        <v>7</v>
      </c>
      <c r="CP3038" t="s">
        <v>119</v>
      </c>
      <c r="CQ3038">
        <v>180</v>
      </c>
      <c r="CR3038">
        <v>2</v>
      </c>
      <c r="CW3038">
        <v>8696877</v>
      </c>
      <c r="CY3038">
        <v>0</v>
      </c>
      <c r="CZ3038">
        <v>0</v>
      </c>
      <c r="DA3038">
        <v>1</v>
      </c>
      <c r="DB3038">
        <v>0</v>
      </c>
      <c r="DC3038">
        <v>0</v>
      </c>
      <c r="DD3038">
        <v>0</v>
      </c>
      <c r="DE3038">
        <v>0</v>
      </c>
      <c r="DF3038">
        <v>0</v>
      </c>
      <c r="DG3038">
        <v>0</v>
      </c>
      <c r="DH3038">
        <v>0</v>
      </c>
      <c r="DI3038">
        <v>0</v>
      </c>
    </row>
    <row r="3039" spans="1:113" x14ac:dyDescent="0.3">
      <c r="A3039" t="str">
        <f>"02/08/2021 20:30:47.205"</f>
        <v>02/08/2021 20:30:47.205</v>
      </c>
      <c r="C3039" t="str">
        <f t="shared" si="145"/>
        <v>FFDFD7C0</v>
      </c>
      <c r="D3039" t="s">
        <v>124</v>
      </c>
      <c r="E3039">
        <v>12</v>
      </c>
      <c r="F3039">
        <v>1012</v>
      </c>
      <c r="G3039" t="s">
        <v>675</v>
      </c>
      <c r="J3039" t="s">
        <v>125</v>
      </c>
      <c r="K3039">
        <v>0</v>
      </c>
      <c r="L3039">
        <v>3</v>
      </c>
      <c r="M3039">
        <v>0</v>
      </c>
      <c r="N3039">
        <v>2</v>
      </c>
      <c r="O3039">
        <v>1</v>
      </c>
      <c r="P3039">
        <v>0</v>
      </c>
      <c r="Q3039">
        <v>0</v>
      </c>
      <c r="S3039" t="str">
        <f>"20:30:49.523"</f>
        <v>20:30:49.523</v>
      </c>
      <c r="T3039" t="str">
        <f>"20:30:49.023"</f>
        <v>20:30:49.023</v>
      </c>
      <c r="U3039" t="str">
        <f t="shared" si="147"/>
        <v>AB01F4</v>
      </c>
      <c r="V3039">
        <v>0</v>
      </c>
      <c r="W3039">
        <v>0</v>
      </c>
      <c r="X3039">
        <v>2</v>
      </c>
      <c r="Z3039">
        <v>0</v>
      </c>
      <c r="AA3039">
        <v>9</v>
      </c>
      <c r="AB3039">
        <v>3</v>
      </c>
      <c r="AC3039">
        <v>0</v>
      </c>
      <c r="AD3039">
        <v>10</v>
      </c>
      <c r="AE3039">
        <v>0</v>
      </c>
      <c r="AF3039">
        <v>3</v>
      </c>
      <c r="AG3039">
        <v>2</v>
      </c>
      <c r="AH3039">
        <v>0</v>
      </c>
      <c r="AI3039" t="s">
        <v>1769</v>
      </c>
      <c r="AJ3039">
        <v>40.039071999999997</v>
      </c>
      <c r="AK3039" t="s">
        <v>1770</v>
      </c>
      <c r="AL3039">
        <v>-92.865049999999997</v>
      </c>
      <c r="AM3039">
        <v>100</v>
      </c>
      <c r="AN3039">
        <v>1300</v>
      </c>
      <c r="AO3039" t="s">
        <v>118</v>
      </c>
      <c r="AP3039">
        <v>-131</v>
      </c>
      <c r="AQ3039">
        <v>43</v>
      </c>
      <c r="AR3039">
        <v>-320</v>
      </c>
      <c r="AZ3039">
        <v>1200</v>
      </c>
      <c r="BA3039">
        <v>1</v>
      </c>
      <c r="BB3039" t="str">
        <f t="shared" si="146"/>
        <v xml:space="preserve">N8080G  </v>
      </c>
      <c r="BC3039">
        <v>1</v>
      </c>
      <c r="BE3039">
        <v>0</v>
      </c>
      <c r="BF3039">
        <v>0</v>
      </c>
      <c r="BG3039">
        <v>0</v>
      </c>
      <c r="BH3039">
        <v>1375</v>
      </c>
      <c r="BI3039">
        <v>1</v>
      </c>
      <c r="BJ3039">
        <v>1</v>
      </c>
      <c r="BK3039">
        <v>1</v>
      </c>
      <c r="BL3039">
        <v>0</v>
      </c>
      <c r="BO3039">
        <v>0</v>
      </c>
      <c r="BP3039">
        <v>0</v>
      </c>
      <c r="BW3039" t="str">
        <f>"20:30:49.531"</f>
        <v>20:30:49.531</v>
      </c>
      <c r="BZ3039">
        <v>0</v>
      </c>
      <c r="CA3039">
        <v>1600</v>
      </c>
      <c r="CB3039">
        <v>224</v>
      </c>
      <c r="CD3039">
        <v>1</v>
      </c>
      <c r="CE3039">
        <v>0</v>
      </c>
      <c r="CF3039">
        <v>0</v>
      </c>
      <c r="CG3039">
        <v>1</v>
      </c>
      <c r="CH3039">
        <v>0</v>
      </c>
      <c r="CI3039">
        <v>0</v>
      </c>
      <c r="CJ3039">
        <v>0</v>
      </c>
      <c r="CK3039">
        <v>2</v>
      </c>
      <c r="CL3039">
        <v>0</v>
      </c>
      <c r="CM3039">
        <v>2</v>
      </c>
      <c r="CN3039">
        <v>0</v>
      </c>
      <c r="CO3039">
        <v>7</v>
      </c>
      <c r="CP3039" t="s">
        <v>119</v>
      </c>
      <c r="CQ3039">
        <v>180</v>
      </c>
      <c r="CR3039">
        <v>3</v>
      </c>
      <c r="CW3039">
        <v>1046636</v>
      </c>
      <c r="CY3039">
        <v>0</v>
      </c>
      <c r="CZ3039">
        <v>0</v>
      </c>
      <c r="DA3039">
        <v>0</v>
      </c>
      <c r="DB3039">
        <v>0</v>
      </c>
      <c r="DC3039">
        <v>0</v>
      </c>
      <c r="DD3039">
        <v>0</v>
      </c>
      <c r="DE3039">
        <v>0</v>
      </c>
      <c r="DF3039">
        <v>0</v>
      </c>
      <c r="DG3039">
        <v>0</v>
      </c>
      <c r="DH3039">
        <v>0</v>
      </c>
      <c r="DI3039">
        <v>0</v>
      </c>
    </row>
    <row r="3040" spans="1:113" x14ac:dyDescent="0.3">
      <c r="A3040" t="str">
        <f>"02/08/2021 20:30:47.205"</f>
        <v>02/08/2021 20:30:47.205</v>
      </c>
      <c r="C3040" t="str">
        <f t="shared" si="145"/>
        <v>FFDFD7C0</v>
      </c>
      <c r="D3040" t="s">
        <v>124</v>
      </c>
      <c r="E3040">
        <v>11</v>
      </c>
      <c r="F3040">
        <v>1011</v>
      </c>
      <c r="G3040" t="s">
        <v>590</v>
      </c>
      <c r="J3040" t="s">
        <v>125</v>
      </c>
      <c r="K3040">
        <v>0</v>
      </c>
      <c r="L3040">
        <v>3</v>
      </c>
      <c r="M3040">
        <v>0</v>
      </c>
      <c r="N3040">
        <v>2</v>
      </c>
      <c r="O3040">
        <v>1</v>
      </c>
      <c r="P3040">
        <v>0</v>
      </c>
      <c r="Q3040">
        <v>0</v>
      </c>
      <c r="S3040" t="str">
        <f>"20:30:49.523"</f>
        <v>20:30:49.523</v>
      </c>
      <c r="T3040" t="str">
        <f>"20:30:49.023"</f>
        <v>20:30:49.023</v>
      </c>
      <c r="U3040" t="str">
        <f t="shared" si="147"/>
        <v>AB01F4</v>
      </c>
      <c r="V3040">
        <v>0</v>
      </c>
      <c r="W3040">
        <v>0</v>
      </c>
      <c r="X3040">
        <v>2</v>
      </c>
      <c r="Z3040">
        <v>0</v>
      </c>
      <c r="AA3040">
        <v>9</v>
      </c>
      <c r="AB3040">
        <v>3</v>
      </c>
      <c r="AC3040">
        <v>0</v>
      </c>
      <c r="AD3040">
        <v>10</v>
      </c>
      <c r="AE3040">
        <v>0</v>
      </c>
      <c r="AF3040">
        <v>3</v>
      </c>
      <c r="AG3040">
        <v>2</v>
      </c>
      <c r="AH3040">
        <v>0</v>
      </c>
      <c r="AI3040" t="s">
        <v>1769</v>
      </c>
      <c r="AJ3040">
        <v>40.039071999999997</v>
      </c>
      <c r="AK3040" t="s">
        <v>1770</v>
      </c>
      <c r="AL3040">
        <v>-92.865049999999997</v>
      </c>
      <c r="AM3040">
        <v>100</v>
      </c>
      <c r="AN3040">
        <v>1300</v>
      </c>
      <c r="AO3040" t="s">
        <v>118</v>
      </c>
      <c r="AP3040">
        <v>-131</v>
      </c>
      <c r="AQ3040">
        <v>43</v>
      </c>
      <c r="AR3040">
        <v>-320</v>
      </c>
      <c r="AZ3040">
        <v>1200</v>
      </c>
      <c r="BA3040">
        <v>1</v>
      </c>
      <c r="BB3040" t="str">
        <f t="shared" si="146"/>
        <v xml:space="preserve">N8080G  </v>
      </c>
      <c r="BC3040">
        <v>1</v>
      </c>
      <c r="BE3040">
        <v>0</v>
      </c>
      <c r="BF3040">
        <v>0</v>
      </c>
      <c r="BG3040">
        <v>0</v>
      </c>
      <c r="BH3040">
        <v>1375</v>
      </c>
      <c r="BI3040">
        <v>1</v>
      </c>
      <c r="BJ3040">
        <v>1</v>
      </c>
      <c r="BK3040">
        <v>1</v>
      </c>
      <c r="BL3040">
        <v>0</v>
      </c>
      <c r="BO3040">
        <v>0</v>
      </c>
      <c r="BP3040">
        <v>0</v>
      </c>
      <c r="BW3040" t="str">
        <f>"20:30:49.531"</f>
        <v>20:30:49.531</v>
      </c>
      <c r="BZ3040">
        <v>0</v>
      </c>
      <c r="CA3040">
        <v>1600</v>
      </c>
      <c r="CB3040">
        <v>224</v>
      </c>
      <c r="CD3040">
        <v>1</v>
      </c>
      <c r="CE3040">
        <v>0</v>
      </c>
      <c r="CF3040">
        <v>0</v>
      </c>
      <c r="CG3040">
        <v>1</v>
      </c>
      <c r="CH3040">
        <v>0</v>
      </c>
      <c r="CI3040">
        <v>0</v>
      </c>
      <c r="CJ3040">
        <v>0</v>
      </c>
      <c r="CK3040">
        <v>2</v>
      </c>
      <c r="CL3040">
        <v>0</v>
      </c>
      <c r="CM3040">
        <v>2</v>
      </c>
      <c r="CN3040">
        <v>0</v>
      </c>
      <c r="CO3040">
        <v>7</v>
      </c>
      <c r="CP3040" t="s">
        <v>119</v>
      </c>
      <c r="CQ3040">
        <v>180</v>
      </c>
      <c r="CR3040">
        <v>3</v>
      </c>
      <c r="CW3040">
        <v>1046636</v>
      </c>
      <c r="CY3040">
        <v>0</v>
      </c>
      <c r="CZ3040">
        <v>0</v>
      </c>
      <c r="DA3040">
        <v>1</v>
      </c>
      <c r="DB3040">
        <v>0</v>
      </c>
      <c r="DC3040">
        <v>0</v>
      </c>
      <c r="DD3040">
        <v>0</v>
      </c>
      <c r="DE3040">
        <v>0</v>
      </c>
      <c r="DF3040">
        <v>0</v>
      </c>
      <c r="DG3040">
        <v>0</v>
      </c>
      <c r="DH3040">
        <v>0</v>
      </c>
      <c r="DI3040">
        <v>0</v>
      </c>
    </row>
    <row r="3041" spans="1:113" x14ac:dyDescent="0.3">
      <c r="A3041" t="str">
        <f>"02/08/2021 20:30:47.205"</f>
        <v>02/08/2021 20:30:47.205</v>
      </c>
      <c r="C3041" t="str">
        <f t="shared" si="145"/>
        <v>FFDFD7C0</v>
      </c>
      <c r="D3041" t="s">
        <v>124</v>
      </c>
      <c r="E3041">
        <v>13</v>
      </c>
      <c r="F3041">
        <v>1013</v>
      </c>
      <c r="G3041" t="s">
        <v>114</v>
      </c>
      <c r="J3041" t="s">
        <v>125</v>
      </c>
      <c r="K3041">
        <v>0</v>
      </c>
      <c r="L3041">
        <v>3</v>
      </c>
      <c r="M3041">
        <v>0</v>
      </c>
      <c r="N3041">
        <v>2</v>
      </c>
      <c r="O3041">
        <v>1</v>
      </c>
      <c r="P3041">
        <v>0</v>
      </c>
      <c r="Q3041">
        <v>0</v>
      </c>
      <c r="S3041" t="str">
        <f>"20:30:49.523"</f>
        <v>20:30:49.523</v>
      </c>
      <c r="T3041" t="str">
        <f>"20:30:49.023"</f>
        <v>20:30:49.023</v>
      </c>
      <c r="U3041" t="str">
        <f t="shared" si="147"/>
        <v>AB01F4</v>
      </c>
      <c r="V3041">
        <v>0</v>
      </c>
      <c r="W3041">
        <v>0</v>
      </c>
      <c r="X3041">
        <v>2</v>
      </c>
      <c r="Z3041">
        <v>0</v>
      </c>
      <c r="AA3041">
        <v>9</v>
      </c>
      <c r="AB3041">
        <v>3</v>
      </c>
      <c r="AC3041">
        <v>0</v>
      </c>
      <c r="AD3041">
        <v>10</v>
      </c>
      <c r="AE3041">
        <v>0</v>
      </c>
      <c r="AF3041">
        <v>3</v>
      </c>
      <c r="AG3041">
        <v>2</v>
      </c>
      <c r="AH3041">
        <v>0</v>
      </c>
      <c r="AI3041" t="s">
        <v>1769</v>
      </c>
      <c r="AJ3041">
        <v>40.039071999999997</v>
      </c>
      <c r="AK3041" t="s">
        <v>1770</v>
      </c>
      <c r="AL3041">
        <v>-92.865049999999997</v>
      </c>
      <c r="AM3041">
        <v>100</v>
      </c>
      <c r="AN3041">
        <v>1300</v>
      </c>
      <c r="AO3041" t="s">
        <v>118</v>
      </c>
      <c r="AP3041">
        <v>-131</v>
      </c>
      <c r="AQ3041">
        <v>43</v>
      </c>
      <c r="AR3041">
        <v>-320</v>
      </c>
      <c r="AZ3041">
        <v>1200</v>
      </c>
      <c r="BA3041">
        <v>1</v>
      </c>
      <c r="BB3041" t="str">
        <f t="shared" si="146"/>
        <v xml:space="preserve">N8080G  </v>
      </c>
      <c r="BC3041">
        <v>1</v>
      </c>
      <c r="BE3041">
        <v>0</v>
      </c>
      <c r="BF3041">
        <v>0</v>
      </c>
      <c r="BG3041">
        <v>0</v>
      </c>
      <c r="BH3041">
        <v>1375</v>
      </c>
      <c r="BI3041">
        <v>1</v>
      </c>
      <c r="BJ3041">
        <v>1</v>
      </c>
      <c r="BK3041">
        <v>1</v>
      </c>
      <c r="BL3041">
        <v>0</v>
      </c>
      <c r="BO3041">
        <v>0</v>
      </c>
      <c r="BP3041">
        <v>0</v>
      </c>
      <c r="BW3041" t="str">
        <f>"20:30:49.531"</f>
        <v>20:30:49.531</v>
      </c>
      <c r="BZ3041">
        <v>0</v>
      </c>
      <c r="CA3041">
        <v>1600</v>
      </c>
      <c r="CB3041">
        <v>224</v>
      </c>
      <c r="CD3041">
        <v>1</v>
      </c>
      <c r="CE3041">
        <v>0</v>
      </c>
      <c r="CF3041">
        <v>0</v>
      </c>
      <c r="CG3041">
        <v>1</v>
      </c>
      <c r="CH3041">
        <v>0</v>
      </c>
      <c r="CI3041">
        <v>0</v>
      </c>
      <c r="CJ3041">
        <v>0</v>
      </c>
      <c r="CK3041">
        <v>2</v>
      </c>
      <c r="CL3041">
        <v>0</v>
      </c>
      <c r="CM3041">
        <v>2</v>
      </c>
      <c r="CN3041">
        <v>0</v>
      </c>
      <c r="CO3041">
        <v>7</v>
      </c>
      <c r="CP3041" t="s">
        <v>119</v>
      </c>
      <c r="CQ3041">
        <v>180</v>
      </c>
      <c r="CR3041">
        <v>3</v>
      </c>
      <c r="CW3041">
        <v>1046636</v>
      </c>
      <c r="CY3041">
        <v>0</v>
      </c>
      <c r="CZ3041">
        <v>0</v>
      </c>
      <c r="DA3041">
        <v>1</v>
      </c>
      <c r="DB3041">
        <v>0</v>
      </c>
      <c r="DC3041">
        <v>0</v>
      </c>
      <c r="DD3041">
        <v>0</v>
      </c>
      <c r="DE3041">
        <v>0</v>
      </c>
      <c r="DF3041">
        <v>0</v>
      </c>
      <c r="DG3041">
        <v>0</v>
      </c>
      <c r="DH3041">
        <v>0</v>
      </c>
      <c r="DI3041">
        <v>0</v>
      </c>
    </row>
    <row r="3042" spans="1:113" x14ac:dyDescent="0.3">
      <c r="A3042" t="str">
        <f>"02/08/2021 20:30:47.205"</f>
        <v>02/08/2021 20:30:47.205</v>
      </c>
      <c r="C3042" t="str">
        <f t="shared" si="145"/>
        <v>FFDFD7C0</v>
      </c>
      <c r="D3042" t="s">
        <v>113</v>
      </c>
      <c r="E3042">
        <v>6</v>
      </c>
      <c r="H3042">
        <v>165</v>
      </c>
      <c r="I3042" t="s">
        <v>114</v>
      </c>
      <c r="J3042" t="s">
        <v>115</v>
      </c>
      <c r="K3042">
        <v>0</v>
      </c>
      <c r="L3042">
        <v>3</v>
      </c>
      <c r="M3042">
        <v>0</v>
      </c>
      <c r="N3042">
        <v>2</v>
      </c>
      <c r="O3042">
        <v>1</v>
      </c>
      <c r="P3042">
        <v>0</v>
      </c>
      <c r="Q3042">
        <v>0</v>
      </c>
      <c r="S3042" t="str">
        <f>"20:30:49.523"</f>
        <v>20:30:49.523</v>
      </c>
      <c r="T3042" t="str">
        <f>"20:30:49.023"</f>
        <v>20:30:49.023</v>
      </c>
      <c r="U3042" t="str">
        <f t="shared" si="147"/>
        <v>AB01F4</v>
      </c>
      <c r="V3042">
        <v>0</v>
      </c>
      <c r="W3042">
        <v>0</v>
      </c>
      <c r="X3042">
        <v>2</v>
      </c>
      <c r="Z3042">
        <v>0</v>
      </c>
      <c r="AA3042">
        <v>9</v>
      </c>
      <c r="AB3042">
        <v>3</v>
      </c>
      <c r="AC3042">
        <v>0</v>
      </c>
      <c r="AD3042">
        <v>10</v>
      </c>
      <c r="AE3042">
        <v>0</v>
      </c>
      <c r="AF3042">
        <v>3</v>
      </c>
      <c r="AG3042">
        <v>2</v>
      </c>
      <c r="AH3042">
        <v>0</v>
      </c>
      <c r="AI3042" t="s">
        <v>1769</v>
      </c>
      <c r="AJ3042">
        <v>40.039071999999997</v>
      </c>
      <c r="AK3042" t="s">
        <v>1770</v>
      </c>
      <c r="AL3042">
        <v>-92.865049999999997</v>
      </c>
      <c r="AM3042">
        <v>100</v>
      </c>
      <c r="AN3042">
        <v>1300</v>
      </c>
      <c r="AO3042" t="s">
        <v>118</v>
      </c>
      <c r="AP3042">
        <v>-131</v>
      </c>
      <c r="AQ3042">
        <v>43</v>
      </c>
      <c r="AR3042">
        <v>-320</v>
      </c>
      <c r="AZ3042">
        <v>1200</v>
      </c>
      <c r="BA3042">
        <v>1</v>
      </c>
      <c r="BB3042" t="str">
        <f t="shared" si="146"/>
        <v xml:space="preserve">N8080G  </v>
      </c>
      <c r="BC3042">
        <v>1</v>
      </c>
      <c r="BE3042">
        <v>0</v>
      </c>
      <c r="BF3042">
        <v>0</v>
      </c>
      <c r="BG3042">
        <v>0</v>
      </c>
      <c r="BH3042">
        <v>1375</v>
      </c>
      <c r="BI3042">
        <v>1</v>
      </c>
      <c r="BJ3042">
        <v>1</v>
      </c>
      <c r="BK3042">
        <v>1</v>
      </c>
      <c r="BL3042">
        <v>0</v>
      </c>
      <c r="BO3042">
        <v>0</v>
      </c>
      <c r="BP3042">
        <v>0</v>
      </c>
      <c r="BW3042" t="str">
        <f>"20:30:49.531"</f>
        <v>20:30:49.531</v>
      </c>
      <c r="BZ3042">
        <v>0</v>
      </c>
      <c r="CA3042">
        <v>1600</v>
      </c>
      <c r="CB3042">
        <v>224</v>
      </c>
      <c r="CD3042">
        <v>1</v>
      </c>
      <c r="CE3042">
        <v>0</v>
      </c>
      <c r="CF3042">
        <v>0</v>
      </c>
      <c r="CG3042">
        <v>1</v>
      </c>
      <c r="CH3042">
        <v>0</v>
      </c>
      <c r="CI3042">
        <v>0</v>
      </c>
      <c r="CJ3042">
        <v>0</v>
      </c>
      <c r="CK3042">
        <v>2</v>
      </c>
      <c r="CL3042">
        <v>0</v>
      </c>
      <c r="CM3042">
        <v>2</v>
      </c>
      <c r="CN3042">
        <v>0</v>
      </c>
      <c r="CO3042">
        <v>7</v>
      </c>
      <c r="CP3042" t="s">
        <v>119</v>
      </c>
      <c r="CQ3042">
        <v>180</v>
      </c>
      <c r="CR3042">
        <v>3</v>
      </c>
      <c r="CW3042">
        <v>1046636</v>
      </c>
      <c r="CY3042">
        <v>0</v>
      </c>
      <c r="CZ3042">
        <v>0</v>
      </c>
      <c r="DA3042">
        <v>1</v>
      </c>
      <c r="DB3042">
        <v>0</v>
      </c>
      <c r="DC3042">
        <v>0</v>
      </c>
      <c r="DD3042">
        <v>0</v>
      </c>
      <c r="DE3042">
        <v>0</v>
      </c>
      <c r="DF3042">
        <v>0</v>
      </c>
      <c r="DG3042">
        <v>0</v>
      </c>
      <c r="DH3042">
        <v>0</v>
      </c>
      <c r="DI3042">
        <v>0</v>
      </c>
    </row>
    <row r="3043" spans="1:113" x14ac:dyDescent="0.3">
      <c r="A3043" t="str">
        <f>"02/08/2021 20:30:48.886"</f>
        <v>02/08/2021 20:30:48.886</v>
      </c>
      <c r="C3043" t="str">
        <f t="shared" si="145"/>
        <v>FFDFD7C0</v>
      </c>
      <c r="D3043" t="s">
        <v>124</v>
      </c>
      <c r="E3043">
        <v>13</v>
      </c>
      <c r="F3043">
        <v>1013</v>
      </c>
      <c r="G3043" t="s">
        <v>114</v>
      </c>
      <c r="J3043" t="s">
        <v>125</v>
      </c>
      <c r="K3043">
        <v>0</v>
      </c>
      <c r="L3043">
        <v>3</v>
      </c>
      <c r="M3043">
        <v>0</v>
      </c>
      <c r="N3043">
        <v>2</v>
      </c>
      <c r="O3043">
        <v>1</v>
      </c>
      <c r="P3043">
        <v>0</v>
      </c>
      <c r="Q3043">
        <v>0</v>
      </c>
      <c r="S3043" t="str">
        <f>"20:30:51.219"</f>
        <v>20:30:51.219</v>
      </c>
      <c r="T3043" t="str">
        <f>"20:30:50.719"</f>
        <v>20:30:50.719</v>
      </c>
      <c r="U3043" t="str">
        <f t="shared" si="147"/>
        <v>AB01F4</v>
      </c>
      <c r="V3043">
        <v>0</v>
      </c>
      <c r="W3043">
        <v>0</v>
      </c>
      <c r="X3043">
        <v>2</v>
      </c>
      <c r="Z3043">
        <v>0</v>
      </c>
      <c r="AA3043">
        <v>9</v>
      </c>
      <c r="AB3043">
        <v>3</v>
      </c>
      <c r="AC3043">
        <v>0</v>
      </c>
      <c r="AD3043">
        <v>10</v>
      </c>
      <c r="AE3043">
        <v>0</v>
      </c>
      <c r="AF3043">
        <v>3</v>
      </c>
      <c r="AG3043">
        <v>2</v>
      </c>
      <c r="AH3043">
        <v>0</v>
      </c>
      <c r="AI3043" t="s">
        <v>1771</v>
      </c>
      <c r="AJ3043">
        <v>40.039437</v>
      </c>
      <c r="AK3043" t="s">
        <v>1772</v>
      </c>
      <c r="AL3043">
        <v>-92.866337000000001</v>
      </c>
      <c r="AM3043">
        <v>100</v>
      </c>
      <c r="AN3043">
        <v>1300</v>
      </c>
      <c r="AO3043" t="s">
        <v>118</v>
      </c>
      <c r="AP3043">
        <v>-129</v>
      </c>
      <c r="AQ3043">
        <v>48</v>
      </c>
      <c r="AR3043">
        <v>-128</v>
      </c>
      <c r="AZ3043">
        <v>1200</v>
      </c>
      <c r="BA3043">
        <v>1</v>
      </c>
      <c r="BB3043" t="str">
        <f t="shared" si="146"/>
        <v xml:space="preserve">N8080G  </v>
      </c>
      <c r="BC3043">
        <v>1</v>
      </c>
      <c r="BE3043">
        <v>0</v>
      </c>
      <c r="BF3043">
        <v>0</v>
      </c>
      <c r="BG3043">
        <v>0</v>
      </c>
      <c r="BH3043">
        <v>1375</v>
      </c>
      <c r="BI3043">
        <v>1</v>
      </c>
      <c r="BJ3043">
        <v>1</v>
      </c>
      <c r="BK3043">
        <v>1</v>
      </c>
      <c r="BL3043">
        <v>0</v>
      </c>
      <c r="BO3043">
        <v>0</v>
      </c>
      <c r="BP3043">
        <v>0</v>
      </c>
      <c r="BW3043" t="str">
        <f>"20:30:51.220"</f>
        <v>20:30:51.220</v>
      </c>
      <c r="BZ3043">
        <v>0</v>
      </c>
      <c r="CA3043">
        <v>1600</v>
      </c>
      <c r="CB3043">
        <v>224</v>
      </c>
      <c r="CD3043">
        <v>1</v>
      </c>
      <c r="CE3043">
        <v>0</v>
      </c>
      <c r="CF3043">
        <v>0</v>
      </c>
      <c r="CG3043">
        <v>1</v>
      </c>
      <c r="CH3043">
        <v>0</v>
      </c>
      <c r="CI3043">
        <v>0</v>
      </c>
      <c r="CJ3043">
        <v>0</v>
      </c>
      <c r="CK3043">
        <v>2</v>
      </c>
      <c r="CL3043">
        <v>0</v>
      </c>
      <c r="CM3043">
        <v>2</v>
      </c>
      <c r="CN3043">
        <v>0</v>
      </c>
      <c r="CO3043">
        <v>7</v>
      </c>
      <c r="CP3043" t="s">
        <v>119</v>
      </c>
      <c r="CQ3043">
        <v>180</v>
      </c>
      <c r="CR3043">
        <v>2</v>
      </c>
      <c r="CW3043">
        <v>8699237</v>
      </c>
      <c r="CY3043">
        <v>0</v>
      </c>
      <c r="CZ3043">
        <v>0</v>
      </c>
      <c r="DA3043">
        <v>0</v>
      </c>
      <c r="DB3043">
        <v>0</v>
      </c>
      <c r="DC3043">
        <v>0</v>
      </c>
      <c r="DD3043">
        <v>0</v>
      </c>
      <c r="DE3043">
        <v>0</v>
      </c>
      <c r="DF3043">
        <v>0</v>
      </c>
      <c r="DG3043">
        <v>0</v>
      </c>
      <c r="DH3043">
        <v>0</v>
      </c>
      <c r="DI3043">
        <v>0</v>
      </c>
    </row>
    <row r="3044" spans="1:113" x14ac:dyDescent="0.3">
      <c r="A3044" t="str">
        <f>"02/08/2021 20:30:48.886"</f>
        <v>02/08/2021 20:30:48.886</v>
      </c>
      <c r="C3044" t="str">
        <f t="shared" si="145"/>
        <v>FFDFD7C0</v>
      </c>
      <c r="D3044" t="s">
        <v>113</v>
      </c>
      <c r="E3044">
        <v>6</v>
      </c>
      <c r="H3044">
        <v>165</v>
      </c>
      <c r="I3044" t="s">
        <v>114</v>
      </c>
      <c r="J3044" t="s">
        <v>115</v>
      </c>
      <c r="K3044">
        <v>0</v>
      </c>
      <c r="L3044">
        <v>3</v>
      </c>
      <c r="M3044">
        <v>0</v>
      </c>
      <c r="N3044">
        <v>2</v>
      </c>
      <c r="O3044">
        <v>1</v>
      </c>
      <c r="P3044">
        <v>0</v>
      </c>
      <c r="Q3044">
        <v>0</v>
      </c>
      <c r="S3044" t="str">
        <f>"20:30:51.219"</f>
        <v>20:30:51.219</v>
      </c>
      <c r="T3044" t="str">
        <f>"20:30:50.719"</f>
        <v>20:30:50.719</v>
      </c>
      <c r="U3044" t="str">
        <f t="shared" si="147"/>
        <v>AB01F4</v>
      </c>
      <c r="V3044">
        <v>0</v>
      </c>
      <c r="W3044">
        <v>0</v>
      </c>
      <c r="X3044">
        <v>2</v>
      </c>
      <c r="Z3044">
        <v>0</v>
      </c>
      <c r="AA3044">
        <v>9</v>
      </c>
      <c r="AB3044">
        <v>3</v>
      </c>
      <c r="AC3044">
        <v>0</v>
      </c>
      <c r="AD3044">
        <v>10</v>
      </c>
      <c r="AE3044">
        <v>0</v>
      </c>
      <c r="AF3044">
        <v>3</v>
      </c>
      <c r="AG3044">
        <v>2</v>
      </c>
      <c r="AH3044">
        <v>0</v>
      </c>
      <c r="AI3044" t="s">
        <v>1771</v>
      </c>
      <c r="AJ3044">
        <v>40.039437</v>
      </c>
      <c r="AK3044" t="s">
        <v>1772</v>
      </c>
      <c r="AL3044">
        <v>-92.866337000000001</v>
      </c>
      <c r="AM3044">
        <v>100</v>
      </c>
      <c r="AN3044">
        <v>1300</v>
      </c>
      <c r="AO3044" t="s">
        <v>118</v>
      </c>
      <c r="AP3044">
        <v>-129</v>
      </c>
      <c r="AQ3044">
        <v>48</v>
      </c>
      <c r="AR3044">
        <v>-128</v>
      </c>
      <c r="AZ3044">
        <v>1200</v>
      </c>
      <c r="BA3044">
        <v>1</v>
      </c>
      <c r="BB3044" t="str">
        <f t="shared" si="146"/>
        <v xml:space="preserve">N8080G  </v>
      </c>
      <c r="BC3044">
        <v>1</v>
      </c>
      <c r="BE3044">
        <v>0</v>
      </c>
      <c r="BF3044">
        <v>0</v>
      </c>
      <c r="BG3044">
        <v>0</v>
      </c>
      <c r="BH3044">
        <v>1375</v>
      </c>
      <c r="BI3044">
        <v>1</v>
      </c>
      <c r="BJ3044">
        <v>1</v>
      </c>
      <c r="BK3044">
        <v>1</v>
      </c>
      <c r="BL3044">
        <v>0</v>
      </c>
      <c r="BO3044">
        <v>0</v>
      </c>
      <c r="BP3044">
        <v>0</v>
      </c>
      <c r="BW3044" t="str">
        <f>"20:30:51.220"</f>
        <v>20:30:51.220</v>
      </c>
      <c r="BZ3044">
        <v>0</v>
      </c>
      <c r="CA3044">
        <v>1600</v>
      </c>
      <c r="CB3044">
        <v>224</v>
      </c>
      <c r="CD3044">
        <v>1</v>
      </c>
      <c r="CE3044">
        <v>0</v>
      </c>
      <c r="CF3044">
        <v>0</v>
      </c>
      <c r="CG3044">
        <v>1</v>
      </c>
      <c r="CH3044">
        <v>0</v>
      </c>
      <c r="CI3044">
        <v>0</v>
      </c>
      <c r="CJ3044">
        <v>0</v>
      </c>
      <c r="CK3044">
        <v>2</v>
      </c>
      <c r="CL3044">
        <v>0</v>
      </c>
      <c r="CM3044">
        <v>2</v>
      </c>
      <c r="CN3044">
        <v>0</v>
      </c>
      <c r="CO3044">
        <v>7</v>
      </c>
      <c r="CP3044" t="s">
        <v>119</v>
      </c>
      <c r="CQ3044">
        <v>180</v>
      </c>
      <c r="CR3044">
        <v>2</v>
      </c>
      <c r="CW3044">
        <v>8699237</v>
      </c>
      <c r="CY3044">
        <v>0</v>
      </c>
      <c r="CZ3044">
        <v>0</v>
      </c>
      <c r="DA3044">
        <v>1</v>
      </c>
      <c r="DB3044">
        <v>0</v>
      </c>
      <c r="DC3044">
        <v>0</v>
      </c>
      <c r="DD3044">
        <v>0</v>
      </c>
      <c r="DE3044">
        <v>0</v>
      </c>
      <c r="DF3044">
        <v>0</v>
      </c>
      <c r="DG3044">
        <v>0</v>
      </c>
      <c r="DH3044">
        <v>0</v>
      </c>
      <c r="DI3044">
        <v>0</v>
      </c>
    </row>
    <row r="3045" spans="1:113" x14ac:dyDescent="0.3">
      <c r="A3045" t="str">
        <f>"02/08/2021 20:30:48.886"</f>
        <v>02/08/2021 20:30:48.886</v>
      </c>
      <c r="C3045" t="str">
        <f t="shared" si="145"/>
        <v>FFDFD7C0</v>
      </c>
      <c r="D3045" t="s">
        <v>124</v>
      </c>
      <c r="E3045">
        <v>12</v>
      </c>
      <c r="F3045">
        <v>1012</v>
      </c>
      <c r="G3045" t="s">
        <v>675</v>
      </c>
      <c r="J3045" t="s">
        <v>125</v>
      </c>
      <c r="K3045">
        <v>0</v>
      </c>
      <c r="L3045">
        <v>3</v>
      </c>
      <c r="M3045">
        <v>0</v>
      </c>
      <c r="N3045">
        <v>2</v>
      </c>
      <c r="O3045">
        <v>1</v>
      </c>
      <c r="P3045">
        <v>0</v>
      </c>
      <c r="Q3045">
        <v>0</v>
      </c>
      <c r="S3045" t="str">
        <f>"20:30:51.219"</f>
        <v>20:30:51.219</v>
      </c>
      <c r="T3045" t="str">
        <f>"20:30:50.719"</f>
        <v>20:30:50.719</v>
      </c>
      <c r="U3045" t="str">
        <f t="shared" si="147"/>
        <v>AB01F4</v>
      </c>
      <c r="V3045">
        <v>0</v>
      </c>
      <c r="W3045">
        <v>0</v>
      </c>
      <c r="X3045">
        <v>2</v>
      </c>
      <c r="Z3045">
        <v>0</v>
      </c>
      <c r="AA3045">
        <v>9</v>
      </c>
      <c r="AB3045">
        <v>3</v>
      </c>
      <c r="AC3045">
        <v>0</v>
      </c>
      <c r="AD3045">
        <v>10</v>
      </c>
      <c r="AE3045">
        <v>0</v>
      </c>
      <c r="AF3045">
        <v>3</v>
      </c>
      <c r="AG3045">
        <v>2</v>
      </c>
      <c r="AH3045">
        <v>0</v>
      </c>
      <c r="AI3045" t="s">
        <v>1771</v>
      </c>
      <c r="AJ3045">
        <v>40.039437</v>
      </c>
      <c r="AK3045" t="s">
        <v>1772</v>
      </c>
      <c r="AL3045">
        <v>-92.866337000000001</v>
      </c>
      <c r="AM3045">
        <v>100</v>
      </c>
      <c r="AN3045">
        <v>1300</v>
      </c>
      <c r="AO3045" t="s">
        <v>118</v>
      </c>
      <c r="AP3045">
        <v>-129</v>
      </c>
      <c r="AQ3045">
        <v>48</v>
      </c>
      <c r="AR3045">
        <v>-128</v>
      </c>
      <c r="AZ3045">
        <v>1200</v>
      </c>
      <c r="BA3045">
        <v>1</v>
      </c>
      <c r="BB3045" t="str">
        <f t="shared" si="146"/>
        <v xml:space="preserve">N8080G  </v>
      </c>
      <c r="BC3045">
        <v>1</v>
      </c>
      <c r="BE3045">
        <v>0</v>
      </c>
      <c r="BF3045">
        <v>0</v>
      </c>
      <c r="BG3045">
        <v>0</v>
      </c>
      <c r="BH3045">
        <v>1375</v>
      </c>
      <c r="BI3045">
        <v>1</v>
      </c>
      <c r="BJ3045">
        <v>1</v>
      </c>
      <c r="BK3045">
        <v>1</v>
      </c>
      <c r="BL3045">
        <v>0</v>
      </c>
      <c r="BO3045">
        <v>0</v>
      </c>
      <c r="BP3045">
        <v>0</v>
      </c>
      <c r="BW3045" t="str">
        <f>"20:30:51.220"</f>
        <v>20:30:51.220</v>
      </c>
      <c r="BZ3045">
        <v>0</v>
      </c>
      <c r="CA3045">
        <v>1600</v>
      </c>
      <c r="CB3045">
        <v>224</v>
      </c>
      <c r="CD3045">
        <v>1</v>
      </c>
      <c r="CE3045">
        <v>0</v>
      </c>
      <c r="CF3045">
        <v>0</v>
      </c>
      <c r="CG3045">
        <v>1</v>
      </c>
      <c r="CH3045">
        <v>0</v>
      </c>
      <c r="CI3045">
        <v>0</v>
      </c>
      <c r="CJ3045">
        <v>0</v>
      </c>
      <c r="CK3045">
        <v>2</v>
      </c>
      <c r="CL3045">
        <v>0</v>
      </c>
      <c r="CM3045">
        <v>2</v>
      </c>
      <c r="CN3045">
        <v>0</v>
      </c>
      <c r="CO3045">
        <v>7</v>
      </c>
      <c r="CP3045" t="s">
        <v>119</v>
      </c>
      <c r="CQ3045">
        <v>180</v>
      </c>
      <c r="CR3045">
        <v>2</v>
      </c>
      <c r="CW3045">
        <v>8699237</v>
      </c>
      <c r="CY3045">
        <v>0</v>
      </c>
      <c r="CZ3045">
        <v>0</v>
      </c>
      <c r="DA3045">
        <v>1</v>
      </c>
      <c r="DB3045">
        <v>0</v>
      </c>
      <c r="DC3045">
        <v>0</v>
      </c>
      <c r="DD3045">
        <v>0</v>
      </c>
      <c r="DE3045">
        <v>0</v>
      </c>
      <c r="DF3045">
        <v>0</v>
      </c>
      <c r="DG3045">
        <v>0</v>
      </c>
      <c r="DH3045">
        <v>0</v>
      </c>
      <c r="DI3045">
        <v>0</v>
      </c>
    </row>
    <row r="3046" spans="1:113" x14ac:dyDescent="0.3">
      <c r="A3046" t="str">
        <f>"02/08/2021 20:30:48.886"</f>
        <v>02/08/2021 20:30:48.886</v>
      </c>
      <c r="C3046" t="str">
        <f t="shared" si="145"/>
        <v>FFDFD7C0</v>
      </c>
      <c r="D3046" t="s">
        <v>124</v>
      </c>
      <c r="E3046">
        <v>11</v>
      </c>
      <c r="F3046">
        <v>1011</v>
      </c>
      <c r="G3046" t="s">
        <v>590</v>
      </c>
      <c r="J3046" t="s">
        <v>125</v>
      </c>
      <c r="K3046">
        <v>0</v>
      </c>
      <c r="L3046">
        <v>3</v>
      </c>
      <c r="M3046">
        <v>0</v>
      </c>
      <c r="N3046">
        <v>2</v>
      </c>
      <c r="O3046">
        <v>1</v>
      </c>
      <c r="P3046">
        <v>0</v>
      </c>
      <c r="Q3046">
        <v>0</v>
      </c>
      <c r="S3046" t="str">
        <f>"20:30:51.219"</f>
        <v>20:30:51.219</v>
      </c>
      <c r="T3046" t="str">
        <f>"20:30:50.719"</f>
        <v>20:30:50.719</v>
      </c>
      <c r="U3046" t="str">
        <f t="shared" si="147"/>
        <v>AB01F4</v>
      </c>
      <c r="V3046">
        <v>0</v>
      </c>
      <c r="W3046">
        <v>0</v>
      </c>
      <c r="X3046">
        <v>2</v>
      </c>
      <c r="Z3046">
        <v>0</v>
      </c>
      <c r="AA3046">
        <v>9</v>
      </c>
      <c r="AB3046">
        <v>3</v>
      </c>
      <c r="AC3046">
        <v>0</v>
      </c>
      <c r="AD3046">
        <v>10</v>
      </c>
      <c r="AE3046">
        <v>0</v>
      </c>
      <c r="AF3046">
        <v>3</v>
      </c>
      <c r="AG3046">
        <v>2</v>
      </c>
      <c r="AH3046">
        <v>0</v>
      </c>
      <c r="AI3046" t="s">
        <v>1771</v>
      </c>
      <c r="AJ3046">
        <v>40.039437</v>
      </c>
      <c r="AK3046" t="s">
        <v>1772</v>
      </c>
      <c r="AL3046">
        <v>-92.866337000000001</v>
      </c>
      <c r="AM3046">
        <v>100</v>
      </c>
      <c r="AN3046">
        <v>1300</v>
      </c>
      <c r="AO3046" t="s">
        <v>118</v>
      </c>
      <c r="AP3046">
        <v>-129</v>
      </c>
      <c r="AQ3046">
        <v>48</v>
      </c>
      <c r="AR3046">
        <v>-128</v>
      </c>
      <c r="AZ3046">
        <v>1200</v>
      </c>
      <c r="BA3046">
        <v>1</v>
      </c>
      <c r="BB3046" t="str">
        <f t="shared" si="146"/>
        <v xml:space="preserve">N8080G  </v>
      </c>
      <c r="BC3046">
        <v>1</v>
      </c>
      <c r="BE3046">
        <v>0</v>
      </c>
      <c r="BF3046">
        <v>0</v>
      </c>
      <c r="BG3046">
        <v>0</v>
      </c>
      <c r="BH3046">
        <v>1375</v>
      </c>
      <c r="BI3046">
        <v>1</v>
      </c>
      <c r="BJ3046">
        <v>1</v>
      </c>
      <c r="BK3046">
        <v>1</v>
      </c>
      <c r="BL3046">
        <v>0</v>
      </c>
      <c r="BO3046">
        <v>0</v>
      </c>
      <c r="BP3046">
        <v>0</v>
      </c>
      <c r="BW3046" t="str">
        <f>"20:30:51.220"</f>
        <v>20:30:51.220</v>
      </c>
      <c r="BZ3046">
        <v>0</v>
      </c>
      <c r="CA3046">
        <v>1600</v>
      </c>
      <c r="CB3046">
        <v>224</v>
      </c>
      <c r="CD3046">
        <v>1</v>
      </c>
      <c r="CE3046">
        <v>0</v>
      </c>
      <c r="CF3046">
        <v>0</v>
      </c>
      <c r="CG3046">
        <v>1</v>
      </c>
      <c r="CH3046">
        <v>0</v>
      </c>
      <c r="CI3046">
        <v>0</v>
      </c>
      <c r="CJ3046">
        <v>0</v>
      </c>
      <c r="CK3046">
        <v>2</v>
      </c>
      <c r="CL3046">
        <v>0</v>
      </c>
      <c r="CM3046">
        <v>2</v>
      </c>
      <c r="CN3046">
        <v>0</v>
      </c>
      <c r="CO3046">
        <v>7</v>
      </c>
      <c r="CP3046" t="s">
        <v>119</v>
      </c>
      <c r="CQ3046">
        <v>180</v>
      </c>
      <c r="CR3046">
        <v>2</v>
      </c>
      <c r="CW3046">
        <v>8699237</v>
      </c>
      <c r="CY3046">
        <v>0</v>
      </c>
      <c r="CZ3046">
        <v>0</v>
      </c>
      <c r="DA3046">
        <v>1</v>
      </c>
      <c r="DB3046">
        <v>0</v>
      </c>
      <c r="DC3046">
        <v>0</v>
      </c>
      <c r="DD3046">
        <v>0</v>
      </c>
      <c r="DE3046">
        <v>0</v>
      </c>
      <c r="DF3046">
        <v>0</v>
      </c>
      <c r="DG3046">
        <v>0</v>
      </c>
      <c r="DH3046">
        <v>0</v>
      </c>
      <c r="DI3046">
        <v>0</v>
      </c>
    </row>
    <row r="3047" spans="1:113" x14ac:dyDescent="0.3">
      <c r="A3047" t="str">
        <f>"02/08/2021 20:30:50.418"</f>
        <v>02/08/2021 20:30:50.418</v>
      </c>
      <c r="C3047" t="str">
        <f t="shared" si="145"/>
        <v>FFDFD7C0</v>
      </c>
      <c r="D3047" t="s">
        <v>113</v>
      </c>
      <c r="E3047">
        <v>6</v>
      </c>
      <c r="H3047">
        <v>165</v>
      </c>
      <c r="I3047" t="s">
        <v>114</v>
      </c>
      <c r="J3047" t="s">
        <v>115</v>
      </c>
      <c r="K3047">
        <v>0</v>
      </c>
      <c r="L3047">
        <v>3</v>
      </c>
      <c r="M3047">
        <v>0</v>
      </c>
      <c r="N3047">
        <v>2</v>
      </c>
      <c r="O3047">
        <v>1</v>
      </c>
      <c r="P3047">
        <v>0</v>
      </c>
      <c r="Q3047">
        <v>0</v>
      </c>
      <c r="S3047" t="str">
        <f>"20:30:52.750"</f>
        <v>20:30:52.750</v>
      </c>
      <c r="T3047" t="str">
        <f>"20:30:52.250"</f>
        <v>20:30:52.250</v>
      </c>
      <c r="U3047" t="str">
        <f t="shared" si="147"/>
        <v>AB01F4</v>
      </c>
      <c r="V3047">
        <v>0</v>
      </c>
      <c r="W3047">
        <v>0</v>
      </c>
      <c r="X3047">
        <v>2</v>
      </c>
      <c r="Z3047">
        <v>0</v>
      </c>
      <c r="AA3047">
        <v>9</v>
      </c>
      <c r="AB3047">
        <v>3</v>
      </c>
      <c r="AC3047">
        <v>0</v>
      </c>
      <c r="AD3047">
        <v>10</v>
      </c>
      <c r="AE3047">
        <v>0</v>
      </c>
      <c r="AF3047">
        <v>3</v>
      </c>
      <c r="AG3047">
        <v>2</v>
      </c>
      <c r="AH3047">
        <v>0</v>
      </c>
      <c r="AI3047" t="s">
        <v>1773</v>
      </c>
      <c r="AJ3047">
        <v>40.039802000000002</v>
      </c>
      <c r="AK3047" t="s">
        <v>1774</v>
      </c>
      <c r="AL3047">
        <v>-92.867559999999997</v>
      </c>
      <c r="AM3047">
        <v>100</v>
      </c>
      <c r="AN3047">
        <v>1300</v>
      </c>
      <c r="AO3047" t="s">
        <v>118</v>
      </c>
      <c r="AP3047">
        <v>-128</v>
      </c>
      <c r="AQ3047">
        <v>50</v>
      </c>
      <c r="AR3047">
        <v>-256</v>
      </c>
      <c r="AZ3047">
        <v>1200</v>
      </c>
      <c r="BA3047">
        <v>1</v>
      </c>
      <c r="BB3047" t="str">
        <f t="shared" si="146"/>
        <v xml:space="preserve">N8080G  </v>
      </c>
      <c r="BC3047">
        <v>1</v>
      </c>
      <c r="BE3047">
        <v>0</v>
      </c>
      <c r="BF3047">
        <v>0</v>
      </c>
      <c r="BG3047">
        <v>0</v>
      </c>
      <c r="BH3047">
        <v>1350</v>
      </c>
      <c r="BI3047">
        <v>1</v>
      </c>
      <c r="BJ3047">
        <v>1</v>
      </c>
      <c r="BK3047">
        <v>1</v>
      </c>
      <c r="BL3047">
        <v>0</v>
      </c>
      <c r="BO3047">
        <v>0</v>
      </c>
      <c r="BP3047">
        <v>0</v>
      </c>
      <c r="BW3047" t="str">
        <f>"20:30:52.755"</f>
        <v>20:30:52.755</v>
      </c>
      <c r="BZ3047">
        <v>0</v>
      </c>
      <c r="CA3047">
        <v>1600</v>
      </c>
      <c r="CB3047">
        <v>224</v>
      </c>
      <c r="CD3047">
        <v>1</v>
      </c>
      <c r="CE3047">
        <v>0</v>
      </c>
      <c r="CF3047">
        <v>0</v>
      </c>
      <c r="CG3047">
        <v>1</v>
      </c>
      <c r="CH3047">
        <v>0</v>
      </c>
      <c r="CI3047">
        <v>0</v>
      </c>
      <c r="CJ3047">
        <v>0</v>
      </c>
      <c r="CK3047">
        <v>2</v>
      </c>
      <c r="CL3047">
        <v>0</v>
      </c>
      <c r="CM3047">
        <v>2</v>
      </c>
      <c r="CN3047">
        <v>0</v>
      </c>
      <c r="CO3047">
        <v>7</v>
      </c>
      <c r="CP3047" t="s">
        <v>119</v>
      </c>
      <c r="CQ3047">
        <v>180</v>
      </c>
      <c r="CR3047">
        <v>3</v>
      </c>
      <c r="CW3047">
        <v>1049290</v>
      </c>
      <c r="CY3047">
        <v>0</v>
      </c>
      <c r="CZ3047">
        <v>0</v>
      </c>
      <c r="DA3047">
        <v>0</v>
      </c>
      <c r="DB3047">
        <v>0</v>
      </c>
      <c r="DC3047">
        <v>0</v>
      </c>
      <c r="DD3047">
        <v>0</v>
      </c>
      <c r="DE3047">
        <v>0</v>
      </c>
      <c r="DF3047">
        <v>0</v>
      </c>
      <c r="DG3047">
        <v>0</v>
      </c>
      <c r="DH3047">
        <v>0</v>
      </c>
      <c r="DI3047">
        <v>0</v>
      </c>
    </row>
    <row r="3048" spans="1:113" x14ac:dyDescent="0.3">
      <c r="A3048" t="str">
        <f>"02/08/2021 20:30:50.418"</f>
        <v>02/08/2021 20:30:50.418</v>
      </c>
      <c r="C3048" t="str">
        <f t="shared" si="145"/>
        <v>FFDFD7C0</v>
      </c>
      <c r="D3048" t="s">
        <v>124</v>
      </c>
      <c r="E3048">
        <v>12</v>
      </c>
      <c r="F3048">
        <v>1012</v>
      </c>
      <c r="G3048" t="s">
        <v>675</v>
      </c>
      <c r="J3048" t="s">
        <v>125</v>
      </c>
      <c r="K3048">
        <v>0</v>
      </c>
      <c r="L3048">
        <v>3</v>
      </c>
      <c r="M3048">
        <v>0</v>
      </c>
      <c r="N3048">
        <v>2</v>
      </c>
      <c r="O3048">
        <v>1</v>
      </c>
      <c r="P3048">
        <v>0</v>
      </c>
      <c r="Q3048">
        <v>0</v>
      </c>
      <c r="S3048" t="str">
        <f>"20:30:52.750"</f>
        <v>20:30:52.750</v>
      </c>
      <c r="T3048" t="str">
        <f>"20:30:52.250"</f>
        <v>20:30:52.250</v>
      </c>
      <c r="U3048" t="str">
        <f t="shared" si="147"/>
        <v>AB01F4</v>
      </c>
      <c r="V3048">
        <v>0</v>
      </c>
      <c r="W3048">
        <v>0</v>
      </c>
      <c r="X3048">
        <v>2</v>
      </c>
      <c r="Z3048">
        <v>0</v>
      </c>
      <c r="AA3048">
        <v>9</v>
      </c>
      <c r="AB3048">
        <v>3</v>
      </c>
      <c r="AC3048">
        <v>0</v>
      </c>
      <c r="AD3048">
        <v>10</v>
      </c>
      <c r="AE3048">
        <v>0</v>
      </c>
      <c r="AF3048">
        <v>3</v>
      </c>
      <c r="AG3048">
        <v>2</v>
      </c>
      <c r="AH3048">
        <v>0</v>
      </c>
      <c r="AI3048" t="s">
        <v>1773</v>
      </c>
      <c r="AJ3048">
        <v>40.039802000000002</v>
      </c>
      <c r="AK3048" t="s">
        <v>1774</v>
      </c>
      <c r="AL3048">
        <v>-92.867559999999997</v>
      </c>
      <c r="AM3048">
        <v>100</v>
      </c>
      <c r="AN3048">
        <v>1300</v>
      </c>
      <c r="AO3048" t="s">
        <v>118</v>
      </c>
      <c r="AP3048">
        <v>-128</v>
      </c>
      <c r="AQ3048">
        <v>50</v>
      </c>
      <c r="AR3048">
        <v>-256</v>
      </c>
      <c r="AZ3048">
        <v>1200</v>
      </c>
      <c r="BA3048">
        <v>1</v>
      </c>
      <c r="BB3048" t="str">
        <f t="shared" si="146"/>
        <v xml:space="preserve">N8080G  </v>
      </c>
      <c r="BC3048">
        <v>1</v>
      </c>
      <c r="BE3048">
        <v>0</v>
      </c>
      <c r="BF3048">
        <v>0</v>
      </c>
      <c r="BG3048">
        <v>0</v>
      </c>
      <c r="BH3048">
        <v>1350</v>
      </c>
      <c r="BI3048">
        <v>1</v>
      </c>
      <c r="BJ3048">
        <v>1</v>
      </c>
      <c r="BK3048">
        <v>1</v>
      </c>
      <c r="BL3048">
        <v>0</v>
      </c>
      <c r="BO3048">
        <v>0</v>
      </c>
      <c r="BP3048">
        <v>0</v>
      </c>
      <c r="BW3048" t="str">
        <f>"20:30:52.755"</f>
        <v>20:30:52.755</v>
      </c>
      <c r="BZ3048">
        <v>0</v>
      </c>
      <c r="CA3048">
        <v>1600</v>
      </c>
      <c r="CB3048">
        <v>224</v>
      </c>
      <c r="CD3048">
        <v>1</v>
      </c>
      <c r="CE3048">
        <v>0</v>
      </c>
      <c r="CF3048">
        <v>0</v>
      </c>
      <c r="CG3048">
        <v>1</v>
      </c>
      <c r="CH3048">
        <v>0</v>
      </c>
      <c r="CI3048">
        <v>0</v>
      </c>
      <c r="CJ3048">
        <v>0</v>
      </c>
      <c r="CK3048">
        <v>2</v>
      </c>
      <c r="CL3048">
        <v>0</v>
      </c>
      <c r="CM3048">
        <v>2</v>
      </c>
      <c r="CN3048">
        <v>0</v>
      </c>
      <c r="CO3048">
        <v>7</v>
      </c>
      <c r="CP3048" t="s">
        <v>119</v>
      </c>
      <c r="CQ3048">
        <v>180</v>
      </c>
      <c r="CR3048">
        <v>3</v>
      </c>
      <c r="CW3048">
        <v>1049290</v>
      </c>
      <c r="CY3048">
        <v>0</v>
      </c>
      <c r="CZ3048">
        <v>0</v>
      </c>
      <c r="DA3048">
        <v>1</v>
      </c>
      <c r="DB3048">
        <v>0</v>
      </c>
      <c r="DC3048">
        <v>0</v>
      </c>
      <c r="DD3048">
        <v>0</v>
      </c>
      <c r="DE3048">
        <v>0</v>
      </c>
      <c r="DF3048">
        <v>0</v>
      </c>
      <c r="DG3048">
        <v>0</v>
      </c>
      <c r="DH3048">
        <v>0</v>
      </c>
      <c r="DI3048">
        <v>0</v>
      </c>
    </row>
    <row r="3049" spans="1:113" x14ac:dyDescent="0.3">
      <c r="A3049" t="str">
        <f>"02/08/2021 20:30:50.418"</f>
        <v>02/08/2021 20:30:50.418</v>
      </c>
      <c r="C3049" t="str">
        <f t="shared" si="145"/>
        <v>FFDFD7C0</v>
      </c>
      <c r="D3049" t="s">
        <v>124</v>
      </c>
      <c r="E3049">
        <v>11</v>
      </c>
      <c r="F3049">
        <v>1011</v>
      </c>
      <c r="G3049" t="s">
        <v>590</v>
      </c>
      <c r="J3049" t="s">
        <v>125</v>
      </c>
      <c r="K3049">
        <v>0</v>
      </c>
      <c r="L3049">
        <v>3</v>
      </c>
      <c r="M3049">
        <v>0</v>
      </c>
      <c r="N3049">
        <v>2</v>
      </c>
      <c r="O3049">
        <v>1</v>
      </c>
      <c r="P3049">
        <v>0</v>
      </c>
      <c r="Q3049">
        <v>0</v>
      </c>
      <c r="S3049" t="str">
        <f>"20:30:52.750"</f>
        <v>20:30:52.750</v>
      </c>
      <c r="T3049" t="str">
        <f>"20:30:52.250"</f>
        <v>20:30:52.250</v>
      </c>
      <c r="U3049" t="str">
        <f t="shared" si="147"/>
        <v>AB01F4</v>
      </c>
      <c r="V3049">
        <v>0</v>
      </c>
      <c r="W3049">
        <v>0</v>
      </c>
      <c r="X3049">
        <v>2</v>
      </c>
      <c r="Z3049">
        <v>0</v>
      </c>
      <c r="AA3049">
        <v>9</v>
      </c>
      <c r="AB3049">
        <v>3</v>
      </c>
      <c r="AC3049">
        <v>0</v>
      </c>
      <c r="AD3049">
        <v>10</v>
      </c>
      <c r="AE3049">
        <v>0</v>
      </c>
      <c r="AF3049">
        <v>3</v>
      </c>
      <c r="AG3049">
        <v>2</v>
      </c>
      <c r="AH3049">
        <v>0</v>
      </c>
      <c r="AI3049" t="s">
        <v>1773</v>
      </c>
      <c r="AJ3049">
        <v>40.039802000000002</v>
      </c>
      <c r="AK3049" t="s">
        <v>1774</v>
      </c>
      <c r="AL3049">
        <v>-92.867559999999997</v>
      </c>
      <c r="AM3049">
        <v>100</v>
      </c>
      <c r="AN3049">
        <v>1300</v>
      </c>
      <c r="AO3049" t="s">
        <v>118</v>
      </c>
      <c r="AP3049">
        <v>-128</v>
      </c>
      <c r="AQ3049">
        <v>50</v>
      </c>
      <c r="AR3049">
        <v>-256</v>
      </c>
      <c r="AZ3049">
        <v>1200</v>
      </c>
      <c r="BA3049">
        <v>1</v>
      </c>
      <c r="BB3049" t="str">
        <f t="shared" si="146"/>
        <v xml:space="preserve">N8080G  </v>
      </c>
      <c r="BC3049">
        <v>1</v>
      </c>
      <c r="BE3049">
        <v>0</v>
      </c>
      <c r="BF3049">
        <v>0</v>
      </c>
      <c r="BG3049">
        <v>0</v>
      </c>
      <c r="BH3049">
        <v>1350</v>
      </c>
      <c r="BI3049">
        <v>1</v>
      </c>
      <c r="BJ3049">
        <v>1</v>
      </c>
      <c r="BK3049">
        <v>1</v>
      </c>
      <c r="BL3049">
        <v>0</v>
      </c>
      <c r="BO3049">
        <v>0</v>
      </c>
      <c r="BP3049">
        <v>0</v>
      </c>
      <c r="BW3049" t="str">
        <f>"20:30:52.755"</f>
        <v>20:30:52.755</v>
      </c>
      <c r="BZ3049">
        <v>0</v>
      </c>
      <c r="CA3049">
        <v>1600</v>
      </c>
      <c r="CB3049">
        <v>224</v>
      </c>
      <c r="CD3049">
        <v>1</v>
      </c>
      <c r="CE3049">
        <v>0</v>
      </c>
      <c r="CF3049">
        <v>0</v>
      </c>
      <c r="CG3049">
        <v>1</v>
      </c>
      <c r="CH3049">
        <v>0</v>
      </c>
      <c r="CI3049">
        <v>0</v>
      </c>
      <c r="CJ3049">
        <v>0</v>
      </c>
      <c r="CK3049">
        <v>2</v>
      </c>
      <c r="CL3049">
        <v>0</v>
      </c>
      <c r="CM3049">
        <v>2</v>
      </c>
      <c r="CN3049">
        <v>0</v>
      </c>
      <c r="CO3049">
        <v>7</v>
      </c>
      <c r="CP3049" t="s">
        <v>119</v>
      </c>
      <c r="CQ3049">
        <v>180</v>
      </c>
      <c r="CR3049">
        <v>3</v>
      </c>
      <c r="CW3049">
        <v>1049290</v>
      </c>
      <c r="CY3049">
        <v>0</v>
      </c>
      <c r="CZ3049">
        <v>0</v>
      </c>
      <c r="DA3049">
        <v>1</v>
      </c>
      <c r="DB3049">
        <v>0</v>
      </c>
      <c r="DC3049">
        <v>0</v>
      </c>
      <c r="DD3049">
        <v>0</v>
      </c>
      <c r="DE3049">
        <v>0</v>
      </c>
      <c r="DF3049">
        <v>0</v>
      </c>
      <c r="DG3049">
        <v>0</v>
      </c>
      <c r="DH3049">
        <v>0</v>
      </c>
      <c r="DI3049">
        <v>0</v>
      </c>
    </row>
    <row r="3050" spans="1:113" x14ac:dyDescent="0.3">
      <c r="A3050" t="str">
        <f>"02/08/2021 20:30:50.418"</f>
        <v>02/08/2021 20:30:50.418</v>
      </c>
      <c r="C3050" t="str">
        <f t="shared" si="145"/>
        <v>FFDFD7C0</v>
      </c>
      <c r="D3050" t="s">
        <v>124</v>
      </c>
      <c r="E3050">
        <v>13</v>
      </c>
      <c r="F3050">
        <v>1013</v>
      </c>
      <c r="G3050" t="s">
        <v>114</v>
      </c>
      <c r="J3050" t="s">
        <v>125</v>
      </c>
      <c r="K3050">
        <v>0</v>
      </c>
      <c r="L3050">
        <v>3</v>
      </c>
      <c r="M3050">
        <v>0</v>
      </c>
      <c r="N3050">
        <v>2</v>
      </c>
      <c r="O3050">
        <v>1</v>
      </c>
      <c r="P3050">
        <v>0</v>
      </c>
      <c r="Q3050">
        <v>0</v>
      </c>
      <c r="S3050" t="str">
        <f>"20:30:52.750"</f>
        <v>20:30:52.750</v>
      </c>
      <c r="T3050" t="str">
        <f>"20:30:52.250"</f>
        <v>20:30:52.250</v>
      </c>
      <c r="U3050" t="str">
        <f t="shared" si="147"/>
        <v>AB01F4</v>
      </c>
      <c r="V3050">
        <v>0</v>
      </c>
      <c r="W3050">
        <v>0</v>
      </c>
      <c r="X3050">
        <v>2</v>
      </c>
      <c r="Z3050">
        <v>0</v>
      </c>
      <c r="AA3050">
        <v>9</v>
      </c>
      <c r="AB3050">
        <v>3</v>
      </c>
      <c r="AC3050">
        <v>0</v>
      </c>
      <c r="AD3050">
        <v>10</v>
      </c>
      <c r="AE3050">
        <v>0</v>
      </c>
      <c r="AF3050">
        <v>3</v>
      </c>
      <c r="AG3050">
        <v>2</v>
      </c>
      <c r="AH3050">
        <v>0</v>
      </c>
      <c r="AI3050" t="s">
        <v>1773</v>
      </c>
      <c r="AJ3050">
        <v>40.039802000000002</v>
      </c>
      <c r="AK3050" t="s">
        <v>1774</v>
      </c>
      <c r="AL3050">
        <v>-92.867559999999997</v>
      </c>
      <c r="AM3050">
        <v>100</v>
      </c>
      <c r="AN3050">
        <v>1300</v>
      </c>
      <c r="AO3050" t="s">
        <v>118</v>
      </c>
      <c r="AP3050">
        <v>-128</v>
      </c>
      <c r="AQ3050">
        <v>50</v>
      </c>
      <c r="AR3050">
        <v>-256</v>
      </c>
      <c r="AZ3050">
        <v>1200</v>
      </c>
      <c r="BA3050">
        <v>1</v>
      </c>
      <c r="BB3050" t="str">
        <f t="shared" si="146"/>
        <v xml:space="preserve">N8080G  </v>
      </c>
      <c r="BC3050">
        <v>1</v>
      </c>
      <c r="BE3050">
        <v>0</v>
      </c>
      <c r="BF3050">
        <v>0</v>
      </c>
      <c r="BG3050">
        <v>0</v>
      </c>
      <c r="BH3050">
        <v>1350</v>
      </c>
      <c r="BI3050">
        <v>1</v>
      </c>
      <c r="BJ3050">
        <v>1</v>
      </c>
      <c r="BK3050">
        <v>1</v>
      </c>
      <c r="BL3050">
        <v>0</v>
      </c>
      <c r="BO3050">
        <v>0</v>
      </c>
      <c r="BP3050">
        <v>0</v>
      </c>
      <c r="BW3050" t="str">
        <f>"20:30:52.755"</f>
        <v>20:30:52.755</v>
      </c>
      <c r="BZ3050">
        <v>0</v>
      </c>
      <c r="CA3050">
        <v>1600</v>
      </c>
      <c r="CB3050">
        <v>224</v>
      </c>
      <c r="CD3050">
        <v>1</v>
      </c>
      <c r="CE3050">
        <v>0</v>
      </c>
      <c r="CF3050">
        <v>0</v>
      </c>
      <c r="CG3050">
        <v>1</v>
      </c>
      <c r="CH3050">
        <v>0</v>
      </c>
      <c r="CI3050">
        <v>0</v>
      </c>
      <c r="CJ3050">
        <v>0</v>
      </c>
      <c r="CK3050">
        <v>2</v>
      </c>
      <c r="CL3050">
        <v>0</v>
      </c>
      <c r="CM3050">
        <v>2</v>
      </c>
      <c r="CN3050">
        <v>0</v>
      </c>
      <c r="CO3050">
        <v>7</v>
      </c>
      <c r="CP3050" t="s">
        <v>119</v>
      </c>
      <c r="CQ3050">
        <v>180</v>
      </c>
      <c r="CR3050">
        <v>3</v>
      </c>
      <c r="CW3050">
        <v>1049290</v>
      </c>
      <c r="CY3050">
        <v>0</v>
      </c>
      <c r="CZ3050">
        <v>0</v>
      </c>
      <c r="DA3050">
        <v>1</v>
      </c>
      <c r="DB3050">
        <v>0</v>
      </c>
      <c r="DC3050">
        <v>0</v>
      </c>
      <c r="DD3050">
        <v>0</v>
      </c>
      <c r="DE3050">
        <v>0</v>
      </c>
      <c r="DF3050">
        <v>0</v>
      </c>
      <c r="DG3050">
        <v>0</v>
      </c>
      <c r="DH3050">
        <v>0</v>
      </c>
      <c r="DI3050">
        <v>0</v>
      </c>
    </row>
    <row r="3051" spans="1:113" x14ac:dyDescent="0.3">
      <c r="A3051" t="str">
        <f>"02/08/2021 20:30:51.902"</f>
        <v>02/08/2021 20:30:51.902</v>
      </c>
      <c r="C3051" t="str">
        <f t="shared" si="145"/>
        <v>FFDFD7C0</v>
      </c>
      <c r="D3051" t="s">
        <v>124</v>
      </c>
      <c r="E3051">
        <v>11</v>
      </c>
      <c r="F3051">
        <v>1011</v>
      </c>
      <c r="G3051" t="s">
        <v>590</v>
      </c>
      <c r="J3051" t="s">
        <v>125</v>
      </c>
      <c r="K3051">
        <v>0</v>
      </c>
      <c r="L3051">
        <v>3</v>
      </c>
      <c r="M3051">
        <v>0</v>
      </c>
      <c r="N3051">
        <v>2</v>
      </c>
      <c r="O3051">
        <v>1</v>
      </c>
      <c r="P3051">
        <v>0</v>
      </c>
      <c r="Q3051">
        <v>0</v>
      </c>
      <c r="S3051" t="str">
        <f>"20:30:54.242"</f>
        <v>20:30:54.242</v>
      </c>
      <c r="T3051" t="str">
        <f>"20:30:53.842"</f>
        <v>20:30:53.842</v>
      </c>
      <c r="U3051" t="str">
        <f t="shared" si="147"/>
        <v>AB01F4</v>
      </c>
      <c r="V3051">
        <v>0</v>
      </c>
      <c r="W3051">
        <v>0</v>
      </c>
      <c r="X3051">
        <v>2</v>
      </c>
      <c r="Z3051">
        <v>0</v>
      </c>
      <c r="AA3051">
        <v>9</v>
      </c>
      <c r="AB3051">
        <v>3</v>
      </c>
      <c r="AC3051">
        <v>0</v>
      </c>
      <c r="AD3051">
        <v>10</v>
      </c>
      <c r="AE3051">
        <v>0</v>
      </c>
      <c r="AF3051">
        <v>3</v>
      </c>
      <c r="AG3051">
        <v>2</v>
      </c>
      <c r="AH3051">
        <v>0</v>
      </c>
      <c r="AI3051" t="s">
        <v>1775</v>
      </c>
      <c r="AJ3051">
        <v>40.040145000000003</v>
      </c>
      <c r="AK3051" t="s">
        <v>1776</v>
      </c>
      <c r="AL3051">
        <v>-92.868675999999994</v>
      </c>
      <c r="AM3051">
        <v>100</v>
      </c>
      <c r="AN3051">
        <v>1300</v>
      </c>
      <c r="AO3051" t="s">
        <v>118</v>
      </c>
      <c r="AP3051">
        <v>-127</v>
      </c>
      <c r="AQ3051">
        <v>52</v>
      </c>
      <c r="AR3051">
        <v>-256</v>
      </c>
      <c r="AZ3051">
        <v>1200</v>
      </c>
      <c r="BA3051">
        <v>1</v>
      </c>
      <c r="BB3051" t="str">
        <f t="shared" si="146"/>
        <v xml:space="preserve">N8080G  </v>
      </c>
      <c r="BC3051">
        <v>1</v>
      </c>
      <c r="BE3051">
        <v>0</v>
      </c>
      <c r="BF3051">
        <v>0</v>
      </c>
      <c r="BG3051">
        <v>0</v>
      </c>
      <c r="BH3051">
        <v>1350</v>
      </c>
      <c r="BI3051">
        <v>1</v>
      </c>
      <c r="BJ3051">
        <v>1</v>
      </c>
      <c r="BK3051">
        <v>1</v>
      </c>
      <c r="BL3051">
        <v>0</v>
      </c>
      <c r="BO3051">
        <v>0</v>
      </c>
      <c r="BP3051">
        <v>0</v>
      </c>
      <c r="BW3051" t="str">
        <f>"20:30:54.246"</f>
        <v>20:30:54.246</v>
      </c>
      <c r="BZ3051">
        <v>0</v>
      </c>
      <c r="CA3051">
        <v>1600</v>
      </c>
      <c r="CB3051">
        <v>224</v>
      </c>
      <c r="CD3051">
        <v>1</v>
      </c>
      <c r="CE3051">
        <v>0</v>
      </c>
      <c r="CF3051">
        <v>0</v>
      </c>
      <c r="CG3051">
        <v>1</v>
      </c>
      <c r="CH3051">
        <v>0</v>
      </c>
      <c r="CI3051">
        <v>0</v>
      </c>
      <c r="CJ3051">
        <v>0</v>
      </c>
      <c r="CK3051">
        <v>2</v>
      </c>
      <c r="CL3051">
        <v>0</v>
      </c>
      <c r="CM3051">
        <v>2</v>
      </c>
      <c r="CN3051">
        <v>0</v>
      </c>
      <c r="CO3051">
        <v>7</v>
      </c>
      <c r="CP3051" t="s">
        <v>119</v>
      </c>
      <c r="CQ3051">
        <v>180</v>
      </c>
      <c r="CR3051">
        <v>3</v>
      </c>
      <c r="CW3051">
        <v>1050423</v>
      </c>
      <c r="CY3051">
        <v>1</v>
      </c>
      <c r="CZ3051">
        <v>0</v>
      </c>
      <c r="DA3051">
        <v>0</v>
      </c>
      <c r="DB3051">
        <v>0</v>
      </c>
      <c r="DC3051">
        <v>0</v>
      </c>
      <c r="DD3051">
        <v>0</v>
      </c>
      <c r="DE3051">
        <v>0</v>
      </c>
      <c r="DF3051">
        <v>0</v>
      </c>
      <c r="DG3051">
        <v>0</v>
      </c>
      <c r="DH3051">
        <v>0</v>
      </c>
      <c r="DI3051">
        <v>0</v>
      </c>
    </row>
    <row r="3052" spans="1:113" x14ac:dyDescent="0.3">
      <c r="A3052" t="str">
        <f>"02/08/2021 20:30:51.902"</f>
        <v>02/08/2021 20:30:51.902</v>
      </c>
      <c r="C3052" t="str">
        <f t="shared" si="145"/>
        <v>FFDFD7C0</v>
      </c>
      <c r="D3052" t="s">
        <v>124</v>
      </c>
      <c r="E3052">
        <v>13</v>
      </c>
      <c r="F3052">
        <v>1013</v>
      </c>
      <c r="G3052" t="s">
        <v>114</v>
      </c>
      <c r="J3052" t="s">
        <v>125</v>
      </c>
      <c r="K3052">
        <v>0</v>
      </c>
      <c r="L3052">
        <v>3</v>
      </c>
      <c r="M3052">
        <v>0</v>
      </c>
      <c r="N3052">
        <v>2</v>
      </c>
      <c r="O3052">
        <v>1</v>
      </c>
      <c r="P3052">
        <v>0</v>
      </c>
      <c r="Q3052">
        <v>0</v>
      </c>
      <c r="S3052" t="str">
        <f>"20:30:54.242"</f>
        <v>20:30:54.242</v>
      </c>
      <c r="T3052" t="str">
        <f>"20:30:53.842"</f>
        <v>20:30:53.842</v>
      </c>
      <c r="U3052" t="str">
        <f t="shared" si="147"/>
        <v>AB01F4</v>
      </c>
      <c r="V3052">
        <v>0</v>
      </c>
      <c r="W3052">
        <v>0</v>
      </c>
      <c r="X3052">
        <v>2</v>
      </c>
      <c r="Z3052">
        <v>0</v>
      </c>
      <c r="AA3052">
        <v>9</v>
      </c>
      <c r="AB3052">
        <v>3</v>
      </c>
      <c r="AC3052">
        <v>0</v>
      </c>
      <c r="AD3052">
        <v>10</v>
      </c>
      <c r="AE3052">
        <v>0</v>
      </c>
      <c r="AF3052">
        <v>3</v>
      </c>
      <c r="AG3052">
        <v>2</v>
      </c>
      <c r="AH3052">
        <v>0</v>
      </c>
      <c r="AI3052" t="s">
        <v>1775</v>
      </c>
      <c r="AJ3052">
        <v>40.040145000000003</v>
      </c>
      <c r="AK3052" t="s">
        <v>1776</v>
      </c>
      <c r="AL3052">
        <v>-92.868675999999994</v>
      </c>
      <c r="AM3052">
        <v>100</v>
      </c>
      <c r="AN3052">
        <v>1300</v>
      </c>
      <c r="AO3052" t="s">
        <v>118</v>
      </c>
      <c r="AP3052">
        <v>-127</v>
      </c>
      <c r="AQ3052">
        <v>52</v>
      </c>
      <c r="AR3052">
        <v>-256</v>
      </c>
      <c r="AZ3052">
        <v>1200</v>
      </c>
      <c r="BA3052">
        <v>1</v>
      </c>
      <c r="BB3052" t="str">
        <f t="shared" si="146"/>
        <v xml:space="preserve">N8080G  </v>
      </c>
      <c r="BC3052">
        <v>1</v>
      </c>
      <c r="BE3052">
        <v>0</v>
      </c>
      <c r="BF3052">
        <v>0</v>
      </c>
      <c r="BG3052">
        <v>0</v>
      </c>
      <c r="BH3052">
        <v>1350</v>
      </c>
      <c r="BI3052">
        <v>1</v>
      </c>
      <c r="BJ3052">
        <v>1</v>
      </c>
      <c r="BK3052">
        <v>1</v>
      </c>
      <c r="BL3052">
        <v>0</v>
      </c>
      <c r="BO3052">
        <v>0</v>
      </c>
      <c r="BP3052">
        <v>0</v>
      </c>
      <c r="BW3052" t="str">
        <f>"20:30:54.246"</f>
        <v>20:30:54.246</v>
      </c>
      <c r="BZ3052">
        <v>0</v>
      </c>
      <c r="CA3052">
        <v>1600</v>
      </c>
      <c r="CB3052">
        <v>224</v>
      </c>
      <c r="CD3052">
        <v>1</v>
      </c>
      <c r="CE3052">
        <v>0</v>
      </c>
      <c r="CF3052">
        <v>0</v>
      </c>
      <c r="CG3052">
        <v>1</v>
      </c>
      <c r="CH3052">
        <v>0</v>
      </c>
      <c r="CI3052">
        <v>0</v>
      </c>
      <c r="CJ3052">
        <v>0</v>
      </c>
      <c r="CK3052">
        <v>2</v>
      </c>
      <c r="CL3052">
        <v>0</v>
      </c>
      <c r="CM3052">
        <v>2</v>
      </c>
      <c r="CN3052">
        <v>0</v>
      </c>
      <c r="CO3052">
        <v>7</v>
      </c>
      <c r="CP3052" t="s">
        <v>119</v>
      </c>
      <c r="CQ3052">
        <v>180</v>
      </c>
      <c r="CR3052">
        <v>3</v>
      </c>
      <c r="CW3052">
        <v>1050423</v>
      </c>
      <c r="CY3052">
        <v>1</v>
      </c>
      <c r="CZ3052">
        <v>0</v>
      </c>
      <c r="DA3052">
        <v>1</v>
      </c>
      <c r="DB3052">
        <v>0</v>
      </c>
      <c r="DC3052">
        <v>0</v>
      </c>
      <c r="DD3052">
        <v>0</v>
      </c>
      <c r="DE3052">
        <v>0</v>
      </c>
      <c r="DF3052">
        <v>0</v>
      </c>
      <c r="DG3052">
        <v>0</v>
      </c>
      <c r="DH3052">
        <v>0</v>
      </c>
      <c r="DI3052">
        <v>0</v>
      </c>
    </row>
    <row r="3053" spans="1:113" x14ac:dyDescent="0.3">
      <c r="A3053" t="str">
        <f>"02/08/2021 20:30:51.902"</f>
        <v>02/08/2021 20:30:51.902</v>
      </c>
      <c r="C3053" t="str">
        <f t="shared" si="145"/>
        <v>FFDFD7C0</v>
      </c>
      <c r="D3053" t="s">
        <v>124</v>
      </c>
      <c r="E3053">
        <v>12</v>
      </c>
      <c r="F3053">
        <v>1012</v>
      </c>
      <c r="G3053" t="s">
        <v>675</v>
      </c>
      <c r="J3053" t="s">
        <v>125</v>
      </c>
      <c r="K3053">
        <v>0</v>
      </c>
      <c r="L3053">
        <v>3</v>
      </c>
      <c r="M3053">
        <v>0</v>
      </c>
      <c r="N3053">
        <v>2</v>
      </c>
      <c r="O3053">
        <v>1</v>
      </c>
      <c r="P3053">
        <v>0</v>
      </c>
      <c r="Q3053">
        <v>0</v>
      </c>
      <c r="S3053" t="str">
        <f>"20:30:54.242"</f>
        <v>20:30:54.242</v>
      </c>
      <c r="T3053" t="str">
        <f>"20:30:53.842"</f>
        <v>20:30:53.842</v>
      </c>
      <c r="U3053" t="str">
        <f t="shared" si="147"/>
        <v>AB01F4</v>
      </c>
      <c r="V3053">
        <v>0</v>
      </c>
      <c r="W3053">
        <v>0</v>
      </c>
      <c r="X3053">
        <v>2</v>
      </c>
      <c r="Z3053">
        <v>0</v>
      </c>
      <c r="AA3053">
        <v>9</v>
      </c>
      <c r="AB3053">
        <v>3</v>
      </c>
      <c r="AC3053">
        <v>0</v>
      </c>
      <c r="AD3053">
        <v>10</v>
      </c>
      <c r="AE3053">
        <v>0</v>
      </c>
      <c r="AF3053">
        <v>3</v>
      </c>
      <c r="AG3053">
        <v>2</v>
      </c>
      <c r="AH3053">
        <v>0</v>
      </c>
      <c r="AI3053" t="s">
        <v>1775</v>
      </c>
      <c r="AJ3053">
        <v>40.040145000000003</v>
      </c>
      <c r="AK3053" t="s">
        <v>1776</v>
      </c>
      <c r="AL3053">
        <v>-92.868675999999994</v>
      </c>
      <c r="AM3053">
        <v>100</v>
      </c>
      <c r="AN3053">
        <v>1300</v>
      </c>
      <c r="AO3053" t="s">
        <v>118</v>
      </c>
      <c r="AP3053">
        <v>-127</v>
      </c>
      <c r="AQ3053">
        <v>52</v>
      </c>
      <c r="AR3053">
        <v>-256</v>
      </c>
      <c r="AZ3053">
        <v>1200</v>
      </c>
      <c r="BA3053">
        <v>1</v>
      </c>
      <c r="BB3053" t="str">
        <f t="shared" si="146"/>
        <v xml:space="preserve">N8080G  </v>
      </c>
      <c r="BC3053">
        <v>1</v>
      </c>
      <c r="BE3053">
        <v>0</v>
      </c>
      <c r="BF3053">
        <v>0</v>
      </c>
      <c r="BG3053">
        <v>0</v>
      </c>
      <c r="BH3053">
        <v>1350</v>
      </c>
      <c r="BI3053">
        <v>1</v>
      </c>
      <c r="BJ3053">
        <v>1</v>
      </c>
      <c r="BK3053">
        <v>1</v>
      </c>
      <c r="BL3053">
        <v>0</v>
      </c>
      <c r="BO3053">
        <v>0</v>
      </c>
      <c r="BP3053">
        <v>0</v>
      </c>
      <c r="BW3053" t="str">
        <f>"20:30:54.246"</f>
        <v>20:30:54.246</v>
      </c>
      <c r="BZ3053">
        <v>0</v>
      </c>
      <c r="CA3053">
        <v>1600</v>
      </c>
      <c r="CB3053">
        <v>224</v>
      </c>
      <c r="CD3053">
        <v>1</v>
      </c>
      <c r="CE3053">
        <v>0</v>
      </c>
      <c r="CF3053">
        <v>0</v>
      </c>
      <c r="CG3053">
        <v>1</v>
      </c>
      <c r="CH3053">
        <v>0</v>
      </c>
      <c r="CI3053">
        <v>0</v>
      </c>
      <c r="CJ3053">
        <v>0</v>
      </c>
      <c r="CK3053">
        <v>2</v>
      </c>
      <c r="CL3053">
        <v>0</v>
      </c>
      <c r="CM3053">
        <v>2</v>
      </c>
      <c r="CN3053">
        <v>0</v>
      </c>
      <c r="CO3053">
        <v>7</v>
      </c>
      <c r="CP3053" t="s">
        <v>119</v>
      </c>
      <c r="CQ3053">
        <v>180</v>
      </c>
      <c r="CR3053">
        <v>3</v>
      </c>
      <c r="CW3053">
        <v>1050423</v>
      </c>
      <c r="CY3053">
        <v>1</v>
      </c>
      <c r="CZ3053">
        <v>0</v>
      </c>
      <c r="DA3053">
        <v>1</v>
      </c>
      <c r="DB3053">
        <v>0</v>
      </c>
      <c r="DC3053">
        <v>0</v>
      </c>
      <c r="DD3053">
        <v>0</v>
      </c>
      <c r="DE3053">
        <v>0</v>
      </c>
      <c r="DF3053">
        <v>0</v>
      </c>
      <c r="DG3053">
        <v>0</v>
      </c>
      <c r="DH3053">
        <v>0</v>
      </c>
      <c r="DI3053">
        <v>0</v>
      </c>
    </row>
    <row r="3054" spans="1:113" x14ac:dyDescent="0.3">
      <c r="A3054" t="str">
        <f>"02/08/2021 20:30:51.902"</f>
        <v>02/08/2021 20:30:51.902</v>
      </c>
      <c r="C3054" t="str">
        <f t="shared" si="145"/>
        <v>FFDFD7C0</v>
      </c>
      <c r="D3054" t="s">
        <v>113</v>
      </c>
      <c r="E3054">
        <v>6</v>
      </c>
      <c r="H3054">
        <v>165</v>
      </c>
      <c r="I3054" t="s">
        <v>114</v>
      </c>
      <c r="J3054" t="s">
        <v>115</v>
      </c>
      <c r="K3054">
        <v>0</v>
      </c>
      <c r="L3054">
        <v>3</v>
      </c>
      <c r="M3054">
        <v>0</v>
      </c>
      <c r="N3054">
        <v>2</v>
      </c>
      <c r="O3054">
        <v>1</v>
      </c>
      <c r="P3054">
        <v>0</v>
      </c>
      <c r="Q3054">
        <v>0</v>
      </c>
      <c r="S3054" t="str">
        <f>"20:30:54.242"</f>
        <v>20:30:54.242</v>
      </c>
      <c r="T3054" t="str">
        <f>"20:30:53.842"</f>
        <v>20:30:53.842</v>
      </c>
      <c r="U3054" t="str">
        <f t="shared" si="147"/>
        <v>AB01F4</v>
      </c>
      <c r="V3054">
        <v>0</v>
      </c>
      <c r="W3054">
        <v>0</v>
      </c>
      <c r="X3054">
        <v>2</v>
      </c>
      <c r="Z3054">
        <v>0</v>
      </c>
      <c r="AA3054">
        <v>9</v>
      </c>
      <c r="AB3054">
        <v>3</v>
      </c>
      <c r="AC3054">
        <v>0</v>
      </c>
      <c r="AD3054">
        <v>10</v>
      </c>
      <c r="AE3054">
        <v>0</v>
      </c>
      <c r="AF3054">
        <v>3</v>
      </c>
      <c r="AG3054">
        <v>2</v>
      </c>
      <c r="AH3054">
        <v>0</v>
      </c>
      <c r="AI3054" t="s">
        <v>1775</v>
      </c>
      <c r="AJ3054">
        <v>40.040145000000003</v>
      </c>
      <c r="AK3054" t="s">
        <v>1776</v>
      </c>
      <c r="AL3054">
        <v>-92.868675999999994</v>
      </c>
      <c r="AM3054">
        <v>100</v>
      </c>
      <c r="AN3054">
        <v>1300</v>
      </c>
      <c r="AO3054" t="s">
        <v>118</v>
      </c>
      <c r="AP3054">
        <v>-127</v>
      </c>
      <c r="AQ3054">
        <v>52</v>
      </c>
      <c r="AR3054">
        <v>-256</v>
      </c>
      <c r="AZ3054">
        <v>1200</v>
      </c>
      <c r="BA3054">
        <v>1</v>
      </c>
      <c r="BB3054" t="str">
        <f t="shared" si="146"/>
        <v xml:space="preserve">N8080G  </v>
      </c>
      <c r="BC3054">
        <v>1</v>
      </c>
      <c r="BE3054">
        <v>0</v>
      </c>
      <c r="BF3054">
        <v>0</v>
      </c>
      <c r="BG3054">
        <v>0</v>
      </c>
      <c r="BH3054">
        <v>1350</v>
      </c>
      <c r="BI3054">
        <v>1</v>
      </c>
      <c r="BJ3054">
        <v>1</v>
      </c>
      <c r="BK3054">
        <v>1</v>
      </c>
      <c r="BL3054">
        <v>0</v>
      </c>
      <c r="BO3054">
        <v>0</v>
      </c>
      <c r="BP3054">
        <v>0</v>
      </c>
      <c r="BW3054" t="str">
        <f>"20:30:54.246"</f>
        <v>20:30:54.246</v>
      </c>
      <c r="BZ3054">
        <v>0</v>
      </c>
      <c r="CA3054">
        <v>1600</v>
      </c>
      <c r="CB3054">
        <v>224</v>
      </c>
      <c r="CD3054">
        <v>1</v>
      </c>
      <c r="CE3054">
        <v>0</v>
      </c>
      <c r="CF3054">
        <v>0</v>
      </c>
      <c r="CG3054">
        <v>1</v>
      </c>
      <c r="CH3054">
        <v>0</v>
      </c>
      <c r="CI3054">
        <v>0</v>
      </c>
      <c r="CJ3054">
        <v>0</v>
      </c>
      <c r="CK3054">
        <v>2</v>
      </c>
      <c r="CL3054">
        <v>0</v>
      </c>
      <c r="CM3054">
        <v>2</v>
      </c>
      <c r="CN3054">
        <v>0</v>
      </c>
      <c r="CO3054">
        <v>7</v>
      </c>
      <c r="CP3054" t="s">
        <v>119</v>
      </c>
      <c r="CQ3054">
        <v>180</v>
      </c>
      <c r="CR3054">
        <v>3</v>
      </c>
      <c r="CW3054">
        <v>1050423</v>
      </c>
      <c r="CY3054">
        <v>1</v>
      </c>
      <c r="CZ3054">
        <v>0</v>
      </c>
      <c r="DA3054">
        <v>1</v>
      </c>
      <c r="DB3054">
        <v>0</v>
      </c>
      <c r="DC3054">
        <v>0</v>
      </c>
      <c r="DD3054">
        <v>0</v>
      </c>
      <c r="DE3054">
        <v>0</v>
      </c>
      <c r="DF3054">
        <v>0</v>
      </c>
      <c r="DG3054">
        <v>0</v>
      </c>
      <c r="DH3054">
        <v>0</v>
      </c>
      <c r="DI3054">
        <v>0</v>
      </c>
    </row>
    <row r="3055" spans="1:113" x14ac:dyDescent="0.3">
      <c r="A3055" t="str">
        <f>"02/08/2021 20:30:54.847"</f>
        <v>02/08/2021 20:30:54.847</v>
      </c>
      <c r="C3055" t="str">
        <f t="shared" ref="C3055:C3118" si="148">"FFDFD7C0"</f>
        <v>FFDFD7C0</v>
      </c>
      <c r="D3055" t="s">
        <v>124</v>
      </c>
      <c r="E3055">
        <v>12</v>
      </c>
      <c r="F3055">
        <v>1012</v>
      </c>
      <c r="G3055" t="s">
        <v>675</v>
      </c>
      <c r="J3055" t="s">
        <v>125</v>
      </c>
      <c r="K3055">
        <v>0</v>
      </c>
      <c r="L3055">
        <v>3</v>
      </c>
      <c r="M3055">
        <v>0</v>
      </c>
      <c r="N3055">
        <v>2</v>
      </c>
      <c r="O3055">
        <v>1</v>
      </c>
      <c r="P3055">
        <v>0</v>
      </c>
      <c r="Q3055">
        <v>0</v>
      </c>
      <c r="S3055" t="str">
        <f>"20:30:57.141"</f>
        <v>20:30:57.141</v>
      </c>
      <c r="T3055" t="str">
        <f>"20:30:56.641"</f>
        <v>20:30:56.641</v>
      </c>
      <c r="U3055" t="str">
        <f t="shared" si="147"/>
        <v>AB01F4</v>
      </c>
      <c r="V3055">
        <v>0</v>
      </c>
      <c r="W3055">
        <v>0</v>
      </c>
      <c r="X3055">
        <v>2</v>
      </c>
      <c r="Z3055">
        <v>0</v>
      </c>
      <c r="AA3055">
        <v>9</v>
      </c>
      <c r="AB3055">
        <v>3</v>
      </c>
      <c r="AC3055">
        <v>0</v>
      </c>
      <c r="AD3055">
        <v>10</v>
      </c>
      <c r="AE3055">
        <v>0</v>
      </c>
      <c r="AF3055">
        <v>3</v>
      </c>
      <c r="AG3055">
        <v>2</v>
      </c>
      <c r="AH3055">
        <v>0</v>
      </c>
      <c r="AI3055" t="s">
        <v>1777</v>
      </c>
      <c r="AJ3055">
        <v>40.040852999999998</v>
      </c>
      <c r="AK3055" t="s">
        <v>1778</v>
      </c>
      <c r="AL3055">
        <v>-92.870908</v>
      </c>
      <c r="AM3055">
        <v>100</v>
      </c>
      <c r="AN3055">
        <v>1300</v>
      </c>
      <c r="AO3055" t="s">
        <v>118</v>
      </c>
      <c r="AP3055">
        <v>-126</v>
      </c>
      <c r="AQ3055">
        <v>54</v>
      </c>
      <c r="AR3055">
        <v>-128</v>
      </c>
      <c r="AZ3055">
        <v>1200</v>
      </c>
      <c r="BA3055">
        <v>1</v>
      </c>
      <c r="BB3055" t="str">
        <f t="shared" ref="BB3055:BB3118" si="149">"N8080G  "</f>
        <v xml:space="preserve">N8080G  </v>
      </c>
      <c r="BC3055">
        <v>1</v>
      </c>
      <c r="BE3055">
        <v>0</v>
      </c>
      <c r="BF3055">
        <v>0</v>
      </c>
      <c r="BG3055">
        <v>0</v>
      </c>
      <c r="BH3055">
        <v>1350</v>
      </c>
      <c r="BI3055">
        <v>1</v>
      </c>
      <c r="BJ3055">
        <v>1</v>
      </c>
      <c r="BK3055">
        <v>1</v>
      </c>
      <c r="BL3055">
        <v>0</v>
      </c>
      <c r="BO3055">
        <v>0</v>
      </c>
      <c r="BP3055">
        <v>0</v>
      </c>
      <c r="BW3055" t="str">
        <f>"20:30:57.148"</f>
        <v>20:30:57.148</v>
      </c>
      <c r="BZ3055">
        <v>0</v>
      </c>
      <c r="CA3055">
        <v>1600</v>
      </c>
      <c r="CB3055">
        <v>224</v>
      </c>
      <c r="CD3055">
        <v>1</v>
      </c>
      <c r="CE3055">
        <v>0</v>
      </c>
      <c r="CF3055">
        <v>0</v>
      </c>
      <c r="CG3055">
        <v>1</v>
      </c>
      <c r="CH3055">
        <v>0</v>
      </c>
      <c r="CI3055">
        <v>0</v>
      </c>
      <c r="CJ3055">
        <v>0</v>
      </c>
      <c r="CK3055">
        <v>2</v>
      </c>
      <c r="CL3055">
        <v>0</v>
      </c>
      <c r="CM3055">
        <v>2</v>
      </c>
      <c r="CN3055">
        <v>0</v>
      </c>
      <c r="CO3055">
        <v>7</v>
      </c>
      <c r="CP3055" t="s">
        <v>119</v>
      </c>
      <c r="CQ3055">
        <v>180</v>
      </c>
      <c r="CR3055">
        <v>3</v>
      </c>
      <c r="CW3055">
        <v>1052818</v>
      </c>
      <c r="CY3055">
        <v>1</v>
      </c>
      <c r="CZ3055">
        <v>0</v>
      </c>
      <c r="DA3055">
        <v>0</v>
      </c>
      <c r="DB3055">
        <v>0</v>
      </c>
      <c r="DC3055">
        <v>0</v>
      </c>
      <c r="DD3055">
        <v>0</v>
      </c>
      <c r="DE3055">
        <v>0</v>
      </c>
      <c r="DF3055">
        <v>0</v>
      </c>
      <c r="DG3055">
        <v>0</v>
      </c>
      <c r="DH3055">
        <v>0</v>
      </c>
      <c r="DI3055">
        <v>0</v>
      </c>
    </row>
    <row r="3056" spans="1:113" x14ac:dyDescent="0.3">
      <c r="A3056" t="str">
        <f>"02/08/2021 20:30:54.847"</f>
        <v>02/08/2021 20:30:54.847</v>
      </c>
      <c r="C3056" t="str">
        <f t="shared" si="148"/>
        <v>FFDFD7C0</v>
      </c>
      <c r="D3056" t="s">
        <v>113</v>
      </c>
      <c r="E3056">
        <v>6</v>
      </c>
      <c r="H3056">
        <v>165</v>
      </c>
      <c r="I3056" t="s">
        <v>114</v>
      </c>
      <c r="J3056" t="s">
        <v>115</v>
      </c>
      <c r="K3056">
        <v>0</v>
      </c>
      <c r="L3056">
        <v>3</v>
      </c>
      <c r="M3056">
        <v>0</v>
      </c>
      <c r="N3056">
        <v>2</v>
      </c>
      <c r="O3056">
        <v>1</v>
      </c>
      <c r="P3056">
        <v>0</v>
      </c>
      <c r="Q3056">
        <v>0</v>
      </c>
      <c r="S3056" t="str">
        <f>"20:30:57.141"</f>
        <v>20:30:57.141</v>
      </c>
      <c r="T3056" t="str">
        <f>"20:30:56.641"</f>
        <v>20:30:56.641</v>
      </c>
      <c r="U3056" t="str">
        <f t="shared" si="147"/>
        <v>AB01F4</v>
      </c>
      <c r="V3056">
        <v>0</v>
      </c>
      <c r="W3056">
        <v>0</v>
      </c>
      <c r="X3056">
        <v>2</v>
      </c>
      <c r="Z3056">
        <v>0</v>
      </c>
      <c r="AA3056">
        <v>9</v>
      </c>
      <c r="AB3056">
        <v>3</v>
      </c>
      <c r="AC3056">
        <v>0</v>
      </c>
      <c r="AD3056">
        <v>10</v>
      </c>
      <c r="AE3056">
        <v>0</v>
      </c>
      <c r="AF3056">
        <v>3</v>
      </c>
      <c r="AG3056">
        <v>2</v>
      </c>
      <c r="AH3056">
        <v>0</v>
      </c>
      <c r="AI3056" t="s">
        <v>1777</v>
      </c>
      <c r="AJ3056">
        <v>40.040852999999998</v>
      </c>
      <c r="AK3056" t="s">
        <v>1778</v>
      </c>
      <c r="AL3056">
        <v>-92.870908</v>
      </c>
      <c r="AM3056">
        <v>100</v>
      </c>
      <c r="AN3056">
        <v>1300</v>
      </c>
      <c r="AO3056" t="s">
        <v>118</v>
      </c>
      <c r="AP3056">
        <v>-126</v>
      </c>
      <c r="AQ3056">
        <v>54</v>
      </c>
      <c r="AR3056">
        <v>-128</v>
      </c>
      <c r="AZ3056">
        <v>1200</v>
      </c>
      <c r="BA3056">
        <v>1</v>
      </c>
      <c r="BB3056" t="str">
        <f t="shared" si="149"/>
        <v xml:space="preserve">N8080G  </v>
      </c>
      <c r="BC3056">
        <v>1</v>
      </c>
      <c r="BE3056">
        <v>0</v>
      </c>
      <c r="BF3056">
        <v>0</v>
      </c>
      <c r="BG3056">
        <v>0</v>
      </c>
      <c r="BH3056">
        <v>1350</v>
      </c>
      <c r="BI3056">
        <v>1</v>
      </c>
      <c r="BJ3056">
        <v>1</v>
      </c>
      <c r="BK3056">
        <v>1</v>
      </c>
      <c r="BL3056">
        <v>0</v>
      </c>
      <c r="BO3056">
        <v>0</v>
      </c>
      <c r="BP3056">
        <v>0</v>
      </c>
      <c r="BW3056" t="str">
        <f>"20:30:57.148"</f>
        <v>20:30:57.148</v>
      </c>
      <c r="BZ3056">
        <v>0</v>
      </c>
      <c r="CA3056">
        <v>1600</v>
      </c>
      <c r="CB3056">
        <v>224</v>
      </c>
      <c r="CD3056">
        <v>1</v>
      </c>
      <c r="CE3056">
        <v>0</v>
      </c>
      <c r="CF3056">
        <v>0</v>
      </c>
      <c r="CG3056">
        <v>1</v>
      </c>
      <c r="CH3056">
        <v>0</v>
      </c>
      <c r="CI3056">
        <v>0</v>
      </c>
      <c r="CJ3056">
        <v>0</v>
      </c>
      <c r="CK3056">
        <v>2</v>
      </c>
      <c r="CL3056">
        <v>0</v>
      </c>
      <c r="CM3056">
        <v>2</v>
      </c>
      <c r="CN3056">
        <v>0</v>
      </c>
      <c r="CO3056">
        <v>7</v>
      </c>
      <c r="CP3056" t="s">
        <v>119</v>
      </c>
      <c r="CQ3056">
        <v>180</v>
      </c>
      <c r="CR3056">
        <v>3</v>
      </c>
      <c r="CW3056">
        <v>1052818</v>
      </c>
      <c r="CY3056">
        <v>1</v>
      </c>
      <c r="CZ3056">
        <v>0</v>
      </c>
      <c r="DA3056">
        <v>1</v>
      </c>
      <c r="DB3056">
        <v>0</v>
      </c>
      <c r="DC3056">
        <v>0</v>
      </c>
      <c r="DD3056">
        <v>0</v>
      </c>
      <c r="DE3056">
        <v>0</v>
      </c>
      <c r="DF3056">
        <v>0</v>
      </c>
      <c r="DG3056">
        <v>0</v>
      </c>
      <c r="DH3056">
        <v>0</v>
      </c>
      <c r="DI3056">
        <v>0</v>
      </c>
    </row>
    <row r="3057" spans="1:113" x14ac:dyDescent="0.3">
      <c r="A3057" t="str">
        <f>"02/08/2021 20:30:54.847"</f>
        <v>02/08/2021 20:30:54.847</v>
      </c>
      <c r="C3057" t="str">
        <f t="shared" si="148"/>
        <v>FFDFD7C0</v>
      </c>
      <c r="D3057" t="s">
        <v>124</v>
      </c>
      <c r="E3057">
        <v>13</v>
      </c>
      <c r="F3057">
        <v>1013</v>
      </c>
      <c r="G3057" t="s">
        <v>114</v>
      </c>
      <c r="J3057" t="s">
        <v>125</v>
      </c>
      <c r="K3057">
        <v>0</v>
      </c>
      <c r="L3057">
        <v>3</v>
      </c>
      <c r="M3057">
        <v>0</v>
      </c>
      <c r="N3057">
        <v>2</v>
      </c>
      <c r="O3057">
        <v>1</v>
      </c>
      <c r="P3057">
        <v>0</v>
      </c>
      <c r="Q3057">
        <v>0</v>
      </c>
      <c r="S3057" t="str">
        <f>"20:30:57.141"</f>
        <v>20:30:57.141</v>
      </c>
      <c r="T3057" t="str">
        <f>"20:30:56.641"</f>
        <v>20:30:56.641</v>
      </c>
      <c r="U3057" t="str">
        <f t="shared" si="147"/>
        <v>AB01F4</v>
      </c>
      <c r="V3057">
        <v>0</v>
      </c>
      <c r="W3057">
        <v>0</v>
      </c>
      <c r="X3057">
        <v>2</v>
      </c>
      <c r="Z3057">
        <v>0</v>
      </c>
      <c r="AA3057">
        <v>9</v>
      </c>
      <c r="AB3057">
        <v>3</v>
      </c>
      <c r="AC3057">
        <v>0</v>
      </c>
      <c r="AD3057">
        <v>10</v>
      </c>
      <c r="AE3057">
        <v>0</v>
      </c>
      <c r="AF3057">
        <v>3</v>
      </c>
      <c r="AG3057">
        <v>2</v>
      </c>
      <c r="AH3057">
        <v>0</v>
      </c>
      <c r="AI3057" t="s">
        <v>1777</v>
      </c>
      <c r="AJ3057">
        <v>40.040852999999998</v>
      </c>
      <c r="AK3057" t="s">
        <v>1778</v>
      </c>
      <c r="AL3057">
        <v>-92.870908</v>
      </c>
      <c r="AM3057">
        <v>100</v>
      </c>
      <c r="AN3057">
        <v>1300</v>
      </c>
      <c r="AO3057" t="s">
        <v>118</v>
      </c>
      <c r="AP3057">
        <v>-126</v>
      </c>
      <c r="AQ3057">
        <v>54</v>
      </c>
      <c r="AR3057">
        <v>-128</v>
      </c>
      <c r="AZ3057">
        <v>1200</v>
      </c>
      <c r="BA3057">
        <v>1</v>
      </c>
      <c r="BB3057" t="str">
        <f t="shared" si="149"/>
        <v xml:space="preserve">N8080G  </v>
      </c>
      <c r="BC3057">
        <v>1</v>
      </c>
      <c r="BE3057">
        <v>0</v>
      </c>
      <c r="BF3057">
        <v>0</v>
      </c>
      <c r="BG3057">
        <v>0</v>
      </c>
      <c r="BH3057">
        <v>1350</v>
      </c>
      <c r="BI3057">
        <v>1</v>
      </c>
      <c r="BJ3057">
        <v>1</v>
      </c>
      <c r="BK3057">
        <v>1</v>
      </c>
      <c r="BL3057">
        <v>0</v>
      </c>
      <c r="BO3057">
        <v>0</v>
      </c>
      <c r="BP3057">
        <v>0</v>
      </c>
      <c r="BW3057" t="str">
        <f>"20:30:57.148"</f>
        <v>20:30:57.148</v>
      </c>
      <c r="BZ3057">
        <v>0</v>
      </c>
      <c r="CA3057">
        <v>1600</v>
      </c>
      <c r="CB3057">
        <v>224</v>
      </c>
      <c r="CD3057">
        <v>1</v>
      </c>
      <c r="CE3057">
        <v>0</v>
      </c>
      <c r="CF3057">
        <v>0</v>
      </c>
      <c r="CG3057">
        <v>1</v>
      </c>
      <c r="CH3057">
        <v>0</v>
      </c>
      <c r="CI3057">
        <v>0</v>
      </c>
      <c r="CJ3057">
        <v>0</v>
      </c>
      <c r="CK3057">
        <v>2</v>
      </c>
      <c r="CL3057">
        <v>0</v>
      </c>
      <c r="CM3057">
        <v>2</v>
      </c>
      <c r="CN3057">
        <v>0</v>
      </c>
      <c r="CO3057">
        <v>7</v>
      </c>
      <c r="CP3057" t="s">
        <v>119</v>
      </c>
      <c r="CQ3057">
        <v>180</v>
      </c>
      <c r="CR3057">
        <v>3</v>
      </c>
      <c r="CW3057">
        <v>1052818</v>
      </c>
      <c r="CY3057">
        <v>1</v>
      </c>
      <c r="CZ3057">
        <v>0</v>
      </c>
      <c r="DA3057">
        <v>1</v>
      </c>
      <c r="DB3057">
        <v>0</v>
      </c>
      <c r="DC3057">
        <v>0</v>
      </c>
      <c r="DD3057">
        <v>0</v>
      </c>
      <c r="DE3057">
        <v>0</v>
      </c>
      <c r="DF3057">
        <v>0</v>
      </c>
      <c r="DG3057">
        <v>0</v>
      </c>
      <c r="DH3057">
        <v>0</v>
      </c>
      <c r="DI3057">
        <v>0</v>
      </c>
    </row>
    <row r="3058" spans="1:113" x14ac:dyDescent="0.3">
      <c r="A3058" t="str">
        <f>"02/08/2021 20:30:54.847"</f>
        <v>02/08/2021 20:30:54.847</v>
      </c>
      <c r="C3058" t="str">
        <f t="shared" si="148"/>
        <v>FFDFD7C0</v>
      </c>
      <c r="D3058" t="s">
        <v>124</v>
      </c>
      <c r="E3058">
        <v>11</v>
      </c>
      <c r="F3058">
        <v>1011</v>
      </c>
      <c r="G3058" t="s">
        <v>590</v>
      </c>
      <c r="J3058" t="s">
        <v>125</v>
      </c>
      <c r="K3058">
        <v>0</v>
      </c>
      <c r="L3058">
        <v>3</v>
      </c>
      <c r="M3058">
        <v>0</v>
      </c>
      <c r="N3058">
        <v>2</v>
      </c>
      <c r="O3058">
        <v>1</v>
      </c>
      <c r="P3058">
        <v>0</v>
      </c>
      <c r="Q3058">
        <v>0</v>
      </c>
      <c r="S3058" t="str">
        <f>"20:30:57.141"</f>
        <v>20:30:57.141</v>
      </c>
      <c r="T3058" t="str">
        <f>"20:30:56.641"</f>
        <v>20:30:56.641</v>
      </c>
      <c r="U3058" t="str">
        <f t="shared" si="147"/>
        <v>AB01F4</v>
      </c>
      <c r="V3058">
        <v>0</v>
      </c>
      <c r="W3058">
        <v>0</v>
      </c>
      <c r="X3058">
        <v>2</v>
      </c>
      <c r="Z3058">
        <v>0</v>
      </c>
      <c r="AA3058">
        <v>9</v>
      </c>
      <c r="AB3058">
        <v>3</v>
      </c>
      <c r="AC3058">
        <v>0</v>
      </c>
      <c r="AD3058">
        <v>10</v>
      </c>
      <c r="AE3058">
        <v>0</v>
      </c>
      <c r="AF3058">
        <v>3</v>
      </c>
      <c r="AG3058">
        <v>2</v>
      </c>
      <c r="AH3058">
        <v>0</v>
      </c>
      <c r="AI3058" t="s">
        <v>1777</v>
      </c>
      <c r="AJ3058">
        <v>40.040852999999998</v>
      </c>
      <c r="AK3058" t="s">
        <v>1778</v>
      </c>
      <c r="AL3058">
        <v>-92.870908</v>
      </c>
      <c r="AM3058">
        <v>100</v>
      </c>
      <c r="AN3058">
        <v>1300</v>
      </c>
      <c r="AO3058" t="s">
        <v>118</v>
      </c>
      <c r="AP3058">
        <v>-126</v>
      </c>
      <c r="AQ3058">
        <v>54</v>
      </c>
      <c r="AR3058">
        <v>-128</v>
      </c>
      <c r="AZ3058">
        <v>1200</v>
      </c>
      <c r="BA3058">
        <v>1</v>
      </c>
      <c r="BB3058" t="str">
        <f t="shared" si="149"/>
        <v xml:space="preserve">N8080G  </v>
      </c>
      <c r="BC3058">
        <v>1</v>
      </c>
      <c r="BE3058">
        <v>0</v>
      </c>
      <c r="BF3058">
        <v>0</v>
      </c>
      <c r="BG3058">
        <v>0</v>
      </c>
      <c r="BH3058">
        <v>1350</v>
      </c>
      <c r="BI3058">
        <v>1</v>
      </c>
      <c r="BJ3058">
        <v>1</v>
      </c>
      <c r="BK3058">
        <v>1</v>
      </c>
      <c r="BL3058">
        <v>0</v>
      </c>
      <c r="BO3058">
        <v>0</v>
      </c>
      <c r="BP3058">
        <v>0</v>
      </c>
      <c r="BW3058" t="str">
        <f>"20:30:57.148"</f>
        <v>20:30:57.148</v>
      </c>
      <c r="BZ3058">
        <v>0</v>
      </c>
      <c r="CA3058">
        <v>1600</v>
      </c>
      <c r="CB3058">
        <v>224</v>
      </c>
      <c r="CD3058">
        <v>1</v>
      </c>
      <c r="CE3058">
        <v>0</v>
      </c>
      <c r="CF3058">
        <v>0</v>
      </c>
      <c r="CG3058">
        <v>1</v>
      </c>
      <c r="CH3058">
        <v>0</v>
      </c>
      <c r="CI3058">
        <v>0</v>
      </c>
      <c r="CJ3058">
        <v>0</v>
      </c>
      <c r="CK3058">
        <v>2</v>
      </c>
      <c r="CL3058">
        <v>0</v>
      </c>
      <c r="CM3058">
        <v>2</v>
      </c>
      <c r="CN3058">
        <v>0</v>
      </c>
      <c r="CO3058">
        <v>7</v>
      </c>
      <c r="CP3058" t="s">
        <v>119</v>
      </c>
      <c r="CQ3058">
        <v>180</v>
      </c>
      <c r="CR3058">
        <v>3</v>
      </c>
      <c r="CW3058">
        <v>1052818</v>
      </c>
      <c r="CY3058">
        <v>1</v>
      </c>
      <c r="CZ3058">
        <v>0</v>
      </c>
      <c r="DA3058">
        <v>1</v>
      </c>
      <c r="DB3058">
        <v>0</v>
      </c>
      <c r="DC3058">
        <v>0</v>
      </c>
      <c r="DD3058">
        <v>0</v>
      </c>
      <c r="DE3058">
        <v>0</v>
      </c>
      <c r="DF3058">
        <v>0</v>
      </c>
      <c r="DG3058">
        <v>0</v>
      </c>
      <c r="DH3058">
        <v>0</v>
      </c>
      <c r="DI3058">
        <v>0</v>
      </c>
    </row>
    <row r="3059" spans="1:113" x14ac:dyDescent="0.3">
      <c r="A3059" t="str">
        <f>"02/08/2021 20:30:56.376"</f>
        <v>02/08/2021 20:30:56.376</v>
      </c>
      <c r="C3059" t="str">
        <f t="shared" si="148"/>
        <v>FFDFD7C0</v>
      </c>
      <c r="D3059" t="s">
        <v>113</v>
      </c>
      <c r="E3059">
        <v>6</v>
      </c>
      <c r="H3059">
        <v>165</v>
      </c>
      <c r="I3059" t="s">
        <v>114</v>
      </c>
      <c r="J3059" t="s">
        <v>115</v>
      </c>
      <c r="K3059">
        <v>0</v>
      </c>
      <c r="L3059">
        <v>3</v>
      </c>
      <c r="M3059">
        <v>0</v>
      </c>
      <c r="N3059">
        <v>2</v>
      </c>
      <c r="O3059">
        <v>1</v>
      </c>
      <c r="P3059">
        <v>0</v>
      </c>
      <c r="Q3059">
        <v>0</v>
      </c>
      <c r="S3059" t="str">
        <f>"20:30:58.664"</f>
        <v>20:30:58.664</v>
      </c>
      <c r="T3059" t="str">
        <f>"20:30:58.264"</f>
        <v>20:30:58.264</v>
      </c>
      <c r="U3059" t="str">
        <f t="shared" si="147"/>
        <v>AB01F4</v>
      </c>
      <c r="V3059">
        <v>0</v>
      </c>
      <c r="W3059">
        <v>0</v>
      </c>
      <c r="X3059">
        <v>2</v>
      </c>
      <c r="Z3059">
        <v>0</v>
      </c>
      <c r="AA3059">
        <v>9</v>
      </c>
      <c r="AB3059">
        <v>3</v>
      </c>
      <c r="AC3059">
        <v>0</v>
      </c>
      <c r="AD3059">
        <v>10</v>
      </c>
      <c r="AE3059">
        <v>0</v>
      </c>
      <c r="AF3059">
        <v>3</v>
      </c>
      <c r="AG3059">
        <v>2</v>
      </c>
      <c r="AH3059">
        <v>0</v>
      </c>
      <c r="AI3059" t="s">
        <v>1779</v>
      </c>
      <c r="AJ3059">
        <v>40.041260999999999</v>
      </c>
      <c r="AK3059" t="s">
        <v>1780</v>
      </c>
      <c r="AL3059">
        <v>-92.872045</v>
      </c>
      <c r="AM3059">
        <v>100</v>
      </c>
      <c r="AN3059">
        <v>1300</v>
      </c>
      <c r="AO3059" t="s">
        <v>118</v>
      </c>
      <c r="AP3059">
        <v>-125</v>
      </c>
      <c r="AQ3059">
        <v>55</v>
      </c>
      <c r="AR3059">
        <v>-128</v>
      </c>
      <c r="AZ3059">
        <v>1200</v>
      </c>
      <c r="BA3059">
        <v>1</v>
      </c>
      <c r="BB3059" t="str">
        <f t="shared" si="149"/>
        <v xml:space="preserve">N8080G  </v>
      </c>
      <c r="BC3059">
        <v>1</v>
      </c>
      <c r="BE3059">
        <v>0</v>
      </c>
      <c r="BF3059">
        <v>0</v>
      </c>
      <c r="BG3059">
        <v>0</v>
      </c>
      <c r="BH3059">
        <v>1350</v>
      </c>
      <c r="BI3059">
        <v>1</v>
      </c>
      <c r="BJ3059">
        <v>1</v>
      </c>
      <c r="BK3059">
        <v>1</v>
      </c>
      <c r="BL3059">
        <v>0</v>
      </c>
      <c r="BO3059">
        <v>0</v>
      </c>
      <c r="BP3059">
        <v>0</v>
      </c>
      <c r="BW3059" t="str">
        <f>"20:30:58.670"</f>
        <v>20:30:58.670</v>
      </c>
      <c r="BZ3059">
        <v>0</v>
      </c>
      <c r="CA3059">
        <v>1600</v>
      </c>
      <c r="CB3059">
        <v>224</v>
      </c>
      <c r="CD3059">
        <v>1</v>
      </c>
      <c r="CE3059">
        <v>0</v>
      </c>
      <c r="CF3059">
        <v>0</v>
      </c>
      <c r="CG3059">
        <v>1</v>
      </c>
      <c r="CH3059">
        <v>0</v>
      </c>
      <c r="CI3059">
        <v>0</v>
      </c>
      <c r="CJ3059">
        <v>0</v>
      </c>
      <c r="CK3059">
        <v>2</v>
      </c>
      <c r="CL3059">
        <v>0</v>
      </c>
      <c r="CM3059">
        <v>2</v>
      </c>
      <c r="CN3059">
        <v>0</v>
      </c>
      <c r="CO3059">
        <v>7</v>
      </c>
      <c r="CP3059" t="s">
        <v>119</v>
      </c>
      <c r="CQ3059">
        <v>180</v>
      </c>
      <c r="CR3059">
        <v>3</v>
      </c>
      <c r="CW3059">
        <v>1053916</v>
      </c>
      <c r="CY3059">
        <v>1</v>
      </c>
      <c r="CZ3059">
        <v>0</v>
      </c>
      <c r="DA3059">
        <v>0</v>
      </c>
      <c r="DB3059">
        <v>0</v>
      </c>
      <c r="DC3059">
        <v>0</v>
      </c>
      <c r="DD3059">
        <v>0</v>
      </c>
      <c r="DE3059">
        <v>0</v>
      </c>
      <c r="DF3059">
        <v>0</v>
      </c>
      <c r="DG3059">
        <v>0</v>
      </c>
      <c r="DH3059">
        <v>0</v>
      </c>
      <c r="DI3059">
        <v>0</v>
      </c>
    </row>
    <row r="3060" spans="1:113" x14ac:dyDescent="0.3">
      <c r="A3060" t="str">
        <f>"02/08/2021 20:30:56.376"</f>
        <v>02/08/2021 20:30:56.376</v>
      </c>
      <c r="C3060" t="str">
        <f t="shared" si="148"/>
        <v>FFDFD7C0</v>
      </c>
      <c r="D3060" t="s">
        <v>124</v>
      </c>
      <c r="E3060">
        <v>13</v>
      </c>
      <c r="F3060">
        <v>1013</v>
      </c>
      <c r="G3060" t="s">
        <v>114</v>
      </c>
      <c r="J3060" t="s">
        <v>125</v>
      </c>
      <c r="K3060">
        <v>0</v>
      </c>
      <c r="L3060">
        <v>3</v>
      </c>
      <c r="M3060">
        <v>0</v>
      </c>
      <c r="N3060">
        <v>2</v>
      </c>
      <c r="O3060">
        <v>1</v>
      </c>
      <c r="P3060">
        <v>0</v>
      </c>
      <c r="Q3060">
        <v>0</v>
      </c>
      <c r="S3060" t="str">
        <f>"20:30:58.664"</f>
        <v>20:30:58.664</v>
      </c>
      <c r="T3060" t="str">
        <f>"20:30:58.264"</f>
        <v>20:30:58.264</v>
      </c>
      <c r="U3060" t="str">
        <f t="shared" si="147"/>
        <v>AB01F4</v>
      </c>
      <c r="V3060">
        <v>0</v>
      </c>
      <c r="W3060">
        <v>0</v>
      </c>
      <c r="X3060">
        <v>2</v>
      </c>
      <c r="Z3060">
        <v>0</v>
      </c>
      <c r="AA3060">
        <v>9</v>
      </c>
      <c r="AB3060">
        <v>3</v>
      </c>
      <c r="AC3060">
        <v>0</v>
      </c>
      <c r="AD3060">
        <v>10</v>
      </c>
      <c r="AE3060">
        <v>0</v>
      </c>
      <c r="AF3060">
        <v>3</v>
      </c>
      <c r="AG3060">
        <v>2</v>
      </c>
      <c r="AH3060">
        <v>0</v>
      </c>
      <c r="AI3060" t="s">
        <v>1779</v>
      </c>
      <c r="AJ3060">
        <v>40.041260999999999</v>
      </c>
      <c r="AK3060" t="s">
        <v>1780</v>
      </c>
      <c r="AL3060">
        <v>-92.872045</v>
      </c>
      <c r="AM3060">
        <v>100</v>
      </c>
      <c r="AN3060">
        <v>1300</v>
      </c>
      <c r="AO3060" t="s">
        <v>118</v>
      </c>
      <c r="AP3060">
        <v>-125</v>
      </c>
      <c r="AQ3060">
        <v>55</v>
      </c>
      <c r="AR3060">
        <v>-128</v>
      </c>
      <c r="AZ3060">
        <v>1200</v>
      </c>
      <c r="BA3060">
        <v>1</v>
      </c>
      <c r="BB3060" t="str">
        <f t="shared" si="149"/>
        <v xml:space="preserve">N8080G  </v>
      </c>
      <c r="BC3060">
        <v>1</v>
      </c>
      <c r="BE3060">
        <v>0</v>
      </c>
      <c r="BF3060">
        <v>0</v>
      </c>
      <c r="BG3060">
        <v>0</v>
      </c>
      <c r="BH3060">
        <v>1350</v>
      </c>
      <c r="BI3060">
        <v>1</v>
      </c>
      <c r="BJ3060">
        <v>1</v>
      </c>
      <c r="BK3060">
        <v>1</v>
      </c>
      <c r="BL3060">
        <v>0</v>
      </c>
      <c r="BO3060">
        <v>0</v>
      </c>
      <c r="BP3060">
        <v>0</v>
      </c>
      <c r="BW3060" t="str">
        <f>"20:30:58.670"</f>
        <v>20:30:58.670</v>
      </c>
      <c r="BZ3060">
        <v>0</v>
      </c>
      <c r="CA3060">
        <v>1600</v>
      </c>
      <c r="CB3060">
        <v>224</v>
      </c>
      <c r="CD3060">
        <v>1</v>
      </c>
      <c r="CE3060">
        <v>0</v>
      </c>
      <c r="CF3060">
        <v>0</v>
      </c>
      <c r="CG3060">
        <v>1</v>
      </c>
      <c r="CH3060">
        <v>0</v>
      </c>
      <c r="CI3060">
        <v>0</v>
      </c>
      <c r="CJ3060">
        <v>0</v>
      </c>
      <c r="CK3060">
        <v>2</v>
      </c>
      <c r="CL3060">
        <v>0</v>
      </c>
      <c r="CM3060">
        <v>2</v>
      </c>
      <c r="CN3060">
        <v>0</v>
      </c>
      <c r="CO3060">
        <v>7</v>
      </c>
      <c r="CP3060" t="s">
        <v>119</v>
      </c>
      <c r="CQ3060">
        <v>180</v>
      </c>
      <c r="CR3060">
        <v>3</v>
      </c>
      <c r="CW3060">
        <v>1053916</v>
      </c>
      <c r="CY3060">
        <v>1</v>
      </c>
      <c r="CZ3060">
        <v>0</v>
      </c>
      <c r="DA3060">
        <v>1</v>
      </c>
      <c r="DB3060">
        <v>0</v>
      </c>
      <c r="DC3060">
        <v>0</v>
      </c>
      <c r="DD3060">
        <v>0</v>
      </c>
      <c r="DE3060">
        <v>0</v>
      </c>
      <c r="DF3060">
        <v>0</v>
      </c>
      <c r="DG3060">
        <v>0</v>
      </c>
      <c r="DH3060">
        <v>0</v>
      </c>
      <c r="DI3060">
        <v>0</v>
      </c>
    </row>
    <row r="3061" spans="1:113" x14ac:dyDescent="0.3">
      <c r="A3061" t="str">
        <f>"02/08/2021 20:30:56.376"</f>
        <v>02/08/2021 20:30:56.376</v>
      </c>
      <c r="C3061" t="str">
        <f t="shared" si="148"/>
        <v>FFDFD7C0</v>
      </c>
      <c r="D3061" t="s">
        <v>124</v>
      </c>
      <c r="E3061">
        <v>11</v>
      </c>
      <c r="F3061">
        <v>1011</v>
      </c>
      <c r="G3061" t="s">
        <v>590</v>
      </c>
      <c r="J3061" t="s">
        <v>125</v>
      </c>
      <c r="K3061">
        <v>0</v>
      </c>
      <c r="L3061">
        <v>3</v>
      </c>
      <c r="M3061">
        <v>0</v>
      </c>
      <c r="N3061">
        <v>2</v>
      </c>
      <c r="O3061">
        <v>1</v>
      </c>
      <c r="P3061">
        <v>0</v>
      </c>
      <c r="Q3061">
        <v>0</v>
      </c>
      <c r="S3061" t="str">
        <f>"20:30:58.664"</f>
        <v>20:30:58.664</v>
      </c>
      <c r="T3061" t="str">
        <f>"20:30:58.264"</f>
        <v>20:30:58.264</v>
      </c>
      <c r="U3061" t="str">
        <f t="shared" si="147"/>
        <v>AB01F4</v>
      </c>
      <c r="V3061">
        <v>0</v>
      </c>
      <c r="W3061">
        <v>0</v>
      </c>
      <c r="X3061">
        <v>2</v>
      </c>
      <c r="Z3061">
        <v>0</v>
      </c>
      <c r="AA3061">
        <v>9</v>
      </c>
      <c r="AB3061">
        <v>3</v>
      </c>
      <c r="AC3061">
        <v>0</v>
      </c>
      <c r="AD3061">
        <v>10</v>
      </c>
      <c r="AE3061">
        <v>0</v>
      </c>
      <c r="AF3061">
        <v>3</v>
      </c>
      <c r="AG3061">
        <v>2</v>
      </c>
      <c r="AH3061">
        <v>0</v>
      </c>
      <c r="AI3061" t="s">
        <v>1779</v>
      </c>
      <c r="AJ3061">
        <v>40.041260999999999</v>
      </c>
      <c r="AK3061" t="s">
        <v>1780</v>
      </c>
      <c r="AL3061">
        <v>-92.872045</v>
      </c>
      <c r="AM3061">
        <v>100</v>
      </c>
      <c r="AN3061">
        <v>1300</v>
      </c>
      <c r="AO3061" t="s">
        <v>118</v>
      </c>
      <c r="AP3061">
        <v>-125</v>
      </c>
      <c r="AQ3061">
        <v>55</v>
      </c>
      <c r="AR3061">
        <v>-128</v>
      </c>
      <c r="AZ3061">
        <v>1200</v>
      </c>
      <c r="BA3061">
        <v>1</v>
      </c>
      <c r="BB3061" t="str">
        <f t="shared" si="149"/>
        <v xml:space="preserve">N8080G  </v>
      </c>
      <c r="BC3061">
        <v>1</v>
      </c>
      <c r="BE3061">
        <v>0</v>
      </c>
      <c r="BF3061">
        <v>0</v>
      </c>
      <c r="BG3061">
        <v>0</v>
      </c>
      <c r="BH3061">
        <v>1350</v>
      </c>
      <c r="BI3061">
        <v>1</v>
      </c>
      <c r="BJ3061">
        <v>1</v>
      </c>
      <c r="BK3061">
        <v>1</v>
      </c>
      <c r="BL3061">
        <v>0</v>
      </c>
      <c r="BO3061">
        <v>0</v>
      </c>
      <c r="BP3061">
        <v>0</v>
      </c>
      <c r="BW3061" t="str">
        <f>"20:30:58.670"</f>
        <v>20:30:58.670</v>
      </c>
      <c r="BZ3061">
        <v>0</v>
      </c>
      <c r="CA3061">
        <v>1600</v>
      </c>
      <c r="CB3061">
        <v>224</v>
      </c>
      <c r="CD3061">
        <v>1</v>
      </c>
      <c r="CE3061">
        <v>0</v>
      </c>
      <c r="CF3061">
        <v>0</v>
      </c>
      <c r="CG3061">
        <v>1</v>
      </c>
      <c r="CH3061">
        <v>0</v>
      </c>
      <c r="CI3061">
        <v>0</v>
      </c>
      <c r="CJ3061">
        <v>0</v>
      </c>
      <c r="CK3061">
        <v>2</v>
      </c>
      <c r="CL3061">
        <v>0</v>
      </c>
      <c r="CM3061">
        <v>2</v>
      </c>
      <c r="CN3061">
        <v>0</v>
      </c>
      <c r="CO3061">
        <v>7</v>
      </c>
      <c r="CP3061" t="s">
        <v>119</v>
      </c>
      <c r="CQ3061">
        <v>180</v>
      </c>
      <c r="CR3061">
        <v>3</v>
      </c>
      <c r="CW3061">
        <v>1053916</v>
      </c>
      <c r="CY3061">
        <v>1</v>
      </c>
      <c r="CZ3061">
        <v>0</v>
      </c>
      <c r="DA3061">
        <v>1</v>
      </c>
      <c r="DB3061">
        <v>0</v>
      </c>
      <c r="DC3061">
        <v>0</v>
      </c>
      <c r="DD3061">
        <v>0</v>
      </c>
      <c r="DE3061">
        <v>0</v>
      </c>
      <c r="DF3061">
        <v>0</v>
      </c>
      <c r="DG3061">
        <v>0</v>
      </c>
      <c r="DH3061">
        <v>0</v>
      </c>
      <c r="DI3061">
        <v>0</v>
      </c>
    </row>
    <row r="3062" spans="1:113" x14ac:dyDescent="0.3">
      <c r="A3062" t="str">
        <f>"02/08/2021 20:30:56.376"</f>
        <v>02/08/2021 20:30:56.376</v>
      </c>
      <c r="C3062" t="str">
        <f t="shared" si="148"/>
        <v>FFDFD7C0</v>
      </c>
      <c r="D3062" t="s">
        <v>124</v>
      </c>
      <c r="E3062">
        <v>12</v>
      </c>
      <c r="F3062">
        <v>1012</v>
      </c>
      <c r="G3062" t="s">
        <v>675</v>
      </c>
      <c r="J3062" t="s">
        <v>125</v>
      </c>
      <c r="K3062">
        <v>0</v>
      </c>
      <c r="L3062">
        <v>3</v>
      </c>
      <c r="M3062">
        <v>0</v>
      </c>
      <c r="N3062">
        <v>2</v>
      </c>
      <c r="O3062">
        <v>1</v>
      </c>
      <c r="P3062">
        <v>0</v>
      </c>
      <c r="Q3062">
        <v>0</v>
      </c>
      <c r="S3062" t="str">
        <f>"20:30:58.664"</f>
        <v>20:30:58.664</v>
      </c>
      <c r="T3062" t="str">
        <f>"20:30:58.264"</f>
        <v>20:30:58.264</v>
      </c>
      <c r="U3062" t="str">
        <f t="shared" si="147"/>
        <v>AB01F4</v>
      </c>
      <c r="V3062">
        <v>0</v>
      </c>
      <c r="W3062">
        <v>0</v>
      </c>
      <c r="X3062">
        <v>2</v>
      </c>
      <c r="Z3062">
        <v>0</v>
      </c>
      <c r="AA3062">
        <v>9</v>
      </c>
      <c r="AB3062">
        <v>3</v>
      </c>
      <c r="AC3062">
        <v>0</v>
      </c>
      <c r="AD3062">
        <v>10</v>
      </c>
      <c r="AE3062">
        <v>0</v>
      </c>
      <c r="AF3062">
        <v>3</v>
      </c>
      <c r="AG3062">
        <v>2</v>
      </c>
      <c r="AH3062">
        <v>0</v>
      </c>
      <c r="AI3062" t="s">
        <v>1779</v>
      </c>
      <c r="AJ3062">
        <v>40.041260999999999</v>
      </c>
      <c r="AK3062" t="s">
        <v>1780</v>
      </c>
      <c r="AL3062">
        <v>-92.872045</v>
      </c>
      <c r="AM3062">
        <v>100</v>
      </c>
      <c r="AN3062">
        <v>1300</v>
      </c>
      <c r="AO3062" t="s">
        <v>118</v>
      </c>
      <c r="AP3062">
        <v>-125</v>
      </c>
      <c r="AQ3062">
        <v>55</v>
      </c>
      <c r="AR3062">
        <v>-128</v>
      </c>
      <c r="AZ3062">
        <v>1200</v>
      </c>
      <c r="BA3062">
        <v>1</v>
      </c>
      <c r="BB3062" t="str">
        <f t="shared" si="149"/>
        <v xml:space="preserve">N8080G  </v>
      </c>
      <c r="BC3062">
        <v>1</v>
      </c>
      <c r="BE3062">
        <v>0</v>
      </c>
      <c r="BF3062">
        <v>0</v>
      </c>
      <c r="BG3062">
        <v>0</v>
      </c>
      <c r="BH3062">
        <v>1350</v>
      </c>
      <c r="BI3062">
        <v>1</v>
      </c>
      <c r="BJ3062">
        <v>1</v>
      </c>
      <c r="BK3062">
        <v>1</v>
      </c>
      <c r="BL3062">
        <v>0</v>
      </c>
      <c r="BO3062">
        <v>0</v>
      </c>
      <c r="BP3062">
        <v>0</v>
      </c>
      <c r="BW3062" t="str">
        <f>"20:30:58.670"</f>
        <v>20:30:58.670</v>
      </c>
      <c r="BZ3062">
        <v>0</v>
      </c>
      <c r="CA3062">
        <v>1600</v>
      </c>
      <c r="CB3062">
        <v>224</v>
      </c>
      <c r="CD3062">
        <v>1</v>
      </c>
      <c r="CE3062">
        <v>0</v>
      </c>
      <c r="CF3062">
        <v>0</v>
      </c>
      <c r="CG3062">
        <v>1</v>
      </c>
      <c r="CH3062">
        <v>0</v>
      </c>
      <c r="CI3062">
        <v>0</v>
      </c>
      <c r="CJ3062">
        <v>0</v>
      </c>
      <c r="CK3062">
        <v>2</v>
      </c>
      <c r="CL3062">
        <v>0</v>
      </c>
      <c r="CM3062">
        <v>2</v>
      </c>
      <c r="CN3062">
        <v>0</v>
      </c>
      <c r="CO3062">
        <v>7</v>
      </c>
      <c r="CP3062" t="s">
        <v>119</v>
      </c>
      <c r="CQ3062">
        <v>180</v>
      </c>
      <c r="CR3062">
        <v>3</v>
      </c>
      <c r="CW3062">
        <v>1053916</v>
      </c>
      <c r="CY3062">
        <v>1</v>
      </c>
      <c r="CZ3062">
        <v>0</v>
      </c>
      <c r="DA3062">
        <v>1</v>
      </c>
      <c r="DB3062">
        <v>0</v>
      </c>
      <c r="DC3062">
        <v>0</v>
      </c>
      <c r="DD3062">
        <v>0</v>
      </c>
      <c r="DE3062">
        <v>0</v>
      </c>
      <c r="DF3062">
        <v>0</v>
      </c>
      <c r="DG3062">
        <v>0</v>
      </c>
      <c r="DH3062">
        <v>0</v>
      </c>
      <c r="DI3062">
        <v>0</v>
      </c>
    </row>
    <row r="3063" spans="1:113" x14ac:dyDescent="0.3">
      <c r="A3063" t="str">
        <f>"02/08/2021 20:30:57.434"</f>
        <v>02/08/2021 20:30:57.434</v>
      </c>
      <c r="C3063" t="str">
        <f t="shared" si="148"/>
        <v>FFDFD7C0</v>
      </c>
      <c r="D3063" t="s">
        <v>124</v>
      </c>
      <c r="E3063">
        <v>13</v>
      </c>
      <c r="F3063">
        <v>1013</v>
      </c>
      <c r="G3063" t="s">
        <v>114</v>
      </c>
      <c r="J3063" t="s">
        <v>125</v>
      </c>
      <c r="K3063">
        <v>0</v>
      </c>
      <c r="L3063">
        <v>3</v>
      </c>
      <c r="M3063">
        <v>0</v>
      </c>
      <c r="N3063">
        <v>2</v>
      </c>
      <c r="O3063">
        <v>1</v>
      </c>
      <c r="P3063">
        <v>0</v>
      </c>
      <c r="Q3063">
        <v>0</v>
      </c>
      <c r="S3063" t="str">
        <f>"20:30:59.773"</f>
        <v>20:30:59.773</v>
      </c>
      <c r="T3063" t="str">
        <f>"20:30:59.273"</f>
        <v>20:30:59.273</v>
      </c>
      <c r="U3063" t="str">
        <f t="shared" si="147"/>
        <v>AB01F4</v>
      </c>
      <c r="V3063">
        <v>0</v>
      </c>
      <c r="W3063">
        <v>0</v>
      </c>
      <c r="X3063">
        <v>2</v>
      </c>
      <c r="Z3063">
        <v>0</v>
      </c>
      <c r="AA3063">
        <v>9</v>
      </c>
      <c r="AB3063">
        <v>3</v>
      </c>
      <c r="AC3063">
        <v>0</v>
      </c>
      <c r="AD3063">
        <v>10</v>
      </c>
      <c r="AE3063">
        <v>0</v>
      </c>
      <c r="AF3063">
        <v>3</v>
      </c>
      <c r="AG3063">
        <v>2</v>
      </c>
      <c r="AH3063">
        <v>0</v>
      </c>
      <c r="AI3063" t="s">
        <v>1781</v>
      </c>
      <c r="AJ3063">
        <v>40.041539999999998</v>
      </c>
      <c r="AK3063" t="s">
        <v>1782</v>
      </c>
      <c r="AL3063">
        <v>-92.872860000000003</v>
      </c>
      <c r="AM3063">
        <v>100</v>
      </c>
      <c r="AN3063">
        <v>1300</v>
      </c>
      <c r="AO3063" t="s">
        <v>118</v>
      </c>
      <c r="AP3063">
        <v>-125</v>
      </c>
      <c r="AQ3063">
        <v>56</v>
      </c>
      <c r="AR3063">
        <v>-64</v>
      </c>
      <c r="AZ3063">
        <v>1200</v>
      </c>
      <c r="BA3063">
        <v>1</v>
      </c>
      <c r="BB3063" t="str">
        <f t="shared" si="149"/>
        <v xml:space="preserve">N8080G  </v>
      </c>
      <c r="BC3063">
        <v>1</v>
      </c>
      <c r="BE3063">
        <v>0</v>
      </c>
      <c r="BF3063">
        <v>0</v>
      </c>
      <c r="BG3063">
        <v>0</v>
      </c>
      <c r="BH3063">
        <v>1350</v>
      </c>
      <c r="BI3063">
        <v>1</v>
      </c>
      <c r="BJ3063">
        <v>1</v>
      </c>
      <c r="BK3063">
        <v>1</v>
      </c>
      <c r="BL3063">
        <v>0</v>
      </c>
      <c r="BO3063">
        <v>0</v>
      </c>
      <c r="BP3063">
        <v>0</v>
      </c>
      <c r="BW3063" t="str">
        <f>"20:30:59.778"</f>
        <v>20:30:59.778</v>
      </c>
      <c r="BZ3063">
        <v>0</v>
      </c>
      <c r="CA3063">
        <v>1600</v>
      </c>
      <c r="CB3063">
        <v>224</v>
      </c>
      <c r="CD3063">
        <v>1</v>
      </c>
      <c r="CE3063">
        <v>0</v>
      </c>
      <c r="CF3063">
        <v>0</v>
      </c>
      <c r="CG3063">
        <v>1</v>
      </c>
      <c r="CH3063">
        <v>0</v>
      </c>
      <c r="CI3063">
        <v>0</v>
      </c>
      <c r="CJ3063">
        <v>0</v>
      </c>
      <c r="CK3063">
        <v>2</v>
      </c>
      <c r="CL3063">
        <v>0</v>
      </c>
      <c r="CM3063">
        <v>2</v>
      </c>
      <c r="CN3063">
        <v>0</v>
      </c>
      <c r="CO3063">
        <v>7</v>
      </c>
      <c r="CP3063" t="s">
        <v>119</v>
      </c>
      <c r="CQ3063">
        <v>180</v>
      </c>
      <c r="CR3063">
        <v>2</v>
      </c>
      <c r="CW3063">
        <v>8706578</v>
      </c>
      <c r="CY3063">
        <v>1</v>
      </c>
      <c r="CZ3063">
        <v>0</v>
      </c>
      <c r="DA3063">
        <v>0</v>
      </c>
      <c r="DB3063">
        <v>0</v>
      </c>
      <c r="DC3063">
        <v>0</v>
      </c>
      <c r="DD3063">
        <v>0</v>
      </c>
      <c r="DE3063">
        <v>0</v>
      </c>
      <c r="DF3063">
        <v>0</v>
      </c>
      <c r="DG3063">
        <v>0</v>
      </c>
      <c r="DH3063">
        <v>0</v>
      </c>
      <c r="DI3063">
        <v>0</v>
      </c>
    </row>
    <row r="3064" spans="1:113" x14ac:dyDescent="0.3">
      <c r="A3064" t="str">
        <f>"02/08/2021 20:30:57.434"</f>
        <v>02/08/2021 20:30:57.434</v>
      </c>
      <c r="C3064" t="str">
        <f t="shared" si="148"/>
        <v>FFDFD7C0</v>
      </c>
      <c r="D3064" t="s">
        <v>113</v>
      </c>
      <c r="E3064">
        <v>6</v>
      </c>
      <c r="H3064">
        <v>165</v>
      </c>
      <c r="I3064" t="s">
        <v>114</v>
      </c>
      <c r="J3064" t="s">
        <v>115</v>
      </c>
      <c r="K3064">
        <v>0</v>
      </c>
      <c r="L3064">
        <v>3</v>
      </c>
      <c r="M3064">
        <v>0</v>
      </c>
      <c r="N3064">
        <v>2</v>
      </c>
      <c r="O3064">
        <v>1</v>
      </c>
      <c r="P3064">
        <v>0</v>
      </c>
      <c r="Q3064">
        <v>0</v>
      </c>
      <c r="S3064" t="str">
        <f>"20:30:59.773"</f>
        <v>20:30:59.773</v>
      </c>
      <c r="T3064" t="str">
        <f>"20:30:59.273"</f>
        <v>20:30:59.273</v>
      </c>
      <c r="U3064" t="str">
        <f t="shared" si="147"/>
        <v>AB01F4</v>
      </c>
      <c r="V3064">
        <v>0</v>
      </c>
      <c r="W3064">
        <v>0</v>
      </c>
      <c r="X3064">
        <v>2</v>
      </c>
      <c r="Z3064">
        <v>0</v>
      </c>
      <c r="AA3064">
        <v>9</v>
      </c>
      <c r="AB3064">
        <v>3</v>
      </c>
      <c r="AC3064">
        <v>0</v>
      </c>
      <c r="AD3064">
        <v>10</v>
      </c>
      <c r="AE3064">
        <v>0</v>
      </c>
      <c r="AF3064">
        <v>3</v>
      </c>
      <c r="AG3064">
        <v>2</v>
      </c>
      <c r="AH3064">
        <v>0</v>
      </c>
      <c r="AI3064" t="s">
        <v>1781</v>
      </c>
      <c r="AJ3064">
        <v>40.041539999999998</v>
      </c>
      <c r="AK3064" t="s">
        <v>1782</v>
      </c>
      <c r="AL3064">
        <v>-92.872860000000003</v>
      </c>
      <c r="AM3064">
        <v>100</v>
      </c>
      <c r="AN3064">
        <v>1300</v>
      </c>
      <c r="AO3064" t="s">
        <v>118</v>
      </c>
      <c r="AP3064">
        <v>-125</v>
      </c>
      <c r="AQ3064">
        <v>56</v>
      </c>
      <c r="AR3064">
        <v>-64</v>
      </c>
      <c r="AZ3064">
        <v>1200</v>
      </c>
      <c r="BA3064">
        <v>1</v>
      </c>
      <c r="BB3064" t="str">
        <f t="shared" si="149"/>
        <v xml:space="preserve">N8080G  </v>
      </c>
      <c r="BC3064">
        <v>1</v>
      </c>
      <c r="BE3064">
        <v>0</v>
      </c>
      <c r="BF3064">
        <v>0</v>
      </c>
      <c r="BG3064">
        <v>0</v>
      </c>
      <c r="BH3064">
        <v>1350</v>
      </c>
      <c r="BI3064">
        <v>1</v>
      </c>
      <c r="BJ3064">
        <v>1</v>
      </c>
      <c r="BK3064">
        <v>1</v>
      </c>
      <c r="BL3064">
        <v>0</v>
      </c>
      <c r="BO3064">
        <v>0</v>
      </c>
      <c r="BP3064">
        <v>0</v>
      </c>
      <c r="BW3064" t="str">
        <f>"20:30:59.778"</f>
        <v>20:30:59.778</v>
      </c>
      <c r="BZ3064">
        <v>0</v>
      </c>
      <c r="CA3064">
        <v>1600</v>
      </c>
      <c r="CB3064">
        <v>224</v>
      </c>
      <c r="CD3064">
        <v>1</v>
      </c>
      <c r="CE3064">
        <v>0</v>
      </c>
      <c r="CF3064">
        <v>0</v>
      </c>
      <c r="CG3064">
        <v>1</v>
      </c>
      <c r="CH3064">
        <v>0</v>
      </c>
      <c r="CI3064">
        <v>0</v>
      </c>
      <c r="CJ3064">
        <v>0</v>
      </c>
      <c r="CK3064">
        <v>2</v>
      </c>
      <c r="CL3064">
        <v>0</v>
      </c>
      <c r="CM3064">
        <v>2</v>
      </c>
      <c r="CN3064">
        <v>0</v>
      </c>
      <c r="CO3064">
        <v>7</v>
      </c>
      <c r="CP3064" t="s">
        <v>119</v>
      </c>
      <c r="CQ3064">
        <v>180</v>
      </c>
      <c r="CR3064">
        <v>2</v>
      </c>
      <c r="CW3064">
        <v>8706578</v>
      </c>
      <c r="CY3064">
        <v>1</v>
      </c>
      <c r="CZ3064">
        <v>0</v>
      </c>
      <c r="DA3064">
        <v>1</v>
      </c>
      <c r="DB3064">
        <v>0</v>
      </c>
      <c r="DC3064">
        <v>0</v>
      </c>
      <c r="DD3064">
        <v>0</v>
      </c>
      <c r="DE3064">
        <v>0</v>
      </c>
      <c r="DF3064">
        <v>0</v>
      </c>
      <c r="DG3064">
        <v>0</v>
      </c>
      <c r="DH3064">
        <v>0</v>
      </c>
      <c r="DI3064">
        <v>0</v>
      </c>
    </row>
    <row r="3065" spans="1:113" x14ac:dyDescent="0.3">
      <c r="A3065" t="str">
        <f>"02/08/2021 20:30:57.434"</f>
        <v>02/08/2021 20:30:57.434</v>
      </c>
      <c r="C3065" t="str">
        <f t="shared" si="148"/>
        <v>FFDFD7C0</v>
      </c>
      <c r="D3065" t="s">
        <v>124</v>
      </c>
      <c r="E3065">
        <v>11</v>
      </c>
      <c r="F3065">
        <v>1011</v>
      </c>
      <c r="G3065" t="s">
        <v>590</v>
      </c>
      <c r="J3065" t="s">
        <v>125</v>
      </c>
      <c r="K3065">
        <v>0</v>
      </c>
      <c r="L3065">
        <v>3</v>
      </c>
      <c r="M3065">
        <v>0</v>
      </c>
      <c r="N3065">
        <v>2</v>
      </c>
      <c r="O3065">
        <v>1</v>
      </c>
      <c r="P3065">
        <v>0</v>
      </c>
      <c r="Q3065">
        <v>0</v>
      </c>
      <c r="S3065" t="str">
        <f>"20:30:59.773"</f>
        <v>20:30:59.773</v>
      </c>
      <c r="T3065" t="str">
        <f>"20:30:59.273"</f>
        <v>20:30:59.273</v>
      </c>
      <c r="U3065" t="str">
        <f t="shared" si="147"/>
        <v>AB01F4</v>
      </c>
      <c r="V3065">
        <v>0</v>
      </c>
      <c r="W3065">
        <v>0</v>
      </c>
      <c r="X3065">
        <v>2</v>
      </c>
      <c r="Z3065">
        <v>0</v>
      </c>
      <c r="AA3065">
        <v>9</v>
      </c>
      <c r="AB3065">
        <v>3</v>
      </c>
      <c r="AC3065">
        <v>0</v>
      </c>
      <c r="AD3065">
        <v>10</v>
      </c>
      <c r="AE3065">
        <v>0</v>
      </c>
      <c r="AF3065">
        <v>3</v>
      </c>
      <c r="AG3065">
        <v>2</v>
      </c>
      <c r="AH3065">
        <v>0</v>
      </c>
      <c r="AI3065" t="s">
        <v>1781</v>
      </c>
      <c r="AJ3065">
        <v>40.041539999999998</v>
      </c>
      <c r="AK3065" t="s">
        <v>1782</v>
      </c>
      <c r="AL3065">
        <v>-92.872860000000003</v>
      </c>
      <c r="AM3065">
        <v>100</v>
      </c>
      <c r="AN3065">
        <v>1300</v>
      </c>
      <c r="AO3065" t="s">
        <v>118</v>
      </c>
      <c r="AP3065">
        <v>-125</v>
      </c>
      <c r="AQ3065">
        <v>56</v>
      </c>
      <c r="AR3065">
        <v>-64</v>
      </c>
      <c r="AZ3065">
        <v>1200</v>
      </c>
      <c r="BA3065">
        <v>1</v>
      </c>
      <c r="BB3065" t="str">
        <f t="shared" si="149"/>
        <v xml:space="preserve">N8080G  </v>
      </c>
      <c r="BC3065">
        <v>1</v>
      </c>
      <c r="BE3065">
        <v>0</v>
      </c>
      <c r="BF3065">
        <v>0</v>
      </c>
      <c r="BG3065">
        <v>0</v>
      </c>
      <c r="BH3065">
        <v>1350</v>
      </c>
      <c r="BI3065">
        <v>1</v>
      </c>
      <c r="BJ3065">
        <v>1</v>
      </c>
      <c r="BK3065">
        <v>1</v>
      </c>
      <c r="BL3065">
        <v>0</v>
      </c>
      <c r="BO3065">
        <v>0</v>
      </c>
      <c r="BP3065">
        <v>0</v>
      </c>
      <c r="BW3065" t="str">
        <f>"20:30:59.778"</f>
        <v>20:30:59.778</v>
      </c>
      <c r="BZ3065">
        <v>0</v>
      </c>
      <c r="CA3065">
        <v>1600</v>
      </c>
      <c r="CB3065">
        <v>224</v>
      </c>
      <c r="CD3065">
        <v>1</v>
      </c>
      <c r="CE3065">
        <v>0</v>
      </c>
      <c r="CF3065">
        <v>0</v>
      </c>
      <c r="CG3065">
        <v>1</v>
      </c>
      <c r="CH3065">
        <v>0</v>
      </c>
      <c r="CI3065">
        <v>0</v>
      </c>
      <c r="CJ3065">
        <v>0</v>
      </c>
      <c r="CK3065">
        <v>2</v>
      </c>
      <c r="CL3065">
        <v>0</v>
      </c>
      <c r="CM3065">
        <v>2</v>
      </c>
      <c r="CN3065">
        <v>0</v>
      </c>
      <c r="CO3065">
        <v>7</v>
      </c>
      <c r="CP3065" t="s">
        <v>119</v>
      </c>
      <c r="CQ3065">
        <v>180</v>
      </c>
      <c r="CR3065">
        <v>2</v>
      </c>
      <c r="CW3065">
        <v>8706578</v>
      </c>
      <c r="CY3065">
        <v>1</v>
      </c>
      <c r="CZ3065">
        <v>0</v>
      </c>
      <c r="DA3065">
        <v>1</v>
      </c>
      <c r="DB3065">
        <v>0</v>
      </c>
      <c r="DC3065">
        <v>0</v>
      </c>
      <c r="DD3065">
        <v>0</v>
      </c>
      <c r="DE3065">
        <v>0</v>
      </c>
      <c r="DF3065">
        <v>0</v>
      </c>
      <c r="DG3065">
        <v>0</v>
      </c>
      <c r="DH3065">
        <v>0</v>
      </c>
      <c r="DI3065">
        <v>0</v>
      </c>
    </row>
    <row r="3066" spans="1:113" x14ac:dyDescent="0.3">
      <c r="A3066" t="str">
        <f>"02/08/2021 20:30:57.434"</f>
        <v>02/08/2021 20:30:57.434</v>
      </c>
      <c r="C3066" t="str">
        <f t="shared" si="148"/>
        <v>FFDFD7C0</v>
      </c>
      <c r="D3066" t="s">
        <v>124</v>
      </c>
      <c r="E3066">
        <v>12</v>
      </c>
      <c r="F3066">
        <v>1012</v>
      </c>
      <c r="G3066" t="s">
        <v>675</v>
      </c>
      <c r="J3066" t="s">
        <v>125</v>
      </c>
      <c r="K3066">
        <v>0</v>
      </c>
      <c r="L3066">
        <v>3</v>
      </c>
      <c r="M3066">
        <v>0</v>
      </c>
      <c r="N3066">
        <v>2</v>
      </c>
      <c r="O3066">
        <v>1</v>
      </c>
      <c r="P3066">
        <v>0</v>
      </c>
      <c r="Q3066">
        <v>0</v>
      </c>
      <c r="S3066" t="str">
        <f>"20:30:59.773"</f>
        <v>20:30:59.773</v>
      </c>
      <c r="T3066" t="str">
        <f>"20:30:59.273"</f>
        <v>20:30:59.273</v>
      </c>
      <c r="U3066" t="str">
        <f t="shared" si="147"/>
        <v>AB01F4</v>
      </c>
      <c r="V3066">
        <v>0</v>
      </c>
      <c r="W3066">
        <v>0</v>
      </c>
      <c r="X3066">
        <v>2</v>
      </c>
      <c r="Z3066">
        <v>0</v>
      </c>
      <c r="AA3066">
        <v>9</v>
      </c>
      <c r="AB3066">
        <v>3</v>
      </c>
      <c r="AC3066">
        <v>0</v>
      </c>
      <c r="AD3066">
        <v>10</v>
      </c>
      <c r="AE3066">
        <v>0</v>
      </c>
      <c r="AF3066">
        <v>3</v>
      </c>
      <c r="AG3066">
        <v>2</v>
      </c>
      <c r="AH3066">
        <v>0</v>
      </c>
      <c r="AI3066" t="s">
        <v>1781</v>
      </c>
      <c r="AJ3066">
        <v>40.041539999999998</v>
      </c>
      <c r="AK3066" t="s">
        <v>1782</v>
      </c>
      <c r="AL3066">
        <v>-92.872860000000003</v>
      </c>
      <c r="AM3066">
        <v>100</v>
      </c>
      <c r="AN3066">
        <v>1300</v>
      </c>
      <c r="AO3066" t="s">
        <v>118</v>
      </c>
      <c r="AP3066">
        <v>-125</v>
      </c>
      <c r="AQ3066">
        <v>56</v>
      </c>
      <c r="AR3066">
        <v>-64</v>
      </c>
      <c r="AZ3066">
        <v>1200</v>
      </c>
      <c r="BA3066">
        <v>1</v>
      </c>
      <c r="BB3066" t="str">
        <f t="shared" si="149"/>
        <v xml:space="preserve">N8080G  </v>
      </c>
      <c r="BC3066">
        <v>1</v>
      </c>
      <c r="BE3066">
        <v>0</v>
      </c>
      <c r="BF3066">
        <v>0</v>
      </c>
      <c r="BG3066">
        <v>0</v>
      </c>
      <c r="BH3066">
        <v>1350</v>
      </c>
      <c r="BI3066">
        <v>1</v>
      </c>
      <c r="BJ3066">
        <v>1</v>
      </c>
      <c r="BK3066">
        <v>1</v>
      </c>
      <c r="BL3066">
        <v>0</v>
      </c>
      <c r="BO3066">
        <v>0</v>
      </c>
      <c r="BP3066">
        <v>0</v>
      </c>
      <c r="BW3066" t="str">
        <f>"20:30:59.778"</f>
        <v>20:30:59.778</v>
      </c>
      <c r="BZ3066">
        <v>0</v>
      </c>
      <c r="CA3066">
        <v>1600</v>
      </c>
      <c r="CB3066">
        <v>224</v>
      </c>
      <c r="CD3066">
        <v>1</v>
      </c>
      <c r="CE3066">
        <v>0</v>
      </c>
      <c r="CF3066">
        <v>0</v>
      </c>
      <c r="CG3066">
        <v>1</v>
      </c>
      <c r="CH3066">
        <v>0</v>
      </c>
      <c r="CI3066">
        <v>0</v>
      </c>
      <c r="CJ3066">
        <v>0</v>
      </c>
      <c r="CK3066">
        <v>2</v>
      </c>
      <c r="CL3066">
        <v>0</v>
      </c>
      <c r="CM3066">
        <v>2</v>
      </c>
      <c r="CN3066">
        <v>0</v>
      </c>
      <c r="CO3066">
        <v>7</v>
      </c>
      <c r="CP3066" t="s">
        <v>119</v>
      </c>
      <c r="CQ3066">
        <v>180</v>
      </c>
      <c r="CR3066">
        <v>2</v>
      </c>
      <c r="CW3066">
        <v>8706578</v>
      </c>
      <c r="CY3066">
        <v>1</v>
      </c>
      <c r="CZ3066">
        <v>0</v>
      </c>
      <c r="DA3066">
        <v>1</v>
      </c>
      <c r="DB3066">
        <v>0</v>
      </c>
      <c r="DC3066">
        <v>0</v>
      </c>
      <c r="DD3066">
        <v>0</v>
      </c>
      <c r="DE3066">
        <v>0</v>
      </c>
      <c r="DF3066">
        <v>0</v>
      </c>
      <c r="DG3066">
        <v>0</v>
      </c>
      <c r="DH3066">
        <v>0</v>
      </c>
      <c r="DI3066">
        <v>0</v>
      </c>
    </row>
    <row r="3067" spans="1:113" x14ac:dyDescent="0.3">
      <c r="A3067" t="str">
        <f>"02/08/2021 20:30:58.387"</f>
        <v>02/08/2021 20:30:58.387</v>
      </c>
      <c r="C3067" t="str">
        <f t="shared" si="148"/>
        <v>FFDFD7C0</v>
      </c>
      <c r="D3067" t="s">
        <v>124</v>
      </c>
      <c r="E3067">
        <v>13</v>
      </c>
      <c r="F3067">
        <v>1013</v>
      </c>
      <c r="G3067" t="s">
        <v>114</v>
      </c>
      <c r="J3067" t="s">
        <v>125</v>
      </c>
      <c r="K3067">
        <v>0</v>
      </c>
      <c r="L3067">
        <v>3</v>
      </c>
      <c r="M3067">
        <v>0</v>
      </c>
      <c r="N3067">
        <v>2</v>
      </c>
      <c r="O3067">
        <v>1</v>
      </c>
      <c r="P3067">
        <v>0</v>
      </c>
      <c r="Q3067">
        <v>0</v>
      </c>
      <c r="S3067" t="str">
        <f>"20:31:00.672"</f>
        <v>20:31:00.672</v>
      </c>
      <c r="T3067" t="str">
        <f>"20:31:00.272"</f>
        <v>20:31:00.272</v>
      </c>
      <c r="U3067" t="str">
        <f t="shared" si="147"/>
        <v>AB01F4</v>
      </c>
      <c r="V3067">
        <v>0</v>
      </c>
      <c r="W3067">
        <v>0</v>
      </c>
      <c r="X3067">
        <v>2</v>
      </c>
      <c r="Z3067">
        <v>0</v>
      </c>
      <c r="AA3067">
        <v>9</v>
      </c>
      <c r="AB3067">
        <v>3</v>
      </c>
      <c r="AC3067">
        <v>0</v>
      </c>
      <c r="AD3067">
        <v>10</v>
      </c>
      <c r="AE3067">
        <v>0</v>
      </c>
      <c r="AF3067">
        <v>3</v>
      </c>
      <c r="AG3067">
        <v>2</v>
      </c>
      <c r="AH3067">
        <v>0</v>
      </c>
      <c r="AI3067" t="s">
        <v>1783</v>
      </c>
      <c r="AJ3067">
        <v>40.041775999999999</v>
      </c>
      <c r="AK3067" t="s">
        <v>1784</v>
      </c>
      <c r="AL3067">
        <v>-92.873547000000002</v>
      </c>
      <c r="AM3067">
        <v>100</v>
      </c>
      <c r="AN3067">
        <v>1300</v>
      </c>
      <c r="AO3067" t="s">
        <v>118</v>
      </c>
      <c r="AP3067">
        <v>-124</v>
      </c>
      <c r="AQ3067">
        <v>56</v>
      </c>
      <c r="AR3067">
        <v>-64</v>
      </c>
      <c r="AZ3067">
        <v>1200</v>
      </c>
      <c r="BA3067">
        <v>1</v>
      </c>
      <c r="BB3067" t="str">
        <f t="shared" si="149"/>
        <v xml:space="preserve">N8080G  </v>
      </c>
      <c r="BC3067">
        <v>1</v>
      </c>
      <c r="BE3067">
        <v>0</v>
      </c>
      <c r="BF3067">
        <v>0</v>
      </c>
      <c r="BG3067">
        <v>0</v>
      </c>
      <c r="BH3067">
        <v>1350</v>
      </c>
      <c r="BI3067">
        <v>1</v>
      </c>
      <c r="BJ3067">
        <v>1</v>
      </c>
      <c r="BK3067">
        <v>1</v>
      </c>
      <c r="BL3067">
        <v>0</v>
      </c>
      <c r="BO3067">
        <v>0</v>
      </c>
      <c r="BP3067">
        <v>0</v>
      </c>
      <c r="BW3067" t="str">
        <f>"20:31:00.679"</f>
        <v>20:31:00.679</v>
      </c>
      <c r="BZ3067">
        <v>0</v>
      </c>
      <c r="CA3067">
        <v>1600</v>
      </c>
      <c r="CB3067">
        <v>224</v>
      </c>
      <c r="CD3067">
        <v>1</v>
      </c>
      <c r="CE3067">
        <v>0</v>
      </c>
      <c r="CF3067">
        <v>0</v>
      </c>
      <c r="CG3067">
        <v>1</v>
      </c>
      <c r="CH3067">
        <v>0</v>
      </c>
      <c r="CI3067">
        <v>0</v>
      </c>
      <c r="CJ3067">
        <v>0</v>
      </c>
      <c r="CK3067">
        <v>2</v>
      </c>
      <c r="CL3067">
        <v>0</v>
      </c>
      <c r="CM3067">
        <v>2</v>
      </c>
      <c r="CN3067">
        <v>0</v>
      </c>
      <c r="CO3067">
        <v>7</v>
      </c>
      <c r="CP3067" t="s">
        <v>119</v>
      </c>
      <c r="CQ3067">
        <v>180</v>
      </c>
      <c r="CR3067">
        <v>2</v>
      </c>
      <c r="CW3067">
        <v>8707377</v>
      </c>
      <c r="CY3067">
        <v>1</v>
      </c>
      <c r="CZ3067">
        <v>0</v>
      </c>
      <c r="DA3067">
        <v>0</v>
      </c>
      <c r="DB3067">
        <v>0</v>
      </c>
      <c r="DC3067">
        <v>0</v>
      </c>
      <c r="DD3067">
        <v>0</v>
      </c>
      <c r="DE3067">
        <v>0</v>
      </c>
      <c r="DF3067">
        <v>0</v>
      </c>
      <c r="DG3067">
        <v>0</v>
      </c>
      <c r="DH3067">
        <v>0</v>
      </c>
      <c r="DI3067">
        <v>0</v>
      </c>
    </row>
    <row r="3068" spans="1:113" x14ac:dyDescent="0.3">
      <c r="A3068" t="str">
        <f>"02/08/2021 20:30:58.387"</f>
        <v>02/08/2021 20:30:58.387</v>
      </c>
      <c r="C3068" t="str">
        <f t="shared" si="148"/>
        <v>FFDFD7C0</v>
      </c>
      <c r="D3068" t="s">
        <v>113</v>
      </c>
      <c r="E3068">
        <v>6</v>
      </c>
      <c r="H3068">
        <v>165</v>
      </c>
      <c r="I3068" t="s">
        <v>114</v>
      </c>
      <c r="J3068" t="s">
        <v>115</v>
      </c>
      <c r="K3068">
        <v>0</v>
      </c>
      <c r="L3068">
        <v>3</v>
      </c>
      <c r="M3068">
        <v>0</v>
      </c>
      <c r="N3068">
        <v>2</v>
      </c>
      <c r="O3068">
        <v>1</v>
      </c>
      <c r="P3068">
        <v>0</v>
      </c>
      <c r="Q3068">
        <v>0</v>
      </c>
      <c r="S3068" t="str">
        <f>"20:31:00.672"</f>
        <v>20:31:00.672</v>
      </c>
      <c r="T3068" t="str">
        <f>"20:31:00.272"</f>
        <v>20:31:00.272</v>
      </c>
      <c r="U3068" t="str">
        <f t="shared" si="147"/>
        <v>AB01F4</v>
      </c>
      <c r="V3068">
        <v>0</v>
      </c>
      <c r="W3068">
        <v>0</v>
      </c>
      <c r="X3068">
        <v>2</v>
      </c>
      <c r="Z3068">
        <v>0</v>
      </c>
      <c r="AA3068">
        <v>9</v>
      </c>
      <c r="AB3068">
        <v>3</v>
      </c>
      <c r="AC3068">
        <v>0</v>
      </c>
      <c r="AD3068">
        <v>10</v>
      </c>
      <c r="AE3068">
        <v>0</v>
      </c>
      <c r="AF3068">
        <v>3</v>
      </c>
      <c r="AG3068">
        <v>2</v>
      </c>
      <c r="AH3068">
        <v>0</v>
      </c>
      <c r="AI3068" t="s">
        <v>1783</v>
      </c>
      <c r="AJ3068">
        <v>40.041775999999999</v>
      </c>
      <c r="AK3068" t="s">
        <v>1784</v>
      </c>
      <c r="AL3068">
        <v>-92.873547000000002</v>
      </c>
      <c r="AM3068">
        <v>100</v>
      </c>
      <c r="AN3068">
        <v>1300</v>
      </c>
      <c r="AO3068" t="s">
        <v>118</v>
      </c>
      <c r="AP3068">
        <v>-124</v>
      </c>
      <c r="AQ3068">
        <v>56</v>
      </c>
      <c r="AR3068">
        <v>-64</v>
      </c>
      <c r="AZ3068">
        <v>1200</v>
      </c>
      <c r="BA3068">
        <v>1</v>
      </c>
      <c r="BB3068" t="str">
        <f t="shared" si="149"/>
        <v xml:space="preserve">N8080G  </v>
      </c>
      <c r="BC3068">
        <v>1</v>
      </c>
      <c r="BE3068">
        <v>0</v>
      </c>
      <c r="BF3068">
        <v>0</v>
      </c>
      <c r="BG3068">
        <v>0</v>
      </c>
      <c r="BH3068">
        <v>1350</v>
      </c>
      <c r="BI3068">
        <v>1</v>
      </c>
      <c r="BJ3068">
        <v>1</v>
      </c>
      <c r="BK3068">
        <v>1</v>
      </c>
      <c r="BL3068">
        <v>0</v>
      </c>
      <c r="BO3068">
        <v>0</v>
      </c>
      <c r="BP3068">
        <v>0</v>
      </c>
      <c r="BW3068" t="str">
        <f>"20:31:00.679"</f>
        <v>20:31:00.679</v>
      </c>
      <c r="BZ3068">
        <v>0</v>
      </c>
      <c r="CA3068">
        <v>1600</v>
      </c>
      <c r="CB3068">
        <v>224</v>
      </c>
      <c r="CD3068">
        <v>1</v>
      </c>
      <c r="CE3068">
        <v>0</v>
      </c>
      <c r="CF3068">
        <v>0</v>
      </c>
      <c r="CG3068">
        <v>1</v>
      </c>
      <c r="CH3068">
        <v>0</v>
      </c>
      <c r="CI3068">
        <v>0</v>
      </c>
      <c r="CJ3068">
        <v>0</v>
      </c>
      <c r="CK3068">
        <v>2</v>
      </c>
      <c r="CL3068">
        <v>0</v>
      </c>
      <c r="CM3068">
        <v>2</v>
      </c>
      <c r="CN3068">
        <v>0</v>
      </c>
      <c r="CO3068">
        <v>7</v>
      </c>
      <c r="CP3068" t="s">
        <v>119</v>
      </c>
      <c r="CQ3068">
        <v>180</v>
      </c>
      <c r="CR3068">
        <v>2</v>
      </c>
      <c r="CW3068">
        <v>8707377</v>
      </c>
      <c r="CY3068">
        <v>1</v>
      </c>
      <c r="CZ3068">
        <v>0</v>
      </c>
      <c r="DA3068">
        <v>1</v>
      </c>
      <c r="DB3068">
        <v>0</v>
      </c>
      <c r="DC3068">
        <v>0</v>
      </c>
      <c r="DD3068">
        <v>0</v>
      </c>
      <c r="DE3068">
        <v>0</v>
      </c>
      <c r="DF3068">
        <v>0</v>
      </c>
      <c r="DG3068">
        <v>0</v>
      </c>
      <c r="DH3068">
        <v>0</v>
      </c>
      <c r="DI3068">
        <v>0</v>
      </c>
    </row>
    <row r="3069" spans="1:113" x14ac:dyDescent="0.3">
      <c r="A3069" t="str">
        <f>"02/08/2021 20:30:58.387"</f>
        <v>02/08/2021 20:30:58.387</v>
      </c>
      <c r="C3069" t="str">
        <f t="shared" si="148"/>
        <v>FFDFD7C0</v>
      </c>
      <c r="D3069" t="s">
        <v>124</v>
      </c>
      <c r="E3069">
        <v>11</v>
      </c>
      <c r="F3069">
        <v>1011</v>
      </c>
      <c r="G3069" t="s">
        <v>590</v>
      </c>
      <c r="J3069" t="s">
        <v>125</v>
      </c>
      <c r="K3069">
        <v>0</v>
      </c>
      <c r="L3069">
        <v>3</v>
      </c>
      <c r="M3069">
        <v>0</v>
      </c>
      <c r="N3069">
        <v>2</v>
      </c>
      <c r="O3069">
        <v>1</v>
      </c>
      <c r="P3069">
        <v>0</v>
      </c>
      <c r="Q3069">
        <v>0</v>
      </c>
      <c r="S3069" t="str">
        <f>"20:31:00.672"</f>
        <v>20:31:00.672</v>
      </c>
      <c r="T3069" t="str">
        <f>"20:31:00.272"</f>
        <v>20:31:00.272</v>
      </c>
      <c r="U3069" t="str">
        <f t="shared" si="147"/>
        <v>AB01F4</v>
      </c>
      <c r="V3069">
        <v>0</v>
      </c>
      <c r="W3069">
        <v>0</v>
      </c>
      <c r="X3069">
        <v>2</v>
      </c>
      <c r="Z3069">
        <v>0</v>
      </c>
      <c r="AA3069">
        <v>9</v>
      </c>
      <c r="AB3069">
        <v>3</v>
      </c>
      <c r="AC3069">
        <v>0</v>
      </c>
      <c r="AD3069">
        <v>10</v>
      </c>
      <c r="AE3069">
        <v>0</v>
      </c>
      <c r="AF3069">
        <v>3</v>
      </c>
      <c r="AG3069">
        <v>2</v>
      </c>
      <c r="AH3069">
        <v>0</v>
      </c>
      <c r="AI3069" t="s">
        <v>1783</v>
      </c>
      <c r="AJ3069">
        <v>40.041775999999999</v>
      </c>
      <c r="AK3069" t="s">
        <v>1784</v>
      </c>
      <c r="AL3069">
        <v>-92.873547000000002</v>
      </c>
      <c r="AM3069">
        <v>100</v>
      </c>
      <c r="AN3069">
        <v>1300</v>
      </c>
      <c r="AO3069" t="s">
        <v>118</v>
      </c>
      <c r="AP3069">
        <v>-124</v>
      </c>
      <c r="AQ3069">
        <v>56</v>
      </c>
      <c r="AR3069">
        <v>-64</v>
      </c>
      <c r="AZ3069">
        <v>1200</v>
      </c>
      <c r="BA3069">
        <v>1</v>
      </c>
      <c r="BB3069" t="str">
        <f t="shared" si="149"/>
        <v xml:space="preserve">N8080G  </v>
      </c>
      <c r="BC3069">
        <v>1</v>
      </c>
      <c r="BE3069">
        <v>0</v>
      </c>
      <c r="BF3069">
        <v>0</v>
      </c>
      <c r="BG3069">
        <v>0</v>
      </c>
      <c r="BH3069">
        <v>1350</v>
      </c>
      <c r="BI3069">
        <v>1</v>
      </c>
      <c r="BJ3069">
        <v>1</v>
      </c>
      <c r="BK3069">
        <v>1</v>
      </c>
      <c r="BL3069">
        <v>0</v>
      </c>
      <c r="BO3069">
        <v>0</v>
      </c>
      <c r="BP3069">
        <v>0</v>
      </c>
      <c r="BW3069" t="str">
        <f>"20:31:00.679"</f>
        <v>20:31:00.679</v>
      </c>
      <c r="BZ3069">
        <v>0</v>
      </c>
      <c r="CA3069">
        <v>1600</v>
      </c>
      <c r="CB3069">
        <v>224</v>
      </c>
      <c r="CD3069">
        <v>1</v>
      </c>
      <c r="CE3069">
        <v>0</v>
      </c>
      <c r="CF3069">
        <v>0</v>
      </c>
      <c r="CG3069">
        <v>1</v>
      </c>
      <c r="CH3069">
        <v>0</v>
      </c>
      <c r="CI3069">
        <v>0</v>
      </c>
      <c r="CJ3069">
        <v>0</v>
      </c>
      <c r="CK3069">
        <v>2</v>
      </c>
      <c r="CL3069">
        <v>0</v>
      </c>
      <c r="CM3069">
        <v>2</v>
      </c>
      <c r="CN3069">
        <v>0</v>
      </c>
      <c r="CO3069">
        <v>7</v>
      </c>
      <c r="CP3069" t="s">
        <v>119</v>
      </c>
      <c r="CQ3069">
        <v>180</v>
      </c>
      <c r="CR3069">
        <v>2</v>
      </c>
      <c r="CW3069">
        <v>8707377</v>
      </c>
      <c r="CY3069">
        <v>1</v>
      </c>
      <c r="CZ3069">
        <v>0</v>
      </c>
      <c r="DA3069">
        <v>1</v>
      </c>
      <c r="DB3069">
        <v>0</v>
      </c>
      <c r="DC3069">
        <v>0</v>
      </c>
      <c r="DD3069">
        <v>0</v>
      </c>
      <c r="DE3069">
        <v>0</v>
      </c>
      <c r="DF3069">
        <v>0</v>
      </c>
      <c r="DG3069">
        <v>0</v>
      </c>
      <c r="DH3069">
        <v>0</v>
      </c>
      <c r="DI3069">
        <v>0</v>
      </c>
    </row>
    <row r="3070" spans="1:113" x14ac:dyDescent="0.3">
      <c r="A3070" t="str">
        <f>"02/08/2021 20:30:58.387"</f>
        <v>02/08/2021 20:30:58.387</v>
      </c>
      <c r="C3070" t="str">
        <f t="shared" si="148"/>
        <v>FFDFD7C0</v>
      </c>
      <c r="D3070" t="s">
        <v>124</v>
      </c>
      <c r="E3070">
        <v>12</v>
      </c>
      <c r="F3070">
        <v>1012</v>
      </c>
      <c r="G3070" t="s">
        <v>675</v>
      </c>
      <c r="J3070" t="s">
        <v>125</v>
      </c>
      <c r="K3070">
        <v>0</v>
      </c>
      <c r="L3070">
        <v>3</v>
      </c>
      <c r="M3070">
        <v>0</v>
      </c>
      <c r="N3070">
        <v>2</v>
      </c>
      <c r="O3070">
        <v>1</v>
      </c>
      <c r="P3070">
        <v>0</v>
      </c>
      <c r="Q3070">
        <v>0</v>
      </c>
      <c r="S3070" t="str">
        <f>"20:31:00.672"</f>
        <v>20:31:00.672</v>
      </c>
      <c r="T3070" t="str">
        <f>"20:31:00.272"</f>
        <v>20:31:00.272</v>
      </c>
      <c r="U3070" t="str">
        <f t="shared" si="147"/>
        <v>AB01F4</v>
      </c>
      <c r="V3070">
        <v>0</v>
      </c>
      <c r="W3070">
        <v>0</v>
      </c>
      <c r="X3070">
        <v>2</v>
      </c>
      <c r="Z3070">
        <v>0</v>
      </c>
      <c r="AA3070">
        <v>9</v>
      </c>
      <c r="AB3070">
        <v>3</v>
      </c>
      <c r="AC3070">
        <v>0</v>
      </c>
      <c r="AD3070">
        <v>10</v>
      </c>
      <c r="AE3070">
        <v>0</v>
      </c>
      <c r="AF3070">
        <v>3</v>
      </c>
      <c r="AG3070">
        <v>2</v>
      </c>
      <c r="AH3070">
        <v>0</v>
      </c>
      <c r="AI3070" t="s">
        <v>1783</v>
      </c>
      <c r="AJ3070">
        <v>40.041775999999999</v>
      </c>
      <c r="AK3070" t="s">
        <v>1784</v>
      </c>
      <c r="AL3070">
        <v>-92.873547000000002</v>
      </c>
      <c r="AM3070">
        <v>100</v>
      </c>
      <c r="AN3070">
        <v>1300</v>
      </c>
      <c r="AO3070" t="s">
        <v>118</v>
      </c>
      <c r="AP3070">
        <v>-124</v>
      </c>
      <c r="AQ3070">
        <v>56</v>
      </c>
      <c r="AR3070">
        <v>-64</v>
      </c>
      <c r="AZ3070">
        <v>1200</v>
      </c>
      <c r="BA3070">
        <v>1</v>
      </c>
      <c r="BB3070" t="str">
        <f t="shared" si="149"/>
        <v xml:space="preserve">N8080G  </v>
      </c>
      <c r="BC3070">
        <v>1</v>
      </c>
      <c r="BE3070">
        <v>0</v>
      </c>
      <c r="BF3070">
        <v>0</v>
      </c>
      <c r="BG3070">
        <v>0</v>
      </c>
      <c r="BH3070">
        <v>1350</v>
      </c>
      <c r="BI3070">
        <v>1</v>
      </c>
      <c r="BJ3070">
        <v>1</v>
      </c>
      <c r="BK3070">
        <v>1</v>
      </c>
      <c r="BL3070">
        <v>0</v>
      </c>
      <c r="BO3070">
        <v>0</v>
      </c>
      <c r="BP3070">
        <v>0</v>
      </c>
      <c r="BW3070" t="str">
        <f>"20:31:00.679"</f>
        <v>20:31:00.679</v>
      </c>
      <c r="BZ3070">
        <v>0</v>
      </c>
      <c r="CA3070">
        <v>1600</v>
      </c>
      <c r="CB3070">
        <v>224</v>
      </c>
      <c r="CD3070">
        <v>1</v>
      </c>
      <c r="CE3070">
        <v>0</v>
      </c>
      <c r="CF3070">
        <v>0</v>
      </c>
      <c r="CG3070">
        <v>1</v>
      </c>
      <c r="CH3070">
        <v>0</v>
      </c>
      <c r="CI3070">
        <v>0</v>
      </c>
      <c r="CJ3070">
        <v>0</v>
      </c>
      <c r="CK3070">
        <v>2</v>
      </c>
      <c r="CL3070">
        <v>0</v>
      </c>
      <c r="CM3070">
        <v>2</v>
      </c>
      <c r="CN3070">
        <v>0</v>
      </c>
      <c r="CO3070">
        <v>7</v>
      </c>
      <c r="CP3070" t="s">
        <v>119</v>
      </c>
      <c r="CQ3070">
        <v>180</v>
      </c>
      <c r="CR3070">
        <v>2</v>
      </c>
      <c r="CW3070">
        <v>8707377</v>
      </c>
      <c r="CY3070">
        <v>1</v>
      </c>
      <c r="CZ3070">
        <v>0</v>
      </c>
      <c r="DA3070">
        <v>1</v>
      </c>
      <c r="DB3070">
        <v>0</v>
      </c>
      <c r="DC3070">
        <v>0</v>
      </c>
      <c r="DD3070">
        <v>0</v>
      </c>
      <c r="DE3070">
        <v>0</v>
      </c>
      <c r="DF3070">
        <v>0</v>
      </c>
      <c r="DG3070">
        <v>0</v>
      </c>
      <c r="DH3070">
        <v>0</v>
      </c>
      <c r="DI3070">
        <v>0</v>
      </c>
    </row>
    <row r="3071" spans="1:113" x14ac:dyDescent="0.3">
      <c r="A3071" t="str">
        <f>"02/08/2021 20:30:59.815"</f>
        <v>02/08/2021 20:30:59.815</v>
      </c>
      <c r="C3071" t="str">
        <f t="shared" si="148"/>
        <v>FFDFD7C0</v>
      </c>
      <c r="D3071" t="s">
        <v>113</v>
      </c>
      <c r="E3071">
        <v>6</v>
      </c>
      <c r="H3071">
        <v>165</v>
      </c>
      <c r="I3071" t="s">
        <v>114</v>
      </c>
      <c r="J3071" t="s">
        <v>115</v>
      </c>
      <c r="K3071">
        <v>0</v>
      </c>
      <c r="L3071">
        <v>3</v>
      </c>
      <c r="M3071">
        <v>0</v>
      </c>
      <c r="N3071">
        <v>2</v>
      </c>
      <c r="O3071">
        <v>1</v>
      </c>
      <c r="P3071">
        <v>0</v>
      </c>
      <c r="Q3071">
        <v>0</v>
      </c>
      <c r="S3071" t="str">
        <f>"20:31:02.102"</f>
        <v>20:31:02.102</v>
      </c>
      <c r="T3071" t="str">
        <f>"20:31:01.702"</f>
        <v>20:31:01.702</v>
      </c>
      <c r="U3071" t="str">
        <f t="shared" si="147"/>
        <v>AB01F4</v>
      </c>
      <c r="V3071">
        <v>0</v>
      </c>
      <c r="W3071">
        <v>0</v>
      </c>
      <c r="X3071">
        <v>2</v>
      </c>
      <c r="Z3071">
        <v>0</v>
      </c>
      <c r="AA3071">
        <v>9</v>
      </c>
      <c r="AB3071">
        <v>3</v>
      </c>
      <c r="AC3071">
        <v>0</v>
      </c>
      <c r="AD3071">
        <v>10</v>
      </c>
      <c r="AE3071">
        <v>0</v>
      </c>
      <c r="AF3071">
        <v>3</v>
      </c>
      <c r="AG3071">
        <v>2</v>
      </c>
      <c r="AH3071">
        <v>0</v>
      </c>
      <c r="AI3071" t="s">
        <v>1785</v>
      </c>
      <c r="AJ3071">
        <v>40.042140000000003</v>
      </c>
      <c r="AK3071" t="s">
        <v>1786</v>
      </c>
      <c r="AL3071">
        <v>-92.874619999999993</v>
      </c>
      <c r="AM3071">
        <v>100</v>
      </c>
      <c r="AN3071">
        <v>1300</v>
      </c>
      <c r="AO3071" t="s">
        <v>118</v>
      </c>
      <c r="AP3071">
        <v>-124</v>
      </c>
      <c r="AQ3071">
        <v>57</v>
      </c>
      <c r="AR3071">
        <v>0</v>
      </c>
      <c r="AZ3071">
        <v>1200</v>
      </c>
      <c r="BA3071">
        <v>1</v>
      </c>
      <c r="BB3071" t="str">
        <f t="shared" si="149"/>
        <v xml:space="preserve">N8080G  </v>
      </c>
      <c r="BC3071">
        <v>1</v>
      </c>
      <c r="BE3071">
        <v>0</v>
      </c>
      <c r="BF3071">
        <v>0</v>
      </c>
      <c r="BG3071">
        <v>0</v>
      </c>
      <c r="BH3071">
        <v>1350</v>
      </c>
      <c r="BI3071">
        <v>1</v>
      </c>
      <c r="BJ3071">
        <v>1</v>
      </c>
      <c r="BK3071">
        <v>1</v>
      </c>
      <c r="BL3071">
        <v>0</v>
      </c>
      <c r="BO3071">
        <v>0</v>
      </c>
      <c r="BP3071">
        <v>0</v>
      </c>
      <c r="BW3071" t="str">
        <f>"20:31:02.109"</f>
        <v>20:31:02.109</v>
      </c>
      <c r="BZ3071">
        <v>0</v>
      </c>
      <c r="CA3071">
        <v>1600</v>
      </c>
      <c r="CB3071">
        <v>224</v>
      </c>
      <c r="CD3071">
        <v>1</v>
      </c>
      <c r="CE3071">
        <v>0</v>
      </c>
      <c r="CF3071">
        <v>0</v>
      </c>
      <c r="CG3071">
        <v>1</v>
      </c>
      <c r="CH3071">
        <v>0</v>
      </c>
      <c r="CI3071">
        <v>0</v>
      </c>
      <c r="CJ3071">
        <v>0</v>
      </c>
      <c r="CK3071">
        <v>2</v>
      </c>
      <c r="CL3071">
        <v>0</v>
      </c>
      <c r="CM3071">
        <v>2</v>
      </c>
      <c r="CN3071">
        <v>0</v>
      </c>
      <c r="CO3071">
        <v>7</v>
      </c>
      <c r="CP3071" t="s">
        <v>119</v>
      </c>
      <c r="CQ3071">
        <v>180</v>
      </c>
      <c r="CR3071">
        <v>3</v>
      </c>
      <c r="CW3071">
        <v>1056673</v>
      </c>
      <c r="CY3071">
        <v>1</v>
      </c>
      <c r="CZ3071">
        <v>0</v>
      </c>
      <c r="DA3071">
        <v>0</v>
      </c>
      <c r="DB3071">
        <v>0</v>
      </c>
      <c r="DC3071">
        <v>0</v>
      </c>
      <c r="DD3071">
        <v>0</v>
      </c>
      <c r="DE3071">
        <v>0</v>
      </c>
      <c r="DF3071">
        <v>0</v>
      </c>
      <c r="DG3071">
        <v>0</v>
      </c>
      <c r="DH3071">
        <v>0</v>
      </c>
      <c r="DI3071">
        <v>0</v>
      </c>
    </row>
    <row r="3072" spans="1:113" x14ac:dyDescent="0.3">
      <c r="A3072" t="str">
        <f>"02/08/2021 20:30:59.815"</f>
        <v>02/08/2021 20:30:59.815</v>
      </c>
      <c r="C3072" t="str">
        <f t="shared" si="148"/>
        <v>FFDFD7C0</v>
      </c>
      <c r="D3072" t="s">
        <v>124</v>
      </c>
      <c r="E3072">
        <v>11</v>
      </c>
      <c r="F3072">
        <v>1011</v>
      </c>
      <c r="G3072" t="s">
        <v>590</v>
      </c>
      <c r="J3072" t="s">
        <v>125</v>
      </c>
      <c r="K3072">
        <v>0</v>
      </c>
      <c r="L3072">
        <v>3</v>
      </c>
      <c r="M3072">
        <v>0</v>
      </c>
      <c r="N3072">
        <v>2</v>
      </c>
      <c r="O3072">
        <v>1</v>
      </c>
      <c r="P3072">
        <v>0</v>
      </c>
      <c r="Q3072">
        <v>0</v>
      </c>
      <c r="S3072" t="str">
        <f>"20:31:02.102"</f>
        <v>20:31:02.102</v>
      </c>
      <c r="T3072" t="str">
        <f>"20:31:01.702"</f>
        <v>20:31:01.702</v>
      </c>
      <c r="U3072" t="str">
        <f t="shared" si="147"/>
        <v>AB01F4</v>
      </c>
      <c r="V3072">
        <v>0</v>
      </c>
      <c r="W3072">
        <v>0</v>
      </c>
      <c r="X3072">
        <v>2</v>
      </c>
      <c r="Z3072">
        <v>0</v>
      </c>
      <c r="AA3072">
        <v>9</v>
      </c>
      <c r="AB3072">
        <v>3</v>
      </c>
      <c r="AC3072">
        <v>0</v>
      </c>
      <c r="AD3072">
        <v>10</v>
      </c>
      <c r="AE3072">
        <v>0</v>
      </c>
      <c r="AF3072">
        <v>3</v>
      </c>
      <c r="AG3072">
        <v>2</v>
      </c>
      <c r="AH3072">
        <v>0</v>
      </c>
      <c r="AI3072" t="s">
        <v>1785</v>
      </c>
      <c r="AJ3072">
        <v>40.042140000000003</v>
      </c>
      <c r="AK3072" t="s">
        <v>1786</v>
      </c>
      <c r="AL3072">
        <v>-92.874619999999993</v>
      </c>
      <c r="AM3072">
        <v>100</v>
      </c>
      <c r="AN3072">
        <v>1300</v>
      </c>
      <c r="AO3072" t="s">
        <v>118</v>
      </c>
      <c r="AP3072">
        <v>-124</v>
      </c>
      <c r="AQ3072">
        <v>57</v>
      </c>
      <c r="AR3072">
        <v>0</v>
      </c>
      <c r="AZ3072">
        <v>1200</v>
      </c>
      <c r="BA3072">
        <v>1</v>
      </c>
      <c r="BB3072" t="str">
        <f t="shared" si="149"/>
        <v xml:space="preserve">N8080G  </v>
      </c>
      <c r="BC3072">
        <v>1</v>
      </c>
      <c r="BE3072">
        <v>0</v>
      </c>
      <c r="BF3072">
        <v>0</v>
      </c>
      <c r="BG3072">
        <v>0</v>
      </c>
      <c r="BH3072">
        <v>1350</v>
      </c>
      <c r="BI3072">
        <v>1</v>
      </c>
      <c r="BJ3072">
        <v>1</v>
      </c>
      <c r="BK3072">
        <v>1</v>
      </c>
      <c r="BL3072">
        <v>0</v>
      </c>
      <c r="BO3072">
        <v>0</v>
      </c>
      <c r="BP3072">
        <v>0</v>
      </c>
      <c r="BW3072" t="str">
        <f>"20:31:02.109"</f>
        <v>20:31:02.109</v>
      </c>
      <c r="BZ3072">
        <v>0</v>
      </c>
      <c r="CA3072">
        <v>1600</v>
      </c>
      <c r="CB3072">
        <v>224</v>
      </c>
      <c r="CD3072">
        <v>1</v>
      </c>
      <c r="CE3072">
        <v>0</v>
      </c>
      <c r="CF3072">
        <v>0</v>
      </c>
      <c r="CG3072">
        <v>1</v>
      </c>
      <c r="CH3072">
        <v>0</v>
      </c>
      <c r="CI3072">
        <v>0</v>
      </c>
      <c r="CJ3072">
        <v>0</v>
      </c>
      <c r="CK3072">
        <v>2</v>
      </c>
      <c r="CL3072">
        <v>0</v>
      </c>
      <c r="CM3072">
        <v>2</v>
      </c>
      <c r="CN3072">
        <v>0</v>
      </c>
      <c r="CO3072">
        <v>7</v>
      </c>
      <c r="CP3072" t="s">
        <v>119</v>
      </c>
      <c r="CQ3072">
        <v>180</v>
      </c>
      <c r="CR3072">
        <v>3</v>
      </c>
      <c r="CW3072">
        <v>1056673</v>
      </c>
      <c r="CY3072">
        <v>1</v>
      </c>
      <c r="CZ3072">
        <v>0</v>
      </c>
      <c r="DA3072">
        <v>1</v>
      </c>
      <c r="DB3072">
        <v>0</v>
      </c>
      <c r="DC3072">
        <v>0</v>
      </c>
      <c r="DD3072">
        <v>0</v>
      </c>
      <c r="DE3072">
        <v>0</v>
      </c>
      <c r="DF3072">
        <v>0</v>
      </c>
      <c r="DG3072">
        <v>0</v>
      </c>
      <c r="DH3072">
        <v>0</v>
      </c>
      <c r="DI3072">
        <v>0</v>
      </c>
    </row>
    <row r="3073" spans="1:113" x14ac:dyDescent="0.3">
      <c r="A3073" t="str">
        <f>"02/08/2021 20:30:59.815"</f>
        <v>02/08/2021 20:30:59.815</v>
      </c>
      <c r="C3073" t="str">
        <f t="shared" si="148"/>
        <v>FFDFD7C0</v>
      </c>
      <c r="D3073" t="s">
        <v>124</v>
      </c>
      <c r="E3073">
        <v>12</v>
      </c>
      <c r="F3073">
        <v>1012</v>
      </c>
      <c r="G3073" t="s">
        <v>675</v>
      </c>
      <c r="J3073" t="s">
        <v>125</v>
      </c>
      <c r="K3073">
        <v>0</v>
      </c>
      <c r="L3073">
        <v>3</v>
      </c>
      <c r="M3073">
        <v>0</v>
      </c>
      <c r="N3073">
        <v>2</v>
      </c>
      <c r="O3073">
        <v>1</v>
      </c>
      <c r="P3073">
        <v>0</v>
      </c>
      <c r="Q3073">
        <v>0</v>
      </c>
      <c r="S3073" t="str">
        <f>"20:31:02.102"</f>
        <v>20:31:02.102</v>
      </c>
      <c r="T3073" t="str">
        <f>"20:31:01.702"</f>
        <v>20:31:01.702</v>
      </c>
      <c r="U3073" t="str">
        <f t="shared" si="147"/>
        <v>AB01F4</v>
      </c>
      <c r="V3073">
        <v>0</v>
      </c>
      <c r="W3073">
        <v>0</v>
      </c>
      <c r="X3073">
        <v>2</v>
      </c>
      <c r="Z3073">
        <v>0</v>
      </c>
      <c r="AA3073">
        <v>9</v>
      </c>
      <c r="AB3073">
        <v>3</v>
      </c>
      <c r="AC3073">
        <v>0</v>
      </c>
      <c r="AD3073">
        <v>10</v>
      </c>
      <c r="AE3073">
        <v>0</v>
      </c>
      <c r="AF3073">
        <v>3</v>
      </c>
      <c r="AG3073">
        <v>2</v>
      </c>
      <c r="AH3073">
        <v>0</v>
      </c>
      <c r="AI3073" t="s">
        <v>1785</v>
      </c>
      <c r="AJ3073">
        <v>40.042140000000003</v>
      </c>
      <c r="AK3073" t="s">
        <v>1786</v>
      </c>
      <c r="AL3073">
        <v>-92.874619999999993</v>
      </c>
      <c r="AM3073">
        <v>100</v>
      </c>
      <c r="AN3073">
        <v>1300</v>
      </c>
      <c r="AO3073" t="s">
        <v>118</v>
      </c>
      <c r="AP3073">
        <v>-124</v>
      </c>
      <c r="AQ3073">
        <v>57</v>
      </c>
      <c r="AR3073">
        <v>0</v>
      </c>
      <c r="AZ3073">
        <v>1200</v>
      </c>
      <c r="BA3073">
        <v>1</v>
      </c>
      <c r="BB3073" t="str">
        <f t="shared" si="149"/>
        <v xml:space="preserve">N8080G  </v>
      </c>
      <c r="BC3073">
        <v>1</v>
      </c>
      <c r="BE3073">
        <v>0</v>
      </c>
      <c r="BF3073">
        <v>0</v>
      </c>
      <c r="BG3073">
        <v>0</v>
      </c>
      <c r="BH3073">
        <v>1350</v>
      </c>
      <c r="BI3073">
        <v>1</v>
      </c>
      <c r="BJ3073">
        <v>1</v>
      </c>
      <c r="BK3073">
        <v>1</v>
      </c>
      <c r="BL3073">
        <v>0</v>
      </c>
      <c r="BO3073">
        <v>0</v>
      </c>
      <c r="BP3073">
        <v>0</v>
      </c>
      <c r="BW3073" t="str">
        <f>"20:31:02.109"</f>
        <v>20:31:02.109</v>
      </c>
      <c r="BZ3073">
        <v>0</v>
      </c>
      <c r="CA3073">
        <v>1600</v>
      </c>
      <c r="CB3073">
        <v>224</v>
      </c>
      <c r="CD3073">
        <v>1</v>
      </c>
      <c r="CE3073">
        <v>0</v>
      </c>
      <c r="CF3073">
        <v>0</v>
      </c>
      <c r="CG3073">
        <v>1</v>
      </c>
      <c r="CH3073">
        <v>0</v>
      </c>
      <c r="CI3073">
        <v>0</v>
      </c>
      <c r="CJ3073">
        <v>0</v>
      </c>
      <c r="CK3073">
        <v>2</v>
      </c>
      <c r="CL3073">
        <v>0</v>
      </c>
      <c r="CM3073">
        <v>2</v>
      </c>
      <c r="CN3073">
        <v>0</v>
      </c>
      <c r="CO3073">
        <v>7</v>
      </c>
      <c r="CP3073" t="s">
        <v>119</v>
      </c>
      <c r="CQ3073">
        <v>180</v>
      </c>
      <c r="CR3073">
        <v>3</v>
      </c>
      <c r="CW3073">
        <v>1056673</v>
      </c>
      <c r="CY3073">
        <v>1</v>
      </c>
      <c r="CZ3073">
        <v>0</v>
      </c>
      <c r="DA3073">
        <v>1</v>
      </c>
      <c r="DB3073">
        <v>0</v>
      </c>
      <c r="DC3073">
        <v>0</v>
      </c>
      <c r="DD3073">
        <v>0</v>
      </c>
      <c r="DE3073">
        <v>0</v>
      </c>
      <c r="DF3073">
        <v>0</v>
      </c>
      <c r="DG3073">
        <v>0</v>
      </c>
      <c r="DH3073">
        <v>0</v>
      </c>
      <c r="DI3073">
        <v>0</v>
      </c>
    </row>
    <row r="3074" spans="1:113" x14ac:dyDescent="0.3">
      <c r="A3074" t="str">
        <f>"02/08/2021 20:30:59.815"</f>
        <v>02/08/2021 20:30:59.815</v>
      </c>
      <c r="C3074" t="str">
        <f t="shared" si="148"/>
        <v>FFDFD7C0</v>
      </c>
      <c r="D3074" t="s">
        <v>124</v>
      </c>
      <c r="E3074">
        <v>13</v>
      </c>
      <c r="F3074">
        <v>1013</v>
      </c>
      <c r="G3074" t="s">
        <v>114</v>
      </c>
      <c r="J3074" t="s">
        <v>125</v>
      </c>
      <c r="K3074">
        <v>0</v>
      </c>
      <c r="L3074">
        <v>3</v>
      </c>
      <c r="M3074">
        <v>0</v>
      </c>
      <c r="N3074">
        <v>2</v>
      </c>
      <c r="O3074">
        <v>1</v>
      </c>
      <c r="P3074">
        <v>0</v>
      </c>
      <c r="Q3074">
        <v>0</v>
      </c>
      <c r="S3074" t="str">
        <f>"20:31:02.102"</f>
        <v>20:31:02.102</v>
      </c>
      <c r="T3074" t="str">
        <f>"20:31:01.702"</f>
        <v>20:31:01.702</v>
      </c>
      <c r="U3074" t="str">
        <f t="shared" ref="U3074:U3137" si="150">"AB01F4"</f>
        <v>AB01F4</v>
      </c>
      <c r="V3074">
        <v>0</v>
      </c>
      <c r="W3074">
        <v>0</v>
      </c>
      <c r="X3074">
        <v>2</v>
      </c>
      <c r="Z3074">
        <v>0</v>
      </c>
      <c r="AA3074">
        <v>9</v>
      </c>
      <c r="AB3074">
        <v>3</v>
      </c>
      <c r="AC3074">
        <v>0</v>
      </c>
      <c r="AD3074">
        <v>10</v>
      </c>
      <c r="AE3074">
        <v>0</v>
      </c>
      <c r="AF3074">
        <v>3</v>
      </c>
      <c r="AG3074">
        <v>2</v>
      </c>
      <c r="AH3074">
        <v>0</v>
      </c>
      <c r="AI3074" t="s">
        <v>1785</v>
      </c>
      <c r="AJ3074">
        <v>40.042140000000003</v>
      </c>
      <c r="AK3074" t="s">
        <v>1786</v>
      </c>
      <c r="AL3074">
        <v>-92.874619999999993</v>
      </c>
      <c r="AM3074">
        <v>100</v>
      </c>
      <c r="AN3074">
        <v>1300</v>
      </c>
      <c r="AO3074" t="s">
        <v>118</v>
      </c>
      <c r="AP3074">
        <v>-124</v>
      </c>
      <c r="AQ3074">
        <v>57</v>
      </c>
      <c r="AR3074">
        <v>0</v>
      </c>
      <c r="AZ3074">
        <v>1200</v>
      </c>
      <c r="BA3074">
        <v>1</v>
      </c>
      <c r="BB3074" t="str">
        <f t="shared" si="149"/>
        <v xml:space="preserve">N8080G  </v>
      </c>
      <c r="BC3074">
        <v>1</v>
      </c>
      <c r="BE3074">
        <v>0</v>
      </c>
      <c r="BF3074">
        <v>0</v>
      </c>
      <c r="BG3074">
        <v>0</v>
      </c>
      <c r="BH3074">
        <v>1350</v>
      </c>
      <c r="BI3074">
        <v>1</v>
      </c>
      <c r="BJ3074">
        <v>1</v>
      </c>
      <c r="BK3074">
        <v>1</v>
      </c>
      <c r="BL3074">
        <v>0</v>
      </c>
      <c r="BO3074">
        <v>0</v>
      </c>
      <c r="BP3074">
        <v>0</v>
      </c>
      <c r="BW3074" t="str">
        <f>"20:31:02.109"</f>
        <v>20:31:02.109</v>
      </c>
      <c r="BZ3074">
        <v>0</v>
      </c>
      <c r="CA3074">
        <v>1600</v>
      </c>
      <c r="CB3074">
        <v>224</v>
      </c>
      <c r="CD3074">
        <v>1</v>
      </c>
      <c r="CE3074">
        <v>0</v>
      </c>
      <c r="CF3074">
        <v>0</v>
      </c>
      <c r="CG3074">
        <v>1</v>
      </c>
      <c r="CH3074">
        <v>0</v>
      </c>
      <c r="CI3074">
        <v>0</v>
      </c>
      <c r="CJ3074">
        <v>0</v>
      </c>
      <c r="CK3074">
        <v>2</v>
      </c>
      <c r="CL3074">
        <v>0</v>
      </c>
      <c r="CM3074">
        <v>2</v>
      </c>
      <c r="CN3074">
        <v>0</v>
      </c>
      <c r="CO3074">
        <v>7</v>
      </c>
      <c r="CP3074" t="s">
        <v>119</v>
      </c>
      <c r="CQ3074">
        <v>180</v>
      </c>
      <c r="CR3074">
        <v>3</v>
      </c>
      <c r="CW3074">
        <v>1056673</v>
      </c>
      <c r="CY3074">
        <v>1</v>
      </c>
      <c r="CZ3074">
        <v>0</v>
      </c>
      <c r="DA3074">
        <v>1</v>
      </c>
      <c r="DB3074">
        <v>0</v>
      </c>
      <c r="DC3074">
        <v>0</v>
      </c>
      <c r="DD3074">
        <v>0</v>
      </c>
      <c r="DE3074">
        <v>0</v>
      </c>
      <c r="DF3074">
        <v>0</v>
      </c>
      <c r="DG3074">
        <v>0</v>
      </c>
      <c r="DH3074">
        <v>0</v>
      </c>
      <c r="DI3074">
        <v>0</v>
      </c>
    </row>
    <row r="3075" spans="1:113" x14ac:dyDescent="0.3">
      <c r="A3075" t="str">
        <f>"02/08/2021 20:31:03.160"</f>
        <v>02/08/2021 20:31:03.160</v>
      </c>
      <c r="C3075" t="str">
        <f t="shared" si="148"/>
        <v>FFDFD7C0</v>
      </c>
      <c r="D3075" t="s">
        <v>124</v>
      </c>
      <c r="E3075">
        <v>13</v>
      </c>
      <c r="F3075">
        <v>1013</v>
      </c>
      <c r="G3075" t="s">
        <v>114</v>
      </c>
      <c r="J3075" t="s">
        <v>125</v>
      </c>
      <c r="K3075">
        <v>0</v>
      </c>
      <c r="L3075">
        <v>3</v>
      </c>
      <c r="M3075">
        <v>0</v>
      </c>
      <c r="N3075">
        <v>2</v>
      </c>
      <c r="O3075">
        <v>1</v>
      </c>
      <c r="P3075">
        <v>0</v>
      </c>
      <c r="Q3075">
        <v>0</v>
      </c>
      <c r="S3075" t="str">
        <f>"20:31:05.508"</f>
        <v>20:31:05.508</v>
      </c>
      <c r="T3075" t="str">
        <f>"20:31:05.108"</f>
        <v>20:31:05.108</v>
      </c>
      <c r="U3075" t="str">
        <f t="shared" si="150"/>
        <v>AB01F4</v>
      </c>
      <c r="V3075">
        <v>0</v>
      </c>
      <c r="W3075">
        <v>0</v>
      </c>
      <c r="X3075">
        <v>2</v>
      </c>
      <c r="Z3075">
        <v>0</v>
      </c>
      <c r="AA3075">
        <v>9</v>
      </c>
      <c r="AB3075">
        <v>3</v>
      </c>
      <c r="AC3075">
        <v>0</v>
      </c>
      <c r="AD3075">
        <v>10</v>
      </c>
      <c r="AE3075">
        <v>0</v>
      </c>
      <c r="AF3075">
        <v>3</v>
      </c>
      <c r="AG3075">
        <v>2</v>
      </c>
      <c r="AH3075">
        <v>0</v>
      </c>
      <c r="AI3075" t="s">
        <v>1787</v>
      </c>
      <c r="AJ3075">
        <v>40.043062999999997</v>
      </c>
      <c r="AK3075" t="s">
        <v>1788</v>
      </c>
      <c r="AL3075">
        <v>-92.877109000000004</v>
      </c>
      <c r="AM3075">
        <v>100</v>
      </c>
      <c r="AN3075">
        <v>1300</v>
      </c>
      <c r="AO3075" t="s">
        <v>118</v>
      </c>
      <c r="AP3075">
        <v>-123</v>
      </c>
      <c r="AQ3075">
        <v>59</v>
      </c>
      <c r="AR3075">
        <v>0</v>
      </c>
      <c r="AZ3075">
        <v>1200</v>
      </c>
      <c r="BA3075">
        <v>1</v>
      </c>
      <c r="BB3075" t="str">
        <f t="shared" si="149"/>
        <v xml:space="preserve">N8080G  </v>
      </c>
      <c r="BC3075">
        <v>1</v>
      </c>
      <c r="BE3075">
        <v>0</v>
      </c>
      <c r="BF3075">
        <v>0</v>
      </c>
      <c r="BG3075">
        <v>0</v>
      </c>
      <c r="BH3075">
        <v>1350</v>
      </c>
      <c r="BI3075">
        <v>1</v>
      </c>
      <c r="BJ3075">
        <v>1</v>
      </c>
      <c r="BK3075">
        <v>1</v>
      </c>
      <c r="BL3075">
        <v>0</v>
      </c>
      <c r="BO3075">
        <v>0</v>
      </c>
      <c r="BP3075">
        <v>0</v>
      </c>
      <c r="BW3075" t="str">
        <f>"20:31:05.514"</f>
        <v>20:31:05.514</v>
      </c>
      <c r="BZ3075">
        <v>0</v>
      </c>
      <c r="CA3075">
        <v>1600</v>
      </c>
      <c r="CB3075">
        <v>224</v>
      </c>
      <c r="CD3075">
        <v>1</v>
      </c>
      <c r="CE3075">
        <v>0</v>
      </c>
      <c r="CF3075">
        <v>0</v>
      </c>
      <c r="CG3075">
        <v>1</v>
      </c>
      <c r="CH3075">
        <v>0</v>
      </c>
      <c r="CI3075">
        <v>0</v>
      </c>
      <c r="CJ3075">
        <v>0</v>
      </c>
      <c r="CK3075">
        <v>2</v>
      </c>
      <c r="CL3075">
        <v>0</v>
      </c>
      <c r="CM3075">
        <v>2</v>
      </c>
      <c r="CN3075">
        <v>0</v>
      </c>
      <c r="CO3075">
        <v>7</v>
      </c>
      <c r="CP3075" t="s">
        <v>119</v>
      </c>
      <c r="CQ3075">
        <v>180</v>
      </c>
      <c r="CR3075">
        <v>3</v>
      </c>
      <c r="CW3075">
        <v>1059344</v>
      </c>
      <c r="CY3075">
        <v>1</v>
      </c>
      <c r="CZ3075">
        <v>0</v>
      </c>
      <c r="DA3075">
        <v>0</v>
      </c>
      <c r="DB3075">
        <v>0</v>
      </c>
      <c r="DC3075">
        <v>0</v>
      </c>
      <c r="DD3075">
        <v>0</v>
      </c>
      <c r="DE3075">
        <v>0</v>
      </c>
      <c r="DF3075">
        <v>0</v>
      </c>
      <c r="DG3075">
        <v>0</v>
      </c>
      <c r="DH3075">
        <v>0</v>
      </c>
      <c r="DI3075">
        <v>0</v>
      </c>
    </row>
    <row r="3076" spans="1:113" x14ac:dyDescent="0.3">
      <c r="A3076" t="str">
        <f>"02/08/2021 20:31:03.160"</f>
        <v>02/08/2021 20:31:03.160</v>
      </c>
      <c r="C3076" t="str">
        <f t="shared" si="148"/>
        <v>FFDFD7C0</v>
      </c>
      <c r="D3076" t="s">
        <v>124</v>
      </c>
      <c r="E3076">
        <v>12</v>
      </c>
      <c r="F3076">
        <v>1012</v>
      </c>
      <c r="G3076" t="s">
        <v>675</v>
      </c>
      <c r="J3076" t="s">
        <v>125</v>
      </c>
      <c r="K3076">
        <v>0</v>
      </c>
      <c r="L3076">
        <v>3</v>
      </c>
      <c r="M3076">
        <v>0</v>
      </c>
      <c r="N3076">
        <v>2</v>
      </c>
      <c r="O3076">
        <v>1</v>
      </c>
      <c r="P3076">
        <v>0</v>
      </c>
      <c r="Q3076">
        <v>0</v>
      </c>
      <c r="S3076" t="str">
        <f>"20:31:05.508"</f>
        <v>20:31:05.508</v>
      </c>
      <c r="T3076" t="str">
        <f>"20:31:05.108"</f>
        <v>20:31:05.108</v>
      </c>
      <c r="U3076" t="str">
        <f t="shared" si="150"/>
        <v>AB01F4</v>
      </c>
      <c r="V3076">
        <v>0</v>
      </c>
      <c r="W3076">
        <v>0</v>
      </c>
      <c r="X3076">
        <v>2</v>
      </c>
      <c r="Z3076">
        <v>0</v>
      </c>
      <c r="AA3076">
        <v>9</v>
      </c>
      <c r="AB3076">
        <v>3</v>
      </c>
      <c r="AC3076">
        <v>0</v>
      </c>
      <c r="AD3076">
        <v>10</v>
      </c>
      <c r="AE3076">
        <v>0</v>
      </c>
      <c r="AF3076">
        <v>3</v>
      </c>
      <c r="AG3076">
        <v>2</v>
      </c>
      <c r="AH3076">
        <v>0</v>
      </c>
      <c r="AI3076" t="s">
        <v>1787</v>
      </c>
      <c r="AJ3076">
        <v>40.043062999999997</v>
      </c>
      <c r="AK3076" t="s">
        <v>1788</v>
      </c>
      <c r="AL3076">
        <v>-92.877109000000004</v>
      </c>
      <c r="AM3076">
        <v>100</v>
      </c>
      <c r="AN3076">
        <v>1300</v>
      </c>
      <c r="AO3076" t="s">
        <v>118</v>
      </c>
      <c r="AP3076">
        <v>-123</v>
      </c>
      <c r="AQ3076">
        <v>59</v>
      </c>
      <c r="AR3076">
        <v>0</v>
      </c>
      <c r="AZ3076">
        <v>1200</v>
      </c>
      <c r="BA3076">
        <v>1</v>
      </c>
      <c r="BB3076" t="str">
        <f t="shared" si="149"/>
        <v xml:space="preserve">N8080G  </v>
      </c>
      <c r="BC3076">
        <v>1</v>
      </c>
      <c r="BE3076">
        <v>0</v>
      </c>
      <c r="BF3076">
        <v>0</v>
      </c>
      <c r="BG3076">
        <v>0</v>
      </c>
      <c r="BH3076">
        <v>1350</v>
      </c>
      <c r="BI3076">
        <v>1</v>
      </c>
      <c r="BJ3076">
        <v>1</v>
      </c>
      <c r="BK3076">
        <v>1</v>
      </c>
      <c r="BL3076">
        <v>0</v>
      </c>
      <c r="BO3076">
        <v>0</v>
      </c>
      <c r="BP3076">
        <v>0</v>
      </c>
      <c r="BW3076" t="str">
        <f>"20:31:05.514"</f>
        <v>20:31:05.514</v>
      </c>
      <c r="BZ3076">
        <v>0</v>
      </c>
      <c r="CA3076">
        <v>1600</v>
      </c>
      <c r="CB3076">
        <v>224</v>
      </c>
      <c r="CD3076">
        <v>1</v>
      </c>
      <c r="CE3076">
        <v>0</v>
      </c>
      <c r="CF3076">
        <v>0</v>
      </c>
      <c r="CG3076">
        <v>1</v>
      </c>
      <c r="CH3076">
        <v>0</v>
      </c>
      <c r="CI3076">
        <v>0</v>
      </c>
      <c r="CJ3076">
        <v>0</v>
      </c>
      <c r="CK3076">
        <v>2</v>
      </c>
      <c r="CL3076">
        <v>0</v>
      </c>
      <c r="CM3076">
        <v>2</v>
      </c>
      <c r="CN3076">
        <v>0</v>
      </c>
      <c r="CO3076">
        <v>7</v>
      </c>
      <c r="CP3076" t="s">
        <v>119</v>
      </c>
      <c r="CQ3076">
        <v>180</v>
      </c>
      <c r="CR3076">
        <v>3</v>
      </c>
      <c r="CW3076">
        <v>1059344</v>
      </c>
      <c r="CY3076">
        <v>1</v>
      </c>
      <c r="CZ3076">
        <v>0</v>
      </c>
      <c r="DA3076">
        <v>1</v>
      </c>
      <c r="DB3076">
        <v>0</v>
      </c>
      <c r="DC3076">
        <v>0</v>
      </c>
      <c r="DD3076">
        <v>0</v>
      </c>
      <c r="DE3076">
        <v>0</v>
      </c>
      <c r="DF3076">
        <v>0</v>
      </c>
      <c r="DG3076">
        <v>0</v>
      </c>
      <c r="DH3076">
        <v>0</v>
      </c>
      <c r="DI3076">
        <v>0</v>
      </c>
    </row>
    <row r="3077" spans="1:113" x14ac:dyDescent="0.3">
      <c r="A3077" t="str">
        <f>"02/08/2021 20:31:03.160"</f>
        <v>02/08/2021 20:31:03.160</v>
      </c>
      <c r="C3077" t="str">
        <f t="shared" si="148"/>
        <v>FFDFD7C0</v>
      </c>
      <c r="D3077" t="s">
        <v>124</v>
      </c>
      <c r="E3077">
        <v>11</v>
      </c>
      <c r="F3077">
        <v>1011</v>
      </c>
      <c r="G3077" t="s">
        <v>590</v>
      </c>
      <c r="J3077" t="s">
        <v>125</v>
      </c>
      <c r="K3077">
        <v>0</v>
      </c>
      <c r="L3077">
        <v>3</v>
      </c>
      <c r="M3077">
        <v>0</v>
      </c>
      <c r="N3077">
        <v>2</v>
      </c>
      <c r="O3077">
        <v>1</v>
      </c>
      <c r="P3077">
        <v>0</v>
      </c>
      <c r="Q3077">
        <v>0</v>
      </c>
      <c r="S3077" t="str">
        <f>"20:31:05.508"</f>
        <v>20:31:05.508</v>
      </c>
      <c r="T3077" t="str">
        <f>"20:31:05.108"</f>
        <v>20:31:05.108</v>
      </c>
      <c r="U3077" t="str">
        <f t="shared" si="150"/>
        <v>AB01F4</v>
      </c>
      <c r="V3077">
        <v>0</v>
      </c>
      <c r="W3077">
        <v>0</v>
      </c>
      <c r="X3077">
        <v>2</v>
      </c>
      <c r="Z3077">
        <v>0</v>
      </c>
      <c r="AA3077">
        <v>9</v>
      </c>
      <c r="AB3077">
        <v>3</v>
      </c>
      <c r="AC3077">
        <v>0</v>
      </c>
      <c r="AD3077">
        <v>10</v>
      </c>
      <c r="AE3077">
        <v>0</v>
      </c>
      <c r="AF3077">
        <v>3</v>
      </c>
      <c r="AG3077">
        <v>2</v>
      </c>
      <c r="AH3077">
        <v>0</v>
      </c>
      <c r="AI3077" t="s">
        <v>1787</v>
      </c>
      <c r="AJ3077">
        <v>40.043062999999997</v>
      </c>
      <c r="AK3077" t="s">
        <v>1788</v>
      </c>
      <c r="AL3077">
        <v>-92.877109000000004</v>
      </c>
      <c r="AM3077">
        <v>100</v>
      </c>
      <c r="AN3077">
        <v>1300</v>
      </c>
      <c r="AO3077" t="s">
        <v>118</v>
      </c>
      <c r="AP3077">
        <v>-123</v>
      </c>
      <c r="AQ3077">
        <v>59</v>
      </c>
      <c r="AR3077">
        <v>0</v>
      </c>
      <c r="AZ3077">
        <v>1200</v>
      </c>
      <c r="BA3077">
        <v>1</v>
      </c>
      <c r="BB3077" t="str">
        <f t="shared" si="149"/>
        <v xml:space="preserve">N8080G  </v>
      </c>
      <c r="BC3077">
        <v>1</v>
      </c>
      <c r="BE3077">
        <v>0</v>
      </c>
      <c r="BF3077">
        <v>0</v>
      </c>
      <c r="BG3077">
        <v>0</v>
      </c>
      <c r="BH3077">
        <v>1350</v>
      </c>
      <c r="BI3077">
        <v>1</v>
      </c>
      <c r="BJ3077">
        <v>1</v>
      </c>
      <c r="BK3077">
        <v>1</v>
      </c>
      <c r="BL3077">
        <v>0</v>
      </c>
      <c r="BO3077">
        <v>0</v>
      </c>
      <c r="BP3077">
        <v>0</v>
      </c>
      <c r="BW3077" t="str">
        <f>"20:31:05.514"</f>
        <v>20:31:05.514</v>
      </c>
      <c r="BZ3077">
        <v>0</v>
      </c>
      <c r="CA3077">
        <v>1600</v>
      </c>
      <c r="CB3077">
        <v>224</v>
      </c>
      <c r="CD3077">
        <v>1</v>
      </c>
      <c r="CE3077">
        <v>0</v>
      </c>
      <c r="CF3077">
        <v>0</v>
      </c>
      <c r="CG3077">
        <v>1</v>
      </c>
      <c r="CH3077">
        <v>0</v>
      </c>
      <c r="CI3077">
        <v>0</v>
      </c>
      <c r="CJ3077">
        <v>0</v>
      </c>
      <c r="CK3077">
        <v>2</v>
      </c>
      <c r="CL3077">
        <v>0</v>
      </c>
      <c r="CM3077">
        <v>2</v>
      </c>
      <c r="CN3077">
        <v>0</v>
      </c>
      <c r="CO3077">
        <v>7</v>
      </c>
      <c r="CP3077" t="s">
        <v>119</v>
      </c>
      <c r="CQ3077">
        <v>180</v>
      </c>
      <c r="CR3077">
        <v>3</v>
      </c>
      <c r="CW3077">
        <v>1059344</v>
      </c>
      <c r="CY3077">
        <v>1</v>
      </c>
      <c r="CZ3077">
        <v>0</v>
      </c>
      <c r="DA3077">
        <v>1</v>
      </c>
      <c r="DB3077">
        <v>0</v>
      </c>
      <c r="DC3077">
        <v>0</v>
      </c>
      <c r="DD3077">
        <v>0</v>
      </c>
      <c r="DE3077">
        <v>0</v>
      </c>
      <c r="DF3077">
        <v>0</v>
      </c>
      <c r="DG3077">
        <v>0</v>
      </c>
      <c r="DH3077">
        <v>0</v>
      </c>
      <c r="DI3077">
        <v>0</v>
      </c>
    </row>
    <row r="3078" spans="1:113" x14ac:dyDescent="0.3">
      <c r="A3078" t="str">
        <f>"02/08/2021 20:31:03.160"</f>
        <v>02/08/2021 20:31:03.160</v>
      </c>
      <c r="C3078" t="str">
        <f t="shared" si="148"/>
        <v>FFDFD7C0</v>
      </c>
      <c r="D3078" t="s">
        <v>113</v>
      </c>
      <c r="E3078">
        <v>6</v>
      </c>
      <c r="H3078">
        <v>165</v>
      </c>
      <c r="I3078" t="s">
        <v>114</v>
      </c>
      <c r="J3078" t="s">
        <v>115</v>
      </c>
      <c r="K3078">
        <v>0</v>
      </c>
      <c r="L3078">
        <v>3</v>
      </c>
      <c r="M3078">
        <v>0</v>
      </c>
      <c r="N3078">
        <v>2</v>
      </c>
      <c r="O3078">
        <v>1</v>
      </c>
      <c r="P3078">
        <v>0</v>
      </c>
      <c r="Q3078">
        <v>0</v>
      </c>
      <c r="S3078" t="str">
        <f>"20:31:05.508"</f>
        <v>20:31:05.508</v>
      </c>
      <c r="T3078" t="str">
        <f>"20:31:05.108"</f>
        <v>20:31:05.108</v>
      </c>
      <c r="U3078" t="str">
        <f t="shared" si="150"/>
        <v>AB01F4</v>
      </c>
      <c r="V3078">
        <v>0</v>
      </c>
      <c r="W3078">
        <v>0</v>
      </c>
      <c r="X3078">
        <v>2</v>
      </c>
      <c r="Z3078">
        <v>0</v>
      </c>
      <c r="AA3078">
        <v>9</v>
      </c>
      <c r="AB3078">
        <v>3</v>
      </c>
      <c r="AC3078">
        <v>0</v>
      </c>
      <c r="AD3078">
        <v>10</v>
      </c>
      <c r="AE3078">
        <v>0</v>
      </c>
      <c r="AF3078">
        <v>3</v>
      </c>
      <c r="AG3078">
        <v>2</v>
      </c>
      <c r="AH3078">
        <v>0</v>
      </c>
      <c r="AI3078" t="s">
        <v>1787</v>
      </c>
      <c r="AJ3078">
        <v>40.043062999999997</v>
      </c>
      <c r="AK3078" t="s">
        <v>1788</v>
      </c>
      <c r="AL3078">
        <v>-92.877109000000004</v>
      </c>
      <c r="AM3078">
        <v>100</v>
      </c>
      <c r="AN3078">
        <v>1300</v>
      </c>
      <c r="AO3078" t="s">
        <v>118</v>
      </c>
      <c r="AP3078">
        <v>-123</v>
      </c>
      <c r="AQ3078">
        <v>59</v>
      </c>
      <c r="AR3078">
        <v>0</v>
      </c>
      <c r="AZ3078">
        <v>1200</v>
      </c>
      <c r="BA3078">
        <v>1</v>
      </c>
      <c r="BB3078" t="str">
        <f t="shared" si="149"/>
        <v xml:space="preserve">N8080G  </v>
      </c>
      <c r="BC3078">
        <v>1</v>
      </c>
      <c r="BE3078">
        <v>0</v>
      </c>
      <c r="BF3078">
        <v>0</v>
      </c>
      <c r="BG3078">
        <v>0</v>
      </c>
      <c r="BH3078">
        <v>1350</v>
      </c>
      <c r="BI3078">
        <v>1</v>
      </c>
      <c r="BJ3078">
        <v>1</v>
      </c>
      <c r="BK3078">
        <v>1</v>
      </c>
      <c r="BL3078">
        <v>0</v>
      </c>
      <c r="BO3078">
        <v>0</v>
      </c>
      <c r="BP3078">
        <v>0</v>
      </c>
      <c r="BW3078" t="str">
        <f>"20:31:05.514"</f>
        <v>20:31:05.514</v>
      </c>
      <c r="BZ3078">
        <v>0</v>
      </c>
      <c r="CA3078">
        <v>1600</v>
      </c>
      <c r="CB3078">
        <v>224</v>
      </c>
      <c r="CD3078">
        <v>1</v>
      </c>
      <c r="CE3078">
        <v>0</v>
      </c>
      <c r="CF3078">
        <v>0</v>
      </c>
      <c r="CG3078">
        <v>1</v>
      </c>
      <c r="CH3078">
        <v>0</v>
      </c>
      <c r="CI3078">
        <v>0</v>
      </c>
      <c r="CJ3078">
        <v>0</v>
      </c>
      <c r="CK3078">
        <v>2</v>
      </c>
      <c r="CL3078">
        <v>0</v>
      </c>
      <c r="CM3078">
        <v>2</v>
      </c>
      <c r="CN3078">
        <v>0</v>
      </c>
      <c r="CO3078">
        <v>7</v>
      </c>
      <c r="CP3078" t="s">
        <v>119</v>
      </c>
      <c r="CQ3078">
        <v>180</v>
      </c>
      <c r="CR3078">
        <v>3</v>
      </c>
      <c r="CW3078">
        <v>1059344</v>
      </c>
      <c r="CY3078">
        <v>1</v>
      </c>
      <c r="CZ3078">
        <v>0</v>
      </c>
      <c r="DA3078">
        <v>1</v>
      </c>
      <c r="DB3078">
        <v>0</v>
      </c>
      <c r="DC3078">
        <v>0</v>
      </c>
      <c r="DD3078">
        <v>0</v>
      </c>
      <c r="DE3078">
        <v>0</v>
      </c>
      <c r="DF3078">
        <v>0</v>
      </c>
      <c r="DG3078">
        <v>0</v>
      </c>
      <c r="DH3078">
        <v>0</v>
      </c>
      <c r="DI3078">
        <v>0</v>
      </c>
    </row>
    <row r="3079" spans="1:113" x14ac:dyDescent="0.3">
      <c r="A3079" t="str">
        <f>"02/08/2021 20:31:04.795"</f>
        <v>02/08/2021 20:31:04.795</v>
      </c>
      <c r="C3079" t="str">
        <f t="shared" si="148"/>
        <v>FFDFD7C0</v>
      </c>
      <c r="D3079" t="s">
        <v>124</v>
      </c>
      <c r="E3079">
        <v>12</v>
      </c>
      <c r="F3079">
        <v>1012</v>
      </c>
      <c r="G3079" t="s">
        <v>675</v>
      </c>
      <c r="J3079" t="s">
        <v>125</v>
      </c>
      <c r="K3079">
        <v>0</v>
      </c>
      <c r="L3079">
        <v>3</v>
      </c>
      <c r="M3079">
        <v>0</v>
      </c>
      <c r="N3079">
        <v>2</v>
      </c>
      <c r="O3079">
        <v>1</v>
      </c>
      <c r="P3079">
        <v>0</v>
      </c>
      <c r="Q3079">
        <v>0</v>
      </c>
      <c r="S3079" t="str">
        <f>"20:31:07.086"</f>
        <v>20:31:07.086</v>
      </c>
      <c r="T3079" t="str">
        <f>"20:31:06.586"</f>
        <v>20:31:06.586</v>
      </c>
      <c r="U3079" t="str">
        <f t="shared" si="150"/>
        <v>AB01F4</v>
      </c>
      <c r="V3079">
        <v>0</v>
      </c>
      <c r="W3079">
        <v>0</v>
      </c>
      <c r="X3079">
        <v>2</v>
      </c>
      <c r="Z3079">
        <v>0</v>
      </c>
      <c r="AA3079">
        <v>9</v>
      </c>
      <c r="AB3079">
        <v>3</v>
      </c>
      <c r="AC3079">
        <v>0</v>
      </c>
      <c r="AD3079">
        <v>10</v>
      </c>
      <c r="AE3079">
        <v>0</v>
      </c>
      <c r="AF3079">
        <v>3</v>
      </c>
      <c r="AG3079">
        <v>2</v>
      </c>
      <c r="AH3079">
        <v>0</v>
      </c>
      <c r="AI3079" t="s">
        <v>1789</v>
      </c>
      <c r="AJ3079">
        <v>40.043492000000001</v>
      </c>
      <c r="AK3079" t="s">
        <v>1790</v>
      </c>
      <c r="AL3079">
        <v>-92.878288999999995</v>
      </c>
      <c r="AM3079">
        <v>100</v>
      </c>
      <c r="AN3079">
        <v>1300</v>
      </c>
      <c r="AO3079" t="s">
        <v>118</v>
      </c>
      <c r="AP3079">
        <v>-122</v>
      </c>
      <c r="AQ3079">
        <v>60</v>
      </c>
      <c r="AR3079">
        <v>-128</v>
      </c>
      <c r="AZ3079">
        <v>1200</v>
      </c>
      <c r="BA3079">
        <v>1</v>
      </c>
      <c r="BB3079" t="str">
        <f t="shared" si="149"/>
        <v xml:space="preserve">N8080G  </v>
      </c>
      <c r="BC3079">
        <v>1</v>
      </c>
      <c r="BE3079">
        <v>0</v>
      </c>
      <c r="BF3079">
        <v>0</v>
      </c>
      <c r="BG3079">
        <v>0</v>
      </c>
      <c r="BH3079">
        <v>1350</v>
      </c>
      <c r="BI3079">
        <v>1</v>
      </c>
      <c r="BJ3079">
        <v>1</v>
      </c>
      <c r="BK3079">
        <v>1</v>
      </c>
      <c r="BL3079">
        <v>0</v>
      </c>
      <c r="BO3079">
        <v>0</v>
      </c>
      <c r="BP3079">
        <v>0</v>
      </c>
      <c r="BW3079" t="str">
        <f>"20:31:07.093"</f>
        <v>20:31:07.093</v>
      </c>
      <c r="BZ3079">
        <v>0</v>
      </c>
      <c r="CA3079">
        <v>1600</v>
      </c>
      <c r="CB3079">
        <v>224</v>
      </c>
      <c r="CD3079">
        <v>1</v>
      </c>
      <c r="CE3079">
        <v>0</v>
      </c>
      <c r="CF3079">
        <v>0</v>
      </c>
      <c r="CG3079">
        <v>1</v>
      </c>
      <c r="CH3079">
        <v>0</v>
      </c>
      <c r="CI3079">
        <v>0</v>
      </c>
      <c r="CJ3079">
        <v>0</v>
      </c>
      <c r="CK3079">
        <v>2</v>
      </c>
      <c r="CL3079">
        <v>0</v>
      </c>
      <c r="CM3079">
        <v>2</v>
      </c>
      <c r="CN3079">
        <v>0</v>
      </c>
      <c r="CO3079">
        <v>7</v>
      </c>
      <c r="CP3079" t="s">
        <v>119</v>
      </c>
      <c r="CQ3079">
        <v>180</v>
      </c>
      <c r="CR3079">
        <v>2</v>
      </c>
      <c r="CW3079">
        <v>8712819</v>
      </c>
      <c r="CY3079">
        <v>1</v>
      </c>
      <c r="CZ3079">
        <v>0</v>
      </c>
      <c r="DA3079">
        <v>0</v>
      </c>
      <c r="DB3079">
        <v>0</v>
      </c>
      <c r="DC3079">
        <v>0</v>
      </c>
      <c r="DD3079">
        <v>0</v>
      </c>
      <c r="DE3079">
        <v>0</v>
      </c>
      <c r="DF3079">
        <v>0</v>
      </c>
      <c r="DG3079">
        <v>0</v>
      </c>
      <c r="DH3079">
        <v>0</v>
      </c>
      <c r="DI3079">
        <v>0</v>
      </c>
    </row>
    <row r="3080" spans="1:113" x14ac:dyDescent="0.3">
      <c r="A3080" t="str">
        <f>"02/08/2021 20:31:04.795"</f>
        <v>02/08/2021 20:31:04.795</v>
      </c>
      <c r="C3080" t="str">
        <f t="shared" si="148"/>
        <v>FFDFD7C0</v>
      </c>
      <c r="D3080" t="s">
        <v>124</v>
      </c>
      <c r="E3080">
        <v>11</v>
      </c>
      <c r="F3080">
        <v>1011</v>
      </c>
      <c r="G3080" t="s">
        <v>590</v>
      </c>
      <c r="J3080" t="s">
        <v>125</v>
      </c>
      <c r="K3080">
        <v>0</v>
      </c>
      <c r="L3080">
        <v>3</v>
      </c>
      <c r="M3080">
        <v>0</v>
      </c>
      <c r="N3080">
        <v>2</v>
      </c>
      <c r="O3080">
        <v>1</v>
      </c>
      <c r="P3080">
        <v>0</v>
      </c>
      <c r="Q3080">
        <v>0</v>
      </c>
      <c r="S3080" t="str">
        <f>"20:31:07.086"</f>
        <v>20:31:07.086</v>
      </c>
      <c r="T3080" t="str">
        <f>"20:31:06.586"</f>
        <v>20:31:06.586</v>
      </c>
      <c r="U3080" t="str">
        <f t="shared" si="150"/>
        <v>AB01F4</v>
      </c>
      <c r="V3080">
        <v>0</v>
      </c>
      <c r="W3080">
        <v>0</v>
      </c>
      <c r="X3080">
        <v>2</v>
      </c>
      <c r="Z3080">
        <v>0</v>
      </c>
      <c r="AA3080">
        <v>9</v>
      </c>
      <c r="AB3080">
        <v>3</v>
      </c>
      <c r="AC3080">
        <v>0</v>
      </c>
      <c r="AD3080">
        <v>10</v>
      </c>
      <c r="AE3080">
        <v>0</v>
      </c>
      <c r="AF3080">
        <v>3</v>
      </c>
      <c r="AG3080">
        <v>2</v>
      </c>
      <c r="AH3080">
        <v>0</v>
      </c>
      <c r="AI3080" t="s">
        <v>1789</v>
      </c>
      <c r="AJ3080">
        <v>40.043492000000001</v>
      </c>
      <c r="AK3080" t="s">
        <v>1790</v>
      </c>
      <c r="AL3080">
        <v>-92.878288999999995</v>
      </c>
      <c r="AM3080">
        <v>100</v>
      </c>
      <c r="AN3080">
        <v>1300</v>
      </c>
      <c r="AO3080" t="s">
        <v>118</v>
      </c>
      <c r="AP3080">
        <v>-122</v>
      </c>
      <c r="AQ3080">
        <v>60</v>
      </c>
      <c r="AR3080">
        <v>-128</v>
      </c>
      <c r="AZ3080">
        <v>1200</v>
      </c>
      <c r="BA3080">
        <v>1</v>
      </c>
      <c r="BB3080" t="str">
        <f t="shared" si="149"/>
        <v xml:space="preserve">N8080G  </v>
      </c>
      <c r="BC3080">
        <v>1</v>
      </c>
      <c r="BE3080">
        <v>0</v>
      </c>
      <c r="BF3080">
        <v>0</v>
      </c>
      <c r="BG3080">
        <v>0</v>
      </c>
      <c r="BH3080">
        <v>1350</v>
      </c>
      <c r="BI3080">
        <v>1</v>
      </c>
      <c r="BJ3080">
        <v>1</v>
      </c>
      <c r="BK3080">
        <v>1</v>
      </c>
      <c r="BL3080">
        <v>0</v>
      </c>
      <c r="BO3080">
        <v>0</v>
      </c>
      <c r="BP3080">
        <v>0</v>
      </c>
      <c r="BW3080" t="str">
        <f>"20:31:07.093"</f>
        <v>20:31:07.093</v>
      </c>
      <c r="BZ3080">
        <v>0</v>
      </c>
      <c r="CA3080">
        <v>1600</v>
      </c>
      <c r="CB3080">
        <v>224</v>
      </c>
      <c r="CD3080">
        <v>1</v>
      </c>
      <c r="CE3080">
        <v>0</v>
      </c>
      <c r="CF3080">
        <v>0</v>
      </c>
      <c r="CG3080">
        <v>1</v>
      </c>
      <c r="CH3080">
        <v>0</v>
      </c>
      <c r="CI3080">
        <v>0</v>
      </c>
      <c r="CJ3080">
        <v>0</v>
      </c>
      <c r="CK3080">
        <v>2</v>
      </c>
      <c r="CL3080">
        <v>0</v>
      </c>
      <c r="CM3080">
        <v>2</v>
      </c>
      <c r="CN3080">
        <v>0</v>
      </c>
      <c r="CO3080">
        <v>7</v>
      </c>
      <c r="CP3080" t="s">
        <v>119</v>
      </c>
      <c r="CQ3080">
        <v>180</v>
      </c>
      <c r="CR3080">
        <v>2</v>
      </c>
      <c r="CW3080">
        <v>8712819</v>
      </c>
      <c r="CY3080">
        <v>1</v>
      </c>
      <c r="CZ3080">
        <v>0</v>
      </c>
      <c r="DA3080">
        <v>1</v>
      </c>
      <c r="DB3080">
        <v>0</v>
      </c>
      <c r="DC3080">
        <v>0</v>
      </c>
      <c r="DD3080">
        <v>0</v>
      </c>
      <c r="DE3080">
        <v>0</v>
      </c>
      <c r="DF3080">
        <v>0</v>
      </c>
      <c r="DG3080">
        <v>0</v>
      </c>
      <c r="DH3080">
        <v>0</v>
      </c>
      <c r="DI3080">
        <v>0</v>
      </c>
    </row>
    <row r="3081" spans="1:113" x14ac:dyDescent="0.3">
      <c r="A3081" t="str">
        <f>"02/08/2021 20:31:04.795"</f>
        <v>02/08/2021 20:31:04.795</v>
      </c>
      <c r="C3081" t="str">
        <f t="shared" si="148"/>
        <v>FFDFD7C0</v>
      </c>
      <c r="D3081" t="s">
        <v>113</v>
      </c>
      <c r="E3081">
        <v>6</v>
      </c>
      <c r="H3081">
        <v>165</v>
      </c>
      <c r="I3081" t="s">
        <v>114</v>
      </c>
      <c r="J3081" t="s">
        <v>115</v>
      </c>
      <c r="K3081">
        <v>0</v>
      </c>
      <c r="L3081">
        <v>3</v>
      </c>
      <c r="M3081">
        <v>0</v>
      </c>
      <c r="N3081">
        <v>2</v>
      </c>
      <c r="O3081">
        <v>1</v>
      </c>
      <c r="P3081">
        <v>0</v>
      </c>
      <c r="Q3081">
        <v>0</v>
      </c>
      <c r="S3081" t="str">
        <f>"20:31:07.086"</f>
        <v>20:31:07.086</v>
      </c>
      <c r="T3081" t="str">
        <f>"20:31:06.586"</f>
        <v>20:31:06.586</v>
      </c>
      <c r="U3081" t="str">
        <f t="shared" si="150"/>
        <v>AB01F4</v>
      </c>
      <c r="V3081">
        <v>0</v>
      </c>
      <c r="W3081">
        <v>0</v>
      </c>
      <c r="X3081">
        <v>2</v>
      </c>
      <c r="Z3081">
        <v>0</v>
      </c>
      <c r="AA3081">
        <v>9</v>
      </c>
      <c r="AB3081">
        <v>3</v>
      </c>
      <c r="AC3081">
        <v>0</v>
      </c>
      <c r="AD3081">
        <v>10</v>
      </c>
      <c r="AE3081">
        <v>0</v>
      </c>
      <c r="AF3081">
        <v>3</v>
      </c>
      <c r="AG3081">
        <v>2</v>
      </c>
      <c r="AH3081">
        <v>0</v>
      </c>
      <c r="AI3081" t="s">
        <v>1789</v>
      </c>
      <c r="AJ3081">
        <v>40.043492000000001</v>
      </c>
      <c r="AK3081" t="s">
        <v>1790</v>
      </c>
      <c r="AL3081">
        <v>-92.878288999999995</v>
      </c>
      <c r="AM3081">
        <v>100</v>
      </c>
      <c r="AN3081">
        <v>1300</v>
      </c>
      <c r="AO3081" t="s">
        <v>118</v>
      </c>
      <c r="AP3081">
        <v>-122</v>
      </c>
      <c r="AQ3081">
        <v>60</v>
      </c>
      <c r="AR3081">
        <v>-128</v>
      </c>
      <c r="AZ3081">
        <v>1200</v>
      </c>
      <c r="BA3081">
        <v>1</v>
      </c>
      <c r="BB3081" t="str">
        <f t="shared" si="149"/>
        <v xml:space="preserve">N8080G  </v>
      </c>
      <c r="BC3081">
        <v>1</v>
      </c>
      <c r="BE3081">
        <v>0</v>
      </c>
      <c r="BF3081">
        <v>0</v>
      </c>
      <c r="BG3081">
        <v>0</v>
      </c>
      <c r="BH3081">
        <v>1350</v>
      </c>
      <c r="BI3081">
        <v>1</v>
      </c>
      <c r="BJ3081">
        <v>1</v>
      </c>
      <c r="BK3081">
        <v>1</v>
      </c>
      <c r="BL3081">
        <v>0</v>
      </c>
      <c r="BO3081">
        <v>0</v>
      </c>
      <c r="BP3081">
        <v>0</v>
      </c>
      <c r="BW3081" t="str">
        <f>"20:31:07.093"</f>
        <v>20:31:07.093</v>
      </c>
      <c r="BZ3081">
        <v>0</v>
      </c>
      <c r="CA3081">
        <v>1600</v>
      </c>
      <c r="CB3081">
        <v>224</v>
      </c>
      <c r="CD3081">
        <v>1</v>
      </c>
      <c r="CE3081">
        <v>0</v>
      </c>
      <c r="CF3081">
        <v>0</v>
      </c>
      <c r="CG3081">
        <v>1</v>
      </c>
      <c r="CH3081">
        <v>0</v>
      </c>
      <c r="CI3081">
        <v>0</v>
      </c>
      <c r="CJ3081">
        <v>0</v>
      </c>
      <c r="CK3081">
        <v>2</v>
      </c>
      <c r="CL3081">
        <v>0</v>
      </c>
      <c r="CM3081">
        <v>2</v>
      </c>
      <c r="CN3081">
        <v>0</v>
      </c>
      <c r="CO3081">
        <v>7</v>
      </c>
      <c r="CP3081" t="s">
        <v>119</v>
      </c>
      <c r="CQ3081">
        <v>180</v>
      </c>
      <c r="CR3081">
        <v>2</v>
      </c>
      <c r="CW3081">
        <v>8712819</v>
      </c>
      <c r="CY3081">
        <v>1</v>
      </c>
      <c r="CZ3081">
        <v>0</v>
      </c>
      <c r="DA3081">
        <v>1</v>
      </c>
      <c r="DB3081">
        <v>0</v>
      </c>
      <c r="DC3081">
        <v>0</v>
      </c>
      <c r="DD3081">
        <v>0</v>
      </c>
      <c r="DE3081">
        <v>0</v>
      </c>
      <c r="DF3081">
        <v>0</v>
      </c>
      <c r="DG3081">
        <v>0</v>
      </c>
      <c r="DH3081">
        <v>0</v>
      </c>
      <c r="DI3081">
        <v>0</v>
      </c>
    </row>
    <row r="3082" spans="1:113" x14ac:dyDescent="0.3">
      <c r="A3082" t="str">
        <f>"02/08/2021 20:31:04.795"</f>
        <v>02/08/2021 20:31:04.795</v>
      </c>
      <c r="C3082" t="str">
        <f t="shared" si="148"/>
        <v>FFDFD7C0</v>
      </c>
      <c r="D3082" t="s">
        <v>124</v>
      </c>
      <c r="E3082">
        <v>13</v>
      </c>
      <c r="F3082">
        <v>1013</v>
      </c>
      <c r="G3082" t="s">
        <v>114</v>
      </c>
      <c r="J3082" t="s">
        <v>125</v>
      </c>
      <c r="K3082">
        <v>0</v>
      </c>
      <c r="L3082">
        <v>3</v>
      </c>
      <c r="M3082">
        <v>0</v>
      </c>
      <c r="N3082">
        <v>2</v>
      </c>
      <c r="O3082">
        <v>1</v>
      </c>
      <c r="P3082">
        <v>0</v>
      </c>
      <c r="Q3082">
        <v>0</v>
      </c>
      <c r="S3082" t="str">
        <f>"20:31:07.086"</f>
        <v>20:31:07.086</v>
      </c>
      <c r="T3082" t="str">
        <f>"20:31:06.586"</f>
        <v>20:31:06.586</v>
      </c>
      <c r="U3082" t="str">
        <f t="shared" si="150"/>
        <v>AB01F4</v>
      </c>
      <c r="V3082">
        <v>0</v>
      </c>
      <c r="W3082">
        <v>0</v>
      </c>
      <c r="X3082">
        <v>2</v>
      </c>
      <c r="Z3082">
        <v>0</v>
      </c>
      <c r="AA3082">
        <v>9</v>
      </c>
      <c r="AB3082">
        <v>3</v>
      </c>
      <c r="AC3082">
        <v>0</v>
      </c>
      <c r="AD3082">
        <v>10</v>
      </c>
      <c r="AE3082">
        <v>0</v>
      </c>
      <c r="AF3082">
        <v>3</v>
      </c>
      <c r="AG3082">
        <v>2</v>
      </c>
      <c r="AH3082">
        <v>0</v>
      </c>
      <c r="AI3082" t="s">
        <v>1789</v>
      </c>
      <c r="AJ3082">
        <v>40.043492000000001</v>
      </c>
      <c r="AK3082" t="s">
        <v>1790</v>
      </c>
      <c r="AL3082">
        <v>-92.878288999999995</v>
      </c>
      <c r="AM3082">
        <v>100</v>
      </c>
      <c r="AN3082">
        <v>1300</v>
      </c>
      <c r="AO3082" t="s">
        <v>118</v>
      </c>
      <c r="AP3082">
        <v>-122</v>
      </c>
      <c r="AQ3082">
        <v>60</v>
      </c>
      <c r="AR3082">
        <v>-128</v>
      </c>
      <c r="AZ3082">
        <v>1200</v>
      </c>
      <c r="BA3082">
        <v>1</v>
      </c>
      <c r="BB3082" t="str">
        <f t="shared" si="149"/>
        <v xml:space="preserve">N8080G  </v>
      </c>
      <c r="BC3082">
        <v>1</v>
      </c>
      <c r="BE3082">
        <v>0</v>
      </c>
      <c r="BF3082">
        <v>0</v>
      </c>
      <c r="BG3082">
        <v>0</v>
      </c>
      <c r="BH3082">
        <v>1350</v>
      </c>
      <c r="BI3082">
        <v>1</v>
      </c>
      <c r="BJ3082">
        <v>1</v>
      </c>
      <c r="BK3082">
        <v>1</v>
      </c>
      <c r="BL3082">
        <v>0</v>
      </c>
      <c r="BO3082">
        <v>0</v>
      </c>
      <c r="BP3082">
        <v>0</v>
      </c>
      <c r="BW3082" t="str">
        <f>"20:31:07.093"</f>
        <v>20:31:07.093</v>
      </c>
      <c r="BZ3082">
        <v>0</v>
      </c>
      <c r="CA3082">
        <v>1600</v>
      </c>
      <c r="CB3082">
        <v>224</v>
      </c>
      <c r="CD3082">
        <v>1</v>
      </c>
      <c r="CE3082">
        <v>0</v>
      </c>
      <c r="CF3082">
        <v>0</v>
      </c>
      <c r="CG3082">
        <v>1</v>
      </c>
      <c r="CH3082">
        <v>0</v>
      </c>
      <c r="CI3082">
        <v>0</v>
      </c>
      <c r="CJ3082">
        <v>0</v>
      </c>
      <c r="CK3082">
        <v>2</v>
      </c>
      <c r="CL3082">
        <v>0</v>
      </c>
      <c r="CM3082">
        <v>2</v>
      </c>
      <c r="CN3082">
        <v>0</v>
      </c>
      <c r="CO3082">
        <v>7</v>
      </c>
      <c r="CP3082" t="s">
        <v>119</v>
      </c>
      <c r="CQ3082">
        <v>180</v>
      </c>
      <c r="CR3082">
        <v>2</v>
      </c>
      <c r="CW3082">
        <v>8712819</v>
      </c>
      <c r="CY3082">
        <v>1</v>
      </c>
      <c r="CZ3082">
        <v>0</v>
      </c>
      <c r="DA3082">
        <v>1</v>
      </c>
      <c r="DB3082">
        <v>0</v>
      </c>
      <c r="DC3082">
        <v>0</v>
      </c>
      <c r="DD3082">
        <v>0</v>
      </c>
      <c r="DE3082">
        <v>0</v>
      </c>
      <c r="DF3082">
        <v>0</v>
      </c>
      <c r="DG3082">
        <v>0</v>
      </c>
      <c r="DH3082">
        <v>0</v>
      </c>
      <c r="DI3082">
        <v>0</v>
      </c>
    </row>
    <row r="3083" spans="1:113" x14ac:dyDescent="0.3">
      <c r="A3083" t="str">
        <f>"02/08/2021 20:31:06.173"</f>
        <v>02/08/2021 20:31:06.173</v>
      </c>
      <c r="C3083" t="str">
        <f t="shared" si="148"/>
        <v>FFDFD7C0</v>
      </c>
      <c r="D3083" t="s">
        <v>124</v>
      </c>
      <c r="E3083">
        <v>13</v>
      </c>
      <c r="F3083">
        <v>1013</v>
      </c>
      <c r="G3083" t="s">
        <v>114</v>
      </c>
      <c r="J3083" t="s">
        <v>125</v>
      </c>
      <c r="K3083">
        <v>0</v>
      </c>
      <c r="L3083">
        <v>3</v>
      </c>
      <c r="M3083">
        <v>0</v>
      </c>
      <c r="N3083">
        <v>2</v>
      </c>
      <c r="O3083">
        <v>1</v>
      </c>
      <c r="P3083">
        <v>0</v>
      </c>
      <c r="Q3083">
        <v>0</v>
      </c>
      <c r="S3083" t="str">
        <f>"20:31:08.500"</f>
        <v>20:31:08.500</v>
      </c>
      <c r="T3083" t="str">
        <f>"20:31:08.000"</f>
        <v>20:31:08.000</v>
      </c>
      <c r="U3083" t="str">
        <f t="shared" si="150"/>
        <v>AB01F4</v>
      </c>
      <c r="V3083">
        <v>0</v>
      </c>
      <c r="W3083">
        <v>0</v>
      </c>
      <c r="X3083">
        <v>2</v>
      </c>
      <c r="Z3083">
        <v>0</v>
      </c>
      <c r="AA3083">
        <v>9</v>
      </c>
      <c r="AB3083">
        <v>3</v>
      </c>
      <c r="AC3083">
        <v>0</v>
      </c>
      <c r="AD3083">
        <v>10</v>
      </c>
      <c r="AE3083">
        <v>0</v>
      </c>
      <c r="AF3083">
        <v>3</v>
      </c>
      <c r="AG3083">
        <v>2</v>
      </c>
      <c r="AH3083">
        <v>0</v>
      </c>
      <c r="AI3083" t="s">
        <v>1791</v>
      </c>
      <c r="AJ3083">
        <v>40.043900000000001</v>
      </c>
      <c r="AK3083" t="s">
        <v>1792</v>
      </c>
      <c r="AL3083">
        <v>-92.879298000000006</v>
      </c>
      <c r="AM3083">
        <v>100</v>
      </c>
      <c r="AN3083">
        <v>1300</v>
      </c>
      <c r="AO3083" t="s">
        <v>118</v>
      </c>
      <c r="AP3083">
        <v>-122</v>
      </c>
      <c r="AQ3083">
        <v>61</v>
      </c>
      <c r="AR3083">
        <v>-256</v>
      </c>
      <c r="AZ3083">
        <v>1200</v>
      </c>
      <c r="BA3083">
        <v>1</v>
      </c>
      <c r="BB3083" t="str">
        <f t="shared" si="149"/>
        <v xml:space="preserve">N8080G  </v>
      </c>
      <c r="BC3083">
        <v>1</v>
      </c>
      <c r="BE3083">
        <v>0</v>
      </c>
      <c r="BF3083">
        <v>0</v>
      </c>
      <c r="BG3083">
        <v>0</v>
      </c>
      <c r="BH3083">
        <v>1325</v>
      </c>
      <c r="BI3083">
        <v>1</v>
      </c>
      <c r="BJ3083">
        <v>1</v>
      </c>
      <c r="BK3083">
        <v>1</v>
      </c>
      <c r="BL3083">
        <v>0</v>
      </c>
      <c r="BO3083">
        <v>0</v>
      </c>
      <c r="BP3083">
        <v>0</v>
      </c>
      <c r="BW3083" t="str">
        <f>"20:31:08.506"</f>
        <v>20:31:08.506</v>
      </c>
      <c r="BZ3083">
        <v>0</v>
      </c>
      <c r="CA3083">
        <v>1600</v>
      </c>
      <c r="CB3083">
        <v>224</v>
      </c>
      <c r="CD3083">
        <v>1</v>
      </c>
      <c r="CE3083">
        <v>0</v>
      </c>
      <c r="CF3083">
        <v>0</v>
      </c>
      <c r="CG3083">
        <v>1</v>
      </c>
      <c r="CH3083">
        <v>0</v>
      </c>
      <c r="CI3083">
        <v>0</v>
      </c>
      <c r="CJ3083">
        <v>0</v>
      </c>
      <c r="CK3083">
        <v>2</v>
      </c>
      <c r="CL3083">
        <v>0</v>
      </c>
      <c r="CM3083">
        <v>2</v>
      </c>
      <c r="CN3083">
        <v>0</v>
      </c>
      <c r="CO3083">
        <v>7</v>
      </c>
      <c r="CP3083" t="s">
        <v>119</v>
      </c>
      <c r="CQ3083">
        <v>180</v>
      </c>
      <c r="CR3083">
        <v>3</v>
      </c>
      <c r="CW3083">
        <v>1061676</v>
      </c>
      <c r="CY3083">
        <v>1</v>
      </c>
      <c r="CZ3083">
        <v>0</v>
      </c>
      <c r="DA3083">
        <v>0</v>
      </c>
      <c r="DB3083">
        <v>0</v>
      </c>
      <c r="DC3083">
        <v>0</v>
      </c>
      <c r="DD3083">
        <v>0</v>
      </c>
      <c r="DE3083">
        <v>0</v>
      </c>
      <c r="DF3083">
        <v>0</v>
      </c>
      <c r="DG3083">
        <v>0</v>
      </c>
      <c r="DH3083">
        <v>0</v>
      </c>
      <c r="DI3083">
        <v>0</v>
      </c>
    </row>
    <row r="3084" spans="1:113" x14ac:dyDescent="0.3">
      <c r="A3084" t="str">
        <f>"02/08/2021 20:31:06.173"</f>
        <v>02/08/2021 20:31:06.173</v>
      </c>
      <c r="C3084" t="str">
        <f t="shared" si="148"/>
        <v>FFDFD7C0</v>
      </c>
      <c r="D3084" t="s">
        <v>113</v>
      </c>
      <c r="E3084">
        <v>6</v>
      </c>
      <c r="H3084">
        <v>165</v>
      </c>
      <c r="I3084" t="s">
        <v>114</v>
      </c>
      <c r="J3084" t="s">
        <v>115</v>
      </c>
      <c r="K3084">
        <v>0</v>
      </c>
      <c r="L3084">
        <v>3</v>
      </c>
      <c r="M3084">
        <v>0</v>
      </c>
      <c r="N3084">
        <v>2</v>
      </c>
      <c r="O3084">
        <v>1</v>
      </c>
      <c r="P3084">
        <v>0</v>
      </c>
      <c r="Q3084">
        <v>0</v>
      </c>
      <c r="S3084" t="str">
        <f>"20:31:08.500"</f>
        <v>20:31:08.500</v>
      </c>
      <c r="T3084" t="str">
        <f>"20:31:08.000"</f>
        <v>20:31:08.000</v>
      </c>
      <c r="U3084" t="str">
        <f t="shared" si="150"/>
        <v>AB01F4</v>
      </c>
      <c r="V3084">
        <v>0</v>
      </c>
      <c r="W3084">
        <v>0</v>
      </c>
      <c r="X3084">
        <v>2</v>
      </c>
      <c r="Z3084">
        <v>0</v>
      </c>
      <c r="AA3084">
        <v>9</v>
      </c>
      <c r="AB3084">
        <v>3</v>
      </c>
      <c r="AC3084">
        <v>0</v>
      </c>
      <c r="AD3084">
        <v>10</v>
      </c>
      <c r="AE3084">
        <v>0</v>
      </c>
      <c r="AF3084">
        <v>3</v>
      </c>
      <c r="AG3084">
        <v>2</v>
      </c>
      <c r="AH3084">
        <v>0</v>
      </c>
      <c r="AI3084" t="s">
        <v>1791</v>
      </c>
      <c r="AJ3084">
        <v>40.043900000000001</v>
      </c>
      <c r="AK3084" t="s">
        <v>1792</v>
      </c>
      <c r="AL3084">
        <v>-92.879298000000006</v>
      </c>
      <c r="AM3084">
        <v>100</v>
      </c>
      <c r="AN3084">
        <v>1300</v>
      </c>
      <c r="AO3084" t="s">
        <v>118</v>
      </c>
      <c r="AP3084">
        <v>-122</v>
      </c>
      <c r="AQ3084">
        <v>61</v>
      </c>
      <c r="AR3084">
        <v>-256</v>
      </c>
      <c r="AZ3084">
        <v>1200</v>
      </c>
      <c r="BA3084">
        <v>1</v>
      </c>
      <c r="BB3084" t="str">
        <f t="shared" si="149"/>
        <v xml:space="preserve">N8080G  </v>
      </c>
      <c r="BC3084">
        <v>1</v>
      </c>
      <c r="BE3084">
        <v>0</v>
      </c>
      <c r="BF3084">
        <v>0</v>
      </c>
      <c r="BG3084">
        <v>0</v>
      </c>
      <c r="BH3084">
        <v>1325</v>
      </c>
      <c r="BI3084">
        <v>1</v>
      </c>
      <c r="BJ3084">
        <v>1</v>
      </c>
      <c r="BK3084">
        <v>1</v>
      </c>
      <c r="BL3084">
        <v>0</v>
      </c>
      <c r="BO3084">
        <v>0</v>
      </c>
      <c r="BP3084">
        <v>0</v>
      </c>
      <c r="BW3084" t="str">
        <f>"20:31:08.506"</f>
        <v>20:31:08.506</v>
      </c>
      <c r="BZ3084">
        <v>0</v>
      </c>
      <c r="CA3084">
        <v>1600</v>
      </c>
      <c r="CB3084">
        <v>224</v>
      </c>
      <c r="CD3084">
        <v>1</v>
      </c>
      <c r="CE3084">
        <v>0</v>
      </c>
      <c r="CF3084">
        <v>0</v>
      </c>
      <c r="CG3084">
        <v>1</v>
      </c>
      <c r="CH3084">
        <v>0</v>
      </c>
      <c r="CI3084">
        <v>0</v>
      </c>
      <c r="CJ3084">
        <v>0</v>
      </c>
      <c r="CK3084">
        <v>2</v>
      </c>
      <c r="CL3084">
        <v>0</v>
      </c>
      <c r="CM3084">
        <v>2</v>
      </c>
      <c r="CN3084">
        <v>0</v>
      </c>
      <c r="CO3084">
        <v>7</v>
      </c>
      <c r="CP3084" t="s">
        <v>119</v>
      </c>
      <c r="CQ3084">
        <v>180</v>
      </c>
      <c r="CR3084">
        <v>3</v>
      </c>
      <c r="CW3084">
        <v>1061676</v>
      </c>
      <c r="CY3084">
        <v>1</v>
      </c>
      <c r="CZ3084">
        <v>0</v>
      </c>
      <c r="DA3084">
        <v>1</v>
      </c>
      <c r="DB3084">
        <v>0</v>
      </c>
      <c r="DC3084">
        <v>0</v>
      </c>
      <c r="DD3084">
        <v>0</v>
      </c>
      <c r="DE3084">
        <v>0</v>
      </c>
      <c r="DF3084">
        <v>0</v>
      </c>
      <c r="DG3084">
        <v>0</v>
      </c>
      <c r="DH3084">
        <v>0</v>
      </c>
      <c r="DI3084">
        <v>0</v>
      </c>
    </row>
    <row r="3085" spans="1:113" x14ac:dyDescent="0.3">
      <c r="A3085" t="str">
        <f>"02/08/2021 20:31:06.173"</f>
        <v>02/08/2021 20:31:06.173</v>
      </c>
      <c r="C3085" t="str">
        <f t="shared" si="148"/>
        <v>FFDFD7C0</v>
      </c>
      <c r="D3085" t="s">
        <v>124</v>
      </c>
      <c r="E3085">
        <v>12</v>
      </c>
      <c r="F3085">
        <v>1012</v>
      </c>
      <c r="G3085" t="s">
        <v>675</v>
      </c>
      <c r="J3085" t="s">
        <v>125</v>
      </c>
      <c r="K3085">
        <v>0</v>
      </c>
      <c r="L3085">
        <v>3</v>
      </c>
      <c r="M3085">
        <v>0</v>
      </c>
      <c r="N3085">
        <v>2</v>
      </c>
      <c r="O3085">
        <v>1</v>
      </c>
      <c r="P3085">
        <v>0</v>
      </c>
      <c r="Q3085">
        <v>0</v>
      </c>
      <c r="S3085" t="str">
        <f>"20:31:08.500"</f>
        <v>20:31:08.500</v>
      </c>
      <c r="T3085" t="str">
        <f>"20:31:08.000"</f>
        <v>20:31:08.000</v>
      </c>
      <c r="U3085" t="str">
        <f t="shared" si="150"/>
        <v>AB01F4</v>
      </c>
      <c r="V3085">
        <v>0</v>
      </c>
      <c r="W3085">
        <v>0</v>
      </c>
      <c r="X3085">
        <v>2</v>
      </c>
      <c r="Z3085">
        <v>0</v>
      </c>
      <c r="AA3085">
        <v>9</v>
      </c>
      <c r="AB3085">
        <v>3</v>
      </c>
      <c r="AC3085">
        <v>0</v>
      </c>
      <c r="AD3085">
        <v>10</v>
      </c>
      <c r="AE3085">
        <v>0</v>
      </c>
      <c r="AF3085">
        <v>3</v>
      </c>
      <c r="AG3085">
        <v>2</v>
      </c>
      <c r="AH3085">
        <v>0</v>
      </c>
      <c r="AI3085" t="s">
        <v>1791</v>
      </c>
      <c r="AJ3085">
        <v>40.043900000000001</v>
      </c>
      <c r="AK3085" t="s">
        <v>1792</v>
      </c>
      <c r="AL3085">
        <v>-92.879298000000006</v>
      </c>
      <c r="AM3085">
        <v>100</v>
      </c>
      <c r="AN3085">
        <v>1300</v>
      </c>
      <c r="AO3085" t="s">
        <v>118</v>
      </c>
      <c r="AP3085">
        <v>-122</v>
      </c>
      <c r="AQ3085">
        <v>61</v>
      </c>
      <c r="AR3085">
        <v>-256</v>
      </c>
      <c r="AZ3085">
        <v>1200</v>
      </c>
      <c r="BA3085">
        <v>1</v>
      </c>
      <c r="BB3085" t="str">
        <f t="shared" si="149"/>
        <v xml:space="preserve">N8080G  </v>
      </c>
      <c r="BC3085">
        <v>1</v>
      </c>
      <c r="BE3085">
        <v>0</v>
      </c>
      <c r="BF3085">
        <v>0</v>
      </c>
      <c r="BG3085">
        <v>0</v>
      </c>
      <c r="BH3085">
        <v>1325</v>
      </c>
      <c r="BI3085">
        <v>1</v>
      </c>
      <c r="BJ3085">
        <v>1</v>
      </c>
      <c r="BK3085">
        <v>1</v>
      </c>
      <c r="BL3085">
        <v>0</v>
      </c>
      <c r="BO3085">
        <v>0</v>
      </c>
      <c r="BP3085">
        <v>0</v>
      </c>
      <c r="BW3085" t="str">
        <f>"20:31:08.506"</f>
        <v>20:31:08.506</v>
      </c>
      <c r="BZ3085">
        <v>0</v>
      </c>
      <c r="CA3085">
        <v>1600</v>
      </c>
      <c r="CB3085">
        <v>224</v>
      </c>
      <c r="CD3085">
        <v>1</v>
      </c>
      <c r="CE3085">
        <v>0</v>
      </c>
      <c r="CF3085">
        <v>0</v>
      </c>
      <c r="CG3085">
        <v>1</v>
      </c>
      <c r="CH3085">
        <v>0</v>
      </c>
      <c r="CI3085">
        <v>0</v>
      </c>
      <c r="CJ3085">
        <v>0</v>
      </c>
      <c r="CK3085">
        <v>2</v>
      </c>
      <c r="CL3085">
        <v>0</v>
      </c>
      <c r="CM3085">
        <v>2</v>
      </c>
      <c r="CN3085">
        <v>0</v>
      </c>
      <c r="CO3085">
        <v>7</v>
      </c>
      <c r="CP3085" t="s">
        <v>119</v>
      </c>
      <c r="CQ3085">
        <v>180</v>
      </c>
      <c r="CR3085">
        <v>3</v>
      </c>
      <c r="CW3085">
        <v>1061676</v>
      </c>
      <c r="CY3085">
        <v>1</v>
      </c>
      <c r="CZ3085">
        <v>0</v>
      </c>
      <c r="DA3085">
        <v>1</v>
      </c>
      <c r="DB3085">
        <v>0</v>
      </c>
      <c r="DC3085">
        <v>0</v>
      </c>
      <c r="DD3085">
        <v>0</v>
      </c>
      <c r="DE3085">
        <v>0</v>
      </c>
      <c r="DF3085">
        <v>0</v>
      </c>
      <c r="DG3085">
        <v>0</v>
      </c>
      <c r="DH3085">
        <v>0</v>
      </c>
      <c r="DI3085">
        <v>0</v>
      </c>
    </row>
    <row r="3086" spans="1:113" x14ac:dyDescent="0.3">
      <c r="A3086" t="str">
        <f>"02/08/2021 20:31:06.173"</f>
        <v>02/08/2021 20:31:06.173</v>
      </c>
      <c r="C3086" t="str">
        <f t="shared" si="148"/>
        <v>FFDFD7C0</v>
      </c>
      <c r="D3086" t="s">
        <v>124</v>
      </c>
      <c r="E3086">
        <v>11</v>
      </c>
      <c r="F3086">
        <v>1011</v>
      </c>
      <c r="G3086" t="s">
        <v>590</v>
      </c>
      <c r="J3086" t="s">
        <v>125</v>
      </c>
      <c r="K3086">
        <v>0</v>
      </c>
      <c r="L3086">
        <v>3</v>
      </c>
      <c r="M3086">
        <v>0</v>
      </c>
      <c r="N3086">
        <v>2</v>
      </c>
      <c r="O3086">
        <v>1</v>
      </c>
      <c r="P3086">
        <v>0</v>
      </c>
      <c r="Q3086">
        <v>0</v>
      </c>
      <c r="S3086" t="str">
        <f>"20:31:08.500"</f>
        <v>20:31:08.500</v>
      </c>
      <c r="T3086" t="str">
        <f>"20:31:08.000"</f>
        <v>20:31:08.000</v>
      </c>
      <c r="U3086" t="str">
        <f t="shared" si="150"/>
        <v>AB01F4</v>
      </c>
      <c r="V3086">
        <v>0</v>
      </c>
      <c r="W3086">
        <v>0</v>
      </c>
      <c r="X3086">
        <v>2</v>
      </c>
      <c r="Z3086">
        <v>0</v>
      </c>
      <c r="AA3086">
        <v>9</v>
      </c>
      <c r="AB3086">
        <v>3</v>
      </c>
      <c r="AC3086">
        <v>0</v>
      </c>
      <c r="AD3086">
        <v>10</v>
      </c>
      <c r="AE3086">
        <v>0</v>
      </c>
      <c r="AF3086">
        <v>3</v>
      </c>
      <c r="AG3086">
        <v>2</v>
      </c>
      <c r="AH3086">
        <v>0</v>
      </c>
      <c r="AI3086" t="s">
        <v>1791</v>
      </c>
      <c r="AJ3086">
        <v>40.043900000000001</v>
      </c>
      <c r="AK3086" t="s">
        <v>1792</v>
      </c>
      <c r="AL3086">
        <v>-92.879298000000006</v>
      </c>
      <c r="AM3086">
        <v>100</v>
      </c>
      <c r="AN3086">
        <v>1300</v>
      </c>
      <c r="AO3086" t="s">
        <v>118</v>
      </c>
      <c r="AP3086">
        <v>-122</v>
      </c>
      <c r="AQ3086">
        <v>61</v>
      </c>
      <c r="AR3086">
        <v>-256</v>
      </c>
      <c r="AZ3086">
        <v>1200</v>
      </c>
      <c r="BA3086">
        <v>1</v>
      </c>
      <c r="BB3086" t="str">
        <f t="shared" si="149"/>
        <v xml:space="preserve">N8080G  </v>
      </c>
      <c r="BC3086">
        <v>1</v>
      </c>
      <c r="BE3086">
        <v>0</v>
      </c>
      <c r="BF3086">
        <v>0</v>
      </c>
      <c r="BG3086">
        <v>0</v>
      </c>
      <c r="BH3086">
        <v>1325</v>
      </c>
      <c r="BI3086">
        <v>1</v>
      </c>
      <c r="BJ3086">
        <v>1</v>
      </c>
      <c r="BK3086">
        <v>1</v>
      </c>
      <c r="BL3086">
        <v>0</v>
      </c>
      <c r="BO3086">
        <v>0</v>
      </c>
      <c r="BP3086">
        <v>0</v>
      </c>
      <c r="BW3086" t="str">
        <f>"20:31:08.506"</f>
        <v>20:31:08.506</v>
      </c>
      <c r="BZ3086">
        <v>0</v>
      </c>
      <c r="CA3086">
        <v>1600</v>
      </c>
      <c r="CB3086">
        <v>224</v>
      </c>
      <c r="CD3086">
        <v>1</v>
      </c>
      <c r="CE3086">
        <v>0</v>
      </c>
      <c r="CF3086">
        <v>0</v>
      </c>
      <c r="CG3086">
        <v>1</v>
      </c>
      <c r="CH3086">
        <v>0</v>
      </c>
      <c r="CI3086">
        <v>0</v>
      </c>
      <c r="CJ3086">
        <v>0</v>
      </c>
      <c r="CK3086">
        <v>2</v>
      </c>
      <c r="CL3086">
        <v>0</v>
      </c>
      <c r="CM3086">
        <v>2</v>
      </c>
      <c r="CN3086">
        <v>0</v>
      </c>
      <c r="CO3086">
        <v>7</v>
      </c>
      <c r="CP3086" t="s">
        <v>119</v>
      </c>
      <c r="CQ3086">
        <v>180</v>
      </c>
      <c r="CR3086">
        <v>3</v>
      </c>
      <c r="CW3086">
        <v>1061676</v>
      </c>
      <c r="CY3086">
        <v>1</v>
      </c>
      <c r="CZ3086">
        <v>0</v>
      </c>
      <c r="DA3086">
        <v>1</v>
      </c>
      <c r="DB3086">
        <v>0</v>
      </c>
      <c r="DC3086">
        <v>0</v>
      </c>
      <c r="DD3086">
        <v>0</v>
      </c>
      <c r="DE3086">
        <v>0</v>
      </c>
      <c r="DF3086">
        <v>0</v>
      </c>
      <c r="DG3086">
        <v>0</v>
      </c>
      <c r="DH3086">
        <v>0</v>
      </c>
      <c r="DI3086">
        <v>0</v>
      </c>
    </row>
    <row r="3087" spans="1:113" x14ac:dyDescent="0.3">
      <c r="A3087" t="str">
        <f>"02/08/2021 20:31:07.699"</f>
        <v>02/08/2021 20:31:07.699</v>
      </c>
      <c r="C3087" t="str">
        <f t="shared" si="148"/>
        <v>FFDFD7C0</v>
      </c>
      <c r="D3087" t="s">
        <v>113</v>
      </c>
      <c r="E3087">
        <v>6</v>
      </c>
      <c r="H3087">
        <v>165</v>
      </c>
      <c r="I3087" t="s">
        <v>114</v>
      </c>
      <c r="J3087" t="s">
        <v>115</v>
      </c>
      <c r="K3087">
        <v>0</v>
      </c>
      <c r="L3087">
        <v>3</v>
      </c>
      <c r="M3087">
        <v>0</v>
      </c>
      <c r="N3087">
        <v>2</v>
      </c>
      <c r="O3087">
        <v>1</v>
      </c>
      <c r="P3087">
        <v>0</v>
      </c>
      <c r="Q3087">
        <v>0</v>
      </c>
      <c r="S3087" t="str">
        <f>"20:31:10.023"</f>
        <v>20:31:10.023</v>
      </c>
      <c r="T3087" t="str">
        <f>"20:31:09.623"</f>
        <v>20:31:09.623</v>
      </c>
      <c r="U3087" t="str">
        <f t="shared" si="150"/>
        <v>AB01F4</v>
      </c>
      <c r="V3087">
        <v>0</v>
      </c>
      <c r="W3087">
        <v>0</v>
      </c>
      <c r="X3087">
        <v>2</v>
      </c>
      <c r="Z3087">
        <v>0</v>
      </c>
      <c r="AA3087">
        <v>9</v>
      </c>
      <c r="AB3087">
        <v>3</v>
      </c>
      <c r="AC3087">
        <v>0</v>
      </c>
      <c r="AD3087">
        <v>10</v>
      </c>
      <c r="AE3087">
        <v>0</v>
      </c>
      <c r="AF3087">
        <v>3</v>
      </c>
      <c r="AG3087">
        <v>2</v>
      </c>
      <c r="AH3087">
        <v>0</v>
      </c>
      <c r="AI3087" t="s">
        <v>1793</v>
      </c>
      <c r="AJ3087">
        <v>40.044328999999998</v>
      </c>
      <c r="AK3087" t="s">
        <v>1794</v>
      </c>
      <c r="AL3087">
        <v>-92.880477999999997</v>
      </c>
      <c r="AM3087">
        <v>100</v>
      </c>
      <c r="AN3087">
        <v>1300</v>
      </c>
      <c r="AO3087" t="s">
        <v>118</v>
      </c>
      <c r="AP3087">
        <v>-122</v>
      </c>
      <c r="AQ3087">
        <v>61</v>
      </c>
      <c r="AR3087">
        <v>-256</v>
      </c>
      <c r="AZ3087">
        <v>1200</v>
      </c>
      <c r="BA3087">
        <v>1</v>
      </c>
      <c r="BB3087" t="str">
        <f t="shared" si="149"/>
        <v xml:space="preserve">N8080G  </v>
      </c>
      <c r="BC3087">
        <v>1</v>
      </c>
      <c r="BE3087">
        <v>0</v>
      </c>
      <c r="BF3087">
        <v>0</v>
      </c>
      <c r="BG3087">
        <v>0</v>
      </c>
      <c r="BH3087">
        <v>1325</v>
      </c>
      <c r="BI3087">
        <v>1</v>
      </c>
      <c r="BJ3087">
        <v>1</v>
      </c>
      <c r="BK3087">
        <v>1</v>
      </c>
      <c r="BL3087">
        <v>0</v>
      </c>
      <c r="BO3087">
        <v>0</v>
      </c>
      <c r="BP3087">
        <v>0</v>
      </c>
      <c r="BW3087" t="str">
        <f>"20:31:10.024"</f>
        <v>20:31:10.024</v>
      </c>
      <c r="BZ3087">
        <v>0</v>
      </c>
      <c r="CA3087">
        <v>1600</v>
      </c>
      <c r="CB3087">
        <v>224</v>
      </c>
      <c r="CD3087">
        <v>1</v>
      </c>
      <c r="CE3087">
        <v>0</v>
      </c>
      <c r="CF3087">
        <v>0</v>
      </c>
      <c r="CG3087">
        <v>1</v>
      </c>
      <c r="CH3087">
        <v>0</v>
      </c>
      <c r="CI3087">
        <v>0</v>
      </c>
      <c r="CJ3087">
        <v>0</v>
      </c>
      <c r="CK3087">
        <v>2</v>
      </c>
      <c r="CL3087">
        <v>0</v>
      </c>
      <c r="CM3087">
        <v>2</v>
      </c>
      <c r="CN3087">
        <v>0</v>
      </c>
      <c r="CO3087">
        <v>7</v>
      </c>
      <c r="CP3087" t="s">
        <v>119</v>
      </c>
      <c r="CQ3087">
        <v>180</v>
      </c>
      <c r="CR3087">
        <v>2</v>
      </c>
      <c r="CW3087">
        <v>8715267</v>
      </c>
      <c r="CY3087">
        <v>1</v>
      </c>
      <c r="CZ3087">
        <v>0</v>
      </c>
      <c r="DA3087">
        <v>0</v>
      </c>
      <c r="DB3087">
        <v>0</v>
      </c>
      <c r="DC3087">
        <v>0</v>
      </c>
      <c r="DD3087">
        <v>0</v>
      </c>
      <c r="DE3087">
        <v>0</v>
      </c>
      <c r="DF3087">
        <v>0</v>
      </c>
      <c r="DG3087">
        <v>0</v>
      </c>
      <c r="DH3087">
        <v>0</v>
      </c>
      <c r="DI3087">
        <v>0</v>
      </c>
    </row>
    <row r="3088" spans="1:113" x14ac:dyDescent="0.3">
      <c r="A3088" t="str">
        <f>"02/08/2021 20:31:07.699"</f>
        <v>02/08/2021 20:31:07.699</v>
      </c>
      <c r="C3088" t="str">
        <f t="shared" si="148"/>
        <v>FFDFD7C0</v>
      </c>
      <c r="D3088" t="s">
        <v>124</v>
      </c>
      <c r="E3088">
        <v>12</v>
      </c>
      <c r="F3088">
        <v>1012</v>
      </c>
      <c r="G3088" t="s">
        <v>675</v>
      </c>
      <c r="J3088" t="s">
        <v>125</v>
      </c>
      <c r="K3088">
        <v>0</v>
      </c>
      <c r="L3088">
        <v>3</v>
      </c>
      <c r="M3088">
        <v>0</v>
      </c>
      <c r="N3088">
        <v>2</v>
      </c>
      <c r="O3088">
        <v>1</v>
      </c>
      <c r="P3088">
        <v>0</v>
      </c>
      <c r="Q3088">
        <v>0</v>
      </c>
      <c r="S3088" t="str">
        <f>"20:31:10.023"</f>
        <v>20:31:10.023</v>
      </c>
      <c r="T3088" t="str">
        <f>"20:31:09.623"</f>
        <v>20:31:09.623</v>
      </c>
      <c r="U3088" t="str">
        <f t="shared" si="150"/>
        <v>AB01F4</v>
      </c>
      <c r="V3088">
        <v>0</v>
      </c>
      <c r="W3088">
        <v>0</v>
      </c>
      <c r="X3088">
        <v>2</v>
      </c>
      <c r="Z3088">
        <v>0</v>
      </c>
      <c r="AA3088">
        <v>9</v>
      </c>
      <c r="AB3088">
        <v>3</v>
      </c>
      <c r="AC3088">
        <v>0</v>
      </c>
      <c r="AD3088">
        <v>10</v>
      </c>
      <c r="AE3088">
        <v>0</v>
      </c>
      <c r="AF3088">
        <v>3</v>
      </c>
      <c r="AG3088">
        <v>2</v>
      </c>
      <c r="AH3088">
        <v>0</v>
      </c>
      <c r="AI3088" t="s">
        <v>1793</v>
      </c>
      <c r="AJ3088">
        <v>40.044328999999998</v>
      </c>
      <c r="AK3088" t="s">
        <v>1794</v>
      </c>
      <c r="AL3088">
        <v>-92.880477999999997</v>
      </c>
      <c r="AM3088">
        <v>100</v>
      </c>
      <c r="AN3088">
        <v>1300</v>
      </c>
      <c r="AO3088" t="s">
        <v>118</v>
      </c>
      <c r="AP3088">
        <v>-122</v>
      </c>
      <c r="AQ3088">
        <v>61</v>
      </c>
      <c r="AR3088">
        <v>-256</v>
      </c>
      <c r="AZ3088">
        <v>1200</v>
      </c>
      <c r="BA3088">
        <v>1</v>
      </c>
      <c r="BB3088" t="str">
        <f t="shared" si="149"/>
        <v xml:space="preserve">N8080G  </v>
      </c>
      <c r="BC3088">
        <v>1</v>
      </c>
      <c r="BE3088">
        <v>0</v>
      </c>
      <c r="BF3088">
        <v>0</v>
      </c>
      <c r="BG3088">
        <v>0</v>
      </c>
      <c r="BH3088">
        <v>1325</v>
      </c>
      <c r="BI3088">
        <v>1</v>
      </c>
      <c r="BJ3088">
        <v>1</v>
      </c>
      <c r="BK3088">
        <v>1</v>
      </c>
      <c r="BL3088">
        <v>0</v>
      </c>
      <c r="BO3088">
        <v>0</v>
      </c>
      <c r="BP3088">
        <v>0</v>
      </c>
      <c r="BW3088" t="str">
        <f>"20:31:10.024"</f>
        <v>20:31:10.024</v>
      </c>
      <c r="BZ3088">
        <v>0</v>
      </c>
      <c r="CA3088">
        <v>1600</v>
      </c>
      <c r="CB3088">
        <v>224</v>
      </c>
      <c r="CD3088">
        <v>1</v>
      </c>
      <c r="CE3088">
        <v>0</v>
      </c>
      <c r="CF3088">
        <v>0</v>
      </c>
      <c r="CG3088">
        <v>1</v>
      </c>
      <c r="CH3088">
        <v>0</v>
      </c>
      <c r="CI3088">
        <v>0</v>
      </c>
      <c r="CJ3088">
        <v>0</v>
      </c>
      <c r="CK3088">
        <v>2</v>
      </c>
      <c r="CL3088">
        <v>0</v>
      </c>
      <c r="CM3088">
        <v>2</v>
      </c>
      <c r="CN3088">
        <v>0</v>
      </c>
      <c r="CO3088">
        <v>7</v>
      </c>
      <c r="CP3088" t="s">
        <v>119</v>
      </c>
      <c r="CQ3088">
        <v>180</v>
      </c>
      <c r="CR3088">
        <v>2</v>
      </c>
      <c r="CW3088">
        <v>8715267</v>
      </c>
      <c r="CY3088">
        <v>1</v>
      </c>
      <c r="CZ3088">
        <v>0</v>
      </c>
      <c r="DA3088">
        <v>1</v>
      </c>
      <c r="DB3088">
        <v>0</v>
      </c>
      <c r="DC3088">
        <v>0</v>
      </c>
      <c r="DD3088">
        <v>0</v>
      </c>
      <c r="DE3088">
        <v>0</v>
      </c>
      <c r="DF3088">
        <v>0</v>
      </c>
      <c r="DG3088">
        <v>0</v>
      </c>
      <c r="DH3088">
        <v>0</v>
      </c>
      <c r="DI3088">
        <v>0</v>
      </c>
    </row>
    <row r="3089" spans="1:113" x14ac:dyDescent="0.3">
      <c r="A3089" t="str">
        <f>"02/08/2021 20:31:07.699"</f>
        <v>02/08/2021 20:31:07.699</v>
      </c>
      <c r="C3089" t="str">
        <f t="shared" si="148"/>
        <v>FFDFD7C0</v>
      </c>
      <c r="D3089" t="s">
        <v>124</v>
      </c>
      <c r="E3089">
        <v>11</v>
      </c>
      <c r="F3089">
        <v>1011</v>
      </c>
      <c r="G3089" t="s">
        <v>590</v>
      </c>
      <c r="J3089" t="s">
        <v>125</v>
      </c>
      <c r="K3089">
        <v>0</v>
      </c>
      <c r="L3089">
        <v>3</v>
      </c>
      <c r="M3089">
        <v>0</v>
      </c>
      <c r="N3089">
        <v>2</v>
      </c>
      <c r="O3089">
        <v>1</v>
      </c>
      <c r="P3089">
        <v>0</v>
      </c>
      <c r="Q3089">
        <v>0</v>
      </c>
      <c r="S3089" t="str">
        <f>"20:31:10.023"</f>
        <v>20:31:10.023</v>
      </c>
      <c r="T3089" t="str">
        <f>"20:31:09.623"</f>
        <v>20:31:09.623</v>
      </c>
      <c r="U3089" t="str">
        <f t="shared" si="150"/>
        <v>AB01F4</v>
      </c>
      <c r="V3089">
        <v>0</v>
      </c>
      <c r="W3089">
        <v>0</v>
      </c>
      <c r="X3089">
        <v>2</v>
      </c>
      <c r="Z3089">
        <v>0</v>
      </c>
      <c r="AA3089">
        <v>9</v>
      </c>
      <c r="AB3089">
        <v>3</v>
      </c>
      <c r="AC3089">
        <v>0</v>
      </c>
      <c r="AD3089">
        <v>10</v>
      </c>
      <c r="AE3089">
        <v>0</v>
      </c>
      <c r="AF3089">
        <v>3</v>
      </c>
      <c r="AG3089">
        <v>2</v>
      </c>
      <c r="AH3089">
        <v>0</v>
      </c>
      <c r="AI3089" t="s">
        <v>1793</v>
      </c>
      <c r="AJ3089">
        <v>40.044328999999998</v>
      </c>
      <c r="AK3089" t="s">
        <v>1794</v>
      </c>
      <c r="AL3089">
        <v>-92.880477999999997</v>
      </c>
      <c r="AM3089">
        <v>100</v>
      </c>
      <c r="AN3089">
        <v>1300</v>
      </c>
      <c r="AO3089" t="s">
        <v>118</v>
      </c>
      <c r="AP3089">
        <v>-122</v>
      </c>
      <c r="AQ3089">
        <v>61</v>
      </c>
      <c r="AR3089">
        <v>-256</v>
      </c>
      <c r="AZ3089">
        <v>1200</v>
      </c>
      <c r="BA3089">
        <v>1</v>
      </c>
      <c r="BB3089" t="str">
        <f t="shared" si="149"/>
        <v xml:space="preserve">N8080G  </v>
      </c>
      <c r="BC3089">
        <v>1</v>
      </c>
      <c r="BE3089">
        <v>0</v>
      </c>
      <c r="BF3089">
        <v>0</v>
      </c>
      <c r="BG3089">
        <v>0</v>
      </c>
      <c r="BH3089">
        <v>1325</v>
      </c>
      <c r="BI3089">
        <v>1</v>
      </c>
      <c r="BJ3089">
        <v>1</v>
      </c>
      <c r="BK3089">
        <v>1</v>
      </c>
      <c r="BL3089">
        <v>0</v>
      </c>
      <c r="BO3089">
        <v>0</v>
      </c>
      <c r="BP3089">
        <v>0</v>
      </c>
      <c r="BW3089" t="str">
        <f>"20:31:10.024"</f>
        <v>20:31:10.024</v>
      </c>
      <c r="BZ3089">
        <v>0</v>
      </c>
      <c r="CA3089">
        <v>1600</v>
      </c>
      <c r="CB3089">
        <v>224</v>
      </c>
      <c r="CD3089">
        <v>1</v>
      </c>
      <c r="CE3089">
        <v>0</v>
      </c>
      <c r="CF3089">
        <v>0</v>
      </c>
      <c r="CG3089">
        <v>1</v>
      </c>
      <c r="CH3089">
        <v>0</v>
      </c>
      <c r="CI3089">
        <v>0</v>
      </c>
      <c r="CJ3089">
        <v>0</v>
      </c>
      <c r="CK3089">
        <v>2</v>
      </c>
      <c r="CL3089">
        <v>0</v>
      </c>
      <c r="CM3089">
        <v>2</v>
      </c>
      <c r="CN3089">
        <v>0</v>
      </c>
      <c r="CO3089">
        <v>7</v>
      </c>
      <c r="CP3089" t="s">
        <v>119</v>
      </c>
      <c r="CQ3089">
        <v>180</v>
      </c>
      <c r="CR3089">
        <v>2</v>
      </c>
      <c r="CW3089">
        <v>8715267</v>
      </c>
      <c r="CY3089">
        <v>1</v>
      </c>
      <c r="CZ3089">
        <v>0</v>
      </c>
      <c r="DA3089">
        <v>1</v>
      </c>
      <c r="DB3089">
        <v>0</v>
      </c>
      <c r="DC3089">
        <v>0</v>
      </c>
      <c r="DD3089">
        <v>0</v>
      </c>
      <c r="DE3089">
        <v>0</v>
      </c>
      <c r="DF3089">
        <v>0</v>
      </c>
      <c r="DG3089">
        <v>0</v>
      </c>
      <c r="DH3089">
        <v>0</v>
      </c>
      <c r="DI3089">
        <v>0</v>
      </c>
    </row>
    <row r="3090" spans="1:113" x14ac:dyDescent="0.3">
      <c r="A3090" t="str">
        <f>"02/08/2021 20:31:07.699"</f>
        <v>02/08/2021 20:31:07.699</v>
      </c>
      <c r="C3090" t="str">
        <f t="shared" si="148"/>
        <v>FFDFD7C0</v>
      </c>
      <c r="D3090" t="s">
        <v>124</v>
      </c>
      <c r="E3090">
        <v>13</v>
      </c>
      <c r="F3090">
        <v>1013</v>
      </c>
      <c r="G3090" t="s">
        <v>114</v>
      </c>
      <c r="J3090" t="s">
        <v>125</v>
      </c>
      <c r="K3090">
        <v>0</v>
      </c>
      <c r="L3090">
        <v>3</v>
      </c>
      <c r="M3090">
        <v>0</v>
      </c>
      <c r="N3090">
        <v>2</v>
      </c>
      <c r="O3090">
        <v>1</v>
      </c>
      <c r="P3090">
        <v>0</v>
      </c>
      <c r="Q3090">
        <v>0</v>
      </c>
      <c r="S3090" t="str">
        <f>"20:31:10.023"</f>
        <v>20:31:10.023</v>
      </c>
      <c r="T3090" t="str">
        <f>"20:31:09.623"</f>
        <v>20:31:09.623</v>
      </c>
      <c r="U3090" t="str">
        <f t="shared" si="150"/>
        <v>AB01F4</v>
      </c>
      <c r="V3090">
        <v>0</v>
      </c>
      <c r="W3090">
        <v>0</v>
      </c>
      <c r="X3090">
        <v>2</v>
      </c>
      <c r="Z3090">
        <v>0</v>
      </c>
      <c r="AA3090">
        <v>9</v>
      </c>
      <c r="AB3090">
        <v>3</v>
      </c>
      <c r="AC3090">
        <v>0</v>
      </c>
      <c r="AD3090">
        <v>10</v>
      </c>
      <c r="AE3090">
        <v>0</v>
      </c>
      <c r="AF3090">
        <v>3</v>
      </c>
      <c r="AG3090">
        <v>2</v>
      </c>
      <c r="AH3090">
        <v>0</v>
      </c>
      <c r="AI3090" t="s">
        <v>1793</v>
      </c>
      <c r="AJ3090">
        <v>40.044328999999998</v>
      </c>
      <c r="AK3090" t="s">
        <v>1794</v>
      </c>
      <c r="AL3090">
        <v>-92.880477999999997</v>
      </c>
      <c r="AM3090">
        <v>100</v>
      </c>
      <c r="AN3090">
        <v>1300</v>
      </c>
      <c r="AO3090" t="s">
        <v>118</v>
      </c>
      <c r="AP3090">
        <v>-122</v>
      </c>
      <c r="AQ3090">
        <v>61</v>
      </c>
      <c r="AR3090">
        <v>-256</v>
      </c>
      <c r="AZ3090">
        <v>1200</v>
      </c>
      <c r="BA3090">
        <v>1</v>
      </c>
      <c r="BB3090" t="str">
        <f t="shared" si="149"/>
        <v xml:space="preserve">N8080G  </v>
      </c>
      <c r="BC3090">
        <v>1</v>
      </c>
      <c r="BE3090">
        <v>0</v>
      </c>
      <c r="BF3090">
        <v>0</v>
      </c>
      <c r="BG3090">
        <v>0</v>
      </c>
      <c r="BH3090">
        <v>1325</v>
      </c>
      <c r="BI3090">
        <v>1</v>
      </c>
      <c r="BJ3090">
        <v>1</v>
      </c>
      <c r="BK3090">
        <v>1</v>
      </c>
      <c r="BL3090">
        <v>0</v>
      </c>
      <c r="BO3090">
        <v>0</v>
      </c>
      <c r="BP3090">
        <v>0</v>
      </c>
      <c r="BW3090" t="str">
        <f>"20:31:10.024"</f>
        <v>20:31:10.024</v>
      </c>
      <c r="BZ3090">
        <v>0</v>
      </c>
      <c r="CA3090">
        <v>1600</v>
      </c>
      <c r="CB3090">
        <v>224</v>
      </c>
      <c r="CD3090">
        <v>1</v>
      </c>
      <c r="CE3090">
        <v>0</v>
      </c>
      <c r="CF3090">
        <v>0</v>
      </c>
      <c r="CG3090">
        <v>1</v>
      </c>
      <c r="CH3090">
        <v>0</v>
      </c>
      <c r="CI3090">
        <v>0</v>
      </c>
      <c r="CJ3090">
        <v>0</v>
      </c>
      <c r="CK3090">
        <v>2</v>
      </c>
      <c r="CL3090">
        <v>0</v>
      </c>
      <c r="CM3090">
        <v>2</v>
      </c>
      <c r="CN3090">
        <v>0</v>
      </c>
      <c r="CO3090">
        <v>7</v>
      </c>
      <c r="CP3090" t="s">
        <v>119</v>
      </c>
      <c r="CQ3090">
        <v>180</v>
      </c>
      <c r="CR3090">
        <v>2</v>
      </c>
      <c r="CW3090">
        <v>8715267</v>
      </c>
      <c r="CY3090">
        <v>1</v>
      </c>
      <c r="CZ3090">
        <v>0</v>
      </c>
      <c r="DA3090">
        <v>1</v>
      </c>
      <c r="DB3090">
        <v>0</v>
      </c>
      <c r="DC3090">
        <v>0</v>
      </c>
      <c r="DD3090">
        <v>0</v>
      </c>
      <c r="DE3090">
        <v>0</v>
      </c>
      <c r="DF3090">
        <v>0</v>
      </c>
      <c r="DG3090">
        <v>0</v>
      </c>
      <c r="DH3090">
        <v>0</v>
      </c>
      <c r="DI3090">
        <v>0</v>
      </c>
    </row>
    <row r="3091" spans="1:113" x14ac:dyDescent="0.3">
      <c r="A3091" t="str">
        <f>"02/08/2021 20:31:11.739"</f>
        <v>02/08/2021 20:31:11.739</v>
      </c>
      <c r="C3091" t="str">
        <f t="shared" si="148"/>
        <v>FFDFD7C0</v>
      </c>
      <c r="D3091" t="s">
        <v>113</v>
      </c>
      <c r="E3091">
        <v>6</v>
      </c>
      <c r="H3091">
        <v>165</v>
      </c>
      <c r="I3091" t="s">
        <v>114</v>
      </c>
      <c r="J3091" t="s">
        <v>115</v>
      </c>
      <c r="K3091">
        <v>0</v>
      </c>
      <c r="L3091">
        <v>3</v>
      </c>
      <c r="M3091">
        <v>0</v>
      </c>
      <c r="N3091">
        <v>2</v>
      </c>
      <c r="O3091">
        <v>1</v>
      </c>
      <c r="P3091">
        <v>0</v>
      </c>
      <c r="Q3091">
        <v>0</v>
      </c>
      <c r="S3091" t="str">
        <f>"20:31:14.055"</f>
        <v>20:31:14.055</v>
      </c>
      <c r="T3091" t="str">
        <f>"20:31:13.555"</f>
        <v>20:31:13.555</v>
      </c>
      <c r="U3091" t="str">
        <f t="shared" si="150"/>
        <v>AB01F4</v>
      </c>
      <c r="V3091">
        <v>0</v>
      </c>
      <c r="W3091">
        <v>0</v>
      </c>
      <c r="X3091">
        <v>2</v>
      </c>
      <c r="Z3091">
        <v>0</v>
      </c>
      <c r="AA3091">
        <v>9</v>
      </c>
      <c r="AB3091">
        <v>3</v>
      </c>
      <c r="AC3091">
        <v>0</v>
      </c>
      <c r="AD3091">
        <v>10</v>
      </c>
      <c r="AE3091">
        <v>0</v>
      </c>
      <c r="AF3091">
        <v>3</v>
      </c>
      <c r="AG3091">
        <v>2</v>
      </c>
      <c r="AH3091">
        <v>0</v>
      </c>
      <c r="AI3091" t="s">
        <v>1795</v>
      </c>
      <c r="AJ3091">
        <v>40.045487999999999</v>
      </c>
      <c r="AK3091" t="s">
        <v>1796</v>
      </c>
      <c r="AL3091">
        <v>-92.883418000000006</v>
      </c>
      <c r="AM3091">
        <v>100</v>
      </c>
      <c r="AN3091">
        <v>1300</v>
      </c>
      <c r="AO3091" t="s">
        <v>118</v>
      </c>
      <c r="AP3091">
        <v>-120</v>
      </c>
      <c r="AQ3091">
        <v>62</v>
      </c>
      <c r="AR3091">
        <v>64</v>
      </c>
      <c r="AZ3091">
        <v>1200</v>
      </c>
      <c r="BA3091">
        <v>1</v>
      </c>
      <c r="BB3091" t="str">
        <f t="shared" si="149"/>
        <v xml:space="preserve">N8080G  </v>
      </c>
      <c r="BC3091">
        <v>1</v>
      </c>
      <c r="BE3091">
        <v>0</v>
      </c>
      <c r="BF3091">
        <v>0</v>
      </c>
      <c r="BG3091">
        <v>0</v>
      </c>
      <c r="BH3091">
        <v>1325</v>
      </c>
      <c r="BI3091">
        <v>1</v>
      </c>
      <c r="BJ3091">
        <v>1</v>
      </c>
      <c r="BK3091">
        <v>1</v>
      </c>
      <c r="BL3091">
        <v>0</v>
      </c>
      <c r="BO3091">
        <v>0</v>
      </c>
      <c r="BP3091">
        <v>0</v>
      </c>
      <c r="BW3091" t="str">
        <f>"20:31:14.058"</f>
        <v>20:31:14.058</v>
      </c>
      <c r="BZ3091">
        <v>0</v>
      </c>
      <c r="CA3091">
        <v>1600</v>
      </c>
      <c r="CB3091">
        <v>224</v>
      </c>
      <c r="CD3091">
        <v>1</v>
      </c>
      <c r="CE3091">
        <v>0</v>
      </c>
      <c r="CF3091">
        <v>0</v>
      </c>
      <c r="CG3091">
        <v>1</v>
      </c>
      <c r="CH3091">
        <v>0</v>
      </c>
      <c r="CI3091">
        <v>0</v>
      </c>
      <c r="CJ3091">
        <v>0</v>
      </c>
      <c r="CK3091">
        <v>2</v>
      </c>
      <c r="CL3091">
        <v>0</v>
      </c>
      <c r="CM3091">
        <v>2</v>
      </c>
      <c r="CN3091">
        <v>0</v>
      </c>
      <c r="CO3091">
        <v>7</v>
      </c>
      <c r="CP3091" t="s">
        <v>119</v>
      </c>
      <c r="CQ3091">
        <v>180</v>
      </c>
      <c r="CR3091">
        <v>3</v>
      </c>
      <c r="CW3091">
        <v>1066114</v>
      </c>
      <c r="CY3091">
        <v>1</v>
      </c>
      <c r="CZ3091">
        <v>0</v>
      </c>
      <c r="DA3091">
        <v>0</v>
      </c>
      <c r="DB3091">
        <v>0</v>
      </c>
      <c r="DC3091">
        <v>0</v>
      </c>
      <c r="DD3091">
        <v>0</v>
      </c>
      <c r="DE3091">
        <v>0</v>
      </c>
      <c r="DF3091">
        <v>0</v>
      </c>
      <c r="DG3091">
        <v>0</v>
      </c>
      <c r="DH3091">
        <v>0</v>
      </c>
      <c r="DI3091">
        <v>0</v>
      </c>
    </row>
    <row r="3092" spans="1:113" x14ac:dyDescent="0.3">
      <c r="A3092" t="str">
        <f>"02/08/2021 20:31:11.739"</f>
        <v>02/08/2021 20:31:11.739</v>
      </c>
      <c r="C3092" t="str">
        <f t="shared" si="148"/>
        <v>FFDFD7C0</v>
      </c>
      <c r="D3092" t="s">
        <v>124</v>
      </c>
      <c r="E3092">
        <v>13</v>
      </c>
      <c r="F3092">
        <v>1013</v>
      </c>
      <c r="G3092" t="s">
        <v>114</v>
      </c>
      <c r="J3092" t="s">
        <v>125</v>
      </c>
      <c r="K3092">
        <v>0</v>
      </c>
      <c r="L3092">
        <v>3</v>
      </c>
      <c r="M3092">
        <v>0</v>
      </c>
      <c r="N3092">
        <v>2</v>
      </c>
      <c r="O3092">
        <v>1</v>
      </c>
      <c r="P3092">
        <v>0</v>
      </c>
      <c r="Q3092">
        <v>0</v>
      </c>
      <c r="S3092" t="str">
        <f>"20:31:14.055"</f>
        <v>20:31:14.055</v>
      </c>
      <c r="T3092" t="str">
        <f>"20:31:13.555"</f>
        <v>20:31:13.555</v>
      </c>
      <c r="U3092" t="str">
        <f t="shared" si="150"/>
        <v>AB01F4</v>
      </c>
      <c r="V3092">
        <v>0</v>
      </c>
      <c r="W3092">
        <v>0</v>
      </c>
      <c r="X3092">
        <v>2</v>
      </c>
      <c r="Z3092">
        <v>0</v>
      </c>
      <c r="AA3092">
        <v>9</v>
      </c>
      <c r="AB3092">
        <v>3</v>
      </c>
      <c r="AC3092">
        <v>0</v>
      </c>
      <c r="AD3092">
        <v>10</v>
      </c>
      <c r="AE3092">
        <v>0</v>
      </c>
      <c r="AF3092">
        <v>3</v>
      </c>
      <c r="AG3092">
        <v>2</v>
      </c>
      <c r="AH3092">
        <v>0</v>
      </c>
      <c r="AI3092" t="s">
        <v>1795</v>
      </c>
      <c r="AJ3092">
        <v>40.045487999999999</v>
      </c>
      <c r="AK3092" t="s">
        <v>1796</v>
      </c>
      <c r="AL3092">
        <v>-92.883418000000006</v>
      </c>
      <c r="AM3092">
        <v>100</v>
      </c>
      <c r="AN3092">
        <v>1300</v>
      </c>
      <c r="AO3092" t="s">
        <v>118</v>
      </c>
      <c r="AP3092">
        <v>-120</v>
      </c>
      <c r="AQ3092">
        <v>62</v>
      </c>
      <c r="AR3092">
        <v>64</v>
      </c>
      <c r="AZ3092">
        <v>1200</v>
      </c>
      <c r="BA3092">
        <v>1</v>
      </c>
      <c r="BB3092" t="str">
        <f t="shared" si="149"/>
        <v xml:space="preserve">N8080G  </v>
      </c>
      <c r="BC3092">
        <v>1</v>
      </c>
      <c r="BE3092">
        <v>0</v>
      </c>
      <c r="BF3092">
        <v>0</v>
      </c>
      <c r="BG3092">
        <v>0</v>
      </c>
      <c r="BH3092">
        <v>1325</v>
      </c>
      <c r="BI3092">
        <v>1</v>
      </c>
      <c r="BJ3092">
        <v>1</v>
      </c>
      <c r="BK3092">
        <v>1</v>
      </c>
      <c r="BL3092">
        <v>0</v>
      </c>
      <c r="BO3092">
        <v>0</v>
      </c>
      <c r="BP3092">
        <v>0</v>
      </c>
      <c r="BW3092" t="str">
        <f>"20:31:14.058"</f>
        <v>20:31:14.058</v>
      </c>
      <c r="BZ3092">
        <v>0</v>
      </c>
      <c r="CA3092">
        <v>1600</v>
      </c>
      <c r="CB3092">
        <v>224</v>
      </c>
      <c r="CD3092">
        <v>1</v>
      </c>
      <c r="CE3092">
        <v>0</v>
      </c>
      <c r="CF3092">
        <v>0</v>
      </c>
      <c r="CG3092">
        <v>1</v>
      </c>
      <c r="CH3092">
        <v>0</v>
      </c>
      <c r="CI3092">
        <v>0</v>
      </c>
      <c r="CJ3092">
        <v>0</v>
      </c>
      <c r="CK3092">
        <v>2</v>
      </c>
      <c r="CL3092">
        <v>0</v>
      </c>
      <c r="CM3092">
        <v>2</v>
      </c>
      <c r="CN3092">
        <v>0</v>
      </c>
      <c r="CO3092">
        <v>7</v>
      </c>
      <c r="CP3092" t="s">
        <v>119</v>
      </c>
      <c r="CQ3092">
        <v>180</v>
      </c>
      <c r="CR3092">
        <v>3</v>
      </c>
      <c r="CW3092">
        <v>1066114</v>
      </c>
      <c r="CY3092">
        <v>1</v>
      </c>
      <c r="CZ3092">
        <v>0</v>
      </c>
      <c r="DA3092">
        <v>1</v>
      </c>
      <c r="DB3092">
        <v>0</v>
      </c>
      <c r="DC3092">
        <v>0</v>
      </c>
      <c r="DD3092">
        <v>0</v>
      </c>
      <c r="DE3092">
        <v>0</v>
      </c>
      <c r="DF3092">
        <v>0</v>
      </c>
      <c r="DG3092">
        <v>0</v>
      </c>
      <c r="DH3092">
        <v>0</v>
      </c>
      <c r="DI3092">
        <v>0</v>
      </c>
    </row>
    <row r="3093" spans="1:113" x14ac:dyDescent="0.3">
      <c r="A3093" t="str">
        <f>"02/08/2021 20:31:11.739"</f>
        <v>02/08/2021 20:31:11.739</v>
      </c>
      <c r="C3093" t="str">
        <f t="shared" si="148"/>
        <v>FFDFD7C0</v>
      </c>
      <c r="D3093" t="s">
        <v>124</v>
      </c>
      <c r="E3093">
        <v>11</v>
      </c>
      <c r="F3093">
        <v>1011</v>
      </c>
      <c r="G3093" t="s">
        <v>590</v>
      </c>
      <c r="J3093" t="s">
        <v>125</v>
      </c>
      <c r="K3093">
        <v>0</v>
      </c>
      <c r="L3093">
        <v>3</v>
      </c>
      <c r="M3093">
        <v>0</v>
      </c>
      <c r="N3093">
        <v>2</v>
      </c>
      <c r="O3093">
        <v>1</v>
      </c>
      <c r="P3093">
        <v>0</v>
      </c>
      <c r="Q3093">
        <v>0</v>
      </c>
      <c r="S3093" t="str">
        <f>"20:31:14.055"</f>
        <v>20:31:14.055</v>
      </c>
      <c r="T3093" t="str">
        <f>"20:31:13.555"</f>
        <v>20:31:13.555</v>
      </c>
      <c r="U3093" t="str">
        <f t="shared" si="150"/>
        <v>AB01F4</v>
      </c>
      <c r="V3093">
        <v>0</v>
      </c>
      <c r="W3093">
        <v>0</v>
      </c>
      <c r="X3093">
        <v>2</v>
      </c>
      <c r="Z3093">
        <v>0</v>
      </c>
      <c r="AA3093">
        <v>9</v>
      </c>
      <c r="AB3093">
        <v>3</v>
      </c>
      <c r="AC3093">
        <v>0</v>
      </c>
      <c r="AD3093">
        <v>10</v>
      </c>
      <c r="AE3093">
        <v>0</v>
      </c>
      <c r="AF3093">
        <v>3</v>
      </c>
      <c r="AG3093">
        <v>2</v>
      </c>
      <c r="AH3093">
        <v>0</v>
      </c>
      <c r="AI3093" t="s">
        <v>1795</v>
      </c>
      <c r="AJ3093">
        <v>40.045487999999999</v>
      </c>
      <c r="AK3093" t="s">
        <v>1796</v>
      </c>
      <c r="AL3093">
        <v>-92.883418000000006</v>
      </c>
      <c r="AM3093">
        <v>100</v>
      </c>
      <c r="AN3093">
        <v>1300</v>
      </c>
      <c r="AO3093" t="s">
        <v>118</v>
      </c>
      <c r="AP3093">
        <v>-120</v>
      </c>
      <c r="AQ3093">
        <v>62</v>
      </c>
      <c r="AR3093">
        <v>64</v>
      </c>
      <c r="AZ3093">
        <v>1200</v>
      </c>
      <c r="BA3093">
        <v>1</v>
      </c>
      <c r="BB3093" t="str">
        <f t="shared" si="149"/>
        <v xml:space="preserve">N8080G  </v>
      </c>
      <c r="BC3093">
        <v>1</v>
      </c>
      <c r="BE3093">
        <v>0</v>
      </c>
      <c r="BF3093">
        <v>0</v>
      </c>
      <c r="BG3093">
        <v>0</v>
      </c>
      <c r="BH3093">
        <v>1325</v>
      </c>
      <c r="BI3093">
        <v>1</v>
      </c>
      <c r="BJ3093">
        <v>1</v>
      </c>
      <c r="BK3093">
        <v>1</v>
      </c>
      <c r="BL3093">
        <v>0</v>
      </c>
      <c r="BO3093">
        <v>0</v>
      </c>
      <c r="BP3093">
        <v>0</v>
      </c>
      <c r="BW3093" t="str">
        <f>"20:31:14.058"</f>
        <v>20:31:14.058</v>
      </c>
      <c r="BZ3093">
        <v>0</v>
      </c>
      <c r="CA3093">
        <v>1600</v>
      </c>
      <c r="CB3093">
        <v>224</v>
      </c>
      <c r="CD3093">
        <v>1</v>
      </c>
      <c r="CE3093">
        <v>0</v>
      </c>
      <c r="CF3093">
        <v>0</v>
      </c>
      <c r="CG3093">
        <v>1</v>
      </c>
      <c r="CH3093">
        <v>0</v>
      </c>
      <c r="CI3093">
        <v>0</v>
      </c>
      <c r="CJ3093">
        <v>0</v>
      </c>
      <c r="CK3093">
        <v>2</v>
      </c>
      <c r="CL3093">
        <v>0</v>
      </c>
      <c r="CM3093">
        <v>2</v>
      </c>
      <c r="CN3093">
        <v>0</v>
      </c>
      <c r="CO3093">
        <v>7</v>
      </c>
      <c r="CP3093" t="s">
        <v>119</v>
      </c>
      <c r="CQ3093">
        <v>180</v>
      </c>
      <c r="CR3093">
        <v>3</v>
      </c>
      <c r="CW3093">
        <v>1066114</v>
      </c>
      <c r="CY3093">
        <v>1</v>
      </c>
      <c r="CZ3093">
        <v>0</v>
      </c>
      <c r="DA3093">
        <v>1</v>
      </c>
      <c r="DB3093">
        <v>0</v>
      </c>
      <c r="DC3093">
        <v>0</v>
      </c>
      <c r="DD3093">
        <v>0</v>
      </c>
      <c r="DE3093">
        <v>0</v>
      </c>
      <c r="DF3093">
        <v>0</v>
      </c>
      <c r="DG3093">
        <v>0</v>
      </c>
      <c r="DH3093">
        <v>0</v>
      </c>
      <c r="DI3093">
        <v>0</v>
      </c>
    </row>
    <row r="3094" spans="1:113" x14ac:dyDescent="0.3">
      <c r="A3094" t="str">
        <f>"02/08/2021 20:31:11.739"</f>
        <v>02/08/2021 20:31:11.739</v>
      </c>
      <c r="C3094" t="str">
        <f t="shared" si="148"/>
        <v>FFDFD7C0</v>
      </c>
      <c r="D3094" t="s">
        <v>124</v>
      </c>
      <c r="E3094">
        <v>12</v>
      </c>
      <c r="F3094">
        <v>1012</v>
      </c>
      <c r="G3094" t="s">
        <v>675</v>
      </c>
      <c r="J3094" t="s">
        <v>125</v>
      </c>
      <c r="K3094">
        <v>0</v>
      </c>
      <c r="L3094">
        <v>3</v>
      </c>
      <c r="M3094">
        <v>0</v>
      </c>
      <c r="N3094">
        <v>2</v>
      </c>
      <c r="O3094">
        <v>1</v>
      </c>
      <c r="P3094">
        <v>0</v>
      </c>
      <c r="Q3094">
        <v>0</v>
      </c>
      <c r="S3094" t="str">
        <f>"20:31:14.055"</f>
        <v>20:31:14.055</v>
      </c>
      <c r="T3094" t="str">
        <f>"20:31:13.555"</f>
        <v>20:31:13.555</v>
      </c>
      <c r="U3094" t="str">
        <f t="shared" si="150"/>
        <v>AB01F4</v>
      </c>
      <c r="V3094">
        <v>0</v>
      </c>
      <c r="W3094">
        <v>0</v>
      </c>
      <c r="X3094">
        <v>2</v>
      </c>
      <c r="Z3094">
        <v>0</v>
      </c>
      <c r="AA3094">
        <v>9</v>
      </c>
      <c r="AB3094">
        <v>3</v>
      </c>
      <c r="AC3094">
        <v>0</v>
      </c>
      <c r="AD3094">
        <v>10</v>
      </c>
      <c r="AE3094">
        <v>0</v>
      </c>
      <c r="AF3094">
        <v>3</v>
      </c>
      <c r="AG3094">
        <v>2</v>
      </c>
      <c r="AH3094">
        <v>0</v>
      </c>
      <c r="AI3094" t="s">
        <v>1795</v>
      </c>
      <c r="AJ3094">
        <v>40.045487999999999</v>
      </c>
      <c r="AK3094" t="s">
        <v>1796</v>
      </c>
      <c r="AL3094">
        <v>-92.883418000000006</v>
      </c>
      <c r="AM3094">
        <v>100</v>
      </c>
      <c r="AN3094">
        <v>1300</v>
      </c>
      <c r="AO3094" t="s">
        <v>118</v>
      </c>
      <c r="AP3094">
        <v>-120</v>
      </c>
      <c r="AQ3094">
        <v>62</v>
      </c>
      <c r="AR3094">
        <v>64</v>
      </c>
      <c r="AZ3094">
        <v>1200</v>
      </c>
      <c r="BA3094">
        <v>1</v>
      </c>
      <c r="BB3094" t="str">
        <f t="shared" si="149"/>
        <v xml:space="preserve">N8080G  </v>
      </c>
      <c r="BC3094">
        <v>1</v>
      </c>
      <c r="BE3094">
        <v>0</v>
      </c>
      <c r="BF3094">
        <v>0</v>
      </c>
      <c r="BG3094">
        <v>0</v>
      </c>
      <c r="BH3094">
        <v>1325</v>
      </c>
      <c r="BI3094">
        <v>1</v>
      </c>
      <c r="BJ3094">
        <v>1</v>
      </c>
      <c r="BK3094">
        <v>1</v>
      </c>
      <c r="BL3094">
        <v>0</v>
      </c>
      <c r="BO3094">
        <v>0</v>
      </c>
      <c r="BP3094">
        <v>0</v>
      </c>
      <c r="BW3094" t="str">
        <f>"20:31:14.058"</f>
        <v>20:31:14.058</v>
      </c>
      <c r="BZ3094">
        <v>0</v>
      </c>
      <c r="CA3094">
        <v>1600</v>
      </c>
      <c r="CB3094">
        <v>224</v>
      </c>
      <c r="CD3094">
        <v>1</v>
      </c>
      <c r="CE3094">
        <v>0</v>
      </c>
      <c r="CF3094">
        <v>0</v>
      </c>
      <c r="CG3094">
        <v>1</v>
      </c>
      <c r="CH3094">
        <v>0</v>
      </c>
      <c r="CI3094">
        <v>0</v>
      </c>
      <c r="CJ3094">
        <v>0</v>
      </c>
      <c r="CK3094">
        <v>2</v>
      </c>
      <c r="CL3094">
        <v>0</v>
      </c>
      <c r="CM3094">
        <v>2</v>
      </c>
      <c r="CN3094">
        <v>0</v>
      </c>
      <c r="CO3094">
        <v>7</v>
      </c>
      <c r="CP3094" t="s">
        <v>119</v>
      </c>
      <c r="CQ3094">
        <v>180</v>
      </c>
      <c r="CR3094">
        <v>3</v>
      </c>
      <c r="CW3094">
        <v>1066114</v>
      </c>
      <c r="CY3094">
        <v>1</v>
      </c>
      <c r="CZ3094">
        <v>0</v>
      </c>
      <c r="DA3094">
        <v>1</v>
      </c>
      <c r="DB3094">
        <v>0</v>
      </c>
      <c r="DC3094">
        <v>0</v>
      </c>
      <c r="DD3094">
        <v>0</v>
      </c>
      <c r="DE3094">
        <v>0</v>
      </c>
      <c r="DF3094">
        <v>0</v>
      </c>
      <c r="DG3094">
        <v>0</v>
      </c>
      <c r="DH3094">
        <v>0</v>
      </c>
      <c r="DI3094">
        <v>0</v>
      </c>
    </row>
    <row r="3095" spans="1:113" x14ac:dyDescent="0.3">
      <c r="A3095" t="str">
        <f>"02/08/2021 20:31:12.750"</f>
        <v>02/08/2021 20:31:12.750</v>
      </c>
      <c r="C3095" t="str">
        <f t="shared" si="148"/>
        <v>FFDFD7C0</v>
      </c>
      <c r="D3095" t="s">
        <v>113</v>
      </c>
      <c r="E3095">
        <v>6</v>
      </c>
      <c r="H3095">
        <v>165</v>
      </c>
      <c r="I3095" t="s">
        <v>114</v>
      </c>
      <c r="J3095" t="s">
        <v>115</v>
      </c>
      <c r="K3095">
        <v>0</v>
      </c>
      <c r="L3095">
        <v>3</v>
      </c>
      <c r="M3095">
        <v>0</v>
      </c>
      <c r="N3095">
        <v>2</v>
      </c>
      <c r="O3095">
        <v>1</v>
      </c>
      <c r="P3095">
        <v>0</v>
      </c>
      <c r="Q3095">
        <v>0</v>
      </c>
      <c r="S3095" t="str">
        <f>"20:31:15.063"</f>
        <v>20:31:15.063</v>
      </c>
      <c r="T3095" t="str">
        <f>"20:31:14.563"</f>
        <v>20:31:14.563</v>
      </c>
      <c r="U3095" t="str">
        <f t="shared" si="150"/>
        <v>AB01F4</v>
      </c>
      <c r="V3095">
        <v>0</v>
      </c>
      <c r="W3095">
        <v>0</v>
      </c>
      <c r="X3095">
        <v>2</v>
      </c>
      <c r="Z3095">
        <v>0</v>
      </c>
      <c r="AA3095">
        <v>9</v>
      </c>
      <c r="AB3095">
        <v>3</v>
      </c>
      <c r="AC3095">
        <v>0</v>
      </c>
      <c r="AD3095">
        <v>10</v>
      </c>
      <c r="AE3095">
        <v>0</v>
      </c>
      <c r="AF3095">
        <v>3</v>
      </c>
      <c r="AG3095">
        <v>2</v>
      </c>
      <c r="AH3095">
        <v>0</v>
      </c>
      <c r="AI3095" t="s">
        <v>1797</v>
      </c>
      <c r="AJ3095">
        <v>40.045766999999998</v>
      </c>
      <c r="AK3095" t="s">
        <v>1798</v>
      </c>
      <c r="AL3095">
        <v>-92.884103999999994</v>
      </c>
      <c r="AM3095">
        <v>100</v>
      </c>
      <c r="AN3095">
        <v>1300</v>
      </c>
      <c r="AO3095" t="s">
        <v>118</v>
      </c>
      <c r="AP3095">
        <v>-120</v>
      </c>
      <c r="AQ3095">
        <v>62</v>
      </c>
      <c r="AR3095">
        <v>0</v>
      </c>
      <c r="AZ3095">
        <v>1200</v>
      </c>
      <c r="BA3095">
        <v>1</v>
      </c>
      <c r="BB3095" t="str">
        <f t="shared" si="149"/>
        <v xml:space="preserve">N8080G  </v>
      </c>
      <c r="BC3095">
        <v>1</v>
      </c>
      <c r="BE3095">
        <v>0</v>
      </c>
      <c r="BF3095">
        <v>0</v>
      </c>
      <c r="BG3095">
        <v>0</v>
      </c>
      <c r="BH3095">
        <v>1325</v>
      </c>
      <c r="BI3095">
        <v>1</v>
      </c>
      <c r="BJ3095">
        <v>1</v>
      </c>
      <c r="BK3095">
        <v>1</v>
      </c>
      <c r="BL3095">
        <v>0</v>
      </c>
      <c r="BO3095">
        <v>0</v>
      </c>
      <c r="BP3095">
        <v>0</v>
      </c>
      <c r="BW3095" t="str">
        <f>"20:31:15.066"</f>
        <v>20:31:15.066</v>
      </c>
      <c r="BZ3095">
        <v>0</v>
      </c>
      <c r="CA3095">
        <v>1600</v>
      </c>
      <c r="CB3095">
        <v>224</v>
      </c>
      <c r="CD3095">
        <v>1</v>
      </c>
      <c r="CE3095">
        <v>0</v>
      </c>
      <c r="CF3095">
        <v>0</v>
      </c>
      <c r="CG3095">
        <v>1</v>
      </c>
      <c r="CH3095">
        <v>0</v>
      </c>
      <c r="CI3095">
        <v>0</v>
      </c>
      <c r="CJ3095">
        <v>0</v>
      </c>
      <c r="CK3095">
        <v>2</v>
      </c>
      <c r="CL3095">
        <v>0</v>
      </c>
      <c r="CM3095">
        <v>2</v>
      </c>
      <c r="CN3095">
        <v>0</v>
      </c>
      <c r="CO3095">
        <v>7</v>
      </c>
      <c r="CP3095" t="s">
        <v>119</v>
      </c>
      <c r="CQ3095">
        <v>180</v>
      </c>
      <c r="CR3095">
        <v>2</v>
      </c>
      <c r="CW3095">
        <v>8719498</v>
      </c>
      <c r="CY3095">
        <v>1</v>
      </c>
      <c r="CZ3095">
        <v>0</v>
      </c>
      <c r="DA3095">
        <v>0</v>
      </c>
      <c r="DB3095">
        <v>0</v>
      </c>
      <c r="DC3095">
        <v>0</v>
      </c>
      <c r="DD3095">
        <v>0</v>
      </c>
      <c r="DE3095">
        <v>0</v>
      </c>
      <c r="DF3095">
        <v>0</v>
      </c>
      <c r="DG3095">
        <v>0</v>
      </c>
      <c r="DH3095">
        <v>0</v>
      </c>
      <c r="DI3095">
        <v>0</v>
      </c>
    </row>
    <row r="3096" spans="1:113" x14ac:dyDescent="0.3">
      <c r="A3096" t="str">
        <f>"02/08/2021 20:31:12.750"</f>
        <v>02/08/2021 20:31:12.750</v>
      </c>
      <c r="C3096" t="str">
        <f t="shared" si="148"/>
        <v>FFDFD7C0</v>
      </c>
      <c r="D3096" t="s">
        <v>124</v>
      </c>
      <c r="E3096">
        <v>13</v>
      </c>
      <c r="F3096">
        <v>1013</v>
      </c>
      <c r="G3096" t="s">
        <v>114</v>
      </c>
      <c r="J3096" t="s">
        <v>125</v>
      </c>
      <c r="K3096">
        <v>0</v>
      </c>
      <c r="L3096">
        <v>3</v>
      </c>
      <c r="M3096">
        <v>0</v>
      </c>
      <c r="N3096">
        <v>2</v>
      </c>
      <c r="O3096">
        <v>1</v>
      </c>
      <c r="P3096">
        <v>0</v>
      </c>
      <c r="Q3096">
        <v>0</v>
      </c>
      <c r="S3096" t="str">
        <f>"20:31:15.063"</f>
        <v>20:31:15.063</v>
      </c>
      <c r="T3096" t="str">
        <f>"20:31:14.563"</f>
        <v>20:31:14.563</v>
      </c>
      <c r="U3096" t="str">
        <f t="shared" si="150"/>
        <v>AB01F4</v>
      </c>
      <c r="V3096">
        <v>0</v>
      </c>
      <c r="W3096">
        <v>0</v>
      </c>
      <c r="X3096">
        <v>2</v>
      </c>
      <c r="Z3096">
        <v>0</v>
      </c>
      <c r="AA3096">
        <v>9</v>
      </c>
      <c r="AB3096">
        <v>3</v>
      </c>
      <c r="AC3096">
        <v>0</v>
      </c>
      <c r="AD3096">
        <v>10</v>
      </c>
      <c r="AE3096">
        <v>0</v>
      </c>
      <c r="AF3096">
        <v>3</v>
      </c>
      <c r="AG3096">
        <v>2</v>
      </c>
      <c r="AH3096">
        <v>0</v>
      </c>
      <c r="AI3096" t="s">
        <v>1797</v>
      </c>
      <c r="AJ3096">
        <v>40.045766999999998</v>
      </c>
      <c r="AK3096" t="s">
        <v>1798</v>
      </c>
      <c r="AL3096">
        <v>-92.884103999999994</v>
      </c>
      <c r="AM3096">
        <v>100</v>
      </c>
      <c r="AN3096">
        <v>1300</v>
      </c>
      <c r="AO3096" t="s">
        <v>118</v>
      </c>
      <c r="AP3096">
        <v>-120</v>
      </c>
      <c r="AQ3096">
        <v>62</v>
      </c>
      <c r="AR3096">
        <v>0</v>
      </c>
      <c r="AZ3096">
        <v>1200</v>
      </c>
      <c r="BA3096">
        <v>1</v>
      </c>
      <c r="BB3096" t="str">
        <f t="shared" si="149"/>
        <v xml:space="preserve">N8080G  </v>
      </c>
      <c r="BC3096">
        <v>1</v>
      </c>
      <c r="BE3096">
        <v>0</v>
      </c>
      <c r="BF3096">
        <v>0</v>
      </c>
      <c r="BG3096">
        <v>0</v>
      </c>
      <c r="BH3096">
        <v>1325</v>
      </c>
      <c r="BI3096">
        <v>1</v>
      </c>
      <c r="BJ3096">
        <v>1</v>
      </c>
      <c r="BK3096">
        <v>1</v>
      </c>
      <c r="BL3096">
        <v>0</v>
      </c>
      <c r="BO3096">
        <v>0</v>
      </c>
      <c r="BP3096">
        <v>0</v>
      </c>
      <c r="BW3096" t="str">
        <f>"20:31:15.066"</f>
        <v>20:31:15.066</v>
      </c>
      <c r="BZ3096">
        <v>0</v>
      </c>
      <c r="CA3096">
        <v>1600</v>
      </c>
      <c r="CB3096">
        <v>224</v>
      </c>
      <c r="CD3096">
        <v>1</v>
      </c>
      <c r="CE3096">
        <v>0</v>
      </c>
      <c r="CF3096">
        <v>0</v>
      </c>
      <c r="CG3096">
        <v>1</v>
      </c>
      <c r="CH3096">
        <v>0</v>
      </c>
      <c r="CI3096">
        <v>0</v>
      </c>
      <c r="CJ3096">
        <v>0</v>
      </c>
      <c r="CK3096">
        <v>2</v>
      </c>
      <c r="CL3096">
        <v>0</v>
      </c>
      <c r="CM3096">
        <v>2</v>
      </c>
      <c r="CN3096">
        <v>0</v>
      </c>
      <c r="CO3096">
        <v>7</v>
      </c>
      <c r="CP3096" t="s">
        <v>119</v>
      </c>
      <c r="CQ3096">
        <v>180</v>
      </c>
      <c r="CR3096">
        <v>2</v>
      </c>
      <c r="CW3096">
        <v>8719498</v>
      </c>
      <c r="CY3096">
        <v>1</v>
      </c>
      <c r="CZ3096">
        <v>0</v>
      </c>
      <c r="DA3096">
        <v>1</v>
      </c>
      <c r="DB3096">
        <v>0</v>
      </c>
      <c r="DC3096">
        <v>0</v>
      </c>
      <c r="DD3096">
        <v>0</v>
      </c>
      <c r="DE3096">
        <v>0</v>
      </c>
      <c r="DF3096">
        <v>0</v>
      </c>
      <c r="DG3096">
        <v>0</v>
      </c>
      <c r="DH3096">
        <v>0</v>
      </c>
      <c r="DI3096">
        <v>0</v>
      </c>
    </row>
    <row r="3097" spans="1:113" x14ac:dyDescent="0.3">
      <c r="A3097" t="str">
        <f>"02/08/2021 20:31:12.750"</f>
        <v>02/08/2021 20:31:12.750</v>
      </c>
      <c r="C3097" t="str">
        <f t="shared" si="148"/>
        <v>FFDFD7C0</v>
      </c>
      <c r="D3097" t="s">
        <v>124</v>
      </c>
      <c r="E3097">
        <v>11</v>
      </c>
      <c r="F3097">
        <v>1011</v>
      </c>
      <c r="G3097" t="s">
        <v>590</v>
      </c>
      <c r="J3097" t="s">
        <v>125</v>
      </c>
      <c r="K3097">
        <v>0</v>
      </c>
      <c r="L3097">
        <v>3</v>
      </c>
      <c r="M3097">
        <v>0</v>
      </c>
      <c r="N3097">
        <v>2</v>
      </c>
      <c r="O3097">
        <v>1</v>
      </c>
      <c r="P3097">
        <v>0</v>
      </c>
      <c r="Q3097">
        <v>0</v>
      </c>
      <c r="S3097" t="str">
        <f>"20:31:15.063"</f>
        <v>20:31:15.063</v>
      </c>
      <c r="T3097" t="str">
        <f>"20:31:14.563"</f>
        <v>20:31:14.563</v>
      </c>
      <c r="U3097" t="str">
        <f t="shared" si="150"/>
        <v>AB01F4</v>
      </c>
      <c r="V3097">
        <v>0</v>
      </c>
      <c r="W3097">
        <v>0</v>
      </c>
      <c r="X3097">
        <v>2</v>
      </c>
      <c r="Z3097">
        <v>0</v>
      </c>
      <c r="AA3097">
        <v>9</v>
      </c>
      <c r="AB3097">
        <v>3</v>
      </c>
      <c r="AC3097">
        <v>0</v>
      </c>
      <c r="AD3097">
        <v>10</v>
      </c>
      <c r="AE3097">
        <v>0</v>
      </c>
      <c r="AF3097">
        <v>3</v>
      </c>
      <c r="AG3097">
        <v>2</v>
      </c>
      <c r="AH3097">
        <v>0</v>
      </c>
      <c r="AI3097" t="s">
        <v>1797</v>
      </c>
      <c r="AJ3097">
        <v>40.045766999999998</v>
      </c>
      <c r="AK3097" t="s">
        <v>1798</v>
      </c>
      <c r="AL3097">
        <v>-92.884103999999994</v>
      </c>
      <c r="AM3097">
        <v>100</v>
      </c>
      <c r="AN3097">
        <v>1300</v>
      </c>
      <c r="AO3097" t="s">
        <v>118</v>
      </c>
      <c r="AP3097">
        <v>-120</v>
      </c>
      <c r="AQ3097">
        <v>62</v>
      </c>
      <c r="AR3097">
        <v>0</v>
      </c>
      <c r="AZ3097">
        <v>1200</v>
      </c>
      <c r="BA3097">
        <v>1</v>
      </c>
      <c r="BB3097" t="str">
        <f t="shared" si="149"/>
        <v xml:space="preserve">N8080G  </v>
      </c>
      <c r="BC3097">
        <v>1</v>
      </c>
      <c r="BE3097">
        <v>0</v>
      </c>
      <c r="BF3097">
        <v>0</v>
      </c>
      <c r="BG3097">
        <v>0</v>
      </c>
      <c r="BH3097">
        <v>1325</v>
      </c>
      <c r="BI3097">
        <v>1</v>
      </c>
      <c r="BJ3097">
        <v>1</v>
      </c>
      <c r="BK3097">
        <v>1</v>
      </c>
      <c r="BL3097">
        <v>0</v>
      </c>
      <c r="BO3097">
        <v>0</v>
      </c>
      <c r="BP3097">
        <v>0</v>
      </c>
      <c r="BW3097" t="str">
        <f>"20:31:15.066"</f>
        <v>20:31:15.066</v>
      </c>
      <c r="BZ3097">
        <v>0</v>
      </c>
      <c r="CA3097">
        <v>1600</v>
      </c>
      <c r="CB3097">
        <v>224</v>
      </c>
      <c r="CD3097">
        <v>1</v>
      </c>
      <c r="CE3097">
        <v>0</v>
      </c>
      <c r="CF3097">
        <v>0</v>
      </c>
      <c r="CG3097">
        <v>1</v>
      </c>
      <c r="CH3097">
        <v>0</v>
      </c>
      <c r="CI3097">
        <v>0</v>
      </c>
      <c r="CJ3097">
        <v>0</v>
      </c>
      <c r="CK3097">
        <v>2</v>
      </c>
      <c r="CL3097">
        <v>0</v>
      </c>
      <c r="CM3097">
        <v>2</v>
      </c>
      <c r="CN3097">
        <v>0</v>
      </c>
      <c r="CO3097">
        <v>7</v>
      </c>
      <c r="CP3097" t="s">
        <v>119</v>
      </c>
      <c r="CQ3097">
        <v>180</v>
      </c>
      <c r="CR3097">
        <v>2</v>
      </c>
      <c r="CW3097">
        <v>8719498</v>
      </c>
      <c r="CY3097">
        <v>1</v>
      </c>
      <c r="CZ3097">
        <v>0</v>
      </c>
      <c r="DA3097">
        <v>1</v>
      </c>
      <c r="DB3097">
        <v>0</v>
      </c>
      <c r="DC3097">
        <v>0</v>
      </c>
      <c r="DD3097">
        <v>0</v>
      </c>
      <c r="DE3097">
        <v>0</v>
      </c>
      <c r="DF3097">
        <v>0</v>
      </c>
      <c r="DG3097">
        <v>0</v>
      </c>
      <c r="DH3097">
        <v>0</v>
      </c>
      <c r="DI3097">
        <v>0</v>
      </c>
    </row>
    <row r="3098" spans="1:113" x14ac:dyDescent="0.3">
      <c r="A3098" t="str">
        <f>"02/08/2021 20:31:12.750"</f>
        <v>02/08/2021 20:31:12.750</v>
      </c>
      <c r="C3098" t="str">
        <f t="shared" si="148"/>
        <v>FFDFD7C0</v>
      </c>
      <c r="D3098" t="s">
        <v>124</v>
      </c>
      <c r="E3098">
        <v>12</v>
      </c>
      <c r="F3098">
        <v>1012</v>
      </c>
      <c r="G3098" t="s">
        <v>675</v>
      </c>
      <c r="J3098" t="s">
        <v>125</v>
      </c>
      <c r="K3098">
        <v>0</v>
      </c>
      <c r="L3098">
        <v>3</v>
      </c>
      <c r="M3098">
        <v>0</v>
      </c>
      <c r="N3098">
        <v>2</v>
      </c>
      <c r="O3098">
        <v>1</v>
      </c>
      <c r="P3098">
        <v>0</v>
      </c>
      <c r="Q3098">
        <v>0</v>
      </c>
      <c r="S3098" t="str">
        <f>"20:31:15.063"</f>
        <v>20:31:15.063</v>
      </c>
      <c r="T3098" t="str">
        <f>"20:31:14.563"</f>
        <v>20:31:14.563</v>
      </c>
      <c r="U3098" t="str">
        <f t="shared" si="150"/>
        <v>AB01F4</v>
      </c>
      <c r="V3098">
        <v>0</v>
      </c>
      <c r="W3098">
        <v>0</v>
      </c>
      <c r="X3098">
        <v>2</v>
      </c>
      <c r="Z3098">
        <v>0</v>
      </c>
      <c r="AA3098">
        <v>9</v>
      </c>
      <c r="AB3098">
        <v>3</v>
      </c>
      <c r="AC3098">
        <v>0</v>
      </c>
      <c r="AD3098">
        <v>10</v>
      </c>
      <c r="AE3098">
        <v>0</v>
      </c>
      <c r="AF3098">
        <v>3</v>
      </c>
      <c r="AG3098">
        <v>2</v>
      </c>
      <c r="AH3098">
        <v>0</v>
      </c>
      <c r="AI3098" t="s">
        <v>1797</v>
      </c>
      <c r="AJ3098">
        <v>40.045766999999998</v>
      </c>
      <c r="AK3098" t="s">
        <v>1798</v>
      </c>
      <c r="AL3098">
        <v>-92.884103999999994</v>
      </c>
      <c r="AM3098">
        <v>100</v>
      </c>
      <c r="AN3098">
        <v>1300</v>
      </c>
      <c r="AO3098" t="s">
        <v>118</v>
      </c>
      <c r="AP3098">
        <v>-120</v>
      </c>
      <c r="AQ3098">
        <v>62</v>
      </c>
      <c r="AR3098">
        <v>0</v>
      </c>
      <c r="AZ3098">
        <v>1200</v>
      </c>
      <c r="BA3098">
        <v>1</v>
      </c>
      <c r="BB3098" t="str">
        <f t="shared" si="149"/>
        <v xml:space="preserve">N8080G  </v>
      </c>
      <c r="BC3098">
        <v>1</v>
      </c>
      <c r="BE3098">
        <v>0</v>
      </c>
      <c r="BF3098">
        <v>0</v>
      </c>
      <c r="BG3098">
        <v>0</v>
      </c>
      <c r="BH3098">
        <v>1325</v>
      </c>
      <c r="BI3098">
        <v>1</v>
      </c>
      <c r="BJ3098">
        <v>1</v>
      </c>
      <c r="BK3098">
        <v>1</v>
      </c>
      <c r="BL3098">
        <v>0</v>
      </c>
      <c r="BO3098">
        <v>0</v>
      </c>
      <c r="BP3098">
        <v>0</v>
      </c>
      <c r="BW3098" t="str">
        <f>"20:31:15.066"</f>
        <v>20:31:15.066</v>
      </c>
      <c r="BZ3098">
        <v>0</v>
      </c>
      <c r="CA3098">
        <v>1600</v>
      </c>
      <c r="CB3098">
        <v>224</v>
      </c>
      <c r="CD3098">
        <v>1</v>
      </c>
      <c r="CE3098">
        <v>0</v>
      </c>
      <c r="CF3098">
        <v>0</v>
      </c>
      <c r="CG3098">
        <v>1</v>
      </c>
      <c r="CH3098">
        <v>0</v>
      </c>
      <c r="CI3098">
        <v>0</v>
      </c>
      <c r="CJ3098">
        <v>0</v>
      </c>
      <c r="CK3098">
        <v>2</v>
      </c>
      <c r="CL3098">
        <v>0</v>
      </c>
      <c r="CM3098">
        <v>2</v>
      </c>
      <c r="CN3098">
        <v>0</v>
      </c>
      <c r="CO3098">
        <v>7</v>
      </c>
      <c r="CP3098" t="s">
        <v>119</v>
      </c>
      <c r="CQ3098">
        <v>180</v>
      </c>
      <c r="CR3098">
        <v>2</v>
      </c>
      <c r="CW3098">
        <v>8719498</v>
      </c>
      <c r="CY3098">
        <v>1</v>
      </c>
      <c r="CZ3098">
        <v>0</v>
      </c>
      <c r="DA3098">
        <v>1</v>
      </c>
      <c r="DB3098">
        <v>0</v>
      </c>
      <c r="DC3098">
        <v>0</v>
      </c>
      <c r="DD3098">
        <v>0</v>
      </c>
      <c r="DE3098">
        <v>0</v>
      </c>
      <c r="DF3098">
        <v>0</v>
      </c>
      <c r="DG3098">
        <v>0</v>
      </c>
      <c r="DH3098">
        <v>0</v>
      </c>
      <c r="DI3098">
        <v>0</v>
      </c>
    </row>
    <row r="3099" spans="1:113" x14ac:dyDescent="0.3">
      <c r="A3099" t="str">
        <f>"02/08/2021 20:31:13.832"</f>
        <v>02/08/2021 20:31:13.832</v>
      </c>
      <c r="C3099" t="str">
        <f t="shared" si="148"/>
        <v>FFDFD7C0</v>
      </c>
      <c r="D3099" t="s">
        <v>124</v>
      </c>
      <c r="E3099">
        <v>11</v>
      </c>
      <c r="F3099">
        <v>1011</v>
      </c>
      <c r="G3099" t="s">
        <v>590</v>
      </c>
      <c r="J3099" t="s">
        <v>125</v>
      </c>
      <c r="K3099">
        <v>0</v>
      </c>
      <c r="L3099">
        <v>3</v>
      </c>
      <c r="M3099">
        <v>0</v>
      </c>
      <c r="N3099">
        <v>2</v>
      </c>
      <c r="O3099">
        <v>1</v>
      </c>
      <c r="P3099">
        <v>0</v>
      </c>
      <c r="Q3099">
        <v>0</v>
      </c>
      <c r="S3099" t="str">
        <f>"20:31:16.172"</f>
        <v>20:31:16.172</v>
      </c>
      <c r="T3099" t="str">
        <f>"20:31:15.672"</f>
        <v>20:31:15.672</v>
      </c>
      <c r="U3099" t="str">
        <f t="shared" si="150"/>
        <v>AB01F4</v>
      </c>
      <c r="V3099">
        <v>0</v>
      </c>
      <c r="W3099">
        <v>0</v>
      </c>
      <c r="X3099">
        <v>2</v>
      </c>
      <c r="Z3099">
        <v>0</v>
      </c>
      <c r="AA3099">
        <v>9</v>
      </c>
      <c r="AB3099">
        <v>3</v>
      </c>
      <c r="AC3099">
        <v>0</v>
      </c>
      <c r="AD3099">
        <v>10</v>
      </c>
      <c r="AE3099">
        <v>0</v>
      </c>
      <c r="AF3099">
        <v>3</v>
      </c>
      <c r="AG3099">
        <v>2</v>
      </c>
      <c r="AH3099">
        <v>0</v>
      </c>
      <c r="AI3099" t="s">
        <v>1799</v>
      </c>
      <c r="AJ3099">
        <v>40.046132</v>
      </c>
      <c r="AK3099" t="s">
        <v>1800</v>
      </c>
      <c r="AL3099">
        <v>-92.884898000000007</v>
      </c>
      <c r="AM3099">
        <v>100</v>
      </c>
      <c r="AN3099">
        <v>1300</v>
      </c>
      <c r="AO3099" t="s">
        <v>118</v>
      </c>
      <c r="AP3099">
        <v>-119</v>
      </c>
      <c r="AQ3099">
        <v>63</v>
      </c>
      <c r="AR3099">
        <v>0</v>
      </c>
      <c r="AZ3099">
        <v>1200</v>
      </c>
      <c r="BA3099">
        <v>1</v>
      </c>
      <c r="BB3099" t="str">
        <f t="shared" si="149"/>
        <v xml:space="preserve">N8080G  </v>
      </c>
      <c r="BC3099">
        <v>1</v>
      </c>
      <c r="BE3099">
        <v>0</v>
      </c>
      <c r="BF3099">
        <v>0</v>
      </c>
      <c r="BG3099">
        <v>0</v>
      </c>
      <c r="BH3099">
        <v>1325</v>
      </c>
      <c r="BI3099">
        <v>1</v>
      </c>
      <c r="BJ3099">
        <v>1</v>
      </c>
      <c r="BK3099">
        <v>1</v>
      </c>
      <c r="BL3099">
        <v>0</v>
      </c>
      <c r="BO3099">
        <v>0</v>
      </c>
      <c r="BP3099">
        <v>0</v>
      </c>
      <c r="BW3099" t="str">
        <f>"20:31:16.177"</f>
        <v>20:31:16.177</v>
      </c>
      <c r="BZ3099">
        <v>0</v>
      </c>
      <c r="CA3099">
        <v>1600</v>
      </c>
      <c r="CB3099">
        <v>224</v>
      </c>
      <c r="CD3099">
        <v>1</v>
      </c>
      <c r="CE3099">
        <v>0</v>
      </c>
      <c r="CF3099">
        <v>0</v>
      </c>
      <c r="CG3099">
        <v>1</v>
      </c>
      <c r="CH3099">
        <v>0</v>
      </c>
      <c r="CI3099">
        <v>0</v>
      </c>
      <c r="CJ3099">
        <v>0</v>
      </c>
      <c r="CK3099">
        <v>2</v>
      </c>
      <c r="CL3099">
        <v>0</v>
      </c>
      <c r="CM3099">
        <v>2</v>
      </c>
      <c r="CN3099">
        <v>0</v>
      </c>
      <c r="CO3099">
        <v>7</v>
      </c>
      <c r="CP3099" t="s">
        <v>119</v>
      </c>
      <c r="CQ3099">
        <v>180</v>
      </c>
      <c r="CR3099">
        <v>3</v>
      </c>
      <c r="CW3099">
        <v>1067808</v>
      </c>
      <c r="CY3099">
        <v>1</v>
      </c>
      <c r="CZ3099">
        <v>0</v>
      </c>
      <c r="DA3099">
        <v>0</v>
      </c>
      <c r="DB3099">
        <v>0</v>
      </c>
      <c r="DC3099">
        <v>0</v>
      </c>
      <c r="DD3099">
        <v>0</v>
      </c>
      <c r="DE3099">
        <v>0</v>
      </c>
      <c r="DF3099">
        <v>0</v>
      </c>
      <c r="DG3099">
        <v>0</v>
      </c>
      <c r="DH3099">
        <v>0</v>
      </c>
      <c r="DI3099">
        <v>0</v>
      </c>
    </row>
    <row r="3100" spans="1:113" x14ac:dyDescent="0.3">
      <c r="A3100" t="str">
        <f>"02/08/2021 20:31:13.832"</f>
        <v>02/08/2021 20:31:13.832</v>
      </c>
      <c r="C3100" t="str">
        <f t="shared" si="148"/>
        <v>FFDFD7C0</v>
      </c>
      <c r="D3100" t="s">
        <v>124</v>
      </c>
      <c r="E3100">
        <v>12</v>
      </c>
      <c r="F3100">
        <v>1012</v>
      </c>
      <c r="G3100" t="s">
        <v>675</v>
      </c>
      <c r="J3100" t="s">
        <v>125</v>
      </c>
      <c r="K3100">
        <v>0</v>
      </c>
      <c r="L3100">
        <v>3</v>
      </c>
      <c r="M3100">
        <v>0</v>
      </c>
      <c r="N3100">
        <v>2</v>
      </c>
      <c r="O3100">
        <v>1</v>
      </c>
      <c r="P3100">
        <v>0</v>
      </c>
      <c r="Q3100">
        <v>0</v>
      </c>
      <c r="S3100" t="str">
        <f>"20:31:16.172"</f>
        <v>20:31:16.172</v>
      </c>
      <c r="T3100" t="str">
        <f>"20:31:15.672"</f>
        <v>20:31:15.672</v>
      </c>
      <c r="U3100" t="str">
        <f t="shared" si="150"/>
        <v>AB01F4</v>
      </c>
      <c r="V3100">
        <v>0</v>
      </c>
      <c r="W3100">
        <v>0</v>
      </c>
      <c r="X3100">
        <v>2</v>
      </c>
      <c r="Z3100">
        <v>0</v>
      </c>
      <c r="AA3100">
        <v>9</v>
      </c>
      <c r="AB3100">
        <v>3</v>
      </c>
      <c r="AC3100">
        <v>0</v>
      </c>
      <c r="AD3100">
        <v>10</v>
      </c>
      <c r="AE3100">
        <v>0</v>
      </c>
      <c r="AF3100">
        <v>3</v>
      </c>
      <c r="AG3100">
        <v>2</v>
      </c>
      <c r="AH3100">
        <v>0</v>
      </c>
      <c r="AI3100" t="s">
        <v>1799</v>
      </c>
      <c r="AJ3100">
        <v>40.046132</v>
      </c>
      <c r="AK3100" t="s">
        <v>1800</v>
      </c>
      <c r="AL3100">
        <v>-92.884898000000007</v>
      </c>
      <c r="AM3100">
        <v>100</v>
      </c>
      <c r="AN3100">
        <v>1300</v>
      </c>
      <c r="AO3100" t="s">
        <v>118</v>
      </c>
      <c r="AP3100">
        <v>-119</v>
      </c>
      <c r="AQ3100">
        <v>63</v>
      </c>
      <c r="AR3100">
        <v>0</v>
      </c>
      <c r="AZ3100">
        <v>1200</v>
      </c>
      <c r="BA3100">
        <v>1</v>
      </c>
      <c r="BB3100" t="str">
        <f t="shared" si="149"/>
        <v xml:space="preserve">N8080G  </v>
      </c>
      <c r="BC3100">
        <v>1</v>
      </c>
      <c r="BE3100">
        <v>0</v>
      </c>
      <c r="BF3100">
        <v>0</v>
      </c>
      <c r="BG3100">
        <v>0</v>
      </c>
      <c r="BH3100">
        <v>1325</v>
      </c>
      <c r="BI3100">
        <v>1</v>
      </c>
      <c r="BJ3100">
        <v>1</v>
      </c>
      <c r="BK3100">
        <v>1</v>
      </c>
      <c r="BL3100">
        <v>0</v>
      </c>
      <c r="BO3100">
        <v>0</v>
      </c>
      <c r="BP3100">
        <v>0</v>
      </c>
      <c r="BW3100" t="str">
        <f>"20:31:16.177"</f>
        <v>20:31:16.177</v>
      </c>
      <c r="BZ3100">
        <v>0</v>
      </c>
      <c r="CA3100">
        <v>1600</v>
      </c>
      <c r="CB3100">
        <v>224</v>
      </c>
      <c r="CD3100">
        <v>1</v>
      </c>
      <c r="CE3100">
        <v>0</v>
      </c>
      <c r="CF3100">
        <v>0</v>
      </c>
      <c r="CG3100">
        <v>1</v>
      </c>
      <c r="CH3100">
        <v>0</v>
      </c>
      <c r="CI3100">
        <v>0</v>
      </c>
      <c r="CJ3100">
        <v>0</v>
      </c>
      <c r="CK3100">
        <v>2</v>
      </c>
      <c r="CL3100">
        <v>0</v>
      </c>
      <c r="CM3100">
        <v>2</v>
      </c>
      <c r="CN3100">
        <v>0</v>
      </c>
      <c r="CO3100">
        <v>7</v>
      </c>
      <c r="CP3100" t="s">
        <v>119</v>
      </c>
      <c r="CQ3100">
        <v>180</v>
      </c>
      <c r="CR3100">
        <v>3</v>
      </c>
      <c r="CW3100">
        <v>1067808</v>
      </c>
      <c r="CY3100">
        <v>1</v>
      </c>
      <c r="CZ3100">
        <v>0</v>
      </c>
      <c r="DA3100">
        <v>1</v>
      </c>
      <c r="DB3100">
        <v>0</v>
      </c>
      <c r="DC3100">
        <v>0</v>
      </c>
      <c r="DD3100">
        <v>0</v>
      </c>
      <c r="DE3100">
        <v>0</v>
      </c>
      <c r="DF3100">
        <v>0</v>
      </c>
      <c r="DG3100">
        <v>0</v>
      </c>
      <c r="DH3100">
        <v>0</v>
      </c>
      <c r="DI3100">
        <v>0</v>
      </c>
    </row>
    <row r="3101" spans="1:113" x14ac:dyDescent="0.3">
      <c r="A3101" t="str">
        <f>"02/08/2021 20:31:13.832"</f>
        <v>02/08/2021 20:31:13.832</v>
      </c>
      <c r="C3101" t="str">
        <f t="shared" si="148"/>
        <v>FFDFD7C0</v>
      </c>
      <c r="D3101" t="s">
        <v>124</v>
      </c>
      <c r="E3101">
        <v>13</v>
      </c>
      <c r="F3101">
        <v>1013</v>
      </c>
      <c r="G3101" t="s">
        <v>114</v>
      </c>
      <c r="J3101" t="s">
        <v>125</v>
      </c>
      <c r="K3101">
        <v>0</v>
      </c>
      <c r="L3101">
        <v>3</v>
      </c>
      <c r="M3101">
        <v>0</v>
      </c>
      <c r="N3101">
        <v>2</v>
      </c>
      <c r="O3101">
        <v>1</v>
      </c>
      <c r="P3101">
        <v>0</v>
      </c>
      <c r="Q3101">
        <v>0</v>
      </c>
      <c r="S3101" t="str">
        <f>"20:31:16.172"</f>
        <v>20:31:16.172</v>
      </c>
      <c r="T3101" t="str">
        <f>"20:31:15.672"</f>
        <v>20:31:15.672</v>
      </c>
      <c r="U3101" t="str">
        <f t="shared" si="150"/>
        <v>AB01F4</v>
      </c>
      <c r="V3101">
        <v>0</v>
      </c>
      <c r="W3101">
        <v>0</v>
      </c>
      <c r="X3101">
        <v>2</v>
      </c>
      <c r="Z3101">
        <v>0</v>
      </c>
      <c r="AA3101">
        <v>9</v>
      </c>
      <c r="AB3101">
        <v>3</v>
      </c>
      <c r="AC3101">
        <v>0</v>
      </c>
      <c r="AD3101">
        <v>10</v>
      </c>
      <c r="AE3101">
        <v>0</v>
      </c>
      <c r="AF3101">
        <v>3</v>
      </c>
      <c r="AG3101">
        <v>2</v>
      </c>
      <c r="AH3101">
        <v>0</v>
      </c>
      <c r="AI3101" t="s">
        <v>1799</v>
      </c>
      <c r="AJ3101">
        <v>40.046132</v>
      </c>
      <c r="AK3101" t="s">
        <v>1800</v>
      </c>
      <c r="AL3101">
        <v>-92.884898000000007</v>
      </c>
      <c r="AM3101">
        <v>100</v>
      </c>
      <c r="AN3101">
        <v>1300</v>
      </c>
      <c r="AO3101" t="s">
        <v>118</v>
      </c>
      <c r="AP3101">
        <v>-119</v>
      </c>
      <c r="AQ3101">
        <v>63</v>
      </c>
      <c r="AR3101">
        <v>0</v>
      </c>
      <c r="AZ3101">
        <v>1200</v>
      </c>
      <c r="BA3101">
        <v>1</v>
      </c>
      <c r="BB3101" t="str">
        <f t="shared" si="149"/>
        <v xml:space="preserve">N8080G  </v>
      </c>
      <c r="BC3101">
        <v>1</v>
      </c>
      <c r="BE3101">
        <v>0</v>
      </c>
      <c r="BF3101">
        <v>0</v>
      </c>
      <c r="BG3101">
        <v>0</v>
      </c>
      <c r="BH3101">
        <v>1325</v>
      </c>
      <c r="BI3101">
        <v>1</v>
      </c>
      <c r="BJ3101">
        <v>1</v>
      </c>
      <c r="BK3101">
        <v>1</v>
      </c>
      <c r="BL3101">
        <v>0</v>
      </c>
      <c r="BO3101">
        <v>0</v>
      </c>
      <c r="BP3101">
        <v>0</v>
      </c>
      <c r="BW3101" t="str">
        <f>"20:31:16.177"</f>
        <v>20:31:16.177</v>
      </c>
      <c r="BZ3101">
        <v>0</v>
      </c>
      <c r="CA3101">
        <v>1600</v>
      </c>
      <c r="CB3101">
        <v>224</v>
      </c>
      <c r="CD3101">
        <v>1</v>
      </c>
      <c r="CE3101">
        <v>0</v>
      </c>
      <c r="CF3101">
        <v>0</v>
      </c>
      <c r="CG3101">
        <v>1</v>
      </c>
      <c r="CH3101">
        <v>0</v>
      </c>
      <c r="CI3101">
        <v>0</v>
      </c>
      <c r="CJ3101">
        <v>0</v>
      </c>
      <c r="CK3101">
        <v>2</v>
      </c>
      <c r="CL3101">
        <v>0</v>
      </c>
      <c r="CM3101">
        <v>2</v>
      </c>
      <c r="CN3101">
        <v>0</v>
      </c>
      <c r="CO3101">
        <v>7</v>
      </c>
      <c r="CP3101" t="s">
        <v>119</v>
      </c>
      <c r="CQ3101">
        <v>180</v>
      </c>
      <c r="CR3101">
        <v>3</v>
      </c>
      <c r="CW3101">
        <v>1067808</v>
      </c>
      <c r="CY3101">
        <v>1</v>
      </c>
      <c r="CZ3101">
        <v>0</v>
      </c>
      <c r="DA3101">
        <v>1</v>
      </c>
      <c r="DB3101">
        <v>0</v>
      </c>
      <c r="DC3101">
        <v>0</v>
      </c>
      <c r="DD3101">
        <v>0</v>
      </c>
      <c r="DE3101">
        <v>0</v>
      </c>
      <c r="DF3101">
        <v>0</v>
      </c>
      <c r="DG3101">
        <v>0</v>
      </c>
      <c r="DH3101">
        <v>0</v>
      </c>
      <c r="DI3101">
        <v>0</v>
      </c>
    </row>
    <row r="3102" spans="1:113" x14ac:dyDescent="0.3">
      <c r="A3102" t="str">
        <f>"02/08/2021 20:31:13.832"</f>
        <v>02/08/2021 20:31:13.832</v>
      </c>
      <c r="C3102" t="str">
        <f t="shared" si="148"/>
        <v>FFDFD7C0</v>
      </c>
      <c r="D3102" t="s">
        <v>113</v>
      </c>
      <c r="E3102">
        <v>6</v>
      </c>
      <c r="H3102">
        <v>165</v>
      </c>
      <c r="I3102" t="s">
        <v>114</v>
      </c>
      <c r="J3102" t="s">
        <v>115</v>
      </c>
      <c r="K3102">
        <v>0</v>
      </c>
      <c r="L3102">
        <v>3</v>
      </c>
      <c r="M3102">
        <v>0</v>
      </c>
      <c r="N3102">
        <v>2</v>
      </c>
      <c r="O3102">
        <v>1</v>
      </c>
      <c r="P3102">
        <v>0</v>
      </c>
      <c r="Q3102">
        <v>0</v>
      </c>
      <c r="S3102" t="str">
        <f>"20:31:16.172"</f>
        <v>20:31:16.172</v>
      </c>
      <c r="T3102" t="str">
        <f>"20:31:15.672"</f>
        <v>20:31:15.672</v>
      </c>
      <c r="U3102" t="str">
        <f t="shared" si="150"/>
        <v>AB01F4</v>
      </c>
      <c r="V3102">
        <v>0</v>
      </c>
      <c r="W3102">
        <v>0</v>
      </c>
      <c r="X3102">
        <v>2</v>
      </c>
      <c r="Z3102">
        <v>0</v>
      </c>
      <c r="AA3102">
        <v>9</v>
      </c>
      <c r="AB3102">
        <v>3</v>
      </c>
      <c r="AC3102">
        <v>0</v>
      </c>
      <c r="AD3102">
        <v>10</v>
      </c>
      <c r="AE3102">
        <v>0</v>
      </c>
      <c r="AF3102">
        <v>3</v>
      </c>
      <c r="AG3102">
        <v>2</v>
      </c>
      <c r="AH3102">
        <v>0</v>
      </c>
      <c r="AI3102" t="s">
        <v>1799</v>
      </c>
      <c r="AJ3102">
        <v>40.046132</v>
      </c>
      <c r="AK3102" t="s">
        <v>1800</v>
      </c>
      <c r="AL3102">
        <v>-92.884898000000007</v>
      </c>
      <c r="AM3102">
        <v>100</v>
      </c>
      <c r="AN3102">
        <v>1300</v>
      </c>
      <c r="AO3102" t="s">
        <v>118</v>
      </c>
      <c r="AP3102">
        <v>-119</v>
      </c>
      <c r="AQ3102">
        <v>63</v>
      </c>
      <c r="AR3102">
        <v>0</v>
      </c>
      <c r="AZ3102">
        <v>1200</v>
      </c>
      <c r="BA3102">
        <v>1</v>
      </c>
      <c r="BB3102" t="str">
        <f t="shared" si="149"/>
        <v xml:space="preserve">N8080G  </v>
      </c>
      <c r="BC3102">
        <v>1</v>
      </c>
      <c r="BE3102">
        <v>0</v>
      </c>
      <c r="BF3102">
        <v>0</v>
      </c>
      <c r="BG3102">
        <v>0</v>
      </c>
      <c r="BH3102">
        <v>1325</v>
      </c>
      <c r="BI3102">
        <v>1</v>
      </c>
      <c r="BJ3102">
        <v>1</v>
      </c>
      <c r="BK3102">
        <v>1</v>
      </c>
      <c r="BL3102">
        <v>0</v>
      </c>
      <c r="BO3102">
        <v>0</v>
      </c>
      <c r="BP3102">
        <v>0</v>
      </c>
      <c r="BW3102" t="str">
        <f>"20:31:16.177"</f>
        <v>20:31:16.177</v>
      </c>
      <c r="BZ3102">
        <v>0</v>
      </c>
      <c r="CA3102">
        <v>1600</v>
      </c>
      <c r="CB3102">
        <v>224</v>
      </c>
      <c r="CD3102">
        <v>1</v>
      </c>
      <c r="CE3102">
        <v>0</v>
      </c>
      <c r="CF3102">
        <v>0</v>
      </c>
      <c r="CG3102">
        <v>1</v>
      </c>
      <c r="CH3102">
        <v>0</v>
      </c>
      <c r="CI3102">
        <v>0</v>
      </c>
      <c r="CJ3102">
        <v>0</v>
      </c>
      <c r="CK3102">
        <v>2</v>
      </c>
      <c r="CL3102">
        <v>0</v>
      </c>
      <c r="CM3102">
        <v>2</v>
      </c>
      <c r="CN3102">
        <v>0</v>
      </c>
      <c r="CO3102">
        <v>7</v>
      </c>
      <c r="CP3102" t="s">
        <v>119</v>
      </c>
      <c r="CQ3102">
        <v>180</v>
      </c>
      <c r="CR3102">
        <v>3</v>
      </c>
      <c r="CW3102">
        <v>1067808</v>
      </c>
      <c r="CY3102">
        <v>1</v>
      </c>
      <c r="CZ3102">
        <v>0</v>
      </c>
      <c r="DA3102">
        <v>1</v>
      </c>
      <c r="DB3102">
        <v>0</v>
      </c>
      <c r="DC3102">
        <v>0</v>
      </c>
      <c r="DD3102">
        <v>0</v>
      </c>
      <c r="DE3102">
        <v>0</v>
      </c>
      <c r="DF3102">
        <v>0</v>
      </c>
      <c r="DG3102">
        <v>0</v>
      </c>
      <c r="DH3102">
        <v>0</v>
      </c>
      <c r="DI3102">
        <v>0</v>
      </c>
    </row>
    <row r="3103" spans="1:113" x14ac:dyDescent="0.3">
      <c r="A3103" t="str">
        <f>"02/08/2021 20:31:15.227"</f>
        <v>02/08/2021 20:31:15.227</v>
      </c>
      <c r="C3103" t="str">
        <f t="shared" si="148"/>
        <v>FFDFD7C0</v>
      </c>
      <c r="D3103" t="s">
        <v>113</v>
      </c>
      <c r="E3103">
        <v>6</v>
      </c>
      <c r="H3103">
        <v>165</v>
      </c>
      <c r="I3103" t="s">
        <v>114</v>
      </c>
      <c r="J3103" t="s">
        <v>115</v>
      </c>
      <c r="K3103">
        <v>0</v>
      </c>
      <c r="L3103">
        <v>3</v>
      </c>
      <c r="M3103">
        <v>0</v>
      </c>
      <c r="N3103">
        <v>2</v>
      </c>
      <c r="O3103">
        <v>1</v>
      </c>
      <c r="P3103">
        <v>0</v>
      </c>
      <c r="Q3103">
        <v>0</v>
      </c>
      <c r="S3103" t="str">
        <f>"20:31:17.563"</f>
        <v>20:31:17.563</v>
      </c>
      <c r="T3103" t="str">
        <f>"20:31:17.163"</f>
        <v>20:31:17.163</v>
      </c>
      <c r="U3103" t="str">
        <f t="shared" si="150"/>
        <v>AB01F4</v>
      </c>
      <c r="V3103">
        <v>0</v>
      </c>
      <c r="W3103">
        <v>0</v>
      </c>
      <c r="X3103">
        <v>2</v>
      </c>
      <c r="Z3103">
        <v>0</v>
      </c>
      <c r="AA3103">
        <v>9</v>
      </c>
      <c r="AB3103">
        <v>3</v>
      </c>
      <c r="AC3103">
        <v>0</v>
      </c>
      <c r="AD3103">
        <v>10</v>
      </c>
      <c r="AE3103">
        <v>0</v>
      </c>
      <c r="AF3103">
        <v>3</v>
      </c>
      <c r="AG3103">
        <v>2</v>
      </c>
      <c r="AH3103">
        <v>0</v>
      </c>
      <c r="AI3103" t="s">
        <v>1801</v>
      </c>
      <c r="AJ3103">
        <v>40.046495999999998</v>
      </c>
      <c r="AK3103" t="s">
        <v>1802</v>
      </c>
      <c r="AL3103">
        <v>-92.885928000000007</v>
      </c>
      <c r="AM3103">
        <v>100</v>
      </c>
      <c r="AN3103">
        <v>1300</v>
      </c>
      <c r="AO3103" t="s">
        <v>118</v>
      </c>
      <c r="AP3103">
        <v>-119</v>
      </c>
      <c r="AQ3103">
        <v>63</v>
      </c>
      <c r="AR3103">
        <v>64</v>
      </c>
      <c r="AZ3103">
        <v>1200</v>
      </c>
      <c r="BA3103">
        <v>1</v>
      </c>
      <c r="BB3103" t="str">
        <f t="shared" si="149"/>
        <v xml:space="preserve">N8080G  </v>
      </c>
      <c r="BC3103">
        <v>1</v>
      </c>
      <c r="BE3103">
        <v>0</v>
      </c>
      <c r="BF3103">
        <v>0</v>
      </c>
      <c r="BG3103">
        <v>0</v>
      </c>
      <c r="BH3103">
        <v>1325</v>
      </c>
      <c r="BI3103">
        <v>1</v>
      </c>
      <c r="BJ3103">
        <v>1</v>
      </c>
      <c r="BK3103">
        <v>1</v>
      </c>
      <c r="BL3103">
        <v>0</v>
      </c>
      <c r="BO3103">
        <v>0</v>
      </c>
      <c r="BP3103">
        <v>0</v>
      </c>
      <c r="BW3103" t="str">
        <f>"20:31:17.568"</f>
        <v>20:31:17.568</v>
      </c>
      <c r="BZ3103">
        <v>0</v>
      </c>
      <c r="CA3103">
        <v>1600</v>
      </c>
      <c r="CB3103">
        <v>224</v>
      </c>
      <c r="CD3103">
        <v>1</v>
      </c>
      <c r="CE3103">
        <v>0</v>
      </c>
      <c r="CF3103">
        <v>0</v>
      </c>
      <c r="CG3103">
        <v>1</v>
      </c>
      <c r="CH3103">
        <v>0</v>
      </c>
      <c r="CI3103">
        <v>0</v>
      </c>
      <c r="CJ3103">
        <v>0</v>
      </c>
      <c r="CK3103">
        <v>2</v>
      </c>
      <c r="CL3103">
        <v>0</v>
      </c>
      <c r="CM3103">
        <v>2</v>
      </c>
      <c r="CN3103">
        <v>0</v>
      </c>
      <c r="CO3103">
        <v>7</v>
      </c>
      <c r="CP3103" t="s">
        <v>119</v>
      </c>
      <c r="CQ3103">
        <v>180</v>
      </c>
      <c r="CR3103">
        <v>2</v>
      </c>
      <c r="CW3103">
        <v>8721604</v>
      </c>
      <c r="CY3103">
        <v>1</v>
      </c>
      <c r="CZ3103">
        <v>0</v>
      </c>
      <c r="DA3103">
        <v>0</v>
      </c>
      <c r="DB3103">
        <v>0</v>
      </c>
      <c r="DC3103">
        <v>0</v>
      </c>
      <c r="DD3103">
        <v>0</v>
      </c>
      <c r="DE3103">
        <v>0</v>
      </c>
      <c r="DF3103">
        <v>0</v>
      </c>
      <c r="DG3103">
        <v>0</v>
      </c>
      <c r="DH3103">
        <v>0</v>
      </c>
      <c r="DI3103">
        <v>0</v>
      </c>
    </row>
    <row r="3104" spans="1:113" x14ac:dyDescent="0.3">
      <c r="A3104" t="str">
        <f>"02/08/2021 20:31:15.227"</f>
        <v>02/08/2021 20:31:15.227</v>
      </c>
      <c r="C3104" t="str">
        <f t="shared" si="148"/>
        <v>FFDFD7C0</v>
      </c>
      <c r="D3104" t="s">
        <v>124</v>
      </c>
      <c r="E3104">
        <v>11</v>
      </c>
      <c r="F3104">
        <v>1011</v>
      </c>
      <c r="G3104" t="s">
        <v>590</v>
      </c>
      <c r="J3104" t="s">
        <v>125</v>
      </c>
      <c r="K3104">
        <v>0</v>
      </c>
      <c r="L3104">
        <v>3</v>
      </c>
      <c r="M3104">
        <v>0</v>
      </c>
      <c r="N3104">
        <v>2</v>
      </c>
      <c r="O3104">
        <v>1</v>
      </c>
      <c r="P3104">
        <v>0</v>
      </c>
      <c r="Q3104">
        <v>0</v>
      </c>
      <c r="S3104" t="str">
        <f>"20:31:17.563"</f>
        <v>20:31:17.563</v>
      </c>
      <c r="T3104" t="str">
        <f>"20:31:17.163"</f>
        <v>20:31:17.163</v>
      </c>
      <c r="U3104" t="str">
        <f t="shared" si="150"/>
        <v>AB01F4</v>
      </c>
      <c r="V3104">
        <v>0</v>
      </c>
      <c r="W3104">
        <v>0</v>
      </c>
      <c r="X3104">
        <v>2</v>
      </c>
      <c r="Z3104">
        <v>0</v>
      </c>
      <c r="AA3104">
        <v>9</v>
      </c>
      <c r="AB3104">
        <v>3</v>
      </c>
      <c r="AC3104">
        <v>0</v>
      </c>
      <c r="AD3104">
        <v>10</v>
      </c>
      <c r="AE3104">
        <v>0</v>
      </c>
      <c r="AF3104">
        <v>3</v>
      </c>
      <c r="AG3104">
        <v>2</v>
      </c>
      <c r="AH3104">
        <v>0</v>
      </c>
      <c r="AI3104" t="s">
        <v>1801</v>
      </c>
      <c r="AJ3104">
        <v>40.046495999999998</v>
      </c>
      <c r="AK3104" t="s">
        <v>1802</v>
      </c>
      <c r="AL3104">
        <v>-92.885928000000007</v>
      </c>
      <c r="AM3104">
        <v>100</v>
      </c>
      <c r="AN3104">
        <v>1300</v>
      </c>
      <c r="AO3104" t="s">
        <v>118</v>
      </c>
      <c r="AP3104">
        <v>-119</v>
      </c>
      <c r="AQ3104">
        <v>63</v>
      </c>
      <c r="AR3104">
        <v>64</v>
      </c>
      <c r="AZ3104">
        <v>1200</v>
      </c>
      <c r="BA3104">
        <v>1</v>
      </c>
      <c r="BB3104" t="str">
        <f t="shared" si="149"/>
        <v xml:space="preserve">N8080G  </v>
      </c>
      <c r="BC3104">
        <v>1</v>
      </c>
      <c r="BE3104">
        <v>0</v>
      </c>
      <c r="BF3104">
        <v>0</v>
      </c>
      <c r="BG3104">
        <v>0</v>
      </c>
      <c r="BH3104">
        <v>1325</v>
      </c>
      <c r="BI3104">
        <v>1</v>
      </c>
      <c r="BJ3104">
        <v>1</v>
      </c>
      <c r="BK3104">
        <v>1</v>
      </c>
      <c r="BL3104">
        <v>0</v>
      </c>
      <c r="BO3104">
        <v>0</v>
      </c>
      <c r="BP3104">
        <v>0</v>
      </c>
      <c r="BW3104" t="str">
        <f>"20:31:17.568"</f>
        <v>20:31:17.568</v>
      </c>
      <c r="BZ3104">
        <v>0</v>
      </c>
      <c r="CA3104">
        <v>1600</v>
      </c>
      <c r="CB3104">
        <v>224</v>
      </c>
      <c r="CD3104">
        <v>1</v>
      </c>
      <c r="CE3104">
        <v>0</v>
      </c>
      <c r="CF3104">
        <v>0</v>
      </c>
      <c r="CG3104">
        <v>1</v>
      </c>
      <c r="CH3104">
        <v>0</v>
      </c>
      <c r="CI3104">
        <v>0</v>
      </c>
      <c r="CJ3104">
        <v>0</v>
      </c>
      <c r="CK3104">
        <v>2</v>
      </c>
      <c r="CL3104">
        <v>0</v>
      </c>
      <c r="CM3104">
        <v>2</v>
      </c>
      <c r="CN3104">
        <v>0</v>
      </c>
      <c r="CO3104">
        <v>7</v>
      </c>
      <c r="CP3104" t="s">
        <v>119</v>
      </c>
      <c r="CQ3104">
        <v>180</v>
      </c>
      <c r="CR3104">
        <v>2</v>
      </c>
      <c r="CW3104">
        <v>8721604</v>
      </c>
      <c r="CY3104">
        <v>1</v>
      </c>
      <c r="CZ3104">
        <v>0</v>
      </c>
      <c r="DA3104">
        <v>1</v>
      </c>
      <c r="DB3104">
        <v>0</v>
      </c>
      <c r="DC3104">
        <v>0</v>
      </c>
      <c r="DD3104">
        <v>0</v>
      </c>
      <c r="DE3104">
        <v>0</v>
      </c>
      <c r="DF3104">
        <v>0</v>
      </c>
      <c r="DG3104">
        <v>0</v>
      </c>
      <c r="DH3104">
        <v>0</v>
      </c>
      <c r="DI3104">
        <v>0</v>
      </c>
    </row>
    <row r="3105" spans="1:113" x14ac:dyDescent="0.3">
      <c r="A3105" t="str">
        <f>"02/08/2021 20:31:15.227"</f>
        <v>02/08/2021 20:31:15.227</v>
      </c>
      <c r="C3105" t="str">
        <f t="shared" si="148"/>
        <v>FFDFD7C0</v>
      </c>
      <c r="D3105" t="s">
        <v>124</v>
      </c>
      <c r="E3105">
        <v>12</v>
      </c>
      <c r="F3105">
        <v>1012</v>
      </c>
      <c r="G3105" t="s">
        <v>675</v>
      </c>
      <c r="J3105" t="s">
        <v>125</v>
      </c>
      <c r="K3105">
        <v>0</v>
      </c>
      <c r="L3105">
        <v>3</v>
      </c>
      <c r="M3105">
        <v>0</v>
      </c>
      <c r="N3105">
        <v>2</v>
      </c>
      <c r="O3105">
        <v>1</v>
      </c>
      <c r="P3105">
        <v>0</v>
      </c>
      <c r="Q3105">
        <v>0</v>
      </c>
      <c r="S3105" t="str">
        <f>"20:31:17.563"</f>
        <v>20:31:17.563</v>
      </c>
      <c r="T3105" t="str">
        <f>"20:31:17.163"</f>
        <v>20:31:17.163</v>
      </c>
      <c r="U3105" t="str">
        <f t="shared" si="150"/>
        <v>AB01F4</v>
      </c>
      <c r="V3105">
        <v>0</v>
      </c>
      <c r="W3105">
        <v>0</v>
      </c>
      <c r="X3105">
        <v>2</v>
      </c>
      <c r="Z3105">
        <v>0</v>
      </c>
      <c r="AA3105">
        <v>9</v>
      </c>
      <c r="AB3105">
        <v>3</v>
      </c>
      <c r="AC3105">
        <v>0</v>
      </c>
      <c r="AD3105">
        <v>10</v>
      </c>
      <c r="AE3105">
        <v>0</v>
      </c>
      <c r="AF3105">
        <v>3</v>
      </c>
      <c r="AG3105">
        <v>2</v>
      </c>
      <c r="AH3105">
        <v>0</v>
      </c>
      <c r="AI3105" t="s">
        <v>1801</v>
      </c>
      <c r="AJ3105">
        <v>40.046495999999998</v>
      </c>
      <c r="AK3105" t="s">
        <v>1802</v>
      </c>
      <c r="AL3105">
        <v>-92.885928000000007</v>
      </c>
      <c r="AM3105">
        <v>100</v>
      </c>
      <c r="AN3105">
        <v>1300</v>
      </c>
      <c r="AO3105" t="s">
        <v>118</v>
      </c>
      <c r="AP3105">
        <v>-119</v>
      </c>
      <c r="AQ3105">
        <v>63</v>
      </c>
      <c r="AR3105">
        <v>64</v>
      </c>
      <c r="AZ3105">
        <v>1200</v>
      </c>
      <c r="BA3105">
        <v>1</v>
      </c>
      <c r="BB3105" t="str">
        <f t="shared" si="149"/>
        <v xml:space="preserve">N8080G  </v>
      </c>
      <c r="BC3105">
        <v>1</v>
      </c>
      <c r="BE3105">
        <v>0</v>
      </c>
      <c r="BF3105">
        <v>0</v>
      </c>
      <c r="BG3105">
        <v>0</v>
      </c>
      <c r="BH3105">
        <v>1325</v>
      </c>
      <c r="BI3105">
        <v>1</v>
      </c>
      <c r="BJ3105">
        <v>1</v>
      </c>
      <c r="BK3105">
        <v>1</v>
      </c>
      <c r="BL3105">
        <v>0</v>
      </c>
      <c r="BO3105">
        <v>0</v>
      </c>
      <c r="BP3105">
        <v>0</v>
      </c>
      <c r="BW3105" t="str">
        <f>"20:31:17.568"</f>
        <v>20:31:17.568</v>
      </c>
      <c r="BZ3105">
        <v>0</v>
      </c>
      <c r="CA3105">
        <v>1600</v>
      </c>
      <c r="CB3105">
        <v>224</v>
      </c>
      <c r="CD3105">
        <v>1</v>
      </c>
      <c r="CE3105">
        <v>0</v>
      </c>
      <c r="CF3105">
        <v>0</v>
      </c>
      <c r="CG3105">
        <v>1</v>
      </c>
      <c r="CH3105">
        <v>0</v>
      </c>
      <c r="CI3105">
        <v>0</v>
      </c>
      <c r="CJ3105">
        <v>0</v>
      </c>
      <c r="CK3105">
        <v>2</v>
      </c>
      <c r="CL3105">
        <v>0</v>
      </c>
      <c r="CM3105">
        <v>2</v>
      </c>
      <c r="CN3105">
        <v>0</v>
      </c>
      <c r="CO3105">
        <v>7</v>
      </c>
      <c r="CP3105" t="s">
        <v>119</v>
      </c>
      <c r="CQ3105">
        <v>180</v>
      </c>
      <c r="CR3105">
        <v>2</v>
      </c>
      <c r="CW3105">
        <v>8721604</v>
      </c>
      <c r="CY3105">
        <v>1</v>
      </c>
      <c r="CZ3105">
        <v>0</v>
      </c>
      <c r="DA3105">
        <v>1</v>
      </c>
      <c r="DB3105">
        <v>0</v>
      </c>
      <c r="DC3105">
        <v>0</v>
      </c>
      <c r="DD3105">
        <v>0</v>
      </c>
      <c r="DE3105">
        <v>0</v>
      </c>
      <c r="DF3105">
        <v>0</v>
      </c>
      <c r="DG3105">
        <v>0</v>
      </c>
      <c r="DH3105">
        <v>0</v>
      </c>
      <c r="DI3105">
        <v>0</v>
      </c>
    </row>
    <row r="3106" spans="1:113" x14ac:dyDescent="0.3">
      <c r="A3106" t="str">
        <f>"02/08/2021 20:31:15.227"</f>
        <v>02/08/2021 20:31:15.227</v>
      </c>
      <c r="C3106" t="str">
        <f t="shared" si="148"/>
        <v>FFDFD7C0</v>
      </c>
      <c r="D3106" t="s">
        <v>124</v>
      </c>
      <c r="E3106">
        <v>13</v>
      </c>
      <c r="F3106">
        <v>1013</v>
      </c>
      <c r="G3106" t="s">
        <v>114</v>
      </c>
      <c r="J3106" t="s">
        <v>125</v>
      </c>
      <c r="K3106">
        <v>0</v>
      </c>
      <c r="L3106">
        <v>3</v>
      </c>
      <c r="M3106">
        <v>0</v>
      </c>
      <c r="N3106">
        <v>2</v>
      </c>
      <c r="O3106">
        <v>1</v>
      </c>
      <c r="P3106">
        <v>0</v>
      </c>
      <c r="Q3106">
        <v>0</v>
      </c>
      <c r="S3106" t="str">
        <f>"20:31:17.563"</f>
        <v>20:31:17.563</v>
      </c>
      <c r="T3106" t="str">
        <f>"20:31:17.163"</f>
        <v>20:31:17.163</v>
      </c>
      <c r="U3106" t="str">
        <f t="shared" si="150"/>
        <v>AB01F4</v>
      </c>
      <c r="V3106">
        <v>0</v>
      </c>
      <c r="W3106">
        <v>0</v>
      </c>
      <c r="X3106">
        <v>2</v>
      </c>
      <c r="Z3106">
        <v>0</v>
      </c>
      <c r="AA3106">
        <v>9</v>
      </c>
      <c r="AB3106">
        <v>3</v>
      </c>
      <c r="AC3106">
        <v>0</v>
      </c>
      <c r="AD3106">
        <v>10</v>
      </c>
      <c r="AE3106">
        <v>0</v>
      </c>
      <c r="AF3106">
        <v>3</v>
      </c>
      <c r="AG3106">
        <v>2</v>
      </c>
      <c r="AH3106">
        <v>0</v>
      </c>
      <c r="AI3106" t="s">
        <v>1801</v>
      </c>
      <c r="AJ3106">
        <v>40.046495999999998</v>
      </c>
      <c r="AK3106" t="s">
        <v>1802</v>
      </c>
      <c r="AL3106">
        <v>-92.885928000000007</v>
      </c>
      <c r="AM3106">
        <v>100</v>
      </c>
      <c r="AN3106">
        <v>1300</v>
      </c>
      <c r="AO3106" t="s">
        <v>118</v>
      </c>
      <c r="AP3106">
        <v>-119</v>
      </c>
      <c r="AQ3106">
        <v>63</v>
      </c>
      <c r="AR3106">
        <v>64</v>
      </c>
      <c r="AZ3106">
        <v>1200</v>
      </c>
      <c r="BA3106">
        <v>1</v>
      </c>
      <c r="BB3106" t="str">
        <f t="shared" si="149"/>
        <v xml:space="preserve">N8080G  </v>
      </c>
      <c r="BC3106">
        <v>1</v>
      </c>
      <c r="BE3106">
        <v>0</v>
      </c>
      <c r="BF3106">
        <v>0</v>
      </c>
      <c r="BG3106">
        <v>0</v>
      </c>
      <c r="BH3106">
        <v>1325</v>
      </c>
      <c r="BI3106">
        <v>1</v>
      </c>
      <c r="BJ3106">
        <v>1</v>
      </c>
      <c r="BK3106">
        <v>1</v>
      </c>
      <c r="BL3106">
        <v>0</v>
      </c>
      <c r="BO3106">
        <v>0</v>
      </c>
      <c r="BP3106">
        <v>0</v>
      </c>
      <c r="BW3106" t="str">
        <f>"20:31:17.568"</f>
        <v>20:31:17.568</v>
      </c>
      <c r="BZ3106">
        <v>0</v>
      </c>
      <c r="CA3106">
        <v>1600</v>
      </c>
      <c r="CB3106">
        <v>224</v>
      </c>
      <c r="CD3106">
        <v>1</v>
      </c>
      <c r="CE3106">
        <v>0</v>
      </c>
      <c r="CF3106">
        <v>0</v>
      </c>
      <c r="CG3106">
        <v>1</v>
      </c>
      <c r="CH3106">
        <v>0</v>
      </c>
      <c r="CI3106">
        <v>0</v>
      </c>
      <c r="CJ3106">
        <v>0</v>
      </c>
      <c r="CK3106">
        <v>2</v>
      </c>
      <c r="CL3106">
        <v>0</v>
      </c>
      <c r="CM3106">
        <v>2</v>
      </c>
      <c r="CN3106">
        <v>0</v>
      </c>
      <c r="CO3106">
        <v>7</v>
      </c>
      <c r="CP3106" t="s">
        <v>119</v>
      </c>
      <c r="CQ3106">
        <v>180</v>
      </c>
      <c r="CR3106">
        <v>2</v>
      </c>
      <c r="CW3106">
        <v>8721604</v>
      </c>
      <c r="CY3106">
        <v>1</v>
      </c>
      <c r="CZ3106">
        <v>0</v>
      </c>
      <c r="DA3106">
        <v>1</v>
      </c>
      <c r="DB3106">
        <v>0</v>
      </c>
      <c r="DC3106">
        <v>0</v>
      </c>
      <c r="DD3106">
        <v>0</v>
      </c>
      <c r="DE3106">
        <v>0</v>
      </c>
      <c r="DF3106">
        <v>0</v>
      </c>
      <c r="DG3106">
        <v>0</v>
      </c>
      <c r="DH3106">
        <v>0</v>
      </c>
      <c r="DI3106">
        <v>0</v>
      </c>
    </row>
    <row r="3107" spans="1:113" x14ac:dyDescent="0.3">
      <c r="A3107" t="str">
        <f>"02/08/2021 20:31:16.289"</f>
        <v>02/08/2021 20:31:16.289</v>
      </c>
      <c r="C3107" t="str">
        <f t="shared" si="148"/>
        <v>FFDFD7C0</v>
      </c>
      <c r="D3107" t="s">
        <v>113</v>
      </c>
      <c r="E3107">
        <v>6</v>
      </c>
      <c r="H3107">
        <v>165</v>
      </c>
      <c r="I3107" t="s">
        <v>114</v>
      </c>
      <c r="J3107" t="s">
        <v>115</v>
      </c>
      <c r="K3107">
        <v>0</v>
      </c>
      <c r="L3107">
        <v>3</v>
      </c>
      <c r="M3107">
        <v>0</v>
      </c>
      <c r="N3107">
        <v>2</v>
      </c>
      <c r="O3107">
        <v>1</v>
      </c>
      <c r="P3107">
        <v>0</v>
      </c>
      <c r="Q3107">
        <v>0</v>
      </c>
      <c r="S3107" t="str">
        <f>"20:31:18.633"</f>
        <v>20:31:18.633</v>
      </c>
      <c r="T3107" t="str">
        <f>"20:31:18.133"</f>
        <v>20:31:18.133</v>
      </c>
      <c r="U3107" t="str">
        <f t="shared" si="150"/>
        <v>AB01F4</v>
      </c>
      <c r="V3107">
        <v>0</v>
      </c>
      <c r="W3107">
        <v>0</v>
      </c>
      <c r="X3107">
        <v>2</v>
      </c>
      <c r="Z3107">
        <v>0</v>
      </c>
      <c r="AA3107">
        <v>9</v>
      </c>
      <c r="AB3107">
        <v>3</v>
      </c>
      <c r="AC3107">
        <v>0</v>
      </c>
      <c r="AD3107">
        <v>10</v>
      </c>
      <c r="AE3107">
        <v>0</v>
      </c>
      <c r="AF3107">
        <v>3</v>
      </c>
      <c r="AG3107">
        <v>2</v>
      </c>
      <c r="AH3107">
        <v>0</v>
      </c>
      <c r="AI3107" t="s">
        <v>1803</v>
      </c>
      <c r="AJ3107">
        <v>40.046840000000003</v>
      </c>
      <c r="AK3107" t="s">
        <v>1804</v>
      </c>
      <c r="AL3107">
        <v>-92.886722000000006</v>
      </c>
      <c r="AM3107">
        <v>100</v>
      </c>
      <c r="AN3107">
        <v>1300</v>
      </c>
      <c r="AO3107" t="s">
        <v>118</v>
      </c>
      <c r="AP3107">
        <v>-119</v>
      </c>
      <c r="AQ3107">
        <v>62</v>
      </c>
      <c r="AR3107">
        <v>0</v>
      </c>
      <c r="AZ3107">
        <v>1200</v>
      </c>
      <c r="BA3107">
        <v>1</v>
      </c>
      <c r="BB3107" t="str">
        <f t="shared" si="149"/>
        <v xml:space="preserve">N8080G  </v>
      </c>
      <c r="BC3107">
        <v>1</v>
      </c>
      <c r="BE3107">
        <v>0</v>
      </c>
      <c r="BF3107">
        <v>0</v>
      </c>
      <c r="BG3107">
        <v>0</v>
      </c>
      <c r="BH3107">
        <v>1325</v>
      </c>
      <c r="BI3107">
        <v>1</v>
      </c>
      <c r="BJ3107">
        <v>1</v>
      </c>
      <c r="BK3107">
        <v>1</v>
      </c>
      <c r="BL3107">
        <v>0</v>
      </c>
      <c r="BO3107">
        <v>0</v>
      </c>
      <c r="BP3107">
        <v>0</v>
      </c>
      <c r="BW3107" t="str">
        <f>"20:31:18.639"</f>
        <v>20:31:18.639</v>
      </c>
      <c r="BZ3107">
        <v>0</v>
      </c>
      <c r="CA3107">
        <v>1600</v>
      </c>
      <c r="CB3107">
        <v>224</v>
      </c>
      <c r="CD3107">
        <v>1</v>
      </c>
      <c r="CE3107">
        <v>0</v>
      </c>
      <c r="CF3107">
        <v>0</v>
      </c>
      <c r="CG3107">
        <v>1</v>
      </c>
      <c r="CH3107">
        <v>0</v>
      </c>
      <c r="CI3107">
        <v>0</v>
      </c>
      <c r="CJ3107">
        <v>0</v>
      </c>
      <c r="CK3107">
        <v>2</v>
      </c>
      <c r="CL3107">
        <v>0</v>
      </c>
      <c r="CM3107">
        <v>2</v>
      </c>
      <c r="CN3107">
        <v>0</v>
      </c>
      <c r="CO3107">
        <v>7</v>
      </c>
      <c r="CP3107" t="s">
        <v>119</v>
      </c>
      <c r="CQ3107">
        <v>180</v>
      </c>
      <c r="CR3107">
        <v>3</v>
      </c>
      <c r="CW3107">
        <v>1069736</v>
      </c>
      <c r="CY3107">
        <v>1</v>
      </c>
      <c r="CZ3107">
        <v>0</v>
      </c>
      <c r="DA3107">
        <v>0</v>
      </c>
      <c r="DB3107">
        <v>0</v>
      </c>
      <c r="DC3107">
        <v>0</v>
      </c>
      <c r="DD3107">
        <v>0</v>
      </c>
      <c r="DE3107">
        <v>0</v>
      </c>
      <c r="DF3107">
        <v>0</v>
      </c>
      <c r="DG3107">
        <v>0</v>
      </c>
      <c r="DH3107">
        <v>0</v>
      </c>
      <c r="DI3107">
        <v>0</v>
      </c>
    </row>
    <row r="3108" spans="1:113" x14ac:dyDescent="0.3">
      <c r="A3108" t="str">
        <f>"02/08/2021 20:31:16.289"</f>
        <v>02/08/2021 20:31:16.289</v>
      </c>
      <c r="C3108" t="str">
        <f t="shared" si="148"/>
        <v>FFDFD7C0</v>
      </c>
      <c r="D3108" t="s">
        <v>124</v>
      </c>
      <c r="E3108">
        <v>11</v>
      </c>
      <c r="F3108">
        <v>1011</v>
      </c>
      <c r="G3108" t="s">
        <v>590</v>
      </c>
      <c r="J3108" t="s">
        <v>125</v>
      </c>
      <c r="K3108">
        <v>0</v>
      </c>
      <c r="L3108">
        <v>3</v>
      </c>
      <c r="M3108">
        <v>0</v>
      </c>
      <c r="N3108">
        <v>2</v>
      </c>
      <c r="O3108">
        <v>1</v>
      </c>
      <c r="P3108">
        <v>0</v>
      </c>
      <c r="Q3108">
        <v>0</v>
      </c>
      <c r="S3108" t="str">
        <f>"20:31:18.633"</f>
        <v>20:31:18.633</v>
      </c>
      <c r="T3108" t="str">
        <f>"20:31:18.133"</f>
        <v>20:31:18.133</v>
      </c>
      <c r="U3108" t="str">
        <f t="shared" si="150"/>
        <v>AB01F4</v>
      </c>
      <c r="V3108">
        <v>0</v>
      </c>
      <c r="W3108">
        <v>0</v>
      </c>
      <c r="X3108">
        <v>2</v>
      </c>
      <c r="Z3108">
        <v>0</v>
      </c>
      <c r="AA3108">
        <v>9</v>
      </c>
      <c r="AB3108">
        <v>3</v>
      </c>
      <c r="AC3108">
        <v>0</v>
      </c>
      <c r="AD3108">
        <v>10</v>
      </c>
      <c r="AE3108">
        <v>0</v>
      </c>
      <c r="AF3108">
        <v>3</v>
      </c>
      <c r="AG3108">
        <v>2</v>
      </c>
      <c r="AH3108">
        <v>0</v>
      </c>
      <c r="AI3108" t="s">
        <v>1803</v>
      </c>
      <c r="AJ3108">
        <v>40.046840000000003</v>
      </c>
      <c r="AK3108" t="s">
        <v>1804</v>
      </c>
      <c r="AL3108">
        <v>-92.886722000000006</v>
      </c>
      <c r="AM3108">
        <v>100</v>
      </c>
      <c r="AN3108">
        <v>1300</v>
      </c>
      <c r="AO3108" t="s">
        <v>118</v>
      </c>
      <c r="AP3108">
        <v>-119</v>
      </c>
      <c r="AQ3108">
        <v>62</v>
      </c>
      <c r="AR3108">
        <v>0</v>
      </c>
      <c r="AZ3108">
        <v>1200</v>
      </c>
      <c r="BA3108">
        <v>1</v>
      </c>
      <c r="BB3108" t="str">
        <f t="shared" si="149"/>
        <v xml:space="preserve">N8080G  </v>
      </c>
      <c r="BC3108">
        <v>1</v>
      </c>
      <c r="BE3108">
        <v>0</v>
      </c>
      <c r="BF3108">
        <v>0</v>
      </c>
      <c r="BG3108">
        <v>0</v>
      </c>
      <c r="BH3108">
        <v>1325</v>
      </c>
      <c r="BI3108">
        <v>1</v>
      </c>
      <c r="BJ3108">
        <v>1</v>
      </c>
      <c r="BK3108">
        <v>1</v>
      </c>
      <c r="BL3108">
        <v>0</v>
      </c>
      <c r="BO3108">
        <v>0</v>
      </c>
      <c r="BP3108">
        <v>0</v>
      </c>
      <c r="BW3108" t="str">
        <f>"20:31:18.639"</f>
        <v>20:31:18.639</v>
      </c>
      <c r="BZ3108">
        <v>0</v>
      </c>
      <c r="CA3108">
        <v>1600</v>
      </c>
      <c r="CB3108">
        <v>224</v>
      </c>
      <c r="CD3108">
        <v>1</v>
      </c>
      <c r="CE3108">
        <v>0</v>
      </c>
      <c r="CF3108">
        <v>0</v>
      </c>
      <c r="CG3108">
        <v>1</v>
      </c>
      <c r="CH3108">
        <v>0</v>
      </c>
      <c r="CI3108">
        <v>0</v>
      </c>
      <c r="CJ3108">
        <v>0</v>
      </c>
      <c r="CK3108">
        <v>2</v>
      </c>
      <c r="CL3108">
        <v>0</v>
      </c>
      <c r="CM3108">
        <v>2</v>
      </c>
      <c r="CN3108">
        <v>0</v>
      </c>
      <c r="CO3108">
        <v>7</v>
      </c>
      <c r="CP3108" t="s">
        <v>119</v>
      </c>
      <c r="CQ3108">
        <v>180</v>
      </c>
      <c r="CR3108">
        <v>3</v>
      </c>
      <c r="CW3108">
        <v>1069736</v>
      </c>
      <c r="CY3108">
        <v>1</v>
      </c>
      <c r="CZ3108">
        <v>0</v>
      </c>
      <c r="DA3108">
        <v>1</v>
      </c>
      <c r="DB3108">
        <v>0</v>
      </c>
      <c r="DC3108">
        <v>0</v>
      </c>
      <c r="DD3108">
        <v>0</v>
      </c>
      <c r="DE3108">
        <v>0</v>
      </c>
      <c r="DF3108">
        <v>0</v>
      </c>
      <c r="DG3108">
        <v>0</v>
      </c>
      <c r="DH3108">
        <v>0</v>
      </c>
      <c r="DI3108">
        <v>0</v>
      </c>
    </row>
    <row r="3109" spans="1:113" x14ac:dyDescent="0.3">
      <c r="A3109" t="str">
        <f>"02/08/2021 20:31:16.289"</f>
        <v>02/08/2021 20:31:16.289</v>
      </c>
      <c r="C3109" t="str">
        <f t="shared" si="148"/>
        <v>FFDFD7C0</v>
      </c>
      <c r="D3109" t="s">
        <v>124</v>
      </c>
      <c r="E3109">
        <v>12</v>
      </c>
      <c r="F3109">
        <v>1012</v>
      </c>
      <c r="G3109" t="s">
        <v>675</v>
      </c>
      <c r="J3109" t="s">
        <v>125</v>
      </c>
      <c r="K3109">
        <v>0</v>
      </c>
      <c r="L3109">
        <v>3</v>
      </c>
      <c r="M3109">
        <v>0</v>
      </c>
      <c r="N3109">
        <v>2</v>
      </c>
      <c r="O3109">
        <v>1</v>
      </c>
      <c r="P3109">
        <v>0</v>
      </c>
      <c r="Q3109">
        <v>0</v>
      </c>
      <c r="S3109" t="str">
        <f>"20:31:18.633"</f>
        <v>20:31:18.633</v>
      </c>
      <c r="T3109" t="str">
        <f>"20:31:18.133"</f>
        <v>20:31:18.133</v>
      </c>
      <c r="U3109" t="str">
        <f t="shared" si="150"/>
        <v>AB01F4</v>
      </c>
      <c r="V3109">
        <v>0</v>
      </c>
      <c r="W3109">
        <v>0</v>
      </c>
      <c r="X3109">
        <v>2</v>
      </c>
      <c r="Z3109">
        <v>0</v>
      </c>
      <c r="AA3109">
        <v>9</v>
      </c>
      <c r="AB3109">
        <v>3</v>
      </c>
      <c r="AC3109">
        <v>0</v>
      </c>
      <c r="AD3109">
        <v>10</v>
      </c>
      <c r="AE3109">
        <v>0</v>
      </c>
      <c r="AF3109">
        <v>3</v>
      </c>
      <c r="AG3109">
        <v>2</v>
      </c>
      <c r="AH3109">
        <v>0</v>
      </c>
      <c r="AI3109" t="s">
        <v>1803</v>
      </c>
      <c r="AJ3109">
        <v>40.046840000000003</v>
      </c>
      <c r="AK3109" t="s">
        <v>1804</v>
      </c>
      <c r="AL3109">
        <v>-92.886722000000006</v>
      </c>
      <c r="AM3109">
        <v>100</v>
      </c>
      <c r="AN3109">
        <v>1300</v>
      </c>
      <c r="AO3109" t="s">
        <v>118</v>
      </c>
      <c r="AP3109">
        <v>-119</v>
      </c>
      <c r="AQ3109">
        <v>62</v>
      </c>
      <c r="AR3109">
        <v>0</v>
      </c>
      <c r="AZ3109">
        <v>1200</v>
      </c>
      <c r="BA3109">
        <v>1</v>
      </c>
      <c r="BB3109" t="str">
        <f t="shared" si="149"/>
        <v xml:space="preserve">N8080G  </v>
      </c>
      <c r="BC3109">
        <v>1</v>
      </c>
      <c r="BE3109">
        <v>0</v>
      </c>
      <c r="BF3109">
        <v>0</v>
      </c>
      <c r="BG3109">
        <v>0</v>
      </c>
      <c r="BH3109">
        <v>1325</v>
      </c>
      <c r="BI3109">
        <v>1</v>
      </c>
      <c r="BJ3109">
        <v>1</v>
      </c>
      <c r="BK3109">
        <v>1</v>
      </c>
      <c r="BL3109">
        <v>0</v>
      </c>
      <c r="BO3109">
        <v>0</v>
      </c>
      <c r="BP3109">
        <v>0</v>
      </c>
      <c r="BW3109" t="str">
        <f>"20:31:18.639"</f>
        <v>20:31:18.639</v>
      </c>
      <c r="BZ3109">
        <v>0</v>
      </c>
      <c r="CA3109">
        <v>1600</v>
      </c>
      <c r="CB3109">
        <v>224</v>
      </c>
      <c r="CD3109">
        <v>1</v>
      </c>
      <c r="CE3109">
        <v>0</v>
      </c>
      <c r="CF3109">
        <v>0</v>
      </c>
      <c r="CG3109">
        <v>1</v>
      </c>
      <c r="CH3109">
        <v>0</v>
      </c>
      <c r="CI3109">
        <v>0</v>
      </c>
      <c r="CJ3109">
        <v>0</v>
      </c>
      <c r="CK3109">
        <v>2</v>
      </c>
      <c r="CL3109">
        <v>0</v>
      </c>
      <c r="CM3109">
        <v>2</v>
      </c>
      <c r="CN3109">
        <v>0</v>
      </c>
      <c r="CO3109">
        <v>7</v>
      </c>
      <c r="CP3109" t="s">
        <v>119</v>
      </c>
      <c r="CQ3109">
        <v>180</v>
      </c>
      <c r="CR3109">
        <v>3</v>
      </c>
      <c r="CW3109">
        <v>1069736</v>
      </c>
      <c r="CY3109">
        <v>1</v>
      </c>
      <c r="CZ3109">
        <v>0</v>
      </c>
      <c r="DA3109">
        <v>1</v>
      </c>
      <c r="DB3109">
        <v>0</v>
      </c>
      <c r="DC3109">
        <v>0</v>
      </c>
      <c r="DD3109">
        <v>0</v>
      </c>
      <c r="DE3109">
        <v>0</v>
      </c>
      <c r="DF3109">
        <v>0</v>
      </c>
      <c r="DG3109">
        <v>0</v>
      </c>
      <c r="DH3109">
        <v>0</v>
      </c>
      <c r="DI3109">
        <v>0</v>
      </c>
    </row>
    <row r="3110" spans="1:113" x14ac:dyDescent="0.3">
      <c r="A3110" t="str">
        <f>"02/08/2021 20:31:16.289"</f>
        <v>02/08/2021 20:31:16.289</v>
      </c>
      <c r="C3110" t="str">
        <f t="shared" si="148"/>
        <v>FFDFD7C0</v>
      </c>
      <c r="D3110" t="s">
        <v>124</v>
      </c>
      <c r="E3110">
        <v>13</v>
      </c>
      <c r="F3110">
        <v>1013</v>
      </c>
      <c r="G3110" t="s">
        <v>114</v>
      </c>
      <c r="J3110" t="s">
        <v>125</v>
      </c>
      <c r="K3110">
        <v>0</v>
      </c>
      <c r="L3110">
        <v>3</v>
      </c>
      <c r="M3110">
        <v>0</v>
      </c>
      <c r="N3110">
        <v>2</v>
      </c>
      <c r="O3110">
        <v>1</v>
      </c>
      <c r="P3110">
        <v>0</v>
      </c>
      <c r="Q3110">
        <v>0</v>
      </c>
      <c r="S3110" t="str">
        <f>"20:31:18.633"</f>
        <v>20:31:18.633</v>
      </c>
      <c r="T3110" t="str">
        <f>"20:31:18.133"</f>
        <v>20:31:18.133</v>
      </c>
      <c r="U3110" t="str">
        <f t="shared" si="150"/>
        <v>AB01F4</v>
      </c>
      <c r="V3110">
        <v>0</v>
      </c>
      <c r="W3110">
        <v>0</v>
      </c>
      <c r="X3110">
        <v>2</v>
      </c>
      <c r="Z3110">
        <v>0</v>
      </c>
      <c r="AA3110">
        <v>9</v>
      </c>
      <c r="AB3110">
        <v>3</v>
      </c>
      <c r="AC3110">
        <v>0</v>
      </c>
      <c r="AD3110">
        <v>10</v>
      </c>
      <c r="AE3110">
        <v>0</v>
      </c>
      <c r="AF3110">
        <v>3</v>
      </c>
      <c r="AG3110">
        <v>2</v>
      </c>
      <c r="AH3110">
        <v>0</v>
      </c>
      <c r="AI3110" t="s">
        <v>1803</v>
      </c>
      <c r="AJ3110">
        <v>40.046840000000003</v>
      </c>
      <c r="AK3110" t="s">
        <v>1804</v>
      </c>
      <c r="AL3110">
        <v>-92.886722000000006</v>
      </c>
      <c r="AM3110">
        <v>100</v>
      </c>
      <c r="AN3110">
        <v>1300</v>
      </c>
      <c r="AO3110" t="s">
        <v>118</v>
      </c>
      <c r="AP3110">
        <v>-119</v>
      </c>
      <c r="AQ3110">
        <v>62</v>
      </c>
      <c r="AR3110">
        <v>0</v>
      </c>
      <c r="AZ3110">
        <v>1200</v>
      </c>
      <c r="BA3110">
        <v>1</v>
      </c>
      <c r="BB3110" t="str">
        <f t="shared" si="149"/>
        <v xml:space="preserve">N8080G  </v>
      </c>
      <c r="BC3110">
        <v>1</v>
      </c>
      <c r="BE3110">
        <v>0</v>
      </c>
      <c r="BF3110">
        <v>0</v>
      </c>
      <c r="BG3110">
        <v>0</v>
      </c>
      <c r="BH3110">
        <v>1325</v>
      </c>
      <c r="BI3110">
        <v>1</v>
      </c>
      <c r="BJ3110">
        <v>1</v>
      </c>
      <c r="BK3110">
        <v>1</v>
      </c>
      <c r="BL3110">
        <v>0</v>
      </c>
      <c r="BO3110">
        <v>0</v>
      </c>
      <c r="BP3110">
        <v>0</v>
      </c>
      <c r="BW3110" t="str">
        <f>"20:31:18.639"</f>
        <v>20:31:18.639</v>
      </c>
      <c r="BZ3110">
        <v>0</v>
      </c>
      <c r="CA3110">
        <v>1600</v>
      </c>
      <c r="CB3110">
        <v>224</v>
      </c>
      <c r="CD3110">
        <v>1</v>
      </c>
      <c r="CE3110">
        <v>0</v>
      </c>
      <c r="CF3110">
        <v>0</v>
      </c>
      <c r="CG3110">
        <v>1</v>
      </c>
      <c r="CH3110">
        <v>0</v>
      </c>
      <c r="CI3110">
        <v>0</v>
      </c>
      <c r="CJ3110">
        <v>0</v>
      </c>
      <c r="CK3110">
        <v>2</v>
      </c>
      <c r="CL3110">
        <v>0</v>
      </c>
      <c r="CM3110">
        <v>2</v>
      </c>
      <c r="CN3110">
        <v>0</v>
      </c>
      <c r="CO3110">
        <v>7</v>
      </c>
      <c r="CP3110" t="s">
        <v>119</v>
      </c>
      <c r="CQ3110">
        <v>180</v>
      </c>
      <c r="CR3110">
        <v>3</v>
      </c>
      <c r="CW3110">
        <v>1069736</v>
      </c>
      <c r="CY3110">
        <v>1</v>
      </c>
      <c r="CZ3110">
        <v>0</v>
      </c>
      <c r="DA3110">
        <v>1</v>
      </c>
      <c r="DB3110">
        <v>0</v>
      </c>
      <c r="DC3110">
        <v>0</v>
      </c>
      <c r="DD3110">
        <v>0</v>
      </c>
      <c r="DE3110">
        <v>0</v>
      </c>
      <c r="DF3110">
        <v>0</v>
      </c>
      <c r="DG3110">
        <v>0</v>
      </c>
      <c r="DH3110">
        <v>0</v>
      </c>
      <c r="DI3110">
        <v>0</v>
      </c>
    </row>
    <row r="3111" spans="1:113" x14ac:dyDescent="0.3">
      <c r="A3111" t="str">
        <f>"02/08/2021 20:31:17.301"</f>
        <v>02/08/2021 20:31:17.301</v>
      </c>
      <c r="C3111" t="str">
        <f t="shared" si="148"/>
        <v>FFDFD7C0</v>
      </c>
      <c r="D3111" t="s">
        <v>113</v>
      </c>
      <c r="E3111">
        <v>6</v>
      </c>
      <c r="H3111">
        <v>165</v>
      </c>
      <c r="I3111" t="s">
        <v>114</v>
      </c>
      <c r="J3111" t="s">
        <v>115</v>
      </c>
      <c r="K3111">
        <v>0</v>
      </c>
      <c r="L3111">
        <v>3</v>
      </c>
      <c r="M3111">
        <v>0</v>
      </c>
      <c r="N3111">
        <v>2</v>
      </c>
      <c r="O3111">
        <v>1</v>
      </c>
      <c r="P3111">
        <v>0</v>
      </c>
      <c r="Q3111">
        <v>0</v>
      </c>
      <c r="S3111" t="str">
        <f>"20:31:19.609"</f>
        <v>20:31:19.609</v>
      </c>
      <c r="T3111" t="str">
        <f>"20:31:19.109"</f>
        <v>20:31:19.109</v>
      </c>
      <c r="U3111" t="str">
        <f t="shared" si="150"/>
        <v>AB01F4</v>
      </c>
      <c r="V3111">
        <v>0</v>
      </c>
      <c r="W3111">
        <v>0</v>
      </c>
      <c r="X3111">
        <v>2</v>
      </c>
      <c r="Z3111">
        <v>0</v>
      </c>
      <c r="AA3111">
        <v>9</v>
      </c>
      <c r="AB3111">
        <v>3</v>
      </c>
      <c r="AC3111">
        <v>0</v>
      </c>
      <c r="AD3111">
        <v>10</v>
      </c>
      <c r="AE3111">
        <v>0</v>
      </c>
      <c r="AF3111">
        <v>3</v>
      </c>
      <c r="AG3111">
        <v>2</v>
      </c>
      <c r="AH3111">
        <v>0</v>
      </c>
      <c r="AI3111" t="s">
        <v>1805</v>
      </c>
      <c r="AJ3111">
        <v>40.047097000000001</v>
      </c>
      <c r="AK3111" t="s">
        <v>1806</v>
      </c>
      <c r="AL3111">
        <v>-92.887322999999995</v>
      </c>
      <c r="AM3111">
        <v>100</v>
      </c>
      <c r="AN3111">
        <v>1300</v>
      </c>
      <c r="AO3111" t="s">
        <v>118</v>
      </c>
      <c r="AP3111">
        <v>-118</v>
      </c>
      <c r="AQ3111">
        <v>62</v>
      </c>
      <c r="AR3111">
        <v>64</v>
      </c>
      <c r="AZ3111">
        <v>1200</v>
      </c>
      <c r="BA3111">
        <v>1</v>
      </c>
      <c r="BB3111" t="str">
        <f t="shared" si="149"/>
        <v xml:space="preserve">N8080G  </v>
      </c>
      <c r="BC3111">
        <v>1</v>
      </c>
      <c r="BE3111">
        <v>0</v>
      </c>
      <c r="BF3111">
        <v>0</v>
      </c>
      <c r="BG3111">
        <v>0</v>
      </c>
      <c r="BH3111">
        <v>1325</v>
      </c>
      <c r="BI3111">
        <v>1</v>
      </c>
      <c r="BJ3111">
        <v>1</v>
      </c>
      <c r="BK3111">
        <v>1</v>
      </c>
      <c r="BL3111">
        <v>0</v>
      </c>
      <c r="BO3111">
        <v>0</v>
      </c>
      <c r="BP3111">
        <v>0</v>
      </c>
      <c r="BW3111" t="str">
        <f>"20:31:19.611"</f>
        <v>20:31:19.611</v>
      </c>
      <c r="BZ3111">
        <v>0</v>
      </c>
      <c r="CA3111">
        <v>1600</v>
      </c>
      <c r="CB3111">
        <v>224</v>
      </c>
      <c r="CD3111">
        <v>1</v>
      </c>
      <c r="CE3111">
        <v>0</v>
      </c>
      <c r="CF3111">
        <v>0</v>
      </c>
      <c r="CG3111">
        <v>1</v>
      </c>
      <c r="CH3111">
        <v>0</v>
      </c>
      <c r="CI3111">
        <v>0</v>
      </c>
      <c r="CJ3111">
        <v>0</v>
      </c>
      <c r="CK3111">
        <v>2</v>
      </c>
      <c r="CL3111">
        <v>0</v>
      </c>
      <c r="CM3111">
        <v>2</v>
      </c>
      <c r="CN3111">
        <v>0</v>
      </c>
      <c r="CO3111">
        <v>7</v>
      </c>
      <c r="CP3111" t="s">
        <v>119</v>
      </c>
      <c r="CQ3111">
        <v>180</v>
      </c>
      <c r="CR3111">
        <v>2</v>
      </c>
      <c r="CW3111">
        <v>8723397</v>
      </c>
      <c r="CY3111">
        <v>1</v>
      </c>
      <c r="CZ3111">
        <v>0</v>
      </c>
      <c r="DA3111">
        <v>0</v>
      </c>
      <c r="DB3111">
        <v>0</v>
      </c>
      <c r="DC3111">
        <v>0</v>
      </c>
      <c r="DD3111">
        <v>0</v>
      </c>
      <c r="DE3111">
        <v>0</v>
      </c>
      <c r="DF3111">
        <v>0</v>
      </c>
      <c r="DG3111">
        <v>0</v>
      </c>
      <c r="DH3111">
        <v>0</v>
      </c>
      <c r="DI3111">
        <v>0</v>
      </c>
    </row>
    <row r="3112" spans="1:113" x14ac:dyDescent="0.3">
      <c r="A3112" t="str">
        <f>"02/08/2021 20:31:17.301"</f>
        <v>02/08/2021 20:31:17.301</v>
      </c>
      <c r="C3112" t="str">
        <f t="shared" si="148"/>
        <v>FFDFD7C0</v>
      </c>
      <c r="D3112" t="s">
        <v>124</v>
      </c>
      <c r="E3112">
        <v>12</v>
      </c>
      <c r="F3112">
        <v>1012</v>
      </c>
      <c r="G3112" t="s">
        <v>675</v>
      </c>
      <c r="J3112" t="s">
        <v>125</v>
      </c>
      <c r="K3112">
        <v>0</v>
      </c>
      <c r="L3112">
        <v>3</v>
      </c>
      <c r="M3112">
        <v>0</v>
      </c>
      <c r="N3112">
        <v>2</v>
      </c>
      <c r="O3112">
        <v>1</v>
      </c>
      <c r="P3112">
        <v>0</v>
      </c>
      <c r="Q3112">
        <v>0</v>
      </c>
      <c r="S3112" t="str">
        <f>"20:31:19.609"</f>
        <v>20:31:19.609</v>
      </c>
      <c r="T3112" t="str">
        <f>"20:31:19.109"</f>
        <v>20:31:19.109</v>
      </c>
      <c r="U3112" t="str">
        <f t="shared" si="150"/>
        <v>AB01F4</v>
      </c>
      <c r="V3112">
        <v>0</v>
      </c>
      <c r="W3112">
        <v>0</v>
      </c>
      <c r="X3112">
        <v>2</v>
      </c>
      <c r="Z3112">
        <v>0</v>
      </c>
      <c r="AA3112">
        <v>9</v>
      </c>
      <c r="AB3112">
        <v>3</v>
      </c>
      <c r="AC3112">
        <v>0</v>
      </c>
      <c r="AD3112">
        <v>10</v>
      </c>
      <c r="AE3112">
        <v>0</v>
      </c>
      <c r="AF3112">
        <v>3</v>
      </c>
      <c r="AG3112">
        <v>2</v>
      </c>
      <c r="AH3112">
        <v>0</v>
      </c>
      <c r="AI3112" t="s">
        <v>1805</v>
      </c>
      <c r="AJ3112">
        <v>40.047097000000001</v>
      </c>
      <c r="AK3112" t="s">
        <v>1806</v>
      </c>
      <c r="AL3112">
        <v>-92.887322999999995</v>
      </c>
      <c r="AM3112">
        <v>100</v>
      </c>
      <c r="AN3112">
        <v>1300</v>
      </c>
      <c r="AO3112" t="s">
        <v>118</v>
      </c>
      <c r="AP3112">
        <v>-118</v>
      </c>
      <c r="AQ3112">
        <v>62</v>
      </c>
      <c r="AR3112">
        <v>64</v>
      </c>
      <c r="AZ3112">
        <v>1200</v>
      </c>
      <c r="BA3112">
        <v>1</v>
      </c>
      <c r="BB3112" t="str">
        <f t="shared" si="149"/>
        <v xml:space="preserve">N8080G  </v>
      </c>
      <c r="BC3112">
        <v>1</v>
      </c>
      <c r="BE3112">
        <v>0</v>
      </c>
      <c r="BF3112">
        <v>0</v>
      </c>
      <c r="BG3112">
        <v>0</v>
      </c>
      <c r="BH3112">
        <v>1325</v>
      </c>
      <c r="BI3112">
        <v>1</v>
      </c>
      <c r="BJ3112">
        <v>1</v>
      </c>
      <c r="BK3112">
        <v>1</v>
      </c>
      <c r="BL3112">
        <v>0</v>
      </c>
      <c r="BO3112">
        <v>0</v>
      </c>
      <c r="BP3112">
        <v>0</v>
      </c>
      <c r="BW3112" t="str">
        <f>"20:31:19.611"</f>
        <v>20:31:19.611</v>
      </c>
      <c r="BZ3112">
        <v>0</v>
      </c>
      <c r="CA3112">
        <v>1600</v>
      </c>
      <c r="CB3112">
        <v>224</v>
      </c>
      <c r="CD3112">
        <v>1</v>
      </c>
      <c r="CE3112">
        <v>0</v>
      </c>
      <c r="CF3112">
        <v>0</v>
      </c>
      <c r="CG3112">
        <v>1</v>
      </c>
      <c r="CH3112">
        <v>0</v>
      </c>
      <c r="CI3112">
        <v>0</v>
      </c>
      <c r="CJ3112">
        <v>0</v>
      </c>
      <c r="CK3112">
        <v>2</v>
      </c>
      <c r="CL3112">
        <v>0</v>
      </c>
      <c r="CM3112">
        <v>2</v>
      </c>
      <c r="CN3112">
        <v>0</v>
      </c>
      <c r="CO3112">
        <v>7</v>
      </c>
      <c r="CP3112" t="s">
        <v>119</v>
      </c>
      <c r="CQ3112">
        <v>180</v>
      </c>
      <c r="CR3112">
        <v>2</v>
      </c>
      <c r="CW3112">
        <v>8723397</v>
      </c>
      <c r="CY3112">
        <v>1</v>
      </c>
      <c r="CZ3112">
        <v>0</v>
      </c>
      <c r="DA3112">
        <v>1</v>
      </c>
      <c r="DB3112">
        <v>0</v>
      </c>
      <c r="DC3112">
        <v>0</v>
      </c>
      <c r="DD3112">
        <v>0</v>
      </c>
      <c r="DE3112">
        <v>0</v>
      </c>
      <c r="DF3112">
        <v>0</v>
      </c>
      <c r="DG3112">
        <v>0</v>
      </c>
      <c r="DH3112">
        <v>0</v>
      </c>
      <c r="DI3112">
        <v>0</v>
      </c>
    </row>
    <row r="3113" spans="1:113" x14ac:dyDescent="0.3">
      <c r="A3113" t="str">
        <f>"02/08/2021 20:31:17.301"</f>
        <v>02/08/2021 20:31:17.301</v>
      </c>
      <c r="C3113" t="str">
        <f t="shared" si="148"/>
        <v>FFDFD7C0</v>
      </c>
      <c r="D3113" t="s">
        <v>124</v>
      </c>
      <c r="E3113">
        <v>11</v>
      </c>
      <c r="F3113">
        <v>1011</v>
      </c>
      <c r="G3113" t="s">
        <v>590</v>
      </c>
      <c r="J3113" t="s">
        <v>125</v>
      </c>
      <c r="K3113">
        <v>0</v>
      </c>
      <c r="L3113">
        <v>3</v>
      </c>
      <c r="M3113">
        <v>0</v>
      </c>
      <c r="N3113">
        <v>2</v>
      </c>
      <c r="O3113">
        <v>1</v>
      </c>
      <c r="P3113">
        <v>0</v>
      </c>
      <c r="Q3113">
        <v>0</v>
      </c>
      <c r="S3113" t="str">
        <f>"20:31:19.609"</f>
        <v>20:31:19.609</v>
      </c>
      <c r="T3113" t="str">
        <f>"20:31:19.109"</f>
        <v>20:31:19.109</v>
      </c>
      <c r="U3113" t="str">
        <f t="shared" si="150"/>
        <v>AB01F4</v>
      </c>
      <c r="V3113">
        <v>0</v>
      </c>
      <c r="W3113">
        <v>0</v>
      </c>
      <c r="X3113">
        <v>2</v>
      </c>
      <c r="Z3113">
        <v>0</v>
      </c>
      <c r="AA3113">
        <v>9</v>
      </c>
      <c r="AB3113">
        <v>3</v>
      </c>
      <c r="AC3113">
        <v>0</v>
      </c>
      <c r="AD3113">
        <v>10</v>
      </c>
      <c r="AE3113">
        <v>0</v>
      </c>
      <c r="AF3113">
        <v>3</v>
      </c>
      <c r="AG3113">
        <v>2</v>
      </c>
      <c r="AH3113">
        <v>0</v>
      </c>
      <c r="AI3113" t="s">
        <v>1805</v>
      </c>
      <c r="AJ3113">
        <v>40.047097000000001</v>
      </c>
      <c r="AK3113" t="s">
        <v>1806</v>
      </c>
      <c r="AL3113">
        <v>-92.887322999999995</v>
      </c>
      <c r="AM3113">
        <v>100</v>
      </c>
      <c r="AN3113">
        <v>1300</v>
      </c>
      <c r="AO3113" t="s">
        <v>118</v>
      </c>
      <c r="AP3113">
        <v>-118</v>
      </c>
      <c r="AQ3113">
        <v>62</v>
      </c>
      <c r="AR3113">
        <v>64</v>
      </c>
      <c r="AZ3113">
        <v>1200</v>
      </c>
      <c r="BA3113">
        <v>1</v>
      </c>
      <c r="BB3113" t="str">
        <f t="shared" si="149"/>
        <v xml:space="preserve">N8080G  </v>
      </c>
      <c r="BC3113">
        <v>1</v>
      </c>
      <c r="BE3113">
        <v>0</v>
      </c>
      <c r="BF3113">
        <v>0</v>
      </c>
      <c r="BG3113">
        <v>0</v>
      </c>
      <c r="BH3113">
        <v>1325</v>
      </c>
      <c r="BI3113">
        <v>1</v>
      </c>
      <c r="BJ3113">
        <v>1</v>
      </c>
      <c r="BK3113">
        <v>1</v>
      </c>
      <c r="BL3113">
        <v>0</v>
      </c>
      <c r="BO3113">
        <v>0</v>
      </c>
      <c r="BP3113">
        <v>0</v>
      </c>
      <c r="BW3113" t="str">
        <f>"20:31:19.611"</f>
        <v>20:31:19.611</v>
      </c>
      <c r="BZ3113">
        <v>0</v>
      </c>
      <c r="CA3113">
        <v>1600</v>
      </c>
      <c r="CB3113">
        <v>224</v>
      </c>
      <c r="CD3113">
        <v>1</v>
      </c>
      <c r="CE3113">
        <v>0</v>
      </c>
      <c r="CF3113">
        <v>0</v>
      </c>
      <c r="CG3113">
        <v>1</v>
      </c>
      <c r="CH3113">
        <v>0</v>
      </c>
      <c r="CI3113">
        <v>0</v>
      </c>
      <c r="CJ3113">
        <v>0</v>
      </c>
      <c r="CK3113">
        <v>2</v>
      </c>
      <c r="CL3113">
        <v>0</v>
      </c>
      <c r="CM3113">
        <v>2</v>
      </c>
      <c r="CN3113">
        <v>0</v>
      </c>
      <c r="CO3113">
        <v>7</v>
      </c>
      <c r="CP3113" t="s">
        <v>119</v>
      </c>
      <c r="CQ3113">
        <v>180</v>
      </c>
      <c r="CR3113">
        <v>2</v>
      </c>
      <c r="CW3113">
        <v>8723397</v>
      </c>
      <c r="CY3113">
        <v>1</v>
      </c>
      <c r="CZ3113">
        <v>0</v>
      </c>
      <c r="DA3113">
        <v>1</v>
      </c>
      <c r="DB3113">
        <v>0</v>
      </c>
      <c r="DC3113">
        <v>0</v>
      </c>
      <c r="DD3113">
        <v>0</v>
      </c>
      <c r="DE3113">
        <v>0</v>
      </c>
      <c r="DF3113">
        <v>0</v>
      </c>
      <c r="DG3113">
        <v>0</v>
      </c>
      <c r="DH3113">
        <v>0</v>
      </c>
      <c r="DI3113">
        <v>0</v>
      </c>
    </row>
    <row r="3114" spans="1:113" x14ac:dyDescent="0.3">
      <c r="A3114" t="str">
        <f>"02/08/2021 20:31:17.301"</f>
        <v>02/08/2021 20:31:17.301</v>
      </c>
      <c r="C3114" t="str">
        <f t="shared" si="148"/>
        <v>FFDFD7C0</v>
      </c>
      <c r="D3114" t="s">
        <v>124</v>
      </c>
      <c r="E3114">
        <v>13</v>
      </c>
      <c r="F3114">
        <v>1013</v>
      </c>
      <c r="G3114" t="s">
        <v>114</v>
      </c>
      <c r="J3114" t="s">
        <v>125</v>
      </c>
      <c r="K3114">
        <v>0</v>
      </c>
      <c r="L3114">
        <v>3</v>
      </c>
      <c r="M3114">
        <v>0</v>
      </c>
      <c r="N3114">
        <v>2</v>
      </c>
      <c r="O3114">
        <v>1</v>
      </c>
      <c r="P3114">
        <v>0</v>
      </c>
      <c r="Q3114">
        <v>0</v>
      </c>
      <c r="S3114" t="str">
        <f>"20:31:19.609"</f>
        <v>20:31:19.609</v>
      </c>
      <c r="T3114" t="str">
        <f>"20:31:19.109"</f>
        <v>20:31:19.109</v>
      </c>
      <c r="U3114" t="str">
        <f t="shared" si="150"/>
        <v>AB01F4</v>
      </c>
      <c r="V3114">
        <v>0</v>
      </c>
      <c r="W3114">
        <v>0</v>
      </c>
      <c r="X3114">
        <v>2</v>
      </c>
      <c r="Z3114">
        <v>0</v>
      </c>
      <c r="AA3114">
        <v>9</v>
      </c>
      <c r="AB3114">
        <v>3</v>
      </c>
      <c r="AC3114">
        <v>0</v>
      </c>
      <c r="AD3114">
        <v>10</v>
      </c>
      <c r="AE3114">
        <v>0</v>
      </c>
      <c r="AF3114">
        <v>3</v>
      </c>
      <c r="AG3114">
        <v>2</v>
      </c>
      <c r="AH3114">
        <v>0</v>
      </c>
      <c r="AI3114" t="s">
        <v>1805</v>
      </c>
      <c r="AJ3114">
        <v>40.047097000000001</v>
      </c>
      <c r="AK3114" t="s">
        <v>1806</v>
      </c>
      <c r="AL3114">
        <v>-92.887322999999995</v>
      </c>
      <c r="AM3114">
        <v>100</v>
      </c>
      <c r="AN3114">
        <v>1300</v>
      </c>
      <c r="AO3114" t="s">
        <v>118</v>
      </c>
      <c r="AP3114">
        <v>-118</v>
      </c>
      <c r="AQ3114">
        <v>62</v>
      </c>
      <c r="AR3114">
        <v>64</v>
      </c>
      <c r="AZ3114">
        <v>1200</v>
      </c>
      <c r="BA3114">
        <v>1</v>
      </c>
      <c r="BB3114" t="str">
        <f t="shared" si="149"/>
        <v xml:space="preserve">N8080G  </v>
      </c>
      <c r="BC3114">
        <v>1</v>
      </c>
      <c r="BE3114">
        <v>0</v>
      </c>
      <c r="BF3114">
        <v>0</v>
      </c>
      <c r="BG3114">
        <v>0</v>
      </c>
      <c r="BH3114">
        <v>1325</v>
      </c>
      <c r="BI3114">
        <v>1</v>
      </c>
      <c r="BJ3114">
        <v>1</v>
      </c>
      <c r="BK3114">
        <v>1</v>
      </c>
      <c r="BL3114">
        <v>0</v>
      </c>
      <c r="BO3114">
        <v>0</v>
      </c>
      <c r="BP3114">
        <v>0</v>
      </c>
      <c r="BW3114" t="str">
        <f>"20:31:19.611"</f>
        <v>20:31:19.611</v>
      </c>
      <c r="BZ3114">
        <v>0</v>
      </c>
      <c r="CA3114">
        <v>1600</v>
      </c>
      <c r="CB3114">
        <v>224</v>
      </c>
      <c r="CD3114">
        <v>1</v>
      </c>
      <c r="CE3114">
        <v>0</v>
      </c>
      <c r="CF3114">
        <v>0</v>
      </c>
      <c r="CG3114">
        <v>1</v>
      </c>
      <c r="CH3114">
        <v>0</v>
      </c>
      <c r="CI3114">
        <v>0</v>
      </c>
      <c r="CJ3114">
        <v>0</v>
      </c>
      <c r="CK3114">
        <v>2</v>
      </c>
      <c r="CL3114">
        <v>0</v>
      </c>
      <c r="CM3114">
        <v>2</v>
      </c>
      <c r="CN3114">
        <v>0</v>
      </c>
      <c r="CO3114">
        <v>7</v>
      </c>
      <c r="CP3114" t="s">
        <v>119</v>
      </c>
      <c r="CQ3114">
        <v>180</v>
      </c>
      <c r="CR3114">
        <v>2</v>
      </c>
      <c r="CW3114">
        <v>8723397</v>
      </c>
      <c r="CY3114">
        <v>1</v>
      </c>
      <c r="CZ3114">
        <v>0</v>
      </c>
      <c r="DA3114">
        <v>1</v>
      </c>
      <c r="DB3114">
        <v>0</v>
      </c>
      <c r="DC3114">
        <v>0</v>
      </c>
      <c r="DD3114">
        <v>0</v>
      </c>
      <c r="DE3114">
        <v>0</v>
      </c>
      <c r="DF3114">
        <v>0</v>
      </c>
      <c r="DG3114">
        <v>0</v>
      </c>
      <c r="DH3114">
        <v>0</v>
      </c>
      <c r="DI3114">
        <v>0</v>
      </c>
    </row>
    <row r="3115" spans="1:113" x14ac:dyDescent="0.3">
      <c r="A3115" t="str">
        <f>"02/08/2021 20:31:20.336"</f>
        <v>02/08/2021 20:31:20.336</v>
      </c>
      <c r="C3115" t="str">
        <f t="shared" si="148"/>
        <v>FFDFD7C0</v>
      </c>
      <c r="D3115" t="s">
        <v>124</v>
      </c>
      <c r="E3115">
        <v>11</v>
      </c>
      <c r="F3115">
        <v>1011</v>
      </c>
      <c r="G3115" t="s">
        <v>590</v>
      </c>
      <c r="J3115" t="s">
        <v>125</v>
      </c>
      <c r="K3115">
        <v>0</v>
      </c>
      <c r="L3115">
        <v>3</v>
      </c>
      <c r="M3115">
        <v>0</v>
      </c>
      <c r="N3115">
        <v>2</v>
      </c>
      <c r="O3115">
        <v>1</v>
      </c>
      <c r="P3115">
        <v>0</v>
      </c>
      <c r="Q3115">
        <v>0</v>
      </c>
      <c r="S3115" t="str">
        <f>"20:31:22.695"</f>
        <v>20:31:22.695</v>
      </c>
      <c r="T3115" t="str">
        <f>"20:31:22.295"</f>
        <v>20:31:22.295</v>
      </c>
      <c r="U3115" t="str">
        <f t="shared" si="150"/>
        <v>AB01F4</v>
      </c>
      <c r="V3115">
        <v>0</v>
      </c>
      <c r="W3115">
        <v>0</v>
      </c>
      <c r="X3115">
        <v>2</v>
      </c>
      <c r="Z3115">
        <v>0</v>
      </c>
      <c r="AA3115">
        <v>9</v>
      </c>
      <c r="AB3115">
        <v>3</v>
      </c>
      <c r="AC3115">
        <v>0</v>
      </c>
      <c r="AD3115">
        <v>10</v>
      </c>
      <c r="AE3115">
        <v>0</v>
      </c>
      <c r="AF3115">
        <v>3</v>
      </c>
      <c r="AG3115">
        <v>2</v>
      </c>
      <c r="AH3115">
        <v>0</v>
      </c>
      <c r="AI3115" t="s">
        <v>1807</v>
      </c>
      <c r="AJ3115">
        <v>40.047955999999999</v>
      </c>
      <c r="AK3115" t="s">
        <v>1808</v>
      </c>
      <c r="AL3115">
        <v>-92.889533</v>
      </c>
      <c r="AM3115">
        <v>100</v>
      </c>
      <c r="AN3115">
        <v>1300</v>
      </c>
      <c r="AO3115" t="s">
        <v>118</v>
      </c>
      <c r="AP3115">
        <v>-118</v>
      </c>
      <c r="AQ3115">
        <v>62</v>
      </c>
      <c r="AR3115">
        <v>-64</v>
      </c>
      <c r="AZ3115">
        <v>1200</v>
      </c>
      <c r="BA3115">
        <v>1</v>
      </c>
      <c r="BB3115" t="str">
        <f t="shared" si="149"/>
        <v xml:space="preserve">N8080G  </v>
      </c>
      <c r="BC3115">
        <v>1</v>
      </c>
      <c r="BE3115">
        <v>0</v>
      </c>
      <c r="BF3115">
        <v>0</v>
      </c>
      <c r="BG3115">
        <v>0</v>
      </c>
      <c r="BH3115">
        <v>1325</v>
      </c>
      <c r="BI3115">
        <v>1</v>
      </c>
      <c r="BJ3115">
        <v>1</v>
      </c>
      <c r="BK3115">
        <v>1</v>
      </c>
      <c r="BL3115">
        <v>0</v>
      </c>
      <c r="BO3115">
        <v>0</v>
      </c>
      <c r="BP3115">
        <v>0</v>
      </c>
      <c r="BW3115" t="str">
        <f>"20:31:22.696"</f>
        <v>20:31:22.696</v>
      </c>
      <c r="BZ3115">
        <v>0</v>
      </c>
      <c r="CA3115">
        <v>1600</v>
      </c>
      <c r="CB3115">
        <v>224</v>
      </c>
      <c r="CD3115">
        <v>1</v>
      </c>
      <c r="CE3115">
        <v>0</v>
      </c>
      <c r="CF3115">
        <v>0</v>
      </c>
      <c r="CG3115">
        <v>1</v>
      </c>
      <c r="CH3115">
        <v>0</v>
      </c>
      <c r="CI3115">
        <v>0</v>
      </c>
      <c r="CJ3115">
        <v>0</v>
      </c>
      <c r="CK3115">
        <v>2</v>
      </c>
      <c r="CL3115">
        <v>0</v>
      </c>
      <c r="CM3115">
        <v>2</v>
      </c>
      <c r="CN3115">
        <v>0</v>
      </c>
      <c r="CO3115">
        <v>7</v>
      </c>
      <c r="CP3115" t="s">
        <v>119</v>
      </c>
      <c r="CQ3115">
        <v>180</v>
      </c>
      <c r="CR3115">
        <v>3</v>
      </c>
      <c r="CW3115">
        <v>1072862</v>
      </c>
      <c r="CY3115">
        <v>1</v>
      </c>
      <c r="CZ3115">
        <v>0</v>
      </c>
      <c r="DA3115">
        <v>0</v>
      </c>
      <c r="DB3115">
        <v>0</v>
      </c>
      <c r="DC3115">
        <v>0</v>
      </c>
      <c r="DD3115">
        <v>0</v>
      </c>
      <c r="DE3115">
        <v>0</v>
      </c>
      <c r="DF3115">
        <v>0</v>
      </c>
      <c r="DG3115">
        <v>0</v>
      </c>
      <c r="DH3115">
        <v>0</v>
      </c>
      <c r="DI3115">
        <v>0</v>
      </c>
    </row>
    <row r="3116" spans="1:113" x14ac:dyDescent="0.3">
      <c r="A3116" t="str">
        <f>"02/08/2021 20:31:20.336"</f>
        <v>02/08/2021 20:31:20.336</v>
      </c>
      <c r="C3116" t="str">
        <f t="shared" si="148"/>
        <v>FFDFD7C0</v>
      </c>
      <c r="D3116" t="s">
        <v>113</v>
      </c>
      <c r="E3116">
        <v>6</v>
      </c>
      <c r="H3116">
        <v>165</v>
      </c>
      <c r="I3116" t="s">
        <v>114</v>
      </c>
      <c r="J3116" t="s">
        <v>115</v>
      </c>
      <c r="K3116">
        <v>0</v>
      </c>
      <c r="L3116">
        <v>3</v>
      </c>
      <c r="M3116">
        <v>0</v>
      </c>
      <c r="N3116">
        <v>2</v>
      </c>
      <c r="O3116">
        <v>1</v>
      </c>
      <c r="P3116">
        <v>0</v>
      </c>
      <c r="Q3116">
        <v>0</v>
      </c>
      <c r="S3116" t="str">
        <f>"20:31:22.695"</f>
        <v>20:31:22.695</v>
      </c>
      <c r="T3116" t="str">
        <f>"20:31:22.295"</f>
        <v>20:31:22.295</v>
      </c>
      <c r="U3116" t="str">
        <f t="shared" si="150"/>
        <v>AB01F4</v>
      </c>
      <c r="V3116">
        <v>0</v>
      </c>
      <c r="W3116">
        <v>0</v>
      </c>
      <c r="X3116">
        <v>2</v>
      </c>
      <c r="Z3116">
        <v>0</v>
      </c>
      <c r="AA3116">
        <v>9</v>
      </c>
      <c r="AB3116">
        <v>3</v>
      </c>
      <c r="AC3116">
        <v>0</v>
      </c>
      <c r="AD3116">
        <v>10</v>
      </c>
      <c r="AE3116">
        <v>0</v>
      </c>
      <c r="AF3116">
        <v>3</v>
      </c>
      <c r="AG3116">
        <v>2</v>
      </c>
      <c r="AH3116">
        <v>0</v>
      </c>
      <c r="AI3116" t="s">
        <v>1807</v>
      </c>
      <c r="AJ3116">
        <v>40.047955999999999</v>
      </c>
      <c r="AK3116" t="s">
        <v>1808</v>
      </c>
      <c r="AL3116">
        <v>-92.889533</v>
      </c>
      <c r="AM3116">
        <v>100</v>
      </c>
      <c r="AN3116">
        <v>1300</v>
      </c>
      <c r="AO3116" t="s">
        <v>118</v>
      </c>
      <c r="AP3116">
        <v>-118</v>
      </c>
      <c r="AQ3116">
        <v>62</v>
      </c>
      <c r="AR3116">
        <v>-64</v>
      </c>
      <c r="AZ3116">
        <v>1200</v>
      </c>
      <c r="BA3116">
        <v>1</v>
      </c>
      <c r="BB3116" t="str">
        <f t="shared" si="149"/>
        <v xml:space="preserve">N8080G  </v>
      </c>
      <c r="BC3116">
        <v>1</v>
      </c>
      <c r="BE3116">
        <v>0</v>
      </c>
      <c r="BF3116">
        <v>0</v>
      </c>
      <c r="BG3116">
        <v>0</v>
      </c>
      <c r="BH3116">
        <v>1325</v>
      </c>
      <c r="BI3116">
        <v>1</v>
      </c>
      <c r="BJ3116">
        <v>1</v>
      </c>
      <c r="BK3116">
        <v>1</v>
      </c>
      <c r="BL3116">
        <v>0</v>
      </c>
      <c r="BO3116">
        <v>0</v>
      </c>
      <c r="BP3116">
        <v>0</v>
      </c>
      <c r="BW3116" t="str">
        <f>"20:31:22.696"</f>
        <v>20:31:22.696</v>
      </c>
      <c r="BZ3116">
        <v>0</v>
      </c>
      <c r="CA3116">
        <v>1600</v>
      </c>
      <c r="CB3116">
        <v>224</v>
      </c>
      <c r="CD3116">
        <v>1</v>
      </c>
      <c r="CE3116">
        <v>0</v>
      </c>
      <c r="CF3116">
        <v>0</v>
      </c>
      <c r="CG3116">
        <v>1</v>
      </c>
      <c r="CH3116">
        <v>0</v>
      </c>
      <c r="CI3116">
        <v>0</v>
      </c>
      <c r="CJ3116">
        <v>0</v>
      </c>
      <c r="CK3116">
        <v>2</v>
      </c>
      <c r="CL3116">
        <v>0</v>
      </c>
      <c r="CM3116">
        <v>2</v>
      </c>
      <c r="CN3116">
        <v>0</v>
      </c>
      <c r="CO3116">
        <v>7</v>
      </c>
      <c r="CP3116" t="s">
        <v>119</v>
      </c>
      <c r="CQ3116">
        <v>180</v>
      </c>
      <c r="CR3116">
        <v>3</v>
      </c>
      <c r="CW3116">
        <v>1072862</v>
      </c>
      <c r="CY3116">
        <v>1</v>
      </c>
      <c r="CZ3116">
        <v>0</v>
      </c>
      <c r="DA3116">
        <v>1</v>
      </c>
      <c r="DB3116">
        <v>0</v>
      </c>
      <c r="DC3116">
        <v>0</v>
      </c>
      <c r="DD3116">
        <v>0</v>
      </c>
      <c r="DE3116">
        <v>0</v>
      </c>
      <c r="DF3116">
        <v>0</v>
      </c>
      <c r="DG3116">
        <v>0</v>
      </c>
      <c r="DH3116">
        <v>0</v>
      </c>
      <c r="DI3116">
        <v>0</v>
      </c>
    </row>
    <row r="3117" spans="1:113" x14ac:dyDescent="0.3">
      <c r="A3117" t="str">
        <f>"02/08/2021 20:31:20.336"</f>
        <v>02/08/2021 20:31:20.336</v>
      </c>
      <c r="C3117" t="str">
        <f t="shared" si="148"/>
        <v>FFDFD7C0</v>
      </c>
      <c r="D3117" t="s">
        <v>124</v>
      </c>
      <c r="E3117">
        <v>13</v>
      </c>
      <c r="F3117">
        <v>1013</v>
      </c>
      <c r="G3117" t="s">
        <v>114</v>
      </c>
      <c r="J3117" t="s">
        <v>125</v>
      </c>
      <c r="K3117">
        <v>0</v>
      </c>
      <c r="L3117">
        <v>3</v>
      </c>
      <c r="M3117">
        <v>0</v>
      </c>
      <c r="N3117">
        <v>2</v>
      </c>
      <c r="O3117">
        <v>1</v>
      </c>
      <c r="P3117">
        <v>0</v>
      </c>
      <c r="Q3117">
        <v>0</v>
      </c>
      <c r="S3117" t="str">
        <f>"20:31:22.695"</f>
        <v>20:31:22.695</v>
      </c>
      <c r="T3117" t="str">
        <f>"20:31:22.295"</f>
        <v>20:31:22.295</v>
      </c>
      <c r="U3117" t="str">
        <f t="shared" si="150"/>
        <v>AB01F4</v>
      </c>
      <c r="V3117">
        <v>0</v>
      </c>
      <c r="W3117">
        <v>0</v>
      </c>
      <c r="X3117">
        <v>2</v>
      </c>
      <c r="Z3117">
        <v>0</v>
      </c>
      <c r="AA3117">
        <v>9</v>
      </c>
      <c r="AB3117">
        <v>3</v>
      </c>
      <c r="AC3117">
        <v>0</v>
      </c>
      <c r="AD3117">
        <v>10</v>
      </c>
      <c r="AE3117">
        <v>0</v>
      </c>
      <c r="AF3117">
        <v>3</v>
      </c>
      <c r="AG3117">
        <v>2</v>
      </c>
      <c r="AH3117">
        <v>0</v>
      </c>
      <c r="AI3117" t="s">
        <v>1807</v>
      </c>
      <c r="AJ3117">
        <v>40.047955999999999</v>
      </c>
      <c r="AK3117" t="s">
        <v>1808</v>
      </c>
      <c r="AL3117">
        <v>-92.889533</v>
      </c>
      <c r="AM3117">
        <v>100</v>
      </c>
      <c r="AN3117">
        <v>1300</v>
      </c>
      <c r="AO3117" t="s">
        <v>118</v>
      </c>
      <c r="AP3117">
        <v>-118</v>
      </c>
      <c r="AQ3117">
        <v>62</v>
      </c>
      <c r="AR3117">
        <v>-64</v>
      </c>
      <c r="AZ3117">
        <v>1200</v>
      </c>
      <c r="BA3117">
        <v>1</v>
      </c>
      <c r="BB3117" t="str">
        <f t="shared" si="149"/>
        <v xml:space="preserve">N8080G  </v>
      </c>
      <c r="BC3117">
        <v>1</v>
      </c>
      <c r="BE3117">
        <v>0</v>
      </c>
      <c r="BF3117">
        <v>0</v>
      </c>
      <c r="BG3117">
        <v>0</v>
      </c>
      <c r="BH3117">
        <v>1325</v>
      </c>
      <c r="BI3117">
        <v>1</v>
      </c>
      <c r="BJ3117">
        <v>1</v>
      </c>
      <c r="BK3117">
        <v>1</v>
      </c>
      <c r="BL3117">
        <v>0</v>
      </c>
      <c r="BO3117">
        <v>0</v>
      </c>
      <c r="BP3117">
        <v>0</v>
      </c>
      <c r="BW3117" t="str">
        <f>"20:31:22.696"</f>
        <v>20:31:22.696</v>
      </c>
      <c r="BZ3117">
        <v>0</v>
      </c>
      <c r="CA3117">
        <v>1600</v>
      </c>
      <c r="CB3117">
        <v>224</v>
      </c>
      <c r="CD3117">
        <v>1</v>
      </c>
      <c r="CE3117">
        <v>0</v>
      </c>
      <c r="CF3117">
        <v>0</v>
      </c>
      <c r="CG3117">
        <v>1</v>
      </c>
      <c r="CH3117">
        <v>0</v>
      </c>
      <c r="CI3117">
        <v>0</v>
      </c>
      <c r="CJ3117">
        <v>0</v>
      </c>
      <c r="CK3117">
        <v>2</v>
      </c>
      <c r="CL3117">
        <v>0</v>
      </c>
      <c r="CM3117">
        <v>2</v>
      </c>
      <c r="CN3117">
        <v>0</v>
      </c>
      <c r="CO3117">
        <v>7</v>
      </c>
      <c r="CP3117" t="s">
        <v>119</v>
      </c>
      <c r="CQ3117">
        <v>180</v>
      </c>
      <c r="CR3117">
        <v>3</v>
      </c>
      <c r="CW3117">
        <v>1072862</v>
      </c>
      <c r="CY3117">
        <v>1</v>
      </c>
      <c r="CZ3117">
        <v>0</v>
      </c>
      <c r="DA3117">
        <v>1</v>
      </c>
      <c r="DB3117">
        <v>0</v>
      </c>
      <c r="DC3117">
        <v>0</v>
      </c>
      <c r="DD3117">
        <v>0</v>
      </c>
      <c r="DE3117">
        <v>0</v>
      </c>
      <c r="DF3117">
        <v>0</v>
      </c>
      <c r="DG3117">
        <v>0</v>
      </c>
      <c r="DH3117">
        <v>0</v>
      </c>
      <c r="DI3117">
        <v>0</v>
      </c>
    </row>
    <row r="3118" spans="1:113" x14ac:dyDescent="0.3">
      <c r="A3118" t="str">
        <f>"02/08/2021 20:31:20.336"</f>
        <v>02/08/2021 20:31:20.336</v>
      </c>
      <c r="C3118" t="str">
        <f t="shared" si="148"/>
        <v>FFDFD7C0</v>
      </c>
      <c r="D3118" t="s">
        <v>124</v>
      </c>
      <c r="E3118">
        <v>12</v>
      </c>
      <c r="F3118">
        <v>1012</v>
      </c>
      <c r="G3118" t="s">
        <v>675</v>
      </c>
      <c r="J3118" t="s">
        <v>125</v>
      </c>
      <c r="K3118">
        <v>0</v>
      </c>
      <c r="L3118">
        <v>3</v>
      </c>
      <c r="M3118">
        <v>0</v>
      </c>
      <c r="N3118">
        <v>2</v>
      </c>
      <c r="O3118">
        <v>1</v>
      </c>
      <c r="P3118">
        <v>0</v>
      </c>
      <c r="Q3118">
        <v>0</v>
      </c>
      <c r="S3118" t="str">
        <f>"20:31:22.695"</f>
        <v>20:31:22.695</v>
      </c>
      <c r="T3118" t="str">
        <f>"20:31:22.295"</f>
        <v>20:31:22.295</v>
      </c>
      <c r="U3118" t="str">
        <f t="shared" si="150"/>
        <v>AB01F4</v>
      </c>
      <c r="V3118">
        <v>0</v>
      </c>
      <c r="W3118">
        <v>0</v>
      </c>
      <c r="X3118">
        <v>2</v>
      </c>
      <c r="Z3118">
        <v>0</v>
      </c>
      <c r="AA3118">
        <v>9</v>
      </c>
      <c r="AB3118">
        <v>3</v>
      </c>
      <c r="AC3118">
        <v>0</v>
      </c>
      <c r="AD3118">
        <v>10</v>
      </c>
      <c r="AE3118">
        <v>0</v>
      </c>
      <c r="AF3118">
        <v>3</v>
      </c>
      <c r="AG3118">
        <v>2</v>
      </c>
      <c r="AH3118">
        <v>0</v>
      </c>
      <c r="AI3118" t="s">
        <v>1807</v>
      </c>
      <c r="AJ3118">
        <v>40.047955999999999</v>
      </c>
      <c r="AK3118" t="s">
        <v>1808</v>
      </c>
      <c r="AL3118">
        <v>-92.889533</v>
      </c>
      <c r="AM3118">
        <v>100</v>
      </c>
      <c r="AN3118">
        <v>1300</v>
      </c>
      <c r="AO3118" t="s">
        <v>118</v>
      </c>
      <c r="AP3118">
        <v>-118</v>
      </c>
      <c r="AQ3118">
        <v>62</v>
      </c>
      <c r="AR3118">
        <v>-64</v>
      </c>
      <c r="AZ3118">
        <v>1200</v>
      </c>
      <c r="BA3118">
        <v>1</v>
      </c>
      <c r="BB3118" t="str">
        <f t="shared" si="149"/>
        <v xml:space="preserve">N8080G  </v>
      </c>
      <c r="BC3118">
        <v>1</v>
      </c>
      <c r="BE3118">
        <v>0</v>
      </c>
      <c r="BF3118">
        <v>0</v>
      </c>
      <c r="BG3118">
        <v>0</v>
      </c>
      <c r="BH3118">
        <v>1325</v>
      </c>
      <c r="BI3118">
        <v>1</v>
      </c>
      <c r="BJ3118">
        <v>1</v>
      </c>
      <c r="BK3118">
        <v>1</v>
      </c>
      <c r="BL3118">
        <v>0</v>
      </c>
      <c r="BO3118">
        <v>0</v>
      </c>
      <c r="BP3118">
        <v>0</v>
      </c>
      <c r="BW3118" t="str">
        <f>"20:31:22.696"</f>
        <v>20:31:22.696</v>
      </c>
      <c r="BZ3118">
        <v>0</v>
      </c>
      <c r="CA3118">
        <v>1600</v>
      </c>
      <c r="CB3118">
        <v>224</v>
      </c>
      <c r="CD3118">
        <v>1</v>
      </c>
      <c r="CE3118">
        <v>0</v>
      </c>
      <c r="CF3118">
        <v>0</v>
      </c>
      <c r="CG3118">
        <v>1</v>
      </c>
      <c r="CH3118">
        <v>0</v>
      </c>
      <c r="CI3118">
        <v>0</v>
      </c>
      <c r="CJ3118">
        <v>0</v>
      </c>
      <c r="CK3118">
        <v>2</v>
      </c>
      <c r="CL3118">
        <v>0</v>
      </c>
      <c r="CM3118">
        <v>2</v>
      </c>
      <c r="CN3118">
        <v>0</v>
      </c>
      <c r="CO3118">
        <v>7</v>
      </c>
      <c r="CP3118" t="s">
        <v>119</v>
      </c>
      <c r="CQ3118">
        <v>180</v>
      </c>
      <c r="CR3118">
        <v>3</v>
      </c>
      <c r="CW3118">
        <v>1072862</v>
      </c>
      <c r="CY3118">
        <v>1</v>
      </c>
      <c r="CZ3118">
        <v>0</v>
      </c>
      <c r="DA3118">
        <v>1</v>
      </c>
      <c r="DB3118">
        <v>0</v>
      </c>
      <c r="DC3118">
        <v>0</v>
      </c>
      <c r="DD3118">
        <v>0</v>
      </c>
      <c r="DE3118">
        <v>0</v>
      </c>
      <c r="DF3118">
        <v>0</v>
      </c>
      <c r="DG3118">
        <v>0</v>
      </c>
      <c r="DH3118">
        <v>0</v>
      </c>
      <c r="DI3118">
        <v>0</v>
      </c>
    </row>
    <row r="3119" spans="1:113" x14ac:dyDescent="0.3">
      <c r="A3119" t="str">
        <f>"02/08/2021 20:31:21.328"</f>
        <v>02/08/2021 20:31:21.328</v>
      </c>
      <c r="C3119" t="str">
        <f t="shared" ref="C3119:C3182" si="151">"FFDFD7C0"</f>
        <v>FFDFD7C0</v>
      </c>
      <c r="D3119" t="s">
        <v>124</v>
      </c>
      <c r="E3119">
        <v>12</v>
      </c>
      <c r="F3119">
        <v>1012</v>
      </c>
      <c r="G3119" t="s">
        <v>675</v>
      </c>
      <c r="J3119" t="s">
        <v>125</v>
      </c>
      <c r="K3119">
        <v>0</v>
      </c>
      <c r="L3119">
        <v>3</v>
      </c>
      <c r="M3119">
        <v>0</v>
      </c>
      <c r="N3119">
        <v>2</v>
      </c>
      <c r="O3119">
        <v>1</v>
      </c>
      <c r="P3119">
        <v>0</v>
      </c>
      <c r="Q3119">
        <v>0</v>
      </c>
      <c r="S3119" t="str">
        <f>"20:31:23.648"</f>
        <v>20:31:23.648</v>
      </c>
      <c r="T3119" t="str">
        <f>"20:31:23.248"</f>
        <v>20:31:23.248</v>
      </c>
      <c r="U3119" t="str">
        <f t="shared" si="150"/>
        <v>AB01F4</v>
      </c>
      <c r="V3119">
        <v>0</v>
      </c>
      <c r="W3119">
        <v>0</v>
      </c>
      <c r="X3119">
        <v>2</v>
      </c>
      <c r="Z3119">
        <v>0</v>
      </c>
      <c r="AA3119">
        <v>9</v>
      </c>
      <c r="AB3119">
        <v>3</v>
      </c>
      <c r="AC3119">
        <v>0</v>
      </c>
      <c r="AD3119">
        <v>10</v>
      </c>
      <c r="AE3119">
        <v>0</v>
      </c>
      <c r="AF3119">
        <v>3</v>
      </c>
      <c r="AG3119">
        <v>2</v>
      </c>
      <c r="AH3119">
        <v>0</v>
      </c>
      <c r="AI3119" t="s">
        <v>1809</v>
      </c>
      <c r="AJ3119">
        <v>40.048276999999999</v>
      </c>
      <c r="AK3119" t="s">
        <v>1810</v>
      </c>
      <c r="AL3119">
        <v>-92.890283999999994</v>
      </c>
      <c r="AM3119">
        <v>100</v>
      </c>
      <c r="AN3119">
        <v>1300</v>
      </c>
      <c r="AO3119" t="s">
        <v>118</v>
      </c>
      <c r="AP3119">
        <v>-118</v>
      </c>
      <c r="AQ3119">
        <v>62</v>
      </c>
      <c r="AR3119">
        <v>-128</v>
      </c>
      <c r="AZ3119">
        <v>1200</v>
      </c>
      <c r="BA3119">
        <v>1</v>
      </c>
      <c r="BB3119" t="str">
        <f t="shared" ref="BB3119:BB3182" si="152">"N8080G  "</f>
        <v xml:space="preserve">N8080G  </v>
      </c>
      <c r="BC3119">
        <v>1</v>
      </c>
      <c r="BE3119">
        <v>0</v>
      </c>
      <c r="BF3119">
        <v>0</v>
      </c>
      <c r="BG3119">
        <v>0</v>
      </c>
      <c r="BH3119">
        <v>1325</v>
      </c>
      <c r="BI3119">
        <v>1</v>
      </c>
      <c r="BJ3119">
        <v>1</v>
      </c>
      <c r="BK3119">
        <v>1</v>
      </c>
      <c r="BL3119">
        <v>0</v>
      </c>
      <c r="BO3119">
        <v>0</v>
      </c>
      <c r="BP3119">
        <v>0</v>
      </c>
      <c r="BW3119" t="str">
        <f>"20:31:23.656"</f>
        <v>20:31:23.656</v>
      </c>
      <c r="BZ3119">
        <v>0</v>
      </c>
      <c r="CA3119">
        <v>1600</v>
      </c>
      <c r="CB3119">
        <v>224</v>
      </c>
      <c r="CD3119">
        <v>1</v>
      </c>
      <c r="CE3119">
        <v>0</v>
      </c>
      <c r="CF3119">
        <v>0</v>
      </c>
      <c r="CG3119">
        <v>1</v>
      </c>
      <c r="CH3119">
        <v>0</v>
      </c>
      <c r="CI3119">
        <v>0</v>
      </c>
      <c r="CJ3119">
        <v>0</v>
      </c>
      <c r="CK3119">
        <v>2</v>
      </c>
      <c r="CL3119">
        <v>0</v>
      </c>
      <c r="CM3119">
        <v>2</v>
      </c>
      <c r="CN3119">
        <v>0</v>
      </c>
      <c r="CO3119">
        <v>7</v>
      </c>
      <c r="CP3119" t="s">
        <v>119</v>
      </c>
      <c r="CQ3119">
        <v>180</v>
      </c>
      <c r="CR3119">
        <v>3</v>
      </c>
      <c r="CW3119">
        <v>1073626</v>
      </c>
      <c r="CY3119">
        <v>1</v>
      </c>
      <c r="CZ3119">
        <v>0</v>
      </c>
      <c r="DA3119">
        <v>0</v>
      </c>
      <c r="DB3119">
        <v>0</v>
      </c>
      <c r="DC3119">
        <v>0</v>
      </c>
      <c r="DD3119">
        <v>0</v>
      </c>
      <c r="DE3119">
        <v>0</v>
      </c>
      <c r="DF3119">
        <v>0</v>
      </c>
      <c r="DG3119">
        <v>0</v>
      </c>
      <c r="DH3119">
        <v>0</v>
      </c>
      <c r="DI3119">
        <v>0</v>
      </c>
    </row>
    <row r="3120" spans="1:113" x14ac:dyDescent="0.3">
      <c r="A3120" t="str">
        <f>"02/08/2021 20:31:21.328"</f>
        <v>02/08/2021 20:31:21.328</v>
      </c>
      <c r="C3120" t="str">
        <f t="shared" si="151"/>
        <v>FFDFD7C0</v>
      </c>
      <c r="D3120" t="s">
        <v>124</v>
      </c>
      <c r="E3120">
        <v>11</v>
      </c>
      <c r="F3120">
        <v>1011</v>
      </c>
      <c r="G3120" t="s">
        <v>590</v>
      </c>
      <c r="J3120" t="s">
        <v>125</v>
      </c>
      <c r="K3120">
        <v>0</v>
      </c>
      <c r="L3120">
        <v>3</v>
      </c>
      <c r="M3120">
        <v>0</v>
      </c>
      <c r="N3120">
        <v>2</v>
      </c>
      <c r="O3120">
        <v>1</v>
      </c>
      <c r="P3120">
        <v>0</v>
      </c>
      <c r="Q3120">
        <v>0</v>
      </c>
      <c r="S3120" t="str">
        <f>"20:31:23.648"</f>
        <v>20:31:23.648</v>
      </c>
      <c r="T3120" t="str">
        <f>"20:31:23.248"</f>
        <v>20:31:23.248</v>
      </c>
      <c r="U3120" t="str">
        <f t="shared" si="150"/>
        <v>AB01F4</v>
      </c>
      <c r="V3120">
        <v>0</v>
      </c>
      <c r="W3120">
        <v>0</v>
      </c>
      <c r="X3120">
        <v>2</v>
      </c>
      <c r="Z3120">
        <v>0</v>
      </c>
      <c r="AA3120">
        <v>9</v>
      </c>
      <c r="AB3120">
        <v>3</v>
      </c>
      <c r="AC3120">
        <v>0</v>
      </c>
      <c r="AD3120">
        <v>10</v>
      </c>
      <c r="AE3120">
        <v>0</v>
      </c>
      <c r="AF3120">
        <v>3</v>
      </c>
      <c r="AG3120">
        <v>2</v>
      </c>
      <c r="AH3120">
        <v>0</v>
      </c>
      <c r="AI3120" t="s">
        <v>1809</v>
      </c>
      <c r="AJ3120">
        <v>40.048276999999999</v>
      </c>
      <c r="AK3120" t="s">
        <v>1810</v>
      </c>
      <c r="AL3120">
        <v>-92.890283999999994</v>
      </c>
      <c r="AM3120">
        <v>100</v>
      </c>
      <c r="AN3120">
        <v>1300</v>
      </c>
      <c r="AO3120" t="s">
        <v>118</v>
      </c>
      <c r="AP3120">
        <v>-118</v>
      </c>
      <c r="AQ3120">
        <v>62</v>
      </c>
      <c r="AR3120">
        <v>-128</v>
      </c>
      <c r="AZ3120">
        <v>1200</v>
      </c>
      <c r="BA3120">
        <v>1</v>
      </c>
      <c r="BB3120" t="str">
        <f t="shared" si="152"/>
        <v xml:space="preserve">N8080G  </v>
      </c>
      <c r="BC3120">
        <v>1</v>
      </c>
      <c r="BE3120">
        <v>0</v>
      </c>
      <c r="BF3120">
        <v>0</v>
      </c>
      <c r="BG3120">
        <v>0</v>
      </c>
      <c r="BH3120">
        <v>1325</v>
      </c>
      <c r="BI3120">
        <v>1</v>
      </c>
      <c r="BJ3120">
        <v>1</v>
      </c>
      <c r="BK3120">
        <v>1</v>
      </c>
      <c r="BL3120">
        <v>0</v>
      </c>
      <c r="BO3120">
        <v>0</v>
      </c>
      <c r="BP3120">
        <v>0</v>
      </c>
      <c r="BW3120" t="str">
        <f>"20:31:23.656"</f>
        <v>20:31:23.656</v>
      </c>
      <c r="BZ3120">
        <v>0</v>
      </c>
      <c r="CA3120">
        <v>1600</v>
      </c>
      <c r="CB3120">
        <v>224</v>
      </c>
      <c r="CD3120">
        <v>1</v>
      </c>
      <c r="CE3120">
        <v>0</v>
      </c>
      <c r="CF3120">
        <v>0</v>
      </c>
      <c r="CG3120">
        <v>1</v>
      </c>
      <c r="CH3120">
        <v>0</v>
      </c>
      <c r="CI3120">
        <v>0</v>
      </c>
      <c r="CJ3120">
        <v>0</v>
      </c>
      <c r="CK3120">
        <v>2</v>
      </c>
      <c r="CL3120">
        <v>0</v>
      </c>
      <c r="CM3120">
        <v>2</v>
      </c>
      <c r="CN3120">
        <v>0</v>
      </c>
      <c r="CO3120">
        <v>7</v>
      </c>
      <c r="CP3120" t="s">
        <v>119</v>
      </c>
      <c r="CQ3120">
        <v>180</v>
      </c>
      <c r="CR3120">
        <v>3</v>
      </c>
      <c r="CW3120">
        <v>1073626</v>
      </c>
      <c r="CY3120">
        <v>1</v>
      </c>
      <c r="CZ3120">
        <v>0</v>
      </c>
      <c r="DA3120">
        <v>1</v>
      </c>
      <c r="DB3120">
        <v>0</v>
      </c>
      <c r="DC3120">
        <v>0</v>
      </c>
      <c r="DD3120">
        <v>0</v>
      </c>
      <c r="DE3120">
        <v>0</v>
      </c>
      <c r="DF3120">
        <v>0</v>
      </c>
      <c r="DG3120">
        <v>0</v>
      </c>
      <c r="DH3120">
        <v>0</v>
      </c>
      <c r="DI3120">
        <v>0</v>
      </c>
    </row>
    <row r="3121" spans="1:113" x14ac:dyDescent="0.3">
      <c r="A3121" t="str">
        <f>"02/08/2021 20:31:21.328"</f>
        <v>02/08/2021 20:31:21.328</v>
      </c>
      <c r="C3121" t="str">
        <f t="shared" si="151"/>
        <v>FFDFD7C0</v>
      </c>
      <c r="D3121" t="s">
        <v>113</v>
      </c>
      <c r="E3121">
        <v>6</v>
      </c>
      <c r="H3121">
        <v>165</v>
      </c>
      <c r="I3121" t="s">
        <v>114</v>
      </c>
      <c r="J3121" t="s">
        <v>115</v>
      </c>
      <c r="K3121">
        <v>0</v>
      </c>
      <c r="L3121">
        <v>3</v>
      </c>
      <c r="M3121">
        <v>0</v>
      </c>
      <c r="N3121">
        <v>2</v>
      </c>
      <c r="O3121">
        <v>1</v>
      </c>
      <c r="P3121">
        <v>0</v>
      </c>
      <c r="Q3121">
        <v>0</v>
      </c>
      <c r="S3121" t="str">
        <f>"20:31:23.648"</f>
        <v>20:31:23.648</v>
      </c>
      <c r="T3121" t="str">
        <f>"20:31:23.248"</f>
        <v>20:31:23.248</v>
      </c>
      <c r="U3121" t="str">
        <f t="shared" si="150"/>
        <v>AB01F4</v>
      </c>
      <c r="V3121">
        <v>0</v>
      </c>
      <c r="W3121">
        <v>0</v>
      </c>
      <c r="X3121">
        <v>2</v>
      </c>
      <c r="Z3121">
        <v>0</v>
      </c>
      <c r="AA3121">
        <v>9</v>
      </c>
      <c r="AB3121">
        <v>3</v>
      </c>
      <c r="AC3121">
        <v>0</v>
      </c>
      <c r="AD3121">
        <v>10</v>
      </c>
      <c r="AE3121">
        <v>0</v>
      </c>
      <c r="AF3121">
        <v>3</v>
      </c>
      <c r="AG3121">
        <v>2</v>
      </c>
      <c r="AH3121">
        <v>0</v>
      </c>
      <c r="AI3121" t="s">
        <v>1809</v>
      </c>
      <c r="AJ3121">
        <v>40.048276999999999</v>
      </c>
      <c r="AK3121" t="s">
        <v>1810</v>
      </c>
      <c r="AL3121">
        <v>-92.890283999999994</v>
      </c>
      <c r="AM3121">
        <v>100</v>
      </c>
      <c r="AN3121">
        <v>1300</v>
      </c>
      <c r="AO3121" t="s">
        <v>118</v>
      </c>
      <c r="AP3121">
        <v>-118</v>
      </c>
      <c r="AQ3121">
        <v>62</v>
      </c>
      <c r="AR3121">
        <v>-128</v>
      </c>
      <c r="AZ3121">
        <v>1200</v>
      </c>
      <c r="BA3121">
        <v>1</v>
      </c>
      <c r="BB3121" t="str">
        <f t="shared" si="152"/>
        <v xml:space="preserve">N8080G  </v>
      </c>
      <c r="BC3121">
        <v>1</v>
      </c>
      <c r="BE3121">
        <v>0</v>
      </c>
      <c r="BF3121">
        <v>0</v>
      </c>
      <c r="BG3121">
        <v>0</v>
      </c>
      <c r="BH3121">
        <v>1325</v>
      </c>
      <c r="BI3121">
        <v>1</v>
      </c>
      <c r="BJ3121">
        <v>1</v>
      </c>
      <c r="BK3121">
        <v>1</v>
      </c>
      <c r="BL3121">
        <v>0</v>
      </c>
      <c r="BO3121">
        <v>0</v>
      </c>
      <c r="BP3121">
        <v>0</v>
      </c>
      <c r="BW3121" t="str">
        <f>"20:31:23.656"</f>
        <v>20:31:23.656</v>
      </c>
      <c r="BZ3121">
        <v>0</v>
      </c>
      <c r="CA3121">
        <v>1600</v>
      </c>
      <c r="CB3121">
        <v>224</v>
      </c>
      <c r="CD3121">
        <v>1</v>
      </c>
      <c r="CE3121">
        <v>0</v>
      </c>
      <c r="CF3121">
        <v>0</v>
      </c>
      <c r="CG3121">
        <v>1</v>
      </c>
      <c r="CH3121">
        <v>0</v>
      </c>
      <c r="CI3121">
        <v>0</v>
      </c>
      <c r="CJ3121">
        <v>0</v>
      </c>
      <c r="CK3121">
        <v>2</v>
      </c>
      <c r="CL3121">
        <v>0</v>
      </c>
      <c r="CM3121">
        <v>2</v>
      </c>
      <c r="CN3121">
        <v>0</v>
      </c>
      <c r="CO3121">
        <v>7</v>
      </c>
      <c r="CP3121" t="s">
        <v>119</v>
      </c>
      <c r="CQ3121">
        <v>180</v>
      </c>
      <c r="CR3121">
        <v>3</v>
      </c>
      <c r="CW3121">
        <v>1073626</v>
      </c>
      <c r="CY3121">
        <v>1</v>
      </c>
      <c r="CZ3121">
        <v>0</v>
      </c>
      <c r="DA3121">
        <v>1</v>
      </c>
      <c r="DB3121">
        <v>0</v>
      </c>
      <c r="DC3121">
        <v>0</v>
      </c>
      <c r="DD3121">
        <v>0</v>
      </c>
      <c r="DE3121">
        <v>0</v>
      </c>
      <c r="DF3121">
        <v>0</v>
      </c>
      <c r="DG3121">
        <v>0</v>
      </c>
      <c r="DH3121">
        <v>0</v>
      </c>
      <c r="DI3121">
        <v>0</v>
      </c>
    </row>
    <row r="3122" spans="1:113" x14ac:dyDescent="0.3">
      <c r="A3122" t="str">
        <f>"02/08/2021 20:31:21.328"</f>
        <v>02/08/2021 20:31:21.328</v>
      </c>
      <c r="C3122" t="str">
        <f t="shared" si="151"/>
        <v>FFDFD7C0</v>
      </c>
      <c r="D3122" t="s">
        <v>124</v>
      </c>
      <c r="E3122">
        <v>13</v>
      </c>
      <c r="F3122">
        <v>1013</v>
      </c>
      <c r="G3122" t="s">
        <v>114</v>
      </c>
      <c r="J3122" t="s">
        <v>125</v>
      </c>
      <c r="K3122">
        <v>0</v>
      </c>
      <c r="L3122">
        <v>3</v>
      </c>
      <c r="M3122">
        <v>0</v>
      </c>
      <c r="N3122">
        <v>2</v>
      </c>
      <c r="O3122">
        <v>1</v>
      </c>
      <c r="P3122">
        <v>0</v>
      </c>
      <c r="Q3122">
        <v>0</v>
      </c>
      <c r="S3122" t="str">
        <f>"20:31:23.648"</f>
        <v>20:31:23.648</v>
      </c>
      <c r="T3122" t="str">
        <f>"20:31:23.248"</f>
        <v>20:31:23.248</v>
      </c>
      <c r="U3122" t="str">
        <f t="shared" si="150"/>
        <v>AB01F4</v>
      </c>
      <c r="V3122">
        <v>0</v>
      </c>
      <c r="W3122">
        <v>0</v>
      </c>
      <c r="X3122">
        <v>2</v>
      </c>
      <c r="Z3122">
        <v>0</v>
      </c>
      <c r="AA3122">
        <v>9</v>
      </c>
      <c r="AB3122">
        <v>3</v>
      </c>
      <c r="AC3122">
        <v>0</v>
      </c>
      <c r="AD3122">
        <v>10</v>
      </c>
      <c r="AE3122">
        <v>0</v>
      </c>
      <c r="AF3122">
        <v>3</v>
      </c>
      <c r="AG3122">
        <v>2</v>
      </c>
      <c r="AH3122">
        <v>0</v>
      </c>
      <c r="AI3122" t="s">
        <v>1809</v>
      </c>
      <c r="AJ3122">
        <v>40.048276999999999</v>
      </c>
      <c r="AK3122" t="s">
        <v>1810</v>
      </c>
      <c r="AL3122">
        <v>-92.890283999999994</v>
      </c>
      <c r="AM3122">
        <v>100</v>
      </c>
      <c r="AN3122">
        <v>1300</v>
      </c>
      <c r="AO3122" t="s">
        <v>118</v>
      </c>
      <c r="AP3122">
        <v>-118</v>
      </c>
      <c r="AQ3122">
        <v>62</v>
      </c>
      <c r="AR3122">
        <v>-128</v>
      </c>
      <c r="AZ3122">
        <v>1200</v>
      </c>
      <c r="BA3122">
        <v>1</v>
      </c>
      <c r="BB3122" t="str">
        <f t="shared" si="152"/>
        <v xml:space="preserve">N8080G  </v>
      </c>
      <c r="BC3122">
        <v>1</v>
      </c>
      <c r="BE3122">
        <v>0</v>
      </c>
      <c r="BF3122">
        <v>0</v>
      </c>
      <c r="BG3122">
        <v>0</v>
      </c>
      <c r="BH3122">
        <v>1325</v>
      </c>
      <c r="BI3122">
        <v>1</v>
      </c>
      <c r="BJ3122">
        <v>1</v>
      </c>
      <c r="BK3122">
        <v>1</v>
      </c>
      <c r="BL3122">
        <v>0</v>
      </c>
      <c r="BO3122">
        <v>0</v>
      </c>
      <c r="BP3122">
        <v>0</v>
      </c>
      <c r="BW3122" t="str">
        <f>"20:31:23.656"</f>
        <v>20:31:23.656</v>
      </c>
      <c r="BZ3122">
        <v>0</v>
      </c>
      <c r="CA3122">
        <v>1600</v>
      </c>
      <c r="CB3122">
        <v>224</v>
      </c>
      <c r="CD3122">
        <v>1</v>
      </c>
      <c r="CE3122">
        <v>0</v>
      </c>
      <c r="CF3122">
        <v>0</v>
      </c>
      <c r="CG3122">
        <v>1</v>
      </c>
      <c r="CH3122">
        <v>0</v>
      </c>
      <c r="CI3122">
        <v>0</v>
      </c>
      <c r="CJ3122">
        <v>0</v>
      </c>
      <c r="CK3122">
        <v>2</v>
      </c>
      <c r="CL3122">
        <v>0</v>
      </c>
      <c r="CM3122">
        <v>2</v>
      </c>
      <c r="CN3122">
        <v>0</v>
      </c>
      <c r="CO3122">
        <v>7</v>
      </c>
      <c r="CP3122" t="s">
        <v>119</v>
      </c>
      <c r="CQ3122">
        <v>180</v>
      </c>
      <c r="CR3122">
        <v>3</v>
      </c>
      <c r="CW3122">
        <v>1073626</v>
      </c>
      <c r="CY3122">
        <v>1</v>
      </c>
      <c r="CZ3122">
        <v>0</v>
      </c>
      <c r="DA3122">
        <v>1</v>
      </c>
      <c r="DB3122">
        <v>0</v>
      </c>
      <c r="DC3122">
        <v>0</v>
      </c>
      <c r="DD3122">
        <v>0</v>
      </c>
      <c r="DE3122">
        <v>0</v>
      </c>
      <c r="DF3122">
        <v>0</v>
      </c>
      <c r="DG3122">
        <v>0</v>
      </c>
      <c r="DH3122">
        <v>0</v>
      </c>
      <c r="DI3122">
        <v>0</v>
      </c>
    </row>
    <row r="3123" spans="1:113" x14ac:dyDescent="0.3">
      <c r="A3123" t="str">
        <f>"02/08/2021 20:31:22.353"</f>
        <v>02/08/2021 20:31:22.353</v>
      </c>
      <c r="C3123" t="str">
        <f t="shared" si="151"/>
        <v>FFDFD7C0</v>
      </c>
      <c r="D3123" t="s">
        <v>124</v>
      </c>
      <c r="E3123">
        <v>11</v>
      </c>
      <c r="F3123">
        <v>1011</v>
      </c>
      <c r="G3123" t="s">
        <v>590</v>
      </c>
      <c r="J3123" t="s">
        <v>125</v>
      </c>
      <c r="K3123">
        <v>0</v>
      </c>
      <c r="L3123">
        <v>3</v>
      </c>
      <c r="M3123">
        <v>0</v>
      </c>
      <c r="N3123">
        <v>2</v>
      </c>
      <c r="O3123">
        <v>1</v>
      </c>
      <c r="P3123">
        <v>0</v>
      </c>
      <c r="Q3123">
        <v>0</v>
      </c>
      <c r="S3123" t="str">
        <f>"20:31:24.695"</f>
        <v>20:31:24.695</v>
      </c>
      <c r="T3123" t="str">
        <f>"20:31:24.195"</f>
        <v>20:31:24.195</v>
      </c>
      <c r="U3123" t="str">
        <f t="shared" si="150"/>
        <v>AB01F4</v>
      </c>
      <c r="V3123">
        <v>0</v>
      </c>
      <c r="W3123">
        <v>0</v>
      </c>
      <c r="X3123">
        <v>2</v>
      </c>
      <c r="Z3123">
        <v>0</v>
      </c>
      <c r="AA3123">
        <v>9</v>
      </c>
      <c r="AB3123">
        <v>3</v>
      </c>
      <c r="AC3123">
        <v>0</v>
      </c>
      <c r="AD3123">
        <v>10</v>
      </c>
      <c r="AE3123">
        <v>0</v>
      </c>
      <c r="AF3123">
        <v>3</v>
      </c>
      <c r="AG3123">
        <v>2</v>
      </c>
      <c r="AH3123">
        <v>0</v>
      </c>
      <c r="AI3123" t="s">
        <v>1811</v>
      </c>
      <c r="AJ3123">
        <v>40.048555999999998</v>
      </c>
      <c r="AK3123" t="s">
        <v>1812</v>
      </c>
      <c r="AL3123">
        <v>-92.890970999999993</v>
      </c>
      <c r="AM3123">
        <v>100</v>
      </c>
      <c r="AN3123">
        <v>1300</v>
      </c>
      <c r="AO3123" t="s">
        <v>118</v>
      </c>
      <c r="AP3123">
        <v>-118</v>
      </c>
      <c r="AQ3123">
        <v>62</v>
      </c>
      <c r="AR3123">
        <v>0</v>
      </c>
      <c r="AZ3123">
        <v>1200</v>
      </c>
      <c r="BA3123">
        <v>1</v>
      </c>
      <c r="BB3123" t="str">
        <f t="shared" si="152"/>
        <v xml:space="preserve">N8080G  </v>
      </c>
      <c r="BC3123">
        <v>1</v>
      </c>
      <c r="BE3123">
        <v>0</v>
      </c>
      <c r="BF3123">
        <v>0</v>
      </c>
      <c r="BG3123">
        <v>0</v>
      </c>
      <c r="BH3123">
        <v>1325</v>
      </c>
      <c r="BI3123">
        <v>1</v>
      </c>
      <c r="BJ3123">
        <v>1</v>
      </c>
      <c r="BK3123">
        <v>1</v>
      </c>
      <c r="BL3123">
        <v>0</v>
      </c>
      <c r="BO3123">
        <v>0</v>
      </c>
      <c r="BP3123">
        <v>0</v>
      </c>
      <c r="BW3123" t="str">
        <f>"20:31:24.698"</f>
        <v>20:31:24.698</v>
      </c>
      <c r="BZ3123">
        <v>0</v>
      </c>
      <c r="CA3123">
        <v>1600</v>
      </c>
      <c r="CB3123">
        <v>224</v>
      </c>
      <c r="CD3123">
        <v>1</v>
      </c>
      <c r="CE3123">
        <v>0</v>
      </c>
      <c r="CF3123">
        <v>0</v>
      </c>
      <c r="CG3123">
        <v>1</v>
      </c>
      <c r="CH3123">
        <v>0</v>
      </c>
      <c r="CI3123">
        <v>0</v>
      </c>
      <c r="CJ3123">
        <v>0</v>
      </c>
      <c r="CK3123">
        <v>2</v>
      </c>
      <c r="CL3123">
        <v>0</v>
      </c>
      <c r="CM3123">
        <v>2</v>
      </c>
      <c r="CN3123">
        <v>0</v>
      </c>
      <c r="CO3123">
        <v>7</v>
      </c>
      <c r="CP3123" t="s">
        <v>119</v>
      </c>
      <c r="CQ3123">
        <v>180</v>
      </c>
      <c r="CR3123">
        <v>3</v>
      </c>
      <c r="CW3123">
        <v>1074517</v>
      </c>
      <c r="CY3123">
        <v>1</v>
      </c>
      <c r="CZ3123">
        <v>0</v>
      </c>
      <c r="DA3123">
        <v>0</v>
      </c>
      <c r="DB3123">
        <v>0</v>
      </c>
      <c r="DC3123">
        <v>0</v>
      </c>
      <c r="DD3123">
        <v>0</v>
      </c>
      <c r="DE3123">
        <v>0</v>
      </c>
      <c r="DF3123">
        <v>0</v>
      </c>
      <c r="DG3123">
        <v>0</v>
      </c>
      <c r="DH3123">
        <v>0</v>
      </c>
      <c r="DI3123">
        <v>0</v>
      </c>
    </row>
    <row r="3124" spans="1:113" x14ac:dyDescent="0.3">
      <c r="A3124" t="str">
        <f>"02/08/2021 20:31:22.353"</f>
        <v>02/08/2021 20:31:22.353</v>
      </c>
      <c r="C3124" t="str">
        <f t="shared" si="151"/>
        <v>FFDFD7C0</v>
      </c>
      <c r="D3124" t="s">
        <v>124</v>
      </c>
      <c r="E3124">
        <v>13</v>
      </c>
      <c r="F3124">
        <v>1013</v>
      </c>
      <c r="G3124" t="s">
        <v>114</v>
      </c>
      <c r="J3124" t="s">
        <v>125</v>
      </c>
      <c r="K3124">
        <v>0</v>
      </c>
      <c r="L3124">
        <v>3</v>
      </c>
      <c r="M3124">
        <v>0</v>
      </c>
      <c r="N3124">
        <v>2</v>
      </c>
      <c r="O3124">
        <v>1</v>
      </c>
      <c r="P3124">
        <v>0</v>
      </c>
      <c r="Q3124">
        <v>0</v>
      </c>
      <c r="S3124" t="str">
        <f>"20:31:24.695"</f>
        <v>20:31:24.695</v>
      </c>
      <c r="T3124" t="str">
        <f>"20:31:24.195"</f>
        <v>20:31:24.195</v>
      </c>
      <c r="U3124" t="str">
        <f t="shared" si="150"/>
        <v>AB01F4</v>
      </c>
      <c r="V3124">
        <v>0</v>
      </c>
      <c r="W3124">
        <v>0</v>
      </c>
      <c r="X3124">
        <v>2</v>
      </c>
      <c r="Z3124">
        <v>0</v>
      </c>
      <c r="AA3124">
        <v>9</v>
      </c>
      <c r="AB3124">
        <v>3</v>
      </c>
      <c r="AC3124">
        <v>0</v>
      </c>
      <c r="AD3124">
        <v>10</v>
      </c>
      <c r="AE3124">
        <v>0</v>
      </c>
      <c r="AF3124">
        <v>3</v>
      </c>
      <c r="AG3124">
        <v>2</v>
      </c>
      <c r="AH3124">
        <v>0</v>
      </c>
      <c r="AI3124" t="s">
        <v>1811</v>
      </c>
      <c r="AJ3124">
        <v>40.048555999999998</v>
      </c>
      <c r="AK3124" t="s">
        <v>1812</v>
      </c>
      <c r="AL3124">
        <v>-92.890970999999993</v>
      </c>
      <c r="AM3124">
        <v>100</v>
      </c>
      <c r="AN3124">
        <v>1300</v>
      </c>
      <c r="AO3124" t="s">
        <v>118</v>
      </c>
      <c r="AP3124">
        <v>-118</v>
      </c>
      <c r="AQ3124">
        <v>62</v>
      </c>
      <c r="AR3124">
        <v>0</v>
      </c>
      <c r="AZ3124">
        <v>1200</v>
      </c>
      <c r="BA3124">
        <v>1</v>
      </c>
      <c r="BB3124" t="str">
        <f t="shared" si="152"/>
        <v xml:space="preserve">N8080G  </v>
      </c>
      <c r="BC3124">
        <v>1</v>
      </c>
      <c r="BE3124">
        <v>0</v>
      </c>
      <c r="BF3124">
        <v>0</v>
      </c>
      <c r="BG3124">
        <v>0</v>
      </c>
      <c r="BH3124">
        <v>1325</v>
      </c>
      <c r="BI3124">
        <v>1</v>
      </c>
      <c r="BJ3124">
        <v>1</v>
      </c>
      <c r="BK3124">
        <v>1</v>
      </c>
      <c r="BL3124">
        <v>0</v>
      </c>
      <c r="BO3124">
        <v>0</v>
      </c>
      <c r="BP3124">
        <v>0</v>
      </c>
      <c r="BW3124" t="str">
        <f>"20:31:24.698"</f>
        <v>20:31:24.698</v>
      </c>
      <c r="BZ3124">
        <v>0</v>
      </c>
      <c r="CA3124">
        <v>1600</v>
      </c>
      <c r="CB3124">
        <v>224</v>
      </c>
      <c r="CD3124">
        <v>1</v>
      </c>
      <c r="CE3124">
        <v>0</v>
      </c>
      <c r="CF3124">
        <v>0</v>
      </c>
      <c r="CG3124">
        <v>1</v>
      </c>
      <c r="CH3124">
        <v>0</v>
      </c>
      <c r="CI3124">
        <v>0</v>
      </c>
      <c r="CJ3124">
        <v>0</v>
      </c>
      <c r="CK3124">
        <v>2</v>
      </c>
      <c r="CL3124">
        <v>0</v>
      </c>
      <c r="CM3124">
        <v>2</v>
      </c>
      <c r="CN3124">
        <v>0</v>
      </c>
      <c r="CO3124">
        <v>7</v>
      </c>
      <c r="CP3124" t="s">
        <v>119</v>
      </c>
      <c r="CQ3124">
        <v>180</v>
      </c>
      <c r="CR3124">
        <v>3</v>
      </c>
      <c r="CW3124">
        <v>1074517</v>
      </c>
      <c r="CY3124">
        <v>1</v>
      </c>
      <c r="CZ3124">
        <v>0</v>
      </c>
      <c r="DA3124">
        <v>1</v>
      </c>
      <c r="DB3124">
        <v>0</v>
      </c>
      <c r="DC3124">
        <v>0</v>
      </c>
      <c r="DD3124">
        <v>0</v>
      </c>
      <c r="DE3124">
        <v>0</v>
      </c>
      <c r="DF3124">
        <v>0</v>
      </c>
      <c r="DG3124">
        <v>0</v>
      </c>
      <c r="DH3124">
        <v>0</v>
      </c>
      <c r="DI3124">
        <v>0</v>
      </c>
    </row>
    <row r="3125" spans="1:113" x14ac:dyDescent="0.3">
      <c r="A3125" t="str">
        <f>"02/08/2021 20:31:22.353"</f>
        <v>02/08/2021 20:31:22.353</v>
      </c>
      <c r="C3125" t="str">
        <f t="shared" si="151"/>
        <v>FFDFD7C0</v>
      </c>
      <c r="D3125" t="s">
        <v>113</v>
      </c>
      <c r="E3125">
        <v>6</v>
      </c>
      <c r="H3125">
        <v>165</v>
      </c>
      <c r="I3125" t="s">
        <v>114</v>
      </c>
      <c r="J3125" t="s">
        <v>115</v>
      </c>
      <c r="K3125">
        <v>0</v>
      </c>
      <c r="L3125">
        <v>3</v>
      </c>
      <c r="M3125">
        <v>0</v>
      </c>
      <c r="N3125">
        <v>2</v>
      </c>
      <c r="O3125">
        <v>1</v>
      </c>
      <c r="P3125">
        <v>0</v>
      </c>
      <c r="Q3125">
        <v>0</v>
      </c>
      <c r="S3125" t="str">
        <f>"20:31:24.695"</f>
        <v>20:31:24.695</v>
      </c>
      <c r="T3125" t="str">
        <f>"20:31:24.195"</f>
        <v>20:31:24.195</v>
      </c>
      <c r="U3125" t="str">
        <f t="shared" si="150"/>
        <v>AB01F4</v>
      </c>
      <c r="V3125">
        <v>0</v>
      </c>
      <c r="W3125">
        <v>0</v>
      </c>
      <c r="X3125">
        <v>2</v>
      </c>
      <c r="Z3125">
        <v>0</v>
      </c>
      <c r="AA3125">
        <v>9</v>
      </c>
      <c r="AB3125">
        <v>3</v>
      </c>
      <c r="AC3125">
        <v>0</v>
      </c>
      <c r="AD3125">
        <v>10</v>
      </c>
      <c r="AE3125">
        <v>0</v>
      </c>
      <c r="AF3125">
        <v>3</v>
      </c>
      <c r="AG3125">
        <v>2</v>
      </c>
      <c r="AH3125">
        <v>0</v>
      </c>
      <c r="AI3125" t="s">
        <v>1811</v>
      </c>
      <c r="AJ3125">
        <v>40.048555999999998</v>
      </c>
      <c r="AK3125" t="s">
        <v>1812</v>
      </c>
      <c r="AL3125">
        <v>-92.890970999999993</v>
      </c>
      <c r="AM3125">
        <v>100</v>
      </c>
      <c r="AN3125">
        <v>1300</v>
      </c>
      <c r="AO3125" t="s">
        <v>118</v>
      </c>
      <c r="AP3125">
        <v>-118</v>
      </c>
      <c r="AQ3125">
        <v>62</v>
      </c>
      <c r="AR3125">
        <v>0</v>
      </c>
      <c r="AZ3125">
        <v>1200</v>
      </c>
      <c r="BA3125">
        <v>1</v>
      </c>
      <c r="BB3125" t="str">
        <f t="shared" si="152"/>
        <v xml:space="preserve">N8080G  </v>
      </c>
      <c r="BC3125">
        <v>1</v>
      </c>
      <c r="BE3125">
        <v>0</v>
      </c>
      <c r="BF3125">
        <v>0</v>
      </c>
      <c r="BG3125">
        <v>0</v>
      </c>
      <c r="BH3125">
        <v>1325</v>
      </c>
      <c r="BI3125">
        <v>1</v>
      </c>
      <c r="BJ3125">
        <v>1</v>
      </c>
      <c r="BK3125">
        <v>1</v>
      </c>
      <c r="BL3125">
        <v>0</v>
      </c>
      <c r="BO3125">
        <v>0</v>
      </c>
      <c r="BP3125">
        <v>0</v>
      </c>
      <c r="BW3125" t="str">
        <f>"20:31:24.698"</f>
        <v>20:31:24.698</v>
      </c>
      <c r="BZ3125">
        <v>0</v>
      </c>
      <c r="CA3125">
        <v>1600</v>
      </c>
      <c r="CB3125">
        <v>224</v>
      </c>
      <c r="CD3125">
        <v>1</v>
      </c>
      <c r="CE3125">
        <v>0</v>
      </c>
      <c r="CF3125">
        <v>0</v>
      </c>
      <c r="CG3125">
        <v>1</v>
      </c>
      <c r="CH3125">
        <v>0</v>
      </c>
      <c r="CI3125">
        <v>0</v>
      </c>
      <c r="CJ3125">
        <v>0</v>
      </c>
      <c r="CK3125">
        <v>2</v>
      </c>
      <c r="CL3125">
        <v>0</v>
      </c>
      <c r="CM3125">
        <v>2</v>
      </c>
      <c r="CN3125">
        <v>0</v>
      </c>
      <c r="CO3125">
        <v>7</v>
      </c>
      <c r="CP3125" t="s">
        <v>119</v>
      </c>
      <c r="CQ3125">
        <v>180</v>
      </c>
      <c r="CR3125">
        <v>3</v>
      </c>
      <c r="CW3125">
        <v>1074517</v>
      </c>
      <c r="CY3125">
        <v>1</v>
      </c>
      <c r="CZ3125">
        <v>0</v>
      </c>
      <c r="DA3125">
        <v>1</v>
      </c>
      <c r="DB3125">
        <v>0</v>
      </c>
      <c r="DC3125">
        <v>0</v>
      </c>
      <c r="DD3125">
        <v>0</v>
      </c>
      <c r="DE3125">
        <v>0</v>
      </c>
      <c r="DF3125">
        <v>0</v>
      </c>
      <c r="DG3125">
        <v>0</v>
      </c>
      <c r="DH3125">
        <v>0</v>
      </c>
      <c r="DI3125">
        <v>0</v>
      </c>
    </row>
    <row r="3126" spans="1:113" x14ac:dyDescent="0.3">
      <c r="A3126" t="str">
        <f>"02/08/2021 20:31:22.353"</f>
        <v>02/08/2021 20:31:22.353</v>
      </c>
      <c r="C3126" t="str">
        <f t="shared" si="151"/>
        <v>FFDFD7C0</v>
      </c>
      <c r="D3126" t="s">
        <v>124</v>
      </c>
      <c r="E3126">
        <v>12</v>
      </c>
      <c r="F3126">
        <v>1012</v>
      </c>
      <c r="G3126" t="s">
        <v>675</v>
      </c>
      <c r="J3126" t="s">
        <v>125</v>
      </c>
      <c r="K3126">
        <v>0</v>
      </c>
      <c r="L3126">
        <v>3</v>
      </c>
      <c r="M3126">
        <v>0</v>
      </c>
      <c r="N3126">
        <v>2</v>
      </c>
      <c r="O3126">
        <v>1</v>
      </c>
      <c r="P3126">
        <v>0</v>
      </c>
      <c r="Q3126">
        <v>0</v>
      </c>
      <c r="S3126" t="str">
        <f>"20:31:24.695"</f>
        <v>20:31:24.695</v>
      </c>
      <c r="T3126" t="str">
        <f>"20:31:24.195"</f>
        <v>20:31:24.195</v>
      </c>
      <c r="U3126" t="str">
        <f t="shared" si="150"/>
        <v>AB01F4</v>
      </c>
      <c r="V3126">
        <v>0</v>
      </c>
      <c r="W3126">
        <v>0</v>
      </c>
      <c r="X3126">
        <v>2</v>
      </c>
      <c r="Z3126">
        <v>0</v>
      </c>
      <c r="AA3126">
        <v>9</v>
      </c>
      <c r="AB3126">
        <v>3</v>
      </c>
      <c r="AC3126">
        <v>0</v>
      </c>
      <c r="AD3126">
        <v>10</v>
      </c>
      <c r="AE3126">
        <v>0</v>
      </c>
      <c r="AF3126">
        <v>3</v>
      </c>
      <c r="AG3126">
        <v>2</v>
      </c>
      <c r="AH3126">
        <v>0</v>
      </c>
      <c r="AI3126" t="s">
        <v>1811</v>
      </c>
      <c r="AJ3126">
        <v>40.048555999999998</v>
      </c>
      <c r="AK3126" t="s">
        <v>1812</v>
      </c>
      <c r="AL3126">
        <v>-92.890970999999993</v>
      </c>
      <c r="AM3126">
        <v>100</v>
      </c>
      <c r="AN3126">
        <v>1300</v>
      </c>
      <c r="AO3126" t="s">
        <v>118</v>
      </c>
      <c r="AP3126">
        <v>-118</v>
      </c>
      <c r="AQ3126">
        <v>62</v>
      </c>
      <c r="AR3126">
        <v>0</v>
      </c>
      <c r="AZ3126">
        <v>1200</v>
      </c>
      <c r="BA3126">
        <v>1</v>
      </c>
      <c r="BB3126" t="str">
        <f t="shared" si="152"/>
        <v xml:space="preserve">N8080G  </v>
      </c>
      <c r="BC3126">
        <v>1</v>
      </c>
      <c r="BE3126">
        <v>0</v>
      </c>
      <c r="BF3126">
        <v>0</v>
      </c>
      <c r="BG3126">
        <v>0</v>
      </c>
      <c r="BH3126">
        <v>1325</v>
      </c>
      <c r="BI3126">
        <v>1</v>
      </c>
      <c r="BJ3126">
        <v>1</v>
      </c>
      <c r="BK3126">
        <v>1</v>
      </c>
      <c r="BL3126">
        <v>0</v>
      </c>
      <c r="BO3126">
        <v>0</v>
      </c>
      <c r="BP3126">
        <v>0</v>
      </c>
      <c r="BW3126" t="str">
        <f>"20:31:24.698"</f>
        <v>20:31:24.698</v>
      </c>
      <c r="BZ3126">
        <v>0</v>
      </c>
      <c r="CA3126">
        <v>1600</v>
      </c>
      <c r="CB3126">
        <v>224</v>
      </c>
      <c r="CD3126">
        <v>1</v>
      </c>
      <c r="CE3126">
        <v>0</v>
      </c>
      <c r="CF3126">
        <v>0</v>
      </c>
      <c r="CG3126">
        <v>1</v>
      </c>
      <c r="CH3126">
        <v>0</v>
      </c>
      <c r="CI3126">
        <v>0</v>
      </c>
      <c r="CJ3126">
        <v>0</v>
      </c>
      <c r="CK3126">
        <v>2</v>
      </c>
      <c r="CL3126">
        <v>0</v>
      </c>
      <c r="CM3126">
        <v>2</v>
      </c>
      <c r="CN3126">
        <v>0</v>
      </c>
      <c r="CO3126">
        <v>7</v>
      </c>
      <c r="CP3126" t="s">
        <v>119</v>
      </c>
      <c r="CQ3126">
        <v>180</v>
      </c>
      <c r="CR3126">
        <v>3</v>
      </c>
      <c r="CW3126">
        <v>1074517</v>
      </c>
      <c r="CY3126">
        <v>1</v>
      </c>
      <c r="CZ3126">
        <v>0</v>
      </c>
      <c r="DA3126">
        <v>1</v>
      </c>
      <c r="DB3126">
        <v>0</v>
      </c>
      <c r="DC3126">
        <v>0</v>
      </c>
      <c r="DD3126">
        <v>0</v>
      </c>
      <c r="DE3126">
        <v>0</v>
      </c>
      <c r="DF3126">
        <v>0</v>
      </c>
      <c r="DG3126">
        <v>0</v>
      </c>
      <c r="DH3126">
        <v>0</v>
      </c>
      <c r="DI3126">
        <v>0</v>
      </c>
    </row>
    <row r="3127" spans="1:113" x14ac:dyDescent="0.3">
      <c r="A3127" t="str">
        <f>"02/08/2021 20:31:23.291"</f>
        <v>02/08/2021 20:31:23.291</v>
      </c>
      <c r="C3127" t="str">
        <f t="shared" si="151"/>
        <v>FFDFD7C0</v>
      </c>
      <c r="D3127" t="s">
        <v>124</v>
      </c>
      <c r="E3127">
        <v>12</v>
      </c>
      <c r="F3127">
        <v>1012</v>
      </c>
      <c r="G3127" t="s">
        <v>675</v>
      </c>
      <c r="J3127" t="s">
        <v>125</v>
      </c>
      <c r="K3127">
        <v>0</v>
      </c>
      <c r="L3127">
        <v>3</v>
      </c>
      <c r="M3127">
        <v>0</v>
      </c>
      <c r="N3127">
        <v>2</v>
      </c>
      <c r="O3127">
        <v>1</v>
      </c>
      <c r="P3127">
        <v>0</v>
      </c>
      <c r="Q3127">
        <v>0</v>
      </c>
      <c r="S3127" t="str">
        <f>"20:31:25.609"</f>
        <v>20:31:25.609</v>
      </c>
      <c r="T3127" t="str">
        <f>"20:31:25.209"</f>
        <v>20:31:25.209</v>
      </c>
      <c r="U3127" t="str">
        <f t="shared" si="150"/>
        <v>AB01F4</v>
      </c>
      <c r="V3127">
        <v>0</v>
      </c>
      <c r="W3127">
        <v>0</v>
      </c>
      <c r="X3127">
        <v>2</v>
      </c>
      <c r="Z3127">
        <v>0</v>
      </c>
      <c r="AA3127">
        <v>9</v>
      </c>
      <c r="AB3127">
        <v>3</v>
      </c>
      <c r="AC3127">
        <v>0</v>
      </c>
      <c r="AD3127">
        <v>10</v>
      </c>
      <c r="AE3127">
        <v>0</v>
      </c>
      <c r="AF3127">
        <v>3</v>
      </c>
      <c r="AG3127">
        <v>2</v>
      </c>
      <c r="AH3127">
        <v>0</v>
      </c>
      <c r="AI3127" t="s">
        <v>1813</v>
      </c>
      <c r="AJ3127">
        <v>40.048834999999997</v>
      </c>
      <c r="AK3127" t="s">
        <v>1814</v>
      </c>
      <c r="AL3127">
        <v>-92.891593</v>
      </c>
      <c r="AM3127">
        <v>100</v>
      </c>
      <c r="AN3127">
        <v>1300</v>
      </c>
      <c r="AO3127" t="s">
        <v>118</v>
      </c>
      <c r="AP3127">
        <v>-117</v>
      </c>
      <c r="AQ3127">
        <v>63</v>
      </c>
      <c r="AR3127">
        <v>-64</v>
      </c>
      <c r="AZ3127">
        <v>1200</v>
      </c>
      <c r="BA3127">
        <v>1</v>
      </c>
      <c r="BB3127" t="str">
        <f t="shared" si="152"/>
        <v xml:space="preserve">N8080G  </v>
      </c>
      <c r="BC3127">
        <v>1</v>
      </c>
      <c r="BE3127">
        <v>0</v>
      </c>
      <c r="BF3127">
        <v>0</v>
      </c>
      <c r="BG3127">
        <v>0</v>
      </c>
      <c r="BH3127">
        <v>1325</v>
      </c>
      <c r="BI3127">
        <v>1</v>
      </c>
      <c r="BJ3127">
        <v>1</v>
      </c>
      <c r="BK3127">
        <v>1</v>
      </c>
      <c r="BL3127">
        <v>0</v>
      </c>
      <c r="BO3127">
        <v>0</v>
      </c>
      <c r="BP3127">
        <v>0</v>
      </c>
      <c r="BW3127" t="str">
        <f>"20:31:25.614"</f>
        <v>20:31:25.614</v>
      </c>
      <c r="BZ3127">
        <v>0</v>
      </c>
      <c r="CA3127">
        <v>1600</v>
      </c>
      <c r="CB3127">
        <v>224</v>
      </c>
      <c r="CD3127">
        <v>1</v>
      </c>
      <c r="CE3127">
        <v>0</v>
      </c>
      <c r="CF3127">
        <v>0</v>
      </c>
      <c r="CG3127">
        <v>1</v>
      </c>
      <c r="CH3127">
        <v>0</v>
      </c>
      <c r="CI3127">
        <v>0</v>
      </c>
      <c r="CJ3127">
        <v>0</v>
      </c>
      <c r="CK3127">
        <v>2</v>
      </c>
      <c r="CL3127">
        <v>0</v>
      </c>
      <c r="CM3127">
        <v>2</v>
      </c>
      <c r="CN3127">
        <v>0</v>
      </c>
      <c r="CO3127">
        <v>7</v>
      </c>
      <c r="CP3127" t="s">
        <v>119</v>
      </c>
      <c r="CQ3127">
        <v>180</v>
      </c>
      <c r="CR3127">
        <v>3</v>
      </c>
      <c r="CW3127">
        <v>1075225</v>
      </c>
      <c r="CY3127">
        <v>1</v>
      </c>
      <c r="CZ3127">
        <v>0</v>
      </c>
      <c r="DA3127">
        <v>0</v>
      </c>
      <c r="DB3127">
        <v>0</v>
      </c>
      <c r="DC3127">
        <v>0</v>
      </c>
      <c r="DD3127">
        <v>0</v>
      </c>
      <c r="DE3127">
        <v>0</v>
      </c>
      <c r="DF3127">
        <v>0</v>
      </c>
      <c r="DG3127">
        <v>0</v>
      </c>
      <c r="DH3127">
        <v>0</v>
      </c>
      <c r="DI3127">
        <v>0</v>
      </c>
    </row>
    <row r="3128" spans="1:113" x14ac:dyDescent="0.3">
      <c r="A3128" t="str">
        <f>"02/08/2021 20:31:23.291"</f>
        <v>02/08/2021 20:31:23.291</v>
      </c>
      <c r="C3128" t="str">
        <f t="shared" si="151"/>
        <v>FFDFD7C0</v>
      </c>
      <c r="D3128" t="s">
        <v>124</v>
      </c>
      <c r="E3128">
        <v>11</v>
      </c>
      <c r="F3128">
        <v>1011</v>
      </c>
      <c r="G3128" t="s">
        <v>590</v>
      </c>
      <c r="J3128" t="s">
        <v>125</v>
      </c>
      <c r="K3128">
        <v>0</v>
      </c>
      <c r="L3128">
        <v>3</v>
      </c>
      <c r="M3128">
        <v>0</v>
      </c>
      <c r="N3128">
        <v>2</v>
      </c>
      <c r="O3128">
        <v>1</v>
      </c>
      <c r="P3128">
        <v>0</v>
      </c>
      <c r="Q3128">
        <v>0</v>
      </c>
      <c r="S3128" t="str">
        <f>"20:31:25.609"</f>
        <v>20:31:25.609</v>
      </c>
      <c r="T3128" t="str">
        <f>"20:31:25.209"</f>
        <v>20:31:25.209</v>
      </c>
      <c r="U3128" t="str">
        <f t="shared" si="150"/>
        <v>AB01F4</v>
      </c>
      <c r="V3128">
        <v>0</v>
      </c>
      <c r="W3128">
        <v>0</v>
      </c>
      <c r="X3128">
        <v>2</v>
      </c>
      <c r="Z3128">
        <v>0</v>
      </c>
      <c r="AA3128">
        <v>9</v>
      </c>
      <c r="AB3128">
        <v>3</v>
      </c>
      <c r="AC3128">
        <v>0</v>
      </c>
      <c r="AD3128">
        <v>10</v>
      </c>
      <c r="AE3128">
        <v>0</v>
      </c>
      <c r="AF3128">
        <v>3</v>
      </c>
      <c r="AG3128">
        <v>2</v>
      </c>
      <c r="AH3128">
        <v>0</v>
      </c>
      <c r="AI3128" t="s">
        <v>1813</v>
      </c>
      <c r="AJ3128">
        <v>40.048834999999997</v>
      </c>
      <c r="AK3128" t="s">
        <v>1814</v>
      </c>
      <c r="AL3128">
        <v>-92.891593</v>
      </c>
      <c r="AM3128">
        <v>100</v>
      </c>
      <c r="AN3128">
        <v>1300</v>
      </c>
      <c r="AO3128" t="s">
        <v>118</v>
      </c>
      <c r="AP3128">
        <v>-117</v>
      </c>
      <c r="AQ3128">
        <v>63</v>
      </c>
      <c r="AR3128">
        <v>-64</v>
      </c>
      <c r="AZ3128">
        <v>1200</v>
      </c>
      <c r="BA3128">
        <v>1</v>
      </c>
      <c r="BB3128" t="str">
        <f t="shared" si="152"/>
        <v xml:space="preserve">N8080G  </v>
      </c>
      <c r="BC3128">
        <v>1</v>
      </c>
      <c r="BE3128">
        <v>0</v>
      </c>
      <c r="BF3128">
        <v>0</v>
      </c>
      <c r="BG3128">
        <v>0</v>
      </c>
      <c r="BH3128">
        <v>1325</v>
      </c>
      <c r="BI3128">
        <v>1</v>
      </c>
      <c r="BJ3128">
        <v>1</v>
      </c>
      <c r="BK3128">
        <v>1</v>
      </c>
      <c r="BL3128">
        <v>0</v>
      </c>
      <c r="BO3128">
        <v>0</v>
      </c>
      <c r="BP3128">
        <v>0</v>
      </c>
      <c r="BW3128" t="str">
        <f>"20:31:25.614"</f>
        <v>20:31:25.614</v>
      </c>
      <c r="BZ3128">
        <v>0</v>
      </c>
      <c r="CA3128">
        <v>1600</v>
      </c>
      <c r="CB3128">
        <v>224</v>
      </c>
      <c r="CD3128">
        <v>1</v>
      </c>
      <c r="CE3128">
        <v>0</v>
      </c>
      <c r="CF3128">
        <v>0</v>
      </c>
      <c r="CG3128">
        <v>1</v>
      </c>
      <c r="CH3128">
        <v>0</v>
      </c>
      <c r="CI3128">
        <v>0</v>
      </c>
      <c r="CJ3128">
        <v>0</v>
      </c>
      <c r="CK3128">
        <v>2</v>
      </c>
      <c r="CL3128">
        <v>0</v>
      </c>
      <c r="CM3128">
        <v>2</v>
      </c>
      <c r="CN3128">
        <v>0</v>
      </c>
      <c r="CO3128">
        <v>7</v>
      </c>
      <c r="CP3128" t="s">
        <v>119</v>
      </c>
      <c r="CQ3128">
        <v>180</v>
      </c>
      <c r="CR3128">
        <v>3</v>
      </c>
      <c r="CW3128">
        <v>1075225</v>
      </c>
      <c r="CY3128">
        <v>1</v>
      </c>
      <c r="CZ3128">
        <v>0</v>
      </c>
      <c r="DA3128">
        <v>1</v>
      </c>
      <c r="DB3128">
        <v>0</v>
      </c>
      <c r="DC3128">
        <v>0</v>
      </c>
      <c r="DD3128">
        <v>0</v>
      </c>
      <c r="DE3128">
        <v>0</v>
      </c>
      <c r="DF3128">
        <v>0</v>
      </c>
      <c r="DG3128">
        <v>0</v>
      </c>
      <c r="DH3128">
        <v>0</v>
      </c>
      <c r="DI3128">
        <v>0</v>
      </c>
    </row>
    <row r="3129" spans="1:113" x14ac:dyDescent="0.3">
      <c r="A3129" t="str">
        <f>"02/08/2021 20:31:23.291"</f>
        <v>02/08/2021 20:31:23.291</v>
      </c>
      <c r="C3129" t="str">
        <f t="shared" si="151"/>
        <v>FFDFD7C0</v>
      </c>
      <c r="D3129" t="s">
        <v>124</v>
      </c>
      <c r="E3129">
        <v>13</v>
      </c>
      <c r="F3129">
        <v>1013</v>
      </c>
      <c r="G3129" t="s">
        <v>114</v>
      </c>
      <c r="J3129" t="s">
        <v>125</v>
      </c>
      <c r="K3129">
        <v>0</v>
      </c>
      <c r="L3129">
        <v>3</v>
      </c>
      <c r="M3129">
        <v>0</v>
      </c>
      <c r="N3129">
        <v>2</v>
      </c>
      <c r="O3129">
        <v>1</v>
      </c>
      <c r="P3129">
        <v>0</v>
      </c>
      <c r="Q3129">
        <v>0</v>
      </c>
      <c r="S3129" t="str">
        <f>"20:31:25.609"</f>
        <v>20:31:25.609</v>
      </c>
      <c r="T3129" t="str">
        <f>"20:31:25.209"</f>
        <v>20:31:25.209</v>
      </c>
      <c r="U3129" t="str">
        <f t="shared" si="150"/>
        <v>AB01F4</v>
      </c>
      <c r="V3129">
        <v>0</v>
      </c>
      <c r="W3129">
        <v>0</v>
      </c>
      <c r="X3129">
        <v>2</v>
      </c>
      <c r="Z3129">
        <v>0</v>
      </c>
      <c r="AA3129">
        <v>9</v>
      </c>
      <c r="AB3129">
        <v>3</v>
      </c>
      <c r="AC3129">
        <v>0</v>
      </c>
      <c r="AD3129">
        <v>10</v>
      </c>
      <c r="AE3129">
        <v>0</v>
      </c>
      <c r="AF3129">
        <v>3</v>
      </c>
      <c r="AG3129">
        <v>2</v>
      </c>
      <c r="AH3129">
        <v>0</v>
      </c>
      <c r="AI3129" t="s">
        <v>1813</v>
      </c>
      <c r="AJ3129">
        <v>40.048834999999997</v>
      </c>
      <c r="AK3129" t="s">
        <v>1814</v>
      </c>
      <c r="AL3129">
        <v>-92.891593</v>
      </c>
      <c r="AM3129">
        <v>100</v>
      </c>
      <c r="AN3129">
        <v>1300</v>
      </c>
      <c r="AO3129" t="s">
        <v>118</v>
      </c>
      <c r="AP3129">
        <v>-117</v>
      </c>
      <c r="AQ3129">
        <v>63</v>
      </c>
      <c r="AR3129">
        <v>-64</v>
      </c>
      <c r="AZ3129">
        <v>1200</v>
      </c>
      <c r="BA3129">
        <v>1</v>
      </c>
      <c r="BB3129" t="str">
        <f t="shared" si="152"/>
        <v xml:space="preserve">N8080G  </v>
      </c>
      <c r="BC3129">
        <v>1</v>
      </c>
      <c r="BE3129">
        <v>0</v>
      </c>
      <c r="BF3129">
        <v>0</v>
      </c>
      <c r="BG3129">
        <v>0</v>
      </c>
      <c r="BH3129">
        <v>1325</v>
      </c>
      <c r="BI3129">
        <v>1</v>
      </c>
      <c r="BJ3129">
        <v>1</v>
      </c>
      <c r="BK3129">
        <v>1</v>
      </c>
      <c r="BL3129">
        <v>0</v>
      </c>
      <c r="BO3129">
        <v>0</v>
      </c>
      <c r="BP3129">
        <v>0</v>
      </c>
      <c r="BW3129" t="str">
        <f>"20:31:25.614"</f>
        <v>20:31:25.614</v>
      </c>
      <c r="BZ3129">
        <v>0</v>
      </c>
      <c r="CA3129">
        <v>1600</v>
      </c>
      <c r="CB3129">
        <v>224</v>
      </c>
      <c r="CD3129">
        <v>1</v>
      </c>
      <c r="CE3129">
        <v>0</v>
      </c>
      <c r="CF3129">
        <v>0</v>
      </c>
      <c r="CG3129">
        <v>1</v>
      </c>
      <c r="CH3129">
        <v>0</v>
      </c>
      <c r="CI3129">
        <v>0</v>
      </c>
      <c r="CJ3129">
        <v>0</v>
      </c>
      <c r="CK3129">
        <v>2</v>
      </c>
      <c r="CL3129">
        <v>0</v>
      </c>
      <c r="CM3129">
        <v>2</v>
      </c>
      <c r="CN3129">
        <v>0</v>
      </c>
      <c r="CO3129">
        <v>7</v>
      </c>
      <c r="CP3129" t="s">
        <v>119</v>
      </c>
      <c r="CQ3129">
        <v>180</v>
      </c>
      <c r="CR3129">
        <v>3</v>
      </c>
      <c r="CW3129">
        <v>1075225</v>
      </c>
      <c r="CY3129">
        <v>1</v>
      </c>
      <c r="CZ3129">
        <v>0</v>
      </c>
      <c r="DA3129">
        <v>1</v>
      </c>
      <c r="DB3129">
        <v>0</v>
      </c>
      <c r="DC3129">
        <v>0</v>
      </c>
      <c r="DD3129">
        <v>0</v>
      </c>
      <c r="DE3129">
        <v>0</v>
      </c>
      <c r="DF3129">
        <v>0</v>
      </c>
      <c r="DG3129">
        <v>0</v>
      </c>
      <c r="DH3129">
        <v>0</v>
      </c>
      <c r="DI3129">
        <v>0</v>
      </c>
    </row>
    <row r="3130" spans="1:113" x14ac:dyDescent="0.3">
      <c r="A3130" t="str">
        <f>"02/08/2021 20:31:23.291"</f>
        <v>02/08/2021 20:31:23.291</v>
      </c>
      <c r="C3130" t="str">
        <f t="shared" si="151"/>
        <v>FFDFD7C0</v>
      </c>
      <c r="D3130" t="s">
        <v>113</v>
      </c>
      <c r="E3130">
        <v>6</v>
      </c>
      <c r="H3130">
        <v>165</v>
      </c>
      <c r="I3130" t="s">
        <v>114</v>
      </c>
      <c r="J3130" t="s">
        <v>115</v>
      </c>
      <c r="K3130">
        <v>0</v>
      </c>
      <c r="L3130">
        <v>3</v>
      </c>
      <c r="M3130">
        <v>0</v>
      </c>
      <c r="N3130">
        <v>2</v>
      </c>
      <c r="O3130">
        <v>1</v>
      </c>
      <c r="P3130">
        <v>0</v>
      </c>
      <c r="Q3130">
        <v>0</v>
      </c>
      <c r="S3130" t="str">
        <f>"20:31:25.609"</f>
        <v>20:31:25.609</v>
      </c>
      <c r="T3130" t="str">
        <f>"20:31:25.209"</f>
        <v>20:31:25.209</v>
      </c>
      <c r="U3130" t="str">
        <f t="shared" si="150"/>
        <v>AB01F4</v>
      </c>
      <c r="V3130">
        <v>0</v>
      </c>
      <c r="W3130">
        <v>0</v>
      </c>
      <c r="X3130">
        <v>2</v>
      </c>
      <c r="Z3130">
        <v>0</v>
      </c>
      <c r="AA3130">
        <v>9</v>
      </c>
      <c r="AB3130">
        <v>3</v>
      </c>
      <c r="AC3130">
        <v>0</v>
      </c>
      <c r="AD3130">
        <v>10</v>
      </c>
      <c r="AE3130">
        <v>0</v>
      </c>
      <c r="AF3130">
        <v>3</v>
      </c>
      <c r="AG3130">
        <v>2</v>
      </c>
      <c r="AH3130">
        <v>0</v>
      </c>
      <c r="AI3130" t="s">
        <v>1813</v>
      </c>
      <c r="AJ3130">
        <v>40.048834999999997</v>
      </c>
      <c r="AK3130" t="s">
        <v>1814</v>
      </c>
      <c r="AL3130">
        <v>-92.891593</v>
      </c>
      <c r="AM3130">
        <v>100</v>
      </c>
      <c r="AN3130">
        <v>1300</v>
      </c>
      <c r="AO3130" t="s">
        <v>118</v>
      </c>
      <c r="AP3130">
        <v>-117</v>
      </c>
      <c r="AQ3130">
        <v>63</v>
      </c>
      <c r="AR3130">
        <v>-64</v>
      </c>
      <c r="AZ3130">
        <v>1200</v>
      </c>
      <c r="BA3130">
        <v>1</v>
      </c>
      <c r="BB3130" t="str">
        <f t="shared" si="152"/>
        <v xml:space="preserve">N8080G  </v>
      </c>
      <c r="BC3130">
        <v>1</v>
      </c>
      <c r="BE3130">
        <v>0</v>
      </c>
      <c r="BF3130">
        <v>0</v>
      </c>
      <c r="BG3130">
        <v>0</v>
      </c>
      <c r="BH3130">
        <v>1325</v>
      </c>
      <c r="BI3130">
        <v>1</v>
      </c>
      <c r="BJ3130">
        <v>1</v>
      </c>
      <c r="BK3130">
        <v>1</v>
      </c>
      <c r="BL3130">
        <v>0</v>
      </c>
      <c r="BO3130">
        <v>0</v>
      </c>
      <c r="BP3130">
        <v>0</v>
      </c>
      <c r="BW3130" t="str">
        <f>"20:31:25.614"</f>
        <v>20:31:25.614</v>
      </c>
      <c r="BZ3130">
        <v>0</v>
      </c>
      <c r="CA3130">
        <v>1600</v>
      </c>
      <c r="CB3130">
        <v>224</v>
      </c>
      <c r="CD3130">
        <v>1</v>
      </c>
      <c r="CE3130">
        <v>0</v>
      </c>
      <c r="CF3130">
        <v>0</v>
      </c>
      <c r="CG3130">
        <v>1</v>
      </c>
      <c r="CH3130">
        <v>0</v>
      </c>
      <c r="CI3130">
        <v>0</v>
      </c>
      <c r="CJ3130">
        <v>0</v>
      </c>
      <c r="CK3130">
        <v>2</v>
      </c>
      <c r="CL3130">
        <v>0</v>
      </c>
      <c r="CM3130">
        <v>2</v>
      </c>
      <c r="CN3130">
        <v>0</v>
      </c>
      <c r="CO3130">
        <v>7</v>
      </c>
      <c r="CP3130" t="s">
        <v>119</v>
      </c>
      <c r="CQ3130">
        <v>180</v>
      </c>
      <c r="CR3130">
        <v>3</v>
      </c>
      <c r="CW3130">
        <v>1075225</v>
      </c>
      <c r="CY3130">
        <v>1</v>
      </c>
      <c r="CZ3130">
        <v>0</v>
      </c>
      <c r="DA3130">
        <v>1</v>
      </c>
      <c r="DB3130">
        <v>0</v>
      </c>
      <c r="DC3130">
        <v>0</v>
      </c>
      <c r="DD3130">
        <v>0</v>
      </c>
      <c r="DE3130">
        <v>0</v>
      </c>
      <c r="DF3130">
        <v>0</v>
      </c>
      <c r="DG3130">
        <v>0</v>
      </c>
      <c r="DH3130">
        <v>0</v>
      </c>
      <c r="DI3130">
        <v>0</v>
      </c>
    </row>
    <row r="3131" spans="1:113" x14ac:dyDescent="0.3">
      <c r="A3131" t="str">
        <f>"02/08/2021 20:31:24.267"</f>
        <v>02/08/2021 20:31:24.267</v>
      </c>
      <c r="C3131" t="str">
        <f t="shared" si="151"/>
        <v>FFDFD7C0</v>
      </c>
      <c r="D3131" t="s">
        <v>124</v>
      </c>
      <c r="E3131">
        <v>13</v>
      </c>
      <c r="F3131">
        <v>1013</v>
      </c>
      <c r="G3131" t="s">
        <v>114</v>
      </c>
      <c r="J3131" t="s">
        <v>125</v>
      </c>
      <c r="K3131">
        <v>0</v>
      </c>
      <c r="L3131">
        <v>3</v>
      </c>
      <c r="M3131">
        <v>0</v>
      </c>
      <c r="N3131">
        <v>2</v>
      </c>
      <c r="O3131">
        <v>1</v>
      </c>
      <c r="P3131">
        <v>0</v>
      </c>
      <c r="Q3131">
        <v>0</v>
      </c>
      <c r="S3131" t="str">
        <f>"20:31:26.578"</f>
        <v>20:31:26.578</v>
      </c>
      <c r="T3131" t="str">
        <f>"20:31:26.078"</f>
        <v>20:31:26.078</v>
      </c>
      <c r="U3131" t="str">
        <f t="shared" si="150"/>
        <v>AB01F4</v>
      </c>
      <c r="V3131">
        <v>0</v>
      </c>
      <c r="W3131">
        <v>0</v>
      </c>
      <c r="X3131">
        <v>2</v>
      </c>
      <c r="Z3131">
        <v>0</v>
      </c>
      <c r="AA3131">
        <v>9</v>
      </c>
      <c r="AB3131">
        <v>3</v>
      </c>
      <c r="AC3131">
        <v>0</v>
      </c>
      <c r="AD3131">
        <v>10</v>
      </c>
      <c r="AE3131">
        <v>0</v>
      </c>
      <c r="AF3131">
        <v>3</v>
      </c>
      <c r="AG3131">
        <v>2</v>
      </c>
      <c r="AH3131">
        <v>0</v>
      </c>
      <c r="AI3131" t="s">
        <v>1815</v>
      </c>
      <c r="AJ3131">
        <v>40.049092999999999</v>
      </c>
      <c r="AK3131" t="s">
        <v>1816</v>
      </c>
      <c r="AL3131">
        <v>-92.892343999999994</v>
      </c>
      <c r="AM3131">
        <v>100</v>
      </c>
      <c r="AN3131">
        <v>1300</v>
      </c>
      <c r="AO3131" t="s">
        <v>118</v>
      </c>
      <c r="AP3131">
        <v>-117</v>
      </c>
      <c r="AQ3131">
        <v>63</v>
      </c>
      <c r="AR3131">
        <v>64</v>
      </c>
      <c r="AZ3131">
        <v>1200</v>
      </c>
      <c r="BA3131">
        <v>1</v>
      </c>
      <c r="BB3131" t="str">
        <f t="shared" si="152"/>
        <v xml:space="preserve">N8080G  </v>
      </c>
      <c r="BC3131">
        <v>1</v>
      </c>
      <c r="BE3131">
        <v>0</v>
      </c>
      <c r="BF3131">
        <v>0</v>
      </c>
      <c r="BG3131">
        <v>0</v>
      </c>
      <c r="BH3131">
        <v>1325</v>
      </c>
      <c r="BI3131">
        <v>1</v>
      </c>
      <c r="BJ3131">
        <v>1</v>
      </c>
      <c r="BK3131">
        <v>1</v>
      </c>
      <c r="BL3131">
        <v>0</v>
      </c>
      <c r="BO3131">
        <v>0</v>
      </c>
      <c r="BP3131">
        <v>0</v>
      </c>
      <c r="BW3131" t="str">
        <f>"20:31:26.579"</f>
        <v>20:31:26.579</v>
      </c>
      <c r="BZ3131">
        <v>0</v>
      </c>
      <c r="CA3131">
        <v>1600</v>
      </c>
      <c r="CB3131">
        <v>224</v>
      </c>
      <c r="CD3131">
        <v>1</v>
      </c>
      <c r="CE3131">
        <v>0</v>
      </c>
      <c r="CF3131">
        <v>0</v>
      </c>
      <c r="CG3131">
        <v>1</v>
      </c>
      <c r="CH3131">
        <v>0</v>
      </c>
      <c r="CI3131">
        <v>0</v>
      </c>
      <c r="CJ3131">
        <v>0</v>
      </c>
      <c r="CK3131">
        <v>2</v>
      </c>
      <c r="CL3131">
        <v>0</v>
      </c>
      <c r="CM3131">
        <v>2</v>
      </c>
      <c r="CN3131">
        <v>0</v>
      </c>
      <c r="CO3131">
        <v>7</v>
      </c>
      <c r="CP3131" t="s">
        <v>119</v>
      </c>
      <c r="CQ3131">
        <v>180</v>
      </c>
      <c r="CR3131">
        <v>3</v>
      </c>
      <c r="CW3131">
        <v>1075938</v>
      </c>
      <c r="CY3131">
        <v>1</v>
      </c>
      <c r="CZ3131">
        <v>0</v>
      </c>
      <c r="DA3131">
        <v>0</v>
      </c>
      <c r="DB3131">
        <v>0</v>
      </c>
      <c r="DC3131">
        <v>0</v>
      </c>
      <c r="DD3131">
        <v>0</v>
      </c>
      <c r="DE3131">
        <v>0</v>
      </c>
      <c r="DF3131">
        <v>0</v>
      </c>
      <c r="DG3131">
        <v>0</v>
      </c>
      <c r="DH3131">
        <v>0</v>
      </c>
      <c r="DI3131">
        <v>0</v>
      </c>
    </row>
    <row r="3132" spans="1:113" x14ac:dyDescent="0.3">
      <c r="A3132" t="str">
        <f>"02/08/2021 20:31:24.267"</f>
        <v>02/08/2021 20:31:24.267</v>
      </c>
      <c r="C3132" t="str">
        <f t="shared" si="151"/>
        <v>FFDFD7C0</v>
      </c>
      <c r="D3132" t="s">
        <v>124</v>
      </c>
      <c r="E3132">
        <v>11</v>
      </c>
      <c r="F3132">
        <v>1011</v>
      </c>
      <c r="G3132" t="s">
        <v>590</v>
      </c>
      <c r="J3132" t="s">
        <v>125</v>
      </c>
      <c r="K3132">
        <v>0</v>
      </c>
      <c r="L3132">
        <v>3</v>
      </c>
      <c r="M3132">
        <v>0</v>
      </c>
      <c r="N3132">
        <v>2</v>
      </c>
      <c r="O3132">
        <v>1</v>
      </c>
      <c r="P3132">
        <v>0</v>
      </c>
      <c r="Q3132">
        <v>0</v>
      </c>
      <c r="S3132" t="str">
        <f>"20:31:26.578"</f>
        <v>20:31:26.578</v>
      </c>
      <c r="T3132" t="str">
        <f>"20:31:26.078"</f>
        <v>20:31:26.078</v>
      </c>
      <c r="U3132" t="str">
        <f t="shared" si="150"/>
        <v>AB01F4</v>
      </c>
      <c r="V3132">
        <v>0</v>
      </c>
      <c r="W3132">
        <v>0</v>
      </c>
      <c r="X3132">
        <v>2</v>
      </c>
      <c r="Z3132">
        <v>0</v>
      </c>
      <c r="AA3132">
        <v>9</v>
      </c>
      <c r="AB3132">
        <v>3</v>
      </c>
      <c r="AC3132">
        <v>0</v>
      </c>
      <c r="AD3132">
        <v>10</v>
      </c>
      <c r="AE3132">
        <v>0</v>
      </c>
      <c r="AF3132">
        <v>3</v>
      </c>
      <c r="AG3132">
        <v>2</v>
      </c>
      <c r="AH3132">
        <v>0</v>
      </c>
      <c r="AI3132" t="s">
        <v>1815</v>
      </c>
      <c r="AJ3132">
        <v>40.049092999999999</v>
      </c>
      <c r="AK3132" t="s">
        <v>1816</v>
      </c>
      <c r="AL3132">
        <v>-92.892343999999994</v>
      </c>
      <c r="AM3132">
        <v>100</v>
      </c>
      <c r="AN3132">
        <v>1300</v>
      </c>
      <c r="AO3132" t="s">
        <v>118</v>
      </c>
      <c r="AP3132">
        <v>-117</v>
      </c>
      <c r="AQ3132">
        <v>63</v>
      </c>
      <c r="AR3132">
        <v>64</v>
      </c>
      <c r="AZ3132">
        <v>1200</v>
      </c>
      <c r="BA3132">
        <v>1</v>
      </c>
      <c r="BB3132" t="str">
        <f t="shared" si="152"/>
        <v xml:space="preserve">N8080G  </v>
      </c>
      <c r="BC3132">
        <v>1</v>
      </c>
      <c r="BE3132">
        <v>0</v>
      </c>
      <c r="BF3132">
        <v>0</v>
      </c>
      <c r="BG3132">
        <v>0</v>
      </c>
      <c r="BH3132">
        <v>1325</v>
      </c>
      <c r="BI3132">
        <v>1</v>
      </c>
      <c r="BJ3132">
        <v>1</v>
      </c>
      <c r="BK3132">
        <v>1</v>
      </c>
      <c r="BL3132">
        <v>0</v>
      </c>
      <c r="BO3132">
        <v>0</v>
      </c>
      <c r="BP3132">
        <v>0</v>
      </c>
      <c r="BW3132" t="str">
        <f>"20:31:26.579"</f>
        <v>20:31:26.579</v>
      </c>
      <c r="BZ3132">
        <v>0</v>
      </c>
      <c r="CA3132">
        <v>1600</v>
      </c>
      <c r="CB3132">
        <v>224</v>
      </c>
      <c r="CD3132">
        <v>1</v>
      </c>
      <c r="CE3132">
        <v>0</v>
      </c>
      <c r="CF3132">
        <v>0</v>
      </c>
      <c r="CG3132">
        <v>1</v>
      </c>
      <c r="CH3132">
        <v>0</v>
      </c>
      <c r="CI3132">
        <v>0</v>
      </c>
      <c r="CJ3132">
        <v>0</v>
      </c>
      <c r="CK3132">
        <v>2</v>
      </c>
      <c r="CL3132">
        <v>0</v>
      </c>
      <c r="CM3132">
        <v>2</v>
      </c>
      <c r="CN3132">
        <v>0</v>
      </c>
      <c r="CO3132">
        <v>7</v>
      </c>
      <c r="CP3132" t="s">
        <v>119</v>
      </c>
      <c r="CQ3132">
        <v>180</v>
      </c>
      <c r="CR3132">
        <v>3</v>
      </c>
      <c r="CW3132">
        <v>1075938</v>
      </c>
      <c r="CY3132">
        <v>1</v>
      </c>
      <c r="CZ3132">
        <v>0</v>
      </c>
      <c r="DA3132">
        <v>1</v>
      </c>
      <c r="DB3132">
        <v>0</v>
      </c>
      <c r="DC3132">
        <v>0</v>
      </c>
      <c r="DD3132">
        <v>0</v>
      </c>
      <c r="DE3132">
        <v>0</v>
      </c>
      <c r="DF3132">
        <v>0</v>
      </c>
      <c r="DG3132">
        <v>0</v>
      </c>
      <c r="DH3132">
        <v>0</v>
      </c>
      <c r="DI3132">
        <v>0</v>
      </c>
    </row>
    <row r="3133" spans="1:113" x14ac:dyDescent="0.3">
      <c r="A3133" t="str">
        <f>"02/08/2021 20:31:24.267"</f>
        <v>02/08/2021 20:31:24.267</v>
      </c>
      <c r="C3133" t="str">
        <f t="shared" si="151"/>
        <v>FFDFD7C0</v>
      </c>
      <c r="D3133" t="s">
        <v>113</v>
      </c>
      <c r="E3133">
        <v>6</v>
      </c>
      <c r="H3133">
        <v>165</v>
      </c>
      <c r="I3133" t="s">
        <v>114</v>
      </c>
      <c r="J3133" t="s">
        <v>115</v>
      </c>
      <c r="K3133">
        <v>0</v>
      </c>
      <c r="L3133">
        <v>3</v>
      </c>
      <c r="M3133">
        <v>0</v>
      </c>
      <c r="N3133">
        <v>2</v>
      </c>
      <c r="O3133">
        <v>1</v>
      </c>
      <c r="P3133">
        <v>0</v>
      </c>
      <c r="Q3133">
        <v>0</v>
      </c>
      <c r="S3133" t="str">
        <f>"20:31:26.578"</f>
        <v>20:31:26.578</v>
      </c>
      <c r="T3133" t="str">
        <f>"20:31:26.078"</f>
        <v>20:31:26.078</v>
      </c>
      <c r="U3133" t="str">
        <f t="shared" si="150"/>
        <v>AB01F4</v>
      </c>
      <c r="V3133">
        <v>0</v>
      </c>
      <c r="W3133">
        <v>0</v>
      </c>
      <c r="X3133">
        <v>2</v>
      </c>
      <c r="Z3133">
        <v>0</v>
      </c>
      <c r="AA3133">
        <v>9</v>
      </c>
      <c r="AB3133">
        <v>3</v>
      </c>
      <c r="AC3133">
        <v>0</v>
      </c>
      <c r="AD3133">
        <v>10</v>
      </c>
      <c r="AE3133">
        <v>0</v>
      </c>
      <c r="AF3133">
        <v>3</v>
      </c>
      <c r="AG3133">
        <v>2</v>
      </c>
      <c r="AH3133">
        <v>0</v>
      </c>
      <c r="AI3133" t="s">
        <v>1815</v>
      </c>
      <c r="AJ3133">
        <v>40.049092999999999</v>
      </c>
      <c r="AK3133" t="s">
        <v>1816</v>
      </c>
      <c r="AL3133">
        <v>-92.892343999999994</v>
      </c>
      <c r="AM3133">
        <v>100</v>
      </c>
      <c r="AN3133">
        <v>1300</v>
      </c>
      <c r="AO3133" t="s">
        <v>118</v>
      </c>
      <c r="AP3133">
        <v>-117</v>
      </c>
      <c r="AQ3133">
        <v>63</v>
      </c>
      <c r="AR3133">
        <v>64</v>
      </c>
      <c r="AZ3133">
        <v>1200</v>
      </c>
      <c r="BA3133">
        <v>1</v>
      </c>
      <c r="BB3133" t="str">
        <f t="shared" si="152"/>
        <v xml:space="preserve">N8080G  </v>
      </c>
      <c r="BC3133">
        <v>1</v>
      </c>
      <c r="BE3133">
        <v>0</v>
      </c>
      <c r="BF3133">
        <v>0</v>
      </c>
      <c r="BG3133">
        <v>0</v>
      </c>
      <c r="BH3133">
        <v>1325</v>
      </c>
      <c r="BI3133">
        <v>1</v>
      </c>
      <c r="BJ3133">
        <v>1</v>
      </c>
      <c r="BK3133">
        <v>1</v>
      </c>
      <c r="BL3133">
        <v>0</v>
      </c>
      <c r="BO3133">
        <v>0</v>
      </c>
      <c r="BP3133">
        <v>0</v>
      </c>
      <c r="BW3133" t="str">
        <f>"20:31:26.579"</f>
        <v>20:31:26.579</v>
      </c>
      <c r="BZ3133">
        <v>0</v>
      </c>
      <c r="CA3133">
        <v>1600</v>
      </c>
      <c r="CB3133">
        <v>224</v>
      </c>
      <c r="CD3133">
        <v>1</v>
      </c>
      <c r="CE3133">
        <v>0</v>
      </c>
      <c r="CF3133">
        <v>0</v>
      </c>
      <c r="CG3133">
        <v>1</v>
      </c>
      <c r="CH3133">
        <v>0</v>
      </c>
      <c r="CI3133">
        <v>0</v>
      </c>
      <c r="CJ3133">
        <v>0</v>
      </c>
      <c r="CK3133">
        <v>2</v>
      </c>
      <c r="CL3133">
        <v>0</v>
      </c>
      <c r="CM3133">
        <v>2</v>
      </c>
      <c r="CN3133">
        <v>0</v>
      </c>
      <c r="CO3133">
        <v>7</v>
      </c>
      <c r="CP3133" t="s">
        <v>119</v>
      </c>
      <c r="CQ3133">
        <v>180</v>
      </c>
      <c r="CR3133">
        <v>3</v>
      </c>
      <c r="CW3133">
        <v>1075938</v>
      </c>
      <c r="CY3133">
        <v>1</v>
      </c>
      <c r="CZ3133">
        <v>0</v>
      </c>
      <c r="DA3133">
        <v>1</v>
      </c>
      <c r="DB3133">
        <v>0</v>
      </c>
      <c r="DC3133">
        <v>0</v>
      </c>
      <c r="DD3133">
        <v>0</v>
      </c>
      <c r="DE3133">
        <v>0</v>
      </c>
      <c r="DF3133">
        <v>0</v>
      </c>
      <c r="DG3133">
        <v>0</v>
      </c>
      <c r="DH3133">
        <v>0</v>
      </c>
      <c r="DI3133">
        <v>0</v>
      </c>
    </row>
    <row r="3134" spans="1:113" x14ac:dyDescent="0.3">
      <c r="A3134" t="str">
        <f>"02/08/2021 20:31:24.267"</f>
        <v>02/08/2021 20:31:24.267</v>
      </c>
      <c r="C3134" t="str">
        <f t="shared" si="151"/>
        <v>FFDFD7C0</v>
      </c>
      <c r="D3134" t="s">
        <v>124</v>
      </c>
      <c r="E3134">
        <v>12</v>
      </c>
      <c r="F3134">
        <v>1012</v>
      </c>
      <c r="G3134" t="s">
        <v>675</v>
      </c>
      <c r="J3134" t="s">
        <v>125</v>
      </c>
      <c r="K3134">
        <v>0</v>
      </c>
      <c r="L3134">
        <v>3</v>
      </c>
      <c r="M3134">
        <v>0</v>
      </c>
      <c r="N3134">
        <v>2</v>
      </c>
      <c r="O3134">
        <v>1</v>
      </c>
      <c r="P3134">
        <v>0</v>
      </c>
      <c r="Q3134">
        <v>0</v>
      </c>
      <c r="S3134" t="str">
        <f>"20:31:26.578"</f>
        <v>20:31:26.578</v>
      </c>
      <c r="T3134" t="str">
        <f>"20:31:26.078"</f>
        <v>20:31:26.078</v>
      </c>
      <c r="U3134" t="str">
        <f t="shared" si="150"/>
        <v>AB01F4</v>
      </c>
      <c r="V3134">
        <v>0</v>
      </c>
      <c r="W3134">
        <v>0</v>
      </c>
      <c r="X3134">
        <v>2</v>
      </c>
      <c r="Z3134">
        <v>0</v>
      </c>
      <c r="AA3134">
        <v>9</v>
      </c>
      <c r="AB3134">
        <v>3</v>
      </c>
      <c r="AC3134">
        <v>0</v>
      </c>
      <c r="AD3134">
        <v>10</v>
      </c>
      <c r="AE3134">
        <v>0</v>
      </c>
      <c r="AF3134">
        <v>3</v>
      </c>
      <c r="AG3134">
        <v>2</v>
      </c>
      <c r="AH3134">
        <v>0</v>
      </c>
      <c r="AI3134" t="s">
        <v>1815</v>
      </c>
      <c r="AJ3134">
        <v>40.049092999999999</v>
      </c>
      <c r="AK3134" t="s">
        <v>1816</v>
      </c>
      <c r="AL3134">
        <v>-92.892343999999994</v>
      </c>
      <c r="AM3134">
        <v>100</v>
      </c>
      <c r="AN3134">
        <v>1300</v>
      </c>
      <c r="AO3134" t="s">
        <v>118</v>
      </c>
      <c r="AP3134">
        <v>-117</v>
      </c>
      <c r="AQ3134">
        <v>63</v>
      </c>
      <c r="AR3134">
        <v>64</v>
      </c>
      <c r="AZ3134">
        <v>1200</v>
      </c>
      <c r="BA3134">
        <v>1</v>
      </c>
      <c r="BB3134" t="str">
        <f t="shared" si="152"/>
        <v xml:space="preserve">N8080G  </v>
      </c>
      <c r="BC3134">
        <v>1</v>
      </c>
      <c r="BE3134">
        <v>0</v>
      </c>
      <c r="BF3134">
        <v>0</v>
      </c>
      <c r="BG3134">
        <v>0</v>
      </c>
      <c r="BH3134">
        <v>1325</v>
      </c>
      <c r="BI3134">
        <v>1</v>
      </c>
      <c r="BJ3134">
        <v>1</v>
      </c>
      <c r="BK3134">
        <v>1</v>
      </c>
      <c r="BL3134">
        <v>0</v>
      </c>
      <c r="BO3134">
        <v>0</v>
      </c>
      <c r="BP3134">
        <v>0</v>
      </c>
      <c r="BW3134" t="str">
        <f>"20:31:26.579"</f>
        <v>20:31:26.579</v>
      </c>
      <c r="BZ3134">
        <v>0</v>
      </c>
      <c r="CA3134">
        <v>1600</v>
      </c>
      <c r="CB3134">
        <v>224</v>
      </c>
      <c r="CD3134">
        <v>1</v>
      </c>
      <c r="CE3134">
        <v>0</v>
      </c>
      <c r="CF3134">
        <v>0</v>
      </c>
      <c r="CG3134">
        <v>1</v>
      </c>
      <c r="CH3134">
        <v>0</v>
      </c>
      <c r="CI3134">
        <v>0</v>
      </c>
      <c r="CJ3134">
        <v>0</v>
      </c>
      <c r="CK3134">
        <v>2</v>
      </c>
      <c r="CL3134">
        <v>0</v>
      </c>
      <c r="CM3134">
        <v>2</v>
      </c>
      <c r="CN3134">
        <v>0</v>
      </c>
      <c r="CO3134">
        <v>7</v>
      </c>
      <c r="CP3134" t="s">
        <v>119</v>
      </c>
      <c r="CQ3134">
        <v>180</v>
      </c>
      <c r="CR3134">
        <v>3</v>
      </c>
      <c r="CW3134">
        <v>1075938</v>
      </c>
      <c r="CY3134">
        <v>1</v>
      </c>
      <c r="CZ3134">
        <v>0</v>
      </c>
      <c r="DA3134">
        <v>1</v>
      </c>
      <c r="DB3134">
        <v>0</v>
      </c>
      <c r="DC3134">
        <v>0</v>
      </c>
      <c r="DD3134">
        <v>0</v>
      </c>
      <c r="DE3134">
        <v>0</v>
      </c>
      <c r="DF3134">
        <v>0</v>
      </c>
      <c r="DG3134">
        <v>0</v>
      </c>
      <c r="DH3134">
        <v>0</v>
      </c>
      <c r="DI3134">
        <v>0</v>
      </c>
    </row>
    <row r="3135" spans="1:113" x14ac:dyDescent="0.3">
      <c r="A3135" t="str">
        <f>"02/08/2021 20:31:25.341"</f>
        <v>02/08/2021 20:31:25.341</v>
      </c>
      <c r="C3135" t="str">
        <f t="shared" si="151"/>
        <v>FFDFD7C0</v>
      </c>
      <c r="D3135" t="s">
        <v>113</v>
      </c>
      <c r="E3135">
        <v>6</v>
      </c>
      <c r="H3135">
        <v>165</v>
      </c>
      <c r="I3135" t="s">
        <v>114</v>
      </c>
      <c r="J3135" t="s">
        <v>115</v>
      </c>
      <c r="K3135">
        <v>0</v>
      </c>
      <c r="L3135">
        <v>3</v>
      </c>
      <c r="M3135">
        <v>0</v>
      </c>
      <c r="N3135">
        <v>2</v>
      </c>
      <c r="O3135">
        <v>1</v>
      </c>
      <c r="P3135">
        <v>0</v>
      </c>
      <c r="Q3135">
        <v>0</v>
      </c>
      <c r="S3135" t="str">
        <f>"20:31:27.641"</f>
        <v>20:31:27.641</v>
      </c>
      <c r="T3135" t="str">
        <f>"20:31:27.141"</f>
        <v>20:31:27.141</v>
      </c>
      <c r="U3135" t="str">
        <f t="shared" si="150"/>
        <v>AB01F4</v>
      </c>
      <c r="V3135">
        <v>0</v>
      </c>
      <c r="W3135">
        <v>0</v>
      </c>
      <c r="X3135">
        <v>2</v>
      </c>
      <c r="Z3135">
        <v>0</v>
      </c>
      <c r="AA3135">
        <v>9</v>
      </c>
      <c r="AB3135">
        <v>3</v>
      </c>
      <c r="AC3135">
        <v>0</v>
      </c>
      <c r="AD3135">
        <v>10</v>
      </c>
      <c r="AE3135">
        <v>0</v>
      </c>
      <c r="AF3135">
        <v>3</v>
      </c>
      <c r="AG3135">
        <v>2</v>
      </c>
      <c r="AH3135">
        <v>0</v>
      </c>
      <c r="AI3135" t="s">
        <v>1817</v>
      </c>
      <c r="AJ3135">
        <v>40.049458000000001</v>
      </c>
      <c r="AK3135" t="s">
        <v>1818</v>
      </c>
      <c r="AL3135">
        <v>-92.893095000000002</v>
      </c>
      <c r="AM3135">
        <v>100</v>
      </c>
      <c r="AN3135">
        <v>1300</v>
      </c>
      <c r="AO3135" t="s">
        <v>118</v>
      </c>
      <c r="AP3135">
        <v>-117</v>
      </c>
      <c r="AQ3135">
        <v>63</v>
      </c>
      <c r="AR3135">
        <v>64</v>
      </c>
      <c r="AZ3135">
        <v>1200</v>
      </c>
      <c r="BA3135">
        <v>1</v>
      </c>
      <c r="BB3135" t="str">
        <f t="shared" si="152"/>
        <v xml:space="preserve">N8080G  </v>
      </c>
      <c r="BC3135">
        <v>1</v>
      </c>
      <c r="BE3135">
        <v>0</v>
      </c>
      <c r="BF3135">
        <v>0</v>
      </c>
      <c r="BG3135">
        <v>0</v>
      </c>
      <c r="BH3135">
        <v>1350</v>
      </c>
      <c r="BI3135">
        <v>1</v>
      </c>
      <c r="BJ3135">
        <v>1</v>
      </c>
      <c r="BK3135">
        <v>1</v>
      </c>
      <c r="BL3135">
        <v>0</v>
      </c>
      <c r="BO3135">
        <v>0</v>
      </c>
      <c r="BP3135">
        <v>0</v>
      </c>
      <c r="BW3135" t="str">
        <f>"20:31:27.642"</f>
        <v>20:31:27.642</v>
      </c>
      <c r="BZ3135">
        <v>0</v>
      </c>
      <c r="CA3135">
        <v>1600</v>
      </c>
      <c r="CB3135">
        <v>224</v>
      </c>
      <c r="CD3135">
        <v>1</v>
      </c>
      <c r="CE3135">
        <v>0</v>
      </c>
      <c r="CF3135">
        <v>0</v>
      </c>
      <c r="CG3135">
        <v>1</v>
      </c>
      <c r="CH3135">
        <v>0</v>
      </c>
      <c r="CI3135">
        <v>0</v>
      </c>
      <c r="CJ3135">
        <v>0</v>
      </c>
      <c r="CK3135">
        <v>2</v>
      </c>
      <c r="CL3135">
        <v>0</v>
      </c>
      <c r="CM3135">
        <v>2</v>
      </c>
      <c r="CN3135">
        <v>0</v>
      </c>
      <c r="CO3135">
        <v>7</v>
      </c>
      <c r="CP3135" t="s">
        <v>119</v>
      </c>
      <c r="CQ3135">
        <v>180</v>
      </c>
      <c r="CR3135">
        <v>3</v>
      </c>
      <c r="CW3135">
        <v>1076865</v>
      </c>
      <c r="CY3135">
        <v>1</v>
      </c>
      <c r="CZ3135">
        <v>0</v>
      </c>
      <c r="DA3135">
        <v>0</v>
      </c>
      <c r="DB3135">
        <v>0</v>
      </c>
      <c r="DC3135">
        <v>0</v>
      </c>
      <c r="DD3135">
        <v>0</v>
      </c>
      <c r="DE3135">
        <v>0</v>
      </c>
      <c r="DF3135">
        <v>0</v>
      </c>
      <c r="DG3135">
        <v>0</v>
      </c>
      <c r="DH3135">
        <v>0</v>
      </c>
      <c r="DI3135">
        <v>0</v>
      </c>
    </row>
    <row r="3136" spans="1:113" x14ac:dyDescent="0.3">
      <c r="A3136" t="str">
        <f>"02/08/2021 20:31:25.341"</f>
        <v>02/08/2021 20:31:25.341</v>
      </c>
      <c r="C3136" t="str">
        <f t="shared" si="151"/>
        <v>FFDFD7C0</v>
      </c>
      <c r="D3136" t="s">
        <v>124</v>
      </c>
      <c r="E3136">
        <v>12</v>
      </c>
      <c r="F3136">
        <v>1012</v>
      </c>
      <c r="G3136" t="s">
        <v>675</v>
      </c>
      <c r="J3136" t="s">
        <v>125</v>
      </c>
      <c r="K3136">
        <v>0</v>
      </c>
      <c r="L3136">
        <v>3</v>
      </c>
      <c r="M3136">
        <v>0</v>
      </c>
      <c r="N3136">
        <v>2</v>
      </c>
      <c r="O3136">
        <v>1</v>
      </c>
      <c r="P3136">
        <v>0</v>
      </c>
      <c r="Q3136">
        <v>0</v>
      </c>
      <c r="S3136" t="str">
        <f>"20:31:27.641"</f>
        <v>20:31:27.641</v>
      </c>
      <c r="T3136" t="str">
        <f>"20:31:27.141"</f>
        <v>20:31:27.141</v>
      </c>
      <c r="U3136" t="str">
        <f t="shared" si="150"/>
        <v>AB01F4</v>
      </c>
      <c r="V3136">
        <v>0</v>
      </c>
      <c r="W3136">
        <v>0</v>
      </c>
      <c r="X3136">
        <v>2</v>
      </c>
      <c r="Z3136">
        <v>0</v>
      </c>
      <c r="AA3136">
        <v>9</v>
      </c>
      <c r="AB3136">
        <v>3</v>
      </c>
      <c r="AC3136">
        <v>0</v>
      </c>
      <c r="AD3136">
        <v>10</v>
      </c>
      <c r="AE3136">
        <v>0</v>
      </c>
      <c r="AF3136">
        <v>3</v>
      </c>
      <c r="AG3136">
        <v>2</v>
      </c>
      <c r="AH3136">
        <v>0</v>
      </c>
      <c r="AI3136" t="s">
        <v>1817</v>
      </c>
      <c r="AJ3136">
        <v>40.049458000000001</v>
      </c>
      <c r="AK3136" t="s">
        <v>1818</v>
      </c>
      <c r="AL3136">
        <v>-92.893095000000002</v>
      </c>
      <c r="AM3136">
        <v>100</v>
      </c>
      <c r="AN3136">
        <v>1300</v>
      </c>
      <c r="AO3136" t="s">
        <v>118</v>
      </c>
      <c r="AP3136">
        <v>-117</v>
      </c>
      <c r="AQ3136">
        <v>63</v>
      </c>
      <c r="AR3136">
        <v>64</v>
      </c>
      <c r="AZ3136">
        <v>1200</v>
      </c>
      <c r="BA3136">
        <v>1</v>
      </c>
      <c r="BB3136" t="str">
        <f t="shared" si="152"/>
        <v xml:space="preserve">N8080G  </v>
      </c>
      <c r="BC3136">
        <v>1</v>
      </c>
      <c r="BE3136">
        <v>0</v>
      </c>
      <c r="BF3136">
        <v>0</v>
      </c>
      <c r="BG3136">
        <v>0</v>
      </c>
      <c r="BH3136">
        <v>1350</v>
      </c>
      <c r="BI3136">
        <v>1</v>
      </c>
      <c r="BJ3136">
        <v>1</v>
      </c>
      <c r="BK3136">
        <v>1</v>
      </c>
      <c r="BL3136">
        <v>0</v>
      </c>
      <c r="BO3136">
        <v>0</v>
      </c>
      <c r="BP3136">
        <v>0</v>
      </c>
      <c r="BW3136" t="str">
        <f>"20:31:27.642"</f>
        <v>20:31:27.642</v>
      </c>
      <c r="BZ3136">
        <v>0</v>
      </c>
      <c r="CA3136">
        <v>1600</v>
      </c>
      <c r="CB3136">
        <v>224</v>
      </c>
      <c r="CD3136">
        <v>1</v>
      </c>
      <c r="CE3136">
        <v>0</v>
      </c>
      <c r="CF3136">
        <v>0</v>
      </c>
      <c r="CG3136">
        <v>1</v>
      </c>
      <c r="CH3136">
        <v>0</v>
      </c>
      <c r="CI3136">
        <v>0</v>
      </c>
      <c r="CJ3136">
        <v>0</v>
      </c>
      <c r="CK3136">
        <v>2</v>
      </c>
      <c r="CL3136">
        <v>0</v>
      </c>
      <c r="CM3136">
        <v>2</v>
      </c>
      <c r="CN3136">
        <v>0</v>
      </c>
      <c r="CO3136">
        <v>7</v>
      </c>
      <c r="CP3136" t="s">
        <v>119</v>
      </c>
      <c r="CQ3136">
        <v>180</v>
      </c>
      <c r="CR3136">
        <v>3</v>
      </c>
      <c r="CW3136">
        <v>1076865</v>
      </c>
      <c r="CY3136">
        <v>1</v>
      </c>
      <c r="CZ3136">
        <v>0</v>
      </c>
      <c r="DA3136">
        <v>1</v>
      </c>
      <c r="DB3136">
        <v>0</v>
      </c>
      <c r="DC3136">
        <v>0</v>
      </c>
      <c r="DD3136">
        <v>0</v>
      </c>
      <c r="DE3136">
        <v>0</v>
      </c>
      <c r="DF3136">
        <v>0</v>
      </c>
      <c r="DG3136">
        <v>0</v>
      </c>
      <c r="DH3136">
        <v>0</v>
      </c>
      <c r="DI3136">
        <v>0</v>
      </c>
    </row>
    <row r="3137" spans="1:113" x14ac:dyDescent="0.3">
      <c r="A3137" t="str">
        <f>"02/08/2021 20:31:25.341"</f>
        <v>02/08/2021 20:31:25.341</v>
      </c>
      <c r="C3137" t="str">
        <f t="shared" si="151"/>
        <v>FFDFD7C0</v>
      </c>
      <c r="D3137" t="s">
        <v>124</v>
      </c>
      <c r="E3137">
        <v>13</v>
      </c>
      <c r="F3137">
        <v>1013</v>
      </c>
      <c r="G3137" t="s">
        <v>114</v>
      </c>
      <c r="J3137" t="s">
        <v>125</v>
      </c>
      <c r="K3137">
        <v>0</v>
      </c>
      <c r="L3137">
        <v>3</v>
      </c>
      <c r="M3137">
        <v>0</v>
      </c>
      <c r="N3137">
        <v>2</v>
      </c>
      <c r="O3137">
        <v>1</v>
      </c>
      <c r="P3137">
        <v>0</v>
      </c>
      <c r="Q3137">
        <v>0</v>
      </c>
      <c r="S3137" t="str">
        <f>"20:31:27.641"</f>
        <v>20:31:27.641</v>
      </c>
      <c r="T3137" t="str">
        <f>"20:31:27.141"</f>
        <v>20:31:27.141</v>
      </c>
      <c r="U3137" t="str">
        <f t="shared" si="150"/>
        <v>AB01F4</v>
      </c>
      <c r="V3137">
        <v>0</v>
      </c>
      <c r="W3137">
        <v>0</v>
      </c>
      <c r="X3137">
        <v>2</v>
      </c>
      <c r="Z3137">
        <v>0</v>
      </c>
      <c r="AA3137">
        <v>9</v>
      </c>
      <c r="AB3137">
        <v>3</v>
      </c>
      <c r="AC3137">
        <v>0</v>
      </c>
      <c r="AD3137">
        <v>10</v>
      </c>
      <c r="AE3137">
        <v>0</v>
      </c>
      <c r="AF3137">
        <v>3</v>
      </c>
      <c r="AG3137">
        <v>2</v>
      </c>
      <c r="AH3137">
        <v>0</v>
      </c>
      <c r="AI3137" t="s">
        <v>1817</v>
      </c>
      <c r="AJ3137">
        <v>40.049458000000001</v>
      </c>
      <c r="AK3137" t="s">
        <v>1818</v>
      </c>
      <c r="AL3137">
        <v>-92.893095000000002</v>
      </c>
      <c r="AM3137">
        <v>100</v>
      </c>
      <c r="AN3137">
        <v>1300</v>
      </c>
      <c r="AO3137" t="s">
        <v>118</v>
      </c>
      <c r="AP3137">
        <v>-117</v>
      </c>
      <c r="AQ3137">
        <v>63</v>
      </c>
      <c r="AR3137">
        <v>64</v>
      </c>
      <c r="AZ3137">
        <v>1200</v>
      </c>
      <c r="BA3137">
        <v>1</v>
      </c>
      <c r="BB3137" t="str">
        <f t="shared" si="152"/>
        <v xml:space="preserve">N8080G  </v>
      </c>
      <c r="BC3137">
        <v>1</v>
      </c>
      <c r="BE3137">
        <v>0</v>
      </c>
      <c r="BF3137">
        <v>0</v>
      </c>
      <c r="BG3137">
        <v>0</v>
      </c>
      <c r="BH3137">
        <v>1350</v>
      </c>
      <c r="BI3137">
        <v>1</v>
      </c>
      <c r="BJ3137">
        <v>1</v>
      </c>
      <c r="BK3137">
        <v>1</v>
      </c>
      <c r="BL3137">
        <v>0</v>
      </c>
      <c r="BO3137">
        <v>0</v>
      </c>
      <c r="BP3137">
        <v>0</v>
      </c>
      <c r="BW3137" t="str">
        <f>"20:31:27.642"</f>
        <v>20:31:27.642</v>
      </c>
      <c r="BZ3137">
        <v>0</v>
      </c>
      <c r="CA3137">
        <v>1600</v>
      </c>
      <c r="CB3137">
        <v>224</v>
      </c>
      <c r="CD3137">
        <v>1</v>
      </c>
      <c r="CE3137">
        <v>0</v>
      </c>
      <c r="CF3137">
        <v>0</v>
      </c>
      <c r="CG3137">
        <v>1</v>
      </c>
      <c r="CH3137">
        <v>0</v>
      </c>
      <c r="CI3137">
        <v>0</v>
      </c>
      <c r="CJ3137">
        <v>0</v>
      </c>
      <c r="CK3137">
        <v>2</v>
      </c>
      <c r="CL3137">
        <v>0</v>
      </c>
      <c r="CM3137">
        <v>2</v>
      </c>
      <c r="CN3137">
        <v>0</v>
      </c>
      <c r="CO3137">
        <v>7</v>
      </c>
      <c r="CP3137" t="s">
        <v>119</v>
      </c>
      <c r="CQ3137">
        <v>180</v>
      </c>
      <c r="CR3137">
        <v>3</v>
      </c>
      <c r="CW3137">
        <v>1076865</v>
      </c>
      <c r="CY3137">
        <v>1</v>
      </c>
      <c r="CZ3137">
        <v>0</v>
      </c>
      <c r="DA3137">
        <v>1</v>
      </c>
      <c r="DB3137">
        <v>0</v>
      </c>
      <c r="DC3137">
        <v>0</v>
      </c>
      <c r="DD3137">
        <v>0</v>
      </c>
      <c r="DE3137">
        <v>0</v>
      </c>
      <c r="DF3137">
        <v>0</v>
      </c>
      <c r="DG3137">
        <v>0</v>
      </c>
      <c r="DH3137">
        <v>0</v>
      </c>
      <c r="DI3137">
        <v>0</v>
      </c>
    </row>
    <row r="3138" spans="1:113" x14ac:dyDescent="0.3">
      <c r="A3138" t="str">
        <f>"02/08/2021 20:31:25.341"</f>
        <v>02/08/2021 20:31:25.341</v>
      </c>
      <c r="C3138" t="str">
        <f t="shared" si="151"/>
        <v>FFDFD7C0</v>
      </c>
      <c r="D3138" t="s">
        <v>124</v>
      </c>
      <c r="E3138">
        <v>11</v>
      </c>
      <c r="F3138">
        <v>1011</v>
      </c>
      <c r="G3138" t="s">
        <v>590</v>
      </c>
      <c r="J3138" t="s">
        <v>125</v>
      </c>
      <c r="K3138">
        <v>0</v>
      </c>
      <c r="L3138">
        <v>3</v>
      </c>
      <c r="M3138">
        <v>0</v>
      </c>
      <c r="N3138">
        <v>2</v>
      </c>
      <c r="O3138">
        <v>1</v>
      </c>
      <c r="P3138">
        <v>0</v>
      </c>
      <c r="Q3138">
        <v>0</v>
      </c>
      <c r="S3138" t="str">
        <f>"20:31:27.641"</f>
        <v>20:31:27.641</v>
      </c>
      <c r="T3138" t="str">
        <f>"20:31:27.141"</f>
        <v>20:31:27.141</v>
      </c>
      <c r="U3138" t="str">
        <f t="shared" ref="U3138:U3201" si="153">"AB01F4"</f>
        <v>AB01F4</v>
      </c>
      <c r="V3138">
        <v>0</v>
      </c>
      <c r="W3138">
        <v>0</v>
      </c>
      <c r="X3138">
        <v>2</v>
      </c>
      <c r="Z3138">
        <v>0</v>
      </c>
      <c r="AA3138">
        <v>9</v>
      </c>
      <c r="AB3138">
        <v>3</v>
      </c>
      <c r="AC3138">
        <v>0</v>
      </c>
      <c r="AD3138">
        <v>10</v>
      </c>
      <c r="AE3138">
        <v>0</v>
      </c>
      <c r="AF3138">
        <v>3</v>
      </c>
      <c r="AG3138">
        <v>2</v>
      </c>
      <c r="AH3138">
        <v>0</v>
      </c>
      <c r="AI3138" t="s">
        <v>1817</v>
      </c>
      <c r="AJ3138">
        <v>40.049458000000001</v>
      </c>
      <c r="AK3138" t="s">
        <v>1818</v>
      </c>
      <c r="AL3138">
        <v>-92.893095000000002</v>
      </c>
      <c r="AM3138">
        <v>100</v>
      </c>
      <c r="AN3138">
        <v>1300</v>
      </c>
      <c r="AO3138" t="s">
        <v>118</v>
      </c>
      <c r="AP3138">
        <v>-117</v>
      </c>
      <c r="AQ3138">
        <v>63</v>
      </c>
      <c r="AR3138">
        <v>64</v>
      </c>
      <c r="AZ3138">
        <v>1200</v>
      </c>
      <c r="BA3138">
        <v>1</v>
      </c>
      <c r="BB3138" t="str">
        <f t="shared" si="152"/>
        <v xml:space="preserve">N8080G  </v>
      </c>
      <c r="BC3138">
        <v>1</v>
      </c>
      <c r="BE3138">
        <v>0</v>
      </c>
      <c r="BF3138">
        <v>0</v>
      </c>
      <c r="BG3138">
        <v>0</v>
      </c>
      <c r="BH3138">
        <v>1350</v>
      </c>
      <c r="BI3138">
        <v>1</v>
      </c>
      <c r="BJ3138">
        <v>1</v>
      </c>
      <c r="BK3138">
        <v>1</v>
      </c>
      <c r="BL3138">
        <v>0</v>
      </c>
      <c r="BO3138">
        <v>0</v>
      </c>
      <c r="BP3138">
        <v>0</v>
      </c>
      <c r="BW3138" t="str">
        <f>"20:31:27.642"</f>
        <v>20:31:27.642</v>
      </c>
      <c r="BZ3138">
        <v>0</v>
      </c>
      <c r="CA3138">
        <v>1600</v>
      </c>
      <c r="CB3138">
        <v>224</v>
      </c>
      <c r="CD3138">
        <v>1</v>
      </c>
      <c r="CE3138">
        <v>0</v>
      </c>
      <c r="CF3138">
        <v>0</v>
      </c>
      <c r="CG3138">
        <v>1</v>
      </c>
      <c r="CH3138">
        <v>0</v>
      </c>
      <c r="CI3138">
        <v>0</v>
      </c>
      <c r="CJ3138">
        <v>0</v>
      </c>
      <c r="CK3138">
        <v>2</v>
      </c>
      <c r="CL3138">
        <v>0</v>
      </c>
      <c r="CM3138">
        <v>2</v>
      </c>
      <c r="CN3138">
        <v>0</v>
      </c>
      <c r="CO3138">
        <v>7</v>
      </c>
      <c r="CP3138" t="s">
        <v>119</v>
      </c>
      <c r="CQ3138">
        <v>180</v>
      </c>
      <c r="CR3138">
        <v>3</v>
      </c>
      <c r="CW3138">
        <v>1076865</v>
      </c>
      <c r="CY3138">
        <v>1</v>
      </c>
      <c r="CZ3138">
        <v>0</v>
      </c>
      <c r="DA3138">
        <v>1</v>
      </c>
      <c r="DB3138">
        <v>0</v>
      </c>
      <c r="DC3138">
        <v>0</v>
      </c>
      <c r="DD3138">
        <v>0</v>
      </c>
      <c r="DE3138">
        <v>0</v>
      </c>
      <c r="DF3138">
        <v>0</v>
      </c>
      <c r="DG3138">
        <v>0</v>
      </c>
      <c r="DH3138">
        <v>0</v>
      </c>
      <c r="DI3138">
        <v>0</v>
      </c>
    </row>
    <row r="3139" spans="1:113" x14ac:dyDescent="0.3">
      <c r="A3139" t="str">
        <f>"02/08/2021 20:31:28.340"</f>
        <v>02/08/2021 20:31:28.340</v>
      </c>
      <c r="C3139" t="str">
        <f t="shared" si="151"/>
        <v>FFDFD7C0</v>
      </c>
      <c r="D3139" t="s">
        <v>124</v>
      </c>
      <c r="E3139">
        <v>13</v>
      </c>
      <c r="F3139">
        <v>1013</v>
      </c>
      <c r="G3139" t="s">
        <v>114</v>
      </c>
      <c r="J3139" t="s">
        <v>125</v>
      </c>
      <c r="K3139">
        <v>0</v>
      </c>
      <c r="L3139">
        <v>3</v>
      </c>
      <c r="M3139">
        <v>0</v>
      </c>
      <c r="N3139">
        <v>2</v>
      </c>
      <c r="O3139">
        <v>1</v>
      </c>
      <c r="P3139">
        <v>0</v>
      </c>
      <c r="Q3139">
        <v>0</v>
      </c>
      <c r="S3139" t="str">
        <f>"20:31:30.656"</f>
        <v>20:31:30.656</v>
      </c>
      <c r="T3139" t="str">
        <f>"20:31:30.256"</f>
        <v>20:31:30.256</v>
      </c>
      <c r="U3139" t="str">
        <f t="shared" si="153"/>
        <v>AB01F4</v>
      </c>
      <c r="V3139">
        <v>0</v>
      </c>
      <c r="W3139">
        <v>0</v>
      </c>
      <c r="X3139">
        <v>2</v>
      </c>
      <c r="Z3139">
        <v>0</v>
      </c>
      <c r="AA3139">
        <v>9</v>
      </c>
      <c r="AB3139">
        <v>3</v>
      </c>
      <c r="AC3139">
        <v>0</v>
      </c>
      <c r="AD3139">
        <v>10</v>
      </c>
      <c r="AE3139">
        <v>0</v>
      </c>
      <c r="AF3139">
        <v>3</v>
      </c>
      <c r="AG3139">
        <v>2</v>
      </c>
      <c r="AH3139">
        <v>0</v>
      </c>
      <c r="AI3139" t="s">
        <v>1819</v>
      </c>
      <c r="AJ3139">
        <v>40.050294000000001</v>
      </c>
      <c r="AK3139" t="s">
        <v>1820</v>
      </c>
      <c r="AL3139">
        <v>-92.895218999999997</v>
      </c>
      <c r="AM3139">
        <v>100</v>
      </c>
      <c r="AN3139">
        <v>1300</v>
      </c>
      <c r="AO3139" t="s">
        <v>118</v>
      </c>
      <c r="AP3139">
        <v>-117</v>
      </c>
      <c r="AQ3139">
        <v>63</v>
      </c>
      <c r="AR3139">
        <v>-64</v>
      </c>
      <c r="AZ3139">
        <v>1200</v>
      </c>
      <c r="BA3139">
        <v>1</v>
      </c>
      <c r="BB3139" t="str">
        <f t="shared" si="152"/>
        <v xml:space="preserve">N8080G  </v>
      </c>
      <c r="BC3139">
        <v>1</v>
      </c>
      <c r="BE3139">
        <v>0</v>
      </c>
      <c r="BF3139">
        <v>0</v>
      </c>
      <c r="BG3139">
        <v>0</v>
      </c>
      <c r="BH3139">
        <v>1325</v>
      </c>
      <c r="BI3139">
        <v>1</v>
      </c>
      <c r="BJ3139">
        <v>1</v>
      </c>
      <c r="BK3139">
        <v>1</v>
      </c>
      <c r="BL3139">
        <v>0</v>
      </c>
      <c r="BO3139">
        <v>0</v>
      </c>
      <c r="BP3139">
        <v>0</v>
      </c>
      <c r="BW3139" t="str">
        <f>"20:31:30.662"</f>
        <v>20:31:30.662</v>
      </c>
      <c r="BZ3139">
        <v>0</v>
      </c>
      <c r="CA3139">
        <v>1600</v>
      </c>
      <c r="CB3139">
        <v>224</v>
      </c>
      <c r="CD3139">
        <v>1</v>
      </c>
      <c r="CE3139">
        <v>0</v>
      </c>
      <c r="CF3139">
        <v>0</v>
      </c>
      <c r="CG3139">
        <v>1</v>
      </c>
      <c r="CH3139">
        <v>0</v>
      </c>
      <c r="CI3139">
        <v>0</v>
      </c>
      <c r="CJ3139">
        <v>0</v>
      </c>
      <c r="CK3139">
        <v>2</v>
      </c>
      <c r="CL3139">
        <v>0</v>
      </c>
      <c r="CM3139">
        <v>2</v>
      </c>
      <c r="CN3139">
        <v>0</v>
      </c>
      <c r="CO3139">
        <v>7</v>
      </c>
      <c r="CP3139" t="s">
        <v>119</v>
      </c>
      <c r="CQ3139">
        <v>180</v>
      </c>
      <c r="CR3139">
        <v>3</v>
      </c>
      <c r="CW3139">
        <v>1079324</v>
      </c>
      <c r="CY3139">
        <v>1</v>
      </c>
      <c r="CZ3139">
        <v>0</v>
      </c>
      <c r="DA3139">
        <v>0</v>
      </c>
      <c r="DB3139">
        <v>0</v>
      </c>
      <c r="DC3139">
        <v>0</v>
      </c>
      <c r="DD3139">
        <v>0</v>
      </c>
      <c r="DE3139">
        <v>0</v>
      </c>
      <c r="DF3139">
        <v>0</v>
      </c>
      <c r="DG3139">
        <v>0</v>
      </c>
      <c r="DH3139">
        <v>0</v>
      </c>
      <c r="DI3139">
        <v>0</v>
      </c>
    </row>
    <row r="3140" spans="1:113" x14ac:dyDescent="0.3">
      <c r="A3140" t="str">
        <f>"02/08/2021 20:31:28.340"</f>
        <v>02/08/2021 20:31:28.340</v>
      </c>
      <c r="C3140" t="str">
        <f t="shared" si="151"/>
        <v>FFDFD7C0</v>
      </c>
      <c r="D3140" t="s">
        <v>124</v>
      </c>
      <c r="E3140">
        <v>11</v>
      </c>
      <c r="F3140">
        <v>1011</v>
      </c>
      <c r="G3140" t="s">
        <v>590</v>
      </c>
      <c r="J3140" t="s">
        <v>125</v>
      </c>
      <c r="K3140">
        <v>0</v>
      </c>
      <c r="L3140">
        <v>3</v>
      </c>
      <c r="M3140">
        <v>0</v>
      </c>
      <c r="N3140">
        <v>2</v>
      </c>
      <c r="O3140">
        <v>1</v>
      </c>
      <c r="P3140">
        <v>0</v>
      </c>
      <c r="Q3140">
        <v>0</v>
      </c>
      <c r="S3140" t="str">
        <f>"20:31:30.656"</f>
        <v>20:31:30.656</v>
      </c>
      <c r="T3140" t="str">
        <f>"20:31:30.256"</f>
        <v>20:31:30.256</v>
      </c>
      <c r="U3140" t="str">
        <f t="shared" si="153"/>
        <v>AB01F4</v>
      </c>
      <c r="V3140">
        <v>0</v>
      </c>
      <c r="W3140">
        <v>0</v>
      </c>
      <c r="X3140">
        <v>2</v>
      </c>
      <c r="Z3140">
        <v>0</v>
      </c>
      <c r="AA3140">
        <v>9</v>
      </c>
      <c r="AB3140">
        <v>3</v>
      </c>
      <c r="AC3140">
        <v>0</v>
      </c>
      <c r="AD3140">
        <v>10</v>
      </c>
      <c r="AE3140">
        <v>0</v>
      </c>
      <c r="AF3140">
        <v>3</v>
      </c>
      <c r="AG3140">
        <v>2</v>
      </c>
      <c r="AH3140">
        <v>0</v>
      </c>
      <c r="AI3140" t="s">
        <v>1819</v>
      </c>
      <c r="AJ3140">
        <v>40.050294000000001</v>
      </c>
      <c r="AK3140" t="s">
        <v>1820</v>
      </c>
      <c r="AL3140">
        <v>-92.895218999999997</v>
      </c>
      <c r="AM3140">
        <v>100</v>
      </c>
      <c r="AN3140">
        <v>1300</v>
      </c>
      <c r="AO3140" t="s">
        <v>118</v>
      </c>
      <c r="AP3140">
        <v>-117</v>
      </c>
      <c r="AQ3140">
        <v>63</v>
      </c>
      <c r="AR3140">
        <v>-64</v>
      </c>
      <c r="AZ3140">
        <v>1200</v>
      </c>
      <c r="BA3140">
        <v>1</v>
      </c>
      <c r="BB3140" t="str">
        <f t="shared" si="152"/>
        <v xml:space="preserve">N8080G  </v>
      </c>
      <c r="BC3140">
        <v>1</v>
      </c>
      <c r="BE3140">
        <v>0</v>
      </c>
      <c r="BF3140">
        <v>0</v>
      </c>
      <c r="BG3140">
        <v>0</v>
      </c>
      <c r="BH3140">
        <v>1325</v>
      </c>
      <c r="BI3140">
        <v>1</v>
      </c>
      <c r="BJ3140">
        <v>1</v>
      </c>
      <c r="BK3140">
        <v>1</v>
      </c>
      <c r="BL3140">
        <v>0</v>
      </c>
      <c r="BO3140">
        <v>0</v>
      </c>
      <c r="BP3140">
        <v>0</v>
      </c>
      <c r="BW3140" t="str">
        <f>"20:31:30.662"</f>
        <v>20:31:30.662</v>
      </c>
      <c r="BZ3140">
        <v>0</v>
      </c>
      <c r="CA3140">
        <v>1600</v>
      </c>
      <c r="CB3140">
        <v>224</v>
      </c>
      <c r="CD3140">
        <v>1</v>
      </c>
      <c r="CE3140">
        <v>0</v>
      </c>
      <c r="CF3140">
        <v>0</v>
      </c>
      <c r="CG3140">
        <v>1</v>
      </c>
      <c r="CH3140">
        <v>0</v>
      </c>
      <c r="CI3140">
        <v>0</v>
      </c>
      <c r="CJ3140">
        <v>0</v>
      </c>
      <c r="CK3140">
        <v>2</v>
      </c>
      <c r="CL3140">
        <v>0</v>
      </c>
      <c r="CM3140">
        <v>2</v>
      </c>
      <c r="CN3140">
        <v>0</v>
      </c>
      <c r="CO3140">
        <v>7</v>
      </c>
      <c r="CP3140" t="s">
        <v>119</v>
      </c>
      <c r="CQ3140">
        <v>180</v>
      </c>
      <c r="CR3140">
        <v>3</v>
      </c>
      <c r="CW3140">
        <v>1079324</v>
      </c>
      <c r="CY3140">
        <v>1</v>
      </c>
      <c r="CZ3140">
        <v>0</v>
      </c>
      <c r="DA3140">
        <v>1</v>
      </c>
      <c r="DB3140">
        <v>0</v>
      </c>
      <c r="DC3140">
        <v>0</v>
      </c>
      <c r="DD3140">
        <v>0</v>
      </c>
      <c r="DE3140">
        <v>0</v>
      </c>
      <c r="DF3140">
        <v>0</v>
      </c>
      <c r="DG3140">
        <v>0</v>
      </c>
      <c r="DH3140">
        <v>0</v>
      </c>
      <c r="DI3140">
        <v>0</v>
      </c>
    </row>
    <row r="3141" spans="1:113" x14ac:dyDescent="0.3">
      <c r="A3141" t="str">
        <f>"02/08/2021 20:31:28.340"</f>
        <v>02/08/2021 20:31:28.340</v>
      </c>
      <c r="C3141" t="str">
        <f t="shared" si="151"/>
        <v>FFDFD7C0</v>
      </c>
      <c r="D3141" t="s">
        <v>124</v>
      </c>
      <c r="E3141">
        <v>12</v>
      </c>
      <c r="F3141">
        <v>1012</v>
      </c>
      <c r="G3141" t="s">
        <v>675</v>
      </c>
      <c r="J3141" t="s">
        <v>125</v>
      </c>
      <c r="K3141">
        <v>0</v>
      </c>
      <c r="L3141">
        <v>3</v>
      </c>
      <c r="M3141">
        <v>0</v>
      </c>
      <c r="N3141">
        <v>2</v>
      </c>
      <c r="O3141">
        <v>1</v>
      </c>
      <c r="P3141">
        <v>0</v>
      </c>
      <c r="Q3141">
        <v>0</v>
      </c>
      <c r="S3141" t="str">
        <f>"20:31:30.656"</f>
        <v>20:31:30.656</v>
      </c>
      <c r="T3141" t="str">
        <f>"20:31:30.256"</f>
        <v>20:31:30.256</v>
      </c>
      <c r="U3141" t="str">
        <f t="shared" si="153"/>
        <v>AB01F4</v>
      </c>
      <c r="V3141">
        <v>0</v>
      </c>
      <c r="W3141">
        <v>0</v>
      </c>
      <c r="X3141">
        <v>2</v>
      </c>
      <c r="Z3141">
        <v>0</v>
      </c>
      <c r="AA3141">
        <v>9</v>
      </c>
      <c r="AB3141">
        <v>3</v>
      </c>
      <c r="AC3141">
        <v>0</v>
      </c>
      <c r="AD3141">
        <v>10</v>
      </c>
      <c r="AE3141">
        <v>0</v>
      </c>
      <c r="AF3141">
        <v>3</v>
      </c>
      <c r="AG3141">
        <v>2</v>
      </c>
      <c r="AH3141">
        <v>0</v>
      </c>
      <c r="AI3141" t="s">
        <v>1819</v>
      </c>
      <c r="AJ3141">
        <v>40.050294000000001</v>
      </c>
      <c r="AK3141" t="s">
        <v>1820</v>
      </c>
      <c r="AL3141">
        <v>-92.895218999999997</v>
      </c>
      <c r="AM3141">
        <v>100</v>
      </c>
      <c r="AN3141">
        <v>1300</v>
      </c>
      <c r="AO3141" t="s">
        <v>118</v>
      </c>
      <c r="AP3141">
        <v>-117</v>
      </c>
      <c r="AQ3141">
        <v>63</v>
      </c>
      <c r="AR3141">
        <v>-64</v>
      </c>
      <c r="AZ3141">
        <v>1200</v>
      </c>
      <c r="BA3141">
        <v>1</v>
      </c>
      <c r="BB3141" t="str">
        <f t="shared" si="152"/>
        <v xml:space="preserve">N8080G  </v>
      </c>
      <c r="BC3141">
        <v>1</v>
      </c>
      <c r="BE3141">
        <v>0</v>
      </c>
      <c r="BF3141">
        <v>0</v>
      </c>
      <c r="BG3141">
        <v>0</v>
      </c>
      <c r="BH3141">
        <v>1325</v>
      </c>
      <c r="BI3141">
        <v>1</v>
      </c>
      <c r="BJ3141">
        <v>1</v>
      </c>
      <c r="BK3141">
        <v>1</v>
      </c>
      <c r="BL3141">
        <v>0</v>
      </c>
      <c r="BO3141">
        <v>0</v>
      </c>
      <c r="BP3141">
        <v>0</v>
      </c>
      <c r="BW3141" t="str">
        <f>"20:31:30.662"</f>
        <v>20:31:30.662</v>
      </c>
      <c r="BZ3141">
        <v>0</v>
      </c>
      <c r="CA3141">
        <v>1600</v>
      </c>
      <c r="CB3141">
        <v>224</v>
      </c>
      <c r="CD3141">
        <v>1</v>
      </c>
      <c r="CE3141">
        <v>0</v>
      </c>
      <c r="CF3141">
        <v>0</v>
      </c>
      <c r="CG3141">
        <v>1</v>
      </c>
      <c r="CH3141">
        <v>0</v>
      </c>
      <c r="CI3141">
        <v>0</v>
      </c>
      <c r="CJ3141">
        <v>0</v>
      </c>
      <c r="CK3141">
        <v>2</v>
      </c>
      <c r="CL3141">
        <v>0</v>
      </c>
      <c r="CM3141">
        <v>2</v>
      </c>
      <c r="CN3141">
        <v>0</v>
      </c>
      <c r="CO3141">
        <v>7</v>
      </c>
      <c r="CP3141" t="s">
        <v>119</v>
      </c>
      <c r="CQ3141">
        <v>180</v>
      </c>
      <c r="CR3141">
        <v>3</v>
      </c>
      <c r="CW3141">
        <v>1079324</v>
      </c>
      <c r="CY3141">
        <v>1</v>
      </c>
      <c r="CZ3141">
        <v>0</v>
      </c>
      <c r="DA3141">
        <v>1</v>
      </c>
      <c r="DB3141">
        <v>0</v>
      </c>
      <c r="DC3141">
        <v>0</v>
      </c>
      <c r="DD3141">
        <v>0</v>
      </c>
      <c r="DE3141">
        <v>0</v>
      </c>
      <c r="DF3141">
        <v>0</v>
      </c>
      <c r="DG3141">
        <v>0</v>
      </c>
      <c r="DH3141">
        <v>0</v>
      </c>
      <c r="DI3141">
        <v>0</v>
      </c>
    </row>
    <row r="3142" spans="1:113" x14ac:dyDescent="0.3">
      <c r="A3142" t="str">
        <f>"02/08/2021 20:31:28.340"</f>
        <v>02/08/2021 20:31:28.340</v>
      </c>
      <c r="C3142" t="str">
        <f t="shared" si="151"/>
        <v>FFDFD7C0</v>
      </c>
      <c r="D3142" t="s">
        <v>113</v>
      </c>
      <c r="E3142">
        <v>6</v>
      </c>
      <c r="H3142">
        <v>165</v>
      </c>
      <c r="I3142" t="s">
        <v>114</v>
      </c>
      <c r="J3142" t="s">
        <v>115</v>
      </c>
      <c r="K3142">
        <v>0</v>
      </c>
      <c r="L3142">
        <v>3</v>
      </c>
      <c r="M3142">
        <v>0</v>
      </c>
      <c r="N3142">
        <v>2</v>
      </c>
      <c r="O3142">
        <v>1</v>
      </c>
      <c r="P3142">
        <v>0</v>
      </c>
      <c r="Q3142">
        <v>0</v>
      </c>
      <c r="S3142" t="str">
        <f>"20:31:30.656"</f>
        <v>20:31:30.656</v>
      </c>
      <c r="T3142" t="str">
        <f>"20:31:30.256"</f>
        <v>20:31:30.256</v>
      </c>
      <c r="U3142" t="str">
        <f t="shared" si="153"/>
        <v>AB01F4</v>
      </c>
      <c r="V3142">
        <v>0</v>
      </c>
      <c r="W3142">
        <v>0</v>
      </c>
      <c r="X3142">
        <v>2</v>
      </c>
      <c r="Z3142">
        <v>0</v>
      </c>
      <c r="AA3142">
        <v>9</v>
      </c>
      <c r="AB3142">
        <v>3</v>
      </c>
      <c r="AC3142">
        <v>0</v>
      </c>
      <c r="AD3142">
        <v>10</v>
      </c>
      <c r="AE3142">
        <v>0</v>
      </c>
      <c r="AF3142">
        <v>3</v>
      </c>
      <c r="AG3142">
        <v>2</v>
      </c>
      <c r="AH3142">
        <v>0</v>
      </c>
      <c r="AI3142" t="s">
        <v>1819</v>
      </c>
      <c r="AJ3142">
        <v>40.050294000000001</v>
      </c>
      <c r="AK3142" t="s">
        <v>1820</v>
      </c>
      <c r="AL3142">
        <v>-92.895218999999997</v>
      </c>
      <c r="AM3142">
        <v>100</v>
      </c>
      <c r="AN3142">
        <v>1300</v>
      </c>
      <c r="AO3142" t="s">
        <v>118</v>
      </c>
      <c r="AP3142">
        <v>-117</v>
      </c>
      <c r="AQ3142">
        <v>63</v>
      </c>
      <c r="AR3142">
        <v>-64</v>
      </c>
      <c r="AZ3142">
        <v>1200</v>
      </c>
      <c r="BA3142">
        <v>1</v>
      </c>
      <c r="BB3142" t="str">
        <f t="shared" si="152"/>
        <v xml:space="preserve">N8080G  </v>
      </c>
      <c r="BC3142">
        <v>1</v>
      </c>
      <c r="BE3142">
        <v>0</v>
      </c>
      <c r="BF3142">
        <v>0</v>
      </c>
      <c r="BG3142">
        <v>0</v>
      </c>
      <c r="BH3142">
        <v>1325</v>
      </c>
      <c r="BI3142">
        <v>1</v>
      </c>
      <c r="BJ3142">
        <v>1</v>
      </c>
      <c r="BK3142">
        <v>1</v>
      </c>
      <c r="BL3142">
        <v>0</v>
      </c>
      <c r="BO3142">
        <v>0</v>
      </c>
      <c r="BP3142">
        <v>0</v>
      </c>
      <c r="BW3142" t="str">
        <f>"20:31:30.662"</f>
        <v>20:31:30.662</v>
      </c>
      <c r="BZ3142">
        <v>0</v>
      </c>
      <c r="CA3142">
        <v>1600</v>
      </c>
      <c r="CB3142">
        <v>224</v>
      </c>
      <c r="CD3142">
        <v>1</v>
      </c>
      <c r="CE3142">
        <v>0</v>
      </c>
      <c r="CF3142">
        <v>0</v>
      </c>
      <c r="CG3142">
        <v>1</v>
      </c>
      <c r="CH3142">
        <v>0</v>
      </c>
      <c r="CI3142">
        <v>0</v>
      </c>
      <c r="CJ3142">
        <v>0</v>
      </c>
      <c r="CK3142">
        <v>2</v>
      </c>
      <c r="CL3142">
        <v>0</v>
      </c>
      <c r="CM3142">
        <v>2</v>
      </c>
      <c r="CN3142">
        <v>0</v>
      </c>
      <c r="CO3142">
        <v>7</v>
      </c>
      <c r="CP3142" t="s">
        <v>119</v>
      </c>
      <c r="CQ3142">
        <v>180</v>
      </c>
      <c r="CR3142">
        <v>3</v>
      </c>
      <c r="CW3142">
        <v>1079324</v>
      </c>
      <c r="CY3142">
        <v>1</v>
      </c>
      <c r="CZ3142">
        <v>0</v>
      </c>
      <c r="DA3142">
        <v>1</v>
      </c>
      <c r="DB3142">
        <v>0</v>
      </c>
      <c r="DC3142">
        <v>0</v>
      </c>
      <c r="DD3142">
        <v>0</v>
      </c>
      <c r="DE3142">
        <v>0</v>
      </c>
      <c r="DF3142">
        <v>0</v>
      </c>
      <c r="DG3142">
        <v>0</v>
      </c>
      <c r="DH3142">
        <v>0</v>
      </c>
      <c r="DI3142">
        <v>0</v>
      </c>
    </row>
    <row r="3143" spans="1:113" x14ac:dyDescent="0.3">
      <c r="A3143" t="str">
        <f>"02/08/2021 20:31:29.265"</f>
        <v>02/08/2021 20:31:29.265</v>
      </c>
      <c r="C3143" t="str">
        <f t="shared" si="151"/>
        <v>FFDFD7C0</v>
      </c>
      <c r="D3143" t="s">
        <v>124</v>
      </c>
      <c r="E3143">
        <v>11</v>
      </c>
      <c r="F3143">
        <v>1011</v>
      </c>
      <c r="G3143" t="s">
        <v>590</v>
      </c>
      <c r="J3143" t="s">
        <v>125</v>
      </c>
      <c r="K3143">
        <v>0</v>
      </c>
      <c r="L3143">
        <v>3</v>
      </c>
      <c r="M3143">
        <v>0</v>
      </c>
      <c r="N3143">
        <v>2</v>
      </c>
      <c r="O3143">
        <v>1</v>
      </c>
      <c r="P3143">
        <v>0</v>
      </c>
      <c r="Q3143">
        <v>0</v>
      </c>
      <c r="S3143" t="str">
        <f>"20:31:31.586"</f>
        <v>20:31:31.586</v>
      </c>
      <c r="T3143" t="str">
        <f>"20:31:31.186"</f>
        <v>20:31:31.186</v>
      </c>
      <c r="U3143" t="str">
        <f t="shared" si="153"/>
        <v>AB01F4</v>
      </c>
      <c r="V3143">
        <v>0</v>
      </c>
      <c r="W3143">
        <v>0</v>
      </c>
      <c r="X3143">
        <v>2</v>
      </c>
      <c r="Z3143">
        <v>0</v>
      </c>
      <c r="AA3143">
        <v>9</v>
      </c>
      <c r="AB3143">
        <v>3</v>
      </c>
      <c r="AC3143">
        <v>0</v>
      </c>
      <c r="AD3143">
        <v>10</v>
      </c>
      <c r="AE3143">
        <v>0</v>
      </c>
      <c r="AF3143">
        <v>3</v>
      </c>
      <c r="AG3143">
        <v>2</v>
      </c>
      <c r="AH3143">
        <v>0</v>
      </c>
      <c r="AI3143" t="s">
        <v>1821</v>
      </c>
      <c r="AJ3143">
        <v>40.050573</v>
      </c>
      <c r="AK3143" t="s">
        <v>1822</v>
      </c>
      <c r="AL3143">
        <v>-92.895820000000001</v>
      </c>
      <c r="AM3143">
        <v>100</v>
      </c>
      <c r="AN3143">
        <v>1300</v>
      </c>
      <c r="AO3143" t="s">
        <v>118</v>
      </c>
      <c r="AP3143">
        <v>-117</v>
      </c>
      <c r="AQ3143">
        <v>63</v>
      </c>
      <c r="AR3143">
        <v>-64</v>
      </c>
      <c r="AZ3143">
        <v>1200</v>
      </c>
      <c r="BA3143">
        <v>1</v>
      </c>
      <c r="BB3143" t="str">
        <f t="shared" si="152"/>
        <v xml:space="preserve">N8080G  </v>
      </c>
      <c r="BC3143">
        <v>1</v>
      </c>
      <c r="BE3143">
        <v>0</v>
      </c>
      <c r="BF3143">
        <v>0</v>
      </c>
      <c r="BG3143">
        <v>0</v>
      </c>
      <c r="BH3143">
        <v>1325</v>
      </c>
      <c r="BI3143">
        <v>1</v>
      </c>
      <c r="BJ3143">
        <v>1</v>
      </c>
      <c r="BK3143">
        <v>1</v>
      </c>
      <c r="BL3143">
        <v>0</v>
      </c>
      <c r="BO3143">
        <v>0</v>
      </c>
      <c r="BP3143">
        <v>0</v>
      </c>
      <c r="BW3143" t="str">
        <f>"20:31:31.586"</f>
        <v>20:31:31.586</v>
      </c>
      <c r="BZ3143">
        <v>0</v>
      </c>
      <c r="CA3143">
        <v>1600</v>
      </c>
      <c r="CB3143">
        <v>224</v>
      </c>
      <c r="CD3143">
        <v>1</v>
      </c>
      <c r="CE3143">
        <v>0</v>
      </c>
      <c r="CF3143">
        <v>0</v>
      </c>
      <c r="CG3143">
        <v>1</v>
      </c>
      <c r="CH3143">
        <v>0</v>
      </c>
      <c r="CI3143">
        <v>0</v>
      </c>
      <c r="CJ3143">
        <v>0</v>
      </c>
      <c r="CK3143">
        <v>2</v>
      </c>
      <c r="CL3143">
        <v>0</v>
      </c>
      <c r="CM3143">
        <v>2</v>
      </c>
      <c r="CN3143">
        <v>0</v>
      </c>
      <c r="CO3143">
        <v>7</v>
      </c>
      <c r="CP3143" t="s">
        <v>119</v>
      </c>
      <c r="CQ3143">
        <v>180</v>
      </c>
      <c r="CR3143">
        <v>3</v>
      </c>
      <c r="CW3143">
        <v>1080053</v>
      </c>
      <c r="CY3143">
        <v>1</v>
      </c>
      <c r="CZ3143">
        <v>0</v>
      </c>
      <c r="DA3143">
        <v>0</v>
      </c>
      <c r="DB3143">
        <v>0</v>
      </c>
      <c r="DC3143">
        <v>0</v>
      </c>
      <c r="DD3143">
        <v>0</v>
      </c>
      <c r="DE3143">
        <v>0</v>
      </c>
      <c r="DF3143">
        <v>0</v>
      </c>
      <c r="DG3143">
        <v>0</v>
      </c>
      <c r="DH3143">
        <v>0</v>
      </c>
      <c r="DI3143">
        <v>0</v>
      </c>
    </row>
    <row r="3144" spans="1:113" x14ac:dyDescent="0.3">
      <c r="A3144" t="str">
        <f>"02/08/2021 20:31:29.265"</f>
        <v>02/08/2021 20:31:29.265</v>
      </c>
      <c r="C3144" t="str">
        <f t="shared" si="151"/>
        <v>FFDFD7C0</v>
      </c>
      <c r="D3144" t="s">
        <v>124</v>
      </c>
      <c r="E3144">
        <v>12</v>
      </c>
      <c r="F3144">
        <v>1012</v>
      </c>
      <c r="G3144" t="s">
        <v>675</v>
      </c>
      <c r="J3144" t="s">
        <v>125</v>
      </c>
      <c r="K3144">
        <v>0</v>
      </c>
      <c r="L3144">
        <v>3</v>
      </c>
      <c r="M3144">
        <v>0</v>
      </c>
      <c r="N3144">
        <v>2</v>
      </c>
      <c r="O3144">
        <v>1</v>
      </c>
      <c r="P3144">
        <v>0</v>
      </c>
      <c r="Q3144">
        <v>0</v>
      </c>
      <c r="S3144" t="str">
        <f>"20:31:31.586"</f>
        <v>20:31:31.586</v>
      </c>
      <c r="T3144" t="str">
        <f>"20:31:31.186"</f>
        <v>20:31:31.186</v>
      </c>
      <c r="U3144" t="str">
        <f t="shared" si="153"/>
        <v>AB01F4</v>
      </c>
      <c r="V3144">
        <v>0</v>
      </c>
      <c r="W3144">
        <v>0</v>
      </c>
      <c r="X3144">
        <v>2</v>
      </c>
      <c r="Z3144">
        <v>0</v>
      </c>
      <c r="AA3144">
        <v>9</v>
      </c>
      <c r="AB3144">
        <v>3</v>
      </c>
      <c r="AC3144">
        <v>0</v>
      </c>
      <c r="AD3144">
        <v>10</v>
      </c>
      <c r="AE3144">
        <v>0</v>
      </c>
      <c r="AF3144">
        <v>3</v>
      </c>
      <c r="AG3144">
        <v>2</v>
      </c>
      <c r="AH3144">
        <v>0</v>
      </c>
      <c r="AI3144" t="s">
        <v>1821</v>
      </c>
      <c r="AJ3144">
        <v>40.050573</v>
      </c>
      <c r="AK3144" t="s">
        <v>1822</v>
      </c>
      <c r="AL3144">
        <v>-92.895820000000001</v>
      </c>
      <c r="AM3144">
        <v>100</v>
      </c>
      <c r="AN3144">
        <v>1300</v>
      </c>
      <c r="AO3144" t="s">
        <v>118</v>
      </c>
      <c r="AP3144">
        <v>-117</v>
      </c>
      <c r="AQ3144">
        <v>63</v>
      </c>
      <c r="AR3144">
        <v>-64</v>
      </c>
      <c r="AZ3144">
        <v>1200</v>
      </c>
      <c r="BA3144">
        <v>1</v>
      </c>
      <c r="BB3144" t="str">
        <f t="shared" si="152"/>
        <v xml:space="preserve">N8080G  </v>
      </c>
      <c r="BC3144">
        <v>1</v>
      </c>
      <c r="BE3144">
        <v>0</v>
      </c>
      <c r="BF3144">
        <v>0</v>
      </c>
      <c r="BG3144">
        <v>0</v>
      </c>
      <c r="BH3144">
        <v>1325</v>
      </c>
      <c r="BI3144">
        <v>1</v>
      </c>
      <c r="BJ3144">
        <v>1</v>
      </c>
      <c r="BK3144">
        <v>1</v>
      </c>
      <c r="BL3144">
        <v>0</v>
      </c>
      <c r="BO3144">
        <v>0</v>
      </c>
      <c r="BP3144">
        <v>0</v>
      </c>
      <c r="BW3144" t="str">
        <f>"20:31:31.586"</f>
        <v>20:31:31.586</v>
      </c>
      <c r="BZ3144">
        <v>0</v>
      </c>
      <c r="CA3144">
        <v>1600</v>
      </c>
      <c r="CB3144">
        <v>224</v>
      </c>
      <c r="CD3144">
        <v>1</v>
      </c>
      <c r="CE3144">
        <v>0</v>
      </c>
      <c r="CF3144">
        <v>0</v>
      </c>
      <c r="CG3144">
        <v>1</v>
      </c>
      <c r="CH3144">
        <v>0</v>
      </c>
      <c r="CI3144">
        <v>0</v>
      </c>
      <c r="CJ3144">
        <v>0</v>
      </c>
      <c r="CK3144">
        <v>2</v>
      </c>
      <c r="CL3144">
        <v>0</v>
      </c>
      <c r="CM3144">
        <v>2</v>
      </c>
      <c r="CN3144">
        <v>0</v>
      </c>
      <c r="CO3144">
        <v>7</v>
      </c>
      <c r="CP3144" t="s">
        <v>119</v>
      </c>
      <c r="CQ3144">
        <v>180</v>
      </c>
      <c r="CR3144">
        <v>3</v>
      </c>
      <c r="CW3144">
        <v>1080053</v>
      </c>
      <c r="CY3144">
        <v>1</v>
      </c>
      <c r="CZ3144">
        <v>0</v>
      </c>
      <c r="DA3144">
        <v>1</v>
      </c>
      <c r="DB3144">
        <v>0</v>
      </c>
      <c r="DC3144">
        <v>0</v>
      </c>
      <c r="DD3144">
        <v>0</v>
      </c>
      <c r="DE3144">
        <v>0</v>
      </c>
      <c r="DF3144">
        <v>0</v>
      </c>
      <c r="DG3144">
        <v>0</v>
      </c>
      <c r="DH3144">
        <v>0</v>
      </c>
      <c r="DI3144">
        <v>0</v>
      </c>
    </row>
    <row r="3145" spans="1:113" x14ac:dyDescent="0.3">
      <c r="A3145" t="str">
        <f>"02/08/2021 20:31:29.265"</f>
        <v>02/08/2021 20:31:29.265</v>
      </c>
      <c r="C3145" t="str">
        <f t="shared" si="151"/>
        <v>FFDFD7C0</v>
      </c>
      <c r="D3145" t="s">
        <v>113</v>
      </c>
      <c r="E3145">
        <v>6</v>
      </c>
      <c r="H3145">
        <v>165</v>
      </c>
      <c r="I3145" t="s">
        <v>114</v>
      </c>
      <c r="J3145" t="s">
        <v>115</v>
      </c>
      <c r="K3145">
        <v>0</v>
      </c>
      <c r="L3145">
        <v>3</v>
      </c>
      <c r="M3145">
        <v>0</v>
      </c>
      <c r="N3145">
        <v>2</v>
      </c>
      <c r="O3145">
        <v>1</v>
      </c>
      <c r="P3145">
        <v>0</v>
      </c>
      <c r="Q3145">
        <v>0</v>
      </c>
      <c r="S3145" t="str">
        <f>"20:31:31.586"</f>
        <v>20:31:31.586</v>
      </c>
      <c r="T3145" t="str">
        <f>"20:31:31.186"</f>
        <v>20:31:31.186</v>
      </c>
      <c r="U3145" t="str">
        <f t="shared" si="153"/>
        <v>AB01F4</v>
      </c>
      <c r="V3145">
        <v>0</v>
      </c>
      <c r="W3145">
        <v>0</v>
      </c>
      <c r="X3145">
        <v>2</v>
      </c>
      <c r="Z3145">
        <v>0</v>
      </c>
      <c r="AA3145">
        <v>9</v>
      </c>
      <c r="AB3145">
        <v>3</v>
      </c>
      <c r="AC3145">
        <v>0</v>
      </c>
      <c r="AD3145">
        <v>10</v>
      </c>
      <c r="AE3145">
        <v>0</v>
      </c>
      <c r="AF3145">
        <v>3</v>
      </c>
      <c r="AG3145">
        <v>2</v>
      </c>
      <c r="AH3145">
        <v>0</v>
      </c>
      <c r="AI3145" t="s">
        <v>1821</v>
      </c>
      <c r="AJ3145">
        <v>40.050573</v>
      </c>
      <c r="AK3145" t="s">
        <v>1822</v>
      </c>
      <c r="AL3145">
        <v>-92.895820000000001</v>
      </c>
      <c r="AM3145">
        <v>100</v>
      </c>
      <c r="AN3145">
        <v>1300</v>
      </c>
      <c r="AO3145" t="s">
        <v>118</v>
      </c>
      <c r="AP3145">
        <v>-117</v>
      </c>
      <c r="AQ3145">
        <v>63</v>
      </c>
      <c r="AR3145">
        <v>-64</v>
      </c>
      <c r="AZ3145">
        <v>1200</v>
      </c>
      <c r="BA3145">
        <v>1</v>
      </c>
      <c r="BB3145" t="str">
        <f t="shared" si="152"/>
        <v xml:space="preserve">N8080G  </v>
      </c>
      <c r="BC3145">
        <v>1</v>
      </c>
      <c r="BE3145">
        <v>0</v>
      </c>
      <c r="BF3145">
        <v>0</v>
      </c>
      <c r="BG3145">
        <v>0</v>
      </c>
      <c r="BH3145">
        <v>1325</v>
      </c>
      <c r="BI3145">
        <v>1</v>
      </c>
      <c r="BJ3145">
        <v>1</v>
      </c>
      <c r="BK3145">
        <v>1</v>
      </c>
      <c r="BL3145">
        <v>0</v>
      </c>
      <c r="BO3145">
        <v>0</v>
      </c>
      <c r="BP3145">
        <v>0</v>
      </c>
      <c r="BW3145" t="str">
        <f>"20:31:31.586"</f>
        <v>20:31:31.586</v>
      </c>
      <c r="BZ3145">
        <v>0</v>
      </c>
      <c r="CA3145">
        <v>1600</v>
      </c>
      <c r="CB3145">
        <v>224</v>
      </c>
      <c r="CD3145">
        <v>1</v>
      </c>
      <c r="CE3145">
        <v>0</v>
      </c>
      <c r="CF3145">
        <v>0</v>
      </c>
      <c r="CG3145">
        <v>1</v>
      </c>
      <c r="CH3145">
        <v>0</v>
      </c>
      <c r="CI3145">
        <v>0</v>
      </c>
      <c r="CJ3145">
        <v>0</v>
      </c>
      <c r="CK3145">
        <v>2</v>
      </c>
      <c r="CL3145">
        <v>0</v>
      </c>
      <c r="CM3145">
        <v>2</v>
      </c>
      <c r="CN3145">
        <v>0</v>
      </c>
      <c r="CO3145">
        <v>7</v>
      </c>
      <c r="CP3145" t="s">
        <v>119</v>
      </c>
      <c r="CQ3145">
        <v>180</v>
      </c>
      <c r="CR3145">
        <v>3</v>
      </c>
      <c r="CW3145">
        <v>1080053</v>
      </c>
      <c r="CY3145">
        <v>1</v>
      </c>
      <c r="CZ3145">
        <v>0</v>
      </c>
      <c r="DA3145">
        <v>1</v>
      </c>
      <c r="DB3145">
        <v>0</v>
      </c>
      <c r="DC3145">
        <v>0</v>
      </c>
      <c r="DD3145">
        <v>0</v>
      </c>
      <c r="DE3145">
        <v>0</v>
      </c>
      <c r="DF3145">
        <v>0</v>
      </c>
      <c r="DG3145">
        <v>0</v>
      </c>
      <c r="DH3145">
        <v>0</v>
      </c>
      <c r="DI3145">
        <v>0</v>
      </c>
    </row>
    <row r="3146" spans="1:113" x14ac:dyDescent="0.3">
      <c r="A3146" t="str">
        <f>"02/08/2021 20:31:29.265"</f>
        <v>02/08/2021 20:31:29.265</v>
      </c>
      <c r="C3146" t="str">
        <f t="shared" si="151"/>
        <v>FFDFD7C0</v>
      </c>
      <c r="D3146" t="s">
        <v>124</v>
      </c>
      <c r="E3146">
        <v>13</v>
      </c>
      <c r="F3146">
        <v>1013</v>
      </c>
      <c r="G3146" t="s">
        <v>114</v>
      </c>
      <c r="J3146" t="s">
        <v>125</v>
      </c>
      <c r="K3146">
        <v>0</v>
      </c>
      <c r="L3146">
        <v>3</v>
      </c>
      <c r="M3146">
        <v>0</v>
      </c>
      <c r="N3146">
        <v>2</v>
      </c>
      <c r="O3146">
        <v>1</v>
      </c>
      <c r="P3146">
        <v>0</v>
      </c>
      <c r="Q3146">
        <v>0</v>
      </c>
      <c r="S3146" t="str">
        <f>"20:31:31.586"</f>
        <v>20:31:31.586</v>
      </c>
      <c r="T3146" t="str">
        <f>"20:31:31.186"</f>
        <v>20:31:31.186</v>
      </c>
      <c r="U3146" t="str">
        <f t="shared" si="153"/>
        <v>AB01F4</v>
      </c>
      <c r="V3146">
        <v>0</v>
      </c>
      <c r="W3146">
        <v>0</v>
      </c>
      <c r="X3146">
        <v>2</v>
      </c>
      <c r="Z3146">
        <v>0</v>
      </c>
      <c r="AA3146">
        <v>9</v>
      </c>
      <c r="AB3146">
        <v>3</v>
      </c>
      <c r="AC3146">
        <v>0</v>
      </c>
      <c r="AD3146">
        <v>10</v>
      </c>
      <c r="AE3146">
        <v>0</v>
      </c>
      <c r="AF3146">
        <v>3</v>
      </c>
      <c r="AG3146">
        <v>2</v>
      </c>
      <c r="AH3146">
        <v>0</v>
      </c>
      <c r="AI3146" t="s">
        <v>1821</v>
      </c>
      <c r="AJ3146">
        <v>40.050573</v>
      </c>
      <c r="AK3146" t="s">
        <v>1822</v>
      </c>
      <c r="AL3146">
        <v>-92.895820000000001</v>
      </c>
      <c r="AM3146">
        <v>100</v>
      </c>
      <c r="AN3146">
        <v>1300</v>
      </c>
      <c r="AO3146" t="s">
        <v>118</v>
      </c>
      <c r="AP3146">
        <v>-117</v>
      </c>
      <c r="AQ3146">
        <v>63</v>
      </c>
      <c r="AR3146">
        <v>-64</v>
      </c>
      <c r="AZ3146">
        <v>1200</v>
      </c>
      <c r="BA3146">
        <v>1</v>
      </c>
      <c r="BB3146" t="str">
        <f t="shared" si="152"/>
        <v xml:space="preserve">N8080G  </v>
      </c>
      <c r="BC3146">
        <v>1</v>
      </c>
      <c r="BE3146">
        <v>0</v>
      </c>
      <c r="BF3146">
        <v>0</v>
      </c>
      <c r="BG3146">
        <v>0</v>
      </c>
      <c r="BH3146">
        <v>1325</v>
      </c>
      <c r="BI3146">
        <v>1</v>
      </c>
      <c r="BJ3146">
        <v>1</v>
      </c>
      <c r="BK3146">
        <v>1</v>
      </c>
      <c r="BL3146">
        <v>0</v>
      </c>
      <c r="BO3146">
        <v>0</v>
      </c>
      <c r="BP3146">
        <v>0</v>
      </c>
      <c r="BW3146" t="str">
        <f>"20:31:31.586"</f>
        <v>20:31:31.586</v>
      </c>
      <c r="BZ3146">
        <v>0</v>
      </c>
      <c r="CA3146">
        <v>1600</v>
      </c>
      <c r="CB3146">
        <v>224</v>
      </c>
      <c r="CD3146">
        <v>1</v>
      </c>
      <c r="CE3146">
        <v>0</v>
      </c>
      <c r="CF3146">
        <v>0</v>
      </c>
      <c r="CG3146">
        <v>1</v>
      </c>
      <c r="CH3146">
        <v>0</v>
      </c>
      <c r="CI3146">
        <v>0</v>
      </c>
      <c r="CJ3146">
        <v>0</v>
      </c>
      <c r="CK3146">
        <v>2</v>
      </c>
      <c r="CL3146">
        <v>0</v>
      </c>
      <c r="CM3146">
        <v>2</v>
      </c>
      <c r="CN3146">
        <v>0</v>
      </c>
      <c r="CO3146">
        <v>7</v>
      </c>
      <c r="CP3146" t="s">
        <v>119</v>
      </c>
      <c r="CQ3146">
        <v>180</v>
      </c>
      <c r="CR3146">
        <v>3</v>
      </c>
      <c r="CW3146">
        <v>1080053</v>
      </c>
      <c r="CY3146">
        <v>1</v>
      </c>
      <c r="CZ3146">
        <v>0</v>
      </c>
      <c r="DA3146">
        <v>1</v>
      </c>
      <c r="DB3146">
        <v>0</v>
      </c>
      <c r="DC3146">
        <v>0</v>
      </c>
      <c r="DD3146">
        <v>0</v>
      </c>
      <c r="DE3146">
        <v>0</v>
      </c>
      <c r="DF3146">
        <v>0</v>
      </c>
      <c r="DG3146">
        <v>0</v>
      </c>
      <c r="DH3146">
        <v>0</v>
      </c>
      <c r="DI3146">
        <v>0</v>
      </c>
    </row>
    <row r="3147" spans="1:113" x14ac:dyDescent="0.3">
      <c r="A3147" t="str">
        <f>"02/08/2021 20:31:30.325"</f>
        <v>02/08/2021 20:31:30.325</v>
      </c>
      <c r="C3147" t="str">
        <f t="shared" si="151"/>
        <v>FFDFD7C0</v>
      </c>
      <c r="D3147" t="s">
        <v>124</v>
      </c>
      <c r="E3147">
        <v>11</v>
      </c>
      <c r="F3147">
        <v>1011</v>
      </c>
      <c r="G3147" t="s">
        <v>590</v>
      </c>
      <c r="J3147" t="s">
        <v>125</v>
      </c>
      <c r="K3147">
        <v>0</v>
      </c>
      <c r="L3147">
        <v>3</v>
      </c>
      <c r="M3147">
        <v>0</v>
      </c>
      <c r="N3147">
        <v>2</v>
      </c>
      <c r="O3147">
        <v>1</v>
      </c>
      <c r="P3147">
        <v>0</v>
      </c>
      <c r="Q3147">
        <v>0</v>
      </c>
      <c r="S3147" t="str">
        <f>"20:31:32.625"</f>
        <v>20:31:32.625</v>
      </c>
      <c r="T3147" t="str">
        <f>"20:31:32.125"</f>
        <v>20:31:32.125</v>
      </c>
      <c r="U3147" t="str">
        <f t="shared" si="153"/>
        <v>AB01F4</v>
      </c>
      <c r="V3147">
        <v>0</v>
      </c>
      <c r="W3147">
        <v>0</v>
      </c>
      <c r="X3147">
        <v>2</v>
      </c>
      <c r="Z3147">
        <v>0</v>
      </c>
      <c r="AA3147">
        <v>9</v>
      </c>
      <c r="AB3147">
        <v>3</v>
      </c>
      <c r="AC3147">
        <v>0</v>
      </c>
      <c r="AD3147">
        <v>10</v>
      </c>
      <c r="AE3147">
        <v>0</v>
      </c>
      <c r="AF3147">
        <v>3</v>
      </c>
      <c r="AG3147">
        <v>2</v>
      </c>
      <c r="AH3147">
        <v>0</v>
      </c>
      <c r="AI3147" t="s">
        <v>1823</v>
      </c>
      <c r="AJ3147">
        <v>40.050894999999997</v>
      </c>
      <c r="AK3147" t="s">
        <v>1824</v>
      </c>
      <c r="AL3147">
        <v>-92.896636000000001</v>
      </c>
      <c r="AM3147">
        <v>100</v>
      </c>
      <c r="AN3147">
        <v>1300</v>
      </c>
      <c r="AO3147" t="s">
        <v>118</v>
      </c>
      <c r="AP3147">
        <v>-117</v>
      </c>
      <c r="AQ3147">
        <v>63</v>
      </c>
      <c r="AR3147">
        <v>0</v>
      </c>
      <c r="AZ3147">
        <v>1200</v>
      </c>
      <c r="BA3147">
        <v>1</v>
      </c>
      <c r="BB3147" t="str">
        <f t="shared" si="152"/>
        <v xml:space="preserve">N8080G  </v>
      </c>
      <c r="BC3147">
        <v>1</v>
      </c>
      <c r="BE3147">
        <v>0</v>
      </c>
      <c r="BF3147">
        <v>0</v>
      </c>
      <c r="BG3147">
        <v>0</v>
      </c>
      <c r="BH3147">
        <v>1325</v>
      </c>
      <c r="BI3147">
        <v>1</v>
      </c>
      <c r="BJ3147">
        <v>1</v>
      </c>
      <c r="BK3147">
        <v>1</v>
      </c>
      <c r="BL3147">
        <v>0</v>
      </c>
      <c r="BO3147">
        <v>0</v>
      </c>
      <c r="BP3147">
        <v>0</v>
      </c>
      <c r="BW3147" t="str">
        <f>"20:31:32.631"</f>
        <v>20:31:32.631</v>
      </c>
      <c r="BZ3147">
        <v>0</v>
      </c>
      <c r="CA3147">
        <v>1600</v>
      </c>
      <c r="CB3147">
        <v>224</v>
      </c>
      <c r="CD3147">
        <v>1</v>
      </c>
      <c r="CE3147">
        <v>0</v>
      </c>
      <c r="CF3147">
        <v>0</v>
      </c>
      <c r="CG3147">
        <v>1</v>
      </c>
      <c r="CH3147">
        <v>0</v>
      </c>
      <c r="CI3147">
        <v>0</v>
      </c>
      <c r="CJ3147">
        <v>0</v>
      </c>
      <c r="CK3147">
        <v>2</v>
      </c>
      <c r="CL3147">
        <v>0</v>
      </c>
      <c r="CM3147">
        <v>2</v>
      </c>
      <c r="CN3147">
        <v>0</v>
      </c>
      <c r="CO3147">
        <v>7</v>
      </c>
      <c r="CP3147" t="s">
        <v>119</v>
      </c>
      <c r="CQ3147">
        <v>180</v>
      </c>
      <c r="CR3147">
        <v>2</v>
      </c>
      <c r="CW3147">
        <v>8734493</v>
      </c>
      <c r="CY3147">
        <v>1</v>
      </c>
      <c r="CZ3147">
        <v>0</v>
      </c>
      <c r="DA3147">
        <v>0</v>
      </c>
      <c r="DB3147">
        <v>0</v>
      </c>
      <c r="DC3147">
        <v>0</v>
      </c>
      <c r="DD3147">
        <v>0</v>
      </c>
      <c r="DE3147">
        <v>0</v>
      </c>
      <c r="DF3147">
        <v>0</v>
      </c>
      <c r="DG3147">
        <v>0</v>
      </c>
      <c r="DH3147">
        <v>0</v>
      </c>
      <c r="DI3147">
        <v>0</v>
      </c>
    </row>
    <row r="3148" spans="1:113" x14ac:dyDescent="0.3">
      <c r="A3148" t="str">
        <f>"02/08/2021 20:31:30.325"</f>
        <v>02/08/2021 20:31:30.325</v>
      </c>
      <c r="C3148" t="str">
        <f t="shared" si="151"/>
        <v>FFDFD7C0</v>
      </c>
      <c r="D3148" t="s">
        <v>124</v>
      </c>
      <c r="E3148">
        <v>12</v>
      </c>
      <c r="F3148">
        <v>1012</v>
      </c>
      <c r="G3148" t="s">
        <v>675</v>
      </c>
      <c r="J3148" t="s">
        <v>125</v>
      </c>
      <c r="K3148">
        <v>0</v>
      </c>
      <c r="L3148">
        <v>3</v>
      </c>
      <c r="M3148">
        <v>0</v>
      </c>
      <c r="N3148">
        <v>2</v>
      </c>
      <c r="O3148">
        <v>1</v>
      </c>
      <c r="P3148">
        <v>0</v>
      </c>
      <c r="Q3148">
        <v>0</v>
      </c>
      <c r="S3148" t="str">
        <f>"20:31:32.625"</f>
        <v>20:31:32.625</v>
      </c>
      <c r="T3148" t="str">
        <f>"20:31:32.125"</f>
        <v>20:31:32.125</v>
      </c>
      <c r="U3148" t="str">
        <f t="shared" si="153"/>
        <v>AB01F4</v>
      </c>
      <c r="V3148">
        <v>0</v>
      </c>
      <c r="W3148">
        <v>0</v>
      </c>
      <c r="X3148">
        <v>2</v>
      </c>
      <c r="Z3148">
        <v>0</v>
      </c>
      <c r="AA3148">
        <v>9</v>
      </c>
      <c r="AB3148">
        <v>3</v>
      </c>
      <c r="AC3148">
        <v>0</v>
      </c>
      <c r="AD3148">
        <v>10</v>
      </c>
      <c r="AE3148">
        <v>0</v>
      </c>
      <c r="AF3148">
        <v>3</v>
      </c>
      <c r="AG3148">
        <v>2</v>
      </c>
      <c r="AH3148">
        <v>0</v>
      </c>
      <c r="AI3148" t="s">
        <v>1823</v>
      </c>
      <c r="AJ3148">
        <v>40.050894999999997</v>
      </c>
      <c r="AK3148" t="s">
        <v>1824</v>
      </c>
      <c r="AL3148">
        <v>-92.896636000000001</v>
      </c>
      <c r="AM3148">
        <v>100</v>
      </c>
      <c r="AN3148">
        <v>1300</v>
      </c>
      <c r="AO3148" t="s">
        <v>118</v>
      </c>
      <c r="AP3148">
        <v>-117</v>
      </c>
      <c r="AQ3148">
        <v>63</v>
      </c>
      <c r="AR3148">
        <v>0</v>
      </c>
      <c r="AZ3148">
        <v>1200</v>
      </c>
      <c r="BA3148">
        <v>1</v>
      </c>
      <c r="BB3148" t="str">
        <f t="shared" si="152"/>
        <v xml:space="preserve">N8080G  </v>
      </c>
      <c r="BC3148">
        <v>1</v>
      </c>
      <c r="BE3148">
        <v>0</v>
      </c>
      <c r="BF3148">
        <v>0</v>
      </c>
      <c r="BG3148">
        <v>0</v>
      </c>
      <c r="BH3148">
        <v>1325</v>
      </c>
      <c r="BI3148">
        <v>1</v>
      </c>
      <c r="BJ3148">
        <v>1</v>
      </c>
      <c r="BK3148">
        <v>1</v>
      </c>
      <c r="BL3148">
        <v>0</v>
      </c>
      <c r="BO3148">
        <v>0</v>
      </c>
      <c r="BP3148">
        <v>0</v>
      </c>
      <c r="BW3148" t="str">
        <f>"20:31:32.631"</f>
        <v>20:31:32.631</v>
      </c>
      <c r="BZ3148">
        <v>0</v>
      </c>
      <c r="CA3148">
        <v>1600</v>
      </c>
      <c r="CB3148">
        <v>224</v>
      </c>
      <c r="CD3148">
        <v>1</v>
      </c>
      <c r="CE3148">
        <v>0</v>
      </c>
      <c r="CF3148">
        <v>0</v>
      </c>
      <c r="CG3148">
        <v>1</v>
      </c>
      <c r="CH3148">
        <v>0</v>
      </c>
      <c r="CI3148">
        <v>0</v>
      </c>
      <c r="CJ3148">
        <v>0</v>
      </c>
      <c r="CK3148">
        <v>2</v>
      </c>
      <c r="CL3148">
        <v>0</v>
      </c>
      <c r="CM3148">
        <v>2</v>
      </c>
      <c r="CN3148">
        <v>0</v>
      </c>
      <c r="CO3148">
        <v>7</v>
      </c>
      <c r="CP3148" t="s">
        <v>119</v>
      </c>
      <c r="CQ3148">
        <v>180</v>
      </c>
      <c r="CR3148">
        <v>2</v>
      </c>
      <c r="CW3148">
        <v>8734493</v>
      </c>
      <c r="CY3148">
        <v>1</v>
      </c>
      <c r="CZ3148">
        <v>0</v>
      </c>
      <c r="DA3148">
        <v>1</v>
      </c>
      <c r="DB3148">
        <v>0</v>
      </c>
      <c r="DC3148">
        <v>0</v>
      </c>
      <c r="DD3148">
        <v>0</v>
      </c>
      <c r="DE3148">
        <v>0</v>
      </c>
      <c r="DF3148">
        <v>0</v>
      </c>
      <c r="DG3148">
        <v>0</v>
      </c>
      <c r="DH3148">
        <v>0</v>
      </c>
      <c r="DI3148">
        <v>0</v>
      </c>
    </row>
    <row r="3149" spans="1:113" x14ac:dyDescent="0.3">
      <c r="A3149" t="str">
        <f>"02/08/2021 20:31:30.325"</f>
        <v>02/08/2021 20:31:30.325</v>
      </c>
      <c r="C3149" t="str">
        <f t="shared" si="151"/>
        <v>FFDFD7C0</v>
      </c>
      <c r="D3149" t="s">
        <v>113</v>
      </c>
      <c r="E3149">
        <v>6</v>
      </c>
      <c r="H3149">
        <v>165</v>
      </c>
      <c r="I3149" t="s">
        <v>114</v>
      </c>
      <c r="J3149" t="s">
        <v>115</v>
      </c>
      <c r="K3149">
        <v>0</v>
      </c>
      <c r="L3149">
        <v>3</v>
      </c>
      <c r="M3149">
        <v>0</v>
      </c>
      <c r="N3149">
        <v>2</v>
      </c>
      <c r="O3149">
        <v>1</v>
      </c>
      <c r="P3149">
        <v>0</v>
      </c>
      <c r="Q3149">
        <v>0</v>
      </c>
      <c r="S3149" t="str">
        <f>"20:31:32.625"</f>
        <v>20:31:32.625</v>
      </c>
      <c r="T3149" t="str">
        <f>"20:31:32.125"</f>
        <v>20:31:32.125</v>
      </c>
      <c r="U3149" t="str">
        <f t="shared" si="153"/>
        <v>AB01F4</v>
      </c>
      <c r="V3149">
        <v>0</v>
      </c>
      <c r="W3149">
        <v>0</v>
      </c>
      <c r="X3149">
        <v>2</v>
      </c>
      <c r="Z3149">
        <v>0</v>
      </c>
      <c r="AA3149">
        <v>9</v>
      </c>
      <c r="AB3149">
        <v>3</v>
      </c>
      <c r="AC3149">
        <v>0</v>
      </c>
      <c r="AD3149">
        <v>10</v>
      </c>
      <c r="AE3149">
        <v>0</v>
      </c>
      <c r="AF3149">
        <v>3</v>
      </c>
      <c r="AG3149">
        <v>2</v>
      </c>
      <c r="AH3149">
        <v>0</v>
      </c>
      <c r="AI3149" t="s">
        <v>1823</v>
      </c>
      <c r="AJ3149">
        <v>40.050894999999997</v>
      </c>
      <c r="AK3149" t="s">
        <v>1824</v>
      </c>
      <c r="AL3149">
        <v>-92.896636000000001</v>
      </c>
      <c r="AM3149">
        <v>100</v>
      </c>
      <c r="AN3149">
        <v>1300</v>
      </c>
      <c r="AO3149" t="s">
        <v>118</v>
      </c>
      <c r="AP3149">
        <v>-117</v>
      </c>
      <c r="AQ3149">
        <v>63</v>
      </c>
      <c r="AR3149">
        <v>0</v>
      </c>
      <c r="AZ3149">
        <v>1200</v>
      </c>
      <c r="BA3149">
        <v>1</v>
      </c>
      <c r="BB3149" t="str">
        <f t="shared" si="152"/>
        <v xml:space="preserve">N8080G  </v>
      </c>
      <c r="BC3149">
        <v>1</v>
      </c>
      <c r="BE3149">
        <v>0</v>
      </c>
      <c r="BF3149">
        <v>0</v>
      </c>
      <c r="BG3149">
        <v>0</v>
      </c>
      <c r="BH3149">
        <v>1325</v>
      </c>
      <c r="BI3149">
        <v>1</v>
      </c>
      <c r="BJ3149">
        <v>1</v>
      </c>
      <c r="BK3149">
        <v>1</v>
      </c>
      <c r="BL3149">
        <v>0</v>
      </c>
      <c r="BO3149">
        <v>0</v>
      </c>
      <c r="BP3149">
        <v>0</v>
      </c>
      <c r="BW3149" t="str">
        <f>"20:31:32.631"</f>
        <v>20:31:32.631</v>
      </c>
      <c r="BZ3149">
        <v>0</v>
      </c>
      <c r="CA3149">
        <v>1600</v>
      </c>
      <c r="CB3149">
        <v>224</v>
      </c>
      <c r="CD3149">
        <v>1</v>
      </c>
      <c r="CE3149">
        <v>0</v>
      </c>
      <c r="CF3149">
        <v>0</v>
      </c>
      <c r="CG3149">
        <v>1</v>
      </c>
      <c r="CH3149">
        <v>0</v>
      </c>
      <c r="CI3149">
        <v>0</v>
      </c>
      <c r="CJ3149">
        <v>0</v>
      </c>
      <c r="CK3149">
        <v>2</v>
      </c>
      <c r="CL3149">
        <v>0</v>
      </c>
      <c r="CM3149">
        <v>2</v>
      </c>
      <c r="CN3149">
        <v>0</v>
      </c>
      <c r="CO3149">
        <v>7</v>
      </c>
      <c r="CP3149" t="s">
        <v>119</v>
      </c>
      <c r="CQ3149">
        <v>180</v>
      </c>
      <c r="CR3149">
        <v>2</v>
      </c>
      <c r="CW3149">
        <v>8734493</v>
      </c>
      <c r="CY3149">
        <v>1</v>
      </c>
      <c r="CZ3149">
        <v>0</v>
      </c>
      <c r="DA3149">
        <v>1</v>
      </c>
      <c r="DB3149">
        <v>0</v>
      </c>
      <c r="DC3149">
        <v>0</v>
      </c>
      <c r="DD3149">
        <v>0</v>
      </c>
      <c r="DE3149">
        <v>0</v>
      </c>
      <c r="DF3149">
        <v>0</v>
      </c>
      <c r="DG3149">
        <v>0</v>
      </c>
      <c r="DH3149">
        <v>0</v>
      </c>
      <c r="DI3149">
        <v>0</v>
      </c>
    </row>
    <row r="3150" spans="1:113" x14ac:dyDescent="0.3">
      <c r="A3150" t="str">
        <f>"02/08/2021 20:31:30.325"</f>
        <v>02/08/2021 20:31:30.325</v>
      </c>
      <c r="C3150" t="str">
        <f t="shared" si="151"/>
        <v>FFDFD7C0</v>
      </c>
      <c r="D3150" t="s">
        <v>124</v>
      </c>
      <c r="E3150">
        <v>13</v>
      </c>
      <c r="F3150">
        <v>1013</v>
      </c>
      <c r="G3150" t="s">
        <v>114</v>
      </c>
      <c r="J3150" t="s">
        <v>125</v>
      </c>
      <c r="K3150">
        <v>0</v>
      </c>
      <c r="L3150">
        <v>3</v>
      </c>
      <c r="M3150">
        <v>0</v>
      </c>
      <c r="N3150">
        <v>2</v>
      </c>
      <c r="O3150">
        <v>1</v>
      </c>
      <c r="P3150">
        <v>0</v>
      </c>
      <c r="Q3150">
        <v>0</v>
      </c>
      <c r="S3150" t="str">
        <f>"20:31:32.625"</f>
        <v>20:31:32.625</v>
      </c>
      <c r="T3150" t="str">
        <f>"20:31:32.125"</f>
        <v>20:31:32.125</v>
      </c>
      <c r="U3150" t="str">
        <f t="shared" si="153"/>
        <v>AB01F4</v>
      </c>
      <c r="V3150">
        <v>0</v>
      </c>
      <c r="W3150">
        <v>0</v>
      </c>
      <c r="X3150">
        <v>2</v>
      </c>
      <c r="Z3150">
        <v>0</v>
      </c>
      <c r="AA3150">
        <v>9</v>
      </c>
      <c r="AB3150">
        <v>3</v>
      </c>
      <c r="AC3150">
        <v>0</v>
      </c>
      <c r="AD3150">
        <v>10</v>
      </c>
      <c r="AE3150">
        <v>0</v>
      </c>
      <c r="AF3150">
        <v>3</v>
      </c>
      <c r="AG3150">
        <v>2</v>
      </c>
      <c r="AH3150">
        <v>0</v>
      </c>
      <c r="AI3150" t="s">
        <v>1823</v>
      </c>
      <c r="AJ3150">
        <v>40.050894999999997</v>
      </c>
      <c r="AK3150" t="s">
        <v>1824</v>
      </c>
      <c r="AL3150">
        <v>-92.896636000000001</v>
      </c>
      <c r="AM3150">
        <v>100</v>
      </c>
      <c r="AN3150">
        <v>1300</v>
      </c>
      <c r="AO3150" t="s">
        <v>118</v>
      </c>
      <c r="AP3150">
        <v>-117</v>
      </c>
      <c r="AQ3150">
        <v>63</v>
      </c>
      <c r="AR3150">
        <v>0</v>
      </c>
      <c r="AZ3150">
        <v>1200</v>
      </c>
      <c r="BA3150">
        <v>1</v>
      </c>
      <c r="BB3150" t="str">
        <f t="shared" si="152"/>
        <v xml:space="preserve">N8080G  </v>
      </c>
      <c r="BC3150">
        <v>1</v>
      </c>
      <c r="BE3150">
        <v>0</v>
      </c>
      <c r="BF3150">
        <v>0</v>
      </c>
      <c r="BG3150">
        <v>0</v>
      </c>
      <c r="BH3150">
        <v>1325</v>
      </c>
      <c r="BI3150">
        <v>1</v>
      </c>
      <c r="BJ3150">
        <v>1</v>
      </c>
      <c r="BK3150">
        <v>1</v>
      </c>
      <c r="BL3150">
        <v>0</v>
      </c>
      <c r="BO3150">
        <v>0</v>
      </c>
      <c r="BP3150">
        <v>0</v>
      </c>
      <c r="BW3150" t="str">
        <f>"20:31:32.631"</f>
        <v>20:31:32.631</v>
      </c>
      <c r="BZ3150">
        <v>0</v>
      </c>
      <c r="CA3150">
        <v>1600</v>
      </c>
      <c r="CB3150">
        <v>224</v>
      </c>
      <c r="CD3150">
        <v>1</v>
      </c>
      <c r="CE3150">
        <v>0</v>
      </c>
      <c r="CF3150">
        <v>0</v>
      </c>
      <c r="CG3150">
        <v>1</v>
      </c>
      <c r="CH3150">
        <v>0</v>
      </c>
      <c r="CI3150">
        <v>0</v>
      </c>
      <c r="CJ3150">
        <v>0</v>
      </c>
      <c r="CK3150">
        <v>2</v>
      </c>
      <c r="CL3150">
        <v>0</v>
      </c>
      <c r="CM3150">
        <v>2</v>
      </c>
      <c r="CN3150">
        <v>0</v>
      </c>
      <c r="CO3150">
        <v>7</v>
      </c>
      <c r="CP3150" t="s">
        <v>119</v>
      </c>
      <c r="CQ3150">
        <v>180</v>
      </c>
      <c r="CR3150">
        <v>2</v>
      </c>
      <c r="CW3150">
        <v>8734493</v>
      </c>
      <c r="CY3150">
        <v>1</v>
      </c>
      <c r="CZ3150">
        <v>0</v>
      </c>
      <c r="DA3150">
        <v>1</v>
      </c>
      <c r="DB3150">
        <v>0</v>
      </c>
      <c r="DC3150">
        <v>0</v>
      </c>
      <c r="DD3150">
        <v>0</v>
      </c>
      <c r="DE3150">
        <v>0</v>
      </c>
      <c r="DF3150">
        <v>0</v>
      </c>
      <c r="DG3150">
        <v>0</v>
      </c>
      <c r="DH3150">
        <v>0</v>
      </c>
      <c r="DI3150">
        <v>0</v>
      </c>
    </row>
    <row r="3151" spans="1:113" x14ac:dyDescent="0.3">
      <c r="A3151" t="str">
        <f>"02/08/2021 20:31:31.457"</f>
        <v>02/08/2021 20:31:31.457</v>
      </c>
      <c r="C3151" t="str">
        <f t="shared" si="151"/>
        <v>FFDFD7C0</v>
      </c>
      <c r="D3151" t="s">
        <v>124</v>
      </c>
      <c r="E3151">
        <v>13</v>
      </c>
      <c r="F3151">
        <v>1013</v>
      </c>
      <c r="G3151" t="s">
        <v>114</v>
      </c>
      <c r="J3151" t="s">
        <v>125</v>
      </c>
      <c r="K3151">
        <v>0</v>
      </c>
      <c r="L3151">
        <v>3</v>
      </c>
      <c r="M3151">
        <v>0</v>
      </c>
      <c r="N3151">
        <v>2</v>
      </c>
      <c r="O3151">
        <v>1</v>
      </c>
      <c r="P3151">
        <v>0</v>
      </c>
      <c r="Q3151">
        <v>0</v>
      </c>
      <c r="S3151" t="str">
        <f>"20:31:33.789"</f>
        <v>20:31:33.789</v>
      </c>
      <c r="T3151" t="str">
        <f>"20:31:33.289"</f>
        <v>20:31:33.289</v>
      </c>
      <c r="U3151" t="str">
        <f t="shared" si="153"/>
        <v>AB01F4</v>
      </c>
      <c r="V3151">
        <v>0</v>
      </c>
      <c r="W3151">
        <v>0</v>
      </c>
      <c r="X3151">
        <v>2</v>
      </c>
      <c r="Z3151">
        <v>0</v>
      </c>
      <c r="AA3151">
        <v>9</v>
      </c>
      <c r="AB3151">
        <v>3</v>
      </c>
      <c r="AC3151">
        <v>0</v>
      </c>
      <c r="AD3151">
        <v>10</v>
      </c>
      <c r="AE3151">
        <v>0</v>
      </c>
      <c r="AF3151">
        <v>3</v>
      </c>
      <c r="AG3151">
        <v>2</v>
      </c>
      <c r="AH3151">
        <v>0</v>
      </c>
      <c r="AI3151" t="s">
        <v>1825</v>
      </c>
      <c r="AJ3151">
        <v>40.051217000000001</v>
      </c>
      <c r="AK3151" t="s">
        <v>1826</v>
      </c>
      <c r="AL3151">
        <v>-92.897407999999999</v>
      </c>
      <c r="AM3151">
        <v>100</v>
      </c>
      <c r="AN3151">
        <v>1300</v>
      </c>
      <c r="AO3151" t="s">
        <v>118</v>
      </c>
      <c r="AP3151">
        <v>-117</v>
      </c>
      <c r="AQ3151">
        <v>63</v>
      </c>
      <c r="AR3151">
        <v>0</v>
      </c>
      <c r="AZ3151">
        <v>1200</v>
      </c>
      <c r="BA3151">
        <v>1</v>
      </c>
      <c r="BB3151" t="str">
        <f t="shared" si="152"/>
        <v xml:space="preserve">N8080G  </v>
      </c>
      <c r="BC3151">
        <v>1</v>
      </c>
      <c r="BE3151">
        <v>0</v>
      </c>
      <c r="BF3151">
        <v>0</v>
      </c>
      <c r="BG3151">
        <v>0</v>
      </c>
      <c r="BH3151">
        <v>1325</v>
      </c>
      <c r="BI3151">
        <v>1</v>
      </c>
      <c r="BJ3151">
        <v>1</v>
      </c>
      <c r="BK3151">
        <v>1</v>
      </c>
      <c r="BL3151">
        <v>0</v>
      </c>
      <c r="BO3151">
        <v>0</v>
      </c>
      <c r="BP3151">
        <v>0</v>
      </c>
      <c r="BW3151" t="str">
        <f>"20:31:33.793"</f>
        <v>20:31:33.793</v>
      </c>
      <c r="BZ3151">
        <v>0</v>
      </c>
      <c r="CA3151">
        <v>1600</v>
      </c>
      <c r="CB3151">
        <v>224</v>
      </c>
      <c r="CD3151">
        <v>1</v>
      </c>
      <c r="CE3151">
        <v>0</v>
      </c>
      <c r="CF3151">
        <v>0</v>
      </c>
      <c r="CG3151">
        <v>1</v>
      </c>
      <c r="CH3151">
        <v>0</v>
      </c>
      <c r="CI3151">
        <v>0</v>
      </c>
      <c r="CJ3151">
        <v>0</v>
      </c>
      <c r="CK3151">
        <v>2</v>
      </c>
      <c r="CL3151">
        <v>0</v>
      </c>
      <c r="CM3151">
        <v>2</v>
      </c>
      <c r="CN3151">
        <v>0</v>
      </c>
      <c r="CO3151">
        <v>7</v>
      </c>
      <c r="CP3151" t="s">
        <v>119</v>
      </c>
      <c r="CQ3151">
        <v>180</v>
      </c>
      <c r="CR3151">
        <v>3</v>
      </c>
      <c r="CW3151">
        <v>1081921</v>
      </c>
      <c r="CY3151">
        <v>1</v>
      </c>
      <c r="CZ3151">
        <v>0</v>
      </c>
      <c r="DA3151">
        <v>0</v>
      </c>
      <c r="DB3151">
        <v>0</v>
      </c>
      <c r="DC3151">
        <v>0</v>
      </c>
      <c r="DD3151">
        <v>0</v>
      </c>
      <c r="DE3151">
        <v>0</v>
      </c>
      <c r="DF3151">
        <v>0</v>
      </c>
      <c r="DG3151">
        <v>0</v>
      </c>
      <c r="DH3151">
        <v>0</v>
      </c>
      <c r="DI3151">
        <v>0</v>
      </c>
    </row>
    <row r="3152" spans="1:113" x14ac:dyDescent="0.3">
      <c r="A3152" t="str">
        <f>"02/08/2021 20:31:31.457"</f>
        <v>02/08/2021 20:31:31.457</v>
      </c>
      <c r="C3152" t="str">
        <f t="shared" si="151"/>
        <v>FFDFD7C0</v>
      </c>
      <c r="D3152" t="s">
        <v>113</v>
      </c>
      <c r="E3152">
        <v>6</v>
      </c>
      <c r="H3152">
        <v>165</v>
      </c>
      <c r="I3152" t="s">
        <v>114</v>
      </c>
      <c r="J3152" t="s">
        <v>115</v>
      </c>
      <c r="K3152">
        <v>0</v>
      </c>
      <c r="L3152">
        <v>3</v>
      </c>
      <c r="M3152">
        <v>0</v>
      </c>
      <c r="N3152">
        <v>2</v>
      </c>
      <c r="O3152">
        <v>1</v>
      </c>
      <c r="P3152">
        <v>0</v>
      </c>
      <c r="Q3152">
        <v>0</v>
      </c>
      <c r="S3152" t="str">
        <f>"20:31:33.789"</f>
        <v>20:31:33.789</v>
      </c>
      <c r="T3152" t="str">
        <f>"20:31:33.289"</f>
        <v>20:31:33.289</v>
      </c>
      <c r="U3152" t="str">
        <f t="shared" si="153"/>
        <v>AB01F4</v>
      </c>
      <c r="V3152">
        <v>0</v>
      </c>
      <c r="W3152">
        <v>0</v>
      </c>
      <c r="X3152">
        <v>2</v>
      </c>
      <c r="Z3152">
        <v>0</v>
      </c>
      <c r="AA3152">
        <v>9</v>
      </c>
      <c r="AB3152">
        <v>3</v>
      </c>
      <c r="AC3152">
        <v>0</v>
      </c>
      <c r="AD3152">
        <v>10</v>
      </c>
      <c r="AE3152">
        <v>0</v>
      </c>
      <c r="AF3152">
        <v>3</v>
      </c>
      <c r="AG3152">
        <v>2</v>
      </c>
      <c r="AH3152">
        <v>0</v>
      </c>
      <c r="AI3152" t="s">
        <v>1825</v>
      </c>
      <c r="AJ3152">
        <v>40.051217000000001</v>
      </c>
      <c r="AK3152" t="s">
        <v>1826</v>
      </c>
      <c r="AL3152">
        <v>-92.897407999999999</v>
      </c>
      <c r="AM3152">
        <v>100</v>
      </c>
      <c r="AN3152">
        <v>1300</v>
      </c>
      <c r="AO3152" t="s">
        <v>118</v>
      </c>
      <c r="AP3152">
        <v>-117</v>
      </c>
      <c r="AQ3152">
        <v>63</v>
      </c>
      <c r="AR3152">
        <v>0</v>
      </c>
      <c r="AZ3152">
        <v>1200</v>
      </c>
      <c r="BA3152">
        <v>1</v>
      </c>
      <c r="BB3152" t="str">
        <f t="shared" si="152"/>
        <v xml:space="preserve">N8080G  </v>
      </c>
      <c r="BC3152">
        <v>1</v>
      </c>
      <c r="BE3152">
        <v>0</v>
      </c>
      <c r="BF3152">
        <v>0</v>
      </c>
      <c r="BG3152">
        <v>0</v>
      </c>
      <c r="BH3152">
        <v>1325</v>
      </c>
      <c r="BI3152">
        <v>1</v>
      </c>
      <c r="BJ3152">
        <v>1</v>
      </c>
      <c r="BK3152">
        <v>1</v>
      </c>
      <c r="BL3152">
        <v>0</v>
      </c>
      <c r="BO3152">
        <v>0</v>
      </c>
      <c r="BP3152">
        <v>0</v>
      </c>
      <c r="BW3152" t="str">
        <f>"20:31:33.793"</f>
        <v>20:31:33.793</v>
      </c>
      <c r="BZ3152">
        <v>0</v>
      </c>
      <c r="CA3152">
        <v>1600</v>
      </c>
      <c r="CB3152">
        <v>224</v>
      </c>
      <c r="CD3152">
        <v>1</v>
      </c>
      <c r="CE3152">
        <v>0</v>
      </c>
      <c r="CF3152">
        <v>0</v>
      </c>
      <c r="CG3152">
        <v>1</v>
      </c>
      <c r="CH3152">
        <v>0</v>
      </c>
      <c r="CI3152">
        <v>0</v>
      </c>
      <c r="CJ3152">
        <v>0</v>
      </c>
      <c r="CK3152">
        <v>2</v>
      </c>
      <c r="CL3152">
        <v>0</v>
      </c>
      <c r="CM3152">
        <v>2</v>
      </c>
      <c r="CN3152">
        <v>0</v>
      </c>
      <c r="CO3152">
        <v>7</v>
      </c>
      <c r="CP3152" t="s">
        <v>119</v>
      </c>
      <c r="CQ3152">
        <v>180</v>
      </c>
      <c r="CR3152">
        <v>3</v>
      </c>
      <c r="CW3152">
        <v>1081921</v>
      </c>
      <c r="CY3152">
        <v>1</v>
      </c>
      <c r="CZ3152">
        <v>0</v>
      </c>
      <c r="DA3152">
        <v>1</v>
      </c>
      <c r="DB3152">
        <v>0</v>
      </c>
      <c r="DC3152">
        <v>0</v>
      </c>
      <c r="DD3152">
        <v>0</v>
      </c>
      <c r="DE3152">
        <v>0</v>
      </c>
      <c r="DF3152">
        <v>0</v>
      </c>
      <c r="DG3152">
        <v>0</v>
      </c>
      <c r="DH3152">
        <v>0</v>
      </c>
      <c r="DI3152">
        <v>0</v>
      </c>
    </row>
    <row r="3153" spans="1:113" x14ac:dyDescent="0.3">
      <c r="A3153" t="str">
        <f>"02/08/2021 20:31:31.457"</f>
        <v>02/08/2021 20:31:31.457</v>
      </c>
      <c r="C3153" t="str">
        <f t="shared" si="151"/>
        <v>FFDFD7C0</v>
      </c>
      <c r="D3153" t="s">
        <v>124</v>
      </c>
      <c r="E3153">
        <v>11</v>
      </c>
      <c r="F3153">
        <v>1011</v>
      </c>
      <c r="G3153" t="s">
        <v>590</v>
      </c>
      <c r="J3153" t="s">
        <v>125</v>
      </c>
      <c r="K3153">
        <v>0</v>
      </c>
      <c r="L3153">
        <v>3</v>
      </c>
      <c r="M3153">
        <v>0</v>
      </c>
      <c r="N3153">
        <v>2</v>
      </c>
      <c r="O3153">
        <v>1</v>
      </c>
      <c r="P3153">
        <v>0</v>
      </c>
      <c r="Q3153">
        <v>0</v>
      </c>
      <c r="S3153" t="str">
        <f>"20:31:33.789"</f>
        <v>20:31:33.789</v>
      </c>
      <c r="T3153" t="str">
        <f>"20:31:33.289"</f>
        <v>20:31:33.289</v>
      </c>
      <c r="U3153" t="str">
        <f t="shared" si="153"/>
        <v>AB01F4</v>
      </c>
      <c r="V3153">
        <v>0</v>
      </c>
      <c r="W3153">
        <v>0</v>
      </c>
      <c r="X3153">
        <v>2</v>
      </c>
      <c r="Z3153">
        <v>0</v>
      </c>
      <c r="AA3153">
        <v>9</v>
      </c>
      <c r="AB3153">
        <v>3</v>
      </c>
      <c r="AC3153">
        <v>0</v>
      </c>
      <c r="AD3153">
        <v>10</v>
      </c>
      <c r="AE3153">
        <v>0</v>
      </c>
      <c r="AF3153">
        <v>3</v>
      </c>
      <c r="AG3153">
        <v>2</v>
      </c>
      <c r="AH3153">
        <v>0</v>
      </c>
      <c r="AI3153" t="s">
        <v>1825</v>
      </c>
      <c r="AJ3153">
        <v>40.051217000000001</v>
      </c>
      <c r="AK3153" t="s">
        <v>1826</v>
      </c>
      <c r="AL3153">
        <v>-92.897407999999999</v>
      </c>
      <c r="AM3153">
        <v>100</v>
      </c>
      <c r="AN3153">
        <v>1300</v>
      </c>
      <c r="AO3153" t="s">
        <v>118</v>
      </c>
      <c r="AP3153">
        <v>-117</v>
      </c>
      <c r="AQ3153">
        <v>63</v>
      </c>
      <c r="AR3153">
        <v>0</v>
      </c>
      <c r="AZ3153">
        <v>1200</v>
      </c>
      <c r="BA3153">
        <v>1</v>
      </c>
      <c r="BB3153" t="str">
        <f t="shared" si="152"/>
        <v xml:space="preserve">N8080G  </v>
      </c>
      <c r="BC3153">
        <v>1</v>
      </c>
      <c r="BE3153">
        <v>0</v>
      </c>
      <c r="BF3153">
        <v>0</v>
      </c>
      <c r="BG3153">
        <v>0</v>
      </c>
      <c r="BH3153">
        <v>1325</v>
      </c>
      <c r="BI3153">
        <v>1</v>
      </c>
      <c r="BJ3153">
        <v>1</v>
      </c>
      <c r="BK3153">
        <v>1</v>
      </c>
      <c r="BL3153">
        <v>0</v>
      </c>
      <c r="BO3153">
        <v>0</v>
      </c>
      <c r="BP3153">
        <v>0</v>
      </c>
      <c r="BW3153" t="str">
        <f>"20:31:33.793"</f>
        <v>20:31:33.793</v>
      </c>
      <c r="BZ3153">
        <v>0</v>
      </c>
      <c r="CA3153">
        <v>1600</v>
      </c>
      <c r="CB3153">
        <v>224</v>
      </c>
      <c r="CD3153">
        <v>1</v>
      </c>
      <c r="CE3153">
        <v>0</v>
      </c>
      <c r="CF3153">
        <v>0</v>
      </c>
      <c r="CG3153">
        <v>1</v>
      </c>
      <c r="CH3153">
        <v>0</v>
      </c>
      <c r="CI3153">
        <v>0</v>
      </c>
      <c r="CJ3153">
        <v>0</v>
      </c>
      <c r="CK3153">
        <v>2</v>
      </c>
      <c r="CL3153">
        <v>0</v>
      </c>
      <c r="CM3153">
        <v>2</v>
      </c>
      <c r="CN3153">
        <v>0</v>
      </c>
      <c r="CO3153">
        <v>7</v>
      </c>
      <c r="CP3153" t="s">
        <v>119</v>
      </c>
      <c r="CQ3153">
        <v>180</v>
      </c>
      <c r="CR3153">
        <v>3</v>
      </c>
      <c r="CW3153">
        <v>1081921</v>
      </c>
      <c r="CY3153">
        <v>1</v>
      </c>
      <c r="CZ3153">
        <v>0</v>
      </c>
      <c r="DA3153">
        <v>1</v>
      </c>
      <c r="DB3153">
        <v>0</v>
      </c>
      <c r="DC3153">
        <v>0</v>
      </c>
      <c r="DD3153">
        <v>0</v>
      </c>
      <c r="DE3153">
        <v>0</v>
      </c>
      <c r="DF3153">
        <v>0</v>
      </c>
      <c r="DG3153">
        <v>0</v>
      </c>
      <c r="DH3153">
        <v>0</v>
      </c>
      <c r="DI3153">
        <v>0</v>
      </c>
    </row>
    <row r="3154" spans="1:113" x14ac:dyDescent="0.3">
      <c r="A3154" t="str">
        <f>"02/08/2021 20:31:31.457"</f>
        <v>02/08/2021 20:31:31.457</v>
      </c>
      <c r="C3154" t="str">
        <f t="shared" si="151"/>
        <v>FFDFD7C0</v>
      </c>
      <c r="D3154" t="s">
        <v>124</v>
      </c>
      <c r="E3154">
        <v>12</v>
      </c>
      <c r="F3154">
        <v>1012</v>
      </c>
      <c r="G3154" t="s">
        <v>675</v>
      </c>
      <c r="J3154" t="s">
        <v>125</v>
      </c>
      <c r="K3154">
        <v>0</v>
      </c>
      <c r="L3154">
        <v>3</v>
      </c>
      <c r="M3154">
        <v>0</v>
      </c>
      <c r="N3154">
        <v>2</v>
      </c>
      <c r="O3154">
        <v>1</v>
      </c>
      <c r="P3154">
        <v>0</v>
      </c>
      <c r="Q3154">
        <v>0</v>
      </c>
      <c r="S3154" t="str">
        <f>"20:31:33.789"</f>
        <v>20:31:33.789</v>
      </c>
      <c r="T3154" t="str">
        <f>"20:31:33.289"</f>
        <v>20:31:33.289</v>
      </c>
      <c r="U3154" t="str">
        <f t="shared" si="153"/>
        <v>AB01F4</v>
      </c>
      <c r="V3154">
        <v>0</v>
      </c>
      <c r="W3154">
        <v>0</v>
      </c>
      <c r="X3154">
        <v>2</v>
      </c>
      <c r="Z3154">
        <v>0</v>
      </c>
      <c r="AA3154">
        <v>9</v>
      </c>
      <c r="AB3154">
        <v>3</v>
      </c>
      <c r="AC3154">
        <v>0</v>
      </c>
      <c r="AD3154">
        <v>10</v>
      </c>
      <c r="AE3154">
        <v>0</v>
      </c>
      <c r="AF3154">
        <v>3</v>
      </c>
      <c r="AG3154">
        <v>2</v>
      </c>
      <c r="AH3154">
        <v>0</v>
      </c>
      <c r="AI3154" t="s">
        <v>1825</v>
      </c>
      <c r="AJ3154">
        <v>40.051217000000001</v>
      </c>
      <c r="AK3154" t="s">
        <v>1826</v>
      </c>
      <c r="AL3154">
        <v>-92.897407999999999</v>
      </c>
      <c r="AM3154">
        <v>100</v>
      </c>
      <c r="AN3154">
        <v>1300</v>
      </c>
      <c r="AO3154" t="s">
        <v>118</v>
      </c>
      <c r="AP3154">
        <v>-117</v>
      </c>
      <c r="AQ3154">
        <v>63</v>
      </c>
      <c r="AR3154">
        <v>0</v>
      </c>
      <c r="AZ3154">
        <v>1200</v>
      </c>
      <c r="BA3154">
        <v>1</v>
      </c>
      <c r="BB3154" t="str">
        <f t="shared" si="152"/>
        <v xml:space="preserve">N8080G  </v>
      </c>
      <c r="BC3154">
        <v>1</v>
      </c>
      <c r="BE3154">
        <v>0</v>
      </c>
      <c r="BF3154">
        <v>0</v>
      </c>
      <c r="BG3154">
        <v>0</v>
      </c>
      <c r="BH3154">
        <v>1325</v>
      </c>
      <c r="BI3154">
        <v>1</v>
      </c>
      <c r="BJ3154">
        <v>1</v>
      </c>
      <c r="BK3154">
        <v>1</v>
      </c>
      <c r="BL3154">
        <v>0</v>
      </c>
      <c r="BO3154">
        <v>0</v>
      </c>
      <c r="BP3154">
        <v>0</v>
      </c>
      <c r="BW3154" t="str">
        <f>"20:31:33.793"</f>
        <v>20:31:33.793</v>
      </c>
      <c r="BZ3154">
        <v>0</v>
      </c>
      <c r="CA3154">
        <v>1600</v>
      </c>
      <c r="CB3154">
        <v>224</v>
      </c>
      <c r="CD3154">
        <v>1</v>
      </c>
      <c r="CE3154">
        <v>0</v>
      </c>
      <c r="CF3154">
        <v>0</v>
      </c>
      <c r="CG3154">
        <v>1</v>
      </c>
      <c r="CH3154">
        <v>0</v>
      </c>
      <c r="CI3154">
        <v>0</v>
      </c>
      <c r="CJ3154">
        <v>0</v>
      </c>
      <c r="CK3154">
        <v>2</v>
      </c>
      <c r="CL3154">
        <v>0</v>
      </c>
      <c r="CM3154">
        <v>2</v>
      </c>
      <c r="CN3154">
        <v>0</v>
      </c>
      <c r="CO3154">
        <v>7</v>
      </c>
      <c r="CP3154" t="s">
        <v>119</v>
      </c>
      <c r="CQ3154">
        <v>180</v>
      </c>
      <c r="CR3154">
        <v>3</v>
      </c>
      <c r="CW3154">
        <v>1081921</v>
      </c>
      <c r="CY3154">
        <v>1</v>
      </c>
      <c r="CZ3154">
        <v>0</v>
      </c>
      <c r="DA3154">
        <v>1</v>
      </c>
      <c r="DB3154">
        <v>0</v>
      </c>
      <c r="DC3154">
        <v>0</v>
      </c>
      <c r="DD3154">
        <v>0</v>
      </c>
      <c r="DE3154">
        <v>0</v>
      </c>
      <c r="DF3154">
        <v>0</v>
      </c>
      <c r="DG3154">
        <v>0</v>
      </c>
      <c r="DH3154">
        <v>0</v>
      </c>
      <c r="DI3154">
        <v>0</v>
      </c>
    </row>
    <row r="3155" spans="1:113" x14ac:dyDescent="0.3">
      <c r="A3155" t="str">
        <f>"02/08/2021 20:31:32.594"</f>
        <v>02/08/2021 20:31:32.594</v>
      </c>
      <c r="C3155" t="str">
        <f t="shared" si="151"/>
        <v>FFDFD7C0</v>
      </c>
      <c r="D3155" t="s">
        <v>124</v>
      </c>
      <c r="E3155">
        <v>12</v>
      </c>
      <c r="F3155">
        <v>1012</v>
      </c>
      <c r="G3155" t="s">
        <v>675</v>
      </c>
      <c r="J3155" t="s">
        <v>125</v>
      </c>
      <c r="K3155">
        <v>0</v>
      </c>
      <c r="L3155">
        <v>3</v>
      </c>
      <c r="M3155">
        <v>0</v>
      </c>
      <c r="N3155">
        <v>2</v>
      </c>
      <c r="O3155">
        <v>1</v>
      </c>
      <c r="P3155">
        <v>0</v>
      </c>
      <c r="Q3155">
        <v>0</v>
      </c>
      <c r="S3155" t="str">
        <f>"20:31:34.891"</f>
        <v>20:31:34.891</v>
      </c>
      <c r="T3155" t="str">
        <f>"20:31:34.391"</f>
        <v>20:31:34.391</v>
      </c>
      <c r="U3155" t="str">
        <f t="shared" si="153"/>
        <v>AB01F4</v>
      </c>
      <c r="V3155">
        <v>0</v>
      </c>
      <c r="W3155">
        <v>0</v>
      </c>
      <c r="X3155">
        <v>2</v>
      </c>
      <c r="Z3155">
        <v>0</v>
      </c>
      <c r="AA3155">
        <v>9</v>
      </c>
      <c r="AB3155">
        <v>3</v>
      </c>
      <c r="AC3155">
        <v>0</v>
      </c>
      <c r="AD3155">
        <v>10</v>
      </c>
      <c r="AE3155">
        <v>0</v>
      </c>
      <c r="AF3155">
        <v>3</v>
      </c>
      <c r="AG3155">
        <v>2</v>
      </c>
      <c r="AH3155">
        <v>0</v>
      </c>
      <c r="AI3155" t="s">
        <v>1827</v>
      </c>
      <c r="AJ3155">
        <v>40.051538999999998</v>
      </c>
      <c r="AK3155" t="s">
        <v>1828</v>
      </c>
      <c r="AL3155">
        <v>-92.898138000000003</v>
      </c>
      <c r="AM3155">
        <v>100</v>
      </c>
      <c r="AN3155">
        <v>1300</v>
      </c>
      <c r="AO3155" t="s">
        <v>118</v>
      </c>
      <c r="AP3155">
        <v>-117</v>
      </c>
      <c r="AQ3155">
        <v>63</v>
      </c>
      <c r="AR3155">
        <v>0</v>
      </c>
      <c r="AZ3155">
        <v>1200</v>
      </c>
      <c r="BA3155">
        <v>1</v>
      </c>
      <c r="BB3155" t="str">
        <f t="shared" si="152"/>
        <v xml:space="preserve">N8080G  </v>
      </c>
      <c r="BC3155">
        <v>1</v>
      </c>
      <c r="BE3155">
        <v>0</v>
      </c>
      <c r="BF3155">
        <v>0</v>
      </c>
      <c r="BG3155">
        <v>0</v>
      </c>
      <c r="BH3155">
        <v>1325</v>
      </c>
      <c r="BI3155">
        <v>1</v>
      </c>
      <c r="BJ3155">
        <v>1</v>
      </c>
      <c r="BK3155">
        <v>1</v>
      </c>
      <c r="BL3155">
        <v>0</v>
      </c>
      <c r="BO3155">
        <v>0</v>
      </c>
      <c r="BP3155">
        <v>0</v>
      </c>
      <c r="BW3155" t="str">
        <f>"20:31:34.892"</f>
        <v>20:31:34.892</v>
      </c>
      <c r="BZ3155">
        <v>0</v>
      </c>
      <c r="CA3155">
        <v>1600</v>
      </c>
      <c r="CB3155">
        <v>224</v>
      </c>
      <c r="CD3155">
        <v>1</v>
      </c>
      <c r="CE3155">
        <v>0</v>
      </c>
      <c r="CF3155">
        <v>0</v>
      </c>
      <c r="CG3155">
        <v>1</v>
      </c>
      <c r="CH3155">
        <v>0</v>
      </c>
      <c r="CI3155">
        <v>0</v>
      </c>
      <c r="CJ3155">
        <v>0</v>
      </c>
      <c r="CK3155">
        <v>2</v>
      </c>
      <c r="CL3155">
        <v>0</v>
      </c>
      <c r="CM3155">
        <v>2</v>
      </c>
      <c r="CN3155">
        <v>0</v>
      </c>
      <c r="CO3155">
        <v>7</v>
      </c>
      <c r="CP3155" t="s">
        <v>119</v>
      </c>
      <c r="CQ3155">
        <v>180</v>
      </c>
      <c r="CR3155">
        <v>3</v>
      </c>
      <c r="CW3155">
        <v>1082774</v>
      </c>
      <c r="CY3155">
        <v>1</v>
      </c>
      <c r="CZ3155">
        <v>0</v>
      </c>
      <c r="DA3155">
        <v>0</v>
      </c>
      <c r="DB3155">
        <v>0</v>
      </c>
      <c r="DC3155">
        <v>0</v>
      </c>
      <c r="DD3155">
        <v>0</v>
      </c>
      <c r="DE3155">
        <v>0</v>
      </c>
      <c r="DF3155">
        <v>0</v>
      </c>
      <c r="DG3155">
        <v>0</v>
      </c>
      <c r="DH3155">
        <v>0</v>
      </c>
      <c r="DI3155">
        <v>0</v>
      </c>
    </row>
    <row r="3156" spans="1:113" x14ac:dyDescent="0.3">
      <c r="A3156" t="str">
        <f>"02/08/2021 20:31:32.594"</f>
        <v>02/08/2021 20:31:32.594</v>
      </c>
      <c r="C3156" t="str">
        <f t="shared" si="151"/>
        <v>FFDFD7C0</v>
      </c>
      <c r="D3156" t="s">
        <v>124</v>
      </c>
      <c r="E3156">
        <v>11</v>
      </c>
      <c r="F3156">
        <v>1011</v>
      </c>
      <c r="G3156" t="s">
        <v>590</v>
      </c>
      <c r="J3156" t="s">
        <v>125</v>
      </c>
      <c r="K3156">
        <v>0</v>
      </c>
      <c r="L3156">
        <v>3</v>
      </c>
      <c r="M3156">
        <v>0</v>
      </c>
      <c r="N3156">
        <v>2</v>
      </c>
      <c r="O3156">
        <v>1</v>
      </c>
      <c r="P3156">
        <v>0</v>
      </c>
      <c r="Q3156">
        <v>0</v>
      </c>
      <c r="S3156" t="str">
        <f>"20:31:34.891"</f>
        <v>20:31:34.891</v>
      </c>
      <c r="T3156" t="str">
        <f>"20:31:34.391"</f>
        <v>20:31:34.391</v>
      </c>
      <c r="U3156" t="str">
        <f t="shared" si="153"/>
        <v>AB01F4</v>
      </c>
      <c r="V3156">
        <v>0</v>
      </c>
      <c r="W3156">
        <v>0</v>
      </c>
      <c r="X3156">
        <v>2</v>
      </c>
      <c r="Z3156">
        <v>0</v>
      </c>
      <c r="AA3156">
        <v>9</v>
      </c>
      <c r="AB3156">
        <v>3</v>
      </c>
      <c r="AC3156">
        <v>0</v>
      </c>
      <c r="AD3156">
        <v>10</v>
      </c>
      <c r="AE3156">
        <v>0</v>
      </c>
      <c r="AF3156">
        <v>3</v>
      </c>
      <c r="AG3156">
        <v>2</v>
      </c>
      <c r="AH3156">
        <v>0</v>
      </c>
      <c r="AI3156" t="s">
        <v>1827</v>
      </c>
      <c r="AJ3156">
        <v>40.051538999999998</v>
      </c>
      <c r="AK3156" t="s">
        <v>1828</v>
      </c>
      <c r="AL3156">
        <v>-92.898138000000003</v>
      </c>
      <c r="AM3156">
        <v>100</v>
      </c>
      <c r="AN3156">
        <v>1300</v>
      </c>
      <c r="AO3156" t="s">
        <v>118</v>
      </c>
      <c r="AP3156">
        <v>-117</v>
      </c>
      <c r="AQ3156">
        <v>63</v>
      </c>
      <c r="AR3156">
        <v>0</v>
      </c>
      <c r="AZ3156">
        <v>1200</v>
      </c>
      <c r="BA3156">
        <v>1</v>
      </c>
      <c r="BB3156" t="str">
        <f t="shared" si="152"/>
        <v xml:space="preserve">N8080G  </v>
      </c>
      <c r="BC3156">
        <v>1</v>
      </c>
      <c r="BE3156">
        <v>0</v>
      </c>
      <c r="BF3156">
        <v>0</v>
      </c>
      <c r="BG3156">
        <v>0</v>
      </c>
      <c r="BH3156">
        <v>1325</v>
      </c>
      <c r="BI3156">
        <v>1</v>
      </c>
      <c r="BJ3156">
        <v>1</v>
      </c>
      <c r="BK3156">
        <v>1</v>
      </c>
      <c r="BL3156">
        <v>0</v>
      </c>
      <c r="BO3156">
        <v>0</v>
      </c>
      <c r="BP3156">
        <v>0</v>
      </c>
      <c r="BW3156" t="str">
        <f>"20:31:34.892"</f>
        <v>20:31:34.892</v>
      </c>
      <c r="BZ3156">
        <v>0</v>
      </c>
      <c r="CA3156">
        <v>1600</v>
      </c>
      <c r="CB3156">
        <v>224</v>
      </c>
      <c r="CD3156">
        <v>1</v>
      </c>
      <c r="CE3156">
        <v>0</v>
      </c>
      <c r="CF3156">
        <v>0</v>
      </c>
      <c r="CG3156">
        <v>1</v>
      </c>
      <c r="CH3156">
        <v>0</v>
      </c>
      <c r="CI3156">
        <v>0</v>
      </c>
      <c r="CJ3156">
        <v>0</v>
      </c>
      <c r="CK3156">
        <v>2</v>
      </c>
      <c r="CL3156">
        <v>0</v>
      </c>
      <c r="CM3156">
        <v>2</v>
      </c>
      <c r="CN3156">
        <v>0</v>
      </c>
      <c r="CO3156">
        <v>7</v>
      </c>
      <c r="CP3156" t="s">
        <v>119</v>
      </c>
      <c r="CQ3156">
        <v>180</v>
      </c>
      <c r="CR3156">
        <v>3</v>
      </c>
      <c r="CW3156">
        <v>1082774</v>
      </c>
      <c r="CY3156">
        <v>1</v>
      </c>
      <c r="CZ3156">
        <v>0</v>
      </c>
      <c r="DA3156">
        <v>1</v>
      </c>
      <c r="DB3156">
        <v>0</v>
      </c>
      <c r="DC3156">
        <v>0</v>
      </c>
      <c r="DD3156">
        <v>0</v>
      </c>
      <c r="DE3156">
        <v>0</v>
      </c>
      <c r="DF3156">
        <v>0</v>
      </c>
      <c r="DG3156">
        <v>0</v>
      </c>
      <c r="DH3156">
        <v>0</v>
      </c>
      <c r="DI3156">
        <v>0</v>
      </c>
    </row>
    <row r="3157" spans="1:113" x14ac:dyDescent="0.3">
      <c r="A3157" t="str">
        <f>"02/08/2021 20:31:32.594"</f>
        <v>02/08/2021 20:31:32.594</v>
      </c>
      <c r="C3157" t="str">
        <f t="shared" si="151"/>
        <v>FFDFD7C0</v>
      </c>
      <c r="D3157" t="s">
        <v>124</v>
      </c>
      <c r="E3157">
        <v>13</v>
      </c>
      <c r="F3157">
        <v>1013</v>
      </c>
      <c r="G3157" t="s">
        <v>114</v>
      </c>
      <c r="J3157" t="s">
        <v>125</v>
      </c>
      <c r="K3157">
        <v>0</v>
      </c>
      <c r="L3157">
        <v>3</v>
      </c>
      <c r="M3157">
        <v>0</v>
      </c>
      <c r="N3157">
        <v>2</v>
      </c>
      <c r="O3157">
        <v>1</v>
      </c>
      <c r="P3157">
        <v>0</v>
      </c>
      <c r="Q3157">
        <v>0</v>
      </c>
      <c r="S3157" t="str">
        <f>"20:31:34.891"</f>
        <v>20:31:34.891</v>
      </c>
      <c r="T3157" t="str">
        <f>"20:31:34.391"</f>
        <v>20:31:34.391</v>
      </c>
      <c r="U3157" t="str">
        <f t="shared" si="153"/>
        <v>AB01F4</v>
      </c>
      <c r="V3157">
        <v>0</v>
      </c>
      <c r="W3157">
        <v>0</v>
      </c>
      <c r="X3157">
        <v>2</v>
      </c>
      <c r="Z3157">
        <v>0</v>
      </c>
      <c r="AA3157">
        <v>9</v>
      </c>
      <c r="AB3157">
        <v>3</v>
      </c>
      <c r="AC3157">
        <v>0</v>
      </c>
      <c r="AD3157">
        <v>10</v>
      </c>
      <c r="AE3157">
        <v>0</v>
      </c>
      <c r="AF3157">
        <v>3</v>
      </c>
      <c r="AG3157">
        <v>2</v>
      </c>
      <c r="AH3157">
        <v>0</v>
      </c>
      <c r="AI3157" t="s">
        <v>1827</v>
      </c>
      <c r="AJ3157">
        <v>40.051538999999998</v>
      </c>
      <c r="AK3157" t="s">
        <v>1828</v>
      </c>
      <c r="AL3157">
        <v>-92.898138000000003</v>
      </c>
      <c r="AM3157">
        <v>100</v>
      </c>
      <c r="AN3157">
        <v>1300</v>
      </c>
      <c r="AO3157" t="s">
        <v>118</v>
      </c>
      <c r="AP3157">
        <v>-117</v>
      </c>
      <c r="AQ3157">
        <v>63</v>
      </c>
      <c r="AR3157">
        <v>0</v>
      </c>
      <c r="AZ3157">
        <v>1200</v>
      </c>
      <c r="BA3157">
        <v>1</v>
      </c>
      <c r="BB3157" t="str">
        <f t="shared" si="152"/>
        <v xml:space="preserve">N8080G  </v>
      </c>
      <c r="BC3157">
        <v>1</v>
      </c>
      <c r="BE3157">
        <v>0</v>
      </c>
      <c r="BF3157">
        <v>0</v>
      </c>
      <c r="BG3157">
        <v>0</v>
      </c>
      <c r="BH3157">
        <v>1325</v>
      </c>
      <c r="BI3157">
        <v>1</v>
      </c>
      <c r="BJ3157">
        <v>1</v>
      </c>
      <c r="BK3157">
        <v>1</v>
      </c>
      <c r="BL3157">
        <v>0</v>
      </c>
      <c r="BO3157">
        <v>0</v>
      </c>
      <c r="BP3157">
        <v>0</v>
      </c>
      <c r="BW3157" t="str">
        <f>"20:31:34.892"</f>
        <v>20:31:34.892</v>
      </c>
      <c r="BZ3157">
        <v>0</v>
      </c>
      <c r="CA3157">
        <v>1600</v>
      </c>
      <c r="CB3157">
        <v>224</v>
      </c>
      <c r="CD3157">
        <v>1</v>
      </c>
      <c r="CE3157">
        <v>0</v>
      </c>
      <c r="CF3157">
        <v>0</v>
      </c>
      <c r="CG3157">
        <v>1</v>
      </c>
      <c r="CH3157">
        <v>0</v>
      </c>
      <c r="CI3157">
        <v>0</v>
      </c>
      <c r="CJ3157">
        <v>0</v>
      </c>
      <c r="CK3157">
        <v>2</v>
      </c>
      <c r="CL3157">
        <v>0</v>
      </c>
      <c r="CM3157">
        <v>2</v>
      </c>
      <c r="CN3157">
        <v>0</v>
      </c>
      <c r="CO3157">
        <v>7</v>
      </c>
      <c r="CP3157" t="s">
        <v>119</v>
      </c>
      <c r="CQ3157">
        <v>180</v>
      </c>
      <c r="CR3157">
        <v>3</v>
      </c>
      <c r="CW3157">
        <v>1082774</v>
      </c>
      <c r="CY3157">
        <v>1</v>
      </c>
      <c r="CZ3157">
        <v>0</v>
      </c>
      <c r="DA3157">
        <v>1</v>
      </c>
      <c r="DB3157">
        <v>0</v>
      </c>
      <c r="DC3157">
        <v>0</v>
      </c>
      <c r="DD3157">
        <v>0</v>
      </c>
      <c r="DE3157">
        <v>0</v>
      </c>
      <c r="DF3157">
        <v>0</v>
      </c>
      <c r="DG3157">
        <v>0</v>
      </c>
      <c r="DH3157">
        <v>0</v>
      </c>
      <c r="DI3157">
        <v>0</v>
      </c>
    </row>
    <row r="3158" spans="1:113" x14ac:dyDescent="0.3">
      <c r="A3158" t="str">
        <f>"02/08/2021 20:31:32.594"</f>
        <v>02/08/2021 20:31:32.594</v>
      </c>
      <c r="C3158" t="str">
        <f t="shared" si="151"/>
        <v>FFDFD7C0</v>
      </c>
      <c r="D3158" t="s">
        <v>113</v>
      </c>
      <c r="E3158">
        <v>6</v>
      </c>
      <c r="H3158">
        <v>165</v>
      </c>
      <c r="I3158" t="s">
        <v>114</v>
      </c>
      <c r="J3158" t="s">
        <v>115</v>
      </c>
      <c r="K3158">
        <v>0</v>
      </c>
      <c r="L3158">
        <v>3</v>
      </c>
      <c r="M3158">
        <v>0</v>
      </c>
      <c r="N3158">
        <v>2</v>
      </c>
      <c r="O3158">
        <v>1</v>
      </c>
      <c r="P3158">
        <v>0</v>
      </c>
      <c r="Q3158">
        <v>0</v>
      </c>
      <c r="S3158" t="str">
        <f>"20:31:34.891"</f>
        <v>20:31:34.891</v>
      </c>
      <c r="T3158" t="str">
        <f>"20:31:34.391"</f>
        <v>20:31:34.391</v>
      </c>
      <c r="U3158" t="str">
        <f t="shared" si="153"/>
        <v>AB01F4</v>
      </c>
      <c r="V3158">
        <v>0</v>
      </c>
      <c r="W3158">
        <v>0</v>
      </c>
      <c r="X3158">
        <v>2</v>
      </c>
      <c r="Z3158">
        <v>0</v>
      </c>
      <c r="AA3158">
        <v>9</v>
      </c>
      <c r="AB3158">
        <v>3</v>
      </c>
      <c r="AC3158">
        <v>0</v>
      </c>
      <c r="AD3158">
        <v>10</v>
      </c>
      <c r="AE3158">
        <v>0</v>
      </c>
      <c r="AF3158">
        <v>3</v>
      </c>
      <c r="AG3158">
        <v>2</v>
      </c>
      <c r="AH3158">
        <v>0</v>
      </c>
      <c r="AI3158" t="s">
        <v>1827</v>
      </c>
      <c r="AJ3158">
        <v>40.051538999999998</v>
      </c>
      <c r="AK3158" t="s">
        <v>1828</v>
      </c>
      <c r="AL3158">
        <v>-92.898138000000003</v>
      </c>
      <c r="AM3158">
        <v>100</v>
      </c>
      <c r="AN3158">
        <v>1300</v>
      </c>
      <c r="AO3158" t="s">
        <v>118</v>
      </c>
      <c r="AP3158">
        <v>-117</v>
      </c>
      <c r="AQ3158">
        <v>63</v>
      </c>
      <c r="AR3158">
        <v>0</v>
      </c>
      <c r="AZ3158">
        <v>1200</v>
      </c>
      <c r="BA3158">
        <v>1</v>
      </c>
      <c r="BB3158" t="str">
        <f t="shared" si="152"/>
        <v xml:space="preserve">N8080G  </v>
      </c>
      <c r="BC3158">
        <v>1</v>
      </c>
      <c r="BE3158">
        <v>0</v>
      </c>
      <c r="BF3158">
        <v>0</v>
      </c>
      <c r="BG3158">
        <v>0</v>
      </c>
      <c r="BH3158">
        <v>1325</v>
      </c>
      <c r="BI3158">
        <v>1</v>
      </c>
      <c r="BJ3158">
        <v>1</v>
      </c>
      <c r="BK3158">
        <v>1</v>
      </c>
      <c r="BL3158">
        <v>0</v>
      </c>
      <c r="BO3158">
        <v>0</v>
      </c>
      <c r="BP3158">
        <v>0</v>
      </c>
      <c r="BW3158" t="str">
        <f>"20:31:34.892"</f>
        <v>20:31:34.892</v>
      </c>
      <c r="BZ3158">
        <v>0</v>
      </c>
      <c r="CA3158">
        <v>1600</v>
      </c>
      <c r="CB3158">
        <v>224</v>
      </c>
      <c r="CD3158">
        <v>1</v>
      </c>
      <c r="CE3158">
        <v>0</v>
      </c>
      <c r="CF3158">
        <v>0</v>
      </c>
      <c r="CG3158">
        <v>1</v>
      </c>
      <c r="CH3158">
        <v>0</v>
      </c>
      <c r="CI3158">
        <v>0</v>
      </c>
      <c r="CJ3158">
        <v>0</v>
      </c>
      <c r="CK3158">
        <v>2</v>
      </c>
      <c r="CL3158">
        <v>0</v>
      </c>
      <c r="CM3158">
        <v>2</v>
      </c>
      <c r="CN3158">
        <v>0</v>
      </c>
      <c r="CO3158">
        <v>7</v>
      </c>
      <c r="CP3158" t="s">
        <v>119</v>
      </c>
      <c r="CQ3158">
        <v>180</v>
      </c>
      <c r="CR3158">
        <v>3</v>
      </c>
      <c r="CW3158">
        <v>1082774</v>
      </c>
      <c r="CY3158">
        <v>1</v>
      </c>
      <c r="CZ3158">
        <v>0</v>
      </c>
      <c r="DA3158">
        <v>1</v>
      </c>
      <c r="DB3158">
        <v>0</v>
      </c>
      <c r="DC3158">
        <v>0</v>
      </c>
      <c r="DD3158">
        <v>0</v>
      </c>
      <c r="DE3158">
        <v>0</v>
      </c>
      <c r="DF3158">
        <v>0</v>
      </c>
      <c r="DG3158">
        <v>0</v>
      </c>
      <c r="DH3158">
        <v>0</v>
      </c>
      <c r="DI3158">
        <v>0</v>
      </c>
    </row>
    <row r="3159" spans="1:113" x14ac:dyDescent="0.3">
      <c r="A3159" t="str">
        <f>"02/08/2021 20:31:33.533"</f>
        <v>02/08/2021 20:31:33.533</v>
      </c>
      <c r="C3159" t="str">
        <f t="shared" si="151"/>
        <v>FFDFD7C0</v>
      </c>
      <c r="D3159" t="s">
        <v>113</v>
      </c>
      <c r="E3159">
        <v>6</v>
      </c>
      <c r="H3159">
        <v>165</v>
      </c>
      <c r="I3159" t="s">
        <v>114</v>
      </c>
      <c r="J3159" t="s">
        <v>115</v>
      </c>
      <c r="K3159">
        <v>0</v>
      </c>
      <c r="L3159">
        <v>3</v>
      </c>
      <c r="M3159">
        <v>0</v>
      </c>
      <c r="N3159">
        <v>2</v>
      </c>
      <c r="O3159">
        <v>1</v>
      </c>
      <c r="P3159">
        <v>0</v>
      </c>
      <c r="Q3159">
        <v>0</v>
      </c>
      <c r="S3159" t="str">
        <f>"20:31:35.844"</f>
        <v>20:31:35.844</v>
      </c>
      <c r="T3159" t="str">
        <f>"20:31:35.344"</f>
        <v>20:31:35.344</v>
      </c>
      <c r="U3159" t="str">
        <f t="shared" si="153"/>
        <v>AB01F4</v>
      </c>
      <c r="V3159">
        <v>0</v>
      </c>
      <c r="W3159">
        <v>0</v>
      </c>
      <c r="X3159">
        <v>2</v>
      </c>
      <c r="Z3159">
        <v>0</v>
      </c>
      <c r="AA3159">
        <v>9</v>
      </c>
      <c r="AB3159">
        <v>3</v>
      </c>
      <c r="AC3159">
        <v>0</v>
      </c>
      <c r="AD3159">
        <v>10</v>
      </c>
      <c r="AE3159">
        <v>0</v>
      </c>
      <c r="AF3159">
        <v>3</v>
      </c>
      <c r="AG3159">
        <v>2</v>
      </c>
      <c r="AH3159">
        <v>0</v>
      </c>
      <c r="AI3159" t="s">
        <v>1829</v>
      </c>
      <c r="AJ3159">
        <v>40.051817999999997</v>
      </c>
      <c r="AK3159" t="s">
        <v>1830</v>
      </c>
      <c r="AL3159">
        <v>-92.898888999999997</v>
      </c>
      <c r="AM3159">
        <v>100</v>
      </c>
      <c r="AN3159">
        <v>1300</v>
      </c>
      <c r="AO3159" t="s">
        <v>118</v>
      </c>
      <c r="AP3159">
        <v>-117</v>
      </c>
      <c r="AQ3159">
        <v>63</v>
      </c>
      <c r="AR3159">
        <v>0</v>
      </c>
      <c r="AZ3159">
        <v>1200</v>
      </c>
      <c r="BA3159">
        <v>1</v>
      </c>
      <c r="BB3159" t="str">
        <f t="shared" si="152"/>
        <v xml:space="preserve">N8080G  </v>
      </c>
      <c r="BC3159">
        <v>1</v>
      </c>
      <c r="BE3159">
        <v>0</v>
      </c>
      <c r="BF3159">
        <v>0</v>
      </c>
      <c r="BG3159">
        <v>0</v>
      </c>
      <c r="BH3159">
        <v>1325</v>
      </c>
      <c r="BI3159">
        <v>1</v>
      </c>
      <c r="BJ3159">
        <v>1</v>
      </c>
      <c r="BK3159">
        <v>1</v>
      </c>
      <c r="BL3159">
        <v>0</v>
      </c>
      <c r="BO3159">
        <v>0</v>
      </c>
      <c r="BP3159">
        <v>0</v>
      </c>
      <c r="BW3159" t="str">
        <f>"20:31:35.849"</f>
        <v>20:31:35.849</v>
      </c>
      <c r="BZ3159">
        <v>0</v>
      </c>
      <c r="CA3159">
        <v>1600</v>
      </c>
      <c r="CB3159">
        <v>224</v>
      </c>
      <c r="CD3159">
        <v>1</v>
      </c>
      <c r="CE3159">
        <v>0</v>
      </c>
      <c r="CF3159">
        <v>0</v>
      </c>
      <c r="CG3159">
        <v>1</v>
      </c>
      <c r="CH3159">
        <v>0</v>
      </c>
      <c r="CI3159">
        <v>0</v>
      </c>
      <c r="CJ3159">
        <v>0</v>
      </c>
      <c r="CK3159">
        <v>2</v>
      </c>
      <c r="CL3159">
        <v>0</v>
      </c>
      <c r="CM3159">
        <v>2</v>
      </c>
      <c r="CN3159">
        <v>0</v>
      </c>
      <c r="CO3159">
        <v>7</v>
      </c>
      <c r="CP3159" t="s">
        <v>119</v>
      </c>
      <c r="CQ3159">
        <v>180</v>
      </c>
      <c r="CR3159">
        <v>3</v>
      </c>
      <c r="CW3159">
        <v>1083461</v>
      </c>
      <c r="CY3159">
        <v>1</v>
      </c>
      <c r="CZ3159">
        <v>0</v>
      </c>
      <c r="DA3159">
        <v>0</v>
      </c>
      <c r="DB3159">
        <v>0</v>
      </c>
      <c r="DC3159">
        <v>0</v>
      </c>
      <c r="DD3159">
        <v>0</v>
      </c>
      <c r="DE3159">
        <v>0</v>
      </c>
      <c r="DF3159">
        <v>0</v>
      </c>
      <c r="DG3159">
        <v>0</v>
      </c>
      <c r="DH3159">
        <v>0</v>
      </c>
      <c r="DI3159">
        <v>0</v>
      </c>
    </row>
    <row r="3160" spans="1:113" x14ac:dyDescent="0.3">
      <c r="A3160" t="str">
        <f>"02/08/2021 20:31:33.533"</f>
        <v>02/08/2021 20:31:33.533</v>
      </c>
      <c r="C3160" t="str">
        <f t="shared" si="151"/>
        <v>FFDFD7C0</v>
      </c>
      <c r="D3160" t="s">
        <v>124</v>
      </c>
      <c r="E3160">
        <v>12</v>
      </c>
      <c r="F3160">
        <v>1012</v>
      </c>
      <c r="G3160" t="s">
        <v>675</v>
      </c>
      <c r="J3160" t="s">
        <v>125</v>
      </c>
      <c r="K3160">
        <v>0</v>
      </c>
      <c r="L3160">
        <v>3</v>
      </c>
      <c r="M3160">
        <v>0</v>
      </c>
      <c r="N3160">
        <v>2</v>
      </c>
      <c r="O3160">
        <v>1</v>
      </c>
      <c r="P3160">
        <v>0</v>
      </c>
      <c r="Q3160">
        <v>0</v>
      </c>
      <c r="S3160" t="str">
        <f>"20:31:35.844"</f>
        <v>20:31:35.844</v>
      </c>
      <c r="T3160" t="str">
        <f>"20:31:35.344"</f>
        <v>20:31:35.344</v>
      </c>
      <c r="U3160" t="str">
        <f t="shared" si="153"/>
        <v>AB01F4</v>
      </c>
      <c r="V3160">
        <v>0</v>
      </c>
      <c r="W3160">
        <v>0</v>
      </c>
      <c r="X3160">
        <v>2</v>
      </c>
      <c r="Z3160">
        <v>0</v>
      </c>
      <c r="AA3160">
        <v>9</v>
      </c>
      <c r="AB3160">
        <v>3</v>
      </c>
      <c r="AC3160">
        <v>0</v>
      </c>
      <c r="AD3160">
        <v>10</v>
      </c>
      <c r="AE3160">
        <v>0</v>
      </c>
      <c r="AF3160">
        <v>3</v>
      </c>
      <c r="AG3160">
        <v>2</v>
      </c>
      <c r="AH3160">
        <v>0</v>
      </c>
      <c r="AI3160" t="s">
        <v>1829</v>
      </c>
      <c r="AJ3160">
        <v>40.051817999999997</v>
      </c>
      <c r="AK3160" t="s">
        <v>1830</v>
      </c>
      <c r="AL3160">
        <v>-92.898888999999997</v>
      </c>
      <c r="AM3160">
        <v>100</v>
      </c>
      <c r="AN3160">
        <v>1300</v>
      </c>
      <c r="AO3160" t="s">
        <v>118</v>
      </c>
      <c r="AP3160">
        <v>-117</v>
      </c>
      <c r="AQ3160">
        <v>63</v>
      </c>
      <c r="AR3160">
        <v>0</v>
      </c>
      <c r="AZ3160">
        <v>1200</v>
      </c>
      <c r="BA3160">
        <v>1</v>
      </c>
      <c r="BB3160" t="str">
        <f t="shared" si="152"/>
        <v xml:space="preserve">N8080G  </v>
      </c>
      <c r="BC3160">
        <v>1</v>
      </c>
      <c r="BE3160">
        <v>0</v>
      </c>
      <c r="BF3160">
        <v>0</v>
      </c>
      <c r="BG3160">
        <v>0</v>
      </c>
      <c r="BH3160">
        <v>1325</v>
      </c>
      <c r="BI3160">
        <v>1</v>
      </c>
      <c r="BJ3160">
        <v>1</v>
      </c>
      <c r="BK3160">
        <v>1</v>
      </c>
      <c r="BL3160">
        <v>0</v>
      </c>
      <c r="BO3160">
        <v>0</v>
      </c>
      <c r="BP3160">
        <v>0</v>
      </c>
      <c r="BW3160" t="str">
        <f>"20:31:35.849"</f>
        <v>20:31:35.849</v>
      </c>
      <c r="BZ3160">
        <v>0</v>
      </c>
      <c r="CA3160">
        <v>1600</v>
      </c>
      <c r="CB3160">
        <v>224</v>
      </c>
      <c r="CD3160">
        <v>1</v>
      </c>
      <c r="CE3160">
        <v>0</v>
      </c>
      <c r="CF3160">
        <v>0</v>
      </c>
      <c r="CG3160">
        <v>1</v>
      </c>
      <c r="CH3160">
        <v>0</v>
      </c>
      <c r="CI3160">
        <v>0</v>
      </c>
      <c r="CJ3160">
        <v>0</v>
      </c>
      <c r="CK3160">
        <v>2</v>
      </c>
      <c r="CL3160">
        <v>0</v>
      </c>
      <c r="CM3160">
        <v>2</v>
      </c>
      <c r="CN3160">
        <v>0</v>
      </c>
      <c r="CO3160">
        <v>7</v>
      </c>
      <c r="CP3160" t="s">
        <v>119</v>
      </c>
      <c r="CQ3160">
        <v>180</v>
      </c>
      <c r="CR3160">
        <v>3</v>
      </c>
      <c r="CW3160">
        <v>1083461</v>
      </c>
      <c r="CY3160">
        <v>1</v>
      </c>
      <c r="CZ3160">
        <v>0</v>
      </c>
      <c r="DA3160">
        <v>1</v>
      </c>
      <c r="DB3160">
        <v>0</v>
      </c>
      <c r="DC3160">
        <v>0</v>
      </c>
      <c r="DD3160">
        <v>0</v>
      </c>
      <c r="DE3160">
        <v>0</v>
      </c>
      <c r="DF3160">
        <v>0</v>
      </c>
      <c r="DG3160">
        <v>0</v>
      </c>
      <c r="DH3160">
        <v>0</v>
      </c>
      <c r="DI3160">
        <v>0</v>
      </c>
    </row>
    <row r="3161" spans="1:113" x14ac:dyDescent="0.3">
      <c r="A3161" t="str">
        <f>"02/08/2021 20:31:33.533"</f>
        <v>02/08/2021 20:31:33.533</v>
      </c>
      <c r="C3161" t="str">
        <f t="shared" si="151"/>
        <v>FFDFD7C0</v>
      </c>
      <c r="D3161" t="s">
        <v>124</v>
      </c>
      <c r="E3161">
        <v>11</v>
      </c>
      <c r="F3161">
        <v>1011</v>
      </c>
      <c r="G3161" t="s">
        <v>590</v>
      </c>
      <c r="J3161" t="s">
        <v>125</v>
      </c>
      <c r="K3161">
        <v>0</v>
      </c>
      <c r="L3161">
        <v>3</v>
      </c>
      <c r="M3161">
        <v>0</v>
      </c>
      <c r="N3161">
        <v>2</v>
      </c>
      <c r="O3161">
        <v>1</v>
      </c>
      <c r="P3161">
        <v>0</v>
      </c>
      <c r="Q3161">
        <v>0</v>
      </c>
      <c r="S3161" t="str">
        <f>"20:31:35.844"</f>
        <v>20:31:35.844</v>
      </c>
      <c r="T3161" t="str">
        <f>"20:31:35.344"</f>
        <v>20:31:35.344</v>
      </c>
      <c r="U3161" t="str">
        <f t="shared" si="153"/>
        <v>AB01F4</v>
      </c>
      <c r="V3161">
        <v>0</v>
      </c>
      <c r="W3161">
        <v>0</v>
      </c>
      <c r="X3161">
        <v>2</v>
      </c>
      <c r="Z3161">
        <v>0</v>
      </c>
      <c r="AA3161">
        <v>9</v>
      </c>
      <c r="AB3161">
        <v>3</v>
      </c>
      <c r="AC3161">
        <v>0</v>
      </c>
      <c r="AD3161">
        <v>10</v>
      </c>
      <c r="AE3161">
        <v>0</v>
      </c>
      <c r="AF3161">
        <v>3</v>
      </c>
      <c r="AG3161">
        <v>2</v>
      </c>
      <c r="AH3161">
        <v>0</v>
      </c>
      <c r="AI3161" t="s">
        <v>1829</v>
      </c>
      <c r="AJ3161">
        <v>40.051817999999997</v>
      </c>
      <c r="AK3161" t="s">
        <v>1830</v>
      </c>
      <c r="AL3161">
        <v>-92.898888999999997</v>
      </c>
      <c r="AM3161">
        <v>100</v>
      </c>
      <c r="AN3161">
        <v>1300</v>
      </c>
      <c r="AO3161" t="s">
        <v>118</v>
      </c>
      <c r="AP3161">
        <v>-117</v>
      </c>
      <c r="AQ3161">
        <v>63</v>
      </c>
      <c r="AR3161">
        <v>0</v>
      </c>
      <c r="AZ3161">
        <v>1200</v>
      </c>
      <c r="BA3161">
        <v>1</v>
      </c>
      <c r="BB3161" t="str">
        <f t="shared" si="152"/>
        <v xml:space="preserve">N8080G  </v>
      </c>
      <c r="BC3161">
        <v>1</v>
      </c>
      <c r="BE3161">
        <v>0</v>
      </c>
      <c r="BF3161">
        <v>0</v>
      </c>
      <c r="BG3161">
        <v>0</v>
      </c>
      <c r="BH3161">
        <v>1325</v>
      </c>
      <c r="BI3161">
        <v>1</v>
      </c>
      <c r="BJ3161">
        <v>1</v>
      </c>
      <c r="BK3161">
        <v>1</v>
      </c>
      <c r="BL3161">
        <v>0</v>
      </c>
      <c r="BO3161">
        <v>0</v>
      </c>
      <c r="BP3161">
        <v>0</v>
      </c>
      <c r="BW3161" t="str">
        <f>"20:31:35.849"</f>
        <v>20:31:35.849</v>
      </c>
      <c r="BZ3161">
        <v>0</v>
      </c>
      <c r="CA3161">
        <v>1600</v>
      </c>
      <c r="CB3161">
        <v>224</v>
      </c>
      <c r="CD3161">
        <v>1</v>
      </c>
      <c r="CE3161">
        <v>0</v>
      </c>
      <c r="CF3161">
        <v>0</v>
      </c>
      <c r="CG3161">
        <v>1</v>
      </c>
      <c r="CH3161">
        <v>0</v>
      </c>
      <c r="CI3161">
        <v>0</v>
      </c>
      <c r="CJ3161">
        <v>0</v>
      </c>
      <c r="CK3161">
        <v>2</v>
      </c>
      <c r="CL3161">
        <v>0</v>
      </c>
      <c r="CM3161">
        <v>2</v>
      </c>
      <c r="CN3161">
        <v>0</v>
      </c>
      <c r="CO3161">
        <v>7</v>
      </c>
      <c r="CP3161" t="s">
        <v>119</v>
      </c>
      <c r="CQ3161">
        <v>180</v>
      </c>
      <c r="CR3161">
        <v>3</v>
      </c>
      <c r="CW3161">
        <v>1083461</v>
      </c>
      <c r="CY3161">
        <v>1</v>
      </c>
      <c r="CZ3161">
        <v>0</v>
      </c>
      <c r="DA3161">
        <v>1</v>
      </c>
      <c r="DB3161">
        <v>0</v>
      </c>
      <c r="DC3161">
        <v>0</v>
      </c>
      <c r="DD3161">
        <v>0</v>
      </c>
      <c r="DE3161">
        <v>0</v>
      </c>
      <c r="DF3161">
        <v>0</v>
      </c>
      <c r="DG3161">
        <v>0</v>
      </c>
      <c r="DH3161">
        <v>0</v>
      </c>
      <c r="DI3161">
        <v>0</v>
      </c>
    </row>
    <row r="3162" spans="1:113" x14ac:dyDescent="0.3">
      <c r="A3162" t="str">
        <f>"02/08/2021 20:31:33.533"</f>
        <v>02/08/2021 20:31:33.533</v>
      </c>
      <c r="C3162" t="str">
        <f t="shared" si="151"/>
        <v>FFDFD7C0</v>
      </c>
      <c r="D3162" t="s">
        <v>124</v>
      </c>
      <c r="E3162">
        <v>13</v>
      </c>
      <c r="F3162">
        <v>1013</v>
      </c>
      <c r="G3162" t="s">
        <v>114</v>
      </c>
      <c r="J3162" t="s">
        <v>125</v>
      </c>
      <c r="K3162">
        <v>0</v>
      </c>
      <c r="L3162">
        <v>3</v>
      </c>
      <c r="M3162">
        <v>0</v>
      </c>
      <c r="N3162">
        <v>2</v>
      </c>
      <c r="O3162">
        <v>1</v>
      </c>
      <c r="P3162">
        <v>0</v>
      </c>
      <c r="Q3162">
        <v>0</v>
      </c>
      <c r="S3162" t="str">
        <f>"20:31:35.844"</f>
        <v>20:31:35.844</v>
      </c>
      <c r="T3162" t="str">
        <f>"20:31:35.344"</f>
        <v>20:31:35.344</v>
      </c>
      <c r="U3162" t="str">
        <f t="shared" si="153"/>
        <v>AB01F4</v>
      </c>
      <c r="V3162">
        <v>0</v>
      </c>
      <c r="W3162">
        <v>0</v>
      </c>
      <c r="X3162">
        <v>2</v>
      </c>
      <c r="Z3162">
        <v>0</v>
      </c>
      <c r="AA3162">
        <v>9</v>
      </c>
      <c r="AB3162">
        <v>3</v>
      </c>
      <c r="AC3162">
        <v>0</v>
      </c>
      <c r="AD3162">
        <v>10</v>
      </c>
      <c r="AE3162">
        <v>0</v>
      </c>
      <c r="AF3162">
        <v>3</v>
      </c>
      <c r="AG3162">
        <v>2</v>
      </c>
      <c r="AH3162">
        <v>0</v>
      </c>
      <c r="AI3162" t="s">
        <v>1829</v>
      </c>
      <c r="AJ3162">
        <v>40.051817999999997</v>
      </c>
      <c r="AK3162" t="s">
        <v>1830</v>
      </c>
      <c r="AL3162">
        <v>-92.898888999999997</v>
      </c>
      <c r="AM3162">
        <v>100</v>
      </c>
      <c r="AN3162">
        <v>1300</v>
      </c>
      <c r="AO3162" t="s">
        <v>118</v>
      </c>
      <c r="AP3162">
        <v>-117</v>
      </c>
      <c r="AQ3162">
        <v>63</v>
      </c>
      <c r="AR3162">
        <v>0</v>
      </c>
      <c r="AZ3162">
        <v>1200</v>
      </c>
      <c r="BA3162">
        <v>1</v>
      </c>
      <c r="BB3162" t="str">
        <f t="shared" si="152"/>
        <v xml:space="preserve">N8080G  </v>
      </c>
      <c r="BC3162">
        <v>1</v>
      </c>
      <c r="BE3162">
        <v>0</v>
      </c>
      <c r="BF3162">
        <v>0</v>
      </c>
      <c r="BG3162">
        <v>0</v>
      </c>
      <c r="BH3162">
        <v>1325</v>
      </c>
      <c r="BI3162">
        <v>1</v>
      </c>
      <c r="BJ3162">
        <v>1</v>
      </c>
      <c r="BK3162">
        <v>1</v>
      </c>
      <c r="BL3162">
        <v>0</v>
      </c>
      <c r="BO3162">
        <v>0</v>
      </c>
      <c r="BP3162">
        <v>0</v>
      </c>
      <c r="BW3162" t="str">
        <f>"20:31:35.849"</f>
        <v>20:31:35.849</v>
      </c>
      <c r="BZ3162">
        <v>0</v>
      </c>
      <c r="CA3162">
        <v>1600</v>
      </c>
      <c r="CB3162">
        <v>224</v>
      </c>
      <c r="CD3162">
        <v>1</v>
      </c>
      <c r="CE3162">
        <v>0</v>
      </c>
      <c r="CF3162">
        <v>0</v>
      </c>
      <c r="CG3162">
        <v>1</v>
      </c>
      <c r="CH3162">
        <v>0</v>
      </c>
      <c r="CI3162">
        <v>0</v>
      </c>
      <c r="CJ3162">
        <v>0</v>
      </c>
      <c r="CK3162">
        <v>2</v>
      </c>
      <c r="CL3162">
        <v>0</v>
      </c>
      <c r="CM3162">
        <v>2</v>
      </c>
      <c r="CN3162">
        <v>0</v>
      </c>
      <c r="CO3162">
        <v>7</v>
      </c>
      <c r="CP3162" t="s">
        <v>119</v>
      </c>
      <c r="CQ3162">
        <v>180</v>
      </c>
      <c r="CR3162">
        <v>3</v>
      </c>
      <c r="CW3162">
        <v>1083461</v>
      </c>
      <c r="CY3162">
        <v>1</v>
      </c>
      <c r="CZ3162">
        <v>0</v>
      </c>
      <c r="DA3162">
        <v>1</v>
      </c>
      <c r="DB3162">
        <v>0</v>
      </c>
      <c r="DC3162">
        <v>0</v>
      </c>
      <c r="DD3162">
        <v>0</v>
      </c>
      <c r="DE3162">
        <v>0</v>
      </c>
      <c r="DF3162">
        <v>0</v>
      </c>
      <c r="DG3162">
        <v>0</v>
      </c>
      <c r="DH3162">
        <v>0</v>
      </c>
      <c r="DI3162">
        <v>0</v>
      </c>
    </row>
    <row r="3163" spans="1:113" x14ac:dyDescent="0.3">
      <c r="A3163" t="str">
        <f>"02/08/2021 20:31:34.624"</f>
        <v>02/08/2021 20:31:34.624</v>
      </c>
      <c r="C3163" t="str">
        <f t="shared" si="151"/>
        <v>FFDFD7C0</v>
      </c>
      <c r="D3163" t="s">
        <v>124</v>
      </c>
      <c r="E3163">
        <v>13</v>
      </c>
      <c r="F3163">
        <v>1013</v>
      </c>
      <c r="G3163" t="s">
        <v>114</v>
      </c>
      <c r="J3163" t="s">
        <v>125</v>
      </c>
      <c r="K3163">
        <v>0</v>
      </c>
      <c r="L3163">
        <v>3</v>
      </c>
      <c r="M3163">
        <v>0</v>
      </c>
      <c r="N3163">
        <v>2</v>
      </c>
      <c r="O3163">
        <v>1</v>
      </c>
      <c r="P3163">
        <v>0</v>
      </c>
      <c r="Q3163">
        <v>0</v>
      </c>
      <c r="S3163" t="str">
        <f>"20:31:36.930"</f>
        <v>20:31:36.930</v>
      </c>
      <c r="T3163" t="str">
        <f>"20:31:36.430"</f>
        <v>20:31:36.430</v>
      </c>
      <c r="U3163" t="str">
        <f t="shared" si="153"/>
        <v>AB01F4</v>
      </c>
      <c r="V3163">
        <v>0</v>
      </c>
      <c r="W3163">
        <v>0</v>
      </c>
      <c r="X3163">
        <v>2</v>
      </c>
      <c r="Z3163">
        <v>0</v>
      </c>
      <c r="AA3163">
        <v>9</v>
      </c>
      <c r="AB3163">
        <v>3</v>
      </c>
      <c r="AC3163">
        <v>0</v>
      </c>
      <c r="AD3163">
        <v>10</v>
      </c>
      <c r="AE3163">
        <v>0</v>
      </c>
      <c r="AF3163">
        <v>3</v>
      </c>
      <c r="AG3163">
        <v>2</v>
      </c>
      <c r="AH3163">
        <v>0</v>
      </c>
      <c r="AI3163" t="s">
        <v>1831</v>
      </c>
      <c r="AJ3163">
        <v>40.052160999999998</v>
      </c>
      <c r="AK3163" t="s">
        <v>1832</v>
      </c>
      <c r="AL3163">
        <v>-92.899660999999995</v>
      </c>
      <c r="AM3163">
        <v>100</v>
      </c>
      <c r="AN3163">
        <v>1300</v>
      </c>
      <c r="AO3163" t="s">
        <v>118</v>
      </c>
      <c r="AP3163">
        <v>-117</v>
      </c>
      <c r="AQ3163">
        <v>63</v>
      </c>
      <c r="AR3163">
        <v>0</v>
      </c>
      <c r="AZ3163">
        <v>1200</v>
      </c>
      <c r="BA3163">
        <v>1</v>
      </c>
      <c r="BB3163" t="str">
        <f t="shared" si="152"/>
        <v xml:space="preserve">N8080G  </v>
      </c>
      <c r="BC3163">
        <v>1</v>
      </c>
      <c r="BE3163">
        <v>0</v>
      </c>
      <c r="BF3163">
        <v>0</v>
      </c>
      <c r="BG3163">
        <v>0</v>
      </c>
      <c r="BH3163">
        <v>1325</v>
      </c>
      <c r="BI3163">
        <v>1</v>
      </c>
      <c r="BJ3163">
        <v>1</v>
      </c>
      <c r="BK3163">
        <v>1</v>
      </c>
      <c r="BL3163">
        <v>0</v>
      </c>
      <c r="BO3163">
        <v>0</v>
      </c>
      <c r="BP3163">
        <v>0</v>
      </c>
      <c r="BW3163" t="str">
        <f>"20:31:36.935"</f>
        <v>20:31:36.935</v>
      </c>
      <c r="BZ3163">
        <v>0</v>
      </c>
      <c r="CA3163">
        <v>1600</v>
      </c>
      <c r="CB3163">
        <v>224</v>
      </c>
      <c r="CD3163">
        <v>1</v>
      </c>
      <c r="CE3163">
        <v>0</v>
      </c>
      <c r="CF3163">
        <v>0</v>
      </c>
      <c r="CG3163">
        <v>1</v>
      </c>
      <c r="CH3163">
        <v>0</v>
      </c>
      <c r="CI3163">
        <v>0</v>
      </c>
      <c r="CJ3163">
        <v>0</v>
      </c>
      <c r="CK3163">
        <v>2</v>
      </c>
      <c r="CL3163">
        <v>0</v>
      </c>
      <c r="CM3163">
        <v>2</v>
      </c>
      <c r="CN3163">
        <v>0</v>
      </c>
      <c r="CO3163">
        <v>7</v>
      </c>
      <c r="CP3163" t="s">
        <v>119</v>
      </c>
      <c r="CQ3163">
        <v>180</v>
      </c>
      <c r="CR3163">
        <v>3</v>
      </c>
      <c r="CW3163">
        <v>1084399</v>
      </c>
      <c r="CY3163">
        <v>1</v>
      </c>
      <c r="CZ3163">
        <v>0</v>
      </c>
      <c r="DA3163">
        <v>0</v>
      </c>
      <c r="DB3163">
        <v>0</v>
      </c>
      <c r="DC3163">
        <v>0</v>
      </c>
      <c r="DD3163">
        <v>0</v>
      </c>
      <c r="DE3163">
        <v>0</v>
      </c>
      <c r="DF3163">
        <v>0</v>
      </c>
      <c r="DG3163">
        <v>0</v>
      </c>
      <c r="DH3163">
        <v>0</v>
      </c>
      <c r="DI3163">
        <v>0</v>
      </c>
    </row>
    <row r="3164" spans="1:113" x14ac:dyDescent="0.3">
      <c r="A3164" t="str">
        <f>"02/08/2021 20:31:34.624"</f>
        <v>02/08/2021 20:31:34.624</v>
      </c>
      <c r="C3164" t="str">
        <f t="shared" si="151"/>
        <v>FFDFD7C0</v>
      </c>
      <c r="D3164" t="s">
        <v>113</v>
      </c>
      <c r="E3164">
        <v>6</v>
      </c>
      <c r="H3164">
        <v>165</v>
      </c>
      <c r="I3164" t="s">
        <v>114</v>
      </c>
      <c r="J3164" t="s">
        <v>115</v>
      </c>
      <c r="K3164">
        <v>0</v>
      </c>
      <c r="L3164">
        <v>3</v>
      </c>
      <c r="M3164">
        <v>0</v>
      </c>
      <c r="N3164">
        <v>2</v>
      </c>
      <c r="O3164">
        <v>1</v>
      </c>
      <c r="P3164">
        <v>0</v>
      </c>
      <c r="Q3164">
        <v>0</v>
      </c>
      <c r="S3164" t="str">
        <f>"20:31:36.930"</f>
        <v>20:31:36.930</v>
      </c>
      <c r="T3164" t="str">
        <f>"20:31:36.430"</f>
        <v>20:31:36.430</v>
      </c>
      <c r="U3164" t="str">
        <f t="shared" si="153"/>
        <v>AB01F4</v>
      </c>
      <c r="V3164">
        <v>0</v>
      </c>
      <c r="W3164">
        <v>0</v>
      </c>
      <c r="X3164">
        <v>2</v>
      </c>
      <c r="Z3164">
        <v>0</v>
      </c>
      <c r="AA3164">
        <v>9</v>
      </c>
      <c r="AB3164">
        <v>3</v>
      </c>
      <c r="AC3164">
        <v>0</v>
      </c>
      <c r="AD3164">
        <v>10</v>
      </c>
      <c r="AE3164">
        <v>0</v>
      </c>
      <c r="AF3164">
        <v>3</v>
      </c>
      <c r="AG3164">
        <v>2</v>
      </c>
      <c r="AH3164">
        <v>0</v>
      </c>
      <c r="AI3164" t="s">
        <v>1831</v>
      </c>
      <c r="AJ3164">
        <v>40.052160999999998</v>
      </c>
      <c r="AK3164" t="s">
        <v>1832</v>
      </c>
      <c r="AL3164">
        <v>-92.899660999999995</v>
      </c>
      <c r="AM3164">
        <v>100</v>
      </c>
      <c r="AN3164">
        <v>1300</v>
      </c>
      <c r="AO3164" t="s">
        <v>118</v>
      </c>
      <c r="AP3164">
        <v>-117</v>
      </c>
      <c r="AQ3164">
        <v>63</v>
      </c>
      <c r="AR3164">
        <v>0</v>
      </c>
      <c r="AZ3164">
        <v>1200</v>
      </c>
      <c r="BA3164">
        <v>1</v>
      </c>
      <c r="BB3164" t="str">
        <f t="shared" si="152"/>
        <v xml:space="preserve">N8080G  </v>
      </c>
      <c r="BC3164">
        <v>1</v>
      </c>
      <c r="BE3164">
        <v>0</v>
      </c>
      <c r="BF3164">
        <v>0</v>
      </c>
      <c r="BG3164">
        <v>0</v>
      </c>
      <c r="BH3164">
        <v>1325</v>
      </c>
      <c r="BI3164">
        <v>1</v>
      </c>
      <c r="BJ3164">
        <v>1</v>
      </c>
      <c r="BK3164">
        <v>1</v>
      </c>
      <c r="BL3164">
        <v>0</v>
      </c>
      <c r="BO3164">
        <v>0</v>
      </c>
      <c r="BP3164">
        <v>0</v>
      </c>
      <c r="BW3164" t="str">
        <f>"20:31:36.935"</f>
        <v>20:31:36.935</v>
      </c>
      <c r="BZ3164">
        <v>0</v>
      </c>
      <c r="CA3164">
        <v>1600</v>
      </c>
      <c r="CB3164">
        <v>224</v>
      </c>
      <c r="CD3164">
        <v>1</v>
      </c>
      <c r="CE3164">
        <v>0</v>
      </c>
      <c r="CF3164">
        <v>0</v>
      </c>
      <c r="CG3164">
        <v>1</v>
      </c>
      <c r="CH3164">
        <v>0</v>
      </c>
      <c r="CI3164">
        <v>0</v>
      </c>
      <c r="CJ3164">
        <v>0</v>
      </c>
      <c r="CK3164">
        <v>2</v>
      </c>
      <c r="CL3164">
        <v>0</v>
      </c>
      <c r="CM3164">
        <v>2</v>
      </c>
      <c r="CN3164">
        <v>0</v>
      </c>
      <c r="CO3164">
        <v>7</v>
      </c>
      <c r="CP3164" t="s">
        <v>119</v>
      </c>
      <c r="CQ3164">
        <v>180</v>
      </c>
      <c r="CR3164">
        <v>3</v>
      </c>
      <c r="CW3164">
        <v>1084399</v>
      </c>
      <c r="CY3164">
        <v>1</v>
      </c>
      <c r="CZ3164">
        <v>0</v>
      </c>
      <c r="DA3164">
        <v>1</v>
      </c>
      <c r="DB3164">
        <v>0</v>
      </c>
      <c r="DC3164">
        <v>0</v>
      </c>
      <c r="DD3164">
        <v>0</v>
      </c>
      <c r="DE3164">
        <v>0</v>
      </c>
      <c r="DF3164">
        <v>0</v>
      </c>
      <c r="DG3164">
        <v>0</v>
      </c>
      <c r="DH3164">
        <v>0</v>
      </c>
      <c r="DI3164">
        <v>0</v>
      </c>
    </row>
    <row r="3165" spans="1:113" x14ac:dyDescent="0.3">
      <c r="A3165" t="str">
        <f>"02/08/2021 20:31:34.624"</f>
        <v>02/08/2021 20:31:34.624</v>
      </c>
      <c r="C3165" t="str">
        <f t="shared" si="151"/>
        <v>FFDFD7C0</v>
      </c>
      <c r="D3165" t="s">
        <v>124</v>
      </c>
      <c r="E3165">
        <v>12</v>
      </c>
      <c r="F3165">
        <v>1012</v>
      </c>
      <c r="G3165" t="s">
        <v>675</v>
      </c>
      <c r="J3165" t="s">
        <v>125</v>
      </c>
      <c r="K3165">
        <v>0</v>
      </c>
      <c r="L3165">
        <v>3</v>
      </c>
      <c r="M3165">
        <v>0</v>
      </c>
      <c r="N3165">
        <v>2</v>
      </c>
      <c r="O3165">
        <v>1</v>
      </c>
      <c r="P3165">
        <v>0</v>
      </c>
      <c r="Q3165">
        <v>0</v>
      </c>
      <c r="S3165" t="str">
        <f>"20:31:36.930"</f>
        <v>20:31:36.930</v>
      </c>
      <c r="T3165" t="str">
        <f>"20:31:36.430"</f>
        <v>20:31:36.430</v>
      </c>
      <c r="U3165" t="str">
        <f t="shared" si="153"/>
        <v>AB01F4</v>
      </c>
      <c r="V3165">
        <v>0</v>
      </c>
      <c r="W3165">
        <v>0</v>
      </c>
      <c r="X3165">
        <v>2</v>
      </c>
      <c r="Z3165">
        <v>0</v>
      </c>
      <c r="AA3165">
        <v>9</v>
      </c>
      <c r="AB3165">
        <v>3</v>
      </c>
      <c r="AC3165">
        <v>0</v>
      </c>
      <c r="AD3165">
        <v>10</v>
      </c>
      <c r="AE3165">
        <v>0</v>
      </c>
      <c r="AF3165">
        <v>3</v>
      </c>
      <c r="AG3165">
        <v>2</v>
      </c>
      <c r="AH3165">
        <v>0</v>
      </c>
      <c r="AI3165" t="s">
        <v>1831</v>
      </c>
      <c r="AJ3165">
        <v>40.052160999999998</v>
      </c>
      <c r="AK3165" t="s">
        <v>1832</v>
      </c>
      <c r="AL3165">
        <v>-92.899660999999995</v>
      </c>
      <c r="AM3165">
        <v>100</v>
      </c>
      <c r="AN3165">
        <v>1300</v>
      </c>
      <c r="AO3165" t="s">
        <v>118</v>
      </c>
      <c r="AP3165">
        <v>-117</v>
      </c>
      <c r="AQ3165">
        <v>63</v>
      </c>
      <c r="AR3165">
        <v>0</v>
      </c>
      <c r="AZ3165">
        <v>1200</v>
      </c>
      <c r="BA3165">
        <v>1</v>
      </c>
      <c r="BB3165" t="str">
        <f t="shared" si="152"/>
        <v xml:space="preserve">N8080G  </v>
      </c>
      <c r="BC3165">
        <v>1</v>
      </c>
      <c r="BE3165">
        <v>0</v>
      </c>
      <c r="BF3165">
        <v>0</v>
      </c>
      <c r="BG3165">
        <v>0</v>
      </c>
      <c r="BH3165">
        <v>1325</v>
      </c>
      <c r="BI3165">
        <v>1</v>
      </c>
      <c r="BJ3165">
        <v>1</v>
      </c>
      <c r="BK3165">
        <v>1</v>
      </c>
      <c r="BL3165">
        <v>0</v>
      </c>
      <c r="BO3165">
        <v>0</v>
      </c>
      <c r="BP3165">
        <v>0</v>
      </c>
      <c r="BW3165" t="str">
        <f>"20:31:36.935"</f>
        <v>20:31:36.935</v>
      </c>
      <c r="BZ3165">
        <v>0</v>
      </c>
      <c r="CA3165">
        <v>1600</v>
      </c>
      <c r="CB3165">
        <v>224</v>
      </c>
      <c r="CD3165">
        <v>1</v>
      </c>
      <c r="CE3165">
        <v>0</v>
      </c>
      <c r="CF3165">
        <v>0</v>
      </c>
      <c r="CG3165">
        <v>1</v>
      </c>
      <c r="CH3165">
        <v>0</v>
      </c>
      <c r="CI3165">
        <v>0</v>
      </c>
      <c r="CJ3165">
        <v>0</v>
      </c>
      <c r="CK3165">
        <v>2</v>
      </c>
      <c r="CL3165">
        <v>0</v>
      </c>
      <c r="CM3165">
        <v>2</v>
      </c>
      <c r="CN3165">
        <v>0</v>
      </c>
      <c r="CO3165">
        <v>7</v>
      </c>
      <c r="CP3165" t="s">
        <v>119</v>
      </c>
      <c r="CQ3165">
        <v>180</v>
      </c>
      <c r="CR3165">
        <v>3</v>
      </c>
      <c r="CW3165">
        <v>1084399</v>
      </c>
      <c r="CY3165">
        <v>1</v>
      </c>
      <c r="CZ3165">
        <v>0</v>
      </c>
      <c r="DA3165">
        <v>1</v>
      </c>
      <c r="DB3165">
        <v>0</v>
      </c>
      <c r="DC3165">
        <v>0</v>
      </c>
      <c r="DD3165">
        <v>0</v>
      </c>
      <c r="DE3165">
        <v>0</v>
      </c>
      <c r="DF3165">
        <v>0</v>
      </c>
      <c r="DG3165">
        <v>0</v>
      </c>
      <c r="DH3165">
        <v>0</v>
      </c>
      <c r="DI3165">
        <v>0</v>
      </c>
    </row>
    <row r="3166" spans="1:113" x14ac:dyDescent="0.3">
      <c r="A3166" t="str">
        <f>"02/08/2021 20:31:34.624"</f>
        <v>02/08/2021 20:31:34.624</v>
      </c>
      <c r="C3166" t="str">
        <f t="shared" si="151"/>
        <v>FFDFD7C0</v>
      </c>
      <c r="D3166" t="s">
        <v>124</v>
      </c>
      <c r="E3166">
        <v>11</v>
      </c>
      <c r="F3166">
        <v>1011</v>
      </c>
      <c r="G3166" t="s">
        <v>590</v>
      </c>
      <c r="J3166" t="s">
        <v>125</v>
      </c>
      <c r="K3166">
        <v>0</v>
      </c>
      <c r="L3166">
        <v>3</v>
      </c>
      <c r="M3166">
        <v>0</v>
      </c>
      <c r="N3166">
        <v>2</v>
      </c>
      <c r="O3166">
        <v>1</v>
      </c>
      <c r="P3166">
        <v>0</v>
      </c>
      <c r="Q3166">
        <v>0</v>
      </c>
      <c r="S3166" t="str">
        <f>"20:31:36.930"</f>
        <v>20:31:36.930</v>
      </c>
      <c r="T3166" t="str">
        <f>"20:31:36.430"</f>
        <v>20:31:36.430</v>
      </c>
      <c r="U3166" t="str">
        <f t="shared" si="153"/>
        <v>AB01F4</v>
      </c>
      <c r="V3166">
        <v>0</v>
      </c>
      <c r="W3166">
        <v>0</v>
      </c>
      <c r="X3166">
        <v>2</v>
      </c>
      <c r="Z3166">
        <v>0</v>
      </c>
      <c r="AA3166">
        <v>9</v>
      </c>
      <c r="AB3166">
        <v>3</v>
      </c>
      <c r="AC3166">
        <v>0</v>
      </c>
      <c r="AD3166">
        <v>10</v>
      </c>
      <c r="AE3166">
        <v>0</v>
      </c>
      <c r="AF3166">
        <v>3</v>
      </c>
      <c r="AG3166">
        <v>2</v>
      </c>
      <c r="AH3166">
        <v>0</v>
      </c>
      <c r="AI3166" t="s">
        <v>1831</v>
      </c>
      <c r="AJ3166">
        <v>40.052160999999998</v>
      </c>
      <c r="AK3166" t="s">
        <v>1832</v>
      </c>
      <c r="AL3166">
        <v>-92.899660999999995</v>
      </c>
      <c r="AM3166">
        <v>100</v>
      </c>
      <c r="AN3166">
        <v>1300</v>
      </c>
      <c r="AO3166" t="s">
        <v>118</v>
      </c>
      <c r="AP3166">
        <v>-117</v>
      </c>
      <c r="AQ3166">
        <v>63</v>
      </c>
      <c r="AR3166">
        <v>0</v>
      </c>
      <c r="AZ3166">
        <v>1200</v>
      </c>
      <c r="BA3166">
        <v>1</v>
      </c>
      <c r="BB3166" t="str">
        <f t="shared" si="152"/>
        <v xml:space="preserve">N8080G  </v>
      </c>
      <c r="BC3166">
        <v>1</v>
      </c>
      <c r="BE3166">
        <v>0</v>
      </c>
      <c r="BF3166">
        <v>0</v>
      </c>
      <c r="BG3166">
        <v>0</v>
      </c>
      <c r="BH3166">
        <v>1325</v>
      </c>
      <c r="BI3166">
        <v>1</v>
      </c>
      <c r="BJ3166">
        <v>1</v>
      </c>
      <c r="BK3166">
        <v>1</v>
      </c>
      <c r="BL3166">
        <v>0</v>
      </c>
      <c r="BO3166">
        <v>0</v>
      </c>
      <c r="BP3166">
        <v>0</v>
      </c>
      <c r="BW3166" t="str">
        <f>"20:31:36.935"</f>
        <v>20:31:36.935</v>
      </c>
      <c r="BZ3166">
        <v>0</v>
      </c>
      <c r="CA3166">
        <v>1600</v>
      </c>
      <c r="CB3166">
        <v>224</v>
      </c>
      <c r="CD3166">
        <v>1</v>
      </c>
      <c r="CE3166">
        <v>0</v>
      </c>
      <c r="CF3166">
        <v>0</v>
      </c>
      <c r="CG3166">
        <v>1</v>
      </c>
      <c r="CH3166">
        <v>0</v>
      </c>
      <c r="CI3166">
        <v>0</v>
      </c>
      <c r="CJ3166">
        <v>0</v>
      </c>
      <c r="CK3166">
        <v>2</v>
      </c>
      <c r="CL3166">
        <v>0</v>
      </c>
      <c r="CM3166">
        <v>2</v>
      </c>
      <c r="CN3166">
        <v>0</v>
      </c>
      <c r="CO3166">
        <v>7</v>
      </c>
      <c r="CP3166" t="s">
        <v>119</v>
      </c>
      <c r="CQ3166">
        <v>180</v>
      </c>
      <c r="CR3166">
        <v>3</v>
      </c>
      <c r="CW3166">
        <v>1084399</v>
      </c>
      <c r="CY3166">
        <v>1</v>
      </c>
      <c r="CZ3166">
        <v>0</v>
      </c>
      <c r="DA3166">
        <v>1</v>
      </c>
      <c r="DB3166">
        <v>0</v>
      </c>
      <c r="DC3166">
        <v>0</v>
      </c>
      <c r="DD3166">
        <v>0</v>
      </c>
      <c r="DE3166">
        <v>0</v>
      </c>
      <c r="DF3166">
        <v>0</v>
      </c>
      <c r="DG3166">
        <v>0</v>
      </c>
      <c r="DH3166">
        <v>0</v>
      </c>
      <c r="DI3166">
        <v>0</v>
      </c>
    </row>
    <row r="3167" spans="1:113" x14ac:dyDescent="0.3">
      <c r="A3167" t="str">
        <f>"02/08/2021 20:31:37.792"</f>
        <v>02/08/2021 20:31:37.792</v>
      </c>
      <c r="C3167" t="str">
        <f t="shared" si="151"/>
        <v>FFDFD7C0</v>
      </c>
      <c r="D3167" t="s">
        <v>124</v>
      </c>
      <c r="E3167">
        <v>13</v>
      </c>
      <c r="F3167">
        <v>1013</v>
      </c>
      <c r="G3167" t="s">
        <v>114</v>
      </c>
      <c r="J3167" t="s">
        <v>125</v>
      </c>
      <c r="K3167">
        <v>0</v>
      </c>
      <c r="L3167">
        <v>3</v>
      </c>
      <c r="M3167">
        <v>0</v>
      </c>
      <c r="N3167">
        <v>2</v>
      </c>
      <c r="O3167">
        <v>1</v>
      </c>
      <c r="P3167">
        <v>0</v>
      </c>
      <c r="Q3167">
        <v>0</v>
      </c>
      <c r="S3167" t="str">
        <f>"20:31:40.102"</f>
        <v>20:31:40.102</v>
      </c>
      <c r="T3167" t="str">
        <f>"20:31:39.702"</f>
        <v>20:31:39.702</v>
      </c>
      <c r="U3167" t="str">
        <f t="shared" si="153"/>
        <v>AB01F4</v>
      </c>
      <c r="V3167">
        <v>0</v>
      </c>
      <c r="W3167">
        <v>0</v>
      </c>
      <c r="X3167">
        <v>2</v>
      </c>
      <c r="Z3167">
        <v>0</v>
      </c>
      <c r="AA3167">
        <v>9</v>
      </c>
      <c r="AB3167">
        <v>3</v>
      </c>
      <c r="AC3167">
        <v>0</v>
      </c>
      <c r="AD3167">
        <v>10</v>
      </c>
      <c r="AE3167">
        <v>0</v>
      </c>
      <c r="AF3167">
        <v>3</v>
      </c>
      <c r="AG3167">
        <v>2</v>
      </c>
      <c r="AH3167">
        <v>0</v>
      </c>
      <c r="AI3167" t="s">
        <v>1833</v>
      </c>
      <c r="AJ3167">
        <v>40.053041</v>
      </c>
      <c r="AK3167" t="s">
        <v>1834</v>
      </c>
      <c r="AL3167">
        <v>-92.901827999999995</v>
      </c>
      <c r="AM3167">
        <v>100</v>
      </c>
      <c r="AN3167">
        <v>1300</v>
      </c>
      <c r="AO3167" t="s">
        <v>118</v>
      </c>
      <c r="AP3167">
        <v>-117</v>
      </c>
      <c r="AQ3167">
        <v>63</v>
      </c>
      <c r="AR3167">
        <v>0</v>
      </c>
      <c r="AZ3167">
        <v>1200</v>
      </c>
      <c r="BA3167">
        <v>1</v>
      </c>
      <c r="BB3167" t="str">
        <f t="shared" si="152"/>
        <v xml:space="preserve">N8080G  </v>
      </c>
      <c r="BC3167">
        <v>1</v>
      </c>
      <c r="BE3167">
        <v>0</v>
      </c>
      <c r="BF3167">
        <v>0</v>
      </c>
      <c r="BG3167">
        <v>0</v>
      </c>
      <c r="BH3167">
        <v>1350</v>
      </c>
      <c r="BI3167">
        <v>1</v>
      </c>
      <c r="BJ3167">
        <v>1</v>
      </c>
      <c r="BK3167">
        <v>1</v>
      </c>
      <c r="BL3167">
        <v>0</v>
      </c>
      <c r="BO3167">
        <v>0</v>
      </c>
      <c r="BP3167">
        <v>0</v>
      </c>
      <c r="BW3167" t="str">
        <f>"20:31:40.104"</f>
        <v>20:31:40.104</v>
      </c>
      <c r="BZ3167">
        <v>0</v>
      </c>
      <c r="CA3167">
        <v>1600</v>
      </c>
      <c r="CB3167">
        <v>224</v>
      </c>
      <c r="CD3167">
        <v>1</v>
      </c>
      <c r="CE3167">
        <v>0</v>
      </c>
      <c r="CF3167">
        <v>0</v>
      </c>
      <c r="CG3167">
        <v>1</v>
      </c>
      <c r="CH3167">
        <v>0</v>
      </c>
      <c r="CI3167">
        <v>0</v>
      </c>
      <c r="CJ3167">
        <v>0</v>
      </c>
      <c r="CK3167">
        <v>2</v>
      </c>
      <c r="CL3167">
        <v>0</v>
      </c>
      <c r="CM3167">
        <v>2</v>
      </c>
      <c r="CN3167">
        <v>0</v>
      </c>
      <c r="CO3167">
        <v>7</v>
      </c>
      <c r="CP3167" t="s">
        <v>119</v>
      </c>
      <c r="CQ3167">
        <v>180</v>
      </c>
      <c r="CR3167">
        <v>3</v>
      </c>
      <c r="CW3167">
        <v>1086951</v>
      </c>
      <c r="CY3167">
        <v>1</v>
      </c>
      <c r="CZ3167">
        <v>0</v>
      </c>
      <c r="DA3167">
        <v>0</v>
      </c>
      <c r="DB3167">
        <v>0</v>
      </c>
      <c r="DC3167">
        <v>0</v>
      </c>
      <c r="DD3167">
        <v>0</v>
      </c>
      <c r="DE3167">
        <v>0</v>
      </c>
      <c r="DF3167">
        <v>0</v>
      </c>
      <c r="DG3167">
        <v>0</v>
      </c>
      <c r="DH3167">
        <v>0</v>
      </c>
      <c r="DI3167">
        <v>0</v>
      </c>
    </row>
    <row r="3168" spans="1:113" x14ac:dyDescent="0.3">
      <c r="A3168" t="str">
        <f>"02/08/2021 20:31:37.792"</f>
        <v>02/08/2021 20:31:37.792</v>
      </c>
      <c r="C3168" t="str">
        <f t="shared" si="151"/>
        <v>FFDFD7C0</v>
      </c>
      <c r="D3168" t="s">
        <v>124</v>
      </c>
      <c r="E3168">
        <v>12</v>
      </c>
      <c r="F3168">
        <v>1012</v>
      </c>
      <c r="G3168" t="s">
        <v>675</v>
      </c>
      <c r="J3168" t="s">
        <v>125</v>
      </c>
      <c r="K3168">
        <v>0</v>
      </c>
      <c r="L3168">
        <v>3</v>
      </c>
      <c r="M3168">
        <v>0</v>
      </c>
      <c r="N3168">
        <v>2</v>
      </c>
      <c r="O3168">
        <v>1</v>
      </c>
      <c r="P3168">
        <v>0</v>
      </c>
      <c r="Q3168">
        <v>0</v>
      </c>
      <c r="S3168" t="str">
        <f>"20:31:40.102"</f>
        <v>20:31:40.102</v>
      </c>
      <c r="T3168" t="str">
        <f>"20:31:39.702"</f>
        <v>20:31:39.702</v>
      </c>
      <c r="U3168" t="str">
        <f t="shared" si="153"/>
        <v>AB01F4</v>
      </c>
      <c r="V3168">
        <v>0</v>
      </c>
      <c r="W3168">
        <v>0</v>
      </c>
      <c r="X3168">
        <v>2</v>
      </c>
      <c r="Z3168">
        <v>0</v>
      </c>
      <c r="AA3168">
        <v>9</v>
      </c>
      <c r="AB3168">
        <v>3</v>
      </c>
      <c r="AC3168">
        <v>0</v>
      </c>
      <c r="AD3168">
        <v>10</v>
      </c>
      <c r="AE3168">
        <v>0</v>
      </c>
      <c r="AF3168">
        <v>3</v>
      </c>
      <c r="AG3168">
        <v>2</v>
      </c>
      <c r="AH3168">
        <v>0</v>
      </c>
      <c r="AI3168" t="s">
        <v>1833</v>
      </c>
      <c r="AJ3168">
        <v>40.053041</v>
      </c>
      <c r="AK3168" t="s">
        <v>1834</v>
      </c>
      <c r="AL3168">
        <v>-92.901827999999995</v>
      </c>
      <c r="AM3168">
        <v>100</v>
      </c>
      <c r="AN3168">
        <v>1300</v>
      </c>
      <c r="AO3168" t="s">
        <v>118</v>
      </c>
      <c r="AP3168">
        <v>-117</v>
      </c>
      <c r="AQ3168">
        <v>63</v>
      </c>
      <c r="AR3168">
        <v>0</v>
      </c>
      <c r="AZ3168">
        <v>1200</v>
      </c>
      <c r="BA3168">
        <v>1</v>
      </c>
      <c r="BB3168" t="str">
        <f t="shared" si="152"/>
        <v xml:space="preserve">N8080G  </v>
      </c>
      <c r="BC3168">
        <v>1</v>
      </c>
      <c r="BE3168">
        <v>0</v>
      </c>
      <c r="BF3168">
        <v>0</v>
      </c>
      <c r="BG3168">
        <v>0</v>
      </c>
      <c r="BH3168">
        <v>1350</v>
      </c>
      <c r="BI3168">
        <v>1</v>
      </c>
      <c r="BJ3168">
        <v>1</v>
      </c>
      <c r="BK3168">
        <v>1</v>
      </c>
      <c r="BL3168">
        <v>0</v>
      </c>
      <c r="BO3168">
        <v>0</v>
      </c>
      <c r="BP3168">
        <v>0</v>
      </c>
      <c r="BW3168" t="str">
        <f>"20:31:40.104"</f>
        <v>20:31:40.104</v>
      </c>
      <c r="BZ3168">
        <v>0</v>
      </c>
      <c r="CA3168">
        <v>1600</v>
      </c>
      <c r="CB3168">
        <v>224</v>
      </c>
      <c r="CD3168">
        <v>1</v>
      </c>
      <c r="CE3168">
        <v>0</v>
      </c>
      <c r="CF3168">
        <v>0</v>
      </c>
      <c r="CG3168">
        <v>1</v>
      </c>
      <c r="CH3168">
        <v>0</v>
      </c>
      <c r="CI3168">
        <v>0</v>
      </c>
      <c r="CJ3168">
        <v>0</v>
      </c>
      <c r="CK3168">
        <v>2</v>
      </c>
      <c r="CL3168">
        <v>0</v>
      </c>
      <c r="CM3168">
        <v>2</v>
      </c>
      <c r="CN3168">
        <v>0</v>
      </c>
      <c r="CO3168">
        <v>7</v>
      </c>
      <c r="CP3168" t="s">
        <v>119</v>
      </c>
      <c r="CQ3168">
        <v>180</v>
      </c>
      <c r="CR3168">
        <v>3</v>
      </c>
      <c r="CW3168">
        <v>1086951</v>
      </c>
      <c r="CY3168">
        <v>1</v>
      </c>
      <c r="CZ3168">
        <v>0</v>
      </c>
      <c r="DA3168">
        <v>1</v>
      </c>
      <c r="DB3168">
        <v>0</v>
      </c>
      <c r="DC3168">
        <v>0</v>
      </c>
      <c r="DD3168">
        <v>0</v>
      </c>
      <c r="DE3168">
        <v>0</v>
      </c>
      <c r="DF3168">
        <v>0</v>
      </c>
      <c r="DG3168">
        <v>0</v>
      </c>
      <c r="DH3168">
        <v>0</v>
      </c>
      <c r="DI3168">
        <v>0</v>
      </c>
    </row>
    <row r="3169" spans="1:113" x14ac:dyDescent="0.3">
      <c r="A3169" t="str">
        <f>"02/08/2021 20:31:37.792"</f>
        <v>02/08/2021 20:31:37.792</v>
      </c>
      <c r="C3169" t="str">
        <f t="shared" si="151"/>
        <v>FFDFD7C0</v>
      </c>
      <c r="D3169" t="s">
        <v>113</v>
      </c>
      <c r="E3169">
        <v>6</v>
      </c>
      <c r="H3169">
        <v>165</v>
      </c>
      <c r="I3169" t="s">
        <v>114</v>
      </c>
      <c r="J3169" t="s">
        <v>115</v>
      </c>
      <c r="K3169">
        <v>0</v>
      </c>
      <c r="L3169">
        <v>3</v>
      </c>
      <c r="M3169">
        <v>0</v>
      </c>
      <c r="N3169">
        <v>2</v>
      </c>
      <c r="O3169">
        <v>1</v>
      </c>
      <c r="P3169">
        <v>0</v>
      </c>
      <c r="Q3169">
        <v>0</v>
      </c>
      <c r="S3169" t="str">
        <f>"20:31:40.102"</f>
        <v>20:31:40.102</v>
      </c>
      <c r="T3169" t="str">
        <f>"20:31:39.702"</f>
        <v>20:31:39.702</v>
      </c>
      <c r="U3169" t="str">
        <f t="shared" si="153"/>
        <v>AB01F4</v>
      </c>
      <c r="V3169">
        <v>0</v>
      </c>
      <c r="W3169">
        <v>0</v>
      </c>
      <c r="X3169">
        <v>2</v>
      </c>
      <c r="Z3169">
        <v>0</v>
      </c>
      <c r="AA3169">
        <v>9</v>
      </c>
      <c r="AB3169">
        <v>3</v>
      </c>
      <c r="AC3169">
        <v>0</v>
      </c>
      <c r="AD3169">
        <v>10</v>
      </c>
      <c r="AE3169">
        <v>0</v>
      </c>
      <c r="AF3169">
        <v>3</v>
      </c>
      <c r="AG3169">
        <v>2</v>
      </c>
      <c r="AH3169">
        <v>0</v>
      </c>
      <c r="AI3169" t="s">
        <v>1833</v>
      </c>
      <c r="AJ3169">
        <v>40.053041</v>
      </c>
      <c r="AK3169" t="s">
        <v>1834</v>
      </c>
      <c r="AL3169">
        <v>-92.901827999999995</v>
      </c>
      <c r="AM3169">
        <v>100</v>
      </c>
      <c r="AN3169">
        <v>1300</v>
      </c>
      <c r="AO3169" t="s">
        <v>118</v>
      </c>
      <c r="AP3169">
        <v>-117</v>
      </c>
      <c r="AQ3169">
        <v>63</v>
      </c>
      <c r="AR3169">
        <v>0</v>
      </c>
      <c r="AZ3169">
        <v>1200</v>
      </c>
      <c r="BA3169">
        <v>1</v>
      </c>
      <c r="BB3169" t="str">
        <f t="shared" si="152"/>
        <v xml:space="preserve">N8080G  </v>
      </c>
      <c r="BC3169">
        <v>1</v>
      </c>
      <c r="BE3169">
        <v>0</v>
      </c>
      <c r="BF3169">
        <v>0</v>
      </c>
      <c r="BG3169">
        <v>0</v>
      </c>
      <c r="BH3169">
        <v>1350</v>
      </c>
      <c r="BI3169">
        <v>1</v>
      </c>
      <c r="BJ3169">
        <v>1</v>
      </c>
      <c r="BK3169">
        <v>1</v>
      </c>
      <c r="BL3169">
        <v>0</v>
      </c>
      <c r="BO3169">
        <v>0</v>
      </c>
      <c r="BP3169">
        <v>0</v>
      </c>
      <c r="BW3169" t="str">
        <f>"20:31:40.104"</f>
        <v>20:31:40.104</v>
      </c>
      <c r="BZ3169">
        <v>0</v>
      </c>
      <c r="CA3169">
        <v>1600</v>
      </c>
      <c r="CB3169">
        <v>224</v>
      </c>
      <c r="CD3169">
        <v>1</v>
      </c>
      <c r="CE3169">
        <v>0</v>
      </c>
      <c r="CF3169">
        <v>0</v>
      </c>
      <c r="CG3169">
        <v>1</v>
      </c>
      <c r="CH3169">
        <v>0</v>
      </c>
      <c r="CI3169">
        <v>0</v>
      </c>
      <c r="CJ3169">
        <v>0</v>
      </c>
      <c r="CK3169">
        <v>2</v>
      </c>
      <c r="CL3169">
        <v>0</v>
      </c>
      <c r="CM3169">
        <v>2</v>
      </c>
      <c r="CN3169">
        <v>0</v>
      </c>
      <c r="CO3169">
        <v>7</v>
      </c>
      <c r="CP3169" t="s">
        <v>119</v>
      </c>
      <c r="CQ3169">
        <v>180</v>
      </c>
      <c r="CR3169">
        <v>3</v>
      </c>
      <c r="CW3169">
        <v>1086951</v>
      </c>
      <c r="CY3169">
        <v>1</v>
      </c>
      <c r="CZ3169">
        <v>0</v>
      </c>
      <c r="DA3169">
        <v>1</v>
      </c>
      <c r="DB3169">
        <v>0</v>
      </c>
      <c r="DC3169">
        <v>0</v>
      </c>
      <c r="DD3169">
        <v>0</v>
      </c>
      <c r="DE3169">
        <v>0</v>
      </c>
      <c r="DF3169">
        <v>0</v>
      </c>
      <c r="DG3169">
        <v>0</v>
      </c>
      <c r="DH3169">
        <v>0</v>
      </c>
      <c r="DI3169">
        <v>0</v>
      </c>
    </row>
    <row r="3170" spans="1:113" x14ac:dyDescent="0.3">
      <c r="A3170" t="str">
        <f>"02/08/2021 20:31:37.792"</f>
        <v>02/08/2021 20:31:37.792</v>
      </c>
      <c r="C3170" t="str">
        <f t="shared" si="151"/>
        <v>FFDFD7C0</v>
      </c>
      <c r="D3170" t="s">
        <v>124</v>
      </c>
      <c r="E3170">
        <v>11</v>
      </c>
      <c r="F3170">
        <v>1011</v>
      </c>
      <c r="G3170" t="s">
        <v>590</v>
      </c>
      <c r="J3170" t="s">
        <v>125</v>
      </c>
      <c r="K3170">
        <v>0</v>
      </c>
      <c r="L3170">
        <v>3</v>
      </c>
      <c r="M3170">
        <v>0</v>
      </c>
      <c r="N3170">
        <v>2</v>
      </c>
      <c r="O3170">
        <v>1</v>
      </c>
      <c r="P3170">
        <v>0</v>
      </c>
      <c r="Q3170">
        <v>0</v>
      </c>
      <c r="S3170" t="str">
        <f>"20:31:40.102"</f>
        <v>20:31:40.102</v>
      </c>
      <c r="T3170" t="str">
        <f>"20:31:39.702"</f>
        <v>20:31:39.702</v>
      </c>
      <c r="U3170" t="str">
        <f t="shared" si="153"/>
        <v>AB01F4</v>
      </c>
      <c r="V3170">
        <v>0</v>
      </c>
      <c r="W3170">
        <v>0</v>
      </c>
      <c r="X3170">
        <v>2</v>
      </c>
      <c r="Z3170">
        <v>0</v>
      </c>
      <c r="AA3170">
        <v>9</v>
      </c>
      <c r="AB3170">
        <v>3</v>
      </c>
      <c r="AC3170">
        <v>0</v>
      </c>
      <c r="AD3170">
        <v>10</v>
      </c>
      <c r="AE3170">
        <v>0</v>
      </c>
      <c r="AF3170">
        <v>3</v>
      </c>
      <c r="AG3170">
        <v>2</v>
      </c>
      <c r="AH3170">
        <v>0</v>
      </c>
      <c r="AI3170" t="s">
        <v>1833</v>
      </c>
      <c r="AJ3170">
        <v>40.053041</v>
      </c>
      <c r="AK3170" t="s">
        <v>1834</v>
      </c>
      <c r="AL3170">
        <v>-92.901827999999995</v>
      </c>
      <c r="AM3170">
        <v>100</v>
      </c>
      <c r="AN3170">
        <v>1300</v>
      </c>
      <c r="AO3170" t="s">
        <v>118</v>
      </c>
      <c r="AP3170">
        <v>-117</v>
      </c>
      <c r="AQ3170">
        <v>63</v>
      </c>
      <c r="AR3170">
        <v>0</v>
      </c>
      <c r="AZ3170">
        <v>1200</v>
      </c>
      <c r="BA3170">
        <v>1</v>
      </c>
      <c r="BB3170" t="str">
        <f t="shared" si="152"/>
        <v xml:space="preserve">N8080G  </v>
      </c>
      <c r="BC3170">
        <v>1</v>
      </c>
      <c r="BE3170">
        <v>0</v>
      </c>
      <c r="BF3170">
        <v>0</v>
      </c>
      <c r="BG3170">
        <v>0</v>
      </c>
      <c r="BH3170">
        <v>1350</v>
      </c>
      <c r="BI3170">
        <v>1</v>
      </c>
      <c r="BJ3170">
        <v>1</v>
      </c>
      <c r="BK3170">
        <v>1</v>
      </c>
      <c r="BL3170">
        <v>0</v>
      </c>
      <c r="BO3170">
        <v>0</v>
      </c>
      <c r="BP3170">
        <v>0</v>
      </c>
      <c r="BW3170" t="str">
        <f>"20:31:40.104"</f>
        <v>20:31:40.104</v>
      </c>
      <c r="BZ3170">
        <v>0</v>
      </c>
      <c r="CA3170">
        <v>1600</v>
      </c>
      <c r="CB3170">
        <v>224</v>
      </c>
      <c r="CD3170">
        <v>1</v>
      </c>
      <c r="CE3170">
        <v>0</v>
      </c>
      <c r="CF3170">
        <v>0</v>
      </c>
      <c r="CG3170">
        <v>1</v>
      </c>
      <c r="CH3170">
        <v>0</v>
      </c>
      <c r="CI3170">
        <v>0</v>
      </c>
      <c r="CJ3170">
        <v>0</v>
      </c>
      <c r="CK3170">
        <v>2</v>
      </c>
      <c r="CL3170">
        <v>0</v>
      </c>
      <c r="CM3170">
        <v>2</v>
      </c>
      <c r="CN3170">
        <v>0</v>
      </c>
      <c r="CO3170">
        <v>7</v>
      </c>
      <c r="CP3170" t="s">
        <v>119</v>
      </c>
      <c r="CQ3170">
        <v>180</v>
      </c>
      <c r="CR3170">
        <v>3</v>
      </c>
      <c r="CW3170">
        <v>1086951</v>
      </c>
      <c r="CY3170">
        <v>1</v>
      </c>
      <c r="CZ3170">
        <v>0</v>
      </c>
      <c r="DA3170">
        <v>1</v>
      </c>
      <c r="DB3170">
        <v>0</v>
      </c>
      <c r="DC3170">
        <v>0</v>
      </c>
      <c r="DD3170">
        <v>0</v>
      </c>
      <c r="DE3170">
        <v>0</v>
      </c>
      <c r="DF3170">
        <v>0</v>
      </c>
      <c r="DG3170">
        <v>0</v>
      </c>
      <c r="DH3170">
        <v>0</v>
      </c>
      <c r="DI3170">
        <v>0</v>
      </c>
    </row>
    <row r="3171" spans="1:113" x14ac:dyDescent="0.3">
      <c r="A3171" t="str">
        <f>"02/08/2021 20:31:38.747"</f>
        <v>02/08/2021 20:31:38.747</v>
      </c>
      <c r="C3171" t="str">
        <f t="shared" si="151"/>
        <v>FFDFD7C0</v>
      </c>
      <c r="D3171" t="s">
        <v>124</v>
      </c>
      <c r="E3171">
        <v>13</v>
      </c>
      <c r="F3171">
        <v>1013</v>
      </c>
      <c r="G3171" t="s">
        <v>114</v>
      </c>
      <c r="J3171" t="s">
        <v>125</v>
      </c>
      <c r="K3171">
        <v>0</v>
      </c>
      <c r="L3171">
        <v>3</v>
      </c>
      <c r="M3171">
        <v>0</v>
      </c>
      <c r="N3171">
        <v>2</v>
      </c>
      <c r="O3171">
        <v>1</v>
      </c>
      <c r="P3171">
        <v>0</v>
      </c>
      <c r="Q3171">
        <v>0</v>
      </c>
      <c r="S3171" t="str">
        <f>"20:31:41.086"</f>
        <v>20:31:41.086</v>
      </c>
      <c r="T3171" t="str">
        <f>"20:31:40.686"</f>
        <v>20:31:40.686</v>
      </c>
      <c r="U3171" t="str">
        <f t="shared" si="153"/>
        <v>AB01F4</v>
      </c>
      <c r="V3171">
        <v>0</v>
      </c>
      <c r="W3171">
        <v>0</v>
      </c>
      <c r="X3171">
        <v>2</v>
      </c>
      <c r="Z3171">
        <v>0</v>
      </c>
      <c r="AA3171">
        <v>9</v>
      </c>
      <c r="AB3171">
        <v>3</v>
      </c>
      <c r="AC3171">
        <v>0</v>
      </c>
      <c r="AD3171">
        <v>10</v>
      </c>
      <c r="AE3171">
        <v>0</v>
      </c>
      <c r="AF3171">
        <v>3</v>
      </c>
      <c r="AG3171">
        <v>2</v>
      </c>
      <c r="AH3171">
        <v>0</v>
      </c>
      <c r="AI3171" t="s">
        <v>1835</v>
      </c>
      <c r="AJ3171">
        <v>40.053362999999997</v>
      </c>
      <c r="AK3171" t="s">
        <v>1836</v>
      </c>
      <c r="AL3171">
        <v>-92.902514999999994</v>
      </c>
      <c r="AM3171">
        <v>100</v>
      </c>
      <c r="AN3171">
        <v>1300</v>
      </c>
      <c r="AO3171" t="s">
        <v>118</v>
      </c>
      <c r="AP3171">
        <v>-116</v>
      </c>
      <c r="AQ3171">
        <v>63</v>
      </c>
      <c r="AR3171">
        <v>0</v>
      </c>
      <c r="AZ3171">
        <v>1200</v>
      </c>
      <c r="BA3171">
        <v>1</v>
      </c>
      <c r="BB3171" t="str">
        <f t="shared" si="152"/>
        <v xml:space="preserve">N8080G  </v>
      </c>
      <c r="BC3171">
        <v>1</v>
      </c>
      <c r="BE3171">
        <v>0</v>
      </c>
      <c r="BF3171">
        <v>0</v>
      </c>
      <c r="BG3171">
        <v>0</v>
      </c>
      <c r="BH3171">
        <v>1325</v>
      </c>
      <c r="BI3171">
        <v>1</v>
      </c>
      <c r="BJ3171">
        <v>1</v>
      </c>
      <c r="BK3171">
        <v>1</v>
      </c>
      <c r="BL3171">
        <v>0</v>
      </c>
      <c r="BO3171">
        <v>0</v>
      </c>
      <c r="BP3171">
        <v>0</v>
      </c>
      <c r="BW3171" t="str">
        <f>"20:31:41.089"</f>
        <v>20:31:41.089</v>
      </c>
      <c r="BZ3171">
        <v>0</v>
      </c>
      <c r="CA3171">
        <v>1600</v>
      </c>
      <c r="CB3171">
        <v>224</v>
      </c>
      <c r="CD3171">
        <v>1</v>
      </c>
      <c r="CE3171">
        <v>0</v>
      </c>
      <c r="CF3171">
        <v>0</v>
      </c>
      <c r="CG3171">
        <v>1</v>
      </c>
      <c r="CH3171">
        <v>0</v>
      </c>
      <c r="CI3171">
        <v>0</v>
      </c>
      <c r="CJ3171">
        <v>0</v>
      </c>
      <c r="CK3171">
        <v>2</v>
      </c>
      <c r="CL3171">
        <v>0</v>
      </c>
      <c r="CM3171">
        <v>2</v>
      </c>
      <c r="CN3171">
        <v>0</v>
      </c>
      <c r="CO3171">
        <v>7</v>
      </c>
      <c r="CP3171" t="s">
        <v>119</v>
      </c>
      <c r="CQ3171">
        <v>180</v>
      </c>
      <c r="CR3171">
        <v>3</v>
      </c>
      <c r="CW3171">
        <v>1087752</v>
      </c>
      <c r="CY3171">
        <v>1</v>
      </c>
      <c r="CZ3171">
        <v>0</v>
      </c>
      <c r="DA3171">
        <v>0</v>
      </c>
      <c r="DB3171">
        <v>0</v>
      </c>
      <c r="DC3171">
        <v>0</v>
      </c>
      <c r="DD3171">
        <v>0</v>
      </c>
      <c r="DE3171">
        <v>0</v>
      </c>
      <c r="DF3171">
        <v>0</v>
      </c>
      <c r="DG3171">
        <v>0</v>
      </c>
      <c r="DH3171">
        <v>0</v>
      </c>
      <c r="DI3171">
        <v>0</v>
      </c>
    </row>
    <row r="3172" spans="1:113" x14ac:dyDescent="0.3">
      <c r="A3172" t="str">
        <f>"02/08/2021 20:31:38.747"</f>
        <v>02/08/2021 20:31:38.747</v>
      </c>
      <c r="C3172" t="str">
        <f t="shared" si="151"/>
        <v>FFDFD7C0</v>
      </c>
      <c r="D3172" t="s">
        <v>124</v>
      </c>
      <c r="E3172">
        <v>11</v>
      </c>
      <c r="F3172">
        <v>1011</v>
      </c>
      <c r="G3172" t="s">
        <v>590</v>
      </c>
      <c r="J3172" t="s">
        <v>125</v>
      </c>
      <c r="K3172">
        <v>0</v>
      </c>
      <c r="L3172">
        <v>3</v>
      </c>
      <c r="M3172">
        <v>0</v>
      </c>
      <c r="N3172">
        <v>2</v>
      </c>
      <c r="O3172">
        <v>1</v>
      </c>
      <c r="P3172">
        <v>0</v>
      </c>
      <c r="Q3172">
        <v>0</v>
      </c>
      <c r="S3172" t="str">
        <f>"20:31:41.086"</f>
        <v>20:31:41.086</v>
      </c>
      <c r="T3172" t="str">
        <f>"20:31:40.686"</f>
        <v>20:31:40.686</v>
      </c>
      <c r="U3172" t="str">
        <f t="shared" si="153"/>
        <v>AB01F4</v>
      </c>
      <c r="V3172">
        <v>0</v>
      </c>
      <c r="W3172">
        <v>0</v>
      </c>
      <c r="X3172">
        <v>2</v>
      </c>
      <c r="Z3172">
        <v>0</v>
      </c>
      <c r="AA3172">
        <v>9</v>
      </c>
      <c r="AB3172">
        <v>3</v>
      </c>
      <c r="AC3172">
        <v>0</v>
      </c>
      <c r="AD3172">
        <v>10</v>
      </c>
      <c r="AE3172">
        <v>0</v>
      </c>
      <c r="AF3172">
        <v>3</v>
      </c>
      <c r="AG3172">
        <v>2</v>
      </c>
      <c r="AH3172">
        <v>0</v>
      </c>
      <c r="AI3172" t="s">
        <v>1835</v>
      </c>
      <c r="AJ3172">
        <v>40.053362999999997</v>
      </c>
      <c r="AK3172" t="s">
        <v>1836</v>
      </c>
      <c r="AL3172">
        <v>-92.902514999999994</v>
      </c>
      <c r="AM3172">
        <v>100</v>
      </c>
      <c r="AN3172">
        <v>1300</v>
      </c>
      <c r="AO3172" t="s">
        <v>118</v>
      </c>
      <c r="AP3172">
        <v>-116</v>
      </c>
      <c r="AQ3172">
        <v>63</v>
      </c>
      <c r="AR3172">
        <v>0</v>
      </c>
      <c r="AZ3172">
        <v>1200</v>
      </c>
      <c r="BA3172">
        <v>1</v>
      </c>
      <c r="BB3172" t="str">
        <f t="shared" si="152"/>
        <v xml:space="preserve">N8080G  </v>
      </c>
      <c r="BC3172">
        <v>1</v>
      </c>
      <c r="BE3172">
        <v>0</v>
      </c>
      <c r="BF3172">
        <v>0</v>
      </c>
      <c r="BG3172">
        <v>0</v>
      </c>
      <c r="BH3172">
        <v>1325</v>
      </c>
      <c r="BI3172">
        <v>1</v>
      </c>
      <c r="BJ3172">
        <v>1</v>
      </c>
      <c r="BK3172">
        <v>1</v>
      </c>
      <c r="BL3172">
        <v>0</v>
      </c>
      <c r="BO3172">
        <v>0</v>
      </c>
      <c r="BP3172">
        <v>0</v>
      </c>
      <c r="BW3172" t="str">
        <f>"20:31:41.089"</f>
        <v>20:31:41.089</v>
      </c>
      <c r="BZ3172">
        <v>0</v>
      </c>
      <c r="CA3172">
        <v>1600</v>
      </c>
      <c r="CB3172">
        <v>224</v>
      </c>
      <c r="CD3172">
        <v>1</v>
      </c>
      <c r="CE3172">
        <v>0</v>
      </c>
      <c r="CF3172">
        <v>0</v>
      </c>
      <c r="CG3172">
        <v>1</v>
      </c>
      <c r="CH3172">
        <v>0</v>
      </c>
      <c r="CI3172">
        <v>0</v>
      </c>
      <c r="CJ3172">
        <v>0</v>
      </c>
      <c r="CK3172">
        <v>2</v>
      </c>
      <c r="CL3172">
        <v>0</v>
      </c>
      <c r="CM3172">
        <v>2</v>
      </c>
      <c r="CN3172">
        <v>0</v>
      </c>
      <c r="CO3172">
        <v>7</v>
      </c>
      <c r="CP3172" t="s">
        <v>119</v>
      </c>
      <c r="CQ3172">
        <v>180</v>
      </c>
      <c r="CR3172">
        <v>3</v>
      </c>
      <c r="CW3172">
        <v>1087752</v>
      </c>
      <c r="CY3172">
        <v>1</v>
      </c>
      <c r="CZ3172">
        <v>0</v>
      </c>
      <c r="DA3172">
        <v>1</v>
      </c>
      <c r="DB3172">
        <v>0</v>
      </c>
      <c r="DC3172">
        <v>0</v>
      </c>
      <c r="DD3172">
        <v>0</v>
      </c>
      <c r="DE3172">
        <v>0</v>
      </c>
      <c r="DF3172">
        <v>0</v>
      </c>
      <c r="DG3172">
        <v>0</v>
      </c>
      <c r="DH3172">
        <v>0</v>
      </c>
      <c r="DI3172">
        <v>0</v>
      </c>
    </row>
    <row r="3173" spans="1:113" x14ac:dyDescent="0.3">
      <c r="A3173" t="str">
        <f>"02/08/2021 20:31:38.747"</f>
        <v>02/08/2021 20:31:38.747</v>
      </c>
      <c r="C3173" t="str">
        <f t="shared" si="151"/>
        <v>FFDFD7C0</v>
      </c>
      <c r="D3173" t="s">
        <v>124</v>
      </c>
      <c r="E3173">
        <v>12</v>
      </c>
      <c r="F3173">
        <v>1012</v>
      </c>
      <c r="G3173" t="s">
        <v>675</v>
      </c>
      <c r="J3173" t="s">
        <v>125</v>
      </c>
      <c r="K3173">
        <v>0</v>
      </c>
      <c r="L3173">
        <v>3</v>
      </c>
      <c r="M3173">
        <v>0</v>
      </c>
      <c r="N3173">
        <v>2</v>
      </c>
      <c r="O3173">
        <v>1</v>
      </c>
      <c r="P3173">
        <v>0</v>
      </c>
      <c r="Q3173">
        <v>0</v>
      </c>
      <c r="S3173" t="str">
        <f>"20:31:41.086"</f>
        <v>20:31:41.086</v>
      </c>
      <c r="T3173" t="str">
        <f>"20:31:40.686"</f>
        <v>20:31:40.686</v>
      </c>
      <c r="U3173" t="str">
        <f t="shared" si="153"/>
        <v>AB01F4</v>
      </c>
      <c r="V3173">
        <v>0</v>
      </c>
      <c r="W3173">
        <v>0</v>
      </c>
      <c r="X3173">
        <v>2</v>
      </c>
      <c r="Z3173">
        <v>0</v>
      </c>
      <c r="AA3173">
        <v>9</v>
      </c>
      <c r="AB3173">
        <v>3</v>
      </c>
      <c r="AC3173">
        <v>0</v>
      </c>
      <c r="AD3173">
        <v>10</v>
      </c>
      <c r="AE3173">
        <v>0</v>
      </c>
      <c r="AF3173">
        <v>3</v>
      </c>
      <c r="AG3173">
        <v>2</v>
      </c>
      <c r="AH3173">
        <v>0</v>
      </c>
      <c r="AI3173" t="s">
        <v>1835</v>
      </c>
      <c r="AJ3173">
        <v>40.053362999999997</v>
      </c>
      <c r="AK3173" t="s">
        <v>1836</v>
      </c>
      <c r="AL3173">
        <v>-92.902514999999994</v>
      </c>
      <c r="AM3173">
        <v>100</v>
      </c>
      <c r="AN3173">
        <v>1300</v>
      </c>
      <c r="AO3173" t="s">
        <v>118</v>
      </c>
      <c r="AP3173">
        <v>-116</v>
      </c>
      <c r="AQ3173">
        <v>63</v>
      </c>
      <c r="AR3173">
        <v>0</v>
      </c>
      <c r="AZ3173">
        <v>1200</v>
      </c>
      <c r="BA3173">
        <v>1</v>
      </c>
      <c r="BB3173" t="str">
        <f t="shared" si="152"/>
        <v xml:space="preserve">N8080G  </v>
      </c>
      <c r="BC3173">
        <v>1</v>
      </c>
      <c r="BE3173">
        <v>0</v>
      </c>
      <c r="BF3173">
        <v>0</v>
      </c>
      <c r="BG3173">
        <v>0</v>
      </c>
      <c r="BH3173">
        <v>1325</v>
      </c>
      <c r="BI3173">
        <v>1</v>
      </c>
      <c r="BJ3173">
        <v>1</v>
      </c>
      <c r="BK3173">
        <v>1</v>
      </c>
      <c r="BL3173">
        <v>0</v>
      </c>
      <c r="BO3173">
        <v>0</v>
      </c>
      <c r="BP3173">
        <v>0</v>
      </c>
      <c r="BW3173" t="str">
        <f>"20:31:41.089"</f>
        <v>20:31:41.089</v>
      </c>
      <c r="BZ3173">
        <v>0</v>
      </c>
      <c r="CA3173">
        <v>1600</v>
      </c>
      <c r="CB3173">
        <v>224</v>
      </c>
      <c r="CD3173">
        <v>1</v>
      </c>
      <c r="CE3173">
        <v>0</v>
      </c>
      <c r="CF3173">
        <v>0</v>
      </c>
      <c r="CG3173">
        <v>1</v>
      </c>
      <c r="CH3173">
        <v>0</v>
      </c>
      <c r="CI3173">
        <v>0</v>
      </c>
      <c r="CJ3173">
        <v>0</v>
      </c>
      <c r="CK3173">
        <v>2</v>
      </c>
      <c r="CL3173">
        <v>0</v>
      </c>
      <c r="CM3173">
        <v>2</v>
      </c>
      <c r="CN3173">
        <v>0</v>
      </c>
      <c r="CO3173">
        <v>7</v>
      </c>
      <c r="CP3173" t="s">
        <v>119</v>
      </c>
      <c r="CQ3173">
        <v>180</v>
      </c>
      <c r="CR3173">
        <v>3</v>
      </c>
      <c r="CW3173">
        <v>1087752</v>
      </c>
      <c r="CY3173">
        <v>1</v>
      </c>
      <c r="CZ3173">
        <v>0</v>
      </c>
      <c r="DA3173">
        <v>1</v>
      </c>
      <c r="DB3173">
        <v>0</v>
      </c>
      <c r="DC3173">
        <v>0</v>
      </c>
      <c r="DD3173">
        <v>0</v>
      </c>
      <c r="DE3173">
        <v>0</v>
      </c>
      <c r="DF3173">
        <v>0</v>
      </c>
      <c r="DG3173">
        <v>0</v>
      </c>
      <c r="DH3173">
        <v>0</v>
      </c>
      <c r="DI3173">
        <v>0</v>
      </c>
    </row>
    <row r="3174" spans="1:113" x14ac:dyDescent="0.3">
      <c r="A3174" t="str">
        <f>"02/08/2021 20:31:38.747"</f>
        <v>02/08/2021 20:31:38.747</v>
      </c>
      <c r="C3174" t="str">
        <f t="shared" si="151"/>
        <v>FFDFD7C0</v>
      </c>
      <c r="D3174" t="s">
        <v>113</v>
      </c>
      <c r="E3174">
        <v>6</v>
      </c>
      <c r="H3174">
        <v>165</v>
      </c>
      <c r="I3174" t="s">
        <v>114</v>
      </c>
      <c r="J3174" t="s">
        <v>115</v>
      </c>
      <c r="K3174">
        <v>0</v>
      </c>
      <c r="L3174">
        <v>3</v>
      </c>
      <c r="M3174">
        <v>0</v>
      </c>
      <c r="N3174">
        <v>2</v>
      </c>
      <c r="O3174">
        <v>1</v>
      </c>
      <c r="P3174">
        <v>0</v>
      </c>
      <c r="Q3174">
        <v>0</v>
      </c>
      <c r="S3174" t="str">
        <f>"20:31:41.086"</f>
        <v>20:31:41.086</v>
      </c>
      <c r="T3174" t="str">
        <f>"20:31:40.686"</f>
        <v>20:31:40.686</v>
      </c>
      <c r="U3174" t="str">
        <f t="shared" si="153"/>
        <v>AB01F4</v>
      </c>
      <c r="V3174">
        <v>0</v>
      </c>
      <c r="W3174">
        <v>0</v>
      </c>
      <c r="X3174">
        <v>2</v>
      </c>
      <c r="Z3174">
        <v>0</v>
      </c>
      <c r="AA3174">
        <v>9</v>
      </c>
      <c r="AB3174">
        <v>3</v>
      </c>
      <c r="AC3174">
        <v>0</v>
      </c>
      <c r="AD3174">
        <v>10</v>
      </c>
      <c r="AE3174">
        <v>0</v>
      </c>
      <c r="AF3174">
        <v>3</v>
      </c>
      <c r="AG3174">
        <v>2</v>
      </c>
      <c r="AH3174">
        <v>0</v>
      </c>
      <c r="AI3174" t="s">
        <v>1835</v>
      </c>
      <c r="AJ3174">
        <v>40.053362999999997</v>
      </c>
      <c r="AK3174" t="s">
        <v>1836</v>
      </c>
      <c r="AL3174">
        <v>-92.902514999999994</v>
      </c>
      <c r="AM3174">
        <v>100</v>
      </c>
      <c r="AN3174">
        <v>1300</v>
      </c>
      <c r="AO3174" t="s">
        <v>118</v>
      </c>
      <c r="AP3174">
        <v>-116</v>
      </c>
      <c r="AQ3174">
        <v>63</v>
      </c>
      <c r="AR3174">
        <v>0</v>
      </c>
      <c r="AZ3174">
        <v>1200</v>
      </c>
      <c r="BA3174">
        <v>1</v>
      </c>
      <c r="BB3174" t="str">
        <f t="shared" si="152"/>
        <v xml:space="preserve">N8080G  </v>
      </c>
      <c r="BC3174">
        <v>1</v>
      </c>
      <c r="BE3174">
        <v>0</v>
      </c>
      <c r="BF3174">
        <v>0</v>
      </c>
      <c r="BG3174">
        <v>0</v>
      </c>
      <c r="BH3174">
        <v>1325</v>
      </c>
      <c r="BI3174">
        <v>1</v>
      </c>
      <c r="BJ3174">
        <v>1</v>
      </c>
      <c r="BK3174">
        <v>1</v>
      </c>
      <c r="BL3174">
        <v>0</v>
      </c>
      <c r="BO3174">
        <v>0</v>
      </c>
      <c r="BP3174">
        <v>0</v>
      </c>
      <c r="BW3174" t="str">
        <f>"20:31:41.089"</f>
        <v>20:31:41.089</v>
      </c>
      <c r="BZ3174">
        <v>0</v>
      </c>
      <c r="CA3174">
        <v>1600</v>
      </c>
      <c r="CB3174">
        <v>224</v>
      </c>
      <c r="CD3174">
        <v>1</v>
      </c>
      <c r="CE3174">
        <v>0</v>
      </c>
      <c r="CF3174">
        <v>0</v>
      </c>
      <c r="CG3174">
        <v>1</v>
      </c>
      <c r="CH3174">
        <v>0</v>
      </c>
      <c r="CI3174">
        <v>0</v>
      </c>
      <c r="CJ3174">
        <v>0</v>
      </c>
      <c r="CK3174">
        <v>2</v>
      </c>
      <c r="CL3174">
        <v>0</v>
      </c>
      <c r="CM3174">
        <v>2</v>
      </c>
      <c r="CN3174">
        <v>0</v>
      </c>
      <c r="CO3174">
        <v>7</v>
      </c>
      <c r="CP3174" t="s">
        <v>119</v>
      </c>
      <c r="CQ3174">
        <v>180</v>
      </c>
      <c r="CR3174">
        <v>3</v>
      </c>
      <c r="CW3174">
        <v>1087752</v>
      </c>
      <c r="CY3174">
        <v>1</v>
      </c>
      <c r="CZ3174">
        <v>0</v>
      </c>
      <c r="DA3174">
        <v>1</v>
      </c>
      <c r="DB3174">
        <v>0</v>
      </c>
      <c r="DC3174">
        <v>0</v>
      </c>
      <c r="DD3174">
        <v>0</v>
      </c>
      <c r="DE3174">
        <v>0</v>
      </c>
      <c r="DF3174">
        <v>0</v>
      </c>
      <c r="DG3174">
        <v>0</v>
      </c>
      <c r="DH3174">
        <v>0</v>
      </c>
      <c r="DI3174">
        <v>0</v>
      </c>
    </row>
    <row r="3175" spans="1:113" x14ac:dyDescent="0.3">
      <c r="A3175" t="str">
        <f>"02/08/2021 20:31:39.827"</f>
        <v>02/08/2021 20:31:39.827</v>
      </c>
      <c r="C3175" t="str">
        <f t="shared" si="151"/>
        <v>FFDFD7C0</v>
      </c>
      <c r="D3175" t="s">
        <v>124</v>
      </c>
      <c r="E3175">
        <v>12</v>
      </c>
      <c r="F3175">
        <v>1012</v>
      </c>
      <c r="G3175" t="s">
        <v>675</v>
      </c>
      <c r="J3175" t="s">
        <v>125</v>
      </c>
      <c r="K3175">
        <v>0</v>
      </c>
      <c r="L3175">
        <v>3</v>
      </c>
      <c r="M3175">
        <v>0</v>
      </c>
      <c r="N3175">
        <v>2</v>
      </c>
      <c r="O3175">
        <v>1</v>
      </c>
      <c r="P3175">
        <v>0</v>
      </c>
      <c r="Q3175">
        <v>0</v>
      </c>
      <c r="S3175" t="str">
        <f>"20:31:42.141"</f>
        <v>20:31:42.141</v>
      </c>
      <c r="T3175" t="str">
        <f>"20:31:41.641"</f>
        <v>20:31:41.641</v>
      </c>
      <c r="U3175" t="str">
        <f t="shared" si="153"/>
        <v>AB01F4</v>
      </c>
      <c r="V3175">
        <v>0</v>
      </c>
      <c r="W3175">
        <v>0</v>
      </c>
      <c r="X3175">
        <v>2</v>
      </c>
      <c r="Z3175">
        <v>0</v>
      </c>
      <c r="AA3175">
        <v>9</v>
      </c>
      <c r="AB3175">
        <v>3</v>
      </c>
      <c r="AC3175">
        <v>0</v>
      </c>
      <c r="AD3175">
        <v>10</v>
      </c>
      <c r="AE3175">
        <v>0</v>
      </c>
      <c r="AF3175">
        <v>3</v>
      </c>
      <c r="AG3175">
        <v>2</v>
      </c>
      <c r="AH3175">
        <v>0</v>
      </c>
      <c r="AI3175" t="s">
        <v>1837</v>
      </c>
      <c r="AJ3175">
        <v>40.053685000000002</v>
      </c>
      <c r="AK3175" t="s">
        <v>1838</v>
      </c>
      <c r="AL3175">
        <v>-92.903266000000002</v>
      </c>
      <c r="AM3175">
        <v>100</v>
      </c>
      <c r="AN3175">
        <v>1300</v>
      </c>
      <c r="AO3175" t="s">
        <v>118</v>
      </c>
      <c r="AP3175">
        <v>-116</v>
      </c>
      <c r="AQ3175">
        <v>64</v>
      </c>
      <c r="AR3175">
        <v>0</v>
      </c>
      <c r="AZ3175">
        <v>1200</v>
      </c>
      <c r="BA3175">
        <v>1</v>
      </c>
      <c r="BB3175" t="str">
        <f t="shared" si="152"/>
        <v xml:space="preserve">N8080G  </v>
      </c>
      <c r="BC3175">
        <v>1</v>
      </c>
      <c r="BE3175">
        <v>0</v>
      </c>
      <c r="BF3175">
        <v>0</v>
      </c>
      <c r="BG3175">
        <v>0</v>
      </c>
      <c r="BH3175">
        <v>1325</v>
      </c>
      <c r="BI3175">
        <v>1</v>
      </c>
      <c r="BJ3175">
        <v>1</v>
      </c>
      <c r="BK3175">
        <v>1</v>
      </c>
      <c r="BL3175">
        <v>0</v>
      </c>
      <c r="BO3175">
        <v>0</v>
      </c>
      <c r="BP3175">
        <v>0</v>
      </c>
      <c r="BW3175" t="str">
        <f>"20:31:42.141"</f>
        <v>20:31:42.141</v>
      </c>
      <c r="BZ3175">
        <v>0</v>
      </c>
      <c r="CA3175">
        <v>1600</v>
      </c>
      <c r="CB3175">
        <v>224</v>
      </c>
      <c r="CD3175">
        <v>1</v>
      </c>
      <c r="CE3175">
        <v>0</v>
      </c>
      <c r="CF3175">
        <v>0</v>
      </c>
      <c r="CG3175">
        <v>1</v>
      </c>
      <c r="CH3175">
        <v>0</v>
      </c>
      <c r="CI3175">
        <v>0</v>
      </c>
      <c r="CJ3175">
        <v>0</v>
      </c>
      <c r="CK3175">
        <v>2</v>
      </c>
      <c r="CL3175">
        <v>0</v>
      </c>
      <c r="CM3175">
        <v>2</v>
      </c>
      <c r="CN3175">
        <v>0</v>
      </c>
      <c r="CO3175">
        <v>7</v>
      </c>
      <c r="CP3175" t="s">
        <v>119</v>
      </c>
      <c r="CQ3175">
        <v>180</v>
      </c>
      <c r="CR3175">
        <v>3</v>
      </c>
      <c r="CW3175">
        <v>1088694</v>
      </c>
      <c r="CY3175">
        <v>1</v>
      </c>
      <c r="CZ3175">
        <v>0</v>
      </c>
      <c r="DA3175">
        <v>0</v>
      </c>
      <c r="DB3175">
        <v>0</v>
      </c>
      <c r="DC3175">
        <v>0</v>
      </c>
      <c r="DD3175">
        <v>0</v>
      </c>
      <c r="DE3175">
        <v>0</v>
      </c>
      <c r="DF3175">
        <v>0</v>
      </c>
      <c r="DG3175">
        <v>0</v>
      </c>
      <c r="DH3175">
        <v>0</v>
      </c>
      <c r="DI3175">
        <v>0</v>
      </c>
    </row>
    <row r="3176" spans="1:113" x14ac:dyDescent="0.3">
      <c r="A3176" t="str">
        <f>"02/08/2021 20:31:39.827"</f>
        <v>02/08/2021 20:31:39.827</v>
      </c>
      <c r="C3176" t="str">
        <f t="shared" si="151"/>
        <v>FFDFD7C0</v>
      </c>
      <c r="D3176" t="s">
        <v>124</v>
      </c>
      <c r="E3176">
        <v>13</v>
      </c>
      <c r="F3176">
        <v>1013</v>
      </c>
      <c r="G3176" t="s">
        <v>114</v>
      </c>
      <c r="J3176" t="s">
        <v>125</v>
      </c>
      <c r="K3176">
        <v>0</v>
      </c>
      <c r="L3176">
        <v>3</v>
      </c>
      <c r="M3176">
        <v>0</v>
      </c>
      <c r="N3176">
        <v>2</v>
      </c>
      <c r="O3176">
        <v>1</v>
      </c>
      <c r="P3176">
        <v>0</v>
      </c>
      <c r="Q3176">
        <v>0</v>
      </c>
      <c r="S3176" t="str">
        <f>"20:31:42.141"</f>
        <v>20:31:42.141</v>
      </c>
      <c r="T3176" t="str">
        <f>"20:31:41.641"</f>
        <v>20:31:41.641</v>
      </c>
      <c r="U3176" t="str">
        <f t="shared" si="153"/>
        <v>AB01F4</v>
      </c>
      <c r="V3176">
        <v>0</v>
      </c>
      <c r="W3176">
        <v>0</v>
      </c>
      <c r="X3176">
        <v>2</v>
      </c>
      <c r="Z3176">
        <v>0</v>
      </c>
      <c r="AA3176">
        <v>9</v>
      </c>
      <c r="AB3176">
        <v>3</v>
      </c>
      <c r="AC3176">
        <v>0</v>
      </c>
      <c r="AD3176">
        <v>10</v>
      </c>
      <c r="AE3176">
        <v>0</v>
      </c>
      <c r="AF3176">
        <v>3</v>
      </c>
      <c r="AG3176">
        <v>2</v>
      </c>
      <c r="AH3176">
        <v>0</v>
      </c>
      <c r="AI3176" t="s">
        <v>1837</v>
      </c>
      <c r="AJ3176">
        <v>40.053685000000002</v>
      </c>
      <c r="AK3176" t="s">
        <v>1838</v>
      </c>
      <c r="AL3176">
        <v>-92.903266000000002</v>
      </c>
      <c r="AM3176">
        <v>100</v>
      </c>
      <c r="AN3176">
        <v>1300</v>
      </c>
      <c r="AO3176" t="s">
        <v>118</v>
      </c>
      <c r="AP3176">
        <v>-116</v>
      </c>
      <c r="AQ3176">
        <v>64</v>
      </c>
      <c r="AR3176">
        <v>0</v>
      </c>
      <c r="AZ3176">
        <v>1200</v>
      </c>
      <c r="BA3176">
        <v>1</v>
      </c>
      <c r="BB3176" t="str">
        <f t="shared" si="152"/>
        <v xml:space="preserve">N8080G  </v>
      </c>
      <c r="BC3176">
        <v>1</v>
      </c>
      <c r="BE3176">
        <v>0</v>
      </c>
      <c r="BF3176">
        <v>0</v>
      </c>
      <c r="BG3176">
        <v>0</v>
      </c>
      <c r="BH3176">
        <v>1325</v>
      </c>
      <c r="BI3176">
        <v>1</v>
      </c>
      <c r="BJ3176">
        <v>1</v>
      </c>
      <c r="BK3176">
        <v>1</v>
      </c>
      <c r="BL3176">
        <v>0</v>
      </c>
      <c r="BO3176">
        <v>0</v>
      </c>
      <c r="BP3176">
        <v>0</v>
      </c>
      <c r="BW3176" t="str">
        <f>"20:31:42.141"</f>
        <v>20:31:42.141</v>
      </c>
      <c r="BZ3176">
        <v>0</v>
      </c>
      <c r="CA3176">
        <v>1600</v>
      </c>
      <c r="CB3176">
        <v>224</v>
      </c>
      <c r="CD3176">
        <v>1</v>
      </c>
      <c r="CE3176">
        <v>0</v>
      </c>
      <c r="CF3176">
        <v>0</v>
      </c>
      <c r="CG3176">
        <v>1</v>
      </c>
      <c r="CH3176">
        <v>0</v>
      </c>
      <c r="CI3176">
        <v>0</v>
      </c>
      <c r="CJ3176">
        <v>0</v>
      </c>
      <c r="CK3176">
        <v>2</v>
      </c>
      <c r="CL3176">
        <v>0</v>
      </c>
      <c r="CM3176">
        <v>2</v>
      </c>
      <c r="CN3176">
        <v>0</v>
      </c>
      <c r="CO3176">
        <v>7</v>
      </c>
      <c r="CP3176" t="s">
        <v>119</v>
      </c>
      <c r="CQ3176">
        <v>180</v>
      </c>
      <c r="CR3176">
        <v>3</v>
      </c>
      <c r="CW3176">
        <v>1088694</v>
      </c>
      <c r="CY3176">
        <v>1</v>
      </c>
      <c r="CZ3176">
        <v>0</v>
      </c>
      <c r="DA3176">
        <v>1</v>
      </c>
      <c r="DB3176">
        <v>0</v>
      </c>
      <c r="DC3176">
        <v>0</v>
      </c>
      <c r="DD3176">
        <v>0</v>
      </c>
      <c r="DE3176">
        <v>0</v>
      </c>
      <c r="DF3176">
        <v>0</v>
      </c>
      <c r="DG3176">
        <v>0</v>
      </c>
      <c r="DH3176">
        <v>0</v>
      </c>
      <c r="DI3176">
        <v>0</v>
      </c>
    </row>
    <row r="3177" spans="1:113" x14ac:dyDescent="0.3">
      <c r="A3177" t="str">
        <f>"02/08/2021 20:31:39.827"</f>
        <v>02/08/2021 20:31:39.827</v>
      </c>
      <c r="C3177" t="str">
        <f t="shared" si="151"/>
        <v>FFDFD7C0</v>
      </c>
      <c r="D3177" t="s">
        <v>113</v>
      </c>
      <c r="E3177">
        <v>6</v>
      </c>
      <c r="H3177">
        <v>165</v>
      </c>
      <c r="I3177" t="s">
        <v>114</v>
      </c>
      <c r="J3177" t="s">
        <v>115</v>
      </c>
      <c r="K3177">
        <v>0</v>
      </c>
      <c r="L3177">
        <v>3</v>
      </c>
      <c r="M3177">
        <v>0</v>
      </c>
      <c r="N3177">
        <v>2</v>
      </c>
      <c r="O3177">
        <v>1</v>
      </c>
      <c r="P3177">
        <v>0</v>
      </c>
      <c r="Q3177">
        <v>0</v>
      </c>
      <c r="S3177" t="str">
        <f>"20:31:42.141"</f>
        <v>20:31:42.141</v>
      </c>
      <c r="T3177" t="str">
        <f>"20:31:41.641"</f>
        <v>20:31:41.641</v>
      </c>
      <c r="U3177" t="str">
        <f t="shared" si="153"/>
        <v>AB01F4</v>
      </c>
      <c r="V3177">
        <v>0</v>
      </c>
      <c r="W3177">
        <v>0</v>
      </c>
      <c r="X3177">
        <v>2</v>
      </c>
      <c r="Z3177">
        <v>0</v>
      </c>
      <c r="AA3177">
        <v>9</v>
      </c>
      <c r="AB3177">
        <v>3</v>
      </c>
      <c r="AC3177">
        <v>0</v>
      </c>
      <c r="AD3177">
        <v>10</v>
      </c>
      <c r="AE3177">
        <v>0</v>
      </c>
      <c r="AF3177">
        <v>3</v>
      </c>
      <c r="AG3177">
        <v>2</v>
      </c>
      <c r="AH3177">
        <v>0</v>
      </c>
      <c r="AI3177" t="s">
        <v>1837</v>
      </c>
      <c r="AJ3177">
        <v>40.053685000000002</v>
      </c>
      <c r="AK3177" t="s">
        <v>1838</v>
      </c>
      <c r="AL3177">
        <v>-92.903266000000002</v>
      </c>
      <c r="AM3177">
        <v>100</v>
      </c>
      <c r="AN3177">
        <v>1300</v>
      </c>
      <c r="AO3177" t="s">
        <v>118</v>
      </c>
      <c r="AP3177">
        <v>-116</v>
      </c>
      <c r="AQ3177">
        <v>64</v>
      </c>
      <c r="AR3177">
        <v>0</v>
      </c>
      <c r="AZ3177">
        <v>1200</v>
      </c>
      <c r="BA3177">
        <v>1</v>
      </c>
      <c r="BB3177" t="str">
        <f t="shared" si="152"/>
        <v xml:space="preserve">N8080G  </v>
      </c>
      <c r="BC3177">
        <v>1</v>
      </c>
      <c r="BE3177">
        <v>0</v>
      </c>
      <c r="BF3177">
        <v>0</v>
      </c>
      <c r="BG3177">
        <v>0</v>
      </c>
      <c r="BH3177">
        <v>1325</v>
      </c>
      <c r="BI3177">
        <v>1</v>
      </c>
      <c r="BJ3177">
        <v>1</v>
      </c>
      <c r="BK3177">
        <v>1</v>
      </c>
      <c r="BL3177">
        <v>0</v>
      </c>
      <c r="BO3177">
        <v>0</v>
      </c>
      <c r="BP3177">
        <v>0</v>
      </c>
      <c r="BW3177" t="str">
        <f>"20:31:42.141"</f>
        <v>20:31:42.141</v>
      </c>
      <c r="BZ3177">
        <v>0</v>
      </c>
      <c r="CA3177">
        <v>1600</v>
      </c>
      <c r="CB3177">
        <v>224</v>
      </c>
      <c r="CD3177">
        <v>1</v>
      </c>
      <c r="CE3177">
        <v>0</v>
      </c>
      <c r="CF3177">
        <v>0</v>
      </c>
      <c r="CG3177">
        <v>1</v>
      </c>
      <c r="CH3177">
        <v>0</v>
      </c>
      <c r="CI3177">
        <v>0</v>
      </c>
      <c r="CJ3177">
        <v>0</v>
      </c>
      <c r="CK3177">
        <v>2</v>
      </c>
      <c r="CL3177">
        <v>0</v>
      </c>
      <c r="CM3177">
        <v>2</v>
      </c>
      <c r="CN3177">
        <v>0</v>
      </c>
      <c r="CO3177">
        <v>7</v>
      </c>
      <c r="CP3177" t="s">
        <v>119</v>
      </c>
      <c r="CQ3177">
        <v>180</v>
      </c>
      <c r="CR3177">
        <v>3</v>
      </c>
      <c r="CW3177">
        <v>1088694</v>
      </c>
      <c r="CY3177">
        <v>1</v>
      </c>
      <c r="CZ3177">
        <v>0</v>
      </c>
      <c r="DA3177">
        <v>1</v>
      </c>
      <c r="DB3177">
        <v>0</v>
      </c>
      <c r="DC3177">
        <v>0</v>
      </c>
      <c r="DD3177">
        <v>0</v>
      </c>
      <c r="DE3177">
        <v>0</v>
      </c>
      <c r="DF3177">
        <v>0</v>
      </c>
      <c r="DG3177">
        <v>0</v>
      </c>
      <c r="DH3177">
        <v>0</v>
      </c>
      <c r="DI3177">
        <v>0</v>
      </c>
    </row>
    <row r="3178" spans="1:113" x14ac:dyDescent="0.3">
      <c r="A3178" t="str">
        <f>"02/08/2021 20:31:39.827"</f>
        <v>02/08/2021 20:31:39.827</v>
      </c>
      <c r="C3178" t="str">
        <f t="shared" si="151"/>
        <v>FFDFD7C0</v>
      </c>
      <c r="D3178" t="s">
        <v>124</v>
      </c>
      <c r="E3178">
        <v>11</v>
      </c>
      <c r="F3178">
        <v>1011</v>
      </c>
      <c r="G3178" t="s">
        <v>590</v>
      </c>
      <c r="J3178" t="s">
        <v>125</v>
      </c>
      <c r="K3178">
        <v>0</v>
      </c>
      <c r="L3178">
        <v>3</v>
      </c>
      <c r="M3178">
        <v>0</v>
      </c>
      <c r="N3178">
        <v>2</v>
      </c>
      <c r="O3178">
        <v>1</v>
      </c>
      <c r="P3178">
        <v>0</v>
      </c>
      <c r="Q3178">
        <v>0</v>
      </c>
      <c r="S3178" t="str">
        <f>"20:31:42.141"</f>
        <v>20:31:42.141</v>
      </c>
      <c r="T3178" t="str">
        <f>"20:31:41.641"</f>
        <v>20:31:41.641</v>
      </c>
      <c r="U3178" t="str">
        <f t="shared" si="153"/>
        <v>AB01F4</v>
      </c>
      <c r="V3178">
        <v>0</v>
      </c>
      <c r="W3178">
        <v>0</v>
      </c>
      <c r="X3178">
        <v>2</v>
      </c>
      <c r="Z3178">
        <v>0</v>
      </c>
      <c r="AA3178">
        <v>9</v>
      </c>
      <c r="AB3178">
        <v>3</v>
      </c>
      <c r="AC3178">
        <v>0</v>
      </c>
      <c r="AD3178">
        <v>10</v>
      </c>
      <c r="AE3178">
        <v>0</v>
      </c>
      <c r="AF3178">
        <v>3</v>
      </c>
      <c r="AG3178">
        <v>2</v>
      </c>
      <c r="AH3178">
        <v>0</v>
      </c>
      <c r="AI3178" t="s">
        <v>1837</v>
      </c>
      <c r="AJ3178">
        <v>40.053685000000002</v>
      </c>
      <c r="AK3178" t="s">
        <v>1838</v>
      </c>
      <c r="AL3178">
        <v>-92.903266000000002</v>
      </c>
      <c r="AM3178">
        <v>100</v>
      </c>
      <c r="AN3178">
        <v>1300</v>
      </c>
      <c r="AO3178" t="s">
        <v>118</v>
      </c>
      <c r="AP3178">
        <v>-116</v>
      </c>
      <c r="AQ3178">
        <v>64</v>
      </c>
      <c r="AR3178">
        <v>0</v>
      </c>
      <c r="AZ3178">
        <v>1200</v>
      </c>
      <c r="BA3178">
        <v>1</v>
      </c>
      <c r="BB3178" t="str">
        <f t="shared" si="152"/>
        <v xml:space="preserve">N8080G  </v>
      </c>
      <c r="BC3178">
        <v>1</v>
      </c>
      <c r="BE3178">
        <v>0</v>
      </c>
      <c r="BF3178">
        <v>0</v>
      </c>
      <c r="BG3178">
        <v>0</v>
      </c>
      <c r="BH3178">
        <v>1325</v>
      </c>
      <c r="BI3178">
        <v>1</v>
      </c>
      <c r="BJ3178">
        <v>1</v>
      </c>
      <c r="BK3178">
        <v>1</v>
      </c>
      <c r="BL3178">
        <v>0</v>
      </c>
      <c r="BO3178">
        <v>0</v>
      </c>
      <c r="BP3178">
        <v>0</v>
      </c>
      <c r="BW3178" t="str">
        <f>"20:31:42.141"</f>
        <v>20:31:42.141</v>
      </c>
      <c r="BZ3178">
        <v>0</v>
      </c>
      <c r="CA3178">
        <v>1600</v>
      </c>
      <c r="CB3178">
        <v>224</v>
      </c>
      <c r="CD3178">
        <v>1</v>
      </c>
      <c r="CE3178">
        <v>0</v>
      </c>
      <c r="CF3178">
        <v>0</v>
      </c>
      <c r="CG3178">
        <v>1</v>
      </c>
      <c r="CH3178">
        <v>0</v>
      </c>
      <c r="CI3178">
        <v>0</v>
      </c>
      <c r="CJ3178">
        <v>0</v>
      </c>
      <c r="CK3178">
        <v>2</v>
      </c>
      <c r="CL3178">
        <v>0</v>
      </c>
      <c r="CM3178">
        <v>2</v>
      </c>
      <c r="CN3178">
        <v>0</v>
      </c>
      <c r="CO3178">
        <v>7</v>
      </c>
      <c r="CP3178" t="s">
        <v>119</v>
      </c>
      <c r="CQ3178">
        <v>180</v>
      </c>
      <c r="CR3178">
        <v>3</v>
      </c>
      <c r="CW3178">
        <v>1088694</v>
      </c>
      <c r="CY3178">
        <v>1</v>
      </c>
      <c r="CZ3178">
        <v>0</v>
      </c>
      <c r="DA3178">
        <v>1</v>
      </c>
      <c r="DB3178">
        <v>0</v>
      </c>
      <c r="DC3178">
        <v>0</v>
      </c>
      <c r="DD3178">
        <v>0</v>
      </c>
      <c r="DE3178">
        <v>0</v>
      </c>
      <c r="DF3178">
        <v>0</v>
      </c>
      <c r="DG3178">
        <v>0</v>
      </c>
      <c r="DH3178">
        <v>0</v>
      </c>
      <c r="DI3178">
        <v>0</v>
      </c>
    </row>
    <row r="3179" spans="1:113" x14ac:dyDescent="0.3">
      <c r="A3179" t="str">
        <f>"02/08/2021 20:31:40.856"</f>
        <v>02/08/2021 20:31:40.856</v>
      </c>
      <c r="C3179" t="str">
        <f t="shared" si="151"/>
        <v>FFDFD7C0</v>
      </c>
      <c r="D3179" t="s">
        <v>124</v>
      </c>
      <c r="E3179">
        <v>13</v>
      </c>
      <c r="F3179">
        <v>1013</v>
      </c>
      <c r="G3179" t="s">
        <v>114</v>
      </c>
      <c r="J3179" t="s">
        <v>125</v>
      </c>
      <c r="K3179">
        <v>0</v>
      </c>
      <c r="L3179">
        <v>3</v>
      </c>
      <c r="M3179">
        <v>0</v>
      </c>
      <c r="N3179">
        <v>2</v>
      </c>
      <c r="O3179">
        <v>1</v>
      </c>
      <c r="P3179">
        <v>0</v>
      </c>
      <c r="Q3179">
        <v>0</v>
      </c>
      <c r="S3179" t="str">
        <f>"20:31:43.172"</f>
        <v>20:31:43.172</v>
      </c>
      <c r="T3179" t="str">
        <f>"20:31:42.672"</f>
        <v>20:31:42.672</v>
      </c>
      <c r="U3179" t="str">
        <f t="shared" si="153"/>
        <v>AB01F4</v>
      </c>
      <c r="V3179">
        <v>0</v>
      </c>
      <c r="W3179">
        <v>0</v>
      </c>
      <c r="X3179">
        <v>2</v>
      </c>
      <c r="Z3179">
        <v>0</v>
      </c>
      <c r="AA3179">
        <v>9</v>
      </c>
      <c r="AB3179">
        <v>3</v>
      </c>
      <c r="AC3179">
        <v>0</v>
      </c>
      <c r="AD3179">
        <v>10</v>
      </c>
      <c r="AE3179">
        <v>0</v>
      </c>
      <c r="AF3179">
        <v>3</v>
      </c>
      <c r="AG3179">
        <v>2</v>
      </c>
      <c r="AH3179">
        <v>0</v>
      </c>
      <c r="AI3179" t="s">
        <v>1839</v>
      </c>
      <c r="AJ3179">
        <v>40.053964000000001</v>
      </c>
      <c r="AK3179" t="s">
        <v>1840</v>
      </c>
      <c r="AL3179">
        <v>-92.903996000000006</v>
      </c>
      <c r="AM3179">
        <v>100</v>
      </c>
      <c r="AN3179">
        <v>1300</v>
      </c>
      <c r="AO3179" t="s">
        <v>118</v>
      </c>
      <c r="AP3179">
        <v>-115</v>
      </c>
      <c r="AQ3179">
        <v>65</v>
      </c>
      <c r="AR3179">
        <v>-64</v>
      </c>
      <c r="AZ3179">
        <v>1200</v>
      </c>
      <c r="BA3179">
        <v>1</v>
      </c>
      <c r="BB3179" t="str">
        <f t="shared" si="152"/>
        <v xml:space="preserve">N8080G  </v>
      </c>
      <c r="BC3179">
        <v>1</v>
      </c>
      <c r="BE3179">
        <v>0</v>
      </c>
      <c r="BF3179">
        <v>0</v>
      </c>
      <c r="BG3179">
        <v>0</v>
      </c>
      <c r="BH3179">
        <v>1325</v>
      </c>
      <c r="BI3179">
        <v>1</v>
      </c>
      <c r="BJ3179">
        <v>1</v>
      </c>
      <c r="BK3179">
        <v>1</v>
      </c>
      <c r="BL3179">
        <v>0</v>
      </c>
      <c r="BO3179">
        <v>0</v>
      </c>
      <c r="BP3179">
        <v>0</v>
      </c>
      <c r="BW3179" t="str">
        <f>"20:31:43.178"</f>
        <v>20:31:43.178</v>
      </c>
      <c r="BZ3179">
        <v>0</v>
      </c>
      <c r="CA3179">
        <v>1600</v>
      </c>
      <c r="CB3179">
        <v>224</v>
      </c>
      <c r="CD3179">
        <v>1</v>
      </c>
      <c r="CE3179">
        <v>0</v>
      </c>
      <c r="CF3179">
        <v>0</v>
      </c>
      <c r="CG3179">
        <v>1</v>
      </c>
      <c r="CH3179">
        <v>0</v>
      </c>
      <c r="CI3179">
        <v>0</v>
      </c>
      <c r="CJ3179">
        <v>0</v>
      </c>
      <c r="CK3179">
        <v>2</v>
      </c>
      <c r="CL3179">
        <v>0</v>
      </c>
      <c r="CM3179">
        <v>2</v>
      </c>
      <c r="CN3179">
        <v>0</v>
      </c>
      <c r="CO3179">
        <v>7</v>
      </c>
      <c r="CP3179" t="s">
        <v>119</v>
      </c>
      <c r="CQ3179">
        <v>180</v>
      </c>
      <c r="CR3179">
        <v>3</v>
      </c>
      <c r="CW3179">
        <v>1089537</v>
      </c>
      <c r="CY3179">
        <v>1</v>
      </c>
      <c r="CZ3179">
        <v>0</v>
      </c>
      <c r="DA3179">
        <v>0</v>
      </c>
      <c r="DB3179">
        <v>0</v>
      </c>
      <c r="DC3179">
        <v>0</v>
      </c>
      <c r="DD3179">
        <v>0</v>
      </c>
      <c r="DE3179">
        <v>0</v>
      </c>
      <c r="DF3179">
        <v>0</v>
      </c>
      <c r="DG3179">
        <v>0</v>
      </c>
      <c r="DH3179">
        <v>0</v>
      </c>
      <c r="DI3179">
        <v>0</v>
      </c>
    </row>
    <row r="3180" spans="1:113" x14ac:dyDescent="0.3">
      <c r="A3180" t="str">
        <f>"02/08/2021 20:31:40.856"</f>
        <v>02/08/2021 20:31:40.856</v>
      </c>
      <c r="C3180" t="str">
        <f t="shared" si="151"/>
        <v>FFDFD7C0</v>
      </c>
      <c r="D3180" t="s">
        <v>113</v>
      </c>
      <c r="E3180">
        <v>6</v>
      </c>
      <c r="H3180">
        <v>165</v>
      </c>
      <c r="I3180" t="s">
        <v>114</v>
      </c>
      <c r="J3180" t="s">
        <v>115</v>
      </c>
      <c r="K3180">
        <v>0</v>
      </c>
      <c r="L3180">
        <v>3</v>
      </c>
      <c r="M3180">
        <v>0</v>
      </c>
      <c r="N3180">
        <v>2</v>
      </c>
      <c r="O3180">
        <v>1</v>
      </c>
      <c r="P3180">
        <v>0</v>
      </c>
      <c r="Q3180">
        <v>0</v>
      </c>
      <c r="S3180" t="str">
        <f>"20:31:43.172"</f>
        <v>20:31:43.172</v>
      </c>
      <c r="T3180" t="str">
        <f>"20:31:42.672"</f>
        <v>20:31:42.672</v>
      </c>
      <c r="U3180" t="str">
        <f t="shared" si="153"/>
        <v>AB01F4</v>
      </c>
      <c r="V3180">
        <v>0</v>
      </c>
      <c r="W3180">
        <v>0</v>
      </c>
      <c r="X3180">
        <v>2</v>
      </c>
      <c r="Z3180">
        <v>0</v>
      </c>
      <c r="AA3180">
        <v>9</v>
      </c>
      <c r="AB3180">
        <v>3</v>
      </c>
      <c r="AC3180">
        <v>0</v>
      </c>
      <c r="AD3180">
        <v>10</v>
      </c>
      <c r="AE3180">
        <v>0</v>
      </c>
      <c r="AF3180">
        <v>3</v>
      </c>
      <c r="AG3180">
        <v>2</v>
      </c>
      <c r="AH3180">
        <v>0</v>
      </c>
      <c r="AI3180" t="s">
        <v>1839</v>
      </c>
      <c r="AJ3180">
        <v>40.053964000000001</v>
      </c>
      <c r="AK3180" t="s">
        <v>1840</v>
      </c>
      <c r="AL3180">
        <v>-92.903996000000006</v>
      </c>
      <c r="AM3180">
        <v>100</v>
      </c>
      <c r="AN3180">
        <v>1300</v>
      </c>
      <c r="AO3180" t="s">
        <v>118</v>
      </c>
      <c r="AP3180">
        <v>-115</v>
      </c>
      <c r="AQ3180">
        <v>65</v>
      </c>
      <c r="AR3180">
        <v>-64</v>
      </c>
      <c r="AZ3180">
        <v>1200</v>
      </c>
      <c r="BA3180">
        <v>1</v>
      </c>
      <c r="BB3180" t="str">
        <f t="shared" si="152"/>
        <v xml:space="preserve">N8080G  </v>
      </c>
      <c r="BC3180">
        <v>1</v>
      </c>
      <c r="BE3180">
        <v>0</v>
      </c>
      <c r="BF3180">
        <v>0</v>
      </c>
      <c r="BG3180">
        <v>0</v>
      </c>
      <c r="BH3180">
        <v>1325</v>
      </c>
      <c r="BI3180">
        <v>1</v>
      </c>
      <c r="BJ3180">
        <v>1</v>
      </c>
      <c r="BK3180">
        <v>1</v>
      </c>
      <c r="BL3180">
        <v>0</v>
      </c>
      <c r="BO3180">
        <v>0</v>
      </c>
      <c r="BP3180">
        <v>0</v>
      </c>
      <c r="BW3180" t="str">
        <f>"20:31:43.178"</f>
        <v>20:31:43.178</v>
      </c>
      <c r="BZ3180">
        <v>0</v>
      </c>
      <c r="CA3180">
        <v>1600</v>
      </c>
      <c r="CB3180">
        <v>224</v>
      </c>
      <c r="CD3180">
        <v>1</v>
      </c>
      <c r="CE3180">
        <v>0</v>
      </c>
      <c r="CF3180">
        <v>0</v>
      </c>
      <c r="CG3180">
        <v>1</v>
      </c>
      <c r="CH3180">
        <v>0</v>
      </c>
      <c r="CI3180">
        <v>0</v>
      </c>
      <c r="CJ3180">
        <v>0</v>
      </c>
      <c r="CK3180">
        <v>2</v>
      </c>
      <c r="CL3180">
        <v>0</v>
      </c>
      <c r="CM3180">
        <v>2</v>
      </c>
      <c r="CN3180">
        <v>0</v>
      </c>
      <c r="CO3180">
        <v>7</v>
      </c>
      <c r="CP3180" t="s">
        <v>119</v>
      </c>
      <c r="CQ3180">
        <v>180</v>
      </c>
      <c r="CR3180">
        <v>3</v>
      </c>
      <c r="CW3180">
        <v>1089537</v>
      </c>
      <c r="CY3180">
        <v>1</v>
      </c>
      <c r="CZ3180">
        <v>0</v>
      </c>
      <c r="DA3180">
        <v>1</v>
      </c>
      <c r="DB3180">
        <v>0</v>
      </c>
      <c r="DC3180">
        <v>0</v>
      </c>
      <c r="DD3180">
        <v>0</v>
      </c>
      <c r="DE3180">
        <v>0</v>
      </c>
      <c r="DF3180">
        <v>0</v>
      </c>
      <c r="DG3180">
        <v>0</v>
      </c>
      <c r="DH3180">
        <v>0</v>
      </c>
      <c r="DI3180">
        <v>0</v>
      </c>
    </row>
    <row r="3181" spans="1:113" x14ac:dyDescent="0.3">
      <c r="A3181" t="str">
        <f>"02/08/2021 20:31:40.856"</f>
        <v>02/08/2021 20:31:40.856</v>
      </c>
      <c r="C3181" t="str">
        <f t="shared" si="151"/>
        <v>FFDFD7C0</v>
      </c>
      <c r="D3181" t="s">
        <v>124</v>
      </c>
      <c r="E3181">
        <v>11</v>
      </c>
      <c r="F3181">
        <v>1011</v>
      </c>
      <c r="G3181" t="s">
        <v>590</v>
      </c>
      <c r="J3181" t="s">
        <v>125</v>
      </c>
      <c r="K3181">
        <v>0</v>
      </c>
      <c r="L3181">
        <v>3</v>
      </c>
      <c r="M3181">
        <v>0</v>
      </c>
      <c r="N3181">
        <v>2</v>
      </c>
      <c r="O3181">
        <v>1</v>
      </c>
      <c r="P3181">
        <v>0</v>
      </c>
      <c r="Q3181">
        <v>0</v>
      </c>
      <c r="S3181" t="str">
        <f>"20:31:43.172"</f>
        <v>20:31:43.172</v>
      </c>
      <c r="T3181" t="str">
        <f>"20:31:42.672"</f>
        <v>20:31:42.672</v>
      </c>
      <c r="U3181" t="str">
        <f t="shared" si="153"/>
        <v>AB01F4</v>
      </c>
      <c r="V3181">
        <v>0</v>
      </c>
      <c r="W3181">
        <v>0</v>
      </c>
      <c r="X3181">
        <v>2</v>
      </c>
      <c r="Z3181">
        <v>0</v>
      </c>
      <c r="AA3181">
        <v>9</v>
      </c>
      <c r="AB3181">
        <v>3</v>
      </c>
      <c r="AC3181">
        <v>0</v>
      </c>
      <c r="AD3181">
        <v>10</v>
      </c>
      <c r="AE3181">
        <v>0</v>
      </c>
      <c r="AF3181">
        <v>3</v>
      </c>
      <c r="AG3181">
        <v>2</v>
      </c>
      <c r="AH3181">
        <v>0</v>
      </c>
      <c r="AI3181" t="s">
        <v>1839</v>
      </c>
      <c r="AJ3181">
        <v>40.053964000000001</v>
      </c>
      <c r="AK3181" t="s">
        <v>1840</v>
      </c>
      <c r="AL3181">
        <v>-92.903996000000006</v>
      </c>
      <c r="AM3181">
        <v>100</v>
      </c>
      <c r="AN3181">
        <v>1300</v>
      </c>
      <c r="AO3181" t="s">
        <v>118</v>
      </c>
      <c r="AP3181">
        <v>-115</v>
      </c>
      <c r="AQ3181">
        <v>65</v>
      </c>
      <c r="AR3181">
        <v>-64</v>
      </c>
      <c r="AZ3181">
        <v>1200</v>
      </c>
      <c r="BA3181">
        <v>1</v>
      </c>
      <c r="BB3181" t="str">
        <f t="shared" si="152"/>
        <v xml:space="preserve">N8080G  </v>
      </c>
      <c r="BC3181">
        <v>1</v>
      </c>
      <c r="BE3181">
        <v>0</v>
      </c>
      <c r="BF3181">
        <v>0</v>
      </c>
      <c r="BG3181">
        <v>0</v>
      </c>
      <c r="BH3181">
        <v>1325</v>
      </c>
      <c r="BI3181">
        <v>1</v>
      </c>
      <c r="BJ3181">
        <v>1</v>
      </c>
      <c r="BK3181">
        <v>1</v>
      </c>
      <c r="BL3181">
        <v>0</v>
      </c>
      <c r="BO3181">
        <v>0</v>
      </c>
      <c r="BP3181">
        <v>0</v>
      </c>
      <c r="BW3181" t="str">
        <f>"20:31:43.178"</f>
        <v>20:31:43.178</v>
      </c>
      <c r="BZ3181">
        <v>0</v>
      </c>
      <c r="CA3181">
        <v>1600</v>
      </c>
      <c r="CB3181">
        <v>224</v>
      </c>
      <c r="CD3181">
        <v>1</v>
      </c>
      <c r="CE3181">
        <v>0</v>
      </c>
      <c r="CF3181">
        <v>0</v>
      </c>
      <c r="CG3181">
        <v>1</v>
      </c>
      <c r="CH3181">
        <v>0</v>
      </c>
      <c r="CI3181">
        <v>0</v>
      </c>
      <c r="CJ3181">
        <v>0</v>
      </c>
      <c r="CK3181">
        <v>2</v>
      </c>
      <c r="CL3181">
        <v>0</v>
      </c>
      <c r="CM3181">
        <v>2</v>
      </c>
      <c r="CN3181">
        <v>0</v>
      </c>
      <c r="CO3181">
        <v>7</v>
      </c>
      <c r="CP3181" t="s">
        <v>119</v>
      </c>
      <c r="CQ3181">
        <v>180</v>
      </c>
      <c r="CR3181">
        <v>3</v>
      </c>
      <c r="CW3181">
        <v>1089537</v>
      </c>
      <c r="CY3181">
        <v>1</v>
      </c>
      <c r="CZ3181">
        <v>0</v>
      </c>
      <c r="DA3181">
        <v>1</v>
      </c>
      <c r="DB3181">
        <v>0</v>
      </c>
      <c r="DC3181">
        <v>0</v>
      </c>
      <c r="DD3181">
        <v>0</v>
      </c>
      <c r="DE3181">
        <v>0</v>
      </c>
      <c r="DF3181">
        <v>0</v>
      </c>
      <c r="DG3181">
        <v>0</v>
      </c>
      <c r="DH3181">
        <v>0</v>
      </c>
      <c r="DI3181">
        <v>0</v>
      </c>
    </row>
    <row r="3182" spans="1:113" x14ac:dyDescent="0.3">
      <c r="A3182" t="str">
        <f>"02/08/2021 20:31:40.856"</f>
        <v>02/08/2021 20:31:40.856</v>
      </c>
      <c r="C3182" t="str">
        <f t="shared" si="151"/>
        <v>FFDFD7C0</v>
      </c>
      <c r="D3182" t="s">
        <v>124</v>
      </c>
      <c r="E3182">
        <v>12</v>
      </c>
      <c r="F3182">
        <v>1012</v>
      </c>
      <c r="G3182" t="s">
        <v>675</v>
      </c>
      <c r="J3182" t="s">
        <v>125</v>
      </c>
      <c r="K3182">
        <v>0</v>
      </c>
      <c r="L3182">
        <v>3</v>
      </c>
      <c r="M3182">
        <v>0</v>
      </c>
      <c r="N3182">
        <v>2</v>
      </c>
      <c r="O3182">
        <v>1</v>
      </c>
      <c r="P3182">
        <v>0</v>
      </c>
      <c r="Q3182">
        <v>0</v>
      </c>
      <c r="S3182" t="str">
        <f>"20:31:43.172"</f>
        <v>20:31:43.172</v>
      </c>
      <c r="T3182" t="str">
        <f>"20:31:42.672"</f>
        <v>20:31:42.672</v>
      </c>
      <c r="U3182" t="str">
        <f t="shared" si="153"/>
        <v>AB01F4</v>
      </c>
      <c r="V3182">
        <v>0</v>
      </c>
      <c r="W3182">
        <v>0</v>
      </c>
      <c r="X3182">
        <v>2</v>
      </c>
      <c r="Z3182">
        <v>0</v>
      </c>
      <c r="AA3182">
        <v>9</v>
      </c>
      <c r="AB3182">
        <v>3</v>
      </c>
      <c r="AC3182">
        <v>0</v>
      </c>
      <c r="AD3182">
        <v>10</v>
      </c>
      <c r="AE3182">
        <v>0</v>
      </c>
      <c r="AF3182">
        <v>3</v>
      </c>
      <c r="AG3182">
        <v>2</v>
      </c>
      <c r="AH3182">
        <v>0</v>
      </c>
      <c r="AI3182" t="s">
        <v>1839</v>
      </c>
      <c r="AJ3182">
        <v>40.053964000000001</v>
      </c>
      <c r="AK3182" t="s">
        <v>1840</v>
      </c>
      <c r="AL3182">
        <v>-92.903996000000006</v>
      </c>
      <c r="AM3182">
        <v>100</v>
      </c>
      <c r="AN3182">
        <v>1300</v>
      </c>
      <c r="AO3182" t="s">
        <v>118</v>
      </c>
      <c r="AP3182">
        <v>-115</v>
      </c>
      <c r="AQ3182">
        <v>65</v>
      </c>
      <c r="AR3182">
        <v>-64</v>
      </c>
      <c r="AZ3182">
        <v>1200</v>
      </c>
      <c r="BA3182">
        <v>1</v>
      </c>
      <c r="BB3182" t="str">
        <f t="shared" si="152"/>
        <v xml:space="preserve">N8080G  </v>
      </c>
      <c r="BC3182">
        <v>1</v>
      </c>
      <c r="BE3182">
        <v>0</v>
      </c>
      <c r="BF3182">
        <v>0</v>
      </c>
      <c r="BG3182">
        <v>0</v>
      </c>
      <c r="BH3182">
        <v>1325</v>
      </c>
      <c r="BI3182">
        <v>1</v>
      </c>
      <c r="BJ3182">
        <v>1</v>
      </c>
      <c r="BK3182">
        <v>1</v>
      </c>
      <c r="BL3182">
        <v>0</v>
      </c>
      <c r="BO3182">
        <v>0</v>
      </c>
      <c r="BP3182">
        <v>0</v>
      </c>
      <c r="BW3182" t="str">
        <f>"20:31:43.178"</f>
        <v>20:31:43.178</v>
      </c>
      <c r="BZ3182">
        <v>0</v>
      </c>
      <c r="CA3182">
        <v>1600</v>
      </c>
      <c r="CB3182">
        <v>224</v>
      </c>
      <c r="CD3182">
        <v>1</v>
      </c>
      <c r="CE3182">
        <v>0</v>
      </c>
      <c r="CF3182">
        <v>0</v>
      </c>
      <c r="CG3182">
        <v>1</v>
      </c>
      <c r="CH3182">
        <v>0</v>
      </c>
      <c r="CI3182">
        <v>0</v>
      </c>
      <c r="CJ3182">
        <v>0</v>
      </c>
      <c r="CK3182">
        <v>2</v>
      </c>
      <c r="CL3182">
        <v>0</v>
      </c>
      <c r="CM3182">
        <v>2</v>
      </c>
      <c r="CN3182">
        <v>0</v>
      </c>
      <c r="CO3182">
        <v>7</v>
      </c>
      <c r="CP3182" t="s">
        <v>119</v>
      </c>
      <c r="CQ3182">
        <v>180</v>
      </c>
      <c r="CR3182">
        <v>3</v>
      </c>
      <c r="CW3182">
        <v>1089537</v>
      </c>
      <c r="CY3182">
        <v>1</v>
      </c>
      <c r="CZ3182">
        <v>0</v>
      </c>
      <c r="DA3182">
        <v>1</v>
      </c>
      <c r="DB3182">
        <v>0</v>
      </c>
      <c r="DC3182">
        <v>0</v>
      </c>
      <c r="DD3182">
        <v>0</v>
      </c>
      <c r="DE3182">
        <v>0</v>
      </c>
      <c r="DF3182">
        <v>0</v>
      </c>
      <c r="DG3182">
        <v>0</v>
      </c>
      <c r="DH3182">
        <v>0</v>
      </c>
      <c r="DI3182">
        <v>0</v>
      </c>
    </row>
    <row r="3183" spans="1:113" x14ac:dyDescent="0.3">
      <c r="A3183" t="str">
        <f>"02/08/2021 20:31:41.842"</f>
        <v>02/08/2021 20:31:41.842</v>
      </c>
      <c r="C3183" t="str">
        <f t="shared" ref="C3183:C3246" si="154">"FFDFD7C0"</f>
        <v>FFDFD7C0</v>
      </c>
      <c r="D3183" t="s">
        <v>124</v>
      </c>
      <c r="E3183">
        <v>12</v>
      </c>
      <c r="F3183">
        <v>1012</v>
      </c>
      <c r="G3183" t="s">
        <v>675</v>
      </c>
      <c r="J3183" t="s">
        <v>125</v>
      </c>
      <c r="K3183">
        <v>0</v>
      </c>
      <c r="L3183">
        <v>3</v>
      </c>
      <c r="M3183">
        <v>0</v>
      </c>
      <c r="N3183">
        <v>2</v>
      </c>
      <c r="O3183">
        <v>1</v>
      </c>
      <c r="P3183">
        <v>0</v>
      </c>
      <c r="Q3183">
        <v>0</v>
      </c>
      <c r="S3183" t="str">
        <f>"20:31:44.164"</f>
        <v>20:31:44.164</v>
      </c>
      <c r="T3183" t="str">
        <f>"20:31:43.664"</f>
        <v>20:31:43.664</v>
      </c>
      <c r="U3183" t="str">
        <f t="shared" si="153"/>
        <v>AB01F4</v>
      </c>
      <c r="V3183">
        <v>0</v>
      </c>
      <c r="W3183">
        <v>0</v>
      </c>
      <c r="X3183">
        <v>2</v>
      </c>
      <c r="Z3183">
        <v>0</v>
      </c>
      <c r="AA3183">
        <v>9</v>
      </c>
      <c r="AB3183">
        <v>3</v>
      </c>
      <c r="AC3183">
        <v>0</v>
      </c>
      <c r="AD3183">
        <v>10</v>
      </c>
      <c r="AE3183">
        <v>0</v>
      </c>
      <c r="AF3183">
        <v>3</v>
      </c>
      <c r="AG3183">
        <v>2</v>
      </c>
      <c r="AH3183">
        <v>0</v>
      </c>
      <c r="AI3183" t="s">
        <v>1841</v>
      </c>
      <c r="AJ3183">
        <v>40.054285999999998</v>
      </c>
      <c r="AK3183" t="s">
        <v>1842</v>
      </c>
      <c r="AL3183">
        <v>-92.904661000000004</v>
      </c>
      <c r="AM3183">
        <v>100</v>
      </c>
      <c r="AN3183">
        <v>1300</v>
      </c>
      <c r="AO3183" t="s">
        <v>118</v>
      </c>
      <c r="AP3183">
        <v>-115</v>
      </c>
      <c r="AQ3183">
        <v>65</v>
      </c>
      <c r="AR3183">
        <v>-64</v>
      </c>
      <c r="AZ3183">
        <v>1200</v>
      </c>
      <c r="BA3183">
        <v>1</v>
      </c>
      <c r="BB3183" t="str">
        <f t="shared" ref="BB3183:BB3246" si="155">"N8080G  "</f>
        <v xml:space="preserve">N8080G  </v>
      </c>
      <c r="BC3183">
        <v>1</v>
      </c>
      <c r="BE3183">
        <v>0</v>
      </c>
      <c r="BF3183">
        <v>0</v>
      </c>
      <c r="BG3183">
        <v>0</v>
      </c>
      <c r="BH3183">
        <v>1325</v>
      </c>
      <c r="BI3183">
        <v>1</v>
      </c>
      <c r="BJ3183">
        <v>1</v>
      </c>
      <c r="BK3183">
        <v>1</v>
      </c>
      <c r="BL3183">
        <v>0</v>
      </c>
      <c r="BO3183">
        <v>0</v>
      </c>
      <c r="BP3183">
        <v>0</v>
      </c>
      <c r="BW3183" t="str">
        <f>"20:31:44.171"</f>
        <v>20:31:44.171</v>
      </c>
      <c r="BZ3183">
        <v>0</v>
      </c>
      <c r="CA3183">
        <v>1600</v>
      </c>
      <c r="CB3183">
        <v>224</v>
      </c>
      <c r="CD3183">
        <v>1</v>
      </c>
      <c r="CE3183">
        <v>0</v>
      </c>
      <c r="CF3183">
        <v>0</v>
      </c>
      <c r="CG3183">
        <v>1</v>
      </c>
      <c r="CH3183">
        <v>0</v>
      </c>
      <c r="CI3183">
        <v>0</v>
      </c>
      <c r="CJ3183">
        <v>0</v>
      </c>
      <c r="CK3183">
        <v>2</v>
      </c>
      <c r="CL3183">
        <v>0</v>
      </c>
      <c r="CM3183">
        <v>2</v>
      </c>
      <c r="CN3183">
        <v>0</v>
      </c>
      <c r="CO3183">
        <v>7</v>
      </c>
      <c r="CP3183" t="s">
        <v>119</v>
      </c>
      <c r="CQ3183">
        <v>180</v>
      </c>
      <c r="CR3183">
        <v>3</v>
      </c>
      <c r="CW3183">
        <v>1090262</v>
      </c>
      <c r="CY3183">
        <v>1</v>
      </c>
      <c r="CZ3183">
        <v>0</v>
      </c>
      <c r="DA3183">
        <v>0</v>
      </c>
      <c r="DB3183">
        <v>0</v>
      </c>
      <c r="DC3183">
        <v>0</v>
      </c>
      <c r="DD3183">
        <v>0</v>
      </c>
      <c r="DE3183">
        <v>0</v>
      </c>
      <c r="DF3183">
        <v>0</v>
      </c>
      <c r="DG3183">
        <v>0</v>
      </c>
      <c r="DH3183">
        <v>0</v>
      </c>
      <c r="DI3183">
        <v>0</v>
      </c>
    </row>
    <row r="3184" spans="1:113" x14ac:dyDescent="0.3">
      <c r="A3184" t="str">
        <f>"02/08/2021 20:31:41.842"</f>
        <v>02/08/2021 20:31:41.842</v>
      </c>
      <c r="C3184" t="str">
        <f t="shared" si="154"/>
        <v>FFDFD7C0</v>
      </c>
      <c r="D3184" t="s">
        <v>124</v>
      </c>
      <c r="E3184">
        <v>13</v>
      </c>
      <c r="F3184">
        <v>1013</v>
      </c>
      <c r="G3184" t="s">
        <v>114</v>
      </c>
      <c r="J3184" t="s">
        <v>125</v>
      </c>
      <c r="K3184">
        <v>0</v>
      </c>
      <c r="L3184">
        <v>3</v>
      </c>
      <c r="M3184">
        <v>0</v>
      </c>
      <c r="N3184">
        <v>2</v>
      </c>
      <c r="O3184">
        <v>1</v>
      </c>
      <c r="P3184">
        <v>0</v>
      </c>
      <c r="Q3184">
        <v>0</v>
      </c>
      <c r="S3184" t="str">
        <f>"20:31:44.164"</f>
        <v>20:31:44.164</v>
      </c>
      <c r="T3184" t="str">
        <f>"20:31:43.664"</f>
        <v>20:31:43.664</v>
      </c>
      <c r="U3184" t="str">
        <f t="shared" si="153"/>
        <v>AB01F4</v>
      </c>
      <c r="V3184">
        <v>0</v>
      </c>
      <c r="W3184">
        <v>0</v>
      </c>
      <c r="X3184">
        <v>2</v>
      </c>
      <c r="Z3184">
        <v>0</v>
      </c>
      <c r="AA3184">
        <v>9</v>
      </c>
      <c r="AB3184">
        <v>3</v>
      </c>
      <c r="AC3184">
        <v>0</v>
      </c>
      <c r="AD3184">
        <v>10</v>
      </c>
      <c r="AE3184">
        <v>0</v>
      </c>
      <c r="AF3184">
        <v>3</v>
      </c>
      <c r="AG3184">
        <v>2</v>
      </c>
      <c r="AH3184">
        <v>0</v>
      </c>
      <c r="AI3184" t="s">
        <v>1841</v>
      </c>
      <c r="AJ3184">
        <v>40.054285999999998</v>
      </c>
      <c r="AK3184" t="s">
        <v>1842</v>
      </c>
      <c r="AL3184">
        <v>-92.904661000000004</v>
      </c>
      <c r="AM3184">
        <v>100</v>
      </c>
      <c r="AN3184">
        <v>1300</v>
      </c>
      <c r="AO3184" t="s">
        <v>118</v>
      </c>
      <c r="AP3184">
        <v>-115</v>
      </c>
      <c r="AQ3184">
        <v>65</v>
      </c>
      <c r="AR3184">
        <v>-64</v>
      </c>
      <c r="AZ3184">
        <v>1200</v>
      </c>
      <c r="BA3184">
        <v>1</v>
      </c>
      <c r="BB3184" t="str">
        <f t="shared" si="155"/>
        <v xml:space="preserve">N8080G  </v>
      </c>
      <c r="BC3184">
        <v>1</v>
      </c>
      <c r="BE3184">
        <v>0</v>
      </c>
      <c r="BF3184">
        <v>0</v>
      </c>
      <c r="BG3184">
        <v>0</v>
      </c>
      <c r="BH3184">
        <v>1325</v>
      </c>
      <c r="BI3184">
        <v>1</v>
      </c>
      <c r="BJ3184">
        <v>1</v>
      </c>
      <c r="BK3184">
        <v>1</v>
      </c>
      <c r="BL3184">
        <v>0</v>
      </c>
      <c r="BO3184">
        <v>0</v>
      </c>
      <c r="BP3184">
        <v>0</v>
      </c>
      <c r="BW3184" t="str">
        <f>"20:31:44.171"</f>
        <v>20:31:44.171</v>
      </c>
      <c r="BZ3184">
        <v>0</v>
      </c>
      <c r="CA3184">
        <v>1600</v>
      </c>
      <c r="CB3184">
        <v>224</v>
      </c>
      <c r="CD3184">
        <v>1</v>
      </c>
      <c r="CE3184">
        <v>0</v>
      </c>
      <c r="CF3184">
        <v>0</v>
      </c>
      <c r="CG3184">
        <v>1</v>
      </c>
      <c r="CH3184">
        <v>0</v>
      </c>
      <c r="CI3184">
        <v>0</v>
      </c>
      <c r="CJ3184">
        <v>0</v>
      </c>
      <c r="CK3184">
        <v>2</v>
      </c>
      <c r="CL3184">
        <v>0</v>
      </c>
      <c r="CM3184">
        <v>2</v>
      </c>
      <c r="CN3184">
        <v>0</v>
      </c>
      <c r="CO3184">
        <v>7</v>
      </c>
      <c r="CP3184" t="s">
        <v>119</v>
      </c>
      <c r="CQ3184">
        <v>180</v>
      </c>
      <c r="CR3184">
        <v>3</v>
      </c>
      <c r="CW3184">
        <v>1090262</v>
      </c>
      <c r="CY3184">
        <v>1</v>
      </c>
      <c r="CZ3184">
        <v>0</v>
      </c>
      <c r="DA3184">
        <v>1</v>
      </c>
      <c r="DB3184">
        <v>0</v>
      </c>
      <c r="DC3184">
        <v>0</v>
      </c>
      <c r="DD3184">
        <v>0</v>
      </c>
      <c r="DE3184">
        <v>0</v>
      </c>
      <c r="DF3184">
        <v>0</v>
      </c>
      <c r="DG3184">
        <v>0</v>
      </c>
      <c r="DH3184">
        <v>0</v>
      </c>
      <c r="DI3184">
        <v>0</v>
      </c>
    </row>
    <row r="3185" spans="1:113" x14ac:dyDescent="0.3">
      <c r="A3185" t="str">
        <f>"02/08/2021 20:31:41.842"</f>
        <v>02/08/2021 20:31:41.842</v>
      </c>
      <c r="C3185" t="str">
        <f t="shared" si="154"/>
        <v>FFDFD7C0</v>
      </c>
      <c r="D3185" t="s">
        <v>124</v>
      </c>
      <c r="E3185">
        <v>11</v>
      </c>
      <c r="F3185">
        <v>1011</v>
      </c>
      <c r="G3185" t="s">
        <v>590</v>
      </c>
      <c r="J3185" t="s">
        <v>125</v>
      </c>
      <c r="K3185">
        <v>0</v>
      </c>
      <c r="L3185">
        <v>3</v>
      </c>
      <c r="M3185">
        <v>0</v>
      </c>
      <c r="N3185">
        <v>2</v>
      </c>
      <c r="O3185">
        <v>1</v>
      </c>
      <c r="P3185">
        <v>0</v>
      </c>
      <c r="Q3185">
        <v>0</v>
      </c>
      <c r="S3185" t="str">
        <f>"20:31:44.164"</f>
        <v>20:31:44.164</v>
      </c>
      <c r="T3185" t="str">
        <f>"20:31:43.664"</f>
        <v>20:31:43.664</v>
      </c>
      <c r="U3185" t="str">
        <f t="shared" si="153"/>
        <v>AB01F4</v>
      </c>
      <c r="V3185">
        <v>0</v>
      </c>
      <c r="W3185">
        <v>0</v>
      </c>
      <c r="X3185">
        <v>2</v>
      </c>
      <c r="Z3185">
        <v>0</v>
      </c>
      <c r="AA3185">
        <v>9</v>
      </c>
      <c r="AB3185">
        <v>3</v>
      </c>
      <c r="AC3185">
        <v>0</v>
      </c>
      <c r="AD3185">
        <v>10</v>
      </c>
      <c r="AE3185">
        <v>0</v>
      </c>
      <c r="AF3185">
        <v>3</v>
      </c>
      <c r="AG3185">
        <v>2</v>
      </c>
      <c r="AH3185">
        <v>0</v>
      </c>
      <c r="AI3185" t="s">
        <v>1841</v>
      </c>
      <c r="AJ3185">
        <v>40.054285999999998</v>
      </c>
      <c r="AK3185" t="s">
        <v>1842</v>
      </c>
      <c r="AL3185">
        <v>-92.904661000000004</v>
      </c>
      <c r="AM3185">
        <v>100</v>
      </c>
      <c r="AN3185">
        <v>1300</v>
      </c>
      <c r="AO3185" t="s">
        <v>118</v>
      </c>
      <c r="AP3185">
        <v>-115</v>
      </c>
      <c r="AQ3185">
        <v>65</v>
      </c>
      <c r="AR3185">
        <v>-64</v>
      </c>
      <c r="AZ3185">
        <v>1200</v>
      </c>
      <c r="BA3185">
        <v>1</v>
      </c>
      <c r="BB3185" t="str">
        <f t="shared" si="155"/>
        <v xml:space="preserve">N8080G  </v>
      </c>
      <c r="BC3185">
        <v>1</v>
      </c>
      <c r="BE3185">
        <v>0</v>
      </c>
      <c r="BF3185">
        <v>0</v>
      </c>
      <c r="BG3185">
        <v>0</v>
      </c>
      <c r="BH3185">
        <v>1325</v>
      </c>
      <c r="BI3185">
        <v>1</v>
      </c>
      <c r="BJ3185">
        <v>1</v>
      </c>
      <c r="BK3185">
        <v>1</v>
      </c>
      <c r="BL3185">
        <v>0</v>
      </c>
      <c r="BO3185">
        <v>0</v>
      </c>
      <c r="BP3185">
        <v>0</v>
      </c>
      <c r="BW3185" t="str">
        <f>"20:31:44.171"</f>
        <v>20:31:44.171</v>
      </c>
      <c r="BZ3185">
        <v>0</v>
      </c>
      <c r="CA3185">
        <v>1600</v>
      </c>
      <c r="CB3185">
        <v>224</v>
      </c>
      <c r="CD3185">
        <v>1</v>
      </c>
      <c r="CE3185">
        <v>0</v>
      </c>
      <c r="CF3185">
        <v>0</v>
      </c>
      <c r="CG3185">
        <v>1</v>
      </c>
      <c r="CH3185">
        <v>0</v>
      </c>
      <c r="CI3185">
        <v>0</v>
      </c>
      <c r="CJ3185">
        <v>0</v>
      </c>
      <c r="CK3185">
        <v>2</v>
      </c>
      <c r="CL3185">
        <v>0</v>
      </c>
      <c r="CM3185">
        <v>2</v>
      </c>
      <c r="CN3185">
        <v>0</v>
      </c>
      <c r="CO3185">
        <v>7</v>
      </c>
      <c r="CP3185" t="s">
        <v>119</v>
      </c>
      <c r="CQ3185">
        <v>180</v>
      </c>
      <c r="CR3185">
        <v>3</v>
      </c>
      <c r="CW3185">
        <v>1090262</v>
      </c>
      <c r="CY3185">
        <v>1</v>
      </c>
      <c r="CZ3185">
        <v>0</v>
      </c>
      <c r="DA3185">
        <v>1</v>
      </c>
      <c r="DB3185">
        <v>0</v>
      </c>
      <c r="DC3185">
        <v>0</v>
      </c>
      <c r="DD3185">
        <v>0</v>
      </c>
      <c r="DE3185">
        <v>0</v>
      </c>
      <c r="DF3185">
        <v>0</v>
      </c>
      <c r="DG3185">
        <v>0</v>
      </c>
      <c r="DH3185">
        <v>0</v>
      </c>
      <c r="DI3185">
        <v>0</v>
      </c>
    </row>
    <row r="3186" spans="1:113" x14ac:dyDescent="0.3">
      <c r="A3186" t="str">
        <f>"02/08/2021 20:31:41.842"</f>
        <v>02/08/2021 20:31:41.842</v>
      </c>
      <c r="C3186" t="str">
        <f t="shared" si="154"/>
        <v>FFDFD7C0</v>
      </c>
      <c r="D3186" t="s">
        <v>113</v>
      </c>
      <c r="E3186">
        <v>6</v>
      </c>
      <c r="H3186">
        <v>165</v>
      </c>
      <c r="I3186" t="s">
        <v>114</v>
      </c>
      <c r="J3186" t="s">
        <v>115</v>
      </c>
      <c r="K3186">
        <v>0</v>
      </c>
      <c r="L3186">
        <v>3</v>
      </c>
      <c r="M3186">
        <v>0</v>
      </c>
      <c r="N3186">
        <v>2</v>
      </c>
      <c r="O3186">
        <v>1</v>
      </c>
      <c r="P3186">
        <v>0</v>
      </c>
      <c r="Q3186">
        <v>0</v>
      </c>
      <c r="S3186" t="str">
        <f>"20:31:44.164"</f>
        <v>20:31:44.164</v>
      </c>
      <c r="T3186" t="str">
        <f>"20:31:43.664"</f>
        <v>20:31:43.664</v>
      </c>
      <c r="U3186" t="str">
        <f t="shared" si="153"/>
        <v>AB01F4</v>
      </c>
      <c r="V3186">
        <v>0</v>
      </c>
      <c r="W3186">
        <v>0</v>
      </c>
      <c r="X3186">
        <v>2</v>
      </c>
      <c r="Z3186">
        <v>0</v>
      </c>
      <c r="AA3186">
        <v>9</v>
      </c>
      <c r="AB3186">
        <v>3</v>
      </c>
      <c r="AC3186">
        <v>0</v>
      </c>
      <c r="AD3186">
        <v>10</v>
      </c>
      <c r="AE3186">
        <v>0</v>
      </c>
      <c r="AF3186">
        <v>3</v>
      </c>
      <c r="AG3186">
        <v>2</v>
      </c>
      <c r="AH3186">
        <v>0</v>
      </c>
      <c r="AI3186" t="s">
        <v>1841</v>
      </c>
      <c r="AJ3186">
        <v>40.054285999999998</v>
      </c>
      <c r="AK3186" t="s">
        <v>1842</v>
      </c>
      <c r="AL3186">
        <v>-92.904661000000004</v>
      </c>
      <c r="AM3186">
        <v>100</v>
      </c>
      <c r="AN3186">
        <v>1300</v>
      </c>
      <c r="AO3186" t="s">
        <v>118</v>
      </c>
      <c r="AP3186">
        <v>-115</v>
      </c>
      <c r="AQ3186">
        <v>65</v>
      </c>
      <c r="AR3186">
        <v>-64</v>
      </c>
      <c r="AZ3186">
        <v>1200</v>
      </c>
      <c r="BA3186">
        <v>1</v>
      </c>
      <c r="BB3186" t="str">
        <f t="shared" si="155"/>
        <v xml:space="preserve">N8080G  </v>
      </c>
      <c r="BC3186">
        <v>1</v>
      </c>
      <c r="BE3186">
        <v>0</v>
      </c>
      <c r="BF3186">
        <v>0</v>
      </c>
      <c r="BG3186">
        <v>0</v>
      </c>
      <c r="BH3186">
        <v>1325</v>
      </c>
      <c r="BI3186">
        <v>1</v>
      </c>
      <c r="BJ3186">
        <v>1</v>
      </c>
      <c r="BK3186">
        <v>1</v>
      </c>
      <c r="BL3186">
        <v>0</v>
      </c>
      <c r="BO3186">
        <v>0</v>
      </c>
      <c r="BP3186">
        <v>0</v>
      </c>
      <c r="BW3186" t="str">
        <f>"20:31:44.171"</f>
        <v>20:31:44.171</v>
      </c>
      <c r="BZ3186">
        <v>0</v>
      </c>
      <c r="CA3186">
        <v>1600</v>
      </c>
      <c r="CB3186">
        <v>224</v>
      </c>
      <c r="CD3186">
        <v>1</v>
      </c>
      <c r="CE3186">
        <v>0</v>
      </c>
      <c r="CF3186">
        <v>0</v>
      </c>
      <c r="CG3186">
        <v>1</v>
      </c>
      <c r="CH3186">
        <v>0</v>
      </c>
      <c r="CI3186">
        <v>0</v>
      </c>
      <c r="CJ3186">
        <v>0</v>
      </c>
      <c r="CK3186">
        <v>2</v>
      </c>
      <c r="CL3186">
        <v>0</v>
      </c>
      <c r="CM3186">
        <v>2</v>
      </c>
      <c r="CN3186">
        <v>0</v>
      </c>
      <c r="CO3186">
        <v>7</v>
      </c>
      <c r="CP3186" t="s">
        <v>119</v>
      </c>
      <c r="CQ3186">
        <v>180</v>
      </c>
      <c r="CR3186">
        <v>3</v>
      </c>
      <c r="CW3186">
        <v>1090262</v>
      </c>
      <c r="CY3186">
        <v>1</v>
      </c>
      <c r="CZ3186">
        <v>0</v>
      </c>
      <c r="DA3186">
        <v>1</v>
      </c>
      <c r="DB3186">
        <v>0</v>
      </c>
      <c r="DC3186">
        <v>0</v>
      </c>
      <c r="DD3186">
        <v>0</v>
      </c>
      <c r="DE3186">
        <v>0</v>
      </c>
      <c r="DF3186">
        <v>0</v>
      </c>
      <c r="DG3186">
        <v>0</v>
      </c>
      <c r="DH3186">
        <v>0</v>
      </c>
      <c r="DI3186">
        <v>0</v>
      </c>
    </row>
    <row r="3187" spans="1:113" x14ac:dyDescent="0.3">
      <c r="A3187" t="str">
        <f>"02/08/2021 20:31:43.344"</f>
        <v>02/08/2021 20:31:43.344</v>
      </c>
      <c r="C3187" t="str">
        <f t="shared" si="154"/>
        <v>FFDFD7C0</v>
      </c>
      <c r="D3187" t="s">
        <v>113</v>
      </c>
      <c r="E3187">
        <v>6</v>
      </c>
      <c r="H3187">
        <v>165</v>
      </c>
      <c r="I3187" t="s">
        <v>114</v>
      </c>
      <c r="J3187" t="s">
        <v>115</v>
      </c>
      <c r="K3187">
        <v>0</v>
      </c>
      <c r="L3187">
        <v>3</v>
      </c>
      <c r="M3187">
        <v>0</v>
      </c>
      <c r="N3187">
        <v>2</v>
      </c>
      <c r="O3187">
        <v>1</v>
      </c>
      <c r="P3187">
        <v>0</v>
      </c>
      <c r="Q3187">
        <v>0</v>
      </c>
      <c r="S3187" t="str">
        <f>"20:31:45.680"</f>
        <v>20:31:45.680</v>
      </c>
      <c r="T3187" t="str">
        <f>"20:31:45.180"</f>
        <v>20:31:45.180</v>
      </c>
      <c r="U3187" t="str">
        <f t="shared" si="153"/>
        <v>AB01F4</v>
      </c>
      <c r="V3187">
        <v>0</v>
      </c>
      <c r="W3187">
        <v>0</v>
      </c>
      <c r="X3187">
        <v>2</v>
      </c>
      <c r="Z3187">
        <v>0</v>
      </c>
      <c r="AA3187">
        <v>9</v>
      </c>
      <c r="AB3187">
        <v>3</v>
      </c>
      <c r="AC3187">
        <v>0</v>
      </c>
      <c r="AD3187">
        <v>10</v>
      </c>
      <c r="AE3187">
        <v>0</v>
      </c>
      <c r="AF3187">
        <v>3</v>
      </c>
      <c r="AG3187">
        <v>2</v>
      </c>
      <c r="AH3187">
        <v>0</v>
      </c>
      <c r="AI3187" t="s">
        <v>1843</v>
      </c>
      <c r="AJ3187">
        <v>40.054715000000002</v>
      </c>
      <c r="AK3187" t="s">
        <v>1844</v>
      </c>
      <c r="AL3187">
        <v>-92.905691000000004</v>
      </c>
      <c r="AM3187">
        <v>100</v>
      </c>
      <c r="AN3187">
        <v>1300</v>
      </c>
      <c r="AO3187" t="s">
        <v>118</v>
      </c>
      <c r="AP3187">
        <v>-114</v>
      </c>
      <c r="AQ3187">
        <v>66</v>
      </c>
      <c r="AR3187">
        <v>0</v>
      </c>
      <c r="AZ3187">
        <v>1200</v>
      </c>
      <c r="BA3187">
        <v>1</v>
      </c>
      <c r="BB3187" t="str">
        <f t="shared" si="155"/>
        <v xml:space="preserve">N8080G  </v>
      </c>
      <c r="BC3187">
        <v>1</v>
      </c>
      <c r="BE3187">
        <v>0</v>
      </c>
      <c r="BF3187">
        <v>0</v>
      </c>
      <c r="BG3187">
        <v>0</v>
      </c>
      <c r="BH3187">
        <v>1325</v>
      </c>
      <c r="BI3187">
        <v>1</v>
      </c>
      <c r="BJ3187">
        <v>1</v>
      </c>
      <c r="BK3187">
        <v>1</v>
      </c>
      <c r="BL3187">
        <v>0</v>
      </c>
      <c r="BO3187">
        <v>0</v>
      </c>
      <c r="BP3187">
        <v>0</v>
      </c>
      <c r="BW3187" t="str">
        <f>"20:31:45.685"</f>
        <v>20:31:45.685</v>
      </c>
      <c r="BZ3187">
        <v>0</v>
      </c>
      <c r="CA3187">
        <v>1600</v>
      </c>
      <c r="CB3187">
        <v>224</v>
      </c>
      <c r="CD3187">
        <v>1</v>
      </c>
      <c r="CE3187">
        <v>0</v>
      </c>
      <c r="CF3187">
        <v>0</v>
      </c>
      <c r="CG3187">
        <v>1</v>
      </c>
      <c r="CH3187">
        <v>0</v>
      </c>
      <c r="CI3187">
        <v>0</v>
      </c>
      <c r="CJ3187">
        <v>0</v>
      </c>
      <c r="CK3187">
        <v>2</v>
      </c>
      <c r="CL3187">
        <v>0</v>
      </c>
      <c r="CM3187">
        <v>2</v>
      </c>
      <c r="CN3187">
        <v>0</v>
      </c>
      <c r="CO3187">
        <v>7</v>
      </c>
      <c r="CP3187" t="s">
        <v>119</v>
      </c>
      <c r="CQ3187">
        <v>180</v>
      </c>
      <c r="CR3187">
        <v>2</v>
      </c>
      <c r="CW3187">
        <v>8745646</v>
      </c>
      <c r="CY3187">
        <v>1</v>
      </c>
      <c r="CZ3187">
        <v>0</v>
      </c>
      <c r="DA3187">
        <v>0</v>
      </c>
      <c r="DB3187">
        <v>0</v>
      </c>
      <c r="DC3187">
        <v>0</v>
      </c>
      <c r="DD3187">
        <v>0</v>
      </c>
      <c r="DE3187">
        <v>0</v>
      </c>
      <c r="DF3187">
        <v>0</v>
      </c>
      <c r="DG3187">
        <v>0</v>
      </c>
      <c r="DH3187">
        <v>0</v>
      </c>
      <c r="DI3187">
        <v>0</v>
      </c>
    </row>
    <row r="3188" spans="1:113" x14ac:dyDescent="0.3">
      <c r="A3188" t="str">
        <f>"02/08/2021 20:31:43.344"</f>
        <v>02/08/2021 20:31:43.344</v>
      </c>
      <c r="C3188" t="str">
        <f t="shared" si="154"/>
        <v>FFDFD7C0</v>
      </c>
      <c r="D3188" t="s">
        <v>124</v>
      </c>
      <c r="E3188">
        <v>12</v>
      </c>
      <c r="F3188">
        <v>1012</v>
      </c>
      <c r="G3188" t="s">
        <v>675</v>
      </c>
      <c r="J3188" t="s">
        <v>125</v>
      </c>
      <c r="K3188">
        <v>0</v>
      </c>
      <c r="L3188">
        <v>3</v>
      </c>
      <c r="M3188">
        <v>0</v>
      </c>
      <c r="N3188">
        <v>2</v>
      </c>
      <c r="O3188">
        <v>1</v>
      </c>
      <c r="P3188">
        <v>0</v>
      </c>
      <c r="Q3188">
        <v>0</v>
      </c>
      <c r="S3188" t="str">
        <f>"20:31:45.680"</f>
        <v>20:31:45.680</v>
      </c>
      <c r="T3188" t="str">
        <f>"20:31:45.180"</f>
        <v>20:31:45.180</v>
      </c>
      <c r="U3188" t="str">
        <f t="shared" si="153"/>
        <v>AB01F4</v>
      </c>
      <c r="V3188">
        <v>0</v>
      </c>
      <c r="W3188">
        <v>0</v>
      </c>
      <c r="X3188">
        <v>2</v>
      </c>
      <c r="Z3188">
        <v>0</v>
      </c>
      <c r="AA3188">
        <v>9</v>
      </c>
      <c r="AB3188">
        <v>3</v>
      </c>
      <c r="AC3188">
        <v>0</v>
      </c>
      <c r="AD3188">
        <v>10</v>
      </c>
      <c r="AE3188">
        <v>0</v>
      </c>
      <c r="AF3188">
        <v>3</v>
      </c>
      <c r="AG3188">
        <v>2</v>
      </c>
      <c r="AH3188">
        <v>0</v>
      </c>
      <c r="AI3188" t="s">
        <v>1843</v>
      </c>
      <c r="AJ3188">
        <v>40.054715000000002</v>
      </c>
      <c r="AK3188" t="s">
        <v>1844</v>
      </c>
      <c r="AL3188">
        <v>-92.905691000000004</v>
      </c>
      <c r="AM3188">
        <v>100</v>
      </c>
      <c r="AN3188">
        <v>1300</v>
      </c>
      <c r="AO3188" t="s">
        <v>118</v>
      </c>
      <c r="AP3188">
        <v>-114</v>
      </c>
      <c r="AQ3188">
        <v>66</v>
      </c>
      <c r="AR3188">
        <v>0</v>
      </c>
      <c r="AZ3188">
        <v>1200</v>
      </c>
      <c r="BA3188">
        <v>1</v>
      </c>
      <c r="BB3188" t="str">
        <f t="shared" si="155"/>
        <v xml:space="preserve">N8080G  </v>
      </c>
      <c r="BC3188">
        <v>1</v>
      </c>
      <c r="BE3188">
        <v>0</v>
      </c>
      <c r="BF3188">
        <v>0</v>
      </c>
      <c r="BG3188">
        <v>0</v>
      </c>
      <c r="BH3188">
        <v>1325</v>
      </c>
      <c r="BI3188">
        <v>1</v>
      </c>
      <c r="BJ3188">
        <v>1</v>
      </c>
      <c r="BK3188">
        <v>1</v>
      </c>
      <c r="BL3188">
        <v>0</v>
      </c>
      <c r="BO3188">
        <v>0</v>
      </c>
      <c r="BP3188">
        <v>0</v>
      </c>
      <c r="BW3188" t="str">
        <f>"20:31:45.685"</f>
        <v>20:31:45.685</v>
      </c>
      <c r="BZ3188">
        <v>0</v>
      </c>
      <c r="CA3188">
        <v>1600</v>
      </c>
      <c r="CB3188">
        <v>224</v>
      </c>
      <c r="CD3188">
        <v>1</v>
      </c>
      <c r="CE3188">
        <v>0</v>
      </c>
      <c r="CF3188">
        <v>0</v>
      </c>
      <c r="CG3188">
        <v>1</v>
      </c>
      <c r="CH3188">
        <v>0</v>
      </c>
      <c r="CI3188">
        <v>0</v>
      </c>
      <c r="CJ3188">
        <v>0</v>
      </c>
      <c r="CK3188">
        <v>2</v>
      </c>
      <c r="CL3188">
        <v>0</v>
      </c>
      <c r="CM3188">
        <v>2</v>
      </c>
      <c r="CN3188">
        <v>0</v>
      </c>
      <c r="CO3188">
        <v>7</v>
      </c>
      <c r="CP3188" t="s">
        <v>119</v>
      </c>
      <c r="CQ3188">
        <v>180</v>
      </c>
      <c r="CR3188">
        <v>2</v>
      </c>
      <c r="CW3188">
        <v>8745646</v>
      </c>
      <c r="CY3188">
        <v>1</v>
      </c>
      <c r="CZ3188">
        <v>0</v>
      </c>
      <c r="DA3188">
        <v>1</v>
      </c>
      <c r="DB3188">
        <v>0</v>
      </c>
      <c r="DC3188">
        <v>0</v>
      </c>
      <c r="DD3188">
        <v>0</v>
      </c>
      <c r="DE3188">
        <v>0</v>
      </c>
      <c r="DF3188">
        <v>0</v>
      </c>
      <c r="DG3188">
        <v>0</v>
      </c>
      <c r="DH3188">
        <v>0</v>
      </c>
      <c r="DI3188">
        <v>0</v>
      </c>
    </row>
    <row r="3189" spans="1:113" x14ac:dyDescent="0.3">
      <c r="A3189" t="str">
        <f>"02/08/2021 20:31:43.344"</f>
        <v>02/08/2021 20:31:43.344</v>
      </c>
      <c r="C3189" t="str">
        <f t="shared" si="154"/>
        <v>FFDFD7C0</v>
      </c>
      <c r="D3189" t="s">
        <v>124</v>
      </c>
      <c r="E3189">
        <v>13</v>
      </c>
      <c r="F3189">
        <v>1013</v>
      </c>
      <c r="G3189" t="s">
        <v>114</v>
      </c>
      <c r="J3189" t="s">
        <v>125</v>
      </c>
      <c r="K3189">
        <v>0</v>
      </c>
      <c r="L3189">
        <v>3</v>
      </c>
      <c r="M3189">
        <v>0</v>
      </c>
      <c r="N3189">
        <v>2</v>
      </c>
      <c r="O3189">
        <v>1</v>
      </c>
      <c r="P3189">
        <v>0</v>
      </c>
      <c r="Q3189">
        <v>0</v>
      </c>
      <c r="S3189" t="str">
        <f>"20:31:45.680"</f>
        <v>20:31:45.680</v>
      </c>
      <c r="T3189" t="str">
        <f>"20:31:45.180"</f>
        <v>20:31:45.180</v>
      </c>
      <c r="U3189" t="str">
        <f t="shared" si="153"/>
        <v>AB01F4</v>
      </c>
      <c r="V3189">
        <v>0</v>
      </c>
      <c r="W3189">
        <v>0</v>
      </c>
      <c r="X3189">
        <v>2</v>
      </c>
      <c r="Z3189">
        <v>0</v>
      </c>
      <c r="AA3189">
        <v>9</v>
      </c>
      <c r="AB3189">
        <v>3</v>
      </c>
      <c r="AC3189">
        <v>0</v>
      </c>
      <c r="AD3189">
        <v>10</v>
      </c>
      <c r="AE3189">
        <v>0</v>
      </c>
      <c r="AF3189">
        <v>3</v>
      </c>
      <c r="AG3189">
        <v>2</v>
      </c>
      <c r="AH3189">
        <v>0</v>
      </c>
      <c r="AI3189" t="s">
        <v>1843</v>
      </c>
      <c r="AJ3189">
        <v>40.054715000000002</v>
      </c>
      <c r="AK3189" t="s">
        <v>1844</v>
      </c>
      <c r="AL3189">
        <v>-92.905691000000004</v>
      </c>
      <c r="AM3189">
        <v>100</v>
      </c>
      <c r="AN3189">
        <v>1300</v>
      </c>
      <c r="AO3189" t="s">
        <v>118</v>
      </c>
      <c r="AP3189">
        <v>-114</v>
      </c>
      <c r="AQ3189">
        <v>66</v>
      </c>
      <c r="AR3189">
        <v>0</v>
      </c>
      <c r="AZ3189">
        <v>1200</v>
      </c>
      <c r="BA3189">
        <v>1</v>
      </c>
      <c r="BB3189" t="str">
        <f t="shared" si="155"/>
        <v xml:space="preserve">N8080G  </v>
      </c>
      <c r="BC3189">
        <v>1</v>
      </c>
      <c r="BE3189">
        <v>0</v>
      </c>
      <c r="BF3189">
        <v>0</v>
      </c>
      <c r="BG3189">
        <v>0</v>
      </c>
      <c r="BH3189">
        <v>1325</v>
      </c>
      <c r="BI3189">
        <v>1</v>
      </c>
      <c r="BJ3189">
        <v>1</v>
      </c>
      <c r="BK3189">
        <v>1</v>
      </c>
      <c r="BL3189">
        <v>0</v>
      </c>
      <c r="BO3189">
        <v>0</v>
      </c>
      <c r="BP3189">
        <v>0</v>
      </c>
      <c r="BW3189" t="str">
        <f>"20:31:45.685"</f>
        <v>20:31:45.685</v>
      </c>
      <c r="BZ3189">
        <v>0</v>
      </c>
      <c r="CA3189">
        <v>1600</v>
      </c>
      <c r="CB3189">
        <v>224</v>
      </c>
      <c r="CD3189">
        <v>1</v>
      </c>
      <c r="CE3189">
        <v>0</v>
      </c>
      <c r="CF3189">
        <v>0</v>
      </c>
      <c r="CG3189">
        <v>1</v>
      </c>
      <c r="CH3189">
        <v>0</v>
      </c>
      <c r="CI3189">
        <v>0</v>
      </c>
      <c r="CJ3189">
        <v>0</v>
      </c>
      <c r="CK3189">
        <v>2</v>
      </c>
      <c r="CL3189">
        <v>0</v>
      </c>
      <c r="CM3189">
        <v>2</v>
      </c>
      <c r="CN3189">
        <v>0</v>
      </c>
      <c r="CO3189">
        <v>7</v>
      </c>
      <c r="CP3189" t="s">
        <v>119</v>
      </c>
      <c r="CQ3189">
        <v>180</v>
      </c>
      <c r="CR3189">
        <v>2</v>
      </c>
      <c r="CW3189">
        <v>8745646</v>
      </c>
      <c r="CY3189">
        <v>1</v>
      </c>
      <c r="CZ3189">
        <v>0</v>
      </c>
      <c r="DA3189">
        <v>1</v>
      </c>
      <c r="DB3189">
        <v>0</v>
      </c>
      <c r="DC3189">
        <v>0</v>
      </c>
      <c r="DD3189">
        <v>0</v>
      </c>
      <c r="DE3189">
        <v>0</v>
      </c>
      <c r="DF3189">
        <v>0</v>
      </c>
      <c r="DG3189">
        <v>0</v>
      </c>
      <c r="DH3189">
        <v>0</v>
      </c>
      <c r="DI3189">
        <v>0</v>
      </c>
    </row>
    <row r="3190" spans="1:113" x14ac:dyDescent="0.3">
      <c r="A3190" t="str">
        <f>"02/08/2021 20:31:43.344"</f>
        <v>02/08/2021 20:31:43.344</v>
      </c>
      <c r="C3190" t="str">
        <f t="shared" si="154"/>
        <v>FFDFD7C0</v>
      </c>
      <c r="D3190" t="s">
        <v>124</v>
      </c>
      <c r="E3190">
        <v>11</v>
      </c>
      <c r="F3190">
        <v>1011</v>
      </c>
      <c r="G3190" t="s">
        <v>590</v>
      </c>
      <c r="J3190" t="s">
        <v>125</v>
      </c>
      <c r="K3190">
        <v>0</v>
      </c>
      <c r="L3190">
        <v>3</v>
      </c>
      <c r="M3190">
        <v>0</v>
      </c>
      <c r="N3190">
        <v>2</v>
      </c>
      <c r="O3190">
        <v>1</v>
      </c>
      <c r="P3190">
        <v>0</v>
      </c>
      <c r="Q3190">
        <v>0</v>
      </c>
      <c r="S3190" t="str">
        <f>"20:31:45.680"</f>
        <v>20:31:45.680</v>
      </c>
      <c r="T3190" t="str">
        <f>"20:31:45.180"</f>
        <v>20:31:45.180</v>
      </c>
      <c r="U3190" t="str">
        <f t="shared" si="153"/>
        <v>AB01F4</v>
      </c>
      <c r="V3190">
        <v>0</v>
      </c>
      <c r="W3190">
        <v>0</v>
      </c>
      <c r="X3190">
        <v>2</v>
      </c>
      <c r="Z3190">
        <v>0</v>
      </c>
      <c r="AA3190">
        <v>9</v>
      </c>
      <c r="AB3190">
        <v>3</v>
      </c>
      <c r="AC3190">
        <v>0</v>
      </c>
      <c r="AD3190">
        <v>10</v>
      </c>
      <c r="AE3190">
        <v>0</v>
      </c>
      <c r="AF3190">
        <v>3</v>
      </c>
      <c r="AG3190">
        <v>2</v>
      </c>
      <c r="AH3190">
        <v>0</v>
      </c>
      <c r="AI3190" t="s">
        <v>1843</v>
      </c>
      <c r="AJ3190">
        <v>40.054715000000002</v>
      </c>
      <c r="AK3190" t="s">
        <v>1844</v>
      </c>
      <c r="AL3190">
        <v>-92.905691000000004</v>
      </c>
      <c r="AM3190">
        <v>100</v>
      </c>
      <c r="AN3190">
        <v>1300</v>
      </c>
      <c r="AO3190" t="s">
        <v>118</v>
      </c>
      <c r="AP3190">
        <v>-114</v>
      </c>
      <c r="AQ3190">
        <v>66</v>
      </c>
      <c r="AR3190">
        <v>0</v>
      </c>
      <c r="AZ3190">
        <v>1200</v>
      </c>
      <c r="BA3190">
        <v>1</v>
      </c>
      <c r="BB3190" t="str">
        <f t="shared" si="155"/>
        <v xml:space="preserve">N8080G  </v>
      </c>
      <c r="BC3190">
        <v>1</v>
      </c>
      <c r="BE3190">
        <v>0</v>
      </c>
      <c r="BF3190">
        <v>0</v>
      </c>
      <c r="BG3190">
        <v>0</v>
      </c>
      <c r="BH3190">
        <v>1325</v>
      </c>
      <c r="BI3190">
        <v>1</v>
      </c>
      <c r="BJ3190">
        <v>1</v>
      </c>
      <c r="BK3190">
        <v>1</v>
      </c>
      <c r="BL3190">
        <v>0</v>
      </c>
      <c r="BO3190">
        <v>0</v>
      </c>
      <c r="BP3190">
        <v>0</v>
      </c>
      <c r="BW3190" t="str">
        <f>"20:31:45.685"</f>
        <v>20:31:45.685</v>
      </c>
      <c r="BZ3190">
        <v>0</v>
      </c>
      <c r="CA3190">
        <v>1600</v>
      </c>
      <c r="CB3190">
        <v>224</v>
      </c>
      <c r="CD3190">
        <v>1</v>
      </c>
      <c r="CE3190">
        <v>0</v>
      </c>
      <c r="CF3190">
        <v>0</v>
      </c>
      <c r="CG3190">
        <v>1</v>
      </c>
      <c r="CH3190">
        <v>0</v>
      </c>
      <c r="CI3190">
        <v>0</v>
      </c>
      <c r="CJ3190">
        <v>0</v>
      </c>
      <c r="CK3190">
        <v>2</v>
      </c>
      <c r="CL3190">
        <v>0</v>
      </c>
      <c r="CM3190">
        <v>2</v>
      </c>
      <c r="CN3190">
        <v>0</v>
      </c>
      <c r="CO3190">
        <v>7</v>
      </c>
      <c r="CP3190" t="s">
        <v>119</v>
      </c>
      <c r="CQ3190">
        <v>180</v>
      </c>
      <c r="CR3190">
        <v>2</v>
      </c>
      <c r="CW3190">
        <v>8745646</v>
      </c>
      <c r="CY3190">
        <v>1</v>
      </c>
      <c r="CZ3190">
        <v>0</v>
      </c>
      <c r="DA3190">
        <v>1</v>
      </c>
      <c r="DB3190">
        <v>0</v>
      </c>
      <c r="DC3190">
        <v>0</v>
      </c>
      <c r="DD3190">
        <v>0</v>
      </c>
      <c r="DE3190">
        <v>0</v>
      </c>
      <c r="DF3190">
        <v>0</v>
      </c>
      <c r="DG3190">
        <v>0</v>
      </c>
      <c r="DH3190">
        <v>0</v>
      </c>
      <c r="DI3190">
        <v>0</v>
      </c>
    </row>
    <row r="3191" spans="1:113" x14ac:dyDescent="0.3">
      <c r="A3191" t="str">
        <f>"02/08/2021 20:31:45.909"</f>
        <v>02/08/2021 20:31:45.909</v>
      </c>
      <c r="C3191" t="str">
        <f t="shared" si="154"/>
        <v>FFDFD7C0</v>
      </c>
      <c r="D3191" t="s">
        <v>124</v>
      </c>
      <c r="E3191">
        <v>11</v>
      </c>
      <c r="F3191">
        <v>1011</v>
      </c>
      <c r="G3191" t="s">
        <v>590</v>
      </c>
      <c r="J3191" t="s">
        <v>125</v>
      </c>
      <c r="K3191">
        <v>0</v>
      </c>
      <c r="L3191">
        <v>3</v>
      </c>
      <c r="M3191">
        <v>0</v>
      </c>
      <c r="N3191">
        <v>2</v>
      </c>
      <c r="O3191">
        <v>1</v>
      </c>
      <c r="P3191">
        <v>0</v>
      </c>
      <c r="Q3191">
        <v>0</v>
      </c>
      <c r="S3191" t="str">
        <f>"20:31:48.250"</f>
        <v>20:31:48.250</v>
      </c>
      <c r="T3191" t="str">
        <f>"20:31:47.750"</f>
        <v>20:31:47.750</v>
      </c>
      <c r="U3191" t="str">
        <f t="shared" si="153"/>
        <v>AB01F4</v>
      </c>
      <c r="V3191">
        <v>0</v>
      </c>
      <c r="W3191">
        <v>0</v>
      </c>
      <c r="X3191">
        <v>2</v>
      </c>
      <c r="Z3191">
        <v>0</v>
      </c>
      <c r="AA3191">
        <v>9</v>
      </c>
      <c r="AB3191">
        <v>3</v>
      </c>
      <c r="AC3191">
        <v>0</v>
      </c>
      <c r="AD3191">
        <v>10</v>
      </c>
      <c r="AE3191">
        <v>0</v>
      </c>
      <c r="AF3191">
        <v>3</v>
      </c>
      <c r="AG3191">
        <v>2</v>
      </c>
      <c r="AH3191">
        <v>0</v>
      </c>
      <c r="AI3191" t="s">
        <v>1845</v>
      </c>
      <c r="AJ3191">
        <v>40.055551999999999</v>
      </c>
      <c r="AK3191" t="s">
        <v>1846</v>
      </c>
      <c r="AL3191">
        <v>-92.907515000000004</v>
      </c>
      <c r="AM3191">
        <v>100</v>
      </c>
      <c r="AN3191">
        <v>1300</v>
      </c>
      <c r="AO3191" t="s">
        <v>118</v>
      </c>
      <c r="AP3191">
        <v>-114</v>
      </c>
      <c r="AQ3191">
        <v>66</v>
      </c>
      <c r="AR3191">
        <v>64</v>
      </c>
      <c r="AZ3191">
        <v>1200</v>
      </c>
      <c r="BA3191">
        <v>1</v>
      </c>
      <c r="BB3191" t="str">
        <f t="shared" si="155"/>
        <v xml:space="preserve">N8080G  </v>
      </c>
      <c r="BC3191">
        <v>1</v>
      </c>
      <c r="BE3191">
        <v>0</v>
      </c>
      <c r="BF3191">
        <v>0</v>
      </c>
      <c r="BG3191">
        <v>0</v>
      </c>
      <c r="BH3191">
        <v>1350</v>
      </c>
      <c r="BI3191">
        <v>1</v>
      </c>
      <c r="BJ3191">
        <v>1</v>
      </c>
      <c r="BK3191">
        <v>1</v>
      </c>
      <c r="BL3191">
        <v>0</v>
      </c>
      <c r="BO3191">
        <v>0</v>
      </c>
      <c r="BP3191">
        <v>0</v>
      </c>
      <c r="BW3191" t="str">
        <f>"20:31:48.252"</f>
        <v>20:31:48.252</v>
      </c>
      <c r="BZ3191">
        <v>0</v>
      </c>
      <c r="CA3191">
        <v>1600</v>
      </c>
      <c r="CB3191">
        <v>224</v>
      </c>
      <c r="CD3191">
        <v>1</v>
      </c>
      <c r="CE3191">
        <v>0</v>
      </c>
      <c r="CF3191">
        <v>0</v>
      </c>
      <c r="CG3191">
        <v>1</v>
      </c>
      <c r="CH3191">
        <v>0</v>
      </c>
      <c r="CI3191">
        <v>0</v>
      </c>
      <c r="CJ3191">
        <v>0</v>
      </c>
      <c r="CK3191">
        <v>2</v>
      </c>
      <c r="CL3191">
        <v>0</v>
      </c>
      <c r="CM3191">
        <v>2</v>
      </c>
      <c r="CN3191">
        <v>0</v>
      </c>
      <c r="CO3191">
        <v>7</v>
      </c>
      <c r="CP3191" t="s">
        <v>119</v>
      </c>
      <c r="CQ3191">
        <v>180</v>
      </c>
      <c r="CR3191">
        <v>2</v>
      </c>
      <c r="CW3191">
        <v>8747828</v>
      </c>
      <c r="CY3191">
        <v>1</v>
      </c>
      <c r="CZ3191">
        <v>0</v>
      </c>
      <c r="DA3191">
        <v>0</v>
      </c>
      <c r="DB3191">
        <v>0</v>
      </c>
      <c r="DC3191">
        <v>0</v>
      </c>
      <c r="DD3191">
        <v>0</v>
      </c>
      <c r="DE3191">
        <v>0</v>
      </c>
      <c r="DF3191">
        <v>0</v>
      </c>
      <c r="DG3191">
        <v>0</v>
      </c>
      <c r="DH3191">
        <v>0</v>
      </c>
      <c r="DI3191">
        <v>0</v>
      </c>
    </row>
    <row r="3192" spans="1:113" x14ac:dyDescent="0.3">
      <c r="A3192" t="str">
        <f>"02/08/2021 20:31:45.909"</f>
        <v>02/08/2021 20:31:45.909</v>
      </c>
      <c r="C3192" t="str">
        <f t="shared" si="154"/>
        <v>FFDFD7C0</v>
      </c>
      <c r="D3192" t="s">
        <v>124</v>
      </c>
      <c r="E3192">
        <v>12</v>
      </c>
      <c r="F3192">
        <v>1012</v>
      </c>
      <c r="G3192" t="s">
        <v>675</v>
      </c>
      <c r="J3192" t="s">
        <v>125</v>
      </c>
      <c r="K3192">
        <v>0</v>
      </c>
      <c r="L3192">
        <v>3</v>
      </c>
      <c r="M3192">
        <v>0</v>
      </c>
      <c r="N3192">
        <v>2</v>
      </c>
      <c r="O3192">
        <v>1</v>
      </c>
      <c r="P3192">
        <v>0</v>
      </c>
      <c r="Q3192">
        <v>0</v>
      </c>
      <c r="S3192" t="str">
        <f>"20:31:48.250"</f>
        <v>20:31:48.250</v>
      </c>
      <c r="T3192" t="str">
        <f>"20:31:47.750"</f>
        <v>20:31:47.750</v>
      </c>
      <c r="U3192" t="str">
        <f t="shared" si="153"/>
        <v>AB01F4</v>
      </c>
      <c r="V3192">
        <v>0</v>
      </c>
      <c r="W3192">
        <v>0</v>
      </c>
      <c r="X3192">
        <v>2</v>
      </c>
      <c r="Z3192">
        <v>0</v>
      </c>
      <c r="AA3192">
        <v>9</v>
      </c>
      <c r="AB3192">
        <v>3</v>
      </c>
      <c r="AC3192">
        <v>0</v>
      </c>
      <c r="AD3192">
        <v>10</v>
      </c>
      <c r="AE3192">
        <v>0</v>
      </c>
      <c r="AF3192">
        <v>3</v>
      </c>
      <c r="AG3192">
        <v>2</v>
      </c>
      <c r="AH3192">
        <v>0</v>
      </c>
      <c r="AI3192" t="s">
        <v>1845</v>
      </c>
      <c r="AJ3192">
        <v>40.055551999999999</v>
      </c>
      <c r="AK3192" t="s">
        <v>1846</v>
      </c>
      <c r="AL3192">
        <v>-92.907515000000004</v>
      </c>
      <c r="AM3192">
        <v>100</v>
      </c>
      <c r="AN3192">
        <v>1300</v>
      </c>
      <c r="AO3192" t="s">
        <v>118</v>
      </c>
      <c r="AP3192">
        <v>-114</v>
      </c>
      <c r="AQ3192">
        <v>66</v>
      </c>
      <c r="AR3192">
        <v>64</v>
      </c>
      <c r="AZ3192">
        <v>1200</v>
      </c>
      <c r="BA3192">
        <v>1</v>
      </c>
      <c r="BB3192" t="str">
        <f t="shared" si="155"/>
        <v xml:space="preserve">N8080G  </v>
      </c>
      <c r="BC3192">
        <v>1</v>
      </c>
      <c r="BE3192">
        <v>0</v>
      </c>
      <c r="BF3192">
        <v>0</v>
      </c>
      <c r="BG3192">
        <v>0</v>
      </c>
      <c r="BH3192">
        <v>1350</v>
      </c>
      <c r="BI3192">
        <v>1</v>
      </c>
      <c r="BJ3192">
        <v>1</v>
      </c>
      <c r="BK3192">
        <v>1</v>
      </c>
      <c r="BL3192">
        <v>0</v>
      </c>
      <c r="BO3192">
        <v>0</v>
      </c>
      <c r="BP3192">
        <v>0</v>
      </c>
      <c r="BW3192" t="str">
        <f>"20:31:48.252"</f>
        <v>20:31:48.252</v>
      </c>
      <c r="BZ3192">
        <v>0</v>
      </c>
      <c r="CA3192">
        <v>1600</v>
      </c>
      <c r="CB3192">
        <v>224</v>
      </c>
      <c r="CD3192">
        <v>1</v>
      </c>
      <c r="CE3192">
        <v>0</v>
      </c>
      <c r="CF3192">
        <v>0</v>
      </c>
      <c r="CG3192">
        <v>1</v>
      </c>
      <c r="CH3192">
        <v>0</v>
      </c>
      <c r="CI3192">
        <v>0</v>
      </c>
      <c r="CJ3192">
        <v>0</v>
      </c>
      <c r="CK3192">
        <v>2</v>
      </c>
      <c r="CL3192">
        <v>0</v>
      </c>
      <c r="CM3192">
        <v>2</v>
      </c>
      <c r="CN3192">
        <v>0</v>
      </c>
      <c r="CO3192">
        <v>7</v>
      </c>
      <c r="CP3192" t="s">
        <v>119</v>
      </c>
      <c r="CQ3192">
        <v>180</v>
      </c>
      <c r="CR3192">
        <v>2</v>
      </c>
      <c r="CW3192">
        <v>8747828</v>
      </c>
      <c r="CY3192">
        <v>1</v>
      </c>
      <c r="CZ3192">
        <v>0</v>
      </c>
      <c r="DA3192">
        <v>1</v>
      </c>
      <c r="DB3192">
        <v>0</v>
      </c>
      <c r="DC3192">
        <v>0</v>
      </c>
      <c r="DD3192">
        <v>0</v>
      </c>
      <c r="DE3192">
        <v>0</v>
      </c>
      <c r="DF3192">
        <v>0</v>
      </c>
      <c r="DG3192">
        <v>0</v>
      </c>
      <c r="DH3192">
        <v>0</v>
      </c>
      <c r="DI3192">
        <v>0</v>
      </c>
    </row>
    <row r="3193" spans="1:113" x14ac:dyDescent="0.3">
      <c r="A3193" t="str">
        <f>"02/08/2021 20:31:45.909"</f>
        <v>02/08/2021 20:31:45.909</v>
      </c>
      <c r="C3193" t="str">
        <f t="shared" si="154"/>
        <v>FFDFD7C0</v>
      </c>
      <c r="D3193" t="s">
        <v>113</v>
      </c>
      <c r="E3193">
        <v>6</v>
      </c>
      <c r="H3193">
        <v>165</v>
      </c>
      <c r="I3193" t="s">
        <v>114</v>
      </c>
      <c r="J3193" t="s">
        <v>115</v>
      </c>
      <c r="K3193">
        <v>0</v>
      </c>
      <c r="L3193">
        <v>3</v>
      </c>
      <c r="M3193">
        <v>0</v>
      </c>
      <c r="N3193">
        <v>2</v>
      </c>
      <c r="O3193">
        <v>1</v>
      </c>
      <c r="P3193">
        <v>0</v>
      </c>
      <c r="Q3193">
        <v>0</v>
      </c>
      <c r="S3193" t="str">
        <f>"20:31:48.250"</f>
        <v>20:31:48.250</v>
      </c>
      <c r="T3193" t="str">
        <f>"20:31:47.750"</f>
        <v>20:31:47.750</v>
      </c>
      <c r="U3193" t="str">
        <f t="shared" si="153"/>
        <v>AB01F4</v>
      </c>
      <c r="V3193">
        <v>0</v>
      </c>
      <c r="W3193">
        <v>0</v>
      </c>
      <c r="X3193">
        <v>2</v>
      </c>
      <c r="Z3193">
        <v>0</v>
      </c>
      <c r="AA3193">
        <v>9</v>
      </c>
      <c r="AB3193">
        <v>3</v>
      </c>
      <c r="AC3193">
        <v>0</v>
      </c>
      <c r="AD3193">
        <v>10</v>
      </c>
      <c r="AE3193">
        <v>0</v>
      </c>
      <c r="AF3193">
        <v>3</v>
      </c>
      <c r="AG3193">
        <v>2</v>
      </c>
      <c r="AH3193">
        <v>0</v>
      </c>
      <c r="AI3193" t="s">
        <v>1845</v>
      </c>
      <c r="AJ3193">
        <v>40.055551999999999</v>
      </c>
      <c r="AK3193" t="s">
        <v>1846</v>
      </c>
      <c r="AL3193">
        <v>-92.907515000000004</v>
      </c>
      <c r="AM3193">
        <v>100</v>
      </c>
      <c r="AN3193">
        <v>1300</v>
      </c>
      <c r="AO3193" t="s">
        <v>118</v>
      </c>
      <c r="AP3193">
        <v>-114</v>
      </c>
      <c r="AQ3193">
        <v>66</v>
      </c>
      <c r="AR3193">
        <v>64</v>
      </c>
      <c r="AZ3193">
        <v>1200</v>
      </c>
      <c r="BA3193">
        <v>1</v>
      </c>
      <c r="BB3193" t="str">
        <f t="shared" si="155"/>
        <v xml:space="preserve">N8080G  </v>
      </c>
      <c r="BC3193">
        <v>1</v>
      </c>
      <c r="BE3193">
        <v>0</v>
      </c>
      <c r="BF3193">
        <v>0</v>
      </c>
      <c r="BG3193">
        <v>0</v>
      </c>
      <c r="BH3193">
        <v>1350</v>
      </c>
      <c r="BI3193">
        <v>1</v>
      </c>
      <c r="BJ3193">
        <v>1</v>
      </c>
      <c r="BK3193">
        <v>1</v>
      </c>
      <c r="BL3193">
        <v>0</v>
      </c>
      <c r="BO3193">
        <v>0</v>
      </c>
      <c r="BP3193">
        <v>0</v>
      </c>
      <c r="BW3193" t="str">
        <f>"20:31:48.252"</f>
        <v>20:31:48.252</v>
      </c>
      <c r="BZ3193">
        <v>0</v>
      </c>
      <c r="CA3193">
        <v>1600</v>
      </c>
      <c r="CB3193">
        <v>224</v>
      </c>
      <c r="CD3193">
        <v>1</v>
      </c>
      <c r="CE3193">
        <v>0</v>
      </c>
      <c r="CF3193">
        <v>0</v>
      </c>
      <c r="CG3193">
        <v>1</v>
      </c>
      <c r="CH3193">
        <v>0</v>
      </c>
      <c r="CI3193">
        <v>0</v>
      </c>
      <c r="CJ3193">
        <v>0</v>
      </c>
      <c r="CK3193">
        <v>2</v>
      </c>
      <c r="CL3193">
        <v>0</v>
      </c>
      <c r="CM3193">
        <v>2</v>
      </c>
      <c r="CN3193">
        <v>0</v>
      </c>
      <c r="CO3193">
        <v>7</v>
      </c>
      <c r="CP3193" t="s">
        <v>119</v>
      </c>
      <c r="CQ3193">
        <v>180</v>
      </c>
      <c r="CR3193">
        <v>2</v>
      </c>
      <c r="CW3193">
        <v>8747828</v>
      </c>
      <c r="CY3193">
        <v>1</v>
      </c>
      <c r="CZ3193">
        <v>0</v>
      </c>
      <c r="DA3193">
        <v>1</v>
      </c>
      <c r="DB3193">
        <v>0</v>
      </c>
      <c r="DC3193">
        <v>0</v>
      </c>
      <c r="DD3193">
        <v>0</v>
      </c>
      <c r="DE3193">
        <v>0</v>
      </c>
      <c r="DF3193">
        <v>0</v>
      </c>
      <c r="DG3193">
        <v>0</v>
      </c>
      <c r="DH3193">
        <v>0</v>
      </c>
      <c r="DI3193">
        <v>0</v>
      </c>
    </row>
    <row r="3194" spans="1:113" x14ac:dyDescent="0.3">
      <c r="A3194" t="str">
        <f>"02/08/2021 20:31:45.909"</f>
        <v>02/08/2021 20:31:45.909</v>
      </c>
      <c r="C3194" t="str">
        <f t="shared" si="154"/>
        <v>FFDFD7C0</v>
      </c>
      <c r="D3194" t="s">
        <v>124</v>
      </c>
      <c r="E3194">
        <v>13</v>
      </c>
      <c r="F3194">
        <v>1013</v>
      </c>
      <c r="G3194" t="s">
        <v>114</v>
      </c>
      <c r="J3194" t="s">
        <v>125</v>
      </c>
      <c r="K3194">
        <v>0</v>
      </c>
      <c r="L3194">
        <v>3</v>
      </c>
      <c r="M3194">
        <v>0</v>
      </c>
      <c r="N3194">
        <v>2</v>
      </c>
      <c r="O3194">
        <v>1</v>
      </c>
      <c r="P3194">
        <v>0</v>
      </c>
      <c r="Q3194">
        <v>0</v>
      </c>
      <c r="S3194" t="str">
        <f>"20:31:48.250"</f>
        <v>20:31:48.250</v>
      </c>
      <c r="T3194" t="str">
        <f>"20:31:47.750"</f>
        <v>20:31:47.750</v>
      </c>
      <c r="U3194" t="str">
        <f t="shared" si="153"/>
        <v>AB01F4</v>
      </c>
      <c r="V3194">
        <v>0</v>
      </c>
      <c r="W3194">
        <v>0</v>
      </c>
      <c r="X3194">
        <v>2</v>
      </c>
      <c r="Z3194">
        <v>0</v>
      </c>
      <c r="AA3194">
        <v>9</v>
      </c>
      <c r="AB3194">
        <v>3</v>
      </c>
      <c r="AC3194">
        <v>0</v>
      </c>
      <c r="AD3194">
        <v>10</v>
      </c>
      <c r="AE3194">
        <v>0</v>
      </c>
      <c r="AF3194">
        <v>3</v>
      </c>
      <c r="AG3194">
        <v>2</v>
      </c>
      <c r="AH3194">
        <v>0</v>
      </c>
      <c r="AI3194" t="s">
        <v>1845</v>
      </c>
      <c r="AJ3194">
        <v>40.055551999999999</v>
      </c>
      <c r="AK3194" t="s">
        <v>1846</v>
      </c>
      <c r="AL3194">
        <v>-92.907515000000004</v>
      </c>
      <c r="AM3194">
        <v>100</v>
      </c>
      <c r="AN3194">
        <v>1300</v>
      </c>
      <c r="AO3194" t="s">
        <v>118</v>
      </c>
      <c r="AP3194">
        <v>-114</v>
      </c>
      <c r="AQ3194">
        <v>66</v>
      </c>
      <c r="AR3194">
        <v>64</v>
      </c>
      <c r="AZ3194">
        <v>1200</v>
      </c>
      <c r="BA3194">
        <v>1</v>
      </c>
      <c r="BB3194" t="str">
        <f t="shared" si="155"/>
        <v xml:space="preserve">N8080G  </v>
      </c>
      <c r="BC3194">
        <v>1</v>
      </c>
      <c r="BE3194">
        <v>0</v>
      </c>
      <c r="BF3194">
        <v>0</v>
      </c>
      <c r="BG3194">
        <v>0</v>
      </c>
      <c r="BH3194">
        <v>1350</v>
      </c>
      <c r="BI3194">
        <v>1</v>
      </c>
      <c r="BJ3194">
        <v>1</v>
      </c>
      <c r="BK3194">
        <v>1</v>
      </c>
      <c r="BL3194">
        <v>0</v>
      </c>
      <c r="BO3194">
        <v>0</v>
      </c>
      <c r="BP3194">
        <v>0</v>
      </c>
      <c r="BW3194" t="str">
        <f>"20:31:48.252"</f>
        <v>20:31:48.252</v>
      </c>
      <c r="BZ3194">
        <v>0</v>
      </c>
      <c r="CA3194">
        <v>1600</v>
      </c>
      <c r="CB3194">
        <v>224</v>
      </c>
      <c r="CD3194">
        <v>1</v>
      </c>
      <c r="CE3194">
        <v>0</v>
      </c>
      <c r="CF3194">
        <v>0</v>
      </c>
      <c r="CG3194">
        <v>1</v>
      </c>
      <c r="CH3194">
        <v>0</v>
      </c>
      <c r="CI3194">
        <v>0</v>
      </c>
      <c r="CJ3194">
        <v>0</v>
      </c>
      <c r="CK3194">
        <v>2</v>
      </c>
      <c r="CL3194">
        <v>0</v>
      </c>
      <c r="CM3194">
        <v>2</v>
      </c>
      <c r="CN3194">
        <v>0</v>
      </c>
      <c r="CO3194">
        <v>7</v>
      </c>
      <c r="CP3194" t="s">
        <v>119</v>
      </c>
      <c r="CQ3194">
        <v>180</v>
      </c>
      <c r="CR3194">
        <v>2</v>
      </c>
      <c r="CW3194">
        <v>8747828</v>
      </c>
      <c r="CY3194">
        <v>1</v>
      </c>
      <c r="CZ3194">
        <v>0</v>
      </c>
      <c r="DA3194">
        <v>1</v>
      </c>
      <c r="DB3194">
        <v>0</v>
      </c>
      <c r="DC3194">
        <v>0</v>
      </c>
      <c r="DD3194">
        <v>0</v>
      </c>
      <c r="DE3194">
        <v>0</v>
      </c>
      <c r="DF3194">
        <v>0</v>
      </c>
      <c r="DG3194">
        <v>0</v>
      </c>
      <c r="DH3194">
        <v>0</v>
      </c>
      <c r="DI3194">
        <v>0</v>
      </c>
    </row>
    <row r="3195" spans="1:113" x14ac:dyDescent="0.3">
      <c r="A3195" t="str">
        <f>"02/08/2021 20:31:46.940"</f>
        <v>02/08/2021 20:31:46.940</v>
      </c>
      <c r="C3195" t="str">
        <f t="shared" si="154"/>
        <v>FFDFD7C0</v>
      </c>
      <c r="D3195" t="s">
        <v>113</v>
      </c>
      <c r="E3195">
        <v>6</v>
      </c>
      <c r="H3195">
        <v>165</v>
      </c>
      <c r="I3195" t="s">
        <v>114</v>
      </c>
      <c r="J3195" t="s">
        <v>115</v>
      </c>
      <c r="K3195">
        <v>0</v>
      </c>
      <c r="L3195">
        <v>3</v>
      </c>
      <c r="M3195">
        <v>0</v>
      </c>
      <c r="N3195">
        <v>2</v>
      </c>
      <c r="O3195">
        <v>1</v>
      </c>
      <c r="P3195">
        <v>0</v>
      </c>
      <c r="Q3195">
        <v>0</v>
      </c>
      <c r="S3195" t="str">
        <f>"20:31:49.281"</f>
        <v>20:31:49.281</v>
      </c>
      <c r="T3195" t="str">
        <f>"20:31:48.881"</f>
        <v>20:31:48.881</v>
      </c>
      <c r="U3195" t="str">
        <f t="shared" si="153"/>
        <v>AB01F4</v>
      </c>
      <c r="V3195">
        <v>0</v>
      </c>
      <c r="W3195">
        <v>0</v>
      </c>
      <c r="X3195">
        <v>2</v>
      </c>
      <c r="Z3195">
        <v>0</v>
      </c>
      <c r="AA3195">
        <v>9</v>
      </c>
      <c r="AB3195">
        <v>3</v>
      </c>
      <c r="AC3195">
        <v>0</v>
      </c>
      <c r="AD3195">
        <v>10</v>
      </c>
      <c r="AE3195">
        <v>0</v>
      </c>
      <c r="AF3195">
        <v>3</v>
      </c>
      <c r="AG3195">
        <v>2</v>
      </c>
      <c r="AH3195">
        <v>0</v>
      </c>
      <c r="AI3195" t="s">
        <v>1847</v>
      </c>
      <c r="AJ3195">
        <v>40.05583</v>
      </c>
      <c r="AK3195" t="s">
        <v>1848</v>
      </c>
      <c r="AL3195">
        <v>-92.908201000000005</v>
      </c>
      <c r="AM3195">
        <v>100</v>
      </c>
      <c r="AN3195">
        <v>1300</v>
      </c>
      <c r="AO3195" t="s">
        <v>118</v>
      </c>
      <c r="AP3195">
        <v>-113</v>
      </c>
      <c r="AQ3195">
        <v>67</v>
      </c>
      <c r="AR3195">
        <v>128</v>
      </c>
      <c r="AZ3195">
        <v>1200</v>
      </c>
      <c r="BA3195">
        <v>1</v>
      </c>
      <c r="BB3195" t="str">
        <f t="shared" si="155"/>
        <v xml:space="preserve">N8080G  </v>
      </c>
      <c r="BC3195">
        <v>1</v>
      </c>
      <c r="BE3195">
        <v>0</v>
      </c>
      <c r="BF3195">
        <v>0</v>
      </c>
      <c r="BG3195">
        <v>0</v>
      </c>
      <c r="BH3195">
        <v>1350</v>
      </c>
      <c r="BI3195">
        <v>1</v>
      </c>
      <c r="BJ3195">
        <v>1</v>
      </c>
      <c r="BK3195">
        <v>1</v>
      </c>
      <c r="BL3195">
        <v>0</v>
      </c>
      <c r="BO3195">
        <v>0</v>
      </c>
      <c r="BP3195">
        <v>0</v>
      </c>
      <c r="BW3195" t="str">
        <f>"20:31:49.284"</f>
        <v>20:31:49.284</v>
      </c>
      <c r="BZ3195">
        <v>0</v>
      </c>
      <c r="CA3195">
        <v>1600</v>
      </c>
      <c r="CB3195">
        <v>224</v>
      </c>
      <c r="CD3195">
        <v>1</v>
      </c>
      <c r="CE3195">
        <v>0</v>
      </c>
      <c r="CF3195">
        <v>0</v>
      </c>
      <c r="CG3195">
        <v>1</v>
      </c>
      <c r="CH3195">
        <v>0</v>
      </c>
      <c r="CI3195">
        <v>0</v>
      </c>
      <c r="CJ3195">
        <v>0</v>
      </c>
      <c r="CK3195">
        <v>2</v>
      </c>
      <c r="CL3195">
        <v>0</v>
      </c>
      <c r="CM3195">
        <v>2</v>
      </c>
      <c r="CN3195">
        <v>0</v>
      </c>
      <c r="CO3195">
        <v>7</v>
      </c>
      <c r="CP3195" t="s">
        <v>119</v>
      </c>
      <c r="CQ3195">
        <v>180</v>
      </c>
      <c r="CR3195">
        <v>3</v>
      </c>
      <c r="CW3195">
        <v>1094256</v>
      </c>
      <c r="CY3195">
        <v>1</v>
      </c>
      <c r="CZ3195">
        <v>0</v>
      </c>
      <c r="DA3195">
        <v>0</v>
      </c>
      <c r="DB3195">
        <v>0</v>
      </c>
      <c r="DC3195">
        <v>0</v>
      </c>
      <c r="DD3195">
        <v>0</v>
      </c>
      <c r="DE3195">
        <v>0</v>
      </c>
      <c r="DF3195">
        <v>0</v>
      </c>
      <c r="DG3195">
        <v>0</v>
      </c>
      <c r="DH3195">
        <v>0</v>
      </c>
      <c r="DI3195">
        <v>0</v>
      </c>
    </row>
    <row r="3196" spans="1:113" x14ac:dyDescent="0.3">
      <c r="A3196" t="str">
        <f>"02/08/2021 20:31:46.940"</f>
        <v>02/08/2021 20:31:46.940</v>
      </c>
      <c r="C3196" t="str">
        <f t="shared" si="154"/>
        <v>FFDFD7C0</v>
      </c>
      <c r="D3196" t="s">
        <v>124</v>
      </c>
      <c r="E3196">
        <v>13</v>
      </c>
      <c r="F3196">
        <v>1013</v>
      </c>
      <c r="G3196" t="s">
        <v>114</v>
      </c>
      <c r="J3196" t="s">
        <v>125</v>
      </c>
      <c r="K3196">
        <v>0</v>
      </c>
      <c r="L3196">
        <v>3</v>
      </c>
      <c r="M3196">
        <v>0</v>
      </c>
      <c r="N3196">
        <v>2</v>
      </c>
      <c r="O3196">
        <v>1</v>
      </c>
      <c r="P3196">
        <v>0</v>
      </c>
      <c r="Q3196">
        <v>0</v>
      </c>
      <c r="S3196" t="str">
        <f>"20:31:49.281"</f>
        <v>20:31:49.281</v>
      </c>
      <c r="T3196" t="str">
        <f>"20:31:48.881"</f>
        <v>20:31:48.881</v>
      </c>
      <c r="U3196" t="str">
        <f t="shared" si="153"/>
        <v>AB01F4</v>
      </c>
      <c r="V3196">
        <v>0</v>
      </c>
      <c r="W3196">
        <v>0</v>
      </c>
      <c r="X3196">
        <v>2</v>
      </c>
      <c r="Z3196">
        <v>0</v>
      </c>
      <c r="AA3196">
        <v>9</v>
      </c>
      <c r="AB3196">
        <v>3</v>
      </c>
      <c r="AC3196">
        <v>0</v>
      </c>
      <c r="AD3196">
        <v>10</v>
      </c>
      <c r="AE3196">
        <v>0</v>
      </c>
      <c r="AF3196">
        <v>3</v>
      </c>
      <c r="AG3196">
        <v>2</v>
      </c>
      <c r="AH3196">
        <v>0</v>
      </c>
      <c r="AI3196" t="s">
        <v>1847</v>
      </c>
      <c r="AJ3196">
        <v>40.05583</v>
      </c>
      <c r="AK3196" t="s">
        <v>1848</v>
      </c>
      <c r="AL3196">
        <v>-92.908201000000005</v>
      </c>
      <c r="AM3196">
        <v>100</v>
      </c>
      <c r="AN3196">
        <v>1300</v>
      </c>
      <c r="AO3196" t="s">
        <v>118</v>
      </c>
      <c r="AP3196">
        <v>-113</v>
      </c>
      <c r="AQ3196">
        <v>67</v>
      </c>
      <c r="AR3196">
        <v>128</v>
      </c>
      <c r="AZ3196">
        <v>1200</v>
      </c>
      <c r="BA3196">
        <v>1</v>
      </c>
      <c r="BB3196" t="str">
        <f t="shared" si="155"/>
        <v xml:space="preserve">N8080G  </v>
      </c>
      <c r="BC3196">
        <v>1</v>
      </c>
      <c r="BE3196">
        <v>0</v>
      </c>
      <c r="BF3196">
        <v>0</v>
      </c>
      <c r="BG3196">
        <v>0</v>
      </c>
      <c r="BH3196">
        <v>1350</v>
      </c>
      <c r="BI3196">
        <v>1</v>
      </c>
      <c r="BJ3196">
        <v>1</v>
      </c>
      <c r="BK3196">
        <v>1</v>
      </c>
      <c r="BL3196">
        <v>0</v>
      </c>
      <c r="BO3196">
        <v>0</v>
      </c>
      <c r="BP3196">
        <v>0</v>
      </c>
      <c r="BW3196" t="str">
        <f>"20:31:49.284"</f>
        <v>20:31:49.284</v>
      </c>
      <c r="BZ3196">
        <v>0</v>
      </c>
      <c r="CA3196">
        <v>1600</v>
      </c>
      <c r="CB3196">
        <v>224</v>
      </c>
      <c r="CD3196">
        <v>1</v>
      </c>
      <c r="CE3196">
        <v>0</v>
      </c>
      <c r="CF3196">
        <v>0</v>
      </c>
      <c r="CG3196">
        <v>1</v>
      </c>
      <c r="CH3196">
        <v>0</v>
      </c>
      <c r="CI3196">
        <v>0</v>
      </c>
      <c r="CJ3196">
        <v>0</v>
      </c>
      <c r="CK3196">
        <v>2</v>
      </c>
      <c r="CL3196">
        <v>0</v>
      </c>
      <c r="CM3196">
        <v>2</v>
      </c>
      <c r="CN3196">
        <v>0</v>
      </c>
      <c r="CO3196">
        <v>7</v>
      </c>
      <c r="CP3196" t="s">
        <v>119</v>
      </c>
      <c r="CQ3196">
        <v>180</v>
      </c>
      <c r="CR3196">
        <v>3</v>
      </c>
      <c r="CW3196">
        <v>1094256</v>
      </c>
      <c r="CY3196">
        <v>1</v>
      </c>
      <c r="CZ3196">
        <v>0</v>
      </c>
      <c r="DA3196">
        <v>1</v>
      </c>
      <c r="DB3196">
        <v>0</v>
      </c>
      <c r="DC3196">
        <v>0</v>
      </c>
      <c r="DD3196">
        <v>0</v>
      </c>
      <c r="DE3196">
        <v>0</v>
      </c>
      <c r="DF3196">
        <v>0</v>
      </c>
      <c r="DG3196">
        <v>0</v>
      </c>
      <c r="DH3196">
        <v>0</v>
      </c>
      <c r="DI3196">
        <v>0</v>
      </c>
    </row>
    <row r="3197" spans="1:113" x14ac:dyDescent="0.3">
      <c r="A3197" t="str">
        <f>"02/08/2021 20:31:46.940"</f>
        <v>02/08/2021 20:31:46.940</v>
      </c>
      <c r="C3197" t="str">
        <f t="shared" si="154"/>
        <v>FFDFD7C0</v>
      </c>
      <c r="D3197" t="s">
        <v>124</v>
      </c>
      <c r="E3197">
        <v>11</v>
      </c>
      <c r="F3197">
        <v>1011</v>
      </c>
      <c r="G3197" t="s">
        <v>590</v>
      </c>
      <c r="J3197" t="s">
        <v>125</v>
      </c>
      <c r="K3197">
        <v>0</v>
      </c>
      <c r="L3197">
        <v>3</v>
      </c>
      <c r="M3197">
        <v>0</v>
      </c>
      <c r="N3197">
        <v>2</v>
      </c>
      <c r="O3197">
        <v>1</v>
      </c>
      <c r="P3197">
        <v>0</v>
      </c>
      <c r="Q3197">
        <v>0</v>
      </c>
      <c r="S3197" t="str">
        <f>"20:31:49.281"</f>
        <v>20:31:49.281</v>
      </c>
      <c r="T3197" t="str">
        <f>"20:31:48.881"</f>
        <v>20:31:48.881</v>
      </c>
      <c r="U3197" t="str">
        <f t="shared" si="153"/>
        <v>AB01F4</v>
      </c>
      <c r="V3197">
        <v>0</v>
      </c>
      <c r="W3197">
        <v>0</v>
      </c>
      <c r="X3197">
        <v>2</v>
      </c>
      <c r="Z3197">
        <v>0</v>
      </c>
      <c r="AA3197">
        <v>9</v>
      </c>
      <c r="AB3197">
        <v>3</v>
      </c>
      <c r="AC3197">
        <v>0</v>
      </c>
      <c r="AD3197">
        <v>10</v>
      </c>
      <c r="AE3197">
        <v>0</v>
      </c>
      <c r="AF3197">
        <v>3</v>
      </c>
      <c r="AG3197">
        <v>2</v>
      </c>
      <c r="AH3197">
        <v>0</v>
      </c>
      <c r="AI3197" t="s">
        <v>1847</v>
      </c>
      <c r="AJ3197">
        <v>40.05583</v>
      </c>
      <c r="AK3197" t="s">
        <v>1848</v>
      </c>
      <c r="AL3197">
        <v>-92.908201000000005</v>
      </c>
      <c r="AM3197">
        <v>100</v>
      </c>
      <c r="AN3197">
        <v>1300</v>
      </c>
      <c r="AO3197" t="s">
        <v>118</v>
      </c>
      <c r="AP3197">
        <v>-113</v>
      </c>
      <c r="AQ3197">
        <v>67</v>
      </c>
      <c r="AR3197">
        <v>128</v>
      </c>
      <c r="AZ3197">
        <v>1200</v>
      </c>
      <c r="BA3197">
        <v>1</v>
      </c>
      <c r="BB3197" t="str">
        <f t="shared" si="155"/>
        <v xml:space="preserve">N8080G  </v>
      </c>
      <c r="BC3197">
        <v>1</v>
      </c>
      <c r="BE3197">
        <v>0</v>
      </c>
      <c r="BF3197">
        <v>0</v>
      </c>
      <c r="BG3197">
        <v>0</v>
      </c>
      <c r="BH3197">
        <v>1350</v>
      </c>
      <c r="BI3197">
        <v>1</v>
      </c>
      <c r="BJ3197">
        <v>1</v>
      </c>
      <c r="BK3197">
        <v>1</v>
      </c>
      <c r="BL3197">
        <v>0</v>
      </c>
      <c r="BO3197">
        <v>0</v>
      </c>
      <c r="BP3197">
        <v>0</v>
      </c>
      <c r="BW3197" t="str">
        <f>"20:31:49.284"</f>
        <v>20:31:49.284</v>
      </c>
      <c r="BZ3197">
        <v>0</v>
      </c>
      <c r="CA3197">
        <v>1600</v>
      </c>
      <c r="CB3197">
        <v>224</v>
      </c>
      <c r="CD3197">
        <v>1</v>
      </c>
      <c r="CE3197">
        <v>0</v>
      </c>
      <c r="CF3197">
        <v>0</v>
      </c>
      <c r="CG3197">
        <v>1</v>
      </c>
      <c r="CH3197">
        <v>0</v>
      </c>
      <c r="CI3197">
        <v>0</v>
      </c>
      <c r="CJ3197">
        <v>0</v>
      </c>
      <c r="CK3197">
        <v>2</v>
      </c>
      <c r="CL3197">
        <v>0</v>
      </c>
      <c r="CM3197">
        <v>2</v>
      </c>
      <c r="CN3197">
        <v>0</v>
      </c>
      <c r="CO3197">
        <v>7</v>
      </c>
      <c r="CP3197" t="s">
        <v>119</v>
      </c>
      <c r="CQ3197">
        <v>180</v>
      </c>
      <c r="CR3197">
        <v>3</v>
      </c>
      <c r="CW3197">
        <v>1094256</v>
      </c>
      <c r="CY3197">
        <v>1</v>
      </c>
      <c r="CZ3197">
        <v>0</v>
      </c>
      <c r="DA3197">
        <v>1</v>
      </c>
      <c r="DB3197">
        <v>0</v>
      </c>
      <c r="DC3197">
        <v>0</v>
      </c>
      <c r="DD3197">
        <v>0</v>
      </c>
      <c r="DE3197">
        <v>0</v>
      </c>
      <c r="DF3197">
        <v>0</v>
      </c>
      <c r="DG3197">
        <v>0</v>
      </c>
      <c r="DH3197">
        <v>0</v>
      </c>
      <c r="DI3197">
        <v>0</v>
      </c>
    </row>
    <row r="3198" spans="1:113" x14ac:dyDescent="0.3">
      <c r="A3198" t="str">
        <f>"02/08/2021 20:31:46.940"</f>
        <v>02/08/2021 20:31:46.940</v>
      </c>
      <c r="C3198" t="str">
        <f t="shared" si="154"/>
        <v>FFDFD7C0</v>
      </c>
      <c r="D3198" t="s">
        <v>124</v>
      </c>
      <c r="E3198">
        <v>12</v>
      </c>
      <c r="F3198">
        <v>1012</v>
      </c>
      <c r="G3198" t="s">
        <v>675</v>
      </c>
      <c r="J3198" t="s">
        <v>125</v>
      </c>
      <c r="K3198">
        <v>0</v>
      </c>
      <c r="L3198">
        <v>3</v>
      </c>
      <c r="M3198">
        <v>0</v>
      </c>
      <c r="N3198">
        <v>2</v>
      </c>
      <c r="O3198">
        <v>1</v>
      </c>
      <c r="P3198">
        <v>0</v>
      </c>
      <c r="Q3198">
        <v>0</v>
      </c>
      <c r="S3198" t="str">
        <f>"20:31:49.281"</f>
        <v>20:31:49.281</v>
      </c>
      <c r="T3198" t="str">
        <f>"20:31:48.881"</f>
        <v>20:31:48.881</v>
      </c>
      <c r="U3198" t="str">
        <f t="shared" si="153"/>
        <v>AB01F4</v>
      </c>
      <c r="V3198">
        <v>0</v>
      </c>
      <c r="W3198">
        <v>0</v>
      </c>
      <c r="X3198">
        <v>2</v>
      </c>
      <c r="Z3198">
        <v>0</v>
      </c>
      <c r="AA3198">
        <v>9</v>
      </c>
      <c r="AB3198">
        <v>3</v>
      </c>
      <c r="AC3198">
        <v>0</v>
      </c>
      <c r="AD3198">
        <v>10</v>
      </c>
      <c r="AE3198">
        <v>0</v>
      </c>
      <c r="AF3198">
        <v>3</v>
      </c>
      <c r="AG3198">
        <v>2</v>
      </c>
      <c r="AH3198">
        <v>0</v>
      </c>
      <c r="AI3198" t="s">
        <v>1847</v>
      </c>
      <c r="AJ3198">
        <v>40.05583</v>
      </c>
      <c r="AK3198" t="s">
        <v>1848</v>
      </c>
      <c r="AL3198">
        <v>-92.908201000000005</v>
      </c>
      <c r="AM3198">
        <v>100</v>
      </c>
      <c r="AN3198">
        <v>1300</v>
      </c>
      <c r="AO3198" t="s">
        <v>118</v>
      </c>
      <c r="AP3198">
        <v>-113</v>
      </c>
      <c r="AQ3198">
        <v>67</v>
      </c>
      <c r="AR3198">
        <v>128</v>
      </c>
      <c r="AZ3198">
        <v>1200</v>
      </c>
      <c r="BA3198">
        <v>1</v>
      </c>
      <c r="BB3198" t="str">
        <f t="shared" si="155"/>
        <v xml:space="preserve">N8080G  </v>
      </c>
      <c r="BC3198">
        <v>1</v>
      </c>
      <c r="BE3198">
        <v>0</v>
      </c>
      <c r="BF3198">
        <v>0</v>
      </c>
      <c r="BG3198">
        <v>0</v>
      </c>
      <c r="BH3198">
        <v>1350</v>
      </c>
      <c r="BI3198">
        <v>1</v>
      </c>
      <c r="BJ3198">
        <v>1</v>
      </c>
      <c r="BK3198">
        <v>1</v>
      </c>
      <c r="BL3198">
        <v>0</v>
      </c>
      <c r="BO3198">
        <v>0</v>
      </c>
      <c r="BP3198">
        <v>0</v>
      </c>
      <c r="BW3198" t="str">
        <f>"20:31:49.284"</f>
        <v>20:31:49.284</v>
      </c>
      <c r="BZ3198">
        <v>0</v>
      </c>
      <c r="CA3198">
        <v>1600</v>
      </c>
      <c r="CB3198">
        <v>224</v>
      </c>
      <c r="CD3198">
        <v>1</v>
      </c>
      <c r="CE3198">
        <v>0</v>
      </c>
      <c r="CF3198">
        <v>0</v>
      </c>
      <c r="CG3198">
        <v>1</v>
      </c>
      <c r="CH3198">
        <v>0</v>
      </c>
      <c r="CI3198">
        <v>0</v>
      </c>
      <c r="CJ3198">
        <v>0</v>
      </c>
      <c r="CK3198">
        <v>2</v>
      </c>
      <c r="CL3198">
        <v>0</v>
      </c>
      <c r="CM3198">
        <v>2</v>
      </c>
      <c r="CN3198">
        <v>0</v>
      </c>
      <c r="CO3198">
        <v>7</v>
      </c>
      <c r="CP3198" t="s">
        <v>119</v>
      </c>
      <c r="CQ3198">
        <v>180</v>
      </c>
      <c r="CR3198">
        <v>3</v>
      </c>
      <c r="CW3198">
        <v>1094256</v>
      </c>
      <c r="CY3198">
        <v>1</v>
      </c>
      <c r="CZ3198">
        <v>0</v>
      </c>
      <c r="DA3198">
        <v>1</v>
      </c>
      <c r="DB3198">
        <v>0</v>
      </c>
      <c r="DC3198">
        <v>0</v>
      </c>
      <c r="DD3198">
        <v>0</v>
      </c>
      <c r="DE3198">
        <v>0</v>
      </c>
      <c r="DF3198">
        <v>0</v>
      </c>
      <c r="DG3198">
        <v>0</v>
      </c>
      <c r="DH3198">
        <v>0</v>
      </c>
      <c r="DI3198">
        <v>0</v>
      </c>
    </row>
    <row r="3199" spans="1:113" x14ac:dyDescent="0.3">
      <c r="A3199" t="str">
        <f>"02/08/2021 20:31:48.406"</f>
        <v>02/08/2021 20:31:48.406</v>
      </c>
      <c r="C3199" t="str">
        <f t="shared" si="154"/>
        <v>FFDFD7C0</v>
      </c>
      <c r="D3199" t="s">
        <v>124</v>
      </c>
      <c r="E3199">
        <v>13</v>
      </c>
      <c r="F3199">
        <v>1013</v>
      </c>
      <c r="G3199" t="s">
        <v>114</v>
      </c>
      <c r="J3199" t="s">
        <v>125</v>
      </c>
      <c r="K3199">
        <v>0</v>
      </c>
      <c r="L3199">
        <v>3</v>
      </c>
      <c r="M3199">
        <v>0</v>
      </c>
      <c r="N3199">
        <v>2</v>
      </c>
      <c r="O3199">
        <v>1</v>
      </c>
      <c r="P3199">
        <v>0</v>
      </c>
      <c r="Q3199">
        <v>0</v>
      </c>
      <c r="S3199" t="str">
        <f>"20:31:50.750"</f>
        <v>20:31:50.750</v>
      </c>
      <c r="T3199" t="str">
        <f>"20:31:50.350"</f>
        <v>20:31:50.350</v>
      </c>
      <c r="U3199" t="str">
        <f t="shared" si="153"/>
        <v>AB01F4</v>
      </c>
      <c r="V3199">
        <v>0</v>
      </c>
      <c r="W3199">
        <v>0</v>
      </c>
      <c r="X3199">
        <v>2</v>
      </c>
      <c r="Z3199">
        <v>0</v>
      </c>
      <c r="AA3199">
        <v>9</v>
      </c>
      <c r="AB3199">
        <v>3</v>
      </c>
      <c r="AC3199">
        <v>0</v>
      </c>
      <c r="AD3199">
        <v>10</v>
      </c>
      <c r="AE3199">
        <v>0</v>
      </c>
      <c r="AF3199">
        <v>3</v>
      </c>
      <c r="AG3199">
        <v>2</v>
      </c>
      <c r="AH3199">
        <v>0</v>
      </c>
      <c r="AI3199" t="s">
        <v>1849</v>
      </c>
      <c r="AJ3199">
        <v>40.056345</v>
      </c>
      <c r="AK3199" t="s">
        <v>1850</v>
      </c>
      <c r="AL3199">
        <v>-92.909188</v>
      </c>
      <c r="AM3199">
        <v>100</v>
      </c>
      <c r="AN3199">
        <v>1300</v>
      </c>
      <c r="AO3199" t="s">
        <v>118</v>
      </c>
      <c r="AP3199">
        <v>-111</v>
      </c>
      <c r="AQ3199">
        <v>68</v>
      </c>
      <c r="AR3199">
        <v>64</v>
      </c>
      <c r="AZ3199">
        <v>1200</v>
      </c>
      <c r="BA3199">
        <v>1</v>
      </c>
      <c r="BB3199" t="str">
        <f t="shared" si="155"/>
        <v xml:space="preserve">N8080G  </v>
      </c>
      <c r="BC3199">
        <v>1</v>
      </c>
      <c r="BE3199">
        <v>0</v>
      </c>
      <c r="BF3199">
        <v>0</v>
      </c>
      <c r="BG3199">
        <v>0</v>
      </c>
      <c r="BH3199">
        <v>1350</v>
      </c>
      <c r="BI3199">
        <v>1</v>
      </c>
      <c r="BJ3199">
        <v>1</v>
      </c>
      <c r="BK3199">
        <v>1</v>
      </c>
      <c r="BL3199">
        <v>0</v>
      </c>
      <c r="BO3199">
        <v>0</v>
      </c>
      <c r="BP3199">
        <v>0</v>
      </c>
      <c r="BW3199" t="str">
        <f>"20:31:50.756"</f>
        <v>20:31:50.756</v>
      </c>
      <c r="BZ3199">
        <v>0</v>
      </c>
      <c r="CA3199">
        <v>1600</v>
      </c>
      <c r="CB3199">
        <v>224</v>
      </c>
      <c r="CD3199">
        <v>1</v>
      </c>
      <c r="CE3199">
        <v>0</v>
      </c>
      <c r="CF3199">
        <v>0</v>
      </c>
      <c r="CG3199">
        <v>1</v>
      </c>
      <c r="CH3199">
        <v>0</v>
      </c>
      <c r="CI3199">
        <v>0</v>
      </c>
      <c r="CJ3199">
        <v>0</v>
      </c>
      <c r="CK3199">
        <v>2</v>
      </c>
      <c r="CL3199">
        <v>0</v>
      </c>
      <c r="CM3199">
        <v>2</v>
      </c>
      <c r="CN3199">
        <v>0</v>
      </c>
      <c r="CO3199">
        <v>7</v>
      </c>
      <c r="CP3199" t="s">
        <v>119</v>
      </c>
      <c r="CQ3199">
        <v>180</v>
      </c>
      <c r="CR3199">
        <v>3</v>
      </c>
      <c r="CW3199">
        <v>1095476</v>
      </c>
      <c r="CY3199">
        <v>1</v>
      </c>
      <c r="CZ3199">
        <v>0</v>
      </c>
      <c r="DA3199">
        <v>0</v>
      </c>
      <c r="DB3199">
        <v>0</v>
      </c>
      <c r="DC3199">
        <v>0</v>
      </c>
      <c r="DD3199">
        <v>0</v>
      </c>
      <c r="DE3199">
        <v>0</v>
      </c>
      <c r="DF3199">
        <v>0</v>
      </c>
      <c r="DG3199">
        <v>0</v>
      </c>
      <c r="DH3199">
        <v>0</v>
      </c>
      <c r="DI3199">
        <v>0</v>
      </c>
    </row>
    <row r="3200" spans="1:113" x14ac:dyDescent="0.3">
      <c r="A3200" t="str">
        <f>"02/08/2021 20:31:48.406"</f>
        <v>02/08/2021 20:31:48.406</v>
      </c>
      <c r="C3200" t="str">
        <f t="shared" si="154"/>
        <v>FFDFD7C0</v>
      </c>
      <c r="D3200" t="s">
        <v>113</v>
      </c>
      <c r="E3200">
        <v>6</v>
      </c>
      <c r="H3200">
        <v>165</v>
      </c>
      <c r="I3200" t="s">
        <v>114</v>
      </c>
      <c r="J3200" t="s">
        <v>115</v>
      </c>
      <c r="K3200">
        <v>0</v>
      </c>
      <c r="L3200">
        <v>3</v>
      </c>
      <c r="M3200">
        <v>0</v>
      </c>
      <c r="N3200">
        <v>2</v>
      </c>
      <c r="O3200">
        <v>1</v>
      </c>
      <c r="P3200">
        <v>0</v>
      </c>
      <c r="Q3200">
        <v>0</v>
      </c>
      <c r="S3200" t="str">
        <f>"20:31:50.750"</f>
        <v>20:31:50.750</v>
      </c>
      <c r="T3200" t="str">
        <f>"20:31:50.350"</f>
        <v>20:31:50.350</v>
      </c>
      <c r="U3200" t="str">
        <f t="shared" si="153"/>
        <v>AB01F4</v>
      </c>
      <c r="V3200">
        <v>0</v>
      </c>
      <c r="W3200">
        <v>0</v>
      </c>
      <c r="X3200">
        <v>2</v>
      </c>
      <c r="Z3200">
        <v>0</v>
      </c>
      <c r="AA3200">
        <v>9</v>
      </c>
      <c r="AB3200">
        <v>3</v>
      </c>
      <c r="AC3200">
        <v>0</v>
      </c>
      <c r="AD3200">
        <v>10</v>
      </c>
      <c r="AE3200">
        <v>0</v>
      </c>
      <c r="AF3200">
        <v>3</v>
      </c>
      <c r="AG3200">
        <v>2</v>
      </c>
      <c r="AH3200">
        <v>0</v>
      </c>
      <c r="AI3200" t="s">
        <v>1849</v>
      </c>
      <c r="AJ3200">
        <v>40.056345</v>
      </c>
      <c r="AK3200" t="s">
        <v>1850</v>
      </c>
      <c r="AL3200">
        <v>-92.909188</v>
      </c>
      <c r="AM3200">
        <v>100</v>
      </c>
      <c r="AN3200">
        <v>1300</v>
      </c>
      <c r="AO3200" t="s">
        <v>118</v>
      </c>
      <c r="AP3200">
        <v>-111</v>
      </c>
      <c r="AQ3200">
        <v>68</v>
      </c>
      <c r="AR3200">
        <v>64</v>
      </c>
      <c r="AZ3200">
        <v>1200</v>
      </c>
      <c r="BA3200">
        <v>1</v>
      </c>
      <c r="BB3200" t="str">
        <f t="shared" si="155"/>
        <v xml:space="preserve">N8080G  </v>
      </c>
      <c r="BC3200">
        <v>1</v>
      </c>
      <c r="BE3200">
        <v>0</v>
      </c>
      <c r="BF3200">
        <v>0</v>
      </c>
      <c r="BG3200">
        <v>0</v>
      </c>
      <c r="BH3200">
        <v>1350</v>
      </c>
      <c r="BI3200">
        <v>1</v>
      </c>
      <c r="BJ3200">
        <v>1</v>
      </c>
      <c r="BK3200">
        <v>1</v>
      </c>
      <c r="BL3200">
        <v>0</v>
      </c>
      <c r="BO3200">
        <v>0</v>
      </c>
      <c r="BP3200">
        <v>0</v>
      </c>
      <c r="BW3200" t="str">
        <f>"20:31:50.756"</f>
        <v>20:31:50.756</v>
      </c>
      <c r="BZ3200">
        <v>0</v>
      </c>
      <c r="CA3200">
        <v>1600</v>
      </c>
      <c r="CB3200">
        <v>224</v>
      </c>
      <c r="CD3200">
        <v>1</v>
      </c>
      <c r="CE3200">
        <v>0</v>
      </c>
      <c r="CF3200">
        <v>0</v>
      </c>
      <c r="CG3200">
        <v>1</v>
      </c>
      <c r="CH3200">
        <v>0</v>
      </c>
      <c r="CI3200">
        <v>0</v>
      </c>
      <c r="CJ3200">
        <v>0</v>
      </c>
      <c r="CK3200">
        <v>2</v>
      </c>
      <c r="CL3200">
        <v>0</v>
      </c>
      <c r="CM3200">
        <v>2</v>
      </c>
      <c r="CN3200">
        <v>0</v>
      </c>
      <c r="CO3200">
        <v>7</v>
      </c>
      <c r="CP3200" t="s">
        <v>119</v>
      </c>
      <c r="CQ3200">
        <v>180</v>
      </c>
      <c r="CR3200">
        <v>3</v>
      </c>
      <c r="CW3200">
        <v>1095476</v>
      </c>
      <c r="CY3200">
        <v>1</v>
      </c>
      <c r="CZ3200">
        <v>0</v>
      </c>
      <c r="DA3200">
        <v>1</v>
      </c>
      <c r="DB3200">
        <v>0</v>
      </c>
      <c r="DC3200">
        <v>0</v>
      </c>
      <c r="DD3200">
        <v>0</v>
      </c>
      <c r="DE3200">
        <v>0</v>
      </c>
      <c r="DF3200">
        <v>0</v>
      </c>
      <c r="DG3200">
        <v>0</v>
      </c>
      <c r="DH3200">
        <v>0</v>
      </c>
      <c r="DI3200">
        <v>0</v>
      </c>
    </row>
    <row r="3201" spans="1:113" x14ac:dyDescent="0.3">
      <c r="A3201" t="str">
        <f>"02/08/2021 20:31:48.406"</f>
        <v>02/08/2021 20:31:48.406</v>
      </c>
      <c r="C3201" t="str">
        <f t="shared" si="154"/>
        <v>FFDFD7C0</v>
      </c>
      <c r="D3201" t="s">
        <v>124</v>
      </c>
      <c r="E3201">
        <v>11</v>
      </c>
      <c r="F3201">
        <v>1011</v>
      </c>
      <c r="G3201" t="s">
        <v>590</v>
      </c>
      <c r="J3201" t="s">
        <v>125</v>
      </c>
      <c r="K3201">
        <v>0</v>
      </c>
      <c r="L3201">
        <v>3</v>
      </c>
      <c r="M3201">
        <v>0</v>
      </c>
      <c r="N3201">
        <v>2</v>
      </c>
      <c r="O3201">
        <v>1</v>
      </c>
      <c r="P3201">
        <v>0</v>
      </c>
      <c r="Q3201">
        <v>0</v>
      </c>
      <c r="S3201" t="str">
        <f>"20:31:50.750"</f>
        <v>20:31:50.750</v>
      </c>
      <c r="T3201" t="str">
        <f>"20:31:50.350"</f>
        <v>20:31:50.350</v>
      </c>
      <c r="U3201" t="str">
        <f t="shared" si="153"/>
        <v>AB01F4</v>
      </c>
      <c r="V3201">
        <v>0</v>
      </c>
      <c r="W3201">
        <v>0</v>
      </c>
      <c r="X3201">
        <v>2</v>
      </c>
      <c r="Z3201">
        <v>0</v>
      </c>
      <c r="AA3201">
        <v>9</v>
      </c>
      <c r="AB3201">
        <v>3</v>
      </c>
      <c r="AC3201">
        <v>0</v>
      </c>
      <c r="AD3201">
        <v>10</v>
      </c>
      <c r="AE3201">
        <v>0</v>
      </c>
      <c r="AF3201">
        <v>3</v>
      </c>
      <c r="AG3201">
        <v>2</v>
      </c>
      <c r="AH3201">
        <v>0</v>
      </c>
      <c r="AI3201" t="s">
        <v>1849</v>
      </c>
      <c r="AJ3201">
        <v>40.056345</v>
      </c>
      <c r="AK3201" t="s">
        <v>1850</v>
      </c>
      <c r="AL3201">
        <v>-92.909188</v>
      </c>
      <c r="AM3201">
        <v>100</v>
      </c>
      <c r="AN3201">
        <v>1300</v>
      </c>
      <c r="AO3201" t="s">
        <v>118</v>
      </c>
      <c r="AP3201">
        <v>-111</v>
      </c>
      <c r="AQ3201">
        <v>68</v>
      </c>
      <c r="AR3201">
        <v>64</v>
      </c>
      <c r="AZ3201">
        <v>1200</v>
      </c>
      <c r="BA3201">
        <v>1</v>
      </c>
      <c r="BB3201" t="str">
        <f t="shared" si="155"/>
        <v xml:space="preserve">N8080G  </v>
      </c>
      <c r="BC3201">
        <v>1</v>
      </c>
      <c r="BE3201">
        <v>0</v>
      </c>
      <c r="BF3201">
        <v>0</v>
      </c>
      <c r="BG3201">
        <v>0</v>
      </c>
      <c r="BH3201">
        <v>1350</v>
      </c>
      <c r="BI3201">
        <v>1</v>
      </c>
      <c r="BJ3201">
        <v>1</v>
      </c>
      <c r="BK3201">
        <v>1</v>
      </c>
      <c r="BL3201">
        <v>0</v>
      </c>
      <c r="BO3201">
        <v>0</v>
      </c>
      <c r="BP3201">
        <v>0</v>
      </c>
      <c r="BW3201" t="str">
        <f>"20:31:50.756"</f>
        <v>20:31:50.756</v>
      </c>
      <c r="BZ3201">
        <v>0</v>
      </c>
      <c r="CA3201">
        <v>1600</v>
      </c>
      <c r="CB3201">
        <v>224</v>
      </c>
      <c r="CD3201">
        <v>1</v>
      </c>
      <c r="CE3201">
        <v>0</v>
      </c>
      <c r="CF3201">
        <v>0</v>
      </c>
      <c r="CG3201">
        <v>1</v>
      </c>
      <c r="CH3201">
        <v>0</v>
      </c>
      <c r="CI3201">
        <v>0</v>
      </c>
      <c r="CJ3201">
        <v>0</v>
      </c>
      <c r="CK3201">
        <v>2</v>
      </c>
      <c r="CL3201">
        <v>0</v>
      </c>
      <c r="CM3201">
        <v>2</v>
      </c>
      <c r="CN3201">
        <v>0</v>
      </c>
      <c r="CO3201">
        <v>7</v>
      </c>
      <c r="CP3201" t="s">
        <v>119</v>
      </c>
      <c r="CQ3201">
        <v>180</v>
      </c>
      <c r="CR3201">
        <v>3</v>
      </c>
      <c r="CW3201">
        <v>1095476</v>
      </c>
      <c r="CY3201">
        <v>1</v>
      </c>
      <c r="CZ3201">
        <v>0</v>
      </c>
      <c r="DA3201">
        <v>1</v>
      </c>
      <c r="DB3201">
        <v>0</v>
      </c>
      <c r="DC3201">
        <v>0</v>
      </c>
      <c r="DD3201">
        <v>0</v>
      </c>
      <c r="DE3201">
        <v>0</v>
      </c>
      <c r="DF3201">
        <v>0</v>
      </c>
      <c r="DG3201">
        <v>0</v>
      </c>
      <c r="DH3201">
        <v>0</v>
      </c>
      <c r="DI3201">
        <v>0</v>
      </c>
    </row>
    <row r="3202" spans="1:113" x14ac:dyDescent="0.3">
      <c r="A3202" t="str">
        <f>"02/08/2021 20:31:48.406"</f>
        <v>02/08/2021 20:31:48.406</v>
      </c>
      <c r="C3202" t="str">
        <f t="shared" si="154"/>
        <v>FFDFD7C0</v>
      </c>
      <c r="D3202" t="s">
        <v>124</v>
      </c>
      <c r="E3202">
        <v>12</v>
      </c>
      <c r="F3202">
        <v>1012</v>
      </c>
      <c r="G3202" t="s">
        <v>675</v>
      </c>
      <c r="J3202" t="s">
        <v>125</v>
      </c>
      <c r="K3202">
        <v>0</v>
      </c>
      <c r="L3202">
        <v>3</v>
      </c>
      <c r="M3202">
        <v>0</v>
      </c>
      <c r="N3202">
        <v>2</v>
      </c>
      <c r="O3202">
        <v>1</v>
      </c>
      <c r="P3202">
        <v>0</v>
      </c>
      <c r="Q3202">
        <v>0</v>
      </c>
      <c r="S3202" t="str">
        <f>"20:31:50.750"</f>
        <v>20:31:50.750</v>
      </c>
      <c r="T3202" t="str">
        <f>"20:31:50.350"</f>
        <v>20:31:50.350</v>
      </c>
      <c r="U3202" t="str">
        <f t="shared" ref="U3202:U3265" si="156">"AB01F4"</f>
        <v>AB01F4</v>
      </c>
      <c r="V3202">
        <v>0</v>
      </c>
      <c r="W3202">
        <v>0</v>
      </c>
      <c r="X3202">
        <v>2</v>
      </c>
      <c r="Z3202">
        <v>0</v>
      </c>
      <c r="AA3202">
        <v>9</v>
      </c>
      <c r="AB3202">
        <v>3</v>
      </c>
      <c r="AC3202">
        <v>0</v>
      </c>
      <c r="AD3202">
        <v>10</v>
      </c>
      <c r="AE3202">
        <v>0</v>
      </c>
      <c r="AF3202">
        <v>3</v>
      </c>
      <c r="AG3202">
        <v>2</v>
      </c>
      <c r="AH3202">
        <v>0</v>
      </c>
      <c r="AI3202" t="s">
        <v>1849</v>
      </c>
      <c r="AJ3202">
        <v>40.056345</v>
      </c>
      <c r="AK3202" t="s">
        <v>1850</v>
      </c>
      <c r="AL3202">
        <v>-92.909188</v>
      </c>
      <c r="AM3202">
        <v>100</v>
      </c>
      <c r="AN3202">
        <v>1300</v>
      </c>
      <c r="AO3202" t="s">
        <v>118</v>
      </c>
      <c r="AP3202">
        <v>-111</v>
      </c>
      <c r="AQ3202">
        <v>68</v>
      </c>
      <c r="AR3202">
        <v>64</v>
      </c>
      <c r="AZ3202">
        <v>1200</v>
      </c>
      <c r="BA3202">
        <v>1</v>
      </c>
      <c r="BB3202" t="str">
        <f t="shared" si="155"/>
        <v xml:space="preserve">N8080G  </v>
      </c>
      <c r="BC3202">
        <v>1</v>
      </c>
      <c r="BE3202">
        <v>0</v>
      </c>
      <c r="BF3202">
        <v>0</v>
      </c>
      <c r="BG3202">
        <v>0</v>
      </c>
      <c r="BH3202">
        <v>1350</v>
      </c>
      <c r="BI3202">
        <v>1</v>
      </c>
      <c r="BJ3202">
        <v>1</v>
      </c>
      <c r="BK3202">
        <v>1</v>
      </c>
      <c r="BL3202">
        <v>0</v>
      </c>
      <c r="BO3202">
        <v>0</v>
      </c>
      <c r="BP3202">
        <v>0</v>
      </c>
      <c r="BW3202" t="str">
        <f>"20:31:50.756"</f>
        <v>20:31:50.756</v>
      </c>
      <c r="BZ3202">
        <v>0</v>
      </c>
      <c r="CA3202">
        <v>1600</v>
      </c>
      <c r="CB3202">
        <v>224</v>
      </c>
      <c r="CD3202">
        <v>1</v>
      </c>
      <c r="CE3202">
        <v>0</v>
      </c>
      <c r="CF3202">
        <v>0</v>
      </c>
      <c r="CG3202">
        <v>1</v>
      </c>
      <c r="CH3202">
        <v>0</v>
      </c>
      <c r="CI3202">
        <v>0</v>
      </c>
      <c r="CJ3202">
        <v>0</v>
      </c>
      <c r="CK3202">
        <v>2</v>
      </c>
      <c r="CL3202">
        <v>0</v>
      </c>
      <c r="CM3202">
        <v>2</v>
      </c>
      <c r="CN3202">
        <v>0</v>
      </c>
      <c r="CO3202">
        <v>7</v>
      </c>
      <c r="CP3202" t="s">
        <v>119</v>
      </c>
      <c r="CQ3202">
        <v>180</v>
      </c>
      <c r="CR3202">
        <v>3</v>
      </c>
      <c r="CW3202">
        <v>1095476</v>
      </c>
      <c r="CY3202">
        <v>1</v>
      </c>
      <c r="CZ3202">
        <v>0</v>
      </c>
      <c r="DA3202">
        <v>1</v>
      </c>
      <c r="DB3202">
        <v>0</v>
      </c>
      <c r="DC3202">
        <v>0</v>
      </c>
      <c r="DD3202">
        <v>0</v>
      </c>
      <c r="DE3202">
        <v>0</v>
      </c>
      <c r="DF3202">
        <v>0</v>
      </c>
      <c r="DG3202">
        <v>0</v>
      </c>
      <c r="DH3202">
        <v>0</v>
      </c>
      <c r="DI3202">
        <v>0</v>
      </c>
    </row>
    <row r="3203" spans="1:113" x14ac:dyDescent="0.3">
      <c r="A3203" t="str">
        <f>"02/08/2021 20:31:49.846"</f>
        <v>02/08/2021 20:31:49.846</v>
      </c>
      <c r="C3203" t="str">
        <f t="shared" si="154"/>
        <v>FFDFD7C0</v>
      </c>
      <c r="D3203" t="s">
        <v>124</v>
      </c>
      <c r="E3203">
        <v>12</v>
      </c>
      <c r="F3203">
        <v>1012</v>
      </c>
      <c r="G3203" t="s">
        <v>675</v>
      </c>
      <c r="J3203" t="s">
        <v>125</v>
      </c>
      <c r="K3203">
        <v>0</v>
      </c>
      <c r="L3203">
        <v>3</v>
      </c>
      <c r="M3203">
        <v>0</v>
      </c>
      <c r="N3203">
        <v>2</v>
      </c>
      <c r="O3203">
        <v>1</v>
      </c>
      <c r="P3203">
        <v>0</v>
      </c>
      <c r="Q3203">
        <v>0</v>
      </c>
      <c r="S3203" t="str">
        <f>"20:31:52.141"</f>
        <v>20:31:52.141</v>
      </c>
      <c r="T3203" t="str">
        <f>"20:31:51.741"</f>
        <v>20:31:51.741</v>
      </c>
      <c r="U3203" t="str">
        <f t="shared" si="156"/>
        <v>AB01F4</v>
      </c>
      <c r="V3203">
        <v>0</v>
      </c>
      <c r="W3203">
        <v>0</v>
      </c>
      <c r="X3203">
        <v>2</v>
      </c>
      <c r="Z3203">
        <v>0</v>
      </c>
      <c r="AA3203">
        <v>9</v>
      </c>
      <c r="AB3203">
        <v>3</v>
      </c>
      <c r="AC3203">
        <v>0</v>
      </c>
      <c r="AD3203">
        <v>10</v>
      </c>
      <c r="AE3203">
        <v>0</v>
      </c>
      <c r="AF3203">
        <v>3</v>
      </c>
      <c r="AG3203">
        <v>2</v>
      </c>
      <c r="AH3203">
        <v>0</v>
      </c>
      <c r="AI3203" t="s">
        <v>1851</v>
      </c>
      <c r="AJ3203">
        <v>40.056795999999999</v>
      </c>
      <c r="AK3203" t="s">
        <v>1852</v>
      </c>
      <c r="AL3203">
        <v>-92.910088999999999</v>
      </c>
      <c r="AM3203">
        <v>100</v>
      </c>
      <c r="AN3203">
        <v>1300</v>
      </c>
      <c r="AO3203" t="s">
        <v>118</v>
      </c>
      <c r="AP3203">
        <v>-110</v>
      </c>
      <c r="AQ3203">
        <v>71</v>
      </c>
      <c r="AR3203">
        <v>64</v>
      </c>
      <c r="AZ3203">
        <v>1200</v>
      </c>
      <c r="BA3203">
        <v>1</v>
      </c>
      <c r="BB3203" t="str">
        <f t="shared" si="155"/>
        <v xml:space="preserve">N8080G  </v>
      </c>
      <c r="BC3203">
        <v>1</v>
      </c>
      <c r="BE3203">
        <v>0</v>
      </c>
      <c r="BF3203">
        <v>0</v>
      </c>
      <c r="BG3203">
        <v>0</v>
      </c>
      <c r="BH3203">
        <v>1350</v>
      </c>
      <c r="BI3203">
        <v>1</v>
      </c>
      <c r="BJ3203">
        <v>1</v>
      </c>
      <c r="BK3203">
        <v>1</v>
      </c>
      <c r="BL3203">
        <v>0</v>
      </c>
      <c r="BO3203">
        <v>0</v>
      </c>
      <c r="BP3203">
        <v>0</v>
      </c>
      <c r="BW3203" t="str">
        <f>"20:31:52.148"</f>
        <v>20:31:52.148</v>
      </c>
      <c r="BZ3203">
        <v>0</v>
      </c>
      <c r="CA3203">
        <v>1600</v>
      </c>
      <c r="CB3203">
        <v>224</v>
      </c>
      <c r="CD3203">
        <v>1</v>
      </c>
      <c r="CE3203">
        <v>0</v>
      </c>
      <c r="CF3203">
        <v>0</v>
      </c>
      <c r="CG3203">
        <v>1</v>
      </c>
      <c r="CH3203">
        <v>0</v>
      </c>
      <c r="CI3203">
        <v>0</v>
      </c>
      <c r="CJ3203">
        <v>0</v>
      </c>
      <c r="CK3203">
        <v>2</v>
      </c>
      <c r="CL3203">
        <v>0</v>
      </c>
      <c r="CM3203">
        <v>2</v>
      </c>
      <c r="CN3203">
        <v>0</v>
      </c>
      <c r="CO3203">
        <v>7</v>
      </c>
      <c r="CP3203" t="s">
        <v>119</v>
      </c>
      <c r="CQ3203">
        <v>180</v>
      </c>
      <c r="CR3203">
        <v>3</v>
      </c>
      <c r="CW3203">
        <v>1096653</v>
      </c>
      <c r="CY3203">
        <v>1</v>
      </c>
      <c r="CZ3203">
        <v>0</v>
      </c>
      <c r="DA3203">
        <v>0</v>
      </c>
      <c r="DB3203">
        <v>0</v>
      </c>
      <c r="DC3203">
        <v>0</v>
      </c>
      <c r="DD3203">
        <v>0</v>
      </c>
      <c r="DE3203">
        <v>0</v>
      </c>
      <c r="DF3203">
        <v>0</v>
      </c>
      <c r="DG3203">
        <v>0</v>
      </c>
      <c r="DH3203">
        <v>0</v>
      </c>
      <c r="DI3203">
        <v>0</v>
      </c>
    </row>
    <row r="3204" spans="1:113" x14ac:dyDescent="0.3">
      <c r="A3204" t="str">
        <f>"02/08/2021 20:31:49.846"</f>
        <v>02/08/2021 20:31:49.846</v>
      </c>
      <c r="C3204" t="str">
        <f t="shared" si="154"/>
        <v>FFDFD7C0</v>
      </c>
      <c r="D3204" t="s">
        <v>124</v>
      </c>
      <c r="E3204">
        <v>11</v>
      </c>
      <c r="F3204">
        <v>1011</v>
      </c>
      <c r="G3204" t="s">
        <v>590</v>
      </c>
      <c r="J3204" t="s">
        <v>125</v>
      </c>
      <c r="K3204">
        <v>0</v>
      </c>
      <c r="L3204">
        <v>3</v>
      </c>
      <c r="M3204">
        <v>0</v>
      </c>
      <c r="N3204">
        <v>2</v>
      </c>
      <c r="O3204">
        <v>1</v>
      </c>
      <c r="P3204">
        <v>0</v>
      </c>
      <c r="Q3204">
        <v>0</v>
      </c>
      <c r="S3204" t="str">
        <f>"20:31:52.141"</f>
        <v>20:31:52.141</v>
      </c>
      <c r="T3204" t="str">
        <f>"20:31:51.741"</f>
        <v>20:31:51.741</v>
      </c>
      <c r="U3204" t="str">
        <f t="shared" si="156"/>
        <v>AB01F4</v>
      </c>
      <c r="V3204">
        <v>0</v>
      </c>
      <c r="W3204">
        <v>0</v>
      </c>
      <c r="X3204">
        <v>2</v>
      </c>
      <c r="Z3204">
        <v>0</v>
      </c>
      <c r="AA3204">
        <v>9</v>
      </c>
      <c r="AB3204">
        <v>3</v>
      </c>
      <c r="AC3204">
        <v>0</v>
      </c>
      <c r="AD3204">
        <v>10</v>
      </c>
      <c r="AE3204">
        <v>0</v>
      </c>
      <c r="AF3204">
        <v>3</v>
      </c>
      <c r="AG3204">
        <v>2</v>
      </c>
      <c r="AH3204">
        <v>0</v>
      </c>
      <c r="AI3204" t="s">
        <v>1851</v>
      </c>
      <c r="AJ3204">
        <v>40.056795999999999</v>
      </c>
      <c r="AK3204" t="s">
        <v>1852</v>
      </c>
      <c r="AL3204">
        <v>-92.910088999999999</v>
      </c>
      <c r="AM3204">
        <v>100</v>
      </c>
      <c r="AN3204">
        <v>1300</v>
      </c>
      <c r="AO3204" t="s">
        <v>118</v>
      </c>
      <c r="AP3204">
        <v>-110</v>
      </c>
      <c r="AQ3204">
        <v>71</v>
      </c>
      <c r="AR3204">
        <v>64</v>
      </c>
      <c r="AZ3204">
        <v>1200</v>
      </c>
      <c r="BA3204">
        <v>1</v>
      </c>
      <c r="BB3204" t="str">
        <f t="shared" si="155"/>
        <v xml:space="preserve">N8080G  </v>
      </c>
      <c r="BC3204">
        <v>1</v>
      </c>
      <c r="BE3204">
        <v>0</v>
      </c>
      <c r="BF3204">
        <v>0</v>
      </c>
      <c r="BG3204">
        <v>0</v>
      </c>
      <c r="BH3204">
        <v>1350</v>
      </c>
      <c r="BI3204">
        <v>1</v>
      </c>
      <c r="BJ3204">
        <v>1</v>
      </c>
      <c r="BK3204">
        <v>1</v>
      </c>
      <c r="BL3204">
        <v>0</v>
      </c>
      <c r="BO3204">
        <v>0</v>
      </c>
      <c r="BP3204">
        <v>0</v>
      </c>
      <c r="BW3204" t="str">
        <f>"20:31:52.148"</f>
        <v>20:31:52.148</v>
      </c>
      <c r="BZ3204">
        <v>0</v>
      </c>
      <c r="CA3204">
        <v>1600</v>
      </c>
      <c r="CB3204">
        <v>224</v>
      </c>
      <c r="CD3204">
        <v>1</v>
      </c>
      <c r="CE3204">
        <v>0</v>
      </c>
      <c r="CF3204">
        <v>0</v>
      </c>
      <c r="CG3204">
        <v>1</v>
      </c>
      <c r="CH3204">
        <v>0</v>
      </c>
      <c r="CI3204">
        <v>0</v>
      </c>
      <c r="CJ3204">
        <v>0</v>
      </c>
      <c r="CK3204">
        <v>2</v>
      </c>
      <c r="CL3204">
        <v>0</v>
      </c>
      <c r="CM3204">
        <v>2</v>
      </c>
      <c r="CN3204">
        <v>0</v>
      </c>
      <c r="CO3204">
        <v>7</v>
      </c>
      <c r="CP3204" t="s">
        <v>119</v>
      </c>
      <c r="CQ3204">
        <v>180</v>
      </c>
      <c r="CR3204">
        <v>3</v>
      </c>
      <c r="CW3204">
        <v>1096653</v>
      </c>
      <c r="CY3204">
        <v>1</v>
      </c>
      <c r="CZ3204">
        <v>0</v>
      </c>
      <c r="DA3204">
        <v>1</v>
      </c>
      <c r="DB3204">
        <v>0</v>
      </c>
      <c r="DC3204">
        <v>0</v>
      </c>
      <c r="DD3204">
        <v>0</v>
      </c>
      <c r="DE3204">
        <v>0</v>
      </c>
      <c r="DF3204">
        <v>0</v>
      </c>
      <c r="DG3204">
        <v>0</v>
      </c>
      <c r="DH3204">
        <v>0</v>
      </c>
      <c r="DI3204">
        <v>0</v>
      </c>
    </row>
    <row r="3205" spans="1:113" x14ac:dyDescent="0.3">
      <c r="A3205" t="str">
        <f>"02/08/2021 20:31:49.846"</f>
        <v>02/08/2021 20:31:49.846</v>
      </c>
      <c r="C3205" t="str">
        <f t="shared" si="154"/>
        <v>FFDFD7C0</v>
      </c>
      <c r="D3205" t="s">
        <v>124</v>
      </c>
      <c r="E3205">
        <v>13</v>
      </c>
      <c r="F3205">
        <v>1013</v>
      </c>
      <c r="G3205" t="s">
        <v>114</v>
      </c>
      <c r="J3205" t="s">
        <v>125</v>
      </c>
      <c r="K3205">
        <v>0</v>
      </c>
      <c r="L3205">
        <v>3</v>
      </c>
      <c r="M3205">
        <v>0</v>
      </c>
      <c r="N3205">
        <v>2</v>
      </c>
      <c r="O3205">
        <v>1</v>
      </c>
      <c r="P3205">
        <v>0</v>
      </c>
      <c r="Q3205">
        <v>0</v>
      </c>
      <c r="S3205" t="str">
        <f>"20:31:52.141"</f>
        <v>20:31:52.141</v>
      </c>
      <c r="T3205" t="str">
        <f>"20:31:51.741"</f>
        <v>20:31:51.741</v>
      </c>
      <c r="U3205" t="str">
        <f t="shared" si="156"/>
        <v>AB01F4</v>
      </c>
      <c r="V3205">
        <v>0</v>
      </c>
      <c r="W3205">
        <v>0</v>
      </c>
      <c r="X3205">
        <v>2</v>
      </c>
      <c r="Z3205">
        <v>0</v>
      </c>
      <c r="AA3205">
        <v>9</v>
      </c>
      <c r="AB3205">
        <v>3</v>
      </c>
      <c r="AC3205">
        <v>0</v>
      </c>
      <c r="AD3205">
        <v>10</v>
      </c>
      <c r="AE3205">
        <v>0</v>
      </c>
      <c r="AF3205">
        <v>3</v>
      </c>
      <c r="AG3205">
        <v>2</v>
      </c>
      <c r="AH3205">
        <v>0</v>
      </c>
      <c r="AI3205" t="s">
        <v>1851</v>
      </c>
      <c r="AJ3205">
        <v>40.056795999999999</v>
      </c>
      <c r="AK3205" t="s">
        <v>1852</v>
      </c>
      <c r="AL3205">
        <v>-92.910088999999999</v>
      </c>
      <c r="AM3205">
        <v>100</v>
      </c>
      <c r="AN3205">
        <v>1300</v>
      </c>
      <c r="AO3205" t="s">
        <v>118</v>
      </c>
      <c r="AP3205">
        <v>-110</v>
      </c>
      <c r="AQ3205">
        <v>71</v>
      </c>
      <c r="AR3205">
        <v>64</v>
      </c>
      <c r="AZ3205">
        <v>1200</v>
      </c>
      <c r="BA3205">
        <v>1</v>
      </c>
      <c r="BB3205" t="str">
        <f t="shared" si="155"/>
        <v xml:space="preserve">N8080G  </v>
      </c>
      <c r="BC3205">
        <v>1</v>
      </c>
      <c r="BE3205">
        <v>0</v>
      </c>
      <c r="BF3205">
        <v>0</v>
      </c>
      <c r="BG3205">
        <v>0</v>
      </c>
      <c r="BH3205">
        <v>1350</v>
      </c>
      <c r="BI3205">
        <v>1</v>
      </c>
      <c r="BJ3205">
        <v>1</v>
      </c>
      <c r="BK3205">
        <v>1</v>
      </c>
      <c r="BL3205">
        <v>0</v>
      </c>
      <c r="BO3205">
        <v>0</v>
      </c>
      <c r="BP3205">
        <v>0</v>
      </c>
      <c r="BW3205" t="str">
        <f>"20:31:52.148"</f>
        <v>20:31:52.148</v>
      </c>
      <c r="BZ3205">
        <v>0</v>
      </c>
      <c r="CA3205">
        <v>1600</v>
      </c>
      <c r="CB3205">
        <v>224</v>
      </c>
      <c r="CD3205">
        <v>1</v>
      </c>
      <c r="CE3205">
        <v>0</v>
      </c>
      <c r="CF3205">
        <v>0</v>
      </c>
      <c r="CG3205">
        <v>1</v>
      </c>
      <c r="CH3205">
        <v>0</v>
      </c>
      <c r="CI3205">
        <v>0</v>
      </c>
      <c r="CJ3205">
        <v>0</v>
      </c>
      <c r="CK3205">
        <v>2</v>
      </c>
      <c r="CL3205">
        <v>0</v>
      </c>
      <c r="CM3205">
        <v>2</v>
      </c>
      <c r="CN3205">
        <v>0</v>
      </c>
      <c r="CO3205">
        <v>7</v>
      </c>
      <c r="CP3205" t="s">
        <v>119</v>
      </c>
      <c r="CQ3205">
        <v>180</v>
      </c>
      <c r="CR3205">
        <v>3</v>
      </c>
      <c r="CW3205">
        <v>1096653</v>
      </c>
      <c r="CY3205">
        <v>1</v>
      </c>
      <c r="CZ3205">
        <v>0</v>
      </c>
      <c r="DA3205">
        <v>1</v>
      </c>
      <c r="DB3205">
        <v>0</v>
      </c>
      <c r="DC3205">
        <v>0</v>
      </c>
      <c r="DD3205">
        <v>0</v>
      </c>
      <c r="DE3205">
        <v>0</v>
      </c>
      <c r="DF3205">
        <v>0</v>
      </c>
      <c r="DG3205">
        <v>0</v>
      </c>
      <c r="DH3205">
        <v>0</v>
      </c>
      <c r="DI3205">
        <v>0</v>
      </c>
    </row>
    <row r="3206" spans="1:113" x14ac:dyDescent="0.3">
      <c r="A3206" t="str">
        <f>"02/08/2021 20:31:49.846"</f>
        <v>02/08/2021 20:31:49.846</v>
      </c>
      <c r="C3206" t="str">
        <f t="shared" si="154"/>
        <v>FFDFD7C0</v>
      </c>
      <c r="D3206" t="s">
        <v>113</v>
      </c>
      <c r="E3206">
        <v>6</v>
      </c>
      <c r="H3206">
        <v>165</v>
      </c>
      <c r="I3206" t="s">
        <v>114</v>
      </c>
      <c r="J3206" t="s">
        <v>115</v>
      </c>
      <c r="K3206">
        <v>0</v>
      </c>
      <c r="L3206">
        <v>3</v>
      </c>
      <c r="M3206">
        <v>0</v>
      </c>
      <c r="N3206">
        <v>2</v>
      </c>
      <c r="O3206">
        <v>1</v>
      </c>
      <c r="P3206">
        <v>0</v>
      </c>
      <c r="Q3206">
        <v>0</v>
      </c>
      <c r="S3206" t="str">
        <f>"20:31:52.141"</f>
        <v>20:31:52.141</v>
      </c>
      <c r="T3206" t="str">
        <f>"20:31:51.741"</f>
        <v>20:31:51.741</v>
      </c>
      <c r="U3206" t="str">
        <f t="shared" si="156"/>
        <v>AB01F4</v>
      </c>
      <c r="V3206">
        <v>0</v>
      </c>
      <c r="W3206">
        <v>0</v>
      </c>
      <c r="X3206">
        <v>2</v>
      </c>
      <c r="Z3206">
        <v>0</v>
      </c>
      <c r="AA3206">
        <v>9</v>
      </c>
      <c r="AB3206">
        <v>3</v>
      </c>
      <c r="AC3206">
        <v>0</v>
      </c>
      <c r="AD3206">
        <v>10</v>
      </c>
      <c r="AE3206">
        <v>0</v>
      </c>
      <c r="AF3206">
        <v>3</v>
      </c>
      <c r="AG3206">
        <v>2</v>
      </c>
      <c r="AH3206">
        <v>0</v>
      </c>
      <c r="AI3206" t="s">
        <v>1851</v>
      </c>
      <c r="AJ3206">
        <v>40.056795999999999</v>
      </c>
      <c r="AK3206" t="s">
        <v>1852</v>
      </c>
      <c r="AL3206">
        <v>-92.910088999999999</v>
      </c>
      <c r="AM3206">
        <v>100</v>
      </c>
      <c r="AN3206">
        <v>1300</v>
      </c>
      <c r="AO3206" t="s">
        <v>118</v>
      </c>
      <c r="AP3206">
        <v>-110</v>
      </c>
      <c r="AQ3206">
        <v>71</v>
      </c>
      <c r="AR3206">
        <v>64</v>
      </c>
      <c r="AZ3206">
        <v>1200</v>
      </c>
      <c r="BA3206">
        <v>1</v>
      </c>
      <c r="BB3206" t="str">
        <f t="shared" si="155"/>
        <v xml:space="preserve">N8080G  </v>
      </c>
      <c r="BC3206">
        <v>1</v>
      </c>
      <c r="BE3206">
        <v>0</v>
      </c>
      <c r="BF3206">
        <v>0</v>
      </c>
      <c r="BG3206">
        <v>0</v>
      </c>
      <c r="BH3206">
        <v>1350</v>
      </c>
      <c r="BI3206">
        <v>1</v>
      </c>
      <c r="BJ3206">
        <v>1</v>
      </c>
      <c r="BK3206">
        <v>1</v>
      </c>
      <c r="BL3206">
        <v>0</v>
      </c>
      <c r="BO3206">
        <v>0</v>
      </c>
      <c r="BP3206">
        <v>0</v>
      </c>
      <c r="BW3206" t="str">
        <f>"20:31:52.148"</f>
        <v>20:31:52.148</v>
      </c>
      <c r="BZ3206">
        <v>0</v>
      </c>
      <c r="CA3206">
        <v>1600</v>
      </c>
      <c r="CB3206">
        <v>224</v>
      </c>
      <c r="CD3206">
        <v>1</v>
      </c>
      <c r="CE3206">
        <v>0</v>
      </c>
      <c r="CF3206">
        <v>0</v>
      </c>
      <c r="CG3206">
        <v>1</v>
      </c>
      <c r="CH3206">
        <v>0</v>
      </c>
      <c r="CI3206">
        <v>0</v>
      </c>
      <c r="CJ3206">
        <v>0</v>
      </c>
      <c r="CK3206">
        <v>2</v>
      </c>
      <c r="CL3206">
        <v>0</v>
      </c>
      <c r="CM3206">
        <v>2</v>
      </c>
      <c r="CN3206">
        <v>0</v>
      </c>
      <c r="CO3206">
        <v>7</v>
      </c>
      <c r="CP3206" t="s">
        <v>119</v>
      </c>
      <c r="CQ3206">
        <v>180</v>
      </c>
      <c r="CR3206">
        <v>3</v>
      </c>
      <c r="CW3206">
        <v>1096653</v>
      </c>
      <c r="CY3206">
        <v>1</v>
      </c>
      <c r="CZ3206">
        <v>0</v>
      </c>
      <c r="DA3206">
        <v>1</v>
      </c>
      <c r="DB3206">
        <v>0</v>
      </c>
      <c r="DC3206">
        <v>0</v>
      </c>
      <c r="DD3206">
        <v>0</v>
      </c>
      <c r="DE3206">
        <v>0</v>
      </c>
      <c r="DF3206">
        <v>0</v>
      </c>
      <c r="DG3206">
        <v>0</v>
      </c>
      <c r="DH3206">
        <v>0</v>
      </c>
      <c r="DI3206">
        <v>0</v>
      </c>
    </row>
    <row r="3207" spans="1:113" x14ac:dyDescent="0.3">
      <c r="A3207" t="str">
        <f>"02/08/2021 20:31:53.364"</f>
        <v>02/08/2021 20:31:53.364</v>
      </c>
      <c r="C3207" t="str">
        <f t="shared" si="154"/>
        <v>FFDFD7C0</v>
      </c>
      <c r="D3207" t="s">
        <v>113</v>
      </c>
      <c r="E3207">
        <v>6</v>
      </c>
      <c r="H3207">
        <v>165</v>
      </c>
      <c r="I3207" t="s">
        <v>114</v>
      </c>
      <c r="J3207" t="s">
        <v>115</v>
      </c>
      <c r="K3207">
        <v>0</v>
      </c>
      <c r="L3207">
        <v>3</v>
      </c>
      <c r="M3207">
        <v>0</v>
      </c>
      <c r="N3207">
        <v>2</v>
      </c>
      <c r="O3207">
        <v>1</v>
      </c>
      <c r="P3207">
        <v>0</v>
      </c>
      <c r="Q3207">
        <v>0</v>
      </c>
      <c r="S3207" t="str">
        <f>"20:31:55.664"</f>
        <v>20:31:55.664</v>
      </c>
      <c r="T3207" t="str">
        <f>"20:31:55.264"</f>
        <v>20:31:55.264</v>
      </c>
      <c r="U3207" t="str">
        <f t="shared" si="156"/>
        <v>AB01F4</v>
      </c>
      <c r="V3207">
        <v>0</v>
      </c>
      <c r="W3207">
        <v>0</v>
      </c>
      <c r="X3207">
        <v>2</v>
      </c>
      <c r="Z3207">
        <v>0</v>
      </c>
      <c r="AA3207">
        <v>9</v>
      </c>
      <c r="AB3207">
        <v>3</v>
      </c>
      <c r="AC3207">
        <v>0</v>
      </c>
      <c r="AD3207">
        <v>10</v>
      </c>
      <c r="AE3207">
        <v>0</v>
      </c>
      <c r="AF3207">
        <v>3</v>
      </c>
      <c r="AG3207">
        <v>2</v>
      </c>
      <c r="AH3207">
        <v>0</v>
      </c>
      <c r="AI3207" t="s">
        <v>1853</v>
      </c>
      <c r="AJ3207">
        <v>40.057975999999996</v>
      </c>
      <c r="AK3207" t="s">
        <v>1854</v>
      </c>
      <c r="AL3207">
        <v>-92.912385</v>
      </c>
      <c r="AM3207">
        <v>100</v>
      </c>
      <c r="AN3207">
        <v>1300</v>
      </c>
      <c r="AO3207" t="s">
        <v>118</v>
      </c>
      <c r="AP3207">
        <v>-107</v>
      </c>
      <c r="AQ3207">
        <v>74</v>
      </c>
      <c r="AR3207">
        <v>0</v>
      </c>
      <c r="AZ3207">
        <v>1200</v>
      </c>
      <c r="BA3207">
        <v>1</v>
      </c>
      <c r="BB3207" t="str">
        <f t="shared" si="155"/>
        <v xml:space="preserve">N8080G  </v>
      </c>
      <c r="BC3207">
        <v>1</v>
      </c>
      <c r="BE3207">
        <v>0</v>
      </c>
      <c r="BF3207">
        <v>0</v>
      </c>
      <c r="BG3207">
        <v>0</v>
      </c>
      <c r="BH3207">
        <v>1350</v>
      </c>
      <c r="BI3207">
        <v>1</v>
      </c>
      <c r="BJ3207">
        <v>1</v>
      </c>
      <c r="BK3207">
        <v>1</v>
      </c>
      <c r="BL3207">
        <v>0</v>
      </c>
      <c r="BO3207">
        <v>0</v>
      </c>
      <c r="BP3207">
        <v>0</v>
      </c>
      <c r="BW3207" t="str">
        <f>"20:31:55.671"</f>
        <v>20:31:55.671</v>
      </c>
      <c r="BZ3207">
        <v>0</v>
      </c>
      <c r="CA3207">
        <v>1600</v>
      </c>
      <c r="CB3207">
        <v>224</v>
      </c>
      <c r="CD3207">
        <v>1</v>
      </c>
      <c r="CE3207">
        <v>0</v>
      </c>
      <c r="CF3207">
        <v>0</v>
      </c>
      <c r="CG3207">
        <v>1</v>
      </c>
      <c r="CH3207">
        <v>0</v>
      </c>
      <c r="CI3207">
        <v>0</v>
      </c>
      <c r="CJ3207">
        <v>0</v>
      </c>
      <c r="CK3207">
        <v>2</v>
      </c>
      <c r="CL3207">
        <v>0</v>
      </c>
      <c r="CM3207">
        <v>2</v>
      </c>
      <c r="CN3207">
        <v>0</v>
      </c>
      <c r="CO3207">
        <v>7</v>
      </c>
      <c r="CP3207" t="s">
        <v>119</v>
      </c>
      <c r="CQ3207">
        <v>180</v>
      </c>
      <c r="CR3207">
        <v>2</v>
      </c>
      <c r="CW3207">
        <v>8754129</v>
      </c>
      <c r="CY3207">
        <v>1</v>
      </c>
      <c r="CZ3207">
        <v>0</v>
      </c>
      <c r="DA3207">
        <v>0</v>
      </c>
      <c r="DB3207">
        <v>0</v>
      </c>
      <c r="DC3207">
        <v>0</v>
      </c>
      <c r="DD3207">
        <v>0</v>
      </c>
      <c r="DE3207">
        <v>0</v>
      </c>
      <c r="DF3207">
        <v>0</v>
      </c>
      <c r="DG3207">
        <v>0</v>
      </c>
      <c r="DH3207">
        <v>0</v>
      </c>
      <c r="DI3207">
        <v>0</v>
      </c>
    </row>
    <row r="3208" spans="1:113" x14ac:dyDescent="0.3">
      <c r="A3208" t="str">
        <f>"02/08/2021 20:31:53.364"</f>
        <v>02/08/2021 20:31:53.364</v>
      </c>
      <c r="C3208" t="str">
        <f t="shared" si="154"/>
        <v>FFDFD7C0</v>
      </c>
      <c r="D3208" t="s">
        <v>124</v>
      </c>
      <c r="E3208">
        <v>12</v>
      </c>
      <c r="F3208">
        <v>1012</v>
      </c>
      <c r="G3208" t="s">
        <v>675</v>
      </c>
      <c r="J3208" t="s">
        <v>125</v>
      </c>
      <c r="K3208">
        <v>0</v>
      </c>
      <c r="L3208">
        <v>3</v>
      </c>
      <c r="M3208">
        <v>0</v>
      </c>
      <c r="N3208">
        <v>2</v>
      </c>
      <c r="O3208">
        <v>1</v>
      </c>
      <c r="P3208">
        <v>0</v>
      </c>
      <c r="Q3208">
        <v>0</v>
      </c>
      <c r="S3208" t="str">
        <f>"20:31:55.664"</f>
        <v>20:31:55.664</v>
      </c>
      <c r="T3208" t="str">
        <f>"20:31:55.264"</f>
        <v>20:31:55.264</v>
      </c>
      <c r="U3208" t="str">
        <f t="shared" si="156"/>
        <v>AB01F4</v>
      </c>
      <c r="V3208">
        <v>0</v>
      </c>
      <c r="W3208">
        <v>0</v>
      </c>
      <c r="X3208">
        <v>2</v>
      </c>
      <c r="Z3208">
        <v>0</v>
      </c>
      <c r="AA3208">
        <v>9</v>
      </c>
      <c r="AB3208">
        <v>3</v>
      </c>
      <c r="AC3208">
        <v>0</v>
      </c>
      <c r="AD3208">
        <v>10</v>
      </c>
      <c r="AE3208">
        <v>0</v>
      </c>
      <c r="AF3208">
        <v>3</v>
      </c>
      <c r="AG3208">
        <v>2</v>
      </c>
      <c r="AH3208">
        <v>0</v>
      </c>
      <c r="AI3208" t="s">
        <v>1853</v>
      </c>
      <c r="AJ3208">
        <v>40.057975999999996</v>
      </c>
      <c r="AK3208" t="s">
        <v>1854</v>
      </c>
      <c r="AL3208">
        <v>-92.912385</v>
      </c>
      <c r="AM3208">
        <v>100</v>
      </c>
      <c r="AN3208">
        <v>1300</v>
      </c>
      <c r="AO3208" t="s">
        <v>118</v>
      </c>
      <c r="AP3208">
        <v>-107</v>
      </c>
      <c r="AQ3208">
        <v>74</v>
      </c>
      <c r="AR3208">
        <v>0</v>
      </c>
      <c r="AZ3208">
        <v>1200</v>
      </c>
      <c r="BA3208">
        <v>1</v>
      </c>
      <c r="BB3208" t="str">
        <f t="shared" si="155"/>
        <v xml:space="preserve">N8080G  </v>
      </c>
      <c r="BC3208">
        <v>1</v>
      </c>
      <c r="BE3208">
        <v>0</v>
      </c>
      <c r="BF3208">
        <v>0</v>
      </c>
      <c r="BG3208">
        <v>0</v>
      </c>
      <c r="BH3208">
        <v>1350</v>
      </c>
      <c r="BI3208">
        <v>1</v>
      </c>
      <c r="BJ3208">
        <v>1</v>
      </c>
      <c r="BK3208">
        <v>1</v>
      </c>
      <c r="BL3208">
        <v>0</v>
      </c>
      <c r="BO3208">
        <v>0</v>
      </c>
      <c r="BP3208">
        <v>0</v>
      </c>
      <c r="BW3208" t="str">
        <f>"20:31:55.671"</f>
        <v>20:31:55.671</v>
      </c>
      <c r="BZ3208">
        <v>0</v>
      </c>
      <c r="CA3208">
        <v>1600</v>
      </c>
      <c r="CB3208">
        <v>224</v>
      </c>
      <c r="CD3208">
        <v>1</v>
      </c>
      <c r="CE3208">
        <v>0</v>
      </c>
      <c r="CF3208">
        <v>0</v>
      </c>
      <c r="CG3208">
        <v>1</v>
      </c>
      <c r="CH3208">
        <v>0</v>
      </c>
      <c r="CI3208">
        <v>0</v>
      </c>
      <c r="CJ3208">
        <v>0</v>
      </c>
      <c r="CK3208">
        <v>2</v>
      </c>
      <c r="CL3208">
        <v>0</v>
      </c>
      <c r="CM3208">
        <v>2</v>
      </c>
      <c r="CN3208">
        <v>0</v>
      </c>
      <c r="CO3208">
        <v>7</v>
      </c>
      <c r="CP3208" t="s">
        <v>119</v>
      </c>
      <c r="CQ3208">
        <v>180</v>
      </c>
      <c r="CR3208">
        <v>2</v>
      </c>
      <c r="CW3208">
        <v>8754129</v>
      </c>
      <c r="CY3208">
        <v>1</v>
      </c>
      <c r="CZ3208">
        <v>0</v>
      </c>
      <c r="DA3208">
        <v>1</v>
      </c>
      <c r="DB3208">
        <v>0</v>
      </c>
      <c r="DC3208">
        <v>0</v>
      </c>
      <c r="DD3208">
        <v>0</v>
      </c>
      <c r="DE3208">
        <v>0</v>
      </c>
      <c r="DF3208">
        <v>0</v>
      </c>
      <c r="DG3208">
        <v>0</v>
      </c>
      <c r="DH3208">
        <v>0</v>
      </c>
      <c r="DI3208">
        <v>0</v>
      </c>
    </row>
    <row r="3209" spans="1:113" x14ac:dyDescent="0.3">
      <c r="A3209" t="str">
        <f>"02/08/2021 20:31:53.364"</f>
        <v>02/08/2021 20:31:53.364</v>
      </c>
      <c r="C3209" t="str">
        <f t="shared" si="154"/>
        <v>FFDFD7C0</v>
      </c>
      <c r="D3209" t="s">
        <v>124</v>
      </c>
      <c r="E3209">
        <v>11</v>
      </c>
      <c r="F3209">
        <v>1011</v>
      </c>
      <c r="G3209" t="s">
        <v>590</v>
      </c>
      <c r="J3209" t="s">
        <v>125</v>
      </c>
      <c r="K3209">
        <v>0</v>
      </c>
      <c r="L3209">
        <v>3</v>
      </c>
      <c r="M3209">
        <v>0</v>
      </c>
      <c r="N3209">
        <v>2</v>
      </c>
      <c r="O3209">
        <v>1</v>
      </c>
      <c r="P3209">
        <v>0</v>
      </c>
      <c r="Q3209">
        <v>0</v>
      </c>
      <c r="S3209" t="str">
        <f>"20:31:55.664"</f>
        <v>20:31:55.664</v>
      </c>
      <c r="T3209" t="str">
        <f>"20:31:55.264"</f>
        <v>20:31:55.264</v>
      </c>
      <c r="U3209" t="str">
        <f t="shared" si="156"/>
        <v>AB01F4</v>
      </c>
      <c r="V3209">
        <v>0</v>
      </c>
      <c r="W3209">
        <v>0</v>
      </c>
      <c r="X3209">
        <v>2</v>
      </c>
      <c r="Z3209">
        <v>0</v>
      </c>
      <c r="AA3209">
        <v>9</v>
      </c>
      <c r="AB3209">
        <v>3</v>
      </c>
      <c r="AC3209">
        <v>0</v>
      </c>
      <c r="AD3209">
        <v>10</v>
      </c>
      <c r="AE3209">
        <v>0</v>
      </c>
      <c r="AF3209">
        <v>3</v>
      </c>
      <c r="AG3209">
        <v>2</v>
      </c>
      <c r="AH3209">
        <v>0</v>
      </c>
      <c r="AI3209" t="s">
        <v>1853</v>
      </c>
      <c r="AJ3209">
        <v>40.057975999999996</v>
      </c>
      <c r="AK3209" t="s">
        <v>1854</v>
      </c>
      <c r="AL3209">
        <v>-92.912385</v>
      </c>
      <c r="AM3209">
        <v>100</v>
      </c>
      <c r="AN3209">
        <v>1300</v>
      </c>
      <c r="AO3209" t="s">
        <v>118</v>
      </c>
      <c r="AP3209">
        <v>-107</v>
      </c>
      <c r="AQ3209">
        <v>74</v>
      </c>
      <c r="AR3209">
        <v>0</v>
      </c>
      <c r="AZ3209">
        <v>1200</v>
      </c>
      <c r="BA3209">
        <v>1</v>
      </c>
      <c r="BB3209" t="str">
        <f t="shared" si="155"/>
        <v xml:space="preserve">N8080G  </v>
      </c>
      <c r="BC3209">
        <v>1</v>
      </c>
      <c r="BE3209">
        <v>0</v>
      </c>
      <c r="BF3209">
        <v>0</v>
      </c>
      <c r="BG3209">
        <v>0</v>
      </c>
      <c r="BH3209">
        <v>1350</v>
      </c>
      <c r="BI3209">
        <v>1</v>
      </c>
      <c r="BJ3209">
        <v>1</v>
      </c>
      <c r="BK3209">
        <v>1</v>
      </c>
      <c r="BL3209">
        <v>0</v>
      </c>
      <c r="BO3209">
        <v>0</v>
      </c>
      <c r="BP3209">
        <v>0</v>
      </c>
      <c r="BW3209" t="str">
        <f>"20:31:55.671"</f>
        <v>20:31:55.671</v>
      </c>
      <c r="BZ3209">
        <v>0</v>
      </c>
      <c r="CA3209">
        <v>1600</v>
      </c>
      <c r="CB3209">
        <v>224</v>
      </c>
      <c r="CD3209">
        <v>1</v>
      </c>
      <c r="CE3209">
        <v>0</v>
      </c>
      <c r="CF3209">
        <v>0</v>
      </c>
      <c r="CG3209">
        <v>1</v>
      </c>
      <c r="CH3209">
        <v>0</v>
      </c>
      <c r="CI3209">
        <v>0</v>
      </c>
      <c r="CJ3209">
        <v>0</v>
      </c>
      <c r="CK3209">
        <v>2</v>
      </c>
      <c r="CL3209">
        <v>0</v>
      </c>
      <c r="CM3209">
        <v>2</v>
      </c>
      <c r="CN3209">
        <v>0</v>
      </c>
      <c r="CO3209">
        <v>7</v>
      </c>
      <c r="CP3209" t="s">
        <v>119</v>
      </c>
      <c r="CQ3209">
        <v>180</v>
      </c>
      <c r="CR3209">
        <v>2</v>
      </c>
      <c r="CW3209">
        <v>8754129</v>
      </c>
      <c r="CY3209">
        <v>1</v>
      </c>
      <c r="CZ3209">
        <v>0</v>
      </c>
      <c r="DA3209">
        <v>1</v>
      </c>
      <c r="DB3209">
        <v>0</v>
      </c>
      <c r="DC3209">
        <v>0</v>
      </c>
      <c r="DD3209">
        <v>0</v>
      </c>
      <c r="DE3209">
        <v>0</v>
      </c>
      <c r="DF3209">
        <v>0</v>
      </c>
      <c r="DG3209">
        <v>0</v>
      </c>
      <c r="DH3209">
        <v>0</v>
      </c>
      <c r="DI3209">
        <v>0</v>
      </c>
    </row>
    <row r="3210" spans="1:113" x14ac:dyDescent="0.3">
      <c r="A3210" t="str">
        <f>"02/08/2021 20:31:53.364"</f>
        <v>02/08/2021 20:31:53.364</v>
      </c>
      <c r="C3210" t="str">
        <f t="shared" si="154"/>
        <v>FFDFD7C0</v>
      </c>
      <c r="D3210" t="s">
        <v>124</v>
      </c>
      <c r="E3210">
        <v>13</v>
      </c>
      <c r="F3210">
        <v>1013</v>
      </c>
      <c r="G3210" t="s">
        <v>114</v>
      </c>
      <c r="J3210" t="s">
        <v>125</v>
      </c>
      <c r="K3210">
        <v>0</v>
      </c>
      <c r="L3210">
        <v>3</v>
      </c>
      <c r="M3210">
        <v>0</v>
      </c>
      <c r="N3210">
        <v>2</v>
      </c>
      <c r="O3210">
        <v>1</v>
      </c>
      <c r="P3210">
        <v>0</v>
      </c>
      <c r="Q3210">
        <v>0</v>
      </c>
      <c r="S3210" t="str">
        <f>"20:31:55.664"</f>
        <v>20:31:55.664</v>
      </c>
      <c r="T3210" t="str">
        <f>"20:31:55.264"</f>
        <v>20:31:55.264</v>
      </c>
      <c r="U3210" t="str">
        <f t="shared" si="156"/>
        <v>AB01F4</v>
      </c>
      <c r="V3210">
        <v>0</v>
      </c>
      <c r="W3210">
        <v>0</v>
      </c>
      <c r="X3210">
        <v>2</v>
      </c>
      <c r="Z3210">
        <v>0</v>
      </c>
      <c r="AA3210">
        <v>9</v>
      </c>
      <c r="AB3210">
        <v>3</v>
      </c>
      <c r="AC3210">
        <v>0</v>
      </c>
      <c r="AD3210">
        <v>10</v>
      </c>
      <c r="AE3210">
        <v>0</v>
      </c>
      <c r="AF3210">
        <v>3</v>
      </c>
      <c r="AG3210">
        <v>2</v>
      </c>
      <c r="AH3210">
        <v>0</v>
      </c>
      <c r="AI3210" t="s">
        <v>1853</v>
      </c>
      <c r="AJ3210">
        <v>40.057975999999996</v>
      </c>
      <c r="AK3210" t="s">
        <v>1854</v>
      </c>
      <c r="AL3210">
        <v>-92.912385</v>
      </c>
      <c r="AM3210">
        <v>100</v>
      </c>
      <c r="AN3210">
        <v>1300</v>
      </c>
      <c r="AO3210" t="s">
        <v>118</v>
      </c>
      <c r="AP3210">
        <v>-107</v>
      </c>
      <c r="AQ3210">
        <v>74</v>
      </c>
      <c r="AR3210">
        <v>0</v>
      </c>
      <c r="AZ3210">
        <v>1200</v>
      </c>
      <c r="BA3210">
        <v>1</v>
      </c>
      <c r="BB3210" t="str">
        <f t="shared" si="155"/>
        <v xml:space="preserve">N8080G  </v>
      </c>
      <c r="BC3210">
        <v>1</v>
      </c>
      <c r="BE3210">
        <v>0</v>
      </c>
      <c r="BF3210">
        <v>0</v>
      </c>
      <c r="BG3210">
        <v>0</v>
      </c>
      <c r="BH3210">
        <v>1350</v>
      </c>
      <c r="BI3210">
        <v>1</v>
      </c>
      <c r="BJ3210">
        <v>1</v>
      </c>
      <c r="BK3210">
        <v>1</v>
      </c>
      <c r="BL3210">
        <v>0</v>
      </c>
      <c r="BO3210">
        <v>0</v>
      </c>
      <c r="BP3210">
        <v>0</v>
      </c>
      <c r="BW3210" t="str">
        <f>"20:31:55.671"</f>
        <v>20:31:55.671</v>
      </c>
      <c r="BZ3210">
        <v>0</v>
      </c>
      <c r="CA3210">
        <v>1600</v>
      </c>
      <c r="CB3210">
        <v>224</v>
      </c>
      <c r="CD3210">
        <v>1</v>
      </c>
      <c r="CE3210">
        <v>0</v>
      </c>
      <c r="CF3210">
        <v>0</v>
      </c>
      <c r="CG3210">
        <v>1</v>
      </c>
      <c r="CH3210">
        <v>0</v>
      </c>
      <c r="CI3210">
        <v>0</v>
      </c>
      <c r="CJ3210">
        <v>0</v>
      </c>
      <c r="CK3210">
        <v>2</v>
      </c>
      <c r="CL3210">
        <v>0</v>
      </c>
      <c r="CM3210">
        <v>2</v>
      </c>
      <c r="CN3210">
        <v>0</v>
      </c>
      <c r="CO3210">
        <v>7</v>
      </c>
      <c r="CP3210" t="s">
        <v>119</v>
      </c>
      <c r="CQ3210">
        <v>180</v>
      </c>
      <c r="CR3210">
        <v>2</v>
      </c>
      <c r="CW3210">
        <v>8754129</v>
      </c>
      <c r="CY3210">
        <v>1</v>
      </c>
      <c r="CZ3210">
        <v>0</v>
      </c>
      <c r="DA3210">
        <v>1</v>
      </c>
      <c r="DB3210">
        <v>0</v>
      </c>
      <c r="DC3210">
        <v>0</v>
      </c>
      <c r="DD3210">
        <v>0</v>
      </c>
      <c r="DE3210">
        <v>0</v>
      </c>
      <c r="DF3210">
        <v>0</v>
      </c>
      <c r="DG3210">
        <v>0</v>
      </c>
      <c r="DH3210">
        <v>0</v>
      </c>
      <c r="DI3210">
        <v>0</v>
      </c>
    </row>
    <row r="3211" spans="1:113" x14ac:dyDescent="0.3">
      <c r="A3211" t="str">
        <f>"02/08/2021 20:31:54.419"</f>
        <v>02/08/2021 20:31:54.419</v>
      </c>
      <c r="C3211" t="str">
        <f t="shared" si="154"/>
        <v>FFDFD7C0</v>
      </c>
      <c r="D3211" t="s">
        <v>124</v>
      </c>
      <c r="E3211">
        <v>12</v>
      </c>
      <c r="F3211">
        <v>1012</v>
      </c>
      <c r="G3211" t="s">
        <v>675</v>
      </c>
      <c r="J3211" t="s">
        <v>125</v>
      </c>
      <c r="K3211">
        <v>0</v>
      </c>
      <c r="L3211">
        <v>3</v>
      </c>
      <c r="M3211">
        <v>0</v>
      </c>
      <c r="N3211">
        <v>2</v>
      </c>
      <c r="O3211">
        <v>1</v>
      </c>
      <c r="P3211">
        <v>0</v>
      </c>
      <c r="Q3211">
        <v>0</v>
      </c>
      <c r="S3211" t="str">
        <f>"20:31:56.719"</f>
        <v>20:31:56.719</v>
      </c>
      <c r="T3211" t="str">
        <f>"20:31:56.219"</f>
        <v>20:31:56.219</v>
      </c>
      <c r="U3211" t="str">
        <f t="shared" si="156"/>
        <v>AB01F4</v>
      </c>
      <c r="V3211">
        <v>0</v>
      </c>
      <c r="W3211">
        <v>0</v>
      </c>
      <c r="X3211">
        <v>2</v>
      </c>
      <c r="Z3211">
        <v>0</v>
      </c>
      <c r="AA3211">
        <v>9</v>
      </c>
      <c r="AB3211">
        <v>3</v>
      </c>
      <c r="AC3211">
        <v>0</v>
      </c>
      <c r="AD3211">
        <v>10</v>
      </c>
      <c r="AE3211">
        <v>0</v>
      </c>
      <c r="AF3211">
        <v>3</v>
      </c>
      <c r="AG3211">
        <v>2</v>
      </c>
      <c r="AH3211">
        <v>0</v>
      </c>
      <c r="AI3211" t="s">
        <v>1855</v>
      </c>
      <c r="AJ3211">
        <v>40.058298000000001</v>
      </c>
      <c r="AK3211" t="s">
        <v>1856</v>
      </c>
      <c r="AL3211">
        <v>-92.913008000000005</v>
      </c>
      <c r="AM3211">
        <v>100</v>
      </c>
      <c r="AN3211">
        <v>1300</v>
      </c>
      <c r="AO3211" t="s">
        <v>118</v>
      </c>
      <c r="AP3211">
        <v>-107</v>
      </c>
      <c r="AQ3211">
        <v>74</v>
      </c>
      <c r="AR3211">
        <v>-64</v>
      </c>
      <c r="AZ3211">
        <v>1200</v>
      </c>
      <c r="BA3211">
        <v>1</v>
      </c>
      <c r="BB3211" t="str">
        <f t="shared" si="155"/>
        <v xml:space="preserve">N8080G  </v>
      </c>
      <c r="BC3211">
        <v>1</v>
      </c>
      <c r="BE3211">
        <v>0</v>
      </c>
      <c r="BF3211">
        <v>0</v>
      </c>
      <c r="BG3211">
        <v>0</v>
      </c>
      <c r="BH3211">
        <v>1350</v>
      </c>
      <c r="BI3211">
        <v>1</v>
      </c>
      <c r="BJ3211">
        <v>1</v>
      </c>
      <c r="BK3211">
        <v>1</v>
      </c>
      <c r="BL3211">
        <v>0</v>
      </c>
      <c r="BO3211">
        <v>0</v>
      </c>
      <c r="BP3211">
        <v>0</v>
      </c>
      <c r="BW3211" t="str">
        <f>"20:31:56.721"</f>
        <v>20:31:56.721</v>
      </c>
      <c r="BZ3211">
        <v>0</v>
      </c>
      <c r="CA3211">
        <v>1600</v>
      </c>
      <c r="CB3211">
        <v>224</v>
      </c>
      <c r="CD3211">
        <v>1</v>
      </c>
      <c r="CE3211">
        <v>0</v>
      </c>
      <c r="CF3211">
        <v>0</v>
      </c>
      <c r="CG3211">
        <v>1</v>
      </c>
      <c r="CH3211">
        <v>0</v>
      </c>
      <c r="CI3211">
        <v>0</v>
      </c>
      <c r="CJ3211">
        <v>0</v>
      </c>
      <c r="CK3211">
        <v>2</v>
      </c>
      <c r="CL3211">
        <v>0</v>
      </c>
      <c r="CM3211">
        <v>2</v>
      </c>
      <c r="CN3211">
        <v>0</v>
      </c>
      <c r="CO3211">
        <v>7</v>
      </c>
      <c r="CP3211" t="s">
        <v>119</v>
      </c>
      <c r="CQ3211">
        <v>180</v>
      </c>
      <c r="CR3211">
        <v>3</v>
      </c>
      <c r="CW3211">
        <v>1100392</v>
      </c>
      <c r="CY3211">
        <v>1</v>
      </c>
      <c r="CZ3211">
        <v>0</v>
      </c>
      <c r="DA3211">
        <v>0</v>
      </c>
      <c r="DB3211">
        <v>0</v>
      </c>
      <c r="DC3211">
        <v>0</v>
      </c>
      <c r="DD3211">
        <v>0</v>
      </c>
      <c r="DE3211">
        <v>0</v>
      </c>
      <c r="DF3211">
        <v>0</v>
      </c>
      <c r="DG3211">
        <v>0</v>
      </c>
      <c r="DH3211">
        <v>0</v>
      </c>
      <c r="DI3211">
        <v>0</v>
      </c>
    </row>
    <row r="3212" spans="1:113" x14ac:dyDescent="0.3">
      <c r="A3212" t="str">
        <f>"02/08/2021 20:31:54.419"</f>
        <v>02/08/2021 20:31:54.419</v>
      </c>
      <c r="C3212" t="str">
        <f t="shared" si="154"/>
        <v>FFDFD7C0</v>
      </c>
      <c r="D3212" t="s">
        <v>113</v>
      </c>
      <c r="E3212">
        <v>6</v>
      </c>
      <c r="H3212">
        <v>165</v>
      </c>
      <c r="I3212" t="s">
        <v>114</v>
      </c>
      <c r="J3212" t="s">
        <v>115</v>
      </c>
      <c r="K3212">
        <v>0</v>
      </c>
      <c r="L3212">
        <v>3</v>
      </c>
      <c r="M3212">
        <v>0</v>
      </c>
      <c r="N3212">
        <v>2</v>
      </c>
      <c r="O3212">
        <v>1</v>
      </c>
      <c r="P3212">
        <v>0</v>
      </c>
      <c r="Q3212">
        <v>0</v>
      </c>
      <c r="S3212" t="str">
        <f>"20:31:56.719"</f>
        <v>20:31:56.719</v>
      </c>
      <c r="T3212" t="str">
        <f>"20:31:56.219"</f>
        <v>20:31:56.219</v>
      </c>
      <c r="U3212" t="str">
        <f t="shared" si="156"/>
        <v>AB01F4</v>
      </c>
      <c r="V3212">
        <v>0</v>
      </c>
      <c r="W3212">
        <v>0</v>
      </c>
      <c r="X3212">
        <v>2</v>
      </c>
      <c r="Z3212">
        <v>0</v>
      </c>
      <c r="AA3212">
        <v>9</v>
      </c>
      <c r="AB3212">
        <v>3</v>
      </c>
      <c r="AC3212">
        <v>0</v>
      </c>
      <c r="AD3212">
        <v>10</v>
      </c>
      <c r="AE3212">
        <v>0</v>
      </c>
      <c r="AF3212">
        <v>3</v>
      </c>
      <c r="AG3212">
        <v>2</v>
      </c>
      <c r="AH3212">
        <v>0</v>
      </c>
      <c r="AI3212" t="s">
        <v>1855</v>
      </c>
      <c r="AJ3212">
        <v>40.058298000000001</v>
      </c>
      <c r="AK3212" t="s">
        <v>1856</v>
      </c>
      <c r="AL3212">
        <v>-92.913008000000005</v>
      </c>
      <c r="AM3212">
        <v>100</v>
      </c>
      <c r="AN3212">
        <v>1300</v>
      </c>
      <c r="AO3212" t="s">
        <v>118</v>
      </c>
      <c r="AP3212">
        <v>-107</v>
      </c>
      <c r="AQ3212">
        <v>74</v>
      </c>
      <c r="AR3212">
        <v>-64</v>
      </c>
      <c r="AZ3212">
        <v>1200</v>
      </c>
      <c r="BA3212">
        <v>1</v>
      </c>
      <c r="BB3212" t="str">
        <f t="shared" si="155"/>
        <v xml:space="preserve">N8080G  </v>
      </c>
      <c r="BC3212">
        <v>1</v>
      </c>
      <c r="BE3212">
        <v>0</v>
      </c>
      <c r="BF3212">
        <v>0</v>
      </c>
      <c r="BG3212">
        <v>0</v>
      </c>
      <c r="BH3212">
        <v>1350</v>
      </c>
      <c r="BI3212">
        <v>1</v>
      </c>
      <c r="BJ3212">
        <v>1</v>
      </c>
      <c r="BK3212">
        <v>1</v>
      </c>
      <c r="BL3212">
        <v>0</v>
      </c>
      <c r="BO3212">
        <v>0</v>
      </c>
      <c r="BP3212">
        <v>0</v>
      </c>
      <c r="BW3212" t="str">
        <f>"20:31:56.721"</f>
        <v>20:31:56.721</v>
      </c>
      <c r="BZ3212">
        <v>0</v>
      </c>
      <c r="CA3212">
        <v>1600</v>
      </c>
      <c r="CB3212">
        <v>224</v>
      </c>
      <c r="CD3212">
        <v>1</v>
      </c>
      <c r="CE3212">
        <v>0</v>
      </c>
      <c r="CF3212">
        <v>0</v>
      </c>
      <c r="CG3212">
        <v>1</v>
      </c>
      <c r="CH3212">
        <v>0</v>
      </c>
      <c r="CI3212">
        <v>0</v>
      </c>
      <c r="CJ3212">
        <v>0</v>
      </c>
      <c r="CK3212">
        <v>2</v>
      </c>
      <c r="CL3212">
        <v>0</v>
      </c>
      <c r="CM3212">
        <v>2</v>
      </c>
      <c r="CN3212">
        <v>0</v>
      </c>
      <c r="CO3212">
        <v>7</v>
      </c>
      <c r="CP3212" t="s">
        <v>119</v>
      </c>
      <c r="CQ3212">
        <v>180</v>
      </c>
      <c r="CR3212">
        <v>3</v>
      </c>
      <c r="CW3212">
        <v>1100392</v>
      </c>
      <c r="CY3212">
        <v>1</v>
      </c>
      <c r="CZ3212">
        <v>0</v>
      </c>
      <c r="DA3212">
        <v>1</v>
      </c>
      <c r="DB3212">
        <v>0</v>
      </c>
      <c r="DC3212">
        <v>0</v>
      </c>
      <c r="DD3212">
        <v>0</v>
      </c>
      <c r="DE3212">
        <v>0</v>
      </c>
      <c r="DF3212">
        <v>0</v>
      </c>
      <c r="DG3212">
        <v>0</v>
      </c>
      <c r="DH3212">
        <v>0</v>
      </c>
      <c r="DI3212">
        <v>0</v>
      </c>
    </row>
    <row r="3213" spans="1:113" x14ac:dyDescent="0.3">
      <c r="A3213" t="str">
        <f>"02/08/2021 20:31:54.419"</f>
        <v>02/08/2021 20:31:54.419</v>
      </c>
      <c r="C3213" t="str">
        <f t="shared" si="154"/>
        <v>FFDFD7C0</v>
      </c>
      <c r="D3213" t="s">
        <v>124</v>
      </c>
      <c r="E3213">
        <v>13</v>
      </c>
      <c r="F3213">
        <v>1013</v>
      </c>
      <c r="G3213" t="s">
        <v>114</v>
      </c>
      <c r="J3213" t="s">
        <v>125</v>
      </c>
      <c r="K3213">
        <v>0</v>
      </c>
      <c r="L3213">
        <v>3</v>
      </c>
      <c r="M3213">
        <v>0</v>
      </c>
      <c r="N3213">
        <v>2</v>
      </c>
      <c r="O3213">
        <v>1</v>
      </c>
      <c r="P3213">
        <v>0</v>
      </c>
      <c r="Q3213">
        <v>0</v>
      </c>
      <c r="S3213" t="str">
        <f>"20:31:56.719"</f>
        <v>20:31:56.719</v>
      </c>
      <c r="T3213" t="str">
        <f>"20:31:56.219"</f>
        <v>20:31:56.219</v>
      </c>
      <c r="U3213" t="str">
        <f t="shared" si="156"/>
        <v>AB01F4</v>
      </c>
      <c r="V3213">
        <v>0</v>
      </c>
      <c r="W3213">
        <v>0</v>
      </c>
      <c r="X3213">
        <v>2</v>
      </c>
      <c r="Z3213">
        <v>0</v>
      </c>
      <c r="AA3213">
        <v>9</v>
      </c>
      <c r="AB3213">
        <v>3</v>
      </c>
      <c r="AC3213">
        <v>0</v>
      </c>
      <c r="AD3213">
        <v>10</v>
      </c>
      <c r="AE3213">
        <v>0</v>
      </c>
      <c r="AF3213">
        <v>3</v>
      </c>
      <c r="AG3213">
        <v>2</v>
      </c>
      <c r="AH3213">
        <v>0</v>
      </c>
      <c r="AI3213" t="s">
        <v>1855</v>
      </c>
      <c r="AJ3213">
        <v>40.058298000000001</v>
      </c>
      <c r="AK3213" t="s">
        <v>1856</v>
      </c>
      <c r="AL3213">
        <v>-92.913008000000005</v>
      </c>
      <c r="AM3213">
        <v>100</v>
      </c>
      <c r="AN3213">
        <v>1300</v>
      </c>
      <c r="AO3213" t="s">
        <v>118</v>
      </c>
      <c r="AP3213">
        <v>-107</v>
      </c>
      <c r="AQ3213">
        <v>74</v>
      </c>
      <c r="AR3213">
        <v>-64</v>
      </c>
      <c r="AZ3213">
        <v>1200</v>
      </c>
      <c r="BA3213">
        <v>1</v>
      </c>
      <c r="BB3213" t="str">
        <f t="shared" si="155"/>
        <v xml:space="preserve">N8080G  </v>
      </c>
      <c r="BC3213">
        <v>1</v>
      </c>
      <c r="BE3213">
        <v>0</v>
      </c>
      <c r="BF3213">
        <v>0</v>
      </c>
      <c r="BG3213">
        <v>0</v>
      </c>
      <c r="BH3213">
        <v>1350</v>
      </c>
      <c r="BI3213">
        <v>1</v>
      </c>
      <c r="BJ3213">
        <v>1</v>
      </c>
      <c r="BK3213">
        <v>1</v>
      </c>
      <c r="BL3213">
        <v>0</v>
      </c>
      <c r="BO3213">
        <v>0</v>
      </c>
      <c r="BP3213">
        <v>0</v>
      </c>
      <c r="BW3213" t="str">
        <f>"20:31:56.721"</f>
        <v>20:31:56.721</v>
      </c>
      <c r="BZ3213">
        <v>0</v>
      </c>
      <c r="CA3213">
        <v>1600</v>
      </c>
      <c r="CB3213">
        <v>224</v>
      </c>
      <c r="CD3213">
        <v>1</v>
      </c>
      <c r="CE3213">
        <v>0</v>
      </c>
      <c r="CF3213">
        <v>0</v>
      </c>
      <c r="CG3213">
        <v>1</v>
      </c>
      <c r="CH3213">
        <v>0</v>
      </c>
      <c r="CI3213">
        <v>0</v>
      </c>
      <c r="CJ3213">
        <v>0</v>
      </c>
      <c r="CK3213">
        <v>2</v>
      </c>
      <c r="CL3213">
        <v>0</v>
      </c>
      <c r="CM3213">
        <v>2</v>
      </c>
      <c r="CN3213">
        <v>0</v>
      </c>
      <c r="CO3213">
        <v>7</v>
      </c>
      <c r="CP3213" t="s">
        <v>119</v>
      </c>
      <c r="CQ3213">
        <v>180</v>
      </c>
      <c r="CR3213">
        <v>3</v>
      </c>
      <c r="CW3213">
        <v>1100392</v>
      </c>
      <c r="CY3213">
        <v>1</v>
      </c>
      <c r="CZ3213">
        <v>0</v>
      </c>
      <c r="DA3213">
        <v>1</v>
      </c>
      <c r="DB3213">
        <v>0</v>
      </c>
      <c r="DC3213">
        <v>0</v>
      </c>
      <c r="DD3213">
        <v>0</v>
      </c>
      <c r="DE3213">
        <v>0</v>
      </c>
      <c r="DF3213">
        <v>0</v>
      </c>
      <c r="DG3213">
        <v>0</v>
      </c>
      <c r="DH3213">
        <v>0</v>
      </c>
      <c r="DI3213">
        <v>0</v>
      </c>
    </row>
    <row r="3214" spans="1:113" x14ac:dyDescent="0.3">
      <c r="A3214" t="str">
        <f>"02/08/2021 20:31:54.419"</f>
        <v>02/08/2021 20:31:54.419</v>
      </c>
      <c r="C3214" t="str">
        <f t="shared" si="154"/>
        <v>FFDFD7C0</v>
      </c>
      <c r="D3214" t="s">
        <v>124</v>
      </c>
      <c r="E3214">
        <v>11</v>
      </c>
      <c r="F3214">
        <v>1011</v>
      </c>
      <c r="G3214" t="s">
        <v>590</v>
      </c>
      <c r="J3214" t="s">
        <v>125</v>
      </c>
      <c r="K3214">
        <v>0</v>
      </c>
      <c r="L3214">
        <v>3</v>
      </c>
      <c r="M3214">
        <v>0</v>
      </c>
      <c r="N3214">
        <v>2</v>
      </c>
      <c r="O3214">
        <v>1</v>
      </c>
      <c r="P3214">
        <v>0</v>
      </c>
      <c r="Q3214">
        <v>0</v>
      </c>
      <c r="S3214" t="str">
        <f>"20:31:56.719"</f>
        <v>20:31:56.719</v>
      </c>
      <c r="T3214" t="str">
        <f>"20:31:56.219"</f>
        <v>20:31:56.219</v>
      </c>
      <c r="U3214" t="str">
        <f t="shared" si="156"/>
        <v>AB01F4</v>
      </c>
      <c r="V3214">
        <v>0</v>
      </c>
      <c r="W3214">
        <v>0</v>
      </c>
      <c r="X3214">
        <v>2</v>
      </c>
      <c r="Z3214">
        <v>0</v>
      </c>
      <c r="AA3214">
        <v>9</v>
      </c>
      <c r="AB3214">
        <v>3</v>
      </c>
      <c r="AC3214">
        <v>0</v>
      </c>
      <c r="AD3214">
        <v>10</v>
      </c>
      <c r="AE3214">
        <v>0</v>
      </c>
      <c r="AF3214">
        <v>3</v>
      </c>
      <c r="AG3214">
        <v>2</v>
      </c>
      <c r="AH3214">
        <v>0</v>
      </c>
      <c r="AI3214" t="s">
        <v>1855</v>
      </c>
      <c r="AJ3214">
        <v>40.058298000000001</v>
      </c>
      <c r="AK3214" t="s">
        <v>1856</v>
      </c>
      <c r="AL3214">
        <v>-92.913008000000005</v>
      </c>
      <c r="AM3214">
        <v>100</v>
      </c>
      <c r="AN3214">
        <v>1300</v>
      </c>
      <c r="AO3214" t="s">
        <v>118</v>
      </c>
      <c r="AP3214">
        <v>-107</v>
      </c>
      <c r="AQ3214">
        <v>74</v>
      </c>
      <c r="AR3214">
        <v>-64</v>
      </c>
      <c r="AZ3214">
        <v>1200</v>
      </c>
      <c r="BA3214">
        <v>1</v>
      </c>
      <c r="BB3214" t="str">
        <f t="shared" si="155"/>
        <v xml:space="preserve">N8080G  </v>
      </c>
      <c r="BC3214">
        <v>1</v>
      </c>
      <c r="BE3214">
        <v>0</v>
      </c>
      <c r="BF3214">
        <v>0</v>
      </c>
      <c r="BG3214">
        <v>0</v>
      </c>
      <c r="BH3214">
        <v>1350</v>
      </c>
      <c r="BI3214">
        <v>1</v>
      </c>
      <c r="BJ3214">
        <v>1</v>
      </c>
      <c r="BK3214">
        <v>1</v>
      </c>
      <c r="BL3214">
        <v>0</v>
      </c>
      <c r="BO3214">
        <v>0</v>
      </c>
      <c r="BP3214">
        <v>0</v>
      </c>
      <c r="BW3214" t="str">
        <f>"20:31:56.721"</f>
        <v>20:31:56.721</v>
      </c>
      <c r="BZ3214">
        <v>0</v>
      </c>
      <c r="CA3214">
        <v>1600</v>
      </c>
      <c r="CB3214">
        <v>224</v>
      </c>
      <c r="CD3214">
        <v>1</v>
      </c>
      <c r="CE3214">
        <v>0</v>
      </c>
      <c r="CF3214">
        <v>0</v>
      </c>
      <c r="CG3214">
        <v>1</v>
      </c>
      <c r="CH3214">
        <v>0</v>
      </c>
      <c r="CI3214">
        <v>0</v>
      </c>
      <c r="CJ3214">
        <v>0</v>
      </c>
      <c r="CK3214">
        <v>2</v>
      </c>
      <c r="CL3214">
        <v>0</v>
      </c>
      <c r="CM3214">
        <v>2</v>
      </c>
      <c r="CN3214">
        <v>0</v>
      </c>
      <c r="CO3214">
        <v>7</v>
      </c>
      <c r="CP3214" t="s">
        <v>119</v>
      </c>
      <c r="CQ3214">
        <v>180</v>
      </c>
      <c r="CR3214">
        <v>3</v>
      </c>
      <c r="CW3214">
        <v>1100392</v>
      </c>
      <c r="CY3214">
        <v>1</v>
      </c>
      <c r="CZ3214">
        <v>0</v>
      </c>
      <c r="DA3214">
        <v>1</v>
      </c>
      <c r="DB3214">
        <v>0</v>
      </c>
      <c r="DC3214">
        <v>0</v>
      </c>
      <c r="DD3214">
        <v>0</v>
      </c>
      <c r="DE3214">
        <v>0</v>
      </c>
      <c r="DF3214">
        <v>0</v>
      </c>
      <c r="DG3214">
        <v>0</v>
      </c>
      <c r="DH3214">
        <v>0</v>
      </c>
      <c r="DI3214">
        <v>0</v>
      </c>
    </row>
    <row r="3215" spans="1:113" x14ac:dyDescent="0.3">
      <c r="A3215" t="str">
        <f>"02/08/2021 20:31:55.436"</f>
        <v>02/08/2021 20:31:55.436</v>
      </c>
      <c r="C3215" t="str">
        <f t="shared" si="154"/>
        <v>FFDFD7C0</v>
      </c>
      <c r="D3215" t="s">
        <v>113</v>
      </c>
      <c r="E3215">
        <v>6</v>
      </c>
      <c r="H3215">
        <v>165</v>
      </c>
      <c r="I3215" t="s">
        <v>114</v>
      </c>
      <c r="J3215" t="s">
        <v>115</v>
      </c>
      <c r="K3215">
        <v>0</v>
      </c>
      <c r="L3215">
        <v>3</v>
      </c>
      <c r="M3215">
        <v>0</v>
      </c>
      <c r="N3215">
        <v>2</v>
      </c>
      <c r="O3215">
        <v>1</v>
      </c>
      <c r="P3215">
        <v>0</v>
      </c>
      <c r="Q3215">
        <v>0</v>
      </c>
      <c r="S3215" t="str">
        <f>"20:31:57.750"</f>
        <v>20:31:57.750</v>
      </c>
      <c r="T3215" t="str">
        <f>"20:31:57.250"</f>
        <v>20:31:57.250</v>
      </c>
      <c r="U3215" t="str">
        <f t="shared" si="156"/>
        <v>AB01F4</v>
      </c>
      <c r="V3215">
        <v>0</v>
      </c>
      <c r="W3215">
        <v>0</v>
      </c>
      <c r="X3215">
        <v>2</v>
      </c>
      <c r="Z3215">
        <v>0</v>
      </c>
      <c r="AA3215">
        <v>9</v>
      </c>
      <c r="AB3215">
        <v>3</v>
      </c>
      <c r="AC3215">
        <v>0</v>
      </c>
      <c r="AD3215">
        <v>10</v>
      </c>
      <c r="AE3215">
        <v>0</v>
      </c>
      <c r="AF3215">
        <v>3</v>
      </c>
      <c r="AG3215">
        <v>2</v>
      </c>
      <c r="AH3215">
        <v>0</v>
      </c>
      <c r="AI3215" t="s">
        <v>1857</v>
      </c>
      <c r="AJ3215">
        <v>40.058663000000003</v>
      </c>
      <c r="AK3215" t="s">
        <v>1858</v>
      </c>
      <c r="AL3215">
        <v>-92.913758999999999</v>
      </c>
      <c r="AM3215">
        <v>100</v>
      </c>
      <c r="AN3215">
        <v>1300</v>
      </c>
      <c r="AO3215" t="s">
        <v>118</v>
      </c>
      <c r="AP3215">
        <v>-107</v>
      </c>
      <c r="AQ3215">
        <v>74</v>
      </c>
      <c r="AR3215">
        <v>-64</v>
      </c>
      <c r="AZ3215">
        <v>1200</v>
      </c>
      <c r="BA3215">
        <v>1</v>
      </c>
      <c r="BB3215" t="str">
        <f t="shared" si="155"/>
        <v xml:space="preserve">N8080G  </v>
      </c>
      <c r="BC3215">
        <v>1</v>
      </c>
      <c r="BE3215">
        <v>0</v>
      </c>
      <c r="BF3215">
        <v>0</v>
      </c>
      <c r="BG3215">
        <v>0</v>
      </c>
      <c r="BH3215">
        <v>1325</v>
      </c>
      <c r="BI3215">
        <v>1</v>
      </c>
      <c r="BJ3215">
        <v>1</v>
      </c>
      <c r="BK3215">
        <v>1</v>
      </c>
      <c r="BL3215">
        <v>0</v>
      </c>
      <c r="BO3215">
        <v>0</v>
      </c>
      <c r="BP3215">
        <v>0</v>
      </c>
      <c r="BW3215" t="str">
        <f>"20:31:57.757"</f>
        <v>20:31:57.757</v>
      </c>
      <c r="BZ3215">
        <v>0</v>
      </c>
      <c r="CA3215">
        <v>1600</v>
      </c>
      <c r="CB3215">
        <v>224</v>
      </c>
      <c r="CD3215">
        <v>1</v>
      </c>
      <c r="CE3215">
        <v>0</v>
      </c>
      <c r="CF3215">
        <v>0</v>
      </c>
      <c r="CG3215">
        <v>1</v>
      </c>
      <c r="CH3215">
        <v>0</v>
      </c>
      <c r="CI3215">
        <v>0</v>
      </c>
      <c r="CJ3215">
        <v>0</v>
      </c>
      <c r="CK3215">
        <v>2</v>
      </c>
      <c r="CL3215">
        <v>0</v>
      </c>
      <c r="CM3215">
        <v>2</v>
      </c>
      <c r="CN3215">
        <v>0</v>
      </c>
      <c r="CO3215">
        <v>7</v>
      </c>
      <c r="CP3215" t="s">
        <v>119</v>
      </c>
      <c r="CQ3215">
        <v>180</v>
      </c>
      <c r="CR3215">
        <v>3</v>
      </c>
      <c r="CW3215">
        <v>1101175</v>
      </c>
      <c r="CY3215">
        <v>1</v>
      </c>
      <c r="CZ3215">
        <v>0</v>
      </c>
      <c r="DA3215">
        <v>0</v>
      </c>
      <c r="DB3215">
        <v>0</v>
      </c>
      <c r="DC3215">
        <v>0</v>
      </c>
      <c r="DD3215">
        <v>0</v>
      </c>
      <c r="DE3215">
        <v>0</v>
      </c>
      <c r="DF3215">
        <v>0</v>
      </c>
      <c r="DG3215">
        <v>0</v>
      </c>
      <c r="DH3215">
        <v>0</v>
      </c>
      <c r="DI3215">
        <v>0</v>
      </c>
    </row>
    <row r="3216" spans="1:113" x14ac:dyDescent="0.3">
      <c r="A3216" t="str">
        <f>"02/08/2021 20:31:55.436"</f>
        <v>02/08/2021 20:31:55.436</v>
      </c>
      <c r="C3216" t="str">
        <f t="shared" si="154"/>
        <v>FFDFD7C0</v>
      </c>
      <c r="D3216" t="s">
        <v>124</v>
      </c>
      <c r="E3216">
        <v>13</v>
      </c>
      <c r="F3216">
        <v>1013</v>
      </c>
      <c r="G3216" t="s">
        <v>114</v>
      </c>
      <c r="J3216" t="s">
        <v>125</v>
      </c>
      <c r="K3216">
        <v>0</v>
      </c>
      <c r="L3216">
        <v>3</v>
      </c>
      <c r="M3216">
        <v>0</v>
      </c>
      <c r="N3216">
        <v>2</v>
      </c>
      <c r="O3216">
        <v>1</v>
      </c>
      <c r="P3216">
        <v>0</v>
      </c>
      <c r="Q3216">
        <v>0</v>
      </c>
      <c r="S3216" t="str">
        <f>"20:31:57.750"</f>
        <v>20:31:57.750</v>
      </c>
      <c r="T3216" t="str">
        <f>"20:31:57.250"</f>
        <v>20:31:57.250</v>
      </c>
      <c r="U3216" t="str">
        <f t="shared" si="156"/>
        <v>AB01F4</v>
      </c>
      <c r="V3216">
        <v>0</v>
      </c>
      <c r="W3216">
        <v>0</v>
      </c>
      <c r="X3216">
        <v>2</v>
      </c>
      <c r="Z3216">
        <v>0</v>
      </c>
      <c r="AA3216">
        <v>9</v>
      </c>
      <c r="AB3216">
        <v>3</v>
      </c>
      <c r="AC3216">
        <v>0</v>
      </c>
      <c r="AD3216">
        <v>10</v>
      </c>
      <c r="AE3216">
        <v>0</v>
      </c>
      <c r="AF3216">
        <v>3</v>
      </c>
      <c r="AG3216">
        <v>2</v>
      </c>
      <c r="AH3216">
        <v>0</v>
      </c>
      <c r="AI3216" t="s">
        <v>1857</v>
      </c>
      <c r="AJ3216">
        <v>40.058663000000003</v>
      </c>
      <c r="AK3216" t="s">
        <v>1858</v>
      </c>
      <c r="AL3216">
        <v>-92.913758999999999</v>
      </c>
      <c r="AM3216">
        <v>100</v>
      </c>
      <c r="AN3216">
        <v>1300</v>
      </c>
      <c r="AO3216" t="s">
        <v>118</v>
      </c>
      <c r="AP3216">
        <v>-107</v>
      </c>
      <c r="AQ3216">
        <v>74</v>
      </c>
      <c r="AR3216">
        <v>-64</v>
      </c>
      <c r="AZ3216">
        <v>1200</v>
      </c>
      <c r="BA3216">
        <v>1</v>
      </c>
      <c r="BB3216" t="str">
        <f t="shared" si="155"/>
        <v xml:space="preserve">N8080G  </v>
      </c>
      <c r="BC3216">
        <v>1</v>
      </c>
      <c r="BE3216">
        <v>0</v>
      </c>
      <c r="BF3216">
        <v>0</v>
      </c>
      <c r="BG3216">
        <v>0</v>
      </c>
      <c r="BH3216">
        <v>1325</v>
      </c>
      <c r="BI3216">
        <v>1</v>
      </c>
      <c r="BJ3216">
        <v>1</v>
      </c>
      <c r="BK3216">
        <v>1</v>
      </c>
      <c r="BL3216">
        <v>0</v>
      </c>
      <c r="BO3216">
        <v>0</v>
      </c>
      <c r="BP3216">
        <v>0</v>
      </c>
      <c r="BW3216" t="str">
        <f>"20:31:57.757"</f>
        <v>20:31:57.757</v>
      </c>
      <c r="BZ3216">
        <v>0</v>
      </c>
      <c r="CA3216">
        <v>1600</v>
      </c>
      <c r="CB3216">
        <v>224</v>
      </c>
      <c r="CD3216">
        <v>1</v>
      </c>
      <c r="CE3216">
        <v>0</v>
      </c>
      <c r="CF3216">
        <v>0</v>
      </c>
      <c r="CG3216">
        <v>1</v>
      </c>
      <c r="CH3216">
        <v>0</v>
      </c>
      <c r="CI3216">
        <v>0</v>
      </c>
      <c r="CJ3216">
        <v>0</v>
      </c>
      <c r="CK3216">
        <v>2</v>
      </c>
      <c r="CL3216">
        <v>0</v>
      </c>
      <c r="CM3216">
        <v>2</v>
      </c>
      <c r="CN3216">
        <v>0</v>
      </c>
      <c r="CO3216">
        <v>7</v>
      </c>
      <c r="CP3216" t="s">
        <v>119</v>
      </c>
      <c r="CQ3216">
        <v>180</v>
      </c>
      <c r="CR3216">
        <v>3</v>
      </c>
      <c r="CW3216">
        <v>1101175</v>
      </c>
      <c r="CY3216">
        <v>1</v>
      </c>
      <c r="CZ3216">
        <v>0</v>
      </c>
      <c r="DA3216">
        <v>1</v>
      </c>
      <c r="DB3216">
        <v>0</v>
      </c>
      <c r="DC3216">
        <v>0</v>
      </c>
      <c r="DD3216">
        <v>0</v>
      </c>
      <c r="DE3216">
        <v>0</v>
      </c>
      <c r="DF3216">
        <v>0</v>
      </c>
      <c r="DG3216">
        <v>0</v>
      </c>
      <c r="DH3216">
        <v>0</v>
      </c>
      <c r="DI3216">
        <v>0</v>
      </c>
    </row>
    <row r="3217" spans="1:113" x14ac:dyDescent="0.3">
      <c r="A3217" t="str">
        <f>"02/08/2021 20:31:55.436"</f>
        <v>02/08/2021 20:31:55.436</v>
      </c>
      <c r="C3217" t="str">
        <f t="shared" si="154"/>
        <v>FFDFD7C0</v>
      </c>
      <c r="D3217" t="s">
        <v>124</v>
      </c>
      <c r="E3217">
        <v>11</v>
      </c>
      <c r="F3217">
        <v>1011</v>
      </c>
      <c r="G3217" t="s">
        <v>590</v>
      </c>
      <c r="J3217" t="s">
        <v>125</v>
      </c>
      <c r="K3217">
        <v>0</v>
      </c>
      <c r="L3217">
        <v>3</v>
      </c>
      <c r="M3217">
        <v>0</v>
      </c>
      <c r="N3217">
        <v>2</v>
      </c>
      <c r="O3217">
        <v>1</v>
      </c>
      <c r="P3217">
        <v>0</v>
      </c>
      <c r="Q3217">
        <v>0</v>
      </c>
      <c r="S3217" t="str">
        <f>"20:31:57.750"</f>
        <v>20:31:57.750</v>
      </c>
      <c r="T3217" t="str">
        <f>"20:31:57.250"</f>
        <v>20:31:57.250</v>
      </c>
      <c r="U3217" t="str">
        <f t="shared" si="156"/>
        <v>AB01F4</v>
      </c>
      <c r="V3217">
        <v>0</v>
      </c>
      <c r="W3217">
        <v>0</v>
      </c>
      <c r="X3217">
        <v>2</v>
      </c>
      <c r="Z3217">
        <v>0</v>
      </c>
      <c r="AA3217">
        <v>9</v>
      </c>
      <c r="AB3217">
        <v>3</v>
      </c>
      <c r="AC3217">
        <v>0</v>
      </c>
      <c r="AD3217">
        <v>10</v>
      </c>
      <c r="AE3217">
        <v>0</v>
      </c>
      <c r="AF3217">
        <v>3</v>
      </c>
      <c r="AG3217">
        <v>2</v>
      </c>
      <c r="AH3217">
        <v>0</v>
      </c>
      <c r="AI3217" t="s">
        <v>1857</v>
      </c>
      <c r="AJ3217">
        <v>40.058663000000003</v>
      </c>
      <c r="AK3217" t="s">
        <v>1858</v>
      </c>
      <c r="AL3217">
        <v>-92.913758999999999</v>
      </c>
      <c r="AM3217">
        <v>100</v>
      </c>
      <c r="AN3217">
        <v>1300</v>
      </c>
      <c r="AO3217" t="s">
        <v>118</v>
      </c>
      <c r="AP3217">
        <v>-107</v>
      </c>
      <c r="AQ3217">
        <v>74</v>
      </c>
      <c r="AR3217">
        <v>-64</v>
      </c>
      <c r="AZ3217">
        <v>1200</v>
      </c>
      <c r="BA3217">
        <v>1</v>
      </c>
      <c r="BB3217" t="str">
        <f t="shared" si="155"/>
        <v xml:space="preserve">N8080G  </v>
      </c>
      <c r="BC3217">
        <v>1</v>
      </c>
      <c r="BE3217">
        <v>0</v>
      </c>
      <c r="BF3217">
        <v>0</v>
      </c>
      <c r="BG3217">
        <v>0</v>
      </c>
      <c r="BH3217">
        <v>1325</v>
      </c>
      <c r="BI3217">
        <v>1</v>
      </c>
      <c r="BJ3217">
        <v>1</v>
      </c>
      <c r="BK3217">
        <v>1</v>
      </c>
      <c r="BL3217">
        <v>0</v>
      </c>
      <c r="BO3217">
        <v>0</v>
      </c>
      <c r="BP3217">
        <v>0</v>
      </c>
      <c r="BW3217" t="str">
        <f>"20:31:57.757"</f>
        <v>20:31:57.757</v>
      </c>
      <c r="BZ3217">
        <v>0</v>
      </c>
      <c r="CA3217">
        <v>1600</v>
      </c>
      <c r="CB3217">
        <v>224</v>
      </c>
      <c r="CD3217">
        <v>1</v>
      </c>
      <c r="CE3217">
        <v>0</v>
      </c>
      <c r="CF3217">
        <v>0</v>
      </c>
      <c r="CG3217">
        <v>1</v>
      </c>
      <c r="CH3217">
        <v>0</v>
      </c>
      <c r="CI3217">
        <v>0</v>
      </c>
      <c r="CJ3217">
        <v>0</v>
      </c>
      <c r="CK3217">
        <v>2</v>
      </c>
      <c r="CL3217">
        <v>0</v>
      </c>
      <c r="CM3217">
        <v>2</v>
      </c>
      <c r="CN3217">
        <v>0</v>
      </c>
      <c r="CO3217">
        <v>7</v>
      </c>
      <c r="CP3217" t="s">
        <v>119</v>
      </c>
      <c r="CQ3217">
        <v>180</v>
      </c>
      <c r="CR3217">
        <v>3</v>
      </c>
      <c r="CW3217">
        <v>1101175</v>
      </c>
      <c r="CY3217">
        <v>1</v>
      </c>
      <c r="CZ3217">
        <v>0</v>
      </c>
      <c r="DA3217">
        <v>1</v>
      </c>
      <c r="DB3217">
        <v>0</v>
      </c>
      <c r="DC3217">
        <v>0</v>
      </c>
      <c r="DD3217">
        <v>0</v>
      </c>
      <c r="DE3217">
        <v>0</v>
      </c>
      <c r="DF3217">
        <v>0</v>
      </c>
      <c r="DG3217">
        <v>0</v>
      </c>
      <c r="DH3217">
        <v>0</v>
      </c>
      <c r="DI3217">
        <v>0</v>
      </c>
    </row>
    <row r="3218" spans="1:113" x14ac:dyDescent="0.3">
      <c r="A3218" t="str">
        <f>"02/08/2021 20:31:55.436"</f>
        <v>02/08/2021 20:31:55.436</v>
      </c>
      <c r="C3218" t="str">
        <f t="shared" si="154"/>
        <v>FFDFD7C0</v>
      </c>
      <c r="D3218" t="s">
        <v>124</v>
      </c>
      <c r="E3218">
        <v>12</v>
      </c>
      <c r="F3218">
        <v>1012</v>
      </c>
      <c r="G3218" t="s">
        <v>675</v>
      </c>
      <c r="J3218" t="s">
        <v>125</v>
      </c>
      <c r="K3218">
        <v>0</v>
      </c>
      <c r="L3218">
        <v>3</v>
      </c>
      <c r="M3218">
        <v>0</v>
      </c>
      <c r="N3218">
        <v>2</v>
      </c>
      <c r="O3218">
        <v>1</v>
      </c>
      <c r="P3218">
        <v>0</v>
      </c>
      <c r="Q3218">
        <v>0</v>
      </c>
      <c r="S3218" t="str">
        <f>"20:31:57.750"</f>
        <v>20:31:57.750</v>
      </c>
      <c r="T3218" t="str">
        <f>"20:31:57.250"</f>
        <v>20:31:57.250</v>
      </c>
      <c r="U3218" t="str">
        <f t="shared" si="156"/>
        <v>AB01F4</v>
      </c>
      <c r="V3218">
        <v>0</v>
      </c>
      <c r="W3218">
        <v>0</v>
      </c>
      <c r="X3218">
        <v>2</v>
      </c>
      <c r="Z3218">
        <v>0</v>
      </c>
      <c r="AA3218">
        <v>9</v>
      </c>
      <c r="AB3218">
        <v>3</v>
      </c>
      <c r="AC3218">
        <v>0</v>
      </c>
      <c r="AD3218">
        <v>10</v>
      </c>
      <c r="AE3218">
        <v>0</v>
      </c>
      <c r="AF3218">
        <v>3</v>
      </c>
      <c r="AG3218">
        <v>2</v>
      </c>
      <c r="AH3218">
        <v>0</v>
      </c>
      <c r="AI3218" t="s">
        <v>1857</v>
      </c>
      <c r="AJ3218">
        <v>40.058663000000003</v>
      </c>
      <c r="AK3218" t="s">
        <v>1858</v>
      </c>
      <c r="AL3218">
        <v>-92.913758999999999</v>
      </c>
      <c r="AM3218">
        <v>100</v>
      </c>
      <c r="AN3218">
        <v>1300</v>
      </c>
      <c r="AO3218" t="s">
        <v>118</v>
      </c>
      <c r="AP3218">
        <v>-107</v>
      </c>
      <c r="AQ3218">
        <v>74</v>
      </c>
      <c r="AR3218">
        <v>-64</v>
      </c>
      <c r="AZ3218">
        <v>1200</v>
      </c>
      <c r="BA3218">
        <v>1</v>
      </c>
      <c r="BB3218" t="str">
        <f t="shared" si="155"/>
        <v xml:space="preserve">N8080G  </v>
      </c>
      <c r="BC3218">
        <v>1</v>
      </c>
      <c r="BE3218">
        <v>0</v>
      </c>
      <c r="BF3218">
        <v>0</v>
      </c>
      <c r="BG3218">
        <v>0</v>
      </c>
      <c r="BH3218">
        <v>1325</v>
      </c>
      <c r="BI3218">
        <v>1</v>
      </c>
      <c r="BJ3218">
        <v>1</v>
      </c>
      <c r="BK3218">
        <v>1</v>
      </c>
      <c r="BL3218">
        <v>0</v>
      </c>
      <c r="BO3218">
        <v>0</v>
      </c>
      <c r="BP3218">
        <v>0</v>
      </c>
      <c r="BW3218" t="str">
        <f>"20:31:57.757"</f>
        <v>20:31:57.757</v>
      </c>
      <c r="BZ3218">
        <v>0</v>
      </c>
      <c r="CA3218">
        <v>1600</v>
      </c>
      <c r="CB3218">
        <v>224</v>
      </c>
      <c r="CD3218">
        <v>1</v>
      </c>
      <c r="CE3218">
        <v>0</v>
      </c>
      <c r="CF3218">
        <v>0</v>
      </c>
      <c r="CG3218">
        <v>1</v>
      </c>
      <c r="CH3218">
        <v>0</v>
      </c>
      <c r="CI3218">
        <v>0</v>
      </c>
      <c r="CJ3218">
        <v>0</v>
      </c>
      <c r="CK3218">
        <v>2</v>
      </c>
      <c r="CL3218">
        <v>0</v>
      </c>
      <c r="CM3218">
        <v>2</v>
      </c>
      <c r="CN3218">
        <v>0</v>
      </c>
      <c r="CO3218">
        <v>7</v>
      </c>
      <c r="CP3218" t="s">
        <v>119</v>
      </c>
      <c r="CQ3218">
        <v>180</v>
      </c>
      <c r="CR3218">
        <v>3</v>
      </c>
      <c r="CW3218">
        <v>1101175</v>
      </c>
      <c r="CY3218">
        <v>1</v>
      </c>
      <c r="CZ3218">
        <v>0</v>
      </c>
      <c r="DA3218">
        <v>1</v>
      </c>
      <c r="DB3218">
        <v>0</v>
      </c>
      <c r="DC3218">
        <v>0</v>
      </c>
      <c r="DD3218">
        <v>0</v>
      </c>
      <c r="DE3218">
        <v>0</v>
      </c>
      <c r="DF3218">
        <v>0</v>
      </c>
      <c r="DG3218">
        <v>0</v>
      </c>
      <c r="DH3218">
        <v>0</v>
      </c>
      <c r="DI3218">
        <v>0</v>
      </c>
    </row>
    <row r="3219" spans="1:113" x14ac:dyDescent="0.3">
      <c r="A3219" t="str">
        <f>"02/08/2021 20:31:56.381"</f>
        <v>02/08/2021 20:31:56.381</v>
      </c>
      <c r="C3219" t="str">
        <f t="shared" si="154"/>
        <v>FFDFD7C0</v>
      </c>
      <c r="D3219" t="s">
        <v>124</v>
      </c>
      <c r="E3219">
        <v>12</v>
      </c>
      <c r="F3219">
        <v>1012</v>
      </c>
      <c r="G3219" t="s">
        <v>675</v>
      </c>
      <c r="J3219" t="s">
        <v>125</v>
      </c>
      <c r="K3219">
        <v>0</v>
      </c>
      <c r="L3219">
        <v>3</v>
      </c>
      <c r="M3219">
        <v>0</v>
      </c>
      <c r="N3219">
        <v>2</v>
      </c>
      <c r="O3219">
        <v>1</v>
      </c>
      <c r="P3219">
        <v>0</v>
      </c>
      <c r="Q3219">
        <v>0</v>
      </c>
      <c r="S3219" t="str">
        <f>"20:31:58.688"</f>
        <v>20:31:58.688</v>
      </c>
      <c r="T3219" t="str">
        <f>"20:31:58.188"</f>
        <v>20:31:58.188</v>
      </c>
      <c r="U3219" t="str">
        <f t="shared" si="156"/>
        <v>AB01F4</v>
      </c>
      <c r="V3219">
        <v>0</v>
      </c>
      <c r="W3219">
        <v>0</v>
      </c>
      <c r="X3219">
        <v>2</v>
      </c>
      <c r="Z3219">
        <v>0</v>
      </c>
      <c r="AA3219">
        <v>9</v>
      </c>
      <c r="AB3219">
        <v>3</v>
      </c>
      <c r="AC3219">
        <v>0</v>
      </c>
      <c r="AD3219">
        <v>10</v>
      </c>
      <c r="AE3219">
        <v>0</v>
      </c>
      <c r="AF3219">
        <v>3</v>
      </c>
      <c r="AG3219">
        <v>2</v>
      </c>
      <c r="AH3219">
        <v>0</v>
      </c>
      <c r="AI3219" t="s">
        <v>1859</v>
      </c>
      <c r="AJ3219">
        <v>40.058985</v>
      </c>
      <c r="AK3219" t="s">
        <v>1860</v>
      </c>
      <c r="AL3219">
        <v>-92.914316999999997</v>
      </c>
      <c r="AM3219">
        <v>100</v>
      </c>
      <c r="AN3219">
        <v>1300</v>
      </c>
      <c r="AO3219" t="s">
        <v>118</v>
      </c>
      <c r="AP3219">
        <v>-107</v>
      </c>
      <c r="AQ3219">
        <v>75</v>
      </c>
      <c r="AR3219">
        <v>0</v>
      </c>
      <c r="AZ3219">
        <v>1200</v>
      </c>
      <c r="BA3219">
        <v>1</v>
      </c>
      <c r="BB3219" t="str">
        <f t="shared" si="155"/>
        <v xml:space="preserve">N8080G  </v>
      </c>
      <c r="BC3219">
        <v>1</v>
      </c>
      <c r="BE3219">
        <v>0</v>
      </c>
      <c r="BF3219">
        <v>0</v>
      </c>
      <c r="BG3219">
        <v>0</v>
      </c>
      <c r="BH3219">
        <v>1350</v>
      </c>
      <c r="BI3219">
        <v>1</v>
      </c>
      <c r="BJ3219">
        <v>1</v>
      </c>
      <c r="BK3219">
        <v>1</v>
      </c>
      <c r="BL3219">
        <v>0</v>
      </c>
      <c r="BO3219">
        <v>0</v>
      </c>
      <c r="BP3219">
        <v>0</v>
      </c>
      <c r="BW3219" t="str">
        <f>"20:31:58.689"</f>
        <v>20:31:58.689</v>
      </c>
      <c r="BZ3219">
        <v>0</v>
      </c>
      <c r="CA3219">
        <v>1600</v>
      </c>
      <c r="CB3219">
        <v>224</v>
      </c>
      <c r="CD3219">
        <v>1</v>
      </c>
      <c r="CE3219">
        <v>0</v>
      </c>
      <c r="CF3219">
        <v>0</v>
      </c>
      <c r="CG3219">
        <v>1</v>
      </c>
      <c r="CH3219">
        <v>0</v>
      </c>
      <c r="CI3219">
        <v>0</v>
      </c>
      <c r="CJ3219">
        <v>0</v>
      </c>
      <c r="CK3219">
        <v>2</v>
      </c>
      <c r="CL3219">
        <v>0</v>
      </c>
      <c r="CM3219">
        <v>2</v>
      </c>
      <c r="CN3219">
        <v>0</v>
      </c>
      <c r="CO3219">
        <v>7</v>
      </c>
      <c r="CP3219" t="s">
        <v>119</v>
      </c>
      <c r="CQ3219">
        <v>180</v>
      </c>
      <c r="CR3219">
        <v>3</v>
      </c>
      <c r="CW3219">
        <v>1101802</v>
      </c>
      <c r="CY3219">
        <v>1</v>
      </c>
      <c r="CZ3219">
        <v>0</v>
      </c>
      <c r="DA3219">
        <v>0</v>
      </c>
      <c r="DB3219">
        <v>0</v>
      </c>
      <c r="DC3219">
        <v>0</v>
      </c>
      <c r="DD3219">
        <v>0</v>
      </c>
      <c r="DE3219">
        <v>0</v>
      </c>
      <c r="DF3219">
        <v>0</v>
      </c>
      <c r="DG3219">
        <v>0</v>
      </c>
      <c r="DH3219">
        <v>0</v>
      </c>
      <c r="DI3219">
        <v>0</v>
      </c>
    </row>
    <row r="3220" spans="1:113" x14ac:dyDescent="0.3">
      <c r="A3220" t="str">
        <f>"02/08/2021 20:31:56.381"</f>
        <v>02/08/2021 20:31:56.381</v>
      </c>
      <c r="C3220" t="str">
        <f t="shared" si="154"/>
        <v>FFDFD7C0</v>
      </c>
      <c r="D3220" t="s">
        <v>113</v>
      </c>
      <c r="E3220">
        <v>6</v>
      </c>
      <c r="H3220">
        <v>165</v>
      </c>
      <c r="I3220" t="s">
        <v>114</v>
      </c>
      <c r="J3220" t="s">
        <v>115</v>
      </c>
      <c r="K3220">
        <v>0</v>
      </c>
      <c r="L3220">
        <v>3</v>
      </c>
      <c r="M3220">
        <v>0</v>
      </c>
      <c r="N3220">
        <v>2</v>
      </c>
      <c r="O3220">
        <v>1</v>
      </c>
      <c r="P3220">
        <v>0</v>
      </c>
      <c r="Q3220">
        <v>0</v>
      </c>
      <c r="S3220" t="str">
        <f>"20:31:58.688"</f>
        <v>20:31:58.688</v>
      </c>
      <c r="T3220" t="str">
        <f>"20:31:58.188"</f>
        <v>20:31:58.188</v>
      </c>
      <c r="U3220" t="str">
        <f t="shared" si="156"/>
        <v>AB01F4</v>
      </c>
      <c r="V3220">
        <v>0</v>
      </c>
      <c r="W3220">
        <v>0</v>
      </c>
      <c r="X3220">
        <v>2</v>
      </c>
      <c r="Z3220">
        <v>0</v>
      </c>
      <c r="AA3220">
        <v>9</v>
      </c>
      <c r="AB3220">
        <v>3</v>
      </c>
      <c r="AC3220">
        <v>0</v>
      </c>
      <c r="AD3220">
        <v>10</v>
      </c>
      <c r="AE3220">
        <v>0</v>
      </c>
      <c r="AF3220">
        <v>3</v>
      </c>
      <c r="AG3220">
        <v>2</v>
      </c>
      <c r="AH3220">
        <v>0</v>
      </c>
      <c r="AI3220" t="s">
        <v>1859</v>
      </c>
      <c r="AJ3220">
        <v>40.058985</v>
      </c>
      <c r="AK3220" t="s">
        <v>1860</v>
      </c>
      <c r="AL3220">
        <v>-92.914316999999997</v>
      </c>
      <c r="AM3220">
        <v>100</v>
      </c>
      <c r="AN3220">
        <v>1300</v>
      </c>
      <c r="AO3220" t="s">
        <v>118</v>
      </c>
      <c r="AP3220">
        <v>-107</v>
      </c>
      <c r="AQ3220">
        <v>75</v>
      </c>
      <c r="AR3220">
        <v>0</v>
      </c>
      <c r="AZ3220">
        <v>1200</v>
      </c>
      <c r="BA3220">
        <v>1</v>
      </c>
      <c r="BB3220" t="str">
        <f t="shared" si="155"/>
        <v xml:space="preserve">N8080G  </v>
      </c>
      <c r="BC3220">
        <v>1</v>
      </c>
      <c r="BE3220">
        <v>0</v>
      </c>
      <c r="BF3220">
        <v>0</v>
      </c>
      <c r="BG3220">
        <v>0</v>
      </c>
      <c r="BH3220">
        <v>1350</v>
      </c>
      <c r="BI3220">
        <v>1</v>
      </c>
      <c r="BJ3220">
        <v>1</v>
      </c>
      <c r="BK3220">
        <v>1</v>
      </c>
      <c r="BL3220">
        <v>0</v>
      </c>
      <c r="BO3220">
        <v>0</v>
      </c>
      <c r="BP3220">
        <v>0</v>
      </c>
      <c r="BW3220" t="str">
        <f>"20:31:58.689"</f>
        <v>20:31:58.689</v>
      </c>
      <c r="BZ3220">
        <v>0</v>
      </c>
      <c r="CA3220">
        <v>1600</v>
      </c>
      <c r="CB3220">
        <v>224</v>
      </c>
      <c r="CD3220">
        <v>1</v>
      </c>
      <c r="CE3220">
        <v>0</v>
      </c>
      <c r="CF3220">
        <v>0</v>
      </c>
      <c r="CG3220">
        <v>1</v>
      </c>
      <c r="CH3220">
        <v>0</v>
      </c>
      <c r="CI3220">
        <v>0</v>
      </c>
      <c r="CJ3220">
        <v>0</v>
      </c>
      <c r="CK3220">
        <v>2</v>
      </c>
      <c r="CL3220">
        <v>0</v>
      </c>
      <c r="CM3220">
        <v>2</v>
      </c>
      <c r="CN3220">
        <v>0</v>
      </c>
      <c r="CO3220">
        <v>7</v>
      </c>
      <c r="CP3220" t="s">
        <v>119</v>
      </c>
      <c r="CQ3220">
        <v>180</v>
      </c>
      <c r="CR3220">
        <v>3</v>
      </c>
      <c r="CW3220">
        <v>1101802</v>
      </c>
      <c r="CY3220">
        <v>1</v>
      </c>
      <c r="CZ3220">
        <v>0</v>
      </c>
      <c r="DA3220">
        <v>1</v>
      </c>
      <c r="DB3220">
        <v>0</v>
      </c>
      <c r="DC3220">
        <v>0</v>
      </c>
      <c r="DD3220">
        <v>0</v>
      </c>
      <c r="DE3220">
        <v>0</v>
      </c>
      <c r="DF3220">
        <v>0</v>
      </c>
      <c r="DG3220">
        <v>0</v>
      </c>
      <c r="DH3220">
        <v>0</v>
      </c>
      <c r="DI3220">
        <v>0</v>
      </c>
    </row>
    <row r="3221" spans="1:113" x14ac:dyDescent="0.3">
      <c r="A3221" t="str">
        <f>"02/08/2021 20:31:56.381"</f>
        <v>02/08/2021 20:31:56.381</v>
      </c>
      <c r="C3221" t="str">
        <f t="shared" si="154"/>
        <v>FFDFD7C0</v>
      </c>
      <c r="D3221" t="s">
        <v>124</v>
      </c>
      <c r="E3221">
        <v>13</v>
      </c>
      <c r="F3221">
        <v>1013</v>
      </c>
      <c r="G3221" t="s">
        <v>114</v>
      </c>
      <c r="J3221" t="s">
        <v>125</v>
      </c>
      <c r="K3221">
        <v>0</v>
      </c>
      <c r="L3221">
        <v>3</v>
      </c>
      <c r="M3221">
        <v>0</v>
      </c>
      <c r="N3221">
        <v>2</v>
      </c>
      <c r="O3221">
        <v>1</v>
      </c>
      <c r="P3221">
        <v>0</v>
      </c>
      <c r="Q3221">
        <v>0</v>
      </c>
      <c r="S3221" t="str">
        <f>"20:31:58.688"</f>
        <v>20:31:58.688</v>
      </c>
      <c r="T3221" t="str">
        <f>"20:31:58.188"</f>
        <v>20:31:58.188</v>
      </c>
      <c r="U3221" t="str">
        <f t="shared" si="156"/>
        <v>AB01F4</v>
      </c>
      <c r="V3221">
        <v>0</v>
      </c>
      <c r="W3221">
        <v>0</v>
      </c>
      <c r="X3221">
        <v>2</v>
      </c>
      <c r="Z3221">
        <v>0</v>
      </c>
      <c r="AA3221">
        <v>9</v>
      </c>
      <c r="AB3221">
        <v>3</v>
      </c>
      <c r="AC3221">
        <v>0</v>
      </c>
      <c r="AD3221">
        <v>10</v>
      </c>
      <c r="AE3221">
        <v>0</v>
      </c>
      <c r="AF3221">
        <v>3</v>
      </c>
      <c r="AG3221">
        <v>2</v>
      </c>
      <c r="AH3221">
        <v>0</v>
      </c>
      <c r="AI3221" t="s">
        <v>1859</v>
      </c>
      <c r="AJ3221">
        <v>40.058985</v>
      </c>
      <c r="AK3221" t="s">
        <v>1860</v>
      </c>
      <c r="AL3221">
        <v>-92.914316999999997</v>
      </c>
      <c r="AM3221">
        <v>100</v>
      </c>
      <c r="AN3221">
        <v>1300</v>
      </c>
      <c r="AO3221" t="s">
        <v>118</v>
      </c>
      <c r="AP3221">
        <v>-107</v>
      </c>
      <c r="AQ3221">
        <v>75</v>
      </c>
      <c r="AR3221">
        <v>0</v>
      </c>
      <c r="AZ3221">
        <v>1200</v>
      </c>
      <c r="BA3221">
        <v>1</v>
      </c>
      <c r="BB3221" t="str">
        <f t="shared" si="155"/>
        <v xml:space="preserve">N8080G  </v>
      </c>
      <c r="BC3221">
        <v>1</v>
      </c>
      <c r="BE3221">
        <v>0</v>
      </c>
      <c r="BF3221">
        <v>0</v>
      </c>
      <c r="BG3221">
        <v>0</v>
      </c>
      <c r="BH3221">
        <v>1350</v>
      </c>
      <c r="BI3221">
        <v>1</v>
      </c>
      <c r="BJ3221">
        <v>1</v>
      </c>
      <c r="BK3221">
        <v>1</v>
      </c>
      <c r="BL3221">
        <v>0</v>
      </c>
      <c r="BO3221">
        <v>0</v>
      </c>
      <c r="BP3221">
        <v>0</v>
      </c>
      <c r="BW3221" t="str">
        <f>"20:31:58.689"</f>
        <v>20:31:58.689</v>
      </c>
      <c r="BZ3221">
        <v>0</v>
      </c>
      <c r="CA3221">
        <v>1600</v>
      </c>
      <c r="CB3221">
        <v>224</v>
      </c>
      <c r="CD3221">
        <v>1</v>
      </c>
      <c r="CE3221">
        <v>0</v>
      </c>
      <c r="CF3221">
        <v>0</v>
      </c>
      <c r="CG3221">
        <v>1</v>
      </c>
      <c r="CH3221">
        <v>0</v>
      </c>
      <c r="CI3221">
        <v>0</v>
      </c>
      <c r="CJ3221">
        <v>0</v>
      </c>
      <c r="CK3221">
        <v>2</v>
      </c>
      <c r="CL3221">
        <v>0</v>
      </c>
      <c r="CM3221">
        <v>2</v>
      </c>
      <c r="CN3221">
        <v>0</v>
      </c>
      <c r="CO3221">
        <v>7</v>
      </c>
      <c r="CP3221" t="s">
        <v>119</v>
      </c>
      <c r="CQ3221">
        <v>180</v>
      </c>
      <c r="CR3221">
        <v>3</v>
      </c>
      <c r="CW3221">
        <v>1101802</v>
      </c>
      <c r="CY3221">
        <v>1</v>
      </c>
      <c r="CZ3221">
        <v>0</v>
      </c>
      <c r="DA3221">
        <v>1</v>
      </c>
      <c r="DB3221">
        <v>0</v>
      </c>
      <c r="DC3221">
        <v>0</v>
      </c>
      <c r="DD3221">
        <v>0</v>
      </c>
      <c r="DE3221">
        <v>0</v>
      </c>
      <c r="DF3221">
        <v>0</v>
      </c>
      <c r="DG3221">
        <v>0</v>
      </c>
      <c r="DH3221">
        <v>0</v>
      </c>
      <c r="DI3221">
        <v>0</v>
      </c>
    </row>
    <row r="3222" spans="1:113" x14ac:dyDescent="0.3">
      <c r="A3222" t="str">
        <f>"02/08/2021 20:31:56.381"</f>
        <v>02/08/2021 20:31:56.381</v>
      </c>
      <c r="C3222" t="str">
        <f t="shared" si="154"/>
        <v>FFDFD7C0</v>
      </c>
      <c r="D3222" t="s">
        <v>124</v>
      </c>
      <c r="E3222">
        <v>11</v>
      </c>
      <c r="F3222">
        <v>1011</v>
      </c>
      <c r="G3222" t="s">
        <v>590</v>
      </c>
      <c r="J3222" t="s">
        <v>125</v>
      </c>
      <c r="K3222">
        <v>0</v>
      </c>
      <c r="L3222">
        <v>3</v>
      </c>
      <c r="M3222">
        <v>0</v>
      </c>
      <c r="N3222">
        <v>2</v>
      </c>
      <c r="O3222">
        <v>1</v>
      </c>
      <c r="P3222">
        <v>0</v>
      </c>
      <c r="Q3222">
        <v>0</v>
      </c>
      <c r="S3222" t="str">
        <f>"20:31:58.688"</f>
        <v>20:31:58.688</v>
      </c>
      <c r="T3222" t="str">
        <f>"20:31:58.188"</f>
        <v>20:31:58.188</v>
      </c>
      <c r="U3222" t="str">
        <f t="shared" si="156"/>
        <v>AB01F4</v>
      </c>
      <c r="V3222">
        <v>0</v>
      </c>
      <c r="W3222">
        <v>0</v>
      </c>
      <c r="X3222">
        <v>2</v>
      </c>
      <c r="Z3222">
        <v>0</v>
      </c>
      <c r="AA3222">
        <v>9</v>
      </c>
      <c r="AB3222">
        <v>3</v>
      </c>
      <c r="AC3222">
        <v>0</v>
      </c>
      <c r="AD3222">
        <v>10</v>
      </c>
      <c r="AE3222">
        <v>0</v>
      </c>
      <c r="AF3222">
        <v>3</v>
      </c>
      <c r="AG3222">
        <v>2</v>
      </c>
      <c r="AH3222">
        <v>0</v>
      </c>
      <c r="AI3222" t="s">
        <v>1859</v>
      </c>
      <c r="AJ3222">
        <v>40.058985</v>
      </c>
      <c r="AK3222" t="s">
        <v>1860</v>
      </c>
      <c r="AL3222">
        <v>-92.914316999999997</v>
      </c>
      <c r="AM3222">
        <v>100</v>
      </c>
      <c r="AN3222">
        <v>1300</v>
      </c>
      <c r="AO3222" t="s">
        <v>118</v>
      </c>
      <c r="AP3222">
        <v>-107</v>
      </c>
      <c r="AQ3222">
        <v>75</v>
      </c>
      <c r="AR3222">
        <v>0</v>
      </c>
      <c r="AZ3222">
        <v>1200</v>
      </c>
      <c r="BA3222">
        <v>1</v>
      </c>
      <c r="BB3222" t="str">
        <f t="shared" si="155"/>
        <v xml:space="preserve">N8080G  </v>
      </c>
      <c r="BC3222">
        <v>1</v>
      </c>
      <c r="BE3222">
        <v>0</v>
      </c>
      <c r="BF3222">
        <v>0</v>
      </c>
      <c r="BG3222">
        <v>0</v>
      </c>
      <c r="BH3222">
        <v>1350</v>
      </c>
      <c r="BI3222">
        <v>1</v>
      </c>
      <c r="BJ3222">
        <v>1</v>
      </c>
      <c r="BK3222">
        <v>1</v>
      </c>
      <c r="BL3222">
        <v>0</v>
      </c>
      <c r="BO3222">
        <v>0</v>
      </c>
      <c r="BP3222">
        <v>0</v>
      </c>
      <c r="BW3222" t="str">
        <f>"20:31:58.689"</f>
        <v>20:31:58.689</v>
      </c>
      <c r="BZ3222">
        <v>0</v>
      </c>
      <c r="CA3222">
        <v>1600</v>
      </c>
      <c r="CB3222">
        <v>224</v>
      </c>
      <c r="CD3222">
        <v>1</v>
      </c>
      <c r="CE3222">
        <v>0</v>
      </c>
      <c r="CF3222">
        <v>0</v>
      </c>
      <c r="CG3222">
        <v>1</v>
      </c>
      <c r="CH3222">
        <v>0</v>
      </c>
      <c r="CI3222">
        <v>0</v>
      </c>
      <c r="CJ3222">
        <v>0</v>
      </c>
      <c r="CK3222">
        <v>2</v>
      </c>
      <c r="CL3222">
        <v>0</v>
      </c>
      <c r="CM3222">
        <v>2</v>
      </c>
      <c r="CN3222">
        <v>0</v>
      </c>
      <c r="CO3222">
        <v>7</v>
      </c>
      <c r="CP3222" t="s">
        <v>119</v>
      </c>
      <c r="CQ3222">
        <v>180</v>
      </c>
      <c r="CR3222">
        <v>3</v>
      </c>
      <c r="CW3222">
        <v>1101802</v>
      </c>
      <c r="CY3222">
        <v>1</v>
      </c>
      <c r="CZ3222">
        <v>0</v>
      </c>
      <c r="DA3222">
        <v>1</v>
      </c>
      <c r="DB3222">
        <v>0</v>
      </c>
      <c r="DC3222">
        <v>0</v>
      </c>
      <c r="DD3222">
        <v>0</v>
      </c>
      <c r="DE3222">
        <v>0</v>
      </c>
      <c r="DF3222">
        <v>0</v>
      </c>
      <c r="DG3222">
        <v>0</v>
      </c>
      <c r="DH3222">
        <v>0</v>
      </c>
      <c r="DI3222">
        <v>0</v>
      </c>
    </row>
    <row r="3223" spans="1:113" x14ac:dyDescent="0.3">
      <c r="A3223" t="str">
        <f>"02/08/2021 20:31:57.236"</f>
        <v>02/08/2021 20:31:57.236</v>
      </c>
      <c r="C3223" t="str">
        <f t="shared" si="154"/>
        <v>FFDFD7C0</v>
      </c>
      <c r="D3223" t="s">
        <v>124</v>
      </c>
      <c r="E3223">
        <v>12</v>
      </c>
      <c r="F3223">
        <v>1012</v>
      </c>
      <c r="G3223" t="s">
        <v>675</v>
      </c>
      <c r="J3223" t="s">
        <v>125</v>
      </c>
      <c r="K3223">
        <v>0</v>
      </c>
      <c r="L3223">
        <v>3</v>
      </c>
      <c r="M3223">
        <v>0</v>
      </c>
      <c r="N3223">
        <v>2</v>
      </c>
      <c r="O3223">
        <v>1</v>
      </c>
      <c r="P3223">
        <v>0</v>
      </c>
      <c r="Q3223">
        <v>0</v>
      </c>
      <c r="S3223" t="str">
        <f>"20:31:59.570"</f>
        <v>20:31:59.570</v>
      </c>
      <c r="T3223" t="str">
        <f>"20:31:59.170"</f>
        <v>20:31:59.170</v>
      </c>
      <c r="U3223" t="str">
        <f t="shared" si="156"/>
        <v>AB01F4</v>
      </c>
      <c r="V3223">
        <v>0</v>
      </c>
      <c r="W3223">
        <v>0</v>
      </c>
      <c r="X3223">
        <v>2</v>
      </c>
      <c r="Z3223">
        <v>0</v>
      </c>
      <c r="AA3223">
        <v>9</v>
      </c>
      <c r="AB3223">
        <v>3</v>
      </c>
      <c r="AC3223">
        <v>0</v>
      </c>
      <c r="AD3223">
        <v>10</v>
      </c>
      <c r="AE3223">
        <v>0</v>
      </c>
      <c r="AF3223">
        <v>3</v>
      </c>
      <c r="AG3223">
        <v>2</v>
      </c>
      <c r="AH3223">
        <v>0</v>
      </c>
      <c r="AI3223" t="s">
        <v>1861</v>
      </c>
      <c r="AJ3223">
        <v>40.059306999999997</v>
      </c>
      <c r="AK3223" t="s">
        <v>1862</v>
      </c>
      <c r="AL3223">
        <v>-92.914917000000003</v>
      </c>
      <c r="AM3223">
        <v>100</v>
      </c>
      <c r="AN3223">
        <v>1300</v>
      </c>
      <c r="AO3223" t="s">
        <v>118</v>
      </c>
      <c r="AP3223">
        <v>-106</v>
      </c>
      <c r="AQ3223">
        <v>75</v>
      </c>
      <c r="AR3223">
        <v>0</v>
      </c>
      <c r="AZ3223">
        <v>1200</v>
      </c>
      <c r="BA3223">
        <v>1</v>
      </c>
      <c r="BB3223" t="str">
        <f t="shared" si="155"/>
        <v xml:space="preserve">N8080G  </v>
      </c>
      <c r="BC3223">
        <v>1</v>
      </c>
      <c r="BE3223">
        <v>0</v>
      </c>
      <c r="BF3223">
        <v>0</v>
      </c>
      <c r="BG3223">
        <v>0</v>
      </c>
      <c r="BH3223">
        <v>1350</v>
      </c>
      <c r="BI3223">
        <v>1</v>
      </c>
      <c r="BJ3223">
        <v>1</v>
      </c>
      <c r="BK3223">
        <v>1</v>
      </c>
      <c r="BL3223">
        <v>0</v>
      </c>
      <c r="BO3223">
        <v>0</v>
      </c>
      <c r="BP3223">
        <v>0</v>
      </c>
      <c r="BW3223" t="str">
        <f>"20:31:59.572"</f>
        <v>20:31:59.572</v>
      </c>
      <c r="BZ3223">
        <v>0</v>
      </c>
      <c r="CA3223">
        <v>1600</v>
      </c>
      <c r="CB3223">
        <v>224</v>
      </c>
      <c r="CD3223">
        <v>1</v>
      </c>
      <c r="CE3223">
        <v>0</v>
      </c>
      <c r="CF3223">
        <v>0</v>
      </c>
      <c r="CG3223">
        <v>1</v>
      </c>
      <c r="CH3223">
        <v>0</v>
      </c>
      <c r="CI3223">
        <v>0</v>
      </c>
      <c r="CJ3223">
        <v>0</v>
      </c>
      <c r="CK3223">
        <v>2</v>
      </c>
      <c r="CL3223">
        <v>0</v>
      </c>
      <c r="CM3223">
        <v>2</v>
      </c>
      <c r="CN3223">
        <v>0</v>
      </c>
      <c r="CO3223">
        <v>7</v>
      </c>
      <c r="CP3223" t="s">
        <v>119</v>
      </c>
      <c r="CQ3223">
        <v>180</v>
      </c>
      <c r="CR3223">
        <v>3</v>
      </c>
      <c r="CW3223">
        <v>1102501</v>
      </c>
      <c r="CY3223">
        <v>1</v>
      </c>
      <c r="CZ3223">
        <v>0</v>
      </c>
      <c r="DA3223">
        <v>0</v>
      </c>
      <c r="DB3223">
        <v>0</v>
      </c>
      <c r="DC3223">
        <v>0</v>
      </c>
      <c r="DD3223">
        <v>0</v>
      </c>
      <c r="DE3223">
        <v>0</v>
      </c>
      <c r="DF3223">
        <v>0</v>
      </c>
      <c r="DG3223">
        <v>0</v>
      </c>
      <c r="DH3223">
        <v>0</v>
      </c>
      <c r="DI3223">
        <v>0</v>
      </c>
    </row>
    <row r="3224" spans="1:113" x14ac:dyDescent="0.3">
      <c r="A3224" t="str">
        <f>"02/08/2021 20:31:57.236"</f>
        <v>02/08/2021 20:31:57.236</v>
      </c>
      <c r="C3224" t="str">
        <f t="shared" si="154"/>
        <v>FFDFD7C0</v>
      </c>
      <c r="D3224" t="s">
        <v>113</v>
      </c>
      <c r="E3224">
        <v>6</v>
      </c>
      <c r="H3224">
        <v>165</v>
      </c>
      <c r="I3224" t="s">
        <v>114</v>
      </c>
      <c r="J3224" t="s">
        <v>115</v>
      </c>
      <c r="K3224">
        <v>0</v>
      </c>
      <c r="L3224">
        <v>3</v>
      </c>
      <c r="M3224">
        <v>0</v>
      </c>
      <c r="N3224">
        <v>2</v>
      </c>
      <c r="O3224">
        <v>1</v>
      </c>
      <c r="P3224">
        <v>0</v>
      </c>
      <c r="Q3224">
        <v>0</v>
      </c>
      <c r="S3224" t="str">
        <f>"20:31:59.570"</f>
        <v>20:31:59.570</v>
      </c>
      <c r="T3224" t="str">
        <f>"20:31:59.170"</f>
        <v>20:31:59.170</v>
      </c>
      <c r="U3224" t="str">
        <f t="shared" si="156"/>
        <v>AB01F4</v>
      </c>
      <c r="V3224">
        <v>0</v>
      </c>
      <c r="W3224">
        <v>0</v>
      </c>
      <c r="X3224">
        <v>2</v>
      </c>
      <c r="Z3224">
        <v>0</v>
      </c>
      <c r="AA3224">
        <v>9</v>
      </c>
      <c r="AB3224">
        <v>3</v>
      </c>
      <c r="AC3224">
        <v>0</v>
      </c>
      <c r="AD3224">
        <v>10</v>
      </c>
      <c r="AE3224">
        <v>0</v>
      </c>
      <c r="AF3224">
        <v>3</v>
      </c>
      <c r="AG3224">
        <v>2</v>
      </c>
      <c r="AH3224">
        <v>0</v>
      </c>
      <c r="AI3224" t="s">
        <v>1861</v>
      </c>
      <c r="AJ3224">
        <v>40.059306999999997</v>
      </c>
      <c r="AK3224" t="s">
        <v>1862</v>
      </c>
      <c r="AL3224">
        <v>-92.914917000000003</v>
      </c>
      <c r="AM3224">
        <v>100</v>
      </c>
      <c r="AN3224">
        <v>1300</v>
      </c>
      <c r="AO3224" t="s">
        <v>118</v>
      </c>
      <c r="AP3224">
        <v>-106</v>
      </c>
      <c r="AQ3224">
        <v>75</v>
      </c>
      <c r="AR3224">
        <v>0</v>
      </c>
      <c r="AZ3224">
        <v>1200</v>
      </c>
      <c r="BA3224">
        <v>1</v>
      </c>
      <c r="BB3224" t="str">
        <f t="shared" si="155"/>
        <v xml:space="preserve">N8080G  </v>
      </c>
      <c r="BC3224">
        <v>1</v>
      </c>
      <c r="BE3224">
        <v>0</v>
      </c>
      <c r="BF3224">
        <v>0</v>
      </c>
      <c r="BG3224">
        <v>0</v>
      </c>
      <c r="BH3224">
        <v>1350</v>
      </c>
      <c r="BI3224">
        <v>1</v>
      </c>
      <c r="BJ3224">
        <v>1</v>
      </c>
      <c r="BK3224">
        <v>1</v>
      </c>
      <c r="BL3224">
        <v>0</v>
      </c>
      <c r="BO3224">
        <v>0</v>
      </c>
      <c r="BP3224">
        <v>0</v>
      </c>
      <c r="BW3224" t="str">
        <f>"20:31:59.572"</f>
        <v>20:31:59.572</v>
      </c>
      <c r="BZ3224">
        <v>0</v>
      </c>
      <c r="CA3224">
        <v>1600</v>
      </c>
      <c r="CB3224">
        <v>224</v>
      </c>
      <c r="CD3224">
        <v>1</v>
      </c>
      <c r="CE3224">
        <v>0</v>
      </c>
      <c r="CF3224">
        <v>0</v>
      </c>
      <c r="CG3224">
        <v>1</v>
      </c>
      <c r="CH3224">
        <v>0</v>
      </c>
      <c r="CI3224">
        <v>0</v>
      </c>
      <c r="CJ3224">
        <v>0</v>
      </c>
      <c r="CK3224">
        <v>2</v>
      </c>
      <c r="CL3224">
        <v>0</v>
      </c>
      <c r="CM3224">
        <v>2</v>
      </c>
      <c r="CN3224">
        <v>0</v>
      </c>
      <c r="CO3224">
        <v>7</v>
      </c>
      <c r="CP3224" t="s">
        <v>119</v>
      </c>
      <c r="CQ3224">
        <v>180</v>
      </c>
      <c r="CR3224">
        <v>3</v>
      </c>
      <c r="CW3224">
        <v>1102501</v>
      </c>
      <c r="CY3224">
        <v>1</v>
      </c>
      <c r="CZ3224">
        <v>0</v>
      </c>
      <c r="DA3224">
        <v>1</v>
      </c>
      <c r="DB3224">
        <v>0</v>
      </c>
      <c r="DC3224">
        <v>0</v>
      </c>
      <c r="DD3224">
        <v>0</v>
      </c>
      <c r="DE3224">
        <v>0</v>
      </c>
      <c r="DF3224">
        <v>0</v>
      </c>
      <c r="DG3224">
        <v>0</v>
      </c>
      <c r="DH3224">
        <v>0</v>
      </c>
      <c r="DI3224">
        <v>0</v>
      </c>
    </row>
    <row r="3225" spans="1:113" x14ac:dyDescent="0.3">
      <c r="A3225" t="str">
        <f>"02/08/2021 20:31:57.236"</f>
        <v>02/08/2021 20:31:57.236</v>
      </c>
      <c r="C3225" t="str">
        <f t="shared" si="154"/>
        <v>FFDFD7C0</v>
      </c>
      <c r="D3225" t="s">
        <v>124</v>
      </c>
      <c r="E3225">
        <v>13</v>
      </c>
      <c r="F3225">
        <v>1013</v>
      </c>
      <c r="G3225" t="s">
        <v>114</v>
      </c>
      <c r="J3225" t="s">
        <v>125</v>
      </c>
      <c r="K3225">
        <v>0</v>
      </c>
      <c r="L3225">
        <v>3</v>
      </c>
      <c r="M3225">
        <v>0</v>
      </c>
      <c r="N3225">
        <v>2</v>
      </c>
      <c r="O3225">
        <v>1</v>
      </c>
      <c r="P3225">
        <v>0</v>
      </c>
      <c r="Q3225">
        <v>0</v>
      </c>
      <c r="S3225" t="str">
        <f>"20:31:59.570"</f>
        <v>20:31:59.570</v>
      </c>
      <c r="T3225" t="str">
        <f>"20:31:59.170"</f>
        <v>20:31:59.170</v>
      </c>
      <c r="U3225" t="str">
        <f t="shared" si="156"/>
        <v>AB01F4</v>
      </c>
      <c r="V3225">
        <v>0</v>
      </c>
      <c r="W3225">
        <v>0</v>
      </c>
      <c r="X3225">
        <v>2</v>
      </c>
      <c r="Z3225">
        <v>0</v>
      </c>
      <c r="AA3225">
        <v>9</v>
      </c>
      <c r="AB3225">
        <v>3</v>
      </c>
      <c r="AC3225">
        <v>0</v>
      </c>
      <c r="AD3225">
        <v>10</v>
      </c>
      <c r="AE3225">
        <v>0</v>
      </c>
      <c r="AF3225">
        <v>3</v>
      </c>
      <c r="AG3225">
        <v>2</v>
      </c>
      <c r="AH3225">
        <v>0</v>
      </c>
      <c r="AI3225" t="s">
        <v>1861</v>
      </c>
      <c r="AJ3225">
        <v>40.059306999999997</v>
      </c>
      <c r="AK3225" t="s">
        <v>1862</v>
      </c>
      <c r="AL3225">
        <v>-92.914917000000003</v>
      </c>
      <c r="AM3225">
        <v>100</v>
      </c>
      <c r="AN3225">
        <v>1300</v>
      </c>
      <c r="AO3225" t="s">
        <v>118</v>
      </c>
      <c r="AP3225">
        <v>-106</v>
      </c>
      <c r="AQ3225">
        <v>75</v>
      </c>
      <c r="AR3225">
        <v>0</v>
      </c>
      <c r="AZ3225">
        <v>1200</v>
      </c>
      <c r="BA3225">
        <v>1</v>
      </c>
      <c r="BB3225" t="str">
        <f t="shared" si="155"/>
        <v xml:space="preserve">N8080G  </v>
      </c>
      <c r="BC3225">
        <v>1</v>
      </c>
      <c r="BE3225">
        <v>0</v>
      </c>
      <c r="BF3225">
        <v>0</v>
      </c>
      <c r="BG3225">
        <v>0</v>
      </c>
      <c r="BH3225">
        <v>1350</v>
      </c>
      <c r="BI3225">
        <v>1</v>
      </c>
      <c r="BJ3225">
        <v>1</v>
      </c>
      <c r="BK3225">
        <v>1</v>
      </c>
      <c r="BL3225">
        <v>0</v>
      </c>
      <c r="BO3225">
        <v>0</v>
      </c>
      <c r="BP3225">
        <v>0</v>
      </c>
      <c r="BW3225" t="str">
        <f>"20:31:59.572"</f>
        <v>20:31:59.572</v>
      </c>
      <c r="BZ3225">
        <v>0</v>
      </c>
      <c r="CA3225">
        <v>1600</v>
      </c>
      <c r="CB3225">
        <v>224</v>
      </c>
      <c r="CD3225">
        <v>1</v>
      </c>
      <c r="CE3225">
        <v>0</v>
      </c>
      <c r="CF3225">
        <v>0</v>
      </c>
      <c r="CG3225">
        <v>1</v>
      </c>
      <c r="CH3225">
        <v>0</v>
      </c>
      <c r="CI3225">
        <v>0</v>
      </c>
      <c r="CJ3225">
        <v>0</v>
      </c>
      <c r="CK3225">
        <v>2</v>
      </c>
      <c r="CL3225">
        <v>0</v>
      </c>
      <c r="CM3225">
        <v>2</v>
      </c>
      <c r="CN3225">
        <v>0</v>
      </c>
      <c r="CO3225">
        <v>7</v>
      </c>
      <c r="CP3225" t="s">
        <v>119</v>
      </c>
      <c r="CQ3225">
        <v>180</v>
      </c>
      <c r="CR3225">
        <v>3</v>
      </c>
      <c r="CW3225">
        <v>1102501</v>
      </c>
      <c r="CY3225">
        <v>1</v>
      </c>
      <c r="CZ3225">
        <v>0</v>
      </c>
      <c r="DA3225">
        <v>1</v>
      </c>
      <c r="DB3225">
        <v>0</v>
      </c>
      <c r="DC3225">
        <v>0</v>
      </c>
      <c r="DD3225">
        <v>0</v>
      </c>
      <c r="DE3225">
        <v>0</v>
      </c>
      <c r="DF3225">
        <v>0</v>
      </c>
      <c r="DG3225">
        <v>0</v>
      </c>
      <c r="DH3225">
        <v>0</v>
      </c>
      <c r="DI3225">
        <v>0</v>
      </c>
    </row>
    <row r="3226" spans="1:113" x14ac:dyDescent="0.3">
      <c r="A3226" t="str">
        <f>"02/08/2021 20:31:57.236"</f>
        <v>02/08/2021 20:31:57.236</v>
      </c>
      <c r="C3226" t="str">
        <f t="shared" si="154"/>
        <v>FFDFD7C0</v>
      </c>
      <c r="D3226" t="s">
        <v>124</v>
      </c>
      <c r="E3226">
        <v>11</v>
      </c>
      <c r="F3226">
        <v>1011</v>
      </c>
      <c r="G3226" t="s">
        <v>590</v>
      </c>
      <c r="J3226" t="s">
        <v>125</v>
      </c>
      <c r="K3226">
        <v>0</v>
      </c>
      <c r="L3226">
        <v>3</v>
      </c>
      <c r="M3226">
        <v>0</v>
      </c>
      <c r="N3226">
        <v>2</v>
      </c>
      <c r="O3226">
        <v>1</v>
      </c>
      <c r="P3226">
        <v>0</v>
      </c>
      <c r="Q3226">
        <v>0</v>
      </c>
      <c r="S3226" t="str">
        <f>"20:31:59.570"</f>
        <v>20:31:59.570</v>
      </c>
      <c r="T3226" t="str">
        <f>"20:31:59.170"</f>
        <v>20:31:59.170</v>
      </c>
      <c r="U3226" t="str">
        <f t="shared" si="156"/>
        <v>AB01F4</v>
      </c>
      <c r="V3226">
        <v>0</v>
      </c>
      <c r="W3226">
        <v>0</v>
      </c>
      <c r="X3226">
        <v>2</v>
      </c>
      <c r="Z3226">
        <v>0</v>
      </c>
      <c r="AA3226">
        <v>9</v>
      </c>
      <c r="AB3226">
        <v>3</v>
      </c>
      <c r="AC3226">
        <v>0</v>
      </c>
      <c r="AD3226">
        <v>10</v>
      </c>
      <c r="AE3226">
        <v>0</v>
      </c>
      <c r="AF3226">
        <v>3</v>
      </c>
      <c r="AG3226">
        <v>2</v>
      </c>
      <c r="AH3226">
        <v>0</v>
      </c>
      <c r="AI3226" t="s">
        <v>1861</v>
      </c>
      <c r="AJ3226">
        <v>40.059306999999997</v>
      </c>
      <c r="AK3226" t="s">
        <v>1862</v>
      </c>
      <c r="AL3226">
        <v>-92.914917000000003</v>
      </c>
      <c r="AM3226">
        <v>100</v>
      </c>
      <c r="AN3226">
        <v>1300</v>
      </c>
      <c r="AO3226" t="s">
        <v>118</v>
      </c>
      <c r="AP3226">
        <v>-106</v>
      </c>
      <c r="AQ3226">
        <v>75</v>
      </c>
      <c r="AR3226">
        <v>0</v>
      </c>
      <c r="AZ3226">
        <v>1200</v>
      </c>
      <c r="BA3226">
        <v>1</v>
      </c>
      <c r="BB3226" t="str">
        <f t="shared" si="155"/>
        <v xml:space="preserve">N8080G  </v>
      </c>
      <c r="BC3226">
        <v>1</v>
      </c>
      <c r="BE3226">
        <v>0</v>
      </c>
      <c r="BF3226">
        <v>0</v>
      </c>
      <c r="BG3226">
        <v>0</v>
      </c>
      <c r="BH3226">
        <v>1350</v>
      </c>
      <c r="BI3226">
        <v>1</v>
      </c>
      <c r="BJ3226">
        <v>1</v>
      </c>
      <c r="BK3226">
        <v>1</v>
      </c>
      <c r="BL3226">
        <v>0</v>
      </c>
      <c r="BO3226">
        <v>0</v>
      </c>
      <c r="BP3226">
        <v>0</v>
      </c>
      <c r="BW3226" t="str">
        <f>"20:31:59.572"</f>
        <v>20:31:59.572</v>
      </c>
      <c r="BZ3226">
        <v>0</v>
      </c>
      <c r="CA3226">
        <v>1600</v>
      </c>
      <c r="CB3226">
        <v>224</v>
      </c>
      <c r="CD3226">
        <v>1</v>
      </c>
      <c r="CE3226">
        <v>0</v>
      </c>
      <c r="CF3226">
        <v>0</v>
      </c>
      <c r="CG3226">
        <v>1</v>
      </c>
      <c r="CH3226">
        <v>0</v>
      </c>
      <c r="CI3226">
        <v>0</v>
      </c>
      <c r="CJ3226">
        <v>0</v>
      </c>
      <c r="CK3226">
        <v>2</v>
      </c>
      <c r="CL3226">
        <v>0</v>
      </c>
      <c r="CM3226">
        <v>2</v>
      </c>
      <c r="CN3226">
        <v>0</v>
      </c>
      <c r="CO3226">
        <v>7</v>
      </c>
      <c r="CP3226" t="s">
        <v>119</v>
      </c>
      <c r="CQ3226">
        <v>180</v>
      </c>
      <c r="CR3226">
        <v>3</v>
      </c>
      <c r="CW3226">
        <v>1102501</v>
      </c>
      <c r="CY3226">
        <v>1</v>
      </c>
      <c r="CZ3226">
        <v>0</v>
      </c>
      <c r="DA3226">
        <v>1</v>
      </c>
      <c r="DB3226">
        <v>0</v>
      </c>
      <c r="DC3226">
        <v>0</v>
      </c>
      <c r="DD3226">
        <v>0</v>
      </c>
      <c r="DE3226">
        <v>0</v>
      </c>
      <c r="DF3226">
        <v>0</v>
      </c>
      <c r="DG3226">
        <v>0</v>
      </c>
      <c r="DH3226">
        <v>0</v>
      </c>
      <c r="DI3226">
        <v>0</v>
      </c>
    </row>
    <row r="3227" spans="1:113" x14ac:dyDescent="0.3">
      <c r="A3227" t="str">
        <f>"02/08/2021 20:31:58.290"</f>
        <v>02/08/2021 20:31:58.290</v>
      </c>
      <c r="C3227" t="str">
        <f t="shared" si="154"/>
        <v>FFDFD7C0</v>
      </c>
      <c r="D3227" t="s">
        <v>124</v>
      </c>
      <c r="E3227">
        <v>12</v>
      </c>
      <c r="F3227">
        <v>1012</v>
      </c>
      <c r="G3227" t="s">
        <v>675</v>
      </c>
      <c r="J3227" t="s">
        <v>125</v>
      </c>
      <c r="K3227">
        <v>0</v>
      </c>
      <c r="L3227">
        <v>3</v>
      </c>
      <c r="M3227">
        <v>0</v>
      </c>
      <c r="N3227">
        <v>2</v>
      </c>
      <c r="O3227">
        <v>1</v>
      </c>
      <c r="P3227">
        <v>0</v>
      </c>
      <c r="Q3227">
        <v>0</v>
      </c>
      <c r="S3227" t="str">
        <f>"20:32:00.609"</f>
        <v>20:32:00.609</v>
      </c>
      <c r="T3227" t="str">
        <f>"20:32:00.109"</f>
        <v>20:32:00.109</v>
      </c>
      <c r="U3227" t="str">
        <f t="shared" si="156"/>
        <v>AB01F4</v>
      </c>
      <c r="V3227">
        <v>0</v>
      </c>
      <c r="W3227">
        <v>0</v>
      </c>
      <c r="X3227">
        <v>2</v>
      </c>
      <c r="Z3227">
        <v>0</v>
      </c>
      <c r="AA3227">
        <v>9</v>
      </c>
      <c r="AB3227">
        <v>3</v>
      </c>
      <c r="AC3227">
        <v>0</v>
      </c>
      <c r="AD3227">
        <v>10</v>
      </c>
      <c r="AE3227">
        <v>0</v>
      </c>
      <c r="AF3227">
        <v>3</v>
      </c>
      <c r="AG3227">
        <v>2</v>
      </c>
      <c r="AH3227">
        <v>0</v>
      </c>
      <c r="AI3227" t="s">
        <v>1863</v>
      </c>
      <c r="AJ3227">
        <v>40.059627999999996</v>
      </c>
      <c r="AK3227" t="s">
        <v>1864</v>
      </c>
      <c r="AL3227">
        <v>-92.915518000000006</v>
      </c>
      <c r="AM3227">
        <v>100</v>
      </c>
      <c r="AN3227">
        <v>1300</v>
      </c>
      <c r="AO3227" t="s">
        <v>118</v>
      </c>
      <c r="AP3227">
        <v>-106</v>
      </c>
      <c r="AQ3227">
        <v>75</v>
      </c>
      <c r="AR3227">
        <v>0</v>
      </c>
      <c r="AZ3227">
        <v>1200</v>
      </c>
      <c r="BA3227">
        <v>1</v>
      </c>
      <c r="BB3227" t="str">
        <f t="shared" si="155"/>
        <v xml:space="preserve">N8080G  </v>
      </c>
      <c r="BC3227">
        <v>1</v>
      </c>
      <c r="BE3227">
        <v>0</v>
      </c>
      <c r="BF3227">
        <v>0</v>
      </c>
      <c r="BG3227">
        <v>0</v>
      </c>
      <c r="BH3227">
        <v>1350</v>
      </c>
      <c r="BI3227">
        <v>1</v>
      </c>
      <c r="BJ3227">
        <v>1</v>
      </c>
      <c r="BK3227">
        <v>1</v>
      </c>
      <c r="BL3227">
        <v>0</v>
      </c>
      <c r="BO3227">
        <v>0</v>
      </c>
      <c r="BP3227">
        <v>0</v>
      </c>
      <c r="BW3227" t="str">
        <f>"20:32:00.614"</f>
        <v>20:32:00.614</v>
      </c>
      <c r="BZ3227">
        <v>0</v>
      </c>
      <c r="CA3227">
        <v>1600</v>
      </c>
      <c r="CB3227">
        <v>224</v>
      </c>
      <c r="CD3227">
        <v>1</v>
      </c>
      <c r="CE3227">
        <v>0</v>
      </c>
      <c r="CF3227">
        <v>0</v>
      </c>
      <c r="CG3227">
        <v>1</v>
      </c>
      <c r="CH3227">
        <v>0</v>
      </c>
      <c r="CI3227">
        <v>0</v>
      </c>
      <c r="CJ3227">
        <v>0</v>
      </c>
      <c r="CK3227">
        <v>2</v>
      </c>
      <c r="CL3227">
        <v>0</v>
      </c>
      <c r="CM3227">
        <v>2</v>
      </c>
      <c r="CN3227">
        <v>0</v>
      </c>
      <c r="CO3227">
        <v>7</v>
      </c>
      <c r="CP3227" t="s">
        <v>119</v>
      </c>
      <c r="CQ3227">
        <v>180</v>
      </c>
      <c r="CR3227">
        <v>3</v>
      </c>
      <c r="CW3227">
        <v>1103371</v>
      </c>
      <c r="CY3227">
        <v>1</v>
      </c>
      <c r="CZ3227">
        <v>0</v>
      </c>
      <c r="DA3227">
        <v>0</v>
      </c>
      <c r="DB3227">
        <v>0</v>
      </c>
      <c r="DC3227">
        <v>0</v>
      </c>
      <c r="DD3227">
        <v>0</v>
      </c>
      <c r="DE3227">
        <v>0</v>
      </c>
      <c r="DF3227">
        <v>0</v>
      </c>
      <c r="DG3227">
        <v>0</v>
      </c>
      <c r="DH3227">
        <v>0</v>
      </c>
      <c r="DI3227">
        <v>0</v>
      </c>
    </row>
    <row r="3228" spans="1:113" x14ac:dyDescent="0.3">
      <c r="A3228" t="str">
        <f>"02/08/2021 20:31:58.290"</f>
        <v>02/08/2021 20:31:58.290</v>
      </c>
      <c r="C3228" t="str">
        <f t="shared" si="154"/>
        <v>FFDFD7C0</v>
      </c>
      <c r="D3228" t="s">
        <v>124</v>
      </c>
      <c r="E3228">
        <v>13</v>
      </c>
      <c r="F3228">
        <v>1013</v>
      </c>
      <c r="G3228" t="s">
        <v>114</v>
      </c>
      <c r="J3228" t="s">
        <v>125</v>
      </c>
      <c r="K3228">
        <v>0</v>
      </c>
      <c r="L3228">
        <v>3</v>
      </c>
      <c r="M3228">
        <v>0</v>
      </c>
      <c r="N3228">
        <v>2</v>
      </c>
      <c r="O3228">
        <v>1</v>
      </c>
      <c r="P3228">
        <v>0</v>
      </c>
      <c r="Q3228">
        <v>0</v>
      </c>
      <c r="S3228" t="str">
        <f>"20:32:00.609"</f>
        <v>20:32:00.609</v>
      </c>
      <c r="T3228" t="str">
        <f>"20:32:00.109"</f>
        <v>20:32:00.109</v>
      </c>
      <c r="U3228" t="str">
        <f t="shared" si="156"/>
        <v>AB01F4</v>
      </c>
      <c r="V3228">
        <v>0</v>
      </c>
      <c r="W3228">
        <v>0</v>
      </c>
      <c r="X3228">
        <v>2</v>
      </c>
      <c r="Z3228">
        <v>0</v>
      </c>
      <c r="AA3228">
        <v>9</v>
      </c>
      <c r="AB3228">
        <v>3</v>
      </c>
      <c r="AC3228">
        <v>0</v>
      </c>
      <c r="AD3228">
        <v>10</v>
      </c>
      <c r="AE3228">
        <v>0</v>
      </c>
      <c r="AF3228">
        <v>3</v>
      </c>
      <c r="AG3228">
        <v>2</v>
      </c>
      <c r="AH3228">
        <v>0</v>
      </c>
      <c r="AI3228" t="s">
        <v>1863</v>
      </c>
      <c r="AJ3228">
        <v>40.059627999999996</v>
      </c>
      <c r="AK3228" t="s">
        <v>1864</v>
      </c>
      <c r="AL3228">
        <v>-92.915518000000006</v>
      </c>
      <c r="AM3228">
        <v>100</v>
      </c>
      <c r="AN3228">
        <v>1300</v>
      </c>
      <c r="AO3228" t="s">
        <v>118</v>
      </c>
      <c r="AP3228">
        <v>-106</v>
      </c>
      <c r="AQ3228">
        <v>75</v>
      </c>
      <c r="AR3228">
        <v>0</v>
      </c>
      <c r="AZ3228">
        <v>1200</v>
      </c>
      <c r="BA3228">
        <v>1</v>
      </c>
      <c r="BB3228" t="str">
        <f t="shared" si="155"/>
        <v xml:space="preserve">N8080G  </v>
      </c>
      <c r="BC3228">
        <v>1</v>
      </c>
      <c r="BE3228">
        <v>0</v>
      </c>
      <c r="BF3228">
        <v>0</v>
      </c>
      <c r="BG3228">
        <v>0</v>
      </c>
      <c r="BH3228">
        <v>1350</v>
      </c>
      <c r="BI3228">
        <v>1</v>
      </c>
      <c r="BJ3228">
        <v>1</v>
      </c>
      <c r="BK3228">
        <v>1</v>
      </c>
      <c r="BL3228">
        <v>0</v>
      </c>
      <c r="BO3228">
        <v>0</v>
      </c>
      <c r="BP3228">
        <v>0</v>
      </c>
      <c r="BW3228" t="str">
        <f>"20:32:00.614"</f>
        <v>20:32:00.614</v>
      </c>
      <c r="BZ3228">
        <v>0</v>
      </c>
      <c r="CA3228">
        <v>1600</v>
      </c>
      <c r="CB3228">
        <v>224</v>
      </c>
      <c r="CD3228">
        <v>1</v>
      </c>
      <c r="CE3228">
        <v>0</v>
      </c>
      <c r="CF3228">
        <v>0</v>
      </c>
      <c r="CG3228">
        <v>1</v>
      </c>
      <c r="CH3228">
        <v>0</v>
      </c>
      <c r="CI3228">
        <v>0</v>
      </c>
      <c r="CJ3228">
        <v>0</v>
      </c>
      <c r="CK3228">
        <v>2</v>
      </c>
      <c r="CL3228">
        <v>0</v>
      </c>
      <c r="CM3228">
        <v>2</v>
      </c>
      <c r="CN3228">
        <v>0</v>
      </c>
      <c r="CO3228">
        <v>7</v>
      </c>
      <c r="CP3228" t="s">
        <v>119</v>
      </c>
      <c r="CQ3228">
        <v>180</v>
      </c>
      <c r="CR3228">
        <v>3</v>
      </c>
      <c r="CW3228">
        <v>1103371</v>
      </c>
      <c r="CY3228">
        <v>1</v>
      </c>
      <c r="CZ3228">
        <v>0</v>
      </c>
      <c r="DA3228">
        <v>1</v>
      </c>
      <c r="DB3228">
        <v>0</v>
      </c>
      <c r="DC3228">
        <v>0</v>
      </c>
      <c r="DD3228">
        <v>0</v>
      </c>
      <c r="DE3228">
        <v>0</v>
      </c>
      <c r="DF3228">
        <v>0</v>
      </c>
      <c r="DG3228">
        <v>0</v>
      </c>
      <c r="DH3228">
        <v>0</v>
      </c>
      <c r="DI3228">
        <v>0</v>
      </c>
    </row>
    <row r="3229" spans="1:113" x14ac:dyDescent="0.3">
      <c r="A3229" t="str">
        <f>"02/08/2021 20:31:58.290"</f>
        <v>02/08/2021 20:31:58.290</v>
      </c>
      <c r="C3229" t="str">
        <f t="shared" si="154"/>
        <v>FFDFD7C0</v>
      </c>
      <c r="D3229" t="s">
        <v>113</v>
      </c>
      <c r="E3229">
        <v>6</v>
      </c>
      <c r="H3229">
        <v>165</v>
      </c>
      <c r="I3229" t="s">
        <v>114</v>
      </c>
      <c r="J3229" t="s">
        <v>115</v>
      </c>
      <c r="K3229">
        <v>0</v>
      </c>
      <c r="L3229">
        <v>3</v>
      </c>
      <c r="M3229">
        <v>0</v>
      </c>
      <c r="N3229">
        <v>2</v>
      </c>
      <c r="O3229">
        <v>1</v>
      </c>
      <c r="P3229">
        <v>0</v>
      </c>
      <c r="Q3229">
        <v>0</v>
      </c>
      <c r="S3229" t="str">
        <f>"20:32:00.609"</f>
        <v>20:32:00.609</v>
      </c>
      <c r="T3229" t="str">
        <f>"20:32:00.109"</f>
        <v>20:32:00.109</v>
      </c>
      <c r="U3229" t="str">
        <f t="shared" si="156"/>
        <v>AB01F4</v>
      </c>
      <c r="V3229">
        <v>0</v>
      </c>
      <c r="W3229">
        <v>0</v>
      </c>
      <c r="X3229">
        <v>2</v>
      </c>
      <c r="Z3229">
        <v>0</v>
      </c>
      <c r="AA3229">
        <v>9</v>
      </c>
      <c r="AB3229">
        <v>3</v>
      </c>
      <c r="AC3229">
        <v>0</v>
      </c>
      <c r="AD3229">
        <v>10</v>
      </c>
      <c r="AE3229">
        <v>0</v>
      </c>
      <c r="AF3229">
        <v>3</v>
      </c>
      <c r="AG3229">
        <v>2</v>
      </c>
      <c r="AH3229">
        <v>0</v>
      </c>
      <c r="AI3229" t="s">
        <v>1863</v>
      </c>
      <c r="AJ3229">
        <v>40.059627999999996</v>
      </c>
      <c r="AK3229" t="s">
        <v>1864</v>
      </c>
      <c r="AL3229">
        <v>-92.915518000000006</v>
      </c>
      <c r="AM3229">
        <v>100</v>
      </c>
      <c r="AN3229">
        <v>1300</v>
      </c>
      <c r="AO3229" t="s">
        <v>118</v>
      </c>
      <c r="AP3229">
        <v>-106</v>
      </c>
      <c r="AQ3229">
        <v>75</v>
      </c>
      <c r="AR3229">
        <v>0</v>
      </c>
      <c r="AZ3229">
        <v>1200</v>
      </c>
      <c r="BA3229">
        <v>1</v>
      </c>
      <c r="BB3229" t="str">
        <f t="shared" si="155"/>
        <v xml:space="preserve">N8080G  </v>
      </c>
      <c r="BC3229">
        <v>1</v>
      </c>
      <c r="BE3229">
        <v>0</v>
      </c>
      <c r="BF3229">
        <v>0</v>
      </c>
      <c r="BG3229">
        <v>0</v>
      </c>
      <c r="BH3229">
        <v>1350</v>
      </c>
      <c r="BI3229">
        <v>1</v>
      </c>
      <c r="BJ3229">
        <v>1</v>
      </c>
      <c r="BK3229">
        <v>1</v>
      </c>
      <c r="BL3229">
        <v>0</v>
      </c>
      <c r="BO3229">
        <v>0</v>
      </c>
      <c r="BP3229">
        <v>0</v>
      </c>
      <c r="BW3229" t="str">
        <f>"20:32:00.614"</f>
        <v>20:32:00.614</v>
      </c>
      <c r="BZ3229">
        <v>0</v>
      </c>
      <c r="CA3229">
        <v>1600</v>
      </c>
      <c r="CB3229">
        <v>224</v>
      </c>
      <c r="CD3229">
        <v>1</v>
      </c>
      <c r="CE3229">
        <v>0</v>
      </c>
      <c r="CF3229">
        <v>0</v>
      </c>
      <c r="CG3229">
        <v>1</v>
      </c>
      <c r="CH3229">
        <v>0</v>
      </c>
      <c r="CI3229">
        <v>0</v>
      </c>
      <c r="CJ3229">
        <v>0</v>
      </c>
      <c r="CK3229">
        <v>2</v>
      </c>
      <c r="CL3229">
        <v>0</v>
      </c>
      <c r="CM3229">
        <v>2</v>
      </c>
      <c r="CN3229">
        <v>0</v>
      </c>
      <c r="CO3229">
        <v>7</v>
      </c>
      <c r="CP3229" t="s">
        <v>119</v>
      </c>
      <c r="CQ3229">
        <v>180</v>
      </c>
      <c r="CR3229">
        <v>3</v>
      </c>
      <c r="CW3229">
        <v>1103371</v>
      </c>
      <c r="CY3229">
        <v>1</v>
      </c>
      <c r="CZ3229">
        <v>0</v>
      </c>
      <c r="DA3229">
        <v>1</v>
      </c>
      <c r="DB3229">
        <v>0</v>
      </c>
      <c r="DC3229">
        <v>0</v>
      </c>
      <c r="DD3229">
        <v>0</v>
      </c>
      <c r="DE3229">
        <v>0</v>
      </c>
      <c r="DF3229">
        <v>0</v>
      </c>
      <c r="DG3229">
        <v>0</v>
      </c>
      <c r="DH3229">
        <v>0</v>
      </c>
      <c r="DI3229">
        <v>0</v>
      </c>
    </row>
    <row r="3230" spans="1:113" x14ac:dyDescent="0.3">
      <c r="A3230" t="str">
        <f>"02/08/2021 20:31:58.290"</f>
        <v>02/08/2021 20:31:58.290</v>
      </c>
      <c r="C3230" t="str">
        <f t="shared" si="154"/>
        <v>FFDFD7C0</v>
      </c>
      <c r="D3230" t="s">
        <v>124</v>
      </c>
      <c r="E3230">
        <v>11</v>
      </c>
      <c r="F3230">
        <v>1011</v>
      </c>
      <c r="G3230" t="s">
        <v>590</v>
      </c>
      <c r="J3230" t="s">
        <v>125</v>
      </c>
      <c r="K3230">
        <v>0</v>
      </c>
      <c r="L3230">
        <v>3</v>
      </c>
      <c r="M3230">
        <v>0</v>
      </c>
      <c r="N3230">
        <v>2</v>
      </c>
      <c r="O3230">
        <v>1</v>
      </c>
      <c r="P3230">
        <v>0</v>
      </c>
      <c r="Q3230">
        <v>0</v>
      </c>
      <c r="S3230" t="str">
        <f>"20:32:00.609"</f>
        <v>20:32:00.609</v>
      </c>
      <c r="T3230" t="str">
        <f>"20:32:00.109"</f>
        <v>20:32:00.109</v>
      </c>
      <c r="U3230" t="str">
        <f t="shared" si="156"/>
        <v>AB01F4</v>
      </c>
      <c r="V3230">
        <v>0</v>
      </c>
      <c r="W3230">
        <v>0</v>
      </c>
      <c r="X3230">
        <v>2</v>
      </c>
      <c r="Z3230">
        <v>0</v>
      </c>
      <c r="AA3230">
        <v>9</v>
      </c>
      <c r="AB3230">
        <v>3</v>
      </c>
      <c r="AC3230">
        <v>0</v>
      </c>
      <c r="AD3230">
        <v>10</v>
      </c>
      <c r="AE3230">
        <v>0</v>
      </c>
      <c r="AF3230">
        <v>3</v>
      </c>
      <c r="AG3230">
        <v>2</v>
      </c>
      <c r="AH3230">
        <v>0</v>
      </c>
      <c r="AI3230" t="s">
        <v>1863</v>
      </c>
      <c r="AJ3230">
        <v>40.059627999999996</v>
      </c>
      <c r="AK3230" t="s">
        <v>1864</v>
      </c>
      <c r="AL3230">
        <v>-92.915518000000006</v>
      </c>
      <c r="AM3230">
        <v>100</v>
      </c>
      <c r="AN3230">
        <v>1300</v>
      </c>
      <c r="AO3230" t="s">
        <v>118</v>
      </c>
      <c r="AP3230">
        <v>-106</v>
      </c>
      <c r="AQ3230">
        <v>75</v>
      </c>
      <c r="AR3230">
        <v>0</v>
      </c>
      <c r="AZ3230">
        <v>1200</v>
      </c>
      <c r="BA3230">
        <v>1</v>
      </c>
      <c r="BB3230" t="str">
        <f t="shared" si="155"/>
        <v xml:space="preserve">N8080G  </v>
      </c>
      <c r="BC3230">
        <v>1</v>
      </c>
      <c r="BE3230">
        <v>0</v>
      </c>
      <c r="BF3230">
        <v>0</v>
      </c>
      <c r="BG3230">
        <v>0</v>
      </c>
      <c r="BH3230">
        <v>1350</v>
      </c>
      <c r="BI3230">
        <v>1</v>
      </c>
      <c r="BJ3230">
        <v>1</v>
      </c>
      <c r="BK3230">
        <v>1</v>
      </c>
      <c r="BL3230">
        <v>0</v>
      </c>
      <c r="BO3230">
        <v>0</v>
      </c>
      <c r="BP3230">
        <v>0</v>
      </c>
      <c r="BW3230" t="str">
        <f>"20:32:00.614"</f>
        <v>20:32:00.614</v>
      </c>
      <c r="BZ3230">
        <v>0</v>
      </c>
      <c r="CA3230">
        <v>1600</v>
      </c>
      <c r="CB3230">
        <v>224</v>
      </c>
      <c r="CD3230">
        <v>1</v>
      </c>
      <c r="CE3230">
        <v>0</v>
      </c>
      <c r="CF3230">
        <v>0</v>
      </c>
      <c r="CG3230">
        <v>1</v>
      </c>
      <c r="CH3230">
        <v>0</v>
      </c>
      <c r="CI3230">
        <v>0</v>
      </c>
      <c r="CJ3230">
        <v>0</v>
      </c>
      <c r="CK3230">
        <v>2</v>
      </c>
      <c r="CL3230">
        <v>0</v>
      </c>
      <c r="CM3230">
        <v>2</v>
      </c>
      <c r="CN3230">
        <v>0</v>
      </c>
      <c r="CO3230">
        <v>7</v>
      </c>
      <c r="CP3230" t="s">
        <v>119</v>
      </c>
      <c r="CQ3230">
        <v>180</v>
      </c>
      <c r="CR3230">
        <v>3</v>
      </c>
      <c r="CW3230">
        <v>1103371</v>
      </c>
      <c r="CY3230">
        <v>1</v>
      </c>
      <c r="CZ3230">
        <v>0</v>
      </c>
      <c r="DA3230">
        <v>1</v>
      </c>
      <c r="DB3230">
        <v>0</v>
      </c>
      <c r="DC3230">
        <v>0</v>
      </c>
      <c r="DD3230">
        <v>0</v>
      </c>
      <c r="DE3230">
        <v>0</v>
      </c>
      <c r="DF3230">
        <v>0</v>
      </c>
      <c r="DG3230">
        <v>0</v>
      </c>
      <c r="DH3230">
        <v>0</v>
      </c>
      <c r="DI3230">
        <v>0</v>
      </c>
    </row>
    <row r="3231" spans="1:113" x14ac:dyDescent="0.3">
      <c r="A3231" t="str">
        <f>"02/08/2021 20:31:59.616"</f>
        <v>02/08/2021 20:31:59.616</v>
      </c>
      <c r="C3231" t="str">
        <f t="shared" si="154"/>
        <v>FFDFD7C0</v>
      </c>
      <c r="D3231" t="s">
        <v>124</v>
      </c>
      <c r="E3231">
        <v>13</v>
      </c>
      <c r="F3231">
        <v>1013</v>
      </c>
      <c r="G3231" t="s">
        <v>114</v>
      </c>
      <c r="J3231" t="s">
        <v>125</v>
      </c>
      <c r="K3231">
        <v>0</v>
      </c>
      <c r="L3231">
        <v>3</v>
      </c>
      <c r="M3231">
        <v>0</v>
      </c>
      <c r="N3231">
        <v>2</v>
      </c>
      <c r="O3231">
        <v>1</v>
      </c>
      <c r="P3231">
        <v>0</v>
      </c>
      <c r="Q3231">
        <v>0</v>
      </c>
      <c r="S3231" t="str">
        <f>"20:32:01.922"</f>
        <v>20:32:01.922</v>
      </c>
      <c r="T3231" t="str">
        <f>"20:32:01.522"</f>
        <v>20:32:01.522</v>
      </c>
      <c r="U3231" t="str">
        <f t="shared" si="156"/>
        <v>AB01F4</v>
      </c>
      <c r="V3231">
        <v>0</v>
      </c>
      <c r="W3231">
        <v>0</v>
      </c>
      <c r="X3231">
        <v>2</v>
      </c>
      <c r="Z3231">
        <v>0</v>
      </c>
      <c r="AA3231">
        <v>9</v>
      </c>
      <c r="AB3231">
        <v>3</v>
      </c>
      <c r="AC3231">
        <v>0</v>
      </c>
      <c r="AD3231">
        <v>10</v>
      </c>
      <c r="AE3231">
        <v>0</v>
      </c>
      <c r="AF3231">
        <v>3</v>
      </c>
      <c r="AG3231">
        <v>2</v>
      </c>
      <c r="AH3231">
        <v>0</v>
      </c>
      <c r="AI3231" t="s">
        <v>1865</v>
      </c>
      <c r="AJ3231">
        <v>40.060142999999997</v>
      </c>
      <c r="AK3231" t="s">
        <v>1866</v>
      </c>
      <c r="AL3231">
        <v>-92.916441000000006</v>
      </c>
      <c r="AM3231">
        <v>100</v>
      </c>
      <c r="AN3231">
        <v>1300</v>
      </c>
      <c r="AO3231" t="s">
        <v>118</v>
      </c>
      <c r="AP3231">
        <v>-106</v>
      </c>
      <c r="AQ3231">
        <v>75</v>
      </c>
      <c r="AR3231">
        <v>64</v>
      </c>
      <c r="AZ3231">
        <v>1200</v>
      </c>
      <c r="BA3231">
        <v>1</v>
      </c>
      <c r="BB3231" t="str">
        <f t="shared" si="155"/>
        <v xml:space="preserve">N8080G  </v>
      </c>
      <c r="BC3231">
        <v>1</v>
      </c>
      <c r="BE3231">
        <v>0</v>
      </c>
      <c r="BF3231">
        <v>0</v>
      </c>
      <c r="BG3231">
        <v>0</v>
      </c>
      <c r="BH3231">
        <v>1350</v>
      </c>
      <c r="BI3231">
        <v>1</v>
      </c>
      <c r="BJ3231">
        <v>1</v>
      </c>
      <c r="BK3231">
        <v>1</v>
      </c>
      <c r="BL3231">
        <v>0</v>
      </c>
      <c r="BO3231">
        <v>0</v>
      </c>
      <c r="BP3231">
        <v>0</v>
      </c>
      <c r="BW3231" t="str">
        <f>"20:32:01.928"</f>
        <v>20:32:01.928</v>
      </c>
      <c r="BZ3231">
        <v>0</v>
      </c>
      <c r="CA3231">
        <v>1600</v>
      </c>
      <c r="CB3231">
        <v>224</v>
      </c>
      <c r="CD3231">
        <v>1</v>
      </c>
      <c r="CE3231">
        <v>0</v>
      </c>
      <c r="CF3231">
        <v>0</v>
      </c>
      <c r="CG3231">
        <v>1</v>
      </c>
      <c r="CH3231">
        <v>0</v>
      </c>
      <c r="CI3231">
        <v>0</v>
      </c>
      <c r="CJ3231">
        <v>0</v>
      </c>
      <c r="CK3231">
        <v>2</v>
      </c>
      <c r="CL3231">
        <v>0</v>
      </c>
      <c r="CM3231">
        <v>2</v>
      </c>
      <c r="CN3231">
        <v>0</v>
      </c>
      <c r="CO3231">
        <v>7</v>
      </c>
      <c r="CP3231" t="s">
        <v>119</v>
      </c>
      <c r="CQ3231">
        <v>180</v>
      </c>
      <c r="CR3231">
        <v>2</v>
      </c>
      <c r="CW3231">
        <v>8759346</v>
      </c>
      <c r="CY3231">
        <v>1</v>
      </c>
      <c r="CZ3231">
        <v>0</v>
      </c>
      <c r="DA3231">
        <v>0</v>
      </c>
      <c r="DB3231">
        <v>0</v>
      </c>
      <c r="DC3231">
        <v>0</v>
      </c>
      <c r="DD3231">
        <v>0</v>
      </c>
      <c r="DE3231">
        <v>0</v>
      </c>
      <c r="DF3231">
        <v>0</v>
      </c>
      <c r="DG3231">
        <v>0</v>
      </c>
      <c r="DH3231">
        <v>0</v>
      </c>
      <c r="DI3231">
        <v>0</v>
      </c>
    </row>
    <row r="3232" spans="1:113" x14ac:dyDescent="0.3">
      <c r="A3232" t="str">
        <f>"02/08/2021 20:31:59.616"</f>
        <v>02/08/2021 20:31:59.616</v>
      </c>
      <c r="C3232" t="str">
        <f t="shared" si="154"/>
        <v>FFDFD7C0</v>
      </c>
      <c r="D3232" t="s">
        <v>113</v>
      </c>
      <c r="E3232">
        <v>6</v>
      </c>
      <c r="H3232">
        <v>165</v>
      </c>
      <c r="I3232" t="s">
        <v>114</v>
      </c>
      <c r="J3232" t="s">
        <v>115</v>
      </c>
      <c r="K3232">
        <v>0</v>
      </c>
      <c r="L3232">
        <v>3</v>
      </c>
      <c r="M3232">
        <v>0</v>
      </c>
      <c r="N3232">
        <v>2</v>
      </c>
      <c r="O3232">
        <v>1</v>
      </c>
      <c r="P3232">
        <v>0</v>
      </c>
      <c r="Q3232">
        <v>0</v>
      </c>
      <c r="S3232" t="str">
        <f>"20:32:01.922"</f>
        <v>20:32:01.922</v>
      </c>
      <c r="T3232" t="str">
        <f>"20:32:01.522"</f>
        <v>20:32:01.522</v>
      </c>
      <c r="U3232" t="str">
        <f t="shared" si="156"/>
        <v>AB01F4</v>
      </c>
      <c r="V3232">
        <v>0</v>
      </c>
      <c r="W3232">
        <v>0</v>
      </c>
      <c r="X3232">
        <v>2</v>
      </c>
      <c r="Z3232">
        <v>0</v>
      </c>
      <c r="AA3232">
        <v>9</v>
      </c>
      <c r="AB3232">
        <v>3</v>
      </c>
      <c r="AC3232">
        <v>0</v>
      </c>
      <c r="AD3232">
        <v>10</v>
      </c>
      <c r="AE3232">
        <v>0</v>
      </c>
      <c r="AF3232">
        <v>3</v>
      </c>
      <c r="AG3232">
        <v>2</v>
      </c>
      <c r="AH3232">
        <v>0</v>
      </c>
      <c r="AI3232" t="s">
        <v>1865</v>
      </c>
      <c r="AJ3232">
        <v>40.060142999999997</v>
      </c>
      <c r="AK3232" t="s">
        <v>1866</v>
      </c>
      <c r="AL3232">
        <v>-92.916441000000006</v>
      </c>
      <c r="AM3232">
        <v>100</v>
      </c>
      <c r="AN3232">
        <v>1300</v>
      </c>
      <c r="AO3232" t="s">
        <v>118</v>
      </c>
      <c r="AP3232">
        <v>-106</v>
      </c>
      <c r="AQ3232">
        <v>75</v>
      </c>
      <c r="AR3232">
        <v>64</v>
      </c>
      <c r="AZ3232">
        <v>1200</v>
      </c>
      <c r="BA3232">
        <v>1</v>
      </c>
      <c r="BB3232" t="str">
        <f t="shared" si="155"/>
        <v xml:space="preserve">N8080G  </v>
      </c>
      <c r="BC3232">
        <v>1</v>
      </c>
      <c r="BE3232">
        <v>0</v>
      </c>
      <c r="BF3232">
        <v>0</v>
      </c>
      <c r="BG3232">
        <v>0</v>
      </c>
      <c r="BH3232">
        <v>1350</v>
      </c>
      <c r="BI3232">
        <v>1</v>
      </c>
      <c r="BJ3232">
        <v>1</v>
      </c>
      <c r="BK3232">
        <v>1</v>
      </c>
      <c r="BL3232">
        <v>0</v>
      </c>
      <c r="BO3232">
        <v>0</v>
      </c>
      <c r="BP3232">
        <v>0</v>
      </c>
      <c r="BW3232" t="str">
        <f>"20:32:01.928"</f>
        <v>20:32:01.928</v>
      </c>
      <c r="BZ3232">
        <v>0</v>
      </c>
      <c r="CA3232">
        <v>1600</v>
      </c>
      <c r="CB3232">
        <v>224</v>
      </c>
      <c r="CD3232">
        <v>1</v>
      </c>
      <c r="CE3232">
        <v>0</v>
      </c>
      <c r="CF3232">
        <v>0</v>
      </c>
      <c r="CG3232">
        <v>1</v>
      </c>
      <c r="CH3232">
        <v>0</v>
      </c>
      <c r="CI3232">
        <v>0</v>
      </c>
      <c r="CJ3232">
        <v>0</v>
      </c>
      <c r="CK3232">
        <v>2</v>
      </c>
      <c r="CL3232">
        <v>0</v>
      </c>
      <c r="CM3232">
        <v>2</v>
      </c>
      <c r="CN3232">
        <v>0</v>
      </c>
      <c r="CO3232">
        <v>7</v>
      </c>
      <c r="CP3232" t="s">
        <v>119</v>
      </c>
      <c r="CQ3232">
        <v>180</v>
      </c>
      <c r="CR3232">
        <v>2</v>
      </c>
      <c r="CW3232">
        <v>8759346</v>
      </c>
      <c r="CY3232">
        <v>1</v>
      </c>
      <c r="CZ3232">
        <v>0</v>
      </c>
      <c r="DA3232">
        <v>1</v>
      </c>
      <c r="DB3232">
        <v>0</v>
      </c>
      <c r="DC3232">
        <v>0</v>
      </c>
      <c r="DD3232">
        <v>0</v>
      </c>
      <c r="DE3232">
        <v>0</v>
      </c>
      <c r="DF3232">
        <v>0</v>
      </c>
      <c r="DG3232">
        <v>0</v>
      </c>
      <c r="DH3232">
        <v>0</v>
      </c>
      <c r="DI3232">
        <v>0</v>
      </c>
    </row>
    <row r="3233" spans="1:113" x14ac:dyDescent="0.3">
      <c r="A3233" t="str">
        <f>"02/08/2021 20:31:59.616"</f>
        <v>02/08/2021 20:31:59.616</v>
      </c>
      <c r="C3233" t="str">
        <f t="shared" si="154"/>
        <v>FFDFD7C0</v>
      </c>
      <c r="D3233" t="s">
        <v>124</v>
      </c>
      <c r="E3233">
        <v>11</v>
      </c>
      <c r="F3233">
        <v>1011</v>
      </c>
      <c r="G3233" t="s">
        <v>590</v>
      </c>
      <c r="J3233" t="s">
        <v>125</v>
      </c>
      <c r="K3233">
        <v>0</v>
      </c>
      <c r="L3233">
        <v>3</v>
      </c>
      <c r="M3233">
        <v>0</v>
      </c>
      <c r="N3233">
        <v>2</v>
      </c>
      <c r="O3233">
        <v>1</v>
      </c>
      <c r="P3233">
        <v>0</v>
      </c>
      <c r="Q3233">
        <v>0</v>
      </c>
      <c r="S3233" t="str">
        <f>"20:32:01.922"</f>
        <v>20:32:01.922</v>
      </c>
      <c r="T3233" t="str">
        <f>"20:32:01.522"</f>
        <v>20:32:01.522</v>
      </c>
      <c r="U3233" t="str">
        <f t="shared" si="156"/>
        <v>AB01F4</v>
      </c>
      <c r="V3233">
        <v>0</v>
      </c>
      <c r="W3233">
        <v>0</v>
      </c>
      <c r="X3233">
        <v>2</v>
      </c>
      <c r="Z3233">
        <v>0</v>
      </c>
      <c r="AA3233">
        <v>9</v>
      </c>
      <c r="AB3233">
        <v>3</v>
      </c>
      <c r="AC3233">
        <v>0</v>
      </c>
      <c r="AD3233">
        <v>10</v>
      </c>
      <c r="AE3233">
        <v>0</v>
      </c>
      <c r="AF3233">
        <v>3</v>
      </c>
      <c r="AG3233">
        <v>2</v>
      </c>
      <c r="AH3233">
        <v>0</v>
      </c>
      <c r="AI3233" t="s">
        <v>1865</v>
      </c>
      <c r="AJ3233">
        <v>40.060142999999997</v>
      </c>
      <c r="AK3233" t="s">
        <v>1866</v>
      </c>
      <c r="AL3233">
        <v>-92.916441000000006</v>
      </c>
      <c r="AM3233">
        <v>100</v>
      </c>
      <c r="AN3233">
        <v>1300</v>
      </c>
      <c r="AO3233" t="s">
        <v>118</v>
      </c>
      <c r="AP3233">
        <v>-106</v>
      </c>
      <c r="AQ3233">
        <v>75</v>
      </c>
      <c r="AR3233">
        <v>64</v>
      </c>
      <c r="AZ3233">
        <v>1200</v>
      </c>
      <c r="BA3233">
        <v>1</v>
      </c>
      <c r="BB3233" t="str">
        <f t="shared" si="155"/>
        <v xml:space="preserve">N8080G  </v>
      </c>
      <c r="BC3233">
        <v>1</v>
      </c>
      <c r="BE3233">
        <v>0</v>
      </c>
      <c r="BF3233">
        <v>0</v>
      </c>
      <c r="BG3233">
        <v>0</v>
      </c>
      <c r="BH3233">
        <v>1350</v>
      </c>
      <c r="BI3233">
        <v>1</v>
      </c>
      <c r="BJ3233">
        <v>1</v>
      </c>
      <c r="BK3233">
        <v>1</v>
      </c>
      <c r="BL3233">
        <v>0</v>
      </c>
      <c r="BO3233">
        <v>0</v>
      </c>
      <c r="BP3233">
        <v>0</v>
      </c>
      <c r="BW3233" t="str">
        <f>"20:32:01.928"</f>
        <v>20:32:01.928</v>
      </c>
      <c r="BZ3233">
        <v>0</v>
      </c>
      <c r="CA3233">
        <v>1600</v>
      </c>
      <c r="CB3233">
        <v>224</v>
      </c>
      <c r="CD3233">
        <v>1</v>
      </c>
      <c r="CE3233">
        <v>0</v>
      </c>
      <c r="CF3233">
        <v>0</v>
      </c>
      <c r="CG3233">
        <v>1</v>
      </c>
      <c r="CH3233">
        <v>0</v>
      </c>
      <c r="CI3233">
        <v>0</v>
      </c>
      <c r="CJ3233">
        <v>0</v>
      </c>
      <c r="CK3233">
        <v>2</v>
      </c>
      <c r="CL3233">
        <v>0</v>
      </c>
      <c r="CM3233">
        <v>2</v>
      </c>
      <c r="CN3233">
        <v>0</v>
      </c>
      <c r="CO3233">
        <v>7</v>
      </c>
      <c r="CP3233" t="s">
        <v>119</v>
      </c>
      <c r="CQ3233">
        <v>180</v>
      </c>
      <c r="CR3233">
        <v>2</v>
      </c>
      <c r="CW3233">
        <v>8759346</v>
      </c>
      <c r="CY3233">
        <v>1</v>
      </c>
      <c r="CZ3233">
        <v>0</v>
      </c>
      <c r="DA3233">
        <v>1</v>
      </c>
      <c r="DB3233">
        <v>0</v>
      </c>
      <c r="DC3233">
        <v>0</v>
      </c>
      <c r="DD3233">
        <v>0</v>
      </c>
      <c r="DE3233">
        <v>0</v>
      </c>
      <c r="DF3233">
        <v>0</v>
      </c>
      <c r="DG3233">
        <v>0</v>
      </c>
      <c r="DH3233">
        <v>0</v>
      </c>
      <c r="DI3233">
        <v>0</v>
      </c>
    </row>
    <row r="3234" spans="1:113" x14ac:dyDescent="0.3">
      <c r="A3234" t="str">
        <f>"02/08/2021 20:31:59.616"</f>
        <v>02/08/2021 20:31:59.616</v>
      </c>
      <c r="C3234" t="str">
        <f t="shared" si="154"/>
        <v>FFDFD7C0</v>
      </c>
      <c r="D3234" t="s">
        <v>124</v>
      </c>
      <c r="E3234">
        <v>12</v>
      </c>
      <c r="F3234">
        <v>1012</v>
      </c>
      <c r="G3234" t="s">
        <v>675</v>
      </c>
      <c r="J3234" t="s">
        <v>125</v>
      </c>
      <c r="K3234">
        <v>0</v>
      </c>
      <c r="L3234">
        <v>3</v>
      </c>
      <c r="M3234">
        <v>0</v>
      </c>
      <c r="N3234">
        <v>2</v>
      </c>
      <c r="O3234">
        <v>1</v>
      </c>
      <c r="P3234">
        <v>0</v>
      </c>
      <c r="Q3234">
        <v>0</v>
      </c>
      <c r="S3234" t="str">
        <f>"20:32:01.922"</f>
        <v>20:32:01.922</v>
      </c>
      <c r="T3234" t="str">
        <f>"20:32:01.522"</f>
        <v>20:32:01.522</v>
      </c>
      <c r="U3234" t="str">
        <f t="shared" si="156"/>
        <v>AB01F4</v>
      </c>
      <c r="V3234">
        <v>0</v>
      </c>
      <c r="W3234">
        <v>0</v>
      </c>
      <c r="X3234">
        <v>2</v>
      </c>
      <c r="Z3234">
        <v>0</v>
      </c>
      <c r="AA3234">
        <v>9</v>
      </c>
      <c r="AB3234">
        <v>3</v>
      </c>
      <c r="AC3234">
        <v>0</v>
      </c>
      <c r="AD3234">
        <v>10</v>
      </c>
      <c r="AE3234">
        <v>0</v>
      </c>
      <c r="AF3234">
        <v>3</v>
      </c>
      <c r="AG3234">
        <v>2</v>
      </c>
      <c r="AH3234">
        <v>0</v>
      </c>
      <c r="AI3234" t="s">
        <v>1865</v>
      </c>
      <c r="AJ3234">
        <v>40.060142999999997</v>
      </c>
      <c r="AK3234" t="s">
        <v>1866</v>
      </c>
      <c r="AL3234">
        <v>-92.916441000000006</v>
      </c>
      <c r="AM3234">
        <v>100</v>
      </c>
      <c r="AN3234">
        <v>1300</v>
      </c>
      <c r="AO3234" t="s">
        <v>118</v>
      </c>
      <c r="AP3234">
        <v>-106</v>
      </c>
      <c r="AQ3234">
        <v>75</v>
      </c>
      <c r="AR3234">
        <v>64</v>
      </c>
      <c r="AZ3234">
        <v>1200</v>
      </c>
      <c r="BA3234">
        <v>1</v>
      </c>
      <c r="BB3234" t="str">
        <f t="shared" si="155"/>
        <v xml:space="preserve">N8080G  </v>
      </c>
      <c r="BC3234">
        <v>1</v>
      </c>
      <c r="BE3234">
        <v>0</v>
      </c>
      <c r="BF3234">
        <v>0</v>
      </c>
      <c r="BG3234">
        <v>0</v>
      </c>
      <c r="BH3234">
        <v>1350</v>
      </c>
      <c r="BI3234">
        <v>1</v>
      </c>
      <c r="BJ3234">
        <v>1</v>
      </c>
      <c r="BK3234">
        <v>1</v>
      </c>
      <c r="BL3234">
        <v>0</v>
      </c>
      <c r="BO3234">
        <v>0</v>
      </c>
      <c r="BP3234">
        <v>0</v>
      </c>
      <c r="BW3234" t="str">
        <f>"20:32:01.928"</f>
        <v>20:32:01.928</v>
      </c>
      <c r="BZ3234">
        <v>0</v>
      </c>
      <c r="CA3234">
        <v>1600</v>
      </c>
      <c r="CB3234">
        <v>224</v>
      </c>
      <c r="CD3234">
        <v>1</v>
      </c>
      <c r="CE3234">
        <v>0</v>
      </c>
      <c r="CF3234">
        <v>0</v>
      </c>
      <c r="CG3234">
        <v>1</v>
      </c>
      <c r="CH3234">
        <v>0</v>
      </c>
      <c r="CI3234">
        <v>0</v>
      </c>
      <c r="CJ3234">
        <v>0</v>
      </c>
      <c r="CK3234">
        <v>2</v>
      </c>
      <c r="CL3234">
        <v>0</v>
      </c>
      <c r="CM3234">
        <v>2</v>
      </c>
      <c r="CN3234">
        <v>0</v>
      </c>
      <c r="CO3234">
        <v>7</v>
      </c>
      <c r="CP3234" t="s">
        <v>119</v>
      </c>
      <c r="CQ3234">
        <v>180</v>
      </c>
      <c r="CR3234">
        <v>2</v>
      </c>
      <c r="CW3234">
        <v>8759346</v>
      </c>
      <c r="CY3234">
        <v>1</v>
      </c>
      <c r="CZ3234">
        <v>0</v>
      </c>
      <c r="DA3234">
        <v>1</v>
      </c>
      <c r="DB3234">
        <v>0</v>
      </c>
      <c r="DC3234">
        <v>0</v>
      </c>
      <c r="DD3234">
        <v>0</v>
      </c>
      <c r="DE3234">
        <v>0</v>
      </c>
      <c r="DF3234">
        <v>0</v>
      </c>
      <c r="DG3234">
        <v>0</v>
      </c>
      <c r="DH3234">
        <v>0</v>
      </c>
      <c r="DI3234">
        <v>0</v>
      </c>
    </row>
    <row r="3235" spans="1:113" x14ac:dyDescent="0.3">
      <c r="A3235" t="str">
        <f>"02/08/2021 20:32:03.163"</f>
        <v>02/08/2021 20:32:03.163</v>
      </c>
      <c r="C3235" t="str">
        <f t="shared" si="154"/>
        <v>FFDFD7C0</v>
      </c>
      <c r="D3235" t="s">
        <v>124</v>
      </c>
      <c r="E3235">
        <v>12</v>
      </c>
      <c r="F3235">
        <v>1012</v>
      </c>
      <c r="G3235" t="s">
        <v>675</v>
      </c>
      <c r="J3235" t="s">
        <v>125</v>
      </c>
      <c r="K3235">
        <v>0</v>
      </c>
      <c r="L3235">
        <v>3</v>
      </c>
      <c r="M3235">
        <v>0</v>
      </c>
      <c r="N3235">
        <v>2</v>
      </c>
      <c r="O3235">
        <v>1</v>
      </c>
      <c r="P3235">
        <v>0</v>
      </c>
      <c r="Q3235">
        <v>0</v>
      </c>
      <c r="S3235" t="str">
        <f>"20:32:05.445"</f>
        <v>20:32:05.445</v>
      </c>
      <c r="T3235" t="str">
        <f>"20:32:04.945"</f>
        <v>20:32:04.945</v>
      </c>
      <c r="U3235" t="str">
        <f t="shared" si="156"/>
        <v>AB01F4</v>
      </c>
      <c r="V3235">
        <v>0</v>
      </c>
      <c r="W3235">
        <v>0</v>
      </c>
      <c r="X3235">
        <v>2</v>
      </c>
      <c r="Z3235">
        <v>0</v>
      </c>
      <c r="AA3235">
        <v>9</v>
      </c>
      <c r="AB3235">
        <v>3</v>
      </c>
      <c r="AC3235">
        <v>0</v>
      </c>
      <c r="AD3235">
        <v>10</v>
      </c>
      <c r="AE3235">
        <v>0</v>
      </c>
      <c r="AF3235">
        <v>3</v>
      </c>
      <c r="AG3235">
        <v>2</v>
      </c>
      <c r="AH3235">
        <v>0</v>
      </c>
      <c r="AI3235" t="s">
        <v>1867</v>
      </c>
      <c r="AJ3235">
        <v>40.061366999999997</v>
      </c>
      <c r="AK3235" t="s">
        <v>1868</v>
      </c>
      <c r="AL3235">
        <v>-92.918672999999998</v>
      </c>
      <c r="AM3235">
        <v>100</v>
      </c>
      <c r="AN3235">
        <v>1300</v>
      </c>
      <c r="AO3235" t="s">
        <v>118</v>
      </c>
      <c r="AP3235">
        <v>-106</v>
      </c>
      <c r="AQ3235">
        <v>75</v>
      </c>
      <c r="AR3235">
        <v>128</v>
      </c>
      <c r="AZ3235">
        <v>1200</v>
      </c>
      <c r="BA3235">
        <v>1</v>
      </c>
      <c r="BB3235" t="str">
        <f t="shared" si="155"/>
        <v xml:space="preserve">N8080G  </v>
      </c>
      <c r="BC3235">
        <v>1</v>
      </c>
      <c r="BE3235">
        <v>0</v>
      </c>
      <c r="BF3235">
        <v>0</v>
      </c>
      <c r="BG3235">
        <v>0</v>
      </c>
      <c r="BH3235">
        <v>1350</v>
      </c>
      <c r="BI3235">
        <v>1</v>
      </c>
      <c r="BJ3235">
        <v>1</v>
      </c>
      <c r="BK3235">
        <v>1</v>
      </c>
      <c r="BL3235">
        <v>0</v>
      </c>
      <c r="BO3235">
        <v>0</v>
      </c>
      <c r="BP3235">
        <v>0</v>
      </c>
      <c r="BW3235" t="str">
        <f>"20:32:05.447"</f>
        <v>20:32:05.447</v>
      </c>
      <c r="BZ3235">
        <v>0</v>
      </c>
      <c r="CA3235">
        <v>1600</v>
      </c>
      <c r="CB3235">
        <v>224</v>
      </c>
      <c r="CD3235">
        <v>1</v>
      </c>
      <c r="CE3235">
        <v>0</v>
      </c>
      <c r="CF3235">
        <v>0</v>
      </c>
      <c r="CG3235">
        <v>1</v>
      </c>
      <c r="CH3235">
        <v>0</v>
      </c>
      <c r="CI3235">
        <v>0</v>
      </c>
      <c r="CJ3235">
        <v>0</v>
      </c>
      <c r="CK3235">
        <v>2</v>
      </c>
      <c r="CL3235">
        <v>0</v>
      </c>
      <c r="CM3235">
        <v>2</v>
      </c>
      <c r="CN3235">
        <v>0</v>
      </c>
      <c r="CO3235">
        <v>7</v>
      </c>
      <c r="CP3235" t="s">
        <v>119</v>
      </c>
      <c r="CQ3235">
        <v>180</v>
      </c>
      <c r="CR3235">
        <v>2</v>
      </c>
      <c r="CW3235">
        <v>8762301</v>
      </c>
      <c r="CY3235">
        <v>1</v>
      </c>
      <c r="CZ3235">
        <v>0</v>
      </c>
      <c r="DA3235">
        <v>0</v>
      </c>
      <c r="DB3235">
        <v>0</v>
      </c>
      <c r="DC3235">
        <v>0</v>
      </c>
      <c r="DD3235">
        <v>0</v>
      </c>
      <c r="DE3235">
        <v>0</v>
      </c>
      <c r="DF3235">
        <v>0</v>
      </c>
      <c r="DG3235">
        <v>0</v>
      </c>
      <c r="DH3235">
        <v>0</v>
      </c>
      <c r="DI3235">
        <v>0</v>
      </c>
    </row>
    <row r="3236" spans="1:113" x14ac:dyDescent="0.3">
      <c r="A3236" t="str">
        <f>"02/08/2021 20:32:03.163"</f>
        <v>02/08/2021 20:32:03.163</v>
      </c>
      <c r="C3236" t="str">
        <f t="shared" si="154"/>
        <v>FFDFD7C0</v>
      </c>
      <c r="D3236" t="s">
        <v>124</v>
      </c>
      <c r="E3236">
        <v>11</v>
      </c>
      <c r="F3236">
        <v>1011</v>
      </c>
      <c r="G3236" t="s">
        <v>590</v>
      </c>
      <c r="J3236" t="s">
        <v>125</v>
      </c>
      <c r="K3236">
        <v>0</v>
      </c>
      <c r="L3236">
        <v>3</v>
      </c>
      <c r="M3236">
        <v>0</v>
      </c>
      <c r="N3236">
        <v>2</v>
      </c>
      <c r="O3236">
        <v>1</v>
      </c>
      <c r="P3236">
        <v>0</v>
      </c>
      <c r="Q3236">
        <v>0</v>
      </c>
      <c r="S3236" t="str">
        <f>"20:32:05.445"</f>
        <v>20:32:05.445</v>
      </c>
      <c r="T3236" t="str">
        <f>"20:32:04.945"</f>
        <v>20:32:04.945</v>
      </c>
      <c r="U3236" t="str">
        <f t="shared" si="156"/>
        <v>AB01F4</v>
      </c>
      <c r="V3236">
        <v>0</v>
      </c>
      <c r="W3236">
        <v>0</v>
      </c>
      <c r="X3236">
        <v>2</v>
      </c>
      <c r="Z3236">
        <v>0</v>
      </c>
      <c r="AA3236">
        <v>9</v>
      </c>
      <c r="AB3236">
        <v>3</v>
      </c>
      <c r="AC3236">
        <v>0</v>
      </c>
      <c r="AD3236">
        <v>10</v>
      </c>
      <c r="AE3236">
        <v>0</v>
      </c>
      <c r="AF3236">
        <v>3</v>
      </c>
      <c r="AG3236">
        <v>2</v>
      </c>
      <c r="AH3236">
        <v>0</v>
      </c>
      <c r="AI3236" t="s">
        <v>1867</v>
      </c>
      <c r="AJ3236">
        <v>40.061366999999997</v>
      </c>
      <c r="AK3236" t="s">
        <v>1868</v>
      </c>
      <c r="AL3236">
        <v>-92.918672999999998</v>
      </c>
      <c r="AM3236">
        <v>100</v>
      </c>
      <c r="AN3236">
        <v>1300</v>
      </c>
      <c r="AO3236" t="s">
        <v>118</v>
      </c>
      <c r="AP3236">
        <v>-106</v>
      </c>
      <c r="AQ3236">
        <v>75</v>
      </c>
      <c r="AR3236">
        <v>128</v>
      </c>
      <c r="AZ3236">
        <v>1200</v>
      </c>
      <c r="BA3236">
        <v>1</v>
      </c>
      <c r="BB3236" t="str">
        <f t="shared" si="155"/>
        <v xml:space="preserve">N8080G  </v>
      </c>
      <c r="BC3236">
        <v>1</v>
      </c>
      <c r="BE3236">
        <v>0</v>
      </c>
      <c r="BF3236">
        <v>0</v>
      </c>
      <c r="BG3236">
        <v>0</v>
      </c>
      <c r="BH3236">
        <v>1350</v>
      </c>
      <c r="BI3236">
        <v>1</v>
      </c>
      <c r="BJ3236">
        <v>1</v>
      </c>
      <c r="BK3236">
        <v>1</v>
      </c>
      <c r="BL3236">
        <v>0</v>
      </c>
      <c r="BO3236">
        <v>0</v>
      </c>
      <c r="BP3236">
        <v>0</v>
      </c>
      <c r="BW3236" t="str">
        <f>"20:32:05.447"</f>
        <v>20:32:05.447</v>
      </c>
      <c r="BZ3236">
        <v>0</v>
      </c>
      <c r="CA3236">
        <v>1600</v>
      </c>
      <c r="CB3236">
        <v>224</v>
      </c>
      <c r="CD3236">
        <v>1</v>
      </c>
      <c r="CE3236">
        <v>0</v>
      </c>
      <c r="CF3236">
        <v>0</v>
      </c>
      <c r="CG3236">
        <v>1</v>
      </c>
      <c r="CH3236">
        <v>0</v>
      </c>
      <c r="CI3236">
        <v>0</v>
      </c>
      <c r="CJ3236">
        <v>0</v>
      </c>
      <c r="CK3236">
        <v>2</v>
      </c>
      <c r="CL3236">
        <v>0</v>
      </c>
      <c r="CM3236">
        <v>2</v>
      </c>
      <c r="CN3236">
        <v>0</v>
      </c>
      <c r="CO3236">
        <v>7</v>
      </c>
      <c r="CP3236" t="s">
        <v>119</v>
      </c>
      <c r="CQ3236">
        <v>180</v>
      </c>
      <c r="CR3236">
        <v>2</v>
      </c>
      <c r="CW3236">
        <v>8762301</v>
      </c>
      <c r="CY3236">
        <v>1</v>
      </c>
      <c r="CZ3236">
        <v>0</v>
      </c>
      <c r="DA3236">
        <v>1</v>
      </c>
      <c r="DB3236">
        <v>0</v>
      </c>
      <c r="DC3236">
        <v>0</v>
      </c>
      <c r="DD3236">
        <v>0</v>
      </c>
      <c r="DE3236">
        <v>0</v>
      </c>
      <c r="DF3236">
        <v>0</v>
      </c>
      <c r="DG3236">
        <v>0</v>
      </c>
      <c r="DH3236">
        <v>0</v>
      </c>
      <c r="DI3236">
        <v>0</v>
      </c>
    </row>
    <row r="3237" spans="1:113" x14ac:dyDescent="0.3">
      <c r="A3237" t="str">
        <f>"02/08/2021 20:32:03.163"</f>
        <v>02/08/2021 20:32:03.163</v>
      </c>
      <c r="C3237" t="str">
        <f t="shared" si="154"/>
        <v>FFDFD7C0</v>
      </c>
      <c r="D3237" t="s">
        <v>113</v>
      </c>
      <c r="E3237">
        <v>6</v>
      </c>
      <c r="H3237">
        <v>165</v>
      </c>
      <c r="I3237" t="s">
        <v>114</v>
      </c>
      <c r="J3237" t="s">
        <v>115</v>
      </c>
      <c r="K3237">
        <v>0</v>
      </c>
      <c r="L3237">
        <v>3</v>
      </c>
      <c r="M3237">
        <v>0</v>
      </c>
      <c r="N3237">
        <v>2</v>
      </c>
      <c r="O3237">
        <v>1</v>
      </c>
      <c r="P3237">
        <v>0</v>
      </c>
      <c r="Q3237">
        <v>0</v>
      </c>
      <c r="S3237" t="str">
        <f>"20:32:05.445"</f>
        <v>20:32:05.445</v>
      </c>
      <c r="T3237" t="str">
        <f>"20:32:04.945"</f>
        <v>20:32:04.945</v>
      </c>
      <c r="U3237" t="str">
        <f t="shared" si="156"/>
        <v>AB01F4</v>
      </c>
      <c r="V3237">
        <v>0</v>
      </c>
      <c r="W3237">
        <v>0</v>
      </c>
      <c r="X3237">
        <v>2</v>
      </c>
      <c r="Z3237">
        <v>0</v>
      </c>
      <c r="AA3237">
        <v>9</v>
      </c>
      <c r="AB3237">
        <v>3</v>
      </c>
      <c r="AC3237">
        <v>0</v>
      </c>
      <c r="AD3237">
        <v>10</v>
      </c>
      <c r="AE3237">
        <v>0</v>
      </c>
      <c r="AF3237">
        <v>3</v>
      </c>
      <c r="AG3237">
        <v>2</v>
      </c>
      <c r="AH3237">
        <v>0</v>
      </c>
      <c r="AI3237" t="s">
        <v>1867</v>
      </c>
      <c r="AJ3237">
        <v>40.061366999999997</v>
      </c>
      <c r="AK3237" t="s">
        <v>1868</v>
      </c>
      <c r="AL3237">
        <v>-92.918672999999998</v>
      </c>
      <c r="AM3237">
        <v>100</v>
      </c>
      <c r="AN3237">
        <v>1300</v>
      </c>
      <c r="AO3237" t="s">
        <v>118</v>
      </c>
      <c r="AP3237">
        <v>-106</v>
      </c>
      <c r="AQ3237">
        <v>75</v>
      </c>
      <c r="AR3237">
        <v>128</v>
      </c>
      <c r="AZ3237">
        <v>1200</v>
      </c>
      <c r="BA3237">
        <v>1</v>
      </c>
      <c r="BB3237" t="str">
        <f t="shared" si="155"/>
        <v xml:space="preserve">N8080G  </v>
      </c>
      <c r="BC3237">
        <v>1</v>
      </c>
      <c r="BE3237">
        <v>0</v>
      </c>
      <c r="BF3237">
        <v>0</v>
      </c>
      <c r="BG3237">
        <v>0</v>
      </c>
      <c r="BH3237">
        <v>1350</v>
      </c>
      <c r="BI3237">
        <v>1</v>
      </c>
      <c r="BJ3237">
        <v>1</v>
      </c>
      <c r="BK3237">
        <v>1</v>
      </c>
      <c r="BL3237">
        <v>0</v>
      </c>
      <c r="BO3237">
        <v>0</v>
      </c>
      <c r="BP3237">
        <v>0</v>
      </c>
      <c r="BW3237" t="str">
        <f>"20:32:05.447"</f>
        <v>20:32:05.447</v>
      </c>
      <c r="BZ3237">
        <v>0</v>
      </c>
      <c r="CA3237">
        <v>1600</v>
      </c>
      <c r="CB3237">
        <v>224</v>
      </c>
      <c r="CD3237">
        <v>1</v>
      </c>
      <c r="CE3237">
        <v>0</v>
      </c>
      <c r="CF3237">
        <v>0</v>
      </c>
      <c r="CG3237">
        <v>1</v>
      </c>
      <c r="CH3237">
        <v>0</v>
      </c>
      <c r="CI3237">
        <v>0</v>
      </c>
      <c r="CJ3237">
        <v>0</v>
      </c>
      <c r="CK3237">
        <v>2</v>
      </c>
      <c r="CL3237">
        <v>0</v>
      </c>
      <c r="CM3237">
        <v>2</v>
      </c>
      <c r="CN3237">
        <v>0</v>
      </c>
      <c r="CO3237">
        <v>7</v>
      </c>
      <c r="CP3237" t="s">
        <v>119</v>
      </c>
      <c r="CQ3237">
        <v>180</v>
      </c>
      <c r="CR3237">
        <v>2</v>
      </c>
      <c r="CW3237">
        <v>8762301</v>
      </c>
      <c r="CY3237">
        <v>1</v>
      </c>
      <c r="CZ3237">
        <v>0</v>
      </c>
      <c r="DA3237">
        <v>1</v>
      </c>
      <c r="DB3237">
        <v>0</v>
      </c>
      <c r="DC3237">
        <v>0</v>
      </c>
      <c r="DD3237">
        <v>0</v>
      </c>
      <c r="DE3237">
        <v>0</v>
      </c>
      <c r="DF3237">
        <v>0</v>
      </c>
      <c r="DG3237">
        <v>0</v>
      </c>
      <c r="DH3237">
        <v>0</v>
      </c>
      <c r="DI3237">
        <v>0</v>
      </c>
    </row>
    <row r="3238" spans="1:113" x14ac:dyDescent="0.3">
      <c r="A3238" t="str">
        <f>"02/08/2021 20:32:03.163"</f>
        <v>02/08/2021 20:32:03.163</v>
      </c>
      <c r="C3238" t="str">
        <f t="shared" si="154"/>
        <v>FFDFD7C0</v>
      </c>
      <c r="D3238" t="s">
        <v>124</v>
      </c>
      <c r="E3238">
        <v>13</v>
      </c>
      <c r="F3238">
        <v>1013</v>
      </c>
      <c r="G3238" t="s">
        <v>114</v>
      </c>
      <c r="J3238" t="s">
        <v>125</v>
      </c>
      <c r="K3238">
        <v>0</v>
      </c>
      <c r="L3238">
        <v>3</v>
      </c>
      <c r="M3238">
        <v>0</v>
      </c>
      <c r="N3238">
        <v>2</v>
      </c>
      <c r="O3238">
        <v>1</v>
      </c>
      <c r="P3238">
        <v>0</v>
      </c>
      <c r="Q3238">
        <v>0</v>
      </c>
      <c r="S3238" t="str">
        <f>"20:32:05.445"</f>
        <v>20:32:05.445</v>
      </c>
      <c r="T3238" t="str">
        <f>"20:32:04.945"</f>
        <v>20:32:04.945</v>
      </c>
      <c r="U3238" t="str">
        <f t="shared" si="156"/>
        <v>AB01F4</v>
      </c>
      <c r="V3238">
        <v>0</v>
      </c>
      <c r="W3238">
        <v>0</v>
      </c>
      <c r="X3238">
        <v>2</v>
      </c>
      <c r="Z3238">
        <v>0</v>
      </c>
      <c r="AA3238">
        <v>9</v>
      </c>
      <c r="AB3238">
        <v>3</v>
      </c>
      <c r="AC3238">
        <v>0</v>
      </c>
      <c r="AD3238">
        <v>10</v>
      </c>
      <c r="AE3238">
        <v>0</v>
      </c>
      <c r="AF3238">
        <v>3</v>
      </c>
      <c r="AG3238">
        <v>2</v>
      </c>
      <c r="AH3238">
        <v>0</v>
      </c>
      <c r="AI3238" t="s">
        <v>1867</v>
      </c>
      <c r="AJ3238">
        <v>40.061366999999997</v>
      </c>
      <c r="AK3238" t="s">
        <v>1868</v>
      </c>
      <c r="AL3238">
        <v>-92.918672999999998</v>
      </c>
      <c r="AM3238">
        <v>100</v>
      </c>
      <c r="AN3238">
        <v>1300</v>
      </c>
      <c r="AO3238" t="s">
        <v>118</v>
      </c>
      <c r="AP3238">
        <v>-106</v>
      </c>
      <c r="AQ3238">
        <v>75</v>
      </c>
      <c r="AR3238">
        <v>128</v>
      </c>
      <c r="AZ3238">
        <v>1200</v>
      </c>
      <c r="BA3238">
        <v>1</v>
      </c>
      <c r="BB3238" t="str">
        <f t="shared" si="155"/>
        <v xml:space="preserve">N8080G  </v>
      </c>
      <c r="BC3238">
        <v>1</v>
      </c>
      <c r="BE3238">
        <v>0</v>
      </c>
      <c r="BF3238">
        <v>0</v>
      </c>
      <c r="BG3238">
        <v>0</v>
      </c>
      <c r="BH3238">
        <v>1350</v>
      </c>
      <c r="BI3238">
        <v>1</v>
      </c>
      <c r="BJ3238">
        <v>1</v>
      </c>
      <c r="BK3238">
        <v>1</v>
      </c>
      <c r="BL3238">
        <v>0</v>
      </c>
      <c r="BO3238">
        <v>0</v>
      </c>
      <c r="BP3238">
        <v>0</v>
      </c>
      <c r="BW3238" t="str">
        <f>"20:32:05.447"</f>
        <v>20:32:05.447</v>
      </c>
      <c r="BZ3238">
        <v>0</v>
      </c>
      <c r="CA3238">
        <v>1600</v>
      </c>
      <c r="CB3238">
        <v>224</v>
      </c>
      <c r="CD3238">
        <v>1</v>
      </c>
      <c r="CE3238">
        <v>0</v>
      </c>
      <c r="CF3238">
        <v>0</v>
      </c>
      <c r="CG3238">
        <v>1</v>
      </c>
      <c r="CH3238">
        <v>0</v>
      </c>
      <c r="CI3238">
        <v>0</v>
      </c>
      <c r="CJ3238">
        <v>0</v>
      </c>
      <c r="CK3238">
        <v>2</v>
      </c>
      <c r="CL3238">
        <v>0</v>
      </c>
      <c r="CM3238">
        <v>2</v>
      </c>
      <c r="CN3238">
        <v>0</v>
      </c>
      <c r="CO3238">
        <v>7</v>
      </c>
      <c r="CP3238" t="s">
        <v>119</v>
      </c>
      <c r="CQ3238">
        <v>180</v>
      </c>
      <c r="CR3238">
        <v>2</v>
      </c>
      <c r="CW3238">
        <v>8762301</v>
      </c>
      <c r="CY3238">
        <v>1</v>
      </c>
      <c r="CZ3238">
        <v>0</v>
      </c>
      <c r="DA3238">
        <v>1</v>
      </c>
      <c r="DB3238">
        <v>0</v>
      </c>
      <c r="DC3238">
        <v>0</v>
      </c>
      <c r="DD3238">
        <v>0</v>
      </c>
      <c r="DE3238">
        <v>0</v>
      </c>
      <c r="DF3238">
        <v>0</v>
      </c>
      <c r="DG3238">
        <v>0</v>
      </c>
      <c r="DH3238">
        <v>0</v>
      </c>
      <c r="DI3238">
        <v>0</v>
      </c>
    </row>
    <row r="3239" spans="1:113" x14ac:dyDescent="0.3">
      <c r="A3239" t="str">
        <f>"02/08/2021 20:32:04.167"</f>
        <v>02/08/2021 20:32:04.167</v>
      </c>
      <c r="C3239" t="str">
        <f t="shared" si="154"/>
        <v>FFDFD7C0</v>
      </c>
      <c r="D3239" t="s">
        <v>124</v>
      </c>
      <c r="E3239">
        <v>12</v>
      </c>
      <c r="F3239">
        <v>1012</v>
      </c>
      <c r="G3239" t="s">
        <v>675</v>
      </c>
      <c r="J3239" t="s">
        <v>125</v>
      </c>
      <c r="K3239">
        <v>0</v>
      </c>
      <c r="L3239">
        <v>3</v>
      </c>
      <c r="M3239">
        <v>0</v>
      </c>
      <c r="N3239">
        <v>2</v>
      </c>
      <c r="O3239">
        <v>1</v>
      </c>
      <c r="P3239">
        <v>0</v>
      </c>
      <c r="Q3239">
        <v>0</v>
      </c>
      <c r="S3239" t="str">
        <f>"20:32:06.500"</f>
        <v>20:32:06.500</v>
      </c>
      <c r="T3239" t="str">
        <f>"20:32:06.000"</f>
        <v>20:32:06.000</v>
      </c>
      <c r="U3239" t="str">
        <f t="shared" si="156"/>
        <v>AB01F4</v>
      </c>
      <c r="V3239">
        <v>0</v>
      </c>
      <c r="W3239">
        <v>0</v>
      </c>
      <c r="X3239">
        <v>2</v>
      </c>
      <c r="Z3239">
        <v>0</v>
      </c>
      <c r="AA3239">
        <v>9</v>
      </c>
      <c r="AB3239">
        <v>3</v>
      </c>
      <c r="AC3239">
        <v>0</v>
      </c>
      <c r="AD3239">
        <v>10</v>
      </c>
      <c r="AE3239">
        <v>0</v>
      </c>
      <c r="AF3239">
        <v>3</v>
      </c>
      <c r="AG3239">
        <v>2</v>
      </c>
      <c r="AH3239">
        <v>0</v>
      </c>
      <c r="AI3239" t="s">
        <v>1869</v>
      </c>
      <c r="AJ3239">
        <v>40.061687999999997</v>
      </c>
      <c r="AK3239" t="s">
        <v>1870</v>
      </c>
      <c r="AL3239">
        <v>-92.919295000000005</v>
      </c>
      <c r="AM3239">
        <v>100</v>
      </c>
      <c r="AN3239">
        <v>1300</v>
      </c>
      <c r="AO3239" t="s">
        <v>118</v>
      </c>
      <c r="AP3239">
        <v>-106</v>
      </c>
      <c r="AQ3239">
        <v>74</v>
      </c>
      <c r="AR3239">
        <v>128</v>
      </c>
      <c r="AZ3239">
        <v>1200</v>
      </c>
      <c r="BA3239">
        <v>1</v>
      </c>
      <c r="BB3239" t="str">
        <f t="shared" si="155"/>
        <v xml:space="preserve">N8080G  </v>
      </c>
      <c r="BC3239">
        <v>1</v>
      </c>
      <c r="BE3239">
        <v>0</v>
      </c>
      <c r="BF3239">
        <v>0</v>
      </c>
      <c r="BG3239">
        <v>0</v>
      </c>
      <c r="BH3239">
        <v>1350</v>
      </c>
      <c r="BI3239">
        <v>1</v>
      </c>
      <c r="BJ3239">
        <v>1</v>
      </c>
      <c r="BK3239">
        <v>1</v>
      </c>
      <c r="BL3239">
        <v>0</v>
      </c>
      <c r="BO3239">
        <v>0</v>
      </c>
      <c r="BP3239">
        <v>0</v>
      </c>
      <c r="BW3239" t="str">
        <f>"20:32:06.507"</f>
        <v>20:32:06.507</v>
      </c>
      <c r="BZ3239">
        <v>0</v>
      </c>
      <c r="CA3239">
        <v>1600</v>
      </c>
      <c r="CB3239">
        <v>224</v>
      </c>
      <c r="CD3239">
        <v>1</v>
      </c>
      <c r="CE3239">
        <v>0</v>
      </c>
      <c r="CF3239">
        <v>0</v>
      </c>
      <c r="CG3239">
        <v>1</v>
      </c>
      <c r="CH3239">
        <v>0</v>
      </c>
      <c r="CI3239">
        <v>0</v>
      </c>
      <c r="CJ3239">
        <v>0</v>
      </c>
      <c r="CK3239">
        <v>2</v>
      </c>
      <c r="CL3239">
        <v>0</v>
      </c>
      <c r="CM3239">
        <v>2</v>
      </c>
      <c r="CN3239">
        <v>0</v>
      </c>
      <c r="CO3239">
        <v>7</v>
      </c>
      <c r="CP3239" t="s">
        <v>119</v>
      </c>
      <c r="CQ3239">
        <v>180</v>
      </c>
      <c r="CR3239">
        <v>2</v>
      </c>
      <c r="CW3239">
        <v>8763216</v>
      </c>
      <c r="CY3239">
        <v>1</v>
      </c>
      <c r="CZ3239">
        <v>0</v>
      </c>
      <c r="DA3239">
        <v>0</v>
      </c>
      <c r="DB3239">
        <v>0</v>
      </c>
      <c r="DC3239">
        <v>0</v>
      </c>
      <c r="DD3239">
        <v>0</v>
      </c>
      <c r="DE3239">
        <v>0</v>
      </c>
      <c r="DF3239">
        <v>0</v>
      </c>
      <c r="DG3239">
        <v>0</v>
      </c>
      <c r="DH3239">
        <v>0</v>
      </c>
      <c r="DI3239">
        <v>0</v>
      </c>
    </row>
    <row r="3240" spans="1:113" x14ac:dyDescent="0.3">
      <c r="A3240" t="str">
        <f>"02/08/2021 20:32:04.167"</f>
        <v>02/08/2021 20:32:04.167</v>
      </c>
      <c r="C3240" t="str">
        <f t="shared" si="154"/>
        <v>FFDFD7C0</v>
      </c>
      <c r="D3240" t="s">
        <v>124</v>
      </c>
      <c r="E3240">
        <v>11</v>
      </c>
      <c r="F3240">
        <v>1011</v>
      </c>
      <c r="G3240" t="s">
        <v>590</v>
      </c>
      <c r="J3240" t="s">
        <v>125</v>
      </c>
      <c r="K3240">
        <v>0</v>
      </c>
      <c r="L3240">
        <v>3</v>
      </c>
      <c r="M3240">
        <v>0</v>
      </c>
      <c r="N3240">
        <v>2</v>
      </c>
      <c r="O3240">
        <v>1</v>
      </c>
      <c r="P3240">
        <v>0</v>
      </c>
      <c r="Q3240">
        <v>0</v>
      </c>
      <c r="S3240" t="str">
        <f>"20:32:06.500"</f>
        <v>20:32:06.500</v>
      </c>
      <c r="T3240" t="str">
        <f>"20:32:06.000"</f>
        <v>20:32:06.000</v>
      </c>
      <c r="U3240" t="str">
        <f t="shared" si="156"/>
        <v>AB01F4</v>
      </c>
      <c r="V3240">
        <v>0</v>
      </c>
      <c r="W3240">
        <v>0</v>
      </c>
      <c r="X3240">
        <v>2</v>
      </c>
      <c r="Z3240">
        <v>0</v>
      </c>
      <c r="AA3240">
        <v>9</v>
      </c>
      <c r="AB3240">
        <v>3</v>
      </c>
      <c r="AC3240">
        <v>0</v>
      </c>
      <c r="AD3240">
        <v>10</v>
      </c>
      <c r="AE3240">
        <v>0</v>
      </c>
      <c r="AF3240">
        <v>3</v>
      </c>
      <c r="AG3240">
        <v>2</v>
      </c>
      <c r="AH3240">
        <v>0</v>
      </c>
      <c r="AI3240" t="s">
        <v>1869</v>
      </c>
      <c r="AJ3240">
        <v>40.061687999999997</v>
      </c>
      <c r="AK3240" t="s">
        <v>1870</v>
      </c>
      <c r="AL3240">
        <v>-92.919295000000005</v>
      </c>
      <c r="AM3240">
        <v>100</v>
      </c>
      <c r="AN3240">
        <v>1300</v>
      </c>
      <c r="AO3240" t="s">
        <v>118</v>
      </c>
      <c r="AP3240">
        <v>-106</v>
      </c>
      <c r="AQ3240">
        <v>74</v>
      </c>
      <c r="AR3240">
        <v>128</v>
      </c>
      <c r="AZ3240">
        <v>1200</v>
      </c>
      <c r="BA3240">
        <v>1</v>
      </c>
      <c r="BB3240" t="str">
        <f t="shared" si="155"/>
        <v xml:space="preserve">N8080G  </v>
      </c>
      <c r="BC3240">
        <v>1</v>
      </c>
      <c r="BE3240">
        <v>0</v>
      </c>
      <c r="BF3240">
        <v>0</v>
      </c>
      <c r="BG3240">
        <v>0</v>
      </c>
      <c r="BH3240">
        <v>1350</v>
      </c>
      <c r="BI3240">
        <v>1</v>
      </c>
      <c r="BJ3240">
        <v>1</v>
      </c>
      <c r="BK3240">
        <v>1</v>
      </c>
      <c r="BL3240">
        <v>0</v>
      </c>
      <c r="BO3240">
        <v>0</v>
      </c>
      <c r="BP3240">
        <v>0</v>
      </c>
      <c r="BW3240" t="str">
        <f>"20:32:06.507"</f>
        <v>20:32:06.507</v>
      </c>
      <c r="BZ3240">
        <v>0</v>
      </c>
      <c r="CA3240">
        <v>1600</v>
      </c>
      <c r="CB3240">
        <v>224</v>
      </c>
      <c r="CD3240">
        <v>1</v>
      </c>
      <c r="CE3240">
        <v>0</v>
      </c>
      <c r="CF3240">
        <v>0</v>
      </c>
      <c r="CG3240">
        <v>1</v>
      </c>
      <c r="CH3240">
        <v>0</v>
      </c>
      <c r="CI3240">
        <v>0</v>
      </c>
      <c r="CJ3240">
        <v>0</v>
      </c>
      <c r="CK3240">
        <v>2</v>
      </c>
      <c r="CL3240">
        <v>0</v>
      </c>
      <c r="CM3240">
        <v>2</v>
      </c>
      <c r="CN3240">
        <v>0</v>
      </c>
      <c r="CO3240">
        <v>7</v>
      </c>
      <c r="CP3240" t="s">
        <v>119</v>
      </c>
      <c r="CQ3240">
        <v>180</v>
      </c>
      <c r="CR3240">
        <v>2</v>
      </c>
      <c r="CW3240">
        <v>8763216</v>
      </c>
      <c r="CY3240">
        <v>1</v>
      </c>
      <c r="CZ3240">
        <v>0</v>
      </c>
      <c r="DA3240">
        <v>1</v>
      </c>
      <c r="DB3240">
        <v>0</v>
      </c>
      <c r="DC3240">
        <v>0</v>
      </c>
      <c r="DD3240">
        <v>0</v>
      </c>
      <c r="DE3240">
        <v>0</v>
      </c>
      <c r="DF3240">
        <v>0</v>
      </c>
      <c r="DG3240">
        <v>0</v>
      </c>
      <c r="DH3240">
        <v>0</v>
      </c>
      <c r="DI3240">
        <v>0</v>
      </c>
    </row>
    <row r="3241" spans="1:113" x14ac:dyDescent="0.3">
      <c r="A3241" t="str">
        <f>"02/08/2021 20:32:04.167"</f>
        <v>02/08/2021 20:32:04.167</v>
      </c>
      <c r="C3241" t="str">
        <f t="shared" si="154"/>
        <v>FFDFD7C0</v>
      </c>
      <c r="D3241" t="s">
        <v>113</v>
      </c>
      <c r="E3241">
        <v>6</v>
      </c>
      <c r="H3241">
        <v>165</v>
      </c>
      <c r="I3241" t="s">
        <v>114</v>
      </c>
      <c r="J3241" t="s">
        <v>115</v>
      </c>
      <c r="K3241">
        <v>0</v>
      </c>
      <c r="L3241">
        <v>3</v>
      </c>
      <c r="M3241">
        <v>0</v>
      </c>
      <c r="N3241">
        <v>2</v>
      </c>
      <c r="O3241">
        <v>1</v>
      </c>
      <c r="P3241">
        <v>0</v>
      </c>
      <c r="Q3241">
        <v>0</v>
      </c>
      <c r="S3241" t="str">
        <f>"20:32:06.500"</f>
        <v>20:32:06.500</v>
      </c>
      <c r="T3241" t="str">
        <f>"20:32:06.000"</f>
        <v>20:32:06.000</v>
      </c>
      <c r="U3241" t="str">
        <f t="shared" si="156"/>
        <v>AB01F4</v>
      </c>
      <c r="V3241">
        <v>0</v>
      </c>
      <c r="W3241">
        <v>0</v>
      </c>
      <c r="X3241">
        <v>2</v>
      </c>
      <c r="Z3241">
        <v>0</v>
      </c>
      <c r="AA3241">
        <v>9</v>
      </c>
      <c r="AB3241">
        <v>3</v>
      </c>
      <c r="AC3241">
        <v>0</v>
      </c>
      <c r="AD3241">
        <v>10</v>
      </c>
      <c r="AE3241">
        <v>0</v>
      </c>
      <c r="AF3241">
        <v>3</v>
      </c>
      <c r="AG3241">
        <v>2</v>
      </c>
      <c r="AH3241">
        <v>0</v>
      </c>
      <c r="AI3241" t="s">
        <v>1869</v>
      </c>
      <c r="AJ3241">
        <v>40.061687999999997</v>
      </c>
      <c r="AK3241" t="s">
        <v>1870</v>
      </c>
      <c r="AL3241">
        <v>-92.919295000000005</v>
      </c>
      <c r="AM3241">
        <v>100</v>
      </c>
      <c r="AN3241">
        <v>1300</v>
      </c>
      <c r="AO3241" t="s">
        <v>118</v>
      </c>
      <c r="AP3241">
        <v>-106</v>
      </c>
      <c r="AQ3241">
        <v>74</v>
      </c>
      <c r="AR3241">
        <v>128</v>
      </c>
      <c r="AZ3241">
        <v>1200</v>
      </c>
      <c r="BA3241">
        <v>1</v>
      </c>
      <c r="BB3241" t="str">
        <f t="shared" si="155"/>
        <v xml:space="preserve">N8080G  </v>
      </c>
      <c r="BC3241">
        <v>1</v>
      </c>
      <c r="BE3241">
        <v>0</v>
      </c>
      <c r="BF3241">
        <v>0</v>
      </c>
      <c r="BG3241">
        <v>0</v>
      </c>
      <c r="BH3241">
        <v>1350</v>
      </c>
      <c r="BI3241">
        <v>1</v>
      </c>
      <c r="BJ3241">
        <v>1</v>
      </c>
      <c r="BK3241">
        <v>1</v>
      </c>
      <c r="BL3241">
        <v>0</v>
      </c>
      <c r="BO3241">
        <v>0</v>
      </c>
      <c r="BP3241">
        <v>0</v>
      </c>
      <c r="BW3241" t="str">
        <f>"20:32:06.507"</f>
        <v>20:32:06.507</v>
      </c>
      <c r="BZ3241">
        <v>0</v>
      </c>
      <c r="CA3241">
        <v>1600</v>
      </c>
      <c r="CB3241">
        <v>224</v>
      </c>
      <c r="CD3241">
        <v>1</v>
      </c>
      <c r="CE3241">
        <v>0</v>
      </c>
      <c r="CF3241">
        <v>0</v>
      </c>
      <c r="CG3241">
        <v>1</v>
      </c>
      <c r="CH3241">
        <v>0</v>
      </c>
      <c r="CI3241">
        <v>0</v>
      </c>
      <c r="CJ3241">
        <v>0</v>
      </c>
      <c r="CK3241">
        <v>2</v>
      </c>
      <c r="CL3241">
        <v>0</v>
      </c>
      <c r="CM3241">
        <v>2</v>
      </c>
      <c r="CN3241">
        <v>0</v>
      </c>
      <c r="CO3241">
        <v>7</v>
      </c>
      <c r="CP3241" t="s">
        <v>119</v>
      </c>
      <c r="CQ3241">
        <v>180</v>
      </c>
      <c r="CR3241">
        <v>2</v>
      </c>
      <c r="CW3241">
        <v>8763216</v>
      </c>
      <c r="CY3241">
        <v>1</v>
      </c>
      <c r="CZ3241">
        <v>0</v>
      </c>
      <c r="DA3241">
        <v>1</v>
      </c>
      <c r="DB3241">
        <v>0</v>
      </c>
      <c r="DC3241">
        <v>0</v>
      </c>
      <c r="DD3241">
        <v>0</v>
      </c>
      <c r="DE3241">
        <v>0</v>
      </c>
      <c r="DF3241">
        <v>0</v>
      </c>
      <c r="DG3241">
        <v>0</v>
      </c>
      <c r="DH3241">
        <v>0</v>
      </c>
      <c r="DI3241">
        <v>0</v>
      </c>
    </row>
    <row r="3242" spans="1:113" x14ac:dyDescent="0.3">
      <c r="A3242" t="str">
        <f>"02/08/2021 20:32:04.167"</f>
        <v>02/08/2021 20:32:04.167</v>
      </c>
      <c r="C3242" t="str">
        <f t="shared" si="154"/>
        <v>FFDFD7C0</v>
      </c>
      <c r="D3242" t="s">
        <v>124</v>
      </c>
      <c r="E3242">
        <v>13</v>
      </c>
      <c r="F3242">
        <v>1013</v>
      </c>
      <c r="G3242" t="s">
        <v>114</v>
      </c>
      <c r="J3242" t="s">
        <v>125</v>
      </c>
      <c r="K3242">
        <v>0</v>
      </c>
      <c r="L3242">
        <v>3</v>
      </c>
      <c r="M3242">
        <v>0</v>
      </c>
      <c r="N3242">
        <v>2</v>
      </c>
      <c r="O3242">
        <v>1</v>
      </c>
      <c r="P3242">
        <v>0</v>
      </c>
      <c r="Q3242">
        <v>0</v>
      </c>
      <c r="S3242" t="str">
        <f>"20:32:06.500"</f>
        <v>20:32:06.500</v>
      </c>
      <c r="T3242" t="str">
        <f>"20:32:06.000"</f>
        <v>20:32:06.000</v>
      </c>
      <c r="U3242" t="str">
        <f t="shared" si="156"/>
        <v>AB01F4</v>
      </c>
      <c r="V3242">
        <v>0</v>
      </c>
      <c r="W3242">
        <v>0</v>
      </c>
      <c r="X3242">
        <v>2</v>
      </c>
      <c r="Z3242">
        <v>0</v>
      </c>
      <c r="AA3242">
        <v>9</v>
      </c>
      <c r="AB3242">
        <v>3</v>
      </c>
      <c r="AC3242">
        <v>0</v>
      </c>
      <c r="AD3242">
        <v>10</v>
      </c>
      <c r="AE3242">
        <v>0</v>
      </c>
      <c r="AF3242">
        <v>3</v>
      </c>
      <c r="AG3242">
        <v>2</v>
      </c>
      <c r="AH3242">
        <v>0</v>
      </c>
      <c r="AI3242" t="s">
        <v>1869</v>
      </c>
      <c r="AJ3242">
        <v>40.061687999999997</v>
      </c>
      <c r="AK3242" t="s">
        <v>1870</v>
      </c>
      <c r="AL3242">
        <v>-92.919295000000005</v>
      </c>
      <c r="AM3242">
        <v>100</v>
      </c>
      <c r="AN3242">
        <v>1300</v>
      </c>
      <c r="AO3242" t="s">
        <v>118</v>
      </c>
      <c r="AP3242">
        <v>-106</v>
      </c>
      <c r="AQ3242">
        <v>74</v>
      </c>
      <c r="AR3242">
        <v>128</v>
      </c>
      <c r="AZ3242">
        <v>1200</v>
      </c>
      <c r="BA3242">
        <v>1</v>
      </c>
      <c r="BB3242" t="str">
        <f t="shared" si="155"/>
        <v xml:space="preserve">N8080G  </v>
      </c>
      <c r="BC3242">
        <v>1</v>
      </c>
      <c r="BE3242">
        <v>0</v>
      </c>
      <c r="BF3242">
        <v>0</v>
      </c>
      <c r="BG3242">
        <v>0</v>
      </c>
      <c r="BH3242">
        <v>1350</v>
      </c>
      <c r="BI3242">
        <v>1</v>
      </c>
      <c r="BJ3242">
        <v>1</v>
      </c>
      <c r="BK3242">
        <v>1</v>
      </c>
      <c r="BL3242">
        <v>0</v>
      </c>
      <c r="BO3242">
        <v>0</v>
      </c>
      <c r="BP3242">
        <v>0</v>
      </c>
      <c r="BW3242" t="str">
        <f>"20:32:06.507"</f>
        <v>20:32:06.507</v>
      </c>
      <c r="BZ3242">
        <v>0</v>
      </c>
      <c r="CA3242">
        <v>1600</v>
      </c>
      <c r="CB3242">
        <v>224</v>
      </c>
      <c r="CD3242">
        <v>1</v>
      </c>
      <c r="CE3242">
        <v>0</v>
      </c>
      <c r="CF3242">
        <v>0</v>
      </c>
      <c r="CG3242">
        <v>1</v>
      </c>
      <c r="CH3242">
        <v>0</v>
      </c>
      <c r="CI3242">
        <v>0</v>
      </c>
      <c r="CJ3242">
        <v>0</v>
      </c>
      <c r="CK3242">
        <v>2</v>
      </c>
      <c r="CL3242">
        <v>0</v>
      </c>
      <c r="CM3242">
        <v>2</v>
      </c>
      <c r="CN3242">
        <v>0</v>
      </c>
      <c r="CO3242">
        <v>7</v>
      </c>
      <c r="CP3242" t="s">
        <v>119</v>
      </c>
      <c r="CQ3242">
        <v>180</v>
      </c>
      <c r="CR3242">
        <v>2</v>
      </c>
      <c r="CW3242">
        <v>8763216</v>
      </c>
      <c r="CY3242">
        <v>1</v>
      </c>
      <c r="CZ3242">
        <v>0</v>
      </c>
      <c r="DA3242">
        <v>1</v>
      </c>
      <c r="DB3242">
        <v>0</v>
      </c>
      <c r="DC3242">
        <v>0</v>
      </c>
      <c r="DD3242">
        <v>0</v>
      </c>
      <c r="DE3242">
        <v>0</v>
      </c>
      <c r="DF3242">
        <v>0</v>
      </c>
      <c r="DG3242">
        <v>0</v>
      </c>
      <c r="DH3242">
        <v>0</v>
      </c>
      <c r="DI3242">
        <v>0</v>
      </c>
    </row>
    <row r="3243" spans="1:113" x14ac:dyDescent="0.3">
      <c r="A3243" t="str">
        <f>"02/08/2021 20:32:05.245"</f>
        <v>02/08/2021 20:32:05.245</v>
      </c>
      <c r="C3243" t="str">
        <f t="shared" si="154"/>
        <v>FFDFD7C0</v>
      </c>
      <c r="D3243" t="s">
        <v>124</v>
      </c>
      <c r="E3243">
        <v>13</v>
      </c>
      <c r="F3243">
        <v>1013</v>
      </c>
      <c r="G3243" t="s">
        <v>114</v>
      </c>
      <c r="J3243" t="s">
        <v>125</v>
      </c>
      <c r="K3243">
        <v>0</v>
      </c>
      <c r="L3243">
        <v>3</v>
      </c>
      <c r="M3243">
        <v>0</v>
      </c>
      <c r="N3243">
        <v>2</v>
      </c>
      <c r="O3243">
        <v>1</v>
      </c>
      <c r="P3243">
        <v>0</v>
      </c>
      <c r="Q3243">
        <v>0</v>
      </c>
      <c r="S3243" t="str">
        <f>"20:32:07.563"</f>
        <v>20:32:07.563</v>
      </c>
      <c r="T3243" t="str">
        <f>"20:32:07.063"</f>
        <v>20:32:07.063</v>
      </c>
      <c r="U3243" t="str">
        <f t="shared" si="156"/>
        <v>AB01F4</v>
      </c>
      <c r="V3243">
        <v>0</v>
      </c>
      <c r="W3243">
        <v>0</v>
      </c>
      <c r="X3243">
        <v>2</v>
      </c>
      <c r="Z3243">
        <v>0</v>
      </c>
      <c r="AA3243">
        <v>9</v>
      </c>
      <c r="AB3243">
        <v>3</v>
      </c>
      <c r="AC3243">
        <v>0</v>
      </c>
      <c r="AD3243">
        <v>10</v>
      </c>
      <c r="AE3243">
        <v>0</v>
      </c>
      <c r="AF3243">
        <v>3</v>
      </c>
      <c r="AG3243">
        <v>2</v>
      </c>
      <c r="AH3243">
        <v>0</v>
      </c>
      <c r="AI3243" t="s">
        <v>1871</v>
      </c>
      <c r="AJ3243">
        <v>40.062052999999999</v>
      </c>
      <c r="AK3243" t="s">
        <v>1872</v>
      </c>
      <c r="AL3243">
        <v>-92.919981000000007</v>
      </c>
      <c r="AM3243">
        <v>100</v>
      </c>
      <c r="AN3243">
        <v>1300</v>
      </c>
      <c r="AO3243" t="s">
        <v>118</v>
      </c>
      <c r="AP3243">
        <v>-106</v>
      </c>
      <c r="AQ3243">
        <v>75</v>
      </c>
      <c r="AR3243">
        <v>64</v>
      </c>
      <c r="AZ3243">
        <v>1200</v>
      </c>
      <c r="BA3243">
        <v>1</v>
      </c>
      <c r="BB3243" t="str">
        <f t="shared" si="155"/>
        <v xml:space="preserve">N8080G  </v>
      </c>
      <c r="BC3243">
        <v>1</v>
      </c>
      <c r="BE3243">
        <v>0</v>
      </c>
      <c r="BF3243">
        <v>0</v>
      </c>
      <c r="BG3243">
        <v>0</v>
      </c>
      <c r="BH3243">
        <v>1350</v>
      </c>
      <c r="BI3243">
        <v>1</v>
      </c>
      <c r="BJ3243">
        <v>1</v>
      </c>
      <c r="BK3243">
        <v>1</v>
      </c>
      <c r="BL3243">
        <v>0</v>
      </c>
      <c r="BO3243">
        <v>0</v>
      </c>
      <c r="BP3243">
        <v>0</v>
      </c>
      <c r="BW3243" t="str">
        <f>"20:32:07.566"</f>
        <v>20:32:07.566</v>
      </c>
      <c r="BZ3243">
        <v>0</v>
      </c>
      <c r="CA3243">
        <v>1600</v>
      </c>
      <c r="CB3243">
        <v>224</v>
      </c>
      <c r="CD3243">
        <v>1</v>
      </c>
      <c r="CE3243">
        <v>0</v>
      </c>
      <c r="CF3243">
        <v>0</v>
      </c>
      <c r="CG3243">
        <v>1</v>
      </c>
      <c r="CH3243">
        <v>0</v>
      </c>
      <c r="CI3243">
        <v>0</v>
      </c>
      <c r="CJ3243">
        <v>0</v>
      </c>
      <c r="CK3243">
        <v>2</v>
      </c>
      <c r="CL3243">
        <v>0</v>
      </c>
      <c r="CM3243">
        <v>2</v>
      </c>
      <c r="CN3243">
        <v>0</v>
      </c>
      <c r="CO3243">
        <v>7</v>
      </c>
      <c r="CP3243" t="s">
        <v>119</v>
      </c>
      <c r="CQ3243">
        <v>180</v>
      </c>
      <c r="CR3243">
        <v>2</v>
      </c>
      <c r="CW3243">
        <v>8764164</v>
      </c>
      <c r="CY3243">
        <v>1</v>
      </c>
      <c r="CZ3243">
        <v>0</v>
      </c>
      <c r="DA3243">
        <v>0</v>
      </c>
      <c r="DB3243">
        <v>0</v>
      </c>
      <c r="DC3243">
        <v>0</v>
      </c>
      <c r="DD3243">
        <v>0</v>
      </c>
      <c r="DE3243">
        <v>0</v>
      </c>
      <c r="DF3243">
        <v>0</v>
      </c>
      <c r="DG3243">
        <v>0</v>
      </c>
      <c r="DH3243">
        <v>0</v>
      </c>
      <c r="DI3243">
        <v>0</v>
      </c>
    </row>
    <row r="3244" spans="1:113" x14ac:dyDescent="0.3">
      <c r="A3244" t="str">
        <f>"02/08/2021 20:32:05.245"</f>
        <v>02/08/2021 20:32:05.245</v>
      </c>
      <c r="C3244" t="str">
        <f t="shared" si="154"/>
        <v>FFDFD7C0</v>
      </c>
      <c r="D3244" t="s">
        <v>113</v>
      </c>
      <c r="E3244">
        <v>6</v>
      </c>
      <c r="H3244">
        <v>165</v>
      </c>
      <c r="I3244" t="s">
        <v>114</v>
      </c>
      <c r="J3244" t="s">
        <v>115</v>
      </c>
      <c r="K3244">
        <v>0</v>
      </c>
      <c r="L3244">
        <v>3</v>
      </c>
      <c r="M3244">
        <v>0</v>
      </c>
      <c r="N3244">
        <v>2</v>
      </c>
      <c r="O3244">
        <v>1</v>
      </c>
      <c r="P3244">
        <v>0</v>
      </c>
      <c r="Q3244">
        <v>0</v>
      </c>
      <c r="S3244" t="str">
        <f>"20:32:07.563"</f>
        <v>20:32:07.563</v>
      </c>
      <c r="T3244" t="str">
        <f>"20:32:07.063"</f>
        <v>20:32:07.063</v>
      </c>
      <c r="U3244" t="str">
        <f t="shared" si="156"/>
        <v>AB01F4</v>
      </c>
      <c r="V3244">
        <v>0</v>
      </c>
      <c r="W3244">
        <v>0</v>
      </c>
      <c r="X3244">
        <v>2</v>
      </c>
      <c r="Z3244">
        <v>0</v>
      </c>
      <c r="AA3244">
        <v>9</v>
      </c>
      <c r="AB3244">
        <v>3</v>
      </c>
      <c r="AC3244">
        <v>0</v>
      </c>
      <c r="AD3244">
        <v>10</v>
      </c>
      <c r="AE3244">
        <v>0</v>
      </c>
      <c r="AF3244">
        <v>3</v>
      </c>
      <c r="AG3244">
        <v>2</v>
      </c>
      <c r="AH3244">
        <v>0</v>
      </c>
      <c r="AI3244" t="s">
        <v>1871</v>
      </c>
      <c r="AJ3244">
        <v>40.062052999999999</v>
      </c>
      <c r="AK3244" t="s">
        <v>1872</v>
      </c>
      <c r="AL3244">
        <v>-92.919981000000007</v>
      </c>
      <c r="AM3244">
        <v>100</v>
      </c>
      <c r="AN3244">
        <v>1300</v>
      </c>
      <c r="AO3244" t="s">
        <v>118</v>
      </c>
      <c r="AP3244">
        <v>-106</v>
      </c>
      <c r="AQ3244">
        <v>75</v>
      </c>
      <c r="AR3244">
        <v>64</v>
      </c>
      <c r="AZ3244">
        <v>1200</v>
      </c>
      <c r="BA3244">
        <v>1</v>
      </c>
      <c r="BB3244" t="str">
        <f t="shared" si="155"/>
        <v xml:space="preserve">N8080G  </v>
      </c>
      <c r="BC3244">
        <v>1</v>
      </c>
      <c r="BE3244">
        <v>0</v>
      </c>
      <c r="BF3244">
        <v>0</v>
      </c>
      <c r="BG3244">
        <v>0</v>
      </c>
      <c r="BH3244">
        <v>1350</v>
      </c>
      <c r="BI3244">
        <v>1</v>
      </c>
      <c r="BJ3244">
        <v>1</v>
      </c>
      <c r="BK3244">
        <v>1</v>
      </c>
      <c r="BL3244">
        <v>0</v>
      </c>
      <c r="BO3244">
        <v>0</v>
      </c>
      <c r="BP3244">
        <v>0</v>
      </c>
      <c r="BW3244" t="str">
        <f>"20:32:07.566"</f>
        <v>20:32:07.566</v>
      </c>
      <c r="BZ3244">
        <v>0</v>
      </c>
      <c r="CA3244">
        <v>1600</v>
      </c>
      <c r="CB3244">
        <v>224</v>
      </c>
      <c r="CD3244">
        <v>1</v>
      </c>
      <c r="CE3244">
        <v>0</v>
      </c>
      <c r="CF3244">
        <v>0</v>
      </c>
      <c r="CG3244">
        <v>1</v>
      </c>
      <c r="CH3244">
        <v>0</v>
      </c>
      <c r="CI3244">
        <v>0</v>
      </c>
      <c r="CJ3244">
        <v>0</v>
      </c>
      <c r="CK3244">
        <v>2</v>
      </c>
      <c r="CL3244">
        <v>0</v>
      </c>
      <c r="CM3244">
        <v>2</v>
      </c>
      <c r="CN3244">
        <v>0</v>
      </c>
      <c r="CO3244">
        <v>7</v>
      </c>
      <c r="CP3244" t="s">
        <v>119</v>
      </c>
      <c r="CQ3244">
        <v>180</v>
      </c>
      <c r="CR3244">
        <v>2</v>
      </c>
      <c r="CW3244">
        <v>8764164</v>
      </c>
      <c r="CY3244">
        <v>1</v>
      </c>
      <c r="CZ3244">
        <v>0</v>
      </c>
      <c r="DA3244">
        <v>1</v>
      </c>
      <c r="DB3244">
        <v>0</v>
      </c>
      <c r="DC3244">
        <v>0</v>
      </c>
      <c r="DD3244">
        <v>0</v>
      </c>
      <c r="DE3244">
        <v>0</v>
      </c>
      <c r="DF3244">
        <v>0</v>
      </c>
      <c r="DG3244">
        <v>0</v>
      </c>
      <c r="DH3244">
        <v>0</v>
      </c>
      <c r="DI3244">
        <v>0</v>
      </c>
    </row>
    <row r="3245" spans="1:113" x14ac:dyDescent="0.3">
      <c r="A3245" t="str">
        <f>"02/08/2021 20:32:05.245"</f>
        <v>02/08/2021 20:32:05.245</v>
      </c>
      <c r="C3245" t="str">
        <f t="shared" si="154"/>
        <v>FFDFD7C0</v>
      </c>
      <c r="D3245" t="s">
        <v>124</v>
      </c>
      <c r="E3245">
        <v>12</v>
      </c>
      <c r="F3245">
        <v>1012</v>
      </c>
      <c r="G3245" t="s">
        <v>675</v>
      </c>
      <c r="J3245" t="s">
        <v>125</v>
      </c>
      <c r="K3245">
        <v>0</v>
      </c>
      <c r="L3245">
        <v>3</v>
      </c>
      <c r="M3245">
        <v>0</v>
      </c>
      <c r="N3245">
        <v>2</v>
      </c>
      <c r="O3245">
        <v>1</v>
      </c>
      <c r="P3245">
        <v>0</v>
      </c>
      <c r="Q3245">
        <v>0</v>
      </c>
      <c r="S3245" t="str">
        <f>"20:32:07.563"</f>
        <v>20:32:07.563</v>
      </c>
      <c r="T3245" t="str">
        <f>"20:32:07.063"</f>
        <v>20:32:07.063</v>
      </c>
      <c r="U3245" t="str">
        <f t="shared" si="156"/>
        <v>AB01F4</v>
      </c>
      <c r="V3245">
        <v>0</v>
      </c>
      <c r="W3245">
        <v>0</v>
      </c>
      <c r="X3245">
        <v>2</v>
      </c>
      <c r="Z3245">
        <v>0</v>
      </c>
      <c r="AA3245">
        <v>9</v>
      </c>
      <c r="AB3245">
        <v>3</v>
      </c>
      <c r="AC3245">
        <v>0</v>
      </c>
      <c r="AD3245">
        <v>10</v>
      </c>
      <c r="AE3245">
        <v>0</v>
      </c>
      <c r="AF3245">
        <v>3</v>
      </c>
      <c r="AG3245">
        <v>2</v>
      </c>
      <c r="AH3245">
        <v>0</v>
      </c>
      <c r="AI3245" t="s">
        <v>1871</v>
      </c>
      <c r="AJ3245">
        <v>40.062052999999999</v>
      </c>
      <c r="AK3245" t="s">
        <v>1872</v>
      </c>
      <c r="AL3245">
        <v>-92.919981000000007</v>
      </c>
      <c r="AM3245">
        <v>100</v>
      </c>
      <c r="AN3245">
        <v>1300</v>
      </c>
      <c r="AO3245" t="s">
        <v>118</v>
      </c>
      <c r="AP3245">
        <v>-106</v>
      </c>
      <c r="AQ3245">
        <v>75</v>
      </c>
      <c r="AR3245">
        <v>64</v>
      </c>
      <c r="AZ3245">
        <v>1200</v>
      </c>
      <c r="BA3245">
        <v>1</v>
      </c>
      <c r="BB3245" t="str">
        <f t="shared" si="155"/>
        <v xml:space="preserve">N8080G  </v>
      </c>
      <c r="BC3245">
        <v>1</v>
      </c>
      <c r="BE3245">
        <v>0</v>
      </c>
      <c r="BF3245">
        <v>0</v>
      </c>
      <c r="BG3245">
        <v>0</v>
      </c>
      <c r="BH3245">
        <v>1350</v>
      </c>
      <c r="BI3245">
        <v>1</v>
      </c>
      <c r="BJ3245">
        <v>1</v>
      </c>
      <c r="BK3245">
        <v>1</v>
      </c>
      <c r="BL3245">
        <v>0</v>
      </c>
      <c r="BO3245">
        <v>0</v>
      </c>
      <c r="BP3245">
        <v>0</v>
      </c>
      <c r="BW3245" t="str">
        <f>"20:32:07.566"</f>
        <v>20:32:07.566</v>
      </c>
      <c r="BZ3245">
        <v>0</v>
      </c>
      <c r="CA3245">
        <v>1600</v>
      </c>
      <c r="CB3245">
        <v>224</v>
      </c>
      <c r="CD3245">
        <v>1</v>
      </c>
      <c r="CE3245">
        <v>0</v>
      </c>
      <c r="CF3245">
        <v>0</v>
      </c>
      <c r="CG3245">
        <v>1</v>
      </c>
      <c r="CH3245">
        <v>0</v>
      </c>
      <c r="CI3245">
        <v>0</v>
      </c>
      <c r="CJ3245">
        <v>0</v>
      </c>
      <c r="CK3245">
        <v>2</v>
      </c>
      <c r="CL3245">
        <v>0</v>
      </c>
      <c r="CM3245">
        <v>2</v>
      </c>
      <c r="CN3245">
        <v>0</v>
      </c>
      <c r="CO3245">
        <v>7</v>
      </c>
      <c r="CP3245" t="s">
        <v>119</v>
      </c>
      <c r="CQ3245">
        <v>180</v>
      </c>
      <c r="CR3245">
        <v>2</v>
      </c>
      <c r="CW3245">
        <v>8764164</v>
      </c>
      <c r="CY3245">
        <v>1</v>
      </c>
      <c r="CZ3245">
        <v>0</v>
      </c>
      <c r="DA3245">
        <v>1</v>
      </c>
      <c r="DB3245">
        <v>0</v>
      </c>
      <c r="DC3245">
        <v>0</v>
      </c>
      <c r="DD3245">
        <v>0</v>
      </c>
      <c r="DE3245">
        <v>0</v>
      </c>
      <c r="DF3245">
        <v>0</v>
      </c>
      <c r="DG3245">
        <v>0</v>
      </c>
      <c r="DH3245">
        <v>0</v>
      </c>
      <c r="DI3245">
        <v>0</v>
      </c>
    </row>
    <row r="3246" spans="1:113" x14ac:dyDescent="0.3">
      <c r="A3246" t="str">
        <f>"02/08/2021 20:32:05.245"</f>
        <v>02/08/2021 20:32:05.245</v>
      </c>
      <c r="C3246" t="str">
        <f t="shared" si="154"/>
        <v>FFDFD7C0</v>
      </c>
      <c r="D3246" t="s">
        <v>124</v>
      </c>
      <c r="E3246">
        <v>11</v>
      </c>
      <c r="F3246">
        <v>1011</v>
      </c>
      <c r="G3246" t="s">
        <v>590</v>
      </c>
      <c r="J3246" t="s">
        <v>125</v>
      </c>
      <c r="K3246">
        <v>0</v>
      </c>
      <c r="L3246">
        <v>3</v>
      </c>
      <c r="M3246">
        <v>0</v>
      </c>
      <c r="N3246">
        <v>2</v>
      </c>
      <c r="O3246">
        <v>1</v>
      </c>
      <c r="P3246">
        <v>0</v>
      </c>
      <c r="Q3246">
        <v>0</v>
      </c>
      <c r="S3246" t="str">
        <f>"20:32:07.563"</f>
        <v>20:32:07.563</v>
      </c>
      <c r="T3246" t="str">
        <f>"20:32:07.063"</f>
        <v>20:32:07.063</v>
      </c>
      <c r="U3246" t="str">
        <f t="shared" si="156"/>
        <v>AB01F4</v>
      </c>
      <c r="V3246">
        <v>0</v>
      </c>
      <c r="W3246">
        <v>0</v>
      </c>
      <c r="X3246">
        <v>2</v>
      </c>
      <c r="Z3246">
        <v>0</v>
      </c>
      <c r="AA3246">
        <v>9</v>
      </c>
      <c r="AB3246">
        <v>3</v>
      </c>
      <c r="AC3246">
        <v>0</v>
      </c>
      <c r="AD3246">
        <v>10</v>
      </c>
      <c r="AE3246">
        <v>0</v>
      </c>
      <c r="AF3246">
        <v>3</v>
      </c>
      <c r="AG3246">
        <v>2</v>
      </c>
      <c r="AH3246">
        <v>0</v>
      </c>
      <c r="AI3246" t="s">
        <v>1871</v>
      </c>
      <c r="AJ3246">
        <v>40.062052999999999</v>
      </c>
      <c r="AK3246" t="s">
        <v>1872</v>
      </c>
      <c r="AL3246">
        <v>-92.919981000000007</v>
      </c>
      <c r="AM3246">
        <v>100</v>
      </c>
      <c r="AN3246">
        <v>1300</v>
      </c>
      <c r="AO3246" t="s">
        <v>118</v>
      </c>
      <c r="AP3246">
        <v>-106</v>
      </c>
      <c r="AQ3246">
        <v>75</v>
      </c>
      <c r="AR3246">
        <v>64</v>
      </c>
      <c r="AZ3246">
        <v>1200</v>
      </c>
      <c r="BA3246">
        <v>1</v>
      </c>
      <c r="BB3246" t="str">
        <f t="shared" si="155"/>
        <v xml:space="preserve">N8080G  </v>
      </c>
      <c r="BC3246">
        <v>1</v>
      </c>
      <c r="BE3246">
        <v>0</v>
      </c>
      <c r="BF3246">
        <v>0</v>
      </c>
      <c r="BG3246">
        <v>0</v>
      </c>
      <c r="BH3246">
        <v>1350</v>
      </c>
      <c r="BI3246">
        <v>1</v>
      </c>
      <c r="BJ3246">
        <v>1</v>
      </c>
      <c r="BK3246">
        <v>1</v>
      </c>
      <c r="BL3246">
        <v>0</v>
      </c>
      <c r="BO3246">
        <v>0</v>
      </c>
      <c r="BP3246">
        <v>0</v>
      </c>
      <c r="BW3246" t="str">
        <f>"20:32:07.566"</f>
        <v>20:32:07.566</v>
      </c>
      <c r="BZ3246">
        <v>0</v>
      </c>
      <c r="CA3246">
        <v>1600</v>
      </c>
      <c r="CB3246">
        <v>224</v>
      </c>
      <c r="CD3246">
        <v>1</v>
      </c>
      <c r="CE3246">
        <v>0</v>
      </c>
      <c r="CF3246">
        <v>0</v>
      </c>
      <c r="CG3246">
        <v>1</v>
      </c>
      <c r="CH3246">
        <v>0</v>
      </c>
      <c r="CI3246">
        <v>0</v>
      </c>
      <c r="CJ3246">
        <v>0</v>
      </c>
      <c r="CK3246">
        <v>2</v>
      </c>
      <c r="CL3246">
        <v>0</v>
      </c>
      <c r="CM3246">
        <v>2</v>
      </c>
      <c r="CN3246">
        <v>0</v>
      </c>
      <c r="CO3246">
        <v>7</v>
      </c>
      <c r="CP3246" t="s">
        <v>119</v>
      </c>
      <c r="CQ3246">
        <v>180</v>
      </c>
      <c r="CR3246">
        <v>2</v>
      </c>
      <c r="CW3246">
        <v>8764164</v>
      </c>
      <c r="CY3246">
        <v>1</v>
      </c>
      <c r="CZ3246">
        <v>0</v>
      </c>
      <c r="DA3246">
        <v>1</v>
      </c>
      <c r="DB3246">
        <v>0</v>
      </c>
      <c r="DC3246">
        <v>0</v>
      </c>
      <c r="DD3246">
        <v>0</v>
      </c>
      <c r="DE3246">
        <v>0</v>
      </c>
      <c r="DF3246">
        <v>0</v>
      </c>
      <c r="DG3246">
        <v>0</v>
      </c>
      <c r="DH3246">
        <v>0</v>
      </c>
      <c r="DI3246">
        <v>0</v>
      </c>
    </row>
    <row r="3247" spans="1:113" x14ac:dyDescent="0.3">
      <c r="A3247" t="str">
        <f>"02/08/2021 20:32:06.279"</f>
        <v>02/08/2021 20:32:06.279</v>
      </c>
      <c r="C3247" t="str">
        <f t="shared" ref="C3247:C3298" si="157">"FFDFD7C0"</f>
        <v>FFDFD7C0</v>
      </c>
      <c r="D3247" t="s">
        <v>124</v>
      </c>
      <c r="E3247">
        <v>12</v>
      </c>
      <c r="F3247">
        <v>1012</v>
      </c>
      <c r="G3247" t="s">
        <v>675</v>
      </c>
      <c r="J3247" t="s">
        <v>125</v>
      </c>
      <c r="K3247">
        <v>0</v>
      </c>
      <c r="L3247">
        <v>3</v>
      </c>
      <c r="M3247">
        <v>0</v>
      </c>
      <c r="N3247">
        <v>2</v>
      </c>
      <c r="O3247">
        <v>1</v>
      </c>
      <c r="P3247">
        <v>0</v>
      </c>
      <c r="Q3247">
        <v>0</v>
      </c>
      <c r="S3247" t="str">
        <f>"20:32:08.586"</f>
        <v>20:32:08.586</v>
      </c>
      <c r="T3247" t="str">
        <f>"20:32:08.186"</f>
        <v>20:32:08.186</v>
      </c>
      <c r="U3247" t="str">
        <f t="shared" si="156"/>
        <v>AB01F4</v>
      </c>
      <c r="V3247">
        <v>0</v>
      </c>
      <c r="W3247">
        <v>0</v>
      </c>
      <c r="X3247">
        <v>2</v>
      </c>
      <c r="Z3247">
        <v>0</v>
      </c>
      <c r="AA3247">
        <v>9</v>
      </c>
      <c r="AB3247">
        <v>3</v>
      </c>
      <c r="AC3247">
        <v>0</v>
      </c>
      <c r="AD3247">
        <v>10</v>
      </c>
      <c r="AE3247">
        <v>0</v>
      </c>
      <c r="AF3247">
        <v>3</v>
      </c>
      <c r="AG3247">
        <v>2</v>
      </c>
      <c r="AH3247">
        <v>0</v>
      </c>
      <c r="AI3247" t="s">
        <v>1873</v>
      </c>
      <c r="AJ3247">
        <v>40.062418000000001</v>
      </c>
      <c r="AK3247" t="s">
        <v>1874</v>
      </c>
      <c r="AL3247">
        <v>-92.920647000000002</v>
      </c>
      <c r="AM3247">
        <v>100</v>
      </c>
      <c r="AN3247">
        <v>1300</v>
      </c>
      <c r="AO3247" t="s">
        <v>118</v>
      </c>
      <c r="AP3247">
        <v>-106</v>
      </c>
      <c r="AQ3247">
        <v>74</v>
      </c>
      <c r="AR3247">
        <v>0</v>
      </c>
      <c r="AZ3247">
        <v>1200</v>
      </c>
      <c r="BA3247">
        <v>1</v>
      </c>
      <c r="BB3247" t="str">
        <f t="shared" ref="BB3247:BB3310" si="158">"N8080G  "</f>
        <v xml:space="preserve">N8080G  </v>
      </c>
      <c r="BC3247">
        <v>1</v>
      </c>
      <c r="BE3247">
        <v>0</v>
      </c>
      <c r="BF3247">
        <v>0</v>
      </c>
      <c r="BG3247">
        <v>0</v>
      </c>
      <c r="BH3247">
        <v>1350</v>
      </c>
      <c r="BI3247">
        <v>1</v>
      </c>
      <c r="BJ3247">
        <v>1</v>
      </c>
      <c r="BK3247">
        <v>1</v>
      </c>
      <c r="BL3247">
        <v>0</v>
      </c>
      <c r="BO3247">
        <v>0</v>
      </c>
      <c r="BP3247">
        <v>0</v>
      </c>
      <c r="BW3247" t="str">
        <f>"20:32:08.586"</f>
        <v>20:32:08.586</v>
      </c>
      <c r="BZ3247">
        <v>0</v>
      </c>
      <c r="CA3247">
        <v>1600</v>
      </c>
      <c r="CB3247">
        <v>224</v>
      </c>
      <c r="CD3247">
        <v>1</v>
      </c>
      <c r="CE3247">
        <v>0</v>
      </c>
      <c r="CF3247">
        <v>0</v>
      </c>
      <c r="CG3247">
        <v>1</v>
      </c>
      <c r="CH3247">
        <v>0</v>
      </c>
      <c r="CI3247">
        <v>0</v>
      </c>
      <c r="CJ3247">
        <v>0</v>
      </c>
      <c r="CK3247">
        <v>2</v>
      </c>
      <c r="CL3247">
        <v>0</v>
      </c>
      <c r="CM3247">
        <v>2</v>
      </c>
      <c r="CN3247">
        <v>0</v>
      </c>
      <c r="CO3247">
        <v>7</v>
      </c>
      <c r="CP3247" t="s">
        <v>119</v>
      </c>
      <c r="CQ3247">
        <v>180</v>
      </c>
      <c r="CR3247">
        <v>3</v>
      </c>
      <c r="CW3247">
        <v>1109641</v>
      </c>
      <c r="CY3247">
        <v>1</v>
      </c>
      <c r="CZ3247">
        <v>0</v>
      </c>
      <c r="DA3247">
        <v>0</v>
      </c>
      <c r="DB3247">
        <v>0</v>
      </c>
      <c r="DC3247">
        <v>0</v>
      </c>
      <c r="DD3247">
        <v>0</v>
      </c>
      <c r="DE3247">
        <v>0</v>
      </c>
      <c r="DF3247">
        <v>0</v>
      </c>
      <c r="DG3247">
        <v>0</v>
      </c>
      <c r="DH3247">
        <v>0</v>
      </c>
      <c r="DI3247">
        <v>0</v>
      </c>
    </row>
    <row r="3248" spans="1:113" x14ac:dyDescent="0.3">
      <c r="A3248" t="str">
        <f>"02/08/2021 20:32:06.279"</f>
        <v>02/08/2021 20:32:06.279</v>
      </c>
      <c r="C3248" t="str">
        <f t="shared" si="157"/>
        <v>FFDFD7C0</v>
      </c>
      <c r="D3248" t="s">
        <v>124</v>
      </c>
      <c r="E3248">
        <v>11</v>
      </c>
      <c r="F3248">
        <v>1011</v>
      </c>
      <c r="G3248" t="s">
        <v>590</v>
      </c>
      <c r="J3248" t="s">
        <v>125</v>
      </c>
      <c r="K3248">
        <v>0</v>
      </c>
      <c r="L3248">
        <v>3</v>
      </c>
      <c r="M3248">
        <v>0</v>
      </c>
      <c r="N3248">
        <v>2</v>
      </c>
      <c r="O3248">
        <v>1</v>
      </c>
      <c r="P3248">
        <v>0</v>
      </c>
      <c r="Q3248">
        <v>0</v>
      </c>
      <c r="S3248" t="str">
        <f>"20:32:08.586"</f>
        <v>20:32:08.586</v>
      </c>
      <c r="T3248" t="str">
        <f>"20:32:08.186"</f>
        <v>20:32:08.186</v>
      </c>
      <c r="U3248" t="str">
        <f t="shared" si="156"/>
        <v>AB01F4</v>
      </c>
      <c r="V3248">
        <v>0</v>
      </c>
      <c r="W3248">
        <v>0</v>
      </c>
      <c r="X3248">
        <v>2</v>
      </c>
      <c r="Z3248">
        <v>0</v>
      </c>
      <c r="AA3248">
        <v>9</v>
      </c>
      <c r="AB3248">
        <v>3</v>
      </c>
      <c r="AC3248">
        <v>0</v>
      </c>
      <c r="AD3248">
        <v>10</v>
      </c>
      <c r="AE3248">
        <v>0</v>
      </c>
      <c r="AF3248">
        <v>3</v>
      </c>
      <c r="AG3248">
        <v>2</v>
      </c>
      <c r="AH3248">
        <v>0</v>
      </c>
      <c r="AI3248" t="s">
        <v>1873</v>
      </c>
      <c r="AJ3248">
        <v>40.062418000000001</v>
      </c>
      <c r="AK3248" t="s">
        <v>1874</v>
      </c>
      <c r="AL3248">
        <v>-92.920647000000002</v>
      </c>
      <c r="AM3248">
        <v>100</v>
      </c>
      <c r="AN3248">
        <v>1300</v>
      </c>
      <c r="AO3248" t="s">
        <v>118</v>
      </c>
      <c r="AP3248">
        <v>-106</v>
      </c>
      <c r="AQ3248">
        <v>74</v>
      </c>
      <c r="AR3248">
        <v>0</v>
      </c>
      <c r="AZ3248">
        <v>1200</v>
      </c>
      <c r="BA3248">
        <v>1</v>
      </c>
      <c r="BB3248" t="str">
        <f t="shared" si="158"/>
        <v xml:space="preserve">N8080G  </v>
      </c>
      <c r="BC3248">
        <v>1</v>
      </c>
      <c r="BE3248">
        <v>0</v>
      </c>
      <c r="BF3248">
        <v>0</v>
      </c>
      <c r="BG3248">
        <v>0</v>
      </c>
      <c r="BH3248">
        <v>1350</v>
      </c>
      <c r="BI3248">
        <v>1</v>
      </c>
      <c r="BJ3248">
        <v>1</v>
      </c>
      <c r="BK3248">
        <v>1</v>
      </c>
      <c r="BL3248">
        <v>0</v>
      </c>
      <c r="BO3248">
        <v>0</v>
      </c>
      <c r="BP3248">
        <v>0</v>
      </c>
      <c r="BW3248" t="str">
        <f>"20:32:08.586"</f>
        <v>20:32:08.586</v>
      </c>
      <c r="BZ3248">
        <v>0</v>
      </c>
      <c r="CA3248">
        <v>1600</v>
      </c>
      <c r="CB3248">
        <v>224</v>
      </c>
      <c r="CD3248">
        <v>1</v>
      </c>
      <c r="CE3248">
        <v>0</v>
      </c>
      <c r="CF3248">
        <v>0</v>
      </c>
      <c r="CG3248">
        <v>1</v>
      </c>
      <c r="CH3248">
        <v>0</v>
      </c>
      <c r="CI3248">
        <v>0</v>
      </c>
      <c r="CJ3248">
        <v>0</v>
      </c>
      <c r="CK3248">
        <v>2</v>
      </c>
      <c r="CL3248">
        <v>0</v>
      </c>
      <c r="CM3248">
        <v>2</v>
      </c>
      <c r="CN3248">
        <v>0</v>
      </c>
      <c r="CO3248">
        <v>7</v>
      </c>
      <c r="CP3248" t="s">
        <v>119</v>
      </c>
      <c r="CQ3248">
        <v>180</v>
      </c>
      <c r="CR3248">
        <v>3</v>
      </c>
      <c r="CW3248">
        <v>1109641</v>
      </c>
      <c r="CY3248">
        <v>1</v>
      </c>
      <c r="CZ3248">
        <v>0</v>
      </c>
      <c r="DA3248">
        <v>1</v>
      </c>
      <c r="DB3248">
        <v>0</v>
      </c>
      <c r="DC3248">
        <v>0</v>
      </c>
      <c r="DD3248">
        <v>0</v>
      </c>
      <c r="DE3248">
        <v>0</v>
      </c>
      <c r="DF3248">
        <v>0</v>
      </c>
      <c r="DG3248">
        <v>0</v>
      </c>
      <c r="DH3248">
        <v>0</v>
      </c>
      <c r="DI3248">
        <v>0</v>
      </c>
    </row>
    <row r="3249" spans="1:113" x14ac:dyDescent="0.3">
      <c r="A3249" t="str">
        <f>"02/08/2021 20:32:06.279"</f>
        <v>02/08/2021 20:32:06.279</v>
      </c>
      <c r="C3249" t="str">
        <f t="shared" si="157"/>
        <v>FFDFD7C0</v>
      </c>
      <c r="D3249" t="s">
        <v>124</v>
      </c>
      <c r="E3249">
        <v>13</v>
      </c>
      <c r="F3249">
        <v>1013</v>
      </c>
      <c r="G3249" t="s">
        <v>114</v>
      </c>
      <c r="J3249" t="s">
        <v>125</v>
      </c>
      <c r="K3249">
        <v>0</v>
      </c>
      <c r="L3249">
        <v>3</v>
      </c>
      <c r="M3249">
        <v>0</v>
      </c>
      <c r="N3249">
        <v>2</v>
      </c>
      <c r="O3249">
        <v>1</v>
      </c>
      <c r="P3249">
        <v>0</v>
      </c>
      <c r="Q3249">
        <v>0</v>
      </c>
      <c r="S3249" t="str">
        <f>"20:32:08.586"</f>
        <v>20:32:08.586</v>
      </c>
      <c r="T3249" t="str">
        <f>"20:32:08.186"</f>
        <v>20:32:08.186</v>
      </c>
      <c r="U3249" t="str">
        <f t="shared" si="156"/>
        <v>AB01F4</v>
      </c>
      <c r="V3249">
        <v>0</v>
      </c>
      <c r="W3249">
        <v>0</v>
      </c>
      <c r="X3249">
        <v>2</v>
      </c>
      <c r="Z3249">
        <v>0</v>
      </c>
      <c r="AA3249">
        <v>9</v>
      </c>
      <c r="AB3249">
        <v>3</v>
      </c>
      <c r="AC3249">
        <v>0</v>
      </c>
      <c r="AD3249">
        <v>10</v>
      </c>
      <c r="AE3249">
        <v>0</v>
      </c>
      <c r="AF3249">
        <v>3</v>
      </c>
      <c r="AG3249">
        <v>2</v>
      </c>
      <c r="AH3249">
        <v>0</v>
      </c>
      <c r="AI3249" t="s">
        <v>1873</v>
      </c>
      <c r="AJ3249">
        <v>40.062418000000001</v>
      </c>
      <c r="AK3249" t="s">
        <v>1874</v>
      </c>
      <c r="AL3249">
        <v>-92.920647000000002</v>
      </c>
      <c r="AM3249">
        <v>100</v>
      </c>
      <c r="AN3249">
        <v>1300</v>
      </c>
      <c r="AO3249" t="s">
        <v>118</v>
      </c>
      <c r="AP3249">
        <v>-106</v>
      </c>
      <c r="AQ3249">
        <v>74</v>
      </c>
      <c r="AR3249">
        <v>0</v>
      </c>
      <c r="AZ3249">
        <v>1200</v>
      </c>
      <c r="BA3249">
        <v>1</v>
      </c>
      <c r="BB3249" t="str">
        <f t="shared" si="158"/>
        <v xml:space="preserve">N8080G  </v>
      </c>
      <c r="BC3249">
        <v>1</v>
      </c>
      <c r="BE3249">
        <v>0</v>
      </c>
      <c r="BF3249">
        <v>0</v>
      </c>
      <c r="BG3249">
        <v>0</v>
      </c>
      <c r="BH3249">
        <v>1350</v>
      </c>
      <c r="BI3249">
        <v>1</v>
      </c>
      <c r="BJ3249">
        <v>1</v>
      </c>
      <c r="BK3249">
        <v>1</v>
      </c>
      <c r="BL3249">
        <v>0</v>
      </c>
      <c r="BO3249">
        <v>0</v>
      </c>
      <c r="BP3249">
        <v>0</v>
      </c>
      <c r="BW3249" t="str">
        <f>"20:32:08.586"</f>
        <v>20:32:08.586</v>
      </c>
      <c r="BZ3249">
        <v>0</v>
      </c>
      <c r="CA3249">
        <v>1600</v>
      </c>
      <c r="CB3249">
        <v>224</v>
      </c>
      <c r="CD3249">
        <v>1</v>
      </c>
      <c r="CE3249">
        <v>0</v>
      </c>
      <c r="CF3249">
        <v>0</v>
      </c>
      <c r="CG3249">
        <v>1</v>
      </c>
      <c r="CH3249">
        <v>0</v>
      </c>
      <c r="CI3249">
        <v>0</v>
      </c>
      <c r="CJ3249">
        <v>0</v>
      </c>
      <c r="CK3249">
        <v>2</v>
      </c>
      <c r="CL3249">
        <v>0</v>
      </c>
      <c r="CM3249">
        <v>2</v>
      </c>
      <c r="CN3249">
        <v>0</v>
      </c>
      <c r="CO3249">
        <v>7</v>
      </c>
      <c r="CP3249" t="s">
        <v>119</v>
      </c>
      <c r="CQ3249">
        <v>180</v>
      </c>
      <c r="CR3249">
        <v>3</v>
      </c>
      <c r="CW3249">
        <v>1109641</v>
      </c>
      <c r="CY3249">
        <v>1</v>
      </c>
      <c r="CZ3249">
        <v>0</v>
      </c>
      <c r="DA3249">
        <v>1</v>
      </c>
      <c r="DB3249">
        <v>0</v>
      </c>
      <c r="DC3249">
        <v>0</v>
      </c>
      <c r="DD3249">
        <v>0</v>
      </c>
      <c r="DE3249">
        <v>0</v>
      </c>
      <c r="DF3249">
        <v>0</v>
      </c>
      <c r="DG3249">
        <v>0</v>
      </c>
      <c r="DH3249">
        <v>0</v>
      </c>
      <c r="DI3249">
        <v>0</v>
      </c>
    </row>
    <row r="3250" spans="1:113" x14ac:dyDescent="0.3">
      <c r="A3250" t="str">
        <f>"02/08/2021 20:32:06.279"</f>
        <v>02/08/2021 20:32:06.279</v>
      </c>
      <c r="C3250" t="str">
        <f t="shared" si="157"/>
        <v>FFDFD7C0</v>
      </c>
      <c r="D3250" t="s">
        <v>113</v>
      </c>
      <c r="E3250">
        <v>6</v>
      </c>
      <c r="H3250">
        <v>165</v>
      </c>
      <c r="I3250" t="s">
        <v>114</v>
      </c>
      <c r="J3250" t="s">
        <v>115</v>
      </c>
      <c r="K3250">
        <v>0</v>
      </c>
      <c r="L3250">
        <v>3</v>
      </c>
      <c r="M3250">
        <v>0</v>
      </c>
      <c r="N3250">
        <v>2</v>
      </c>
      <c r="O3250">
        <v>1</v>
      </c>
      <c r="P3250">
        <v>0</v>
      </c>
      <c r="Q3250">
        <v>0</v>
      </c>
      <c r="S3250" t="str">
        <f>"20:32:08.586"</f>
        <v>20:32:08.586</v>
      </c>
      <c r="T3250" t="str">
        <f>"20:32:08.186"</f>
        <v>20:32:08.186</v>
      </c>
      <c r="U3250" t="str">
        <f t="shared" si="156"/>
        <v>AB01F4</v>
      </c>
      <c r="V3250">
        <v>0</v>
      </c>
      <c r="W3250">
        <v>0</v>
      </c>
      <c r="X3250">
        <v>2</v>
      </c>
      <c r="Z3250">
        <v>0</v>
      </c>
      <c r="AA3250">
        <v>9</v>
      </c>
      <c r="AB3250">
        <v>3</v>
      </c>
      <c r="AC3250">
        <v>0</v>
      </c>
      <c r="AD3250">
        <v>10</v>
      </c>
      <c r="AE3250">
        <v>0</v>
      </c>
      <c r="AF3250">
        <v>3</v>
      </c>
      <c r="AG3250">
        <v>2</v>
      </c>
      <c r="AH3250">
        <v>0</v>
      </c>
      <c r="AI3250" t="s">
        <v>1873</v>
      </c>
      <c r="AJ3250">
        <v>40.062418000000001</v>
      </c>
      <c r="AK3250" t="s">
        <v>1874</v>
      </c>
      <c r="AL3250">
        <v>-92.920647000000002</v>
      </c>
      <c r="AM3250">
        <v>100</v>
      </c>
      <c r="AN3250">
        <v>1300</v>
      </c>
      <c r="AO3250" t="s">
        <v>118</v>
      </c>
      <c r="AP3250">
        <v>-106</v>
      </c>
      <c r="AQ3250">
        <v>74</v>
      </c>
      <c r="AR3250">
        <v>0</v>
      </c>
      <c r="AZ3250">
        <v>1200</v>
      </c>
      <c r="BA3250">
        <v>1</v>
      </c>
      <c r="BB3250" t="str">
        <f t="shared" si="158"/>
        <v xml:space="preserve">N8080G  </v>
      </c>
      <c r="BC3250">
        <v>1</v>
      </c>
      <c r="BE3250">
        <v>0</v>
      </c>
      <c r="BF3250">
        <v>0</v>
      </c>
      <c r="BG3250">
        <v>0</v>
      </c>
      <c r="BH3250">
        <v>1350</v>
      </c>
      <c r="BI3250">
        <v>1</v>
      </c>
      <c r="BJ3250">
        <v>1</v>
      </c>
      <c r="BK3250">
        <v>1</v>
      </c>
      <c r="BL3250">
        <v>0</v>
      </c>
      <c r="BO3250">
        <v>0</v>
      </c>
      <c r="BP3250">
        <v>0</v>
      </c>
      <c r="BW3250" t="str">
        <f>"20:32:08.586"</f>
        <v>20:32:08.586</v>
      </c>
      <c r="BZ3250">
        <v>0</v>
      </c>
      <c r="CA3250">
        <v>1600</v>
      </c>
      <c r="CB3250">
        <v>224</v>
      </c>
      <c r="CD3250">
        <v>1</v>
      </c>
      <c r="CE3250">
        <v>0</v>
      </c>
      <c r="CF3250">
        <v>0</v>
      </c>
      <c r="CG3250">
        <v>1</v>
      </c>
      <c r="CH3250">
        <v>0</v>
      </c>
      <c r="CI3250">
        <v>0</v>
      </c>
      <c r="CJ3250">
        <v>0</v>
      </c>
      <c r="CK3250">
        <v>2</v>
      </c>
      <c r="CL3250">
        <v>0</v>
      </c>
      <c r="CM3250">
        <v>2</v>
      </c>
      <c r="CN3250">
        <v>0</v>
      </c>
      <c r="CO3250">
        <v>7</v>
      </c>
      <c r="CP3250" t="s">
        <v>119</v>
      </c>
      <c r="CQ3250">
        <v>180</v>
      </c>
      <c r="CR3250">
        <v>3</v>
      </c>
      <c r="CW3250">
        <v>1109641</v>
      </c>
      <c r="CY3250">
        <v>1</v>
      </c>
      <c r="CZ3250">
        <v>0</v>
      </c>
      <c r="DA3250">
        <v>1</v>
      </c>
      <c r="DB3250">
        <v>0</v>
      </c>
      <c r="DC3250">
        <v>0</v>
      </c>
      <c r="DD3250">
        <v>0</v>
      </c>
      <c r="DE3250">
        <v>0</v>
      </c>
      <c r="DF3250">
        <v>0</v>
      </c>
      <c r="DG3250">
        <v>0</v>
      </c>
      <c r="DH3250">
        <v>0</v>
      </c>
      <c r="DI3250">
        <v>0</v>
      </c>
    </row>
    <row r="3251" spans="1:113" x14ac:dyDescent="0.3">
      <c r="A3251" t="str">
        <f>"02/08/2021 20:32:07.249"</f>
        <v>02/08/2021 20:32:07.249</v>
      </c>
      <c r="C3251" t="str">
        <f t="shared" si="157"/>
        <v>FFDFD7C0</v>
      </c>
      <c r="D3251" t="s">
        <v>124</v>
      </c>
      <c r="E3251">
        <v>11</v>
      </c>
      <c r="F3251">
        <v>1011</v>
      </c>
      <c r="G3251" t="s">
        <v>590</v>
      </c>
      <c r="J3251" t="s">
        <v>125</v>
      </c>
      <c r="K3251">
        <v>0</v>
      </c>
      <c r="L3251">
        <v>3</v>
      </c>
      <c r="M3251">
        <v>0</v>
      </c>
      <c r="N3251">
        <v>2</v>
      </c>
      <c r="O3251">
        <v>1</v>
      </c>
      <c r="P3251">
        <v>0</v>
      </c>
      <c r="Q3251">
        <v>0</v>
      </c>
      <c r="S3251" t="str">
        <f>"20:32:09.594"</f>
        <v>20:32:09.594</v>
      </c>
      <c r="T3251" t="str">
        <f>"20:32:09.194"</f>
        <v>20:32:09.194</v>
      </c>
      <c r="U3251" t="str">
        <f t="shared" si="156"/>
        <v>AB01F4</v>
      </c>
      <c r="V3251">
        <v>0</v>
      </c>
      <c r="W3251">
        <v>0</v>
      </c>
      <c r="X3251">
        <v>2</v>
      </c>
      <c r="Z3251">
        <v>0</v>
      </c>
      <c r="AA3251">
        <v>9</v>
      </c>
      <c r="AB3251">
        <v>3</v>
      </c>
      <c r="AC3251">
        <v>0</v>
      </c>
      <c r="AD3251">
        <v>10</v>
      </c>
      <c r="AE3251">
        <v>0</v>
      </c>
      <c r="AF3251">
        <v>3</v>
      </c>
      <c r="AG3251">
        <v>2</v>
      </c>
      <c r="AH3251">
        <v>0</v>
      </c>
      <c r="AI3251" t="s">
        <v>1875</v>
      </c>
      <c r="AJ3251">
        <v>40.062739999999998</v>
      </c>
      <c r="AK3251" t="s">
        <v>1876</v>
      </c>
      <c r="AL3251">
        <v>-92.921268999999995</v>
      </c>
      <c r="AM3251">
        <v>100</v>
      </c>
      <c r="AN3251">
        <v>1300</v>
      </c>
      <c r="AO3251" t="s">
        <v>118</v>
      </c>
      <c r="AP3251">
        <v>-106</v>
      </c>
      <c r="AQ3251">
        <v>75</v>
      </c>
      <c r="AR3251">
        <v>-64</v>
      </c>
      <c r="AZ3251">
        <v>1200</v>
      </c>
      <c r="BA3251">
        <v>1</v>
      </c>
      <c r="BB3251" t="str">
        <f t="shared" si="158"/>
        <v xml:space="preserve">N8080G  </v>
      </c>
      <c r="BC3251">
        <v>1</v>
      </c>
      <c r="BE3251">
        <v>0</v>
      </c>
      <c r="BF3251">
        <v>0</v>
      </c>
      <c r="BG3251">
        <v>0</v>
      </c>
      <c r="BH3251">
        <v>1350</v>
      </c>
      <c r="BI3251">
        <v>1</v>
      </c>
      <c r="BJ3251">
        <v>1</v>
      </c>
      <c r="BK3251">
        <v>1</v>
      </c>
      <c r="BL3251">
        <v>0</v>
      </c>
      <c r="BO3251">
        <v>0</v>
      </c>
      <c r="BP3251">
        <v>0</v>
      </c>
      <c r="BW3251" t="str">
        <f>"20:32:09.601"</f>
        <v>20:32:09.601</v>
      </c>
      <c r="BZ3251">
        <v>0</v>
      </c>
      <c r="CA3251">
        <v>1600</v>
      </c>
      <c r="CB3251">
        <v>224</v>
      </c>
      <c r="CD3251">
        <v>1</v>
      </c>
      <c r="CE3251">
        <v>0</v>
      </c>
      <c r="CF3251">
        <v>0</v>
      </c>
      <c r="CG3251">
        <v>1</v>
      </c>
      <c r="CH3251">
        <v>0</v>
      </c>
      <c r="CI3251">
        <v>0</v>
      </c>
      <c r="CJ3251">
        <v>0</v>
      </c>
      <c r="CK3251">
        <v>2</v>
      </c>
      <c r="CL3251">
        <v>0</v>
      </c>
      <c r="CM3251">
        <v>2</v>
      </c>
      <c r="CN3251">
        <v>0</v>
      </c>
      <c r="CO3251">
        <v>7</v>
      </c>
      <c r="CP3251" t="s">
        <v>119</v>
      </c>
      <c r="CQ3251">
        <v>180</v>
      </c>
      <c r="CR3251">
        <v>2</v>
      </c>
      <c r="CW3251">
        <v>8765908</v>
      </c>
      <c r="CY3251">
        <v>1</v>
      </c>
      <c r="CZ3251">
        <v>0</v>
      </c>
      <c r="DA3251">
        <v>0</v>
      </c>
      <c r="DB3251">
        <v>0</v>
      </c>
      <c r="DC3251">
        <v>0</v>
      </c>
      <c r="DD3251">
        <v>0</v>
      </c>
      <c r="DE3251">
        <v>0</v>
      </c>
      <c r="DF3251">
        <v>0</v>
      </c>
      <c r="DG3251">
        <v>0</v>
      </c>
      <c r="DH3251">
        <v>0</v>
      </c>
      <c r="DI3251">
        <v>0</v>
      </c>
    </row>
    <row r="3252" spans="1:113" x14ac:dyDescent="0.3">
      <c r="A3252" t="str">
        <f>"02/08/2021 20:32:07.249"</f>
        <v>02/08/2021 20:32:07.249</v>
      </c>
      <c r="C3252" t="str">
        <f t="shared" si="157"/>
        <v>FFDFD7C0</v>
      </c>
      <c r="D3252" t="s">
        <v>124</v>
      </c>
      <c r="E3252">
        <v>13</v>
      </c>
      <c r="F3252">
        <v>1013</v>
      </c>
      <c r="G3252" t="s">
        <v>114</v>
      </c>
      <c r="J3252" t="s">
        <v>125</v>
      </c>
      <c r="K3252">
        <v>0</v>
      </c>
      <c r="L3252">
        <v>3</v>
      </c>
      <c r="M3252">
        <v>0</v>
      </c>
      <c r="N3252">
        <v>2</v>
      </c>
      <c r="O3252">
        <v>1</v>
      </c>
      <c r="P3252">
        <v>0</v>
      </c>
      <c r="Q3252">
        <v>0</v>
      </c>
      <c r="S3252" t="str">
        <f>"20:32:09.594"</f>
        <v>20:32:09.594</v>
      </c>
      <c r="T3252" t="str">
        <f>"20:32:09.194"</f>
        <v>20:32:09.194</v>
      </c>
      <c r="U3252" t="str">
        <f t="shared" si="156"/>
        <v>AB01F4</v>
      </c>
      <c r="V3252">
        <v>0</v>
      </c>
      <c r="W3252">
        <v>0</v>
      </c>
      <c r="X3252">
        <v>2</v>
      </c>
      <c r="Z3252">
        <v>0</v>
      </c>
      <c r="AA3252">
        <v>9</v>
      </c>
      <c r="AB3252">
        <v>3</v>
      </c>
      <c r="AC3252">
        <v>0</v>
      </c>
      <c r="AD3252">
        <v>10</v>
      </c>
      <c r="AE3252">
        <v>0</v>
      </c>
      <c r="AF3252">
        <v>3</v>
      </c>
      <c r="AG3252">
        <v>2</v>
      </c>
      <c r="AH3252">
        <v>0</v>
      </c>
      <c r="AI3252" t="s">
        <v>1875</v>
      </c>
      <c r="AJ3252">
        <v>40.062739999999998</v>
      </c>
      <c r="AK3252" t="s">
        <v>1876</v>
      </c>
      <c r="AL3252">
        <v>-92.921268999999995</v>
      </c>
      <c r="AM3252">
        <v>100</v>
      </c>
      <c r="AN3252">
        <v>1300</v>
      </c>
      <c r="AO3252" t="s">
        <v>118</v>
      </c>
      <c r="AP3252">
        <v>-106</v>
      </c>
      <c r="AQ3252">
        <v>75</v>
      </c>
      <c r="AR3252">
        <v>-64</v>
      </c>
      <c r="AZ3252">
        <v>1200</v>
      </c>
      <c r="BA3252">
        <v>1</v>
      </c>
      <c r="BB3252" t="str">
        <f t="shared" si="158"/>
        <v xml:space="preserve">N8080G  </v>
      </c>
      <c r="BC3252">
        <v>1</v>
      </c>
      <c r="BE3252">
        <v>0</v>
      </c>
      <c r="BF3252">
        <v>0</v>
      </c>
      <c r="BG3252">
        <v>0</v>
      </c>
      <c r="BH3252">
        <v>1350</v>
      </c>
      <c r="BI3252">
        <v>1</v>
      </c>
      <c r="BJ3252">
        <v>1</v>
      </c>
      <c r="BK3252">
        <v>1</v>
      </c>
      <c r="BL3252">
        <v>0</v>
      </c>
      <c r="BO3252">
        <v>0</v>
      </c>
      <c r="BP3252">
        <v>0</v>
      </c>
      <c r="BW3252" t="str">
        <f>"20:32:09.601"</f>
        <v>20:32:09.601</v>
      </c>
      <c r="BZ3252">
        <v>0</v>
      </c>
      <c r="CA3252">
        <v>1600</v>
      </c>
      <c r="CB3252">
        <v>224</v>
      </c>
      <c r="CD3252">
        <v>1</v>
      </c>
      <c r="CE3252">
        <v>0</v>
      </c>
      <c r="CF3252">
        <v>0</v>
      </c>
      <c r="CG3252">
        <v>1</v>
      </c>
      <c r="CH3252">
        <v>0</v>
      </c>
      <c r="CI3252">
        <v>0</v>
      </c>
      <c r="CJ3252">
        <v>0</v>
      </c>
      <c r="CK3252">
        <v>2</v>
      </c>
      <c r="CL3252">
        <v>0</v>
      </c>
      <c r="CM3252">
        <v>2</v>
      </c>
      <c r="CN3252">
        <v>0</v>
      </c>
      <c r="CO3252">
        <v>7</v>
      </c>
      <c r="CP3252" t="s">
        <v>119</v>
      </c>
      <c r="CQ3252">
        <v>180</v>
      </c>
      <c r="CR3252">
        <v>2</v>
      </c>
      <c r="CW3252">
        <v>8765908</v>
      </c>
      <c r="CY3252">
        <v>1</v>
      </c>
      <c r="CZ3252">
        <v>0</v>
      </c>
      <c r="DA3252">
        <v>1</v>
      </c>
      <c r="DB3252">
        <v>0</v>
      </c>
      <c r="DC3252">
        <v>0</v>
      </c>
      <c r="DD3252">
        <v>0</v>
      </c>
      <c r="DE3252">
        <v>0</v>
      </c>
      <c r="DF3252">
        <v>0</v>
      </c>
      <c r="DG3252">
        <v>0</v>
      </c>
      <c r="DH3252">
        <v>0</v>
      </c>
      <c r="DI3252">
        <v>0</v>
      </c>
    </row>
    <row r="3253" spans="1:113" x14ac:dyDescent="0.3">
      <c r="A3253" t="str">
        <f>"02/08/2021 20:32:07.249"</f>
        <v>02/08/2021 20:32:07.249</v>
      </c>
      <c r="C3253" t="str">
        <f t="shared" si="157"/>
        <v>FFDFD7C0</v>
      </c>
      <c r="D3253" t="s">
        <v>113</v>
      </c>
      <c r="E3253">
        <v>6</v>
      </c>
      <c r="H3253">
        <v>165</v>
      </c>
      <c r="I3253" t="s">
        <v>114</v>
      </c>
      <c r="J3253" t="s">
        <v>115</v>
      </c>
      <c r="K3253">
        <v>0</v>
      </c>
      <c r="L3253">
        <v>3</v>
      </c>
      <c r="M3253">
        <v>0</v>
      </c>
      <c r="N3253">
        <v>2</v>
      </c>
      <c r="O3253">
        <v>1</v>
      </c>
      <c r="P3253">
        <v>0</v>
      </c>
      <c r="Q3253">
        <v>0</v>
      </c>
      <c r="S3253" t="str">
        <f>"20:32:09.594"</f>
        <v>20:32:09.594</v>
      </c>
      <c r="T3253" t="str">
        <f>"20:32:09.194"</f>
        <v>20:32:09.194</v>
      </c>
      <c r="U3253" t="str">
        <f t="shared" si="156"/>
        <v>AB01F4</v>
      </c>
      <c r="V3253">
        <v>0</v>
      </c>
      <c r="W3253">
        <v>0</v>
      </c>
      <c r="X3253">
        <v>2</v>
      </c>
      <c r="Z3253">
        <v>0</v>
      </c>
      <c r="AA3253">
        <v>9</v>
      </c>
      <c r="AB3253">
        <v>3</v>
      </c>
      <c r="AC3253">
        <v>0</v>
      </c>
      <c r="AD3253">
        <v>10</v>
      </c>
      <c r="AE3253">
        <v>0</v>
      </c>
      <c r="AF3253">
        <v>3</v>
      </c>
      <c r="AG3253">
        <v>2</v>
      </c>
      <c r="AH3253">
        <v>0</v>
      </c>
      <c r="AI3253" t="s">
        <v>1875</v>
      </c>
      <c r="AJ3253">
        <v>40.062739999999998</v>
      </c>
      <c r="AK3253" t="s">
        <v>1876</v>
      </c>
      <c r="AL3253">
        <v>-92.921268999999995</v>
      </c>
      <c r="AM3253">
        <v>100</v>
      </c>
      <c r="AN3253">
        <v>1300</v>
      </c>
      <c r="AO3253" t="s">
        <v>118</v>
      </c>
      <c r="AP3253">
        <v>-106</v>
      </c>
      <c r="AQ3253">
        <v>75</v>
      </c>
      <c r="AR3253">
        <v>-64</v>
      </c>
      <c r="AZ3253">
        <v>1200</v>
      </c>
      <c r="BA3253">
        <v>1</v>
      </c>
      <c r="BB3253" t="str">
        <f t="shared" si="158"/>
        <v xml:space="preserve">N8080G  </v>
      </c>
      <c r="BC3253">
        <v>1</v>
      </c>
      <c r="BE3253">
        <v>0</v>
      </c>
      <c r="BF3253">
        <v>0</v>
      </c>
      <c r="BG3253">
        <v>0</v>
      </c>
      <c r="BH3253">
        <v>1350</v>
      </c>
      <c r="BI3253">
        <v>1</v>
      </c>
      <c r="BJ3253">
        <v>1</v>
      </c>
      <c r="BK3253">
        <v>1</v>
      </c>
      <c r="BL3253">
        <v>0</v>
      </c>
      <c r="BO3253">
        <v>0</v>
      </c>
      <c r="BP3253">
        <v>0</v>
      </c>
      <c r="BW3253" t="str">
        <f>"20:32:09.601"</f>
        <v>20:32:09.601</v>
      </c>
      <c r="BZ3253">
        <v>0</v>
      </c>
      <c r="CA3253">
        <v>1600</v>
      </c>
      <c r="CB3253">
        <v>224</v>
      </c>
      <c r="CD3253">
        <v>1</v>
      </c>
      <c r="CE3253">
        <v>0</v>
      </c>
      <c r="CF3253">
        <v>0</v>
      </c>
      <c r="CG3253">
        <v>1</v>
      </c>
      <c r="CH3253">
        <v>0</v>
      </c>
      <c r="CI3253">
        <v>0</v>
      </c>
      <c r="CJ3253">
        <v>0</v>
      </c>
      <c r="CK3253">
        <v>2</v>
      </c>
      <c r="CL3253">
        <v>0</v>
      </c>
      <c r="CM3253">
        <v>2</v>
      </c>
      <c r="CN3253">
        <v>0</v>
      </c>
      <c r="CO3253">
        <v>7</v>
      </c>
      <c r="CP3253" t="s">
        <v>119</v>
      </c>
      <c r="CQ3253">
        <v>180</v>
      </c>
      <c r="CR3253">
        <v>2</v>
      </c>
      <c r="CW3253">
        <v>8765908</v>
      </c>
      <c r="CY3253">
        <v>1</v>
      </c>
      <c r="CZ3253">
        <v>0</v>
      </c>
      <c r="DA3253">
        <v>1</v>
      </c>
      <c r="DB3253">
        <v>0</v>
      </c>
      <c r="DC3253">
        <v>0</v>
      </c>
      <c r="DD3253">
        <v>0</v>
      </c>
      <c r="DE3253">
        <v>0</v>
      </c>
      <c r="DF3253">
        <v>0</v>
      </c>
      <c r="DG3253">
        <v>0</v>
      </c>
      <c r="DH3253">
        <v>0</v>
      </c>
      <c r="DI3253">
        <v>0</v>
      </c>
    </row>
    <row r="3254" spans="1:113" x14ac:dyDescent="0.3">
      <c r="A3254" t="str">
        <f>"02/08/2021 20:32:07.249"</f>
        <v>02/08/2021 20:32:07.249</v>
      </c>
      <c r="C3254" t="str">
        <f t="shared" si="157"/>
        <v>FFDFD7C0</v>
      </c>
      <c r="D3254" t="s">
        <v>124</v>
      </c>
      <c r="E3254">
        <v>12</v>
      </c>
      <c r="F3254">
        <v>1012</v>
      </c>
      <c r="G3254" t="s">
        <v>675</v>
      </c>
      <c r="J3254" t="s">
        <v>125</v>
      </c>
      <c r="K3254">
        <v>0</v>
      </c>
      <c r="L3254">
        <v>3</v>
      </c>
      <c r="M3254">
        <v>0</v>
      </c>
      <c r="N3254">
        <v>2</v>
      </c>
      <c r="O3254">
        <v>1</v>
      </c>
      <c r="P3254">
        <v>0</v>
      </c>
      <c r="Q3254">
        <v>0</v>
      </c>
      <c r="S3254" t="str">
        <f>"20:32:09.594"</f>
        <v>20:32:09.594</v>
      </c>
      <c r="T3254" t="str">
        <f>"20:32:09.194"</f>
        <v>20:32:09.194</v>
      </c>
      <c r="U3254" t="str">
        <f t="shared" si="156"/>
        <v>AB01F4</v>
      </c>
      <c r="V3254">
        <v>0</v>
      </c>
      <c r="W3254">
        <v>0</v>
      </c>
      <c r="X3254">
        <v>2</v>
      </c>
      <c r="Z3254">
        <v>0</v>
      </c>
      <c r="AA3254">
        <v>9</v>
      </c>
      <c r="AB3254">
        <v>3</v>
      </c>
      <c r="AC3254">
        <v>0</v>
      </c>
      <c r="AD3254">
        <v>10</v>
      </c>
      <c r="AE3254">
        <v>0</v>
      </c>
      <c r="AF3254">
        <v>3</v>
      </c>
      <c r="AG3254">
        <v>2</v>
      </c>
      <c r="AH3254">
        <v>0</v>
      </c>
      <c r="AI3254" t="s">
        <v>1875</v>
      </c>
      <c r="AJ3254">
        <v>40.062739999999998</v>
      </c>
      <c r="AK3254" t="s">
        <v>1876</v>
      </c>
      <c r="AL3254">
        <v>-92.921268999999995</v>
      </c>
      <c r="AM3254">
        <v>100</v>
      </c>
      <c r="AN3254">
        <v>1300</v>
      </c>
      <c r="AO3254" t="s">
        <v>118</v>
      </c>
      <c r="AP3254">
        <v>-106</v>
      </c>
      <c r="AQ3254">
        <v>75</v>
      </c>
      <c r="AR3254">
        <v>-64</v>
      </c>
      <c r="AZ3254">
        <v>1200</v>
      </c>
      <c r="BA3254">
        <v>1</v>
      </c>
      <c r="BB3254" t="str">
        <f t="shared" si="158"/>
        <v xml:space="preserve">N8080G  </v>
      </c>
      <c r="BC3254">
        <v>1</v>
      </c>
      <c r="BE3254">
        <v>0</v>
      </c>
      <c r="BF3254">
        <v>0</v>
      </c>
      <c r="BG3254">
        <v>0</v>
      </c>
      <c r="BH3254">
        <v>1350</v>
      </c>
      <c r="BI3254">
        <v>1</v>
      </c>
      <c r="BJ3254">
        <v>1</v>
      </c>
      <c r="BK3254">
        <v>1</v>
      </c>
      <c r="BL3254">
        <v>0</v>
      </c>
      <c r="BO3254">
        <v>0</v>
      </c>
      <c r="BP3254">
        <v>0</v>
      </c>
      <c r="BW3254" t="str">
        <f>"20:32:09.601"</f>
        <v>20:32:09.601</v>
      </c>
      <c r="BZ3254">
        <v>0</v>
      </c>
      <c r="CA3254">
        <v>1600</v>
      </c>
      <c r="CB3254">
        <v>224</v>
      </c>
      <c r="CD3254">
        <v>1</v>
      </c>
      <c r="CE3254">
        <v>0</v>
      </c>
      <c r="CF3254">
        <v>0</v>
      </c>
      <c r="CG3254">
        <v>1</v>
      </c>
      <c r="CH3254">
        <v>0</v>
      </c>
      <c r="CI3254">
        <v>0</v>
      </c>
      <c r="CJ3254">
        <v>0</v>
      </c>
      <c r="CK3254">
        <v>2</v>
      </c>
      <c r="CL3254">
        <v>0</v>
      </c>
      <c r="CM3254">
        <v>2</v>
      </c>
      <c r="CN3254">
        <v>0</v>
      </c>
      <c r="CO3254">
        <v>7</v>
      </c>
      <c r="CP3254" t="s">
        <v>119</v>
      </c>
      <c r="CQ3254">
        <v>180</v>
      </c>
      <c r="CR3254">
        <v>2</v>
      </c>
      <c r="CW3254">
        <v>8765908</v>
      </c>
      <c r="CY3254">
        <v>1</v>
      </c>
      <c r="CZ3254">
        <v>0</v>
      </c>
      <c r="DA3254">
        <v>1</v>
      </c>
      <c r="DB3254">
        <v>0</v>
      </c>
      <c r="DC3254">
        <v>0</v>
      </c>
      <c r="DD3254">
        <v>0</v>
      </c>
      <c r="DE3254">
        <v>0</v>
      </c>
      <c r="DF3254">
        <v>0</v>
      </c>
      <c r="DG3254">
        <v>0</v>
      </c>
      <c r="DH3254">
        <v>0</v>
      </c>
      <c r="DI3254">
        <v>0</v>
      </c>
    </row>
    <row r="3255" spans="1:113" x14ac:dyDescent="0.3">
      <c r="A3255" t="str">
        <f>"02/08/2021 20:32:09.114"</f>
        <v>02/08/2021 20:32:09.114</v>
      </c>
      <c r="C3255" t="str">
        <f t="shared" si="157"/>
        <v>FFDFD7C0</v>
      </c>
      <c r="D3255" t="s">
        <v>124</v>
      </c>
      <c r="E3255">
        <v>11</v>
      </c>
      <c r="F3255">
        <v>1011</v>
      </c>
      <c r="G3255" t="s">
        <v>590</v>
      </c>
      <c r="J3255" t="s">
        <v>125</v>
      </c>
      <c r="K3255">
        <v>0</v>
      </c>
      <c r="L3255">
        <v>3</v>
      </c>
      <c r="M3255">
        <v>0</v>
      </c>
      <c r="N3255">
        <v>2</v>
      </c>
      <c r="O3255">
        <v>1</v>
      </c>
      <c r="P3255">
        <v>0</v>
      </c>
      <c r="Q3255">
        <v>0</v>
      </c>
      <c r="S3255" t="str">
        <f>"20:32:11.453"</f>
        <v>20:32:11.453</v>
      </c>
      <c r="T3255" t="str">
        <f>"20:32:11.053"</f>
        <v>20:32:11.053</v>
      </c>
      <c r="U3255" t="str">
        <f t="shared" si="156"/>
        <v>AB01F4</v>
      </c>
      <c r="V3255">
        <v>0</v>
      </c>
      <c r="W3255">
        <v>0</v>
      </c>
      <c r="X3255">
        <v>2</v>
      </c>
      <c r="Z3255">
        <v>0</v>
      </c>
      <c r="AA3255">
        <v>9</v>
      </c>
      <c r="AB3255">
        <v>3</v>
      </c>
      <c r="AC3255">
        <v>0</v>
      </c>
      <c r="AD3255">
        <v>10</v>
      </c>
      <c r="AE3255">
        <v>0</v>
      </c>
      <c r="AF3255">
        <v>3</v>
      </c>
      <c r="AG3255">
        <v>2</v>
      </c>
      <c r="AH3255">
        <v>0</v>
      </c>
      <c r="AI3255" t="s">
        <v>1877</v>
      </c>
      <c r="AJ3255">
        <v>40.063405000000003</v>
      </c>
      <c r="AK3255" t="s">
        <v>1878</v>
      </c>
      <c r="AL3255">
        <v>-92.922492000000005</v>
      </c>
      <c r="AM3255">
        <v>100</v>
      </c>
      <c r="AN3255">
        <v>1300</v>
      </c>
      <c r="AO3255" t="s">
        <v>118</v>
      </c>
      <c r="AP3255">
        <v>-106</v>
      </c>
      <c r="AQ3255">
        <v>75</v>
      </c>
      <c r="AR3255">
        <v>-64</v>
      </c>
      <c r="AZ3255">
        <v>1200</v>
      </c>
      <c r="BA3255">
        <v>1</v>
      </c>
      <c r="BB3255" t="str">
        <f t="shared" si="158"/>
        <v xml:space="preserve">N8080G  </v>
      </c>
      <c r="BC3255">
        <v>1</v>
      </c>
      <c r="BE3255">
        <v>0</v>
      </c>
      <c r="BF3255">
        <v>0</v>
      </c>
      <c r="BG3255">
        <v>0</v>
      </c>
      <c r="BH3255">
        <v>1350</v>
      </c>
      <c r="BI3255">
        <v>1</v>
      </c>
      <c r="BJ3255">
        <v>1</v>
      </c>
      <c r="BK3255">
        <v>1</v>
      </c>
      <c r="BL3255">
        <v>0</v>
      </c>
      <c r="BO3255">
        <v>0</v>
      </c>
      <c r="BP3255">
        <v>0</v>
      </c>
      <c r="BW3255" t="str">
        <f>"20:32:11.459"</f>
        <v>20:32:11.459</v>
      </c>
      <c r="BZ3255">
        <v>0</v>
      </c>
      <c r="CA3255">
        <v>1600</v>
      </c>
      <c r="CB3255">
        <v>224</v>
      </c>
      <c r="CD3255">
        <v>1</v>
      </c>
      <c r="CE3255">
        <v>0</v>
      </c>
      <c r="CF3255">
        <v>0</v>
      </c>
      <c r="CG3255">
        <v>1</v>
      </c>
      <c r="CH3255">
        <v>0</v>
      </c>
      <c r="CI3255">
        <v>0</v>
      </c>
      <c r="CJ3255">
        <v>0</v>
      </c>
      <c r="CK3255">
        <v>2</v>
      </c>
      <c r="CL3255">
        <v>0</v>
      </c>
      <c r="CM3255">
        <v>2</v>
      </c>
      <c r="CN3255">
        <v>0</v>
      </c>
      <c r="CO3255">
        <v>7</v>
      </c>
      <c r="CP3255" t="s">
        <v>119</v>
      </c>
      <c r="CQ3255">
        <v>180</v>
      </c>
      <c r="CR3255">
        <v>2</v>
      </c>
      <c r="CW3255">
        <v>8767441</v>
      </c>
      <c r="CY3255">
        <v>1</v>
      </c>
      <c r="CZ3255">
        <v>0</v>
      </c>
      <c r="DA3255">
        <v>0</v>
      </c>
      <c r="DB3255">
        <v>0</v>
      </c>
      <c r="DC3255">
        <v>0</v>
      </c>
      <c r="DD3255">
        <v>0</v>
      </c>
      <c r="DE3255">
        <v>0</v>
      </c>
      <c r="DF3255">
        <v>0</v>
      </c>
      <c r="DG3255">
        <v>0</v>
      </c>
      <c r="DH3255">
        <v>0</v>
      </c>
      <c r="DI3255">
        <v>0</v>
      </c>
    </row>
    <row r="3256" spans="1:113" x14ac:dyDescent="0.3">
      <c r="A3256" t="str">
        <f>"02/08/2021 20:32:09.114"</f>
        <v>02/08/2021 20:32:09.114</v>
      </c>
      <c r="C3256" t="str">
        <f t="shared" si="157"/>
        <v>FFDFD7C0</v>
      </c>
      <c r="D3256" t="s">
        <v>124</v>
      </c>
      <c r="E3256">
        <v>13</v>
      </c>
      <c r="F3256">
        <v>1013</v>
      </c>
      <c r="G3256" t="s">
        <v>114</v>
      </c>
      <c r="J3256" t="s">
        <v>125</v>
      </c>
      <c r="K3256">
        <v>0</v>
      </c>
      <c r="L3256">
        <v>3</v>
      </c>
      <c r="M3256">
        <v>0</v>
      </c>
      <c r="N3256">
        <v>2</v>
      </c>
      <c r="O3256">
        <v>1</v>
      </c>
      <c r="P3256">
        <v>0</v>
      </c>
      <c r="Q3256">
        <v>0</v>
      </c>
      <c r="S3256" t="str">
        <f>"20:32:11.453"</f>
        <v>20:32:11.453</v>
      </c>
      <c r="T3256" t="str">
        <f>"20:32:11.053"</f>
        <v>20:32:11.053</v>
      </c>
      <c r="U3256" t="str">
        <f t="shared" si="156"/>
        <v>AB01F4</v>
      </c>
      <c r="V3256">
        <v>0</v>
      </c>
      <c r="W3256">
        <v>0</v>
      </c>
      <c r="X3256">
        <v>2</v>
      </c>
      <c r="Z3256">
        <v>0</v>
      </c>
      <c r="AA3256">
        <v>9</v>
      </c>
      <c r="AB3256">
        <v>3</v>
      </c>
      <c r="AC3256">
        <v>0</v>
      </c>
      <c r="AD3256">
        <v>10</v>
      </c>
      <c r="AE3256">
        <v>0</v>
      </c>
      <c r="AF3256">
        <v>3</v>
      </c>
      <c r="AG3256">
        <v>2</v>
      </c>
      <c r="AH3256">
        <v>0</v>
      </c>
      <c r="AI3256" t="s">
        <v>1877</v>
      </c>
      <c r="AJ3256">
        <v>40.063405000000003</v>
      </c>
      <c r="AK3256" t="s">
        <v>1878</v>
      </c>
      <c r="AL3256">
        <v>-92.922492000000005</v>
      </c>
      <c r="AM3256">
        <v>100</v>
      </c>
      <c r="AN3256">
        <v>1300</v>
      </c>
      <c r="AO3256" t="s">
        <v>118</v>
      </c>
      <c r="AP3256">
        <v>-106</v>
      </c>
      <c r="AQ3256">
        <v>75</v>
      </c>
      <c r="AR3256">
        <v>-64</v>
      </c>
      <c r="AZ3256">
        <v>1200</v>
      </c>
      <c r="BA3256">
        <v>1</v>
      </c>
      <c r="BB3256" t="str">
        <f t="shared" si="158"/>
        <v xml:space="preserve">N8080G  </v>
      </c>
      <c r="BC3256">
        <v>1</v>
      </c>
      <c r="BE3256">
        <v>0</v>
      </c>
      <c r="BF3256">
        <v>0</v>
      </c>
      <c r="BG3256">
        <v>0</v>
      </c>
      <c r="BH3256">
        <v>1350</v>
      </c>
      <c r="BI3256">
        <v>1</v>
      </c>
      <c r="BJ3256">
        <v>1</v>
      </c>
      <c r="BK3256">
        <v>1</v>
      </c>
      <c r="BL3256">
        <v>0</v>
      </c>
      <c r="BO3256">
        <v>0</v>
      </c>
      <c r="BP3256">
        <v>0</v>
      </c>
      <c r="BW3256" t="str">
        <f>"20:32:11.459"</f>
        <v>20:32:11.459</v>
      </c>
      <c r="BZ3256">
        <v>0</v>
      </c>
      <c r="CA3256">
        <v>1600</v>
      </c>
      <c r="CB3256">
        <v>224</v>
      </c>
      <c r="CD3256">
        <v>1</v>
      </c>
      <c r="CE3256">
        <v>0</v>
      </c>
      <c r="CF3256">
        <v>0</v>
      </c>
      <c r="CG3256">
        <v>1</v>
      </c>
      <c r="CH3256">
        <v>0</v>
      </c>
      <c r="CI3256">
        <v>0</v>
      </c>
      <c r="CJ3256">
        <v>0</v>
      </c>
      <c r="CK3256">
        <v>2</v>
      </c>
      <c r="CL3256">
        <v>0</v>
      </c>
      <c r="CM3256">
        <v>2</v>
      </c>
      <c r="CN3256">
        <v>0</v>
      </c>
      <c r="CO3256">
        <v>7</v>
      </c>
      <c r="CP3256" t="s">
        <v>119</v>
      </c>
      <c r="CQ3256">
        <v>180</v>
      </c>
      <c r="CR3256">
        <v>2</v>
      </c>
      <c r="CW3256">
        <v>8767441</v>
      </c>
      <c r="CY3256">
        <v>1</v>
      </c>
      <c r="CZ3256">
        <v>0</v>
      </c>
      <c r="DA3256">
        <v>1</v>
      </c>
      <c r="DB3256">
        <v>0</v>
      </c>
      <c r="DC3256">
        <v>0</v>
      </c>
      <c r="DD3256">
        <v>0</v>
      </c>
      <c r="DE3256">
        <v>0</v>
      </c>
      <c r="DF3256">
        <v>0</v>
      </c>
      <c r="DG3256">
        <v>0</v>
      </c>
      <c r="DH3256">
        <v>0</v>
      </c>
      <c r="DI3256">
        <v>0</v>
      </c>
    </row>
    <row r="3257" spans="1:113" x14ac:dyDescent="0.3">
      <c r="A3257" t="str">
        <f>"02/08/2021 20:32:09.114"</f>
        <v>02/08/2021 20:32:09.114</v>
      </c>
      <c r="C3257" t="str">
        <f t="shared" si="157"/>
        <v>FFDFD7C0</v>
      </c>
      <c r="D3257" t="s">
        <v>124</v>
      </c>
      <c r="E3257">
        <v>12</v>
      </c>
      <c r="F3257">
        <v>1012</v>
      </c>
      <c r="G3257" t="s">
        <v>675</v>
      </c>
      <c r="J3257" t="s">
        <v>125</v>
      </c>
      <c r="K3257">
        <v>0</v>
      </c>
      <c r="L3257">
        <v>3</v>
      </c>
      <c r="M3257">
        <v>0</v>
      </c>
      <c r="N3257">
        <v>2</v>
      </c>
      <c r="O3257">
        <v>1</v>
      </c>
      <c r="P3257">
        <v>0</v>
      </c>
      <c r="Q3257">
        <v>0</v>
      </c>
      <c r="S3257" t="str">
        <f>"20:32:11.453"</f>
        <v>20:32:11.453</v>
      </c>
      <c r="T3257" t="str">
        <f>"20:32:11.053"</f>
        <v>20:32:11.053</v>
      </c>
      <c r="U3257" t="str">
        <f t="shared" si="156"/>
        <v>AB01F4</v>
      </c>
      <c r="V3257">
        <v>0</v>
      </c>
      <c r="W3257">
        <v>0</v>
      </c>
      <c r="X3257">
        <v>2</v>
      </c>
      <c r="Z3257">
        <v>0</v>
      </c>
      <c r="AA3257">
        <v>9</v>
      </c>
      <c r="AB3257">
        <v>3</v>
      </c>
      <c r="AC3257">
        <v>0</v>
      </c>
      <c r="AD3257">
        <v>10</v>
      </c>
      <c r="AE3257">
        <v>0</v>
      </c>
      <c r="AF3257">
        <v>3</v>
      </c>
      <c r="AG3257">
        <v>2</v>
      </c>
      <c r="AH3257">
        <v>0</v>
      </c>
      <c r="AI3257" t="s">
        <v>1877</v>
      </c>
      <c r="AJ3257">
        <v>40.063405000000003</v>
      </c>
      <c r="AK3257" t="s">
        <v>1878</v>
      </c>
      <c r="AL3257">
        <v>-92.922492000000005</v>
      </c>
      <c r="AM3257">
        <v>100</v>
      </c>
      <c r="AN3257">
        <v>1300</v>
      </c>
      <c r="AO3257" t="s">
        <v>118</v>
      </c>
      <c r="AP3257">
        <v>-106</v>
      </c>
      <c r="AQ3257">
        <v>75</v>
      </c>
      <c r="AR3257">
        <v>-64</v>
      </c>
      <c r="AZ3257">
        <v>1200</v>
      </c>
      <c r="BA3257">
        <v>1</v>
      </c>
      <c r="BB3257" t="str">
        <f t="shared" si="158"/>
        <v xml:space="preserve">N8080G  </v>
      </c>
      <c r="BC3257">
        <v>1</v>
      </c>
      <c r="BE3257">
        <v>0</v>
      </c>
      <c r="BF3257">
        <v>0</v>
      </c>
      <c r="BG3257">
        <v>0</v>
      </c>
      <c r="BH3257">
        <v>1350</v>
      </c>
      <c r="BI3257">
        <v>1</v>
      </c>
      <c r="BJ3257">
        <v>1</v>
      </c>
      <c r="BK3257">
        <v>1</v>
      </c>
      <c r="BL3257">
        <v>0</v>
      </c>
      <c r="BO3257">
        <v>0</v>
      </c>
      <c r="BP3257">
        <v>0</v>
      </c>
      <c r="BW3257" t="str">
        <f>"20:32:11.459"</f>
        <v>20:32:11.459</v>
      </c>
      <c r="BZ3257">
        <v>0</v>
      </c>
      <c r="CA3257">
        <v>1600</v>
      </c>
      <c r="CB3257">
        <v>224</v>
      </c>
      <c r="CD3257">
        <v>1</v>
      </c>
      <c r="CE3257">
        <v>0</v>
      </c>
      <c r="CF3257">
        <v>0</v>
      </c>
      <c r="CG3257">
        <v>1</v>
      </c>
      <c r="CH3257">
        <v>0</v>
      </c>
      <c r="CI3257">
        <v>0</v>
      </c>
      <c r="CJ3257">
        <v>0</v>
      </c>
      <c r="CK3257">
        <v>2</v>
      </c>
      <c r="CL3257">
        <v>0</v>
      </c>
      <c r="CM3257">
        <v>2</v>
      </c>
      <c r="CN3257">
        <v>0</v>
      </c>
      <c r="CO3257">
        <v>7</v>
      </c>
      <c r="CP3257" t="s">
        <v>119</v>
      </c>
      <c r="CQ3257">
        <v>180</v>
      </c>
      <c r="CR3257">
        <v>2</v>
      </c>
      <c r="CW3257">
        <v>8767441</v>
      </c>
      <c r="CY3257">
        <v>1</v>
      </c>
      <c r="CZ3257">
        <v>0</v>
      </c>
      <c r="DA3257">
        <v>1</v>
      </c>
      <c r="DB3257">
        <v>0</v>
      </c>
      <c r="DC3257">
        <v>0</v>
      </c>
      <c r="DD3257">
        <v>0</v>
      </c>
      <c r="DE3257">
        <v>0</v>
      </c>
      <c r="DF3257">
        <v>0</v>
      </c>
      <c r="DG3257">
        <v>0</v>
      </c>
      <c r="DH3257">
        <v>0</v>
      </c>
      <c r="DI3257">
        <v>0</v>
      </c>
    </row>
    <row r="3258" spans="1:113" x14ac:dyDescent="0.3">
      <c r="A3258" t="str">
        <f>"02/08/2021 20:32:09.114"</f>
        <v>02/08/2021 20:32:09.114</v>
      </c>
      <c r="C3258" t="str">
        <f t="shared" si="157"/>
        <v>FFDFD7C0</v>
      </c>
      <c r="D3258" t="s">
        <v>113</v>
      </c>
      <c r="E3258">
        <v>6</v>
      </c>
      <c r="H3258">
        <v>165</v>
      </c>
      <c r="I3258" t="s">
        <v>114</v>
      </c>
      <c r="J3258" t="s">
        <v>115</v>
      </c>
      <c r="K3258">
        <v>0</v>
      </c>
      <c r="L3258">
        <v>3</v>
      </c>
      <c r="M3258">
        <v>0</v>
      </c>
      <c r="N3258">
        <v>2</v>
      </c>
      <c r="O3258">
        <v>1</v>
      </c>
      <c r="P3258">
        <v>0</v>
      </c>
      <c r="Q3258">
        <v>0</v>
      </c>
      <c r="S3258" t="str">
        <f>"20:32:11.453"</f>
        <v>20:32:11.453</v>
      </c>
      <c r="T3258" t="str">
        <f>"20:32:11.053"</f>
        <v>20:32:11.053</v>
      </c>
      <c r="U3258" t="str">
        <f t="shared" si="156"/>
        <v>AB01F4</v>
      </c>
      <c r="V3258">
        <v>0</v>
      </c>
      <c r="W3258">
        <v>0</v>
      </c>
      <c r="X3258">
        <v>2</v>
      </c>
      <c r="Z3258">
        <v>0</v>
      </c>
      <c r="AA3258">
        <v>9</v>
      </c>
      <c r="AB3258">
        <v>3</v>
      </c>
      <c r="AC3258">
        <v>0</v>
      </c>
      <c r="AD3258">
        <v>10</v>
      </c>
      <c r="AE3258">
        <v>0</v>
      </c>
      <c r="AF3258">
        <v>3</v>
      </c>
      <c r="AG3258">
        <v>2</v>
      </c>
      <c r="AH3258">
        <v>0</v>
      </c>
      <c r="AI3258" t="s">
        <v>1877</v>
      </c>
      <c r="AJ3258">
        <v>40.063405000000003</v>
      </c>
      <c r="AK3258" t="s">
        <v>1878</v>
      </c>
      <c r="AL3258">
        <v>-92.922492000000005</v>
      </c>
      <c r="AM3258">
        <v>100</v>
      </c>
      <c r="AN3258">
        <v>1300</v>
      </c>
      <c r="AO3258" t="s">
        <v>118</v>
      </c>
      <c r="AP3258">
        <v>-106</v>
      </c>
      <c r="AQ3258">
        <v>75</v>
      </c>
      <c r="AR3258">
        <v>-64</v>
      </c>
      <c r="AZ3258">
        <v>1200</v>
      </c>
      <c r="BA3258">
        <v>1</v>
      </c>
      <c r="BB3258" t="str">
        <f t="shared" si="158"/>
        <v xml:space="preserve">N8080G  </v>
      </c>
      <c r="BC3258">
        <v>1</v>
      </c>
      <c r="BE3258">
        <v>0</v>
      </c>
      <c r="BF3258">
        <v>0</v>
      </c>
      <c r="BG3258">
        <v>0</v>
      </c>
      <c r="BH3258">
        <v>1350</v>
      </c>
      <c r="BI3258">
        <v>1</v>
      </c>
      <c r="BJ3258">
        <v>1</v>
      </c>
      <c r="BK3258">
        <v>1</v>
      </c>
      <c r="BL3258">
        <v>0</v>
      </c>
      <c r="BO3258">
        <v>0</v>
      </c>
      <c r="BP3258">
        <v>0</v>
      </c>
      <c r="BW3258" t="str">
        <f>"20:32:11.459"</f>
        <v>20:32:11.459</v>
      </c>
      <c r="BZ3258">
        <v>0</v>
      </c>
      <c r="CA3258">
        <v>1600</v>
      </c>
      <c r="CB3258">
        <v>224</v>
      </c>
      <c r="CD3258">
        <v>1</v>
      </c>
      <c r="CE3258">
        <v>0</v>
      </c>
      <c r="CF3258">
        <v>0</v>
      </c>
      <c r="CG3258">
        <v>1</v>
      </c>
      <c r="CH3258">
        <v>0</v>
      </c>
      <c r="CI3258">
        <v>0</v>
      </c>
      <c r="CJ3258">
        <v>0</v>
      </c>
      <c r="CK3258">
        <v>2</v>
      </c>
      <c r="CL3258">
        <v>0</v>
      </c>
      <c r="CM3258">
        <v>2</v>
      </c>
      <c r="CN3258">
        <v>0</v>
      </c>
      <c r="CO3258">
        <v>7</v>
      </c>
      <c r="CP3258" t="s">
        <v>119</v>
      </c>
      <c r="CQ3258">
        <v>180</v>
      </c>
      <c r="CR3258">
        <v>2</v>
      </c>
      <c r="CW3258">
        <v>8767441</v>
      </c>
      <c r="CY3258">
        <v>1</v>
      </c>
      <c r="CZ3258">
        <v>0</v>
      </c>
      <c r="DA3258">
        <v>1</v>
      </c>
      <c r="DB3258">
        <v>0</v>
      </c>
      <c r="DC3258">
        <v>0</v>
      </c>
      <c r="DD3258">
        <v>0</v>
      </c>
      <c r="DE3258">
        <v>0</v>
      </c>
      <c r="DF3258">
        <v>0</v>
      </c>
      <c r="DG3258">
        <v>0</v>
      </c>
      <c r="DH3258">
        <v>0</v>
      </c>
      <c r="DI3258">
        <v>0</v>
      </c>
    </row>
    <row r="3259" spans="1:113" x14ac:dyDescent="0.3">
      <c r="A3259" t="str">
        <f>"02/08/2021 20:32:10.209"</f>
        <v>02/08/2021 20:32:10.209</v>
      </c>
      <c r="C3259" t="str">
        <f t="shared" si="157"/>
        <v>FFDFD7C0</v>
      </c>
      <c r="D3259" t="s">
        <v>113</v>
      </c>
      <c r="E3259">
        <v>6</v>
      </c>
      <c r="H3259">
        <v>165</v>
      </c>
      <c r="I3259" t="s">
        <v>114</v>
      </c>
      <c r="J3259" t="s">
        <v>115</v>
      </c>
      <c r="K3259">
        <v>0</v>
      </c>
      <c r="L3259">
        <v>3</v>
      </c>
      <c r="M3259">
        <v>0</v>
      </c>
      <c r="N3259">
        <v>2</v>
      </c>
      <c r="O3259">
        <v>1</v>
      </c>
      <c r="P3259">
        <v>0</v>
      </c>
      <c r="Q3259">
        <v>0</v>
      </c>
      <c r="S3259" t="str">
        <f>"20:32:12.523"</f>
        <v>20:32:12.523</v>
      </c>
      <c r="T3259" t="str">
        <f>"20:32:12.023"</f>
        <v>20:32:12.023</v>
      </c>
      <c r="U3259" t="str">
        <f t="shared" si="156"/>
        <v>AB01F4</v>
      </c>
      <c r="V3259">
        <v>0</v>
      </c>
      <c r="W3259">
        <v>0</v>
      </c>
      <c r="X3259">
        <v>2</v>
      </c>
      <c r="Z3259">
        <v>0</v>
      </c>
      <c r="AA3259">
        <v>9</v>
      </c>
      <c r="AB3259">
        <v>3</v>
      </c>
      <c r="AC3259">
        <v>0</v>
      </c>
      <c r="AD3259">
        <v>10</v>
      </c>
      <c r="AE3259">
        <v>0</v>
      </c>
      <c r="AF3259">
        <v>3</v>
      </c>
      <c r="AG3259">
        <v>2</v>
      </c>
      <c r="AH3259">
        <v>0</v>
      </c>
      <c r="AI3259" t="s">
        <v>1879</v>
      </c>
      <c r="AJ3259">
        <v>40.063791000000002</v>
      </c>
      <c r="AK3259" t="s">
        <v>1880</v>
      </c>
      <c r="AL3259">
        <v>-92.923221999999996</v>
      </c>
      <c r="AM3259">
        <v>100</v>
      </c>
      <c r="AN3259">
        <v>1300</v>
      </c>
      <c r="AO3259" t="s">
        <v>118</v>
      </c>
      <c r="AP3259">
        <v>-105</v>
      </c>
      <c r="AQ3259">
        <v>76</v>
      </c>
      <c r="AR3259">
        <v>-128</v>
      </c>
      <c r="AZ3259">
        <v>1200</v>
      </c>
      <c r="BA3259">
        <v>1</v>
      </c>
      <c r="BB3259" t="str">
        <f t="shared" si="158"/>
        <v xml:space="preserve">N8080G  </v>
      </c>
      <c r="BC3259">
        <v>1</v>
      </c>
      <c r="BE3259">
        <v>0</v>
      </c>
      <c r="BF3259">
        <v>0</v>
      </c>
      <c r="BG3259">
        <v>0</v>
      </c>
      <c r="BH3259">
        <v>1350</v>
      </c>
      <c r="BI3259">
        <v>1</v>
      </c>
      <c r="BJ3259">
        <v>1</v>
      </c>
      <c r="BK3259">
        <v>1</v>
      </c>
      <c r="BL3259">
        <v>0</v>
      </c>
      <c r="BO3259">
        <v>0</v>
      </c>
      <c r="BP3259">
        <v>0</v>
      </c>
      <c r="BW3259" t="str">
        <f>"20:32:12.525"</f>
        <v>20:32:12.525</v>
      </c>
      <c r="BZ3259">
        <v>0</v>
      </c>
      <c r="CA3259">
        <v>1600</v>
      </c>
      <c r="CB3259">
        <v>224</v>
      </c>
      <c r="CD3259">
        <v>1</v>
      </c>
      <c r="CE3259">
        <v>0</v>
      </c>
      <c r="CF3259">
        <v>0</v>
      </c>
      <c r="CG3259">
        <v>1</v>
      </c>
      <c r="CH3259">
        <v>0</v>
      </c>
      <c r="CI3259">
        <v>0</v>
      </c>
      <c r="CJ3259">
        <v>0</v>
      </c>
      <c r="CK3259">
        <v>2</v>
      </c>
      <c r="CL3259">
        <v>0</v>
      </c>
      <c r="CM3259">
        <v>2</v>
      </c>
      <c r="CN3259">
        <v>0</v>
      </c>
      <c r="CO3259">
        <v>7</v>
      </c>
      <c r="CP3259" t="s">
        <v>119</v>
      </c>
      <c r="CQ3259">
        <v>180</v>
      </c>
      <c r="CR3259">
        <v>3</v>
      </c>
      <c r="CW3259">
        <v>1112765</v>
      </c>
      <c r="CY3259">
        <v>1</v>
      </c>
      <c r="CZ3259">
        <v>0</v>
      </c>
      <c r="DA3259">
        <v>0</v>
      </c>
      <c r="DB3259">
        <v>0</v>
      </c>
      <c r="DC3259">
        <v>0</v>
      </c>
      <c r="DD3259">
        <v>0</v>
      </c>
      <c r="DE3259">
        <v>0</v>
      </c>
      <c r="DF3259">
        <v>0</v>
      </c>
      <c r="DG3259">
        <v>0</v>
      </c>
      <c r="DH3259">
        <v>0</v>
      </c>
      <c r="DI3259">
        <v>0</v>
      </c>
    </row>
    <row r="3260" spans="1:113" x14ac:dyDescent="0.3">
      <c r="A3260" t="str">
        <f>"02/08/2021 20:32:10.209"</f>
        <v>02/08/2021 20:32:10.209</v>
      </c>
      <c r="C3260" t="str">
        <f t="shared" si="157"/>
        <v>FFDFD7C0</v>
      </c>
      <c r="D3260" t="s">
        <v>124</v>
      </c>
      <c r="E3260">
        <v>11</v>
      </c>
      <c r="F3260">
        <v>1011</v>
      </c>
      <c r="G3260" t="s">
        <v>590</v>
      </c>
      <c r="J3260" t="s">
        <v>125</v>
      </c>
      <c r="K3260">
        <v>0</v>
      </c>
      <c r="L3260">
        <v>3</v>
      </c>
      <c r="M3260">
        <v>0</v>
      </c>
      <c r="N3260">
        <v>2</v>
      </c>
      <c r="O3260">
        <v>1</v>
      </c>
      <c r="P3260">
        <v>0</v>
      </c>
      <c r="Q3260">
        <v>0</v>
      </c>
      <c r="S3260" t="str">
        <f>"20:32:12.523"</f>
        <v>20:32:12.523</v>
      </c>
      <c r="T3260" t="str">
        <f>"20:32:12.023"</f>
        <v>20:32:12.023</v>
      </c>
      <c r="U3260" t="str">
        <f t="shared" si="156"/>
        <v>AB01F4</v>
      </c>
      <c r="V3260">
        <v>0</v>
      </c>
      <c r="W3260">
        <v>0</v>
      </c>
      <c r="X3260">
        <v>2</v>
      </c>
      <c r="Z3260">
        <v>0</v>
      </c>
      <c r="AA3260">
        <v>9</v>
      </c>
      <c r="AB3260">
        <v>3</v>
      </c>
      <c r="AC3260">
        <v>0</v>
      </c>
      <c r="AD3260">
        <v>10</v>
      </c>
      <c r="AE3260">
        <v>0</v>
      </c>
      <c r="AF3260">
        <v>3</v>
      </c>
      <c r="AG3260">
        <v>2</v>
      </c>
      <c r="AH3260">
        <v>0</v>
      </c>
      <c r="AI3260" t="s">
        <v>1879</v>
      </c>
      <c r="AJ3260">
        <v>40.063791000000002</v>
      </c>
      <c r="AK3260" t="s">
        <v>1880</v>
      </c>
      <c r="AL3260">
        <v>-92.923221999999996</v>
      </c>
      <c r="AM3260">
        <v>100</v>
      </c>
      <c r="AN3260">
        <v>1300</v>
      </c>
      <c r="AO3260" t="s">
        <v>118</v>
      </c>
      <c r="AP3260">
        <v>-105</v>
      </c>
      <c r="AQ3260">
        <v>76</v>
      </c>
      <c r="AR3260">
        <v>-128</v>
      </c>
      <c r="AZ3260">
        <v>1200</v>
      </c>
      <c r="BA3260">
        <v>1</v>
      </c>
      <c r="BB3260" t="str">
        <f t="shared" si="158"/>
        <v xml:space="preserve">N8080G  </v>
      </c>
      <c r="BC3260">
        <v>1</v>
      </c>
      <c r="BE3260">
        <v>0</v>
      </c>
      <c r="BF3260">
        <v>0</v>
      </c>
      <c r="BG3260">
        <v>0</v>
      </c>
      <c r="BH3260">
        <v>1350</v>
      </c>
      <c r="BI3260">
        <v>1</v>
      </c>
      <c r="BJ3260">
        <v>1</v>
      </c>
      <c r="BK3260">
        <v>1</v>
      </c>
      <c r="BL3260">
        <v>0</v>
      </c>
      <c r="BO3260">
        <v>0</v>
      </c>
      <c r="BP3260">
        <v>0</v>
      </c>
      <c r="BW3260" t="str">
        <f>"20:32:12.525"</f>
        <v>20:32:12.525</v>
      </c>
      <c r="BZ3260">
        <v>0</v>
      </c>
      <c r="CA3260">
        <v>1600</v>
      </c>
      <c r="CB3260">
        <v>224</v>
      </c>
      <c r="CD3260">
        <v>1</v>
      </c>
      <c r="CE3260">
        <v>0</v>
      </c>
      <c r="CF3260">
        <v>0</v>
      </c>
      <c r="CG3260">
        <v>1</v>
      </c>
      <c r="CH3260">
        <v>0</v>
      </c>
      <c r="CI3260">
        <v>0</v>
      </c>
      <c r="CJ3260">
        <v>0</v>
      </c>
      <c r="CK3260">
        <v>2</v>
      </c>
      <c r="CL3260">
        <v>0</v>
      </c>
      <c r="CM3260">
        <v>2</v>
      </c>
      <c r="CN3260">
        <v>0</v>
      </c>
      <c r="CO3260">
        <v>7</v>
      </c>
      <c r="CP3260" t="s">
        <v>119</v>
      </c>
      <c r="CQ3260">
        <v>180</v>
      </c>
      <c r="CR3260">
        <v>3</v>
      </c>
      <c r="CW3260">
        <v>1112765</v>
      </c>
      <c r="CY3260">
        <v>1</v>
      </c>
      <c r="CZ3260">
        <v>0</v>
      </c>
      <c r="DA3260">
        <v>1</v>
      </c>
      <c r="DB3260">
        <v>0</v>
      </c>
      <c r="DC3260">
        <v>0</v>
      </c>
      <c r="DD3260">
        <v>0</v>
      </c>
      <c r="DE3260">
        <v>0</v>
      </c>
      <c r="DF3260">
        <v>0</v>
      </c>
      <c r="DG3260">
        <v>0</v>
      </c>
      <c r="DH3260">
        <v>0</v>
      </c>
      <c r="DI3260">
        <v>0</v>
      </c>
    </row>
    <row r="3261" spans="1:113" x14ac:dyDescent="0.3">
      <c r="A3261" t="str">
        <f>"02/08/2021 20:32:10.209"</f>
        <v>02/08/2021 20:32:10.209</v>
      </c>
      <c r="C3261" t="str">
        <f t="shared" si="157"/>
        <v>FFDFD7C0</v>
      </c>
      <c r="D3261" t="s">
        <v>124</v>
      </c>
      <c r="E3261">
        <v>13</v>
      </c>
      <c r="F3261">
        <v>1013</v>
      </c>
      <c r="G3261" t="s">
        <v>114</v>
      </c>
      <c r="J3261" t="s">
        <v>125</v>
      </c>
      <c r="K3261">
        <v>0</v>
      </c>
      <c r="L3261">
        <v>3</v>
      </c>
      <c r="M3261">
        <v>0</v>
      </c>
      <c r="N3261">
        <v>2</v>
      </c>
      <c r="O3261">
        <v>1</v>
      </c>
      <c r="P3261">
        <v>0</v>
      </c>
      <c r="Q3261">
        <v>0</v>
      </c>
      <c r="S3261" t="str">
        <f>"20:32:12.523"</f>
        <v>20:32:12.523</v>
      </c>
      <c r="T3261" t="str">
        <f>"20:32:12.023"</f>
        <v>20:32:12.023</v>
      </c>
      <c r="U3261" t="str">
        <f t="shared" si="156"/>
        <v>AB01F4</v>
      </c>
      <c r="V3261">
        <v>0</v>
      </c>
      <c r="W3261">
        <v>0</v>
      </c>
      <c r="X3261">
        <v>2</v>
      </c>
      <c r="Z3261">
        <v>0</v>
      </c>
      <c r="AA3261">
        <v>9</v>
      </c>
      <c r="AB3261">
        <v>3</v>
      </c>
      <c r="AC3261">
        <v>0</v>
      </c>
      <c r="AD3261">
        <v>10</v>
      </c>
      <c r="AE3261">
        <v>0</v>
      </c>
      <c r="AF3261">
        <v>3</v>
      </c>
      <c r="AG3261">
        <v>2</v>
      </c>
      <c r="AH3261">
        <v>0</v>
      </c>
      <c r="AI3261" t="s">
        <v>1879</v>
      </c>
      <c r="AJ3261">
        <v>40.063791000000002</v>
      </c>
      <c r="AK3261" t="s">
        <v>1880</v>
      </c>
      <c r="AL3261">
        <v>-92.923221999999996</v>
      </c>
      <c r="AM3261">
        <v>100</v>
      </c>
      <c r="AN3261">
        <v>1300</v>
      </c>
      <c r="AO3261" t="s">
        <v>118</v>
      </c>
      <c r="AP3261">
        <v>-105</v>
      </c>
      <c r="AQ3261">
        <v>76</v>
      </c>
      <c r="AR3261">
        <v>-128</v>
      </c>
      <c r="AZ3261">
        <v>1200</v>
      </c>
      <c r="BA3261">
        <v>1</v>
      </c>
      <c r="BB3261" t="str">
        <f t="shared" si="158"/>
        <v xml:space="preserve">N8080G  </v>
      </c>
      <c r="BC3261">
        <v>1</v>
      </c>
      <c r="BE3261">
        <v>0</v>
      </c>
      <c r="BF3261">
        <v>0</v>
      </c>
      <c r="BG3261">
        <v>0</v>
      </c>
      <c r="BH3261">
        <v>1350</v>
      </c>
      <c r="BI3261">
        <v>1</v>
      </c>
      <c r="BJ3261">
        <v>1</v>
      </c>
      <c r="BK3261">
        <v>1</v>
      </c>
      <c r="BL3261">
        <v>0</v>
      </c>
      <c r="BO3261">
        <v>0</v>
      </c>
      <c r="BP3261">
        <v>0</v>
      </c>
      <c r="BW3261" t="str">
        <f>"20:32:12.525"</f>
        <v>20:32:12.525</v>
      </c>
      <c r="BZ3261">
        <v>0</v>
      </c>
      <c r="CA3261">
        <v>1600</v>
      </c>
      <c r="CB3261">
        <v>224</v>
      </c>
      <c r="CD3261">
        <v>1</v>
      </c>
      <c r="CE3261">
        <v>0</v>
      </c>
      <c r="CF3261">
        <v>0</v>
      </c>
      <c r="CG3261">
        <v>1</v>
      </c>
      <c r="CH3261">
        <v>0</v>
      </c>
      <c r="CI3261">
        <v>0</v>
      </c>
      <c r="CJ3261">
        <v>0</v>
      </c>
      <c r="CK3261">
        <v>2</v>
      </c>
      <c r="CL3261">
        <v>0</v>
      </c>
      <c r="CM3261">
        <v>2</v>
      </c>
      <c r="CN3261">
        <v>0</v>
      </c>
      <c r="CO3261">
        <v>7</v>
      </c>
      <c r="CP3261" t="s">
        <v>119</v>
      </c>
      <c r="CQ3261">
        <v>180</v>
      </c>
      <c r="CR3261">
        <v>3</v>
      </c>
      <c r="CW3261">
        <v>1112765</v>
      </c>
      <c r="CY3261">
        <v>1</v>
      </c>
      <c r="CZ3261">
        <v>0</v>
      </c>
      <c r="DA3261">
        <v>1</v>
      </c>
      <c r="DB3261">
        <v>0</v>
      </c>
      <c r="DC3261">
        <v>0</v>
      </c>
      <c r="DD3261">
        <v>0</v>
      </c>
      <c r="DE3261">
        <v>0</v>
      </c>
      <c r="DF3261">
        <v>0</v>
      </c>
      <c r="DG3261">
        <v>0</v>
      </c>
      <c r="DH3261">
        <v>0</v>
      </c>
      <c r="DI3261">
        <v>0</v>
      </c>
    </row>
    <row r="3262" spans="1:113" x14ac:dyDescent="0.3">
      <c r="A3262" t="str">
        <f>"02/08/2021 20:32:10.209"</f>
        <v>02/08/2021 20:32:10.209</v>
      </c>
      <c r="C3262" t="str">
        <f t="shared" si="157"/>
        <v>FFDFD7C0</v>
      </c>
      <c r="D3262" t="s">
        <v>124</v>
      </c>
      <c r="E3262">
        <v>12</v>
      </c>
      <c r="F3262">
        <v>1012</v>
      </c>
      <c r="G3262" t="s">
        <v>675</v>
      </c>
      <c r="J3262" t="s">
        <v>125</v>
      </c>
      <c r="K3262">
        <v>0</v>
      </c>
      <c r="L3262">
        <v>3</v>
      </c>
      <c r="M3262">
        <v>0</v>
      </c>
      <c r="N3262">
        <v>2</v>
      </c>
      <c r="O3262">
        <v>1</v>
      </c>
      <c r="P3262">
        <v>0</v>
      </c>
      <c r="Q3262">
        <v>0</v>
      </c>
      <c r="S3262" t="str">
        <f>"20:32:12.523"</f>
        <v>20:32:12.523</v>
      </c>
      <c r="T3262" t="str">
        <f>"20:32:12.023"</f>
        <v>20:32:12.023</v>
      </c>
      <c r="U3262" t="str">
        <f t="shared" si="156"/>
        <v>AB01F4</v>
      </c>
      <c r="V3262">
        <v>0</v>
      </c>
      <c r="W3262">
        <v>0</v>
      </c>
      <c r="X3262">
        <v>2</v>
      </c>
      <c r="Z3262">
        <v>0</v>
      </c>
      <c r="AA3262">
        <v>9</v>
      </c>
      <c r="AB3262">
        <v>3</v>
      </c>
      <c r="AC3262">
        <v>0</v>
      </c>
      <c r="AD3262">
        <v>10</v>
      </c>
      <c r="AE3262">
        <v>0</v>
      </c>
      <c r="AF3262">
        <v>3</v>
      </c>
      <c r="AG3262">
        <v>2</v>
      </c>
      <c r="AH3262">
        <v>0</v>
      </c>
      <c r="AI3262" t="s">
        <v>1879</v>
      </c>
      <c r="AJ3262">
        <v>40.063791000000002</v>
      </c>
      <c r="AK3262" t="s">
        <v>1880</v>
      </c>
      <c r="AL3262">
        <v>-92.923221999999996</v>
      </c>
      <c r="AM3262">
        <v>100</v>
      </c>
      <c r="AN3262">
        <v>1300</v>
      </c>
      <c r="AO3262" t="s">
        <v>118</v>
      </c>
      <c r="AP3262">
        <v>-105</v>
      </c>
      <c r="AQ3262">
        <v>76</v>
      </c>
      <c r="AR3262">
        <v>-128</v>
      </c>
      <c r="AZ3262">
        <v>1200</v>
      </c>
      <c r="BA3262">
        <v>1</v>
      </c>
      <c r="BB3262" t="str">
        <f t="shared" si="158"/>
        <v xml:space="preserve">N8080G  </v>
      </c>
      <c r="BC3262">
        <v>1</v>
      </c>
      <c r="BE3262">
        <v>0</v>
      </c>
      <c r="BF3262">
        <v>0</v>
      </c>
      <c r="BG3262">
        <v>0</v>
      </c>
      <c r="BH3262">
        <v>1350</v>
      </c>
      <c r="BI3262">
        <v>1</v>
      </c>
      <c r="BJ3262">
        <v>1</v>
      </c>
      <c r="BK3262">
        <v>1</v>
      </c>
      <c r="BL3262">
        <v>0</v>
      </c>
      <c r="BO3262">
        <v>0</v>
      </c>
      <c r="BP3262">
        <v>0</v>
      </c>
      <c r="BW3262" t="str">
        <f>"20:32:12.525"</f>
        <v>20:32:12.525</v>
      </c>
      <c r="BZ3262">
        <v>0</v>
      </c>
      <c r="CA3262">
        <v>1600</v>
      </c>
      <c r="CB3262">
        <v>224</v>
      </c>
      <c r="CD3262">
        <v>1</v>
      </c>
      <c r="CE3262">
        <v>0</v>
      </c>
      <c r="CF3262">
        <v>0</v>
      </c>
      <c r="CG3262">
        <v>1</v>
      </c>
      <c r="CH3262">
        <v>0</v>
      </c>
      <c r="CI3262">
        <v>0</v>
      </c>
      <c r="CJ3262">
        <v>0</v>
      </c>
      <c r="CK3262">
        <v>2</v>
      </c>
      <c r="CL3262">
        <v>0</v>
      </c>
      <c r="CM3262">
        <v>2</v>
      </c>
      <c r="CN3262">
        <v>0</v>
      </c>
      <c r="CO3262">
        <v>7</v>
      </c>
      <c r="CP3262" t="s">
        <v>119</v>
      </c>
      <c r="CQ3262">
        <v>180</v>
      </c>
      <c r="CR3262">
        <v>3</v>
      </c>
      <c r="CW3262">
        <v>1112765</v>
      </c>
      <c r="CY3262">
        <v>1</v>
      </c>
      <c r="CZ3262">
        <v>0</v>
      </c>
      <c r="DA3262">
        <v>1</v>
      </c>
      <c r="DB3262">
        <v>0</v>
      </c>
      <c r="DC3262">
        <v>0</v>
      </c>
      <c r="DD3262">
        <v>0</v>
      </c>
      <c r="DE3262">
        <v>0</v>
      </c>
      <c r="DF3262">
        <v>0</v>
      </c>
      <c r="DG3262">
        <v>0</v>
      </c>
      <c r="DH3262">
        <v>0</v>
      </c>
      <c r="DI3262">
        <v>0</v>
      </c>
    </row>
    <row r="3263" spans="1:113" x14ac:dyDescent="0.3">
      <c r="A3263" t="str">
        <f>"02/08/2021 20:32:11.180"</f>
        <v>02/08/2021 20:32:11.180</v>
      </c>
      <c r="C3263" t="str">
        <f t="shared" si="157"/>
        <v>FFDFD7C0</v>
      </c>
      <c r="D3263" t="s">
        <v>124</v>
      </c>
      <c r="E3263">
        <v>11</v>
      </c>
      <c r="F3263">
        <v>1011</v>
      </c>
      <c r="G3263" t="s">
        <v>590</v>
      </c>
      <c r="J3263" t="s">
        <v>125</v>
      </c>
      <c r="K3263">
        <v>0</v>
      </c>
      <c r="L3263">
        <v>3</v>
      </c>
      <c r="M3263">
        <v>0</v>
      </c>
      <c r="N3263">
        <v>2</v>
      </c>
      <c r="O3263">
        <v>1</v>
      </c>
      <c r="P3263">
        <v>0</v>
      </c>
      <c r="Q3263">
        <v>0</v>
      </c>
      <c r="S3263" t="str">
        <f>"20:32:13.500"</f>
        <v>20:32:13.500</v>
      </c>
      <c r="T3263" t="str">
        <f>"20:32:13.100"</f>
        <v>20:32:13.100</v>
      </c>
      <c r="U3263" t="str">
        <f t="shared" si="156"/>
        <v>AB01F4</v>
      </c>
      <c r="V3263">
        <v>0</v>
      </c>
      <c r="W3263">
        <v>0</v>
      </c>
      <c r="X3263">
        <v>2</v>
      </c>
      <c r="Z3263">
        <v>0</v>
      </c>
      <c r="AA3263">
        <v>9</v>
      </c>
      <c r="AB3263">
        <v>3</v>
      </c>
      <c r="AC3263">
        <v>0</v>
      </c>
      <c r="AD3263">
        <v>10</v>
      </c>
      <c r="AE3263">
        <v>0</v>
      </c>
      <c r="AF3263">
        <v>3</v>
      </c>
      <c r="AG3263">
        <v>2</v>
      </c>
      <c r="AH3263">
        <v>0</v>
      </c>
      <c r="AI3263" t="s">
        <v>1881</v>
      </c>
      <c r="AJ3263">
        <v>40.064112999999999</v>
      </c>
      <c r="AK3263" t="s">
        <v>1882</v>
      </c>
      <c r="AL3263">
        <v>-92.923800999999997</v>
      </c>
      <c r="AM3263">
        <v>100</v>
      </c>
      <c r="AN3263">
        <v>1300</v>
      </c>
      <c r="AO3263" t="s">
        <v>118</v>
      </c>
      <c r="AP3263">
        <v>-105</v>
      </c>
      <c r="AQ3263">
        <v>76</v>
      </c>
      <c r="AR3263">
        <v>-128</v>
      </c>
      <c r="AZ3263">
        <v>1200</v>
      </c>
      <c r="BA3263">
        <v>1</v>
      </c>
      <c r="BB3263" t="str">
        <f t="shared" si="158"/>
        <v xml:space="preserve">N8080G  </v>
      </c>
      <c r="BC3263">
        <v>1</v>
      </c>
      <c r="BE3263">
        <v>0</v>
      </c>
      <c r="BF3263">
        <v>0</v>
      </c>
      <c r="BG3263">
        <v>0</v>
      </c>
      <c r="BH3263">
        <v>1350</v>
      </c>
      <c r="BI3263">
        <v>1</v>
      </c>
      <c r="BJ3263">
        <v>1</v>
      </c>
      <c r="BK3263">
        <v>1</v>
      </c>
      <c r="BL3263">
        <v>0</v>
      </c>
      <c r="BO3263">
        <v>0</v>
      </c>
      <c r="BP3263">
        <v>0</v>
      </c>
      <c r="BW3263" t="str">
        <f>"20:32:13.505"</f>
        <v>20:32:13.505</v>
      </c>
      <c r="BZ3263">
        <v>0</v>
      </c>
      <c r="CA3263">
        <v>1600</v>
      </c>
      <c r="CB3263">
        <v>224</v>
      </c>
      <c r="CD3263">
        <v>1</v>
      </c>
      <c r="CE3263">
        <v>0</v>
      </c>
      <c r="CF3263">
        <v>0</v>
      </c>
      <c r="CG3263">
        <v>1</v>
      </c>
      <c r="CH3263">
        <v>0</v>
      </c>
      <c r="CI3263">
        <v>0</v>
      </c>
      <c r="CJ3263">
        <v>0</v>
      </c>
      <c r="CK3263">
        <v>2</v>
      </c>
      <c r="CL3263">
        <v>0</v>
      </c>
      <c r="CM3263">
        <v>2</v>
      </c>
      <c r="CN3263">
        <v>0</v>
      </c>
      <c r="CO3263">
        <v>7</v>
      </c>
      <c r="CP3263" t="s">
        <v>119</v>
      </c>
      <c r="CQ3263">
        <v>180</v>
      </c>
      <c r="CR3263">
        <v>2</v>
      </c>
      <c r="CW3263">
        <v>8769070</v>
      </c>
      <c r="CY3263">
        <v>1</v>
      </c>
      <c r="CZ3263">
        <v>0</v>
      </c>
      <c r="DA3263">
        <v>0</v>
      </c>
      <c r="DB3263">
        <v>0</v>
      </c>
      <c r="DC3263">
        <v>0</v>
      </c>
      <c r="DD3263">
        <v>0</v>
      </c>
      <c r="DE3263">
        <v>0</v>
      </c>
      <c r="DF3263">
        <v>0</v>
      </c>
      <c r="DG3263">
        <v>0</v>
      </c>
      <c r="DH3263">
        <v>0</v>
      </c>
      <c r="DI3263">
        <v>0</v>
      </c>
    </row>
    <row r="3264" spans="1:113" x14ac:dyDescent="0.3">
      <c r="A3264" t="str">
        <f>"02/08/2021 20:32:11.180"</f>
        <v>02/08/2021 20:32:11.180</v>
      </c>
      <c r="C3264" t="str">
        <f t="shared" si="157"/>
        <v>FFDFD7C0</v>
      </c>
      <c r="D3264" t="s">
        <v>124</v>
      </c>
      <c r="E3264">
        <v>13</v>
      </c>
      <c r="F3264">
        <v>1013</v>
      </c>
      <c r="G3264" t="s">
        <v>114</v>
      </c>
      <c r="J3264" t="s">
        <v>125</v>
      </c>
      <c r="K3264">
        <v>0</v>
      </c>
      <c r="L3264">
        <v>3</v>
      </c>
      <c r="M3264">
        <v>0</v>
      </c>
      <c r="N3264">
        <v>2</v>
      </c>
      <c r="O3264">
        <v>1</v>
      </c>
      <c r="P3264">
        <v>0</v>
      </c>
      <c r="Q3264">
        <v>0</v>
      </c>
      <c r="S3264" t="str">
        <f>"20:32:13.500"</f>
        <v>20:32:13.500</v>
      </c>
      <c r="T3264" t="str">
        <f>"20:32:13.100"</f>
        <v>20:32:13.100</v>
      </c>
      <c r="U3264" t="str">
        <f t="shared" si="156"/>
        <v>AB01F4</v>
      </c>
      <c r="V3264">
        <v>0</v>
      </c>
      <c r="W3264">
        <v>0</v>
      </c>
      <c r="X3264">
        <v>2</v>
      </c>
      <c r="Z3264">
        <v>0</v>
      </c>
      <c r="AA3264">
        <v>9</v>
      </c>
      <c r="AB3264">
        <v>3</v>
      </c>
      <c r="AC3264">
        <v>0</v>
      </c>
      <c r="AD3264">
        <v>10</v>
      </c>
      <c r="AE3264">
        <v>0</v>
      </c>
      <c r="AF3264">
        <v>3</v>
      </c>
      <c r="AG3264">
        <v>2</v>
      </c>
      <c r="AH3264">
        <v>0</v>
      </c>
      <c r="AI3264" t="s">
        <v>1881</v>
      </c>
      <c r="AJ3264">
        <v>40.064112999999999</v>
      </c>
      <c r="AK3264" t="s">
        <v>1882</v>
      </c>
      <c r="AL3264">
        <v>-92.923800999999997</v>
      </c>
      <c r="AM3264">
        <v>100</v>
      </c>
      <c r="AN3264">
        <v>1300</v>
      </c>
      <c r="AO3264" t="s">
        <v>118</v>
      </c>
      <c r="AP3264">
        <v>-105</v>
      </c>
      <c r="AQ3264">
        <v>76</v>
      </c>
      <c r="AR3264">
        <v>-128</v>
      </c>
      <c r="AZ3264">
        <v>1200</v>
      </c>
      <c r="BA3264">
        <v>1</v>
      </c>
      <c r="BB3264" t="str">
        <f t="shared" si="158"/>
        <v xml:space="preserve">N8080G  </v>
      </c>
      <c r="BC3264">
        <v>1</v>
      </c>
      <c r="BE3264">
        <v>0</v>
      </c>
      <c r="BF3264">
        <v>0</v>
      </c>
      <c r="BG3264">
        <v>0</v>
      </c>
      <c r="BH3264">
        <v>1350</v>
      </c>
      <c r="BI3264">
        <v>1</v>
      </c>
      <c r="BJ3264">
        <v>1</v>
      </c>
      <c r="BK3264">
        <v>1</v>
      </c>
      <c r="BL3264">
        <v>0</v>
      </c>
      <c r="BO3264">
        <v>0</v>
      </c>
      <c r="BP3264">
        <v>0</v>
      </c>
      <c r="BW3264" t="str">
        <f>"20:32:13.505"</f>
        <v>20:32:13.505</v>
      </c>
      <c r="BZ3264">
        <v>0</v>
      </c>
      <c r="CA3264">
        <v>1600</v>
      </c>
      <c r="CB3264">
        <v>224</v>
      </c>
      <c r="CD3264">
        <v>1</v>
      </c>
      <c r="CE3264">
        <v>0</v>
      </c>
      <c r="CF3264">
        <v>0</v>
      </c>
      <c r="CG3264">
        <v>1</v>
      </c>
      <c r="CH3264">
        <v>0</v>
      </c>
      <c r="CI3264">
        <v>0</v>
      </c>
      <c r="CJ3264">
        <v>0</v>
      </c>
      <c r="CK3264">
        <v>2</v>
      </c>
      <c r="CL3264">
        <v>0</v>
      </c>
      <c r="CM3264">
        <v>2</v>
      </c>
      <c r="CN3264">
        <v>0</v>
      </c>
      <c r="CO3264">
        <v>7</v>
      </c>
      <c r="CP3264" t="s">
        <v>119</v>
      </c>
      <c r="CQ3264">
        <v>180</v>
      </c>
      <c r="CR3264">
        <v>2</v>
      </c>
      <c r="CW3264">
        <v>8769070</v>
      </c>
      <c r="CY3264">
        <v>1</v>
      </c>
      <c r="CZ3264">
        <v>0</v>
      </c>
      <c r="DA3264">
        <v>1</v>
      </c>
      <c r="DB3264">
        <v>0</v>
      </c>
      <c r="DC3264">
        <v>0</v>
      </c>
      <c r="DD3264">
        <v>0</v>
      </c>
      <c r="DE3264">
        <v>0</v>
      </c>
      <c r="DF3264">
        <v>0</v>
      </c>
      <c r="DG3264">
        <v>0</v>
      </c>
      <c r="DH3264">
        <v>0</v>
      </c>
      <c r="DI3264">
        <v>0</v>
      </c>
    </row>
    <row r="3265" spans="1:113" x14ac:dyDescent="0.3">
      <c r="A3265" t="str">
        <f>"02/08/2021 20:32:11.180"</f>
        <v>02/08/2021 20:32:11.180</v>
      </c>
      <c r="C3265" t="str">
        <f t="shared" si="157"/>
        <v>FFDFD7C0</v>
      </c>
      <c r="D3265" t="s">
        <v>124</v>
      </c>
      <c r="E3265">
        <v>12</v>
      </c>
      <c r="F3265">
        <v>1012</v>
      </c>
      <c r="G3265" t="s">
        <v>675</v>
      </c>
      <c r="J3265" t="s">
        <v>125</v>
      </c>
      <c r="K3265">
        <v>0</v>
      </c>
      <c r="L3265">
        <v>3</v>
      </c>
      <c r="M3265">
        <v>0</v>
      </c>
      <c r="N3265">
        <v>2</v>
      </c>
      <c r="O3265">
        <v>1</v>
      </c>
      <c r="P3265">
        <v>0</v>
      </c>
      <c r="Q3265">
        <v>0</v>
      </c>
      <c r="S3265" t="str">
        <f>"20:32:13.500"</f>
        <v>20:32:13.500</v>
      </c>
      <c r="T3265" t="str">
        <f>"20:32:13.100"</f>
        <v>20:32:13.100</v>
      </c>
      <c r="U3265" t="str">
        <f t="shared" si="156"/>
        <v>AB01F4</v>
      </c>
      <c r="V3265">
        <v>0</v>
      </c>
      <c r="W3265">
        <v>0</v>
      </c>
      <c r="X3265">
        <v>2</v>
      </c>
      <c r="Z3265">
        <v>0</v>
      </c>
      <c r="AA3265">
        <v>9</v>
      </c>
      <c r="AB3265">
        <v>3</v>
      </c>
      <c r="AC3265">
        <v>0</v>
      </c>
      <c r="AD3265">
        <v>10</v>
      </c>
      <c r="AE3265">
        <v>0</v>
      </c>
      <c r="AF3265">
        <v>3</v>
      </c>
      <c r="AG3265">
        <v>2</v>
      </c>
      <c r="AH3265">
        <v>0</v>
      </c>
      <c r="AI3265" t="s">
        <v>1881</v>
      </c>
      <c r="AJ3265">
        <v>40.064112999999999</v>
      </c>
      <c r="AK3265" t="s">
        <v>1882</v>
      </c>
      <c r="AL3265">
        <v>-92.923800999999997</v>
      </c>
      <c r="AM3265">
        <v>100</v>
      </c>
      <c r="AN3265">
        <v>1300</v>
      </c>
      <c r="AO3265" t="s">
        <v>118</v>
      </c>
      <c r="AP3265">
        <v>-105</v>
      </c>
      <c r="AQ3265">
        <v>76</v>
      </c>
      <c r="AR3265">
        <v>-128</v>
      </c>
      <c r="AZ3265">
        <v>1200</v>
      </c>
      <c r="BA3265">
        <v>1</v>
      </c>
      <c r="BB3265" t="str">
        <f t="shared" si="158"/>
        <v xml:space="preserve">N8080G  </v>
      </c>
      <c r="BC3265">
        <v>1</v>
      </c>
      <c r="BE3265">
        <v>0</v>
      </c>
      <c r="BF3265">
        <v>0</v>
      </c>
      <c r="BG3265">
        <v>0</v>
      </c>
      <c r="BH3265">
        <v>1350</v>
      </c>
      <c r="BI3265">
        <v>1</v>
      </c>
      <c r="BJ3265">
        <v>1</v>
      </c>
      <c r="BK3265">
        <v>1</v>
      </c>
      <c r="BL3265">
        <v>0</v>
      </c>
      <c r="BO3265">
        <v>0</v>
      </c>
      <c r="BP3265">
        <v>0</v>
      </c>
      <c r="BW3265" t="str">
        <f>"20:32:13.505"</f>
        <v>20:32:13.505</v>
      </c>
      <c r="BZ3265">
        <v>0</v>
      </c>
      <c r="CA3265">
        <v>1600</v>
      </c>
      <c r="CB3265">
        <v>224</v>
      </c>
      <c r="CD3265">
        <v>1</v>
      </c>
      <c r="CE3265">
        <v>0</v>
      </c>
      <c r="CF3265">
        <v>0</v>
      </c>
      <c r="CG3265">
        <v>1</v>
      </c>
      <c r="CH3265">
        <v>0</v>
      </c>
      <c r="CI3265">
        <v>0</v>
      </c>
      <c r="CJ3265">
        <v>0</v>
      </c>
      <c r="CK3265">
        <v>2</v>
      </c>
      <c r="CL3265">
        <v>0</v>
      </c>
      <c r="CM3265">
        <v>2</v>
      </c>
      <c r="CN3265">
        <v>0</v>
      </c>
      <c r="CO3265">
        <v>7</v>
      </c>
      <c r="CP3265" t="s">
        <v>119</v>
      </c>
      <c r="CQ3265">
        <v>180</v>
      </c>
      <c r="CR3265">
        <v>2</v>
      </c>
      <c r="CW3265">
        <v>8769070</v>
      </c>
      <c r="CY3265">
        <v>1</v>
      </c>
      <c r="CZ3265">
        <v>0</v>
      </c>
      <c r="DA3265">
        <v>1</v>
      </c>
      <c r="DB3265">
        <v>0</v>
      </c>
      <c r="DC3265">
        <v>0</v>
      </c>
      <c r="DD3265">
        <v>0</v>
      </c>
      <c r="DE3265">
        <v>0</v>
      </c>
      <c r="DF3265">
        <v>0</v>
      </c>
      <c r="DG3265">
        <v>0</v>
      </c>
      <c r="DH3265">
        <v>0</v>
      </c>
      <c r="DI3265">
        <v>0</v>
      </c>
    </row>
    <row r="3266" spans="1:113" x14ac:dyDescent="0.3">
      <c r="A3266" t="str">
        <f>"02/08/2021 20:32:11.180"</f>
        <v>02/08/2021 20:32:11.180</v>
      </c>
      <c r="C3266" t="str">
        <f t="shared" si="157"/>
        <v>FFDFD7C0</v>
      </c>
      <c r="D3266" t="s">
        <v>113</v>
      </c>
      <c r="E3266">
        <v>6</v>
      </c>
      <c r="H3266">
        <v>165</v>
      </c>
      <c r="I3266" t="s">
        <v>114</v>
      </c>
      <c r="J3266" t="s">
        <v>115</v>
      </c>
      <c r="K3266">
        <v>0</v>
      </c>
      <c r="L3266">
        <v>3</v>
      </c>
      <c r="M3266">
        <v>0</v>
      </c>
      <c r="N3266">
        <v>2</v>
      </c>
      <c r="O3266">
        <v>1</v>
      </c>
      <c r="P3266">
        <v>0</v>
      </c>
      <c r="Q3266">
        <v>0</v>
      </c>
      <c r="S3266" t="str">
        <f>"20:32:13.500"</f>
        <v>20:32:13.500</v>
      </c>
      <c r="T3266" t="str">
        <f>"20:32:13.100"</f>
        <v>20:32:13.100</v>
      </c>
      <c r="U3266" t="str">
        <f t="shared" ref="U3266:U3329" si="159">"AB01F4"</f>
        <v>AB01F4</v>
      </c>
      <c r="V3266">
        <v>0</v>
      </c>
      <c r="W3266">
        <v>0</v>
      </c>
      <c r="X3266">
        <v>2</v>
      </c>
      <c r="Z3266">
        <v>0</v>
      </c>
      <c r="AA3266">
        <v>9</v>
      </c>
      <c r="AB3266">
        <v>3</v>
      </c>
      <c r="AC3266">
        <v>0</v>
      </c>
      <c r="AD3266">
        <v>10</v>
      </c>
      <c r="AE3266">
        <v>0</v>
      </c>
      <c r="AF3266">
        <v>3</v>
      </c>
      <c r="AG3266">
        <v>2</v>
      </c>
      <c r="AH3266">
        <v>0</v>
      </c>
      <c r="AI3266" t="s">
        <v>1881</v>
      </c>
      <c r="AJ3266">
        <v>40.064112999999999</v>
      </c>
      <c r="AK3266" t="s">
        <v>1882</v>
      </c>
      <c r="AL3266">
        <v>-92.923800999999997</v>
      </c>
      <c r="AM3266">
        <v>100</v>
      </c>
      <c r="AN3266">
        <v>1300</v>
      </c>
      <c r="AO3266" t="s">
        <v>118</v>
      </c>
      <c r="AP3266">
        <v>-105</v>
      </c>
      <c r="AQ3266">
        <v>76</v>
      </c>
      <c r="AR3266">
        <v>-128</v>
      </c>
      <c r="AZ3266">
        <v>1200</v>
      </c>
      <c r="BA3266">
        <v>1</v>
      </c>
      <c r="BB3266" t="str">
        <f t="shared" si="158"/>
        <v xml:space="preserve">N8080G  </v>
      </c>
      <c r="BC3266">
        <v>1</v>
      </c>
      <c r="BE3266">
        <v>0</v>
      </c>
      <c r="BF3266">
        <v>0</v>
      </c>
      <c r="BG3266">
        <v>0</v>
      </c>
      <c r="BH3266">
        <v>1350</v>
      </c>
      <c r="BI3266">
        <v>1</v>
      </c>
      <c r="BJ3266">
        <v>1</v>
      </c>
      <c r="BK3266">
        <v>1</v>
      </c>
      <c r="BL3266">
        <v>0</v>
      </c>
      <c r="BO3266">
        <v>0</v>
      </c>
      <c r="BP3266">
        <v>0</v>
      </c>
      <c r="BW3266" t="str">
        <f>"20:32:13.505"</f>
        <v>20:32:13.505</v>
      </c>
      <c r="BZ3266">
        <v>0</v>
      </c>
      <c r="CA3266">
        <v>1600</v>
      </c>
      <c r="CB3266">
        <v>224</v>
      </c>
      <c r="CD3266">
        <v>1</v>
      </c>
      <c r="CE3266">
        <v>0</v>
      </c>
      <c r="CF3266">
        <v>0</v>
      </c>
      <c r="CG3266">
        <v>1</v>
      </c>
      <c r="CH3266">
        <v>0</v>
      </c>
      <c r="CI3266">
        <v>0</v>
      </c>
      <c r="CJ3266">
        <v>0</v>
      </c>
      <c r="CK3266">
        <v>2</v>
      </c>
      <c r="CL3266">
        <v>0</v>
      </c>
      <c r="CM3266">
        <v>2</v>
      </c>
      <c r="CN3266">
        <v>0</v>
      </c>
      <c r="CO3266">
        <v>7</v>
      </c>
      <c r="CP3266" t="s">
        <v>119</v>
      </c>
      <c r="CQ3266">
        <v>180</v>
      </c>
      <c r="CR3266">
        <v>2</v>
      </c>
      <c r="CW3266">
        <v>8769070</v>
      </c>
      <c r="CY3266">
        <v>1</v>
      </c>
      <c r="CZ3266">
        <v>0</v>
      </c>
      <c r="DA3266">
        <v>1</v>
      </c>
      <c r="DB3266">
        <v>0</v>
      </c>
      <c r="DC3266">
        <v>0</v>
      </c>
      <c r="DD3266">
        <v>0</v>
      </c>
      <c r="DE3266">
        <v>0</v>
      </c>
      <c r="DF3266">
        <v>0</v>
      </c>
      <c r="DG3266">
        <v>0</v>
      </c>
      <c r="DH3266">
        <v>0</v>
      </c>
      <c r="DI3266">
        <v>0</v>
      </c>
    </row>
    <row r="3267" spans="1:113" x14ac:dyDescent="0.3">
      <c r="A3267" t="str">
        <f>"02/08/2021 20:32:12.105"</f>
        <v>02/08/2021 20:32:12.105</v>
      </c>
      <c r="C3267" t="str">
        <f t="shared" si="157"/>
        <v>FFDFD7C0</v>
      </c>
      <c r="D3267" t="s">
        <v>124</v>
      </c>
      <c r="E3267">
        <v>12</v>
      </c>
      <c r="F3267">
        <v>1012</v>
      </c>
      <c r="G3267" t="s">
        <v>675</v>
      </c>
      <c r="J3267" t="s">
        <v>125</v>
      </c>
      <c r="K3267">
        <v>0</v>
      </c>
      <c r="L3267">
        <v>3</v>
      </c>
      <c r="M3267">
        <v>0</v>
      </c>
      <c r="N3267">
        <v>2</v>
      </c>
      <c r="O3267">
        <v>1</v>
      </c>
      <c r="P3267">
        <v>0</v>
      </c>
      <c r="Q3267">
        <v>0</v>
      </c>
      <c r="S3267" t="str">
        <f>"20:32:14.414"</f>
        <v>20:32:14.414</v>
      </c>
      <c r="T3267" t="str">
        <f>"20:32:14.014"</f>
        <v>20:32:14.014</v>
      </c>
      <c r="U3267" t="str">
        <f t="shared" si="159"/>
        <v>AB01F4</v>
      </c>
      <c r="V3267">
        <v>0</v>
      </c>
      <c r="W3267">
        <v>0</v>
      </c>
      <c r="X3267">
        <v>2</v>
      </c>
      <c r="Z3267">
        <v>0</v>
      </c>
      <c r="AA3267">
        <v>9</v>
      </c>
      <c r="AB3267">
        <v>3</v>
      </c>
      <c r="AC3267">
        <v>0</v>
      </c>
      <c r="AD3267">
        <v>10</v>
      </c>
      <c r="AE3267">
        <v>0</v>
      </c>
      <c r="AF3267">
        <v>3</v>
      </c>
      <c r="AG3267">
        <v>2</v>
      </c>
      <c r="AH3267">
        <v>0</v>
      </c>
      <c r="AI3267" t="s">
        <v>1883</v>
      </c>
      <c r="AJ3267">
        <v>40.064435000000003</v>
      </c>
      <c r="AK3267" t="s">
        <v>1884</v>
      </c>
      <c r="AL3267">
        <v>-92.924316000000005</v>
      </c>
      <c r="AM3267">
        <v>100</v>
      </c>
      <c r="AN3267">
        <v>1300</v>
      </c>
      <c r="AO3267" t="s">
        <v>118</v>
      </c>
      <c r="AP3267">
        <v>-105</v>
      </c>
      <c r="AQ3267">
        <v>76</v>
      </c>
      <c r="AR3267">
        <v>-64</v>
      </c>
      <c r="AZ3267">
        <v>1200</v>
      </c>
      <c r="BA3267">
        <v>1</v>
      </c>
      <c r="BB3267" t="str">
        <f t="shared" si="158"/>
        <v xml:space="preserve">N8080G  </v>
      </c>
      <c r="BC3267">
        <v>1</v>
      </c>
      <c r="BE3267">
        <v>0</v>
      </c>
      <c r="BF3267">
        <v>0</v>
      </c>
      <c r="BG3267">
        <v>0</v>
      </c>
      <c r="BH3267">
        <v>1350</v>
      </c>
      <c r="BI3267">
        <v>1</v>
      </c>
      <c r="BJ3267">
        <v>1</v>
      </c>
      <c r="BK3267">
        <v>1</v>
      </c>
      <c r="BL3267">
        <v>0</v>
      </c>
      <c r="BO3267">
        <v>0</v>
      </c>
      <c r="BP3267">
        <v>0</v>
      </c>
      <c r="BW3267" t="str">
        <f>"20:32:14.418"</f>
        <v>20:32:14.418</v>
      </c>
      <c r="BZ3267">
        <v>0</v>
      </c>
      <c r="CA3267">
        <v>1600</v>
      </c>
      <c r="CB3267">
        <v>224</v>
      </c>
      <c r="CD3267">
        <v>1</v>
      </c>
      <c r="CE3267">
        <v>0</v>
      </c>
      <c r="CF3267">
        <v>0</v>
      </c>
      <c r="CG3267">
        <v>1</v>
      </c>
      <c r="CH3267">
        <v>0</v>
      </c>
      <c r="CI3267">
        <v>0</v>
      </c>
      <c r="CJ3267">
        <v>0</v>
      </c>
      <c r="CK3267">
        <v>2</v>
      </c>
      <c r="CL3267">
        <v>0</v>
      </c>
      <c r="CM3267">
        <v>2</v>
      </c>
      <c r="CN3267">
        <v>0</v>
      </c>
      <c r="CO3267">
        <v>7</v>
      </c>
      <c r="CP3267" t="s">
        <v>119</v>
      </c>
      <c r="CQ3267">
        <v>180</v>
      </c>
      <c r="CR3267">
        <v>2</v>
      </c>
      <c r="CW3267">
        <v>8769833</v>
      </c>
      <c r="CY3267">
        <v>1</v>
      </c>
      <c r="CZ3267">
        <v>0</v>
      </c>
      <c r="DA3267">
        <v>0</v>
      </c>
      <c r="DB3267">
        <v>0</v>
      </c>
      <c r="DC3267">
        <v>0</v>
      </c>
      <c r="DD3267">
        <v>0</v>
      </c>
      <c r="DE3267">
        <v>0</v>
      </c>
      <c r="DF3267">
        <v>0</v>
      </c>
      <c r="DG3267">
        <v>0</v>
      </c>
      <c r="DH3267">
        <v>0</v>
      </c>
      <c r="DI3267">
        <v>0</v>
      </c>
    </row>
    <row r="3268" spans="1:113" x14ac:dyDescent="0.3">
      <c r="A3268" t="str">
        <f>"02/08/2021 20:32:12.105"</f>
        <v>02/08/2021 20:32:12.105</v>
      </c>
      <c r="C3268" t="str">
        <f t="shared" si="157"/>
        <v>FFDFD7C0</v>
      </c>
      <c r="D3268" t="s">
        <v>113</v>
      </c>
      <c r="E3268">
        <v>6</v>
      </c>
      <c r="H3268">
        <v>165</v>
      </c>
      <c r="I3268" t="s">
        <v>114</v>
      </c>
      <c r="J3268" t="s">
        <v>115</v>
      </c>
      <c r="K3268">
        <v>0</v>
      </c>
      <c r="L3268">
        <v>3</v>
      </c>
      <c r="M3268">
        <v>0</v>
      </c>
      <c r="N3268">
        <v>2</v>
      </c>
      <c r="O3268">
        <v>1</v>
      </c>
      <c r="P3268">
        <v>0</v>
      </c>
      <c r="Q3268">
        <v>0</v>
      </c>
      <c r="S3268" t="str">
        <f>"20:32:14.414"</f>
        <v>20:32:14.414</v>
      </c>
      <c r="T3268" t="str">
        <f>"20:32:14.014"</f>
        <v>20:32:14.014</v>
      </c>
      <c r="U3268" t="str">
        <f t="shared" si="159"/>
        <v>AB01F4</v>
      </c>
      <c r="V3268">
        <v>0</v>
      </c>
      <c r="W3268">
        <v>0</v>
      </c>
      <c r="X3268">
        <v>2</v>
      </c>
      <c r="Z3268">
        <v>0</v>
      </c>
      <c r="AA3268">
        <v>9</v>
      </c>
      <c r="AB3268">
        <v>3</v>
      </c>
      <c r="AC3268">
        <v>0</v>
      </c>
      <c r="AD3268">
        <v>10</v>
      </c>
      <c r="AE3268">
        <v>0</v>
      </c>
      <c r="AF3268">
        <v>3</v>
      </c>
      <c r="AG3268">
        <v>2</v>
      </c>
      <c r="AH3268">
        <v>0</v>
      </c>
      <c r="AI3268" t="s">
        <v>1883</v>
      </c>
      <c r="AJ3268">
        <v>40.064435000000003</v>
      </c>
      <c r="AK3268" t="s">
        <v>1884</v>
      </c>
      <c r="AL3268">
        <v>-92.924316000000005</v>
      </c>
      <c r="AM3268">
        <v>100</v>
      </c>
      <c r="AN3268">
        <v>1300</v>
      </c>
      <c r="AO3268" t="s">
        <v>118</v>
      </c>
      <c r="AP3268">
        <v>-105</v>
      </c>
      <c r="AQ3268">
        <v>76</v>
      </c>
      <c r="AR3268">
        <v>-64</v>
      </c>
      <c r="AZ3268">
        <v>1200</v>
      </c>
      <c r="BA3268">
        <v>1</v>
      </c>
      <c r="BB3268" t="str">
        <f t="shared" si="158"/>
        <v xml:space="preserve">N8080G  </v>
      </c>
      <c r="BC3268">
        <v>1</v>
      </c>
      <c r="BE3268">
        <v>0</v>
      </c>
      <c r="BF3268">
        <v>0</v>
      </c>
      <c r="BG3268">
        <v>0</v>
      </c>
      <c r="BH3268">
        <v>1350</v>
      </c>
      <c r="BI3268">
        <v>1</v>
      </c>
      <c r="BJ3268">
        <v>1</v>
      </c>
      <c r="BK3268">
        <v>1</v>
      </c>
      <c r="BL3268">
        <v>0</v>
      </c>
      <c r="BO3268">
        <v>0</v>
      </c>
      <c r="BP3268">
        <v>0</v>
      </c>
      <c r="BW3268" t="str">
        <f>"20:32:14.418"</f>
        <v>20:32:14.418</v>
      </c>
      <c r="BZ3268">
        <v>0</v>
      </c>
      <c r="CA3268">
        <v>1600</v>
      </c>
      <c r="CB3268">
        <v>224</v>
      </c>
      <c r="CD3268">
        <v>1</v>
      </c>
      <c r="CE3268">
        <v>0</v>
      </c>
      <c r="CF3268">
        <v>0</v>
      </c>
      <c r="CG3268">
        <v>1</v>
      </c>
      <c r="CH3268">
        <v>0</v>
      </c>
      <c r="CI3268">
        <v>0</v>
      </c>
      <c r="CJ3268">
        <v>0</v>
      </c>
      <c r="CK3268">
        <v>2</v>
      </c>
      <c r="CL3268">
        <v>0</v>
      </c>
      <c r="CM3268">
        <v>2</v>
      </c>
      <c r="CN3268">
        <v>0</v>
      </c>
      <c r="CO3268">
        <v>7</v>
      </c>
      <c r="CP3268" t="s">
        <v>119</v>
      </c>
      <c r="CQ3268">
        <v>180</v>
      </c>
      <c r="CR3268">
        <v>2</v>
      </c>
      <c r="CW3268">
        <v>8769833</v>
      </c>
      <c r="CY3268">
        <v>1</v>
      </c>
      <c r="CZ3268">
        <v>0</v>
      </c>
      <c r="DA3268">
        <v>1</v>
      </c>
      <c r="DB3268">
        <v>0</v>
      </c>
      <c r="DC3268">
        <v>0</v>
      </c>
      <c r="DD3268">
        <v>0</v>
      </c>
      <c r="DE3268">
        <v>0</v>
      </c>
      <c r="DF3268">
        <v>0</v>
      </c>
      <c r="DG3268">
        <v>0</v>
      </c>
      <c r="DH3268">
        <v>0</v>
      </c>
      <c r="DI3268">
        <v>0</v>
      </c>
    </row>
    <row r="3269" spans="1:113" x14ac:dyDescent="0.3">
      <c r="A3269" t="str">
        <f>"02/08/2021 20:32:12.105"</f>
        <v>02/08/2021 20:32:12.105</v>
      </c>
      <c r="C3269" t="str">
        <f t="shared" si="157"/>
        <v>FFDFD7C0</v>
      </c>
      <c r="D3269" t="s">
        <v>124</v>
      </c>
      <c r="E3269">
        <v>13</v>
      </c>
      <c r="F3269">
        <v>1013</v>
      </c>
      <c r="G3269" t="s">
        <v>114</v>
      </c>
      <c r="J3269" t="s">
        <v>125</v>
      </c>
      <c r="K3269">
        <v>0</v>
      </c>
      <c r="L3269">
        <v>3</v>
      </c>
      <c r="M3269">
        <v>0</v>
      </c>
      <c r="N3269">
        <v>2</v>
      </c>
      <c r="O3269">
        <v>1</v>
      </c>
      <c r="P3269">
        <v>0</v>
      </c>
      <c r="Q3269">
        <v>0</v>
      </c>
      <c r="S3269" t="str">
        <f>"20:32:14.414"</f>
        <v>20:32:14.414</v>
      </c>
      <c r="T3269" t="str">
        <f>"20:32:14.014"</f>
        <v>20:32:14.014</v>
      </c>
      <c r="U3269" t="str">
        <f t="shared" si="159"/>
        <v>AB01F4</v>
      </c>
      <c r="V3269">
        <v>0</v>
      </c>
      <c r="W3269">
        <v>0</v>
      </c>
      <c r="X3269">
        <v>2</v>
      </c>
      <c r="Z3269">
        <v>0</v>
      </c>
      <c r="AA3269">
        <v>9</v>
      </c>
      <c r="AB3269">
        <v>3</v>
      </c>
      <c r="AC3269">
        <v>0</v>
      </c>
      <c r="AD3269">
        <v>10</v>
      </c>
      <c r="AE3269">
        <v>0</v>
      </c>
      <c r="AF3269">
        <v>3</v>
      </c>
      <c r="AG3269">
        <v>2</v>
      </c>
      <c r="AH3269">
        <v>0</v>
      </c>
      <c r="AI3269" t="s">
        <v>1883</v>
      </c>
      <c r="AJ3269">
        <v>40.064435000000003</v>
      </c>
      <c r="AK3269" t="s">
        <v>1884</v>
      </c>
      <c r="AL3269">
        <v>-92.924316000000005</v>
      </c>
      <c r="AM3269">
        <v>100</v>
      </c>
      <c r="AN3269">
        <v>1300</v>
      </c>
      <c r="AO3269" t="s">
        <v>118</v>
      </c>
      <c r="AP3269">
        <v>-105</v>
      </c>
      <c r="AQ3269">
        <v>76</v>
      </c>
      <c r="AR3269">
        <v>-64</v>
      </c>
      <c r="AZ3269">
        <v>1200</v>
      </c>
      <c r="BA3269">
        <v>1</v>
      </c>
      <c r="BB3269" t="str">
        <f t="shared" si="158"/>
        <v xml:space="preserve">N8080G  </v>
      </c>
      <c r="BC3269">
        <v>1</v>
      </c>
      <c r="BE3269">
        <v>0</v>
      </c>
      <c r="BF3269">
        <v>0</v>
      </c>
      <c r="BG3269">
        <v>0</v>
      </c>
      <c r="BH3269">
        <v>1350</v>
      </c>
      <c r="BI3269">
        <v>1</v>
      </c>
      <c r="BJ3269">
        <v>1</v>
      </c>
      <c r="BK3269">
        <v>1</v>
      </c>
      <c r="BL3269">
        <v>0</v>
      </c>
      <c r="BO3269">
        <v>0</v>
      </c>
      <c r="BP3269">
        <v>0</v>
      </c>
      <c r="BW3269" t="str">
        <f>"20:32:14.418"</f>
        <v>20:32:14.418</v>
      </c>
      <c r="BZ3269">
        <v>0</v>
      </c>
      <c r="CA3269">
        <v>1600</v>
      </c>
      <c r="CB3269">
        <v>224</v>
      </c>
      <c r="CD3269">
        <v>1</v>
      </c>
      <c r="CE3269">
        <v>0</v>
      </c>
      <c r="CF3269">
        <v>0</v>
      </c>
      <c r="CG3269">
        <v>1</v>
      </c>
      <c r="CH3269">
        <v>0</v>
      </c>
      <c r="CI3269">
        <v>0</v>
      </c>
      <c r="CJ3269">
        <v>0</v>
      </c>
      <c r="CK3269">
        <v>2</v>
      </c>
      <c r="CL3269">
        <v>0</v>
      </c>
      <c r="CM3269">
        <v>2</v>
      </c>
      <c r="CN3269">
        <v>0</v>
      </c>
      <c r="CO3269">
        <v>7</v>
      </c>
      <c r="CP3269" t="s">
        <v>119</v>
      </c>
      <c r="CQ3269">
        <v>180</v>
      </c>
      <c r="CR3269">
        <v>2</v>
      </c>
      <c r="CW3269">
        <v>8769833</v>
      </c>
      <c r="CY3269">
        <v>1</v>
      </c>
      <c r="CZ3269">
        <v>0</v>
      </c>
      <c r="DA3269">
        <v>1</v>
      </c>
      <c r="DB3269">
        <v>0</v>
      </c>
      <c r="DC3269">
        <v>0</v>
      </c>
      <c r="DD3269">
        <v>0</v>
      </c>
      <c r="DE3269">
        <v>0</v>
      </c>
      <c r="DF3269">
        <v>0</v>
      </c>
      <c r="DG3269">
        <v>0</v>
      </c>
      <c r="DH3269">
        <v>0</v>
      </c>
      <c r="DI3269">
        <v>0</v>
      </c>
    </row>
    <row r="3270" spans="1:113" x14ac:dyDescent="0.3">
      <c r="A3270" t="str">
        <f>"02/08/2021 20:32:12.105"</f>
        <v>02/08/2021 20:32:12.105</v>
      </c>
      <c r="C3270" t="str">
        <f t="shared" si="157"/>
        <v>FFDFD7C0</v>
      </c>
      <c r="D3270" t="s">
        <v>124</v>
      </c>
      <c r="E3270">
        <v>11</v>
      </c>
      <c r="F3270">
        <v>1011</v>
      </c>
      <c r="G3270" t="s">
        <v>590</v>
      </c>
      <c r="J3270" t="s">
        <v>125</v>
      </c>
      <c r="K3270">
        <v>0</v>
      </c>
      <c r="L3270">
        <v>3</v>
      </c>
      <c r="M3270">
        <v>0</v>
      </c>
      <c r="N3270">
        <v>2</v>
      </c>
      <c r="O3270">
        <v>1</v>
      </c>
      <c r="P3270">
        <v>0</v>
      </c>
      <c r="Q3270">
        <v>0</v>
      </c>
      <c r="S3270" t="str">
        <f>"20:32:14.414"</f>
        <v>20:32:14.414</v>
      </c>
      <c r="T3270" t="str">
        <f>"20:32:14.014"</f>
        <v>20:32:14.014</v>
      </c>
      <c r="U3270" t="str">
        <f t="shared" si="159"/>
        <v>AB01F4</v>
      </c>
      <c r="V3270">
        <v>0</v>
      </c>
      <c r="W3270">
        <v>0</v>
      </c>
      <c r="X3270">
        <v>2</v>
      </c>
      <c r="Z3270">
        <v>0</v>
      </c>
      <c r="AA3270">
        <v>9</v>
      </c>
      <c r="AB3270">
        <v>3</v>
      </c>
      <c r="AC3270">
        <v>0</v>
      </c>
      <c r="AD3270">
        <v>10</v>
      </c>
      <c r="AE3270">
        <v>0</v>
      </c>
      <c r="AF3270">
        <v>3</v>
      </c>
      <c r="AG3270">
        <v>2</v>
      </c>
      <c r="AH3270">
        <v>0</v>
      </c>
      <c r="AI3270" t="s">
        <v>1883</v>
      </c>
      <c r="AJ3270">
        <v>40.064435000000003</v>
      </c>
      <c r="AK3270" t="s">
        <v>1884</v>
      </c>
      <c r="AL3270">
        <v>-92.924316000000005</v>
      </c>
      <c r="AM3270">
        <v>100</v>
      </c>
      <c r="AN3270">
        <v>1300</v>
      </c>
      <c r="AO3270" t="s">
        <v>118</v>
      </c>
      <c r="AP3270">
        <v>-105</v>
      </c>
      <c r="AQ3270">
        <v>76</v>
      </c>
      <c r="AR3270">
        <v>-64</v>
      </c>
      <c r="AZ3270">
        <v>1200</v>
      </c>
      <c r="BA3270">
        <v>1</v>
      </c>
      <c r="BB3270" t="str">
        <f t="shared" si="158"/>
        <v xml:space="preserve">N8080G  </v>
      </c>
      <c r="BC3270">
        <v>1</v>
      </c>
      <c r="BE3270">
        <v>0</v>
      </c>
      <c r="BF3270">
        <v>0</v>
      </c>
      <c r="BG3270">
        <v>0</v>
      </c>
      <c r="BH3270">
        <v>1350</v>
      </c>
      <c r="BI3270">
        <v>1</v>
      </c>
      <c r="BJ3270">
        <v>1</v>
      </c>
      <c r="BK3270">
        <v>1</v>
      </c>
      <c r="BL3270">
        <v>0</v>
      </c>
      <c r="BO3270">
        <v>0</v>
      </c>
      <c r="BP3270">
        <v>0</v>
      </c>
      <c r="BW3270" t="str">
        <f>"20:32:14.418"</f>
        <v>20:32:14.418</v>
      </c>
      <c r="BZ3270">
        <v>0</v>
      </c>
      <c r="CA3270">
        <v>1600</v>
      </c>
      <c r="CB3270">
        <v>224</v>
      </c>
      <c r="CD3270">
        <v>1</v>
      </c>
      <c r="CE3270">
        <v>0</v>
      </c>
      <c r="CF3270">
        <v>0</v>
      </c>
      <c r="CG3270">
        <v>1</v>
      </c>
      <c r="CH3270">
        <v>0</v>
      </c>
      <c r="CI3270">
        <v>0</v>
      </c>
      <c r="CJ3270">
        <v>0</v>
      </c>
      <c r="CK3270">
        <v>2</v>
      </c>
      <c r="CL3270">
        <v>0</v>
      </c>
      <c r="CM3270">
        <v>2</v>
      </c>
      <c r="CN3270">
        <v>0</v>
      </c>
      <c r="CO3270">
        <v>7</v>
      </c>
      <c r="CP3270" t="s">
        <v>119</v>
      </c>
      <c r="CQ3270">
        <v>180</v>
      </c>
      <c r="CR3270">
        <v>2</v>
      </c>
      <c r="CW3270">
        <v>8769833</v>
      </c>
      <c r="CY3270">
        <v>1</v>
      </c>
      <c r="CZ3270">
        <v>0</v>
      </c>
      <c r="DA3270">
        <v>1</v>
      </c>
      <c r="DB3270">
        <v>0</v>
      </c>
      <c r="DC3270">
        <v>0</v>
      </c>
      <c r="DD3270">
        <v>0</v>
      </c>
      <c r="DE3270">
        <v>0</v>
      </c>
      <c r="DF3270">
        <v>0</v>
      </c>
      <c r="DG3270">
        <v>0</v>
      </c>
      <c r="DH3270">
        <v>0</v>
      </c>
      <c r="DI3270">
        <v>0</v>
      </c>
    </row>
    <row r="3271" spans="1:113" x14ac:dyDescent="0.3">
      <c r="A3271" t="str">
        <f>"02/08/2021 20:32:12.989"</f>
        <v>02/08/2021 20:32:12.989</v>
      </c>
      <c r="C3271" t="str">
        <f t="shared" si="157"/>
        <v>FFDFD7C0</v>
      </c>
      <c r="D3271" t="s">
        <v>113</v>
      </c>
      <c r="E3271">
        <v>6</v>
      </c>
      <c r="H3271">
        <v>165</v>
      </c>
      <c r="I3271" t="s">
        <v>114</v>
      </c>
      <c r="J3271" t="s">
        <v>115</v>
      </c>
      <c r="K3271">
        <v>0</v>
      </c>
      <c r="L3271">
        <v>3</v>
      </c>
      <c r="M3271">
        <v>0</v>
      </c>
      <c r="N3271">
        <v>2</v>
      </c>
      <c r="O3271">
        <v>1</v>
      </c>
      <c r="P3271">
        <v>0</v>
      </c>
      <c r="Q3271">
        <v>0</v>
      </c>
      <c r="S3271" t="str">
        <f>"20:32:15.313"</f>
        <v>20:32:15.313</v>
      </c>
      <c r="T3271" t="str">
        <f>"20:32:14.913"</f>
        <v>20:32:14.913</v>
      </c>
      <c r="U3271" t="str">
        <f t="shared" si="159"/>
        <v>AB01F4</v>
      </c>
      <c r="V3271">
        <v>0</v>
      </c>
      <c r="W3271">
        <v>0</v>
      </c>
      <c r="X3271">
        <v>2</v>
      </c>
      <c r="Z3271">
        <v>0</v>
      </c>
      <c r="AA3271">
        <v>9</v>
      </c>
      <c r="AB3271">
        <v>3</v>
      </c>
      <c r="AC3271">
        <v>0</v>
      </c>
      <c r="AD3271">
        <v>10</v>
      </c>
      <c r="AE3271">
        <v>0</v>
      </c>
      <c r="AF3271">
        <v>3</v>
      </c>
      <c r="AG3271">
        <v>2</v>
      </c>
      <c r="AH3271">
        <v>0</v>
      </c>
      <c r="AI3271" t="s">
        <v>1885</v>
      </c>
      <c r="AJ3271">
        <v>40.064757</v>
      </c>
      <c r="AK3271" t="s">
        <v>1886</v>
      </c>
      <c r="AL3271">
        <v>-92.924916999999994</v>
      </c>
      <c r="AM3271">
        <v>100</v>
      </c>
      <c r="AN3271">
        <v>1300</v>
      </c>
      <c r="AO3271" t="s">
        <v>118</v>
      </c>
      <c r="AP3271">
        <v>-105</v>
      </c>
      <c r="AQ3271">
        <v>76</v>
      </c>
      <c r="AR3271">
        <v>-128</v>
      </c>
      <c r="AZ3271">
        <v>1200</v>
      </c>
      <c r="BA3271">
        <v>1</v>
      </c>
      <c r="BB3271" t="str">
        <f t="shared" si="158"/>
        <v xml:space="preserve">N8080G  </v>
      </c>
      <c r="BC3271">
        <v>1</v>
      </c>
      <c r="BE3271">
        <v>0</v>
      </c>
      <c r="BF3271">
        <v>0</v>
      </c>
      <c r="BG3271">
        <v>0</v>
      </c>
      <c r="BH3271">
        <v>1350</v>
      </c>
      <c r="BI3271">
        <v>1</v>
      </c>
      <c r="BJ3271">
        <v>1</v>
      </c>
      <c r="BK3271">
        <v>1</v>
      </c>
      <c r="BL3271">
        <v>0</v>
      </c>
      <c r="BO3271">
        <v>0</v>
      </c>
      <c r="BP3271">
        <v>0</v>
      </c>
      <c r="BW3271" t="str">
        <f>"20:32:15.315"</f>
        <v>20:32:15.315</v>
      </c>
      <c r="BZ3271">
        <v>0</v>
      </c>
      <c r="CA3271">
        <v>1600</v>
      </c>
      <c r="CB3271">
        <v>224</v>
      </c>
      <c r="CD3271">
        <v>1</v>
      </c>
      <c r="CE3271">
        <v>0</v>
      </c>
      <c r="CF3271">
        <v>0</v>
      </c>
      <c r="CG3271">
        <v>1</v>
      </c>
      <c r="CH3271">
        <v>0</v>
      </c>
      <c r="CI3271">
        <v>0</v>
      </c>
      <c r="CJ3271">
        <v>0</v>
      </c>
      <c r="CK3271">
        <v>2</v>
      </c>
      <c r="CL3271">
        <v>0</v>
      </c>
      <c r="CM3271">
        <v>2</v>
      </c>
      <c r="CN3271">
        <v>0</v>
      </c>
      <c r="CO3271">
        <v>7</v>
      </c>
      <c r="CP3271" t="s">
        <v>119</v>
      </c>
      <c r="CQ3271">
        <v>180</v>
      </c>
      <c r="CR3271">
        <v>3</v>
      </c>
      <c r="CW3271">
        <v>1115013</v>
      </c>
      <c r="CY3271">
        <v>1</v>
      </c>
      <c r="CZ3271">
        <v>0</v>
      </c>
      <c r="DA3271">
        <v>0</v>
      </c>
      <c r="DB3271">
        <v>0</v>
      </c>
      <c r="DC3271">
        <v>0</v>
      </c>
      <c r="DD3271">
        <v>0</v>
      </c>
      <c r="DE3271">
        <v>0</v>
      </c>
      <c r="DF3271">
        <v>0</v>
      </c>
      <c r="DG3271">
        <v>0</v>
      </c>
      <c r="DH3271">
        <v>0</v>
      </c>
      <c r="DI3271">
        <v>0</v>
      </c>
    </row>
    <row r="3272" spans="1:113" x14ac:dyDescent="0.3">
      <c r="A3272" t="str">
        <f>"02/08/2021 20:32:12.989"</f>
        <v>02/08/2021 20:32:12.989</v>
      </c>
      <c r="C3272" t="str">
        <f t="shared" si="157"/>
        <v>FFDFD7C0</v>
      </c>
      <c r="D3272" t="s">
        <v>124</v>
      </c>
      <c r="E3272">
        <v>13</v>
      </c>
      <c r="F3272">
        <v>1013</v>
      </c>
      <c r="G3272" t="s">
        <v>114</v>
      </c>
      <c r="J3272" t="s">
        <v>125</v>
      </c>
      <c r="K3272">
        <v>0</v>
      </c>
      <c r="L3272">
        <v>3</v>
      </c>
      <c r="M3272">
        <v>0</v>
      </c>
      <c r="N3272">
        <v>2</v>
      </c>
      <c r="O3272">
        <v>1</v>
      </c>
      <c r="P3272">
        <v>0</v>
      </c>
      <c r="Q3272">
        <v>0</v>
      </c>
      <c r="S3272" t="str">
        <f>"20:32:15.313"</f>
        <v>20:32:15.313</v>
      </c>
      <c r="T3272" t="str">
        <f>"20:32:14.913"</f>
        <v>20:32:14.913</v>
      </c>
      <c r="U3272" t="str">
        <f t="shared" si="159"/>
        <v>AB01F4</v>
      </c>
      <c r="V3272">
        <v>0</v>
      </c>
      <c r="W3272">
        <v>0</v>
      </c>
      <c r="X3272">
        <v>2</v>
      </c>
      <c r="Z3272">
        <v>0</v>
      </c>
      <c r="AA3272">
        <v>9</v>
      </c>
      <c r="AB3272">
        <v>3</v>
      </c>
      <c r="AC3272">
        <v>0</v>
      </c>
      <c r="AD3272">
        <v>10</v>
      </c>
      <c r="AE3272">
        <v>0</v>
      </c>
      <c r="AF3272">
        <v>3</v>
      </c>
      <c r="AG3272">
        <v>2</v>
      </c>
      <c r="AH3272">
        <v>0</v>
      </c>
      <c r="AI3272" t="s">
        <v>1885</v>
      </c>
      <c r="AJ3272">
        <v>40.064757</v>
      </c>
      <c r="AK3272" t="s">
        <v>1886</v>
      </c>
      <c r="AL3272">
        <v>-92.924916999999994</v>
      </c>
      <c r="AM3272">
        <v>100</v>
      </c>
      <c r="AN3272">
        <v>1300</v>
      </c>
      <c r="AO3272" t="s">
        <v>118</v>
      </c>
      <c r="AP3272">
        <v>-105</v>
      </c>
      <c r="AQ3272">
        <v>76</v>
      </c>
      <c r="AR3272">
        <v>-128</v>
      </c>
      <c r="AZ3272">
        <v>1200</v>
      </c>
      <c r="BA3272">
        <v>1</v>
      </c>
      <c r="BB3272" t="str">
        <f t="shared" si="158"/>
        <v xml:space="preserve">N8080G  </v>
      </c>
      <c r="BC3272">
        <v>1</v>
      </c>
      <c r="BE3272">
        <v>0</v>
      </c>
      <c r="BF3272">
        <v>0</v>
      </c>
      <c r="BG3272">
        <v>0</v>
      </c>
      <c r="BH3272">
        <v>1350</v>
      </c>
      <c r="BI3272">
        <v>1</v>
      </c>
      <c r="BJ3272">
        <v>1</v>
      </c>
      <c r="BK3272">
        <v>1</v>
      </c>
      <c r="BL3272">
        <v>0</v>
      </c>
      <c r="BO3272">
        <v>0</v>
      </c>
      <c r="BP3272">
        <v>0</v>
      </c>
      <c r="BW3272" t="str">
        <f>"20:32:15.315"</f>
        <v>20:32:15.315</v>
      </c>
      <c r="BZ3272">
        <v>0</v>
      </c>
      <c r="CA3272">
        <v>1600</v>
      </c>
      <c r="CB3272">
        <v>224</v>
      </c>
      <c r="CD3272">
        <v>1</v>
      </c>
      <c r="CE3272">
        <v>0</v>
      </c>
      <c r="CF3272">
        <v>0</v>
      </c>
      <c r="CG3272">
        <v>1</v>
      </c>
      <c r="CH3272">
        <v>0</v>
      </c>
      <c r="CI3272">
        <v>0</v>
      </c>
      <c r="CJ3272">
        <v>0</v>
      </c>
      <c r="CK3272">
        <v>2</v>
      </c>
      <c r="CL3272">
        <v>0</v>
      </c>
      <c r="CM3272">
        <v>2</v>
      </c>
      <c r="CN3272">
        <v>0</v>
      </c>
      <c r="CO3272">
        <v>7</v>
      </c>
      <c r="CP3272" t="s">
        <v>119</v>
      </c>
      <c r="CQ3272">
        <v>180</v>
      </c>
      <c r="CR3272">
        <v>3</v>
      </c>
      <c r="CW3272">
        <v>1115013</v>
      </c>
      <c r="CY3272">
        <v>1</v>
      </c>
      <c r="CZ3272">
        <v>0</v>
      </c>
      <c r="DA3272">
        <v>1</v>
      </c>
      <c r="DB3272">
        <v>0</v>
      </c>
      <c r="DC3272">
        <v>0</v>
      </c>
      <c r="DD3272">
        <v>0</v>
      </c>
      <c r="DE3272">
        <v>0</v>
      </c>
      <c r="DF3272">
        <v>0</v>
      </c>
      <c r="DG3272">
        <v>0</v>
      </c>
      <c r="DH3272">
        <v>0</v>
      </c>
      <c r="DI3272">
        <v>0</v>
      </c>
    </row>
    <row r="3273" spans="1:113" x14ac:dyDescent="0.3">
      <c r="A3273" t="str">
        <f>"02/08/2021 20:32:12.989"</f>
        <v>02/08/2021 20:32:12.989</v>
      </c>
      <c r="C3273" t="str">
        <f t="shared" si="157"/>
        <v>FFDFD7C0</v>
      </c>
      <c r="D3273" t="s">
        <v>124</v>
      </c>
      <c r="E3273">
        <v>11</v>
      </c>
      <c r="F3273">
        <v>1011</v>
      </c>
      <c r="G3273" t="s">
        <v>590</v>
      </c>
      <c r="J3273" t="s">
        <v>125</v>
      </c>
      <c r="K3273">
        <v>0</v>
      </c>
      <c r="L3273">
        <v>3</v>
      </c>
      <c r="M3273">
        <v>0</v>
      </c>
      <c r="N3273">
        <v>2</v>
      </c>
      <c r="O3273">
        <v>1</v>
      </c>
      <c r="P3273">
        <v>0</v>
      </c>
      <c r="Q3273">
        <v>0</v>
      </c>
      <c r="S3273" t="str">
        <f>"20:32:15.313"</f>
        <v>20:32:15.313</v>
      </c>
      <c r="T3273" t="str">
        <f>"20:32:14.913"</f>
        <v>20:32:14.913</v>
      </c>
      <c r="U3273" t="str">
        <f t="shared" si="159"/>
        <v>AB01F4</v>
      </c>
      <c r="V3273">
        <v>0</v>
      </c>
      <c r="W3273">
        <v>0</v>
      </c>
      <c r="X3273">
        <v>2</v>
      </c>
      <c r="Z3273">
        <v>0</v>
      </c>
      <c r="AA3273">
        <v>9</v>
      </c>
      <c r="AB3273">
        <v>3</v>
      </c>
      <c r="AC3273">
        <v>0</v>
      </c>
      <c r="AD3273">
        <v>10</v>
      </c>
      <c r="AE3273">
        <v>0</v>
      </c>
      <c r="AF3273">
        <v>3</v>
      </c>
      <c r="AG3273">
        <v>2</v>
      </c>
      <c r="AH3273">
        <v>0</v>
      </c>
      <c r="AI3273" t="s">
        <v>1885</v>
      </c>
      <c r="AJ3273">
        <v>40.064757</v>
      </c>
      <c r="AK3273" t="s">
        <v>1886</v>
      </c>
      <c r="AL3273">
        <v>-92.924916999999994</v>
      </c>
      <c r="AM3273">
        <v>100</v>
      </c>
      <c r="AN3273">
        <v>1300</v>
      </c>
      <c r="AO3273" t="s">
        <v>118</v>
      </c>
      <c r="AP3273">
        <v>-105</v>
      </c>
      <c r="AQ3273">
        <v>76</v>
      </c>
      <c r="AR3273">
        <v>-128</v>
      </c>
      <c r="AZ3273">
        <v>1200</v>
      </c>
      <c r="BA3273">
        <v>1</v>
      </c>
      <c r="BB3273" t="str">
        <f t="shared" si="158"/>
        <v xml:space="preserve">N8080G  </v>
      </c>
      <c r="BC3273">
        <v>1</v>
      </c>
      <c r="BE3273">
        <v>0</v>
      </c>
      <c r="BF3273">
        <v>0</v>
      </c>
      <c r="BG3273">
        <v>0</v>
      </c>
      <c r="BH3273">
        <v>1350</v>
      </c>
      <c r="BI3273">
        <v>1</v>
      </c>
      <c r="BJ3273">
        <v>1</v>
      </c>
      <c r="BK3273">
        <v>1</v>
      </c>
      <c r="BL3273">
        <v>0</v>
      </c>
      <c r="BO3273">
        <v>0</v>
      </c>
      <c r="BP3273">
        <v>0</v>
      </c>
      <c r="BW3273" t="str">
        <f>"20:32:15.315"</f>
        <v>20:32:15.315</v>
      </c>
      <c r="BZ3273">
        <v>0</v>
      </c>
      <c r="CA3273">
        <v>1600</v>
      </c>
      <c r="CB3273">
        <v>224</v>
      </c>
      <c r="CD3273">
        <v>1</v>
      </c>
      <c r="CE3273">
        <v>0</v>
      </c>
      <c r="CF3273">
        <v>0</v>
      </c>
      <c r="CG3273">
        <v>1</v>
      </c>
      <c r="CH3273">
        <v>0</v>
      </c>
      <c r="CI3273">
        <v>0</v>
      </c>
      <c r="CJ3273">
        <v>0</v>
      </c>
      <c r="CK3273">
        <v>2</v>
      </c>
      <c r="CL3273">
        <v>0</v>
      </c>
      <c r="CM3273">
        <v>2</v>
      </c>
      <c r="CN3273">
        <v>0</v>
      </c>
      <c r="CO3273">
        <v>7</v>
      </c>
      <c r="CP3273" t="s">
        <v>119</v>
      </c>
      <c r="CQ3273">
        <v>180</v>
      </c>
      <c r="CR3273">
        <v>3</v>
      </c>
      <c r="CW3273">
        <v>1115013</v>
      </c>
      <c r="CY3273">
        <v>1</v>
      </c>
      <c r="CZ3273">
        <v>0</v>
      </c>
      <c r="DA3273">
        <v>1</v>
      </c>
      <c r="DB3273">
        <v>0</v>
      </c>
      <c r="DC3273">
        <v>0</v>
      </c>
      <c r="DD3273">
        <v>0</v>
      </c>
      <c r="DE3273">
        <v>0</v>
      </c>
      <c r="DF3273">
        <v>0</v>
      </c>
      <c r="DG3273">
        <v>0</v>
      </c>
      <c r="DH3273">
        <v>0</v>
      </c>
      <c r="DI3273">
        <v>0</v>
      </c>
    </row>
    <row r="3274" spans="1:113" x14ac:dyDescent="0.3">
      <c r="A3274" t="str">
        <f>"02/08/2021 20:32:12.989"</f>
        <v>02/08/2021 20:32:12.989</v>
      </c>
      <c r="C3274" t="str">
        <f t="shared" si="157"/>
        <v>FFDFD7C0</v>
      </c>
      <c r="D3274" t="s">
        <v>124</v>
      </c>
      <c r="E3274">
        <v>12</v>
      </c>
      <c r="F3274">
        <v>1012</v>
      </c>
      <c r="G3274" t="s">
        <v>675</v>
      </c>
      <c r="J3274" t="s">
        <v>125</v>
      </c>
      <c r="K3274">
        <v>0</v>
      </c>
      <c r="L3274">
        <v>3</v>
      </c>
      <c r="M3274">
        <v>0</v>
      </c>
      <c r="N3274">
        <v>2</v>
      </c>
      <c r="O3274">
        <v>1</v>
      </c>
      <c r="P3274">
        <v>0</v>
      </c>
      <c r="Q3274">
        <v>0</v>
      </c>
      <c r="S3274" t="str">
        <f>"20:32:15.313"</f>
        <v>20:32:15.313</v>
      </c>
      <c r="T3274" t="str">
        <f>"20:32:14.913"</f>
        <v>20:32:14.913</v>
      </c>
      <c r="U3274" t="str">
        <f t="shared" si="159"/>
        <v>AB01F4</v>
      </c>
      <c r="V3274">
        <v>0</v>
      </c>
      <c r="W3274">
        <v>0</v>
      </c>
      <c r="X3274">
        <v>2</v>
      </c>
      <c r="Z3274">
        <v>0</v>
      </c>
      <c r="AA3274">
        <v>9</v>
      </c>
      <c r="AB3274">
        <v>3</v>
      </c>
      <c r="AC3274">
        <v>0</v>
      </c>
      <c r="AD3274">
        <v>10</v>
      </c>
      <c r="AE3274">
        <v>0</v>
      </c>
      <c r="AF3274">
        <v>3</v>
      </c>
      <c r="AG3274">
        <v>2</v>
      </c>
      <c r="AH3274">
        <v>0</v>
      </c>
      <c r="AI3274" t="s">
        <v>1885</v>
      </c>
      <c r="AJ3274">
        <v>40.064757</v>
      </c>
      <c r="AK3274" t="s">
        <v>1886</v>
      </c>
      <c r="AL3274">
        <v>-92.924916999999994</v>
      </c>
      <c r="AM3274">
        <v>100</v>
      </c>
      <c r="AN3274">
        <v>1300</v>
      </c>
      <c r="AO3274" t="s">
        <v>118</v>
      </c>
      <c r="AP3274">
        <v>-105</v>
      </c>
      <c r="AQ3274">
        <v>76</v>
      </c>
      <c r="AR3274">
        <v>-128</v>
      </c>
      <c r="AZ3274">
        <v>1200</v>
      </c>
      <c r="BA3274">
        <v>1</v>
      </c>
      <c r="BB3274" t="str">
        <f t="shared" si="158"/>
        <v xml:space="preserve">N8080G  </v>
      </c>
      <c r="BC3274">
        <v>1</v>
      </c>
      <c r="BE3274">
        <v>0</v>
      </c>
      <c r="BF3274">
        <v>0</v>
      </c>
      <c r="BG3274">
        <v>0</v>
      </c>
      <c r="BH3274">
        <v>1350</v>
      </c>
      <c r="BI3274">
        <v>1</v>
      </c>
      <c r="BJ3274">
        <v>1</v>
      </c>
      <c r="BK3274">
        <v>1</v>
      </c>
      <c r="BL3274">
        <v>0</v>
      </c>
      <c r="BO3274">
        <v>0</v>
      </c>
      <c r="BP3274">
        <v>0</v>
      </c>
      <c r="BW3274" t="str">
        <f>"20:32:15.315"</f>
        <v>20:32:15.315</v>
      </c>
      <c r="BZ3274">
        <v>0</v>
      </c>
      <c r="CA3274">
        <v>1600</v>
      </c>
      <c r="CB3274">
        <v>224</v>
      </c>
      <c r="CD3274">
        <v>1</v>
      </c>
      <c r="CE3274">
        <v>0</v>
      </c>
      <c r="CF3274">
        <v>0</v>
      </c>
      <c r="CG3274">
        <v>1</v>
      </c>
      <c r="CH3274">
        <v>0</v>
      </c>
      <c r="CI3274">
        <v>0</v>
      </c>
      <c r="CJ3274">
        <v>0</v>
      </c>
      <c r="CK3274">
        <v>2</v>
      </c>
      <c r="CL3274">
        <v>0</v>
      </c>
      <c r="CM3274">
        <v>2</v>
      </c>
      <c r="CN3274">
        <v>0</v>
      </c>
      <c r="CO3274">
        <v>7</v>
      </c>
      <c r="CP3274" t="s">
        <v>119</v>
      </c>
      <c r="CQ3274">
        <v>180</v>
      </c>
      <c r="CR3274">
        <v>3</v>
      </c>
      <c r="CW3274">
        <v>1115013</v>
      </c>
      <c r="CY3274">
        <v>1</v>
      </c>
      <c r="CZ3274">
        <v>0</v>
      </c>
      <c r="DA3274">
        <v>1</v>
      </c>
      <c r="DB3274">
        <v>0</v>
      </c>
      <c r="DC3274">
        <v>0</v>
      </c>
      <c r="DD3274">
        <v>0</v>
      </c>
      <c r="DE3274">
        <v>0</v>
      </c>
      <c r="DF3274">
        <v>0</v>
      </c>
      <c r="DG3274">
        <v>0</v>
      </c>
      <c r="DH3274">
        <v>0</v>
      </c>
      <c r="DI3274">
        <v>0</v>
      </c>
    </row>
    <row r="3275" spans="1:113" x14ac:dyDescent="0.3">
      <c r="A3275" t="str">
        <f>"02/08/2021 20:32:13.944"</f>
        <v>02/08/2021 20:32:13.944</v>
      </c>
      <c r="C3275" t="str">
        <f t="shared" si="157"/>
        <v>FFDFD7C0</v>
      </c>
      <c r="D3275" t="s">
        <v>124</v>
      </c>
      <c r="E3275">
        <v>13</v>
      </c>
      <c r="F3275">
        <v>1013</v>
      </c>
      <c r="G3275" t="s">
        <v>114</v>
      </c>
      <c r="J3275" t="s">
        <v>125</v>
      </c>
      <c r="K3275">
        <v>0</v>
      </c>
      <c r="L3275">
        <v>3</v>
      </c>
      <c r="M3275">
        <v>0</v>
      </c>
      <c r="N3275">
        <v>2</v>
      </c>
      <c r="O3275">
        <v>1</v>
      </c>
      <c r="P3275">
        <v>0</v>
      </c>
      <c r="Q3275">
        <v>0</v>
      </c>
      <c r="S3275" t="str">
        <f>"20:32:16.242"</f>
        <v>20:32:16.242</v>
      </c>
      <c r="T3275" t="str">
        <f>"20:32:15.842"</f>
        <v>20:32:15.842</v>
      </c>
      <c r="U3275" t="str">
        <f t="shared" si="159"/>
        <v>AB01F4</v>
      </c>
      <c r="V3275">
        <v>0</v>
      </c>
      <c r="W3275">
        <v>0</v>
      </c>
      <c r="X3275">
        <v>2</v>
      </c>
      <c r="Z3275">
        <v>0</v>
      </c>
      <c r="AA3275">
        <v>9</v>
      </c>
      <c r="AB3275">
        <v>3</v>
      </c>
      <c r="AC3275">
        <v>0</v>
      </c>
      <c r="AD3275">
        <v>10</v>
      </c>
      <c r="AE3275">
        <v>0</v>
      </c>
      <c r="AF3275">
        <v>3</v>
      </c>
      <c r="AG3275">
        <v>2</v>
      </c>
      <c r="AH3275">
        <v>0</v>
      </c>
      <c r="AI3275" t="s">
        <v>1887</v>
      </c>
      <c r="AJ3275">
        <v>40.065142999999999</v>
      </c>
      <c r="AK3275" t="s">
        <v>1888</v>
      </c>
      <c r="AL3275">
        <v>-92.925539000000001</v>
      </c>
      <c r="AM3275">
        <v>100</v>
      </c>
      <c r="AN3275">
        <v>1300</v>
      </c>
      <c r="AO3275" t="s">
        <v>118</v>
      </c>
      <c r="AP3275">
        <v>-105</v>
      </c>
      <c r="AQ3275">
        <v>76</v>
      </c>
      <c r="AR3275">
        <v>-64</v>
      </c>
      <c r="AZ3275">
        <v>1200</v>
      </c>
      <c r="BA3275">
        <v>1</v>
      </c>
      <c r="BB3275" t="str">
        <f t="shared" si="158"/>
        <v xml:space="preserve">N8080G  </v>
      </c>
      <c r="BC3275">
        <v>1</v>
      </c>
      <c r="BE3275">
        <v>0</v>
      </c>
      <c r="BF3275">
        <v>0</v>
      </c>
      <c r="BG3275">
        <v>0</v>
      </c>
      <c r="BH3275">
        <v>1350</v>
      </c>
      <c r="BI3275">
        <v>1</v>
      </c>
      <c r="BJ3275">
        <v>1</v>
      </c>
      <c r="BK3275">
        <v>1</v>
      </c>
      <c r="BL3275">
        <v>0</v>
      </c>
      <c r="BO3275">
        <v>0</v>
      </c>
      <c r="BP3275">
        <v>0</v>
      </c>
      <c r="BW3275" t="str">
        <f>"20:32:16.249"</f>
        <v>20:32:16.249</v>
      </c>
      <c r="BZ3275">
        <v>0</v>
      </c>
      <c r="CA3275">
        <v>1600</v>
      </c>
      <c r="CB3275">
        <v>224</v>
      </c>
      <c r="CD3275">
        <v>1</v>
      </c>
      <c r="CE3275">
        <v>0</v>
      </c>
      <c r="CF3275">
        <v>0</v>
      </c>
      <c r="CG3275">
        <v>1</v>
      </c>
      <c r="CH3275">
        <v>0</v>
      </c>
      <c r="CI3275">
        <v>0</v>
      </c>
      <c r="CJ3275">
        <v>0</v>
      </c>
      <c r="CK3275">
        <v>2</v>
      </c>
      <c r="CL3275">
        <v>0</v>
      </c>
      <c r="CM3275">
        <v>2</v>
      </c>
      <c r="CN3275">
        <v>0</v>
      </c>
      <c r="CO3275">
        <v>7</v>
      </c>
      <c r="CP3275" t="s">
        <v>119</v>
      </c>
      <c r="CQ3275">
        <v>180</v>
      </c>
      <c r="CR3275">
        <v>2</v>
      </c>
      <c r="CW3275">
        <v>8771365</v>
      </c>
      <c r="CY3275">
        <v>1</v>
      </c>
      <c r="CZ3275">
        <v>0</v>
      </c>
      <c r="DA3275">
        <v>0</v>
      </c>
      <c r="DB3275">
        <v>0</v>
      </c>
      <c r="DC3275">
        <v>0</v>
      </c>
      <c r="DD3275">
        <v>0</v>
      </c>
      <c r="DE3275">
        <v>0</v>
      </c>
      <c r="DF3275">
        <v>0</v>
      </c>
      <c r="DG3275">
        <v>0</v>
      </c>
      <c r="DH3275">
        <v>0</v>
      </c>
      <c r="DI3275">
        <v>0</v>
      </c>
    </row>
    <row r="3276" spans="1:113" x14ac:dyDescent="0.3">
      <c r="A3276" t="str">
        <f>"02/08/2021 20:32:13.944"</f>
        <v>02/08/2021 20:32:13.944</v>
      </c>
      <c r="C3276" t="str">
        <f t="shared" si="157"/>
        <v>FFDFD7C0</v>
      </c>
      <c r="D3276" t="s">
        <v>113</v>
      </c>
      <c r="E3276">
        <v>6</v>
      </c>
      <c r="H3276">
        <v>165</v>
      </c>
      <c r="I3276" t="s">
        <v>114</v>
      </c>
      <c r="J3276" t="s">
        <v>115</v>
      </c>
      <c r="K3276">
        <v>0</v>
      </c>
      <c r="L3276">
        <v>3</v>
      </c>
      <c r="M3276">
        <v>0</v>
      </c>
      <c r="N3276">
        <v>2</v>
      </c>
      <c r="O3276">
        <v>1</v>
      </c>
      <c r="P3276">
        <v>0</v>
      </c>
      <c r="Q3276">
        <v>0</v>
      </c>
      <c r="S3276" t="str">
        <f>"20:32:16.242"</f>
        <v>20:32:16.242</v>
      </c>
      <c r="T3276" t="str">
        <f>"20:32:15.842"</f>
        <v>20:32:15.842</v>
      </c>
      <c r="U3276" t="str">
        <f t="shared" si="159"/>
        <v>AB01F4</v>
      </c>
      <c r="V3276">
        <v>0</v>
      </c>
      <c r="W3276">
        <v>0</v>
      </c>
      <c r="X3276">
        <v>2</v>
      </c>
      <c r="Z3276">
        <v>0</v>
      </c>
      <c r="AA3276">
        <v>9</v>
      </c>
      <c r="AB3276">
        <v>3</v>
      </c>
      <c r="AC3276">
        <v>0</v>
      </c>
      <c r="AD3276">
        <v>10</v>
      </c>
      <c r="AE3276">
        <v>0</v>
      </c>
      <c r="AF3276">
        <v>3</v>
      </c>
      <c r="AG3276">
        <v>2</v>
      </c>
      <c r="AH3276">
        <v>0</v>
      </c>
      <c r="AI3276" t="s">
        <v>1887</v>
      </c>
      <c r="AJ3276">
        <v>40.065142999999999</v>
      </c>
      <c r="AK3276" t="s">
        <v>1888</v>
      </c>
      <c r="AL3276">
        <v>-92.925539000000001</v>
      </c>
      <c r="AM3276">
        <v>100</v>
      </c>
      <c r="AN3276">
        <v>1300</v>
      </c>
      <c r="AO3276" t="s">
        <v>118</v>
      </c>
      <c r="AP3276">
        <v>-105</v>
      </c>
      <c r="AQ3276">
        <v>76</v>
      </c>
      <c r="AR3276">
        <v>-64</v>
      </c>
      <c r="AZ3276">
        <v>1200</v>
      </c>
      <c r="BA3276">
        <v>1</v>
      </c>
      <c r="BB3276" t="str">
        <f t="shared" si="158"/>
        <v xml:space="preserve">N8080G  </v>
      </c>
      <c r="BC3276">
        <v>1</v>
      </c>
      <c r="BE3276">
        <v>0</v>
      </c>
      <c r="BF3276">
        <v>0</v>
      </c>
      <c r="BG3276">
        <v>0</v>
      </c>
      <c r="BH3276">
        <v>1350</v>
      </c>
      <c r="BI3276">
        <v>1</v>
      </c>
      <c r="BJ3276">
        <v>1</v>
      </c>
      <c r="BK3276">
        <v>1</v>
      </c>
      <c r="BL3276">
        <v>0</v>
      </c>
      <c r="BO3276">
        <v>0</v>
      </c>
      <c r="BP3276">
        <v>0</v>
      </c>
      <c r="BW3276" t="str">
        <f>"20:32:16.249"</f>
        <v>20:32:16.249</v>
      </c>
      <c r="BZ3276">
        <v>0</v>
      </c>
      <c r="CA3276">
        <v>1600</v>
      </c>
      <c r="CB3276">
        <v>224</v>
      </c>
      <c r="CD3276">
        <v>1</v>
      </c>
      <c r="CE3276">
        <v>0</v>
      </c>
      <c r="CF3276">
        <v>0</v>
      </c>
      <c r="CG3276">
        <v>1</v>
      </c>
      <c r="CH3276">
        <v>0</v>
      </c>
      <c r="CI3276">
        <v>0</v>
      </c>
      <c r="CJ3276">
        <v>0</v>
      </c>
      <c r="CK3276">
        <v>2</v>
      </c>
      <c r="CL3276">
        <v>0</v>
      </c>
      <c r="CM3276">
        <v>2</v>
      </c>
      <c r="CN3276">
        <v>0</v>
      </c>
      <c r="CO3276">
        <v>7</v>
      </c>
      <c r="CP3276" t="s">
        <v>119</v>
      </c>
      <c r="CQ3276">
        <v>180</v>
      </c>
      <c r="CR3276">
        <v>2</v>
      </c>
      <c r="CW3276">
        <v>8771365</v>
      </c>
      <c r="CY3276">
        <v>1</v>
      </c>
      <c r="CZ3276">
        <v>0</v>
      </c>
      <c r="DA3276">
        <v>1</v>
      </c>
      <c r="DB3276">
        <v>0</v>
      </c>
      <c r="DC3276">
        <v>0</v>
      </c>
      <c r="DD3276">
        <v>0</v>
      </c>
      <c r="DE3276">
        <v>0</v>
      </c>
      <c r="DF3276">
        <v>0</v>
      </c>
      <c r="DG3276">
        <v>0</v>
      </c>
      <c r="DH3276">
        <v>0</v>
      </c>
      <c r="DI3276">
        <v>0</v>
      </c>
    </row>
    <row r="3277" spans="1:113" x14ac:dyDescent="0.3">
      <c r="A3277" t="str">
        <f>"02/08/2021 20:32:13.944"</f>
        <v>02/08/2021 20:32:13.944</v>
      </c>
      <c r="C3277" t="str">
        <f t="shared" si="157"/>
        <v>FFDFD7C0</v>
      </c>
      <c r="D3277" t="s">
        <v>124</v>
      </c>
      <c r="E3277">
        <v>11</v>
      </c>
      <c r="F3277">
        <v>1011</v>
      </c>
      <c r="G3277" t="s">
        <v>590</v>
      </c>
      <c r="J3277" t="s">
        <v>125</v>
      </c>
      <c r="K3277">
        <v>0</v>
      </c>
      <c r="L3277">
        <v>3</v>
      </c>
      <c r="M3277">
        <v>0</v>
      </c>
      <c r="N3277">
        <v>2</v>
      </c>
      <c r="O3277">
        <v>1</v>
      </c>
      <c r="P3277">
        <v>0</v>
      </c>
      <c r="Q3277">
        <v>0</v>
      </c>
      <c r="S3277" t="str">
        <f>"20:32:16.242"</f>
        <v>20:32:16.242</v>
      </c>
      <c r="T3277" t="str">
        <f>"20:32:15.842"</f>
        <v>20:32:15.842</v>
      </c>
      <c r="U3277" t="str">
        <f t="shared" si="159"/>
        <v>AB01F4</v>
      </c>
      <c r="V3277">
        <v>0</v>
      </c>
      <c r="W3277">
        <v>0</v>
      </c>
      <c r="X3277">
        <v>2</v>
      </c>
      <c r="Z3277">
        <v>0</v>
      </c>
      <c r="AA3277">
        <v>9</v>
      </c>
      <c r="AB3277">
        <v>3</v>
      </c>
      <c r="AC3277">
        <v>0</v>
      </c>
      <c r="AD3277">
        <v>10</v>
      </c>
      <c r="AE3277">
        <v>0</v>
      </c>
      <c r="AF3277">
        <v>3</v>
      </c>
      <c r="AG3277">
        <v>2</v>
      </c>
      <c r="AH3277">
        <v>0</v>
      </c>
      <c r="AI3277" t="s">
        <v>1887</v>
      </c>
      <c r="AJ3277">
        <v>40.065142999999999</v>
      </c>
      <c r="AK3277" t="s">
        <v>1888</v>
      </c>
      <c r="AL3277">
        <v>-92.925539000000001</v>
      </c>
      <c r="AM3277">
        <v>100</v>
      </c>
      <c r="AN3277">
        <v>1300</v>
      </c>
      <c r="AO3277" t="s">
        <v>118</v>
      </c>
      <c r="AP3277">
        <v>-105</v>
      </c>
      <c r="AQ3277">
        <v>76</v>
      </c>
      <c r="AR3277">
        <v>-64</v>
      </c>
      <c r="AZ3277">
        <v>1200</v>
      </c>
      <c r="BA3277">
        <v>1</v>
      </c>
      <c r="BB3277" t="str">
        <f t="shared" si="158"/>
        <v xml:space="preserve">N8080G  </v>
      </c>
      <c r="BC3277">
        <v>1</v>
      </c>
      <c r="BE3277">
        <v>0</v>
      </c>
      <c r="BF3277">
        <v>0</v>
      </c>
      <c r="BG3277">
        <v>0</v>
      </c>
      <c r="BH3277">
        <v>1350</v>
      </c>
      <c r="BI3277">
        <v>1</v>
      </c>
      <c r="BJ3277">
        <v>1</v>
      </c>
      <c r="BK3277">
        <v>1</v>
      </c>
      <c r="BL3277">
        <v>0</v>
      </c>
      <c r="BO3277">
        <v>0</v>
      </c>
      <c r="BP3277">
        <v>0</v>
      </c>
      <c r="BW3277" t="str">
        <f>"20:32:16.249"</f>
        <v>20:32:16.249</v>
      </c>
      <c r="BZ3277">
        <v>0</v>
      </c>
      <c r="CA3277">
        <v>1600</v>
      </c>
      <c r="CB3277">
        <v>224</v>
      </c>
      <c r="CD3277">
        <v>1</v>
      </c>
      <c r="CE3277">
        <v>0</v>
      </c>
      <c r="CF3277">
        <v>0</v>
      </c>
      <c r="CG3277">
        <v>1</v>
      </c>
      <c r="CH3277">
        <v>0</v>
      </c>
      <c r="CI3277">
        <v>0</v>
      </c>
      <c r="CJ3277">
        <v>0</v>
      </c>
      <c r="CK3277">
        <v>2</v>
      </c>
      <c r="CL3277">
        <v>0</v>
      </c>
      <c r="CM3277">
        <v>2</v>
      </c>
      <c r="CN3277">
        <v>0</v>
      </c>
      <c r="CO3277">
        <v>7</v>
      </c>
      <c r="CP3277" t="s">
        <v>119</v>
      </c>
      <c r="CQ3277">
        <v>180</v>
      </c>
      <c r="CR3277">
        <v>2</v>
      </c>
      <c r="CW3277">
        <v>8771365</v>
      </c>
      <c r="CY3277">
        <v>1</v>
      </c>
      <c r="CZ3277">
        <v>0</v>
      </c>
      <c r="DA3277">
        <v>1</v>
      </c>
      <c r="DB3277">
        <v>0</v>
      </c>
      <c r="DC3277">
        <v>0</v>
      </c>
      <c r="DD3277">
        <v>0</v>
      </c>
      <c r="DE3277">
        <v>0</v>
      </c>
      <c r="DF3277">
        <v>0</v>
      </c>
      <c r="DG3277">
        <v>0</v>
      </c>
      <c r="DH3277">
        <v>0</v>
      </c>
      <c r="DI3277">
        <v>0</v>
      </c>
    </row>
    <row r="3278" spans="1:113" x14ac:dyDescent="0.3">
      <c r="A3278" t="str">
        <f>"02/08/2021 20:32:13.944"</f>
        <v>02/08/2021 20:32:13.944</v>
      </c>
      <c r="C3278" t="str">
        <f t="shared" si="157"/>
        <v>FFDFD7C0</v>
      </c>
      <c r="D3278" t="s">
        <v>124</v>
      </c>
      <c r="E3278">
        <v>12</v>
      </c>
      <c r="F3278">
        <v>1012</v>
      </c>
      <c r="G3278" t="s">
        <v>675</v>
      </c>
      <c r="J3278" t="s">
        <v>125</v>
      </c>
      <c r="K3278">
        <v>0</v>
      </c>
      <c r="L3278">
        <v>3</v>
      </c>
      <c r="M3278">
        <v>0</v>
      </c>
      <c r="N3278">
        <v>2</v>
      </c>
      <c r="O3278">
        <v>1</v>
      </c>
      <c r="P3278">
        <v>0</v>
      </c>
      <c r="Q3278">
        <v>0</v>
      </c>
      <c r="S3278" t="str">
        <f>"20:32:16.242"</f>
        <v>20:32:16.242</v>
      </c>
      <c r="T3278" t="str">
        <f>"20:32:15.842"</f>
        <v>20:32:15.842</v>
      </c>
      <c r="U3278" t="str">
        <f t="shared" si="159"/>
        <v>AB01F4</v>
      </c>
      <c r="V3278">
        <v>0</v>
      </c>
      <c r="W3278">
        <v>0</v>
      </c>
      <c r="X3278">
        <v>2</v>
      </c>
      <c r="Z3278">
        <v>0</v>
      </c>
      <c r="AA3278">
        <v>9</v>
      </c>
      <c r="AB3278">
        <v>3</v>
      </c>
      <c r="AC3278">
        <v>0</v>
      </c>
      <c r="AD3278">
        <v>10</v>
      </c>
      <c r="AE3278">
        <v>0</v>
      </c>
      <c r="AF3278">
        <v>3</v>
      </c>
      <c r="AG3278">
        <v>2</v>
      </c>
      <c r="AH3278">
        <v>0</v>
      </c>
      <c r="AI3278" t="s">
        <v>1887</v>
      </c>
      <c r="AJ3278">
        <v>40.065142999999999</v>
      </c>
      <c r="AK3278" t="s">
        <v>1888</v>
      </c>
      <c r="AL3278">
        <v>-92.925539000000001</v>
      </c>
      <c r="AM3278">
        <v>100</v>
      </c>
      <c r="AN3278">
        <v>1300</v>
      </c>
      <c r="AO3278" t="s">
        <v>118</v>
      </c>
      <c r="AP3278">
        <v>-105</v>
      </c>
      <c r="AQ3278">
        <v>76</v>
      </c>
      <c r="AR3278">
        <v>-64</v>
      </c>
      <c r="AZ3278">
        <v>1200</v>
      </c>
      <c r="BA3278">
        <v>1</v>
      </c>
      <c r="BB3278" t="str">
        <f t="shared" si="158"/>
        <v xml:space="preserve">N8080G  </v>
      </c>
      <c r="BC3278">
        <v>1</v>
      </c>
      <c r="BE3278">
        <v>0</v>
      </c>
      <c r="BF3278">
        <v>0</v>
      </c>
      <c r="BG3278">
        <v>0</v>
      </c>
      <c r="BH3278">
        <v>1350</v>
      </c>
      <c r="BI3278">
        <v>1</v>
      </c>
      <c r="BJ3278">
        <v>1</v>
      </c>
      <c r="BK3278">
        <v>1</v>
      </c>
      <c r="BL3278">
        <v>0</v>
      </c>
      <c r="BO3278">
        <v>0</v>
      </c>
      <c r="BP3278">
        <v>0</v>
      </c>
      <c r="BW3278" t="str">
        <f>"20:32:16.249"</f>
        <v>20:32:16.249</v>
      </c>
      <c r="BZ3278">
        <v>0</v>
      </c>
      <c r="CA3278">
        <v>1600</v>
      </c>
      <c r="CB3278">
        <v>224</v>
      </c>
      <c r="CD3278">
        <v>1</v>
      </c>
      <c r="CE3278">
        <v>0</v>
      </c>
      <c r="CF3278">
        <v>0</v>
      </c>
      <c r="CG3278">
        <v>1</v>
      </c>
      <c r="CH3278">
        <v>0</v>
      </c>
      <c r="CI3278">
        <v>0</v>
      </c>
      <c r="CJ3278">
        <v>0</v>
      </c>
      <c r="CK3278">
        <v>2</v>
      </c>
      <c r="CL3278">
        <v>0</v>
      </c>
      <c r="CM3278">
        <v>2</v>
      </c>
      <c r="CN3278">
        <v>0</v>
      </c>
      <c r="CO3278">
        <v>7</v>
      </c>
      <c r="CP3278" t="s">
        <v>119</v>
      </c>
      <c r="CQ3278">
        <v>180</v>
      </c>
      <c r="CR3278">
        <v>2</v>
      </c>
      <c r="CW3278">
        <v>8771365</v>
      </c>
      <c r="CY3278">
        <v>1</v>
      </c>
      <c r="CZ3278">
        <v>0</v>
      </c>
      <c r="DA3278">
        <v>1</v>
      </c>
      <c r="DB3278">
        <v>0</v>
      </c>
      <c r="DC3278">
        <v>0</v>
      </c>
      <c r="DD3278">
        <v>0</v>
      </c>
      <c r="DE3278">
        <v>0</v>
      </c>
      <c r="DF3278">
        <v>0</v>
      </c>
      <c r="DG3278">
        <v>0</v>
      </c>
      <c r="DH3278">
        <v>0</v>
      </c>
      <c r="DI3278">
        <v>0</v>
      </c>
    </row>
    <row r="3279" spans="1:113" x14ac:dyDescent="0.3">
      <c r="A3279" t="str">
        <f>"02/08/2021 20:32:15.020"</f>
        <v>02/08/2021 20:32:15.020</v>
      </c>
      <c r="C3279" t="str">
        <f t="shared" si="157"/>
        <v>FFDFD7C0</v>
      </c>
      <c r="D3279" t="s">
        <v>124</v>
      </c>
      <c r="E3279">
        <v>12</v>
      </c>
      <c r="F3279">
        <v>1012</v>
      </c>
      <c r="G3279" t="s">
        <v>675</v>
      </c>
      <c r="J3279" t="s">
        <v>125</v>
      </c>
      <c r="K3279">
        <v>0</v>
      </c>
      <c r="L3279">
        <v>3</v>
      </c>
      <c r="M3279">
        <v>0</v>
      </c>
      <c r="N3279">
        <v>2</v>
      </c>
      <c r="O3279">
        <v>1</v>
      </c>
      <c r="P3279">
        <v>0</v>
      </c>
      <c r="Q3279">
        <v>0</v>
      </c>
      <c r="S3279" t="str">
        <f>"20:32:17.328"</f>
        <v>20:32:17.328</v>
      </c>
      <c r="T3279" t="str">
        <f>"20:32:16.928"</f>
        <v>20:32:16.928</v>
      </c>
      <c r="U3279" t="str">
        <f t="shared" si="159"/>
        <v>AB01F4</v>
      </c>
      <c r="V3279">
        <v>0</v>
      </c>
      <c r="W3279">
        <v>0</v>
      </c>
      <c r="X3279">
        <v>2</v>
      </c>
      <c r="Z3279">
        <v>0</v>
      </c>
      <c r="AA3279">
        <v>9</v>
      </c>
      <c r="AB3279">
        <v>3</v>
      </c>
      <c r="AC3279">
        <v>0</v>
      </c>
      <c r="AD3279">
        <v>10</v>
      </c>
      <c r="AE3279">
        <v>0</v>
      </c>
      <c r="AF3279">
        <v>3</v>
      </c>
      <c r="AG3279">
        <v>2</v>
      </c>
      <c r="AH3279">
        <v>0</v>
      </c>
      <c r="AI3279" t="s">
        <v>1889</v>
      </c>
      <c r="AJ3279">
        <v>40.065486</v>
      </c>
      <c r="AK3279" t="s">
        <v>1890</v>
      </c>
      <c r="AL3279">
        <v>-92.926269000000005</v>
      </c>
      <c r="AM3279">
        <v>100</v>
      </c>
      <c r="AN3279">
        <v>1300</v>
      </c>
      <c r="AO3279" t="s">
        <v>118</v>
      </c>
      <c r="AP3279">
        <v>-105</v>
      </c>
      <c r="AQ3279">
        <v>77</v>
      </c>
      <c r="AR3279">
        <v>0</v>
      </c>
      <c r="AZ3279">
        <v>1200</v>
      </c>
      <c r="BA3279">
        <v>1</v>
      </c>
      <c r="BB3279" t="str">
        <f t="shared" si="158"/>
        <v xml:space="preserve">N8080G  </v>
      </c>
      <c r="BC3279">
        <v>1</v>
      </c>
      <c r="BE3279">
        <v>0</v>
      </c>
      <c r="BF3279">
        <v>0</v>
      </c>
      <c r="BG3279">
        <v>0</v>
      </c>
      <c r="BH3279">
        <v>1350</v>
      </c>
      <c r="BI3279">
        <v>1</v>
      </c>
      <c r="BJ3279">
        <v>1</v>
      </c>
      <c r="BK3279">
        <v>1</v>
      </c>
      <c r="BL3279">
        <v>0</v>
      </c>
      <c r="BO3279">
        <v>0</v>
      </c>
      <c r="BP3279">
        <v>0</v>
      </c>
      <c r="BW3279" t="str">
        <f>"20:32:17.329"</f>
        <v>20:32:17.329</v>
      </c>
      <c r="BZ3279">
        <v>0</v>
      </c>
      <c r="CA3279">
        <v>1600</v>
      </c>
      <c r="CB3279">
        <v>224</v>
      </c>
      <c r="CD3279">
        <v>1</v>
      </c>
      <c r="CE3279">
        <v>0</v>
      </c>
      <c r="CF3279">
        <v>0</v>
      </c>
      <c r="CG3279">
        <v>1</v>
      </c>
      <c r="CH3279">
        <v>0</v>
      </c>
      <c r="CI3279">
        <v>0</v>
      </c>
      <c r="CJ3279">
        <v>0</v>
      </c>
      <c r="CK3279">
        <v>2</v>
      </c>
      <c r="CL3279">
        <v>0</v>
      </c>
      <c r="CM3279">
        <v>2</v>
      </c>
      <c r="CN3279">
        <v>0</v>
      </c>
      <c r="CO3279">
        <v>7</v>
      </c>
      <c r="CP3279" t="s">
        <v>119</v>
      </c>
      <c r="CQ3279">
        <v>180</v>
      </c>
      <c r="CR3279">
        <v>2</v>
      </c>
      <c r="CW3279">
        <v>8772259</v>
      </c>
      <c r="CY3279">
        <v>1</v>
      </c>
      <c r="CZ3279">
        <v>0</v>
      </c>
      <c r="DA3279">
        <v>0</v>
      </c>
      <c r="DB3279">
        <v>0</v>
      </c>
      <c r="DC3279">
        <v>0</v>
      </c>
      <c r="DD3279">
        <v>0</v>
      </c>
      <c r="DE3279">
        <v>0</v>
      </c>
      <c r="DF3279">
        <v>0</v>
      </c>
      <c r="DG3279">
        <v>0</v>
      </c>
      <c r="DH3279">
        <v>0</v>
      </c>
      <c r="DI3279">
        <v>0</v>
      </c>
    </row>
    <row r="3280" spans="1:113" x14ac:dyDescent="0.3">
      <c r="A3280" t="str">
        <f>"02/08/2021 20:32:15.020"</f>
        <v>02/08/2021 20:32:15.020</v>
      </c>
      <c r="C3280" t="str">
        <f t="shared" si="157"/>
        <v>FFDFD7C0</v>
      </c>
      <c r="D3280" t="s">
        <v>124</v>
      </c>
      <c r="E3280">
        <v>13</v>
      </c>
      <c r="F3280">
        <v>1013</v>
      </c>
      <c r="G3280" t="s">
        <v>114</v>
      </c>
      <c r="J3280" t="s">
        <v>125</v>
      </c>
      <c r="K3280">
        <v>0</v>
      </c>
      <c r="L3280">
        <v>3</v>
      </c>
      <c r="M3280">
        <v>0</v>
      </c>
      <c r="N3280">
        <v>2</v>
      </c>
      <c r="O3280">
        <v>1</v>
      </c>
      <c r="P3280">
        <v>0</v>
      </c>
      <c r="Q3280">
        <v>0</v>
      </c>
      <c r="S3280" t="str">
        <f>"20:32:17.328"</f>
        <v>20:32:17.328</v>
      </c>
      <c r="T3280" t="str">
        <f>"20:32:16.928"</f>
        <v>20:32:16.928</v>
      </c>
      <c r="U3280" t="str">
        <f t="shared" si="159"/>
        <v>AB01F4</v>
      </c>
      <c r="V3280">
        <v>0</v>
      </c>
      <c r="W3280">
        <v>0</v>
      </c>
      <c r="X3280">
        <v>2</v>
      </c>
      <c r="Z3280">
        <v>0</v>
      </c>
      <c r="AA3280">
        <v>9</v>
      </c>
      <c r="AB3280">
        <v>3</v>
      </c>
      <c r="AC3280">
        <v>0</v>
      </c>
      <c r="AD3280">
        <v>10</v>
      </c>
      <c r="AE3280">
        <v>0</v>
      </c>
      <c r="AF3280">
        <v>3</v>
      </c>
      <c r="AG3280">
        <v>2</v>
      </c>
      <c r="AH3280">
        <v>0</v>
      </c>
      <c r="AI3280" t="s">
        <v>1889</v>
      </c>
      <c r="AJ3280">
        <v>40.065486</v>
      </c>
      <c r="AK3280" t="s">
        <v>1890</v>
      </c>
      <c r="AL3280">
        <v>-92.926269000000005</v>
      </c>
      <c r="AM3280">
        <v>100</v>
      </c>
      <c r="AN3280">
        <v>1300</v>
      </c>
      <c r="AO3280" t="s">
        <v>118</v>
      </c>
      <c r="AP3280">
        <v>-105</v>
      </c>
      <c r="AQ3280">
        <v>77</v>
      </c>
      <c r="AR3280">
        <v>0</v>
      </c>
      <c r="AZ3280">
        <v>1200</v>
      </c>
      <c r="BA3280">
        <v>1</v>
      </c>
      <c r="BB3280" t="str">
        <f t="shared" si="158"/>
        <v xml:space="preserve">N8080G  </v>
      </c>
      <c r="BC3280">
        <v>1</v>
      </c>
      <c r="BE3280">
        <v>0</v>
      </c>
      <c r="BF3280">
        <v>0</v>
      </c>
      <c r="BG3280">
        <v>0</v>
      </c>
      <c r="BH3280">
        <v>1350</v>
      </c>
      <c r="BI3280">
        <v>1</v>
      </c>
      <c r="BJ3280">
        <v>1</v>
      </c>
      <c r="BK3280">
        <v>1</v>
      </c>
      <c r="BL3280">
        <v>0</v>
      </c>
      <c r="BO3280">
        <v>0</v>
      </c>
      <c r="BP3280">
        <v>0</v>
      </c>
      <c r="BW3280" t="str">
        <f>"20:32:17.329"</f>
        <v>20:32:17.329</v>
      </c>
      <c r="BZ3280">
        <v>0</v>
      </c>
      <c r="CA3280">
        <v>1600</v>
      </c>
      <c r="CB3280">
        <v>224</v>
      </c>
      <c r="CD3280">
        <v>1</v>
      </c>
      <c r="CE3280">
        <v>0</v>
      </c>
      <c r="CF3280">
        <v>0</v>
      </c>
      <c r="CG3280">
        <v>1</v>
      </c>
      <c r="CH3280">
        <v>0</v>
      </c>
      <c r="CI3280">
        <v>0</v>
      </c>
      <c r="CJ3280">
        <v>0</v>
      </c>
      <c r="CK3280">
        <v>2</v>
      </c>
      <c r="CL3280">
        <v>0</v>
      </c>
      <c r="CM3280">
        <v>2</v>
      </c>
      <c r="CN3280">
        <v>0</v>
      </c>
      <c r="CO3280">
        <v>7</v>
      </c>
      <c r="CP3280" t="s">
        <v>119</v>
      </c>
      <c r="CQ3280">
        <v>180</v>
      </c>
      <c r="CR3280">
        <v>2</v>
      </c>
      <c r="CW3280">
        <v>8772259</v>
      </c>
      <c r="CY3280">
        <v>1</v>
      </c>
      <c r="CZ3280">
        <v>0</v>
      </c>
      <c r="DA3280">
        <v>1</v>
      </c>
      <c r="DB3280">
        <v>0</v>
      </c>
      <c r="DC3280">
        <v>0</v>
      </c>
      <c r="DD3280">
        <v>0</v>
      </c>
      <c r="DE3280">
        <v>0</v>
      </c>
      <c r="DF3280">
        <v>0</v>
      </c>
      <c r="DG3280">
        <v>0</v>
      </c>
      <c r="DH3280">
        <v>0</v>
      </c>
      <c r="DI3280">
        <v>0</v>
      </c>
    </row>
    <row r="3281" spans="1:113" x14ac:dyDescent="0.3">
      <c r="A3281" t="str">
        <f>"02/08/2021 20:32:15.020"</f>
        <v>02/08/2021 20:32:15.020</v>
      </c>
      <c r="C3281" t="str">
        <f t="shared" si="157"/>
        <v>FFDFD7C0</v>
      </c>
      <c r="D3281" t="s">
        <v>113</v>
      </c>
      <c r="E3281">
        <v>6</v>
      </c>
      <c r="H3281">
        <v>165</v>
      </c>
      <c r="I3281" t="s">
        <v>114</v>
      </c>
      <c r="J3281" t="s">
        <v>115</v>
      </c>
      <c r="K3281">
        <v>0</v>
      </c>
      <c r="L3281">
        <v>3</v>
      </c>
      <c r="M3281">
        <v>0</v>
      </c>
      <c r="N3281">
        <v>2</v>
      </c>
      <c r="O3281">
        <v>1</v>
      </c>
      <c r="P3281">
        <v>0</v>
      </c>
      <c r="Q3281">
        <v>0</v>
      </c>
      <c r="S3281" t="str">
        <f>"20:32:17.328"</f>
        <v>20:32:17.328</v>
      </c>
      <c r="T3281" t="str">
        <f>"20:32:16.928"</f>
        <v>20:32:16.928</v>
      </c>
      <c r="U3281" t="str">
        <f t="shared" si="159"/>
        <v>AB01F4</v>
      </c>
      <c r="V3281">
        <v>0</v>
      </c>
      <c r="W3281">
        <v>0</v>
      </c>
      <c r="X3281">
        <v>2</v>
      </c>
      <c r="Z3281">
        <v>0</v>
      </c>
      <c r="AA3281">
        <v>9</v>
      </c>
      <c r="AB3281">
        <v>3</v>
      </c>
      <c r="AC3281">
        <v>0</v>
      </c>
      <c r="AD3281">
        <v>10</v>
      </c>
      <c r="AE3281">
        <v>0</v>
      </c>
      <c r="AF3281">
        <v>3</v>
      </c>
      <c r="AG3281">
        <v>2</v>
      </c>
      <c r="AH3281">
        <v>0</v>
      </c>
      <c r="AI3281" t="s">
        <v>1889</v>
      </c>
      <c r="AJ3281">
        <v>40.065486</v>
      </c>
      <c r="AK3281" t="s">
        <v>1890</v>
      </c>
      <c r="AL3281">
        <v>-92.926269000000005</v>
      </c>
      <c r="AM3281">
        <v>100</v>
      </c>
      <c r="AN3281">
        <v>1300</v>
      </c>
      <c r="AO3281" t="s">
        <v>118</v>
      </c>
      <c r="AP3281">
        <v>-105</v>
      </c>
      <c r="AQ3281">
        <v>77</v>
      </c>
      <c r="AR3281">
        <v>0</v>
      </c>
      <c r="AZ3281">
        <v>1200</v>
      </c>
      <c r="BA3281">
        <v>1</v>
      </c>
      <c r="BB3281" t="str">
        <f t="shared" si="158"/>
        <v xml:space="preserve">N8080G  </v>
      </c>
      <c r="BC3281">
        <v>1</v>
      </c>
      <c r="BE3281">
        <v>0</v>
      </c>
      <c r="BF3281">
        <v>0</v>
      </c>
      <c r="BG3281">
        <v>0</v>
      </c>
      <c r="BH3281">
        <v>1350</v>
      </c>
      <c r="BI3281">
        <v>1</v>
      </c>
      <c r="BJ3281">
        <v>1</v>
      </c>
      <c r="BK3281">
        <v>1</v>
      </c>
      <c r="BL3281">
        <v>0</v>
      </c>
      <c r="BO3281">
        <v>0</v>
      </c>
      <c r="BP3281">
        <v>0</v>
      </c>
      <c r="BW3281" t="str">
        <f>"20:32:17.329"</f>
        <v>20:32:17.329</v>
      </c>
      <c r="BZ3281">
        <v>0</v>
      </c>
      <c r="CA3281">
        <v>1600</v>
      </c>
      <c r="CB3281">
        <v>224</v>
      </c>
      <c r="CD3281">
        <v>1</v>
      </c>
      <c r="CE3281">
        <v>0</v>
      </c>
      <c r="CF3281">
        <v>0</v>
      </c>
      <c r="CG3281">
        <v>1</v>
      </c>
      <c r="CH3281">
        <v>0</v>
      </c>
      <c r="CI3281">
        <v>0</v>
      </c>
      <c r="CJ3281">
        <v>0</v>
      </c>
      <c r="CK3281">
        <v>2</v>
      </c>
      <c r="CL3281">
        <v>0</v>
      </c>
      <c r="CM3281">
        <v>2</v>
      </c>
      <c r="CN3281">
        <v>0</v>
      </c>
      <c r="CO3281">
        <v>7</v>
      </c>
      <c r="CP3281" t="s">
        <v>119</v>
      </c>
      <c r="CQ3281">
        <v>180</v>
      </c>
      <c r="CR3281">
        <v>2</v>
      </c>
      <c r="CW3281">
        <v>8772259</v>
      </c>
      <c r="CY3281">
        <v>1</v>
      </c>
      <c r="CZ3281">
        <v>0</v>
      </c>
      <c r="DA3281">
        <v>1</v>
      </c>
      <c r="DB3281">
        <v>0</v>
      </c>
      <c r="DC3281">
        <v>0</v>
      </c>
      <c r="DD3281">
        <v>0</v>
      </c>
      <c r="DE3281">
        <v>0</v>
      </c>
      <c r="DF3281">
        <v>0</v>
      </c>
      <c r="DG3281">
        <v>0</v>
      </c>
      <c r="DH3281">
        <v>0</v>
      </c>
      <c r="DI3281">
        <v>0</v>
      </c>
    </row>
    <row r="3282" spans="1:113" x14ac:dyDescent="0.3">
      <c r="A3282" t="str">
        <f>"02/08/2021 20:32:15.020"</f>
        <v>02/08/2021 20:32:15.020</v>
      </c>
      <c r="C3282" t="str">
        <f t="shared" si="157"/>
        <v>FFDFD7C0</v>
      </c>
      <c r="D3282" t="s">
        <v>124</v>
      </c>
      <c r="E3282">
        <v>11</v>
      </c>
      <c r="F3282">
        <v>1011</v>
      </c>
      <c r="G3282" t="s">
        <v>590</v>
      </c>
      <c r="J3282" t="s">
        <v>125</v>
      </c>
      <c r="K3282">
        <v>0</v>
      </c>
      <c r="L3282">
        <v>3</v>
      </c>
      <c r="M3282">
        <v>0</v>
      </c>
      <c r="N3282">
        <v>2</v>
      </c>
      <c r="O3282">
        <v>1</v>
      </c>
      <c r="P3282">
        <v>0</v>
      </c>
      <c r="Q3282">
        <v>0</v>
      </c>
      <c r="S3282" t="str">
        <f>"20:32:17.328"</f>
        <v>20:32:17.328</v>
      </c>
      <c r="T3282" t="str">
        <f>"20:32:16.928"</f>
        <v>20:32:16.928</v>
      </c>
      <c r="U3282" t="str">
        <f t="shared" si="159"/>
        <v>AB01F4</v>
      </c>
      <c r="V3282">
        <v>0</v>
      </c>
      <c r="W3282">
        <v>0</v>
      </c>
      <c r="X3282">
        <v>2</v>
      </c>
      <c r="Z3282">
        <v>0</v>
      </c>
      <c r="AA3282">
        <v>9</v>
      </c>
      <c r="AB3282">
        <v>3</v>
      </c>
      <c r="AC3282">
        <v>0</v>
      </c>
      <c r="AD3282">
        <v>10</v>
      </c>
      <c r="AE3282">
        <v>0</v>
      </c>
      <c r="AF3282">
        <v>3</v>
      </c>
      <c r="AG3282">
        <v>2</v>
      </c>
      <c r="AH3282">
        <v>0</v>
      </c>
      <c r="AI3282" t="s">
        <v>1889</v>
      </c>
      <c r="AJ3282">
        <v>40.065486</v>
      </c>
      <c r="AK3282" t="s">
        <v>1890</v>
      </c>
      <c r="AL3282">
        <v>-92.926269000000005</v>
      </c>
      <c r="AM3282">
        <v>100</v>
      </c>
      <c r="AN3282">
        <v>1300</v>
      </c>
      <c r="AO3282" t="s">
        <v>118</v>
      </c>
      <c r="AP3282">
        <v>-105</v>
      </c>
      <c r="AQ3282">
        <v>77</v>
      </c>
      <c r="AR3282">
        <v>0</v>
      </c>
      <c r="AZ3282">
        <v>1200</v>
      </c>
      <c r="BA3282">
        <v>1</v>
      </c>
      <c r="BB3282" t="str">
        <f t="shared" si="158"/>
        <v xml:space="preserve">N8080G  </v>
      </c>
      <c r="BC3282">
        <v>1</v>
      </c>
      <c r="BE3282">
        <v>0</v>
      </c>
      <c r="BF3282">
        <v>0</v>
      </c>
      <c r="BG3282">
        <v>0</v>
      </c>
      <c r="BH3282">
        <v>1350</v>
      </c>
      <c r="BI3282">
        <v>1</v>
      </c>
      <c r="BJ3282">
        <v>1</v>
      </c>
      <c r="BK3282">
        <v>1</v>
      </c>
      <c r="BL3282">
        <v>0</v>
      </c>
      <c r="BO3282">
        <v>0</v>
      </c>
      <c r="BP3282">
        <v>0</v>
      </c>
      <c r="BW3282" t="str">
        <f>"20:32:17.329"</f>
        <v>20:32:17.329</v>
      </c>
      <c r="BZ3282">
        <v>0</v>
      </c>
      <c r="CA3282">
        <v>1600</v>
      </c>
      <c r="CB3282">
        <v>224</v>
      </c>
      <c r="CD3282">
        <v>1</v>
      </c>
      <c r="CE3282">
        <v>0</v>
      </c>
      <c r="CF3282">
        <v>0</v>
      </c>
      <c r="CG3282">
        <v>1</v>
      </c>
      <c r="CH3282">
        <v>0</v>
      </c>
      <c r="CI3282">
        <v>0</v>
      </c>
      <c r="CJ3282">
        <v>0</v>
      </c>
      <c r="CK3282">
        <v>2</v>
      </c>
      <c r="CL3282">
        <v>0</v>
      </c>
      <c r="CM3282">
        <v>2</v>
      </c>
      <c r="CN3282">
        <v>0</v>
      </c>
      <c r="CO3282">
        <v>7</v>
      </c>
      <c r="CP3282" t="s">
        <v>119</v>
      </c>
      <c r="CQ3282">
        <v>180</v>
      </c>
      <c r="CR3282">
        <v>2</v>
      </c>
      <c r="CW3282">
        <v>8772259</v>
      </c>
      <c r="CY3282">
        <v>1</v>
      </c>
      <c r="CZ3282">
        <v>0</v>
      </c>
      <c r="DA3282">
        <v>1</v>
      </c>
      <c r="DB3282">
        <v>0</v>
      </c>
      <c r="DC3282">
        <v>0</v>
      </c>
      <c r="DD3282">
        <v>0</v>
      </c>
      <c r="DE3282">
        <v>0</v>
      </c>
      <c r="DF3282">
        <v>0</v>
      </c>
      <c r="DG3282">
        <v>0</v>
      </c>
      <c r="DH3282">
        <v>0</v>
      </c>
      <c r="DI3282">
        <v>0</v>
      </c>
    </row>
    <row r="3283" spans="1:113" x14ac:dyDescent="0.3">
      <c r="A3283" t="str">
        <f>"02/08/2021 20:32:16.156"</f>
        <v>02/08/2021 20:32:16.156</v>
      </c>
      <c r="C3283" t="str">
        <f t="shared" si="157"/>
        <v>FFDFD7C0</v>
      </c>
      <c r="D3283" t="s">
        <v>124</v>
      </c>
      <c r="E3283">
        <v>13</v>
      </c>
      <c r="F3283">
        <v>1013</v>
      </c>
      <c r="G3283" t="s">
        <v>114</v>
      </c>
      <c r="J3283" t="s">
        <v>125</v>
      </c>
      <c r="K3283">
        <v>0</v>
      </c>
      <c r="L3283">
        <v>3</v>
      </c>
      <c r="M3283">
        <v>0</v>
      </c>
      <c r="N3283">
        <v>2</v>
      </c>
      <c r="O3283">
        <v>1</v>
      </c>
      <c r="P3283">
        <v>0</v>
      </c>
      <c r="Q3283">
        <v>0</v>
      </c>
      <c r="S3283" t="str">
        <f>"20:32:18.445"</f>
        <v>20:32:18.445</v>
      </c>
      <c r="T3283" t="str">
        <f>"20:32:17.945"</f>
        <v>20:32:17.945</v>
      </c>
      <c r="U3283" t="str">
        <f t="shared" si="159"/>
        <v>AB01F4</v>
      </c>
      <c r="V3283">
        <v>0</v>
      </c>
      <c r="W3283">
        <v>0</v>
      </c>
      <c r="X3283">
        <v>2</v>
      </c>
      <c r="Z3283">
        <v>0</v>
      </c>
      <c r="AA3283">
        <v>9</v>
      </c>
      <c r="AB3283">
        <v>3</v>
      </c>
      <c r="AC3283">
        <v>0</v>
      </c>
      <c r="AD3283">
        <v>10</v>
      </c>
      <c r="AE3283">
        <v>0</v>
      </c>
      <c r="AF3283">
        <v>3</v>
      </c>
      <c r="AG3283">
        <v>2</v>
      </c>
      <c r="AH3283">
        <v>0</v>
      </c>
      <c r="AI3283" t="s">
        <v>1891</v>
      </c>
      <c r="AJ3283">
        <v>40.065873000000003</v>
      </c>
      <c r="AK3283" t="s">
        <v>1892</v>
      </c>
      <c r="AL3283">
        <v>-92.926912000000002</v>
      </c>
      <c r="AM3283">
        <v>100</v>
      </c>
      <c r="AN3283">
        <v>1300</v>
      </c>
      <c r="AO3283" t="s">
        <v>118</v>
      </c>
      <c r="AP3283">
        <v>-105</v>
      </c>
      <c r="AQ3283">
        <v>77</v>
      </c>
      <c r="AR3283">
        <v>0</v>
      </c>
      <c r="AZ3283">
        <v>1200</v>
      </c>
      <c r="BA3283">
        <v>1</v>
      </c>
      <c r="BB3283" t="str">
        <f t="shared" si="158"/>
        <v xml:space="preserve">N8080G  </v>
      </c>
      <c r="BC3283">
        <v>1</v>
      </c>
      <c r="BE3283">
        <v>0</v>
      </c>
      <c r="BF3283">
        <v>0</v>
      </c>
      <c r="BG3283">
        <v>0</v>
      </c>
      <c r="BH3283">
        <v>1350</v>
      </c>
      <c r="BI3283">
        <v>1</v>
      </c>
      <c r="BJ3283">
        <v>1</v>
      </c>
      <c r="BK3283">
        <v>1</v>
      </c>
      <c r="BL3283">
        <v>0</v>
      </c>
      <c r="BO3283">
        <v>0</v>
      </c>
      <c r="BP3283">
        <v>0</v>
      </c>
      <c r="BW3283" t="str">
        <f>"20:32:18.448"</f>
        <v>20:32:18.448</v>
      </c>
      <c r="BZ3283">
        <v>0</v>
      </c>
      <c r="CA3283">
        <v>1600</v>
      </c>
      <c r="CB3283">
        <v>224</v>
      </c>
      <c r="CD3283">
        <v>1</v>
      </c>
      <c r="CE3283">
        <v>0</v>
      </c>
      <c r="CF3283">
        <v>0</v>
      </c>
      <c r="CG3283">
        <v>1</v>
      </c>
      <c r="CH3283">
        <v>0</v>
      </c>
      <c r="CI3283">
        <v>0</v>
      </c>
      <c r="CJ3283">
        <v>0</v>
      </c>
      <c r="CK3283">
        <v>2</v>
      </c>
      <c r="CL3283">
        <v>0</v>
      </c>
      <c r="CM3283">
        <v>2</v>
      </c>
      <c r="CN3283">
        <v>0</v>
      </c>
      <c r="CO3283">
        <v>7</v>
      </c>
      <c r="CP3283" t="s">
        <v>119</v>
      </c>
      <c r="CQ3283">
        <v>180</v>
      </c>
      <c r="CR3283">
        <v>3</v>
      </c>
      <c r="CW3283">
        <v>1117408</v>
      </c>
      <c r="CY3283">
        <v>1</v>
      </c>
      <c r="CZ3283">
        <v>0</v>
      </c>
      <c r="DA3283">
        <v>0</v>
      </c>
      <c r="DB3283">
        <v>0</v>
      </c>
      <c r="DC3283">
        <v>0</v>
      </c>
      <c r="DD3283">
        <v>0</v>
      </c>
      <c r="DE3283">
        <v>0</v>
      </c>
      <c r="DF3283">
        <v>0</v>
      </c>
      <c r="DG3283">
        <v>0</v>
      </c>
      <c r="DH3283">
        <v>0</v>
      </c>
      <c r="DI3283">
        <v>0</v>
      </c>
    </row>
    <row r="3284" spans="1:113" x14ac:dyDescent="0.3">
      <c r="A3284" t="str">
        <f>"02/08/2021 20:32:16.156"</f>
        <v>02/08/2021 20:32:16.156</v>
      </c>
      <c r="C3284" t="str">
        <f t="shared" si="157"/>
        <v>FFDFD7C0</v>
      </c>
      <c r="D3284" t="s">
        <v>124</v>
      </c>
      <c r="E3284">
        <v>11</v>
      </c>
      <c r="F3284">
        <v>1011</v>
      </c>
      <c r="G3284" t="s">
        <v>590</v>
      </c>
      <c r="J3284" t="s">
        <v>125</v>
      </c>
      <c r="K3284">
        <v>0</v>
      </c>
      <c r="L3284">
        <v>3</v>
      </c>
      <c r="M3284">
        <v>0</v>
      </c>
      <c r="N3284">
        <v>2</v>
      </c>
      <c r="O3284">
        <v>1</v>
      </c>
      <c r="P3284">
        <v>0</v>
      </c>
      <c r="Q3284">
        <v>0</v>
      </c>
      <c r="S3284" t="str">
        <f>"20:32:18.445"</f>
        <v>20:32:18.445</v>
      </c>
      <c r="T3284" t="str">
        <f>"20:32:17.945"</f>
        <v>20:32:17.945</v>
      </c>
      <c r="U3284" t="str">
        <f t="shared" si="159"/>
        <v>AB01F4</v>
      </c>
      <c r="V3284">
        <v>0</v>
      </c>
      <c r="W3284">
        <v>0</v>
      </c>
      <c r="X3284">
        <v>2</v>
      </c>
      <c r="Z3284">
        <v>0</v>
      </c>
      <c r="AA3284">
        <v>9</v>
      </c>
      <c r="AB3284">
        <v>3</v>
      </c>
      <c r="AC3284">
        <v>0</v>
      </c>
      <c r="AD3284">
        <v>10</v>
      </c>
      <c r="AE3284">
        <v>0</v>
      </c>
      <c r="AF3284">
        <v>3</v>
      </c>
      <c r="AG3284">
        <v>2</v>
      </c>
      <c r="AH3284">
        <v>0</v>
      </c>
      <c r="AI3284" t="s">
        <v>1891</v>
      </c>
      <c r="AJ3284">
        <v>40.065873000000003</v>
      </c>
      <c r="AK3284" t="s">
        <v>1892</v>
      </c>
      <c r="AL3284">
        <v>-92.926912000000002</v>
      </c>
      <c r="AM3284">
        <v>100</v>
      </c>
      <c r="AN3284">
        <v>1300</v>
      </c>
      <c r="AO3284" t="s">
        <v>118</v>
      </c>
      <c r="AP3284">
        <v>-105</v>
      </c>
      <c r="AQ3284">
        <v>77</v>
      </c>
      <c r="AR3284">
        <v>0</v>
      </c>
      <c r="AZ3284">
        <v>1200</v>
      </c>
      <c r="BA3284">
        <v>1</v>
      </c>
      <c r="BB3284" t="str">
        <f t="shared" si="158"/>
        <v xml:space="preserve">N8080G  </v>
      </c>
      <c r="BC3284">
        <v>1</v>
      </c>
      <c r="BE3284">
        <v>0</v>
      </c>
      <c r="BF3284">
        <v>0</v>
      </c>
      <c r="BG3284">
        <v>0</v>
      </c>
      <c r="BH3284">
        <v>1350</v>
      </c>
      <c r="BI3284">
        <v>1</v>
      </c>
      <c r="BJ3284">
        <v>1</v>
      </c>
      <c r="BK3284">
        <v>1</v>
      </c>
      <c r="BL3284">
        <v>0</v>
      </c>
      <c r="BO3284">
        <v>0</v>
      </c>
      <c r="BP3284">
        <v>0</v>
      </c>
      <c r="BW3284" t="str">
        <f>"20:32:18.448"</f>
        <v>20:32:18.448</v>
      </c>
      <c r="BZ3284">
        <v>0</v>
      </c>
      <c r="CA3284">
        <v>1600</v>
      </c>
      <c r="CB3284">
        <v>224</v>
      </c>
      <c r="CD3284">
        <v>1</v>
      </c>
      <c r="CE3284">
        <v>0</v>
      </c>
      <c r="CF3284">
        <v>0</v>
      </c>
      <c r="CG3284">
        <v>1</v>
      </c>
      <c r="CH3284">
        <v>0</v>
      </c>
      <c r="CI3284">
        <v>0</v>
      </c>
      <c r="CJ3284">
        <v>0</v>
      </c>
      <c r="CK3284">
        <v>2</v>
      </c>
      <c r="CL3284">
        <v>0</v>
      </c>
      <c r="CM3284">
        <v>2</v>
      </c>
      <c r="CN3284">
        <v>0</v>
      </c>
      <c r="CO3284">
        <v>7</v>
      </c>
      <c r="CP3284" t="s">
        <v>119</v>
      </c>
      <c r="CQ3284">
        <v>180</v>
      </c>
      <c r="CR3284">
        <v>3</v>
      </c>
      <c r="CW3284">
        <v>1117408</v>
      </c>
      <c r="CY3284">
        <v>1</v>
      </c>
      <c r="CZ3284">
        <v>0</v>
      </c>
      <c r="DA3284">
        <v>1</v>
      </c>
      <c r="DB3284">
        <v>0</v>
      </c>
      <c r="DC3284">
        <v>0</v>
      </c>
      <c r="DD3284">
        <v>0</v>
      </c>
      <c r="DE3284">
        <v>0</v>
      </c>
      <c r="DF3284">
        <v>0</v>
      </c>
      <c r="DG3284">
        <v>0</v>
      </c>
      <c r="DH3284">
        <v>0</v>
      </c>
      <c r="DI3284">
        <v>0</v>
      </c>
    </row>
    <row r="3285" spans="1:113" x14ac:dyDescent="0.3">
      <c r="A3285" t="str">
        <f>"02/08/2021 20:32:16.156"</f>
        <v>02/08/2021 20:32:16.156</v>
      </c>
      <c r="C3285" t="str">
        <f t="shared" si="157"/>
        <v>FFDFD7C0</v>
      </c>
      <c r="D3285" t="s">
        <v>113</v>
      </c>
      <c r="E3285">
        <v>6</v>
      </c>
      <c r="H3285">
        <v>165</v>
      </c>
      <c r="I3285" t="s">
        <v>114</v>
      </c>
      <c r="J3285" t="s">
        <v>115</v>
      </c>
      <c r="K3285">
        <v>0</v>
      </c>
      <c r="L3285">
        <v>3</v>
      </c>
      <c r="M3285">
        <v>0</v>
      </c>
      <c r="N3285">
        <v>2</v>
      </c>
      <c r="O3285">
        <v>1</v>
      </c>
      <c r="P3285">
        <v>0</v>
      </c>
      <c r="Q3285">
        <v>0</v>
      </c>
      <c r="S3285" t="str">
        <f>"20:32:18.445"</f>
        <v>20:32:18.445</v>
      </c>
      <c r="T3285" t="str">
        <f>"20:32:17.945"</f>
        <v>20:32:17.945</v>
      </c>
      <c r="U3285" t="str">
        <f t="shared" si="159"/>
        <v>AB01F4</v>
      </c>
      <c r="V3285">
        <v>0</v>
      </c>
      <c r="W3285">
        <v>0</v>
      </c>
      <c r="X3285">
        <v>2</v>
      </c>
      <c r="Z3285">
        <v>0</v>
      </c>
      <c r="AA3285">
        <v>9</v>
      </c>
      <c r="AB3285">
        <v>3</v>
      </c>
      <c r="AC3285">
        <v>0</v>
      </c>
      <c r="AD3285">
        <v>10</v>
      </c>
      <c r="AE3285">
        <v>0</v>
      </c>
      <c r="AF3285">
        <v>3</v>
      </c>
      <c r="AG3285">
        <v>2</v>
      </c>
      <c r="AH3285">
        <v>0</v>
      </c>
      <c r="AI3285" t="s">
        <v>1891</v>
      </c>
      <c r="AJ3285">
        <v>40.065873000000003</v>
      </c>
      <c r="AK3285" t="s">
        <v>1892</v>
      </c>
      <c r="AL3285">
        <v>-92.926912000000002</v>
      </c>
      <c r="AM3285">
        <v>100</v>
      </c>
      <c r="AN3285">
        <v>1300</v>
      </c>
      <c r="AO3285" t="s">
        <v>118</v>
      </c>
      <c r="AP3285">
        <v>-105</v>
      </c>
      <c r="AQ3285">
        <v>77</v>
      </c>
      <c r="AR3285">
        <v>0</v>
      </c>
      <c r="AZ3285">
        <v>1200</v>
      </c>
      <c r="BA3285">
        <v>1</v>
      </c>
      <c r="BB3285" t="str">
        <f t="shared" si="158"/>
        <v xml:space="preserve">N8080G  </v>
      </c>
      <c r="BC3285">
        <v>1</v>
      </c>
      <c r="BE3285">
        <v>0</v>
      </c>
      <c r="BF3285">
        <v>0</v>
      </c>
      <c r="BG3285">
        <v>0</v>
      </c>
      <c r="BH3285">
        <v>1350</v>
      </c>
      <c r="BI3285">
        <v>1</v>
      </c>
      <c r="BJ3285">
        <v>1</v>
      </c>
      <c r="BK3285">
        <v>1</v>
      </c>
      <c r="BL3285">
        <v>0</v>
      </c>
      <c r="BO3285">
        <v>0</v>
      </c>
      <c r="BP3285">
        <v>0</v>
      </c>
      <c r="BW3285" t="str">
        <f>"20:32:18.448"</f>
        <v>20:32:18.448</v>
      </c>
      <c r="BZ3285">
        <v>0</v>
      </c>
      <c r="CA3285">
        <v>1600</v>
      </c>
      <c r="CB3285">
        <v>224</v>
      </c>
      <c r="CD3285">
        <v>1</v>
      </c>
      <c r="CE3285">
        <v>0</v>
      </c>
      <c r="CF3285">
        <v>0</v>
      </c>
      <c r="CG3285">
        <v>1</v>
      </c>
      <c r="CH3285">
        <v>0</v>
      </c>
      <c r="CI3285">
        <v>0</v>
      </c>
      <c r="CJ3285">
        <v>0</v>
      </c>
      <c r="CK3285">
        <v>2</v>
      </c>
      <c r="CL3285">
        <v>0</v>
      </c>
      <c r="CM3285">
        <v>2</v>
      </c>
      <c r="CN3285">
        <v>0</v>
      </c>
      <c r="CO3285">
        <v>7</v>
      </c>
      <c r="CP3285" t="s">
        <v>119</v>
      </c>
      <c r="CQ3285">
        <v>180</v>
      </c>
      <c r="CR3285">
        <v>3</v>
      </c>
      <c r="CW3285">
        <v>1117408</v>
      </c>
      <c r="CY3285">
        <v>1</v>
      </c>
      <c r="CZ3285">
        <v>0</v>
      </c>
      <c r="DA3285">
        <v>1</v>
      </c>
      <c r="DB3285">
        <v>0</v>
      </c>
      <c r="DC3285">
        <v>0</v>
      </c>
      <c r="DD3285">
        <v>0</v>
      </c>
      <c r="DE3285">
        <v>0</v>
      </c>
      <c r="DF3285">
        <v>0</v>
      </c>
      <c r="DG3285">
        <v>0</v>
      </c>
      <c r="DH3285">
        <v>0</v>
      </c>
      <c r="DI3285">
        <v>0</v>
      </c>
    </row>
    <row r="3286" spans="1:113" x14ac:dyDescent="0.3">
      <c r="A3286" t="str">
        <f>"02/08/2021 20:32:16.156"</f>
        <v>02/08/2021 20:32:16.156</v>
      </c>
      <c r="C3286" t="str">
        <f t="shared" si="157"/>
        <v>FFDFD7C0</v>
      </c>
      <c r="D3286" t="s">
        <v>124</v>
      </c>
      <c r="E3286">
        <v>12</v>
      </c>
      <c r="F3286">
        <v>1012</v>
      </c>
      <c r="G3286" t="s">
        <v>675</v>
      </c>
      <c r="J3286" t="s">
        <v>125</v>
      </c>
      <c r="K3286">
        <v>0</v>
      </c>
      <c r="L3286">
        <v>3</v>
      </c>
      <c r="M3286">
        <v>0</v>
      </c>
      <c r="N3286">
        <v>2</v>
      </c>
      <c r="O3286">
        <v>1</v>
      </c>
      <c r="P3286">
        <v>0</v>
      </c>
      <c r="Q3286">
        <v>0</v>
      </c>
      <c r="S3286" t="str">
        <f>"20:32:18.445"</f>
        <v>20:32:18.445</v>
      </c>
      <c r="T3286" t="str">
        <f>"20:32:17.945"</f>
        <v>20:32:17.945</v>
      </c>
      <c r="U3286" t="str">
        <f t="shared" si="159"/>
        <v>AB01F4</v>
      </c>
      <c r="V3286">
        <v>0</v>
      </c>
      <c r="W3286">
        <v>0</v>
      </c>
      <c r="X3286">
        <v>2</v>
      </c>
      <c r="Z3286">
        <v>0</v>
      </c>
      <c r="AA3286">
        <v>9</v>
      </c>
      <c r="AB3286">
        <v>3</v>
      </c>
      <c r="AC3286">
        <v>0</v>
      </c>
      <c r="AD3286">
        <v>10</v>
      </c>
      <c r="AE3286">
        <v>0</v>
      </c>
      <c r="AF3286">
        <v>3</v>
      </c>
      <c r="AG3286">
        <v>2</v>
      </c>
      <c r="AH3286">
        <v>0</v>
      </c>
      <c r="AI3286" t="s">
        <v>1891</v>
      </c>
      <c r="AJ3286">
        <v>40.065873000000003</v>
      </c>
      <c r="AK3286" t="s">
        <v>1892</v>
      </c>
      <c r="AL3286">
        <v>-92.926912000000002</v>
      </c>
      <c r="AM3286">
        <v>100</v>
      </c>
      <c r="AN3286">
        <v>1300</v>
      </c>
      <c r="AO3286" t="s">
        <v>118</v>
      </c>
      <c r="AP3286">
        <v>-105</v>
      </c>
      <c r="AQ3286">
        <v>77</v>
      </c>
      <c r="AR3286">
        <v>0</v>
      </c>
      <c r="AZ3286">
        <v>1200</v>
      </c>
      <c r="BA3286">
        <v>1</v>
      </c>
      <c r="BB3286" t="str">
        <f t="shared" si="158"/>
        <v xml:space="preserve">N8080G  </v>
      </c>
      <c r="BC3286">
        <v>1</v>
      </c>
      <c r="BE3286">
        <v>0</v>
      </c>
      <c r="BF3286">
        <v>0</v>
      </c>
      <c r="BG3286">
        <v>0</v>
      </c>
      <c r="BH3286">
        <v>1350</v>
      </c>
      <c r="BI3286">
        <v>1</v>
      </c>
      <c r="BJ3286">
        <v>1</v>
      </c>
      <c r="BK3286">
        <v>1</v>
      </c>
      <c r="BL3286">
        <v>0</v>
      </c>
      <c r="BO3286">
        <v>0</v>
      </c>
      <c r="BP3286">
        <v>0</v>
      </c>
      <c r="BW3286" t="str">
        <f>"20:32:18.448"</f>
        <v>20:32:18.448</v>
      </c>
      <c r="BZ3286">
        <v>0</v>
      </c>
      <c r="CA3286">
        <v>1600</v>
      </c>
      <c r="CB3286">
        <v>224</v>
      </c>
      <c r="CD3286">
        <v>1</v>
      </c>
      <c r="CE3286">
        <v>0</v>
      </c>
      <c r="CF3286">
        <v>0</v>
      </c>
      <c r="CG3286">
        <v>1</v>
      </c>
      <c r="CH3286">
        <v>0</v>
      </c>
      <c r="CI3286">
        <v>0</v>
      </c>
      <c r="CJ3286">
        <v>0</v>
      </c>
      <c r="CK3286">
        <v>2</v>
      </c>
      <c r="CL3286">
        <v>0</v>
      </c>
      <c r="CM3286">
        <v>2</v>
      </c>
      <c r="CN3286">
        <v>0</v>
      </c>
      <c r="CO3286">
        <v>7</v>
      </c>
      <c r="CP3286" t="s">
        <v>119</v>
      </c>
      <c r="CQ3286">
        <v>180</v>
      </c>
      <c r="CR3286">
        <v>3</v>
      </c>
      <c r="CW3286">
        <v>1117408</v>
      </c>
      <c r="CY3286">
        <v>1</v>
      </c>
      <c r="CZ3286">
        <v>0</v>
      </c>
      <c r="DA3286">
        <v>1</v>
      </c>
      <c r="DB3286">
        <v>0</v>
      </c>
      <c r="DC3286">
        <v>0</v>
      </c>
      <c r="DD3286">
        <v>0</v>
      </c>
      <c r="DE3286">
        <v>0</v>
      </c>
      <c r="DF3286">
        <v>0</v>
      </c>
      <c r="DG3286">
        <v>0</v>
      </c>
      <c r="DH3286">
        <v>0</v>
      </c>
      <c r="DI3286">
        <v>0</v>
      </c>
    </row>
    <row r="3287" spans="1:113" x14ac:dyDescent="0.3">
      <c r="A3287" t="str">
        <f>"02/08/2021 20:32:19.019"</f>
        <v>02/08/2021 20:32:19.019</v>
      </c>
      <c r="C3287" t="str">
        <f t="shared" si="157"/>
        <v>FFDFD7C0</v>
      </c>
      <c r="D3287" t="s">
        <v>124</v>
      </c>
      <c r="E3287">
        <v>13</v>
      </c>
      <c r="F3287">
        <v>1013</v>
      </c>
      <c r="G3287" t="s">
        <v>114</v>
      </c>
      <c r="J3287" t="s">
        <v>125</v>
      </c>
      <c r="K3287">
        <v>0</v>
      </c>
      <c r="L3287">
        <v>3</v>
      </c>
      <c r="M3287">
        <v>0</v>
      </c>
      <c r="N3287">
        <v>2</v>
      </c>
      <c r="O3287">
        <v>1</v>
      </c>
      <c r="P3287">
        <v>0</v>
      </c>
      <c r="Q3287">
        <v>0</v>
      </c>
      <c r="S3287" t="str">
        <f>"20:32:21.320"</f>
        <v>20:32:21.320</v>
      </c>
      <c r="T3287" t="str">
        <f>"20:32:20.920"</f>
        <v>20:32:20.920</v>
      </c>
      <c r="U3287" t="str">
        <f t="shared" si="159"/>
        <v>AB01F4</v>
      </c>
      <c r="V3287">
        <v>0</v>
      </c>
      <c r="W3287">
        <v>0</v>
      </c>
      <c r="X3287">
        <v>2</v>
      </c>
      <c r="Z3287">
        <v>0</v>
      </c>
      <c r="AA3287">
        <v>9</v>
      </c>
      <c r="AB3287">
        <v>3</v>
      </c>
      <c r="AC3287">
        <v>0</v>
      </c>
      <c r="AD3287">
        <v>10</v>
      </c>
      <c r="AE3287">
        <v>0</v>
      </c>
      <c r="AF3287">
        <v>3</v>
      </c>
      <c r="AG3287">
        <v>2</v>
      </c>
      <c r="AH3287">
        <v>0</v>
      </c>
      <c r="AI3287" t="s">
        <v>1893</v>
      </c>
      <c r="AJ3287">
        <v>40.066903000000003</v>
      </c>
      <c r="AK3287" t="s">
        <v>1894</v>
      </c>
      <c r="AL3287">
        <v>-92.928779000000006</v>
      </c>
      <c r="AM3287">
        <v>100</v>
      </c>
      <c r="AN3287">
        <v>1300</v>
      </c>
      <c r="AO3287" t="s">
        <v>118</v>
      </c>
      <c r="AP3287">
        <v>-106</v>
      </c>
      <c r="AQ3287">
        <v>75</v>
      </c>
      <c r="AR3287">
        <v>64</v>
      </c>
      <c r="AZ3287">
        <v>1200</v>
      </c>
      <c r="BA3287">
        <v>1</v>
      </c>
      <c r="BB3287" t="str">
        <f t="shared" si="158"/>
        <v xml:space="preserve">N8080G  </v>
      </c>
      <c r="BC3287">
        <v>1</v>
      </c>
      <c r="BE3287">
        <v>0</v>
      </c>
      <c r="BF3287">
        <v>0</v>
      </c>
      <c r="BG3287">
        <v>0</v>
      </c>
      <c r="BH3287">
        <v>1350</v>
      </c>
      <c r="BI3287">
        <v>1</v>
      </c>
      <c r="BJ3287">
        <v>1</v>
      </c>
      <c r="BK3287">
        <v>1</v>
      </c>
      <c r="BL3287">
        <v>0</v>
      </c>
      <c r="BO3287">
        <v>0</v>
      </c>
      <c r="BP3287">
        <v>0</v>
      </c>
      <c r="BW3287" t="str">
        <f>"20:32:21.324"</f>
        <v>20:32:21.324</v>
      </c>
      <c r="BZ3287">
        <v>0</v>
      </c>
      <c r="CA3287">
        <v>1600</v>
      </c>
      <c r="CB3287">
        <v>224</v>
      </c>
      <c r="CD3287">
        <v>1</v>
      </c>
      <c r="CE3287">
        <v>0</v>
      </c>
      <c r="CF3287">
        <v>0</v>
      </c>
      <c r="CG3287">
        <v>1</v>
      </c>
      <c r="CH3287">
        <v>0</v>
      </c>
      <c r="CI3287">
        <v>0</v>
      </c>
      <c r="CJ3287">
        <v>0</v>
      </c>
      <c r="CK3287">
        <v>2</v>
      </c>
      <c r="CL3287">
        <v>0</v>
      </c>
      <c r="CM3287">
        <v>2</v>
      </c>
      <c r="CN3287">
        <v>0</v>
      </c>
      <c r="CO3287">
        <v>7</v>
      </c>
      <c r="CP3287" t="s">
        <v>119</v>
      </c>
      <c r="CQ3287">
        <v>180</v>
      </c>
      <c r="CR3287">
        <v>2</v>
      </c>
      <c r="CW3287">
        <v>8775679</v>
      </c>
      <c r="CY3287">
        <v>1</v>
      </c>
      <c r="CZ3287">
        <v>0</v>
      </c>
      <c r="DA3287">
        <v>0</v>
      </c>
      <c r="DB3287">
        <v>0</v>
      </c>
      <c r="DC3287">
        <v>0</v>
      </c>
      <c r="DD3287">
        <v>0</v>
      </c>
      <c r="DE3287">
        <v>0</v>
      </c>
      <c r="DF3287">
        <v>0</v>
      </c>
      <c r="DG3287">
        <v>0</v>
      </c>
      <c r="DH3287">
        <v>0</v>
      </c>
      <c r="DI3287">
        <v>0</v>
      </c>
    </row>
    <row r="3288" spans="1:113" x14ac:dyDescent="0.3">
      <c r="A3288" t="str">
        <f>"02/08/2021 20:32:19.019"</f>
        <v>02/08/2021 20:32:19.019</v>
      </c>
      <c r="C3288" t="str">
        <f t="shared" si="157"/>
        <v>FFDFD7C0</v>
      </c>
      <c r="D3288" t="s">
        <v>124</v>
      </c>
      <c r="E3288">
        <v>12</v>
      </c>
      <c r="F3288">
        <v>1012</v>
      </c>
      <c r="G3288" t="s">
        <v>675</v>
      </c>
      <c r="J3288" t="s">
        <v>125</v>
      </c>
      <c r="K3288">
        <v>0</v>
      </c>
      <c r="L3288">
        <v>3</v>
      </c>
      <c r="M3288">
        <v>0</v>
      </c>
      <c r="N3288">
        <v>2</v>
      </c>
      <c r="O3288">
        <v>1</v>
      </c>
      <c r="P3288">
        <v>0</v>
      </c>
      <c r="Q3288">
        <v>0</v>
      </c>
      <c r="S3288" t="str">
        <f>"20:32:21.320"</f>
        <v>20:32:21.320</v>
      </c>
      <c r="T3288" t="str">
        <f>"20:32:20.920"</f>
        <v>20:32:20.920</v>
      </c>
      <c r="U3288" t="str">
        <f t="shared" si="159"/>
        <v>AB01F4</v>
      </c>
      <c r="V3288">
        <v>0</v>
      </c>
      <c r="W3288">
        <v>0</v>
      </c>
      <c r="X3288">
        <v>2</v>
      </c>
      <c r="Z3288">
        <v>0</v>
      </c>
      <c r="AA3288">
        <v>9</v>
      </c>
      <c r="AB3288">
        <v>3</v>
      </c>
      <c r="AC3288">
        <v>0</v>
      </c>
      <c r="AD3288">
        <v>10</v>
      </c>
      <c r="AE3288">
        <v>0</v>
      </c>
      <c r="AF3288">
        <v>3</v>
      </c>
      <c r="AG3288">
        <v>2</v>
      </c>
      <c r="AH3288">
        <v>0</v>
      </c>
      <c r="AI3288" t="s">
        <v>1893</v>
      </c>
      <c r="AJ3288">
        <v>40.066903000000003</v>
      </c>
      <c r="AK3288" t="s">
        <v>1894</v>
      </c>
      <c r="AL3288">
        <v>-92.928779000000006</v>
      </c>
      <c r="AM3288">
        <v>100</v>
      </c>
      <c r="AN3288">
        <v>1300</v>
      </c>
      <c r="AO3288" t="s">
        <v>118</v>
      </c>
      <c r="AP3288">
        <v>-106</v>
      </c>
      <c r="AQ3288">
        <v>75</v>
      </c>
      <c r="AR3288">
        <v>64</v>
      </c>
      <c r="AZ3288">
        <v>1200</v>
      </c>
      <c r="BA3288">
        <v>1</v>
      </c>
      <c r="BB3288" t="str">
        <f t="shared" si="158"/>
        <v xml:space="preserve">N8080G  </v>
      </c>
      <c r="BC3288">
        <v>1</v>
      </c>
      <c r="BE3288">
        <v>0</v>
      </c>
      <c r="BF3288">
        <v>0</v>
      </c>
      <c r="BG3288">
        <v>0</v>
      </c>
      <c r="BH3288">
        <v>1350</v>
      </c>
      <c r="BI3288">
        <v>1</v>
      </c>
      <c r="BJ3288">
        <v>1</v>
      </c>
      <c r="BK3288">
        <v>1</v>
      </c>
      <c r="BL3288">
        <v>0</v>
      </c>
      <c r="BO3288">
        <v>0</v>
      </c>
      <c r="BP3288">
        <v>0</v>
      </c>
      <c r="BW3288" t="str">
        <f>"20:32:21.324"</f>
        <v>20:32:21.324</v>
      </c>
      <c r="BZ3288">
        <v>0</v>
      </c>
      <c r="CA3288">
        <v>1600</v>
      </c>
      <c r="CB3288">
        <v>224</v>
      </c>
      <c r="CD3288">
        <v>1</v>
      </c>
      <c r="CE3288">
        <v>0</v>
      </c>
      <c r="CF3288">
        <v>0</v>
      </c>
      <c r="CG3288">
        <v>1</v>
      </c>
      <c r="CH3288">
        <v>0</v>
      </c>
      <c r="CI3288">
        <v>0</v>
      </c>
      <c r="CJ3288">
        <v>0</v>
      </c>
      <c r="CK3288">
        <v>2</v>
      </c>
      <c r="CL3288">
        <v>0</v>
      </c>
      <c r="CM3288">
        <v>2</v>
      </c>
      <c r="CN3288">
        <v>0</v>
      </c>
      <c r="CO3288">
        <v>7</v>
      </c>
      <c r="CP3288" t="s">
        <v>119</v>
      </c>
      <c r="CQ3288">
        <v>180</v>
      </c>
      <c r="CR3288">
        <v>2</v>
      </c>
      <c r="CW3288">
        <v>8775679</v>
      </c>
      <c r="CY3288">
        <v>1</v>
      </c>
      <c r="CZ3288">
        <v>0</v>
      </c>
      <c r="DA3288">
        <v>1</v>
      </c>
      <c r="DB3288">
        <v>0</v>
      </c>
      <c r="DC3288">
        <v>0</v>
      </c>
      <c r="DD3288">
        <v>0</v>
      </c>
      <c r="DE3288">
        <v>0</v>
      </c>
      <c r="DF3288">
        <v>0</v>
      </c>
      <c r="DG3288">
        <v>0</v>
      </c>
      <c r="DH3288">
        <v>0</v>
      </c>
      <c r="DI3288">
        <v>0</v>
      </c>
    </row>
    <row r="3289" spans="1:113" x14ac:dyDescent="0.3">
      <c r="A3289" t="str">
        <f>"02/08/2021 20:32:19.019"</f>
        <v>02/08/2021 20:32:19.019</v>
      </c>
      <c r="C3289" t="str">
        <f t="shared" si="157"/>
        <v>FFDFD7C0</v>
      </c>
      <c r="D3289" t="s">
        <v>124</v>
      </c>
      <c r="E3289">
        <v>11</v>
      </c>
      <c r="F3289">
        <v>1011</v>
      </c>
      <c r="G3289" t="s">
        <v>590</v>
      </c>
      <c r="J3289" t="s">
        <v>125</v>
      </c>
      <c r="K3289">
        <v>0</v>
      </c>
      <c r="L3289">
        <v>3</v>
      </c>
      <c r="M3289">
        <v>0</v>
      </c>
      <c r="N3289">
        <v>2</v>
      </c>
      <c r="O3289">
        <v>1</v>
      </c>
      <c r="P3289">
        <v>0</v>
      </c>
      <c r="Q3289">
        <v>0</v>
      </c>
      <c r="S3289" t="str">
        <f>"20:32:21.320"</f>
        <v>20:32:21.320</v>
      </c>
      <c r="T3289" t="str">
        <f>"20:32:20.920"</f>
        <v>20:32:20.920</v>
      </c>
      <c r="U3289" t="str">
        <f t="shared" si="159"/>
        <v>AB01F4</v>
      </c>
      <c r="V3289">
        <v>0</v>
      </c>
      <c r="W3289">
        <v>0</v>
      </c>
      <c r="X3289">
        <v>2</v>
      </c>
      <c r="Z3289">
        <v>0</v>
      </c>
      <c r="AA3289">
        <v>9</v>
      </c>
      <c r="AB3289">
        <v>3</v>
      </c>
      <c r="AC3289">
        <v>0</v>
      </c>
      <c r="AD3289">
        <v>10</v>
      </c>
      <c r="AE3289">
        <v>0</v>
      </c>
      <c r="AF3289">
        <v>3</v>
      </c>
      <c r="AG3289">
        <v>2</v>
      </c>
      <c r="AH3289">
        <v>0</v>
      </c>
      <c r="AI3289" t="s">
        <v>1893</v>
      </c>
      <c r="AJ3289">
        <v>40.066903000000003</v>
      </c>
      <c r="AK3289" t="s">
        <v>1894</v>
      </c>
      <c r="AL3289">
        <v>-92.928779000000006</v>
      </c>
      <c r="AM3289">
        <v>100</v>
      </c>
      <c r="AN3289">
        <v>1300</v>
      </c>
      <c r="AO3289" t="s">
        <v>118</v>
      </c>
      <c r="AP3289">
        <v>-106</v>
      </c>
      <c r="AQ3289">
        <v>75</v>
      </c>
      <c r="AR3289">
        <v>64</v>
      </c>
      <c r="AZ3289">
        <v>1200</v>
      </c>
      <c r="BA3289">
        <v>1</v>
      </c>
      <c r="BB3289" t="str">
        <f t="shared" si="158"/>
        <v xml:space="preserve">N8080G  </v>
      </c>
      <c r="BC3289">
        <v>1</v>
      </c>
      <c r="BE3289">
        <v>0</v>
      </c>
      <c r="BF3289">
        <v>0</v>
      </c>
      <c r="BG3289">
        <v>0</v>
      </c>
      <c r="BH3289">
        <v>1350</v>
      </c>
      <c r="BI3289">
        <v>1</v>
      </c>
      <c r="BJ3289">
        <v>1</v>
      </c>
      <c r="BK3289">
        <v>1</v>
      </c>
      <c r="BL3289">
        <v>0</v>
      </c>
      <c r="BO3289">
        <v>0</v>
      </c>
      <c r="BP3289">
        <v>0</v>
      </c>
      <c r="BW3289" t="str">
        <f>"20:32:21.324"</f>
        <v>20:32:21.324</v>
      </c>
      <c r="BZ3289">
        <v>0</v>
      </c>
      <c r="CA3289">
        <v>1600</v>
      </c>
      <c r="CB3289">
        <v>224</v>
      </c>
      <c r="CD3289">
        <v>1</v>
      </c>
      <c r="CE3289">
        <v>0</v>
      </c>
      <c r="CF3289">
        <v>0</v>
      </c>
      <c r="CG3289">
        <v>1</v>
      </c>
      <c r="CH3289">
        <v>0</v>
      </c>
      <c r="CI3289">
        <v>0</v>
      </c>
      <c r="CJ3289">
        <v>0</v>
      </c>
      <c r="CK3289">
        <v>2</v>
      </c>
      <c r="CL3289">
        <v>0</v>
      </c>
      <c r="CM3289">
        <v>2</v>
      </c>
      <c r="CN3289">
        <v>0</v>
      </c>
      <c r="CO3289">
        <v>7</v>
      </c>
      <c r="CP3289" t="s">
        <v>119</v>
      </c>
      <c r="CQ3289">
        <v>180</v>
      </c>
      <c r="CR3289">
        <v>2</v>
      </c>
      <c r="CW3289">
        <v>8775679</v>
      </c>
      <c r="CY3289">
        <v>1</v>
      </c>
      <c r="CZ3289">
        <v>0</v>
      </c>
      <c r="DA3289">
        <v>1</v>
      </c>
      <c r="DB3289">
        <v>0</v>
      </c>
      <c r="DC3289">
        <v>0</v>
      </c>
      <c r="DD3289">
        <v>0</v>
      </c>
      <c r="DE3289">
        <v>0</v>
      </c>
      <c r="DF3289">
        <v>0</v>
      </c>
      <c r="DG3289">
        <v>0</v>
      </c>
      <c r="DH3289">
        <v>0</v>
      </c>
      <c r="DI3289">
        <v>0</v>
      </c>
    </row>
    <row r="3290" spans="1:113" x14ac:dyDescent="0.3">
      <c r="A3290" t="str">
        <f>"02/08/2021 20:32:19.019"</f>
        <v>02/08/2021 20:32:19.019</v>
      </c>
      <c r="C3290" t="str">
        <f t="shared" si="157"/>
        <v>FFDFD7C0</v>
      </c>
      <c r="D3290" t="s">
        <v>113</v>
      </c>
      <c r="E3290">
        <v>6</v>
      </c>
      <c r="H3290">
        <v>165</v>
      </c>
      <c r="I3290" t="s">
        <v>114</v>
      </c>
      <c r="J3290" t="s">
        <v>115</v>
      </c>
      <c r="K3290">
        <v>0</v>
      </c>
      <c r="L3290">
        <v>3</v>
      </c>
      <c r="M3290">
        <v>0</v>
      </c>
      <c r="N3290">
        <v>2</v>
      </c>
      <c r="O3290">
        <v>1</v>
      </c>
      <c r="P3290">
        <v>0</v>
      </c>
      <c r="Q3290">
        <v>0</v>
      </c>
      <c r="S3290" t="str">
        <f>"20:32:21.320"</f>
        <v>20:32:21.320</v>
      </c>
      <c r="T3290" t="str">
        <f>"20:32:20.920"</f>
        <v>20:32:20.920</v>
      </c>
      <c r="U3290" t="str">
        <f t="shared" si="159"/>
        <v>AB01F4</v>
      </c>
      <c r="V3290">
        <v>0</v>
      </c>
      <c r="W3290">
        <v>0</v>
      </c>
      <c r="X3290">
        <v>2</v>
      </c>
      <c r="Z3290">
        <v>0</v>
      </c>
      <c r="AA3290">
        <v>9</v>
      </c>
      <c r="AB3290">
        <v>3</v>
      </c>
      <c r="AC3290">
        <v>0</v>
      </c>
      <c r="AD3290">
        <v>10</v>
      </c>
      <c r="AE3290">
        <v>0</v>
      </c>
      <c r="AF3290">
        <v>3</v>
      </c>
      <c r="AG3290">
        <v>2</v>
      </c>
      <c r="AH3290">
        <v>0</v>
      </c>
      <c r="AI3290" t="s">
        <v>1893</v>
      </c>
      <c r="AJ3290">
        <v>40.066903000000003</v>
      </c>
      <c r="AK3290" t="s">
        <v>1894</v>
      </c>
      <c r="AL3290">
        <v>-92.928779000000006</v>
      </c>
      <c r="AM3290">
        <v>100</v>
      </c>
      <c r="AN3290">
        <v>1300</v>
      </c>
      <c r="AO3290" t="s">
        <v>118</v>
      </c>
      <c r="AP3290">
        <v>-106</v>
      </c>
      <c r="AQ3290">
        <v>75</v>
      </c>
      <c r="AR3290">
        <v>64</v>
      </c>
      <c r="AZ3290">
        <v>1200</v>
      </c>
      <c r="BA3290">
        <v>1</v>
      </c>
      <c r="BB3290" t="str">
        <f t="shared" si="158"/>
        <v xml:space="preserve">N8080G  </v>
      </c>
      <c r="BC3290">
        <v>1</v>
      </c>
      <c r="BE3290">
        <v>0</v>
      </c>
      <c r="BF3290">
        <v>0</v>
      </c>
      <c r="BG3290">
        <v>0</v>
      </c>
      <c r="BH3290">
        <v>1350</v>
      </c>
      <c r="BI3290">
        <v>1</v>
      </c>
      <c r="BJ3290">
        <v>1</v>
      </c>
      <c r="BK3290">
        <v>1</v>
      </c>
      <c r="BL3290">
        <v>0</v>
      </c>
      <c r="BO3290">
        <v>0</v>
      </c>
      <c r="BP3290">
        <v>0</v>
      </c>
      <c r="BW3290" t="str">
        <f>"20:32:21.324"</f>
        <v>20:32:21.324</v>
      </c>
      <c r="BZ3290">
        <v>0</v>
      </c>
      <c r="CA3290">
        <v>1600</v>
      </c>
      <c r="CB3290">
        <v>224</v>
      </c>
      <c r="CD3290">
        <v>1</v>
      </c>
      <c r="CE3290">
        <v>0</v>
      </c>
      <c r="CF3290">
        <v>0</v>
      </c>
      <c r="CG3290">
        <v>1</v>
      </c>
      <c r="CH3290">
        <v>0</v>
      </c>
      <c r="CI3290">
        <v>0</v>
      </c>
      <c r="CJ3290">
        <v>0</v>
      </c>
      <c r="CK3290">
        <v>2</v>
      </c>
      <c r="CL3290">
        <v>0</v>
      </c>
      <c r="CM3290">
        <v>2</v>
      </c>
      <c r="CN3290">
        <v>0</v>
      </c>
      <c r="CO3290">
        <v>7</v>
      </c>
      <c r="CP3290" t="s">
        <v>119</v>
      </c>
      <c r="CQ3290">
        <v>180</v>
      </c>
      <c r="CR3290">
        <v>2</v>
      </c>
      <c r="CW3290">
        <v>8775679</v>
      </c>
      <c r="CY3290">
        <v>1</v>
      </c>
      <c r="CZ3290">
        <v>0</v>
      </c>
      <c r="DA3290">
        <v>1</v>
      </c>
      <c r="DB3290">
        <v>0</v>
      </c>
      <c r="DC3290">
        <v>0</v>
      </c>
      <c r="DD3290">
        <v>0</v>
      </c>
      <c r="DE3290">
        <v>0</v>
      </c>
      <c r="DF3290">
        <v>0</v>
      </c>
      <c r="DG3290">
        <v>0</v>
      </c>
      <c r="DH3290">
        <v>0</v>
      </c>
      <c r="DI3290">
        <v>0</v>
      </c>
    </row>
    <row r="3291" spans="1:113" x14ac:dyDescent="0.3">
      <c r="A3291" t="str">
        <f>"02/08/2021 20:32:20.026"</f>
        <v>02/08/2021 20:32:20.026</v>
      </c>
      <c r="C3291" t="str">
        <f t="shared" si="157"/>
        <v>FFDFD7C0</v>
      </c>
      <c r="D3291" t="s">
        <v>124</v>
      </c>
      <c r="E3291">
        <v>13</v>
      </c>
      <c r="F3291">
        <v>1013</v>
      </c>
      <c r="G3291" t="s">
        <v>114</v>
      </c>
      <c r="J3291" t="s">
        <v>125</v>
      </c>
      <c r="K3291">
        <v>0</v>
      </c>
      <c r="L3291">
        <v>3</v>
      </c>
      <c r="M3291">
        <v>0</v>
      </c>
      <c r="N3291">
        <v>2</v>
      </c>
      <c r="O3291">
        <v>1</v>
      </c>
      <c r="P3291">
        <v>0</v>
      </c>
      <c r="Q3291">
        <v>0</v>
      </c>
      <c r="S3291" t="str">
        <f>"20:32:22.375"</f>
        <v>20:32:22.375</v>
      </c>
      <c r="T3291" t="str">
        <f>"20:32:21.875"</f>
        <v>20:32:21.875</v>
      </c>
      <c r="U3291" t="str">
        <f t="shared" si="159"/>
        <v>AB01F4</v>
      </c>
      <c r="V3291">
        <v>0</v>
      </c>
      <c r="W3291">
        <v>0</v>
      </c>
      <c r="X3291">
        <v>2</v>
      </c>
      <c r="Z3291">
        <v>0</v>
      </c>
      <c r="AA3291">
        <v>9</v>
      </c>
      <c r="AB3291">
        <v>3</v>
      </c>
      <c r="AC3291">
        <v>0</v>
      </c>
      <c r="AD3291">
        <v>10</v>
      </c>
      <c r="AE3291">
        <v>0</v>
      </c>
      <c r="AF3291">
        <v>3</v>
      </c>
      <c r="AG3291">
        <v>2</v>
      </c>
      <c r="AH3291">
        <v>0</v>
      </c>
      <c r="AI3291" t="s">
        <v>1895</v>
      </c>
      <c r="AJ3291">
        <v>40.067267000000001</v>
      </c>
      <c r="AK3291" t="s">
        <v>1896</v>
      </c>
      <c r="AL3291">
        <v>-92.929444000000004</v>
      </c>
      <c r="AM3291">
        <v>100</v>
      </c>
      <c r="AN3291">
        <v>1300</v>
      </c>
      <c r="AO3291" t="s">
        <v>118</v>
      </c>
      <c r="AP3291">
        <v>-106</v>
      </c>
      <c r="AQ3291">
        <v>75</v>
      </c>
      <c r="AR3291">
        <v>128</v>
      </c>
      <c r="AZ3291">
        <v>1200</v>
      </c>
      <c r="BA3291">
        <v>1</v>
      </c>
      <c r="BB3291" t="str">
        <f t="shared" si="158"/>
        <v xml:space="preserve">N8080G  </v>
      </c>
      <c r="BC3291">
        <v>1</v>
      </c>
      <c r="BE3291">
        <v>0</v>
      </c>
      <c r="BF3291">
        <v>0</v>
      </c>
      <c r="BG3291">
        <v>0</v>
      </c>
      <c r="BH3291">
        <v>1350</v>
      </c>
      <c r="BI3291">
        <v>1</v>
      </c>
      <c r="BJ3291">
        <v>1</v>
      </c>
      <c r="BK3291">
        <v>1</v>
      </c>
      <c r="BL3291">
        <v>0</v>
      </c>
      <c r="BO3291">
        <v>0</v>
      </c>
      <c r="BP3291">
        <v>0</v>
      </c>
      <c r="BW3291" t="str">
        <f>"20:32:22.380"</f>
        <v>20:32:22.380</v>
      </c>
      <c r="BZ3291">
        <v>0</v>
      </c>
      <c r="CA3291">
        <v>1600</v>
      </c>
      <c r="CB3291">
        <v>224</v>
      </c>
      <c r="CD3291">
        <v>1</v>
      </c>
      <c r="CE3291">
        <v>0</v>
      </c>
      <c r="CF3291">
        <v>0</v>
      </c>
      <c r="CG3291">
        <v>1</v>
      </c>
      <c r="CH3291">
        <v>0</v>
      </c>
      <c r="CI3291">
        <v>0</v>
      </c>
      <c r="CJ3291">
        <v>0</v>
      </c>
      <c r="CK3291">
        <v>2</v>
      </c>
      <c r="CL3291">
        <v>0</v>
      </c>
      <c r="CM3291">
        <v>2</v>
      </c>
      <c r="CN3291">
        <v>0</v>
      </c>
      <c r="CO3291">
        <v>7</v>
      </c>
      <c r="CP3291" t="s">
        <v>119</v>
      </c>
      <c r="CQ3291">
        <v>180</v>
      </c>
      <c r="CR3291">
        <v>3</v>
      </c>
      <c r="CW3291">
        <v>1120378</v>
      </c>
      <c r="CY3291">
        <v>1</v>
      </c>
      <c r="CZ3291">
        <v>0</v>
      </c>
      <c r="DA3291">
        <v>0</v>
      </c>
      <c r="DB3291">
        <v>0</v>
      </c>
      <c r="DC3291">
        <v>0</v>
      </c>
      <c r="DD3291">
        <v>0</v>
      </c>
      <c r="DE3291">
        <v>0</v>
      </c>
      <c r="DF3291">
        <v>0</v>
      </c>
      <c r="DG3291">
        <v>0</v>
      </c>
      <c r="DH3291">
        <v>0</v>
      </c>
      <c r="DI3291">
        <v>0</v>
      </c>
    </row>
    <row r="3292" spans="1:113" x14ac:dyDescent="0.3">
      <c r="A3292" t="str">
        <f>"02/08/2021 20:32:20.026"</f>
        <v>02/08/2021 20:32:20.026</v>
      </c>
      <c r="C3292" t="str">
        <f t="shared" si="157"/>
        <v>FFDFD7C0</v>
      </c>
      <c r="D3292" t="s">
        <v>124</v>
      </c>
      <c r="E3292">
        <v>12</v>
      </c>
      <c r="F3292">
        <v>1012</v>
      </c>
      <c r="G3292" t="s">
        <v>675</v>
      </c>
      <c r="J3292" t="s">
        <v>125</v>
      </c>
      <c r="K3292">
        <v>0</v>
      </c>
      <c r="L3292">
        <v>3</v>
      </c>
      <c r="M3292">
        <v>0</v>
      </c>
      <c r="N3292">
        <v>2</v>
      </c>
      <c r="O3292">
        <v>1</v>
      </c>
      <c r="P3292">
        <v>0</v>
      </c>
      <c r="Q3292">
        <v>0</v>
      </c>
      <c r="S3292" t="str">
        <f>"20:32:22.375"</f>
        <v>20:32:22.375</v>
      </c>
      <c r="T3292" t="str">
        <f>"20:32:21.875"</f>
        <v>20:32:21.875</v>
      </c>
      <c r="U3292" t="str">
        <f t="shared" si="159"/>
        <v>AB01F4</v>
      </c>
      <c r="V3292">
        <v>0</v>
      </c>
      <c r="W3292">
        <v>0</v>
      </c>
      <c r="X3292">
        <v>2</v>
      </c>
      <c r="Z3292">
        <v>0</v>
      </c>
      <c r="AA3292">
        <v>9</v>
      </c>
      <c r="AB3292">
        <v>3</v>
      </c>
      <c r="AC3292">
        <v>0</v>
      </c>
      <c r="AD3292">
        <v>10</v>
      </c>
      <c r="AE3292">
        <v>0</v>
      </c>
      <c r="AF3292">
        <v>3</v>
      </c>
      <c r="AG3292">
        <v>2</v>
      </c>
      <c r="AH3292">
        <v>0</v>
      </c>
      <c r="AI3292" t="s">
        <v>1895</v>
      </c>
      <c r="AJ3292">
        <v>40.067267000000001</v>
      </c>
      <c r="AK3292" t="s">
        <v>1896</v>
      </c>
      <c r="AL3292">
        <v>-92.929444000000004</v>
      </c>
      <c r="AM3292">
        <v>100</v>
      </c>
      <c r="AN3292">
        <v>1300</v>
      </c>
      <c r="AO3292" t="s">
        <v>118</v>
      </c>
      <c r="AP3292">
        <v>-106</v>
      </c>
      <c r="AQ3292">
        <v>75</v>
      </c>
      <c r="AR3292">
        <v>128</v>
      </c>
      <c r="AZ3292">
        <v>1200</v>
      </c>
      <c r="BA3292">
        <v>1</v>
      </c>
      <c r="BB3292" t="str">
        <f t="shared" si="158"/>
        <v xml:space="preserve">N8080G  </v>
      </c>
      <c r="BC3292">
        <v>1</v>
      </c>
      <c r="BE3292">
        <v>0</v>
      </c>
      <c r="BF3292">
        <v>0</v>
      </c>
      <c r="BG3292">
        <v>0</v>
      </c>
      <c r="BH3292">
        <v>1350</v>
      </c>
      <c r="BI3292">
        <v>1</v>
      </c>
      <c r="BJ3292">
        <v>1</v>
      </c>
      <c r="BK3292">
        <v>1</v>
      </c>
      <c r="BL3292">
        <v>0</v>
      </c>
      <c r="BO3292">
        <v>0</v>
      </c>
      <c r="BP3292">
        <v>0</v>
      </c>
      <c r="BW3292" t="str">
        <f>"20:32:22.380"</f>
        <v>20:32:22.380</v>
      </c>
      <c r="BZ3292">
        <v>0</v>
      </c>
      <c r="CA3292">
        <v>1600</v>
      </c>
      <c r="CB3292">
        <v>224</v>
      </c>
      <c r="CD3292">
        <v>1</v>
      </c>
      <c r="CE3292">
        <v>0</v>
      </c>
      <c r="CF3292">
        <v>0</v>
      </c>
      <c r="CG3292">
        <v>1</v>
      </c>
      <c r="CH3292">
        <v>0</v>
      </c>
      <c r="CI3292">
        <v>0</v>
      </c>
      <c r="CJ3292">
        <v>0</v>
      </c>
      <c r="CK3292">
        <v>2</v>
      </c>
      <c r="CL3292">
        <v>0</v>
      </c>
      <c r="CM3292">
        <v>2</v>
      </c>
      <c r="CN3292">
        <v>0</v>
      </c>
      <c r="CO3292">
        <v>7</v>
      </c>
      <c r="CP3292" t="s">
        <v>119</v>
      </c>
      <c r="CQ3292">
        <v>180</v>
      </c>
      <c r="CR3292">
        <v>3</v>
      </c>
      <c r="CW3292">
        <v>1120378</v>
      </c>
      <c r="CY3292">
        <v>1</v>
      </c>
      <c r="CZ3292">
        <v>0</v>
      </c>
      <c r="DA3292">
        <v>1</v>
      </c>
      <c r="DB3292">
        <v>0</v>
      </c>
      <c r="DC3292">
        <v>0</v>
      </c>
      <c r="DD3292">
        <v>0</v>
      </c>
      <c r="DE3292">
        <v>0</v>
      </c>
      <c r="DF3292">
        <v>0</v>
      </c>
      <c r="DG3292">
        <v>0</v>
      </c>
      <c r="DH3292">
        <v>0</v>
      </c>
      <c r="DI3292">
        <v>0</v>
      </c>
    </row>
    <row r="3293" spans="1:113" x14ac:dyDescent="0.3">
      <c r="A3293" t="str">
        <f>"02/08/2021 20:32:20.026"</f>
        <v>02/08/2021 20:32:20.026</v>
      </c>
      <c r="C3293" t="str">
        <f t="shared" si="157"/>
        <v>FFDFD7C0</v>
      </c>
      <c r="D3293" t="s">
        <v>124</v>
      </c>
      <c r="E3293">
        <v>11</v>
      </c>
      <c r="F3293">
        <v>1011</v>
      </c>
      <c r="G3293" t="s">
        <v>590</v>
      </c>
      <c r="J3293" t="s">
        <v>125</v>
      </c>
      <c r="K3293">
        <v>0</v>
      </c>
      <c r="L3293">
        <v>3</v>
      </c>
      <c r="M3293">
        <v>0</v>
      </c>
      <c r="N3293">
        <v>2</v>
      </c>
      <c r="O3293">
        <v>1</v>
      </c>
      <c r="P3293">
        <v>0</v>
      </c>
      <c r="Q3293">
        <v>0</v>
      </c>
      <c r="S3293" t="str">
        <f>"20:32:22.375"</f>
        <v>20:32:22.375</v>
      </c>
      <c r="T3293" t="str">
        <f>"20:32:21.875"</f>
        <v>20:32:21.875</v>
      </c>
      <c r="U3293" t="str">
        <f t="shared" si="159"/>
        <v>AB01F4</v>
      </c>
      <c r="V3293">
        <v>0</v>
      </c>
      <c r="W3293">
        <v>0</v>
      </c>
      <c r="X3293">
        <v>2</v>
      </c>
      <c r="Z3293">
        <v>0</v>
      </c>
      <c r="AA3293">
        <v>9</v>
      </c>
      <c r="AB3293">
        <v>3</v>
      </c>
      <c r="AC3293">
        <v>0</v>
      </c>
      <c r="AD3293">
        <v>10</v>
      </c>
      <c r="AE3293">
        <v>0</v>
      </c>
      <c r="AF3293">
        <v>3</v>
      </c>
      <c r="AG3293">
        <v>2</v>
      </c>
      <c r="AH3293">
        <v>0</v>
      </c>
      <c r="AI3293" t="s">
        <v>1895</v>
      </c>
      <c r="AJ3293">
        <v>40.067267000000001</v>
      </c>
      <c r="AK3293" t="s">
        <v>1896</v>
      </c>
      <c r="AL3293">
        <v>-92.929444000000004</v>
      </c>
      <c r="AM3293">
        <v>100</v>
      </c>
      <c r="AN3293">
        <v>1300</v>
      </c>
      <c r="AO3293" t="s">
        <v>118</v>
      </c>
      <c r="AP3293">
        <v>-106</v>
      </c>
      <c r="AQ3293">
        <v>75</v>
      </c>
      <c r="AR3293">
        <v>128</v>
      </c>
      <c r="AZ3293">
        <v>1200</v>
      </c>
      <c r="BA3293">
        <v>1</v>
      </c>
      <c r="BB3293" t="str">
        <f t="shared" si="158"/>
        <v xml:space="preserve">N8080G  </v>
      </c>
      <c r="BC3293">
        <v>1</v>
      </c>
      <c r="BE3293">
        <v>0</v>
      </c>
      <c r="BF3293">
        <v>0</v>
      </c>
      <c r="BG3293">
        <v>0</v>
      </c>
      <c r="BH3293">
        <v>1350</v>
      </c>
      <c r="BI3293">
        <v>1</v>
      </c>
      <c r="BJ3293">
        <v>1</v>
      </c>
      <c r="BK3293">
        <v>1</v>
      </c>
      <c r="BL3293">
        <v>0</v>
      </c>
      <c r="BO3293">
        <v>0</v>
      </c>
      <c r="BP3293">
        <v>0</v>
      </c>
      <c r="BW3293" t="str">
        <f>"20:32:22.380"</f>
        <v>20:32:22.380</v>
      </c>
      <c r="BZ3293">
        <v>0</v>
      </c>
      <c r="CA3293">
        <v>1600</v>
      </c>
      <c r="CB3293">
        <v>224</v>
      </c>
      <c r="CD3293">
        <v>1</v>
      </c>
      <c r="CE3293">
        <v>0</v>
      </c>
      <c r="CF3293">
        <v>0</v>
      </c>
      <c r="CG3293">
        <v>1</v>
      </c>
      <c r="CH3293">
        <v>0</v>
      </c>
      <c r="CI3293">
        <v>0</v>
      </c>
      <c r="CJ3293">
        <v>0</v>
      </c>
      <c r="CK3293">
        <v>2</v>
      </c>
      <c r="CL3293">
        <v>0</v>
      </c>
      <c r="CM3293">
        <v>2</v>
      </c>
      <c r="CN3293">
        <v>0</v>
      </c>
      <c r="CO3293">
        <v>7</v>
      </c>
      <c r="CP3293" t="s">
        <v>119</v>
      </c>
      <c r="CQ3293">
        <v>180</v>
      </c>
      <c r="CR3293">
        <v>3</v>
      </c>
      <c r="CW3293">
        <v>1120378</v>
      </c>
      <c r="CY3293">
        <v>1</v>
      </c>
      <c r="CZ3293">
        <v>0</v>
      </c>
      <c r="DA3293">
        <v>1</v>
      </c>
      <c r="DB3293">
        <v>0</v>
      </c>
      <c r="DC3293">
        <v>0</v>
      </c>
      <c r="DD3293">
        <v>0</v>
      </c>
      <c r="DE3293">
        <v>0</v>
      </c>
      <c r="DF3293">
        <v>0</v>
      </c>
      <c r="DG3293">
        <v>0</v>
      </c>
      <c r="DH3293">
        <v>0</v>
      </c>
      <c r="DI3293">
        <v>0</v>
      </c>
    </row>
    <row r="3294" spans="1:113" x14ac:dyDescent="0.3">
      <c r="A3294" t="str">
        <f>"02/08/2021 20:32:20.026"</f>
        <v>02/08/2021 20:32:20.026</v>
      </c>
      <c r="C3294" t="str">
        <f t="shared" si="157"/>
        <v>FFDFD7C0</v>
      </c>
      <c r="D3294" t="s">
        <v>113</v>
      </c>
      <c r="E3294">
        <v>6</v>
      </c>
      <c r="H3294">
        <v>165</v>
      </c>
      <c r="I3294" t="s">
        <v>114</v>
      </c>
      <c r="J3294" t="s">
        <v>115</v>
      </c>
      <c r="K3294">
        <v>0</v>
      </c>
      <c r="L3294">
        <v>3</v>
      </c>
      <c r="M3294">
        <v>0</v>
      </c>
      <c r="N3294">
        <v>2</v>
      </c>
      <c r="O3294">
        <v>1</v>
      </c>
      <c r="P3294">
        <v>0</v>
      </c>
      <c r="Q3294">
        <v>0</v>
      </c>
      <c r="S3294" t="str">
        <f>"20:32:22.375"</f>
        <v>20:32:22.375</v>
      </c>
      <c r="T3294" t="str">
        <f>"20:32:21.875"</f>
        <v>20:32:21.875</v>
      </c>
      <c r="U3294" t="str">
        <f t="shared" si="159"/>
        <v>AB01F4</v>
      </c>
      <c r="V3294">
        <v>0</v>
      </c>
      <c r="W3294">
        <v>0</v>
      </c>
      <c r="X3294">
        <v>2</v>
      </c>
      <c r="Z3294">
        <v>0</v>
      </c>
      <c r="AA3294">
        <v>9</v>
      </c>
      <c r="AB3294">
        <v>3</v>
      </c>
      <c r="AC3294">
        <v>0</v>
      </c>
      <c r="AD3294">
        <v>10</v>
      </c>
      <c r="AE3294">
        <v>0</v>
      </c>
      <c r="AF3294">
        <v>3</v>
      </c>
      <c r="AG3294">
        <v>2</v>
      </c>
      <c r="AH3294">
        <v>0</v>
      </c>
      <c r="AI3294" t="s">
        <v>1895</v>
      </c>
      <c r="AJ3294">
        <v>40.067267000000001</v>
      </c>
      <c r="AK3294" t="s">
        <v>1896</v>
      </c>
      <c r="AL3294">
        <v>-92.929444000000004</v>
      </c>
      <c r="AM3294">
        <v>100</v>
      </c>
      <c r="AN3294">
        <v>1300</v>
      </c>
      <c r="AO3294" t="s">
        <v>118</v>
      </c>
      <c r="AP3294">
        <v>-106</v>
      </c>
      <c r="AQ3294">
        <v>75</v>
      </c>
      <c r="AR3294">
        <v>128</v>
      </c>
      <c r="AZ3294">
        <v>1200</v>
      </c>
      <c r="BA3294">
        <v>1</v>
      </c>
      <c r="BB3294" t="str">
        <f t="shared" si="158"/>
        <v xml:space="preserve">N8080G  </v>
      </c>
      <c r="BC3294">
        <v>1</v>
      </c>
      <c r="BE3294">
        <v>0</v>
      </c>
      <c r="BF3294">
        <v>0</v>
      </c>
      <c r="BG3294">
        <v>0</v>
      </c>
      <c r="BH3294">
        <v>1350</v>
      </c>
      <c r="BI3294">
        <v>1</v>
      </c>
      <c r="BJ3294">
        <v>1</v>
      </c>
      <c r="BK3294">
        <v>1</v>
      </c>
      <c r="BL3294">
        <v>0</v>
      </c>
      <c r="BO3294">
        <v>0</v>
      </c>
      <c r="BP3294">
        <v>0</v>
      </c>
      <c r="BW3294" t="str">
        <f>"20:32:22.380"</f>
        <v>20:32:22.380</v>
      </c>
      <c r="BZ3294">
        <v>0</v>
      </c>
      <c r="CA3294">
        <v>1600</v>
      </c>
      <c r="CB3294">
        <v>224</v>
      </c>
      <c r="CD3294">
        <v>1</v>
      </c>
      <c r="CE3294">
        <v>0</v>
      </c>
      <c r="CF3294">
        <v>0</v>
      </c>
      <c r="CG3294">
        <v>1</v>
      </c>
      <c r="CH3294">
        <v>0</v>
      </c>
      <c r="CI3294">
        <v>0</v>
      </c>
      <c r="CJ3294">
        <v>0</v>
      </c>
      <c r="CK3294">
        <v>2</v>
      </c>
      <c r="CL3294">
        <v>0</v>
      </c>
      <c r="CM3294">
        <v>2</v>
      </c>
      <c r="CN3294">
        <v>0</v>
      </c>
      <c r="CO3294">
        <v>7</v>
      </c>
      <c r="CP3294" t="s">
        <v>119</v>
      </c>
      <c r="CQ3294">
        <v>180</v>
      </c>
      <c r="CR3294">
        <v>3</v>
      </c>
      <c r="CW3294">
        <v>1120378</v>
      </c>
      <c r="CY3294">
        <v>1</v>
      </c>
      <c r="CZ3294">
        <v>0</v>
      </c>
      <c r="DA3294">
        <v>1</v>
      </c>
      <c r="DB3294">
        <v>0</v>
      </c>
      <c r="DC3294">
        <v>0</v>
      </c>
      <c r="DD3294">
        <v>0</v>
      </c>
      <c r="DE3294">
        <v>0</v>
      </c>
      <c r="DF3294">
        <v>0</v>
      </c>
      <c r="DG3294">
        <v>0</v>
      </c>
      <c r="DH3294">
        <v>0</v>
      </c>
      <c r="DI3294">
        <v>0</v>
      </c>
    </row>
    <row r="3295" spans="1:113" x14ac:dyDescent="0.3">
      <c r="A3295" t="str">
        <f>"02/08/2021 20:32:21.153"</f>
        <v>02/08/2021 20:32:21.153</v>
      </c>
      <c r="C3295" t="str">
        <f t="shared" si="157"/>
        <v>FFDFD7C0</v>
      </c>
      <c r="D3295" t="s">
        <v>124</v>
      </c>
      <c r="E3295">
        <v>12</v>
      </c>
      <c r="F3295">
        <v>1012</v>
      </c>
      <c r="G3295" t="s">
        <v>675</v>
      </c>
      <c r="J3295" t="s">
        <v>125</v>
      </c>
      <c r="K3295">
        <v>0</v>
      </c>
      <c r="L3295">
        <v>3</v>
      </c>
      <c r="M3295">
        <v>0</v>
      </c>
      <c r="N3295">
        <v>2</v>
      </c>
      <c r="O3295">
        <v>1</v>
      </c>
      <c r="P3295">
        <v>0</v>
      </c>
      <c r="Q3295">
        <v>0</v>
      </c>
      <c r="S3295" t="str">
        <f>"20:32:23.477"</f>
        <v>20:32:23.477</v>
      </c>
      <c r="T3295" t="str">
        <f>"20:32:22.977"</f>
        <v>20:32:22.977</v>
      </c>
      <c r="U3295" t="str">
        <f t="shared" si="159"/>
        <v>AB01F4</v>
      </c>
      <c r="V3295">
        <v>0</v>
      </c>
      <c r="W3295">
        <v>0</v>
      </c>
      <c r="X3295">
        <v>2</v>
      </c>
      <c r="Z3295">
        <v>0</v>
      </c>
      <c r="AA3295">
        <v>9</v>
      </c>
      <c r="AB3295">
        <v>3</v>
      </c>
      <c r="AC3295">
        <v>0</v>
      </c>
      <c r="AD3295">
        <v>10</v>
      </c>
      <c r="AE3295">
        <v>0</v>
      </c>
      <c r="AF3295">
        <v>3</v>
      </c>
      <c r="AG3295">
        <v>2</v>
      </c>
      <c r="AH3295">
        <v>0</v>
      </c>
      <c r="AI3295" t="s">
        <v>1897</v>
      </c>
      <c r="AJ3295">
        <v>40.067653999999997</v>
      </c>
      <c r="AK3295" t="s">
        <v>1898</v>
      </c>
      <c r="AL3295">
        <v>-92.930109999999999</v>
      </c>
      <c r="AM3295">
        <v>100</v>
      </c>
      <c r="AN3295">
        <v>1300</v>
      </c>
      <c r="AO3295" t="s">
        <v>118</v>
      </c>
      <c r="AP3295">
        <v>-106</v>
      </c>
      <c r="AQ3295">
        <v>74</v>
      </c>
      <c r="AR3295">
        <v>0</v>
      </c>
      <c r="AZ3295">
        <v>1200</v>
      </c>
      <c r="BA3295">
        <v>1</v>
      </c>
      <c r="BB3295" t="str">
        <f t="shared" si="158"/>
        <v xml:space="preserve">N8080G  </v>
      </c>
      <c r="BC3295">
        <v>1</v>
      </c>
      <c r="BE3295">
        <v>0</v>
      </c>
      <c r="BF3295">
        <v>0</v>
      </c>
      <c r="BG3295">
        <v>0</v>
      </c>
      <c r="BH3295">
        <v>1350</v>
      </c>
      <c r="BI3295">
        <v>1</v>
      </c>
      <c r="BJ3295">
        <v>1</v>
      </c>
      <c r="BK3295">
        <v>1</v>
      </c>
      <c r="BL3295">
        <v>0</v>
      </c>
      <c r="BO3295">
        <v>0</v>
      </c>
      <c r="BP3295">
        <v>0</v>
      </c>
      <c r="BW3295" t="str">
        <f>"20:32:23.478"</f>
        <v>20:32:23.478</v>
      </c>
      <c r="BZ3295">
        <v>0</v>
      </c>
      <c r="CA3295">
        <v>1600</v>
      </c>
      <c r="CB3295">
        <v>224</v>
      </c>
      <c r="CD3295">
        <v>1</v>
      </c>
      <c r="CE3295">
        <v>0</v>
      </c>
      <c r="CF3295">
        <v>0</v>
      </c>
      <c r="CG3295">
        <v>1</v>
      </c>
      <c r="CH3295">
        <v>0</v>
      </c>
      <c r="CI3295">
        <v>0</v>
      </c>
      <c r="CJ3295">
        <v>0</v>
      </c>
      <c r="CK3295">
        <v>2</v>
      </c>
      <c r="CL3295">
        <v>0</v>
      </c>
      <c r="CM3295">
        <v>2</v>
      </c>
      <c r="CN3295">
        <v>0</v>
      </c>
      <c r="CO3295">
        <v>7</v>
      </c>
      <c r="CP3295" t="s">
        <v>119</v>
      </c>
      <c r="CQ3295">
        <v>180</v>
      </c>
      <c r="CR3295">
        <v>3</v>
      </c>
      <c r="CW3295">
        <v>1121280</v>
      </c>
      <c r="CY3295">
        <v>1</v>
      </c>
      <c r="CZ3295">
        <v>0</v>
      </c>
      <c r="DA3295">
        <v>0</v>
      </c>
      <c r="DB3295">
        <v>0</v>
      </c>
      <c r="DC3295">
        <v>0</v>
      </c>
      <c r="DD3295">
        <v>0</v>
      </c>
      <c r="DE3295">
        <v>0</v>
      </c>
      <c r="DF3295">
        <v>0</v>
      </c>
      <c r="DG3295">
        <v>0</v>
      </c>
      <c r="DH3295">
        <v>0</v>
      </c>
      <c r="DI3295">
        <v>0</v>
      </c>
    </row>
    <row r="3296" spans="1:113" x14ac:dyDescent="0.3">
      <c r="A3296" t="str">
        <f>"02/08/2021 20:32:21.153"</f>
        <v>02/08/2021 20:32:21.153</v>
      </c>
      <c r="C3296" t="str">
        <f t="shared" si="157"/>
        <v>FFDFD7C0</v>
      </c>
      <c r="D3296" t="s">
        <v>124</v>
      </c>
      <c r="E3296">
        <v>11</v>
      </c>
      <c r="F3296">
        <v>1011</v>
      </c>
      <c r="G3296" t="s">
        <v>590</v>
      </c>
      <c r="J3296" t="s">
        <v>125</v>
      </c>
      <c r="K3296">
        <v>0</v>
      </c>
      <c r="L3296">
        <v>3</v>
      </c>
      <c r="M3296">
        <v>0</v>
      </c>
      <c r="N3296">
        <v>2</v>
      </c>
      <c r="O3296">
        <v>1</v>
      </c>
      <c r="P3296">
        <v>0</v>
      </c>
      <c r="Q3296">
        <v>0</v>
      </c>
      <c r="S3296" t="str">
        <f>"20:32:23.477"</f>
        <v>20:32:23.477</v>
      </c>
      <c r="T3296" t="str">
        <f>"20:32:22.977"</f>
        <v>20:32:22.977</v>
      </c>
      <c r="U3296" t="str">
        <f t="shared" si="159"/>
        <v>AB01F4</v>
      </c>
      <c r="V3296">
        <v>0</v>
      </c>
      <c r="W3296">
        <v>0</v>
      </c>
      <c r="X3296">
        <v>2</v>
      </c>
      <c r="Z3296">
        <v>0</v>
      </c>
      <c r="AA3296">
        <v>9</v>
      </c>
      <c r="AB3296">
        <v>3</v>
      </c>
      <c r="AC3296">
        <v>0</v>
      </c>
      <c r="AD3296">
        <v>10</v>
      </c>
      <c r="AE3296">
        <v>0</v>
      </c>
      <c r="AF3296">
        <v>3</v>
      </c>
      <c r="AG3296">
        <v>2</v>
      </c>
      <c r="AH3296">
        <v>0</v>
      </c>
      <c r="AI3296" t="s">
        <v>1897</v>
      </c>
      <c r="AJ3296">
        <v>40.067653999999997</v>
      </c>
      <c r="AK3296" t="s">
        <v>1898</v>
      </c>
      <c r="AL3296">
        <v>-92.930109999999999</v>
      </c>
      <c r="AM3296">
        <v>100</v>
      </c>
      <c r="AN3296">
        <v>1300</v>
      </c>
      <c r="AO3296" t="s">
        <v>118</v>
      </c>
      <c r="AP3296">
        <v>-106</v>
      </c>
      <c r="AQ3296">
        <v>74</v>
      </c>
      <c r="AR3296">
        <v>0</v>
      </c>
      <c r="AZ3296">
        <v>1200</v>
      </c>
      <c r="BA3296">
        <v>1</v>
      </c>
      <c r="BB3296" t="str">
        <f t="shared" si="158"/>
        <v xml:space="preserve">N8080G  </v>
      </c>
      <c r="BC3296">
        <v>1</v>
      </c>
      <c r="BE3296">
        <v>0</v>
      </c>
      <c r="BF3296">
        <v>0</v>
      </c>
      <c r="BG3296">
        <v>0</v>
      </c>
      <c r="BH3296">
        <v>1350</v>
      </c>
      <c r="BI3296">
        <v>1</v>
      </c>
      <c r="BJ3296">
        <v>1</v>
      </c>
      <c r="BK3296">
        <v>1</v>
      </c>
      <c r="BL3296">
        <v>0</v>
      </c>
      <c r="BO3296">
        <v>0</v>
      </c>
      <c r="BP3296">
        <v>0</v>
      </c>
      <c r="BW3296" t="str">
        <f>"20:32:23.478"</f>
        <v>20:32:23.478</v>
      </c>
      <c r="BZ3296">
        <v>0</v>
      </c>
      <c r="CA3296">
        <v>1600</v>
      </c>
      <c r="CB3296">
        <v>224</v>
      </c>
      <c r="CD3296">
        <v>1</v>
      </c>
      <c r="CE3296">
        <v>0</v>
      </c>
      <c r="CF3296">
        <v>0</v>
      </c>
      <c r="CG3296">
        <v>1</v>
      </c>
      <c r="CH3296">
        <v>0</v>
      </c>
      <c r="CI3296">
        <v>0</v>
      </c>
      <c r="CJ3296">
        <v>0</v>
      </c>
      <c r="CK3296">
        <v>2</v>
      </c>
      <c r="CL3296">
        <v>0</v>
      </c>
      <c r="CM3296">
        <v>2</v>
      </c>
      <c r="CN3296">
        <v>0</v>
      </c>
      <c r="CO3296">
        <v>7</v>
      </c>
      <c r="CP3296" t="s">
        <v>119</v>
      </c>
      <c r="CQ3296">
        <v>180</v>
      </c>
      <c r="CR3296">
        <v>3</v>
      </c>
      <c r="CW3296">
        <v>1121280</v>
      </c>
      <c r="CY3296">
        <v>1</v>
      </c>
      <c r="CZ3296">
        <v>0</v>
      </c>
      <c r="DA3296">
        <v>1</v>
      </c>
      <c r="DB3296">
        <v>0</v>
      </c>
      <c r="DC3296">
        <v>0</v>
      </c>
      <c r="DD3296">
        <v>0</v>
      </c>
      <c r="DE3296">
        <v>0</v>
      </c>
      <c r="DF3296">
        <v>0</v>
      </c>
      <c r="DG3296">
        <v>0</v>
      </c>
      <c r="DH3296">
        <v>0</v>
      </c>
      <c r="DI3296">
        <v>0</v>
      </c>
    </row>
    <row r="3297" spans="1:113" x14ac:dyDescent="0.3">
      <c r="A3297" t="str">
        <f>"02/08/2021 20:32:21.153"</f>
        <v>02/08/2021 20:32:21.153</v>
      </c>
      <c r="C3297" t="str">
        <f t="shared" si="157"/>
        <v>FFDFD7C0</v>
      </c>
      <c r="D3297" t="s">
        <v>113</v>
      </c>
      <c r="E3297">
        <v>6</v>
      </c>
      <c r="H3297">
        <v>165</v>
      </c>
      <c r="I3297" t="s">
        <v>114</v>
      </c>
      <c r="J3297" t="s">
        <v>115</v>
      </c>
      <c r="K3297">
        <v>0</v>
      </c>
      <c r="L3297">
        <v>3</v>
      </c>
      <c r="M3297">
        <v>0</v>
      </c>
      <c r="N3297">
        <v>2</v>
      </c>
      <c r="O3297">
        <v>1</v>
      </c>
      <c r="P3297">
        <v>0</v>
      </c>
      <c r="Q3297">
        <v>0</v>
      </c>
      <c r="S3297" t="str">
        <f>"20:32:23.477"</f>
        <v>20:32:23.477</v>
      </c>
      <c r="T3297" t="str">
        <f>"20:32:22.977"</f>
        <v>20:32:22.977</v>
      </c>
      <c r="U3297" t="str">
        <f t="shared" si="159"/>
        <v>AB01F4</v>
      </c>
      <c r="V3297">
        <v>0</v>
      </c>
      <c r="W3297">
        <v>0</v>
      </c>
      <c r="X3297">
        <v>2</v>
      </c>
      <c r="Z3297">
        <v>0</v>
      </c>
      <c r="AA3297">
        <v>9</v>
      </c>
      <c r="AB3297">
        <v>3</v>
      </c>
      <c r="AC3297">
        <v>0</v>
      </c>
      <c r="AD3297">
        <v>10</v>
      </c>
      <c r="AE3297">
        <v>0</v>
      </c>
      <c r="AF3297">
        <v>3</v>
      </c>
      <c r="AG3297">
        <v>2</v>
      </c>
      <c r="AH3297">
        <v>0</v>
      </c>
      <c r="AI3297" t="s">
        <v>1897</v>
      </c>
      <c r="AJ3297">
        <v>40.067653999999997</v>
      </c>
      <c r="AK3297" t="s">
        <v>1898</v>
      </c>
      <c r="AL3297">
        <v>-92.930109999999999</v>
      </c>
      <c r="AM3297">
        <v>100</v>
      </c>
      <c r="AN3297">
        <v>1300</v>
      </c>
      <c r="AO3297" t="s">
        <v>118</v>
      </c>
      <c r="AP3297">
        <v>-106</v>
      </c>
      <c r="AQ3297">
        <v>74</v>
      </c>
      <c r="AR3297">
        <v>0</v>
      </c>
      <c r="AZ3297">
        <v>1200</v>
      </c>
      <c r="BA3297">
        <v>1</v>
      </c>
      <c r="BB3297" t="str">
        <f t="shared" si="158"/>
        <v xml:space="preserve">N8080G  </v>
      </c>
      <c r="BC3297">
        <v>1</v>
      </c>
      <c r="BE3297">
        <v>0</v>
      </c>
      <c r="BF3297">
        <v>0</v>
      </c>
      <c r="BG3297">
        <v>0</v>
      </c>
      <c r="BH3297">
        <v>1350</v>
      </c>
      <c r="BI3297">
        <v>1</v>
      </c>
      <c r="BJ3297">
        <v>1</v>
      </c>
      <c r="BK3297">
        <v>1</v>
      </c>
      <c r="BL3297">
        <v>0</v>
      </c>
      <c r="BO3297">
        <v>0</v>
      </c>
      <c r="BP3297">
        <v>0</v>
      </c>
      <c r="BW3297" t="str">
        <f>"20:32:23.478"</f>
        <v>20:32:23.478</v>
      </c>
      <c r="BZ3297">
        <v>0</v>
      </c>
      <c r="CA3297">
        <v>1600</v>
      </c>
      <c r="CB3297">
        <v>224</v>
      </c>
      <c r="CD3297">
        <v>1</v>
      </c>
      <c r="CE3297">
        <v>0</v>
      </c>
      <c r="CF3297">
        <v>0</v>
      </c>
      <c r="CG3297">
        <v>1</v>
      </c>
      <c r="CH3297">
        <v>0</v>
      </c>
      <c r="CI3297">
        <v>0</v>
      </c>
      <c r="CJ3297">
        <v>0</v>
      </c>
      <c r="CK3297">
        <v>2</v>
      </c>
      <c r="CL3297">
        <v>0</v>
      </c>
      <c r="CM3297">
        <v>2</v>
      </c>
      <c r="CN3297">
        <v>0</v>
      </c>
      <c r="CO3297">
        <v>7</v>
      </c>
      <c r="CP3297" t="s">
        <v>119</v>
      </c>
      <c r="CQ3297">
        <v>180</v>
      </c>
      <c r="CR3297">
        <v>3</v>
      </c>
      <c r="CW3297">
        <v>1121280</v>
      </c>
      <c r="CY3297">
        <v>1</v>
      </c>
      <c r="CZ3297">
        <v>0</v>
      </c>
      <c r="DA3297">
        <v>1</v>
      </c>
      <c r="DB3297">
        <v>0</v>
      </c>
      <c r="DC3297">
        <v>0</v>
      </c>
      <c r="DD3297">
        <v>0</v>
      </c>
      <c r="DE3297">
        <v>0</v>
      </c>
      <c r="DF3297">
        <v>0</v>
      </c>
      <c r="DG3297">
        <v>0</v>
      </c>
      <c r="DH3297">
        <v>0</v>
      </c>
      <c r="DI3297">
        <v>0</v>
      </c>
    </row>
    <row r="3298" spans="1:113" x14ac:dyDescent="0.3">
      <c r="A3298" t="str">
        <f>"02/08/2021 20:32:21.153"</f>
        <v>02/08/2021 20:32:21.153</v>
      </c>
      <c r="C3298" t="str">
        <f t="shared" si="157"/>
        <v>FFDFD7C0</v>
      </c>
      <c r="D3298" t="s">
        <v>124</v>
      </c>
      <c r="E3298">
        <v>13</v>
      </c>
      <c r="F3298">
        <v>1013</v>
      </c>
      <c r="G3298" t="s">
        <v>114</v>
      </c>
      <c r="J3298" t="s">
        <v>125</v>
      </c>
      <c r="K3298">
        <v>0</v>
      </c>
      <c r="L3298">
        <v>3</v>
      </c>
      <c r="M3298">
        <v>0</v>
      </c>
      <c r="N3298">
        <v>2</v>
      </c>
      <c r="O3298">
        <v>1</v>
      </c>
      <c r="P3298">
        <v>0</v>
      </c>
      <c r="Q3298">
        <v>0</v>
      </c>
      <c r="S3298" t="str">
        <f>"20:32:23.477"</f>
        <v>20:32:23.477</v>
      </c>
      <c r="T3298" t="str">
        <f>"20:32:22.977"</f>
        <v>20:32:22.977</v>
      </c>
      <c r="U3298" t="str">
        <f t="shared" si="159"/>
        <v>AB01F4</v>
      </c>
      <c r="V3298">
        <v>0</v>
      </c>
      <c r="W3298">
        <v>0</v>
      </c>
      <c r="X3298">
        <v>2</v>
      </c>
      <c r="Z3298">
        <v>0</v>
      </c>
      <c r="AA3298">
        <v>9</v>
      </c>
      <c r="AB3298">
        <v>3</v>
      </c>
      <c r="AC3298">
        <v>0</v>
      </c>
      <c r="AD3298">
        <v>10</v>
      </c>
      <c r="AE3298">
        <v>0</v>
      </c>
      <c r="AF3298">
        <v>3</v>
      </c>
      <c r="AG3298">
        <v>2</v>
      </c>
      <c r="AH3298">
        <v>0</v>
      </c>
      <c r="AI3298" t="s">
        <v>1897</v>
      </c>
      <c r="AJ3298">
        <v>40.067653999999997</v>
      </c>
      <c r="AK3298" t="s">
        <v>1898</v>
      </c>
      <c r="AL3298">
        <v>-92.930109999999999</v>
      </c>
      <c r="AM3298">
        <v>100</v>
      </c>
      <c r="AN3298">
        <v>1300</v>
      </c>
      <c r="AO3298" t="s">
        <v>118</v>
      </c>
      <c r="AP3298">
        <v>-106</v>
      </c>
      <c r="AQ3298">
        <v>74</v>
      </c>
      <c r="AR3298">
        <v>0</v>
      </c>
      <c r="AZ3298">
        <v>1200</v>
      </c>
      <c r="BA3298">
        <v>1</v>
      </c>
      <c r="BB3298" t="str">
        <f t="shared" si="158"/>
        <v xml:space="preserve">N8080G  </v>
      </c>
      <c r="BC3298">
        <v>1</v>
      </c>
      <c r="BE3298">
        <v>0</v>
      </c>
      <c r="BF3298">
        <v>0</v>
      </c>
      <c r="BG3298">
        <v>0</v>
      </c>
      <c r="BH3298">
        <v>1350</v>
      </c>
      <c r="BI3298">
        <v>1</v>
      </c>
      <c r="BJ3298">
        <v>1</v>
      </c>
      <c r="BK3298">
        <v>1</v>
      </c>
      <c r="BL3298">
        <v>0</v>
      </c>
      <c r="BO3298">
        <v>0</v>
      </c>
      <c r="BP3298">
        <v>0</v>
      </c>
      <c r="BW3298" t="str">
        <f>"20:32:23.478"</f>
        <v>20:32:23.478</v>
      </c>
      <c r="BZ3298">
        <v>0</v>
      </c>
      <c r="CA3298">
        <v>1600</v>
      </c>
      <c r="CB3298">
        <v>224</v>
      </c>
      <c r="CD3298">
        <v>1</v>
      </c>
      <c r="CE3298">
        <v>0</v>
      </c>
      <c r="CF3298">
        <v>0</v>
      </c>
      <c r="CG3298">
        <v>1</v>
      </c>
      <c r="CH3298">
        <v>0</v>
      </c>
      <c r="CI3298">
        <v>0</v>
      </c>
      <c r="CJ3298">
        <v>0</v>
      </c>
      <c r="CK3298">
        <v>2</v>
      </c>
      <c r="CL3298">
        <v>0</v>
      </c>
      <c r="CM3298">
        <v>2</v>
      </c>
      <c r="CN3298">
        <v>0</v>
      </c>
      <c r="CO3298">
        <v>7</v>
      </c>
      <c r="CP3298" t="s">
        <v>119</v>
      </c>
      <c r="CQ3298">
        <v>180</v>
      </c>
      <c r="CR3298">
        <v>3</v>
      </c>
      <c r="CW3298">
        <v>1121280</v>
      </c>
      <c r="CY3298">
        <v>1</v>
      </c>
      <c r="CZ3298">
        <v>0</v>
      </c>
      <c r="DA3298">
        <v>1</v>
      </c>
      <c r="DB3298">
        <v>0</v>
      </c>
      <c r="DC3298">
        <v>0</v>
      </c>
      <c r="DD3298">
        <v>0</v>
      </c>
      <c r="DE3298">
        <v>0</v>
      </c>
      <c r="DF3298">
        <v>0</v>
      </c>
      <c r="DG3298">
        <v>0</v>
      </c>
      <c r="DH3298">
        <v>0</v>
      </c>
      <c r="DI3298">
        <v>0</v>
      </c>
    </row>
    <row r="3299" spans="1:113" x14ac:dyDescent="0.3">
      <c r="A3299" t="str">
        <f>"02/08/2021 20:32:21.936"</f>
        <v>02/08/2021 20:32:21.936</v>
      </c>
      <c r="C3299" t="str">
        <f>"FFDF57C0"</f>
        <v>FFDF57C0</v>
      </c>
      <c r="D3299" t="s">
        <v>113</v>
      </c>
      <c r="E3299">
        <v>6</v>
      </c>
      <c r="H3299">
        <v>165</v>
      </c>
      <c r="I3299" t="s">
        <v>114</v>
      </c>
      <c r="J3299" t="s">
        <v>115</v>
      </c>
      <c r="K3299">
        <v>0</v>
      </c>
      <c r="L3299">
        <v>3</v>
      </c>
      <c r="M3299">
        <v>0</v>
      </c>
      <c r="N3299">
        <v>2</v>
      </c>
      <c r="O3299">
        <v>1</v>
      </c>
      <c r="P3299">
        <v>0</v>
      </c>
      <c r="Q3299">
        <v>0</v>
      </c>
      <c r="S3299" t="str">
        <f>"20:32:23.992"</f>
        <v>20:32:23.992</v>
      </c>
      <c r="U3299" t="str">
        <f t="shared" si="159"/>
        <v>AB01F4</v>
      </c>
      <c r="V3299">
        <v>0</v>
      </c>
      <c r="W3299">
        <v>0</v>
      </c>
      <c r="X3299">
        <v>2</v>
      </c>
      <c r="Z3299">
        <v>0</v>
      </c>
      <c r="AA3299">
        <v>9</v>
      </c>
      <c r="AB3299">
        <v>3</v>
      </c>
      <c r="AC3299">
        <v>0</v>
      </c>
      <c r="AD3299">
        <v>10</v>
      </c>
      <c r="AE3299">
        <v>0</v>
      </c>
      <c r="AF3299">
        <v>3</v>
      </c>
      <c r="AG3299">
        <v>2</v>
      </c>
      <c r="AH3299">
        <v>0</v>
      </c>
      <c r="AI3299" t="s">
        <v>1899</v>
      </c>
      <c r="AJ3299">
        <v>40.067824999999999</v>
      </c>
      <c r="AK3299" t="s">
        <v>1900</v>
      </c>
      <c r="AL3299">
        <v>-92.930474000000004</v>
      </c>
      <c r="AM3299">
        <v>100</v>
      </c>
      <c r="AN3299">
        <v>1300</v>
      </c>
      <c r="AO3299" t="s">
        <v>118</v>
      </c>
      <c r="AR3299">
        <v>0</v>
      </c>
      <c r="AZ3299">
        <v>1200</v>
      </c>
      <c r="BA3299">
        <v>1</v>
      </c>
      <c r="BB3299" t="str">
        <f t="shared" si="158"/>
        <v xml:space="preserve">N8080G  </v>
      </c>
      <c r="BC3299">
        <v>1</v>
      </c>
      <c r="BE3299">
        <v>0</v>
      </c>
      <c r="BF3299">
        <v>0</v>
      </c>
      <c r="BG3299">
        <v>0</v>
      </c>
      <c r="BI3299">
        <v>1</v>
      </c>
      <c r="BJ3299">
        <v>1</v>
      </c>
      <c r="BK3299">
        <v>1</v>
      </c>
      <c r="BL3299">
        <v>0</v>
      </c>
      <c r="BO3299">
        <v>0</v>
      </c>
      <c r="BP3299">
        <v>0</v>
      </c>
      <c r="BW3299" t="str">
        <f>"20:32:23.993"</f>
        <v>20:32:23.993</v>
      </c>
      <c r="BZ3299">
        <v>0</v>
      </c>
      <c r="CA3299">
        <v>1600</v>
      </c>
      <c r="CB3299">
        <v>224</v>
      </c>
      <c r="CD3299">
        <v>1</v>
      </c>
      <c r="CE3299">
        <v>0</v>
      </c>
      <c r="CF3299">
        <v>0</v>
      </c>
      <c r="CG3299">
        <v>1</v>
      </c>
      <c r="CH3299">
        <v>0</v>
      </c>
      <c r="CI3299">
        <v>0</v>
      </c>
      <c r="CJ3299">
        <v>0</v>
      </c>
      <c r="CK3299">
        <v>2</v>
      </c>
      <c r="CL3299">
        <v>0</v>
      </c>
      <c r="CM3299">
        <v>2</v>
      </c>
      <c r="CN3299">
        <v>0</v>
      </c>
      <c r="CO3299">
        <v>1</v>
      </c>
      <c r="CP3299" t="s">
        <v>119</v>
      </c>
      <c r="CQ3299">
        <v>179</v>
      </c>
      <c r="CR3299">
        <v>1</v>
      </c>
      <c r="CW3299">
        <v>9244798</v>
      </c>
      <c r="CY3299">
        <v>1</v>
      </c>
      <c r="CZ3299">
        <v>0</v>
      </c>
      <c r="DA3299">
        <v>0</v>
      </c>
      <c r="DB3299">
        <v>0</v>
      </c>
      <c r="DC3299">
        <v>0</v>
      </c>
      <c r="DD3299">
        <v>0</v>
      </c>
      <c r="DE3299">
        <v>0</v>
      </c>
      <c r="DF3299">
        <v>1</v>
      </c>
      <c r="DG3299">
        <v>0</v>
      </c>
      <c r="DH3299">
        <v>0</v>
      </c>
      <c r="DI3299">
        <v>0</v>
      </c>
    </row>
    <row r="3300" spans="1:113" x14ac:dyDescent="0.3">
      <c r="A3300" t="str">
        <f>"02/08/2021 20:32:21.936"</f>
        <v>02/08/2021 20:32:21.936</v>
      </c>
      <c r="C3300" t="str">
        <f>"FFDF57C0"</f>
        <v>FFDF57C0</v>
      </c>
      <c r="D3300" t="s">
        <v>124</v>
      </c>
      <c r="E3300">
        <v>13</v>
      </c>
      <c r="F3300">
        <v>1013</v>
      </c>
      <c r="G3300" t="s">
        <v>114</v>
      </c>
      <c r="J3300" t="s">
        <v>125</v>
      </c>
      <c r="K3300">
        <v>0</v>
      </c>
      <c r="L3300">
        <v>3</v>
      </c>
      <c r="M3300">
        <v>0</v>
      </c>
      <c r="N3300">
        <v>2</v>
      </c>
      <c r="O3300">
        <v>1</v>
      </c>
      <c r="P3300">
        <v>0</v>
      </c>
      <c r="Q3300">
        <v>0</v>
      </c>
      <c r="S3300" t="str">
        <f>"20:32:23.992"</f>
        <v>20:32:23.992</v>
      </c>
      <c r="U3300" t="str">
        <f t="shared" si="159"/>
        <v>AB01F4</v>
      </c>
      <c r="V3300">
        <v>0</v>
      </c>
      <c r="W3300">
        <v>0</v>
      </c>
      <c r="X3300">
        <v>2</v>
      </c>
      <c r="Z3300">
        <v>0</v>
      </c>
      <c r="AA3300">
        <v>9</v>
      </c>
      <c r="AB3300">
        <v>3</v>
      </c>
      <c r="AC3300">
        <v>0</v>
      </c>
      <c r="AD3300">
        <v>10</v>
      </c>
      <c r="AE3300">
        <v>0</v>
      </c>
      <c r="AF3300">
        <v>3</v>
      </c>
      <c r="AG3300">
        <v>2</v>
      </c>
      <c r="AH3300">
        <v>0</v>
      </c>
      <c r="AI3300" t="s">
        <v>1899</v>
      </c>
      <c r="AJ3300">
        <v>40.067824999999999</v>
      </c>
      <c r="AK3300" t="s">
        <v>1900</v>
      </c>
      <c r="AL3300">
        <v>-92.930474000000004</v>
      </c>
      <c r="AM3300">
        <v>100</v>
      </c>
      <c r="AN3300">
        <v>1300</v>
      </c>
      <c r="AO3300" t="s">
        <v>118</v>
      </c>
      <c r="AR3300">
        <v>0</v>
      </c>
      <c r="AZ3300">
        <v>1200</v>
      </c>
      <c r="BA3300">
        <v>1</v>
      </c>
      <c r="BB3300" t="str">
        <f t="shared" si="158"/>
        <v xml:space="preserve">N8080G  </v>
      </c>
      <c r="BC3300">
        <v>1</v>
      </c>
      <c r="BE3300">
        <v>0</v>
      </c>
      <c r="BF3300">
        <v>0</v>
      </c>
      <c r="BG3300">
        <v>0</v>
      </c>
      <c r="BI3300">
        <v>1</v>
      </c>
      <c r="BJ3300">
        <v>1</v>
      </c>
      <c r="BK3300">
        <v>1</v>
      </c>
      <c r="BL3300">
        <v>0</v>
      </c>
      <c r="BO3300">
        <v>0</v>
      </c>
      <c r="BP3300">
        <v>0</v>
      </c>
      <c r="BW3300" t="str">
        <f>"20:32:23.993"</f>
        <v>20:32:23.993</v>
      </c>
      <c r="BZ3300">
        <v>0</v>
      </c>
      <c r="CA3300">
        <v>1600</v>
      </c>
      <c r="CB3300">
        <v>224</v>
      </c>
      <c r="CD3300">
        <v>1</v>
      </c>
      <c r="CE3300">
        <v>0</v>
      </c>
      <c r="CF3300">
        <v>0</v>
      </c>
      <c r="CG3300">
        <v>1</v>
      </c>
      <c r="CH3300">
        <v>0</v>
      </c>
      <c r="CI3300">
        <v>0</v>
      </c>
      <c r="CJ3300">
        <v>0</v>
      </c>
      <c r="CK3300">
        <v>2</v>
      </c>
      <c r="CL3300">
        <v>0</v>
      </c>
      <c r="CM3300">
        <v>2</v>
      </c>
      <c r="CN3300">
        <v>0</v>
      </c>
      <c r="CO3300">
        <v>1</v>
      </c>
      <c r="CP3300" t="s">
        <v>119</v>
      </c>
      <c r="CQ3300">
        <v>179</v>
      </c>
      <c r="CR3300">
        <v>1</v>
      </c>
      <c r="CW3300">
        <v>9244798</v>
      </c>
      <c r="CY3300">
        <v>1</v>
      </c>
      <c r="CZ3300">
        <v>0</v>
      </c>
      <c r="DA3300">
        <v>1</v>
      </c>
      <c r="DB3300">
        <v>0</v>
      </c>
      <c r="DC3300">
        <v>0</v>
      </c>
      <c r="DD3300">
        <v>0</v>
      </c>
      <c r="DE3300">
        <v>0</v>
      </c>
      <c r="DF3300">
        <v>1</v>
      </c>
      <c r="DG3300">
        <v>0</v>
      </c>
      <c r="DH3300">
        <v>0</v>
      </c>
      <c r="DI3300">
        <v>0</v>
      </c>
    </row>
    <row r="3301" spans="1:113" x14ac:dyDescent="0.3">
      <c r="A3301" t="str">
        <f>"02/08/2021 20:32:21.936"</f>
        <v>02/08/2021 20:32:21.936</v>
      </c>
      <c r="C3301" t="str">
        <f>"FFDF57C0"</f>
        <v>FFDF57C0</v>
      </c>
      <c r="D3301" t="s">
        <v>124</v>
      </c>
      <c r="E3301">
        <v>12</v>
      </c>
      <c r="F3301">
        <v>1012</v>
      </c>
      <c r="G3301" t="s">
        <v>675</v>
      </c>
      <c r="J3301" t="s">
        <v>125</v>
      </c>
      <c r="K3301">
        <v>0</v>
      </c>
      <c r="L3301">
        <v>3</v>
      </c>
      <c r="M3301">
        <v>0</v>
      </c>
      <c r="N3301">
        <v>2</v>
      </c>
      <c r="O3301">
        <v>1</v>
      </c>
      <c r="P3301">
        <v>0</v>
      </c>
      <c r="Q3301">
        <v>0</v>
      </c>
      <c r="S3301" t="str">
        <f>"20:32:23.992"</f>
        <v>20:32:23.992</v>
      </c>
      <c r="U3301" t="str">
        <f t="shared" si="159"/>
        <v>AB01F4</v>
      </c>
      <c r="V3301">
        <v>0</v>
      </c>
      <c r="W3301">
        <v>0</v>
      </c>
      <c r="X3301">
        <v>2</v>
      </c>
      <c r="Z3301">
        <v>0</v>
      </c>
      <c r="AA3301">
        <v>9</v>
      </c>
      <c r="AB3301">
        <v>3</v>
      </c>
      <c r="AC3301">
        <v>0</v>
      </c>
      <c r="AD3301">
        <v>10</v>
      </c>
      <c r="AE3301">
        <v>0</v>
      </c>
      <c r="AF3301">
        <v>3</v>
      </c>
      <c r="AG3301">
        <v>2</v>
      </c>
      <c r="AH3301">
        <v>0</v>
      </c>
      <c r="AI3301" t="s">
        <v>1899</v>
      </c>
      <c r="AJ3301">
        <v>40.067824999999999</v>
      </c>
      <c r="AK3301" t="s">
        <v>1900</v>
      </c>
      <c r="AL3301">
        <v>-92.930474000000004</v>
      </c>
      <c r="AM3301">
        <v>100</v>
      </c>
      <c r="AN3301">
        <v>1300</v>
      </c>
      <c r="AO3301" t="s">
        <v>118</v>
      </c>
      <c r="AR3301">
        <v>0</v>
      </c>
      <c r="AZ3301">
        <v>1200</v>
      </c>
      <c r="BA3301">
        <v>1</v>
      </c>
      <c r="BB3301" t="str">
        <f t="shared" si="158"/>
        <v xml:space="preserve">N8080G  </v>
      </c>
      <c r="BC3301">
        <v>1</v>
      </c>
      <c r="BE3301">
        <v>0</v>
      </c>
      <c r="BF3301">
        <v>0</v>
      </c>
      <c r="BG3301">
        <v>0</v>
      </c>
      <c r="BI3301">
        <v>1</v>
      </c>
      <c r="BJ3301">
        <v>1</v>
      </c>
      <c r="BK3301">
        <v>1</v>
      </c>
      <c r="BL3301">
        <v>0</v>
      </c>
      <c r="BO3301">
        <v>0</v>
      </c>
      <c r="BP3301">
        <v>0</v>
      </c>
      <c r="BW3301" t="str">
        <f>"20:32:23.993"</f>
        <v>20:32:23.993</v>
      </c>
      <c r="BZ3301">
        <v>0</v>
      </c>
      <c r="CA3301">
        <v>1600</v>
      </c>
      <c r="CB3301">
        <v>224</v>
      </c>
      <c r="CD3301">
        <v>1</v>
      </c>
      <c r="CE3301">
        <v>0</v>
      </c>
      <c r="CF3301">
        <v>0</v>
      </c>
      <c r="CG3301">
        <v>1</v>
      </c>
      <c r="CH3301">
        <v>0</v>
      </c>
      <c r="CI3301">
        <v>0</v>
      </c>
      <c r="CJ3301">
        <v>0</v>
      </c>
      <c r="CK3301">
        <v>2</v>
      </c>
      <c r="CL3301">
        <v>0</v>
      </c>
      <c r="CM3301">
        <v>2</v>
      </c>
      <c r="CN3301">
        <v>0</v>
      </c>
      <c r="CO3301">
        <v>1</v>
      </c>
      <c r="CP3301" t="s">
        <v>119</v>
      </c>
      <c r="CQ3301">
        <v>179</v>
      </c>
      <c r="CR3301">
        <v>1</v>
      </c>
      <c r="CW3301">
        <v>9244798</v>
      </c>
      <c r="CY3301">
        <v>1</v>
      </c>
      <c r="CZ3301">
        <v>0</v>
      </c>
      <c r="DA3301">
        <v>1</v>
      </c>
      <c r="DB3301">
        <v>0</v>
      </c>
      <c r="DC3301">
        <v>0</v>
      </c>
      <c r="DD3301">
        <v>0</v>
      </c>
      <c r="DE3301">
        <v>0</v>
      </c>
      <c r="DF3301">
        <v>1</v>
      </c>
      <c r="DG3301">
        <v>0</v>
      </c>
      <c r="DH3301">
        <v>0</v>
      </c>
      <c r="DI3301">
        <v>0</v>
      </c>
    </row>
    <row r="3302" spans="1:113" x14ac:dyDescent="0.3">
      <c r="A3302" t="str">
        <f>"02/08/2021 20:32:21.936"</f>
        <v>02/08/2021 20:32:21.936</v>
      </c>
      <c r="C3302" t="str">
        <f>"FFDF57C0"</f>
        <v>FFDF57C0</v>
      </c>
      <c r="D3302" t="s">
        <v>124</v>
      </c>
      <c r="E3302">
        <v>11</v>
      </c>
      <c r="F3302">
        <v>1011</v>
      </c>
      <c r="G3302" t="s">
        <v>590</v>
      </c>
      <c r="J3302" t="s">
        <v>125</v>
      </c>
      <c r="K3302">
        <v>0</v>
      </c>
      <c r="L3302">
        <v>3</v>
      </c>
      <c r="M3302">
        <v>0</v>
      </c>
      <c r="N3302">
        <v>2</v>
      </c>
      <c r="O3302">
        <v>1</v>
      </c>
      <c r="P3302">
        <v>0</v>
      </c>
      <c r="Q3302">
        <v>0</v>
      </c>
      <c r="S3302" t="str">
        <f>"20:32:23.992"</f>
        <v>20:32:23.992</v>
      </c>
      <c r="U3302" t="str">
        <f t="shared" si="159"/>
        <v>AB01F4</v>
      </c>
      <c r="V3302">
        <v>0</v>
      </c>
      <c r="W3302">
        <v>0</v>
      </c>
      <c r="X3302">
        <v>2</v>
      </c>
      <c r="Z3302">
        <v>0</v>
      </c>
      <c r="AA3302">
        <v>9</v>
      </c>
      <c r="AB3302">
        <v>3</v>
      </c>
      <c r="AC3302">
        <v>0</v>
      </c>
      <c r="AD3302">
        <v>10</v>
      </c>
      <c r="AE3302">
        <v>0</v>
      </c>
      <c r="AF3302">
        <v>3</v>
      </c>
      <c r="AG3302">
        <v>2</v>
      </c>
      <c r="AH3302">
        <v>0</v>
      </c>
      <c r="AI3302" t="s">
        <v>1899</v>
      </c>
      <c r="AJ3302">
        <v>40.067824999999999</v>
      </c>
      <c r="AK3302" t="s">
        <v>1900</v>
      </c>
      <c r="AL3302">
        <v>-92.930474000000004</v>
      </c>
      <c r="AM3302">
        <v>100</v>
      </c>
      <c r="AN3302">
        <v>1300</v>
      </c>
      <c r="AO3302" t="s">
        <v>118</v>
      </c>
      <c r="AR3302">
        <v>0</v>
      </c>
      <c r="AZ3302">
        <v>1200</v>
      </c>
      <c r="BA3302">
        <v>1</v>
      </c>
      <c r="BB3302" t="str">
        <f t="shared" si="158"/>
        <v xml:space="preserve">N8080G  </v>
      </c>
      <c r="BC3302">
        <v>1</v>
      </c>
      <c r="BE3302">
        <v>0</v>
      </c>
      <c r="BF3302">
        <v>0</v>
      </c>
      <c r="BG3302">
        <v>0</v>
      </c>
      <c r="BI3302">
        <v>1</v>
      </c>
      <c r="BJ3302">
        <v>1</v>
      </c>
      <c r="BK3302">
        <v>1</v>
      </c>
      <c r="BL3302">
        <v>0</v>
      </c>
      <c r="BO3302">
        <v>0</v>
      </c>
      <c r="BP3302">
        <v>0</v>
      </c>
      <c r="BW3302" t="str">
        <f>"20:32:23.993"</f>
        <v>20:32:23.993</v>
      </c>
      <c r="BZ3302">
        <v>0</v>
      </c>
      <c r="CA3302">
        <v>1600</v>
      </c>
      <c r="CB3302">
        <v>224</v>
      </c>
      <c r="CD3302">
        <v>1</v>
      </c>
      <c r="CE3302">
        <v>0</v>
      </c>
      <c r="CF3302">
        <v>0</v>
      </c>
      <c r="CG3302">
        <v>1</v>
      </c>
      <c r="CH3302">
        <v>0</v>
      </c>
      <c r="CI3302">
        <v>0</v>
      </c>
      <c r="CJ3302">
        <v>0</v>
      </c>
      <c r="CK3302">
        <v>2</v>
      </c>
      <c r="CL3302">
        <v>0</v>
      </c>
      <c r="CM3302">
        <v>2</v>
      </c>
      <c r="CN3302">
        <v>0</v>
      </c>
      <c r="CO3302">
        <v>1</v>
      </c>
      <c r="CP3302" t="s">
        <v>119</v>
      </c>
      <c r="CQ3302">
        <v>179</v>
      </c>
      <c r="CR3302">
        <v>1</v>
      </c>
      <c r="CW3302">
        <v>9244798</v>
      </c>
      <c r="CY3302">
        <v>1</v>
      </c>
      <c r="CZ3302">
        <v>0</v>
      </c>
      <c r="DA3302">
        <v>1</v>
      </c>
      <c r="DB3302">
        <v>0</v>
      </c>
      <c r="DC3302">
        <v>0</v>
      </c>
      <c r="DD3302">
        <v>0</v>
      </c>
      <c r="DE3302">
        <v>0</v>
      </c>
      <c r="DF3302">
        <v>1</v>
      </c>
      <c r="DG3302">
        <v>0</v>
      </c>
      <c r="DH3302">
        <v>0</v>
      </c>
      <c r="DI3302">
        <v>0</v>
      </c>
    </row>
    <row r="3303" spans="1:113" x14ac:dyDescent="0.3">
      <c r="A3303" t="str">
        <f>"02/08/2021 20:32:23.066"</f>
        <v>02/08/2021 20:32:23.066</v>
      </c>
      <c r="C3303" t="str">
        <f t="shared" ref="C3303:C3314" si="160">"FFDFD7C0"</f>
        <v>FFDFD7C0</v>
      </c>
      <c r="D3303" t="s">
        <v>124</v>
      </c>
      <c r="E3303">
        <v>12</v>
      </c>
      <c r="F3303">
        <v>1012</v>
      </c>
      <c r="G3303" t="s">
        <v>675</v>
      </c>
      <c r="J3303" t="s">
        <v>125</v>
      </c>
      <c r="K3303">
        <v>0</v>
      </c>
      <c r="L3303">
        <v>3</v>
      </c>
      <c r="M3303">
        <v>0</v>
      </c>
      <c r="N3303">
        <v>2</v>
      </c>
      <c r="O3303">
        <v>1</v>
      </c>
      <c r="P3303">
        <v>0</v>
      </c>
      <c r="Q3303">
        <v>0</v>
      </c>
      <c r="S3303" t="str">
        <f>"20:32:25.398"</f>
        <v>20:32:25.398</v>
      </c>
      <c r="T3303" t="str">
        <f>"20:32:24.998"</f>
        <v>20:32:24.998</v>
      </c>
      <c r="U3303" t="str">
        <f t="shared" si="159"/>
        <v>AB01F4</v>
      </c>
      <c r="V3303">
        <v>0</v>
      </c>
      <c r="W3303">
        <v>0</v>
      </c>
      <c r="X3303">
        <v>2</v>
      </c>
      <c r="Z3303">
        <v>0</v>
      </c>
      <c r="AA3303">
        <v>9</v>
      </c>
      <c r="AB3303">
        <v>3</v>
      </c>
      <c r="AC3303">
        <v>0</v>
      </c>
      <c r="AD3303">
        <v>10</v>
      </c>
      <c r="AE3303">
        <v>0</v>
      </c>
      <c r="AF3303">
        <v>3</v>
      </c>
      <c r="AG3303">
        <v>2</v>
      </c>
      <c r="AH3303">
        <v>0</v>
      </c>
      <c r="AI3303" t="s">
        <v>1901</v>
      </c>
      <c r="AJ3303">
        <v>40.068275999999997</v>
      </c>
      <c r="AK3303" t="s">
        <v>1902</v>
      </c>
      <c r="AL3303">
        <v>-92.931332999999995</v>
      </c>
      <c r="AM3303">
        <v>100</v>
      </c>
      <c r="AN3303">
        <v>1300</v>
      </c>
      <c r="AO3303" t="s">
        <v>118</v>
      </c>
      <c r="AP3303">
        <v>-106</v>
      </c>
      <c r="AQ3303">
        <v>74</v>
      </c>
      <c r="AR3303">
        <v>0</v>
      </c>
      <c r="AZ3303">
        <v>1200</v>
      </c>
      <c r="BA3303">
        <v>1</v>
      </c>
      <c r="BB3303" t="str">
        <f t="shared" si="158"/>
        <v xml:space="preserve">N8080G  </v>
      </c>
      <c r="BC3303">
        <v>1</v>
      </c>
      <c r="BE3303">
        <v>0</v>
      </c>
      <c r="BF3303">
        <v>0</v>
      </c>
      <c r="BG3303">
        <v>0</v>
      </c>
      <c r="BH3303">
        <v>1350</v>
      </c>
      <c r="BI3303">
        <v>1</v>
      </c>
      <c r="BJ3303">
        <v>1</v>
      </c>
      <c r="BK3303">
        <v>1</v>
      </c>
      <c r="BL3303">
        <v>0</v>
      </c>
      <c r="BO3303">
        <v>0</v>
      </c>
      <c r="BP3303">
        <v>0</v>
      </c>
      <c r="BW3303" t="str">
        <f>"20:32:25.405"</f>
        <v>20:32:25.405</v>
      </c>
      <c r="BZ3303">
        <v>0</v>
      </c>
      <c r="CA3303">
        <v>1600</v>
      </c>
      <c r="CB3303">
        <v>224</v>
      </c>
      <c r="CD3303">
        <v>1</v>
      </c>
      <c r="CE3303">
        <v>0</v>
      </c>
      <c r="CF3303">
        <v>0</v>
      </c>
      <c r="CG3303">
        <v>1</v>
      </c>
      <c r="CH3303">
        <v>0</v>
      </c>
      <c r="CI3303">
        <v>0</v>
      </c>
      <c r="CJ3303">
        <v>0</v>
      </c>
      <c r="CK3303">
        <v>2</v>
      </c>
      <c r="CL3303">
        <v>0</v>
      </c>
      <c r="CM3303">
        <v>2</v>
      </c>
      <c r="CN3303">
        <v>0</v>
      </c>
      <c r="CO3303">
        <v>7</v>
      </c>
      <c r="CP3303" t="s">
        <v>119</v>
      </c>
      <c r="CQ3303">
        <v>180</v>
      </c>
      <c r="CR3303">
        <v>3</v>
      </c>
      <c r="CW3303">
        <v>1122793</v>
      </c>
      <c r="CY3303">
        <v>1</v>
      </c>
      <c r="CZ3303">
        <v>0</v>
      </c>
      <c r="DA3303">
        <v>0</v>
      </c>
      <c r="DB3303">
        <v>0</v>
      </c>
      <c r="DC3303">
        <v>0</v>
      </c>
      <c r="DD3303">
        <v>0</v>
      </c>
      <c r="DE3303">
        <v>0</v>
      </c>
      <c r="DF3303">
        <v>0</v>
      </c>
      <c r="DG3303">
        <v>0</v>
      </c>
      <c r="DH3303">
        <v>0</v>
      </c>
      <c r="DI3303">
        <v>0</v>
      </c>
    </row>
    <row r="3304" spans="1:113" x14ac:dyDescent="0.3">
      <c r="A3304" t="str">
        <f>"02/08/2021 20:32:23.066"</f>
        <v>02/08/2021 20:32:23.066</v>
      </c>
      <c r="C3304" t="str">
        <f t="shared" si="160"/>
        <v>FFDFD7C0</v>
      </c>
      <c r="D3304" t="s">
        <v>124</v>
      </c>
      <c r="E3304">
        <v>11</v>
      </c>
      <c r="F3304">
        <v>1011</v>
      </c>
      <c r="G3304" t="s">
        <v>590</v>
      </c>
      <c r="J3304" t="s">
        <v>125</v>
      </c>
      <c r="K3304">
        <v>0</v>
      </c>
      <c r="L3304">
        <v>3</v>
      </c>
      <c r="M3304">
        <v>0</v>
      </c>
      <c r="N3304">
        <v>2</v>
      </c>
      <c r="O3304">
        <v>1</v>
      </c>
      <c r="P3304">
        <v>0</v>
      </c>
      <c r="Q3304">
        <v>0</v>
      </c>
      <c r="S3304" t="str">
        <f>"20:32:25.398"</f>
        <v>20:32:25.398</v>
      </c>
      <c r="T3304" t="str">
        <f>"20:32:24.998"</f>
        <v>20:32:24.998</v>
      </c>
      <c r="U3304" t="str">
        <f t="shared" si="159"/>
        <v>AB01F4</v>
      </c>
      <c r="V3304">
        <v>0</v>
      </c>
      <c r="W3304">
        <v>0</v>
      </c>
      <c r="X3304">
        <v>2</v>
      </c>
      <c r="Z3304">
        <v>0</v>
      </c>
      <c r="AA3304">
        <v>9</v>
      </c>
      <c r="AB3304">
        <v>3</v>
      </c>
      <c r="AC3304">
        <v>0</v>
      </c>
      <c r="AD3304">
        <v>10</v>
      </c>
      <c r="AE3304">
        <v>0</v>
      </c>
      <c r="AF3304">
        <v>3</v>
      </c>
      <c r="AG3304">
        <v>2</v>
      </c>
      <c r="AH3304">
        <v>0</v>
      </c>
      <c r="AI3304" t="s">
        <v>1901</v>
      </c>
      <c r="AJ3304">
        <v>40.068275999999997</v>
      </c>
      <c r="AK3304" t="s">
        <v>1902</v>
      </c>
      <c r="AL3304">
        <v>-92.931332999999995</v>
      </c>
      <c r="AM3304">
        <v>100</v>
      </c>
      <c r="AN3304">
        <v>1300</v>
      </c>
      <c r="AO3304" t="s">
        <v>118</v>
      </c>
      <c r="AP3304">
        <v>-106</v>
      </c>
      <c r="AQ3304">
        <v>74</v>
      </c>
      <c r="AR3304">
        <v>0</v>
      </c>
      <c r="AZ3304">
        <v>1200</v>
      </c>
      <c r="BA3304">
        <v>1</v>
      </c>
      <c r="BB3304" t="str">
        <f t="shared" si="158"/>
        <v xml:space="preserve">N8080G  </v>
      </c>
      <c r="BC3304">
        <v>1</v>
      </c>
      <c r="BE3304">
        <v>0</v>
      </c>
      <c r="BF3304">
        <v>0</v>
      </c>
      <c r="BG3304">
        <v>0</v>
      </c>
      <c r="BH3304">
        <v>1350</v>
      </c>
      <c r="BI3304">
        <v>1</v>
      </c>
      <c r="BJ3304">
        <v>1</v>
      </c>
      <c r="BK3304">
        <v>1</v>
      </c>
      <c r="BL3304">
        <v>0</v>
      </c>
      <c r="BO3304">
        <v>0</v>
      </c>
      <c r="BP3304">
        <v>0</v>
      </c>
      <c r="BW3304" t="str">
        <f>"20:32:25.405"</f>
        <v>20:32:25.405</v>
      </c>
      <c r="BZ3304">
        <v>0</v>
      </c>
      <c r="CA3304">
        <v>1600</v>
      </c>
      <c r="CB3304">
        <v>224</v>
      </c>
      <c r="CD3304">
        <v>1</v>
      </c>
      <c r="CE3304">
        <v>0</v>
      </c>
      <c r="CF3304">
        <v>0</v>
      </c>
      <c r="CG3304">
        <v>1</v>
      </c>
      <c r="CH3304">
        <v>0</v>
      </c>
      <c r="CI3304">
        <v>0</v>
      </c>
      <c r="CJ3304">
        <v>0</v>
      </c>
      <c r="CK3304">
        <v>2</v>
      </c>
      <c r="CL3304">
        <v>0</v>
      </c>
      <c r="CM3304">
        <v>2</v>
      </c>
      <c r="CN3304">
        <v>0</v>
      </c>
      <c r="CO3304">
        <v>7</v>
      </c>
      <c r="CP3304" t="s">
        <v>119</v>
      </c>
      <c r="CQ3304">
        <v>180</v>
      </c>
      <c r="CR3304">
        <v>3</v>
      </c>
      <c r="CW3304">
        <v>1122793</v>
      </c>
      <c r="CY3304">
        <v>1</v>
      </c>
      <c r="CZ3304">
        <v>0</v>
      </c>
      <c r="DA3304">
        <v>1</v>
      </c>
      <c r="DB3304">
        <v>0</v>
      </c>
      <c r="DC3304">
        <v>0</v>
      </c>
      <c r="DD3304">
        <v>0</v>
      </c>
      <c r="DE3304">
        <v>0</v>
      </c>
      <c r="DF3304">
        <v>0</v>
      </c>
      <c r="DG3304">
        <v>0</v>
      </c>
      <c r="DH3304">
        <v>0</v>
      </c>
      <c r="DI3304">
        <v>0</v>
      </c>
    </row>
    <row r="3305" spans="1:113" x14ac:dyDescent="0.3">
      <c r="A3305" t="str">
        <f>"02/08/2021 20:32:23.066"</f>
        <v>02/08/2021 20:32:23.066</v>
      </c>
      <c r="C3305" t="str">
        <f t="shared" si="160"/>
        <v>FFDFD7C0</v>
      </c>
      <c r="D3305" t="s">
        <v>124</v>
      </c>
      <c r="E3305">
        <v>13</v>
      </c>
      <c r="F3305">
        <v>1013</v>
      </c>
      <c r="G3305" t="s">
        <v>114</v>
      </c>
      <c r="J3305" t="s">
        <v>125</v>
      </c>
      <c r="K3305">
        <v>0</v>
      </c>
      <c r="L3305">
        <v>3</v>
      </c>
      <c r="M3305">
        <v>0</v>
      </c>
      <c r="N3305">
        <v>2</v>
      </c>
      <c r="O3305">
        <v>1</v>
      </c>
      <c r="P3305">
        <v>0</v>
      </c>
      <c r="Q3305">
        <v>0</v>
      </c>
      <c r="S3305" t="str">
        <f>"20:32:25.398"</f>
        <v>20:32:25.398</v>
      </c>
      <c r="T3305" t="str">
        <f>"20:32:24.998"</f>
        <v>20:32:24.998</v>
      </c>
      <c r="U3305" t="str">
        <f t="shared" si="159"/>
        <v>AB01F4</v>
      </c>
      <c r="V3305">
        <v>0</v>
      </c>
      <c r="W3305">
        <v>0</v>
      </c>
      <c r="X3305">
        <v>2</v>
      </c>
      <c r="Z3305">
        <v>0</v>
      </c>
      <c r="AA3305">
        <v>9</v>
      </c>
      <c r="AB3305">
        <v>3</v>
      </c>
      <c r="AC3305">
        <v>0</v>
      </c>
      <c r="AD3305">
        <v>10</v>
      </c>
      <c r="AE3305">
        <v>0</v>
      </c>
      <c r="AF3305">
        <v>3</v>
      </c>
      <c r="AG3305">
        <v>2</v>
      </c>
      <c r="AH3305">
        <v>0</v>
      </c>
      <c r="AI3305" t="s">
        <v>1901</v>
      </c>
      <c r="AJ3305">
        <v>40.068275999999997</v>
      </c>
      <c r="AK3305" t="s">
        <v>1902</v>
      </c>
      <c r="AL3305">
        <v>-92.931332999999995</v>
      </c>
      <c r="AM3305">
        <v>100</v>
      </c>
      <c r="AN3305">
        <v>1300</v>
      </c>
      <c r="AO3305" t="s">
        <v>118</v>
      </c>
      <c r="AP3305">
        <v>-106</v>
      </c>
      <c r="AQ3305">
        <v>74</v>
      </c>
      <c r="AR3305">
        <v>0</v>
      </c>
      <c r="AZ3305">
        <v>1200</v>
      </c>
      <c r="BA3305">
        <v>1</v>
      </c>
      <c r="BB3305" t="str">
        <f t="shared" si="158"/>
        <v xml:space="preserve">N8080G  </v>
      </c>
      <c r="BC3305">
        <v>1</v>
      </c>
      <c r="BE3305">
        <v>0</v>
      </c>
      <c r="BF3305">
        <v>0</v>
      </c>
      <c r="BG3305">
        <v>0</v>
      </c>
      <c r="BH3305">
        <v>1350</v>
      </c>
      <c r="BI3305">
        <v>1</v>
      </c>
      <c r="BJ3305">
        <v>1</v>
      </c>
      <c r="BK3305">
        <v>1</v>
      </c>
      <c r="BL3305">
        <v>0</v>
      </c>
      <c r="BO3305">
        <v>0</v>
      </c>
      <c r="BP3305">
        <v>0</v>
      </c>
      <c r="BW3305" t="str">
        <f>"20:32:25.405"</f>
        <v>20:32:25.405</v>
      </c>
      <c r="BZ3305">
        <v>0</v>
      </c>
      <c r="CA3305">
        <v>1600</v>
      </c>
      <c r="CB3305">
        <v>224</v>
      </c>
      <c r="CD3305">
        <v>1</v>
      </c>
      <c r="CE3305">
        <v>0</v>
      </c>
      <c r="CF3305">
        <v>0</v>
      </c>
      <c r="CG3305">
        <v>1</v>
      </c>
      <c r="CH3305">
        <v>0</v>
      </c>
      <c r="CI3305">
        <v>0</v>
      </c>
      <c r="CJ3305">
        <v>0</v>
      </c>
      <c r="CK3305">
        <v>2</v>
      </c>
      <c r="CL3305">
        <v>0</v>
      </c>
      <c r="CM3305">
        <v>2</v>
      </c>
      <c r="CN3305">
        <v>0</v>
      </c>
      <c r="CO3305">
        <v>7</v>
      </c>
      <c r="CP3305" t="s">
        <v>119</v>
      </c>
      <c r="CQ3305">
        <v>180</v>
      </c>
      <c r="CR3305">
        <v>3</v>
      </c>
      <c r="CW3305">
        <v>1122793</v>
      </c>
      <c r="CY3305">
        <v>1</v>
      </c>
      <c r="CZ3305">
        <v>0</v>
      </c>
      <c r="DA3305">
        <v>1</v>
      </c>
      <c r="DB3305">
        <v>0</v>
      </c>
      <c r="DC3305">
        <v>0</v>
      </c>
      <c r="DD3305">
        <v>0</v>
      </c>
      <c r="DE3305">
        <v>0</v>
      </c>
      <c r="DF3305">
        <v>0</v>
      </c>
      <c r="DG3305">
        <v>0</v>
      </c>
      <c r="DH3305">
        <v>0</v>
      </c>
      <c r="DI3305">
        <v>0</v>
      </c>
    </row>
    <row r="3306" spans="1:113" x14ac:dyDescent="0.3">
      <c r="A3306" t="str">
        <f>"02/08/2021 20:32:23.066"</f>
        <v>02/08/2021 20:32:23.066</v>
      </c>
      <c r="C3306" t="str">
        <f t="shared" si="160"/>
        <v>FFDFD7C0</v>
      </c>
      <c r="D3306" t="s">
        <v>113</v>
      </c>
      <c r="E3306">
        <v>6</v>
      </c>
      <c r="H3306">
        <v>165</v>
      </c>
      <c r="I3306" t="s">
        <v>114</v>
      </c>
      <c r="J3306" t="s">
        <v>115</v>
      </c>
      <c r="K3306">
        <v>0</v>
      </c>
      <c r="L3306">
        <v>3</v>
      </c>
      <c r="M3306">
        <v>0</v>
      </c>
      <c r="N3306">
        <v>2</v>
      </c>
      <c r="O3306">
        <v>1</v>
      </c>
      <c r="P3306">
        <v>0</v>
      </c>
      <c r="Q3306">
        <v>0</v>
      </c>
      <c r="S3306" t="str">
        <f>"20:32:25.398"</f>
        <v>20:32:25.398</v>
      </c>
      <c r="T3306" t="str">
        <f>"20:32:24.998"</f>
        <v>20:32:24.998</v>
      </c>
      <c r="U3306" t="str">
        <f t="shared" si="159"/>
        <v>AB01F4</v>
      </c>
      <c r="V3306">
        <v>0</v>
      </c>
      <c r="W3306">
        <v>0</v>
      </c>
      <c r="X3306">
        <v>2</v>
      </c>
      <c r="Z3306">
        <v>0</v>
      </c>
      <c r="AA3306">
        <v>9</v>
      </c>
      <c r="AB3306">
        <v>3</v>
      </c>
      <c r="AC3306">
        <v>0</v>
      </c>
      <c r="AD3306">
        <v>10</v>
      </c>
      <c r="AE3306">
        <v>0</v>
      </c>
      <c r="AF3306">
        <v>3</v>
      </c>
      <c r="AG3306">
        <v>2</v>
      </c>
      <c r="AH3306">
        <v>0</v>
      </c>
      <c r="AI3306" t="s">
        <v>1901</v>
      </c>
      <c r="AJ3306">
        <v>40.068275999999997</v>
      </c>
      <c r="AK3306" t="s">
        <v>1902</v>
      </c>
      <c r="AL3306">
        <v>-92.931332999999995</v>
      </c>
      <c r="AM3306">
        <v>100</v>
      </c>
      <c r="AN3306">
        <v>1300</v>
      </c>
      <c r="AO3306" t="s">
        <v>118</v>
      </c>
      <c r="AP3306">
        <v>-106</v>
      </c>
      <c r="AQ3306">
        <v>74</v>
      </c>
      <c r="AR3306">
        <v>0</v>
      </c>
      <c r="AZ3306">
        <v>1200</v>
      </c>
      <c r="BA3306">
        <v>1</v>
      </c>
      <c r="BB3306" t="str">
        <f t="shared" si="158"/>
        <v xml:space="preserve">N8080G  </v>
      </c>
      <c r="BC3306">
        <v>1</v>
      </c>
      <c r="BE3306">
        <v>0</v>
      </c>
      <c r="BF3306">
        <v>0</v>
      </c>
      <c r="BG3306">
        <v>0</v>
      </c>
      <c r="BH3306">
        <v>1350</v>
      </c>
      <c r="BI3306">
        <v>1</v>
      </c>
      <c r="BJ3306">
        <v>1</v>
      </c>
      <c r="BK3306">
        <v>1</v>
      </c>
      <c r="BL3306">
        <v>0</v>
      </c>
      <c r="BO3306">
        <v>0</v>
      </c>
      <c r="BP3306">
        <v>0</v>
      </c>
      <c r="BW3306" t="str">
        <f>"20:32:25.405"</f>
        <v>20:32:25.405</v>
      </c>
      <c r="BZ3306">
        <v>0</v>
      </c>
      <c r="CA3306">
        <v>1600</v>
      </c>
      <c r="CB3306">
        <v>224</v>
      </c>
      <c r="CD3306">
        <v>1</v>
      </c>
      <c r="CE3306">
        <v>0</v>
      </c>
      <c r="CF3306">
        <v>0</v>
      </c>
      <c r="CG3306">
        <v>1</v>
      </c>
      <c r="CH3306">
        <v>0</v>
      </c>
      <c r="CI3306">
        <v>0</v>
      </c>
      <c r="CJ3306">
        <v>0</v>
      </c>
      <c r="CK3306">
        <v>2</v>
      </c>
      <c r="CL3306">
        <v>0</v>
      </c>
      <c r="CM3306">
        <v>2</v>
      </c>
      <c r="CN3306">
        <v>0</v>
      </c>
      <c r="CO3306">
        <v>7</v>
      </c>
      <c r="CP3306" t="s">
        <v>119</v>
      </c>
      <c r="CQ3306">
        <v>180</v>
      </c>
      <c r="CR3306">
        <v>3</v>
      </c>
      <c r="CW3306">
        <v>1122793</v>
      </c>
      <c r="CY3306">
        <v>1</v>
      </c>
      <c r="CZ3306">
        <v>0</v>
      </c>
      <c r="DA3306">
        <v>1</v>
      </c>
      <c r="DB3306">
        <v>0</v>
      </c>
      <c r="DC3306">
        <v>0</v>
      </c>
      <c r="DD3306">
        <v>0</v>
      </c>
      <c r="DE3306">
        <v>0</v>
      </c>
      <c r="DF3306">
        <v>0</v>
      </c>
      <c r="DG3306">
        <v>0</v>
      </c>
      <c r="DH3306">
        <v>0</v>
      </c>
      <c r="DI3306">
        <v>0</v>
      </c>
    </row>
    <row r="3307" spans="1:113" x14ac:dyDescent="0.3">
      <c r="A3307" t="str">
        <f>"02/08/2021 20:32:24.052"</f>
        <v>02/08/2021 20:32:24.052</v>
      </c>
      <c r="C3307" t="str">
        <f t="shared" si="160"/>
        <v>FFDFD7C0</v>
      </c>
      <c r="D3307" t="s">
        <v>124</v>
      </c>
      <c r="E3307">
        <v>13</v>
      </c>
      <c r="F3307">
        <v>1013</v>
      </c>
      <c r="G3307" t="s">
        <v>114</v>
      </c>
      <c r="J3307" t="s">
        <v>125</v>
      </c>
      <c r="K3307">
        <v>0</v>
      </c>
      <c r="L3307">
        <v>3</v>
      </c>
      <c r="M3307">
        <v>0</v>
      </c>
      <c r="N3307">
        <v>2</v>
      </c>
      <c r="O3307">
        <v>1</v>
      </c>
      <c r="P3307">
        <v>0</v>
      </c>
      <c r="Q3307">
        <v>0</v>
      </c>
      <c r="S3307" t="str">
        <f>"20:32:26.391"</f>
        <v>20:32:26.391</v>
      </c>
      <c r="T3307" t="str">
        <f>"20:32:25.491"</f>
        <v>20:32:25.491</v>
      </c>
      <c r="U3307" t="str">
        <f t="shared" si="159"/>
        <v>AB01F4</v>
      </c>
      <c r="V3307">
        <v>0</v>
      </c>
      <c r="W3307">
        <v>0</v>
      </c>
      <c r="X3307">
        <v>2</v>
      </c>
      <c r="Z3307">
        <v>0</v>
      </c>
      <c r="AA3307">
        <v>9</v>
      </c>
      <c r="AB3307">
        <v>3</v>
      </c>
      <c r="AC3307">
        <v>0</v>
      </c>
      <c r="AD3307">
        <v>10</v>
      </c>
      <c r="AE3307">
        <v>0</v>
      </c>
      <c r="AF3307">
        <v>3</v>
      </c>
      <c r="AG3307">
        <v>2</v>
      </c>
      <c r="AH3307">
        <v>0</v>
      </c>
      <c r="AI3307" t="s">
        <v>1903</v>
      </c>
      <c r="AJ3307">
        <v>40.068641</v>
      </c>
      <c r="AK3307" t="s">
        <v>1904</v>
      </c>
      <c r="AL3307">
        <v>-92.931997999999993</v>
      </c>
      <c r="AM3307">
        <v>100</v>
      </c>
      <c r="AN3307">
        <v>1300</v>
      </c>
      <c r="AO3307" t="s">
        <v>118</v>
      </c>
      <c r="AP3307">
        <v>-106</v>
      </c>
      <c r="AQ3307">
        <v>75</v>
      </c>
      <c r="AR3307">
        <v>0</v>
      </c>
      <c r="AZ3307">
        <v>1200</v>
      </c>
      <c r="BA3307">
        <v>1</v>
      </c>
      <c r="BB3307" t="str">
        <f t="shared" si="158"/>
        <v xml:space="preserve">N8080G  </v>
      </c>
      <c r="BC3307">
        <v>1</v>
      </c>
      <c r="BE3307">
        <v>0</v>
      </c>
      <c r="BF3307">
        <v>0</v>
      </c>
      <c r="BG3307">
        <v>0</v>
      </c>
      <c r="BH3307">
        <v>1350</v>
      </c>
      <c r="BI3307">
        <v>1</v>
      </c>
      <c r="BJ3307">
        <v>1</v>
      </c>
      <c r="BK3307">
        <v>1</v>
      </c>
      <c r="BL3307">
        <v>0</v>
      </c>
      <c r="BO3307">
        <v>0</v>
      </c>
      <c r="BP3307">
        <v>0</v>
      </c>
      <c r="BW3307" t="str">
        <f>"20:32:26.396"</f>
        <v>20:32:26.396</v>
      </c>
      <c r="BZ3307">
        <v>0</v>
      </c>
      <c r="CA3307">
        <v>1600</v>
      </c>
      <c r="CB3307">
        <v>224</v>
      </c>
      <c r="CD3307">
        <v>1</v>
      </c>
      <c r="CE3307">
        <v>0</v>
      </c>
      <c r="CF3307">
        <v>0</v>
      </c>
      <c r="CG3307">
        <v>1</v>
      </c>
      <c r="CH3307">
        <v>0</v>
      </c>
      <c r="CI3307">
        <v>0</v>
      </c>
      <c r="CJ3307">
        <v>0</v>
      </c>
      <c r="CK3307">
        <v>2</v>
      </c>
      <c r="CL3307">
        <v>0</v>
      </c>
      <c r="CM3307">
        <v>2</v>
      </c>
      <c r="CN3307">
        <v>0</v>
      </c>
      <c r="CO3307">
        <v>7</v>
      </c>
      <c r="CP3307" t="s">
        <v>119</v>
      </c>
      <c r="CQ3307">
        <v>180</v>
      </c>
      <c r="CR3307">
        <v>3</v>
      </c>
      <c r="CW3307">
        <v>1123462</v>
      </c>
      <c r="CY3307">
        <v>1</v>
      </c>
      <c r="CZ3307">
        <v>0</v>
      </c>
      <c r="DA3307">
        <v>0</v>
      </c>
      <c r="DB3307">
        <v>0</v>
      </c>
      <c r="DC3307">
        <v>0</v>
      </c>
      <c r="DD3307">
        <v>0</v>
      </c>
      <c r="DE3307">
        <v>0</v>
      </c>
      <c r="DF3307">
        <v>0</v>
      </c>
      <c r="DG3307">
        <v>0</v>
      </c>
      <c r="DH3307">
        <v>0</v>
      </c>
      <c r="DI3307">
        <v>0</v>
      </c>
    </row>
    <row r="3308" spans="1:113" x14ac:dyDescent="0.3">
      <c r="A3308" t="str">
        <f>"02/08/2021 20:32:24.052"</f>
        <v>02/08/2021 20:32:24.052</v>
      </c>
      <c r="C3308" t="str">
        <f t="shared" si="160"/>
        <v>FFDFD7C0</v>
      </c>
      <c r="D3308" t="s">
        <v>113</v>
      </c>
      <c r="E3308">
        <v>6</v>
      </c>
      <c r="H3308">
        <v>165</v>
      </c>
      <c r="I3308" t="s">
        <v>114</v>
      </c>
      <c r="J3308" t="s">
        <v>115</v>
      </c>
      <c r="K3308">
        <v>0</v>
      </c>
      <c r="L3308">
        <v>3</v>
      </c>
      <c r="M3308">
        <v>0</v>
      </c>
      <c r="N3308">
        <v>2</v>
      </c>
      <c r="O3308">
        <v>1</v>
      </c>
      <c r="P3308">
        <v>0</v>
      </c>
      <c r="Q3308">
        <v>0</v>
      </c>
      <c r="S3308" t="str">
        <f>"20:32:26.391"</f>
        <v>20:32:26.391</v>
      </c>
      <c r="T3308" t="str">
        <f>"20:32:25.491"</f>
        <v>20:32:25.491</v>
      </c>
      <c r="U3308" t="str">
        <f t="shared" si="159"/>
        <v>AB01F4</v>
      </c>
      <c r="V3308">
        <v>0</v>
      </c>
      <c r="W3308">
        <v>0</v>
      </c>
      <c r="X3308">
        <v>2</v>
      </c>
      <c r="Z3308">
        <v>0</v>
      </c>
      <c r="AA3308">
        <v>9</v>
      </c>
      <c r="AB3308">
        <v>3</v>
      </c>
      <c r="AC3308">
        <v>0</v>
      </c>
      <c r="AD3308">
        <v>10</v>
      </c>
      <c r="AE3308">
        <v>0</v>
      </c>
      <c r="AF3308">
        <v>3</v>
      </c>
      <c r="AG3308">
        <v>2</v>
      </c>
      <c r="AH3308">
        <v>0</v>
      </c>
      <c r="AI3308" t="s">
        <v>1903</v>
      </c>
      <c r="AJ3308">
        <v>40.068641</v>
      </c>
      <c r="AK3308" t="s">
        <v>1904</v>
      </c>
      <c r="AL3308">
        <v>-92.931997999999993</v>
      </c>
      <c r="AM3308">
        <v>100</v>
      </c>
      <c r="AN3308">
        <v>1300</v>
      </c>
      <c r="AO3308" t="s">
        <v>118</v>
      </c>
      <c r="AP3308">
        <v>-106</v>
      </c>
      <c r="AQ3308">
        <v>75</v>
      </c>
      <c r="AR3308">
        <v>0</v>
      </c>
      <c r="AZ3308">
        <v>1200</v>
      </c>
      <c r="BA3308">
        <v>1</v>
      </c>
      <c r="BB3308" t="str">
        <f t="shared" si="158"/>
        <v xml:space="preserve">N8080G  </v>
      </c>
      <c r="BC3308">
        <v>1</v>
      </c>
      <c r="BE3308">
        <v>0</v>
      </c>
      <c r="BF3308">
        <v>0</v>
      </c>
      <c r="BG3308">
        <v>0</v>
      </c>
      <c r="BH3308">
        <v>1350</v>
      </c>
      <c r="BI3308">
        <v>1</v>
      </c>
      <c r="BJ3308">
        <v>1</v>
      </c>
      <c r="BK3308">
        <v>1</v>
      </c>
      <c r="BL3308">
        <v>0</v>
      </c>
      <c r="BO3308">
        <v>0</v>
      </c>
      <c r="BP3308">
        <v>0</v>
      </c>
      <c r="BW3308" t="str">
        <f>"20:32:26.396"</f>
        <v>20:32:26.396</v>
      </c>
      <c r="BZ3308">
        <v>0</v>
      </c>
      <c r="CA3308">
        <v>1600</v>
      </c>
      <c r="CB3308">
        <v>224</v>
      </c>
      <c r="CD3308">
        <v>1</v>
      </c>
      <c r="CE3308">
        <v>0</v>
      </c>
      <c r="CF3308">
        <v>0</v>
      </c>
      <c r="CG3308">
        <v>1</v>
      </c>
      <c r="CH3308">
        <v>0</v>
      </c>
      <c r="CI3308">
        <v>0</v>
      </c>
      <c r="CJ3308">
        <v>0</v>
      </c>
      <c r="CK3308">
        <v>2</v>
      </c>
      <c r="CL3308">
        <v>0</v>
      </c>
      <c r="CM3308">
        <v>2</v>
      </c>
      <c r="CN3308">
        <v>0</v>
      </c>
      <c r="CO3308">
        <v>7</v>
      </c>
      <c r="CP3308" t="s">
        <v>119</v>
      </c>
      <c r="CQ3308">
        <v>180</v>
      </c>
      <c r="CR3308">
        <v>3</v>
      </c>
      <c r="CW3308">
        <v>1123462</v>
      </c>
      <c r="CY3308">
        <v>1</v>
      </c>
      <c r="CZ3308">
        <v>0</v>
      </c>
      <c r="DA3308">
        <v>1</v>
      </c>
      <c r="DB3308">
        <v>0</v>
      </c>
      <c r="DC3308">
        <v>0</v>
      </c>
      <c r="DD3308">
        <v>0</v>
      </c>
      <c r="DE3308">
        <v>0</v>
      </c>
      <c r="DF3308">
        <v>0</v>
      </c>
      <c r="DG3308">
        <v>0</v>
      </c>
      <c r="DH3308">
        <v>0</v>
      </c>
      <c r="DI3308">
        <v>0</v>
      </c>
    </row>
    <row r="3309" spans="1:113" x14ac:dyDescent="0.3">
      <c r="A3309" t="str">
        <f>"02/08/2021 20:32:24.052"</f>
        <v>02/08/2021 20:32:24.052</v>
      </c>
      <c r="C3309" t="str">
        <f t="shared" si="160"/>
        <v>FFDFD7C0</v>
      </c>
      <c r="D3309" t="s">
        <v>124</v>
      </c>
      <c r="E3309">
        <v>12</v>
      </c>
      <c r="F3309">
        <v>1012</v>
      </c>
      <c r="G3309" t="s">
        <v>675</v>
      </c>
      <c r="J3309" t="s">
        <v>125</v>
      </c>
      <c r="K3309">
        <v>0</v>
      </c>
      <c r="L3309">
        <v>3</v>
      </c>
      <c r="M3309">
        <v>0</v>
      </c>
      <c r="N3309">
        <v>2</v>
      </c>
      <c r="O3309">
        <v>1</v>
      </c>
      <c r="P3309">
        <v>0</v>
      </c>
      <c r="Q3309">
        <v>0</v>
      </c>
      <c r="S3309" t="str">
        <f>"20:32:26.391"</f>
        <v>20:32:26.391</v>
      </c>
      <c r="T3309" t="str">
        <f>"20:32:25.491"</f>
        <v>20:32:25.491</v>
      </c>
      <c r="U3309" t="str">
        <f t="shared" si="159"/>
        <v>AB01F4</v>
      </c>
      <c r="V3309">
        <v>0</v>
      </c>
      <c r="W3309">
        <v>0</v>
      </c>
      <c r="X3309">
        <v>2</v>
      </c>
      <c r="Z3309">
        <v>0</v>
      </c>
      <c r="AA3309">
        <v>9</v>
      </c>
      <c r="AB3309">
        <v>3</v>
      </c>
      <c r="AC3309">
        <v>0</v>
      </c>
      <c r="AD3309">
        <v>10</v>
      </c>
      <c r="AE3309">
        <v>0</v>
      </c>
      <c r="AF3309">
        <v>3</v>
      </c>
      <c r="AG3309">
        <v>2</v>
      </c>
      <c r="AH3309">
        <v>0</v>
      </c>
      <c r="AI3309" t="s">
        <v>1903</v>
      </c>
      <c r="AJ3309">
        <v>40.068641</v>
      </c>
      <c r="AK3309" t="s">
        <v>1904</v>
      </c>
      <c r="AL3309">
        <v>-92.931997999999993</v>
      </c>
      <c r="AM3309">
        <v>100</v>
      </c>
      <c r="AN3309">
        <v>1300</v>
      </c>
      <c r="AO3309" t="s">
        <v>118</v>
      </c>
      <c r="AP3309">
        <v>-106</v>
      </c>
      <c r="AQ3309">
        <v>75</v>
      </c>
      <c r="AR3309">
        <v>0</v>
      </c>
      <c r="AZ3309">
        <v>1200</v>
      </c>
      <c r="BA3309">
        <v>1</v>
      </c>
      <c r="BB3309" t="str">
        <f t="shared" si="158"/>
        <v xml:space="preserve">N8080G  </v>
      </c>
      <c r="BC3309">
        <v>1</v>
      </c>
      <c r="BE3309">
        <v>0</v>
      </c>
      <c r="BF3309">
        <v>0</v>
      </c>
      <c r="BG3309">
        <v>0</v>
      </c>
      <c r="BH3309">
        <v>1350</v>
      </c>
      <c r="BI3309">
        <v>1</v>
      </c>
      <c r="BJ3309">
        <v>1</v>
      </c>
      <c r="BK3309">
        <v>1</v>
      </c>
      <c r="BL3309">
        <v>0</v>
      </c>
      <c r="BO3309">
        <v>0</v>
      </c>
      <c r="BP3309">
        <v>0</v>
      </c>
      <c r="BW3309" t="str">
        <f>"20:32:26.396"</f>
        <v>20:32:26.396</v>
      </c>
      <c r="BZ3309">
        <v>0</v>
      </c>
      <c r="CA3309">
        <v>1600</v>
      </c>
      <c r="CB3309">
        <v>224</v>
      </c>
      <c r="CD3309">
        <v>1</v>
      </c>
      <c r="CE3309">
        <v>0</v>
      </c>
      <c r="CF3309">
        <v>0</v>
      </c>
      <c r="CG3309">
        <v>1</v>
      </c>
      <c r="CH3309">
        <v>0</v>
      </c>
      <c r="CI3309">
        <v>0</v>
      </c>
      <c r="CJ3309">
        <v>0</v>
      </c>
      <c r="CK3309">
        <v>2</v>
      </c>
      <c r="CL3309">
        <v>0</v>
      </c>
      <c r="CM3309">
        <v>2</v>
      </c>
      <c r="CN3309">
        <v>0</v>
      </c>
      <c r="CO3309">
        <v>7</v>
      </c>
      <c r="CP3309" t="s">
        <v>119</v>
      </c>
      <c r="CQ3309">
        <v>180</v>
      </c>
      <c r="CR3309">
        <v>3</v>
      </c>
      <c r="CW3309">
        <v>1123462</v>
      </c>
      <c r="CY3309">
        <v>1</v>
      </c>
      <c r="CZ3309">
        <v>0</v>
      </c>
      <c r="DA3309">
        <v>1</v>
      </c>
      <c r="DB3309">
        <v>0</v>
      </c>
      <c r="DC3309">
        <v>0</v>
      </c>
      <c r="DD3309">
        <v>0</v>
      </c>
      <c r="DE3309">
        <v>0</v>
      </c>
      <c r="DF3309">
        <v>0</v>
      </c>
      <c r="DG3309">
        <v>0</v>
      </c>
      <c r="DH3309">
        <v>0</v>
      </c>
      <c r="DI3309">
        <v>0</v>
      </c>
    </row>
    <row r="3310" spans="1:113" x14ac:dyDescent="0.3">
      <c r="A3310" t="str">
        <f>"02/08/2021 20:32:24.052"</f>
        <v>02/08/2021 20:32:24.052</v>
      </c>
      <c r="C3310" t="str">
        <f t="shared" si="160"/>
        <v>FFDFD7C0</v>
      </c>
      <c r="D3310" t="s">
        <v>124</v>
      </c>
      <c r="E3310">
        <v>11</v>
      </c>
      <c r="F3310">
        <v>1011</v>
      </c>
      <c r="G3310" t="s">
        <v>590</v>
      </c>
      <c r="J3310" t="s">
        <v>125</v>
      </c>
      <c r="K3310">
        <v>0</v>
      </c>
      <c r="L3310">
        <v>3</v>
      </c>
      <c r="M3310">
        <v>0</v>
      </c>
      <c r="N3310">
        <v>2</v>
      </c>
      <c r="O3310">
        <v>1</v>
      </c>
      <c r="P3310">
        <v>0</v>
      </c>
      <c r="Q3310">
        <v>0</v>
      </c>
      <c r="S3310" t="str">
        <f>"20:32:26.391"</f>
        <v>20:32:26.391</v>
      </c>
      <c r="T3310" t="str">
        <f>"20:32:25.491"</f>
        <v>20:32:25.491</v>
      </c>
      <c r="U3310" t="str">
        <f t="shared" si="159"/>
        <v>AB01F4</v>
      </c>
      <c r="V3310">
        <v>0</v>
      </c>
      <c r="W3310">
        <v>0</v>
      </c>
      <c r="X3310">
        <v>2</v>
      </c>
      <c r="Z3310">
        <v>0</v>
      </c>
      <c r="AA3310">
        <v>9</v>
      </c>
      <c r="AB3310">
        <v>3</v>
      </c>
      <c r="AC3310">
        <v>0</v>
      </c>
      <c r="AD3310">
        <v>10</v>
      </c>
      <c r="AE3310">
        <v>0</v>
      </c>
      <c r="AF3310">
        <v>3</v>
      </c>
      <c r="AG3310">
        <v>2</v>
      </c>
      <c r="AH3310">
        <v>0</v>
      </c>
      <c r="AI3310" t="s">
        <v>1903</v>
      </c>
      <c r="AJ3310">
        <v>40.068641</v>
      </c>
      <c r="AK3310" t="s">
        <v>1904</v>
      </c>
      <c r="AL3310">
        <v>-92.931997999999993</v>
      </c>
      <c r="AM3310">
        <v>100</v>
      </c>
      <c r="AN3310">
        <v>1300</v>
      </c>
      <c r="AO3310" t="s">
        <v>118</v>
      </c>
      <c r="AP3310">
        <v>-106</v>
      </c>
      <c r="AQ3310">
        <v>75</v>
      </c>
      <c r="AR3310">
        <v>0</v>
      </c>
      <c r="AZ3310">
        <v>1200</v>
      </c>
      <c r="BA3310">
        <v>1</v>
      </c>
      <c r="BB3310" t="str">
        <f t="shared" si="158"/>
        <v xml:space="preserve">N8080G  </v>
      </c>
      <c r="BC3310">
        <v>1</v>
      </c>
      <c r="BE3310">
        <v>0</v>
      </c>
      <c r="BF3310">
        <v>0</v>
      </c>
      <c r="BG3310">
        <v>0</v>
      </c>
      <c r="BH3310">
        <v>1350</v>
      </c>
      <c r="BI3310">
        <v>1</v>
      </c>
      <c r="BJ3310">
        <v>1</v>
      </c>
      <c r="BK3310">
        <v>1</v>
      </c>
      <c r="BL3310">
        <v>0</v>
      </c>
      <c r="BO3310">
        <v>0</v>
      </c>
      <c r="BP3310">
        <v>0</v>
      </c>
      <c r="BW3310" t="str">
        <f>"20:32:26.396"</f>
        <v>20:32:26.396</v>
      </c>
      <c r="BZ3310">
        <v>0</v>
      </c>
      <c r="CA3310">
        <v>1600</v>
      </c>
      <c r="CB3310">
        <v>224</v>
      </c>
      <c r="CD3310">
        <v>1</v>
      </c>
      <c r="CE3310">
        <v>0</v>
      </c>
      <c r="CF3310">
        <v>0</v>
      </c>
      <c r="CG3310">
        <v>1</v>
      </c>
      <c r="CH3310">
        <v>0</v>
      </c>
      <c r="CI3310">
        <v>0</v>
      </c>
      <c r="CJ3310">
        <v>0</v>
      </c>
      <c r="CK3310">
        <v>2</v>
      </c>
      <c r="CL3310">
        <v>0</v>
      </c>
      <c r="CM3310">
        <v>2</v>
      </c>
      <c r="CN3310">
        <v>0</v>
      </c>
      <c r="CO3310">
        <v>7</v>
      </c>
      <c r="CP3310" t="s">
        <v>119</v>
      </c>
      <c r="CQ3310">
        <v>180</v>
      </c>
      <c r="CR3310">
        <v>3</v>
      </c>
      <c r="CW3310">
        <v>1123462</v>
      </c>
      <c r="CY3310">
        <v>1</v>
      </c>
      <c r="CZ3310">
        <v>0</v>
      </c>
      <c r="DA3310">
        <v>1</v>
      </c>
      <c r="DB3310">
        <v>0</v>
      </c>
      <c r="DC3310">
        <v>0</v>
      </c>
      <c r="DD3310">
        <v>0</v>
      </c>
      <c r="DE3310">
        <v>0</v>
      </c>
      <c r="DF3310">
        <v>0</v>
      </c>
      <c r="DG3310">
        <v>0</v>
      </c>
      <c r="DH3310">
        <v>0</v>
      </c>
      <c r="DI3310">
        <v>0</v>
      </c>
    </row>
    <row r="3311" spans="1:113" x14ac:dyDescent="0.3">
      <c r="A3311" t="str">
        <f>"02/08/2021 20:32:25.124"</f>
        <v>02/08/2021 20:32:25.124</v>
      </c>
      <c r="C3311" t="str">
        <f t="shared" si="160"/>
        <v>FFDFD7C0</v>
      </c>
      <c r="D3311" t="s">
        <v>113</v>
      </c>
      <c r="E3311">
        <v>6</v>
      </c>
      <c r="H3311">
        <v>165</v>
      </c>
      <c r="I3311" t="s">
        <v>114</v>
      </c>
      <c r="J3311" t="s">
        <v>115</v>
      </c>
      <c r="K3311">
        <v>0</v>
      </c>
      <c r="L3311">
        <v>3</v>
      </c>
      <c r="M3311">
        <v>0</v>
      </c>
      <c r="N3311">
        <v>2</v>
      </c>
      <c r="O3311">
        <v>1</v>
      </c>
      <c r="P3311">
        <v>0</v>
      </c>
      <c r="Q3311">
        <v>0</v>
      </c>
      <c r="S3311" t="str">
        <f>"20:32:27.469"</f>
        <v>20:32:27.469</v>
      </c>
      <c r="T3311" t="str">
        <f>"20:32:26.969"</f>
        <v>20:32:26.969</v>
      </c>
      <c r="U3311" t="str">
        <f t="shared" si="159"/>
        <v>AB01F4</v>
      </c>
      <c r="V3311">
        <v>0</v>
      </c>
      <c r="W3311">
        <v>0</v>
      </c>
      <c r="X3311">
        <v>2</v>
      </c>
      <c r="Z3311">
        <v>0</v>
      </c>
      <c r="AA3311">
        <v>9</v>
      </c>
      <c r="AB3311">
        <v>3</v>
      </c>
      <c r="AC3311">
        <v>0</v>
      </c>
      <c r="AD3311">
        <v>10</v>
      </c>
      <c r="AE3311">
        <v>0</v>
      </c>
      <c r="AF3311">
        <v>3</v>
      </c>
      <c r="AG3311">
        <v>2</v>
      </c>
      <c r="AH3311">
        <v>0</v>
      </c>
      <c r="AI3311" t="s">
        <v>1905</v>
      </c>
      <c r="AJ3311">
        <v>40.069004999999997</v>
      </c>
      <c r="AK3311" t="s">
        <v>1906</v>
      </c>
      <c r="AL3311">
        <v>-92.932727</v>
      </c>
      <c r="AM3311">
        <v>100</v>
      </c>
      <c r="AN3311">
        <v>1300</v>
      </c>
      <c r="AO3311" t="s">
        <v>118</v>
      </c>
      <c r="AP3311">
        <v>-106</v>
      </c>
      <c r="AQ3311">
        <v>74</v>
      </c>
      <c r="AR3311">
        <v>-64</v>
      </c>
      <c r="AZ3311">
        <v>1200</v>
      </c>
      <c r="BA3311">
        <v>1</v>
      </c>
      <c r="BB3311" t="str">
        <f t="shared" ref="BB3311:BB3374" si="161">"N8080G  "</f>
        <v xml:space="preserve">N8080G  </v>
      </c>
      <c r="BC3311">
        <v>1</v>
      </c>
      <c r="BE3311">
        <v>0</v>
      </c>
      <c r="BF3311">
        <v>0</v>
      </c>
      <c r="BG3311">
        <v>0</v>
      </c>
      <c r="BH3311">
        <v>1350</v>
      </c>
      <c r="BI3311">
        <v>1</v>
      </c>
      <c r="BJ3311">
        <v>1</v>
      </c>
      <c r="BK3311">
        <v>1</v>
      </c>
      <c r="BL3311">
        <v>0</v>
      </c>
      <c r="BO3311">
        <v>0</v>
      </c>
      <c r="BP3311">
        <v>0</v>
      </c>
      <c r="BW3311" t="str">
        <f>"20:32:27.469"</f>
        <v>20:32:27.469</v>
      </c>
      <c r="BZ3311">
        <v>0</v>
      </c>
      <c r="CA3311">
        <v>1600</v>
      </c>
      <c r="CB3311">
        <v>224</v>
      </c>
      <c r="CD3311">
        <v>1</v>
      </c>
      <c r="CE3311">
        <v>0</v>
      </c>
      <c r="CF3311">
        <v>0</v>
      </c>
      <c r="CG3311">
        <v>1</v>
      </c>
      <c r="CH3311">
        <v>0</v>
      </c>
      <c r="CI3311">
        <v>0</v>
      </c>
      <c r="CJ3311">
        <v>0</v>
      </c>
      <c r="CK3311">
        <v>2</v>
      </c>
      <c r="CL3311">
        <v>0</v>
      </c>
      <c r="CM3311">
        <v>2</v>
      </c>
      <c r="CN3311">
        <v>0</v>
      </c>
      <c r="CO3311">
        <v>7</v>
      </c>
      <c r="CP3311" t="s">
        <v>119</v>
      </c>
      <c r="CQ3311">
        <v>180</v>
      </c>
      <c r="CR3311">
        <v>3</v>
      </c>
      <c r="CW3311">
        <v>1124276</v>
      </c>
      <c r="CY3311">
        <v>1</v>
      </c>
      <c r="CZ3311">
        <v>0</v>
      </c>
      <c r="DA3311">
        <v>0</v>
      </c>
      <c r="DB3311">
        <v>0</v>
      </c>
      <c r="DC3311">
        <v>0</v>
      </c>
      <c r="DD3311">
        <v>0</v>
      </c>
      <c r="DE3311">
        <v>0</v>
      </c>
      <c r="DF3311">
        <v>0</v>
      </c>
      <c r="DG3311">
        <v>0</v>
      </c>
      <c r="DH3311">
        <v>0</v>
      </c>
      <c r="DI3311">
        <v>0</v>
      </c>
    </row>
    <row r="3312" spans="1:113" x14ac:dyDescent="0.3">
      <c r="A3312" t="str">
        <f>"02/08/2021 20:32:25.124"</f>
        <v>02/08/2021 20:32:25.124</v>
      </c>
      <c r="C3312" t="str">
        <f t="shared" si="160"/>
        <v>FFDFD7C0</v>
      </c>
      <c r="D3312" t="s">
        <v>124</v>
      </c>
      <c r="E3312">
        <v>12</v>
      </c>
      <c r="F3312">
        <v>1012</v>
      </c>
      <c r="G3312" t="s">
        <v>675</v>
      </c>
      <c r="J3312" t="s">
        <v>125</v>
      </c>
      <c r="K3312">
        <v>0</v>
      </c>
      <c r="L3312">
        <v>3</v>
      </c>
      <c r="M3312">
        <v>0</v>
      </c>
      <c r="N3312">
        <v>2</v>
      </c>
      <c r="O3312">
        <v>1</v>
      </c>
      <c r="P3312">
        <v>0</v>
      </c>
      <c r="Q3312">
        <v>0</v>
      </c>
      <c r="S3312" t="str">
        <f>"20:32:27.469"</f>
        <v>20:32:27.469</v>
      </c>
      <c r="T3312" t="str">
        <f>"20:32:26.969"</f>
        <v>20:32:26.969</v>
      </c>
      <c r="U3312" t="str">
        <f t="shared" si="159"/>
        <v>AB01F4</v>
      </c>
      <c r="V3312">
        <v>0</v>
      </c>
      <c r="W3312">
        <v>0</v>
      </c>
      <c r="X3312">
        <v>2</v>
      </c>
      <c r="Z3312">
        <v>0</v>
      </c>
      <c r="AA3312">
        <v>9</v>
      </c>
      <c r="AB3312">
        <v>3</v>
      </c>
      <c r="AC3312">
        <v>0</v>
      </c>
      <c r="AD3312">
        <v>10</v>
      </c>
      <c r="AE3312">
        <v>0</v>
      </c>
      <c r="AF3312">
        <v>3</v>
      </c>
      <c r="AG3312">
        <v>2</v>
      </c>
      <c r="AH3312">
        <v>0</v>
      </c>
      <c r="AI3312" t="s">
        <v>1905</v>
      </c>
      <c r="AJ3312">
        <v>40.069004999999997</v>
      </c>
      <c r="AK3312" t="s">
        <v>1906</v>
      </c>
      <c r="AL3312">
        <v>-92.932727</v>
      </c>
      <c r="AM3312">
        <v>100</v>
      </c>
      <c r="AN3312">
        <v>1300</v>
      </c>
      <c r="AO3312" t="s">
        <v>118</v>
      </c>
      <c r="AP3312">
        <v>-106</v>
      </c>
      <c r="AQ3312">
        <v>74</v>
      </c>
      <c r="AR3312">
        <v>-64</v>
      </c>
      <c r="AZ3312">
        <v>1200</v>
      </c>
      <c r="BA3312">
        <v>1</v>
      </c>
      <c r="BB3312" t="str">
        <f t="shared" si="161"/>
        <v xml:space="preserve">N8080G  </v>
      </c>
      <c r="BC3312">
        <v>1</v>
      </c>
      <c r="BE3312">
        <v>0</v>
      </c>
      <c r="BF3312">
        <v>0</v>
      </c>
      <c r="BG3312">
        <v>0</v>
      </c>
      <c r="BH3312">
        <v>1350</v>
      </c>
      <c r="BI3312">
        <v>1</v>
      </c>
      <c r="BJ3312">
        <v>1</v>
      </c>
      <c r="BK3312">
        <v>1</v>
      </c>
      <c r="BL3312">
        <v>0</v>
      </c>
      <c r="BO3312">
        <v>0</v>
      </c>
      <c r="BP3312">
        <v>0</v>
      </c>
      <c r="BW3312" t="str">
        <f>"20:32:27.469"</f>
        <v>20:32:27.469</v>
      </c>
      <c r="BZ3312">
        <v>0</v>
      </c>
      <c r="CA3312">
        <v>1600</v>
      </c>
      <c r="CB3312">
        <v>224</v>
      </c>
      <c r="CD3312">
        <v>1</v>
      </c>
      <c r="CE3312">
        <v>0</v>
      </c>
      <c r="CF3312">
        <v>0</v>
      </c>
      <c r="CG3312">
        <v>1</v>
      </c>
      <c r="CH3312">
        <v>0</v>
      </c>
      <c r="CI3312">
        <v>0</v>
      </c>
      <c r="CJ3312">
        <v>0</v>
      </c>
      <c r="CK3312">
        <v>2</v>
      </c>
      <c r="CL3312">
        <v>0</v>
      </c>
      <c r="CM3312">
        <v>2</v>
      </c>
      <c r="CN3312">
        <v>0</v>
      </c>
      <c r="CO3312">
        <v>7</v>
      </c>
      <c r="CP3312" t="s">
        <v>119</v>
      </c>
      <c r="CQ3312">
        <v>180</v>
      </c>
      <c r="CR3312">
        <v>3</v>
      </c>
      <c r="CW3312">
        <v>1124276</v>
      </c>
      <c r="CY3312">
        <v>1</v>
      </c>
      <c r="CZ3312">
        <v>0</v>
      </c>
      <c r="DA3312">
        <v>1</v>
      </c>
      <c r="DB3312">
        <v>0</v>
      </c>
      <c r="DC3312">
        <v>0</v>
      </c>
      <c r="DD3312">
        <v>0</v>
      </c>
      <c r="DE3312">
        <v>0</v>
      </c>
      <c r="DF3312">
        <v>0</v>
      </c>
      <c r="DG3312">
        <v>0</v>
      </c>
      <c r="DH3312">
        <v>0</v>
      </c>
      <c r="DI3312">
        <v>0</v>
      </c>
    </row>
    <row r="3313" spans="1:113" x14ac:dyDescent="0.3">
      <c r="A3313" t="str">
        <f>"02/08/2021 20:32:25.124"</f>
        <v>02/08/2021 20:32:25.124</v>
      </c>
      <c r="C3313" t="str">
        <f t="shared" si="160"/>
        <v>FFDFD7C0</v>
      </c>
      <c r="D3313" t="s">
        <v>124</v>
      </c>
      <c r="E3313">
        <v>11</v>
      </c>
      <c r="F3313">
        <v>1011</v>
      </c>
      <c r="G3313" t="s">
        <v>590</v>
      </c>
      <c r="J3313" t="s">
        <v>125</v>
      </c>
      <c r="K3313">
        <v>0</v>
      </c>
      <c r="L3313">
        <v>3</v>
      </c>
      <c r="M3313">
        <v>0</v>
      </c>
      <c r="N3313">
        <v>2</v>
      </c>
      <c r="O3313">
        <v>1</v>
      </c>
      <c r="P3313">
        <v>0</v>
      </c>
      <c r="Q3313">
        <v>0</v>
      </c>
      <c r="S3313" t="str">
        <f>"20:32:27.469"</f>
        <v>20:32:27.469</v>
      </c>
      <c r="T3313" t="str">
        <f>"20:32:26.969"</f>
        <v>20:32:26.969</v>
      </c>
      <c r="U3313" t="str">
        <f t="shared" si="159"/>
        <v>AB01F4</v>
      </c>
      <c r="V3313">
        <v>0</v>
      </c>
      <c r="W3313">
        <v>0</v>
      </c>
      <c r="X3313">
        <v>2</v>
      </c>
      <c r="Z3313">
        <v>0</v>
      </c>
      <c r="AA3313">
        <v>9</v>
      </c>
      <c r="AB3313">
        <v>3</v>
      </c>
      <c r="AC3313">
        <v>0</v>
      </c>
      <c r="AD3313">
        <v>10</v>
      </c>
      <c r="AE3313">
        <v>0</v>
      </c>
      <c r="AF3313">
        <v>3</v>
      </c>
      <c r="AG3313">
        <v>2</v>
      </c>
      <c r="AH3313">
        <v>0</v>
      </c>
      <c r="AI3313" t="s">
        <v>1905</v>
      </c>
      <c r="AJ3313">
        <v>40.069004999999997</v>
      </c>
      <c r="AK3313" t="s">
        <v>1906</v>
      </c>
      <c r="AL3313">
        <v>-92.932727</v>
      </c>
      <c r="AM3313">
        <v>100</v>
      </c>
      <c r="AN3313">
        <v>1300</v>
      </c>
      <c r="AO3313" t="s">
        <v>118</v>
      </c>
      <c r="AP3313">
        <v>-106</v>
      </c>
      <c r="AQ3313">
        <v>74</v>
      </c>
      <c r="AR3313">
        <v>-64</v>
      </c>
      <c r="AZ3313">
        <v>1200</v>
      </c>
      <c r="BA3313">
        <v>1</v>
      </c>
      <c r="BB3313" t="str">
        <f t="shared" si="161"/>
        <v xml:space="preserve">N8080G  </v>
      </c>
      <c r="BC3313">
        <v>1</v>
      </c>
      <c r="BE3313">
        <v>0</v>
      </c>
      <c r="BF3313">
        <v>0</v>
      </c>
      <c r="BG3313">
        <v>0</v>
      </c>
      <c r="BH3313">
        <v>1350</v>
      </c>
      <c r="BI3313">
        <v>1</v>
      </c>
      <c r="BJ3313">
        <v>1</v>
      </c>
      <c r="BK3313">
        <v>1</v>
      </c>
      <c r="BL3313">
        <v>0</v>
      </c>
      <c r="BO3313">
        <v>0</v>
      </c>
      <c r="BP3313">
        <v>0</v>
      </c>
      <c r="BW3313" t="str">
        <f>"20:32:27.469"</f>
        <v>20:32:27.469</v>
      </c>
      <c r="BZ3313">
        <v>0</v>
      </c>
      <c r="CA3313">
        <v>1600</v>
      </c>
      <c r="CB3313">
        <v>224</v>
      </c>
      <c r="CD3313">
        <v>1</v>
      </c>
      <c r="CE3313">
        <v>0</v>
      </c>
      <c r="CF3313">
        <v>0</v>
      </c>
      <c r="CG3313">
        <v>1</v>
      </c>
      <c r="CH3313">
        <v>0</v>
      </c>
      <c r="CI3313">
        <v>0</v>
      </c>
      <c r="CJ3313">
        <v>0</v>
      </c>
      <c r="CK3313">
        <v>2</v>
      </c>
      <c r="CL3313">
        <v>0</v>
      </c>
      <c r="CM3313">
        <v>2</v>
      </c>
      <c r="CN3313">
        <v>0</v>
      </c>
      <c r="CO3313">
        <v>7</v>
      </c>
      <c r="CP3313" t="s">
        <v>119</v>
      </c>
      <c r="CQ3313">
        <v>180</v>
      </c>
      <c r="CR3313">
        <v>3</v>
      </c>
      <c r="CW3313">
        <v>1124276</v>
      </c>
      <c r="CY3313">
        <v>1</v>
      </c>
      <c r="CZ3313">
        <v>0</v>
      </c>
      <c r="DA3313">
        <v>1</v>
      </c>
      <c r="DB3313">
        <v>0</v>
      </c>
      <c r="DC3313">
        <v>0</v>
      </c>
      <c r="DD3313">
        <v>0</v>
      </c>
      <c r="DE3313">
        <v>0</v>
      </c>
      <c r="DF3313">
        <v>0</v>
      </c>
      <c r="DG3313">
        <v>0</v>
      </c>
      <c r="DH3313">
        <v>0</v>
      </c>
      <c r="DI3313">
        <v>0</v>
      </c>
    </row>
    <row r="3314" spans="1:113" x14ac:dyDescent="0.3">
      <c r="A3314" t="str">
        <f>"02/08/2021 20:32:25.124"</f>
        <v>02/08/2021 20:32:25.124</v>
      </c>
      <c r="C3314" t="str">
        <f t="shared" si="160"/>
        <v>FFDFD7C0</v>
      </c>
      <c r="D3314" t="s">
        <v>124</v>
      </c>
      <c r="E3314">
        <v>13</v>
      </c>
      <c r="F3314">
        <v>1013</v>
      </c>
      <c r="G3314" t="s">
        <v>114</v>
      </c>
      <c r="J3314" t="s">
        <v>125</v>
      </c>
      <c r="K3314">
        <v>0</v>
      </c>
      <c r="L3314">
        <v>3</v>
      </c>
      <c r="M3314">
        <v>0</v>
      </c>
      <c r="N3314">
        <v>2</v>
      </c>
      <c r="O3314">
        <v>1</v>
      </c>
      <c r="P3314">
        <v>0</v>
      </c>
      <c r="Q3314">
        <v>0</v>
      </c>
      <c r="S3314" t="str">
        <f>"20:32:27.469"</f>
        <v>20:32:27.469</v>
      </c>
      <c r="T3314" t="str">
        <f>"20:32:26.969"</f>
        <v>20:32:26.969</v>
      </c>
      <c r="U3314" t="str">
        <f t="shared" si="159"/>
        <v>AB01F4</v>
      </c>
      <c r="V3314">
        <v>0</v>
      </c>
      <c r="W3314">
        <v>0</v>
      </c>
      <c r="X3314">
        <v>2</v>
      </c>
      <c r="Z3314">
        <v>0</v>
      </c>
      <c r="AA3314">
        <v>9</v>
      </c>
      <c r="AB3314">
        <v>3</v>
      </c>
      <c r="AC3314">
        <v>0</v>
      </c>
      <c r="AD3314">
        <v>10</v>
      </c>
      <c r="AE3314">
        <v>0</v>
      </c>
      <c r="AF3314">
        <v>3</v>
      </c>
      <c r="AG3314">
        <v>2</v>
      </c>
      <c r="AH3314">
        <v>0</v>
      </c>
      <c r="AI3314" t="s">
        <v>1905</v>
      </c>
      <c r="AJ3314">
        <v>40.069004999999997</v>
      </c>
      <c r="AK3314" t="s">
        <v>1906</v>
      </c>
      <c r="AL3314">
        <v>-92.932727</v>
      </c>
      <c r="AM3314">
        <v>100</v>
      </c>
      <c r="AN3314">
        <v>1300</v>
      </c>
      <c r="AO3314" t="s">
        <v>118</v>
      </c>
      <c r="AP3314">
        <v>-106</v>
      </c>
      <c r="AQ3314">
        <v>74</v>
      </c>
      <c r="AR3314">
        <v>-64</v>
      </c>
      <c r="AZ3314">
        <v>1200</v>
      </c>
      <c r="BA3314">
        <v>1</v>
      </c>
      <c r="BB3314" t="str">
        <f t="shared" si="161"/>
        <v xml:space="preserve">N8080G  </v>
      </c>
      <c r="BC3314">
        <v>1</v>
      </c>
      <c r="BE3314">
        <v>0</v>
      </c>
      <c r="BF3314">
        <v>0</v>
      </c>
      <c r="BG3314">
        <v>0</v>
      </c>
      <c r="BH3314">
        <v>1350</v>
      </c>
      <c r="BI3314">
        <v>1</v>
      </c>
      <c r="BJ3314">
        <v>1</v>
      </c>
      <c r="BK3314">
        <v>1</v>
      </c>
      <c r="BL3314">
        <v>0</v>
      </c>
      <c r="BO3314">
        <v>0</v>
      </c>
      <c r="BP3314">
        <v>0</v>
      </c>
      <c r="BW3314" t="str">
        <f>"20:32:27.469"</f>
        <v>20:32:27.469</v>
      </c>
      <c r="BZ3314">
        <v>0</v>
      </c>
      <c r="CA3314">
        <v>1600</v>
      </c>
      <c r="CB3314">
        <v>224</v>
      </c>
      <c r="CD3314">
        <v>1</v>
      </c>
      <c r="CE3314">
        <v>0</v>
      </c>
      <c r="CF3314">
        <v>0</v>
      </c>
      <c r="CG3314">
        <v>1</v>
      </c>
      <c r="CH3314">
        <v>0</v>
      </c>
      <c r="CI3314">
        <v>0</v>
      </c>
      <c r="CJ3314">
        <v>0</v>
      </c>
      <c r="CK3314">
        <v>2</v>
      </c>
      <c r="CL3314">
        <v>0</v>
      </c>
      <c r="CM3314">
        <v>2</v>
      </c>
      <c r="CN3314">
        <v>0</v>
      </c>
      <c r="CO3314">
        <v>7</v>
      </c>
      <c r="CP3314" t="s">
        <v>119</v>
      </c>
      <c r="CQ3314">
        <v>180</v>
      </c>
      <c r="CR3314">
        <v>3</v>
      </c>
      <c r="CW3314">
        <v>1124276</v>
      </c>
      <c r="CY3314">
        <v>1</v>
      </c>
      <c r="CZ3314">
        <v>0</v>
      </c>
      <c r="DA3314">
        <v>1</v>
      </c>
      <c r="DB3314">
        <v>0</v>
      </c>
      <c r="DC3314">
        <v>0</v>
      </c>
      <c r="DD3314">
        <v>0</v>
      </c>
      <c r="DE3314">
        <v>0</v>
      </c>
      <c r="DF3314">
        <v>0</v>
      </c>
      <c r="DG3314">
        <v>0</v>
      </c>
      <c r="DH3314">
        <v>0</v>
      </c>
      <c r="DI3314">
        <v>0</v>
      </c>
    </row>
    <row r="3315" spans="1:113" x14ac:dyDescent="0.3">
      <c r="A3315" t="str">
        <f>"02/08/2021 20:32:26.844"</f>
        <v>02/08/2021 20:32:26.844</v>
      </c>
      <c r="C3315" t="str">
        <f>"FFDFD3C0"</f>
        <v>FFDFD3C0</v>
      </c>
      <c r="D3315" t="s">
        <v>113</v>
      </c>
      <c r="E3315">
        <v>6</v>
      </c>
      <c r="H3315">
        <v>165</v>
      </c>
      <c r="I3315" t="s">
        <v>114</v>
      </c>
      <c r="J3315" t="s">
        <v>115</v>
      </c>
      <c r="K3315">
        <v>0</v>
      </c>
      <c r="L3315">
        <v>3</v>
      </c>
      <c r="M3315">
        <v>0</v>
      </c>
      <c r="N3315">
        <v>2</v>
      </c>
      <c r="O3315">
        <v>1</v>
      </c>
      <c r="P3315">
        <v>0</v>
      </c>
      <c r="Q3315">
        <v>0</v>
      </c>
      <c r="S3315" t="str">
        <f>"20:32:28.891"</f>
        <v>20:32:28.891</v>
      </c>
      <c r="T3315" t="str">
        <f>"20:32:23.991"</f>
        <v>20:32:23.991</v>
      </c>
      <c r="U3315" t="str">
        <f t="shared" si="159"/>
        <v>AB01F4</v>
      </c>
      <c r="V3315">
        <v>0</v>
      </c>
      <c r="W3315">
        <v>0</v>
      </c>
      <c r="X3315">
        <v>2</v>
      </c>
      <c r="Z3315">
        <v>0</v>
      </c>
      <c r="AA3315">
        <v>0</v>
      </c>
      <c r="AB3315">
        <v>0</v>
      </c>
      <c r="AC3315">
        <v>0</v>
      </c>
      <c r="AE3315">
        <v>0</v>
      </c>
      <c r="AF3315">
        <v>3</v>
      </c>
      <c r="AG3315">
        <v>2</v>
      </c>
      <c r="AH3315">
        <v>0</v>
      </c>
      <c r="AI3315" t="s">
        <v>1907</v>
      </c>
      <c r="AJ3315">
        <v>40.069519999999997</v>
      </c>
      <c r="AK3315" t="s">
        <v>1908</v>
      </c>
      <c r="AL3315">
        <v>-92.933606999999995</v>
      </c>
      <c r="AM3315">
        <v>100</v>
      </c>
      <c r="AN3315">
        <v>1300</v>
      </c>
      <c r="AO3315" t="s">
        <v>118</v>
      </c>
      <c r="AP3315">
        <v>-106</v>
      </c>
      <c r="AQ3315">
        <v>74</v>
      </c>
      <c r="AR3315">
        <v>64</v>
      </c>
      <c r="AZ3315">
        <v>1200</v>
      </c>
      <c r="BA3315">
        <v>1</v>
      </c>
      <c r="BB3315" t="str">
        <f t="shared" si="161"/>
        <v xml:space="preserve">N8080G  </v>
      </c>
      <c r="BC3315">
        <v>1</v>
      </c>
      <c r="BE3315">
        <v>0</v>
      </c>
      <c r="BF3315">
        <v>0</v>
      </c>
      <c r="BG3315">
        <v>0</v>
      </c>
      <c r="BH3315">
        <v>1350</v>
      </c>
      <c r="BI3315">
        <v>0</v>
      </c>
      <c r="BJ3315">
        <v>0</v>
      </c>
      <c r="BK3315">
        <v>0</v>
      </c>
      <c r="BL3315">
        <v>0</v>
      </c>
      <c r="BO3315">
        <v>0</v>
      </c>
      <c r="BP3315">
        <v>0</v>
      </c>
      <c r="BW3315" t="str">
        <f>"20:32:28.896"</f>
        <v>20:32:28.896</v>
      </c>
      <c r="CJ3315">
        <v>0</v>
      </c>
      <c r="CK3315">
        <v>0</v>
      </c>
      <c r="CL3315">
        <v>0</v>
      </c>
      <c r="CM3315">
        <v>0</v>
      </c>
      <c r="CN3315">
        <v>0</v>
      </c>
      <c r="CO3315">
        <v>1</v>
      </c>
      <c r="CP3315" t="s">
        <v>119</v>
      </c>
      <c r="CQ3315">
        <v>179</v>
      </c>
      <c r="CR3315">
        <v>1</v>
      </c>
      <c r="CW3315">
        <v>9249308</v>
      </c>
      <c r="CY3315">
        <v>1</v>
      </c>
      <c r="CZ3315">
        <v>0</v>
      </c>
      <c r="DA3315">
        <v>0</v>
      </c>
      <c r="DB3315">
        <v>0</v>
      </c>
      <c r="DC3315">
        <v>0</v>
      </c>
      <c r="DD3315">
        <v>0</v>
      </c>
      <c r="DE3315">
        <v>0</v>
      </c>
      <c r="DF3315">
        <v>1</v>
      </c>
      <c r="DG3315">
        <v>1</v>
      </c>
      <c r="DH3315">
        <v>0</v>
      </c>
      <c r="DI3315">
        <v>0</v>
      </c>
    </row>
    <row r="3316" spans="1:113" x14ac:dyDescent="0.3">
      <c r="A3316" t="str">
        <f>"02/08/2021 20:32:26.844"</f>
        <v>02/08/2021 20:32:26.844</v>
      </c>
      <c r="C3316" t="str">
        <f>"FFDFD3C0"</f>
        <v>FFDFD3C0</v>
      </c>
      <c r="D3316" t="s">
        <v>124</v>
      </c>
      <c r="E3316">
        <v>11</v>
      </c>
      <c r="F3316">
        <v>1011</v>
      </c>
      <c r="G3316" t="s">
        <v>590</v>
      </c>
      <c r="J3316" t="s">
        <v>125</v>
      </c>
      <c r="K3316">
        <v>0</v>
      </c>
      <c r="L3316">
        <v>3</v>
      </c>
      <c r="M3316">
        <v>0</v>
      </c>
      <c r="N3316">
        <v>2</v>
      </c>
      <c r="O3316">
        <v>1</v>
      </c>
      <c r="P3316">
        <v>0</v>
      </c>
      <c r="Q3316">
        <v>0</v>
      </c>
      <c r="S3316" t="str">
        <f>"20:32:28.891"</f>
        <v>20:32:28.891</v>
      </c>
      <c r="T3316" t="str">
        <f>"20:32:23.991"</f>
        <v>20:32:23.991</v>
      </c>
      <c r="U3316" t="str">
        <f t="shared" si="159"/>
        <v>AB01F4</v>
      </c>
      <c r="V3316">
        <v>0</v>
      </c>
      <c r="W3316">
        <v>0</v>
      </c>
      <c r="X3316">
        <v>2</v>
      </c>
      <c r="Z3316">
        <v>0</v>
      </c>
      <c r="AA3316">
        <v>0</v>
      </c>
      <c r="AB3316">
        <v>0</v>
      </c>
      <c r="AC3316">
        <v>0</v>
      </c>
      <c r="AE3316">
        <v>0</v>
      </c>
      <c r="AF3316">
        <v>3</v>
      </c>
      <c r="AG3316">
        <v>2</v>
      </c>
      <c r="AH3316">
        <v>0</v>
      </c>
      <c r="AI3316" t="s">
        <v>1907</v>
      </c>
      <c r="AJ3316">
        <v>40.069519999999997</v>
      </c>
      <c r="AK3316" t="s">
        <v>1908</v>
      </c>
      <c r="AL3316">
        <v>-92.933606999999995</v>
      </c>
      <c r="AM3316">
        <v>100</v>
      </c>
      <c r="AN3316">
        <v>1300</v>
      </c>
      <c r="AO3316" t="s">
        <v>118</v>
      </c>
      <c r="AP3316">
        <v>-106</v>
      </c>
      <c r="AQ3316">
        <v>74</v>
      </c>
      <c r="AR3316">
        <v>64</v>
      </c>
      <c r="AZ3316">
        <v>1200</v>
      </c>
      <c r="BA3316">
        <v>1</v>
      </c>
      <c r="BB3316" t="str">
        <f t="shared" si="161"/>
        <v xml:space="preserve">N8080G  </v>
      </c>
      <c r="BC3316">
        <v>1</v>
      </c>
      <c r="BE3316">
        <v>0</v>
      </c>
      <c r="BF3316">
        <v>0</v>
      </c>
      <c r="BG3316">
        <v>0</v>
      </c>
      <c r="BH3316">
        <v>1350</v>
      </c>
      <c r="BI3316">
        <v>0</v>
      </c>
      <c r="BJ3316">
        <v>0</v>
      </c>
      <c r="BK3316">
        <v>0</v>
      </c>
      <c r="BL3316">
        <v>0</v>
      </c>
      <c r="BO3316">
        <v>0</v>
      </c>
      <c r="BP3316">
        <v>0</v>
      </c>
      <c r="BW3316" t="str">
        <f>"20:32:28.896"</f>
        <v>20:32:28.896</v>
      </c>
      <c r="CJ3316">
        <v>0</v>
      </c>
      <c r="CK3316">
        <v>0</v>
      </c>
      <c r="CL3316">
        <v>0</v>
      </c>
      <c r="CM3316">
        <v>0</v>
      </c>
      <c r="CN3316">
        <v>0</v>
      </c>
      <c r="CO3316">
        <v>1</v>
      </c>
      <c r="CP3316" t="s">
        <v>119</v>
      </c>
      <c r="CQ3316">
        <v>179</v>
      </c>
      <c r="CR3316">
        <v>1</v>
      </c>
      <c r="CW3316">
        <v>9249308</v>
      </c>
      <c r="CY3316">
        <v>1</v>
      </c>
      <c r="CZ3316">
        <v>0</v>
      </c>
      <c r="DA3316">
        <v>1</v>
      </c>
      <c r="DB3316">
        <v>0</v>
      </c>
      <c r="DC3316">
        <v>0</v>
      </c>
      <c r="DD3316">
        <v>0</v>
      </c>
      <c r="DE3316">
        <v>0</v>
      </c>
      <c r="DF3316">
        <v>1</v>
      </c>
      <c r="DG3316">
        <v>1</v>
      </c>
      <c r="DH3316">
        <v>0</v>
      </c>
      <c r="DI3316">
        <v>0</v>
      </c>
    </row>
    <row r="3317" spans="1:113" x14ac:dyDescent="0.3">
      <c r="A3317" t="str">
        <f>"02/08/2021 20:32:26.844"</f>
        <v>02/08/2021 20:32:26.844</v>
      </c>
      <c r="C3317" t="str">
        <f>"FFDFD3C0"</f>
        <v>FFDFD3C0</v>
      </c>
      <c r="D3317" t="s">
        <v>124</v>
      </c>
      <c r="E3317">
        <v>13</v>
      </c>
      <c r="F3317">
        <v>1013</v>
      </c>
      <c r="G3317" t="s">
        <v>114</v>
      </c>
      <c r="J3317" t="s">
        <v>125</v>
      </c>
      <c r="K3317">
        <v>0</v>
      </c>
      <c r="L3317">
        <v>3</v>
      </c>
      <c r="M3317">
        <v>0</v>
      </c>
      <c r="N3317">
        <v>2</v>
      </c>
      <c r="O3317">
        <v>1</v>
      </c>
      <c r="P3317">
        <v>0</v>
      </c>
      <c r="Q3317">
        <v>0</v>
      </c>
      <c r="S3317" t="str">
        <f>"20:32:28.891"</f>
        <v>20:32:28.891</v>
      </c>
      <c r="T3317" t="str">
        <f>"20:32:23.991"</f>
        <v>20:32:23.991</v>
      </c>
      <c r="U3317" t="str">
        <f t="shared" si="159"/>
        <v>AB01F4</v>
      </c>
      <c r="V3317">
        <v>0</v>
      </c>
      <c r="W3317">
        <v>0</v>
      </c>
      <c r="X3317">
        <v>2</v>
      </c>
      <c r="Z3317">
        <v>0</v>
      </c>
      <c r="AA3317">
        <v>0</v>
      </c>
      <c r="AB3317">
        <v>0</v>
      </c>
      <c r="AC3317">
        <v>0</v>
      </c>
      <c r="AE3317">
        <v>0</v>
      </c>
      <c r="AF3317">
        <v>3</v>
      </c>
      <c r="AG3317">
        <v>2</v>
      </c>
      <c r="AH3317">
        <v>0</v>
      </c>
      <c r="AI3317" t="s">
        <v>1907</v>
      </c>
      <c r="AJ3317">
        <v>40.069519999999997</v>
      </c>
      <c r="AK3317" t="s">
        <v>1908</v>
      </c>
      <c r="AL3317">
        <v>-92.933606999999995</v>
      </c>
      <c r="AM3317">
        <v>100</v>
      </c>
      <c r="AN3317">
        <v>1300</v>
      </c>
      <c r="AO3317" t="s">
        <v>118</v>
      </c>
      <c r="AP3317">
        <v>-106</v>
      </c>
      <c r="AQ3317">
        <v>74</v>
      </c>
      <c r="AR3317">
        <v>64</v>
      </c>
      <c r="AZ3317">
        <v>1200</v>
      </c>
      <c r="BA3317">
        <v>1</v>
      </c>
      <c r="BB3317" t="str">
        <f t="shared" si="161"/>
        <v xml:space="preserve">N8080G  </v>
      </c>
      <c r="BC3317">
        <v>1</v>
      </c>
      <c r="BE3317">
        <v>0</v>
      </c>
      <c r="BF3317">
        <v>0</v>
      </c>
      <c r="BG3317">
        <v>0</v>
      </c>
      <c r="BH3317">
        <v>1350</v>
      </c>
      <c r="BI3317">
        <v>0</v>
      </c>
      <c r="BJ3317">
        <v>0</v>
      </c>
      <c r="BK3317">
        <v>0</v>
      </c>
      <c r="BL3317">
        <v>0</v>
      </c>
      <c r="BO3317">
        <v>0</v>
      </c>
      <c r="BP3317">
        <v>0</v>
      </c>
      <c r="BW3317" t="str">
        <f>"20:32:28.896"</f>
        <v>20:32:28.896</v>
      </c>
      <c r="CJ3317">
        <v>0</v>
      </c>
      <c r="CK3317">
        <v>0</v>
      </c>
      <c r="CL3317">
        <v>0</v>
      </c>
      <c r="CM3317">
        <v>0</v>
      </c>
      <c r="CN3317">
        <v>0</v>
      </c>
      <c r="CO3317">
        <v>1</v>
      </c>
      <c r="CP3317" t="s">
        <v>119</v>
      </c>
      <c r="CQ3317">
        <v>179</v>
      </c>
      <c r="CR3317">
        <v>1</v>
      </c>
      <c r="CW3317">
        <v>9249308</v>
      </c>
      <c r="CY3317">
        <v>1</v>
      </c>
      <c r="CZ3317">
        <v>0</v>
      </c>
      <c r="DA3317">
        <v>1</v>
      </c>
      <c r="DB3317">
        <v>0</v>
      </c>
      <c r="DC3317">
        <v>0</v>
      </c>
      <c r="DD3317">
        <v>0</v>
      </c>
      <c r="DE3317">
        <v>0</v>
      </c>
      <c r="DF3317">
        <v>1</v>
      </c>
      <c r="DG3317">
        <v>1</v>
      </c>
      <c r="DH3317">
        <v>0</v>
      </c>
      <c r="DI3317">
        <v>0</v>
      </c>
    </row>
    <row r="3318" spans="1:113" x14ac:dyDescent="0.3">
      <c r="A3318" t="str">
        <f>"02/08/2021 20:32:26.844"</f>
        <v>02/08/2021 20:32:26.844</v>
      </c>
      <c r="C3318" t="str">
        <f>"FFDFD3C0"</f>
        <v>FFDFD3C0</v>
      </c>
      <c r="D3318" t="s">
        <v>124</v>
      </c>
      <c r="E3318">
        <v>12</v>
      </c>
      <c r="F3318">
        <v>1012</v>
      </c>
      <c r="G3318" t="s">
        <v>675</v>
      </c>
      <c r="J3318" t="s">
        <v>125</v>
      </c>
      <c r="K3318">
        <v>0</v>
      </c>
      <c r="L3318">
        <v>3</v>
      </c>
      <c r="M3318">
        <v>0</v>
      </c>
      <c r="N3318">
        <v>2</v>
      </c>
      <c r="O3318">
        <v>1</v>
      </c>
      <c r="P3318">
        <v>0</v>
      </c>
      <c r="Q3318">
        <v>0</v>
      </c>
      <c r="S3318" t="str">
        <f>"20:32:28.891"</f>
        <v>20:32:28.891</v>
      </c>
      <c r="T3318" t="str">
        <f>"20:32:23.991"</f>
        <v>20:32:23.991</v>
      </c>
      <c r="U3318" t="str">
        <f t="shared" si="159"/>
        <v>AB01F4</v>
      </c>
      <c r="V3318">
        <v>0</v>
      </c>
      <c r="W3318">
        <v>0</v>
      </c>
      <c r="X3318">
        <v>2</v>
      </c>
      <c r="Z3318">
        <v>0</v>
      </c>
      <c r="AA3318">
        <v>0</v>
      </c>
      <c r="AB3318">
        <v>0</v>
      </c>
      <c r="AC3318">
        <v>0</v>
      </c>
      <c r="AE3318">
        <v>0</v>
      </c>
      <c r="AF3318">
        <v>3</v>
      </c>
      <c r="AG3318">
        <v>2</v>
      </c>
      <c r="AH3318">
        <v>0</v>
      </c>
      <c r="AI3318" t="s">
        <v>1907</v>
      </c>
      <c r="AJ3318">
        <v>40.069519999999997</v>
      </c>
      <c r="AK3318" t="s">
        <v>1908</v>
      </c>
      <c r="AL3318">
        <v>-92.933606999999995</v>
      </c>
      <c r="AM3318">
        <v>100</v>
      </c>
      <c r="AN3318">
        <v>1300</v>
      </c>
      <c r="AO3318" t="s">
        <v>118</v>
      </c>
      <c r="AP3318">
        <v>-106</v>
      </c>
      <c r="AQ3318">
        <v>74</v>
      </c>
      <c r="AR3318">
        <v>64</v>
      </c>
      <c r="AZ3318">
        <v>1200</v>
      </c>
      <c r="BA3318">
        <v>1</v>
      </c>
      <c r="BB3318" t="str">
        <f t="shared" si="161"/>
        <v xml:space="preserve">N8080G  </v>
      </c>
      <c r="BC3318">
        <v>1</v>
      </c>
      <c r="BE3318">
        <v>0</v>
      </c>
      <c r="BF3318">
        <v>0</v>
      </c>
      <c r="BG3318">
        <v>0</v>
      </c>
      <c r="BH3318">
        <v>1350</v>
      </c>
      <c r="BI3318">
        <v>0</v>
      </c>
      <c r="BJ3318">
        <v>0</v>
      </c>
      <c r="BK3318">
        <v>0</v>
      </c>
      <c r="BL3318">
        <v>0</v>
      </c>
      <c r="BO3318">
        <v>0</v>
      </c>
      <c r="BP3318">
        <v>0</v>
      </c>
      <c r="BW3318" t="str">
        <f>"20:32:28.896"</f>
        <v>20:32:28.896</v>
      </c>
      <c r="CJ3318">
        <v>0</v>
      </c>
      <c r="CK3318">
        <v>0</v>
      </c>
      <c r="CL3318">
        <v>0</v>
      </c>
      <c r="CM3318">
        <v>0</v>
      </c>
      <c r="CN3318">
        <v>0</v>
      </c>
      <c r="CO3318">
        <v>1</v>
      </c>
      <c r="CP3318" t="s">
        <v>119</v>
      </c>
      <c r="CQ3318">
        <v>179</v>
      </c>
      <c r="CR3318">
        <v>1</v>
      </c>
      <c r="CW3318">
        <v>9249308</v>
      </c>
      <c r="CY3318">
        <v>1</v>
      </c>
      <c r="CZ3318">
        <v>0</v>
      </c>
      <c r="DA3318">
        <v>1</v>
      </c>
      <c r="DB3318">
        <v>0</v>
      </c>
      <c r="DC3318">
        <v>0</v>
      </c>
      <c r="DD3318">
        <v>0</v>
      </c>
      <c r="DE3318">
        <v>0</v>
      </c>
      <c r="DF3318">
        <v>1</v>
      </c>
      <c r="DG3318">
        <v>1</v>
      </c>
      <c r="DH3318">
        <v>0</v>
      </c>
      <c r="DI3318">
        <v>0</v>
      </c>
    </row>
    <row r="3319" spans="1:113" x14ac:dyDescent="0.3">
      <c r="A3319" t="str">
        <f>"02/08/2021 20:32:28.343"</f>
        <v>02/08/2021 20:32:28.343</v>
      </c>
      <c r="C3319" t="str">
        <f t="shared" ref="C3319:C3350" si="162">"FFDFD7C0"</f>
        <v>FFDFD7C0</v>
      </c>
      <c r="D3319" t="s">
        <v>124</v>
      </c>
      <c r="E3319">
        <v>12</v>
      </c>
      <c r="F3319">
        <v>1012</v>
      </c>
      <c r="G3319" t="s">
        <v>675</v>
      </c>
      <c r="J3319" t="s">
        <v>125</v>
      </c>
      <c r="K3319">
        <v>0</v>
      </c>
      <c r="L3319">
        <v>3</v>
      </c>
      <c r="M3319">
        <v>0</v>
      </c>
      <c r="N3319">
        <v>2</v>
      </c>
      <c r="O3319">
        <v>1</v>
      </c>
      <c r="P3319">
        <v>0</v>
      </c>
      <c r="Q3319">
        <v>0</v>
      </c>
      <c r="S3319" t="str">
        <f>"20:32:30.695"</f>
        <v>20:32:30.695</v>
      </c>
      <c r="T3319" t="str">
        <f>"20:32:30.295"</f>
        <v>20:32:30.295</v>
      </c>
      <c r="U3319" t="str">
        <f t="shared" si="159"/>
        <v>AB01F4</v>
      </c>
      <c r="V3319">
        <v>0</v>
      </c>
      <c r="W3319">
        <v>0</v>
      </c>
      <c r="X3319">
        <v>2</v>
      </c>
      <c r="Z3319">
        <v>0</v>
      </c>
      <c r="AA3319">
        <v>9</v>
      </c>
      <c r="AB3319">
        <v>3</v>
      </c>
      <c r="AC3319">
        <v>0</v>
      </c>
      <c r="AD3319">
        <v>10</v>
      </c>
      <c r="AE3319">
        <v>0</v>
      </c>
      <c r="AF3319">
        <v>3</v>
      </c>
      <c r="AG3319">
        <v>2</v>
      </c>
      <c r="AH3319">
        <v>0</v>
      </c>
      <c r="AI3319" t="s">
        <v>1909</v>
      </c>
      <c r="AJ3319">
        <v>40.070121</v>
      </c>
      <c r="AK3319" t="s">
        <v>1910</v>
      </c>
      <c r="AL3319">
        <v>-92.934787</v>
      </c>
      <c r="AM3319">
        <v>100</v>
      </c>
      <c r="AN3319">
        <v>1300</v>
      </c>
      <c r="AO3319" t="s">
        <v>118</v>
      </c>
      <c r="AP3319">
        <v>-107</v>
      </c>
      <c r="AQ3319">
        <v>74</v>
      </c>
      <c r="AR3319">
        <v>-64</v>
      </c>
      <c r="AZ3319">
        <v>1200</v>
      </c>
      <c r="BA3319">
        <v>1</v>
      </c>
      <c r="BB3319" t="str">
        <f t="shared" si="161"/>
        <v xml:space="preserve">N8080G  </v>
      </c>
      <c r="BC3319">
        <v>1</v>
      </c>
      <c r="BE3319">
        <v>0</v>
      </c>
      <c r="BF3319">
        <v>0</v>
      </c>
      <c r="BG3319">
        <v>0</v>
      </c>
      <c r="BH3319">
        <v>1350</v>
      </c>
      <c r="BI3319">
        <v>1</v>
      </c>
      <c r="BJ3319">
        <v>1</v>
      </c>
      <c r="BK3319">
        <v>1</v>
      </c>
      <c r="BL3319">
        <v>0</v>
      </c>
      <c r="BO3319">
        <v>0</v>
      </c>
      <c r="BP3319">
        <v>0</v>
      </c>
      <c r="BW3319" t="str">
        <f>"20:32:30.700"</f>
        <v>20:32:30.700</v>
      </c>
      <c r="BZ3319">
        <v>0</v>
      </c>
      <c r="CA3319">
        <v>1600</v>
      </c>
      <c r="CB3319">
        <v>224</v>
      </c>
      <c r="CD3319">
        <v>1</v>
      </c>
      <c r="CE3319">
        <v>0</v>
      </c>
      <c r="CF3319">
        <v>0</v>
      </c>
      <c r="CG3319">
        <v>1</v>
      </c>
      <c r="CH3319">
        <v>0</v>
      </c>
      <c r="CI3319">
        <v>0</v>
      </c>
      <c r="CJ3319">
        <v>0</v>
      </c>
      <c r="CK3319">
        <v>2</v>
      </c>
      <c r="CL3319">
        <v>0</v>
      </c>
      <c r="CM3319">
        <v>2</v>
      </c>
      <c r="CN3319">
        <v>0</v>
      </c>
      <c r="CO3319">
        <v>7</v>
      </c>
      <c r="CP3319" t="s">
        <v>119</v>
      </c>
      <c r="CQ3319">
        <v>180</v>
      </c>
      <c r="CR3319">
        <v>2</v>
      </c>
      <c r="CW3319">
        <v>8783382</v>
      </c>
      <c r="CY3319">
        <v>1</v>
      </c>
      <c r="CZ3319">
        <v>0</v>
      </c>
      <c r="DA3319">
        <v>0</v>
      </c>
      <c r="DB3319">
        <v>0</v>
      </c>
      <c r="DC3319">
        <v>0</v>
      </c>
      <c r="DD3319">
        <v>0</v>
      </c>
      <c r="DE3319">
        <v>0</v>
      </c>
      <c r="DF3319">
        <v>0</v>
      </c>
      <c r="DG3319">
        <v>0</v>
      </c>
      <c r="DH3319">
        <v>0</v>
      </c>
      <c r="DI3319">
        <v>0</v>
      </c>
    </row>
    <row r="3320" spans="1:113" x14ac:dyDescent="0.3">
      <c r="A3320" t="str">
        <f>"02/08/2021 20:32:28.343"</f>
        <v>02/08/2021 20:32:28.343</v>
      </c>
      <c r="C3320" t="str">
        <f t="shared" si="162"/>
        <v>FFDFD7C0</v>
      </c>
      <c r="D3320" t="s">
        <v>113</v>
      </c>
      <c r="E3320">
        <v>6</v>
      </c>
      <c r="H3320">
        <v>165</v>
      </c>
      <c r="I3320" t="s">
        <v>114</v>
      </c>
      <c r="J3320" t="s">
        <v>115</v>
      </c>
      <c r="K3320">
        <v>0</v>
      </c>
      <c r="L3320">
        <v>3</v>
      </c>
      <c r="M3320">
        <v>0</v>
      </c>
      <c r="N3320">
        <v>2</v>
      </c>
      <c r="O3320">
        <v>1</v>
      </c>
      <c r="P3320">
        <v>0</v>
      </c>
      <c r="Q3320">
        <v>0</v>
      </c>
      <c r="S3320" t="str">
        <f>"20:32:30.695"</f>
        <v>20:32:30.695</v>
      </c>
      <c r="T3320" t="str">
        <f>"20:32:30.295"</f>
        <v>20:32:30.295</v>
      </c>
      <c r="U3320" t="str">
        <f t="shared" si="159"/>
        <v>AB01F4</v>
      </c>
      <c r="V3320">
        <v>0</v>
      </c>
      <c r="W3320">
        <v>0</v>
      </c>
      <c r="X3320">
        <v>2</v>
      </c>
      <c r="Z3320">
        <v>0</v>
      </c>
      <c r="AA3320">
        <v>9</v>
      </c>
      <c r="AB3320">
        <v>3</v>
      </c>
      <c r="AC3320">
        <v>0</v>
      </c>
      <c r="AD3320">
        <v>10</v>
      </c>
      <c r="AE3320">
        <v>0</v>
      </c>
      <c r="AF3320">
        <v>3</v>
      </c>
      <c r="AG3320">
        <v>2</v>
      </c>
      <c r="AH3320">
        <v>0</v>
      </c>
      <c r="AI3320" t="s">
        <v>1909</v>
      </c>
      <c r="AJ3320">
        <v>40.070121</v>
      </c>
      <c r="AK3320" t="s">
        <v>1910</v>
      </c>
      <c r="AL3320">
        <v>-92.934787</v>
      </c>
      <c r="AM3320">
        <v>100</v>
      </c>
      <c r="AN3320">
        <v>1300</v>
      </c>
      <c r="AO3320" t="s">
        <v>118</v>
      </c>
      <c r="AP3320">
        <v>-107</v>
      </c>
      <c r="AQ3320">
        <v>74</v>
      </c>
      <c r="AR3320">
        <v>-64</v>
      </c>
      <c r="AZ3320">
        <v>1200</v>
      </c>
      <c r="BA3320">
        <v>1</v>
      </c>
      <c r="BB3320" t="str">
        <f t="shared" si="161"/>
        <v xml:space="preserve">N8080G  </v>
      </c>
      <c r="BC3320">
        <v>1</v>
      </c>
      <c r="BE3320">
        <v>0</v>
      </c>
      <c r="BF3320">
        <v>0</v>
      </c>
      <c r="BG3320">
        <v>0</v>
      </c>
      <c r="BH3320">
        <v>1350</v>
      </c>
      <c r="BI3320">
        <v>1</v>
      </c>
      <c r="BJ3320">
        <v>1</v>
      </c>
      <c r="BK3320">
        <v>1</v>
      </c>
      <c r="BL3320">
        <v>0</v>
      </c>
      <c r="BO3320">
        <v>0</v>
      </c>
      <c r="BP3320">
        <v>0</v>
      </c>
      <c r="BW3320" t="str">
        <f>"20:32:30.700"</f>
        <v>20:32:30.700</v>
      </c>
      <c r="BZ3320">
        <v>0</v>
      </c>
      <c r="CA3320">
        <v>1600</v>
      </c>
      <c r="CB3320">
        <v>224</v>
      </c>
      <c r="CD3320">
        <v>1</v>
      </c>
      <c r="CE3320">
        <v>0</v>
      </c>
      <c r="CF3320">
        <v>0</v>
      </c>
      <c r="CG3320">
        <v>1</v>
      </c>
      <c r="CH3320">
        <v>0</v>
      </c>
      <c r="CI3320">
        <v>0</v>
      </c>
      <c r="CJ3320">
        <v>0</v>
      </c>
      <c r="CK3320">
        <v>2</v>
      </c>
      <c r="CL3320">
        <v>0</v>
      </c>
      <c r="CM3320">
        <v>2</v>
      </c>
      <c r="CN3320">
        <v>0</v>
      </c>
      <c r="CO3320">
        <v>7</v>
      </c>
      <c r="CP3320" t="s">
        <v>119</v>
      </c>
      <c r="CQ3320">
        <v>180</v>
      </c>
      <c r="CR3320">
        <v>2</v>
      </c>
      <c r="CW3320">
        <v>8783382</v>
      </c>
      <c r="CY3320">
        <v>1</v>
      </c>
      <c r="CZ3320">
        <v>0</v>
      </c>
      <c r="DA3320">
        <v>1</v>
      </c>
      <c r="DB3320">
        <v>0</v>
      </c>
      <c r="DC3320">
        <v>0</v>
      </c>
      <c r="DD3320">
        <v>0</v>
      </c>
      <c r="DE3320">
        <v>0</v>
      </c>
      <c r="DF3320">
        <v>0</v>
      </c>
      <c r="DG3320">
        <v>0</v>
      </c>
      <c r="DH3320">
        <v>0</v>
      </c>
      <c r="DI3320">
        <v>0</v>
      </c>
    </row>
    <row r="3321" spans="1:113" x14ac:dyDescent="0.3">
      <c r="A3321" t="str">
        <f>"02/08/2021 20:32:28.343"</f>
        <v>02/08/2021 20:32:28.343</v>
      </c>
      <c r="C3321" t="str">
        <f t="shared" si="162"/>
        <v>FFDFD7C0</v>
      </c>
      <c r="D3321" t="s">
        <v>124</v>
      </c>
      <c r="E3321">
        <v>11</v>
      </c>
      <c r="F3321">
        <v>1011</v>
      </c>
      <c r="G3321" t="s">
        <v>590</v>
      </c>
      <c r="J3321" t="s">
        <v>125</v>
      </c>
      <c r="K3321">
        <v>0</v>
      </c>
      <c r="L3321">
        <v>3</v>
      </c>
      <c r="M3321">
        <v>0</v>
      </c>
      <c r="N3321">
        <v>2</v>
      </c>
      <c r="O3321">
        <v>1</v>
      </c>
      <c r="P3321">
        <v>0</v>
      </c>
      <c r="Q3321">
        <v>0</v>
      </c>
      <c r="S3321" t="str">
        <f>"20:32:30.695"</f>
        <v>20:32:30.695</v>
      </c>
      <c r="T3321" t="str">
        <f>"20:32:30.295"</f>
        <v>20:32:30.295</v>
      </c>
      <c r="U3321" t="str">
        <f t="shared" si="159"/>
        <v>AB01F4</v>
      </c>
      <c r="V3321">
        <v>0</v>
      </c>
      <c r="W3321">
        <v>0</v>
      </c>
      <c r="X3321">
        <v>2</v>
      </c>
      <c r="Z3321">
        <v>0</v>
      </c>
      <c r="AA3321">
        <v>9</v>
      </c>
      <c r="AB3321">
        <v>3</v>
      </c>
      <c r="AC3321">
        <v>0</v>
      </c>
      <c r="AD3321">
        <v>10</v>
      </c>
      <c r="AE3321">
        <v>0</v>
      </c>
      <c r="AF3321">
        <v>3</v>
      </c>
      <c r="AG3321">
        <v>2</v>
      </c>
      <c r="AH3321">
        <v>0</v>
      </c>
      <c r="AI3321" t="s">
        <v>1909</v>
      </c>
      <c r="AJ3321">
        <v>40.070121</v>
      </c>
      <c r="AK3321" t="s">
        <v>1910</v>
      </c>
      <c r="AL3321">
        <v>-92.934787</v>
      </c>
      <c r="AM3321">
        <v>100</v>
      </c>
      <c r="AN3321">
        <v>1300</v>
      </c>
      <c r="AO3321" t="s">
        <v>118</v>
      </c>
      <c r="AP3321">
        <v>-107</v>
      </c>
      <c r="AQ3321">
        <v>74</v>
      </c>
      <c r="AR3321">
        <v>-64</v>
      </c>
      <c r="AZ3321">
        <v>1200</v>
      </c>
      <c r="BA3321">
        <v>1</v>
      </c>
      <c r="BB3321" t="str">
        <f t="shared" si="161"/>
        <v xml:space="preserve">N8080G  </v>
      </c>
      <c r="BC3321">
        <v>1</v>
      </c>
      <c r="BE3321">
        <v>0</v>
      </c>
      <c r="BF3321">
        <v>0</v>
      </c>
      <c r="BG3321">
        <v>0</v>
      </c>
      <c r="BH3321">
        <v>1350</v>
      </c>
      <c r="BI3321">
        <v>1</v>
      </c>
      <c r="BJ3321">
        <v>1</v>
      </c>
      <c r="BK3321">
        <v>1</v>
      </c>
      <c r="BL3321">
        <v>0</v>
      </c>
      <c r="BO3321">
        <v>0</v>
      </c>
      <c r="BP3321">
        <v>0</v>
      </c>
      <c r="BW3321" t="str">
        <f>"20:32:30.700"</f>
        <v>20:32:30.700</v>
      </c>
      <c r="BZ3321">
        <v>0</v>
      </c>
      <c r="CA3321">
        <v>1600</v>
      </c>
      <c r="CB3321">
        <v>224</v>
      </c>
      <c r="CD3321">
        <v>1</v>
      </c>
      <c r="CE3321">
        <v>0</v>
      </c>
      <c r="CF3321">
        <v>0</v>
      </c>
      <c r="CG3321">
        <v>1</v>
      </c>
      <c r="CH3321">
        <v>0</v>
      </c>
      <c r="CI3321">
        <v>0</v>
      </c>
      <c r="CJ3321">
        <v>0</v>
      </c>
      <c r="CK3321">
        <v>2</v>
      </c>
      <c r="CL3321">
        <v>0</v>
      </c>
      <c r="CM3321">
        <v>2</v>
      </c>
      <c r="CN3321">
        <v>0</v>
      </c>
      <c r="CO3321">
        <v>7</v>
      </c>
      <c r="CP3321" t="s">
        <v>119</v>
      </c>
      <c r="CQ3321">
        <v>180</v>
      </c>
      <c r="CR3321">
        <v>2</v>
      </c>
      <c r="CW3321">
        <v>8783382</v>
      </c>
      <c r="CY3321">
        <v>1</v>
      </c>
      <c r="CZ3321">
        <v>0</v>
      </c>
      <c r="DA3321">
        <v>1</v>
      </c>
      <c r="DB3321">
        <v>0</v>
      </c>
      <c r="DC3321">
        <v>0</v>
      </c>
      <c r="DD3321">
        <v>0</v>
      </c>
      <c r="DE3321">
        <v>0</v>
      </c>
      <c r="DF3321">
        <v>0</v>
      </c>
      <c r="DG3321">
        <v>0</v>
      </c>
      <c r="DH3321">
        <v>0</v>
      </c>
      <c r="DI3321">
        <v>0</v>
      </c>
    </row>
    <row r="3322" spans="1:113" x14ac:dyDescent="0.3">
      <c r="A3322" t="str">
        <f>"02/08/2021 20:32:28.343"</f>
        <v>02/08/2021 20:32:28.343</v>
      </c>
      <c r="C3322" t="str">
        <f t="shared" si="162"/>
        <v>FFDFD7C0</v>
      </c>
      <c r="D3322" t="s">
        <v>124</v>
      </c>
      <c r="E3322">
        <v>13</v>
      </c>
      <c r="F3322">
        <v>1013</v>
      </c>
      <c r="G3322" t="s">
        <v>114</v>
      </c>
      <c r="J3322" t="s">
        <v>125</v>
      </c>
      <c r="K3322">
        <v>0</v>
      </c>
      <c r="L3322">
        <v>3</v>
      </c>
      <c r="M3322">
        <v>0</v>
      </c>
      <c r="N3322">
        <v>2</v>
      </c>
      <c r="O3322">
        <v>1</v>
      </c>
      <c r="P3322">
        <v>0</v>
      </c>
      <c r="Q3322">
        <v>0</v>
      </c>
      <c r="S3322" t="str">
        <f>"20:32:30.695"</f>
        <v>20:32:30.695</v>
      </c>
      <c r="T3322" t="str">
        <f>"20:32:30.295"</f>
        <v>20:32:30.295</v>
      </c>
      <c r="U3322" t="str">
        <f t="shared" si="159"/>
        <v>AB01F4</v>
      </c>
      <c r="V3322">
        <v>0</v>
      </c>
      <c r="W3322">
        <v>0</v>
      </c>
      <c r="X3322">
        <v>2</v>
      </c>
      <c r="Z3322">
        <v>0</v>
      </c>
      <c r="AA3322">
        <v>9</v>
      </c>
      <c r="AB3322">
        <v>3</v>
      </c>
      <c r="AC3322">
        <v>0</v>
      </c>
      <c r="AD3322">
        <v>10</v>
      </c>
      <c r="AE3322">
        <v>0</v>
      </c>
      <c r="AF3322">
        <v>3</v>
      </c>
      <c r="AG3322">
        <v>2</v>
      </c>
      <c r="AH3322">
        <v>0</v>
      </c>
      <c r="AI3322" t="s">
        <v>1909</v>
      </c>
      <c r="AJ3322">
        <v>40.070121</v>
      </c>
      <c r="AK3322" t="s">
        <v>1910</v>
      </c>
      <c r="AL3322">
        <v>-92.934787</v>
      </c>
      <c r="AM3322">
        <v>100</v>
      </c>
      <c r="AN3322">
        <v>1300</v>
      </c>
      <c r="AO3322" t="s">
        <v>118</v>
      </c>
      <c r="AP3322">
        <v>-107</v>
      </c>
      <c r="AQ3322">
        <v>74</v>
      </c>
      <c r="AR3322">
        <v>-64</v>
      </c>
      <c r="AZ3322">
        <v>1200</v>
      </c>
      <c r="BA3322">
        <v>1</v>
      </c>
      <c r="BB3322" t="str">
        <f t="shared" si="161"/>
        <v xml:space="preserve">N8080G  </v>
      </c>
      <c r="BC3322">
        <v>1</v>
      </c>
      <c r="BE3322">
        <v>0</v>
      </c>
      <c r="BF3322">
        <v>0</v>
      </c>
      <c r="BG3322">
        <v>0</v>
      </c>
      <c r="BH3322">
        <v>1350</v>
      </c>
      <c r="BI3322">
        <v>1</v>
      </c>
      <c r="BJ3322">
        <v>1</v>
      </c>
      <c r="BK3322">
        <v>1</v>
      </c>
      <c r="BL3322">
        <v>0</v>
      </c>
      <c r="BO3322">
        <v>0</v>
      </c>
      <c r="BP3322">
        <v>0</v>
      </c>
      <c r="BW3322" t="str">
        <f>"20:32:30.700"</f>
        <v>20:32:30.700</v>
      </c>
      <c r="BZ3322">
        <v>0</v>
      </c>
      <c r="CA3322">
        <v>1600</v>
      </c>
      <c r="CB3322">
        <v>224</v>
      </c>
      <c r="CD3322">
        <v>1</v>
      </c>
      <c r="CE3322">
        <v>0</v>
      </c>
      <c r="CF3322">
        <v>0</v>
      </c>
      <c r="CG3322">
        <v>1</v>
      </c>
      <c r="CH3322">
        <v>0</v>
      </c>
      <c r="CI3322">
        <v>0</v>
      </c>
      <c r="CJ3322">
        <v>0</v>
      </c>
      <c r="CK3322">
        <v>2</v>
      </c>
      <c r="CL3322">
        <v>0</v>
      </c>
      <c r="CM3322">
        <v>2</v>
      </c>
      <c r="CN3322">
        <v>0</v>
      </c>
      <c r="CO3322">
        <v>7</v>
      </c>
      <c r="CP3322" t="s">
        <v>119</v>
      </c>
      <c r="CQ3322">
        <v>180</v>
      </c>
      <c r="CR3322">
        <v>2</v>
      </c>
      <c r="CW3322">
        <v>8783382</v>
      </c>
      <c r="CY3322">
        <v>1</v>
      </c>
      <c r="CZ3322">
        <v>0</v>
      </c>
      <c r="DA3322">
        <v>1</v>
      </c>
      <c r="DB3322">
        <v>0</v>
      </c>
      <c r="DC3322">
        <v>0</v>
      </c>
      <c r="DD3322">
        <v>0</v>
      </c>
      <c r="DE3322">
        <v>0</v>
      </c>
      <c r="DF3322">
        <v>0</v>
      </c>
      <c r="DG3322">
        <v>0</v>
      </c>
      <c r="DH3322">
        <v>0</v>
      </c>
      <c r="DI3322">
        <v>0</v>
      </c>
    </row>
    <row r="3323" spans="1:113" x14ac:dyDescent="0.3">
      <c r="A3323" t="str">
        <f>"02/08/2021 20:32:29.702"</f>
        <v>02/08/2021 20:32:29.702</v>
      </c>
      <c r="C3323" t="str">
        <f t="shared" si="162"/>
        <v>FFDFD7C0</v>
      </c>
      <c r="D3323" t="s">
        <v>124</v>
      </c>
      <c r="E3323">
        <v>12</v>
      </c>
      <c r="F3323">
        <v>1012</v>
      </c>
      <c r="G3323" t="s">
        <v>675</v>
      </c>
      <c r="J3323" t="s">
        <v>125</v>
      </c>
      <c r="K3323">
        <v>0</v>
      </c>
      <c r="L3323">
        <v>3</v>
      </c>
      <c r="M3323">
        <v>0</v>
      </c>
      <c r="N3323">
        <v>2</v>
      </c>
      <c r="O3323">
        <v>1</v>
      </c>
      <c r="P3323">
        <v>0</v>
      </c>
      <c r="Q3323">
        <v>0</v>
      </c>
      <c r="S3323" t="str">
        <f>"20:32:32.031"</f>
        <v>20:32:32.031</v>
      </c>
      <c r="T3323" t="str">
        <f>"20:32:31.631"</f>
        <v>20:32:31.631</v>
      </c>
      <c r="U3323" t="str">
        <f t="shared" si="159"/>
        <v>AB01F4</v>
      </c>
      <c r="V3323">
        <v>0</v>
      </c>
      <c r="W3323">
        <v>0</v>
      </c>
      <c r="X3323">
        <v>2</v>
      </c>
      <c r="Z3323">
        <v>0</v>
      </c>
      <c r="AA3323">
        <v>9</v>
      </c>
      <c r="AB3323">
        <v>3</v>
      </c>
      <c r="AC3323">
        <v>0</v>
      </c>
      <c r="AD3323">
        <v>10</v>
      </c>
      <c r="AE3323">
        <v>0</v>
      </c>
      <c r="AF3323">
        <v>3</v>
      </c>
      <c r="AG3323">
        <v>2</v>
      </c>
      <c r="AH3323">
        <v>0</v>
      </c>
      <c r="AI3323" t="s">
        <v>1911</v>
      </c>
      <c r="AJ3323">
        <v>40.070593000000002</v>
      </c>
      <c r="AK3323" t="s">
        <v>1912</v>
      </c>
      <c r="AL3323">
        <v>-92.935666999999995</v>
      </c>
      <c r="AM3323">
        <v>100</v>
      </c>
      <c r="AN3323">
        <v>1300</v>
      </c>
      <c r="AO3323" t="s">
        <v>118</v>
      </c>
      <c r="AP3323">
        <v>-107</v>
      </c>
      <c r="AQ3323">
        <v>74</v>
      </c>
      <c r="AR3323">
        <v>0</v>
      </c>
      <c r="AZ3323">
        <v>1200</v>
      </c>
      <c r="BA3323">
        <v>1</v>
      </c>
      <c r="BB3323" t="str">
        <f t="shared" si="161"/>
        <v xml:space="preserve">N8080G  </v>
      </c>
      <c r="BC3323">
        <v>1</v>
      </c>
      <c r="BE3323">
        <v>0</v>
      </c>
      <c r="BF3323">
        <v>0</v>
      </c>
      <c r="BG3323">
        <v>0</v>
      </c>
      <c r="BH3323">
        <v>1350</v>
      </c>
      <c r="BI3323">
        <v>1</v>
      </c>
      <c r="BJ3323">
        <v>1</v>
      </c>
      <c r="BK3323">
        <v>1</v>
      </c>
      <c r="BL3323">
        <v>0</v>
      </c>
      <c r="BO3323">
        <v>0</v>
      </c>
      <c r="BP3323">
        <v>0</v>
      </c>
      <c r="BW3323" t="str">
        <f>"20:32:32.036"</f>
        <v>20:32:32.036</v>
      </c>
      <c r="BZ3323">
        <v>0</v>
      </c>
      <c r="CA3323">
        <v>1600</v>
      </c>
      <c r="CB3323">
        <v>224</v>
      </c>
      <c r="CD3323">
        <v>1</v>
      </c>
      <c r="CE3323">
        <v>0</v>
      </c>
      <c r="CF3323">
        <v>0</v>
      </c>
      <c r="CG3323">
        <v>1</v>
      </c>
      <c r="CH3323">
        <v>0</v>
      </c>
      <c r="CI3323">
        <v>0</v>
      </c>
      <c r="CJ3323">
        <v>0</v>
      </c>
      <c r="CK3323">
        <v>2</v>
      </c>
      <c r="CL3323">
        <v>0</v>
      </c>
      <c r="CM3323">
        <v>2</v>
      </c>
      <c r="CN3323">
        <v>0</v>
      </c>
      <c r="CO3323">
        <v>7</v>
      </c>
      <c r="CP3323" t="s">
        <v>119</v>
      </c>
      <c r="CQ3323">
        <v>180</v>
      </c>
      <c r="CR3323">
        <v>3</v>
      </c>
      <c r="CW3323">
        <v>1127795</v>
      </c>
      <c r="CY3323">
        <v>1</v>
      </c>
      <c r="CZ3323">
        <v>0</v>
      </c>
      <c r="DA3323">
        <v>0</v>
      </c>
      <c r="DB3323">
        <v>0</v>
      </c>
      <c r="DC3323">
        <v>0</v>
      </c>
      <c r="DD3323">
        <v>0</v>
      </c>
      <c r="DE3323">
        <v>0</v>
      </c>
      <c r="DF3323">
        <v>0</v>
      </c>
      <c r="DG3323">
        <v>0</v>
      </c>
      <c r="DH3323">
        <v>0</v>
      </c>
      <c r="DI3323">
        <v>0</v>
      </c>
    </row>
    <row r="3324" spans="1:113" x14ac:dyDescent="0.3">
      <c r="A3324" t="str">
        <f>"02/08/2021 20:32:29.702"</f>
        <v>02/08/2021 20:32:29.702</v>
      </c>
      <c r="C3324" t="str">
        <f t="shared" si="162"/>
        <v>FFDFD7C0</v>
      </c>
      <c r="D3324" t="s">
        <v>113</v>
      </c>
      <c r="E3324">
        <v>6</v>
      </c>
      <c r="H3324">
        <v>165</v>
      </c>
      <c r="I3324" t="s">
        <v>114</v>
      </c>
      <c r="J3324" t="s">
        <v>115</v>
      </c>
      <c r="K3324">
        <v>0</v>
      </c>
      <c r="L3324">
        <v>3</v>
      </c>
      <c r="M3324">
        <v>0</v>
      </c>
      <c r="N3324">
        <v>2</v>
      </c>
      <c r="O3324">
        <v>1</v>
      </c>
      <c r="P3324">
        <v>0</v>
      </c>
      <c r="Q3324">
        <v>0</v>
      </c>
      <c r="S3324" t="str">
        <f>"20:32:32.031"</f>
        <v>20:32:32.031</v>
      </c>
      <c r="T3324" t="str">
        <f>"20:32:31.631"</f>
        <v>20:32:31.631</v>
      </c>
      <c r="U3324" t="str">
        <f t="shared" si="159"/>
        <v>AB01F4</v>
      </c>
      <c r="V3324">
        <v>0</v>
      </c>
      <c r="W3324">
        <v>0</v>
      </c>
      <c r="X3324">
        <v>2</v>
      </c>
      <c r="Z3324">
        <v>0</v>
      </c>
      <c r="AA3324">
        <v>9</v>
      </c>
      <c r="AB3324">
        <v>3</v>
      </c>
      <c r="AC3324">
        <v>0</v>
      </c>
      <c r="AD3324">
        <v>10</v>
      </c>
      <c r="AE3324">
        <v>0</v>
      </c>
      <c r="AF3324">
        <v>3</v>
      </c>
      <c r="AG3324">
        <v>2</v>
      </c>
      <c r="AH3324">
        <v>0</v>
      </c>
      <c r="AI3324" t="s">
        <v>1911</v>
      </c>
      <c r="AJ3324">
        <v>40.070593000000002</v>
      </c>
      <c r="AK3324" t="s">
        <v>1912</v>
      </c>
      <c r="AL3324">
        <v>-92.935666999999995</v>
      </c>
      <c r="AM3324">
        <v>100</v>
      </c>
      <c r="AN3324">
        <v>1300</v>
      </c>
      <c r="AO3324" t="s">
        <v>118</v>
      </c>
      <c r="AP3324">
        <v>-107</v>
      </c>
      <c r="AQ3324">
        <v>74</v>
      </c>
      <c r="AR3324">
        <v>0</v>
      </c>
      <c r="AZ3324">
        <v>1200</v>
      </c>
      <c r="BA3324">
        <v>1</v>
      </c>
      <c r="BB3324" t="str">
        <f t="shared" si="161"/>
        <v xml:space="preserve">N8080G  </v>
      </c>
      <c r="BC3324">
        <v>1</v>
      </c>
      <c r="BE3324">
        <v>0</v>
      </c>
      <c r="BF3324">
        <v>0</v>
      </c>
      <c r="BG3324">
        <v>0</v>
      </c>
      <c r="BH3324">
        <v>1350</v>
      </c>
      <c r="BI3324">
        <v>1</v>
      </c>
      <c r="BJ3324">
        <v>1</v>
      </c>
      <c r="BK3324">
        <v>1</v>
      </c>
      <c r="BL3324">
        <v>0</v>
      </c>
      <c r="BO3324">
        <v>0</v>
      </c>
      <c r="BP3324">
        <v>0</v>
      </c>
      <c r="BW3324" t="str">
        <f>"20:32:32.036"</f>
        <v>20:32:32.036</v>
      </c>
      <c r="BZ3324">
        <v>0</v>
      </c>
      <c r="CA3324">
        <v>1600</v>
      </c>
      <c r="CB3324">
        <v>224</v>
      </c>
      <c r="CD3324">
        <v>1</v>
      </c>
      <c r="CE3324">
        <v>0</v>
      </c>
      <c r="CF3324">
        <v>0</v>
      </c>
      <c r="CG3324">
        <v>1</v>
      </c>
      <c r="CH3324">
        <v>0</v>
      </c>
      <c r="CI3324">
        <v>0</v>
      </c>
      <c r="CJ3324">
        <v>0</v>
      </c>
      <c r="CK3324">
        <v>2</v>
      </c>
      <c r="CL3324">
        <v>0</v>
      </c>
      <c r="CM3324">
        <v>2</v>
      </c>
      <c r="CN3324">
        <v>0</v>
      </c>
      <c r="CO3324">
        <v>7</v>
      </c>
      <c r="CP3324" t="s">
        <v>119</v>
      </c>
      <c r="CQ3324">
        <v>180</v>
      </c>
      <c r="CR3324">
        <v>3</v>
      </c>
      <c r="CW3324">
        <v>1127795</v>
      </c>
      <c r="CY3324">
        <v>1</v>
      </c>
      <c r="CZ3324">
        <v>0</v>
      </c>
      <c r="DA3324">
        <v>1</v>
      </c>
      <c r="DB3324">
        <v>0</v>
      </c>
      <c r="DC3324">
        <v>0</v>
      </c>
      <c r="DD3324">
        <v>0</v>
      </c>
      <c r="DE3324">
        <v>0</v>
      </c>
      <c r="DF3324">
        <v>0</v>
      </c>
      <c r="DG3324">
        <v>0</v>
      </c>
      <c r="DH3324">
        <v>0</v>
      </c>
      <c r="DI3324">
        <v>0</v>
      </c>
    </row>
    <row r="3325" spans="1:113" x14ac:dyDescent="0.3">
      <c r="A3325" t="str">
        <f>"02/08/2021 20:32:29.702"</f>
        <v>02/08/2021 20:32:29.702</v>
      </c>
      <c r="C3325" t="str">
        <f t="shared" si="162"/>
        <v>FFDFD7C0</v>
      </c>
      <c r="D3325" t="s">
        <v>124</v>
      </c>
      <c r="E3325">
        <v>13</v>
      </c>
      <c r="F3325">
        <v>1013</v>
      </c>
      <c r="G3325" t="s">
        <v>114</v>
      </c>
      <c r="J3325" t="s">
        <v>125</v>
      </c>
      <c r="K3325">
        <v>0</v>
      </c>
      <c r="L3325">
        <v>3</v>
      </c>
      <c r="M3325">
        <v>0</v>
      </c>
      <c r="N3325">
        <v>2</v>
      </c>
      <c r="O3325">
        <v>1</v>
      </c>
      <c r="P3325">
        <v>0</v>
      </c>
      <c r="Q3325">
        <v>0</v>
      </c>
      <c r="S3325" t="str">
        <f>"20:32:32.031"</f>
        <v>20:32:32.031</v>
      </c>
      <c r="T3325" t="str">
        <f>"20:32:31.631"</f>
        <v>20:32:31.631</v>
      </c>
      <c r="U3325" t="str">
        <f t="shared" si="159"/>
        <v>AB01F4</v>
      </c>
      <c r="V3325">
        <v>0</v>
      </c>
      <c r="W3325">
        <v>0</v>
      </c>
      <c r="X3325">
        <v>2</v>
      </c>
      <c r="Z3325">
        <v>0</v>
      </c>
      <c r="AA3325">
        <v>9</v>
      </c>
      <c r="AB3325">
        <v>3</v>
      </c>
      <c r="AC3325">
        <v>0</v>
      </c>
      <c r="AD3325">
        <v>10</v>
      </c>
      <c r="AE3325">
        <v>0</v>
      </c>
      <c r="AF3325">
        <v>3</v>
      </c>
      <c r="AG3325">
        <v>2</v>
      </c>
      <c r="AH3325">
        <v>0</v>
      </c>
      <c r="AI3325" t="s">
        <v>1911</v>
      </c>
      <c r="AJ3325">
        <v>40.070593000000002</v>
      </c>
      <c r="AK3325" t="s">
        <v>1912</v>
      </c>
      <c r="AL3325">
        <v>-92.935666999999995</v>
      </c>
      <c r="AM3325">
        <v>100</v>
      </c>
      <c r="AN3325">
        <v>1300</v>
      </c>
      <c r="AO3325" t="s">
        <v>118</v>
      </c>
      <c r="AP3325">
        <v>-107</v>
      </c>
      <c r="AQ3325">
        <v>74</v>
      </c>
      <c r="AR3325">
        <v>0</v>
      </c>
      <c r="AZ3325">
        <v>1200</v>
      </c>
      <c r="BA3325">
        <v>1</v>
      </c>
      <c r="BB3325" t="str">
        <f t="shared" si="161"/>
        <v xml:space="preserve">N8080G  </v>
      </c>
      <c r="BC3325">
        <v>1</v>
      </c>
      <c r="BE3325">
        <v>0</v>
      </c>
      <c r="BF3325">
        <v>0</v>
      </c>
      <c r="BG3325">
        <v>0</v>
      </c>
      <c r="BH3325">
        <v>1350</v>
      </c>
      <c r="BI3325">
        <v>1</v>
      </c>
      <c r="BJ3325">
        <v>1</v>
      </c>
      <c r="BK3325">
        <v>1</v>
      </c>
      <c r="BL3325">
        <v>0</v>
      </c>
      <c r="BO3325">
        <v>0</v>
      </c>
      <c r="BP3325">
        <v>0</v>
      </c>
      <c r="BW3325" t="str">
        <f>"20:32:32.036"</f>
        <v>20:32:32.036</v>
      </c>
      <c r="BZ3325">
        <v>0</v>
      </c>
      <c r="CA3325">
        <v>1600</v>
      </c>
      <c r="CB3325">
        <v>224</v>
      </c>
      <c r="CD3325">
        <v>1</v>
      </c>
      <c r="CE3325">
        <v>0</v>
      </c>
      <c r="CF3325">
        <v>0</v>
      </c>
      <c r="CG3325">
        <v>1</v>
      </c>
      <c r="CH3325">
        <v>0</v>
      </c>
      <c r="CI3325">
        <v>0</v>
      </c>
      <c r="CJ3325">
        <v>0</v>
      </c>
      <c r="CK3325">
        <v>2</v>
      </c>
      <c r="CL3325">
        <v>0</v>
      </c>
      <c r="CM3325">
        <v>2</v>
      </c>
      <c r="CN3325">
        <v>0</v>
      </c>
      <c r="CO3325">
        <v>7</v>
      </c>
      <c r="CP3325" t="s">
        <v>119</v>
      </c>
      <c r="CQ3325">
        <v>180</v>
      </c>
      <c r="CR3325">
        <v>3</v>
      </c>
      <c r="CW3325">
        <v>1127795</v>
      </c>
      <c r="CY3325">
        <v>1</v>
      </c>
      <c r="CZ3325">
        <v>0</v>
      </c>
      <c r="DA3325">
        <v>1</v>
      </c>
      <c r="DB3325">
        <v>0</v>
      </c>
      <c r="DC3325">
        <v>0</v>
      </c>
      <c r="DD3325">
        <v>0</v>
      </c>
      <c r="DE3325">
        <v>0</v>
      </c>
      <c r="DF3325">
        <v>0</v>
      </c>
      <c r="DG3325">
        <v>0</v>
      </c>
      <c r="DH3325">
        <v>0</v>
      </c>
      <c r="DI3325">
        <v>0</v>
      </c>
    </row>
    <row r="3326" spans="1:113" x14ac:dyDescent="0.3">
      <c r="A3326" t="str">
        <f>"02/08/2021 20:32:29.702"</f>
        <v>02/08/2021 20:32:29.702</v>
      </c>
      <c r="C3326" t="str">
        <f t="shared" si="162"/>
        <v>FFDFD7C0</v>
      </c>
      <c r="D3326" t="s">
        <v>124</v>
      </c>
      <c r="E3326">
        <v>11</v>
      </c>
      <c r="F3326">
        <v>1011</v>
      </c>
      <c r="G3326" t="s">
        <v>590</v>
      </c>
      <c r="J3326" t="s">
        <v>125</v>
      </c>
      <c r="K3326">
        <v>0</v>
      </c>
      <c r="L3326">
        <v>3</v>
      </c>
      <c r="M3326">
        <v>0</v>
      </c>
      <c r="N3326">
        <v>2</v>
      </c>
      <c r="O3326">
        <v>1</v>
      </c>
      <c r="P3326">
        <v>0</v>
      </c>
      <c r="Q3326">
        <v>0</v>
      </c>
      <c r="S3326" t="str">
        <f>"20:32:32.031"</f>
        <v>20:32:32.031</v>
      </c>
      <c r="T3326" t="str">
        <f>"20:32:31.631"</f>
        <v>20:32:31.631</v>
      </c>
      <c r="U3326" t="str">
        <f t="shared" si="159"/>
        <v>AB01F4</v>
      </c>
      <c r="V3326">
        <v>0</v>
      </c>
      <c r="W3326">
        <v>0</v>
      </c>
      <c r="X3326">
        <v>2</v>
      </c>
      <c r="Z3326">
        <v>0</v>
      </c>
      <c r="AA3326">
        <v>9</v>
      </c>
      <c r="AB3326">
        <v>3</v>
      </c>
      <c r="AC3326">
        <v>0</v>
      </c>
      <c r="AD3326">
        <v>10</v>
      </c>
      <c r="AE3326">
        <v>0</v>
      </c>
      <c r="AF3326">
        <v>3</v>
      </c>
      <c r="AG3326">
        <v>2</v>
      </c>
      <c r="AH3326">
        <v>0</v>
      </c>
      <c r="AI3326" t="s">
        <v>1911</v>
      </c>
      <c r="AJ3326">
        <v>40.070593000000002</v>
      </c>
      <c r="AK3326" t="s">
        <v>1912</v>
      </c>
      <c r="AL3326">
        <v>-92.935666999999995</v>
      </c>
      <c r="AM3326">
        <v>100</v>
      </c>
      <c r="AN3326">
        <v>1300</v>
      </c>
      <c r="AO3326" t="s">
        <v>118</v>
      </c>
      <c r="AP3326">
        <v>-107</v>
      </c>
      <c r="AQ3326">
        <v>74</v>
      </c>
      <c r="AR3326">
        <v>0</v>
      </c>
      <c r="AZ3326">
        <v>1200</v>
      </c>
      <c r="BA3326">
        <v>1</v>
      </c>
      <c r="BB3326" t="str">
        <f t="shared" si="161"/>
        <v xml:space="preserve">N8080G  </v>
      </c>
      <c r="BC3326">
        <v>1</v>
      </c>
      <c r="BE3326">
        <v>0</v>
      </c>
      <c r="BF3326">
        <v>0</v>
      </c>
      <c r="BG3326">
        <v>0</v>
      </c>
      <c r="BH3326">
        <v>1350</v>
      </c>
      <c r="BI3326">
        <v>1</v>
      </c>
      <c r="BJ3326">
        <v>1</v>
      </c>
      <c r="BK3326">
        <v>1</v>
      </c>
      <c r="BL3326">
        <v>0</v>
      </c>
      <c r="BO3326">
        <v>0</v>
      </c>
      <c r="BP3326">
        <v>0</v>
      </c>
      <c r="BW3326" t="str">
        <f>"20:32:32.036"</f>
        <v>20:32:32.036</v>
      </c>
      <c r="BZ3326">
        <v>0</v>
      </c>
      <c r="CA3326">
        <v>1600</v>
      </c>
      <c r="CB3326">
        <v>224</v>
      </c>
      <c r="CD3326">
        <v>1</v>
      </c>
      <c r="CE3326">
        <v>0</v>
      </c>
      <c r="CF3326">
        <v>0</v>
      </c>
      <c r="CG3326">
        <v>1</v>
      </c>
      <c r="CH3326">
        <v>0</v>
      </c>
      <c r="CI3326">
        <v>0</v>
      </c>
      <c r="CJ3326">
        <v>0</v>
      </c>
      <c r="CK3326">
        <v>2</v>
      </c>
      <c r="CL3326">
        <v>0</v>
      </c>
      <c r="CM3326">
        <v>2</v>
      </c>
      <c r="CN3326">
        <v>0</v>
      </c>
      <c r="CO3326">
        <v>7</v>
      </c>
      <c r="CP3326" t="s">
        <v>119</v>
      </c>
      <c r="CQ3326">
        <v>180</v>
      </c>
      <c r="CR3326">
        <v>3</v>
      </c>
      <c r="CW3326">
        <v>1127795</v>
      </c>
      <c r="CY3326">
        <v>1</v>
      </c>
      <c r="CZ3326">
        <v>0</v>
      </c>
      <c r="DA3326">
        <v>1</v>
      </c>
      <c r="DB3326">
        <v>0</v>
      </c>
      <c r="DC3326">
        <v>0</v>
      </c>
      <c r="DD3326">
        <v>0</v>
      </c>
      <c r="DE3326">
        <v>0</v>
      </c>
      <c r="DF3326">
        <v>0</v>
      </c>
      <c r="DG3326">
        <v>0</v>
      </c>
      <c r="DH3326">
        <v>0</v>
      </c>
      <c r="DI3326">
        <v>0</v>
      </c>
    </row>
    <row r="3327" spans="1:113" x14ac:dyDescent="0.3">
      <c r="A3327" t="str">
        <f>"02/08/2021 20:32:31.189"</f>
        <v>02/08/2021 20:32:31.189</v>
      </c>
      <c r="C3327" t="str">
        <f t="shared" si="162"/>
        <v>FFDFD7C0</v>
      </c>
      <c r="D3327" t="s">
        <v>124</v>
      </c>
      <c r="E3327">
        <v>13</v>
      </c>
      <c r="F3327">
        <v>1013</v>
      </c>
      <c r="G3327" t="s">
        <v>114</v>
      </c>
      <c r="J3327" t="s">
        <v>125</v>
      </c>
      <c r="K3327">
        <v>0</v>
      </c>
      <c r="L3327">
        <v>3</v>
      </c>
      <c r="M3327">
        <v>0</v>
      </c>
      <c r="N3327">
        <v>2</v>
      </c>
      <c r="O3327">
        <v>1</v>
      </c>
      <c r="P3327">
        <v>0</v>
      </c>
      <c r="Q3327">
        <v>0</v>
      </c>
      <c r="S3327" t="str">
        <f>"20:32:33.492"</f>
        <v>20:32:33.492</v>
      </c>
      <c r="T3327" t="str">
        <f>"20:32:32.992"</f>
        <v>20:32:32.992</v>
      </c>
      <c r="U3327" t="str">
        <f t="shared" si="159"/>
        <v>AB01F4</v>
      </c>
      <c r="V3327">
        <v>0</v>
      </c>
      <c r="W3327">
        <v>0</v>
      </c>
      <c r="X3327">
        <v>2</v>
      </c>
      <c r="Z3327">
        <v>0</v>
      </c>
      <c r="AA3327">
        <v>9</v>
      </c>
      <c r="AB3327">
        <v>3</v>
      </c>
      <c r="AC3327">
        <v>0</v>
      </c>
      <c r="AD3327">
        <v>10</v>
      </c>
      <c r="AE3327">
        <v>0</v>
      </c>
      <c r="AF3327">
        <v>3</v>
      </c>
      <c r="AG3327">
        <v>2</v>
      </c>
      <c r="AH3327">
        <v>0</v>
      </c>
      <c r="AI3327" t="s">
        <v>1913</v>
      </c>
      <c r="AJ3327">
        <v>40.071044000000001</v>
      </c>
      <c r="AK3327" t="s">
        <v>1914</v>
      </c>
      <c r="AL3327">
        <v>-92.936525000000003</v>
      </c>
      <c r="AM3327">
        <v>100</v>
      </c>
      <c r="AN3327">
        <v>1300</v>
      </c>
      <c r="AO3327" t="s">
        <v>118</v>
      </c>
      <c r="AP3327">
        <v>-107</v>
      </c>
      <c r="AQ3327">
        <v>73</v>
      </c>
      <c r="AR3327">
        <v>0</v>
      </c>
      <c r="AZ3327">
        <v>1200</v>
      </c>
      <c r="BA3327">
        <v>1</v>
      </c>
      <c r="BB3327" t="str">
        <f t="shared" si="161"/>
        <v xml:space="preserve">N8080G  </v>
      </c>
      <c r="BC3327">
        <v>1</v>
      </c>
      <c r="BE3327">
        <v>0</v>
      </c>
      <c r="BF3327">
        <v>0</v>
      </c>
      <c r="BG3327">
        <v>0</v>
      </c>
      <c r="BH3327">
        <v>1350</v>
      </c>
      <c r="BI3327">
        <v>1</v>
      </c>
      <c r="BJ3327">
        <v>1</v>
      </c>
      <c r="BK3327">
        <v>1</v>
      </c>
      <c r="BL3327">
        <v>0</v>
      </c>
      <c r="BO3327">
        <v>0</v>
      </c>
      <c r="BP3327">
        <v>0</v>
      </c>
      <c r="BW3327" t="str">
        <f>"20:32:33.495"</f>
        <v>20:32:33.495</v>
      </c>
      <c r="BZ3327">
        <v>0</v>
      </c>
      <c r="CA3327">
        <v>1600</v>
      </c>
      <c r="CB3327">
        <v>224</v>
      </c>
      <c r="CD3327">
        <v>1</v>
      </c>
      <c r="CE3327">
        <v>0</v>
      </c>
      <c r="CF3327">
        <v>0</v>
      </c>
      <c r="CG3327">
        <v>1</v>
      </c>
      <c r="CH3327">
        <v>0</v>
      </c>
      <c r="CI3327">
        <v>0</v>
      </c>
      <c r="CJ3327">
        <v>0</v>
      </c>
      <c r="CK3327">
        <v>2</v>
      </c>
      <c r="CL3327">
        <v>0</v>
      </c>
      <c r="CM3327">
        <v>2</v>
      </c>
      <c r="CN3327">
        <v>0</v>
      </c>
      <c r="CO3327">
        <v>7</v>
      </c>
      <c r="CP3327" t="s">
        <v>119</v>
      </c>
      <c r="CQ3327">
        <v>180</v>
      </c>
      <c r="CR3327">
        <v>2</v>
      </c>
      <c r="CW3327">
        <v>8785800</v>
      </c>
      <c r="CY3327">
        <v>1</v>
      </c>
      <c r="CZ3327">
        <v>0</v>
      </c>
      <c r="DA3327">
        <v>0</v>
      </c>
      <c r="DB3327">
        <v>0</v>
      </c>
      <c r="DC3327">
        <v>0</v>
      </c>
      <c r="DD3327">
        <v>0</v>
      </c>
      <c r="DE3327">
        <v>0</v>
      </c>
      <c r="DF3327">
        <v>0</v>
      </c>
      <c r="DG3327">
        <v>0</v>
      </c>
      <c r="DH3327">
        <v>0</v>
      </c>
      <c r="DI3327">
        <v>0</v>
      </c>
    </row>
    <row r="3328" spans="1:113" x14ac:dyDescent="0.3">
      <c r="A3328" t="str">
        <f>"02/08/2021 20:32:31.189"</f>
        <v>02/08/2021 20:32:31.189</v>
      </c>
      <c r="C3328" t="str">
        <f t="shared" si="162"/>
        <v>FFDFD7C0</v>
      </c>
      <c r="D3328" t="s">
        <v>113</v>
      </c>
      <c r="E3328">
        <v>6</v>
      </c>
      <c r="H3328">
        <v>165</v>
      </c>
      <c r="I3328" t="s">
        <v>114</v>
      </c>
      <c r="J3328" t="s">
        <v>115</v>
      </c>
      <c r="K3328">
        <v>0</v>
      </c>
      <c r="L3328">
        <v>3</v>
      </c>
      <c r="M3328">
        <v>0</v>
      </c>
      <c r="N3328">
        <v>2</v>
      </c>
      <c r="O3328">
        <v>1</v>
      </c>
      <c r="P3328">
        <v>0</v>
      </c>
      <c r="Q3328">
        <v>0</v>
      </c>
      <c r="S3328" t="str">
        <f>"20:32:33.492"</f>
        <v>20:32:33.492</v>
      </c>
      <c r="T3328" t="str">
        <f>"20:32:32.992"</f>
        <v>20:32:32.992</v>
      </c>
      <c r="U3328" t="str">
        <f t="shared" si="159"/>
        <v>AB01F4</v>
      </c>
      <c r="V3328">
        <v>0</v>
      </c>
      <c r="W3328">
        <v>0</v>
      </c>
      <c r="X3328">
        <v>2</v>
      </c>
      <c r="Z3328">
        <v>0</v>
      </c>
      <c r="AA3328">
        <v>9</v>
      </c>
      <c r="AB3328">
        <v>3</v>
      </c>
      <c r="AC3328">
        <v>0</v>
      </c>
      <c r="AD3328">
        <v>10</v>
      </c>
      <c r="AE3328">
        <v>0</v>
      </c>
      <c r="AF3328">
        <v>3</v>
      </c>
      <c r="AG3328">
        <v>2</v>
      </c>
      <c r="AH3328">
        <v>0</v>
      </c>
      <c r="AI3328" t="s">
        <v>1913</v>
      </c>
      <c r="AJ3328">
        <v>40.071044000000001</v>
      </c>
      <c r="AK3328" t="s">
        <v>1914</v>
      </c>
      <c r="AL3328">
        <v>-92.936525000000003</v>
      </c>
      <c r="AM3328">
        <v>100</v>
      </c>
      <c r="AN3328">
        <v>1300</v>
      </c>
      <c r="AO3328" t="s">
        <v>118</v>
      </c>
      <c r="AP3328">
        <v>-107</v>
      </c>
      <c r="AQ3328">
        <v>73</v>
      </c>
      <c r="AR3328">
        <v>0</v>
      </c>
      <c r="AZ3328">
        <v>1200</v>
      </c>
      <c r="BA3328">
        <v>1</v>
      </c>
      <c r="BB3328" t="str">
        <f t="shared" si="161"/>
        <v xml:space="preserve">N8080G  </v>
      </c>
      <c r="BC3328">
        <v>1</v>
      </c>
      <c r="BE3328">
        <v>0</v>
      </c>
      <c r="BF3328">
        <v>0</v>
      </c>
      <c r="BG3328">
        <v>0</v>
      </c>
      <c r="BH3328">
        <v>1350</v>
      </c>
      <c r="BI3328">
        <v>1</v>
      </c>
      <c r="BJ3328">
        <v>1</v>
      </c>
      <c r="BK3328">
        <v>1</v>
      </c>
      <c r="BL3328">
        <v>0</v>
      </c>
      <c r="BO3328">
        <v>0</v>
      </c>
      <c r="BP3328">
        <v>0</v>
      </c>
      <c r="BW3328" t="str">
        <f>"20:32:33.495"</f>
        <v>20:32:33.495</v>
      </c>
      <c r="BZ3328">
        <v>0</v>
      </c>
      <c r="CA3328">
        <v>1600</v>
      </c>
      <c r="CB3328">
        <v>224</v>
      </c>
      <c r="CD3328">
        <v>1</v>
      </c>
      <c r="CE3328">
        <v>0</v>
      </c>
      <c r="CF3328">
        <v>0</v>
      </c>
      <c r="CG3328">
        <v>1</v>
      </c>
      <c r="CH3328">
        <v>0</v>
      </c>
      <c r="CI3328">
        <v>0</v>
      </c>
      <c r="CJ3328">
        <v>0</v>
      </c>
      <c r="CK3328">
        <v>2</v>
      </c>
      <c r="CL3328">
        <v>0</v>
      </c>
      <c r="CM3328">
        <v>2</v>
      </c>
      <c r="CN3328">
        <v>0</v>
      </c>
      <c r="CO3328">
        <v>7</v>
      </c>
      <c r="CP3328" t="s">
        <v>119</v>
      </c>
      <c r="CQ3328">
        <v>180</v>
      </c>
      <c r="CR3328">
        <v>2</v>
      </c>
      <c r="CW3328">
        <v>8785800</v>
      </c>
      <c r="CY3328">
        <v>1</v>
      </c>
      <c r="CZ3328">
        <v>0</v>
      </c>
      <c r="DA3328">
        <v>1</v>
      </c>
      <c r="DB3328">
        <v>0</v>
      </c>
      <c r="DC3328">
        <v>0</v>
      </c>
      <c r="DD3328">
        <v>0</v>
      </c>
      <c r="DE3328">
        <v>0</v>
      </c>
      <c r="DF3328">
        <v>0</v>
      </c>
      <c r="DG3328">
        <v>0</v>
      </c>
      <c r="DH3328">
        <v>0</v>
      </c>
      <c r="DI3328">
        <v>0</v>
      </c>
    </row>
    <row r="3329" spans="1:113" x14ac:dyDescent="0.3">
      <c r="A3329" t="str">
        <f>"02/08/2021 20:32:31.189"</f>
        <v>02/08/2021 20:32:31.189</v>
      </c>
      <c r="C3329" t="str">
        <f t="shared" si="162"/>
        <v>FFDFD7C0</v>
      </c>
      <c r="D3329" t="s">
        <v>124</v>
      </c>
      <c r="E3329">
        <v>11</v>
      </c>
      <c r="F3329">
        <v>1011</v>
      </c>
      <c r="G3329" t="s">
        <v>590</v>
      </c>
      <c r="J3329" t="s">
        <v>125</v>
      </c>
      <c r="K3329">
        <v>0</v>
      </c>
      <c r="L3329">
        <v>3</v>
      </c>
      <c r="M3329">
        <v>0</v>
      </c>
      <c r="N3329">
        <v>2</v>
      </c>
      <c r="O3329">
        <v>1</v>
      </c>
      <c r="P3329">
        <v>0</v>
      </c>
      <c r="Q3329">
        <v>0</v>
      </c>
      <c r="S3329" t="str">
        <f>"20:32:33.492"</f>
        <v>20:32:33.492</v>
      </c>
      <c r="T3329" t="str">
        <f>"20:32:32.992"</f>
        <v>20:32:32.992</v>
      </c>
      <c r="U3329" t="str">
        <f t="shared" si="159"/>
        <v>AB01F4</v>
      </c>
      <c r="V3329">
        <v>0</v>
      </c>
      <c r="W3329">
        <v>0</v>
      </c>
      <c r="X3329">
        <v>2</v>
      </c>
      <c r="Z3329">
        <v>0</v>
      </c>
      <c r="AA3329">
        <v>9</v>
      </c>
      <c r="AB3329">
        <v>3</v>
      </c>
      <c r="AC3329">
        <v>0</v>
      </c>
      <c r="AD3329">
        <v>10</v>
      </c>
      <c r="AE3329">
        <v>0</v>
      </c>
      <c r="AF3329">
        <v>3</v>
      </c>
      <c r="AG3329">
        <v>2</v>
      </c>
      <c r="AH3329">
        <v>0</v>
      </c>
      <c r="AI3329" t="s">
        <v>1913</v>
      </c>
      <c r="AJ3329">
        <v>40.071044000000001</v>
      </c>
      <c r="AK3329" t="s">
        <v>1914</v>
      </c>
      <c r="AL3329">
        <v>-92.936525000000003</v>
      </c>
      <c r="AM3329">
        <v>100</v>
      </c>
      <c r="AN3329">
        <v>1300</v>
      </c>
      <c r="AO3329" t="s">
        <v>118</v>
      </c>
      <c r="AP3329">
        <v>-107</v>
      </c>
      <c r="AQ3329">
        <v>73</v>
      </c>
      <c r="AR3329">
        <v>0</v>
      </c>
      <c r="AZ3329">
        <v>1200</v>
      </c>
      <c r="BA3329">
        <v>1</v>
      </c>
      <c r="BB3329" t="str">
        <f t="shared" si="161"/>
        <v xml:space="preserve">N8080G  </v>
      </c>
      <c r="BC3329">
        <v>1</v>
      </c>
      <c r="BE3329">
        <v>0</v>
      </c>
      <c r="BF3329">
        <v>0</v>
      </c>
      <c r="BG3329">
        <v>0</v>
      </c>
      <c r="BH3329">
        <v>1350</v>
      </c>
      <c r="BI3329">
        <v>1</v>
      </c>
      <c r="BJ3329">
        <v>1</v>
      </c>
      <c r="BK3329">
        <v>1</v>
      </c>
      <c r="BL3329">
        <v>0</v>
      </c>
      <c r="BO3329">
        <v>0</v>
      </c>
      <c r="BP3329">
        <v>0</v>
      </c>
      <c r="BW3329" t="str">
        <f>"20:32:33.495"</f>
        <v>20:32:33.495</v>
      </c>
      <c r="BZ3329">
        <v>0</v>
      </c>
      <c r="CA3329">
        <v>1600</v>
      </c>
      <c r="CB3329">
        <v>224</v>
      </c>
      <c r="CD3329">
        <v>1</v>
      </c>
      <c r="CE3329">
        <v>0</v>
      </c>
      <c r="CF3329">
        <v>0</v>
      </c>
      <c r="CG3329">
        <v>1</v>
      </c>
      <c r="CH3329">
        <v>0</v>
      </c>
      <c r="CI3329">
        <v>0</v>
      </c>
      <c r="CJ3329">
        <v>0</v>
      </c>
      <c r="CK3329">
        <v>2</v>
      </c>
      <c r="CL3329">
        <v>0</v>
      </c>
      <c r="CM3329">
        <v>2</v>
      </c>
      <c r="CN3329">
        <v>0</v>
      </c>
      <c r="CO3329">
        <v>7</v>
      </c>
      <c r="CP3329" t="s">
        <v>119</v>
      </c>
      <c r="CQ3329">
        <v>180</v>
      </c>
      <c r="CR3329">
        <v>2</v>
      </c>
      <c r="CW3329">
        <v>8785800</v>
      </c>
      <c r="CY3329">
        <v>1</v>
      </c>
      <c r="CZ3329">
        <v>0</v>
      </c>
      <c r="DA3329">
        <v>1</v>
      </c>
      <c r="DB3329">
        <v>0</v>
      </c>
      <c r="DC3329">
        <v>0</v>
      </c>
      <c r="DD3329">
        <v>0</v>
      </c>
      <c r="DE3329">
        <v>0</v>
      </c>
      <c r="DF3329">
        <v>0</v>
      </c>
      <c r="DG3329">
        <v>0</v>
      </c>
      <c r="DH3329">
        <v>0</v>
      </c>
      <c r="DI3329">
        <v>0</v>
      </c>
    </row>
    <row r="3330" spans="1:113" x14ac:dyDescent="0.3">
      <c r="A3330" t="str">
        <f>"02/08/2021 20:32:31.189"</f>
        <v>02/08/2021 20:32:31.189</v>
      </c>
      <c r="C3330" t="str">
        <f t="shared" si="162"/>
        <v>FFDFD7C0</v>
      </c>
      <c r="D3330" t="s">
        <v>124</v>
      </c>
      <c r="E3330">
        <v>12</v>
      </c>
      <c r="F3330">
        <v>1012</v>
      </c>
      <c r="G3330" t="s">
        <v>675</v>
      </c>
      <c r="J3330" t="s">
        <v>125</v>
      </c>
      <c r="K3330">
        <v>0</v>
      </c>
      <c r="L3330">
        <v>3</v>
      </c>
      <c r="M3330">
        <v>0</v>
      </c>
      <c r="N3330">
        <v>2</v>
      </c>
      <c r="O3330">
        <v>1</v>
      </c>
      <c r="P3330">
        <v>0</v>
      </c>
      <c r="Q3330">
        <v>0</v>
      </c>
      <c r="S3330" t="str">
        <f>"20:32:33.492"</f>
        <v>20:32:33.492</v>
      </c>
      <c r="T3330" t="str">
        <f>"20:32:32.992"</f>
        <v>20:32:32.992</v>
      </c>
      <c r="U3330" t="str">
        <f t="shared" ref="U3330:U3393" si="163">"AB01F4"</f>
        <v>AB01F4</v>
      </c>
      <c r="V3330">
        <v>0</v>
      </c>
      <c r="W3330">
        <v>0</v>
      </c>
      <c r="X3330">
        <v>2</v>
      </c>
      <c r="Z3330">
        <v>0</v>
      </c>
      <c r="AA3330">
        <v>9</v>
      </c>
      <c r="AB3330">
        <v>3</v>
      </c>
      <c r="AC3330">
        <v>0</v>
      </c>
      <c r="AD3330">
        <v>10</v>
      </c>
      <c r="AE3330">
        <v>0</v>
      </c>
      <c r="AF3330">
        <v>3</v>
      </c>
      <c r="AG3330">
        <v>2</v>
      </c>
      <c r="AH3330">
        <v>0</v>
      </c>
      <c r="AI3330" t="s">
        <v>1913</v>
      </c>
      <c r="AJ3330">
        <v>40.071044000000001</v>
      </c>
      <c r="AK3330" t="s">
        <v>1914</v>
      </c>
      <c r="AL3330">
        <v>-92.936525000000003</v>
      </c>
      <c r="AM3330">
        <v>100</v>
      </c>
      <c r="AN3330">
        <v>1300</v>
      </c>
      <c r="AO3330" t="s">
        <v>118</v>
      </c>
      <c r="AP3330">
        <v>-107</v>
      </c>
      <c r="AQ3330">
        <v>73</v>
      </c>
      <c r="AR3330">
        <v>0</v>
      </c>
      <c r="AZ3330">
        <v>1200</v>
      </c>
      <c r="BA3330">
        <v>1</v>
      </c>
      <c r="BB3330" t="str">
        <f t="shared" si="161"/>
        <v xml:space="preserve">N8080G  </v>
      </c>
      <c r="BC3330">
        <v>1</v>
      </c>
      <c r="BE3330">
        <v>0</v>
      </c>
      <c r="BF3330">
        <v>0</v>
      </c>
      <c r="BG3330">
        <v>0</v>
      </c>
      <c r="BH3330">
        <v>1350</v>
      </c>
      <c r="BI3330">
        <v>1</v>
      </c>
      <c r="BJ3330">
        <v>1</v>
      </c>
      <c r="BK3330">
        <v>1</v>
      </c>
      <c r="BL3330">
        <v>0</v>
      </c>
      <c r="BO3330">
        <v>0</v>
      </c>
      <c r="BP3330">
        <v>0</v>
      </c>
      <c r="BW3330" t="str">
        <f>"20:32:33.495"</f>
        <v>20:32:33.495</v>
      </c>
      <c r="BZ3330">
        <v>0</v>
      </c>
      <c r="CA3330">
        <v>1600</v>
      </c>
      <c r="CB3330">
        <v>224</v>
      </c>
      <c r="CD3330">
        <v>1</v>
      </c>
      <c r="CE3330">
        <v>0</v>
      </c>
      <c r="CF3330">
        <v>0</v>
      </c>
      <c r="CG3330">
        <v>1</v>
      </c>
      <c r="CH3330">
        <v>0</v>
      </c>
      <c r="CI3330">
        <v>0</v>
      </c>
      <c r="CJ3330">
        <v>0</v>
      </c>
      <c r="CK3330">
        <v>2</v>
      </c>
      <c r="CL3330">
        <v>0</v>
      </c>
      <c r="CM3330">
        <v>2</v>
      </c>
      <c r="CN3330">
        <v>0</v>
      </c>
      <c r="CO3330">
        <v>7</v>
      </c>
      <c r="CP3330" t="s">
        <v>119</v>
      </c>
      <c r="CQ3330">
        <v>180</v>
      </c>
      <c r="CR3330">
        <v>2</v>
      </c>
      <c r="CW3330">
        <v>8785800</v>
      </c>
      <c r="CY3330">
        <v>1</v>
      </c>
      <c r="CZ3330">
        <v>0</v>
      </c>
      <c r="DA3330">
        <v>1</v>
      </c>
      <c r="DB3330">
        <v>0</v>
      </c>
      <c r="DC3330">
        <v>0</v>
      </c>
      <c r="DD3330">
        <v>0</v>
      </c>
      <c r="DE3330">
        <v>0</v>
      </c>
      <c r="DF3330">
        <v>0</v>
      </c>
      <c r="DG3330">
        <v>0</v>
      </c>
      <c r="DH3330">
        <v>0</v>
      </c>
      <c r="DI3330">
        <v>0</v>
      </c>
    </row>
    <row r="3331" spans="1:113" x14ac:dyDescent="0.3">
      <c r="A3331" t="str">
        <f>"02/08/2021 20:32:32.448"</f>
        <v>02/08/2021 20:32:32.448</v>
      </c>
      <c r="C3331" t="str">
        <f t="shared" si="162"/>
        <v>FFDFD7C0</v>
      </c>
      <c r="D3331" t="s">
        <v>124</v>
      </c>
      <c r="E3331">
        <v>13</v>
      </c>
      <c r="F3331">
        <v>1013</v>
      </c>
      <c r="G3331" t="s">
        <v>114</v>
      </c>
      <c r="J3331" t="s">
        <v>125</v>
      </c>
      <c r="K3331">
        <v>0</v>
      </c>
      <c r="L3331">
        <v>3</v>
      </c>
      <c r="M3331">
        <v>0</v>
      </c>
      <c r="N3331">
        <v>2</v>
      </c>
      <c r="O3331">
        <v>1</v>
      </c>
      <c r="P3331">
        <v>0</v>
      </c>
      <c r="Q3331">
        <v>0</v>
      </c>
      <c r="S3331" t="str">
        <f>"20:32:34.789"</f>
        <v>20:32:34.789</v>
      </c>
      <c r="T3331" t="str">
        <f>"20:32:34.389"</f>
        <v>20:32:34.389</v>
      </c>
      <c r="U3331" t="str">
        <f t="shared" si="163"/>
        <v>AB01F4</v>
      </c>
      <c r="V3331">
        <v>0</v>
      </c>
      <c r="W3331">
        <v>0</v>
      </c>
      <c r="X3331">
        <v>2</v>
      </c>
      <c r="Z3331">
        <v>0</v>
      </c>
      <c r="AA3331">
        <v>9</v>
      </c>
      <c r="AB3331">
        <v>3</v>
      </c>
      <c r="AC3331">
        <v>0</v>
      </c>
      <c r="AD3331">
        <v>10</v>
      </c>
      <c r="AE3331">
        <v>0</v>
      </c>
      <c r="AF3331">
        <v>3</v>
      </c>
      <c r="AG3331">
        <v>2</v>
      </c>
      <c r="AH3331">
        <v>0</v>
      </c>
      <c r="AI3331" t="s">
        <v>1915</v>
      </c>
      <c r="AJ3331">
        <v>40.071494999999999</v>
      </c>
      <c r="AK3331" t="s">
        <v>1916</v>
      </c>
      <c r="AL3331">
        <v>-92.937383999999994</v>
      </c>
      <c r="AM3331">
        <v>100</v>
      </c>
      <c r="AN3331">
        <v>1300</v>
      </c>
      <c r="AO3331" t="s">
        <v>118</v>
      </c>
      <c r="AP3331">
        <v>-107</v>
      </c>
      <c r="AQ3331">
        <v>73</v>
      </c>
      <c r="AR3331">
        <v>0</v>
      </c>
      <c r="AZ3331">
        <v>1200</v>
      </c>
      <c r="BA3331">
        <v>1</v>
      </c>
      <c r="BB3331" t="str">
        <f t="shared" si="161"/>
        <v xml:space="preserve">N8080G  </v>
      </c>
      <c r="BC3331">
        <v>1</v>
      </c>
      <c r="BE3331">
        <v>0</v>
      </c>
      <c r="BF3331">
        <v>0</v>
      </c>
      <c r="BG3331">
        <v>0</v>
      </c>
      <c r="BH3331">
        <v>1350</v>
      </c>
      <c r="BI3331">
        <v>1</v>
      </c>
      <c r="BJ3331">
        <v>1</v>
      </c>
      <c r="BK3331">
        <v>1</v>
      </c>
      <c r="BL3331">
        <v>0</v>
      </c>
      <c r="BO3331">
        <v>0</v>
      </c>
      <c r="BP3331">
        <v>0</v>
      </c>
      <c r="BW3331" t="str">
        <f>"20:32:34.796"</f>
        <v>20:32:34.796</v>
      </c>
      <c r="BZ3331">
        <v>0</v>
      </c>
      <c r="CA3331">
        <v>1600</v>
      </c>
      <c r="CB3331">
        <v>224</v>
      </c>
      <c r="CD3331">
        <v>1</v>
      </c>
      <c r="CE3331">
        <v>0</v>
      </c>
      <c r="CF3331">
        <v>0</v>
      </c>
      <c r="CG3331">
        <v>1</v>
      </c>
      <c r="CH3331">
        <v>0</v>
      </c>
      <c r="CI3331">
        <v>0</v>
      </c>
      <c r="CJ3331">
        <v>0</v>
      </c>
      <c r="CK3331">
        <v>2</v>
      </c>
      <c r="CL3331">
        <v>0</v>
      </c>
      <c r="CM3331">
        <v>2</v>
      </c>
      <c r="CN3331">
        <v>0</v>
      </c>
      <c r="CO3331">
        <v>7</v>
      </c>
      <c r="CP3331" t="s">
        <v>119</v>
      </c>
      <c r="CQ3331">
        <v>180</v>
      </c>
      <c r="CR3331">
        <v>3</v>
      </c>
      <c r="CW3331">
        <v>1129978</v>
      </c>
      <c r="CY3331">
        <v>1</v>
      </c>
      <c r="CZ3331">
        <v>0</v>
      </c>
      <c r="DA3331">
        <v>0</v>
      </c>
      <c r="DB3331">
        <v>0</v>
      </c>
      <c r="DC3331">
        <v>0</v>
      </c>
      <c r="DD3331">
        <v>0</v>
      </c>
      <c r="DE3331">
        <v>0</v>
      </c>
      <c r="DF3331">
        <v>0</v>
      </c>
      <c r="DG3331">
        <v>0</v>
      </c>
      <c r="DH3331">
        <v>0</v>
      </c>
      <c r="DI3331">
        <v>0</v>
      </c>
    </row>
    <row r="3332" spans="1:113" x14ac:dyDescent="0.3">
      <c r="A3332" t="str">
        <f>"02/08/2021 20:32:32.448"</f>
        <v>02/08/2021 20:32:32.448</v>
      </c>
      <c r="C3332" t="str">
        <f t="shared" si="162"/>
        <v>FFDFD7C0</v>
      </c>
      <c r="D3332" t="s">
        <v>124</v>
      </c>
      <c r="E3332">
        <v>11</v>
      </c>
      <c r="F3332">
        <v>1011</v>
      </c>
      <c r="G3332" t="s">
        <v>590</v>
      </c>
      <c r="J3332" t="s">
        <v>125</v>
      </c>
      <c r="K3332">
        <v>0</v>
      </c>
      <c r="L3332">
        <v>3</v>
      </c>
      <c r="M3332">
        <v>0</v>
      </c>
      <c r="N3332">
        <v>2</v>
      </c>
      <c r="O3332">
        <v>1</v>
      </c>
      <c r="P3332">
        <v>0</v>
      </c>
      <c r="Q3332">
        <v>0</v>
      </c>
      <c r="S3332" t="str">
        <f>"20:32:34.789"</f>
        <v>20:32:34.789</v>
      </c>
      <c r="T3332" t="str">
        <f>"20:32:34.389"</f>
        <v>20:32:34.389</v>
      </c>
      <c r="U3332" t="str">
        <f t="shared" si="163"/>
        <v>AB01F4</v>
      </c>
      <c r="V3332">
        <v>0</v>
      </c>
      <c r="W3332">
        <v>0</v>
      </c>
      <c r="X3332">
        <v>2</v>
      </c>
      <c r="Z3332">
        <v>0</v>
      </c>
      <c r="AA3332">
        <v>9</v>
      </c>
      <c r="AB3332">
        <v>3</v>
      </c>
      <c r="AC3332">
        <v>0</v>
      </c>
      <c r="AD3332">
        <v>10</v>
      </c>
      <c r="AE3332">
        <v>0</v>
      </c>
      <c r="AF3332">
        <v>3</v>
      </c>
      <c r="AG3332">
        <v>2</v>
      </c>
      <c r="AH3332">
        <v>0</v>
      </c>
      <c r="AI3332" t="s">
        <v>1915</v>
      </c>
      <c r="AJ3332">
        <v>40.071494999999999</v>
      </c>
      <c r="AK3332" t="s">
        <v>1916</v>
      </c>
      <c r="AL3332">
        <v>-92.937383999999994</v>
      </c>
      <c r="AM3332">
        <v>100</v>
      </c>
      <c r="AN3332">
        <v>1300</v>
      </c>
      <c r="AO3332" t="s">
        <v>118</v>
      </c>
      <c r="AP3332">
        <v>-107</v>
      </c>
      <c r="AQ3332">
        <v>73</v>
      </c>
      <c r="AR3332">
        <v>0</v>
      </c>
      <c r="AZ3332">
        <v>1200</v>
      </c>
      <c r="BA3332">
        <v>1</v>
      </c>
      <c r="BB3332" t="str">
        <f t="shared" si="161"/>
        <v xml:space="preserve">N8080G  </v>
      </c>
      <c r="BC3332">
        <v>1</v>
      </c>
      <c r="BE3332">
        <v>0</v>
      </c>
      <c r="BF3332">
        <v>0</v>
      </c>
      <c r="BG3332">
        <v>0</v>
      </c>
      <c r="BH3332">
        <v>1350</v>
      </c>
      <c r="BI3332">
        <v>1</v>
      </c>
      <c r="BJ3332">
        <v>1</v>
      </c>
      <c r="BK3332">
        <v>1</v>
      </c>
      <c r="BL3332">
        <v>0</v>
      </c>
      <c r="BO3332">
        <v>0</v>
      </c>
      <c r="BP3332">
        <v>0</v>
      </c>
      <c r="BW3332" t="str">
        <f>"20:32:34.796"</f>
        <v>20:32:34.796</v>
      </c>
      <c r="BZ3332">
        <v>0</v>
      </c>
      <c r="CA3332">
        <v>1600</v>
      </c>
      <c r="CB3332">
        <v>224</v>
      </c>
      <c r="CD3332">
        <v>1</v>
      </c>
      <c r="CE3332">
        <v>0</v>
      </c>
      <c r="CF3332">
        <v>0</v>
      </c>
      <c r="CG3332">
        <v>1</v>
      </c>
      <c r="CH3332">
        <v>0</v>
      </c>
      <c r="CI3332">
        <v>0</v>
      </c>
      <c r="CJ3332">
        <v>0</v>
      </c>
      <c r="CK3332">
        <v>2</v>
      </c>
      <c r="CL3332">
        <v>0</v>
      </c>
      <c r="CM3332">
        <v>2</v>
      </c>
      <c r="CN3332">
        <v>0</v>
      </c>
      <c r="CO3332">
        <v>7</v>
      </c>
      <c r="CP3332" t="s">
        <v>119</v>
      </c>
      <c r="CQ3332">
        <v>180</v>
      </c>
      <c r="CR3332">
        <v>3</v>
      </c>
      <c r="CW3332">
        <v>1129978</v>
      </c>
      <c r="CY3332">
        <v>1</v>
      </c>
      <c r="CZ3332">
        <v>0</v>
      </c>
      <c r="DA3332">
        <v>1</v>
      </c>
      <c r="DB3332">
        <v>0</v>
      </c>
      <c r="DC3332">
        <v>0</v>
      </c>
      <c r="DD3332">
        <v>0</v>
      </c>
      <c r="DE3332">
        <v>0</v>
      </c>
      <c r="DF3332">
        <v>0</v>
      </c>
      <c r="DG3332">
        <v>0</v>
      </c>
      <c r="DH3332">
        <v>0</v>
      </c>
      <c r="DI3332">
        <v>0</v>
      </c>
    </row>
    <row r="3333" spans="1:113" x14ac:dyDescent="0.3">
      <c r="A3333" t="str">
        <f>"02/08/2021 20:32:32.448"</f>
        <v>02/08/2021 20:32:32.448</v>
      </c>
      <c r="C3333" t="str">
        <f t="shared" si="162"/>
        <v>FFDFD7C0</v>
      </c>
      <c r="D3333" t="s">
        <v>113</v>
      </c>
      <c r="E3333">
        <v>6</v>
      </c>
      <c r="H3333">
        <v>165</v>
      </c>
      <c r="I3333" t="s">
        <v>114</v>
      </c>
      <c r="J3333" t="s">
        <v>115</v>
      </c>
      <c r="K3333">
        <v>0</v>
      </c>
      <c r="L3333">
        <v>3</v>
      </c>
      <c r="M3333">
        <v>0</v>
      </c>
      <c r="N3333">
        <v>2</v>
      </c>
      <c r="O3333">
        <v>1</v>
      </c>
      <c r="P3333">
        <v>0</v>
      </c>
      <c r="Q3333">
        <v>0</v>
      </c>
      <c r="S3333" t="str">
        <f>"20:32:34.789"</f>
        <v>20:32:34.789</v>
      </c>
      <c r="T3333" t="str">
        <f>"20:32:34.389"</f>
        <v>20:32:34.389</v>
      </c>
      <c r="U3333" t="str">
        <f t="shared" si="163"/>
        <v>AB01F4</v>
      </c>
      <c r="V3333">
        <v>0</v>
      </c>
      <c r="W3333">
        <v>0</v>
      </c>
      <c r="X3333">
        <v>2</v>
      </c>
      <c r="Z3333">
        <v>0</v>
      </c>
      <c r="AA3333">
        <v>9</v>
      </c>
      <c r="AB3333">
        <v>3</v>
      </c>
      <c r="AC3333">
        <v>0</v>
      </c>
      <c r="AD3333">
        <v>10</v>
      </c>
      <c r="AE3333">
        <v>0</v>
      </c>
      <c r="AF3333">
        <v>3</v>
      </c>
      <c r="AG3333">
        <v>2</v>
      </c>
      <c r="AH3333">
        <v>0</v>
      </c>
      <c r="AI3333" t="s">
        <v>1915</v>
      </c>
      <c r="AJ3333">
        <v>40.071494999999999</v>
      </c>
      <c r="AK3333" t="s">
        <v>1916</v>
      </c>
      <c r="AL3333">
        <v>-92.937383999999994</v>
      </c>
      <c r="AM3333">
        <v>100</v>
      </c>
      <c r="AN3333">
        <v>1300</v>
      </c>
      <c r="AO3333" t="s">
        <v>118</v>
      </c>
      <c r="AP3333">
        <v>-107</v>
      </c>
      <c r="AQ3333">
        <v>73</v>
      </c>
      <c r="AR3333">
        <v>0</v>
      </c>
      <c r="AZ3333">
        <v>1200</v>
      </c>
      <c r="BA3333">
        <v>1</v>
      </c>
      <c r="BB3333" t="str">
        <f t="shared" si="161"/>
        <v xml:space="preserve">N8080G  </v>
      </c>
      <c r="BC3333">
        <v>1</v>
      </c>
      <c r="BE3333">
        <v>0</v>
      </c>
      <c r="BF3333">
        <v>0</v>
      </c>
      <c r="BG3333">
        <v>0</v>
      </c>
      <c r="BH3333">
        <v>1350</v>
      </c>
      <c r="BI3333">
        <v>1</v>
      </c>
      <c r="BJ3333">
        <v>1</v>
      </c>
      <c r="BK3333">
        <v>1</v>
      </c>
      <c r="BL3333">
        <v>0</v>
      </c>
      <c r="BO3333">
        <v>0</v>
      </c>
      <c r="BP3333">
        <v>0</v>
      </c>
      <c r="BW3333" t="str">
        <f>"20:32:34.796"</f>
        <v>20:32:34.796</v>
      </c>
      <c r="BZ3333">
        <v>0</v>
      </c>
      <c r="CA3333">
        <v>1600</v>
      </c>
      <c r="CB3333">
        <v>224</v>
      </c>
      <c r="CD3333">
        <v>1</v>
      </c>
      <c r="CE3333">
        <v>0</v>
      </c>
      <c r="CF3333">
        <v>0</v>
      </c>
      <c r="CG3333">
        <v>1</v>
      </c>
      <c r="CH3333">
        <v>0</v>
      </c>
      <c r="CI3333">
        <v>0</v>
      </c>
      <c r="CJ3333">
        <v>0</v>
      </c>
      <c r="CK3333">
        <v>2</v>
      </c>
      <c r="CL3333">
        <v>0</v>
      </c>
      <c r="CM3333">
        <v>2</v>
      </c>
      <c r="CN3333">
        <v>0</v>
      </c>
      <c r="CO3333">
        <v>7</v>
      </c>
      <c r="CP3333" t="s">
        <v>119</v>
      </c>
      <c r="CQ3333">
        <v>180</v>
      </c>
      <c r="CR3333">
        <v>3</v>
      </c>
      <c r="CW3333">
        <v>1129978</v>
      </c>
      <c r="CY3333">
        <v>1</v>
      </c>
      <c r="CZ3333">
        <v>0</v>
      </c>
      <c r="DA3333">
        <v>1</v>
      </c>
      <c r="DB3333">
        <v>0</v>
      </c>
      <c r="DC3333">
        <v>0</v>
      </c>
      <c r="DD3333">
        <v>0</v>
      </c>
      <c r="DE3333">
        <v>0</v>
      </c>
      <c r="DF3333">
        <v>0</v>
      </c>
      <c r="DG3333">
        <v>0</v>
      </c>
      <c r="DH3333">
        <v>0</v>
      </c>
      <c r="DI3333">
        <v>0</v>
      </c>
    </row>
    <row r="3334" spans="1:113" x14ac:dyDescent="0.3">
      <c r="A3334" t="str">
        <f>"02/08/2021 20:32:32.448"</f>
        <v>02/08/2021 20:32:32.448</v>
      </c>
      <c r="C3334" t="str">
        <f t="shared" si="162"/>
        <v>FFDFD7C0</v>
      </c>
      <c r="D3334" t="s">
        <v>124</v>
      </c>
      <c r="E3334">
        <v>12</v>
      </c>
      <c r="F3334">
        <v>1012</v>
      </c>
      <c r="G3334" t="s">
        <v>675</v>
      </c>
      <c r="J3334" t="s">
        <v>125</v>
      </c>
      <c r="K3334">
        <v>0</v>
      </c>
      <c r="L3334">
        <v>3</v>
      </c>
      <c r="M3334">
        <v>0</v>
      </c>
      <c r="N3334">
        <v>2</v>
      </c>
      <c r="O3334">
        <v>1</v>
      </c>
      <c r="P3334">
        <v>0</v>
      </c>
      <c r="Q3334">
        <v>0</v>
      </c>
      <c r="S3334" t="str">
        <f>"20:32:34.789"</f>
        <v>20:32:34.789</v>
      </c>
      <c r="T3334" t="str">
        <f>"20:32:34.389"</f>
        <v>20:32:34.389</v>
      </c>
      <c r="U3334" t="str">
        <f t="shared" si="163"/>
        <v>AB01F4</v>
      </c>
      <c r="V3334">
        <v>0</v>
      </c>
      <c r="W3334">
        <v>0</v>
      </c>
      <c r="X3334">
        <v>2</v>
      </c>
      <c r="Z3334">
        <v>0</v>
      </c>
      <c r="AA3334">
        <v>9</v>
      </c>
      <c r="AB3334">
        <v>3</v>
      </c>
      <c r="AC3334">
        <v>0</v>
      </c>
      <c r="AD3334">
        <v>10</v>
      </c>
      <c r="AE3334">
        <v>0</v>
      </c>
      <c r="AF3334">
        <v>3</v>
      </c>
      <c r="AG3334">
        <v>2</v>
      </c>
      <c r="AH3334">
        <v>0</v>
      </c>
      <c r="AI3334" t="s">
        <v>1915</v>
      </c>
      <c r="AJ3334">
        <v>40.071494999999999</v>
      </c>
      <c r="AK3334" t="s">
        <v>1916</v>
      </c>
      <c r="AL3334">
        <v>-92.937383999999994</v>
      </c>
      <c r="AM3334">
        <v>100</v>
      </c>
      <c r="AN3334">
        <v>1300</v>
      </c>
      <c r="AO3334" t="s">
        <v>118</v>
      </c>
      <c r="AP3334">
        <v>-107</v>
      </c>
      <c r="AQ3334">
        <v>73</v>
      </c>
      <c r="AR3334">
        <v>0</v>
      </c>
      <c r="AZ3334">
        <v>1200</v>
      </c>
      <c r="BA3334">
        <v>1</v>
      </c>
      <c r="BB3334" t="str">
        <f t="shared" si="161"/>
        <v xml:space="preserve">N8080G  </v>
      </c>
      <c r="BC3334">
        <v>1</v>
      </c>
      <c r="BE3334">
        <v>0</v>
      </c>
      <c r="BF3334">
        <v>0</v>
      </c>
      <c r="BG3334">
        <v>0</v>
      </c>
      <c r="BH3334">
        <v>1350</v>
      </c>
      <c r="BI3334">
        <v>1</v>
      </c>
      <c r="BJ3334">
        <v>1</v>
      </c>
      <c r="BK3334">
        <v>1</v>
      </c>
      <c r="BL3334">
        <v>0</v>
      </c>
      <c r="BO3334">
        <v>0</v>
      </c>
      <c r="BP3334">
        <v>0</v>
      </c>
      <c r="BW3334" t="str">
        <f>"20:32:34.796"</f>
        <v>20:32:34.796</v>
      </c>
      <c r="BZ3334">
        <v>0</v>
      </c>
      <c r="CA3334">
        <v>1600</v>
      </c>
      <c r="CB3334">
        <v>224</v>
      </c>
      <c r="CD3334">
        <v>1</v>
      </c>
      <c r="CE3334">
        <v>0</v>
      </c>
      <c r="CF3334">
        <v>0</v>
      </c>
      <c r="CG3334">
        <v>1</v>
      </c>
      <c r="CH3334">
        <v>0</v>
      </c>
      <c r="CI3334">
        <v>0</v>
      </c>
      <c r="CJ3334">
        <v>0</v>
      </c>
      <c r="CK3334">
        <v>2</v>
      </c>
      <c r="CL3334">
        <v>0</v>
      </c>
      <c r="CM3334">
        <v>2</v>
      </c>
      <c r="CN3334">
        <v>0</v>
      </c>
      <c r="CO3334">
        <v>7</v>
      </c>
      <c r="CP3334" t="s">
        <v>119</v>
      </c>
      <c r="CQ3334">
        <v>180</v>
      </c>
      <c r="CR3334">
        <v>3</v>
      </c>
      <c r="CW3334">
        <v>1129978</v>
      </c>
      <c r="CY3334">
        <v>1</v>
      </c>
      <c r="CZ3334">
        <v>0</v>
      </c>
      <c r="DA3334">
        <v>1</v>
      </c>
      <c r="DB3334">
        <v>0</v>
      </c>
      <c r="DC3334">
        <v>0</v>
      </c>
      <c r="DD3334">
        <v>0</v>
      </c>
      <c r="DE3334">
        <v>0</v>
      </c>
      <c r="DF3334">
        <v>0</v>
      </c>
      <c r="DG3334">
        <v>0</v>
      </c>
      <c r="DH3334">
        <v>0</v>
      </c>
      <c r="DI3334">
        <v>0</v>
      </c>
    </row>
    <row r="3335" spans="1:113" x14ac:dyDescent="0.3">
      <c r="A3335" t="str">
        <f>"02/08/2021 20:32:34.570"</f>
        <v>02/08/2021 20:32:34.570</v>
      </c>
      <c r="C3335" t="str">
        <f t="shared" si="162"/>
        <v>FFDFD7C0</v>
      </c>
      <c r="D3335" t="s">
        <v>124</v>
      </c>
      <c r="E3335">
        <v>11</v>
      </c>
      <c r="F3335">
        <v>1011</v>
      </c>
      <c r="G3335" t="s">
        <v>590</v>
      </c>
      <c r="J3335" t="s">
        <v>125</v>
      </c>
      <c r="K3335">
        <v>0</v>
      </c>
      <c r="L3335">
        <v>3</v>
      </c>
      <c r="M3335">
        <v>0</v>
      </c>
      <c r="N3335">
        <v>2</v>
      </c>
      <c r="O3335">
        <v>1</v>
      </c>
      <c r="P3335">
        <v>0</v>
      </c>
      <c r="Q3335">
        <v>0</v>
      </c>
      <c r="S3335" t="str">
        <f>"20:32:36.914"</f>
        <v>20:32:36.914</v>
      </c>
      <c r="T3335" t="str">
        <f>"20:32:36.414"</f>
        <v>20:32:36.414</v>
      </c>
      <c r="U3335" t="str">
        <f t="shared" si="163"/>
        <v>AB01F4</v>
      </c>
      <c r="V3335">
        <v>0</v>
      </c>
      <c r="W3335">
        <v>0</v>
      </c>
      <c r="X3335">
        <v>2</v>
      </c>
      <c r="Z3335">
        <v>0</v>
      </c>
      <c r="AA3335">
        <v>9</v>
      </c>
      <c r="AB3335">
        <v>3</v>
      </c>
      <c r="AC3335">
        <v>0</v>
      </c>
      <c r="AD3335">
        <v>10</v>
      </c>
      <c r="AE3335">
        <v>0</v>
      </c>
      <c r="AF3335">
        <v>3</v>
      </c>
      <c r="AG3335">
        <v>2</v>
      </c>
      <c r="AH3335">
        <v>0</v>
      </c>
      <c r="AI3335" t="s">
        <v>1917</v>
      </c>
      <c r="AJ3335">
        <v>40.072203000000002</v>
      </c>
      <c r="AK3335" t="s">
        <v>1918</v>
      </c>
      <c r="AL3335">
        <v>-92.938777999999999</v>
      </c>
      <c r="AM3335">
        <v>100</v>
      </c>
      <c r="AN3335">
        <v>1300</v>
      </c>
      <c r="AO3335" t="s">
        <v>118</v>
      </c>
      <c r="AP3335">
        <v>-108</v>
      </c>
      <c r="AQ3335">
        <v>72</v>
      </c>
      <c r="AR3335">
        <v>-64</v>
      </c>
      <c r="AZ3335">
        <v>1200</v>
      </c>
      <c r="BA3335">
        <v>1</v>
      </c>
      <c r="BB3335" t="str">
        <f t="shared" si="161"/>
        <v xml:space="preserve">N8080G  </v>
      </c>
      <c r="BC3335">
        <v>1</v>
      </c>
      <c r="BE3335">
        <v>0</v>
      </c>
      <c r="BF3335">
        <v>0</v>
      </c>
      <c r="BG3335">
        <v>0</v>
      </c>
      <c r="BH3335">
        <v>1350</v>
      </c>
      <c r="BI3335">
        <v>1</v>
      </c>
      <c r="BJ3335">
        <v>1</v>
      </c>
      <c r="BK3335">
        <v>1</v>
      </c>
      <c r="BL3335">
        <v>0</v>
      </c>
      <c r="BO3335">
        <v>0</v>
      </c>
      <c r="BP3335">
        <v>0</v>
      </c>
      <c r="BW3335" t="str">
        <f>"20:32:36.915"</f>
        <v>20:32:36.915</v>
      </c>
      <c r="BZ3335">
        <v>0</v>
      </c>
      <c r="CA3335">
        <v>1600</v>
      </c>
      <c r="CB3335">
        <v>224</v>
      </c>
      <c r="CD3335">
        <v>1</v>
      </c>
      <c r="CE3335">
        <v>0</v>
      </c>
      <c r="CF3335">
        <v>0</v>
      </c>
      <c r="CG3335">
        <v>1</v>
      </c>
      <c r="CH3335">
        <v>0</v>
      </c>
      <c r="CI3335">
        <v>0</v>
      </c>
      <c r="CJ3335">
        <v>0</v>
      </c>
      <c r="CK3335">
        <v>2</v>
      </c>
      <c r="CL3335">
        <v>0</v>
      </c>
      <c r="CM3335">
        <v>2</v>
      </c>
      <c r="CN3335">
        <v>0</v>
      </c>
      <c r="CO3335">
        <v>7</v>
      </c>
      <c r="CP3335" t="s">
        <v>119</v>
      </c>
      <c r="CQ3335">
        <v>180</v>
      </c>
      <c r="CR3335">
        <v>3</v>
      </c>
      <c r="CW3335">
        <v>1131524</v>
      </c>
      <c r="CY3335">
        <v>1</v>
      </c>
      <c r="CZ3335">
        <v>0</v>
      </c>
      <c r="DA3335">
        <v>0</v>
      </c>
      <c r="DB3335">
        <v>0</v>
      </c>
      <c r="DC3335">
        <v>0</v>
      </c>
      <c r="DD3335">
        <v>0</v>
      </c>
      <c r="DE3335">
        <v>0</v>
      </c>
      <c r="DF3335">
        <v>0</v>
      </c>
      <c r="DG3335">
        <v>0</v>
      </c>
      <c r="DH3335">
        <v>0</v>
      </c>
      <c r="DI3335">
        <v>0</v>
      </c>
    </row>
    <row r="3336" spans="1:113" x14ac:dyDescent="0.3">
      <c r="A3336" t="str">
        <f>"02/08/2021 20:32:34.570"</f>
        <v>02/08/2021 20:32:34.570</v>
      </c>
      <c r="C3336" t="str">
        <f t="shared" si="162"/>
        <v>FFDFD7C0</v>
      </c>
      <c r="D3336" t="s">
        <v>113</v>
      </c>
      <c r="E3336">
        <v>6</v>
      </c>
      <c r="H3336">
        <v>165</v>
      </c>
      <c r="I3336" t="s">
        <v>114</v>
      </c>
      <c r="J3336" t="s">
        <v>115</v>
      </c>
      <c r="K3336">
        <v>0</v>
      </c>
      <c r="L3336">
        <v>3</v>
      </c>
      <c r="M3336">
        <v>0</v>
      </c>
      <c r="N3336">
        <v>2</v>
      </c>
      <c r="O3336">
        <v>1</v>
      </c>
      <c r="P3336">
        <v>0</v>
      </c>
      <c r="Q3336">
        <v>0</v>
      </c>
      <c r="S3336" t="str">
        <f>"20:32:36.914"</f>
        <v>20:32:36.914</v>
      </c>
      <c r="T3336" t="str">
        <f>"20:32:36.414"</f>
        <v>20:32:36.414</v>
      </c>
      <c r="U3336" t="str">
        <f t="shared" si="163"/>
        <v>AB01F4</v>
      </c>
      <c r="V3336">
        <v>0</v>
      </c>
      <c r="W3336">
        <v>0</v>
      </c>
      <c r="X3336">
        <v>2</v>
      </c>
      <c r="Z3336">
        <v>0</v>
      </c>
      <c r="AA3336">
        <v>9</v>
      </c>
      <c r="AB3336">
        <v>3</v>
      </c>
      <c r="AC3336">
        <v>0</v>
      </c>
      <c r="AD3336">
        <v>10</v>
      </c>
      <c r="AE3336">
        <v>0</v>
      </c>
      <c r="AF3336">
        <v>3</v>
      </c>
      <c r="AG3336">
        <v>2</v>
      </c>
      <c r="AH3336">
        <v>0</v>
      </c>
      <c r="AI3336" t="s">
        <v>1917</v>
      </c>
      <c r="AJ3336">
        <v>40.072203000000002</v>
      </c>
      <c r="AK3336" t="s">
        <v>1918</v>
      </c>
      <c r="AL3336">
        <v>-92.938777999999999</v>
      </c>
      <c r="AM3336">
        <v>100</v>
      </c>
      <c r="AN3336">
        <v>1300</v>
      </c>
      <c r="AO3336" t="s">
        <v>118</v>
      </c>
      <c r="AP3336">
        <v>-108</v>
      </c>
      <c r="AQ3336">
        <v>72</v>
      </c>
      <c r="AR3336">
        <v>-64</v>
      </c>
      <c r="AZ3336">
        <v>1200</v>
      </c>
      <c r="BA3336">
        <v>1</v>
      </c>
      <c r="BB3336" t="str">
        <f t="shared" si="161"/>
        <v xml:space="preserve">N8080G  </v>
      </c>
      <c r="BC3336">
        <v>1</v>
      </c>
      <c r="BE3336">
        <v>0</v>
      </c>
      <c r="BF3336">
        <v>0</v>
      </c>
      <c r="BG3336">
        <v>0</v>
      </c>
      <c r="BH3336">
        <v>1350</v>
      </c>
      <c r="BI3336">
        <v>1</v>
      </c>
      <c r="BJ3336">
        <v>1</v>
      </c>
      <c r="BK3336">
        <v>1</v>
      </c>
      <c r="BL3336">
        <v>0</v>
      </c>
      <c r="BO3336">
        <v>0</v>
      </c>
      <c r="BP3336">
        <v>0</v>
      </c>
      <c r="BW3336" t="str">
        <f>"20:32:36.915"</f>
        <v>20:32:36.915</v>
      </c>
      <c r="BZ3336">
        <v>0</v>
      </c>
      <c r="CA3336">
        <v>1600</v>
      </c>
      <c r="CB3336">
        <v>224</v>
      </c>
      <c r="CD3336">
        <v>1</v>
      </c>
      <c r="CE3336">
        <v>0</v>
      </c>
      <c r="CF3336">
        <v>0</v>
      </c>
      <c r="CG3336">
        <v>1</v>
      </c>
      <c r="CH3336">
        <v>0</v>
      </c>
      <c r="CI3336">
        <v>0</v>
      </c>
      <c r="CJ3336">
        <v>0</v>
      </c>
      <c r="CK3336">
        <v>2</v>
      </c>
      <c r="CL3336">
        <v>0</v>
      </c>
      <c r="CM3336">
        <v>2</v>
      </c>
      <c r="CN3336">
        <v>0</v>
      </c>
      <c r="CO3336">
        <v>7</v>
      </c>
      <c r="CP3336" t="s">
        <v>119</v>
      </c>
      <c r="CQ3336">
        <v>180</v>
      </c>
      <c r="CR3336">
        <v>3</v>
      </c>
      <c r="CW3336">
        <v>1131524</v>
      </c>
      <c r="CY3336">
        <v>1</v>
      </c>
      <c r="CZ3336">
        <v>0</v>
      </c>
      <c r="DA3336">
        <v>1</v>
      </c>
      <c r="DB3336">
        <v>0</v>
      </c>
      <c r="DC3336">
        <v>0</v>
      </c>
      <c r="DD3336">
        <v>0</v>
      </c>
      <c r="DE3336">
        <v>0</v>
      </c>
      <c r="DF3336">
        <v>0</v>
      </c>
      <c r="DG3336">
        <v>0</v>
      </c>
      <c r="DH3336">
        <v>0</v>
      </c>
      <c r="DI3336">
        <v>0</v>
      </c>
    </row>
    <row r="3337" spans="1:113" x14ac:dyDescent="0.3">
      <c r="A3337" t="str">
        <f>"02/08/2021 20:32:34.570"</f>
        <v>02/08/2021 20:32:34.570</v>
      </c>
      <c r="C3337" t="str">
        <f t="shared" si="162"/>
        <v>FFDFD7C0</v>
      </c>
      <c r="D3337" t="s">
        <v>124</v>
      </c>
      <c r="E3337">
        <v>12</v>
      </c>
      <c r="F3337">
        <v>1012</v>
      </c>
      <c r="G3337" t="s">
        <v>675</v>
      </c>
      <c r="J3337" t="s">
        <v>125</v>
      </c>
      <c r="K3337">
        <v>0</v>
      </c>
      <c r="L3337">
        <v>3</v>
      </c>
      <c r="M3337">
        <v>0</v>
      </c>
      <c r="N3337">
        <v>2</v>
      </c>
      <c r="O3337">
        <v>1</v>
      </c>
      <c r="P3337">
        <v>0</v>
      </c>
      <c r="Q3337">
        <v>0</v>
      </c>
      <c r="S3337" t="str">
        <f>"20:32:36.914"</f>
        <v>20:32:36.914</v>
      </c>
      <c r="T3337" t="str">
        <f>"20:32:36.414"</f>
        <v>20:32:36.414</v>
      </c>
      <c r="U3337" t="str">
        <f t="shared" si="163"/>
        <v>AB01F4</v>
      </c>
      <c r="V3337">
        <v>0</v>
      </c>
      <c r="W3337">
        <v>0</v>
      </c>
      <c r="X3337">
        <v>2</v>
      </c>
      <c r="Z3337">
        <v>0</v>
      </c>
      <c r="AA3337">
        <v>9</v>
      </c>
      <c r="AB3337">
        <v>3</v>
      </c>
      <c r="AC3337">
        <v>0</v>
      </c>
      <c r="AD3337">
        <v>10</v>
      </c>
      <c r="AE3337">
        <v>0</v>
      </c>
      <c r="AF3337">
        <v>3</v>
      </c>
      <c r="AG3337">
        <v>2</v>
      </c>
      <c r="AH3337">
        <v>0</v>
      </c>
      <c r="AI3337" t="s">
        <v>1917</v>
      </c>
      <c r="AJ3337">
        <v>40.072203000000002</v>
      </c>
      <c r="AK3337" t="s">
        <v>1918</v>
      </c>
      <c r="AL3337">
        <v>-92.938777999999999</v>
      </c>
      <c r="AM3337">
        <v>100</v>
      </c>
      <c r="AN3337">
        <v>1300</v>
      </c>
      <c r="AO3337" t="s">
        <v>118</v>
      </c>
      <c r="AP3337">
        <v>-108</v>
      </c>
      <c r="AQ3337">
        <v>72</v>
      </c>
      <c r="AR3337">
        <v>-64</v>
      </c>
      <c r="AZ3337">
        <v>1200</v>
      </c>
      <c r="BA3337">
        <v>1</v>
      </c>
      <c r="BB3337" t="str">
        <f t="shared" si="161"/>
        <v xml:space="preserve">N8080G  </v>
      </c>
      <c r="BC3337">
        <v>1</v>
      </c>
      <c r="BE3337">
        <v>0</v>
      </c>
      <c r="BF3337">
        <v>0</v>
      </c>
      <c r="BG3337">
        <v>0</v>
      </c>
      <c r="BH3337">
        <v>1350</v>
      </c>
      <c r="BI3337">
        <v>1</v>
      </c>
      <c r="BJ3337">
        <v>1</v>
      </c>
      <c r="BK3337">
        <v>1</v>
      </c>
      <c r="BL3337">
        <v>0</v>
      </c>
      <c r="BO3337">
        <v>0</v>
      </c>
      <c r="BP3337">
        <v>0</v>
      </c>
      <c r="BW3337" t="str">
        <f>"20:32:36.915"</f>
        <v>20:32:36.915</v>
      </c>
      <c r="BZ3337">
        <v>0</v>
      </c>
      <c r="CA3337">
        <v>1600</v>
      </c>
      <c r="CB3337">
        <v>224</v>
      </c>
      <c r="CD3337">
        <v>1</v>
      </c>
      <c r="CE3337">
        <v>0</v>
      </c>
      <c r="CF3337">
        <v>0</v>
      </c>
      <c r="CG3337">
        <v>1</v>
      </c>
      <c r="CH3337">
        <v>0</v>
      </c>
      <c r="CI3337">
        <v>0</v>
      </c>
      <c r="CJ3337">
        <v>0</v>
      </c>
      <c r="CK3337">
        <v>2</v>
      </c>
      <c r="CL3337">
        <v>0</v>
      </c>
      <c r="CM3337">
        <v>2</v>
      </c>
      <c r="CN3337">
        <v>0</v>
      </c>
      <c r="CO3337">
        <v>7</v>
      </c>
      <c r="CP3337" t="s">
        <v>119</v>
      </c>
      <c r="CQ3337">
        <v>180</v>
      </c>
      <c r="CR3337">
        <v>3</v>
      </c>
      <c r="CW3337">
        <v>1131524</v>
      </c>
      <c r="CY3337">
        <v>1</v>
      </c>
      <c r="CZ3337">
        <v>0</v>
      </c>
      <c r="DA3337">
        <v>1</v>
      </c>
      <c r="DB3337">
        <v>0</v>
      </c>
      <c r="DC3337">
        <v>0</v>
      </c>
      <c r="DD3337">
        <v>0</v>
      </c>
      <c r="DE3337">
        <v>0</v>
      </c>
      <c r="DF3337">
        <v>0</v>
      </c>
      <c r="DG3337">
        <v>0</v>
      </c>
      <c r="DH3337">
        <v>0</v>
      </c>
      <c r="DI3337">
        <v>0</v>
      </c>
    </row>
    <row r="3338" spans="1:113" x14ac:dyDescent="0.3">
      <c r="A3338" t="str">
        <f>"02/08/2021 20:32:34.570"</f>
        <v>02/08/2021 20:32:34.570</v>
      </c>
      <c r="C3338" t="str">
        <f t="shared" si="162"/>
        <v>FFDFD7C0</v>
      </c>
      <c r="D3338" t="s">
        <v>124</v>
      </c>
      <c r="E3338">
        <v>13</v>
      </c>
      <c r="F3338">
        <v>1013</v>
      </c>
      <c r="G3338" t="s">
        <v>114</v>
      </c>
      <c r="J3338" t="s">
        <v>125</v>
      </c>
      <c r="K3338">
        <v>0</v>
      </c>
      <c r="L3338">
        <v>3</v>
      </c>
      <c r="M3338">
        <v>0</v>
      </c>
      <c r="N3338">
        <v>2</v>
      </c>
      <c r="O3338">
        <v>1</v>
      </c>
      <c r="P3338">
        <v>0</v>
      </c>
      <c r="Q3338">
        <v>0</v>
      </c>
      <c r="S3338" t="str">
        <f>"20:32:36.914"</f>
        <v>20:32:36.914</v>
      </c>
      <c r="T3338" t="str">
        <f>"20:32:36.414"</f>
        <v>20:32:36.414</v>
      </c>
      <c r="U3338" t="str">
        <f t="shared" si="163"/>
        <v>AB01F4</v>
      </c>
      <c r="V3338">
        <v>0</v>
      </c>
      <c r="W3338">
        <v>0</v>
      </c>
      <c r="X3338">
        <v>2</v>
      </c>
      <c r="Z3338">
        <v>0</v>
      </c>
      <c r="AA3338">
        <v>9</v>
      </c>
      <c r="AB3338">
        <v>3</v>
      </c>
      <c r="AC3338">
        <v>0</v>
      </c>
      <c r="AD3338">
        <v>10</v>
      </c>
      <c r="AE3338">
        <v>0</v>
      </c>
      <c r="AF3338">
        <v>3</v>
      </c>
      <c r="AG3338">
        <v>2</v>
      </c>
      <c r="AH3338">
        <v>0</v>
      </c>
      <c r="AI3338" t="s">
        <v>1917</v>
      </c>
      <c r="AJ3338">
        <v>40.072203000000002</v>
      </c>
      <c r="AK3338" t="s">
        <v>1918</v>
      </c>
      <c r="AL3338">
        <v>-92.938777999999999</v>
      </c>
      <c r="AM3338">
        <v>100</v>
      </c>
      <c r="AN3338">
        <v>1300</v>
      </c>
      <c r="AO3338" t="s">
        <v>118</v>
      </c>
      <c r="AP3338">
        <v>-108</v>
      </c>
      <c r="AQ3338">
        <v>72</v>
      </c>
      <c r="AR3338">
        <v>-64</v>
      </c>
      <c r="AZ3338">
        <v>1200</v>
      </c>
      <c r="BA3338">
        <v>1</v>
      </c>
      <c r="BB3338" t="str">
        <f t="shared" si="161"/>
        <v xml:space="preserve">N8080G  </v>
      </c>
      <c r="BC3338">
        <v>1</v>
      </c>
      <c r="BE3338">
        <v>0</v>
      </c>
      <c r="BF3338">
        <v>0</v>
      </c>
      <c r="BG3338">
        <v>0</v>
      </c>
      <c r="BH3338">
        <v>1350</v>
      </c>
      <c r="BI3338">
        <v>1</v>
      </c>
      <c r="BJ3338">
        <v>1</v>
      </c>
      <c r="BK3338">
        <v>1</v>
      </c>
      <c r="BL3338">
        <v>0</v>
      </c>
      <c r="BO3338">
        <v>0</v>
      </c>
      <c r="BP3338">
        <v>0</v>
      </c>
      <c r="BW3338" t="str">
        <f>"20:32:36.915"</f>
        <v>20:32:36.915</v>
      </c>
      <c r="BZ3338">
        <v>0</v>
      </c>
      <c r="CA3338">
        <v>1600</v>
      </c>
      <c r="CB3338">
        <v>224</v>
      </c>
      <c r="CD3338">
        <v>1</v>
      </c>
      <c r="CE3338">
        <v>0</v>
      </c>
      <c r="CF3338">
        <v>0</v>
      </c>
      <c r="CG3338">
        <v>1</v>
      </c>
      <c r="CH3338">
        <v>0</v>
      </c>
      <c r="CI3338">
        <v>0</v>
      </c>
      <c r="CJ3338">
        <v>0</v>
      </c>
      <c r="CK3338">
        <v>2</v>
      </c>
      <c r="CL3338">
        <v>0</v>
      </c>
      <c r="CM3338">
        <v>2</v>
      </c>
      <c r="CN3338">
        <v>0</v>
      </c>
      <c r="CO3338">
        <v>7</v>
      </c>
      <c r="CP3338" t="s">
        <v>119</v>
      </c>
      <c r="CQ3338">
        <v>180</v>
      </c>
      <c r="CR3338">
        <v>3</v>
      </c>
      <c r="CW3338">
        <v>1131524</v>
      </c>
      <c r="CY3338">
        <v>1</v>
      </c>
      <c r="CZ3338">
        <v>0</v>
      </c>
      <c r="DA3338">
        <v>1</v>
      </c>
      <c r="DB3338">
        <v>0</v>
      </c>
      <c r="DC3338">
        <v>0</v>
      </c>
      <c r="DD3338">
        <v>0</v>
      </c>
      <c r="DE3338">
        <v>0</v>
      </c>
      <c r="DF3338">
        <v>0</v>
      </c>
      <c r="DG3338">
        <v>0</v>
      </c>
      <c r="DH3338">
        <v>0</v>
      </c>
      <c r="DI3338">
        <v>0</v>
      </c>
    </row>
    <row r="3339" spans="1:113" x14ac:dyDescent="0.3">
      <c r="A3339" t="str">
        <f>"02/08/2021 20:32:35.663"</f>
        <v>02/08/2021 20:32:35.663</v>
      </c>
      <c r="C3339" t="str">
        <f t="shared" si="162"/>
        <v>FFDFD7C0</v>
      </c>
      <c r="D3339" t="s">
        <v>124</v>
      </c>
      <c r="E3339">
        <v>13</v>
      </c>
      <c r="F3339">
        <v>1013</v>
      </c>
      <c r="G3339" t="s">
        <v>114</v>
      </c>
      <c r="J3339" t="s">
        <v>125</v>
      </c>
      <c r="K3339">
        <v>0</v>
      </c>
      <c r="L3339">
        <v>3</v>
      </c>
      <c r="M3339">
        <v>0</v>
      </c>
      <c r="N3339">
        <v>2</v>
      </c>
      <c r="O3339">
        <v>1</v>
      </c>
      <c r="P3339">
        <v>0</v>
      </c>
      <c r="Q3339">
        <v>0</v>
      </c>
      <c r="S3339" t="str">
        <f>"20:32:37.977"</f>
        <v>20:32:37.977</v>
      </c>
      <c r="T3339" t="str">
        <f>"20:32:37.477"</f>
        <v>20:32:37.477</v>
      </c>
      <c r="U3339" t="str">
        <f t="shared" si="163"/>
        <v>AB01F4</v>
      </c>
      <c r="V3339">
        <v>0</v>
      </c>
      <c r="W3339">
        <v>0</v>
      </c>
      <c r="X3339">
        <v>2</v>
      </c>
      <c r="Z3339">
        <v>0</v>
      </c>
      <c r="AA3339">
        <v>9</v>
      </c>
      <c r="AB3339">
        <v>3</v>
      </c>
      <c r="AC3339">
        <v>0</v>
      </c>
      <c r="AD3339">
        <v>10</v>
      </c>
      <c r="AE3339">
        <v>0</v>
      </c>
      <c r="AF3339">
        <v>3</v>
      </c>
      <c r="AG3339">
        <v>2</v>
      </c>
      <c r="AH3339">
        <v>0</v>
      </c>
      <c r="AI3339" t="s">
        <v>1919</v>
      </c>
      <c r="AJ3339">
        <v>40.072589000000001</v>
      </c>
      <c r="AK3339" t="s">
        <v>1920</v>
      </c>
      <c r="AL3339">
        <v>-92.939443999999995</v>
      </c>
      <c r="AM3339">
        <v>100</v>
      </c>
      <c r="AN3339">
        <v>1300</v>
      </c>
      <c r="AO3339" t="s">
        <v>118</v>
      </c>
      <c r="AP3339">
        <v>-107</v>
      </c>
      <c r="AQ3339">
        <v>73</v>
      </c>
      <c r="AR3339">
        <v>-64</v>
      </c>
      <c r="AZ3339">
        <v>1200</v>
      </c>
      <c r="BA3339">
        <v>1</v>
      </c>
      <c r="BB3339" t="str">
        <f t="shared" si="161"/>
        <v xml:space="preserve">N8080G  </v>
      </c>
      <c r="BC3339">
        <v>1</v>
      </c>
      <c r="BE3339">
        <v>0</v>
      </c>
      <c r="BF3339">
        <v>0</v>
      </c>
      <c r="BG3339">
        <v>0</v>
      </c>
      <c r="BH3339">
        <v>1350</v>
      </c>
      <c r="BI3339">
        <v>1</v>
      </c>
      <c r="BJ3339">
        <v>1</v>
      </c>
      <c r="BK3339">
        <v>1</v>
      </c>
      <c r="BL3339">
        <v>0</v>
      </c>
      <c r="BO3339">
        <v>0</v>
      </c>
      <c r="BP3339">
        <v>0</v>
      </c>
      <c r="BW3339" t="str">
        <f>"20:32:37.978"</f>
        <v>20:32:37.978</v>
      </c>
      <c r="BZ3339">
        <v>0</v>
      </c>
      <c r="CA3339">
        <v>1600</v>
      </c>
      <c r="CB3339">
        <v>224</v>
      </c>
      <c r="CD3339">
        <v>1</v>
      </c>
      <c r="CE3339">
        <v>0</v>
      </c>
      <c r="CF3339">
        <v>0</v>
      </c>
      <c r="CG3339">
        <v>1</v>
      </c>
      <c r="CH3339">
        <v>0</v>
      </c>
      <c r="CI3339">
        <v>0</v>
      </c>
      <c r="CJ3339">
        <v>0</v>
      </c>
      <c r="CK3339">
        <v>2</v>
      </c>
      <c r="CL3339">
        <v>0</v>
      </c>
      <c r="CM3339">
        <v>2</v>
      </c>
      <c r="CN3339">
        <v>0</v>
      </c>
      <c r="CO3339">
        <v>6</v>
      </c>
      <c r="CP3339" t="s">
        <v>119</v>
      </c>
      <c r="CQ3339">
        <v>180</v>
      </c>
      <c r="CR3339">
        <v>2</v>
      </c>
      <c r="CW3339">
        <v>8789565</v>
      </c>
      <c r="CY3339">
        <v>1</v>
      </c>
      <c r="CZ3339">
        <v>0</v>
      </c>
      <c r="DA3339">
        <v>0</v>
      </c>
      <c r="DB3339">
        <v>0</v>
      </c>
      <c r="DC3339">
        <v>0</v>
      </c>
      <c r="DD3339">
        <v>0</v>
      </c>
      <c r="DE3339">
        <v>0</v>
      </c>
      <c r="DF3339">
        <v>0</v>
      </c>
      <c r="DG3339">
        <v>0</v>
      </c>
      <c r="DH3339">
        <v>0</v>
      </c>
      <c r="DI3339">
        <v>0</v>
      </c>
    </row>
    <row r="3340" spans="1:113" x14ac:dyDescent="0.3">
      <c r="A3340" t="str">
        <f>"02/08/2021 20:32:35.663"</f>
        <v>02/08/2021 20:32:35.663</v>
      </c>
      <c r="C3340" t="str">
        <f t="shared" si="162"/>
        <v>FFDFD7C0</v>
      </c>
      <c r="D3340" t="s">
        <v>124</v>
      </c>
      <c r="E3340">
        <v>11</v>
      </c>
      <c r="F3340">
        <v>1011</v>
      </c>
      <c r="G3340" t="s">
        <v>590</v>
      </c>
      <c r="J3340" t="s">
        <v>125</v>
      </c>
      <c r="K3340">
        <v>0</v>
      </c>
      <c r="L3340">
        <v>3</v>
      </c>
      <c r="M3340">
        <v>0</v>
      </c>
      <c r="N3340">
        <v>2</v>
      </c>
      <c r="O3340">
        <v>1</v>
      </c>
      <c r="P3340">
        <v>0</v>
      </c>
      <c r="Q3340">
        <v>0</v>
      </c>
      <c r="S3340" t="str">
        <f>"20:32:37.977"</f>
        <v>20:32:37.977</v>
      </c>
      <c r="T3340" t="str">
        <f>"20:32:37.477"</f>
        <v>20:32:37.477</v>
      </c>
      <c r="U3340" t="str">
        <f t="shared" si="163"/>
        <v>AB01F4</v>
      </c>
      <c r="V3340">
        <v>0</v>
      </c>
      <c r="W3340">
        <v>0</v>
      </c>
      <c r="X3340">
        <v>2</v>
      </c>
      <c r="Z3340">
        <v>0</v>
      </c>
      <c r="AA3340">
        <v>9</v>
      </c>
      <c r="AB3340">
        <v>3</v>
      </c>
      <c r="AC3340">
        <v>0</v>
      </c>
      <c r="AD3340">
        <v>10</v>
      </c>
      <c r="AE3340">
        <v>0</v>
      </c>
      <c r="AF3340">
        <v>3</v>
      </c>
      <c r="AG3340">
        <v>2</v>
      </c>
      <c r="AH3340">
        <v>0</v>
      </c>
      <c r="AI3340" t="s">
        <v>1919</v>
      </c>
      <c r="AJ3340">
        <v>40.072589000000001</v>
      </c>
      <c r="AK3340" t="s">
        <v>1920</v>
      </c>
      <c r="AL3340">
        <v>-92.939443999999995</v>
      </c>
      <c r="AM3340">
        <v>100</v>
      </c>
      <c r="AN3340">
        <v>1300</v>
      </c>
      <c r="AO3340" t="s">
        <v>118</v>
      </c>
      <c r="AP3340">
        <v>-107</v>
      </c>
      <c r="AQ3340">
        <v>73</v>
      </c>
      <c r="AR3340">
        <v>-64</v>
      </c>
      <c r="AZ3340">
        <v>1200</v>
      </c>
      <c r="BA3340">
        <v>1</v>
      </c>
      <c r="BB3340" t="str">
        <f t="shared" si="161"/>
        <v xml:space="preserve">N8080G  </v>
      </c>
      <c r="BC3340">
        <v>1</v>
      </c>
      <c r="BE3340">
        <v>0</v>
      </c>
      <c r="BF3340">
        <v>0</v>
      </c>
      <c r="BG3340">
        <v>0</v>
      </c>
      <c r="BH3340">
        <v>1350</v>
      </c>
      <c r="BI3340">
        <v>1</v>
      </c>
      <c r="BJ3340">
        <v>1</v>
      </c>
      <c r="BK3340">
        <v>1</v>
      </c>
      <c r="BL3340">
        <v>0</v>
      </c>
      <c r="BO3340">
        <v>0</v>
      </c>
      <c r="BP3340">
        <v>0</v>
      </c>
      <c r="BW3340" t="str">
        <f>"20:32:37.978"</f>
        <v>20:32:37.978</v>
      </c>
      <c r="BZ3340">
        <v>0</v>
      </c>
      <c r="CA3340">
        <v>1600</v>
      </c>
      <c r="CB3340">
        <v>224</v>
      </c>
      <c r="CD3340">
        <v>1</v>
      </c>
      <c r="CE3340">
        <v>0</v>
      </c>
      <c r="CF3340">
        <v>0</v>
      </c>
      <c r="CG3340">
        <v>1</v>
      </c>
      <c r="CH3340">
        <v>0</v>
      </c>
      <c r="CI3340">
        <v>0</v>
      </c>
      <c r="CJ3340">
        <v>0</v>
      </c>
      <c r="CK3340">
        <v>2</v>
      </c>
      <c r="CL3340">
        <v>0</v>
      </c>
      <c r="CM3340">
        <v>2</v>
      </c>
      <c r="CN3340">
        <v>0</v>
      </c>
      <c r="CO3340">
        <v>6</v>
      </c>
      <c r="CP3340" t="s">
        <v>119</v>
      </c>
      <c r="CQ3340">
        <v>180</v>
      </c>
      <c r="CR3340">
        <v>2</v>
      </c>
      <c r="CW3340">
        <v>8789565</v>
      </c>
      <c r="CY3340">
        <v>1</v>
      </c>
      <c r="CZ3340">
        <v>0</v>
      </c>
      <c r="DA3340">
        <v>1</v>
      </c>
      <c r="DB3340">
        <v>0</v>
      </c>
      <c r="DC3340">
        <v>0</v>
      </c>
      <c r="DD3340">
        <v>0</v>
      </c>
      <c r="DE3340">
        <v>0</v>
      </c>
      <c r="DF3340">
        <v>0</v>
      </c>
      <c r="DG3340">
        <v>0</v>
      </c>
      <c r="DH3340">
        <v>0</v>
      </c>
      <c r="DI3340">
        <v>0</v>
      </c>
    </row>
    <row r="3341" spans="1:113" x14ac:dyDescent="0.3">
      <c r="A3341" t="str">
        <f>"02/08/2021 20:32:35.663"</f>
        <v>02/08/2021 20:32:35.663</v>
      </c>
      <c r="C3341" t="str">
        <f t="shared" si="162"/>
        <v>FFDFD7C0</v>
      </c>
      <c r="D3341" t="s">
        <v>124</v>
      </c>
      <c r="E3341">
        <v>12</v>
      </c>
      <c r="F3341">
        <v>1012</v>
      </c>
      <c r="G3341" t="s">
        <v>675</v>
      </c>
      <c r="J3341" t="s">
        <v>125</v>
      </c>
      <c r="K3341">
        <v>0</v>
      </c>
      <c r="L3341">
        <v>3</v>
      </c>
      <c r="M3341">
        <v>0</v>
      </c>
      <c r="N3341">
        <v>2</v>
      </c>
      <c r="O3341">
        <v>1</v>
      </c>
      <c r="P3341">
        <v>0</v>
      </c>
      <c r="Q3341">
        <v>0</v>
      </c>
      <c r="S3341" t="str">
        <f>"20:32:37.977"</f>
        <v>20:32:37.977</v>
      </c>
      <c r="T3341" t="str">
        <f>"20:32:37.477"</f>
        <v>20:32:37.477</v>
      </c>
      <c r="U3341" t="str">
        <f t="shared" si="163"/>
        <v>AB01F4</v>
      </c>
      <c r="V3341">
        <v>0</v>
      </c>
      <c r="W3341">
        <v>0</v>
      </c>
      <c r="X3341">
        <v>2</v>
      </c>
      <c r="Z3341">
        <v>0</v>
      </c>
      <c r="AA3341">
        <v>9</v>
      </c>
      <c r="AB3341">
        <v>3</v>
      </c>
      <c r="AC3341">
        <v>0</v>
      </c>
      <c r="AD3341">
        <v>10</v>
      </c>
      <c r="AE3341">
        <v>0</v>
      </c>
      <c r="AF3341">
        <v>3</v>
      </c>
      <c r="AG3341">
        <v>2</v>
      </c>
      <c r="AH3341">
        <v>0</v>
      </c>
      <c r="AI3341" t="s">
        <v>1919</v>
      </c>
      <c r="AJ3341">
        <v>40.072589000000001</v>
      </c>
      <c r="AK3341" t="s">
        <v>1920</v>
      </c>
      <c r="AL3341">
        <v>-92.939443999999995</v>
      </c>
      <c r="AM3341">
        <v>100</v>
      </c>
      <c r="AN3341">
        <v>1300</v>
      </c>
      <c r="AO3341" t="s">
        <v>118</v>
      </c>
      <c r="AP3341">
        <v>-107</v>
      </c>
      <c r="AQ3341">
        <v>73</v>
      </c>
      <c r="AR3341">
        <v>-64</v>
      </c>
      <c r="AZ3341">
        <v>1200</v>
      </c>
      <c r="BA3341">
        <v>1</v>
      </c>
      <c r="BB3341" t="str">
        <f t="shared" si="161"/>
        <v xml:space="preserve">N8080G  </v>
      </c>
      <c r="BC3341">
        <v>1</v>
      </c>
      <c r="BE3341">
        <v>0</v>
      </c>
      <c r="BF3341">
        <v>0</v>
      </c>
      <c r="BG3341">
        <v>0</v>
      </c>
      <c r="BH3341">
        <v>1350</v>
      </c>
      <c r="BI3341">
        <v>1</v>
      </c>
      <c r="BJ3341">
        <v>1</v>
      </c>
      <c r="BK3341">
        <v>1</v>
      </c>
      <c r="BL3341">
        <v>0</v>
      </c>
      <c r="BO3341">
        <v>0</v>
      </c>
      <c r="BP3341">
        <v>0</v>
      </c>
      <c r="BW3341" t="str">
        <f>"20:32:37.978"</f>
        <v>20:32:37.978</v>
      </c>
      <c r="BZ3341">
        <v>0</v>
      </c>
      <c r="CA3341">
        <v>1600</v>
      </c>
      <c r="CB3341">
        <v>224</v>
      </c>
      <c r="CD3341">
        <v>1</v>
      </c>
      <c r="CE3341">
        <v>0</v>
      </c>
      <c r="CF3341">
        <v>0</v>
      </c>
      <c r="CG3341">
        <v>1</v>
      </c>
      <c r="CH3341">
        <v>0</v>
      </c>
      <c r="CI3341">
        <v>0</v>
      </c>
      <c r="CJ3341">
        <v>0</v>
      </c>
      <c r="CK3341">
        <v>2</v>
      </c>
      <c r="CL3341">
        <v>0</v>
      </c>
      <c r="CM3341">
        <v>2</v>
      </c>
      <c r="CN3341">
        <v>0</v>
      </c>
      <c r="CO3341">
        <v>6</v>
      </c>
      <c r="CP3341" t="s">
        <v>119</v>
      </c>
      <c r="CQ3341">
        <v>180</v>
      </c>
      <c r="CR3341">
        <v>2</v>
      </c>
      <c r="CW3341">
        <v>8789565</v>
      </c>
      <c r="CY3341">
        <v>1</v>
      </c>
      <c r="CZ3341">
        <v>0</v>
      </c>
      <c r="DA3341">
        <v>1</v>
      </c>
      <c r="DB3341">
        <v>0</v>
      </c>
      <c r="DC3341">
        <v>0</v>
      </c>
      <c r="DD3341">
        <v>0</v>
      </c>
      <c r="DE3341">
        <v>0</v>
      </c>
      <c r="DF3341">
        <v>0</v>
      </c>
      <c r="DG3341">
        <v>0</v>
      </c>
      <c r="DH3341">
        <v>0</v>
      </c>
      <c r="DI3341">
        <v>0</v>
      </c>
    </row>
    <row r="3342" spans="1:113" x14ac:dyDescent="0.3">
      <c r="A3342" t="str">
        <f>"02/08/2021 20:32:35.663"</f>
        <v>02/08/2021 20:32:35.663</v>
      </c>
      <c r="C3342" t="str">
        <f t="shared" si="162"/>
        <v>FFDFD7C0</v>
      </c>
      <c r="D3342" t="s">
        <v>113</v>
      </c>
      <c r="E3342">
        <v>6</v>
      </c>
      <c r="H3342">
        <v>165</v>
      </c>
      <c r="I3342" t="s">
        <v>114</v>
      </c>
      <c r="J3342" t="s">
        <v>115</v>
      </c>
      <c r="K3342">
        <v>0</v>
      </c>
      <c r="L3342">
        <v>3</v>
      </c>
      <c r="M3342">
        <v>0</v>
      </c>
      <c r="N3342">
        <v>2</v>
      </c>
      <c r="O3342">
        <v>1</v>
      </c>
      <c r="P3342">
        <v>0</v>
      </c>
      <c r="Q3342">
        <v>0</v>
      </c>
      <c r="S3342" t="str">
        <f>"20:32:37.977"</f>
        <v>20:32:37.977</v>
      </c>
      <c r="T3342" t="str">
        <f>"20:32:37.477"</f>
        <v>20:32:37.477</v>
      </c>
      <c r="U3342" t="str">
        <f t="shared" si="163"/>
        <v>AB01F4</v>
      </c>
      <c r="V3342">
        <v>0</v>
      </c>
      <c r="W3342">
        <v>0</v>
      </c>
      <c r="X3342">
        <v>2</v>
      </c>
      <c r="Z3342">
        <v>0</v>
      </c>
      <c r="AA3342">
        <v>9</v>
      </c>
      <c r="AB3342">
        <v>3</v>
      </c>
      <c r="AC3342">
        <v>0</v>
      </c>
      <c r="AD3342">
        <v>10</v>
      </c>
      <c r="AE3342">
        <v>0</v>
      </c>
      <c r="AF3342">
        <v>3</v>
      </c>
      <c r="AG3342">
        <v>2</v>
      </c>
      <c r="AH3342">
        <v>0</v>
      </c>
      <c r="AI3342" t="s">
        <v>1919</v>
      </c>
      <c r="AJ3342">
        <v>40.072589000000001</v>
      </c>
      <c r="AK3342" t="s">
        <v>1920</v>
      </c>
      <c r="AL3342">
        <v>-92.939443999999995</v>
      </c>
      <c r="AM3342">
        <v>100</v>
      </c>
      <c r="AN3342">
        <v>1300</v>
      </c>
      <c r="AO3342" t="s">
        <v>118</v>
      </c>
      <c r="AP3342">
        <v>-107</v>
      </c>
      <c r="AQ3342">
        <v>73</v>
      </c>
      <c r="AR3342">
        <v>-64</v>
      </c>
      <c r="AZ3342">
        <v>1200</v>
      </c>
      <c r="BA3342">
        <v>1</v>
      </c>
      <c r="BB3342" t="str">
        <f t="shared" si="161"/>
        <v xml:space="preserve">N8080G  </v>
      </c>
      <c r="BC3342">
        <v>1</v>
      </c>
      <c r="BE3342">
        <v>0</v>
      </c>
      <c r="BF3342">
        <v>0</v>
      </c>
      <c r="BG3342">
        <v>0</v>
      </c>
      <c r="BH3342">
        <v>1350</v>
      </c>
      <c r="BI3342">
        <v>1</v>
      </c>
      <c r="BJ3342">
        <v>1</v>
      </c>
      <c r="BK3342">
        <v>1</v>
      </c>
      <c r="BL3342">
        <v>0</v>
      </c>
      <c r="BO3342">
        <v>0</v>
      </c>
      <c r="BP3342">
        <v>0</v>
      </c>
      <c r="BW3342" t="str">
        <f>"20:32:37.978"</f>
        <v>20:32:37.978</v>
      </c>
      <c r="BZ3342">
        <v>0</v>
      </c>
      <c r="CA3342">
        <v>1600</v>
      </c>
      <c r="CB3342">
        <v>224</v>
      </c>
      <c r="CD3342">
        <v>1</v>
      </c>
      <c r="CE3342">
        <v>0</v>
      </c>
      <c r="CF3342">
        <v>0</v>
      </c>
      <c r="CG3342">
        <v>1</v>
      </c>
      <c r="CH3342">
        <v>0</v>
      </c>
      <c r="CI3342">
        <v>0</v>
      </c>
      <c r="CJ3342">
        <v>0</v>
      </c>
      <c r="CK3342">
        <v>2</v>
      </c>
      <c r="CL3342">
        <v>0</v>
      </c>
      <c r="CM3342">
        <v>2</v>
      </c>
      <c r="CN3342">
        <v>0</v>
      </c>
      <c r="CO3342">
        <v>6</v>
      </c>
      <c r="CP3342" t="s">
        <v>119</v>
      </c>
      <c r="CQ3342">
        <v>180</v>
      </c>
      <c r="CR3342">
        <v>2</v>
      </c>
      <c r="CW3342">
        <v>8789565</v>
      </c>
      <c r="CY3342">
        <v>1</v>
      </c>
      <c r="CZ3342">
        <v>0</v>
      </c>
      <c r="DA3342">
        <v>1</v>
      </c>
      <c r="DB3342">
        <v>0</v>
      </c>
      <c r="DC3342">
        <v>0</v>
      </c>
      <c r="DD3342">
        <v>0</v>
      </c>
      <c r="DE3342">
        <v>0</v>
      </c>
      <c r="DF3342">
        <v>0</v>
      </c>
      <c r="DG3342">
        <v>0</v>
      </c>
      <c r="DH3342">
        <v>0</v>
      </c>
      <c r="DI3342">
        <v>0</v>
      </c>
    </row>
    <row r="3343" spans="1:113" x14ac:dyDescent="0.3">
      <c r="A3343" t="str">
        <f>"02/08/2021 20:32:37.001"</f>
        <v>02/08/2021 20:32:37.001</v>
      </c>
      <c r="C3343" t="str">
        <f t="shared" si="162"/>
        <v>FFDFD7C0</v>
      </c>
      <c r="D3343" t="s">
        <v>113</v>
      </c>
      <c r="E3343">
        <v>6</v>
      </c>
      <c r="H3343">
        <v>165</v>
      </c>
      <c r="I3343" t="s">
        <v>114</v>
      </c>
      <c r="J3343" t="s">
        <v>115</v>
      </c>
      <c r="K3343">
        <v>0</v>
      </c>
      <c r="L3343">
        <v>3</v>
      </c>
      <c r="M3343">
        <v>0</v>
      </c>
      <c r="N3343">
        <v>2</v>
      </c>
      <c r="O3343">
        <v>1</v>
      </c>
      <c r="P3343">
        <v>0</v>
      </c>
      <c r="Q3343">
        <v>0</v>
      </c>
      <c r="S3343" t="str">
        <f>"20:32:39.352"</f>
        <v>20:32:39.352</v>
      </c>
      <c r="T3343" t="str">
        <f>"20:32:38.952"</f>
        <v>20:32:38.952</v>
      </c>
      <c r="U3343" t="str">
        <f t="shared" si="163"/>
        <v>AB01F4</v>
      </c>
      <c r="V3343">
        <v>0</v>
      </c>
      <c r="W3343">
        <v>0</v>
      </c>
      <c r="X3343">
        <v>2</v>
      </c>
      <c r="Z3343">
        <v>0</v>
      </c>
      <c r="AA3343">
        <v>9</v>
      </c>
      <c r="AB3343">
        <v>3</v>
      </c>
      <c r="AC3343">
        <v>0</v>
      </c>
      <c r="AD3343">
        <v>10</v>
      </c>
      <c r="AE3343">
        <v>0</v>
      </c>
      <c r="AF3343">
        <v>3</v>
      </c>
      <c r="AG3343">
        <v>2</v>
      </c>
      <c r="AH3343">
        <v>0</v>
      </c>
      <c r="AI3343" t="s">
        <v>1921</v>
      </c>
      <c r="AJ3343">
        <v>40.073039999999999</v>
      </c>
      <c r="AK3343" t="s">
        <v>1922</v>
      </c>
      <c r="AL3343">
        <v>-92.940365999999997</v>
      </c>
      <c r="AM3343">
        <v>100</v>
      </c>
      <c r="AN3343">
        <v>1300</v>
      </c>
      <c r="AO3343" t="s">
        <v>118</v>
      </c>
      <c r="AP3343">
        <v>-106</v>
      </c>
      <c r="AQ3343">
        <v>74</v>
      </c>
      <c r="AR3343">
        <v>0</v>
      </c>
      <c r="AZ3343">
        <v>1200</v>
      </c>
      <c r="BA3343">
        <v>1</v>
      </c>
      <c r="BB3343" t="str">
        <f t="shared" si="161"/>
        <v xml:space="preserve">N8080G  </v>
      </c>
      <c r="BC3343">
        <v>1</v>
      </c>
      <c r="BE3343">
        <v>0</v>
      </c>
      <c r="BF3343">
        <v>0</v>
      </c>
      <c r="BG3343">
        <v>0</v>
      </c>
      <c r="BH3343">
        <v>1350</v>
      </c>
      <c r="BI3343">
        <v>1</v>
      </c>
      <c r="BJ3343">
        <v>1</v>
      </c>
      <c r="BK3343">
        <v>1</v>
      </c>
      <c r="BL3343">
        <v>0</v>
      </c>
      <c r="BO3343">
        <v>0</v>
      </c>
      <c r="BP3343">
        <v>0</v>
      </c>
      <c r="BW3343" t="str">
        <f>"20:32:39.353"</f>
        <v>20:32:39.353</v>
      </c>
      <c r="BZ3343">
        <v>0</v>
      </c>
      <c r="CA3343">
        <v>1600</v>
      </c>
      <c r="CB3343">
        <v>224</v>
      </c>
      <c r="CD3343">
        <v>1</v>
      </c>
      <c r="CE3343">
        <v>0</v>
      </c>
      <c r="CF3343">
        <v>0</v>
      </c>
      <c r="CG3343">
        <v>1</v>
      </c>
      <c r="CH3343">
        <v>0</v>
      </c>
      <c r="CI3343">
        <v>0</v>
      </c>
      <c r="CJ3343">
        <v>0</v>
      </c>
      <c r="CK3343">
        <v>2</v>
      </c>
      <c r="CL3343">
        <v>0</v>
      </c>
      <c r="CM3343">
        <v>2</v>
      </c>
      <c r="CN3343">
        <v>0</v>
      </c>
      <c r="CO3343">
        <v>6</v>
      </c>
      <c r="CP3343" t="s">
        <v>119</v>
      </c>
      <c r="CQ3343">
        <v>180</v>
      </c>
      <c r="CR3343">
        <v>2</v>
      </c>
      <c r="CW3343">
        <v>8790684</v>
      </c>
      <c r="CY3343">
        <v>1</v>
      </c>
      <c r="CZ3343">
        <v>0</v>
      </c>
      <c r="DA3343">
        <v>0</v>
      </c>
      <c r="DB3343">
        <v>0</v>
      </c>
      <c r="DC3343">
        <v>0</v>
      </c>
      <c r="DD3343">
        <v>0</v>
      </c>
      <c r="DE3343">
        <v>0</v>
      </c>
      <c r="DF3343">
        <v>0</v>
      </c>
      <c r="DG3343">
        <v>0</v>
      </c>
      <c r="DH3343">
        <v>0</v>
      </c>
      <c r="DI3343">
        <v>0</v>
      </c>
    </row>
    <row r="3344" spans="1:113" x14ac:dyDescent="0.3">
      <c r="A3344" t="str">
        <f>"02/08/2021 20:32:37.001"</f>
        <v>02/08/2021 20:32:37.001</v>
      </c>
      <c r="C3344" t="str">
        <f t="shared" si="162"/>
        <v>FFDFD7C0</v>
      </c>
      <c r="D3344" t="s">
        <v>124</v>
      </c>
      <c r="E3344">
        <v>13</v>
      </c>
      <c r="F3344">
        <v>1013</v>
      </c>
      <c r="G3344" t="s">
        <v>114</v>
      </c>
      <c r="J3344" t="s">
        <v>125</v>
      </c>
      <c r="K3344">
        <v>0</v>
      </c>
      <c r="L3344">
        <v>3</v>
      </c>
      <c r="M3344">
        <v>0</v>
      </c>
      <c r="N3344">
        <v>2</v>
      </c>
      <c r="O3344">
        <v>1</v>
      </c>
      <c r="P3344">
        <v>0</v>
      </c>
      <c r="Q3344">
        <v>0</v>
      </c>
      <c r="S3344" t="str">
        <f>"20:32:39.352"</f>
        <v>20:32:39.352</v>
      </c>
      <c r="T3344" t="str">
        <f>"20:32:38.952"</f>
        <v>20:32:38.952</v>
      </c>
      <c r="U3344" t="str">
        <f t="shared" si="163"/>
        <v>AB01F4</v>
      </c>
      <c r="V3344">
        <v>0</v>
      </c>
      <c r="W3344">
        <v>0</v>
      </c>
      <c r="X3344">
        <v>2</v>
      </c>
      <c r="Z3344">
        <v>0</v>
      </c>
      <c r="AA3344">
        <v>9</v>
      </c>
      <c r="AB3344">
        <v>3</v>
      </c>
      <c r="AC3344">
        <v>0</v>
      </c>
      <c r="AD3344">
        <v>10</v>
      </c>
      <c r="AE3344">
        <v>0</v>
      </c>
      <c r="AF3344">
        <v>3</v>
      </c>
      <c r="AG3344">
        <v>2</v>
      </c>
      <c r="AH3344">
        <v>0</v>
      </c>
      <c r="AI3344" t="s">
        <v>1921</v>
      </c>
      <c r="AJ3344">
        <v>40.073039999999999</v>
      </c>
      <c r="AK3344" t="s">
        <v>1922</v>
      </c>
      <c r="AL3344">
        <v>-92.940365999999997</v>
      </c>
      <c r="AM3344">
        <v>100</v>
      </c>
      <c r="AN3344">
        <v>1300</v>
      </c>
      <c r="AO3344" t="s">
        <v>118</v>
      </c>
      <c r="AP3344">
        <v>-106</v>
      </c>
      <c r="AQ3344">
        <v>74</v>
      </c>
      <c r="AR3344">
        <v>0</v>
      </c>
      <c r="AZ3344">
        <v>1200</v>
      </c>
      <c r="BA3344">
        <v>1</v>
      </c>
      <c r="BB3344" t="str">
        <f t="shared" si="161"/>
        <v xml:space="preserve">N8080G  </v>
      </c>
      <c r="BC3344">
        <v>1</v>
      </c>
      <c r="BE3344">
        <v>0</v>
      </c>
      <c r="BF3344">
        <v>0</v>
      </c>
      <c r="BG3344">
        <v>0</v>
      </c>
      <c r="BH3344">
        <v>1350</v>
      </c>
      <c r="BI3344">
        <v>1</v>
      </c>
      <c r="BJ3344">
        <v>1</v>
      </c>
      <c r="BK3344">
        <v>1</v>
      </c>
      <c r="BL3344">
        <v>0</v>
      </c>
      <c r="BO3344">
        <v>0</v>
      </c>
      <c r="BP3344">
        <v>0</v>
      </c>
      <c r="BW3344" t="str">
        <f>"20:32:39.353"</f>
        <v>20:32:39.353</v>
      </c>
      <c r="BZ3344">
        <v>0</v>
      </c>
      <c r="CA3344">
        <v>1600</v>
      </c>
      <c r="CB3344">
        <v>224</v>
      </c>
      <c r="CD3344">
        <v>1</v>
      </c>
      <c r="CE3344">
        <v>0</v>
      </c>
      <c r="CF3344">
        <v>0</v>
      </c>
      <c r="CG3344">
        <v>1</v>
      </c>
      <c r="CH3344">
        <v>0</v>
      </c>
      <c r="CI3344">
        <v>0</v>
      </c>
      <c r="CJ3344">
        <v>0</v>
      </c>
      <c r="CK3344">
        <v>2</v>
      </c>
      <c r="CL3344">
        <v>0</v>
      </c>
      <c r="CM3344">
        <v>2</v>
      </c>
      <c r="CN3344">
        <v>0</v>
      </c>
      <c r="CO3344">
        <v>6</v>
      </c>
      <c r="CP3344" t="s">
        <v>119</v>
      </c>
      <c r="CQ3344">
        <v>180</v>
      </c>
      <c r="CR3344">
        <v>2</v>
      </c>
      <c r="CW3344">
        <v>8790684</v>
      </c>
      <c r="CY3344">
        <v>1</v>
      </c>
      <c r="CZ3344">
        <v>0</v>
      </c>
      <c r="DA3344">
        <v>1</v>
      </c>
      <c r="DB3344">
        <v>0</v>
      </c>
      <c r="DC3344">
        <v>0</v>
      </c>
      <c r="DD3344">
        <v>0</v>
      </c>
      <c r="DE3344">
        <v>0</v>
      </c>
      <c r="DF3344">
        <v>0</v>
      </c>
      <c r="DG3344">
        <v>0</v>
      </c>
      <c r="DH3344">
        <v>0</v>
      </c>
      <c r="DI3344">
        <v>0</v>
      </c>
    </row>
    <row r="3345" spans="1:113" x14ac:dyDescent="0.3">
      <c r="A3345" t="str">
        <f>"02/08/2021 20:32:37.001"</f>
        <v>02/08/2021 20:32:37.001</v>
      </c>
      <c r="C3345" t="str">
        <f t="shared" si="162"/>
        <v>FFDFD7C0</v>
      </c>
      <c r="D3345" t="s">
        <v>124</v>
      </c>
      <c r="E3345">
        <v>12</v>
      </c>
      <c r="F3345">
        <v>1012</v>
      </c>
      <c r="G3345" t="s">
        <v>675</v>
      </c>
      <c r="J3345" t="s">
        <v>125</v>
      </c>
      <c r="K3345">
        <v>0</v>
      </c>
      <c r="L3345">
        <v>3</v>
      </c>
      <c r="M3345">
        <v>0</v>
      </c>
      <c r="N3345">
        <v>2</v>
      </c>
      <c r="O3345">
        <v>1</v>
      </c>
      <c r="P3345">
        <v>0</v>
      </c>
      <c r="Q3345">
        <v>0</v>
      </c>
      <c r="S3345" t="str">
        <f>"20:32:39.352"</f>
        <v>20:32:39.352</v>
      </c>
      <c r="T3345" t="str">
        <f>"20:32:38.952"</f>
        <v>20:32:38.952</v>
      </c>
      <c r="U3345" t="str">
        <f t="shared" si="163"/>
        <v>AB01F4</v>
      </c>
      <c r="V3345">
        <v>0</v>
      </c>
      <c r="W3345">
        <v>0</v>
      </c>
      <c r="X3345">
        <v>2</v>
      </c>
      <c r="Z3345">
        <v>0</v>
      </c>
      <c r="AA3345">
        <v>9</v>
      </c>
      <c r="AB3345">
        <v>3</v>
      </c>
      <c r="AC3345">
        <v>0</v>
      </c>
      <c r="AD3345">
        <v>10</v>
      </c>
      <c r="AE3345">
        <v>0</v>
      </c>
      <c r="AF3345">
        <v>3</v>
      </c>
      <c r="AG3345">
        <v>2</v>
      </c>
      <c r="AH3345">
        <v>0</v>
      </c>
      <c r="AI3345" t="s">
        <v>1921</v>
      </c>
      <c r="AJ3345">
        <v>40.073039999999999</v>
      </c>
      <c r="AK3345" t="s">
        <v>1922</v>
      </c>
      <c r="AL3345">
        <v>-92.940365999999997</v>
      </c>
      <c r="AM3345">
        <v>100</v>
      </c>
      <c r="AN3345">
        <v>1300</v>
      </c>
      <c r="AO3345" t="s">
        <v>118</v>
      </c>
      <c r="AP3345">
        <v>-106</v>
      </c>
      <c r="AQ3345">
        <v>74</v>
      </c>
      <c r="AR3345">
        <v>0</v>
      </c>
      <c r="AZ3345">
        <v>1200</v>
      </c>
      <c r="BA3345">
        <v>1</v>
      </c>
      <c r="BB3345" t="str">
        <f t="shared" si="161"/>
        <v xml:space="preserve">N8080G  </v>
      </c>
      <c r="BC3345">
        <v>1</v>
      </c>
      <c r="BE3345">
        <v>0</v>
      </c>
      <c r="BF3345">
        <v>0</v>
      </c>
      <c r="BG3345">
        <v>0</v>
      </c>
      <c r="BH3345">
        <v>1350</v>
      </c>
      <c r="BI3345">
        <v>1</v>
      </c>
      <c r="BJ3345">
        <v>1</v>
      </c>
      <c r="BK3345">
        <v>1</v>
      </c>
      <c r="BL3345">
        <v>0</v>
      </c>
      <c r="BO3345">
        <v>0</v>
      </c>
      <c r="BP3345">
        <v>0</v>
      </c>
      <c r="BW3345" t="str">
        <f>"20:32:39.353"</f>
        <v>20:32:39.353</v>
      </c>
      <c r="BZ3345">
        <v>0</v>
      </c>
      <c r="CA3345">
        <v>1600</v>
      </c>
      <c r="CB3345">
        <v>224</v>
      </c>
      <c r="CD3345">
        <v>1</v>
      </c>
      <c r="CE3345">
        <v>0</v>
      </c>
      <c r="CF3345">
        <v>0</v>
      </c>
      <c r="CG3345">
        <v>1</v>
      </c>
      <c r="CH3345">
        <v>0</v>
      </c>
      <c r="CI3345">
        <v>0</v>
      </c>
      <c r="CJ3345">
        <v>0</v>
      </c>
      <c r="CK3345">
        <v>2</v>
      </c>
      <c r="CL3345">
        <v>0</v>
      </c>
      <c r="CM3345">
        <v>2</v>
      </c>
      <c r="CN3345">
        <v>0</v>
      </c>
      <c r="CO3345">
        <v>6</v>
      </c>
      <c r="CP3345" t="s">
        <v>119</v>
      </c>
      <c r="CQ3345">
        <v>180</v>
      </c>
      <c r="CR3345">
        <v>2</v>
      </c>
      <c r="CW3345">
        <v>8790684</v>
      </c>
      <c r="CY3345">
        <v>1</v>
      </c>
      <c r="CZ3345">
        <v>0</v>
      </c>
      <c r="DA3345">
        <v>1</v>
      </c>
      <c r="DB3345">
        <v>0</v>
      </c>
      <c r="DC3345">
        <v>0</v>
      </c>
      <c r="DD3345">
        <v>0</v>
      </c>
      <c r="DE3345">
        <v>0</v>
      </c>
      <c r="DF3345">
        <v>0</v>
      </c>
      <c r="DG3345">
        <v>0</v>
      </c>
      <c r="DH3345">
        <v>0</v>
      </c>
      <c r="DI3345">
        <v>0</v>
      </c>
    </row>
    <row r="3346" spans="1:113" x14ac:dyDescent="0.3">
      <c r="A3346" t="str">
        <f>"02/08/2021 20:32:37.001"</f>
        <v>02/08/2021 20:32:37.001</v>
      </c>
      <c r="C3346" t="str">
        <f t="shared" si="162"/>
        <v>FFDFD7C0</v>
      </c>
      <c r="D3346" t="s">
        <v>124</v>
      </c>
      <c r="E3346">
        <v>11</v>
      </c>
      <c r="F3346">
        <v>1011</v>
      </c>
      <c r="G3346" t="s">
        <v>590</v>
      </c>
      <c r="J3346" t="s">
        <v>125</v>
      </c>
      <c r="K3346">
        <v>0</v>
      </c>
      <c r="L3346">
        <v>3</v>
      </c>
      <c r="M3346">
        <v>0</v>
      </c>
      <c r="N3346">
        <v>2</v>
      </c>
      <c r="O3346">
        <v>1</v>
      </c>
      <c r="P3346">
        <v>0</v>
      </c>
      <c r="Q3346">
        <v>0</v>
      </c>
      <c r="S3346" t="str">
        <f>"20:32:39.352"</f>
        <v>20:32:39.352</v>
      </c>
      <c r="T3346" t="str">
        <f>"20:32:38.952"</f>
        <v>20:32:38.952</v>
      </c>
      <c r="U3346" t="str">
        <f t="shared" si="163"/>
        <v>AB01F4</v>
      </c>
      <c r="V3346">
        <v>0</v>
      </c>
      <c r="W3346">
        <v>0</v>
      </c>
      <c r="X3346">
        <v>2</v>
      </c>
      <c r="Z3346">
        <v>0</v>
      </c>
      <c r="AA3346">
        <v>9</v>
      </c>
      <c r="AB3346">
        <v>3</v>
      </c>
      <c r="AC3346">
        <v>0</v>
      </c>
      <c r="AD3346">
        <v>10</v>
      </c>
      <c r="AE3346">
        <v>0</v>
      </c>
      <c r="AF3346">
        <v>3</v>
      </c>
      <c r="AG3346">
        <v>2</v>
      </c>
      <c r="AH3346">
        <v>0</v>
      </c>
      <c r="AI3346" t="s">
        <v>1921</v>
      </c>
      <c r="AJ3346">
        <v>40.073039999999999</v>
      </c>
      <c r="AK3346" t="s">
        <v>1922</v>
      </c>
      <c r="AL3346">
        <v>-92.940365999999997</v>
      </c>
      <c r="AM3346">
        <v>100</v>
      </c>
      <c r="AN3346">
        <v>1300</v>
      </c>
      <c r="AO3346" t="s">
        <v>118</v>
      </c>
      <c r="AP3346">
        <v>-106</v>
      </c>
      <c r="AQ3346">
        <v>74</v>
      </c>
      <c r="AR3346">
        <v>0</v>
      </c>
      <c r="AZ3346">
        <v>1200</v>
      </c>
      <c r="BA3346">
        <v>1</v>
      </c>
      <c r="BB3346" t="str">
        <f t="shared" si="161"/>
        <v xml:space="preserve">N8080G  </v>
      </c>
      <c r="BC3346">
        <v>1</v>
      </c>
      <c r="BE3346">
        <v>0</v>
      </c>
      <c r="BF3346">
        <v>0</v>
      </c>
      <c r="BG3346">
        <v>0</v>
      </c>
      <c r="BH3346">
        <v>1350</v>
      </c>
      <c r="BI3346">
        <v>1</v>
      </c>
      <c r="BJ3346">
        <v>1</v>
      </c>
      <c r="BK3346">
        <v>1</v>
      </c>
      <c r="BL3346">
        <v>0</v>
      </c>
      <c r="BO3346">
        <v>0</v>
      </c>
      <c r="BP3346">
        <v>0</v>
      </c>
      <c r="BW3346" t="str">
        <f>"20:32:39.353"</f>
        <v>20:32:39.353</v>
      </c>
      <c r="BZ3346">
        <v>0</v>
      </c>
      <c r="CA3346">
        <v>1600</v>
      </c>
      <c r="CB3346">
        <v>224</v>
      </c>
      <c r="CD3346">
        <v>1</v>
      </c>
      <c r="CE3346">
        <v>0</v>
      </c>
      <c r="CF3346">
        <v>0</v>
      </c>
      <c r="CG3346">
        <v>1</v>
      </c>
      <c r="CH3346">
        <v>0</v>
      </c>
      <c r="CI3346">
        <v>0</v>
      </c>
      <c r="CJ3346">
        <v>0</v>
      </c>
      <c r="CK3346">
        <v>2</v>
      </c>
      <c r="CL3346">
        <v>0</v>
      </c>
      <c r="CM3346">
        <v>2</v>
      </c>
      <c r="CN3346">
        <v>0</v>
      </c>
      <c r="CO3346">
        <v>6</v>
      </c>
      <c r="CP3346" t="s">
        <v>119</v>
      </c>
      <c r="CQ3346">
        <v>180</v>
      </c>
      <c r="CR3346">
        <v>2</v>
      </c>
      <c r="CW3346">
        <v>8790684</v>
      </c>
      <c r="CY3346">
        <v>1</v>
      </c>
      <c r="CZ3346">
        <v>0</v>
      </c>
      <c r="DA3346">
        <v>1</v>
      </c>
      <c r="DB3346">
        <v>0</v>
      </c>
      <c r="DC3346">
        <v>0</v>
      </c>
      <c r="DD3346">
        <v>0</v>
      </c>
      <c r="DE3346">
        <v>0</v>
      </c>
      <c r="DF3346">
        <v>0</v>
      </c>
      <c r="DG3346">
        <v>0</v>
      </c>
      <c r="DH3346">
        <v>0</v>
      </c>
      <c r="DI3346">
        <v>0</v>
      </c>
    </row>
    <row r="3347" spans="1:113" x14ac:dyDescent="0.3">
      <c r="A3347" t="str">
        <f>"02/08/2021 20:32:38.417"</f>
        <v>02/08/2021 20:32:38.417</v>
      </c>
      <c r="C3347" t="str">
        <f t="shared" si="162"/>
        <v>FFDFD7C0</v>
      </c>
      <c r="D3347" t="s">
        <v>113</v>
      </c>
      <c r="E3347">
        <v>6</v>
      </c>
      <c r="H3347">
        <v>165</v>
      </c>
      <c r="I3347" t="s">
        <v>114</v>
      </c>
      <c r="J3347" t="s">
        <v>115</v>
      </c>
      <c r="K3347">
        <v>0</v>
      </c>
      <c r="L3347">
        <v>3</v>
      </c>
      <c r="M3347">
        <v>0</v>
      </c>
      <c r="N3347">
        <v>2</v>
      </c>
      <c r="O3347">
        <v>1</v>
      </c>
      <c r="P3347">
        <v>0</v>
      </c>
      <c r="Q3347">
        <v>0</v>
      </c>
      <c r="S3347" t="str">
        <f>"20:32:40.734"</f>
        <v>20:32:40.734</v>
      </c>
      <c r="T3347" t="str">
        <f>"20:32:40.334"</f>
        <v>20:32:40.334</v>
      </c>
      <c r="U3347" t="str">
        <f t="shared" si="163"/>
        <v>AB01F4</v>
      </c>
      <c r="V3347">
        <v>0</v>
      </c>
      <c r="W3347">
        <v>0</v>
      </c>
      <c r="X3347">
        <v>2</v>
      </c>
      <c r="Z3347">
        <v>0</v>
      </c>
      <c r="AA3347">
        <v>9</v>
      </c>
      <c r="AB3347">
        <v>3</v>
      </c>
      <c r="AC3347">
        <v>0</v>
      </c>
      <c r="AD3347">
        <v>10</v>
      </c>
      <c r="AE3347">
        <v>0</v>
      </c>
      <c r="AF3347">
        <v>3</v>
      </c>
      <c r="AG3347">
        <v>2</v>
      </c>
      <c r="AH3347">
        <v>0</v>
      </c>
      <c r="AI3347" t="s">
        <v>1923</v>
      </c>
      <c r="AJ3347">
        <v>40.073554999999999</v>
      </c>
      <c r="AK3347" t="s">
        <v>1924</v>
      </c>
      <c r="AL3347">
        <v>-92.941288999999998</v>
      </c>
      <c r="AM3347">
        <v>100</v>
      </c>
      <c r="AN3347">
        <v>1300</v>
      </c>
      <c r="AO3347" t="s">
        <v>118</v>
      </c>
      <c r="AP3347">
        <v>-105</v>
      </c>
      <c r="AQ3347">
        <v>75</v>
      </c>
      <c r="AR3347">
        <v>-64</v>
      </c>
      <c r="AZ3347">
        <v>1200</v>
      </c>
      <c r="BA3347">
        <v>1</v>
      </c>
      <c r="BB3347" t="str">
        <f t="shared" si="161"/>
        <v xml:space="preserve">N8080G  </v>
      </c>
      <c r="BC3347">
        <v>1</v>
      </c>
      <c r="BE3347">
        <v>0</v>
      </c>
      <c r="BF3347">
        <v>0</v>
      </c>
      <c r="BG3347">
        <v>0</v>
      </c>
      <c r="BH3347">
        <v>1350</v>
      </c>
      <c r="BI3347">
        <v>1</v>
      </c>
      <c r="BJ3347">
        <v>1</v>
      </c>
      <c r="BK3347">
        <v>1</v>
      </c>
      <c r="BL3347">
        <v>0</v>
      </c>
      <c r="BO3347">
        <v>0</v>
      </c>
      <c r="BP3347">
        <v>0</v>
      </c>
      <c r="BW3347" t="str">
        <f>"20:32:40.737"</f>
        <v>20:32:40.737</v>
      </c>
      <c r="BZ3347">
        <v>0</v>
      </c>
      <c r="CA3347">
        <v>1600</v>
      </c>
      <c r="CB3347">
        <v>224</v>
      </c>
      <c r="CD3347">
        <v>1</v>
      </c>
      <c r="CE3347">
        <v>0</v>
      </c>
      <c r="CF3347">
        <v>0</v>
      </c>
      <c r="CG3347">
        <v>1</v>
      </c>
      <c r="CH3347">
        <v>0</v>
      </c>
      <c r="CI3347">
        <v>0</v>
      </c>
      <c r="CJ3347">
        <v>0</v>
      </c>
      <c r="CK3347">
        <v>2</v>
      </c>
      <c r="CL3347">
        <v>0</v>
      </c>
      <c r="CM3347">
        <v>2</v>
      </c>
      <c r="CN3347">
        <v>0</v>
      </c>
      <c r="CO3347">
        <v>7</v>
      </c>
      <c r="CP3347" t="s">
        <v>119</v>
      </c>
      <c r="CQ3347">
        <v>180</v>
      </c>
      <c r="CR3347">
        <v>3</v>
      </c>
      <c r="CW3347">
        <v>1134342</v>
      </c>
      <c r="CY3347">
        <v>1</v>
      </c>
      <c r="CZ3347">
        <v>0</v>
      </c>
      <c r="DA3347">
        <v>0</v>
      </c>
      <c r="DB3347">
        <v>0</v>
      </c>
      <c r="DC3347">
        <v>0</v>
      </c>
      <c r="DD3347">
        <v>0</v>
      </c>
      <c r="DE3347">
        <v>0</v>
      </c>
      <c r="DF3347">
        <v>0</v>
      </c>
      <c r="DG3347">
        <v>0</v>
      </c>
      <c r="DH3347">
        <v>0</v>
      </c>
      <c r="DI3347">
        <v>0</v>
      </c>
    </row>
    <row r="3348" spans="1:113" x14ac:dyDescent="0.3">
      <c r="A3348" t="str">
        <f>"02/08/2021 20:32:38.417"</f>
        <v>02/08/2021 20:32:38.417</v>
      </c>
      <c r="C3348" t="str">
        <f t="shared" si="162"/>
        <v>FFDFD7C0</v>
      </c>
      <c r="D3348" t="s">
        <v>124</v>
      </c>
      <c r="E3348">
        <v>13</v>
      </c>
      <c r="F3348">
        <v>1013</v>
      </c>
      <c r="G3348" t="s">
        <v>114</v>
      </c>
      <c r="J3348" t="s">
        <v>125</v>
      </c>
      <c r="K3348">
        <v>0</v>
      </c>
      <c r="L3348">
        <v>3</v>
      </c>
      <c r="M3348">
        <v>0</v>
      </c>
      <c r="N3348">
        <v>2</v>
      </c>
      <c r="O3348">
        <v>1</v>
      </c>
      <c r="P3348">
        <v>0</v>
      </c>
      <c r="Q3348">
        <v>0</v>
      </c>
      <c r="S3348" t="str">
        <f>"20:32:40.734"</f>
        <v>20:32:40.734</v>
      </c>
      <c r="T3348" t="str">
        <f>"20:32:40.334"</f>
        <v>20:32:40.334</v>
      </c>
      <c r="U3348" t="str">
        <f t="shared" si="163"/>
        <v>AB01F4</v>
      </c>
      <c r="V3348">
        <v>0</v>
      </c>
      <c r="W3348">
        <v>0</v>
      </c>
      <c r="X3348">
        <v>2</v>
      </c>
      <c r="Z3348">
        <v>0</v>
      </c>
      <c r="AA3348">
        <v>9</v>
      </c>
      <c r="AB3348">
        <v>3</v>
      </c>
      <c r="AC3348">
        <v>0</v>
      </c>
      <c r="AD3348">
        <v>10</v>
      </c>
      <c r="AE3348">
        <v>0</v>
      </c>
      <c r="AF3348">
        <v>3</v>
      </c>
      <c r="AG3348">
        <v>2</v>
      </c>
      <c r="AH3348">
        <v>0</v>
      </c>
      <c r="AI3348" t="s">
        <v>1923</v>
      </c>
      <c r="AJ3348">
        <v>40.073554999999999</v>
      </c>
      <c r="AK3348" t="s">
        <v>1924</v>
      </c>
      <c r="AL3348">
        <v>-92.941288999999998</v>
      </c>
      <c r="AM3348">
        <v>100</v>
      </c>
      <c r="AN3348">
        <v>1300</v>
      </c>
      <c r="AO3348" t="s">
        <v>118</v>
      </c>
      <c r="AP3348">
        <v>-105</v>
      </c>
      <c r="AQ3348">
        <v>75</v>
      </c>
      <c r="AR3348">
        <v>-64</v>
      </c>
      <c r="AZ3348">
        <v>1200</v>
      </c>
      <c r="BA3348">
        <v>1</v>
      </c>
      <c r="BB3348" t="str">
        <f t="shared" si="161"/>
        <v xml:space="preserve">N8080G  </v>
      </c>
      <c r="BC3348">
        <v>1</v>
      </c>
      <c r="BE3348">
        <v>0</v>
      </c>
      <c r="BF3348">
        <v>0</v>
      </c>
      <c r="BG3348">
        <v>0</v>
      </c>
      <c r="BH3348">
        <v>1350</v>
      </c>
      <c r="BI3348">
        <v>1</v>
      </c>
      <c r="BJ3348">
        <v>1</v>
      </c>
      <c r="BK3348">
        <v>1</v>
      </c>
      <c r="BL3348">
        <v>0</v>
      </c>
      <c r="BO3348">
        <v>0</v>
      </c>
      <c r="BP3348">
        <v>0</v>
      </c>
      <c r="BW3348" t="str">
        <f>"20:32:40.737"</f>
        <v>20:32:40.737</v>
      </c>
      <c r="BZ3348">
        <v>0</v>
      </c>
      <c r="CA3348">
        <v>1600</v>
      </c>
      <c r="CB3348">
        <v>224</v>
      </c>
      <c r="CD3348">
        <v>1</v>
      </c>
      <c r="CE3348">
        <v>0</v>
      </c>
      <c r="CF3348">
        <v>0</v>
      </c>
      <c r="CG3348">
        <v>1</v>
      </c>
      <c r="CH3348">
        <v>0</v>
      </c>
      <c r="CI3348">
        <v>0</v>
      </c>
      <c r="CJ3348">
        <v>0</v>
      </c>
      <c r="CK3348">
        <v>2</v>
      </c>
      <c r="CL3348">
        <v>0</v>
      </c>
      <c r="CM3348">
        <v>2</v>
      </c>
      <c r="CN3348">
        <v>0</v>
      </c>
      <c r="CO3348">
        <v>7</v>
      </c>
      <c r="CP3348" t="s">
        <v>119</v>
      </c>
      <c r="CQ3348">
        <v>180</v>
      </c>
      <c r="CR3348">
        <v>3</v>
      </c>
      <c r="CW3348">
        <v>1134342</v>
      </c>
      <c r="CY3348">
        <v>1</v>
      </c>
      <c r="CZ3348">
        <v>0</v>
      </c>
      <c r="DA3348">
        <v>1</v>
      </c>
      <c r="DB3348">
        <v>0</v>
      </c>
      <c r="DC3348">
        <v>0</v>
      </c>
      <c r="DD3348">
        <v>0</v>
      </c>
      <c r="DE3348">
        <v>0</v>
      </c>
      <c r="DF3348">
        <v>0</v>
      </c>
      <c r="DG3348">
        <v>0</v>
      </c>
      <c r="DH3348">
        <v>0</v>
      </c>
      <c r="DI3348">
        <v>0</v>
      </c>
    </row>
    <row r="3349" spans="1:113" x14ac:dyDescent="0.3">
      <c r="A3349" t="str">
        <f>"02/08/2021 20:32:38.417"</f>
        <v>02/08/2021 20:32:38.417</v>
      </c>
      <c r="C3349" t="str">
        <f t="shared" si="162"/>
        <v>FFDFD7C0</v>
      </c>
      <c r="D3349" t="s">
        <v>124</v>
      </c>
      <c r="E3349">
        <v>12</v>
      </c>
      <c r="F3349">
        <v>1012</v>
      </c>
      <c r="G3349" t="s">
        <v>675</v>
      </c>
      <c r="J3349" t="s">
        <v>125</v>
      </c>
      <c r="K3349">
        <v>0</v>
      </c>
      <c r="L3349">
        <v>3</v>
      </c>
      <c r="M3349">
        <v>0</v>
      </c>
      <c r="N3349">
        <v>2</v>
      </c>
      <c r="O3349">
        <v>1</v>
      </c>
      <c r="P3349">
        <v>0</v>
      </c>
      <c r="Q3349">
        <v>0</v>
      </c>
      <c r="S3349" t="str">
        <f>"20:32:40.734"</f>
        <v>20:32:40.734</v>
      </c>
      <c r="T3349" t="str">
        <f>"20:32:40.334"</f>
        <v>20:32:40.334</v>
      </c>
      <c r="U3349" t="str">
        <f t="shared" si="163"/>
        <v>AB01F4</v>
      </c>
      <c r="V3349">
        <v>0</v>
      </c>
      <c r="W3349">
        <v>0</v>
      </c>
      <c r="X3349">
        <v>2</v>
      </c>
      <c r="Z3349">
        <v>0</v>
      </c>
      <c r="AA3349">
        <v>9</v>
      </c>
      <c r="AB3349">
        <v>3</v>
      </c>
      <c r="AC3349">
        <v>0</v>
      </c>
      <c r="AD3349">
        <v>10</v>
      </c>
      <c r="AE3349">
        <v>0</v>
      </c>
      <c r="AF3349">
        <v>3</v>
      </c>
      <c r="AG3349">
        <v>2</v>
      </c>
      <c r="AH3349">
        <v>0</v>
      </c>
      <c r="AI3349" t="s">
        <v>1923</v>
      </c>
      <c r="AJ3349">
        <v>40.073554999999999</v>
      </c>
      <c r="AK3349" t="s">
        <v>1924</v>
      </c>
      <c r="AL3349">
        <v>-92.941288999999998</v>
      </c>
      <c r="AM3349">
        <v>100</v>
      </c>
      <c r="AN3349">
        <v>1300</v>
      </c>
      <c r="AO3349" t="s">
        <v>118</v>
      </c>
      <c r="AP3349">
        <v>-105</v>
      </c>
      <c r="AQ3349">
        <v>75</v>
      </c>
      <c r="AR3349">
        <v>-64</v>
      </c>
      <c r="AZ3349">
        <v>1200</v>
      </c>
      <c r="BA3349">
        <v>1</v>
      </c>
      <c r="BB3349" t="str">
        <f t="shared" si="161"/>
        <v xml:space="preserve">N8080G  </v>
      </c>
      <c r="BC3349">
        <v>1</v>
      </c>
      <c r="BE3349">
        <v>0</v>
      </c>
      <c r="BF3349">
        <v>0</v>
      </c>
      <c r="BG3349">
        <v>0</v>
      </c>
      <c r="BH3349">
        <v>1350</v>
      </c>
      <c r="BI3349">
        <v>1</v>
      </c>
      <c r="BJ3349">
        <v>1</v>
      </c>
      <c r="BK3349">
        <v>1</v>
      </c>
      <c r="BL3349">
        <v>0</v>
      </c>
      <c r="BO3349">
        <v>0</v>
      </c>
      <c r="BP3349">
        <v>0</v>
      </c>
      <c r="BW3349" t="str">
        <f>"20:32:40.737"</f>
        <v>20:32:40.737</v>
      </c>
      <c r="BZ3349">
        <v>0</v>
      </c>
      <c r="CA3349">
        <v>1600</v>
      </c>
      <c r="CB3349">
        <v>224</v>
      </c>
      <c r="CD3349">
        <v>1</v>
      </c>
      <c r="CE3349">
        <v>0</v>
      </c>
      <c r="CF3349">
        <v>0</v>
      </c>
      <c r="CG3349">
        <v>1</v>
      </c>
      <c r="CH3349">
        <v>0</v>
      </c>
      <c r="CI3349">
        <v>0</v>
      </c>
      <c r="CJ3349">
        <v>0</v>
      </c>
      <c r="CK3349">
        <v>2</v>
      </c>
      <c r="CL3349">
        <v>0</v>
      </c>
      <c r="CM3349">
        <v>2</v>
      </c>
      <c r="CN3349">
        <v>0</v>
      </c>
      <c r="CO3349">
        <v>7</v>
      </c>
      <c r="CP3349" t="s">
        <v>119</v>
      </c>
      <c r="CQ3349">
        <v>180</v>
      </c>
      <c r="CR3349">
        <v>3</v>
      </c>
      <c r="CW3349">
        <v>1134342</v>
      </c>
      <c r="CY3349">
        <v>1</v>
      </c>
      <c r="CZ3349">
        <v>0</v>
      </c>
      <c r="DA3349">
        <v>1</v>
      </c>
      <c r="DB3349">
        <v>0</v>
      </c>
      <c r="DC3349">
        <v>0</v>
      </c>
      <c r="DD3349">
        <v>0</v>
      </c>
      <c r="DE3349">
        <v>0</v>
      </c>
      <c r="DF3349">
        <v>0</v>
      </c>
      <c r="DG3349">
        <v>0</v>
      </c>
      <c r="DH3349">
        <v>0</v>
      </c>
      <c r="DI3349">
        <v>0</v>
      </c>
    </row>
    <row r="3350" spans="1:113" x14ac:dyDescent="0.3">
      <c r="A3350" t="str">
        <f>"02/08/2021 20:32:38.417"</f>
        <v>02/08/2021 20:32:38.417</v>
      </c>
      <c r="C3350" t="str">
        <f t="shared" si="162"/>
        <v>FFDFD7C0</v>
      </c>
      <c r="D3350" t="s">
        <v>124</v>
      </c>
      <c r="E3350">
        <v>11</v>
      </c>
      <c r="F3350">
        <v>1011</v>
      </c>
      <c r="G3350" t="s">
        <v>590</v>
      </c>
      <c r="J3350" t="s">
        <v>125</v>
      </c>
      <c r="K3350">
        <v>0</v>
      </c>
      <c r="L3350">
        <v>3</v>
      </c>
      <c r="M3350">
        <v>0</v>
      </c>
      <c r="N3350">
        <v>2</v>
      </c>
      <c r="O3350">
        <v>1</v>
      </c>
      <c r="P3350">
        <v>0</v>
      </c>
      <c r="Q3350">
        <v>0</v>
      </c>
      <c r="S3350" t="str">
        <f>"20:32:40.734"</f>
        <v>20:32:40.734</v>
      </c>
      <c r="T3350" t="str">
        <f>"20:32:40.334"</f>
        <v>20:32:40.334</v>
      </c>
      <c r="U3350" t="str">
        <f t="shared" si="163"/>
        <v>AB01F4</v>
      </c>
      <c r="V3350">
        <v>0</v>
      </c>
      <c r="W3350">
        <v>0</v>
      </c>
      <c r="X3350">
        <v>2</v>
      </c>
      <c r="Z3350">
        <v>0</v>
      </c>
      <c r="AA3350">
        <v>9</v>
      </c>
      <c r="AB3350">
        <v>3</v>
      </c>
      <c r="AC3350">
        <v>0</v>
      </c>
      <c r="AD3350">
        <v>10</v>
      </c>
      <c r="AE3350">
        <v>0</v>
      </c>
      <c r="AF3350">
        <v>3</v>
      </c>
      <c r="AG3350">
        <v>2</v>
      </c>
      <c r="AH3350">
        <v>0</v>
      </c>
      <c r="AI3350" t="s">
        <v>1923</v>
      </c>
      <c r="AJ3350">
        <v>40.073554999999999</v>
      </c>
      <c r="AK3350" t="s">
        <v>1924</v>
      </c>
      <c r="AL3350">
        <v>-92.941288999999998</v>
      </c>
      <c r="AM3350">
        <v>100</v>
      </c>
      <c r="AN3350">
        <v>1300</v>
      </c>
      <c r="AO3350" t="s">
        <v>118</v>
      </c>
      <c r="AP3350">
        <v>-105</v>
      </c>
      <c r="AQ3350">
        <v>75</v>
      </c>
      <c r="AR3350">
        <v>-64</v>
      </c>
      <c r="AZ3350">
        <v>1200</v>
      </c>
      <c r="BA3350">
        <v>1</v>
      </c>
      <c r="BB3350" t="str">
        <f t="shared" si="161"/>
        <v xml:space="preserve">N8080G  </v>
      </c>
      <c r="BC3350">
        <v>1</v>
      </c>
      <c r="BE3350">
        <v>0</v>
      </c>
      <c r="BF3350">
        <v>0</v>
      </c>
      <c r="BG3350">
        <v>0</v>
      </c>
      <c r="BH3350">
        <v>1350</v>
      </c>
      <c r="BI3350">
        <v>1</v>
      </c>
      <c r="BJ3350">
        <v>1</v>
      </c>
      <c r="BK3350">
        <v>1</v>
      </c>
      <c r="BL3350">
        <v>0</v>
      </c>
      <c r="BO3350">
        <v>0</v>
      </c>
      <c r="BP3350">
        <v>0</v>
      </c>
      <c r="BW3350" t="str">
        <f>"20:32:40.737"</f>
        <v>20:32:40.737</v>
      </c>
      <c r="BZ3350">
        <v>0</v>
      </c>
      <c r="CA3350">
        <v>1600</v>
      </c>
      <c r="CB3350">
        <v>224</v>
      </c>
      <c r="CD3350">
        <v>1</v>
      </c>
      <c r="CE3350">
        <v>0</v>
      </c>
      <c r="CF3350">
        <v>0</v>
      </c>
      <c r="CG3350">
        <v>1</v>
      </c>
      <c r="CH3350">
        <v>0</v>
      </c>
      <c r="CI3350">
        <v>0</v>
      </c>
      <c r="CJ3350">
        <v>0</v>
      </c>
      <c r="CK3350">
        <v>2</v>
      </c>
      <c r="CL3350">
        <v>0</v>
      </c>
      <c r="CM3350">
        <v>2</v>
      </c>
      <c r="CN3350">
        <v>0</v>
      </c>
      <c r="CO3350">
        <v>7</v>
      </c>
      <c r="CP3350" t="s">
        <v>119</v>
      </c>
      <c r="CQ3350">
        <v>180</v>
      </c>
      <c r="CR3350">
        <v>3</v>
      </c>
      <c r="CW3350">
        <v>1134342</v>
      </c>
      <c r="CY3350">
        <v>1</v>
      </c>
      <c r="CZ3350">
        <v>0</v>
      </c>
      <c r="DA3350">
        <v>1</v>
      </c>
      <c r="DB3350">
        <v>0</v>
      </c>
      <c r="DC3350">
        <v>0</v>
      </c>
      <c r="DD3350">
        <v>0</v>
      </c>
      <c r="DE3350">
        <v>0</v>
      </c>
      <c r="DF3350">
        <v>0</v>
      </c>
      <c r="DG3350">
        <v>0</v>
      </c>
      <c r="DH3350">
        <v>0</v>
      </c>
      <c r="DI3350">
        <v>0</v>
      </c>
    </row>
    <row r="3351" spans="1:113" x14ac:dyDescent="0.3">
      <c r="A3351" t="str">
        <f>"02/08/2021 20:32:39.660"</f>
        <v>02/08/2021 20:32:39.660</v>
      </c>
      <c r="C3351" t="str">
        <f t="shared" ref="C3351:C3358" si="164">"FFDF57C0"</f>
        <v>FFDF57C0</v>
      </c>
      <c r="D3351" t="s">
        <v>124</v>
      </c>
      <c r="E3351">
        <v>11</v>
      </c>
      <c r="F3351">
        <v>1011</v>
      </c>
      <c r="G3351" t="s">
        <v>590</v>
      </c>
      <c r="J3351" t="s">
        <v>125</v>
      </c>
      <c r="K3351">
        <v>0</v>
      </c>
      <c r="L3351">
        <v>3</v>
      </c>
      <c r="M3351">
        <v>0</v>
      </c>
      <c r="N3351">
        <v>2</v>
      </c>
      <c r="O3351">
        <v>1</v>
      </c>
      <c r="P3351">
        <v>0</v>
      </c>
      <c r="Q3351">
        <v>0</v>
      </c>
      <c r="S3351" t="str">
        <f>"20:32:41.711"</f>
        <v>20:32:41.711</v>
      </c>
      <c r="U3351" t="str">
        <f t="shared" si="163"/>
        <v>AB01F4</v>
      </c>
      <c r="V3351">
        <v>0</v>
      </c>
      <c r="W3351">
        <v>0</v>
      </c>
      <c r="X3351">
        <v>2</v>
      </c>
      <c r="Z3351">
        <v>0</v>
      </c>
      <c r="AA3351">
        <v>9</v>
      </c>
      <c r="AB3351">
        <v>3</v>
      </c>
      <c r="AC3351">
        <v>0</v>
      </c>
      <c r="AD3351">
        <v>10</v>
      </c>
      <c r="AE3351">
        <v>0</v>
      </c>
      <c r="AF3351">
        <v>3</v>
      </c>
      <c r="AG3351">
        <v>2</v>
      </c>
      <c r="AH3351">
        <v>0</v>
      </c>
      <c r="AI3351" t="s">
        <v>1925</v>
      </c>
      <c r="AJ3351">
        <v>40.073833</v>
      </c>
      <c r="AK3351" t="s">
        <v>1926</v>
      </c>
      <c r="AL3351">
        <v>-92.941846999999996</v>
      </c>
      <c r="AM3351">
        <v>100</v>
      </c>
      <c r="AN3351">
        <v>1300</v>
      </c>
      <c r="AO3351" t="s">
        <v>118</v>
      </c>
      <c r="AR3351">
        <v>0</v>
      </c>
      <c r="AZ3351">
        <v>1200</v>
      </c>
      <c r="BA3351">
        <v>1</v>
      </c>
      <c r="BB3351" t="str">
        <f t="shared" si="161"/>
        <v xml:space="preserve">N8080G  </v>
      </c>
      <c r="BC3351">
        <v>1</v>
      </c>
      <c r="BE3351">
        <v>0</v>
      </c>
      <c r="BF3351">
        <v>0</v>
      </c>
      <c r="BG3351">
        <v>0</v>
      </c>
      <c r="BI3351">
        <v>0</v>
      </c>
      <c r="BJ3351">
        <v>0</v>
      </c>
      <c r="BK3351">
        <v>0</v>
      </c>
      <c r="BL3351">
        <v>0</v>
      </c>
      <c r="BO3351">
        <v>0</v>
      </c>
      <c r="BP3351">
        <v>0</v>
      </c>
      <c r="BW3351" t="str">
        <f>"20:32:41.714"</f>
        <v>20:32:41.714</v>
      </c>
      <c r="BZ3351">
        <v>0</v>
      </c>
      <c r="CA3351">
        <v>1600</v>
      </c>
      <c r="CB3351">
        <v>224</v>
      </c>
      <c r="CD3351">
        <v>1</v>
      </c>
      <c r="CE3351">
        <v>0</v>
      </c>
      <c r="CF3351">
        <v>0</v>
      </c>
      <c r="CG3351">
        <v>1</v>
      </c>
      <c r="CH3351">
        <v>0</v>
      </c>
      <c r="CI3351">
        <v>0</v>
      </c>
      <c r="CJ3351">
        <v>0</v>
      </c>
      <c r="CK3351">
        <v>0</v>
      </c>
      <c r="CL3351">
        <v>0</v>
      </c>
      <c r="CM3351">
        <v>0</v>
      </c>
      <c r="CN3351">
        <v>0</v>
      </c>
      <c r="CO3351">
        <v>1</v>
      </c>
      <c r="CP3351" t="s">
        <v>119</v>
      </c>
      <c r="CQ3351">
        <v>179</v>
      </c>
      <c r="CR3351">
        <v>1</v>
      </c>
      <c r="CW3351">
        <v>9261057</v>
      </c>
      <c r="CY3351">
        <v>1</v>
      </c>
      <c r="CZ3351">
        <v>0</v>
      </c>
      <c r="DA3351">
        <v>0</v>
      </c>
      <c r="DB3351">
        <v>0</v>
      </c>
      <c r="DC3351">
        <v>0</v>
      </c>
      <c r="DD3351">
        <v>0</v>
      </c>
      <c r="DE3351">
        <v>0</v>
      </c>
      <c r="DF3351">
        <v>1</v>
      </c>
      <c r="DG3351">
        <v>1</v>
      </c>
      <c r="DH3351">
        <v>0</v>
      </c>
      <c r="DI3351">
        <v>0</v>
      </c>
    </row>
    <row r="3352" spans="1:113" x14ac:dyDescent="0.3">
      <c r="A3352" t="str">
        <f>"02/08/2021 20:32:39.660"</f>
        <v>02/08/2021 20:32:39.660</v>
      </c>
      <c r="C3352" t="str">
        <f t="shared" si="164"/>
        <v>FFDF57C0</v>
      </c>
      <c r="D3352" t="s">
        <v>113</v>
      </c>
      <c r="E3352">
        <v>6</v>
      </c>
      <c r="H3352">
        <v>165</v>
      </c>
      <c r="I3352" t="s">
        <v>114</v>
      </c>
      <c r="J3352" t="s">
        <v>115</v>
      </c>
      <c r="K3352">
        <v>0</v>
      </c>
      <c r="L3352">
        <v>3</v>
      </c>
      <c r="M3352">
        <v>0</v>
      </c>
      <c r="N3352">
        <v>2</v>
      </c>
      <c r="O3352">
        <v>1</v>
      </c>
      <c r="P3352">
        <v>0</v>
      </c>
      <c r="Q3352">
        <v>0</v>
      </c>
      <c r="S3352" t="str">
        <f>"20:32:41.711"</f>
        <v>20:32:41.711</v>
      </c>
      <c r="U3352" t="str">
        <f t="shared" si="163"/>
        <v>AB01F4</v>
      </c>
      <c r="V3352">
        <v>0</v>
      </c>
      <c r="W3352">
        <v>0</v>
      </c>
      <c r="X3352">
        <v>2</v>
      </c>
      <c r="Z3352">
        <v>0</v>
      </c>
      <c r="AA3352">
        <v>9</v>
      </c>
      <c r="AB3352">
        <v>3</v>
      </c>
      <c r="AC3352">
        <v>0</v>
      </c>
      <c r="AD3352">
        <v>10</v>
      </c>
      <c r="AE3352">
        <v>0</v>
      </c>
      <c r="AF3352">
        <v>3</v>
      </c>
      <c r="AG3352">
        <v>2</v>
      </c>
      <c r="AH3352">
        <v>0</v>
      </c>
      <c r="AI3352" t="s">
        <v>1925</v>
      </c>
      <c r="AJ3352">
        <v>40.073833</v>
      </c>
      <c r="AK3352" t="s">
        <v>1926</v>
      </c>
      <c r="AL3352">
        <v>-92.941846999999996</v>
      </c>
      <c r="AM3352">
        <v>100</v>
      </c>
      <c r="AN3352">
        <v>1300</v>
      </c>
      <c r="AO3352" t="s">
        <v>118</v>
      </c>
      <c r="AR3352">
        <v>0</v>
      </c>
      <c r="AZ3352">
        <v>1200</v>
      </c>
      <c r="BA3352">
        <v>1</v>
      </c>
      <c r="BB3352" t="str">
        <f t="shared" si="161"/>
        <v xml:space="preserve">N8080G  </v>
      </c>
      <c r="BC3352">
        <v>1</v>
      </c>
      <c r="BE3352">
        <v>0</v>
      </c>
      <c r="BF3352">
        <v>0</v>
      </c>
      <c r="BG3352">
        <v>0</v>
      </c>
      <c r="BI3352">
        <v>0</v>
      </c>
      <c r="BJ3352">
        <v>0</v>
      </c>
      <c r="BK3352">
        <v>0</v>
      </c>
      <c r="BL3352">
        <v>0</v>
      </c>
      <c r="BO3352">
        <v>0</v>
      </c>
      <c r="BP3352">
        <v>0</v>
      </c>
      <c r="BW3352" t="str">
        <f>"20:32:41.714"</f>
        <v>20:32:41.714</v>
      </c>
      <c r="BZ3352">
        <v>0</v>
      </c>
      <c r="CA3352">
        <v>1600</v>
      </c>
      <c r="CB3352">
        <v>224</v>
      </c>
      <c r="CD3352">
        <v>1</v>
      </c>
      <c r="CE3352">
        <v>0</v>
      </c>
      <c r="CF3352">
        <v>0</v>
      </c>
      <c r="CG3352">
        <v>1</v>
      </c>
      <c r="CH3352">
        <v>0</v>
      </c>
      <c r="CI3352">
        <v>0</v>
      </c>
      <c r="CJ3352">
        <v>0</v>
      </c>
      <c r="CK3352">
        <v>0</v>
      </c>
      <c r="CL3352">
        <v>0</v>
      </c>
      <c r="CM3352">
        <v>0</v>
      </c>
      <c r="CN3352">
        <v>0</v>
      </c>
      <c r="CO3352">
        <v>1</v>
      </c>
      <c r="CP3352" t="s">
        <v>119</v>
      </c>
      <c r="CQ3352">
        <v>179</v>
      </c>
      <c r="CR3352">
        <v>1</v>
      </c>
      <c r="CW3352">
        <v>9261057</v>
      </c>
      <c r="CY3352">
        <v>1</v>
      </c>
      <c r="CZ3352">
        <v>0</v>
      </c>
      <c r="DA3352">
        <v>1</v>
      </c>
      <c r="DB3352">
        <v>0</v>
      </c>
      <c r="DC3352">
        <v>0</v>
      </c>
      <c r="DD3352">
        <v>0</v>
      </c>
      <c r="DE3352">
        <v>0</v>
      </c>
      <c r="DF3352">
        <v>1</v>
      </c>
      <c r="DG3352">
        <v>1</v>
      </c>
      <c r="DH3352">
        <v>0</v>
      </c>
      <c r="DI3352">
        <v>0</v>
      </c>
    </row>
    <row r="3353" spans="1:113" x14ac:dyDescent="0.3">
      <c r="A3353" t="str">
        <f>"02/08/2021 20:32:39.660"</f>
        <v>02/08/2021 20:32:39.660</v>
      </c>
      <c r="C3353" t="str">
        <f t="shared" si="164"/>
        <v>FFDF57C0</v>
      </c>
      <c r="D3353" t="s">
        <v>124</v>
      </c>
      <c r="E3353">
        <v>13</v>
      </c>
      <c r="F3353">
        <v>1013</v>
      </c>
      <c r="G3353" t="s">
        <v>114</v>
      </c>
      <c r="J3353" t="s">
        <v>125</v>
      </c>
      <c r="K3353">
        <v>0</v>
      </c>
      <c r="L3353">
        <v>3</v>
      </c>
      <c r="M3353">
        <v>0</v>
      </c>
      <c r="N3353">
        <v>2</v>
      </c>
      <c r="O3353">
        <v>1</v>
      </c>
      <c r="P3353">
        <v>0</v>
      </c>
      <c r="Q3353">
        <v>0</v>
      </c>
      <c r="S3353" t="str">
        <f>"20:32:41.711"</f>
        <v>20:32:41.711</v>
      </c>
      <c r="U3353" t="str">
        <f t="shared" si="163"/>
        <v>AB01F4</v>
      </c>
      <c r="V3353">
        <v>0</v>
      </c>
      <c r="W3353">
        <v>0</v>
      </c>
      <c r="X3353">
        <v>2</v>
      </c>
      <c r="Z3353">
        <v>0</v>
      </c>
      <c r="AA3353">
        <v>9</v>
      </c>
      <c r="AB3353">
        <v>3</v>
      </c>
      <c r="AC3353">
        <v>0</v>
      </c>
      <c r="AD3353">
        <v>10</v>
      </c>
      <c r="AE3353">
        <v>0</v>
      </c>
      <c r="AF3353">
        <v>3</v>
      </c>
      <c r="AG3353">
        <v>2</v>
      </c>
      <c r="AH3353">
        <v>0</v>
      </c>
      <c r="AI3353" t="s">
        <v>1925</v>
      </c>
      <c r="AJ3353">
        <v>40.073833</v>
      </c>
      <c r="AK3353" t="s">
        <v>1926</v>
      </c>
      <c r="AL3353">
        <v>-92.941846999999996</v>
      </c>
      <c r="AM3353">
        <v>100</v>
      </c>
      <c r="AN3353">
        <v>1300</v>
      </c>
      <c r="AO3353" t="s">
        <v>118</v>
      </c>
      <c r="AR3353">
        <v>0</v>
      </c>
      <c r="AZ3353">
        <v>1200</v>
      </c>
      <c r="BA3353">
        <v>1</v>
      </c>
      <c r="BB3353" t="str">
        <f t="shared" si="161"/>
        <v xml:space="preserve">N8080G  </v>
      </c>
      <c r="BC3353">
        <v>1</v>
      </c>
      <c r="BE3353">
        <v>0</v>
      </c>
      <c r="BF3353">
        <v>0</v>
      </c>
      <c r="BG3353">
        <v>0</v>
      </c>
      <c r="BI3353">
        <v>0</v>
      </c>
      <c r="BJ3353">
        <v>0</v>
      </c>
      <c r="BK3353">
        <v>0</v>
      </c>
      <c r="BL3353">
        <v>0</v>
      </c>
      <c r="BO3353">
        <v>0</v>
      </c>
      <c r="BP3353">
        <v>0</v>
      </c>
      <c r="BW3353" t="str">
        <f>"20:32:41.714"</f>
        <v>20:32:41.714</v>
      </c>
      <c r="BZ3353">
        <v>0</v>
      </c>
      <c r="CA3353">
        <v>1600</v>
      </c>
      <c r="CB3353">
        <v>224</v>
      </c>
      <c r="CD3353">
        <v>1</v>
      </c>
      <c r="CE3353">
        <v>0</v>
      </c>
      <c r="CF3353">
        <v>0</v>
      </c>
      <c r="CG3353">
        <v>1</v>
      </c>
      <c r="CH3353">
        <v>0</v>
      </c>
      <c r="CI3353">
        <v>0</v>
      </c>
      <c r="CJ3353">
        <v>0</v>
      </c>
      <c r="CK3353">
        <v>0</v>
      </c>
      <c r="CL3353">
        <v>0</v>
      </c>
      <c r="CM3353">
        <v>0</v>
      </c>
      <c r="CN3353">
        <v>0</v>
      </c>
      <c r="CO3353">
        <v>1</v>
      </c>
      <c r="CP3353" t="s">
        <v>119</v>
      </c>
      <c r="CQ3353">
        <v>179</v>
      </c>
      <c r="CR3353">
        <v>1</v>
      </c>
      <c r="CW3353">
        <v>9261057</v>
      </c>
      <c r="CY3353">
        <v>1</v>
      </c>
      <c r="CZ3353">
        <v>0</v>
      </c>
      <c r="DA3353">
        <v>1</v>
      </c>
      <c r="DB3353">
        <v>0</v>
      </c>
      <c r="DC3353">
        <v>0</v>
      </c>
      <c r="DD3353">
        <v>0</v>
      </c>
      <c r="DE3353">
        <v>0</v>
      </c>
      <c r="DF3353">
        <v>1</v>
      </c>
      <c r="DG3353">
        <v>1</v>
      </c>
      <c r="DH3353">
        <v>0</v>
      </c>
      <c r="DI3353">
        <v>0</v>
      </c>
    </row>
    <row r="3354" spans="1:113" x14ac:dyDescent="0.3">
      <c r="A3354" t="str">
        <f>"02/08/2021 20:32:39.660"</f>
        <v>02/08/2021 20:32:39.660</v>
      </c>
      <c r="C3354" t="str">
        <f t="shared" si="164"/>
        <v>FFDF57C0</v>
      </c>
      <c r="D3354" t="s">
        <v>124</v>
      </c>
      <c r="E3354">
        <v>12</v>
      </c>
      <c r="F3354">
        <v>1012</v>
      </c>
      <c r="G3354" t="s">
        <v>675</v>
      </c>
      <c r="J3354" t="s">
        <v>125</v>
      </c>
      <c r="K3354">
        <v>0</v>
      </c>
      <c r="L3354">
        <v>3</v>
      </c>
      <c r="M3354">
        <v>0</v>
      </c>
      <c r="N3354">
        <v>2</v>
      </c>
      <c r="O3354">
        <v>1</v>
      </c>
      <c r="P3354">
        <v>0</v>
      </c>
      <c r="Q3354">
        <v>0</v>
      </c>
      <c r="S3354" t="str">
        <f>"20:32:41.711"</f>
        <v>20:32:41.711</v>
      </c>
      <c r="U3354" t="str">
        <f t="shared" si="163"/>
        <v>AB01F4</v>
      </c>
      <c r="V3354">
        <v>0</v>
      </c>
      <c r="W3354">
        <v>0</v>
      </c>
      <c r="X3354">
        <v>2</v>
      </c>
      <c r="Z3354">
        <v>0</v>
      </c>
      <c r="AA3354">
        <v>9</v>
      </c>
      <c r="AB3354">
        <v>3</v>
      </c>
      <c r="AC3354">
        <v>0</v>
      </c>
      <c r="AD3354">
        <v>10</v>
      </c>
      <c r="AE3354">
        <v>0</v>
      </c>
      <c r="AF3354">
        <v>3</v>
      </c>
      <c r="AG3354">
        <v>2</v>
      </c>
      <c r="AH3354">
        <v>0</v>
      </c>
      <c r="AI3354" t="s">
        <v>1925</v>
      </c>
      <c r="AJ3354">
        <v>40.073833</v>
      </c>
      <c r="AK3354" t="s">
        <v>1926</v>
      </c>
      <c r="AL3354">
        <v>-92.941846999999996</v>
      </c>
      <c r="AM3354">
        <v>100</v>
      </c>
      <c r="AN3354">
        <v>1300</v>
      </c>
      <c r="AO3354" t="s">
        <v>118</v>
      </c>
      <c r="AR3354">
        <v>0</v>
      </c>
      <c r="AZ3354">
        <v>1200</v>
      </c>
      <c r="BA3354">
        <v>1</v>
      </c>
      <c r="BB3354" t="str">
        <f t="shared" si="161"/>
        <v xml:space="preserve">N8080G  </v>
      </c>
      <c r="BC3354">
        <v>1</v>
      </c>
      <c r="BE3354">
        <v>0</v>
      </c>
      <c r="BF3354">
        <v>0</v>
      </c>
      <c r="BG3354">
        <v>0</v>
      </c>
      <c r="BI3354">
        <v>0</v>
      </c>
      <c r="BJ3354">
        <v>0</v>
      </c>
      <c r="BK3354">
        <v>0</v>
      </c>
      <c r="BL3354">
        <v>0</v>
      </c>
      <c r="BO3354">
        <v>0</v>
      </c>
      <c r="BP3354">
        <v>0</v>
      </c>
      <c r="BW3354" t="str">
        <f>"20:32:41.714"</f>
        <v>20:32:41.714</v>
      </c>
      <c r="BZ3354">
        <v>0</v>
      </c>
      <c r="CA3354">
        <v>1600</v>
      </c>
      <c r="CB3354">
        <v>224</v>
      </c>
      <c r="CD3354">
        <v>1</v>
      </c>
      <c r="CE3354">
        <v>0</v>
      </c>
      <c r="CF3354">
        <v>0</v>
      </c>
      <c r="CG3354">
        <v>1</v>
      </c>
      <c r="CH3354">
        <v>0</v>
      </c>
      <c r="CI3354">
        <v>0</v>
      </c>
      <c r="CJ3354">
        <v>0</v>
      </c>
      <c r="CK3354">
        <v>0</v>
      </c>
      <c r="CL3354">
        <v>0</v>
      </c>
      <c r="CM3354">
        <v>0</v>
      </c>
      <c r="CN3354">
        <v>0</v>
      </c>
      <c r="CO3354">
        <v>1</v>
      </c>
      <c r="CP3354" t="s">
        <v>119</v>
      </c>
      <c r="CQ3354">
        <v>179</v>
      </c>
      <c r="CR3354">
        <v>1</v>
      </c>
      <c r="CW3354">
        <v>9261057</v>
      </c>
      <c r="CY3354">
        <v>1</v>
      </c>
      <c r="CZ3354">
        <v>0</v>
      </c>
      <c r="DA3354">
        <v>1</v>
      </c>
      <c r="DB3354">
        <v>0</v>
      </c>
      <c r="DC3354">
        <v>0</v>
      </c>
      <c r="DD3354">
        <v>0</v>
      </c>
      <c r="DE3354">
        <v>0</v>
      </c>
      <c r="DF3354">
        <v>1</v>
      </c>
      <c r="DG3354">
        <v>1</v>
      </c>
      <c r="DH3354">
        <v>0</v>
      </c>
      <c r="DI3354">
        <v>0</v>
      </c>
    </row>
    <row r="3355" spans="1:113" x14ac:dyDescent="0.3">
      <c r="A3355" t="str">
        <f>"02/08/2021 20:32:40.710"</f>
        <v>02/08/2021 20:32:40.710</v>
      </c>
      <c r="C3355" t="str">
        <f t="shared" si="164"/>
        <v>FFDF57C0</v>
      </c>
      <c r="D3355" t="s">
        <v>124</v>
      </c>
      <c r="E3355">
        <v>12</v>
      </c>
      <c r="F3355">
        <v>1012</v>
      </c>
      <c r="G3355" t="s">
        <v>675</v>
      </c>
      <c r="J3355" t="s">
        <v>125</v>
      </c>
      <c r="K3355">
        <v>0</v>
      </c>
      <c r="L3355">
        <v>3</v>
      </c>
      <c r="M3355">
        <v>0</v>
      </c>
      <c r="N3355">
        <v>2</v>
      </c>
      <c r="O3355">
        <v>1</v>
      </c>
      <c r="P3355">
        <v>0</v>
      </c>
      <c r="Q3355">
        <v>0</v>
      </c>
      <c r="S3355" t="str">
        <f>"20:32:42.758"</f>
        <v>20:32:42.758</v>
      </c>
      <c r="U3355" t="str">
        <f t="shared" si="163"/>
        <v>AB01F4</v>
      </c>
      <c r="V3355">
        <v>0</v>
      </c>
      <c r="W3355">
        <v>0</v>
      </c>
      <c r="X3355">
        <v>2</v>
      </c>
      <c r="Z3355">
        <v>0</v>
      </c>
      <c r="AA3355">
        <v>9</v>
      </c>
      <c r="AB3355">
        <v>3</v>
      </c>
      <c r="AC3355">
        <v>0</v>
      </c>
      <c r="AD3355">
        <v>10</v>
      </c>
      <c r="AE3355">
        <v>0</v>
      </c>
      <c r="AF3355">
        <v>3</v>
      </c>
      <c r="AG3355">
        <v>2</v>
      </c>
      <c r="AH3355">
        <v>0</v>
      </c>
      <c r="AI3355" t="s">
        <v>1927</v>
      </c>
      <c r="AJ3355">
        <v>40.074241000000001</v>
      </c>
      <c r="AK3355" t="s">
        <v>1928</v>
      </c>
      <c r="AL3355">
        <v>-92.942511999999994</v>
      </c>
      <c r="AM3355">
        <v>100</v>
      </c>
      <c r="AN3355">
        <v>1300</v>
      </c>
      <c r="AO3355" t="s">
        <v>118</v>
      </c>
      <c r="AR3355">
        <v>0</v>
      </c>
      <c r="AZ3355">
        <v>1200</v>
      </c>
      <c r="BA3355">
        <v>1</v>
      </c>
      <c r="BB3355" t="str">
        <f t="shared" si="161"/>
        <v xml:space="preserve">N8080G  </v>
      </c>
      <c r="BC3355">
        <v>1</v>
      </c>
      <c r="BE3355">
        <v>0</v>
      </c>
      <c r="BF3355">
        <v>0</v>
      </c>
      <c r="BG3355">
        <v>0</v>
      </c>
      <c r="BI3355">
        <v>0</v>
      </c>
      <c r="BJ3355">
        <v>0</v>
      </c>
      <c r="BK3355">
        <v>0</v>
      </c>
      <c r="BL3355">
        <v>0</v>
      </c>
      <c r="BO3355">
        <v>0</v>
      </c>
      <c r="BP3355">
        <v>0</v>
      </c>
      <c r="BW3355" t="str">
        <f>"20:32:42.759"</f>
        <v>20:32:42.759</v>
      </c>
      <c r="BZ3355">
        <v>0</v>
      </c>
      <c r="CA3355">
        <v>1600</v>
      </c>
      <c r="CB3355">
        <v>224</v>
      </c>
      <c r="CD3355">
        <v>1</v>
      </c>
      <c r="CE3355">
        <v>0</v>
      </c>
      <c r="CF3355">
        <v>0</v>
      </c>
      <c r="CG3355">
        <v>1</v>
      </c>
      <c r="CH3355">
        <v>0</v>
      </c>
      <c r="CI3355">
        <v>0</v>
      </c>
      <c r="CJ3355">
        <v>0</v>
      </c>
      <c r="CK3355">
        <v>0</v>
      </c>
      <c r="CL3355">
        <v>0</v>
      </c>
      <c r="CM3355">
        <v>0</v>
      </c>
      <c r="CN3355">
        <v>0</v>
      </c>
      <c r="CO3355">
        <v>1</v>
      </c>
      <c r="CP3355" t="s">
        <v>119</v>
      </c>
      <c r="CQ3355">
        <v>179</v>
      </c>
      <c r="CR3355">
        <v>1</v>
      </c>
      <c r="CW3355">
        <v>9262098</v>
      </c>
      <c r="CY3355">
        <v>1</v>
      </c>
      <c r="CZ3355">
        <v>0</v>
      </c>
      <c r="DA3355">
        <v>0</v>
      </c>
      <c r="DB3355">
        <v>0</v>
      </c>
      <c r="DC3355">
        <v>0</v>
      </c>
      <c r="DD3355">
        <v>0</v>
      </c>
      <c r="DE3355">
        <v>0</v>
      </c>
      <c r="DF3355">
        <v>1</v>
      </c>
      <c r="DG3355">
        <v>1</v>
      </c>
      <c r="DH3355">
        <v>0</v>
      </c>
      <c r="DI3355">
        <v>0</v>
      </c>
    </row>
    <row r="3356" spans="1:113" x14ac:dyDescent="0.3">
      <c r="A3356" t="str">
        <f>"02/08/2021 20:32:40.710"</f>
        <v>02/08/2021 20:32:40.710</v>
      </c>
      <c r="C3356" t="str">
        <f t="shared" si="164"/>
        <v>FFDF57C0</v>
      </c>
      <c r="D3356" t="s">
        <v>124</v>
      </c>
      <c r="E3356">
        <v>11</v>
      </c>
      <c r="F3356">
        <v>1011</v>
      </c>
      <c r="G3356" t="s">
        <v>590</v>
      </c>
      <c r="J3356" t="s">
        <v>125</v>
      </c>
      <c r="K3356">
        <v>0</v>
      </c>
      <c r="L3356">
        <v>3</v>
      </c>
      <c r="M3356">
        <v>0</v>
      </c>
      <c r="N3356">
        <v>2</v>
      </c>
      <c r="O3356">
        <v>1</v>
      </c>
      <c r="P3356">
        <v>0</v>
      </c>
      <c r="Q3356">
        <v>0</v>
      </c>
      <c r="S3356" t="str">
        <f>"20:32:42.758"</f>
        <v>20:32:42.758</v>
      </c>
      <c r="U3356" t="str">
        <f t="shared" si="163"/>
        <v>AB01F4</v>
      </c>
      <c r="V3356">
        <v>0</v>
      </c>
      <c r="W3356">
        <v>0</v>
      </c>
      <c r="X3356">
        <v>2</v>
      </c>
      <c r="Z3356">
        <v>0</v>
      </c>
      <c r="AA3356">
        <v>9</v>
      </c>
      <c r="AB3356">
        <v>3</v>
      </c>
      <c r="AC3356">
        <v>0</v>
      </c>
      <c r="AD3356">
        <v>10</v>
      </c>
      <c r="AE3356">
        <v>0</v>
      </c>
      <c r="AF3356">
        <v>3</v>
      </c>
      <c r="AG3356">
        <v>2</v>
      </c>
      <c r="AH3356">
        <v>0</v>
      </c>
      <c r="AI3356" t="s">
        <v>1927</v>
      </c>
      <c r="AJ3356">
        <v>40.074241000000001</v>
      </c>
      <c r="AK3356" t="s">
        <v>1928</v>
      </c>
      <c r="AL3356">
        <v>-92.942511999999994</v>
      </c>
      <c r="AM3356">
        <v>100</v>
      </c>
      <c r="AN3356">
        <v>1300</v>
      </c>
      <c r="AO3356" t="s">
        <v>118</v>
      </c>
      <c r="AR3356">
        <v>0</v>
      </c>
      <c r="AZ3356">
        <v>1200</v>
      </c>
      <c r="BA3356">
        <v>1</v>
      </c>
      <c r="BB3356" t="str">
        <f t="shared" si="161"/>
        <v xml:space="preserve">N8080G  </v>
      </c>
      <c r="BC3356">
        <v>1</v>
      </c>
      <c r="BE3356">
        <v>0</v>
      </c>
      <c r="BF3356">
        <v>0</v>
      </c>
      <c r="BG3356">
        <v>0</v>
      </c>
      <c r="BI3356">
        <v>0</v>
      </c>
      <c r="BJ3356">
        <v>0</v>
      </c>
      <c r="BK3356">
        <v>0</v>
      </c>
      <c r="BL3356">
        <v>0</v>
      </c>
      <c r="BO3356">
        <v>0</v>
      </c>
      <c r="BP3356">
        <v>0</v>
      </c>
      <c r="BW3356" t="str">
        <f>"20:32:42.759"</f>
        <v>20:32:42.759</v>
      </c>
      <c r="BZ3356">
        <v>0</v>
      </c>
      <c r="CA3356">
        <v>1600</v>
      </c>
      <c r="CB3356">
        <v>224</v>
      </c>
      <c r="CD3356">
        <v>1</v>
      </c>
      <c r="CE3356">
        <v>0</v>
      </c>
      <c r="CF3356">
        <v>0</v>
      </c>
      <c r="CG3356">
        <v>1</v>
      </c>
      <c r="CH3356">
        <v>0</v>
      </c>
      <c r="CI3356">
        <v>0</v>
      </c>
      <c r="CJ3356">
        <v>0</v>
      </c>
      <c r="CK3356">
        <v>0</v>
      </c>
      <c r="CL3356">
        <v>0</v>
      </c>
      <c r="CM3356">
        <v>0</v>
      </c>
      <c r="CN3356">
        <v>0</v>
      </c>
      <c r="CO3356">
        <v>1</v>
      </c>
      <c r="CP3356" t="s">
        <v>119</v>
      </c>
      <c r="CQ3356">
        <v>179</v>
      </c>
      <c r="CR3356">
        <v>1</v>
      </c>
      <c r="CW3356">
        <v>9262098</v>
      </c>
      <c r="CY3356">
        <v>1</v>
      </c>
      <c r="CZ3356">
        <v>0</v>
      </c>
      <c r="DA3356">
        <v>1</v>
      </c>
      <c r="DB3356">
        <v>0</v>
      </c>
      <c r="DC3356">
        <v>0</v>
      </c>
      <c r="DD3356">
        <v>0</v>
      </c>
      <c r="DE3356">
        <v>0</v>
      </c>
      <c r="DF3356">
        <v>1</v>
      </c>
      <c r="DG3356">
        <v>1</v>
      </c>
      <c r="DH3356">
        <v>0</v>
      </c>
      <c r="DI3356">
        <v>0</v>
      </c>
    </row>
    <row r="3357" spans="1:113" x14ac:dyDescent="0.3">
      <c r="A3357" t="str">
        <f>"02/08/2021 20:32:40.710"</f>
        <v>02/08/2021 20:32:40.710</v>
      </c>
      <c r="C3357" t="str">
        <f t="shared" si="164"/>
        <v>FFDF57C0</v>
      </c>
      <c r="D3357" t="s">
        <v>124</v>
      </c>
      <c r="E3357">
        <v>13</v>
      </c>
      <c r="F3357">
        <v>1013</v>
      </c>
      <c r="G3357" t="s">
        <v>114</v>
      </c>
      <c r="J3357" t="s">
        <v>125</v>
      </c>
      <c r="K3357">
        <v>0</v>
      </c>
      <c r="L3357">
        <v>3</v>
      </c>
      <c r="M3357">
        <v>0</v>
      </c>
      <c r="N3357">
        <v>2</v>
      </c>
      <c r="O3357">
        <v>1</v>
      </c>
      <c r="P3357">
        <v>0</v>
      </c>
      <c r="Q3357">
        <v>0</v>
      </c>
      <c r="S3357" t="str">
        <f>"20:32:42.758"</f>
        <v>20:32:42.758</v>
      </c>
      <c r="U3357" t="str">
        <f t="shared" si="163"/>
        <v>AB01F4</v>
      </c>
      <c r="V3357">
        <v>0</v>
      </c>
      <c r="W3357">
        <v>0</v>
      </c>
      <c r="X3357">
        <v>2</v>
      </c>
      <c r="Z3357">
        <v>0</v>
      </c>
      <c r="AA3357">
        <v>9</v>
      </c>
      <c r="AB3357">
        <v>3</v>
      </c>
      <c r="AC3357">
        <v>0</v>
      </c>
      <c r="AD3357">
        <v>10</v>
      </c>
      <c r="AE3357">
        <v>0</v>
      </c>
      <c r="AF3357">
        <v>3</v>
      </c>
      <c r="AG3357">
        <v>2</v>
      </c>
      <c r="AH3357">
        <v>0</v>
      </c>
      <c r="AI3357" t="s">
        <v>1927</v>
      </c>
      <c r="AJ3357">
        <v>40.074241000000001</v>
      </c>
      <c r="AK3357" t="s">
        <v>1928</v>
      </c>
      <c r="AL3357">
        <v>-92.942511999999994</v>
      </c>
      <c r="AM3357">
        <v>100</v>
      </c>
      <c r="AN3357">
        <v>1300</v>
      </c>
      <c r="AO3357" t="s">
        <v>118</v>
      </c>
      <c r="AR3357">
        <v>0</v>
      </c>
      <c r="AZ3357">
        <v>1200</v>
      </c>
      <c r="BA3357">
        <v>1</v>
      </c>
      <c r="BB3357" t="str">
        <f t="shared" si="161"/>
        <v xml:space="preserve">N8080G  </v>
      </c>
      <c r="BC3357">
        <v>1</v>
      </c>
      <c r="BE3357">
        <v>0</v>
      </c>
      <c r="BF3357">
        <v>0</v>
      </c>
      <c r="BG3357">
        <v>0</v>
      </c>
      <c r="BI3357">
        <v>0</v>
      </c>
      <c r="BJ3357">
        <v>0</v>
      </c>
      <c r="BK3357">
        <v>0</v>
      </c>
      <c r="BL3357">
        <v>0</v>
      </c>
      <c r="BO3357">
        <v>0</v>
      </c>
      <c r="BP3357">
        <v>0</v>
      </c>
      <c r="BW3357" t="str">
        <f>"20:32:42.759"</f>
        <v>20:32:42.759</v>
      </c>
      <c r="BZ3357">
        <v>0</v>
      </c>
      <c r="CA3357">
        <v>1600</v>
      </c>
      <c r="CB3357">
        <v>224</v>
      </c>
      <c r="CD3357">
        <v>1</v>
      </c>
      <c r="CE3357">
        <v>0</v>
      </c>
      <c r="CF3357">
        <v>0</v>
      </c>
      <c r="CG3357">
        <v>1</v>
      </c>
      <c r="CH3357">
        <v>0</v>
      </c>
      <c r="CI3357">
        <v>0</v>
      </c>
      <c r="CJ3357">
        <v>0</v>
      </c>
      <c r="CK3357">
        <v>0</v>
      </c>
      <c r="CL3357">
        <v>0</v>
      </c>
      <c r="CM3357">
        <v>0</v>
      </c>
      <c r="CN3357">
        <v>0</v>
      </c>
      <c r="CO3357">
        <v>1</v>
      </c>
      <c r="CP3357" t="s">
        <v>119</v>
      </c>
      <c r="CQ3357">
        <v>179</v>
      </c>
      <c r="CR3357">
        <v>1</v>
      </c>
      <c r="CW3357">
        <v>9262098</v>
      </c>
      <c r="CY3357">
        <v>1</v>
      </c>
      <c r="CZ3357">
        <v>0</v>
      </c>
      <c r="DA3357">
        <v>1</v>
      </c>
      <c r="DB3357">
        <v>0</v>
      </c>
      <c r="DC3357">
        <v>0</v>
      </c>
      <c r="DD3357">
        <v>0</v>
      </c>
      <c r="DE3357">
        <v>0</v>
      </c>
      <c r="DF3357">
        <v>1</v>
      </c>
      <c r="DG3357">
        <v>1</v>
      </c>
      <c r="DH3357">
        <v>0</v>
      </c>
      <c r="DI3357">
        <v>0</v>
      </c>
    </row>
    <row r="3358" spans="1:113" x14ac:dyDescent="0.3">
      <c r="A3358" t="str">
        <f>"02/08/2021 20:32:40.710"</f>
        <v>02/08/2021 20:32:40.710</v>
      </c>
      <c r="C3358" t="str">
        <f t="shared" si="164"/>
        <v>FFDF57C0</v>
      </c>
      <c r="D3358" t="s">
        <v>113</v>
      </c>
      <c r="E3358">
        <v>6</v>
      </c>
      <c r="H3358">
        <v>165</v>
      </c>
      <c r="I3358" t="s">
        <v>114</v>
      </c>
      <c r="J3358" t="s">
        <v>115</v>
      </c>
      <c r="K3358">
        <v>0</v>
      </c>
      <c r="L3358">
        <v>3</v>
      </c>
      <c r="M3358">
        <v>0</v>
      </c>
      <c r="N3358">
        <v>2</v>
      </c>
      <c r="O3358">
        <v>1</v>
      </c>
      <c r="P3358">
        <v>0</v>
      </c>
      <c r="Q3358">
        <v>0</v>
      </c>
      <c r="S3358" t="str">
        <f>"20:32:42.758"</f>
        <v>20:32:42.758</v>
      </c>
      <c r="U3358" t="str">
        <f t="shared" si="163"/>
        <v>AB01F4</v>
      </c>
      <c r="V3358">
        <v>0</v>
      </c>
      <c r="W3358">
        <v>0</v>
      </c>
      <c r="X3358">
        <v>2</v>
      </c>
      <c r="Z3358">
        <v>0</v>
      </c>
      <c r="AA3358">
        <v>9</v>
      </c>
      <c r="AB3358">
        <v>3</v>
      </c>
      <c r="AC3358">
        <v>0</v>
      </c>
      <c r="AD3358">
        <v>10</v>
      </c>
      <c r="AE3358">
        <v>0</v>
      </c>
      <c r="AF3358">
        <v>3</v>
      </c>
      <c r="AG3358">
        <v>2</v>
      </c>
      <c r="AH3358">
        <v>0</v>
      </c>
      <c r="AI3358" t="s">
        <v>1927</v>
      </c>
      <c r="AJ3358">
        <v>40.074241000000001</v>
      </c>
      <c r="AK3358" t="s">
        <v>1928</v>
      </c>
      <c r="AL3358">
        <v>-92.942511999999994</v>
      </c>
      <c r="AM3358">
        <v>100</v>
      </c>
      <c r="AN3358">
        <v>1300</v>
      </c>
      <c r="AO3358" t="s">
        <v>118</v>
      </c>
      <c r="AR3358">
        <v>0</v>
      </c>
      <c r="AZ3358">
        <v>1200</v>
      </c>
      <c r="BA3358">
        <v>1</v>
      </c>
      <c r="BB3358" t="str">
        <f t="shared" si="161"/>
        <v xml:space="preserve">N8080G  </v>
      </c>
      <c r="BC3358">
        <v>1</v>
      </c>
      <c r="BE3358">
        <v>0</v>
      </c>
      <c r="BF3358">
        <v>0</v>
      </c>
      <c r="BG3358">
        <v>0</v>
      </c>
      <c r="BI3358">
        <v>0</v>
      </c>
      <c r="BJ3358">
        <v>0</v>
      </c>
      <c r="BK3358">
        <v>0</v>
      </c>
      <c r="BL3358">
        <v>0</v>
      </c>
      <c r="BO3358">
        <v>0</v>
      </c>
      <c r="BP3358">
        <v>0</v>
      </c>
      <c r="BW3358" t="str">
        <f>"20:32:42.759"</f>
        <v>20:32:42.759</v>
      </c>
      <c r="BZ3358">
        <v>0</v>
      </c>
      <c r="CA3358">
        <v>1600</v>
      </c>
      <c r="CB3358">
        <v>224</v>
      </c>
      <c r="CD3358">
        <v>1</v>
      </c>
      <c r="CE3358">
        <v>0</v>
      </c>
      <c r="CF3358">
        <v>0</v>
      </c>
      <c r="CG3358">
        <v>1</v>
      </c>
      <c r="CH3358">
        <v>0</v>
      </c>
      <c r="CI3358">
        <v>0</v>
      </c>
      <c r="CJ3358">
        <v>0</v>
      </c>
      <c r="CK3358">
        <v>0</v>
      </c>
      <c r="CL3358">
        <v>0</v>
      </c>
      <c r="CM3358">
        <v>0</v>
      </c>
      <c r="CN3358">
        <v>0</v>
      </c>
      <c r="CO3358">
        <v>1</v>
      </c>
      <c r="CP3358" t="s">
        <v>119</v>
      </c>
      <c r="CQ3358">
        <v>179</v>
      </c>
      <c r="CR3358">
        <v>1</v>
      </c>
      <c r="CW3358">
        <v>9262098</v>
      </c>
      <c r="CY3358">
        <v>1</v>
      </c>
      <c r="CZ3358">
        <v>0</v>
      </c>
      <c r="DA3358">
        <v>1</v>
      </c>
      <c r="DB3358">
        <v>0</v>
      </c>
      <c r="DC3358">
        <v>0</v>
      </c>
      <c r="DD3358">
        <v>0</v>
      </c>
      <c r="DE3358">
        <v>0</v>
      </c>
      <c r="DF3358">
        <v>1</v>
      </c>
      <c r="DG3358">
        <v>1</v>
      </c>
      <c r="DH3358">
        <v>0</v>
      </c>
      <c r="DI3358">
        <v>0</v>
      </c>
    </row>
    <row r="3359" spans="1:113" x14ac:dyDescent="0.3">
      <c r="A3359" t="str">
        <f>"02/08/2021 20:32:44.027"</f>
        <v>02/08/2021 20:32:44.027</v>
      </c>
      <c r="C3359" t="str">
        <f t="shared" ref="C3359:C3390" si="165">"FFDFD7C0"</f>
        <v>FFDFD7C0</v>
      </c>
      <c r="D3359" t="s">
        <v>113</v>
      </c>
      <c r="E3359">
        <v>6</v>
      </c>
      <c r="H3359">
        <v>165</v>
      </c>
      <c r="I3359" t="s">
        <v>114</v>
      </c>
      <c r="J3359" t="s">
        <v>115</v>
      </c>
      <c r="K3359">
        <v>0</v>
      </c>
      <c r="L3359">
        <v>3</v>
      </c>
      <c r="M3359">
        <v>0</v>
      </c>
      <c r="N3359">
        <v>2</v>
      </c>
      <c r="O3359">
        <v>1</v>
      </c>
      <c r="P3359">
        <v>0</v>
      </c>
      <c r="Q3359">
        <v>0</v>
      </c>
      <c r="S3359" t="str">
        <f>"20:32:46.352"</f>
        <v>20:32:46.352</v>
      </c>
      <c r="T3359" t="str">
        <f>"20:32:45.852"</f>
        <v>20:32:45.852</v>
      </c>
      <c r="U3359" t="str">
        <f t="shared" si="163"/>
        <v>AB01F4</v>
      </c>
      <c r="V3359">
        <v>0</v>
      </c>
      <c r="W3359">
        <v>0</v>
      </c>
      <c r="X3359">
        <v>2</v>
      </c>
      <c r="Z3359">
        <v>0</v>
      </c>
      <c r="AA3359">
        <v>9</v>
      </c>
      <c r="AB3359">
        <v>3</v>
      </c>
      <c r="AC3359">
        <v>0</v>
      </c>
      <c r="AD3359">
        <v>10</v>
      </c>
      <c r="AE3359">
        <v>0</v>
      </c>
      <c r="AF3359">
        <v>3</v>
      </c>
      <c r="AG3359">
        <v>2</v>
      </c>
      <c r="AH3359">
        <v>0</v>
      </c>
      <c r="AI3359" t="s">
        <v>1929</v>
      </c>
      <c r="AJ3359">
        <v>40.075507000000002</v>
      </c>
      <c r="AK3359" t="s">
        <v>1930</v>
      </c>
      <c r="AL3359">
        <v>-92.944828999999999</v>
      </c>
      <c r="AM3359">
        <v>100</v>
      </c>
      <c r="AN3359">
        <v>1300</v>
      </c>
      <c r="AO3359" t="s">
        <v>118</v>
      </c>
      <c r="AP3359">
        <v>-104</v>
      </c>
      <c r="AQ3359">
        <v>77</v>
      </c>
      <c r="AR3359">
        <v>128</v>
      </c>
      <c r="AZ3359">
        <v>1200</v>
      </c>
      <c r="BA3359">
        <v>1</v>
      </c>
      <c r="BB3359" t="str">
        <f t="shared" si="161"/>
        <v xml:space="preserve">N8080G  </v>
      </c>
      <c r="BC3359">
        <v>1</v>
      </c>
      <c r="BE3359">
        <v>0</v>
      </c>
      <c r="BF3359">
        <v>0</v>
      </c>
      <c r="BG3359">
        <v>0</v>
      </c>
      <c r="BH3359">
        <v>1350</v>
      </c>
      <c r="BI3359">
        <v>1</v>
      </c>
      <c r="BJ3359">
        <v>1</v>
      </c>
      <c r="BK3359">
        <v>1</v>
      </c>
      <c r="BL3359">
        <v>0</v>
      </c>
      <c r="BO3359">
        <v>0</v>
      </c>
      <c r="BP3359">
        <v>0</v>
      </c>
      <c r="BW3359" t="str">
        <f>"20:32:46.354"</f>
        <v>20:32:46.354</v>
      </c>
      <c r="BZ3359">
        <v>0</v>
      </c>
      <c r="CA3359">
        <v>1600</v>
      </c>
      <c r="CB3359">
        <v>224</v>
      </c>
      <c r="CD3359">
        <v>1</v>
      </c>
      <c r="CE3359">
        <v>0</v>
      </c>
      <c r="CF3359">
        <v>0</v>
      </c>
      <c r="CG3359">
        <v>1</v>
      </c>
      <c r="CH3359">
        <v>0</v>
      </c>
      <c r="CI3359">
        <v>0</v>
      </c>
      <c r="CJ3359">
        <v>0</v>
      </c>
      <c r="CK3359">
        <v>2</v>
      </c>
      <c r="CL3359">
        <v>0</v>
      </c>
      <c r="CM3359">
        <v>2</v>
      </c>
      <c r="CN3359">
        <v>0</v>
      </c>
      <c r="CO3359">
        <v>7</v>
      </c>
      <c r="CP3359" t="s">
        <v>119</v>
      </c>
      <c r="CQ3359">
        <v>180</v>
      </c>
      <c r="CR3359">
        <v>3</v>
      </c>
      <c r="CW3359">
        <v>1138761</v>
      </c>
      <c r="CY3359">
        <v>1</v>
      </c>
      <c r="CZ3359">
        <v>0</v>
      </c>
      <c r="DA3359">
        <v>0</v>
      </c>
      <c r="DB3359">
        <v>0</v>
      </c>
      <c r="DC3359">
        <v>0</v>
      </c>
      <c r="DD3359">
        <v>0</v>
      </c>
      <c r="DE3359">
        <v>0</v>
      </c>
      <c r="DF3359">
        <v>0</v>
      </c>
      <c r="DG3359">
        <v>0</v>
      </c>
      <c r="DH3359">
        <v>0</v>
      </c>
      <c r="DI3359">
        <v>0</v>
      </c>
    </row>
    <row r="3360" spans="1:113" x14ac:dyDescent="0.3">
      <c r="A3360" t="str">
        <f>"02/08/2021 20:32:44.027"</f>
        <v>02/08/2021 20:32:44.027</v>
      </c>
      <c r="C3360" t="str">
        <f t="shared" si="165"/>
        <v>FFDFD7C0</v>
      </c>
      <c r="D3360" t="s">
        <v>124</v>
      </c>
      <c r="E3360">
        <v>12</v>
      </c>
      <c r="F3360">
        <v>1012</v>
      </c>
      <c r="G3360" t="s">
        <v>675</v>
      </c>
      <c r="J3360" t="s">
        <v>125</v>
      </c>
      <c r="K3360">
        <v>0</v>
      </c>
      <c r="L3360">
        <v>3</v>
      </c>
      <c r="M3360">
        <v>0</v>
      </c>
      <c r="N3360">
        <v>2</v>
      </c>
      <c r="O3360">
        <v>1</v>
      </c>
      <c r="P3360">
        <v>0</v>
      </c>
      <c r="Q3360">
        <v>0</v>
      </c>
      <c r="S3360" t="str">
        <f>"20:32:46.352"</f>
        <v>20:32:46.352</v>
      </c>
      <c r="T3360" t="str">
        <f>"20:32:45.852"</f>
        <v>20:32:45.852</v>
      </c>
      <c r="U3360" t="str">
        <f t="shared" si="163"/>
        <v>AB01F4</v>
      </c>
      <c r="V3360">
        <v>0</v>
      </c>
      <c r="W3360">
        <v>0</v>
      </c>
      <c r="X3360">
        <v>2</v>
      </c>
      <c r="Z3360">
        <v>0</v>
      </c>
      <c r="AA3360">
        <v>9</v>
      </c>
      <c r="AB3360">
        <v>3</v>
      </c>
      <c r="AC3360">
        <v>0</v>
      </c>
      <c r="AD3360">
        <v>10</v>
      </c>
      <c r="AE3360">
        <v>0</v>
      </c>
      <c r="AF3360">
        <v>3</v>
      </c>
      <c r="AG3360">
        <v>2</v>
      </c>
      <c r="AH3360">
        <v>0</v>
      </c>
      <c r="AI3360" t="s">
        <v>1929</v>
      </c>
      <c r="AJ3360">
        <v>40.075507000000002</v>
      </c>
      <c r="AK3360" t="s">
        <v>1930</v>
      </c>
      <c r="AL3360">
        <v>-92.944828999999999</v>
      </c>
      <c r="AM3360">
        <v>100</v>
      </c>
      <c r="AN3360">
        <v>1300</v>
      </c>
      <c r="AO3360" t="s">
        <v>118</v>
      </c>
      <c r="AP3360">
        <v>-104</v>
      </c>
      <c r="AQ3360">
        <v>77</v>
      </c>
      <c r="AR3360">
        <v>128</v>
      </c>
      <c r="AZ3360">
        <v>1200</v>
      </c>
      <c r="BA3360">
        <v>1</v>
      </c>
      <c r="BB3360" t="str">
        <f t="shared" si="161"/>
        <v xml:space="preserve">N8080G  </v>
      </c>
      <c r="BC3360">
        <v>1</v>
      </c>
      <c r="BE3360">
        <v>0</v>
      </c>
      <c r="BF3360">
        <v>0</v>
      </c>
      <c r="BG3360">
        <v>0</v>
      </c>
      <c r="BH3360">
        <v>1350</v>
      </c>
      <c r="BI3360">
        <v>1</v>
      </c>
      <c r="BJ3360">
        <v>1</v>
      </c>
      <c r="BK3360">
        <v>1</v>
      </c>
      <c r="BL3360">
        <v>0</v>
      </c>
      <c r="BO3360">
        <v>0</v>
      </c>
      <c r="BP3360">
        <v>0</v>
      </c>
      <c r="BW3360" t="str">
        <f>"20:32:46.354"</f>
        <v>20:32:46.354</v>
      </c>
      <c r="BZ3360">
        <v>0</v>
      </c>
      <c r="CA3360">
        <v>1600</v>
      </c>
      <c r="CB3360">
        <v>224</v>
      </c>
      <c r="CD3360">
        <v>1</v>
      </c>
      <c r="CE3360">
        <v>0</v>
      </c>
      <c r="CF3360">
        <v>0</v>
      </c>
      <c r="CG3360">
        <v>1</v>
      </c>
      <c r="CH3360">
        <v>0</v>
      </c>
      <c r="CI3360">
        <v>0</v>
      </c>
      <c r="CJ3360">
        <v>0</v>
      </c>
      <c r="CK3360">
        <v>2</v>
      </c>
      <c r="CL3360">
        <v>0</v>
      </c>
      <c r="CM3360">
        <v>2</v>
      </c>
      <c r="CN3360">
        <v>0</v>
      </c>
      <c r="CO3360">
        <v>7</v>
      </c>
      <c r="CP3360" t="s">
        <v>119</v>
      </c>
      <c r="CQ3360">
        <v>180</v>
      </c>
      <c r="CR3360">
        <v>3</v>
      </c>
      <c r="CW3360">
        <v>1138761</v>
      </c>
      <c r="CY3360">
        <v>1</v>
      </c>
      <c r="CZ3360">
        <v>0</v>
      </c>
      <c r="DA3360">
        <v>1</v>
      </c>
      <c r="DB3360">
        <v>0</v>
      </c>
      <c r="DC3360">
        <v>0</v>
      </c>
      <c r="DD3360">
        <v>0</v>
      </c>
      <c r="DE3360">
        <v>0</v>
      </c>
      <c r="DF3360">
        <v>0</v>
      </c>
      <c r="DG3360">
        <v>0</v>
      </c>
      <c r="DH3360">
        <v>0</v>
      </c>
      <c r="DI3360">
        <v>0</v>
      </c>
    </row>
    <row r="3361" spans="1:113" x14ac:dyDescent="0.3">
      <c r="A3361" t="str">
        <f>"02/08/2021 20:32:44.027"</f>
        <v>02/08/2021 20:32:44.027</v>
      </c>
      <c r="C3361" t="str">
        <f t="shared" si="165"/>
        <v>FFDFD7C0</v>
      </c>
      <c r="D3361" t="s">
        <v>124</v>
      </c>
      <c r="E3361">
        <v>11</v>
      </c>
      <c r="F3361">
        <v>1011</v>
      </c>
      <c r="G3361" t="s">
        <v>590</v>
      </c>
      <c r="J3361" t="s">
        <v>125</v>
      </c>
      <c r="K3361">
        <v>0</v>
      </c>
      <c r="L3361">
        <v>3</v>
      </c>
      <c r="M3361">
        <v>0</v>
      </c>
      <c r="N3361">
        <v>2</v>
      </c>
      <c r="O3361">
        <v>1</v>
      </c>
      <c r="P3361">
        <v>0</v>
      </c>
      <c r="Q3361">
        <v>0</v>
      </c>
      <c r="S3361" t="str">
        <f>"20:32:46.352"</f>
        <v>20:32:46.352</v>
      </c>
      <c r="T3361" t="str">
        <f>"20:32:45.852"</f>
        <v>20:32:45.852</v>
      </c>
      <c r="U3361" t="str">
        <f t="shared" si="163"/>
        <v>AB01F4</v>
      </c>
      <c r="V3361">
        <v>0</v>
      </c>
      <c r="W3361">
        <v>0</v>
      </c>
      <c r="X3361">
        <v>2</v>
      </c>
      <c r="Z3361">
        <v>0</v>
      </c>
      <c r="AA3361">
        <v>9</v>
      </c>
      <c r="AB3361">
        <v>3</v>
      </c>
      <c r="AC3361">
        <v>0</v>
      </c>
      <c r="AD3361">
        <v>10</v>
      </c>
      <c r="AE3361">
        <v>0</v>
      </c>
      <c r="AF3361">
        <v>3</v>
      </c>
      <c r="AG3361">
        <v>2</v>
      </c>
      <c r="AH3361">
        <v>0</v>
      </c>
      <c r="AI3361" t="s">
        <v>1929</v>
      </c>
      <c r="AJ3361">
        <v>40.075507000000002</v>
      </c>
      <c r="AK3361" t="s">
        <v>1930</v>
      </c>
      <c r="AL3361">
        <v>-92.944828999999999</v>
      </c>
      <c r="AM3361">
        <v>100</v>
      </c>
      <c r="AN3361">
        <v>1300</v>
      </c>
      <c r="AO3361" t="s">
        <v>118</v>
      </c>
      <c r="AP3361">
        <v>-104</v>
      </c>
      <c r="AQ3361">
        <v>77</v>
      </c>
      <c r="AR3361">
        <v>128</v>
      </c>
      <c r="AZ3361">
        <v>1200</v>
      </c>
      <c r="BA3361">
        <v>1</v>
      </c>
      <c r="BB3361" t="str">
        <f t="shared" si="161"/>
        <v xml:space="preserve">N8080G  </v>
      </c>
      <c r="BC3361">
        <v>1</v>
      </c>
      <c r="BE3361">
        <v>0</v>
      </c>
      <c r="BF3361">
        <v>0</v>
      </c>
      <c r="BG3361">
        <v>0</v>
      </c>
      <c r="BH3361">
        <v>1350</v>
      </c>
      <c r="BI3361">
        <v>1</v>
      </c>
      <c r="BJ3361">
        <v>1</v>
      </c>
      <c r="BK3361">
        <v>1</v>
      </c>
      <c r="BL3361">
        <v>0</v>
      </c>
      <c r="BO3361">
        <v>0</v>
      </c>
      <c r="BP3361">
        <v>0</v>
      </c>
      <c r="BW3361" t="str">
        <f>"20:32:46.354"</f>
        <v>20:32:46.354</v>
      </c>
      <c r="BZ3361">
        <v>0</v>
      </c>
      <c r="CA3361">
        <v>1600</v>
      </c>
      <c r="CB3361">
        <v>224</v>
      </c>
      <c r="CD3361">
        <v>1</v>
      </c>
      <c r="CE3361">
        <v>0</v>
      </c>
      <c r="CF3361">
        <v>0</v>
      </c>
      <c r="CG3361">
        <v>1</v>
      </c>
      <c r="CH3361">
        <v>0</v>
      </c>
      <c r="CI3361">
        <v>0</v>
      </c>
      <c r="CJ3361">
        <v>0</v>
      </c>
      <c r="CK3361">
        <v>2</v>
      </c>
      <c r="CL3361">
        <v>0</v>
      </c>
      <c r="CM3361">
        <v>2</v>
      </c>
      <c r="CN3361">
        <v>0</v>
      </c>
      <c r="CO3361">
        <v>7</v>
      </c>
      <c r="CP3361" t="s">
        <v>119</v>
      </c>
      <c r="CQ3361">
        <v>180</v>
      </c>
      <c r="CR3361">
        <v>3</v>
      </c>
      <c r="CW3361">
        <v>1138761</v>
      </c>
      <c r="CY3361">
        <v>1</v>
      </c>
      <c r="CZ3361">
        <v>0</v>
      </c>
      <c r="DA3361">
        <v>1</v>
      </c>
      <c r="DB3361">
        <v>0</v>
      </c>
      <c r="DC3361">
        <v>0</v>
      </c>
      <c r="DD3361">
        <v>0</v>
      </c>
      <c r="DE3361">
        <v>0</v>
      </c>
      <c r="DF3361">
        <v>0</v>
      </c>
      <c r="DG3361">
        <v>0</v>
      </c>
      <c r="DH3361">
        <v>0</v>
      </c>
      <c r="DI3361">
        <v>0</v>
      </c>
    </row>
    <row r="3362" spans="1:113" x14ac:dyDescent="0.3">
      <c r="A3362" t="str">
        <f>"02/08/2021 20:32:44.027"</f>
        <v>02/08/2021 20:32:44.027</v>
      </c>
      <c r="C3362" t="str">
        <f t="shared" si="165"/>
        <v>FFDFD7C0</v>
      </c>
      <c r="D3362" t="s">
        <v>124</v>
      </c>
      <c r="E3362">
        <v>13</v>
      </c>
      <c r="F3362">
        <v>1013</v>
      </c>
      <c r="G3362" t="s">
        <v>114</v>
      </c>
      <c r="J3362" t="s">
        <v>125</v>
      </c>
      <c r="K3362">
        <v>0</v>
      </c>
      <c r="L3362">
        <v>3</v>
      </c>
      <c r="M3362">
        <v>0</v>
      </c>
      <c r="N3362">
        <v>2</v>
      </c>
      <c r="O3362">
        <v>1</v>
      </c>
      <c r="P3362">
        <v>0</v>
      </c>
      <c r="Q3362">
        <v>0</v>
      </c>
      <c r="S3362" t="str">
        <f>"20:32:46.352"</f>
        <v>20:32:46.352</v>
      </c>
      <c r="T3362" t="str">
        <f>"20:32:45.852"</f>
        <v>20:32:45.852</v>
      </c>
      <c r="U3362" t="str">
        <f t="shared" si="163"/>
        <v>AB01F4</v>
      </c>
      <c r="V3362">
        <v>0</v>
      </c>
      <c r="W3362">
        <v>0</v>
      </c>
      <c r="X3362">
        <v>2</v>
      </c>
      <c r="Z3362">
        <v>0</v>
      </c>
      <c r="AA3362">
        <v>9</v>
      </c>
      <c r="AB3362">
        <v>3</v>
      </c>
      <c r="AC3362">
        <v>0</v>
      </c>
      <c r="AD3362">
        <v>10</v>
      </c>
      <c r="AE3362">
        <v>0</v>
      </c>
      <c r="AF3362">
        <v>3</v>
      </c>
      <c r="AG3362">
        <v>2</v>
      </c>
      <c r="AH3362">
        <v>0</v>
      </c>
      <c r="AI3362" t="s">
        <v>1929</v>
      </c>
      <c r="AJ3362">
        <v>40.075507000000002</v>
      </c>
      <c r="AK3362" t="s">
        <v>1930</v>
      </c>
      <c r="AL3362">
        <v>-92.944828999999999</v>
      </c>
      <c r="AM3362">
        <v>100</v>
      </c>
      <c r="AN3362">
        <v>1300</v>
      </c>
      <c r="AO3362" t="s">
        <v>118</v>
      </c>
      <c r="AP3362">
        <v>-104</v>
      </c>
      <c r="AQ3362">
        <v>77</v>
      </c>
      <c r="AR3362">
        <v>128</v>
      </c>
      <c r="AZ3362">
        <v>1200</v>
      </c>
      <c r="BA3362">
        <v>1</v>
      </c>
      <c r="BB3362" t="str">
        <f t="shared" si="161"/>
        <v xml:space="preserve">N8080G  </v>
      </c>
      <c r="BC3362">
        <v>1</v>
      </c>
      <c r="BE3362">
        <v>0</v>
      </c>
      <c r="BF3362">
        <v>0</v>
      </c>
      <c r="BG3362">
        <v>0</v>
      </c>
      <c r="BH3362">
        <v>1350</v>
      </c>
      <c r="BI3362">
        <v>1</v>
      </c>
      <c r="BJ3362">
        <v>1</v>
      </c>
      <c r="BK3362">
        <v>1</v>
      </c>
      <c r="BL3362">
        <v>0</v>
      </c>
      <c r="BO3362">
        <v>0</v>
      </c>
      <c r="BP3362">
        <v>0</v>
      </c>
      <c r="BW3362" t="str">
        <f>"20:32:46.354"</f>
        <v>20:32:46.354</v>
      </c>
      <c r="BZ3362">
        <v>0</v>
      </c>
      <c r="CA3362">
        <v>1600</v>
      </c>
      <c r="CB3362">
        <v>224</v>
      </c>
      <c r="CD3362">
        <v>1</v>
      </c>
      <c r="CE3362">
        <v>0</v>
      </c>
      <c r="CF3362">
        <v>0</v>
      </c>
      <c r="CG3362">
        <v>1</v>
      </c>
      <c r="CH3362">
        <v>0</v>
      </c>
      <c r="CI3362">
        <v>0</v>
      </c>
      <c r="CJ3362">
        <v>0</v>
      </c>
      <c r="CK3362">
        <v>2</v>
      </c>
      <c r="CL3362">
        <v>0</v>
      </c>
      <c r="CM3362">
        <v>2</v>
      </c>
      <c r="CN3362">
        <v>0</v>
      </c>
      <c r="CO3362">
        <v>7</v>
      </c>
      <c r="CP3362" t="s">
        <v>119</v>
      </c>
      <c r="CQ3362">
        <v>180</v>
      </c>
      <c r="CR3362">
        <v>3</v>
      </c>
      <c r="CW3362">
        <v>1138761</v>
      </c>
      <c r="CY3362">
        <v>1</v>
      </c>
      <c r="CZ3362">
        <v>0</v>
      </c>
      <c r="DA3362">
        <v>1</v>
      </c>
      <c r="DB3362">
        <v>0</v>
      </c>
      <c r="DC3362">
        <v>0</v>
      </c>
      <c r="DD3362">
        <v>0</v>
      </c>
      <c r="DE3362">
        <v>0</v>
      </c>
      <c r="DF3362">
        <v>0</v>
      </c>
      <c r="DG3362">
        <v>0</v>
      </c>
      <c r="DH3362">
        <v>0</v>
      </c>
      <c r="DI3362">
        <v>0</v>
      </c>
    </row>
    <row r="3363" spans="1:113" x14ac:dyDescent="0.3">
      <c r="A3363" t="str">
        <f>"02/08/2021 20:32:45.088"</f>
        <v>02/08/2021 20:32:45.088</v>
      </c>
      <c r="C3363" t="str">
        <f t="shared" si="165"/>
        <v>FFDFD7C0</v>
      </c>
      <c r="D3363" t="s">
        <v>113</v>
      </c>
      <c r="E3363">
        <v>6</v>
      </c>
      <c r="H3363">
        <v>165</v>
      </c>
      <c r="I3363" t="s">
        <v>114</v>
      </c>
      <c r="J3363" t="s">
        <v>115</v>
      </c>
      <c r="K3363">
        <v>0</v>
      </c>
      <c r="L3363">
        <v>3</v>
      </c>
      <c r="M3363">
        <v>0</v>
      </c>
      <c r="N3363">
        <v>2</v>
      </c>
      <c r="O3363">
        <v>1</v>
      </c>
      <c r="P3363">
        <v>0</v>
      </c>
      <c r="Q3363">
        <v>0</v>
      </c>
      <c r="S3363" t="str">
        <f>"20:32:47.398"</f>
        <v>20:32:47.398</v>
      </c>
      <c r="T3363" t="str">
        <f>"20:32:46.898"</f>
        <v>20:32:46.898</v>
      </c>
      <c r="U3363" t="str">
        <f t="shared" si="163"/>
        <v>AB01F4</v>
      </c>
      <c r="V3363">
        <v>0</v>
      </c>
      <c r="W3363">
        <v>0</v>
      </c>
      <c r="X3363">
        <v>2</v>
      </c>
      <c r="Z3363">
        <v>0</v>
      </c>
      <c r="AA3363">
        <v>9</v>
      </c>
      <c r="AB3363">
        <v>3</v>
      </c>
      <c r="AC3363">
        <v>0</v>
      </c>
      <c r="AD3363">
        <v>10</v>
      </c>
      <c r="AE3363">
        <v>0</v>
      </c>
      <c r="AF3363">
        <v>3</v>
      </c>
      <c r="AG3363">
        <v>2</v>
      </c>
      <c r="AH3363">
        <v>0</v>
      </c>
      <c r="AI3363" t="s">
        <v>1931</v>
      </c>
      <c r="AJ3363">
        <v>40.075871999999997</v>
      </c>
      <c r="AK3363" t="s">
        <v>1932</v>
      </c>
      <c r="AL3363">
        <v>-92.945430000000002</v>
      </c>
      <c r="AM3363">
        <v>100</v>
      </c>
      <c r="AN3363">
        <v>1300</v>
      </c>
      <c r="AO3363" t="s">
        <v>118</v>
      </c>
      <c r="AP3363">
        <v>-104</v>
      </c>
      <c r="AQ3363">
        <v>77</v>
      </c>
      <c r="AR3363">
        <v>192</v>
      </c>
      <c r="AZ3363">
        <v>1200</v>
      </c>
      <c r="BA3363">
        <v>1</v>
      </c>
      <c r="BB3363" t="str">
        <f t="shared" si="161"/>
        <v xml:space="preserve">N8080G  </v>
      </c>
      <c r="BC3363">
        <v>1</v>
      </c>
      <c r="BE3363">
        <v>0</v>
      </c>
      <c r="BF3363">
        <v>0</v>
      </c>
      <c r="BG3363">
        <v>0</v>
      </c>
      <c r="BH3363">
        <v>1350</v>
      </c>
      <c r="BI3363">
        <v>1</v>
      </c>
      <c r="BJ3363">
        <v>1</v>
      </c>
      <c r="BK3363">
        <v>1</v>
      </c>
      <c r="BL3363">
        <v>0</v>
      </c>
      <c r="BO3363">
        <v>0</v>
      </c>
      <c r="BP3363">
        <v>0</v>
      </c>
      <c r="BW3363" t="str">
        <f>"20:32:47.402"</f>
        <v>20:32:47.402</v>
      </c>
      <c r="BZ3363">
        <v>0</v>
      </c>
      <c r="CA3363">
        <v>1600</v>
      </c>
      <c r="CB3363">
        <v>224</v>
      </c>
      <c r="CD3363">
        <v>1</v>
      </c>
      <c r="CE3363">
        <v>0</v>
      </c>
      <c r="CF3363">
        <v>0</v>
      </c>
      <c r="CG3363">
        <v>1</v>
      </c>
      <c r="CH3363">
        <v>0</v>
      </c>
      <c r="CI3363">
        <v>0</v>
      </c>
      <c r="CJ3363">
        <v>0</v>
      </c>
      <c r="CK3363">
        <v>2</v>
      </c>
      <c r="CL3363">
        <v>0</v>
      </c>
      <c r="CM3363">
        <v>2</v>
      </c>
      <c r="CN3363">
        <v>0</v>
      </c>
      <c r="CO3363">
        <v>7</v>
      </c>
      <c r="CP3363" t="s">
        <v>119</v>
      </c>
      <c r="CQ3363">
        <v>180</v>
      </c>
      <c r="CR3363">
        <v>3</v>
      </c>
      <c r="CW3363">
        <v>1139588</v>
      </c>
      <c r="CY3363">
        <v>1</v>
      </c>
      <c r="CZ3363">
        <v>0</v>
      </c>
      <c r="DA3363">
        <v>0</v>
      </c>
      <c r="DB3363">
        <v>0</v>
      </c>
      <c r="DC3363">
        <v>0</v>
      </c>
      <c r="DD3363">
        <v>0</v>
      </c>
      <c r="DE3363">
        <v>0</v>
      </c>
      <c r="DF3363">
        <v>0</v>
      </c>
      <c r="DG3363">
        <v>0</v>
      </c>
      <c r="DH3363">
        <v>0</v>
      </c>
      <c r="DI3363">
        <v>0</v>
      </c>
    </row>
    <row r="3364" spans="1:113" x14ac:dyDescent="0.3">
      <c r="A3364" t="str">
        <f>"02/08/2021 20:32:45.088"</f>
        <v>02/08/2021 20:32:45.088</v>
      </c>
      <c r="C3364" t="str">
        <f t="shared" si="165"/>
        <v>FFDFD7C0</v>
      </c>
      <c r="D3364" t="s">
        <v>124</v>
      </c>
      <c r="E3364">
        <v>11</v>
      </c>
      <c r="F3364">
        <v>1011</v>
      </c>
      <c r="G3364" t="s">
        <v>590</v>
      </c>
      <c r="J3364" t="s">
        <v>125</v>
      </c>
      <c r="K3364">
        <v>0</v>
      </c>
      <c r="L3364">
        <v>3</v>
      </c>
      <c r="M3364">
        <v>0</v>
      </c>
      <c r="N3364">
        <v>2</v>
      </c>
      <c r="O3364">
        <v>1</v>
      </c>
      <c r="P3364">
        <v>0</v>
      </c>
      <c r="Q3364">
        <v>0</v>
      </c>
      <c r="S3364" t="str">
        <f>"20:32:47.398"</f>
        <v>20:32:47.398</v>
      </c>
      <c r="T3364" t="str">
        <f>"20:32:46.898"</f>
        <v>20:32:46.898</v>
      </c>
      <c r="U3364" t="str">
        <f t="shared" si="163"/>
        <v>AB01F4</v>
      </c>
      <c r="V3364">
        <v>0</v>
      </c>
      <c r="W3364">
        <v>0</v>
      </c>
      <c r="X3364">
        <v>2</v>
      </c>
      <c r="Z3364">
        <v>0</v>
      </c>
      <c r="AA3364">
        <v>9</v>
      </c>
      <c r="AB3364">
        <v>3</v>
      </c>
      <c r="AC3364">
        <v>0</v>
      </c>
      <c r="AD3364">
        <v>10</v>
      </c>
      <c r="AE3364">
        <v>0</v>
      </c>
      <c r="AF3364">
        <v>3</v>
      </c>
      <c r="AG3364">
        <v>2</v>
      </c>
      <c r="AH3364">
        <v>0</v>
      </c>
      <c r="AI3364" t="s">
        <v>1931</v>
      </c>
      <c r="AJ3364">
        <v>40.075871999999997</v>
      </c>
      <c r="AK3364" t="s">
        <v>1932</v>
      </c>
      <c r="AL3364">
        <v>-92.945430000000002</v>
      </c>
      <c r="AM3364">
        <v>100</v>
      </c>
      <c r="AN3364">
        <v>1300</v>
      </c>
      <c r="AO3364" t="s">
        <v>118</v>
      </c>
      <c r="AP3364">
        <v>-104</v>
      </c>
      <c r="AQ3364">
        <v>77</v>
      </c>
      <c r="AR3364">
        <v>192</v>
      </c>
      <c r="AZ3364">
        <v>1200</v>
      </c>
      <c r="BA3364">
        <v>1</v>
      </c>
      <c r="BB3364" t="str">
        <f t="shared" si="161"/>
        <v xml:space="preserve">N8080G  </v>
      </c>
      <c r="BC3364">
        <v>1</v>
      </c>
      <c r="BE3364">
        <v>0</v>
      </c>
      <c r="BF3364">
        <v>0</v>
      </c>
      <c r="BG3364">
        <v>0</v>
      </c>
      <c r="BH3364">
        <v>1350</v>
      </c>
      <c r="BI3364">
        <v>1</v>
      </c>
      <c r="BJ3364">
        <v>1</v>
      </c>
      <c r="BK3364">
        <v>1</v>
      </c>
      <c r="BL3364">
        <v>0</v>
      </c>
      <c r="BO3364">
        <v>0</v>
      </c>
      <c r="BP3364">
        <v>0</v>
      </c>
      <c r="BW3364" t="str">
        <f>"20:32:47.402"</f>
        <v>20:32:47.402</v>
      </c>
      <c r="BZ3364">
        <v>0</v>
      </c>
      <c r="CA3364">
        <v>1600</v>
      </c>
      <c r="CB3364">
        <v>224</v>
      </c>
      <c r="CD3364">
        <v>1</v>
      </c>
      <c r="CE3364">
        <v>0</v>
      </c>
      <c r="CF3364">
        <v>0</v>
      </c>
      <c r="CG3364">
        <v>1</v>
      </c>
      <c r="CH3364">
        <v>0</v>
      </c>
      <c r="CI3364">
        <v>0</v>
      </c>
      <c r="CJ3364">
        <v>0</v>
      </c>
      <c r="CK3364">
        <v>2</v>
      </c>
      <c r="CL3364">
        <v>0</v>
      </c>
      <c r="CM3364">
        <v>2</v>
      </c>
      <c r="CN3364">
        <v>0</v>
      </c>
      <c r="CO3364">
        <v>7</v>
      </c>
      <c r="CP3364" t="s">
        <v>119</v>
      </c>
      <c r="CQ3364">
        <v>180</v>
      </c>
      <c r="CR3364">
        <v>3</v>
      </c>
      <c r="CW3364">
        <v>1139588</v>
      </c>
      <c r="CY3364">
        <v>1</v>
      </c>
      <c r="CZ3364">
        <v>0</v>
      </c>
      <c r="DA3364">
        <v>1</v>
      </c>
      <c r="DB3364">
        <v>0</v>
      </c>
      <c r="DC3364">
        <v>0</v>
      </c>
      <c r="DD3364">
        <v>0</v>
      </c>
      <c r="DE3364">
        <v>0</v>
      </c>
      <c r="DF3364">
        <v>0</v>
      </c>
      <c r="DG3364">
        <v>0</v>
      </c>
      <c r="DH3364">
        <v>0</v>
      </c>
      <c r="DI3364">
        <v>0</v>
      </c>
    </row>
    <row r="3365" spans="1:113" x14ac:dyDescent="0.3">
      <c r="A3365" t="str">
        <f>"02/08/2021 20:32:45.088"</f>
        <v>02/08/2021 20:32:45.088</v>
      </c>
      <c r="C3365" t="str">
        <f t="shared" si="165"/>
        <v>FFDFD7C0</v>
      </c>
      <c r="D3365" t="s">
        <v>124</v>
      </c>
      <c r="E3365">
        <v>13</v>
      </c>
      <c r="F3365">
        <v>1013</v>
      </c>
      <c r="G3365" t="s">
        <v>114</v>
      </c>
      <c r="J3365" t="s">
        <v>125</v>
      </c>
      <c r="K3365">
        <v>0</v>
      </c>
      <c r="L3365">
        <v>3</v>
      </c>
      <c r="M3365">
        <v>0</v>
      </c>
      <c r="N3365">
        <v>2</v>
      </c>
      <c r="O3365">
        <v>1</v>
      </c>
      <c r="P3365">
        <v>0</v>
      </c>
      <c r="Q3365">
        <v>0</v>
      </c>
      <c r="S3365" t="str">
        <f>"20:32:47.398"</f>
        <v>20:32:47.398</v>
      </c>
      <c r="T3365" t="str">
        <f>"20:32:46.898"</f>
        <v>20:32:46.898</v>
      </c>
      <c r="U3365" t="str">
        <f t="shared" si="163"/>
        <v>AB01F4</v>
      </c>
      <c r="V3365">
        <v>0</v>
      </c>
      <c r="W3365">
        <v>0</v>
      </c>
      <c r="X3365">
        <v>2</v>
      </c>
      <c r="Z3365">
        <v>0</v>
      </c>
      <c r="AA3365">
        <v>9</v>
      </c>
      <c r="AB3365">
        <v>3</v>
      </c>
      <c r="AC3365">
        <v>0</v>
      </c>
      <c r="AD3365">
        <v>10</v>
      </c>
      <c r="AE3365">
        <v>0</v>
      </c>
      <c r="AF3365">
        <v>3</v>
      </c>
      <c r="AG3365">
        <v>2</v>
      </c>
      <c r="AH3365">
        <v>0</v>
      </c>
      <c r="AI3365" t="s">
        <v>1931</v>
      </c>
      <c r="AJ3365">
        <v>40.075871999999997</v>
      </c>
      <c r="AK3365" t="s">
        <v>1932</v>
      </c>
      <c r="AL3365">
        <v>-92.945430000000002</v>
      </c>
      <c r="AM3365">
        <v>100</v>
      </c>
      <c r="AN3365">
        <v>1300</v>
      </c>
      <c r="AO3365" t="s">
        <v>118</v>
      </c>
      <c r="AP3365">
        <v>-104</v>
      </c>
      <c r="AQ3365">
        <v>77</v>
      </c>
      <c r="AR3365">
        <v>192</v>
      </c>
      <c r="AZ3365">
        <v>1200</v>
      </c>
      <c r="BA3365">
        <v>1</v>
      </c>
      <c r="BB3365" t="str">
        <f t="shared" si="161"/>
        <v xml:space="preserve">N8080G  </v>
      </c>
      <c r="BC3365">
        <v>1</v>
      </c>
      <c r="BE3365">
        <v>0</v>
      </c>
      <c r="BF3365">
        <v>0</v>
      </c>
      <c r="BG3365">
        <v>0</v>
      </c>
      <c r="BH3365">
        <v>1350</v>
      </c>
      <c r="BI3365">
        <v>1</v>
      </c>
      <c r="BJ3365">
        <v>1</v>
      </c>
      <c r="BK3365">
        <v>1</v>
      </c>
      <c r="BL3365">
        <v>0</v>
      </c>
      <c r="BO3365">
        <v>0</v>
      </c>
      <c r="BP3365">
        <v>0</v>
      </c>
      <c r="BW3365" t="str">
        <f>"20:32:47.402"</f>
        <v>20:32:47.402</v>
      </c>
      <c r="BZ3365">
        <v>0</v>
      </c>
      <c r="CA3365">
        <v>1600</v>
      </c>
      <c r="CB3365">
        <v>224</v>
      </c>
      <c r="CD3365">
        <v>1</v>
      </c>
      <c r="CE3365">
        <v>0</v>
      </c>
      <c r="CF3365">
        <v>0</v>
      </c>
      <c r="CG3365">
        <v>1</v>
      </c>
      <c r="CH3365">
        <v>0</v>
      </c>
      <c r="CI3365">
        <v>0</v>
      </c>
      <c r="CJ3365">
        <v>0</v>
      </c>
      <c r="CK3365">
        <v>2</v>
      </c>
      <c r="CL3365">
        <v>0</v>
      </c>
      <c r="CM3365">
        <v>2</v>
      </c>
      <c r="CN3365">
        <v>0</v>
      </c>
      <c r="CO3365">
        <v>7</v>
      </c>
      <c r="CP3365" t="s">
        <v>119</v>
      </c>
      <c r="CQ3365">
        <v>180</v>
      </c>
      <c r="CR3365">
        <v>3</v>
      </c>
      <c r="CW3365">
        <v>1139588</v>
      </c>
      <c r="CY3365">
        <v>1</v>
      </c>
      <c r="CZ3365">
        <v>0</v>
      </c>
      <c r="DA3365">
        <v>1</v>
      </c>
      <c r="DB3365">
        <v>0</v>
      </c>
      <c r="DC3365">
        <v>0</v>
      </c>
      <c r="DD3365">
        <v>0</v>
      </c>
      <c r="DE3365">
        <v>0</v>
      </c>
      <c r="DF3365">
        <v>0</v>
      </c>
      <c r="DG3365">
        <v>0</v>
      </c>
      <c r="DH3365">
        <v>0</v>
      </c>
      <c r="DI3365">
        <v>0</v>
      </c>
    </row>
    <row r="3366" spans="1:113" x14ac:dyDescent="0.3">
      <c r="A3366" t="str">
        <f>"02/08/2021 20:32:45.088"</f>
        <v>02/08/2021 20:32:45.088</v>
      </c>
      <c r="C3366" t="str">
        <f t="shared" si="165"/>
        <v>FFDFD7C0</v>
      </c>
      <c r="D3366" t="s">
        <v>124</v>
      </c>
      <c r="E3366">
        <v>12</v>
      </c>
      <c r="F3366">
        <v>1012</v>
      </c>
      <c r="G3366" t="s">
        <v>675</v>
      </c>
      <c r="J3366" t="s">
        <v>125</v>
      </c>
      <c r="K3366">
        <v>0</v>
      </c>
      <c r="L3366">
        <v>3</v>
      </c>
      <c r="M3366">
        <v>0</v>
      </c>
      <c r="N3366">
        <v>2</v>
      </c>
      <c r="O3366">
        <v>1</v>
      </c>
      <c r="P3366">
        <v>0</v>
      </c>
      <c r="Q3366">
        <v>0</v>
      </c>
      <c r="S3366" t="str">
        <f>"20:32:47.398"</f>
        <v>20:32:47.398</v>
      </c>
      <c r="T3366" t="str">
        <f>"20:32:46.898"</f>
        <v>20:32:46.898</v>
      </c>
      <c r="U3366" t="str">
        <f t="shared" si="163"/>
        <v>AB01F4</v>
      </c>
      <c r="V3366">
        <v>0</v>
      </c>
      <c r="W3366">
        <v>0</v>
      </c>
      <c r="X3366">
        <v>2</v>
      </c>
      <c r="Z3366">
        <v>0</v>
      </c>
      <c r="AA3366">
        <v>9</v>
      </c>
      <c r="AB3366">
        <v>3</v>
      </c>
      <c r="AC3366">
        <v>0</v>
      </c>
      <c r="AD3366">
        <v>10</v>
      </c>
      <c r="AE3366">
        <v>0</v>
      </c>
      <c r="AF3366">
        <v>3</v>
      </c>
      <c r="AG3366">
        <v>2</v>
      </c>
      <c r="AH3366">
        <v>0</v>
      </c>
      <c r="AI3366" t="s">
        <v>1931</v>
      </c>
      <c r="AJ3366">
        <v>40.075871999999997</v>
      </c>
      <c r="AK3366" t="s">
        <v>1932</v>
      </c>
      <c r="AL3366">
        <v>-92.945430000000002</v>
      </c>
      <c r="AM3366">
        <v>100</v>
      </c>
      <c r="AN3366">
        <v>1300</v>
      </c>
      <c r="AO3366" t="s">
        <v>118</v>
      </c>
      <c r="AP3366">
        <v>-104</v>
      </c>
      <c r="AQ3366">
        <v>77</v>
      </c>
      <c r="AR3366">
        <v>192</v>
      </c>
      <c r="AZ3366">
        <v>1200</v>
      </c>
      <c r="BA3366">
        <v>1</v>
      </c>
      <c r="BB3366" t="str">
        <f t="shared" si="161"/>
        <v xml:space="preserve">N8080G  </v>
      </c>
      <c r="BC3366">
        <v>1</v>
      </c>
      <c r="BE3366">
        <v>0</v>
      </c>
      <c r="BF3366">
        <v>0</v>
      </c>
      <c r="BG3366">
        <v>0</v>
      </c>
      <c r="BH3366">
        <v>1350</v>
      </c>
      <c r="BI3366">
        <v>1</v>
      </c>
      <c r="BJ3366">
        <v>1</v>
      </c>
      <c r="BK3366">
        <v>1</v>
      </c>
      <c r="BL3366">
        <v>0</v>
      </c>
      <c r="BO3366">
        <v>0</v>
      </c>
      <c r="BP3366">
        <v>0</v>
      </c>
      <c r="BW3366" t="str">
        <f>"20:32:47.402"</f>
        <v>20:32:47.402</v>
      </c>
      <c r="BZ3366">
        <v>0</v>
      </c>
      <c r="CA3366">
        <v>1600</v>
      </c>
      <c r="CB3366">
        <v>224</v>
      </c>
      <c r="CD3366">
        <v>1</v>
      </c>
      <c r="CE3366">
        <v>0</v>
      </c>
      <c r="CF3366">
        <v>0</v>
      </c>
      <c r="CG3366">
        <v>1</v>
      </c>
      <c r="CH3366">
        <v>0</v>
      </c>
      <c r="CI3366">
        <v>0</v>
      </c>
      <c r="CJ3366">
        <v>0</v>
      </c>
      <c r="CK3366">
        <v>2</v>
      </c>
      <c r="CL3366">
        <v>0</v>
      </c>
      <c r="CM3366">
        <v>2</v>
      </c>
      <c r="CN3366">
        <v>0</v>
      </c>
      <c r="CO3366">
        <v>7</v>
      </c>
      <c r="CP3366" t="s">
        <v>119</v>
      </c>
      <c r="CQ3366">
        <v>180</v>
      </c>
      <c r="CR3366">
        <v>3</v>
      </c>
      <c r="CW3366">
        <v>1139588</v>
      </c>
      <c r="CY3366">
        <v>1</v>
      </c>
      <c r="CZ3366">
        <v>0</v>
      </c>
      <c r="DA3366">
        <v>1</v>
      </c>
      <c r="DB3366">
        <v>0</v>
      </c>
      <c r="DC3366">
        <v>0</v>
      </c>
      <c r="DD3366">
        <v>0</v>
      </c>
      <c r="DE3366">
        <v>0</v>
      </c>
      <c r="DF3366">
        <v>0</v>
      </c>
      <c r="DG3366">
        <v>0</v>
      </c>
      <c r="DH3366">
        <v>0</v>
      </c>
      <c r="DI3366">
        <v>0</v>
      </c>
    </row>
    <row r="3367" spans="1:113" x14ac:dyDescent="0.3">
      <c r="A3367" t="str">
        <f>"02/08/2021 20:32:46.248"</f>
        <v>02/08/2021 20:32:46.248</v>
      </c>
      <c r="C3367" t="str">
        <f t="shared" si="165"/>
        <v>FFDFD7C0</v>
      </c>
      <c r="D3367" t="s">
        <v>113</v>
      </c>
      <c r="E3367">
        <v>6</v>
      </c>
      <c r="H3367">
        <v>165</v>
      </c>
      <c r="I3367" t="s">
        <v>114</v>
      </c>
      <c r="J3367" t="s">
        <v>115</v>
      </c>
      <c r="K3367">
        <v>0</v>
      </c>
      <c r="L3367">
        <v>3</v>
      </c>
      <c r="M3367">
        <v>0</v>
      </c>
      <c r="N3367">
        <v>2</v>
      </c>
      <c r="O3367">
        <v>1</v>
      </c>
      <c r="P3367">
        <v>0</v>
      </c>
      <c r="Q3367">
        <v>0</v>
      </c>
      <c r="S3367" t="str">
        <f>"20:32:48.555"</f>
        <v>20:32:48.555</v>
      </c>
      <c r="T3367" t="str">
        <f>"20:32:48.055"</f>
        <v>20:32:48.055</v>
      </c>
      <c r="U3367" t="str">
        <f t="shared" si="163"/>
        <v>AB01F4</v>
      </c>
      <c r="V3367">
        <v>0</v>
      </c>
      <c r="W3367">
        <v>0</v>
      </c>
      <c r="X3367">
        <v>2</v>
      </c>
      <c r="Z3367">
        <v>0</v>
      </c>
      <c r="AA3367">
        <v>9</v>
      </c>
      <c r="AB3367">
        <v>3</v>
      </c>
      <c r="AC3367">
        <v>0</v>
      </c>
      <c r="AD3367">
        <v>10</v>
      </c>
      <c r="AE3367">
        <v>0</v>
      </c>
      <c r="AF3367">
        <v>3</v>
      </c>
      <c r="AG3367">
        <v>2</v>
      </c>
      <c r="AH3367">
        <v>0</v>
      </c>
      <c r="AI3367" t="s">
        <v>1933</v>
      </c>
      <c r="AJ3367">
        <v>40.076301000000001</v>
      </c>
      <c r="AK3367" t="s">
        <v>1934</v>
      </c>
      <c r="AL3367">
        <v>-92.946160000000006</v>
      </c>
      <c r="AM3367">
        <v>100</v>
      </c>
      <c r="AN3367">
        <v>1300</v>
      </c>
      <c r="AO3367" t="s">
        <v>118</v>
      </c>
      <c r="AP3367">
        <v>-104</v>
      </c>
      <c r="AQ3367">
        <v>77</v>
      </c>
      <c r="AR3367">
        <v>64</v>
      </c>
      <c r="AZ3367">
        <v>1200</v>
      </c>
      <c r="BA3367">
        <v>1</v>
      </c>
      <c r="BB3367" t="str">
        <f t="shared" si="161"/>
        <v xml:space="preserve">N8080G  </v>
      </c>
      <c r="BC3367">
        <v>1</v>
      </c>
      <c r="BE3367">
        <v>0</v>
      </c>
      <c r="BF3367">
        <v>0</v>
      </c>
      <c r="BG3367">
        <v>0</v>
      </c>
      <c r="BH3367">
        <v>1350</v>
      </c>
      <c r="BI3367">
        <v>1</v>
      </c>
      <c r="BJ3367">
        <v>1</v>
      </c>
      <c r="BK3367">
        <v>1</v>
      </c>
      <c r="BL3367">
        <v>0</v>
      </c>
      <c r="BO3367">
        <v>0</v>
      </c>
      <c r="BP3367">
        <v>0</v>
      </c>
      <c r="BW3367" t="str">
        <f>"20:32:48.557"</f>
        <v>20:32:48.557</v>
      </c>
      <c r="BZ3367">
        <v>0</v>
      </c>
      <c r="CA3367">
        <v>1600</v>
      </c>
      <c r="CB3367">
        <v>224</v>
      </c>
      <c r="CD3367">
        <v>1</v>
      </c>
      <c r="CE3367">
        <v>0</v>
      </c>
      <c r="CF3367">
        <v>0</v>
      </c>
      <c r="CG3367">
        <v>1</v>
      </c>
      <c r="CH3367">
        <v>0</v>
      </c>
      <c r="CI3367">
        <v>0</v>
      </c>
      <c r="CJ3367">
        <v>0</v>
      </c>
      <c r="CK3367">
        <v>2</v>
      </c>
      <c r="CL3367">
        <v>0</v>
      </c>
      <c r="CM3367">
        <v>2</v>
      </c>
      <c r="CN3367">
        <v>0</v>
      </c>
      <c r="CO3367">
        <v>7</v>
      </c>
      <c r="CP3367" t="s">
        <v>119</v>
      </c>
      <c r="CQ3367">
        <v>180</v>
      </c>
      <c r="CR3367">
        <v>3</v>
      </c>
      <c r="CW3367">
        <v>1140488</v>
      </c>
      <c r="CY3367">
        <v>1</v>
      </c>
      <c r="CZ3367">
        <v>0</v>
      </c>
      <c r="DA3367">
        <v>0</v>
      </c>
      <c r="DB3367">
        <v>0</v>
      </c>
      <c r="DC3367">
        <v>0</v>
      </c>
      <c r="DD3367">
        <v>0</v>
      </c>
      <c r="DE3367">
        <v>0</v>
      </c>
      <c r="DF3367">
        <v>0</v>
      </c>
      <c r="DG3367">
        <v>0</v>
      </c>
      <c r="DH3367">
        <v>0</v>
      </c>
      <c r="DI3367">
        <v>0</v>
      </c>
    </row>
    <row r="3368" spans="1:113" x14ac:dyDescent="0.3">
      <c r="A3368" t="str">
        <f>"02/08/2021 20:32:46.248"</f>
        <v>02/08/2021 20:32:46.248</v>
      </c>
      <c r="C3368" t="str">
        <f t="shared" si="165"/>
        <v>FFDFD7C0</v>
      </c>
      <c r="D3368" t="s">
        <v>124</v>
      </c>
      <c r="E3368">
        <v>11</v>
      </c>
      <c r="F3368">
        <v>1011</v>
      </c>
      <c r="G3368" t="s">
        <v>590</v>
      </c>
      <c r="J3368" t="s">
        <v>125</v>
      </c>
      <c r="K3368">
        <v>0</v>
      </c>
      <c r="L3368">
        <v>3</v>
      </c>
      <c r="M3368">
        <v>0</v>
      </c>
      <c r="N3368">
        <v>2</v>
      </c>
      <c r="O3368">
        <v>1</v>
      </c>
      <c r="P3368">
        <v>0</v>
      </c>
      <c r="Q3368">
        <v>0</v>
      </c>
      <c r="S3368" t="str">
        <f>"20:32:48.555"</f>
        <v>20:32:48.555</v>
      </c>
      <c r="T3368" t="str">
        <f>"20:32:48.055"</f>
        <v>20:32:48.055</v>
      </c>
      <c r="U3368" t="str">
        <f t="shared" si="163"/>
        <v>AB01F4</v>
      </c>
      <c r="V3368">
        <v>0</v>
      </c>
      <c r="W3368">
        <v>0</v>
      </c>
      <c r="X3368">
        <v>2</v>
      </c>
      <c r="Z3368">
        <v>0</v>
      </c>
      <c r="AA3368">
        <v>9</v>
      </c>
      <c r="AB3368">
        <v>3</v>
      </c>
      <c r="AC3368">
        <v>0</v>
      </c>
      <c r="AD3368">
        <v>10</v>
      </c>
      <c r="AE3368">
        <v>0</v>
      </c>
      <c r="AF3368">
        <v>3</v>
      </c>
      <c r="AG3368">
        <v>2</v>
      </c>
      <c r="AH3368">
        <v>0</v>
      </c>
      <c r="AI3368" t="s">
        <v>1933</v>
      </c>
      <c r="AJ3368">
        <v>40.076301000000001</v>
      </c>
      <c r="AK3368" t="s">
        <v>1934</v>
      </c>
      <c r="AL3368">
        <v>-92.946160000000006</v>
      </c>
      <c r="AM3368">
        <v>100</v>
      </c>
      <c r="AN3368">
        <v>1300</v>
      </c>
      <c r="AO3368" t="s">
        <v>118</v>
      </c>
      <c r="AP3368">
        <v>-104</v>
      </c>
      <c r="AQ3368">
        <v>77</v>
      </c>
      <c r="AR3368">
        <v>64</v>
      </c>
      <c r="AZ3368">
        <v>1200</v>
      </c>
      <c r="BA3368">
        <v>1</v>
      </c>
      <c r="BB3368" t="str">
        <f t="shared" si="161"/>
        <v xml:space="preserve">N8080G  </v>
      </c>
      <c r="BC3368">
        <v>1</v>
      </c>
      <c r="BE3368">
        <v>0</v>
      </c>
      <c r="BF3368">
        <v>0</v>
      </c>
      <c r="BG3368">
        <v>0</v>
      </c>
      <c r="BH3368">
        <v>1350</v>
      </c>
      <c r="BI3368">
        <v>1</v>
      </c>
      <c r="BJ3368">
        <v>1</v>
      </c>
      <c r="BK3368">
        <v>1</v>
      </c>
      <c r="BL3368">
        <v>0</v>
      </c>
      <c r="BO3368">
        <v>0</v>
      </c>
      <c r="BP3368">
        <v>0</v>
      </c>
      <c r="BW3368" t="str">
        <f>"20:32:48.557"</f>
        <v>20:32:48.557</v>
      </c>
      <c r="BZ3368">
        <v>0</v>
      </c>
      <c r="CA3368">
        <v>1600</v>
      </c>
      <c r="CB3368">
        <v>224</v>
      </c>
      <c r="CD3368">
        <v>1</v>
      </c>
      <c r="CE3368">
        <v>0</v>
      </c>
      <c r="CF3368">
        <v>0</v>
      </c>
      <c r="CG3368">
        <v>1</v>
      </c>
      <c r="CH3368">
        <v>0</v>
      </c>
      <c r="CI3368">
        <v>0</v>
      </c>
      <c r="CJ3368">
        <v>0</v>
      </c>
      <c r="CK3368">
        <v>2</v>
      </c>
      <c r="CL3368">
        <v>0</v>
      </c>
      <c r="CM3368">
        <v>2</v>
      </c>
      <c r="CN3368">
        <v>0</v>
      </c>
      <c r="CO3368">
        <v>7</v>
      </c>
      <c r="CP3368" t="s">
        <v>119</v>
      </c>
      <c r="CQ3368">
        <v>180</v>
      </c>
      <c r="CR3368">
        <v>3</v>
      </c>
      <c r="CW3368">
        <v>1140488</v>
      </c>
      <c r="CY3368">
        <v>1</v>
      </c>
      <c r="CZ3368">
        <v>0</v>
      </c>
      <c r="DA3368">
        <v>1</v>
      </c>
      <c r="DB3368">
        <v>0</v>
      </c>
      <c r="DC3368">
        <v>0</v>
      </c>
      <c r="DD3368">
        <v>0</v>
      </c>
      <c r="DE3368">
        <v>0</v>
      </c>
      <c r="DF3368">
        <v>0</v>
      </c>
      <c r="DG3368">
        <v>0</v>
      </c>
      <c r="DH3368">
        <v>0</v>
      </c>
      <c r="DI3368">
        <v>0</v>
      </c>
    </row>
    <row r="3369" spans="1:113" x14ac:dyDescent="0.3">
      <c r="A3369" t="str">
        <f>"02/08/2021 20:32:46.248"</f>
        <v>02/08/2021 20:32:46.248</v>
      </c>
      <c r="C3369" t="str">
        <f t="shared" si="165"/>
        <v>FFDFD7C0</v>
      </c>
      <c r="D3369" t="s">
        <v>124</v>
      </c>
      <c r="E3369">
        <v>13</v>
      </c>
      <c r="F3369">
        <v>1013</v>
      </c>
      <c r="G3369" t="s">
        <v>114</v>
      </c>
      <c r="J3369" t="s">
        <v>125</v>
      </c>
      <c r="K3369">
        <v>0</v>
      </c>
      <c r="L3369">
        <v>3</v>
      </c>
      <c r="M3369">
        <v>0</v>
      </c>
      <c r="N3369">
        <v>2</v>
      </c>
      <c r="O3369">
        <v>1</v>
      </c>
      <c r="P3369">
        <v>0</v>
      </c>
      <c r="Q3369">
        <v>0</v>
      </c>
      <c r="S3369" t="str">
        <f>"20:32:48.555"</f>
        <v>20:32:48.555</v>
      </c>
      <c r="T3369" t="str">
        <f>"20:32:48.055"</f>
        <v>20:32:48.055</v>
      </c>
      <c r="U3369" t="str">
        <f t="shared" si="163"/>
        <v>AB01F4</v>
      </c>
      <c r="V3369">
        <v>0</v>
      </c>
      <c r="W3369">
        <v>0</v>
      </c>
      <c r="X3369">
        <v>2</v>
      </c>
      <c r="Z3369">
        <v>0</v>
      </c>
      <c r="AA3369">
        <v>9</v>
      </c>
      <c r="AB3369">
        <v>3</v>
      </c>
      <c r="AC3369">
        <v>0</v>
      </c>
      <c r="AD3369">
        <v>10</v>
      </c>
      <c r="AE3369">
        <v>0</v>
      </c>
      <c r="AF3369">
        <v>3</v>
      </c>
      <c r="AG3369">
        <v>2</v>
      </c>
      <c r="AH3369">
        <v>0</v>
      </c>
      <c r="AI3369" t="s">
        <v>1933</v>
      </c>
      <c r="AJ3369">
        <v>40.076301000000001</v>
      </c>
      <c r="AK3369" t="s">
        <v>1934</v>
      </c>
      <c r="AL3369">
        <v>-92.946160000000006</v>
      </c>
      <c r="AM3369">
        <v>100</v>
      </c>
      <c r="AN3369">
        <v>1300</v>
      </c>
      <c r="AO3369" t="s">
        <v>118</v>
      </c>
      <c r="AP3369">
        <v>-104</v>
      </c>
      <c r="AQ3369">
        <v>77</v>
      </c>
      <c r="AR3369">
        <v>64</v>
      </c>
      <c r="AZ3369">
        <v>1200</v>
      </c>
      <c r="BA3369">
        <v>1</v>
      </c>
      <c r="BB3369" t="str">
        <f t="shared" si="161"/>
        <v xml:space="preserve">N8080G  </v>
      </c>
      <c r="BC3369">
        <v>1</v>
      </c>
      <c r="BE3369">
        <v>0</v>
      </c>
      <c r="BF3369">
        <v>0</v>
      </c>
      <c r="BG3369">
        <v>0</v>
      </c>
      <c r="BH3369">
        <v>1350</v>
      </c>
      <c r="BI3369">
        <v>1</v>
      </c>
      <c r="BJ3369">
        <v>1</v>
      </c>
      <c r="BK3369">
        <v>1</v>
      </c>
      <c r="BL3369">
        <v>0</v>
      </c>
      <c r="BO3369">
        <v>0</v>
      </c>
      <c r="BP3369">
        <v>0</v>
      </c>
      <c r="BW3369" t="str">
        <f>"20:32:48.557"</f>
        <v>20:32:48.557</v>
      </c>
      <c r="BZ3369">
        <v>0</v>
      </c>
      <c r="CA3369">
        <v>1600</v>
      </c>
      <c r="CB3369">
        <v>224</v>
      </c>
      <c r="CD3369">
        <v>1</v>
      </c>
      <c r="CE3369">
        <v>0</v>
      </c>
      <c r="CF3369">
        <v>0</v>
      </c>
      <c r="CG3369">
        <v>1</v>
      </c>
      <c r="CH3369">
        <v>0</v>
      </c>
      <c r="CI3369">
        <v>0</v>
      </c>
      <c r="CJ3369">
        <v>0</v>
      </c>
      <c r="CK3369">
        <v>2</v>
      </c>
      <c r="CL3369">
        <v>0</v>
      </c>
      <c r="CM3369">
        <v>2</v>
      </c>
      <c r="CN3369">
        <v>0</v>
      </c>
      <c r="CO3369">
        <v>7</v>
      </c>
      <c r="CP3369" t="s">
        <v>119</v>
      </c>
      <c r="CQ3369">
        <v>180</v>
      </c>
      <c r="CR3369">
        <v>3</v>
      </c>
      <c r="CW3369">
        <v>1140488</v>
      </c>
      <c r="CY3369">
        <v>1</v>
      </c>
      <c r="CZ3369">
        <v>0</v>
      </c>
      <c r="DA3369">
        <v>1</v>
      </c>
      <c r="DB3369">
        <v>0</v>
      </c>
      <c r="DC3369">
        <v>0</v>
      </c>
      <c r="DD3369">
        <v>0</v>
      </c>
      <c r="DE3369">
        <v>0</v>
      </c>
      <c r="DF3369">
        <v>0</v>
      </c>
      <c r="DG3369">
        <v>0</v>
      </c>
      <c r="DH3369">
        <v>0</v>
      </c>
      <c r="DI3369">
        <v>0</v>
      </c>
    </row>
    <row r="3370" spans="1:113" x14ac:dyDescent="0.3">
      <c r="A3370" t="str">
        <f>"02/08/2021 20:32:46.248"</f>
        <v>02/08/2021 20:32:46.248</v>
      </c>
      <c r="C3370" t="str">
        <f t="shared" si="165"/>
        <v>FFDFD7C0</v>
      </c>
      <c r="D3370" t="s">
        <v>124</v>
      </c>
      <c r="E3370">
        <v>12</v>
      </c>
      <c r="F3370">
        <v>1012</v>
      </c>
      <c r="G3370" t="s">
        <v>675</v>
      </c>
      <c r="J3370" t="s">
        <v>125</v>
      </c>
      <c r="K3370">
        <v>0</v>
      </c>
      <c r="L3370">
        <v>3</v>
      </c>
      <c r="M3370">
        <v>0</v>
      </c>
      <c r="N3370">
        <v>2</v>
      </c>
      <c r="O3370">
        <v>1</v>
      </c>
      <c r="P3370">
        <v>0</v>
      </c>
      <c r="Q3370">
        <v>0</v>
      </c>
      <c r="S3370" t="str">
        <f>"20:32:48.555"</f>
        <v>20:32:48.555</v>
      </c>
      <c r="T3370" t="str">
        <f>"20:32:48.055"</f>
        <v>20:32:48.055</v>
      </c>
      <c r="U3370" t="str">
        <f t="shared" si="163"/>
        <v>AB01F4</v>
      </c>
      <c r="V3370">
        <v>0</v>
      </c>
      <c r="W3370">
        <v>0</v>
      </c>
      <c r="X3370">
        <v>2</v>
      </c>
      <c r="Z3370">
        <v>0</v>
      </c>
      <c r="AA3370">
        <v>9</v>
      </c>
      <c r="AB3370">
        <v>3</v>
      </c>
      <c r="AC3370">
        <v>0</v>
      </c>
      <c r="AD3370">
        <v>10</v>
      </c>
      <c r="AE3370">
        <v>0</v>
      </c>
      <c r="AF3370">
        <v>3</v>
      </c>
      <c r="AG3370">
        <v>2</v>
      </c>
      <c r="AH3370">
        <v>0</v>
      </c>
      <c r="AI3370" t="s">
        <v>1933</v>
      </c>
      <c r="AJ3370">
        <v>40.076301000000001</v>
      </c>
      <c r="AK3370" t="s">
        <v>1934</v>
      </c>
      <c r="AL3370">
        <v>-92.946160000000006</v>
      </c>
      <c r="AM3370">
        <v>100</v>
      </c>
      <c r="AN3370">
        <v>1300</v>
      </c>
      <c r="AO3370" t="s">
        <v>118</v>
      </c>
      <c r="AP3370">
        <v>-104</v>
      </c>
      <c r="AQ3370">
        <v>77</v>
      </c>
      <c r="AR3370">
        <v>64</v>
      </c>
      <c r="AZ3370">
        <v>1200</v>
      </c>
      <c r="BA3370">
        <v>1</v>
      </c>
      <c r="BB3370" t="str">
        <f t="shared" si="161"/>
        <v xml:space="preserve">N8080G  </v>
      </c>
      <c r="BC3370">
        <v>1</v>
      </c>
      <c r="BE3370">
        <v>0</v>
      </c>
      <c r="BF3370">
        <v>0</v>
      </c>
      <c r="BG3370">
        <v>0</v>
      </c>
      <c r="BH3370">
        <v>1350</v>
      </c>
      <c r="BI3370">
        <v>1</v>
      </c>
      <c r="BJ3370">
        <v>1</v>
      </c>
      <c r="BK3370">
        <v>1</v>
      </c>
      <c r="BL3370">
        <v>0</v>
      </c>
      <c r="BO3370">
        <v>0</v>
      </c>
      <c r="BP3370">
        <v>0</v>
      </c>
      <c r="BW3370" t="str">
        <f>"20:32:48.557"</f>
        <v>20:32:48.557</v>
      </c>
      <c r="BZ3370">
        <v>0</v>
      </c>
      <c r="CA3370">
        <v>1600</v>
      </c>
      <c r="CB3370">
        <v>224</v>
      </c>
      <c r="CD3370">
        <v>1</v>
      </c>
      <c r="CE3370">
        <v>0</v>
      </c>
      <c r="CF3370">
        <v>0</v>
      </c>
      <c r="CG3370">
        <v>1</v>
      </c>
      <c r="CH3370">
        <v>0</v>
      </c>
      <c r="CI3370">
        <v>0</v>
      </c>
      <c r="CJ3370">
        <v>0</v>
      </c>
      <c r="CK3370">
        <v>2</v>
      </c>
      <c r="CL3370">
        <v>0</v>
      </c>
      <c r="CM3370">
        <v>2</v>
      </c>
      <c r="CN3370">
        <v>0</v>
      </c>
      <c r="CO3370">
        <v>7</v>
      </c>
      <c r="CP3370" t="s">
        <v>119</v>
      </c>
      <c r="CQ3370">
        <v>180</v>
      </c>
      <c r="CR3370">
        <v>3</v>
      </c>
      <c r="CW3370">
        <v>1140488</v>
      </c>
      <c r="CY3370">
        <v>1</v>
      </c>
      <c r="CZ3370">
        <v>0</v>
      </c>
      <c r="DA3370">
        <v>1</v>
      </c>
      <c r="DB3370">
        <v>0</v>
      </c>
      <c r="DC3370">
        <v>0</v>
      </c>
      <c r="DD3370">
        <v>0</v>
      </c>
      <c r="DE3370">
        <v>0</v>
      </c>
      <c r="DF3370">
        <v>0</v>
      </c>
      <c r="DG3370">
        <v>0</v>
      </c>
      <c r="DH3370">
        <v>0</v>
      </c>
      <c r="DI3370">
        <v>0</v>
      </c>
    </row>
    <row r="3371" spans="1:113" x14ac:dyDescent="0.3">
      <c r="A3371" t="str">
        <f>"02/08/2021 20:32:47.106"</f>
        <v>02/08/2021 20:32:47.106</v>
      </c>
      <c r="C3371" t="str">
        <f t="shared" si="165"/>
        <v>FFDFD7C0</v>
      </c>
      <c r="D3371" t="s">
        <v>113</v>
      </c>
      <c r="E3371">
        <v>6</v>
      </c>
      <c r="H3371">
        <v>165</v>
      </c>
      <c r="I3371" t="s">
        <v>114</v>
      </c>
      <c r="J3371" t="s">
        <v>115</v>
      </c>
      <c r="K3371">
        <v>0</v>
      </c>
      <c r="L3371">
        <v>3</v>
      </c>
      <c r="M3371">
        <v>0</v>
      </c>
      <c r="N3371">
        <v>2</v>
      </c>
      <c r="O3371">
        <v>1</v>
      </c>
      <c r="P3371">
        <v>0</v>
      </c>
      <c r="Q3371">
        <v>0</v>
      </c>
      <c r="S3371" t="str">
        <f>"20:32:49.438"</f>
        <v>20:32:49.438</v>
      </c>
      <c r="T3371" t="str">
        <f>"20:32:49.038"</f>
        <v>20:32:49.038</v>
      </c>
      <c r="U3371" t="str">
        <f t="shared" si="163"/>
        <v>AB01F4</v>
      </c>
      <c r="V3371">
        <v>0</v>
      </c>
      <c r="W3371">
        <v>0</v>
      </c>
      <c r="X3371">
        <v>2</v>
      </c>
      <c r="Z3371">
        <v>0</v>
      </c>
      <c r="AA3371">
        <v>9</v>
      </c>
      <c r="AB3371">
        <v>3</v>
      </c>
      <c r="AC3371">
        <v>0</v>
      </c>
      <c r="AD3371">
        <v>10</v>
      </c>
      <c r="AE3371">
        <v>0</v>
      </c>
      <c r="AF3371">
        <v>3</v>
      </c>
      <c r="AG3371">
        <v>2</v>
      </c>
      <c r="AH3371">
        <v>0</v>
      </c>
      <c r="AI3371" t="s">
        <v>1935</v>
      </c>
      <c r="AJ3371">
        <v>40.076644000000002</v>
      </c>
      <c r="AK3371" t="s">
        <v>1936</v>
      </c>
      <c r="AL3371">
        <v>-92.946760999999995</v>
      </c>
      <c r="AM3371">
        <v>100</v>
      </c>
      <c r="AN3371">
        <v>1300</v>
      </c>
      <c r="AO3371" t="s">
        <v>118</v>
      </c>
      <c r="AP3371">
        <v>-104</v>
      </c>
      <c r="AQ3371">
        <v>77</v>
      </c>
      <c r="AR3371">
        <v>64</v>
      </c>
      <c r="AZ3371">
        <v>1200</v>
      </c>
      <c r="BA3371">
        <v>1</v>
      </c>
      <c r="BB3371" t="str">
        <f t="shared" si="161"/>
        <v xml:space="preserve">N8080G  </v>
      </c>
      <c r="BC3371">
        <v>1</v>
      </c>
      <c r="BE3371">
        <v>0</v>
      </c>
      <c r="BF3371">
        <v>0</v>
      </c>
      <c r="BG3371">
        <v>0</v>
      </c>
      <c r="BH3371">
        <v>1350</v>
      </c>
      <c r="BI3371">
        <v>1</v>
      </c>
      <c r="BJ3371">
        <v>1</v>
      </c>
      <c r="BK3371">
        <v>1</v>
      </c>
      <c r="BL3371">
        <v>0</v>
      </c>
      <c r="BO3371">
        <v>0</v>
      </c>
      <c r="BP3371">
        <v>0</v>
      </c>
      <c r="BW3371" t="str">
        <f>"20:32:49.444"</f>
        <v>20:32:49.444</v>
      </c>
      <c r="BZ3371">
        <v>0</v>
      </c>
      <c r="CA3371">
        <v>1600</v>
      </c>
      <c r="CB3371">
        <v>224</v>
      </c>
      <c r="CD3371">
        <v>1</v>
      </c>
      <c r="CE3371">
        <v>0</v>
      </c>
      <c r="CF3371">
        <v>0</v>
      </c>
      <c r="CG3371">
        <v>1</v>
      </c>
      <c r="CH3371">
        <v>0</v>
      </c>
      <c r="CI3371">
        <v>0</v>
      </c>
      <c r="CJ3371">
        <v>0</v>
      </c>
      <c r="CK3371">
        <v>2</v>
      </c>
      <c r="CL3371">
        <v>0</v>
      </c>
      <c r="CM3371">
        <v>2</v>
      </c>
      <c r="CN3371">
        <v>0</v>
      </c>
      <c r="CO3371">
        <v>7</v>
      </c>
      <c r="CP3371" t="s">
        <v>119</v>
      </c>
      <c r="CQ3371">
        <v>180</v>
      </c>
      <c r="CR3371">
        <v>3</v>
      </c>
      <c r="CW3371">
        <v>1141074</v>
      </c>
      <c r="CY3371">
        <v>1</v>
      </c>
      <c r="CZ3371">
        <v>0</v>
      </c>
      <c r="DA3371">
        <v>0</v>
      </c>
      <c r="DB3371">
        <v>0</v>
      </c>
      <c r="DC3371">
        <v>0</v>
      </c>
      <c r="DD3371">
        <v>0</v>
      </c>
      <c r="DE3371">
        <v>0</v>
      </c>
      <c r="DF3371">
        <v>0</v>
      </c>
      <c r="DG3371">
        <v>0</v>
      </c>
      <c r="DH3371">
        <v>0</v>
      </c>
      <c r="DI3371">
        <v>0</v>
      </c>
    </row>
    <row r="3372" spans="1:113" x14ac:dyDescent="0.3">
      <c r="A3372" t="str">
        <f>"02/08/2021 20:32:47.106"</f>
        <v>02/08/2021 20:32:47.106</v>
      </c>
      <c r="C3372" t="str">
        <f t="shared" si="165"/>
        <v>FFDFD7C0</v>
      </c>
      <c r="D3372" t="s">
        <v>124</v>
      </c>
      <c r="E3372">
        <v>11</v>
      </c>
      <c r="F3372">
        <v>1011</v>
      </c>
      <c r="G3372" t="s">
        <v>590</v>
      </c>
      <c r="J3372" t="s">
        <v>125</v>
      </c>
      <c r="K3372">
        <v>0</v>
      </c>
      <c r="L3372">
        <v>3</v>
      </c>
      <c r="M3372">
        <v>0</v>
      </c>
      <c r="N3372">
        <v>2</v>
      </c>
      <c r="O3372">
        <v>1</v>
      </c>
      <c r="P3372">
        <v>0</v>
      </c>
      <c r="Q3372">
        <v>0</v>
      </c>
      <c r="S3372" t="str">
        <f>"20:32:49.438"</f>
        <v>20:32:49.438</v>
      </c>
      <c r="T3372" t="str">
        <f>"20:32:49.038"</f>
        <v>20:32:49.038</v>
      </c>
      <c r="U3372" t="str">
        <f t="shared" si="163"/>
        <v>AB01F4</v>
      </c>
      <c r="V3372">
        <v>0</v>
      </c>
      <c r="W3372">
        <v>0</v>
      </c>
      <c r="X3372">
        <v>2</v>
      </c>
      <c r="Z3372">
        <v>0</v>
      </c>
      <c r="AA3372">
        <v>9</v>
      </c>
      <c r="AB3372">
        <v>3</v>
      </c>
      <c r="AC3372">
        <v>0</v>
      </c>
      <c r="AD3372">
        <v>10</v>
      </c>
      <c r="AE3372">
        <v>0</v>
      </c>
      <c r="AF3372">
        <v>3</v>
      </c>
      <c r="AG3372">
        <v>2</v>
      </c>
      <c r="AH3372">
        <v>0</v>
      </c>
      <c r="AI3372" t="s">
        <v>1935</v>
      </c>
      <c r="AJ3372">
        <v>40.076644000000002</v>
      </c>
      <c r="AK3372" t="s">
        <v>1936</v>
      </c>
      <c r="AL3372">
        <v>-92.946760999999995</v>
      </c>
      <c r="AM3372">
        <v>100</v>
      </c>
      <c r="AN3372">
        <v>1300</v>
      </c>
      <c r="AO3372" t="s">
        <v>118</v>
      </c>
      <c r="AP3372">
        <v>-104</v>
      </c>
      <c r="AQ3372">
        <v>77</v>
      </c>
      <c r="AR3372">
        <v>64</v>
      </c>
      <c r="AZ3372">
        <v>1200</v>
      </c>
      <c r="BA3372">
        <v>1</v>
      </c>
      <c r="BB3372" t="str">
        <f t="shared" si="161"/>
        <v xml:space="preserve">N8080G  </v>
      </c>
      <c r="BC3372">
        <v>1</v>
      </c>
      <c r="BE3372">
        <v>0</v>
      </c>
      <c r="BF3372">
        <v>0</v>
      </c>
      <c r="BG3372">
        <v>0</v>
      </c>
      <c r="BH3372">
        <v>1350</v>
      </c>
      <c r="BI3372">
        <v>1</v>
      </c>
      <c r="BJ3372">
        <v>1</v>
      </c>
      <c r="BK3372">
        <v>1</v>
      </c>
      <c r="BL3372">
        <v>0</v>
      </c>
      <c r="BO3372">
        <v>0</v>
      </c>
      <c r="BP3372">
        <v>0</v>
      </c>
      <c r="BW3372" t="str">
        <f>"20:32:49.444"</f>
        <v>20:32:49.444</v>
      </c>
      <c r="BZ3372">
        <v>0</v>
      </c>
      <c r="CA3372">
        <v>1600</v>
      </c>
      <c r="CB3372">
        <v>224</v>
      </c>
      <c r="CD3372">
        <v>1</v>
      </c>
      <c r="CE3372">
        <v>0</v>
      </c>
      <c r="CF3372">
        <v>0</v>
      </c>
      <c r="CG3372">
        <v>1</v>
      </c>
      <c r="CH3372">
        <v>0</v>
      </c>
      <c r="CI3372">
        <v>0</v>
      </c>
      <c r="CJ3372">
        <v>0</v>
      </c>
      <c r="CK3372">
        <v>2</v>
      </c>
      <c r="CL3372">
        <v>0</v>
      </c>
      <c r="CM3372">
        <v>2</v>
      </c>
      <c r="CN3372">
        <v>0</v>
      </c>
      <c r="CO3372">
        <v>7</v>
      </c>
      <c r="CP3372" t="s">
        <v>119</v>
      </c>
      <c r="CQ3372">
        <v>180</v>
      </c>
      <c r="CR3372">
        <v>3</v>
      </c>
      <c r="CW3372">
        <v>1141074</v>
      </c>
      <c r="CY3372">
        <v>1</v>
      </c>
      <c r="CZ3372">
        <v>0</v>
      </c>
      <c r="DA3372">
        <v>1</v>
      </c>
      <c r="DB3372">
        <v>0</v>
      </c>
      <c r="DC3372">
        <v>0</v>
      </c>
      <c r="DD3372">
        <v>0</v>
      </c>
      <c r="DE3372">
        <v>0</v>
      </c>
      <c r="DF3372">
        <v>0</v>
      </c>
      <c r="DG3372">
        <v>0</v>
      </c>
      <c r="DH3372">
        <v>0</v>
      </c>
      <c r="DI3372">
        <v>0</v>
      </c>
    </row>
    <row r="3373" spans="1:113" x14ac:dyDescent="0.3">
      <c r="A3373" t="str">
        <f>"02/08/2021 20:32:47.106"</f>
        <v>02/08/2021 20:32:47.106</v>
      </c>
      <c r="C3373" t="str">
        <f t="shared" si="165"/>
        <v>FFDFD7C0</v>
      </c>
      <c r="D3373" t="s">
        <v>124</v>
      </c>
      <c r="E3373">
        <v>13</v>
      </c>
      <c r="F3373">
        <v>1013</v>
      </c>
      <c r="G3373" t="s">
        <v>114</v>
      </c>
      <c r="J3373" t="s">
        <v>125</v>
      </c>
      <c r="K3373">
        <v>0</v>
      </c>
      <c r="L3373">
        <v>3</v>
      </c>
      <c r="M3373">
        <v>0</v>
      </c>
      <c r="N3373">
        <v>2</v>
      </c>
      <c r="O3373">
        <v>1</v>
      </c>
      <c r="P3373">
        <v>0</v>
      </c>
      <c r="Q3373">
        <v>0</v>
      </c>
      <c r="S3373" t="str">
        <f>"20:32:49.438"</f>
        <v>20:32:49.438</v>
      </c>
      <c r="T3373" t="str">
        <f>"20:32:49.038"</f>
        <v>20:32:49.038</v>
      </c>
      <c r="U3373" t="str">
        <f t="shared" si="163"/>
        <v>AB01F4</v>
      </c>
      <c r="V3373">
        <v>0</v>
      </c>
      <c r="W3373">
        <v>0</v>
      </c>
      <c r="X3373">
        <v>2</v>
      </c>
      <c r="Z3373">
        <v>0</v>
      </c>
      <c r="AA3373">
        <v>9</v>
      </c>
      <c r="AB3373">
        <v>3</v>
      </c>
      <c r="AC3373">
        <v>0</v>
      </c>
      <c r="AD3373">
        <v>10</v>
      </c>
      <c r="AE3373">
        <v>0</v>
      </c>
      <c r="AF3373">
        <v>3</v>
      </c>
      <c r="AG3373">
        <v>2</v>
      </c>
      <c r="AH3373">
        <v>0</v>
      </c>
      <c r="AI3373" t="s">
        <v>1935</v>
      </c>
      <c r="AJ3373">
        <v>40.076644000000002</v>
      </c>
      <c r="AK3373" t="s">
        <v>1936</v>
      </c>
      <c r="AL3373">
        <v>-92.946760999999995</v>
      </c>
      <c r="AM3373">
        <v>100</v>
      </c>
      <c r="AN3373">
        <v>1300</v>
      </c>
      <c r="AO3373" t="s">
        <v>118</v>
      </c>
      <c r="AP3373">
        <v>-104</v>
      </c>
      <c r="AQ3373">
        <v>77</v>
      </c>
      <c r="AR3373">
        <v>64</v>
      </c>
      <c r="AZ3373">
        <v>1200</v>
      </c>
      <c r="BA3373">
        <v>1</v>
      </c>
      <c r="BB3373" t="str">
        <f t="shared" si="161"/>
        <v xml:space="preserve">N8080G  </v>
      </c>
      <c r="BC3373">
        <v>1</v>
      </c>
      <c r="BE3373">
        <v>0</v>
      </c>
      <c r="BF3373">
        <v>0</v>
      </c>
      <c r="BG3373">
        <v>0</v>
      </c>
      <c r="BH3373">
        <v>1350</v>
      </c>
      <c r="BI3373">
        <v>1</v>
      </c>
      <c r="BJ3373">
        <v>1</v>
      </c>
      <c r="BK3373">
        <v>1</v>
      </c>
      <c r="BL3373">
        <v>0</v>
      </c>
      <c r="BO3373">
        <v>0</v>
      </c>
      <c r="BP3373">
        <v>0</v>
      </c>
      <c r="BW3373" t="str">
        <f>"20:32:49.444"</f>
        <v>20:32:49.444</v>
      </c>
      <c r="BZ3373">
        <v>0</v>
      </c>
      <c r="CA3373">
        <v>1600</v>
      </c>
      <c r="CB3373">
        <v>224</v>
      </c>
      <c r="CD3373">
        <v>1</v>
      </c>
      <c r="CE3373">
        <v>0</v>
      </c>
      <c r="CF3373">
        <v>0</v>
      </c>
      <c r="CG3373">
        <v>1</v>
      </c>
      <c r="CH3373">
        <v>0</v>
      </c>
      <c r="CI3373">
        <v>0</v>
      </c>
      <c r="CJ3373">
        <v>0</v>
      </c>
      <c r="CK3373">
        <v>2</v>
      </c>
      <c r="CL3373">
        <v>0</v>
      </c>
      <c r="CM3373">
        <v>2</v>
      </c>
      <c r="CN3373">
        <v>0</v>
      </c>
      <c r="CO3373">
        <v>7</v>
      </c>
      <c r="CP3373" t="s">
        <v>119</v>
      </c>
      <c r="CQ3373">
        <v>180</v>
      </c>
      <c r="CR3373">
        <v>3</v>
      </c>
      <c r="CW3373">
        <v>1141074</v>
      </c>
      <c r="CY3373">
        <v>1</v>
      </c>
      <c r="CZ3373">
        <v>0</v>
      </c>
      <c r="DA3373">
        <v>1</v>
      </c>
      <c r="DB3373">
        <v>0</v>
      </c>
      <c r="DC3373">
        <v>0</v>
      </c>
      <c r="DD3373">
        <v>0</v>
      </c>
      <c r="DE3373">
        <v>0</v>
      </c>
      <c r="DF3373">
        <v>0</v>
      </c>
      <c r="DG3373">
        <v>0</v>
      </c>
      <c r="DH3373">
        <v>0</v>
      </c>
      <c r="DI3373">
        <v>0</v>
      </c>
    </row>
    <row r="3374" spans="1:113" x14ac:dyDescent="0.3">
      <c r="A3374" t="str">
        <f>"02/08/2021 20:32:47.106"</f>
        <v>02/08/2021 20:32:47.106</v>
      </c>
      <c r="C3374" t="str">
        <f t="shared" si="165"/>
        <v>FFDFD7C0</v>
      </c>
      <c r="D3374" t="s">
        <v>124</v>
      </c>
      <c r="E3374">
        <v>12</v>
      </c>
      <c r="F3374">
        <v>1012</v>
      </c>
      <c r="G3374" t="s">
        <v>675</v>
      </c>
      <c r="J3374" t="s">
        <v>125</v>
      </c>
      <c r="K3374">
        <v>0</v>
      </c>
      <c r="L3374">
        <v>3</v>
      </c>
      <c r="M3374">
        <v>0</v>
      </c>
      <c r="N3374">
        <v>2</v>
      </c>
      <c r="O3374">
        <v>1</v>
      </c>
      <c r="P3374">
        <v>0</v>
      </c>
      <c r="Q3374">
        <v>0</v>
      </c>
      <c r="S3374" t="str">
        <f>"20:32:49.438"</f>
        <v>20:32:49.438</v>
      </c>
      <c r="T3374" t="str">
        <f>"20:32:49.038"</f>
        <v>20:32:49.038</v>
      </c>
      <c r="U3374" t="str">
        <f t="shared" si="163"/>
        <v>AB01F4</v>
      </c>
      <c r="V3374">
        <v>0</v>
      </c>
      <c r="W3374">
        <v>0</v>
      </c>
      <c r="X3374">
        <v>2</v>
      </c>
      <c r="Z3374">
        <v>0</v>
      </c>
      <c r="AA3374">
        <v>9</v>
      </c>
      <c r="AB3374">
        <v>3</v>
      </c>
      <c r="AC3374">
        <v>0</v>
      </c>
      <c r="AD3374">
        <v>10</v>
      </c>
      <c r="AE3374">
        <v>0</v>
      </c>
      <c r="AF3374">
        <v>3</v>
      </c>
      <c r="AG3374">
        <v>2</v>
      </c>
      <c r="AH3374">
        <v>0</v>
      </c>
      <c r="AI3374" t="s">
        <v>1935</v>
      </c>
      <c r="AJ3374">
        <v>40.076644000000002</v>
      </c>
      <c r="AK3374" t="s">
        <v>1936</v>
      </c>
      <c r="AL3374">
        <v>-92.946760999999995</v>
      </c>
      <c r="AM3374">
        <v>100</v>
      </c>
      <c r="AN3374">
        <v>1300</v>
      </c>
      <c r="AO3374" t="s">
        <v>118</v>
      </c>
      <c r="AP3374">
        <v>-104</v>
      </c>
      <c r="AQ3374">
        <v>77</v>
      </c>
      <c r="AR3374">
        <v>64</v>
      </c>
      <c r="AZ3374">
        <v>1200</v>
      </c>
      <c r="BA3374">
        <v>1</v>
      </c>
      <c r="BB3374" t="str">
        <f t="shared" si="161"/>
        <v xml:space="preserve">N8080G  </v>
      </c>
      <c r="BC3374">
        <v>1</v>
      </c>
      <c r="BE3374">
        <v>0</v>
      </c>
      <c r="BF3374">
        <v>0</v>
      </c>
      <c r="BG3374">
        <v>0</v>
      </c>
      <c r="BH3374">
        <v>1350</v>
      </c>
      <c r="BI3374">
        <v>1</v>
      </c>
      <c r="BJ3374">
        <v>1</v>
      </c>
      <c r="BK3374">
        <v>1</v>
      </c>
      <c r="BL3374">
        <v>0</v>
      </c>
      <c r="BO3374">
        <v>0</v>
      </c>
      <c r="BP3374">
        <v>0</v>
      </c>
      <c r="BW3374" t="str">
        <f>"20:32:49.444"</f>
        <v>20:32:49.444</v>
      </c>
      <c r="BZ3374">
        <v>0</v>
      </c>
      <c r="CA3374">
        <v>1600</v>
      </c>
      <c r="CB3374">
        <v>224</v>
      </c>
      <c r="CD3374">
        <v>1</v>
      </c>
      <c r="CE3374">
        <v>0</v>
      </c>
      <c r="CF3374">
        <v>0</v>
      </c>
      <c r="CG3374">
        <v>1</v>
      </c>
      <c r="CH3374">
        <v>0</v>
      </c>
      <c r="CI3374">
        <v>0</v>
      </c>
      <c r="CJ3374">
        <v>0</v>
      </c>
      <c r="CK3374">
        <v>2</v>
      </c>
      <c r="CL3374">
        <v>0</v>
      </c>
      <c r="CM3374">
        <v>2</v>
      </c>
      <c r="CN3374">
        <v>0</v>
      </c>
      <c r="CO3374">
        <v>7</v>
      </c>
      <c r="CP3374" t="s">
        <v>119</v>
      </c>
      <c r="CQ3374">
        <v>180</v>
      </c>
      <c r="CR3374">
        <v>3</v>
      </c>
      <c r="CW3374">
        <v>1141074</v>
      </c>
      <c r="CY3374">
        <v>1</v>
      </c>
      <c r="CZ3374">
        <v>0</v>
      </c>
      <c r="DA3374">
        <v>1</v>
      </c>
      <c r="DB3374">
        <v>0</v>
      </c>
      <c r="DC3374">
        <v>0</v>
      </c>
      <c r="DD3374">
        <v>0</v>
      </c>
      <c r="DE3374">
        <v>0</v>
      </c>
      <c r="DF3374">
        <v>0</v>
      </c>
      <c r="DG3374">
        <v>0</v>
      </c>
      <c r="DH3374">
        <v>0</v>
      </c>
      <c r="DI3374">
        <v>0</v>
      </c>
    </row>
    <row r="3375" spans="1:113" x14ac:dyDescent="0.3">
      <c r="A3375" t="str">
        <f>"02/08/2021 20:32:48.269"</f>
        <v>02/08/2021 20:32:48.269</v>
      </c>
      <c r="C3375" t="str">
        <f t="shared" si="165"/>
        <v>FFDFD7C0</v>
      </c>
      <c r="D3375" t="s">
        <v>113</v>
      </c>
      <c r="E3375">
        <v>6</v>
      </c>
      <c r="H3375">
        <v>165</v>
      </c>
      <c r="I3375" t="s">
        <v>114</v>
      </c>
      <c r="J3375" t="s">
        <v>115</v>
      </c>
      <c r="K3375">
        <v>0</v>
      </c>
      <c r="L3375">
        <v>3</v>
      </c>
      <c r="M3375">
        <v>0</v>
      </c>
      <c r="N3375">
        <v>2</v>
      </c>
      <c r="O3375">
        <v>1</v>
      </c>
      <c r="P3375">
        <v>0</v>
      </c>
      <c r="Q3375">
        <v>0</v>
      </c>
      <c r="S3375" t="str">
        <f>"20:32:50.563"</f>
        <v>20:32:50.563</v>
      </c>
      <c r="T3375" t="str">
        <f>"20:32:50.063"</f>
        <v>20:32:50.063</v>
      </c>
      <c r="U3375" t="str">
        <f t="shared" si="163"/>
        <v>AB01F4</v>
      </c>
      <c r="V3375">
        <v>0</v>
      </c>
      <c r="W3375">
        <v>0</v>
      </c>
      <c r="X3375">
        <v>2</v>
      </c>
      <c r="Z3375">
        <v>0</v>
      </c>
      <c r="AA3375">
        <v>9</v>
      </c>
      <c r="AB3375">
        <v>3</v>
      </c>
      <c r="AC3375">
        <v>0</v>
      </c>
      <c r="AD3375">
        <v>10</v>
      </c>
      <c r="AE3375">
        <v>0</v>
      </c>
      <c r="AF3375">
        <v>3</v>
      </c>
      <c r="AG3375">
        <v>2</v>
      </c>
      <c r="AH3375">
        <v>0</v>
      </c>
      <c r="AI3375" t="s">
        <v>1937</v>
      </c>
      <c r="AJ3375">
        <v>40.077030999999998</v>
      </c>
      <c r="AK3375" t="s">
        <v>1938</v>
      </c>
      <c r="AL3375">
        <v>-92.947446999999997</v>
      </c>
      <c r="AM3375">
        <v>100</v>
      </c>
      <c r="AN3375">
        <v>1300</v>
      </c>
      <c r="AO3375" t="s">
        <v>118</v>
      </c>
      <c r="AP3375">
        <v>-104</v>
      </c>
      <c r="AQ3375">
        <v>76</v>
      </c>
      <c r="AR3375">
        <v>0</v>
      </c>
      <c r="AZ3375">
        <v>1200</v>
      </c>
      <c r="BA3375">
        <v>1</v>
      </c>
      <c r="BB3375" t="str">
        <f t="shared" ref="BB3375:BB3438" si="166">"N8080G  "</f>
        <v xml:space="preserve">N8080G  </v>
      </c>
      <c r="BC3375">
        <v>1</v>
      </c>
      <c r="BE3375">
        <v>0</v>
      </c>
      <c r="BF3375">
        <v>0</v>
      </c>
      <c r="BG3375">
        <v>0</v>
      </c>
      <c r="BH3375">
        <v>1350</v>
      </c>
      <c r="BI3375">
        <v>1</v>
      </c>
      <c r="BJ3375">
        <v>1</v>
      </c>
      <c r="BK3375">
        <v>1</v>
      </c>
      <c r="BL3375">
        <v>0</v>
      </c>
      <c r="BO3375">
        <v>0</v>
      </c>
      <c r="BP3375">
        <v>0</v>
      </c>
      <c r="BW3375" t="str">
        <f>"20:32:50.565"</f>
        <v>20:32:50.565</v>
      </c>
      <c r="BZ3375">
        <v>0</v>
      </c>
      <c r="CA3375">
        <v>1600</v>
      </c>
      <c r="CB3375">
        <v>224</v>
      </c>
      <c r="CD3375">
        <v>1</v>
      </c>
      <c r="CE3375">
        <v>0</v>
      </c>
      <c r="CF3375">
        <v>0</v>
      </c>
      <c r="CG3375">
        <v>1</v>
      </c>
      <c r="CH3375">
        <v>0</v>
      </c>
      <c r="CI3375">
        <v>0</v>
      </c>
      <c r="CJ3375">
        <v>0</v>
      </c>
      <c r="CK3375">
        <v>2</v>
      </c>
      <c r="CL3375">
        <v>0</v>
      </c>
      <c r="CM3375">
        <v>2</v>
      </c>
      <c r="CN3375">
        <v>0</v>
      </c>
      <c r="CO3375">
        <v>7</v>
      </c>
      <c r="CP3375" t="s">
        <v>119</v>
      </c>
      <c r="CQ3375">
        <v>180</v>
      </c>
      <c r="CR3375">
        <v>3</v>
      </c>
      <c r="CW3375">
        <v>1141899</v>
      </c>
      <c r="CY3375">
        <v>1</v>
      </c>
      <c r="CZ3375">
        <v>0</v>
      </c>
      <c r="DA3375">
        <v>0</v>
      </c>
      <c r="DB3375">
        <v>0</v>
      </c>
      <c r="DC3375">
        <v>0</v>
      </c>
      <c r="DD3375">
        <v>0</v>
      </c>
      <c r="DE3375">
        <v>0</v>
      </c>
      <c r="DF3375">
        <v>0</v>
      </c>
      <c r="DG3375">
        <v>0</v>
      </c>
      <c r="DH3375">
        <v>0</v>
      </c>
      <c r="DI3375">
        <v>0</v>
      </c>
    </row>
    <row r="3376" spans="1:113" x14ac:dyDescent="0.3">
      <c r="A3376" t="str">
        <f>"02/08/2021 20:32:48.269"</f>
        <v>02/08/2021 20:32:48.269</v>
      </c>
      <c r="C3376" t="str">
        <f t="shared" si="165"/>
        <v>FFDFD7C0</v>
      </c>
      <c r="D3376" t="s">
        <v>124</v>
      </c>
      <c r="E3376">
        <v>11</v>
      </c>
      <c r="F3376">
        <v>1011</v>
      </c>
      <c r="G3376" t="s">
        <v>590</v>
      </c>
      <c r="J3376" t="s">
        <v>125</v>
      </c>
      <c r="K3376">
        <v>0</v>
      </c>
      <c r="L3376">
        <v>3</v>
      </c>
      <c r="M3376">
        <v>0</v>
      </c>
      <c r="N3376">
        <v>2</v>
      </c>
      <c r="O3376">
        <v>1</v>
      </c>
      <c r="P3376">
        <v>0</v>
      </c>
      <c r="Q3376">
        <v>0</v>
      </c>
      <c r="S3376" t="str">
        <f>"20:32:50.563"</f>
        <v>20:32:50.563</v>
      </c>
      <c r="T3376" t="str">
        <f>"20:32:50.063"</f>
        <v>20:32:50.063</v>
      </c>
      <c r="U3376" t="str">
        <f t="shared" si="163"/>
        <v>AB01F4</v>
      </c>
      <c r="V3376">
        <v>0</v>
      </c>
      <c r="W3376">
        <v>0</v>
      </c>
      <c r="X3376">
        <v>2</v>
      </c>
      <c r="Z3376">
        <v>0</v>
      </c>
      <c r="AA3376">
        <v>9</v>
      </c>
      <c r="AB3376">
        <v>3</v>
      </c>
      <c r="AC3376">
        <v>0</v>
      </c>
      <c r="AD3376">
        <v>10</v>
      </c>
      <c r="AE3376">
        <v>0</v>
      </c>
      <c r="AF3376">
        <v>3</v>
      </c>
      <c r="AG3376">
        <v>2</v>
      </c>
      <c r="AH3376">
        <v>0</v>
      </c>
      <c r="AI3376" t="s">
        <v>1937</v>
      </c>
      <c r="AJ3376">
        <v>40.077030999999998</v>
      </c>
      <c r="AK3376" t="s">
        <v>1938</v>
      </c>
      <c r="AL3376">
        <v>-92.947446999999997</v>
      </c>
      <c r="AM3376">
        <v>100</v>
      </c>
      <c r="AN3376">
        <v>1300</v>
      </c>
      <c r="AO3376" t="s">
        <v>118</v>
      </c>
      <c r="AP3376">
        <v>-104</v>
      </c>
      <c r="AQ3376">
        <v>76</v>
      </c>
      <c r="AR3376">
        <v>0</v>
      </c>
      <c r="AZ3376">
        <v>1200</v>
      </c>
      <c r="BA3376">
        <v>1</v>
      </c>
      <c r="BB3376" t="str">
        <f t="shared" si="166"/>
        <v xml:space="preserve">N8080G  </v>
      </c>
      <c r="BC3376">
        <v>1</v>
      </c>
      <c r="BE3376">
        <v>0</v>
      </c>
      <c r="BF3376">
        <v>0</v>
      </c>
      <c r="BG3376">
        <v>0</v>
      </c>
      <c r="BH3376">
        <v>1350</v>
      </c>
      <c r="BI3376">
        <v>1</v>
      </c>
      <c r="BJ3376">
        <v>1</v>
      </c>
      <c r="BK3376">
        <v>1</v>
      </c>
      <c r="BL3376">
        <v>0</v>
      </c>
      <c r="BO3376">
        <v>0</v>
      </c>
      <c r="BP3376">
        <v>0</v>
      </c>
      <c r="BW3376" t="str">
        <f>"20:32:50.565"</f>
        <v>20:32:50.565</v>
      </c>
      <c r="BZ3376">
        <v>0</v>
      </c>
      <c r="CA3376">
        <v>1600</v>
      </c>
      <c r="CB3376">
        <v>224</v>
      </c>
      <c r="CD3376">
        <v>1</v>
      </c>
      <c r="CE3376">
        <v>0</v>
      </c>
      <c r="CF3376">
        <v>0</v>
      </c>
      <c r="CG3376">
        <v>1</v>
      </c>
      <c r="CH3376">
        <v>0</v>
      </c>
      <c r="CI3376">
        <v>0</v>
      </c>
      <c r="CJ3376">
        <v>0</v>
      </c>
      <c r="CK3376">
        <v>2</v>
      </c>
      <c r="CL3376">
        <v>0</v>
      </c>
      <c r="CM3376">
        <v>2</v>
      </c>
      <c r="CN3376">
        <v>0</v>
      </c>
      <c r="CO3376">
        <v>7</v>
      </c>
      <c r="CP3376" t="s">
        <v>119</v>
      </c>
      <c r="CQ3376">
        <v>180</v>
      </c>
      <c r="CR3376">
        <v>3</v>
      </c>
      <c r="CW3376">
        <v>1141899</v>
      </c>
      <c r="CY3376">
        <v>1</v>
      </c>
      <c r="CZ3376">
        <v>0</v>
      </c>
      <c r="DA3376">
        <v>1</v>
      </c>
      <c r="DB3376">
        <v>0</v>
      </c>
      <c r="DC3376">
        <v>0</v>
      </c>
      <c r="DD3376">
        <v>0</v>
      </c>
      <c r="DE3376">
        <v>0</v>
      </c>
      <c r="DF3376">
        <v>0</v>
      </c>
      <c r="DG3376">
        <v>0</v>
      </c>
      <c r="DH3376">
        <v>0</v>
      </c>
      <c r="DI3376">
        <v>0</v>
      </c>
    </row>
    <row r="3377" spans="1:113" x14ac:dyDescent="0.3">
      <c r="A3377" t="str">
        <f>"02/08/2021 20:32:48.269"</f>
        <v>02/08/2021 20:32:48.269</v>
      </c>
      <c r="C3377" t="str">
        <f t="shared" si="165"/>
        <v>FFDFD7C0</v>
      </c>
      <c r="D3377" t="s">
        <v>124</v>
      </c>
      <c r="E3377">
        <v>13</v>
      </c>
      <c r="F3377">
        <v>1013</v>
      </c>
      <c r="G3377" t="s">
        <v>114</v>
      </c>
      <c r="J3377" t="s">
        <v>125</v>
      </c>
      <c r="K3377">
        <v>0</v>
      </c>
      <c r="L3377">
        <v>3</v>
      </c>
      <c r="M3377">
        <v>0</v>
      </c>
      <c r="N3377">
        <v>2</v>
      </c>
      <c r="O3377">
        <v>1</v>
      </c>
      <c r="P3377">
        <v>0</v>
      </c>
      <c r="Q3377">
        <v>0</v>
      </c>
      <c r="S3377" t="str">
        <f>"20:32:50.563"</f>
        <v>20:32:50.563</v>
      </c>
      <c r="T3377" t="str">
        <f>"20:32:50.063"</f>
        <v>20:32:50.063</v>
      </c>
      <c r="U3377" t="str">
        <f t="shared" si="163"/>
        <v>AB01F4</v>
      </c>
      <c r="V3377">
        <v>0</v>
      </c>
      <c r="W3377">
        <v>0</v>
      </c>
      <c r="X3377">
        <v>2</v>
      </c>
      <c r="Z3377">
        <v>0</v>
      </c>
      <c r="AA3377">
        <v>9</v>
      </c>
      <c r="AB3377">
        <v>3</v>
      </c>
      <c r="AC3377">
        <v>0</v>
      </c>
      <c r="AD3377">
        <v>10</v>
      </c>
      <c r="AE3377">
        <v>0</v>
      </c>
      <c r="AF3377">
        <v>3</v>
      </c>
      <c r="AG3377">
        <v>2</v>
      </c>
      <c r="AH3377">
        <v>0</v>
      </c>
      <c r="AI3377" t="s">
        <v>1937</v>
      </c>
      <c r="AJ3377">
        <v>40.077030999999998</v>
      </c>
      <c r="AK3377" t="s">
        <v>1938</v>
      </c>
      <c r="AL3377">
        <v>-92.947446999999997</v>
      </c>
      <c r="AM3377">
        <v>100</v>
      </c>
      <c r="AN3377">
        <v>1300</v>
      </c>
      <c r="AO3377" t="s">
        <v>118</v>
      </c>
      <c r="AP3377">
        <v>-104</v>
      </c>
      <c r="AQ3377">
        <v>76</v>
      </c>
      <c r="AR3377">
        <v>0</v>
      </c>
      <c r="AZ3377">
        <v>1200</v>
      </c>
      <c r="BA3377">
        <v>1</v>
      </c>
      <c r="BB3377" t="str">
        <f t="shared" si="166"/>
        <v xml:space="preserve">N8080G  </v>
      </c>
      <c r="BC3377">
        <v>1</v>
      </c>
      <c r="BE3377">
        <v>0</v>
      </c>
      <c r="BF3377">
        <v>0</v>
      </c>
      <c r="BG3377">
        <v>0</v>
      </c>
      <c r="BH3377">
        <v>1350</v>
      </c>
      <c r="BI3377">
        <v>1</v>
      </c>
      <c r="BJ3377">
        <v>1</v>
      </c>
      <c r="BK3377">
        <v>1</v>
      </c>
      <c r="BL3377">
        <v>0</v>
      </c>
      <c r="BO3377">
        <v>0</v>
      </c>
      <c r="BP3377">
        <v>0</v>
      </c>
      <c r="BW3377" t="str">
        <f>"20:32:50.565"</f>
        <v>20:32:50.565</v>
      </c>
      <c r="BZ3377">
        <v>0</v>
      </c>
      <c r="CA3377">
        <v>1600</v>
      </c>
      <c r="CB3377">
        <v>224</v>
      </c>
      <c r="CD3377">
        <v>1</v>
      </c>
      <c r="CE3377">
        <v>0</v>
      </c>
      <c r="CF3377">
        <v>0</v>
      </c>
      <c r="CG3377">
        <v>1</v>
      </c>
      <c r="CH3377">
        <v>0</v>
      </c>
      <c r="CI3377">
        <v>0</v>
      </c>
      <c r="CJ3377">
        <v>0</v>
      </c>
      <c r="CK3377">
        <v>2</v>
      </c>
      <c r="CL3377">
        <v>0</v>
      </c>
      <c r="CM3377">
        <v>2</v>
      </c>
      <c r="CN3377">
        <v>0</v>
      </c>
      <c r="CO3377">
        <v>7</v>
      </c>
      <c r="CP3377" t="s">
        <v>119</v>
      </c>
      <c r="CQ3377">
        <v>180</v>
      </c>
      <c r="CR3377">
        <v>3</v>
      </c>
      <c r="CW3377">
        <v>1141899</v>
      </c>
      <c r="CY3377">
        <v>1</v>
      </c>
      <c r="CZ3377">
        <v>0</v>
      </c>
      <c r="DA3377">
        <v>1</v>
      </c>
      <c r="DB3377">
        <v>0</v>
      </c>
      <c r="DC3377">
        <v>0</v>
      </c>
      <c r="DD3377">
        <v>0</v>
      </c>
      <c r="DE3377">
        <v>0</v>
      </c>
      <c r="DF3377">
        <v>0</v>
      </c>
      <c r="DG3377">
        <v>0</v>
      </c>
      <c r="DH3377">
        <v>0</v>
      </c>
      <c r="DI3377">
        <v>0</v>
      </c>
    </row>
    <row r="3378" spans="1:113" x14ac:dyDescent="0.3">
      <c r="A3378" t="str">
        <f>"02/08/2021 20:32:48.269"</f>
        <v>02/08/2021 20:32:48.269</v>
      </c>
      <c r="C3378" t="str">
        <f t="shared" si="165"/>
        <v>FFDFD7C0</v>
      </c>
      <c r="D3378" t="s">
        <v>124</v>
      </c>
      <c r="E3378">
        <v>12</v>
      </c>
      <c r="F3378">
        <v>1012</v>
      </c>
      <c r="G3378" t="s">
        <v>675</v>
      </c>
      <c r="J3378" t="s">
        <v>125</v>
      </c>
      <c r="K3378">
        <v>0</v>
      </c>
      <c r="L3378">
        <v>3</v>
      </c>
      <c r="M3378">
        <v>0</v>
      </c>
      <c r="N3378">
        <v>2</v>
      </c>
      <c r="O3378">
        <v>1</v>
      </c>
      <c r="P3378">
        <v>0</v>
      </c>
      <c r="Q3378">
        <v>0</v>
      </c>
      <c r="S3378" t="str">
        <f>"20:32:50.563"</f>
        <v>20:32:50.563</v>
      </c>
      <c r="T3378" t="str">
        <f>"20:32:50.063"</f>
        <v>20:32:50.063</v>
      </c>
      <c r="U3378" t="str">
        <f t="shared" si="163"/>
        <v>AB01F4</v>
      </c>
      <c r="V3378">
        <v>0</v>
      </c>
      <c r="W3378">
        <v>0</v>
      </c>
      <c r="X3378">
        <v>2</v>
      </c>
      <c r="Z3378">
        <v>0</v>
      </c>
      <c r="AA3378">
        <v>9</v>
      </c>
      <c r="AB3378">
        <v>3</v>
      </c>
      <c r="AC3378">
        <v>0</v>
      </c>
      <c r="AD3378">
        <v>10</v>
      </c>
      <c r="AE3378">
        <v>0</v>
      </c>
      <c r="AF3378">
        <v>3</v>
      </c>
      <c r="AG3378">
        <v>2</v>
      </c>
      <c r="AH3378">
        <v>0</v>
      </c>
      <c r="AI3378" t="s">
        <v>1937</v>
      </c>
      <c r="AJ3378">
        <v>40.077030999999998</v>
      </c>
      <c r="AK3378" t="s">
        <v>1938</v>
      </c>
      <c r="AL3378">
        <v>-92.947446999999997</v>
      </c>
      <c r="AM3378">
        <v>100</v>
      </c>
      <c r="AN3378">
        <v>1300</v>
      </c>
      <c r="AO3378" t="s">
        <v>118</v>
      </c>
      <c r="AP3378">
        <v>-104</v>
      </c>
      <c r="AQ3378">
        <v>76</v>
      </c>
      <c r="AR3378">
        <v>0</v>
      </c>
      <c r="AZ3378">
        <v>1200</v>
      </c>
      <c r="BA3378">
        <v>1</v>
      </c>
      <c r="BB3378" t="str">
        <f t="shared" si="166"/>
        <v xml:space="preserve">N8080G  </v>
      </c>
      <c r="BC3378">
        <v>1</v>
      </c>
      <c r="BE3378">
        <v>0</v>
      </c>
      <c r="BF3378">
        <v>0</v>
      </c>
      <c r="BG3378">
        <v>0</v>
      </c>
      <c r="BH3378">
        <v>1350</v>
      </c>
      <c r="BI3378">
        <v>1</v>
      </c>
      <c r="BJ3378">
        <v>1</v>
      </c>
      <c r="BK3378">
        <v>1</v>
      </c>
      <c r="BL3378">
        <v>0</v>
      </c>
      <c r="BO3378">
        <v>0</v>
      </c>
      <c r="BP3378">
        <v>0</v>
      </c>
      <c r="BW3378" t="str">
        <f>"20:32:50.565"</f>
        <v>20:32:50.565</v>
      </c>
      <c r="BZ3378">
        <v>0</v>
      </c>
      <c r="CA3378">
        <v>1600</v>
      </c>
      <c r="CB3378">
        <v>224</v>
      </c>
      <c r="CD3378">
        <v>1</v>
      </c>
      <c r="CE3378">
        <v>0</v>
      </c>
      <c r="CF3378">
        <v>0</v>
      </c>
      <c r="CG3378">
        <v>1</v>
      </c>
      <c r="CH3378">
        <v>0</v>
      </c>
      <c r="CI3378">
        <v>0</v>
      </c>
      <c r="CJ3378">
        <v>0</v>
      </c>
      <c r="CK3378">
        <v>2</v>
      </c>
      <c r="CL3378">
        <v>0</v>
      </c>
      <c r="CM3378">
        <v>2</v>
      </c>
      <c r="CN3378">
        <v>0</v>
      </c>
      <c r="CO3378">
        <v>7</v>
      </c>
      <c r="CP3378" t="s">
        <v>119</v>
      </c>
      <c r="CQ3378">
        <v>180</v>
      </c>
      <c r="CR3378">
        <v>3</v>
      </c>
      <c r="CW3378">
        <v>1141899</v>
      </c>
      <c r="CY3378">
        <v>1</v>
      </c>
      <c r="CZ3378">
        <v>0</v>
      </c>
      <c r="DA3378">
        <v>1</v>
      </c>
      <c r="DB3378">
        <v>0</v>
      </c>
      <c r="DC3378">
        <v>0</v>
      </c>
      <c r="DD3378">
        <v>0</v>
      </c>
      <c r="DE3378">
        <v>0</v>
      </c>
      <c r="DF3378">
        <v>0</v>
      </c>
      <c r="DG3378">
        <v>0</v>
      </c>
      <c r="DH3378">
        <v>0</v>
      </c>
      <c r="DI3378">
        <v>0</v>
      </c>
    </row>
    <row r="3379" spans="1:113" x14ac:dyDescent="0.3">
      <c r="A3379" t="str">
        <f>"02/08/2021 20:32:49.155"</f>
        <v>02/08/2021 20:32:49.155</v>
      </c>
      <c r="C3379" t="str">
        <f t="shared" si="165"/>
        <v>FFDFD7C0</v>
      </c>
      <c r="D3379" t="s">
        <v>124</v>
      </c>
      <c r="E3379">
        <v>12</v>
      </c>
      <c r="F3379">
        <v>1012</v>
      </c>
      <c r="G3379" t="s">
        <v>675</v>
      </c>
      <c r="J3379" t="s">
        <v>125</v>
      </c>
      <c r="K3379">
        <v>0</v>
      </c>
      <c r="L3379">
        <v>3</v>
      </c>
      <c r="M3379">
        <v>0</v>
      </c>
      <c r="N3379">
        <v>2</v>
      </c>
      <c r="O3379">
        <v>1</v>
      </c>
      <c r="P3379">
        <v>0</v>
      </c>
      <c r="Q3379">
        <v>0</v>
      </c>
      <c r="S3379" t="str">
        <f>"20:32:51.469"</f>
        <v>20:32:51.469</v>
      </c>
      <c r="T3379" t="str">
        <f>"20:32:51.069"</f>
        <v>20:32:51.069</v>
      </c>
      <c r="U3379" t="str">
        <f t="shared" si="163"/>
        <v>AB01F4</v>
      </c>
      <c r="V3379">
        <v>0</v>
      </c>
      <c r="W3379">
        <v>0</v>
      </c>
      <c r="X3379">
        <v>2</v>
      </c>
      <c r="Z3379">
        <v>0</v>
      </c>
      <c r="AA3379">
        <v>9</v>
      </c>
      <c r="AB3379">
        <v>3</v>
      </c>
      <c r="AC3379">
        <v>0</v>
      </c>
      <c r="AD3379">
        <v>10</v>
      </c>
      <c r="AE3379">
        <v>0</v>
      </c>
      <c r="AF3379">
        <v>3</v>
      </c>
      <c r="AG3379">
        <v>2</v>
      </c>
      <c r="AH3379">
        <v>0</v>
      </c>
      <c r="AI3379" t="s">
        <v>1939</v>
      </c>
      <c r="AJ3379">
        <v>40.077331000000001</v>
      </c>
      <c r="AK3379" t="s">
        <v>1940</v>
      </c>
      <c r="AL3379">
        <v>-92.948026999999996</v>
      </c>
      <c r="AM3379">
        <v>100</v>
      </c>
      <c r="AN3379">
        <v>1300</v>
      </c>
      <c r="AO3379" t="s">
        <v>118</v>
      </c>
      <c r="AP3379">
        <v>-105</v>
      </c>
      <c r="AQ3379">
        <v>75</v>
      </c>
      <c r="AR3379">
        <v>-128</v>
      </c>
      <c r="AZ3379">
        <v>1200</v>
      </c>
      <c r="BA3379">
        <v>1</v>
      </c>
      <c r="BB3379" t="str">
        <f t="shared" si="166"/>
        <v xml:space="preserve">N8080G  </v>
      </c>
      <c r="BC3379">
        <v>1</v>
      </c>
      <c r="BE3379">
        <v>0</v>
      </c>
      <c r="BF3379">
        <v>0</v>
      </c>
      <c r="BG3379">
        <v>0</v>
      </c>
      <c r="BH3379">
        <v>1350</v>
      </c>
      <c r="BI3379">
        <v>1</v>
      </c>
      <c r="BJ3379">
        <v>1</v>
      </c>
      <c r="BK3379">
        <v>1</v>
      </c>
      <c r="BL3379">
        <v>0</v>
      </c>
      <c r="BO3379">
        <v>0</v>
      </c>
      <c r="BP3379">
        <v>0</v>
      </c>
      <c r="BW3379" t="str">
        <f>"20:32:51.471"</f>
        <v>20:32:51.471</v>
      </c>
      <c r="BZ3379">
        <v>0</v>
      </c>
      <c r="CA3379">
        <v>1600</v>
      </c>
      <c r="CB3379">
        <v>224</v>
      </c>
      <c r="CD3379">
        <v>1</v>
      </c>
      <c r="CE3379">
        <v>0</v>
      </c>
      <c r="CF3379">
        <v>0</v>
      </c>
      <c r="CG3379">
        <v>1</v>
      </c>
      <c r="CH3379">
        <v>0</v>
      </c>
      <c r="CI3379">
        <v>0</v>
      </c>
      <c r="CJ3379">
        <v>0</v>
      </c>
      <c r="CK3379">
        <v>2</v>
      </c>
      <c r="CL3379">
        <v>0</v>
      </c>
      <c r="CM3379">
        <v>2</v>
      </c>
      <c r="CN3379">
        <v>0</v>
      </c>
      <c r="CO3379">
        <v>6</v>
      </c>
      <c r="CP3379" t="s">
        <v>119</v>
      </c>
      <c r="CQ3379">
        <v>180</v>
      </c>
      <c r="CR3379">
        <v>2</v>
      </c>
      <c r="CW3379">
        <v>8800930</v>
      </c>
      <c r="CY3379">
        <v>1</v>
      </c>
      <c r="CZ3379">
        <v>0</v>
      </c>
      <c r="DA3379">
        <v>0</v>
      </c>
      <c r="DB3379">
        <v>0</v>
      </c>
      <c r="DC3379">
        <v>0</v>
      </c>
      <c r="DD3379">
        <v>0</v>
      </c>
      <c r="DE3379">
        <v>0</v>
      </c>
      <c r="DF3379">
        <v>0</v>
      </c>
      <c r="DG3379">
        <v>0</v>
      </c>
      <c r="DH3379">
        <v>0</v>
      </c>
      <c r="DI3379">
        <v>0</v>
      </c>
    </row>
    <row r="3380" spans="1:113" x14ac:dyDescent="0.3">
      <c r="A3380" t="str">
        <f>"02/08/2021 20:32:49.155"</f>
        <v>02/08/2021 20:32:49.155</v>
      </c>
      <c r="C3380" t="str">
        <f t="shared" si="165"/>
        <v>FFDFD7C0</v>
      </c>
      <c r="D3380" t="s">
        <v>113</v>
      </c>
      <c r="E3380">
        <v>6</v>
      </c>
      <c r="H3380">
        <v>165</v>
      </c>
      <c r="I3380" t="s">
        <v>114</v>
      </c>
      <c r="J3380" t="s">
        <v>115</v>
      </c>
      <c r="K3380">
        <v>0</v>
      </c>
      <c r="L3380">
        <v>3</v>
      </c>
      <c r="M3380">
        <v>0</v>
      </c>
      <c r="N3380">
        <v>2</v>
      </c>
      <c r="O3380">
        <v>1</v>
      </c>
      <c r="P3380">
        <v>0</v>
      </c>
      <c r="Q3380">
        <v>0</v>
      </c>
      <c r="S3380" t="str">
        <f>"20:32:51.469"</f>
        <v>20:32:51.469</v>
      </c>
      <c r="T3380" t="str">
        <f>"20:32:51.069"</f>
        <v>20:32:51.069</v>
      </c>
      <c r="U3380" t="str">
        <f t="shared" si="163"/>
        <v>AB01F4</v>
      </c>
      <c r="V3380">
        <v>0</v>
      </c>
      <c r="W3380">
        <v>0</v>
      </c>
      <c r="X3380">
        <v>2</v>
      </c>
      <c r="Z3380">
        <v>0</v>
      </c>
      <c r="AA3380">
        <v>9</v>
      </c>
      <c r="AB3380">
        <v>3</v>
      </c>
      <c r="AC3380">
        <v>0</v>
      </c>
      <c r="AD3380">
        <v>10</v>
      </c>
      <c r="AE3380">
        <v>0</v>
      </c>
      <c r="AF3380">
        <v>3</v>
      </c>
      <c r="AG3380">
        <v>2</v>
      </c>
      <c r="AH3380">
        <v>0</v>
      </c>
      <c r="AI3380" t="s">
        <v>1939</v>
      </c>
      <c r="AJ3380">
        <v>40.077331000000001</v>
      </c>
      <c r="AK3380" t="s">
        <v>1940</v>
      </c>
      <c r="AL3380">
        <v>-92.948026999999996</v>
      </c>
      <c r="AM3380">
        <v>100</v>
      </c>
      <c r="AN3380">
        <v>1300</v>
      </c>
      <c r="AO3380" t="s">
        <v>118</v>
      </c>
      <c r="AP3380">
        <v>-105</v>
      </c>
      <c r="AQ3380">
        <v>75</v>
      </c>
      <c r="AR3380">
        <v>-128</v>
      </c>
      <c r="AZ3380">
        <v>1200</v>
      </c>
      <c r="BA3380">
        <v>1</v>
      </c>
      <c r="BB3380" t="str">
        <f t="shared" si="166"/>
        <v xml:space="preserve">N8080G  </v>
      </c>
      <c r="BC3380">
        <v>1</v>
      </c>
      <c r="BE3380">
        <v>0</v>
      </c>
      <c r="BF3380">
        <v>0</v>
      </c>
      <c r="BG3380">
        <v>0</v>
      </c>
      <c r="BH3380">
        <v>1350</v>
      </c>
      <c r="BI3380">
        <v>1</v>
      </c>
      <c r="BJ3380">
        <v>1</v>
      </c>
      <c r="BK3380">
        <v>1</v>
      </c>
      <c r="BL3380">
        <v>0</v>
      </c>
      <c r="BO3380">
        <v>0</v>
      </c>
      <c r="BP3380">
        <v>0</v>
      </c>
      <c r="BW3380" t="str">
        <f>"20:32:51.471"</f>
        <v>20:32:51.471</v>
      </c>
      <c r="BZ3380">
        <v>0</v>
      </c>
      <c r="CA3380">
        <v>1600</v>
      </c>
      <c r="CB3380">
        <v>224</v>
      </c>
      <c r="CD3380">
        <v>1</v>
      </c>
      <c r="CE3380">
        <v>0</v>
      </c>
      <c r="CF3380">
        <v>0</v>
      </c>
      <c r="CG3380">
        <v>1</v>
      </c>
      <c r="CH3380">
        <v>0</v>
      </c>
      <c r="CI3380">
        <v>0</v>
      </c>
      <c r="CJ3380">
        <v>0</v>
      </c>
      <c r="CK3380">
        <v>2</v>
      </c>
      <c r="CL3380">
        <v>0</v>
      </c>
      <c r="CM3380">
        <v>2</v>
      </c>
      <c r="CN3380">
        <v>0</v>
      </c>
      <c r="CO3380">
        <v>6</v>
      </c>
      <c r="CP3380" t="s">
        <v>119</v>
      </c>
      <c r="CQ3380">
        <v>180</v>
      </c>
      <c r="CR3380">
        <v>2</v>
      </c>
      <c r="CW3380">
        <v>8800930</v>
      </c>
      <c r="CY3380">
        <v>1</v>
      </c>
      <c r="CZ3380">
        <v>0</v>
      </c>
      <c r="DA3380">
        <v>1</v>
      </c>
      <c r="DB3380">
        <v>0</v>
      </c>
      <c r="DC3380">
        <v>0</v>
      </c>
      <c r="DD3380">
        <v>0</v>
      </c>
      <c r="DE3380">
        <v>0</v>
      </c>
      <c r="DF3380">
        <v>0</v>
      </c>
      <c r="DG3380">
        <v>0</v>
      </c>
      <c r="DH3380">
        <v>0</v>
      </c>
      <c r="DI3380">
        <v>0</v>
      </c>
    </row>
    <row r="3381" spans="1:113" x14ac:dyDescent="0.3">
      <c r="A3381" t="str">
        <f>"02/08/2021 20:32:49.155"</f>
        <v>02/08/2021 20:32:49.155</v>
      </c>
      <c r="C3381" t="str">
        <f t="shared" si="165"/>
        <v>FFDFD7C0</v>
      </c>
      <c r="D3381" t="s">
        <v>124</v>
      </c>
      <c r="E3381">
        <v>11</v>
      </c>
      <c r="F3381">
        <v>1011</v>
      </c>
      <c r="G3381" t="s">
        <v>590</v>
      </c>
      <c r="J3381" t="s">
        <v>125</v>
      </c>
      <c r="K3381">
        <v>0</v>
      </c>
      <c r="L3381">
        <v>3</v>
      </c>
      <c r="M3381">
        <v>0</v>
      </c>
      <c r="N3381">
        <v>2</v>
      </c>
      <c r="O3381">
        <v>1</v>
      </c>
      <c r="P3381">
        <v>0</v>
      </c>
      <c r="Q3381">
        <v>0</v>
      </c>
      <c r="S3381" t="str">
        <f>"20:32:51.469"</f>
        <v>20:32:51.469</v>
      </c>
      <c r="T3381" t="str">
        <f>"20:32:51.069"</f>
        <v>20:32:51.069</v>
      </c>
      <c r="U3381" t="str">
        <f t="shared" si="163"/>
        <v>AB01F4</v>
      </c>
      <c r="V3381">
        <v>0</v>
      </c>
      <c r="W3381">
        <v>0</v>
      </c>
      <c r="X3381">
        <v>2</v>
      </c>
      <c r="Z3381">
        <v>0</v>
      </c>
      <c r="AA3381">
        <v>9</v>
      </c>
      <c r="AB3381">
        <v>3</v>
      </c>
      <c r="AC3381">
        <v>0</v>
      </c>
      <c r="AD3381">
        <v>10</v>
      </c>
      <c r="AE3381">
        <v>0</v>
      </c>
      <c r="AF3381">
        <v>3</v>
      </c>
      <c r="AG3381">
        <v>2</v>
      </c>
      <c r="AH3381">
        <v>0</v>
      </c>
      <c r="AI3381" t="s">
        <v>1939</v>
      </c>
      <c r="AJ3381">
        <v>40.077331000000001</v>
      </c>
      <c r="AK3381" t="s">
        <v>1940</v>
      </c>
      <c r="AL3381">
        <v>-92.948026999999996</v>
      </c>
      <c r="AM3381">
        <v>100</v>
      </c>
      <c r="AN3381">
        <v>1300</v>
      </c>
      <c r="AO3381" t="s">
        <v>118</v>
      </c>
      <c r="AP3381">
        <v>-105</v>
      </c>
      <c r="AQ3381">
        <v>75</v>
      </c>
      <c r="AR3381">
        <v>-128</v>
      </c>
      <c r="AZ3381">
        <v>1200</v>
      </c>
      <c r="BA3381">
        <v>1</v>
      </c>
      <c r="BB3381" t="str">
        <f t="shared" si="166"/>
        <v xml:space="preserve">N8080G  </v>
      </c>
      <c r="BC3381">
        <v>1</v>
      </c>
      <c r="BE3381">
        <v>0</v>
      </c>
      <c r="BF3381">
        <v>0</v>
      </c>
      <c r="BG3381">
        <v>0</v>
      </c>
      <c r="BH3381">
        <v>1350</v>
      </c>
      <c r="BI3381">
        <v>1</v>
      </c>
      <c r="BJ3381">
        <v>1</v>
      </c>
      <c r="BK3381">
        <v>1</v>
      </c>
      <c r="BL3381">
        <v>0</v>
      </c>
      <c r="BO3381">
        <v>0</v>
      </c>
      <c r="BP3381">
        <v>0</v>
      </c>
      <c r="BW3381" t="str">
        <f>"20:32:51.471"</f>
        <v>20:32:51.471</v>
      </c>
      <c r="BZ3381">
        <v>0</v>
      </c>
      <c r="CA3381">
        <v>1600</v>
      </c>
      <c r="CB3381">
        <v>224</v>
      </c>
      <c r="CD3381">
        <v>1</v>
      </c>
      <c r="CE3381">
        <v>0</v>
      </c>
      <c r="CF3381">
        <v>0</v>
      </c>
      <c r="CG3381">
        <v>1</v>
      </c>
      <c r="CH3381">
        <v>0</v>
      </c>
      <c r="CI3381">
        <v>0</v>
      </c>
      <c r="CJ3381">
        <v>0</v>
      </c>
      <c r="CK3381">
        <v>2</v>
      </c>
      <c r="CL3381">
        <v>0</v>
      </c>
      <c r="CM3381">
        <v>2</v>
      </c>
      <c r="CN3381">
        <v>0</v>
      </c>
      <c r="CO3381">
        <v>6</v>
      </c>
      <c r="CP3381" t="s">
        <v>119</v>
      </c>
      <c r="CQ3381">
        <v>180</v>
      </c>
      <c r="CR3381">
        <v>2</v>
      </c>
      <c r="CW3381">
        <v>8800930</v>
      </c>
      <c r="CY3381">
        <v>1</v>
      </c>
      <c r="CZ3381">
        <v>0</v>
      </c>
      <c r="DA3381">
        <v>1</v>
      </c>
      <c r="DB3381">
        <v>0</v>
      </c>
      <c r="DC3381">
        <v>0</v>
      </c>
      <c r="DD3381">
        <v>0</v>
      </c>
      <c r="DE3381">
        <v>0</v>
      </c>
      <c r="DF3381">
        <v>0</v>
      </c>
      <c r="DG3381">
        <v>0</v>
      </c>
      <c r="DH3381">
        <v>0</v>
      </c>
      <c r="DI3381">
        <v>0</v>
      </c>
    </row>
    <row r="3382" spans="1:113" x14ac:dyDescent="0.3">
      <c r="A3382" t="str">
        <f>"02/08/2021 20:32:49.155"</f>
        <v>02/08/2021 20:32:49.155</v>
      </c>
      <c r="C3382" t="str">
        <f t="shared" si="165"/>
        <v>FFDFD7C0</v>
      </c>
      <c r="D3382" t="s">
        <v>124</v>
      </c>
      <c r="E3382">
        <v>13</v>
      </c>
      <c r="F3382">
        <v>1013</v>
      </c>
      <c r="G3382" t="s">
        <v>114</v>
      </c>
      <c r="J3382" t="s">
        <v>125</v>
      </c>
      <c r="K3382">
        <v>0</v>
      </c>
      <c r="L3382">
        <v>3</v>
      </c>
      <c r="M3382">
        <v>0</v>
      </c>
      <c r="N3382">
        <v>2</v>
      </c>
      <c r="O3382">
        <v>1</v>
      </c>
      <c r="P3382">
        <v>0</v>
      </c>
      <c r="Q3382">
        <v>0</v>
      </c>
      <c r="S3382" t="str">
        <f>"20:32:51.469"</f>
        <v>20:32:51.469</v>
      </c>
      <c r="T3382" t="str">
        <f>"20:32:51.069"</f>
        <v>20:32:51.069</v>
      </c>
      <c r="U3382" t="str">
        <f t="shared" si="163"/>
        <v>AB01F4</v>
      </c>
      <c r="V3382">
        <v>0</v>
      </c>
      <c r="W3382">
        <v>0</v>
      </c>
      <c r="X3382">
        <v>2</v>
      </c>
      <c r="Z3382">
        <v>0</v>
      </c>
      <c r="AA3382">
        <v>9</v>
      </c>
      <c r="AB3382">
        <v>3</v>
      </c>
      <c r="AC3382">
        <v>0</v>
      </c>
      <c r="AD3382">
        <v>10</v>
      </c>
      <c r="AE3382">
        <v>0</v>
      </c>
      <c r="AF3382">
        <v>3</v>
      </c>
      <c r="AG3382">
        <v>2</v>
      </c>
      <c r="AH3382">
        <v>0</v>
      </c>
      <c r="AI3382" t="s">
        <v>1939</v>
      </c>
      <c r="AJ3382">
        <v>40.077331000000001</v>
      </c>
      <c r="AK3382" t="s">
        <v>1940</v>
      </c>
      <c r="AL3382">
        <v>-92.948026999999996</v>
      </c>
      <c r="AM3382">
        <v>100</v>
      </c>
      <c r="AN3382">
        <v>1300</v>
      </c>
      <c r="AO3382" t="s">
        <v>118</v>
      </c>
      <c r="AP3382">
        <v>-105</v>
      </c>
      <c r="AQ3382">
        <v>75</v>
      </c>
      <c r="AR3382">
        <v>-128</v>
      </c>
      <c r="AZ3382">
        <v>1200</v>
      </c>
      <c r="BA3382">
        <v>1</v>
      </c>
      <c r="BB3382" t="str">
        <f t="shared" si="166"/>
        <v xml:space="preserve">N8080G  </v>
      </c>
      <c r="BC3382">
        <v>1</v>
      </c>
      <c r="BE3382">
        <v>0</v>
      </c>
      <c r="BF3382">
        <v>0</v>
      </c>
      <c r="BG3382">
        <v>0</v>
      </c>
      <c r="BH3382">
        <v>1350</v>
      </c>
      <c r="BI3382">
        <v>1</v>
      </c>
      <c r="BJ3382">
        <v>1</v>
      </c>
      <c r="BK3382">
        <v>1</v>
      </c>
      <c r="BL3382">
        <v>0</v>
      </c>
      <c r="BO3382">
        <v>0</v>
      </c>
      <c r="BP3382">
        <v>0</v>
      </c>
      <c r="BW3382" t="str">
        <f>"20:32:51.471"</f>
        <v>20:32:51.471</v>
      </c>
      <c r="BZ3382">
        <v>0</v>
      </c>
      <c r="CA3382">
        <v>1600</v>
      </c>
      <c r="CB3382">
        <v>224</v>
      </c>
      <c r="CD3382">
        <v>1</v>
      </c>
      <c r="CE3382">
        <v>0</v>
      </c>
      <c r="CF3382">
        <v>0</v>
      </c>
      <c r="CG3382">
        <v>1</v>
      </c>
      <c r="CH3382">
        <v>0</v>
      </c>
      <c r="CI3382">
        <v>0</v>
      </c>
      <c r="CJ3382">
        <v>0</v>
      </c>
      <c r="CK3382">
        <v>2</v>
      </c>
      <c r="CL3382">
        <v>0</v>
      </c>
      <c r="CM3382">
        <v>2</v>
      </c>
      <c r="CN3382">
        <v>0</v>
      </c>
      <c r="CO3382">
        <v>6</v>
      </c>
      <c r="CP3382" t="s">
        <v>119</v>
      </c>
      <c r="CQ3382">
        <v>180</v>
      </c>
      <c r="CR3382">
        <v>2</v>
      </c>
      <c r="CW3382">
        <v>8800930</v>
      </c>
      <c r="CY3382">
        <v>1</v>
      </c>
      <c r="CZ3382">
        <v>0</v>
      </c>
      <c r="DA3382">
        <v>1</v>
      </c>
      <c r="DB3382">
        <v>0</v>
      </c>
      <c r="DC3382">
        <v>0</v>
      </c>
      <c r="DD3382">
        <v>0</v>
      </c>
      <c r="DE3382">
        <v>0</v>
      </c>
      <c r="DF3382">
        <v>0</v>
      </c>
      <c r="DG3382">
        <v>0</v>
      </c>
      <c r="DH3382">
        <v>0</v>
      </c>
      <c r="DI3382">
        <v>0</v>
      </c>
    </row>
    <row r="3383" spans="1:113" x14ac:dyDescent="0.3">
      <c r="A3383" t="str">
        <f>"02/08/2021 20:32:50.190"</f>
        <v>02/08/2021 20:32:50.190</v>
      </c>
      <c r="C3383" t="str">
        <f t="shared" si="165"/>
        <v>FFDFD7C0</v>
      </c>
      <c r="D3383" t="s">
        <v>113</v>
      </c>
      <c r="E3383">
        <v>6</v>
      </c>
      <c r="H3383">
        <v>165</v>
      </c>
      <c r="I3383" t="s">
        <v>114</v>
      </c>
      <c r="J3383" t="s">
        <v>115</v>
      </c>
      <c r="K3383">
        <v>0</v>
      </c>
      <c r="L3383">
        <v>3</v>
      </c>
      <c r="M3383">
        <v>0</v>
      </c>
      <c r="N3383">
        <v>2</v>
      </c>
      <c r="O3383">
        <v>1</v>
      </c>
      <c r="P3383">
        <v>0</v>
      </c>
      <c r="Q3383">
        <v>0</v>
      </c>
      <c r="S3383" t="str">
        <f>"20:32:52.500"</f>
        <v>20:32:52.500</v>
      </c>
      <c r="T3383" t="str">
        <f>"20:32:52.000"</f>
        <v>20:32:52.000</v>
      </c>
      <c r="U3383" t="str">
        <f t="shared" si="163"/>
        <v>AB01F4</v>
      </c>
      <c r="V3383">
        <v>0</v>
      </c>
      <c r="W3383">
        <v>0</v>
      </c>
      <c r="X3383">
        <v>2</v>
      </c>
      <c r="Z3383">
        <v>0</v>
      </c>
      <c r="AA3383">
        <v>9</v>
      </c>
      <c r="AB3383">
        <v>3</v>
      </c>
      <c r="AC3383">
        <v>0</v>
      </c>
      <c r="AD3383">
        <v>10</v>
      </c>
      <c r="AE3383">
        <v>0</v>
      </c>
      <c r="AF3383">
        <v>3</v>
      </c>
      <c r="AG3383">
        <v>2</v>
      </c>
      <c r="AH3383">
        <v>0</v>
      </c>
      <c r="AI3383" t="s">
        <v>1941</v>
      </c>
      <c r="AJ3383">
        <v>40.077652999999998</v>
      </c>
      <c r="AK3383" t="s">
        <v>1942</v>
      </c>
      <c r="AL3383">
        <v>-92.948649000000003</v>
      </c>
      <c r="AM3383">
        <v>100</v>
      </c>
      <c r="AN3383">
        <v>1300</v>
      </c>
      <c r="AO3383" t="s">
        <v>118</v>
      </c>
      <c r="AP3383">
        <v>-107</v>
      </c>
      <c r="AQ3383">
        <v>74</v>
      </c>
      <c r="AR3383">
        <v>-128</v>
      </c>
      <c r="AZ3383">
        <v>1200</v>
      </c>
      <c r="BA3383">
        <v>1</v>
      </c>
      <c r="BB3383" t="str">
        <f t="shared" si="166"/>
        <v xml:space="preserve">N8080G  </v>
      </c>
      <c r="BC3383">
        <v>1</v>
      </c>
      <c r="BE3383">
        <v>0</v>
      </c>
      <c r="BF3383">
        <v>0</v>
      </c>
      <c r="BG3383">
        <v>0</v>
      </c>
      <c r="BH3383">
        <v>1350</v>
      </c>
      <c r="BI3383">
        <v>1</v>
      </c>
      <c r="BJ3383">
        <v>1</v>
      </c>
      <c r="BK3383">
        <v>1</v>
      </c>
      <c r="BL3383">
        <v>0</v>
      </c>
      <c r="BO3383">
        <v>0</v>
      </c>
      <c r="BP3383">
        <v>0</v>
      </c>
      <c r="BW3383" t="str">
        <f>"20:32:52.506"</f>
        <v>20:32:52.506</v>
      </c>
      <c r="BZ3383">
        <v>0</v>
      </c>
      <c r="CA3383">
        <v>1600</v>
      </c>
      <c r="CB3383">
        <v>224</v>
      </c>
      <c r="CD3383">
        <v>1</v>
      </c>
      <c r="CE3383">
        <v>0</v>
      </c>
      <c r="CF3383">
        <v>0</v>
      </c>
      <c r="CG3383">
        <v>1</v>
      </c>
      <c r="CH3383">
        <v>0</v>
      </c>
      <c r="CI3383">
        <v>0</v>
      </c>
      <c r="CJ3383">
        <v>0</v>
      </c>
      <c r="CK3383">
        <v>2</v>
      </c>
      <c r="CL3383">
        <v>0</v>
      </c>
      <c r="CM3383">
        <v>2</v>
      </c>
      <c r="CN3383">
        <v>0</v>
      </c>
      <c r="CO3383">
        <v>6</v>
      </c>
      <c r="CP3383" t="s">
        <v>119</v>
      </c>
      <c r="CQ3383">
        <v>180</v>
      </c>
      <c r="CR3383">
        <v>2</v>
      </c>
      <c r="CW3383">
        <v>8801876</v>
      </c>
      <c r="CY3383">
        <v>1</v>
      </c>
      <c r="CZ3383">
        <v>0</v>
      </c>
      <c r="DA3383">
        <v>0</v>
      </c>
      <c r="DB3383">
        <v>0</v>
      </c>
      <c r="DC3383">
        <v>0</v>
      </c>
      <c r="DD3383">
        <v>0</v>
      </c>
      <c r="DE3383">
        <v>0</v>
      </c>
      <c r="DF3383">
        <v>0</v>
      </c>
      <c r="DG3383">
        <v>0</v>
      </c>
      <c r="DH3383">
        <v>0</v>
      </c>
      <c r="DI3383">
        <v>0</v>
      </c>
    </row>
    <row r="3384" spans="1:113" x14ac:dyDescent="0.3">
      <c r="A3384" t="str">
        <f>"02/08/2021 20:32:50.190"</f>
        <v>02/08/2021 20:32:50.190</v>
      </c>
      <c r="C3384" t="str">
        <f t="shared" si="165"/>
        <v>FFDFD7C0</v>
      </c>
      <c r="D3384" t="s">
        <v>124</v>
      </c>
      <c r="E3384">
        <v>11</v>
      </c>
      <c r="F3384">
        <v>1011</v>
      </c>
      <c r="G3384" t="s">
        <v>590</v>
      </c>
      <c r="J3384" t="s">
        <v>125</v>
      </c>
      <c r="K3384">
        <v>0</v>
      </c>
      <c r="L3384">
        <v>3</v>
      </c>
      <c r="M3384">
        <v>0</v>
      </c>
      <c r="N3384">
        <v>2</v>
      </c>
      <c r="O3384">
        <v>1</v>
      </c>
      <c r="P3384">
        <v>0</v>
      </c>
      <c r="Q3384">
        <v>0</v>
      </c>
      <c r="S3384" t="str">
        <f>"20:32:52.500"</f>
        <v>20:32:52.500</v>
      </c>
      <c r="T3384" t="str">
        <f>"20:32:52.000"</f>
        <v>20:32:52.000</v>
      </c>
      <c r="U3384" t="str">
        <f t="shared" si="163"/>
        <v>AB01F4</v>
      </c>
      <c r="V3384">
        <v>0</v>
      </c>
      <c r="W3384">
        <v>0</v>
      </c>
      <c r="X3384">
        <v>2</v>
      </c>
      <c r="Z3384">
        <v>0</v>
      </c>
      <c r="AA3384">
        <v>9</v>
      </c>
      <c r="AB3384">
        <v>3</v>
      </c>
      <c r="AC3384">
        <v>0</v>
      </c>
      <c r="AD3384">
        <v>10</v>
      </c>
      <c r="AE3384">
        <v>0</v>
      </c>
      <c r="AF3384">
        <v>3</v>
      </c>
      <c r="AG3384">
        <v>2</v>
      </c>
      <c r="AH3384">
        <v>0</v>
      </c>
      <c r="AI3384" t="s">
        <v>1941</v>
      </c>
      <c r="AJ3384">
        <v>40.077652999999998</v>
      </c>
      <c r="AK3384" t="s">
        <v>1942</v>
      </c>
      <c r="AL3384">
        <v>-92.948649000000003</v>
      </c>
      <c r="AM3384">
        <v>100</v>
      </c>
      <c r="AN3384">
        <v>1300</v>
      </c>
      <c r="AO3384" t="s">
        <v>118</v>
      </c>
      <c r="AP3384">
        <v>-107</v>
      </c>
      <c r="AQ3384">
        <v>74</v>
      </c>
      <c r="AR3384">
        <v>-128</v>
      </c>
      <c r="AZ3384">
        <v>1200</v>
      </c>
      <c r="BA3384">
        <v>1</v>
      </c>
      <c r="BB3384" t="str">
        <f t="shared" si="166"/>
        <v xml:space="preserve">N8080G  </v>
      </c>
      <c r="BC3384">
        <v>1</v>
      </c>
      <c r="BE3384">
        <v>0</v>
      </c>
      <c r="BF3384">
        <v>0</v>
      </c>
      <c r="BG3384">
        <v>0</v>
      </c>
      <c r="BH3384">
        <v>1350</v>
      </c>
      <c r="BI3384">
        <v>1</v>
      </c>
      <c r="BJ3384">
        <v>1</v>
      </c>
      <c r="BK3384">
        <v>1</v>
      </c>
      <c r="BL3384">
        <v>0</v>
      </c>
      <c r="BO3384">
        <v>0</v>
      </c>
      <c r="BP3384">
        <v>0</v>
      </c>
      <c r="BW3384" t="str">
        <f>"20:32:52.506"</f>
        <v>20:32:52.506</v>
      </c>
      <c r="BZ3384">
        <v>0</v>
      </c>
      <c r="CA3384">
        <v>1600</v>
      </c>
      <c r="CB3384">
        <v>224</v>
      </c>
      <c r="CD3384">
        <v>1</v>
      </c>
      <c r="CE3384">
        <v>0</v>
      </c>
      <c r="CF3384">
        <v>0</v>
      </c>
      <c r="CG3384">
        <v>1</v>
      </c>
      <c r="CH3384">
        <v>0</v>
      </c>
      <c r="CI3384">
        <v>0</v>
      </c>
      <c r="CJ3384">
        <v>0</v>
      </c>
      <c r="CK3384">
        <v>2</v>
      </c>
      <c r="CL3384">
        <v>0</v>
      </c>
      <c r="CM3384">
        <v>2</v>
      </c>
      <c r="CN3384">
        <v>0</v>
      </c>
      <c r="CO3384">
        <v>6</v>
      </c>
      <c r="CP3384" t="s">
        <v>119</v>
      </c>
      <c r="CQ3384">
        <v>180</v>
      </c>
      <c r="CR3384">
        <v>2</v>
      </c>
      <c r="CW3384">
        <v>8801876</v>
      </c>
      <c r="CY3384">
        <v>1</v>
      </c>
      <c r="CZ3384">
        <v>0</v>
      </c>
      <c r="DA3384">
        <v>1</v>
      </c>
      <c r="DB3384">
        <v>0</v>
      </c>
      <c r="DC3384">
        <v>0</v>
      </c>
      <c r="DD3384">
        <v>0</v>
      </c>
      <c r="DE3384">
        <v>0</v>
      </c>
      <c r="DF3384">
        <v>0</v>
      </c>
      <c r="DG3384">
        <v>0</v>
      </c>
      <c r="DH3384">
        <v>0</v>
      </c>
      <c r="DI3384">
        <v>0</v>
      </c>
    </row>
    <row r="3385" spans="1:113" x14ac:dyDescent="0.3">
      <c r="A3385" t="str">
        <f>"02/08/2021 20:32:50.190"</f>
        <v>02/08/2021 20:32:50.190</v>
      </c>
      <c r="C3385" t="str">
        <f t="shared" si="165"/>
        <v>FFDFD7C0</v>
      </c>
      <c r="D3385" t="s">
        <v>124</v>
      </c>
      <c r="E3385">
        <v>12</v>
      </c>
      <c r="F3385">
        <v>1012</v>
      </c>
      <c r="G3385" t="s">
        <v>675</v>
      </c>
      <c r="J3385" t="s">
        <v>125</v>
      </c>
      <c r="K3385">
        <v>0</v>
      </c>
      <c r="L3385">
        <v>3</v>
      </c>
      <c r="M3385">
        <v>0</v>
      </c>
      <c r="N3385">
        <v>2</v>
      </c>
      <c r="O3385">
        <v>1</v>
      </c>
      <c r="P3385">
        <v>0</v>
      </c>
      <c r="Q3385">
        <v>0</v>
      </c>
      <c r="S3385" t="str">
        <f>"20:32:52.500"</f>
        <v>20:32:52.500</v>
      </c>
      <c r="T3385" t="str">
        <f>"20:32:52.000"</f>
        <v>20:32:52.000</v>
      </c>
      <c r="U3385" t="str">
        <f t="shared" si="163"/>
        <v>AB01F4</v>
      </c>
      <c r="V3385">
        <v>0</v>
      </c>
      <c r="W3385">
        <v>0</v>
      </c>
      <c r="X3385">
        <v>2</v>
      </c>
      <c r="Z3385">
        <v>0</v>
      </c>
      <c r="AA3385">
        <v>9</v>
      </c>
      <c r="AB3385">
        <v>3</v>
      </c>
      <c r="AC3385">
        <v>0</v>
      </c>
      <c r="AD3385">
        <v>10</v>
      </c>
      <c r="AE3385">
        <v>0</v>
      </c>
      <c r="AF3385">
        <v>3</v>
      </c>
      <c r="AG3385">
        <v>2</v>
      </c>
      <c r="AH3385">
        <v>0</v>
      </c>
      <c r="AI3385" t="s">
        <v>1941</v>
      </c>
      <c r="AJ3385">
        <v>40.077652999999998</v>
      </c>
      <c r="AK3385" t="s">
        <v>1942</v>
      </c>
      <c r="AL3385">
        <v>-92.948649000000003</v>
      </c>
      <c r="AM3385">
        <v>100</v>
      </c>
      <c r="AN3385">
        <v>1300</v>
      </c>
      <c r="AO3385" t="s">
        <v>118</v>
      </c>
      <c r="AP3385">
        <v>-107</v>
      </c>
      <c r="AQ3385">
        <v>74</v>
      </c>
      <c r="AR3385">
        <v>-128</v>
      </c>
      <c r="AZ3385">
        <v>1200</v>
      </c>
      <c r="BA3385">
        <v>1</v>
      </c>
      <c r="BB3385" t="str">
        <f t="shared" si="166"/>
        <v xml:space="preserve">N8080G  </v>
      </c>
      <c r="BC3385">
        <v>1</v>
      </c>
      <c r="BE3385">
        <v>0</v>
      </c>
      <c r="BF3385">
        <v>0</v>
      </c>
      <c r="BG3385">
        <v>0</v>
      </c>
      <c r="BH3385">
        <v>1350</v>
      </c>
      <c r="BI3385">
        <v>1</v>
      </c>
      <c r="BJ3385">
        <v>1</v>
      </c>
      <c r="BK3385">
        <v>1</v>
      </c>
      <c r="BL3385">
        <v>0</v>
      </c>
      <c r="BO3385">
        <v>0</v>
      </c>
      <c r="BP3385">
        <v>0</v>
      </c>
      <c r="BW3385" t="str">
        <f>"20:32:52.506"</f>
        <v>20:32:52.506</v>
      </c>
      <c r="BZ3385">
        <v>0</v>
      </c>
      <c r="CA3385">
        <v>1600</v>
      </c>
      <c r="CB3385">
        <v>224</v>
      </c>
      <c r="CD3385">
        <v>1</v>
      </c>
      <c r="CE3385">
        <v>0</v>
      </c>
      <c r="CF3385">
        <v>0</v>
      </c>
      <c r="CG3385">
        <v>1</v>
      </c>
      <c r="CH3385">
        <v>0</v>
      </c>
      <c r="CI3385">
        <v>0</v>
      </c>
      <c r="CJ3385">
        <v>0</v>
      </c>
      <c r="CK3385">
        <v>2</v>
      </c>
      <c r="CL3385">
        <v>0</v>
      </c>
      <c r="CM3385">
        <v>2</v>
      </c>
      <c r="CN3385">
        <v>0</v>
      </c>
      <c r="CO3385">
        <v>6</v>
      </c>
      <c r="CP3385" t="s">
        <v>119</v>
      </c>
      <c r="CQ3385">
        <v>180</v>
      </c>
      <c r="CR3385">
        <v>2</v>
      </c>
      <c r="CW3385">
        <v>8801876</v>
      </c>
      <c r="CY3385">
        <v>1</v>
      </c>
      <c r="CZ3385">
        <v>0</v>
      </c>
      <c r="DA3385">
        <v>1</v>
      </c>
      <c r="DB3385">
        <v>0</v>
      </c>
      <c r="DC3385">
        <v>0</v>
      </c>
      <c r="DD3385">
        <v>0</v>
      </c>
      <c r="DE3385">
        <v>0</v>
      </c>
      <c r="DF3385">
        <v>0</v>
      </c>
      <c r="DG3385">
        <v>0</v>
      </c>
      <c r="DH3385">
        <v>0</v>
      </c>
      <c r="DI3385">
        <v>0</v>
      </c>
    </row>
    <row r="3386" spans="1:113" x14ac:dyDescent="0.3">
      <c r="A3386" t="str">
        <f>"02/08/2021 20:32:50.190"</f>
        <v>02/08/2021 20:32:50.190</v>
      </c>
      <c r="C3386" t="str">
        <f t="shared" si="165"/>
        <v>FFDFD7C0</v>
      </c>
      <c r="D3386" t="s">
        <v>124</v>
      </c>
      <c r="E3386">
        <v>13</v>
      </c>
      <c r="F3386">
        <v>1013</v>
      </c>
      <c r="G3386" t="s">
        <v>114</v>
      </c>
      <c r="J3386" t="s">
        <v>125</v>
      </c>
      <c r="K3386">
        <v>0</v>
      </c>
      <c r="L3386">
        <v>3</v>
      </c>
      <c r="M3386">
        <v>0</v>
      </c>
      <c r="N3386">
        <v>2</v>
      </c>
      <c r="O3386">
        <v>1</v>
      </c>
      <c r="P3386">
        <v>0</v>
      </c>
      <c r="Q3386">
        <v>0</v>
      </c>
      <c r="S3386" t="str">
        <f>"20:32:52.500"</f>
        <v>20:32:52.500</v>
      </c>
      <c r="T3386" t="str">
        <f>"20:32:52.000"</f>
        <v>20:32:52.000</v>
      </c>
      <c r="U3386" t="str">
        <f t="shared" si="163"/>
        <v>AB01F4</v>
      </c>
      <c r="V3386">
        <v>0</v>
      </c>
      <c r="W3386">
        <v>0</v>
      </c>
      <c r="X3386">
        <v>2</v>
      </c>
      <c r="Z3386">
        <v>0</v>
      </c>
      <c r="AA3386">
        <v>9</v>
      </c>
      <c r="AB3386">
        <v>3</v>
      </c>
      <c r="AC3386">
        <v>0</v>
      </c>
      <c r="AD3386">
        <v>10</v>
      </c>
      <c r="AE3386">
        <v>0</v>
      </c>
      <c r="AF3386">
        <v>3</v>
      </c>
      <c r="AG3386">
        <v>2</v>
      </c>
      <c r="AH3386">
        <v>0</v>
      </c>
      <c r="AI3386" t="s">
        <v>1941</v>
      </c>
      <c r="AJ3386">
        <v>40.077652999999998</v>
      </c>
      <c r="AK3386" t="s">
        <v>1942</v>
      </c>
      <c r="AL3386">
        <v>-92.948649000000003</v>
      </c>
      <c r="AM3386">
        <v>100</v>
      </c>
      <c r="AN3386">
        <v>1300</v>
      </c>
      <c r="AO3386" t="s">
        <v>118</v>
      </c>
      <c r="AP3386">
        <v>-107</v>
      </c>
      <c r="AQ3386">
        <v>74</v>
      </c>
      <c r="AR3386">
        <v>-128</v>
      </c>
      <c r="AZ3386">
        <v>1200</v>
      </c>
      <c r="BA3386">
        <v>1</v>
      </c>
      <c r="BB3386" t="str">
        <f t="shared" si="166"/>
        <v xml:space="preserve">N8080G  </v>
      </c>
      <c r="BC3386">
        <v>1</v>
      </c>
      <c r="BE3386">
        <v>0</v>
      </c>
      <c r="BF3386">
        <v>0</v>
      </c>
      <c r="BG3386">
        <v>0</v>
      </c>
      <c r="BH3386">
        <v>1350</v>
      </c>
      <c r="BI3386">
        <v>1</v>
      </c>
      <c r="BJ3386">
        <v>1</v>
      </c>
      <c r="BK3386">
        <v>1</v>
      </c>
      <c r="BL3386">
        <v>0</v>
      </c>
      <c r="BO3386">
        <v>0</v>
      </c>
      <c r="BP3386">
        <v>0</v>
      </c>
      <c r="BW3386" t="str">
        <f>"20:32:52.506"</f>
        <v>20:32:52.506</v>
      </c>
      <c r="BZ3386">
        <v>0</v>
      </c>
      <c r="CA3386">
        <v>1600</v>
      </c>
      <c r="CB3386">
        <v>224</v>
      </c>
      <c r="CD3386">
        <v>1</v>
      </c>
      <c r="CE3386">
        <v>0</v>
      </c>
      <c r="CF3386">
        <v>0</v>
      </c>
      <c r="CG3386">
        <v>1</v>
      </c>
      <c r="CH3386">
        <v>0</v>
      </c>
      <c r="CI3386">
        <v>0</v>
      </c>
      <c r="CJ3386">
        <v>0</v>
      </c>
      <c r="CK3386">
        <v>2</v>
      </c>
      <c r="CL3386">
        <v>0</v>
      </c>
      <c r="CM3386">
        <v>2</v>
      </c>
      <c r="CN3386">
        <v>0</v>
      </c>
      <c r="CO3386">
        <v>6</v>
      </c>
      <c r="CP3386" t="s">
        <v>119</v>
      </c>
      <c r="CQ3386">
        <v>180</v>
      </c>
      <c r="CR3386">
        <v>2</v>
      </c>
      <c r="CW3386">
        <v>8801876</v>
      </c>
      <c r="CY3386">
        <v>1</v>
      </c>
      <c r="CZ3386">
        <v>0</v>
      </c>
      <c r="DA3386">
        <v>1</v>
      </c>
      <c r="DB3386">
        <v>0</v>
      </c>
      <c r="DC3386">
        <v>0</v>
      </c>
      <c r="DD3386">
        <v>0</v>
      </c>
      <c r="DE3386">
        <v>0</v>
      </c>
      <c r="DF3386">
        <v>0</v>
      </c>
      <c r="DG3386">
        <v>0</v>
      </c>
      <c r="DH3386">
        <v>0</v>
      </c>
      <c r="DI3386">
        <v>0</v>
      </c>
    </row>
    <row r="3387" spans="1:113" x14ac:dyDescent="0.3">
      <c r="A3387" t="str">
        <f>"02/08/2021 20:32:53.004"</f>
        <v>02/08/2021 20:32:53.004</v>
      </c>
      <c r="C3387" t="str">
        <f t="shared" si="165"/>
        <v>FFDFD7C0</v>
      </c>
      <c r="D3387" t="s">
        <v>124</v>
      </c>
      <c r="E3387">
        <v>13</v>
      </c>
      <c r="F3387">
        <v>1013</v>
      </c>
      <c r="G3387" t="s">
        <v>114</v>
      </c>
      <c r="J3387" t="s">
        <v>125</v>
      </c>
      <c r="K3387">
        <v>0</v>
      </c>
      <c r="L3387">
        <v>3</v>
      </c>
      <c r="M3387">
        <v>0</v>
      </c>
      <c r="N3387">
        <v>2</v>
      </c>
      <c r="O3387">
        <v>1</v>
      </c>
      <c r="P3387">
        <v>0</v>
      </c>
      <c r="Q3387">
        <v>0</v>
      </c>
      <c r="S3387" t="str">
        <f>"20:32:55.328"</f>
        <v>20:32:55.328</v>
      </c>
      <c r="T3387" t="str">
        <f>"20:32:54.928"</f>
        <v>20:32:54.928</v>
      </c>
      <c r="U3387" t="str">
        <f t="shared" si="163"/>
        <v>AB01F4</v>
      </c>
      <c r="V3387">
        <v>0</v>
      </c>
      <c r="W3387">
        <v>0</v>
      </c>
      <c r="X3387">
        <v>2</v>
      </c>
      <c r="Z3387">
        <v>0</v>
      </c>
      <c r="AA3387">
        <v>9</v>
      </c>
      <c r="AB3387">
        <v>3</v>
      </c>
      <c r="AC3387">
        <v>0</v>
      </c>
      <c r="AD3387">
        <v>10</v>
      </c>
      <c r="AE3387">
        <v>0</v>
      </c>
      <c r="AF3387">
        <v>3</v>
      </c>
      <c r="AG3387">
        <v>2</v>
      </c>
      <c r="AH3387">
        <v>0</v>
      </c>
      <c r="AI3387" t="s">
        <v>1943</v>
      </c>
      <c r="AJ3387">
        <v>40.078619000000003</v>
      </c>
      <c r="AK3387" t="s">
        <v>1944</v>
      </c>
      <c r="AL3387">
        <v>-92.950558999999998</v>
      </c>
      <c r="AM3387">
        <v>100</v>
      </c>
      <c r="AN3387">
        <v>1300</v>
      </c>
      <c r="AO3387" t="s">
        <v>118</v>
      </c>
      <c r="AP3387">
        <v>-109</v>
      </c>
      <c r="AQ3387">
        <v>70</v>
      </c>
      <c r="AR3387">
        <v>0</v>
      </c>
      <c r="AZ3387">
        <v>1200</v>
      </c>
      <c r="BA3387">
        <v>1</v>
      </c>
      <c r="BB3387" t="str">
        <f t="shared" si="166"/>
        <v xml:space="preserve">N8080G  </v>
      </c>
      <c r="BC3387">
        <v>1</v>
      </c>
      <c r="BE3387">
        <v>0</v>
      </c>
      <c r="BF3387">
        <v>0</v>
      </c>
      <c r="BG3387">
        <v>0</v>
      </c>
      <c r="BH3387">
        <v>1350</v>
      </c>
      <c r="BI3387">
        <v>1</v>
      </c>
      <c r="BJ3387">
        <v>1</v>
      </c>
      <c r="BK3387">
        <v>1</v>
      </c>
      <c r="BL3387">
        <v>0</v>
      </c>
      <c r="BO3387">
        <v>0</v>
      </c>
      <c r="BP3387">
        <v>0</v>
      </c>
      <c r="BW3387" t="str">
        <f>"20:32:55.329"</f>
        <v>20:32:55.329</v>
      </c>
      <c r="BZ3387">
        <v>0</v>
      </c>
      <c r="CA3387">
        <v>1600</v>
      </c>
      <c r="CB3387">
        <v>224</v>
      </c>
      <c r="CD3387">
        <v>1</v>
      </c>
      <c r="CE3387">
        <v>0</v>
      </c>
      <c r="CF3387">
        <v>0</v>
      </c>
      <c r="CG3387">
        <v>1</v>
      </c>
      <c r="CH3387">
        <v>0</v>
      </c>
      <c r="CI3387">
        <v>0</v>
      </c>
      <c r="CJ3387">
        <v>0</v>
      </c>
      <c r="CK3387">
        <v>2</v>
      </c>
      <c r="CL3387">
        <v>0</v>
      </c>
      <c r="CM3387">
        <v>2</v>
      </c>
      <c r="CN3387">
        <v>0</v>
      </c>
      <c r="CO3387">
        <v>6</v>
      </c>
      <c r="CP3387" t="s">
        <v>119</v>
      </c>
      <c r="CQ3387">
        <v>180</v>
      </c>
      <c r="CR3387">
        <v>3</v>
      </c>
      <c r="CW3387">
        <v>1145578</v>
      </c>
      <c r="CY3387">
        <v>1</v>
      </c>
      <c r="CZ3387">
        <v>0</v>
      </c>
      <c r="DA3387">
        <v>0</v>
      </c>
      <c r="DB3387">
        <v>0</v>
      </c>
      <c r="DC3387">
        <v>0</v>
      </c>
      <c r="DD3387">
        <v>0</v>
      </c>
      <c r="DE3387">
        <v>0</v>
      </c>
      <c r="DF3387">
        <v>0</v>
      </c>
      <c r="DG3387">
        <v>0</v>
      </c>
      <c r="DH3387">
        <v>0</v>
      </c>
      <c r="DI3387">
        <v>0</v>
      </c>
    </row>
    <row r="3388" spans="1:113" x14ac:dyDescent="0.3">
      <c r="A3388" t="str">
        <f>"02/08/2021 20:32:53.004"</f>
        <v>02/08/2021 20:32:53.004</v>
      </c>
      <c r="C3388" t="str">
        <f t="shared" si="165"/>
        <v>FFDFD7C0</v>
      </c>
      <c r="D3388" t="s">
        <v>124</v>
      </c>
      <c r="E3388">
        <v>11</v>
      </c>
      <c r="F3388">
        <v>1011</v>
      </c>
      <c r="G3388" t="s">
        <v>590</v>
      </c>
      <c r="J3388" t="s">
        <v>125</v>
      </c>
      <c r="K3388">
        <v>0</v>
      </c>
      <c r="L3388">
        <v>3</v>
      </c>
      <c r="M3388">
        <v>0</v>
      </c>
      <c r="N3388">
        <v>2</v>
      </c>
      <c r="O3388">
        <v>1</v>
      </c>
      <c r="P3388">
        <v>0</v>
      </c>
      <c r="Q3388">
        <v>0</v>
      </c>
      <c r="S3388" t="str">
        <f>"20:32:55.328"</f>
        <v>20:32:55.328</v>
      </c>
      <c r="T3388" t="str">
        <f>"20:32:54.928"</f>
        <v>20:32:54.928</v>
      </c>
      <c r="U3388" t="str">
        <f t="shared" si="163"/>
        <v>AB01F4</v>
      </c>
      <c r="V3388">
        <v>0</v>
      </c>
      <c r="W3388">
        <v>0</v>
      </c>
      <c r="X3388">
        <v>2</v>
      </c>
      <c r="Z3388">
        <v>0</v>
      </c>
      <c r="AA3388">
        <v>9</v>
      </c>
      <c r="AB3388">
        <v>3</v>
      </c>
      <c r="AC3388">
        <v>0</v>
      </c>
      <c r="AD3388">
        <v>10</v>
      </c>
      <c r="AE3388">
        <v>0</v>
      </c>
      <c r="AF3388">
        <v>3</v>
      </c>
      <c r="AG3388">
        <v>2</v>
      </c>
      <c r="AH3388">
        <v>0</v>
      </c>
      <c r="AI3388" t="s">
        <v>1943</v>
      </c>
      <c r="AJ3388">
        <v>40.078619000000003</v>
      </c>
      <c r="AK3388" t="s">
        <v>1944</v>
      </c>
      <c r="AL3388">
        <v>-92.950558999999998</v>
      </c>
      <c r="AM3388">
        <v>100</v>
      </c>
      <c r="AN3388">
        <v>1300</v>
      </c>
      <c r="AO3388" t="s">
        <v>118</v>
      </c>
      <c r="AP3388">
        <v>-109</v>
      </c>
      <c r="AQ3388">
        <v>70</v>
      </c>
      <c r="AR3388">
        <v>0</v>
      </c>
      <c r="AZ3388">
        <v>1200</v>
      </c>
      <c r="BA3388">
        <v>1</v>
      </c>
      <c r="BB3388" t="str">
        <f t="shared" si="166"/>
        <v xml:space="preserve">N8080G  </v>
      </c>
      <c r="BC3388">
        <v>1</v>
      </c>
      <c r="BE3388">
        <v>0</v>
      </c>
      <c r="BF3388">
        <v>0</v>
      </c>
      <c r="BG3388">
        <v>0</v>
      </c>
      <c r="BH3388">
        <v>1350</v>
      </c>
      <c r="BI3388">
        <v>1</v>
      </c>
      <c r="BJ3388">
        <v>1</v>
      </c>
      <c r="BK3388">
        <v>1</v>
      </c>
      <c r="BL3388">
        <v>0</v>
      </c>
      <c r="BO3388">
        <v>0</v>
      </c>
      <c r="BP3388">
        <v>0</v>
      </c>
      <c r="BW3388" t="str">
        <f>"20:32:55.329"</f>
        <v>20:32:55.329</v>
      </c>
      <c r="BZ3388">
        <v>0</v>
      </c>
      <c r="CA3388">
        <v>1600</v>
      </c>
      <c r="CB3388">
        <v>224</v>
      </c>
      <c r="CD3388">
        <v>1</v>
      </c>
      <c r="CE3388">
        <v>0</v>
      </c>
      <c r="CF3388">
        <v>0</v>
      </c>
      <c r="CG3388">
        <v>1</v>
      </c>
      <c r="CH3388">
        <v>0</v>
      </c>
      <c r="CI3388">
        <v>0</v>
      </c>
      <c r="CJ3388">
        <v>0</v>
      </c>
      <c r="CK3388">
        <v>2</v>
      </c>
      <c r="CL3388">
        <v>0</v>
      </c>
      <c r="CM3388">
        <v>2</v>
      </c>
      <c r="CN3388">
        <v>0</v>
      </c>
      <c r="CO3388">
        <v>6</v>
      </c>
      <c r="CP3388" t="s">
        <v>119</v>
      </c>
      <c r="CQ3388">
        <v>180</v>
      </c>
      <c r="CR3388">
        <v>3</v>
      </c>
      <c r="CW3388">
        <v>1145578</v>
      </c>
      <c r="CY3388">
        <v>1</v>
      </c>
      <c r="CZ3388">
        <v>0</v>
      </c>
      <c r="DA3388">
        <v>1</v>
      </c>
      <c r="DB3388">
        <v>0</v>
      </c>
      <c r="DC3388">
        <v>0</v>
      </c>
      <c r="DD3388">
        <v>0</v>
      </c>
      <c r="DE3388">
        <v>0</v>
      </c>
      <c r="DF3388">
        <v>0</v>
      </c>
      <c r="DG3388">
        <v>0</v>
      </c>
      <c r="DH3388">
        <v>0</v>
      </c>
      <c r="DI3388">
        <v>0</v>
      </c>
    </row>
    <row r="3389" spans="1:113" x14ac:dyDescent="0.3">
      <c r="A3389" t="str">
        <f>"02/08/2021 20:32:53.004"</f>
        <v>02/08/2021 20:32:53.004</v>
      </c>
      <c r="C3389" t="str">
        <f t="shared" si="165"/>
        <v>FFDFD7C0</v>
      </c>
      <c r="D3389" t="s">
        <v>113</v>
      </c>
      <c r="E3389">
        <v>6</v>
      </c>
      <c r="H3389">
        <v>165</v>
      </c>
      <c r="I3389" t="s">
        <v>114</v>
      </c>
      <c r="J3389" t="s">
        <v>115</v>
      </c>
      <c r="K3389">
        <v>0</v>
      </c>
      <c r="L3389">
        <v>3</v>
      </c>
      <c r="M3389">
        <v>0</v>
      </c>
      <c r="N3389">
        <v>2</v>
      </c>
      <c r="O3389">
        <v>1</v>
      </c>
      <c r="P3389">
        <v>0</v>
      </c>
      <c r="Q3389">
        <v>0</v>
      </c>
      <c r="S3389" t="str">
        <f>"20:32:55.328"</f>
        <v>20:32:55.328</v>
      </c>
      <c r="T3389" t="str">
        <f>"20:32:54.928"</f>
        <v>20:32:54.928</v>
      </c>
      <c r="U3389" t="str">
        <f t="shared" si="163"/>
        <v>AB01F4</v>
      </c>
      <c r="V3389">
        <v>0</v>
      </c>
      <c r="W3389">
        <v>0</v>
      </c>
      <c r="X3389">
        <v>2</v>
      </c>
      <c r="Z3389">
        <v>0</v>
      </c>
      <c r="AA3389">
        <v>9</v>
      </c>
      <c r="AB3389">
        <v>3</v>
      </c>
      <c r="AC3389">
        <v>0</v>
      </c>
      <c r="AD3389">
        <v>10</v>
      </c>
      <c r="AE3389">
        <v>0</v>
      </c>
      <c r="AF3389">
        <v>3</v>
      </c>
      <c r="AG3389">
        <v>2</v>
      </c>
      <c r="AH3389">
        <v>0</v>
      </c>
      <c r="AI3389" t="s">
        <v>1943</v>
      </c>
      <c r="AJ3389">
        <v>40.078619000000003</v>
      </c>
      <c r="AK3389" t="s">
        <v>1944</v>
      </c>
      <c r="AL3389">
        <v>-92.950558999999998</v>
      </c>
      <c r="AM3389">
        <v>100</v>
      </c>
      <c r="AN3389">
        <v>1300</v>
      </c>
      <c r="AO3389" t="s">
        <v>118</v>
      </c>
      <c r="AP3389">
        <v>-109</v>
      </c>
      <c r="AQ3389">
        <v>70</v>
      </c>
      <c r="AR3389">
        <v>0</v>
      </c>
      <c r="AZ3389">
        <v>1200</v>
      </c>
      <c r="BA3389">
        <v>1</v>
      </c>
      <c r="BB3389" t="str">
        <f t="shared" si="166"/>
        <v xml:space="preserve">N8080G  </v>
      </c>
      <c r="BC3389">
        <v>1</v>
      </c>
      <c r="BE3389">
        <v>0</v>
      </c>
      <c r="BF3389">
        <v>0</v>
      </c>
      <c r="BG3389">
        <v>0</v>
      </c>
      <c r="BH3389">
        <v>1350</v>
      </c>
      <c r="BI3389">
        <v>1</v>
      </c>
      <c r="BJ3389">
        <v>1</v>
      </c>
      <c r="BK3389">
        <v>1</v>
      </c>
      <c r="BL3389">
        <v>0</v>
      </c>
      <c r="BO3389">
        <v>0</v>
      </c>
      <c r="BP3389">
        <v>0</v>
      </c>
      <c r="BW3389" t="str">
        <f>"20:32:55.329"</f>
        <v>20:32:55.329</v>
      </c>
      <c r="BZ3389">
        <v>0</v>
      </c>
      <c r="CA3389">
        <v>1600</v>
      </c>
      <c r="CB3389">
        <v>224</v>
      </c>
      <c r="CD3389">
        <v>1</v>
      </c>
      <c r="CE3389">
        <v>0</v>
      </c>
      <c r="CF3389">
        <v>0</v>
      </c>
      <c r="CG3389">
        <v>1</v>
      </c>
      <c r="CH3389">
        <v>0</v>
      </c>
      <c r="CI3389">
        <v>0</v>
      </c>
      <c r="CJ3389">
        <v>0</v>
      </c>
      <c r="CK3389">
        <v>2</v>
      </c>
      <c r="CL3389">
        <v>0</v>
      </c>
      <c r="CM3389">
        <v>2</v>
      </c>
      <c r="CN3389">
        <v>0</v>
      </c>
      <c r="CO3389">
        <v>6</v>
      </c>
      <c r="CP3389" t="s">
        <v>119</v>
      </c>
      <c r="CQ3389">
        <v>180</v>
      </c>
      <c r="CR3389">
        <v>3</v>
      </c>
      <c r="CW3389">
        <v>1145578</v>
      </c>
      <c r="CY3389">
        <v>1</v>
      </c>
      <c r="CZ3389">
        <v>0</v>
      </c>
      <c r="DA3389">
        <v>1</v>
      </c>
      <c r="DB3389">
        <v>0</v>
      </c>
      <c r="DC3389">
        <v>0</v>
      </c>
      <c r="DD3389">
        <v>0</v>
      </c>
      <c r="DE3389">
        <v>0</v>
      </c>
      <c r="DF3389">
        <v>0</v>
      </c>
      <c r="DG3389">
        <v>0</v>
      </c>
      <c r="DH3389">
        <v>0</v>
      </c>
      <c r="DI3389">
        <v>0</v>
      </c>
    </row>
    <row r="3390" spans="1:113" x14ac:dyDescent="0.3">
      <c r="A3390" t="str">
        <f>"02/08/2021 20:32:53.004"</f>
        <v>02/08/2021 20:32:53.004</v>
      </c>
      <c r="C3390" t="str">
        <f t="shared" si="165"/>
        <v>FFDFD7C0</v>
      </c>
      <c r="D3390" t="s">
        <v>124</v>
      </c>
      <c r="E3390">
        <v>12</v>
      </c>
      <c r="F3390">
        <v>1012</v>
      </c>
      <c r="G3390" t="s">
        <v>675</v>
      </c>
      <c r="J3390" t="s">
        <v>125</v>
      </c>
      <c r="K3390">
        <v>0</v>
      </c>
      <c r="L3390">
        <v>3</v>
      </c>
      <c r="M3390">
        <v>0</v>
      </c>
      <c r="N3390">
        <v>2</v>
      </c>
      <c r="O3390">
        <v>1</v>
      </c>
      <c r="P3390">
        <v>0</v>
      </c>
      <c r="Q3390">
        <v>0</v>
      </c>
      <c r="S3390" t="str">
        <f>"20:32:55.328"</f>
        <v>20:32:55.328</v>
      </c>
      <c r="T3390" t="str">
        <f>"20:32:54.928"</f>
        <v>20:32:54.928</v>
      </c>
      <c r="U3390" t="str">
        <f t="shared" si="163"/>
        <v>AB01F4</v>
      </c>
      <c r="V3390">
        <v>0</v>
      </c>
      <c r="W3390">
        <v>0</v>
      </c>
      <c r="X3390">
        <v>2</v>
      </c>
      <c r="Z3390">
        <v>0</v>
      </c>
      <c r="AA3390">
        <v>9</v>
      </c>
      <c r="AB3390">
        <v>3</v>
      </c>
      <c r="AC3390">
        <v>0</v>
      </c>
      <c r="AD3390">
        <v>10</v>
      </c>
      <c r="AE3390">
        <v>0</v>
      </c>
      <c r="AF3390">
        <v>3</v>
      </c>
      <c r="AG3390">
        <v>2</v>
      </c>
      <c r="AH3390">
        <v>0</v>
      </c>
      <c r="AI3390" t="s">
        <v>1943</v>
      </c>
      <c r="AJ3390">
        <v>40.078619000000003</v>
      </c>
      <c r="AK3390" t="s">
        <v>1944</v>
      </c>
      <c r="AL3390">
        <v>-92.950558999999998</v>
      </c>
      <c r="AM3390">
        <v>100</v>
      </c>
      <c r="AN3390">
        <v>1300</v>
      </c>
      <c r="AO3390" t="s">
        <v>118</v>
      </c>
      <c r="AP3390">
        <v>-109</v>
      </c>
      <c r="AQ3390">
        <v>70</v>
      </c>
      <c r="AR3390">
        <v>0</v>
      </c>
      <c r="AZ3390">
        <v>1200</v>
      </c>
      <c r="BA3390">
        <v>1</v>
      </c>
      <c r="BB3390" t="str">
        <f t="shared" si="166"/>
        <v xml:space="preserve">N8080G  </v>
      </c>
      <c r="BC3390">
        <v>1</v>
      </c>
      <c r="BE3390">
        <v>0</v>
      </c>
      <c r="BF3390">
        <v>0</v>
      </c>
      <c r="BG3390">
        <v>0</v>
      </c>
      <c r="BH3390">
        <v>1350</v>
      </c>
      <c r="BI3390">
        <v>1</v>
      </c>
      <c r="BJ3390">
        <v>1</v>
      </c>
      <c r="BK3390">
        <v>1</v>
      </c>
      <c r="BL3390">
        <v>0</v>
      </c>
      <c r="BO3390">
        <v>0</v>
      </c>
      <c r="BP3390">
        <v>0</v>
      </c>
      <c r="BW3390" t="str">
        <f>"20:32:55.329"</f>
        <v>20:32:55.329</v>
      </c>
      <c r="BZ3390">
        <v>0</v>
      </c>
      <c r="CA3390">
        <v>1600</v>
      </c>
      <c r="CB3390">
        <v>224</v>
      </c>
      <c r="CD3390">
        <v>1</v>
      </c>
      <c r="CE3390">
        <v>0</v>
      </c>
      <c r="CF3390">
        <v>0</v>
      </c>
      <c r="CG3390">
        <v>1</v>
      </c>
      <c r="CH3390">
        <v>0</v>
      </c>
      <c r="CI3390">
        <v>0</v>
      </c>
      <c r="CJ3390">
        <v>0</v>
      </c>
      <c r="CK3390">
        <v>2</v>
      </c>
      <c r="CL3390">
        <v>0</v>
      </c>
      <c r="CM3390">
        <v>2</v>
      </c>
      <c r="CN3390">
        <v>0</v>
      </c>
      <c r="CO3390">
        <v>6</v>
      </c>
      <c r="CP3390" t="s">
        <v>119</v>
      </c>
      <c r="CQ3390">
        <v>180</v>
      </c>
      <c r="CR3390">
        <v>3</v>
      </c>
      <c r="CW3390">
        <v>1145578</v>
      </c>
      <c r="CY3390">
        <v>1</v>
      </c>
      <c r="CZ3390">
        <v>0</v>
      </c>
      <c r="DA3390">
        <v>1</v>
      </c>
      <c r="DB3390">
        <v>0</v>
      </c>
      <c r="DC3390">
        <v>0</v>
      </c>
      <c r="DD3390">
        <v>0</v>
      </c>
      <c r="DE3390">
        <v>0</v>
      </c>
      <c r="DF3390">
        <v>0</v>
      </c>
      <c r="DG3390">
        <v>0</v>
      </c>
      <c r="DH3390">
        <v>0</v>
      </c>
      <c r="DI3390">
        <v>0</v>
      </c>
    </row>
    <row r="3391" spans="1:113" x14ac:dyDescent="0.3">
      <c r="A3391" t="str">
        <f>"02/08/2021 20:32:53.958"</f>
        <v>02/08/2021 20:32:53.958</v>
      </c>
      <c r="C3391" t="str">
        <f t="shared" ref="C3391:C3422" si="167">"FFDFD7C0"</f>
        <v>FFDFD7C0</v>
      </c>
      <c r="D3391" t="s">
        <v>124</v>
      </c>
      <c r="E3391">
        <v>13</v>
      </c>
      <c r="F3391">
        <v>1013</v>
      </c>
      <c r="G3391" t="s">
        <v>114</v>
      </c>
      <c r="J3391" t="s">
        <v>125</v>
      </c>
      <c r="K3391">
        <v>0</v>
      </c>
      <c r="L3391">
        <v>3</v>
      </c>
      <c r="M3391">
        <v>0</v>
      </c>
      <c r="N3391">
        <v>2</v>
      </c>
      <c r="O3391">
        <v>1</v>
      </c>
      <c r="P3391">
        <v>0</v>
      </c>
      <c r="Q3391">
        <v>0</v>
      </c>
      <c r="S3391" t="str">
        <f>"20:32:56.273"</f>
        <v>20:32:56.273</v>
      </c>
      <c r="T3391" t="str">
        <f>"20:32:55.873"</f>
        <v>20:32:55.873</v>
      </c>
      <c r="U3391" t="str">
        <f t="shared" si="163"/>
        <v>AB01F4</v>
      </c>
      <c r="V3391">
        <v>0</v>
      </c>
      <c r="W3391">
        <v>0</v>
      </c>
      <c r="X3391">
        <v>2</v>
      </c>
      <c r="Z3391">
        <v>0</v>
      </c>
      <c r="AA3391">
        <v>9</v>
      </c>
      <c r="AB3391">
        <v>3</v>
      </c>
      <c r="AC3391">
        <v>0</v>
      </c>
      <c r="AD3391">
        <v>10</v>
      </c>
      <c r="AE3391">
        <v>0</v>
      </c>
      <c r="AF3391">
        <v>3</v>
      </c>
      <c r="AG3391">
        <v>2</v>
      </c>
      <c r="AH3391">
        <v>0</v>
      </c>
      <c r="AI3391" t="s">
        <v>1945</v>
      </c>
      <c r="AJ3391">
        <v>40.078918999999999</v>
      </c>
      <c r="AK3391" t="s">
        <v>1946</v>
      </c>
      <c r="AL3391">
        <v>-92.951138</v>
      </c>
      <c r="AM3391">
        <v>100</v>
      </c>
      <c r="AN3391">
        <v>1300</v>
      </c>
      <c r="AO3391" t="s">
        <v>118</v>
      </c>
      <c r="AP3391">
        <v>-110</v>
      </c>
      <c r="AQ3391">
        <v>69</v>
      </c>
      <c r="AR3391">
        <v>0</v>
      </c>
      <c r="AZ3391">
        <v>1200</v>
      </c>
      <c r="BA3391">
        <v>1</v>
      </c>
      <c r="BB3391" t="str">
        <f t="shared" si="166"/>
        <v xml:space="preserve">N8080G  </v>
      </c>
      <c r="BC3391">
        <v>1</v>
      </c>
      <c r="BE3391">
        <v>0</v>
      </c>
      <c r="BF3391">
        <v>0</v>
      </c>
      <c r="BG3391">
        <v>0</v>
      </c>
      <c r="BH3391">
        <v>1350</v>
      </c>
      <c r="BI3391">
        <v>1</v>
      </c>
      <c r="BJ3391">
        <v>1</v>
      </c>
      <c r="BK3391">
        <v>1</v>
      </c>
      <c r="BL3391">
        <v>0</v>
      </c>
      <c r="BO3391">
        <v>0</v>
      </c>
      <c r="BP3391">
        <v>0</v>
      </c>
      <c r="BW3391" t="str">
        <f>"20:32:56.278"</f>
        <v>20:32:56.278</v>
      </c>
      <c r="BZ3391">
        <v>0</v>
      </c>
      <c r="CA3391">
        <v>1600</v>
      </c>
      <c r="CB3391">
        <v>224</v>
      </c>
      <c r="CD3391">
        <v>1</v>
      </c>
      <c r="CE3391">
        <v>0</v>
      </c>
      <c r="CF3391">
        <v>0</v>
      </c>
      <c r="CG3391">
        <v>1</v>
      </c>
      <c r="CH3391">
        <v>0</v>
      </c>
      <c r="CI3391">
        <v>0</v>
      </c>
      <c r="CJ3391">
        <v>0</v>
      </c>
      <c r="CK3391">
        <v>2</v>
      </c>
      <c r="CL3391">
        <v>0</v>
      </c>
      <c r="CM3391">
        <v>2</v>
      </c>
      <c r="CN3391">
        <v>0</v>
      </c>
      <c r="CO3391">
        <v>6</v>
      </c>
      <c r="CP3391" t="s">
        <v>119</v>
      </c>
      <c r="CQ3391">
        <v>180</v>
      </c>
      <c r="CR3391">
        <v>2</v>
      </c>
      <c r="CW3391">
        <v>8805149</v>
      </c>
      <c r="CY3391">
        <v>1</v>
      </c>
      <c r="CZ3391">
        <v>0</v>
      </c>
      <c r="DA3391">
        <v>0</v>
      </c>
      <c r="DB3391">
        <v>0</v>
      </c>
      <c r="DC3391">
        <v>0</v>
      </c>
      <c r="DD3391">
        <v>0</v>
      </c>
      <c r="DE3391">
        <v>0</v>
      </c>
      <c r="DF3391">
        <v>0</v>
      </c>
      <c r="DG3391">
        <v>0</v>
      </c>
      <c r="DH3391">
        <v>0</v>
      </c>
      <c r="DI3391">
        <v>0</v>
      </c>
    </row>
    <row r="3392" spans="1:113" x14ac:dyDescent="0.3">
      <c r="A3392" t="str">
        <f>"02/08/2021 20:32:53.958"</f>
        <v>02/08/2021 20:32:53.958</v>
      </c>
      <c r="C3392" t="str">
        <f t="shared" si="167"/>
        <v>FFDFD7C0</v>
      </c>
      <c r="D3392" t="s">
        <v>124</v>
      </c>
      <c r="E3392">
        <v>11</v>
      </c>
      <c r="F3392">
        <v>1011</v>
      </c>
      <c r="G3392" t="s">
        <v>590</v>
      </c>
      <c r="J3392" t="s">
        <v>125</v>
      </c>
      <c r="K3392">
        <v>0</v>
      </c>
      <c r="L3392">
        <v>3</v>
      </c>
      <c r="M3392">
        <v>0</v>
      </c>
      <c r="N3392">
        <v>2</v>
      </c>
      <c r="O3392">
        <v>1</v>
      </c>
      <c r="P3392">
        <v>0</v>
      </c>
      <c r="Q3392">
        <v>0</v>
      </c>
      <c r="S3392" t="str">
        <f>"20:32:56.273"</f>
        <v>20:32:56.273</v>
      </c>
      <c r="T3392" t="str">
        <f>"20:32:55.873"</f>
        <v>20:32:55.873</v>
      </c>
      <c r="U3392" t="str">
        <f t="shared" si="163"/>
        <v>AB01F4</v>
      </c>
      <c r="V3392">
        <v>0</v>
      </c>
      <c r="W3392">
        <v>0</v>
      </c>
      <c r="X3392">
        <v>2</v>
      </c>
      <c r="Z3392">
        <v>0</v>
      </c>
      <c r="AA3392">
        <v>9</v>
      </c>
      <c r="AB3392">
        <v>3</v>
      </c>
      <c r="AC3392">
        <v>0</v>
      </c>
      <c r="AD3392">
        <v>10</v>
      </c>
      <c r="AE3392">
        <v>0</v>
      </c>
      <c r="AF3392">
        <v>3</v>
      </c>
      <c r="AG3392">
        <v>2</v>
      </c>
      <c r="AH3392">
        <v>0</v>
      </c>
      <c r="AI3392" t="s">
        <v>1945</v>
      </c>
      <c r="AJ3392">
        <v>40.078918999999999</v>
      </c>
      <c r="AK3392" t="s">
        <v>1946</v>
      </c>
      <c r="AL3392">
        <v>-92.951138</v>
      </c>
      <c r="AM3392">
        <v>100</v>
      </c>
      <c r="AN3392">
        <v>1300</v>
      </c>
      <c r="AO3392" t="s">
        <v>118</v>
      </c>
      <c r="AP3392">
        <v>-110</v>
      </c>
      <c r="AQ3392">
        <v>69</v>
      </c>
      <c r="AR3392">
        <v>0</v>
      </c>
      <c r="AZ3392">
        <v>1200</v>
      </c>
      <c r="BA3392">
        <v>1</v>
      </c>
      <c r="BB3392" t="str">
        <f t="shared" si="166"/>
        <v xml:space="preserve">N8080G  </v>
      </c>
      <c r="BC3392">
        <v>1</v>
      </c>
      <c r="BE3392">
        <v>0</v>
      </c>
      <c r="BF3392">
        <v>0</v>
      </c>
      <c r="BG3392">
        <v>0</v>
      </c>
      <c r="BH3392">
        <v>1350</v>
      </c>
      <c r="BI3392">
        <v>1</v>
      </c>
      <c r="BJ3392">
        <v>1</v>
      </c>
      <c r="BK3392">
        <v>1</v>
      </c>
      <c r="BL3392">
        <v>0</v>
      </c>
      <c r="BO3392">
        <v>0</v>
      </c>
      <c r="BP3392">
        <v>0</v>
      </c>
      <c r="BW3392" t="str">
        <f>"20:32:56.278"</f>
        <v>20:32:56.278</v>
      </c>
      <c r="BZ3392">
        <v>0</v>
      </c>
      <c r="CA3392">
        <v>1600</v>
      </c>
      <c r="CB3392">
        <v>224</v>
      </c>
      <c r="CD3392">
        <v>1</v>
      </c>
      <c r="CE3392">
        <v>0</v>
      </c>
      <c r="CF3392">
        <v>0</v>
      </c>
      <c r="CG3392">
        <v>1</v>
      </c>
      <c r="CH3392">
        <v>0</v>
      </c>
      <c r="CI3392">
        <v>0</v>
      </c>
      <c r="CJ3392">
        <v>0</v>
      </c>
      <c r="CK3392">
        <v>2</v>
      </c>
      <c r="CL3392">
        <v>0</v>
      </c>
      <c r="CM3392">
        <v>2</v>
      </c>
      <c r="CN3392">
        <v>0</v>
      </c>
      <c r="CO3392">
        <v>6</v>
      </c>
      <c r="CP3392" t="s">
        <v>119</v>
      </c>
      <c r="CQ3392">
        <v>180</v>
      </c>
      <c r="CR3392">
        <v>2</v>
      </c>
      <c r="CW3392">
        <v>8805149</v>
      </c>
      <c r="CY3392">
        <v>1</v>
      </c>
      <c r="CZ3392">
        <v>0</v>
      </c>
      <c r="DA3392">
        <v>1</v>
      </c>
      <c r="DB3392">
        <v>0</v>
      </c>
      <c r="DC3392">
        <v>0</v>
      </c>
      <c r="DD3392">
        <v>0</v>
      </c>
      <c r="DE3392">
        <v>0</v>
      </c>
      <c r="DF3392">
        <v>0</v>
      </c>
      <c r="DG3392">
        <v>0</v>
      </c>
      <c r="DH3392">
        <v>0</v>
      </c>
      <c r="DI3392">
        <v>0</v>
      </c>
    </row>
    <row r="3393" spans="1:113" x14ac:dyDescent="0.3">
      <c r="A3393" t="str">
        <f>"02/08/2021 20:32:53.958"</f>
        <v>02/08/2021 20:32:53.958</v>
      </c>
      <c r="C3393" t="str">
        <f t="shared" si="167"/>
        <v>FFDFD7C0</v>
      </c>
      <c r="D3393" t="s">
        <v>124</v>
      </c>
      <c r="E3393">
        <v>12</v>
      </c>
      <c r="F3393">
        <v>1012</v>
      </c>
      <c r="G3393" t="s">
        <v>675</v>
      </c>
      <c r="J3393" t="s">
        <v>125</v>
      </c>
      <c r="K3393">
        <v>0</v>
      </c>
      <c r="L3393">
        <v>3</v>
      </c>
      <c r="M3393">
        <v>0</v>
      </c>
      <c r="N3393">
        <v>2</v>
      </c>
      <c r="O3393">
        <v>1</v>
      </c>
      <c r="P3393">
        <v>0</v>
      </c>
      <c r="Q3393">
        <v>0</v>
      </c>
      <c r="S3393" t="str">
        <f>"20:32:56.273"</f>
        <v>20:32:56.273</v>
      </c>
      <c r="T3393" t="str">
        <f>"20:32:55.873"</f>
        <v>20:32:55.873</v>
      </c>
      <c r="U3393" t="str">
        <f t="shared" si="163"/>
        <v>AB01F4</v>
      </c>
      <c r="V3393">
        <v>0</v>
      </c>
      <c r="W3393">
        <v>0</v>
      </c>
      <c r="X3393">
        <v>2</v>
      </c>
      <c r="Z3393">
        <v>0</v>
      </c>
      <c r="AA3393">
        <v>9</v>
      </c>
      <c r="AB3393">
        <v>3</v>
      </c>
      <c r="AC3393">
        <v>0</v>
      </c>
      <c r="AD3393">
        <v>10</v>
      </c>
      <c r="AE3393">
        <v>0</v>
      </c>
      <c r="AF3393">
        <v>3</v>
      </c>
      <c r="AG3393">
        <v>2</v>
      </c>
      <c r="AH3393">
        <v>0</v>
      </c>
      <c r="AI3393" t="s">
        <v>1945</v>
      </c>
      <c r="AJ3393">
        <v>40.078918999999999</v>
      </c>
      <c r="AK3393" t="s">
        <v>1946</v>
      </c>
      <c r="AL3393">
        <v>-92.951138</v>
      </c>
      <c r="AM3393">
        <v>100</v>
      </c>
      <c r="AN3393">
        <v>1300</v>
      </c>
      <c r="AO3393" t="s">
        <v>118</v>
      </c>
      <c r="AP3393">
        <v>-110</v>
      </c>
      <c r="AQ3393">
        <v>69</v>
      </c>
      <c r="AR3393">
        <v>0</v>
      </c>
      <c r="AZ3393">
        <v>1200</v>
      </c>
      <c r="BA3393">
        <v>1</v>
      </c>
      <c r="BB3393" t="str">
        <f t="shared" si="166"/>
        <v xml:space="preserve">N8080G  </v>
      </c>
      <c r="BC3393">
        <v>1</v>
      </c>
      <c r="BE3393">
        <v>0</v>
      </c>
      <c r="BF3393">
        <v>0</v>
      </c>
      <c r="BG3393">
        <v>0</v>
      </c>
      <c r="BH3393">
        <v>1350</v>
      </c>
      <c r="BI3393">
        <v>1</v>
      </c>
      <c r="BJ3393">
        <v>1</v>
      </c>
      <c r="BK3393">
        <v>1</v>
      </c>
      <c r="BL3393">
        <v>0</v>
      </c>
      <c r="BO3393">
        <v>0</v>
      </c>
      <c r="BP3393">
        <v>0</v>
      </c>
      <c r="BW3393" t="str">
        <f>"20:32:56.278"</f>
        <v>20:32:56.278</v>
      </c>
      <c r="BZ3393">
        <v>0</v>
      </c>
      <c r="CA3393">
        <v>1600</v>
      </c>
      <c r="CB3393">
        <v>224</v>
      </c>
      <c r="CD3393">
        <v>1</v>
      </c>
      <c r="CE3393">
        <v>0</v>
      </c>
      <c r="CF3393">
        <v>0</v>
      </c>
      <c r="CG3393">
        <v>1</v>
      </c>
      <c r="CH3393">
        <v>0</v>
      </c>
      <c r="CI3393">
        <v>0</v>
      </c>
      <c r="CJ3393">
        <v>0</v>
      </c>
      <c r="CK3393">
        <v>2</v>
      </c>
      <c r="CL3393">
        <v>0</v>
      </c>
      <c r="CM3393">
        <v>2</v>
      </c>
      <c r="CN3393">
        <v>0</v>
      </c>
      <c r="CO3393">
        <v>6</v>
      </c>
      <c r="CP3393" t="s">
        <v>119</v>
      </c>
      <c r="CQ3393">
        <v>180</v>
      </c>
      <c r="CR3393">
        <v>2</v>
      </c>
      <c r="CW3393">
        <v>8805149</v>
      </c>
      <c r="CY3393">
        <v>1</v>
      </c>
      <c r="CZ3393">
        <v>0</v>
      </c>
      <c r="DA3393">
        <v>1</v>
      </c>
      <c r="DB3393">
        <v>0</v>
      </c>
      <c r="DC3393">
        <v>0</v>
      </c>
      <c r="DD3393">
        <v>0</v>
      </c>
      <c r="DE3393">
        <v>0</v>
      </c>
      <c r="DF3393">
        <v>0</v>
      </c>
      <c r="DG3393">
        <v>0</v>
      </c>
      <c r="DH3393">
        <v>0</v>
      </c>
      <c r="DI3393">
        <v>0</v>
      </c>
    </row>
    <row r="3394" spans="1:113" x14ac:dyDescent="0.3">
      <c r="A3394" t="str">
        <f>"02/08/2021 20:32:53.958"</f>
        <v>02/08/2021 20:32:53.958</v>
      </c>
      <c r="C3394" t="str">
        <f t="shared" si="167"/>
        <v>FFDFD7C0</v>
      </c>
      <c r="D3394" t="s">
        <v>113</v>
      </c>
      <c r="E3394">
        <v>6</v>
      </c>
      <c r="H3394">
        <v>165</v>
      </c>
      <c r="I3394" t="s">
        <v>114</v>
      </c>
      <c r="J3394" t="s">
        <v>115</v>
      </c>
      <c r="K3394">
        <v>0</v>
      </c>
      <c r="L3394">
        <v>3</v>
      </c>
      <c r="M3394">
        <v>0</v>
      </c>
      <c r="N3394">
        <v>2</v>
      </c>
      <c r="O3394">
        <v>1</v>
      </c>
      <c r="P3394">
        <v>0</v>
      </c>
      <c r="Q3394">
        <v>0</v>
      </c>
      <c r="S3394" t="str">
        <f>"20:32:56.273"</f>
        <v>20:32:56.273</v>
      </c>
      <c r="T3394" t="str">
        <f>"20:32:55.873"</f>
        <v>20:32:55.873</v>
      </c>
      <c r="U3394" t="str">
        <f t="shared" ref="U3394:U3457" si="168">"AB01F4"</f>
        <v>AB01F4</v>
      </c>
      <c r="V3394">
        <v>0</v>
      </c>
      <c r="W3394">
        <v>0</v>
      </c>
      <c r="X3394">
        <v>2</v>
      </c>
      <c r="Z3394">
        <v>0</v>
      </c>
      <c r="AA3394">
        <v>9</v>
      </c>
      <c r="AB3394">
        <v>3</v>
      </c>
      <c r="AC3394">
        <v>0</v>
      </c>
      <c r="AD3394">
        <v>10</v>
      </c>
      <c r="AE3394">
        <v>0</v>
      </c>
      <c r="AF3394">
        <v>3</v>
      </c>
      <c r="AG3394">
        <v>2</v>
      </c>
      <c r="AH3394">
        <v>0</v>
      </c>
      <c r="AI3394" t="s">
        <v>1945</v>
      </c>
      <c r="AJ3394">
        <v>40.078918999999999</v>
      </c>
      <c r="AK3394" t="s">
        <v>1946</v>
      </c>
      <c r="AL3394">
        <v>-92.951138</v>
      </c>
      <c r="AM3394">
        <v>100</v>
      </c>
      <c r="AN3394">
        <v>1300</v>
      </c>
      <c r="AO3394" t="s">
        <v>118</v>
      </c>
      <c r="AP3394">
        <v>-110</v>
      </c>
      <c r="AQ3394">
        <v>69</v>
      </c>
      <c r="AR3394">
        <v>0</v>
      </c>
      <c r="AZ3394">
        <v>1200</v>
      </c>
      <c r="BA3394">
        <v>1</v>
      </c>
      <c r="BB3394" t="str">
        <f t="shared" si="166"/>
        <v xml:space="preserve">N8080G  </v>
      </c>
      <c r="BC3394">
        <v>1</v>
      </c>
      <c r="BE3394">
        <v>0</v>
      </c>
      <c r="BF3394">
        <v>0</v>
      </c>
      <c r="BG3394">
        <v>0</v>
      </c>
      <c r="BH3394">
        <v>1350</v>
      </c>
      <c r="BI3394">
        <v>1</v>
      </c>
      <c r="BJ3394">
        <v>1</v>
      </c>
      <c r="BK3394">
        <v>1</v>
      </c>
      <c r="BL3394">
        <v>0</v>
      </c>
      <c r="BO3394">
        <v>0</v>
      </c>
      <c r="BP3394">
        <v>0</v>
      </c>
      <c r="BW3394" t="str">
        <f>"20:32:56.278"</f>
        <v>20:32:56.278</v>
      </c>
      <c r="BZ3394">
        <v>0</v>
      </c>
      <c r="CA3394">
        <v>1600</v>
      </c>
      <c r="CB3394">
        <v>224</v>
      </c>
      <c r="CD3394">
        <v>1</v>
      </c>
      <c r="CE3394">
        <v>0</v>
      </c>
      <c r="CF3394">
        <v>0</v>
      </c>
      <c r="CG3394">
        <v>1</v>
      </c>
      <c r="CH3394">
        <v>0</v>
      </c>
      <c r="CI3394">
        <v>0</v>
      </c>
      <c r="CJ3394">
        <v>0</v>
      </c>
      <c r="CK3394">
        <v>2</v>
      </c>
      <c r="CL3394">
        <v>0</v>
      </c>
      <c r="CM3394">
        <v>2</v>
      </c>
      <c r="CN3394">
        <v>0</v>
      </c>
      <c r="CO3394">
        <v>6</v>
      </c>
      <c r="CP3394" t="s">
        <v>119</v>
      </c>
      <c r="CQ3394">
        <v>180</v>
      </c>
      <c r="CR3394">
        <v>2</v>
      </c>
      <c r="CW3394">
        <v>8805149</v>
      </c>
      <c r="CY3394">
        <v>1</v>
      </c>
      <c r="CZ3394">
        <v>0</v>
      </c>
      <c r="DA3394">
        <v>1</v>
      </c>
      <c r="DB3394">
        <v>0</v>
      </c>
      <c r="DC3394">
        <v>0</v>
      </c>
      <c r="DD3394">
        <v>0</v>
      </c>
      <c r="DE3394">
        <v>0</v>
      </c>
      <c r="DF3394">
        <v>0</v>
      </c>
      <c r="DG3394">
        <v>0</v>
      </c>
      <c r="DH3394">
        <v>0</v>
      </c>
      <c r="DI3394">
        <v>0</v>
      </c>
    </row>
    <row r="3395" spans="1:113" x14ac:dyDescent="0.3">
      <c r="A3395" t="str">
        <f>"02/08/2021 20:32:54.932"</f>
        <v>02/08/2021 20:32:54.932</v>
      </c>
      <c r="C3395" t="str">
        <f t="shared" si="167"/>
        <v>FFDFD7C0</v>
      </c>
      <c r="D3395" t="s">
        <v>124</v>
      </c>
      <c r="E3395">
        <v>11</v>
      </c>
      <c r="F3395">
        <v>1011</v>
      </c>
      <c r="G3395" t="s">
        <v>590</v>
      </c>
      <c r="J3395" t="s">
        <v>125</v>
      </c>
      <c r="K3395">
        <v>0</v>
      </c>
      <c r="L3395">
        <v>3</v>
      </c>
      <c r="M3395">
        <v>0</v>
      </c>
      <c r="N3395">
        <v>2</v>
      </c>
      <c r="O3395">
        <v>1</v>
      </c>
      <c r="P3395">
        <v>0</v>
      </c>
      <c r="Q3395">
        <v>0</v>
      </c>
      <c r="S3395" t="str">
        <f>"20:32:57.234"</f>
        <v>20:32:57.234</v>
      </c>
      <c r="T3395" t="str">
        <f>"20:32:56.834"</f>
        <v>20:32:56.834</v>
      </c>
      <c r="U3395" t="str">
        <f t="shared" si="168"/>
        <v>AB01F4</v>
      </c>
      <c r="V3395">
        <v>0</v>
      </c>
      <c r="W3395">
        <v>0</v>
      </c>
      <c r="X3395">
        <v>2</v>
      </c>
      <c r="Z3395">
        <v>0</v>
      </c>
      <c r="AA3395">
        <v>9</v>
      </c>
      <c r="AB3395">
        <v>3</v>
      </c>
      <c r="AC3395">
        <v>0</v>
      </c>
      <c r="AD3395">
        <v>10</v>
      </c>
      <c r="AE3395">
        <v>0</v>
      </c>
      <c r="AF3395">
        <v>3</v>
      </c>
      <c r="AG3395">
        <v>2</v>
      </c>
      <c r="AH3395">
        <v>0</v>
      </c>
      <c r="AI3395" t="s">
        <v>1947</v>
      </c>
      <c r="AJ3395">
        <v>40.079197999999998</v>
      </c>
      <c r="AK3395" t="s">
        <v>1948</v>
      </c>
      <c r="AL3395">
        <v>-92.951824999999999</v>
      </c>
      <c r="AM3395">
        <v>100</v>
      </c>
      <c r="AN3395">
        <v>1300</v>
      </c>
      <c r="AO3395" t="s">
        <v>118</v>
      </c>
      <c r="AP3395">
        <v>-111</v>
      </c>
      <c r="AQ3395">
        <v>68</v>
      </c>
      <c r="AR3395">
        <v>0</v>
      </c>
      <c r="AZ3395">
        <v>1200</v>
      </c>
      <c r="BA3395">
        <v>1</v>
      </c>
      <c r="BB3395" t="str">
        <f t="shared" si="166"/>
        <v xml:space="preserve">N8080G  </v>
      </c>
      <c r="BC3395">
        <v>1</v>
      </c>
      <c r="BE3395">
        <v>0</v>
      </c>
      <c r="BF3395">
        <v>0</v>
      </c>
      <c r="BG3395">
        <v>0</v>
      </c>
      <c r="BH3395">
        <v>1350</v>
      </c>
      <c r="BI3395">
        <v>1</v>
      </c>
      <c r="BJ3395">
        <v>1</v>
      </c>
      <c r="BK3395">
        <v>1</v>
      </c>
      <c r="BL3395">
        <v>0</v>
      </c>
      <c r="BO3395">
        <v>0</v>
      </c>
      <c r="BP3395">
        <v>0</v>
      </c>
      <c r="BW3395" t="str">
        <f>"20:32:57.236"</f>
        <v>20:32:57.236</v>
      </c>
      <c r="BZ3395">
        <v>0</v>
      </c>
      <c r="CA3395">
        <v>1600</v>
      </c>
      <c r="CB3395">
        <v>224</v>
      </c>
      <c r="CD3395">
        <v>1</v>
      </c>
      <c r="CE3395">
        <v>0</v>
      </c>
      <c r="CF3395">
        <v>0</v>
      </c>
      <c r="CG3395">
        <v>1</v>
      </c>
      <c r="CH3395">
        <v>0</v>
      </c>
      <c r="CI3395">
        <v>0</v>
      </c>
      <c r="CJ3395">
        <v>0</v>
      </c>
      <c r="CK3395">
        <v>2</v>
      </c>
      <c r="CL3395">
        <v>0</v>
      </c>
      <c r="CM3395">
        <v>2</v>
      </c>
      <c r="CN3395">
        <v>0</v>
      </c>
      <c r="CO3395">
        <v>6</v>
      </c>
      <c r="CP3395" t="s">
        <v>119</v>
      </c>
      <c r="CQ3395">
        <v>180</v>
      </c>
      <c r="CR3395">
        <v>3</v>
      </c>
      <c r="CW3395">
        <v>1147078</v>
      </c>
      <c r="CY3395">
        <v>1</v>
      </c>
      <c r="CZ3395">
        <v>0</v>
      </c>
      <c r="DA3395">
        <v>0</v>
      </c>
      <c r="DB3395">
        <v>0</v>
      </c>
      <c r="DC3395">
        <v>0</v>
      </c>
      <c r="DD3395">
        <v>0</v>
      </c>
      <c r="DE3395">
        <v>0</v>
      </c>
      <c r="DF3395">
        <v>0</v>
      </c>
      <c r="DG3395">
        <v>0</v>
      </c>
      <c r="DH3395">
        <v>0</v>
      </c>
      <c r="DI3395">
        <v>0</v>
      </c>
    </row>
    <row r="3396" spans="1:113" x14ac:dyDescent="0.3">
      <c r="A3396" t="str">
        <f>"02/08/2021 20:32:54.932"</f>
        <v>02/08/2021 20:32:54.932</v>
      </c>
      <c r="C3396" t="str">
        <f t="shared" si="167"/>
        <v>FFDFD7C0</v>
      </c>
      <c r="D3396" t="s">
        <v>124</v>
      </c>
      <c r="E3396">
        <v>12</v>
      </c>
      <c r="F3396">
        <v>1012</v>
      </c>
      <c r="G3396" t="s">
        <v>675</v>
      </c>
      <c r="J3396" t="s">
        <v>125</v>
      </c>
      <c r="K3396">
        <v>0</v>
      </c>
      <c r="L3396">
        <v>3</v>
      </c>
      <c r="M3396">
        <v>0</v>
      </c>
      <c r="N3396">
        <v>2</v>
      </c>
      <c r="O3396">
        <v>1</v>
      </c>
      <c r="P3396">
        <v>0</v>
      </c>
      <c r="Q3396">
        <v>0</v>
      </c>
      <c r="S3396" t="str">
        <f>"20:32:57.234"</f>
        <v>20:32:57.234</v>
      </c>
      <c r="T3396" t="str">
        <f>"20:32:56.834"</f>
        <v>20:32:56.834</v>
      </c>
      <c r="U3396" t="str">
        <f t="shared" si="168"/>
        <v>AB01F4</v>
      </c>
      <c r="V3396">
        <v>0</v>
      </c>
      <c r="W3396">
        <v>0</v>
      </c>
      <c r="X3396">
        <v>2</v>
      </c>
      <c r="Z3396">
        <v>0</v>
      </c>
      <c r="AA3396">
        <v>9</v>
      </c>
      <c r="AB3396">
        <v>3</v>
      </c>
      <c r="AC3396">
        <v>0</v>
      </c>
      <c r="AD3396">
        <v>10</v>
      </c>
      <c r="AE3396">
        <v>0</v>
      </c>
      <c r="AF3396">
        <v>3</v>
      </c>
      <c r="AG3396">
        <v>2</v>
      </c>
      <c r="AH3396">
        <v>0</v>
      </c>
      <c r="AI3396" t="s">
        <v>1947</v>
      </c>
      <c r="AJ3396">
        <v>40.079197999999998</v>
      </c>
      <c r="AK3396" t="s">
        <v>1948</v>
      </c>
      <c r="AL3396">
        <v>-92.951824999999999</v>
      </c>
      <c r="AM3396">
        <v>100</v>
      </c>
      <c r="AN3396">
        <v>1300</v>
      </c>
      <c r="AO3396" t="s">
        <v>118</v>
      </c>
      <c r="AP3396">
        <v>-111</v>
      </c>
      <c r="AQ3396">
        <v>68</v>
      </c>
      <c r="AR3396">
        <v>0</v>
      </c>
      <c r="AZ3396">
        <v>1200</v>
      </c>
      <c r="BA3396">
        <v>1</v>
      </c>
      <c r="BB3396" t="str">
        <f t="shared" si="166"/>
        <v xml:space="preserve">N8080G  </v>
      </c>
      <c r="BC3396">
        <v>1</v>
      </c>
      <c r="BE3396">
        <v>0</v>
      </c>
      <c r="BF3396">
        <v>0</v>
      </c>
      <c r="BG3396">
        <v>0</v>
      </c>
      <c r="BH3396">
        <v>1350</v>
      </c>
      <c r="BI3396">
        <v>1</v>
      </c>
      <c r="BJ3396">
        <v>1</v>
      </c>
      <c r="BK3396">
        <v>1</v>
      </c>
      <c r="BL3396">
        <v>0</v>
      </c>
      <c r="BO3396">
        <v>0</v>
      </c>
      <c r="BP3396">
        <v>0</v>
      </c>
      <c r="BW3396" t="str">
        <f>"20:32:57.236"</f>
        <v>20:32:57.236</v>
      </c>
      <c r="BZ3396">
        <v>0</v>
      </c>
      <c r="CA3396">
        <v>1600</v>
      </c>
      <c r="CB3396">
        <v>224</v>
      </c>
      <c r="CD3396">
        <v>1</v>
      </c>
      <c r="CE3396">
        <v>0</v>
      </c>
      <c r="CF3396">
        <v>0</v>
      </c>
      <c r="CG3396">
        <v>1</v>
      </c>
      <c r="CH3396">
        <v>0</v>
      </c>
      <c r="CI3396">
        <v>0</v>
      </c>
      <c r="CJ3396">
        <v>0</v>
      </c>
      <c r="CK3396">
        <v>2</v>
      </c>
      <c r="CL3396">
        <v>0</v>
      </c>
      <c r="CM3396">
        <v>2</v>
      </c>
      <c r="CN3396">
        <v>0</v>
      </c>
      <c r="CO3396">
        <v>6</v>
      </c>
      <c r="CP3396" t="s">
        <v>119</v>
      </c>
      <c r="CQ3396">
        <v>180</v>
      </c>
      <c r="CR3396">
        <v>3</v>
      </c>
      <c r="CW3396">
        <v>1147078</v>
      </c>
      <c r="CY3396">
        <v>1</v>
      </c>
      <c r="CZ3396">
        <v>0</v>
      </c>
      <c r="DA3396">
        <v>1</v>
      </c>
      <c r="DB3396">
        <v>0</v>
      </c>
      <c r="DC3396">
        <v>0</v>
      </c>
      <c r="DD3396">
        <v>0</v>
      </c>
      <c r="DE3396">
        <v>0</v>
      </c>
      <c r="DF3396">
        <v>0</v>
      </c>
      <c r="DG3396">
        <v>0</v>
      </c>
      <c r="DH3396">
        <v>0</v>
      </c>
      <c r="DI3396">
        <v>0</v>
      </c>
    </row>
    <row r="3397" spans="1:113" x14ac:dyDescent="0.3">
      <c r="A3397" t="str">
        <f>"02/08/2021 20:32:54.932"</f>
        <v>02/08/2021 20:32:54.932</v>
      </c>
      <c r="C3397" t="str">
        <f t="shared" si="167"/>
        <v>FFDFD7C0</v>
      </c>
      <c r="D3397" t="s">
        <v>113</v>
      </c>
      <c r="E3397">
        <v>6</v>
      </c>
      <c r="H3397">
        <v>165</v>
      </c>
      <c r="I3397" t="s">
        <v>114</v>
      </c>
      <c r="J3397" t="s">
        <v>115</v>
      </c>
      <c r="K3397">
        <v>0</v>
      </c>
      <c r="L3397">
        <v>3</v>
      </c>
      <c r="M3397">
        <v>0</v>
      </c>
      <c r="N3397">
        <v>2</v>
      </c>
      <c r="O3397">
        <v>1</v>
      </c>
      <c r="P3397">
        <v>0</v>
      </c>
      <c r="Q3397">
        <v>0</v>
      </c>
      <c r="S3397" t="str">
        <f>"20:32:57.234"</f>
        <v>20:32:57.234</v>
      </c>
      <c r="T3397" t="str">
        <f>"20:32:56.834"</f>
        <v>20:32:56.834</v>
      </c>
      <c r="U3397" t="str">
        <f t="shared" si="168"/>
        <v>AB01F4</v>
      </c>
      <c r="V3397">
        <v>0</v>
      </c>
      <c r="W3397">
        <v>0</v>
      </c>
      <c r="X3397">
        <v>2</v>
      </c>
      <c r="Z3397">
        <v>0</v>
      </c>
      <c r="AA3397">
        <v>9</v>
      </c>
      <c r="AB3397">
        <v>3</v>
      </c>
      <c r="AC3397">
        <v>0</v>
      </c>
      <c r="AD3397">
        <v>10</v>
      </c>
      <c r="AE3397">
        <v>0</v>
      </c>
      <c r="AF3397">
        <v>3</v>
      </c>
      <c r="AG3397">
        <v>2</v>
      </c>
      <c r="AH3397">
        <v>0</v>
      </c>
      <c r="AI3397" t="s">
        <v>1947</v>
      </c>
      <c r="AJ3397">
        <v>40.079197999999998</v>
      </c>
      <c r="AK3397" t="s">
        <v>1948</v>
      </c>
      <c r="AL3397">
        <v>-92.951824999999999</v>
      </c>
      <c r="AM3397">
        <v>100</v>
      </c>
      <c r="AN3397">
        <v>1300</v>
      </c>
      <c r="AO3397" t="s">
        <v>118</v>
      </c>
      <c r="AP3397">
        <v>-111</v>
      </c>
      <c r="AQ3397">
        <v>68</v>
      </c>
      <c r="AR3397">
        <v>0</v>
      </c>
      <c r="AZ3397">
        <v>1200</v>
      </c>
      <c r="BA3397">
        <v>1</v>
      </c>
      <c r="BB3397" t="str">
        <f t="shared" si="166"/>
        <v xml:space="preserve">N8080G  </v>
      </c>
      <c r="BC3397">
        <v>1</v>
      </c>
      <c r="BE3397">
        <v>0</v>
      </c>
      <c r="BF3397">
        <v>0</v>
      </c>
      <c r="BG3397">
        <v>0</v>
      </c>
      <c r="BH3397">
        <v>1350</v>
      </c>
      <c r="BI3397">
        <v>1</v>
      </c>
      <c r="BJ3397">
        <v>1</v>
      </c>
      <c r="BK3397">
        <v>1</v>
      </c>
      <c r="BL3397">
        <v>0</v>
      </c>
      <c r="BO3397">
        <v>0</v>
      </c>
      <c r="BP3397">
        <v>0</v>
      </c>
      <c r="BW3397" t="str">
        <f>"20:32:57.236"</f>
        <v>20:32:57.236</v>
      </c>
      <c r="BZ3397">
        <v>0</v>
      </c>
      <c r="CA3397">
        <v>1600</v>
      </c>
      <c r="CB3397">
        <v>224</v>
      </c>
      <c r="CD3397">
        <v>1</v>
      </c>
      <c r="CE3397">
        <v>0</v>
      </c>
      <c r="CF3397">
        <v>0</v>
      </c>
      <c r="CG3397">
        <v>1</v>
      </c>
      <c r="CH3397">
        <v>0</v>
      </c>
      <c r="CI3397">
        <v>0</v>
      </c>
      <c r="CJ3397">
        <v>0</v>
      </c>
      <c r="CK3397">
        <v>2</v>
      </c>
      <c r="CL3397">
        <v>0</v>
      </c>
      <c r="CM3397">
        <v>2</v>
      </c>
      <c r="CN3397">
        <v>0</v>
      </c>
      <c r="CO3397">
        <v>6</v>
      </c>
      <c r="CP3397" t="s">
        <v>119</v>
      </c>
      <c r="CQ3397">
        <v>180</v>
      </c>
      <c r="CR3397">
        <v>3</v>
      </c>
      <c r="CW3397">
        <v>1147078</v>
      </c>
      <c r="CY3397">
        <v>1</v>
      </c>
      <c r="CZ3397">
        <v>0</v>
      </c>
      <c r="DA3397">
        <v>1</v>
      </c>
      <c r="DB3397">
        <v>0</v>
      </c>
      <c r="DC3397">
        <v>0</v>
      </c>
      <c r="DD3397">
        <v>0</v>
      </c>
      <c r="DE3397">
        <v>0</v>
      </c>
      <c r="DF3397">
        <v>0</v>
      </c>
      <c r="DG3397">
        <v>0</v>
      </c>
      <c r="DH3397">
        <v>0</v>
      </c>
      <c r="DI3397">
        <v>0</v>
      </c>
    </row>
    <row r="3398" spans="1:113" x14ac:dyDescent="0.3">
      <c r="A3398" t="str">
        <f>"02/08/2021 20:32:54.932"</f>
        <v>02/08/2021 20:32:54.932</v>
      </c>
      <c r="C3398" t="str">
        <f t="shared" si="167"/>
        <v>FFDFD7C0</v>
      </c>
      <c r="D3398" t="s">
        <v>124</v>
      </c>
      <c r="E3398">
        <v>13</v>
      </c>
      <c r="F3398">
        <v>1013</v>
      </c>
      <c r="G3398" t="s">
        <v>114</v>
      </c>
      <c r="J3398" t="s">
        <v>125</v>
      </c>
      <c r="K3398">
        <v>0</v>
      </c>
      <c r="L3398">
        <v>3</v>
      </c>
      <c r="M3398">
        <v>0</v>
      </c>
      <c r="N3398">
        <v>2</v>
      </c>
      <c r="O3398">
        <v>1</v>
      </c>
      <c r="P3398">
        <v>0</v>
      </c>
      <c r="Q3398">
        <v>0</v>
      </c>
      <c r="S3398" t="str">
        <f>"20:32:57.234"</f>
        <v>20:32:57.234</v>
      </c>
      <c r="T3398" t="str">
        <f>"20:32:56.834"</f>
        <v>20:32:56.834</v>
      </c>
      <c r="U3398" t="str">
        <f t="shared" si="168"/>
        <v>AB01F4</v>
      </c>
      <c r="V3398">
        <v>0</v>
      </c>
      <c r="W3398">
        <v>0</v>
      </c>
      <c r="X3398">
        <v>2</v>
      </c>
      <c r="Z3398">
        <v>0</v>
      </c>
      <c r="AA3398">
        <v>9</v>
      </c>
      <c r="AB3398">
        <v>3</v>
      </c>
      <c r="AC3398">
        <v>0</v>
      </c>
      <c r="AD3398">
        <v>10</v>
      </c>
      <c r="AE3398">
        <v>0</v>
      </c>
      <c r="AF3398">
        <v>3</v>
      </c>
      <c r="AG3398">
        <v>2</v>
      </c>
      <c r="AH3398">
        <v>0</v>
      </c>
      <c r="AI3398" t="s">
        <v>1947</v>
      </c>
      <c r="AJ3398">
        <v>40.079197999999998</v>
      </c>
      <c r="AK3398" t="s">
        <v>1948</v>
      </c>
      <c r="AL3398">
        <v>-92.951824999999999</v>
      </c>
      <c r="AM3398">
        <v>100</v>
      </c>
      <c r="AN3398">
        <v>1300</v>
      </c>
      <c r="AO3398" t="s">
        <v>118</v>
      </c>
      <c r="AP3398">
        <v>-111</v>
      </c>
      <c r="AQ3398">
        <v>68</v>
      </c>
      <c r="AR3398">
        <v>0</v>
      </c>
      <c r="AZ3398">
        <v>1200</v>
      </c>
      <c r="BA3398">
        <v>1</v>
      </c>
      <c r="BB3398" t="str">
        <f t="shared" si="166"/>
        <v xml:space="preserve">N8080G  </v>
      </c>
      <c r="BC3398">
        <v>1</v>
      </c>
      <c r="BE3398">
        <v>0</v>
      </c>
      <c r="BF3398">
        <v>0</v>
      </c>
      <c r="BG3398">
        <v>0</v>
      </c>
      <c r="BH3398">
        <v>1350</v>
      </c>
      <c r="BI3398">
        <v>1</v>
      </c>
      <c r="BJ3398">
        <v>1</v>
      </c>
      <c r="BK3398">
        <v>1</v>
      </c>
      <c r="BL3398">
        <v>0</v>
      </c>
      <c r="BO3398">
        <v>0</v>
      </c>
      <c r="BP3398">
        <v>0</v>
      </c>
      <c r="BW3398" t="str">
        <f>"20:32:57.236"</f>
        <v>20:32:57.236</v>
      </c>
      <c r="BZ3398">
        <v>0</v>
      </c>
      <c r="CA3398">
        <v>1600</v>
      </c>
      <c r="CB3398">
        <v>224</v>
      </c>
      <c r="CD3398">
        <v>1</v>
      </c>
      <c r="CE3398">
        <v>0</v>
      </c>
      <c r="CF3398">
        <v>0</v>
      </c>
      <c r="CG3398">
        <v>1</v>
      </c>
      <c r="CH3398">
        <v>0</v>
      </c>
      <c r="CI3398">
        <v>0</v>
      </c>
      <c r="CJ3398">
        <v>0</v>
      </c>
      <c r="CK3398">
        <v>2</v>
      </c>
      <c r="CL3398">
        <v>0</v>
      </c>
      <c r="CM3398">
        <v>2</v>
      </c>
      <c r="CN3398">
        <v>0</v>
      </c>
      <c r="CO3398">
        <v>6</v>
      </c>
      <c r="CP3398" t="s">
        <v>119</v>
      </c>
      <c r="CQ3398">
        <v>180</v>
      </c>
      <c r="CR3398">
        <v>3</v>
      </c>
      <c r="CW3398">
        <v>1147078</v>
      </c>
      <c r="CY3398">
        <v>1</v>
      </c>
      <c r="CZ3398">
        <v>0</v>
      </c>
      <c r="DA3398">
        <v>1</v>
      </c>
      <c r="DB3398">
        <v>0</v>
      </c>
      <c r="DC3398">
        <v>0</v>
      </c>
      <c r="DD3398">
        <v>0</v>
      </c>
      <c r="DE3398">
        <v>0</v>
      </c>
      <c r="DF3398">
        <v>0</v>
      </c>
      <c r="DG3398">
        <v>0</v>
      </c>
      <c r="DH3398">
        <v>0</v>
      </c>
      <c r="DI3398">
        <v>0</v>
      </c>
    </row>
    <row r="3399" spans="1:113" x14ac:dyDescent="0.3">
      <c r="A3399" t="str">
        <f>"02/08/2021 20:32:55.991"</f>
        <v>02/08/2021 20:32:55.991</v>
      </c>
      <c r="C3399" t="str">
        <f t="shared" si="167"/>
        <v>FFDFD7C0</v>
      </c>
      <c r="D3399" t="s">
        <v>124</v>
      </c>
      <c r="E3399">
        <v>12</v>
      </c>
      <c r="F3399">
        <v>1012</v>
      </c>
      <c r="G3399" t="s">
        <v>675</v>
      </c>
      <c r="J3399" t="s">
        <v>125</v>
      </c>
      <c r="K3399">
        <v>0</v>
      </c>
      <c r="L3399">
        <v>3</v>
      </c>
      <c r="M3399">
        <v>0</v>
      </c>
      <c r="N3399">
        <v>2</v>
      </c>
      <c r="O3399">
        <v>1</v>
      </c>
      <c r="P3399">
        <v>0</v>
      </c>
      <c r="Q3399">
        <v>0</v>
      </c>
      <c r="S3399" t="str">
        <f>"20:32:58.313"</f>
        <v>20:32:58.313</v>
      </c>
      <c r="T3399" t="str">
        <f>"20:32:57.813"</f>
        <v>20:32:57.813</v>
      </c>
      <c r="U3399" t="str">
        <f t="shared" si="168"/>
        <v>AB01F4</v>
      </c>
      <c r="V3399">
        <v>0</v>
      </c>
      <c r="W3399">
        <v>0</v>
      </c>
      <c r="X3399">
        <v>2</v>
      </c>
      <c r="Z3399">
        <v>0</v>
      </c>
      <c r="AA3399">
        <v>9</v>
      </c>
      <c r="AB3399">
        <v>3</v>
      </c>
      <c r="AC3399">
        <v>0</v>
      </c>
      <c r="AD3399">
        <v>10</v>
      </c>
      <c r="AE3399">
        <v>0</v>
      </c>
      <c r="AF3399">
        <v>3</v>
      </c>
      <c r="AG3399">
        <v>2</v>
      </c>
      <c r="AH3399">
        <v>0</v>
      </c>
      <c r="AI3399" t="s">
        <v>1949</v>
      </c>
      <c r="AJ3399">
        <v>40.079520000000002</v>
      </c>
      <c r="AK3399" t="s">
        <v>1950</v>
      </c>
      <c r="AL3399">
        <v>-92.952511000000001</v>
      </c>
      <c r="AM3399">
        <v>100</v>
      </c>
      <c r="AN3399">
        <v>1300</v>
      </c>
      <c r="AO3399" t="s">
        <v>118</v>
      </c>
      <c r="AP3399">
        <v>-111</v>
      </c>
      <c r="AQ3399">
        <v>67</v>
      </c>
      <c r="AR3399">
        <v>0</v>
      </c>
      <c r="AZ3399">
        <v>1200</v>
      </c>
      <c r="BA3399">
        <v>1</v>
      </c>
      <c r="BB3399" t="str">
        <f t="shared" si="166"/>
        <v xml:space="preserve">N8080G  </v>
      </c>
      <c r="BC3399">
        <v>1</v>
      </c>
      <c r="BE3399">
        <v>0</v>
      </c>
      <c r="BF3399">
        <v>0</v>
      </c>
      <c r="BG3399">
        <v>0</v>
      </c>
      <c r="BH3399">
        <v>1350</v>
      </c>
      <c r="BI3399">
        <v>1</v>
      </c>
      <c r="BJ3399">
        <v>1</v>
      </c>
      <c r="BK3399">
        <v>1</v>
      </c>
      <c r="BL3399">
        <v>0</v>
      </c>
      <c r="BO3399">
        <v>0</v>
      </c>
      <c r="BP3399">
        <v>0</v>
      </c>
      <c r="BW3399" t="str">
        <f>"20:32:58.318"</f>
        <v>20:32:58.318</v>
      </c>
      <c r="BZ3399">
        <v>0</v>
      </c>
      <c r="CA3399">
        <v>1600</v>
      </c>
      <c r="CB3399">
        <v>224</v>
      </c>
      <c r="CD3399">
        <v>1</v>
      </c>
      <c r="CE3399">
        <v>0</v>
      </c>
      <c r="CF3399">
        <v>0</v>
      </c>
      <c r="CG3399">
        <v>1</v>
      </c>
      <c r="CH3399">
        <v>0</v>
      </c>
      <c r="CI3399">
        <v>0</v>
      </c>
      <c r="CJ3399">
        <v>0</v>
      </c>
      <c r="CK3399">
        <v>2</v>
      </c>
      <c r="CL3399">
        <v>0</v>
      </c>
      <c r="CM3399">
        <v>2</v>
      </c>
      <c r="CN3399">
        <v>0</v>
      </c>
      <c r="CO3399">
        <v>6</v>
      </c>
      <c r="CP3399" t="s">
        <v>119</v>
      </c>
      <c r="CQ3399">
        <v>180</v>
      </c>
      <c r="CR3399">
        <v>2</v>
      </c>
      <c r="CW3399">
        <v>8806772</v>
      </c>
      <c r="CY3399">
        <v>1</v>
      </c>
      <c r="CZ3399">
        <v>0</v>
      </c>
      <c r="DA3399">
        <v>0</v>
      </c>
      <c r="DB3399">
        <v>0</v>
      </c>
      <c r="DC3399">
        <v>0</v>
      </c>
      <c r="DD3399">
        <v>0</v>
      </c>
      <c r="DE3399">
        <v>0</v>
      </c>
      <c r="DF3399">
        <v>0</v>
      </c>
      <c r="DG3399">
        <v>0</v>
      </c>
      <c r="DH3399">
        <v>0</v>
      </c>
      <c r="DI3399">
        <v>0</v>
      </c>
    </row>
    <row r="3400" spans="1:113" x14ac:dyDescent="0.3">
      <c r="A3400" t="str">
        <f>"02/08/2021 20:32:55.991"</f>
        <v>02/08/2021 20:32:55.991</v>
      </c>
      <c r="C3400" t="str">
        <f t="shared" si="167"/>
        <v>FFDFD7C0</v>
      </c>
      <c r="D3400" t="s">
        <v>124</v>
      </c>
      <c r="E3400">
        <v>11</v>
      </c>
      <c r="F3400">
        <v>1011</v>
      </c>
      <c r="G3400" t="s">
        <v>590</v>
      </c>
      <c r="J3400" t="s">
        <v>125</v>
      </c>
      <c r="K3400">
        <v>0</v>
      </c>
      <c r="L3400">
        <v>3</v>
      </c>
      <c r="M3400">
        <v>0</v>
      </c>
      <c r="N3400">
        <v>2</v>
      </c>
      <c r="O3400">
        <v>1</v>
      </c>
      <c r="P3400">
        <v>0</v>
      </c>
      <c r="Q3400">
        <v>0</v>
      </c>
      <c r="S3400" t="str">
        <f>"20:32:58.313"</f>
        <v>20:32:58.313</v>
      </c>
      <c r="T3400" t="str">
        <f>"20:32:57.813"</f>
        <v>20:32:57.813</v>
      </c>
      <c r="U3400" t="str">
        <f t="shared" si="168"/>
        <v>AB01F4</v>
      </c>
      <c r="V3400">
        <v>0</v>
      </c>
      <c r="W3400">
        <v>0</v>
      </c>
      <c r="X3400">
        <v>2</v>
      </c>
      <c r="Z3400">
        <v>0</v>
      </c>
      <c r="AA3400">
        <v>9</v>
      </c>
      <c r="AB3400">
        <v>3</v>
      </c>
      <c r="AC3400">
        <v>0</v>
      </c>
      <c r="AD3400">
        <v>10</v>
      </c>
      <c r="AE3400">
        <v>0</v>
      </c>
      <c r="AF3400">
        <v>3</v>
      </c>
      <c r="AG3400">
        <v>2</v>
      </c>
      <c r="AH3400">
        <v>0</v>
      </c>
      <c r="AI3400" t="s">
        <v>1949</v>
      </c>
      <c r="AJ3400">
        <v>40.079520000000002</v>
      </c>
      <c r="AK3400" t="s">
        <v>1950</v>
      </c>
      <c r="AL3400">
        <v>-92.952511000000001</v>
      </c>
      <c r="AM3400">
        <v>100</v>
      </c>
      <c r="AN3400">
        <v>1300</v>
      </c>
      <c r="AO3400" t="s">
        <v>118</v>
      </c>
      <c r="AP3400">
        <v>-111</v>
      </c>
      <c r="AQ3400">
        <v>67</v>
      </c>
      <c r="AR3400">
        <v>0</v>
      </c>
      <c r="AZ3400">
        <v>1200</v>
      </c>
      <c r="BA3400">
        <v>1</v>
      </c>
      <c r="BB3400" t="str">
        <f t="shared" si="166"/>
        <v xml:space="preserve">N8080G  </v>
      </c>
      <c r="BC3400">
        <v>1</v>
      </c>
      <c r="BE3400">
        <v>0</v>
      </c>
      <c r="BF3400">
        <v>0</v>
      </c>
      <c r="BG3400">
        <v>0</v>
      </c>
      <c r="BH3400">
        <v>1350</v>
      </c>
      <c r="BI3400">
        <v>1</v>
      </c>
      <c r="BJ3400">
        <v>1</v>
      </c>
      <c r="BK3400">
        <v>1</v>
      </c>
      <c r="BL3400">
        <v>0</v>
      </c>
      <c r="BO3400">
        <v>0</v>
      </c>
      <c r="BP3400">
        <v>0</v>
      </c>
      <c r="BW3400" t="str">
        <f>"20:32:58.318"</f>
        <v>20:32:58.318</v>
      </c>
      <c r="BZ3400">
        <v>0</v>
      </c>
      <c r="CA3400">
        <v>1600</v>
      </c>
      <c r="CB3400">
        <v>224</v>
      </c>
      <c r="CD3400">
        <v>1</v>
      </c>
      <c r="CE3400">
        <v>0</v>
      </c>
      <c r="CF3400">
        <v>0</v>
      </c>
      <c r="CG3400">
        <v>1</v>
      </c>
      <c r="CH3400">
        <v>0</v>
      </c>
      <c r="CI3400">
        <v>0</v>
      </c>
      <c r="CJ3400">
        <v>0</v>
      </c>
      <c r="CK3400">
        <v>2</v>
      </c>
      <c r="CL3400">
        <v>0</v>
      </c>
      <c r="CM3400">
        <v>2</v>
      </c>
      <c r="CN3400">
        <v>0</v>
      </c>
      <c r="CO3400">
        <v>6</v>
      </c>
      <c r="CP3400" t="s">
        <v>119</v>
      </c>
      <c r="CQ3400">
        <v>180</v>
      </c>
      <c r="CR3400">
        <v>2</v>
      </c>
      <c r="CW3400">
        <v>8806772</v>
      </c>
      <c r="CY3400">
        <v>1</v>
      </c>
      <c r="CZ3400">
        <v>0</v>
      </c>
      <c r="DA3400">
        <v>1</v>
      </c>
      <c r="DB3400">
        <v>0</v>
      </c>
      <c r="DC3400">
        <v>0</v>
      </c>
      <c r="DD3400">
        <v>0</v>
      </c>
      <c r="DE3400">
        <v>0</v>
      </c>
      <c r="DF3400">
        <v>0</v>
      </c>
      <c r="DG3400">
        <v>0</v>
      </c>
      <c r="DH3400">
        <v>0</v>
      </c>
      <c r="DI3400">
        <v>0</v>
      </c>
    </row>
    <row r="3401" spans="1:113" x14ac:dyDescent="0.3">
      <c r="A3401" t="str">
        <f>"02/08/2021 20:32:55.991"</f>
        <v>02/08/2021 20:32:55.991</v>
      </c>
      <c r="C3401" t="str">
        <f t="shared" si="167"/>
        <v>FFDFD7C0</v>
      </c>
      <c r="D3401" t="s">
        <v>113</v>
      </c>
      <c r="E3401">
        <v>6</v>
      </c>
      <c r="H3401">
        <v>165</v>
      </c>
      <c r="I3401" t="s">
        <v>114</v>
      </c>
      <c r="J3401" t="s">
        <v>115</v>
      </c>
      <c r="K3401">
        <v>0</v>
      </c>
      <c r="L3401">
        <v>3</v>
      </c>
      <c r="M3401">
        <v>0</v>
      </c>
      <c r="N3401">
        <v>2</v>
      </c>
      <c r="O3401">
        <v>1</v>
      </c>
      <c r="P3401">
        <v>0</v>
      </c>
      <c r="Q3401">
        <v>0</v>
      </c>
      <c r="S3401" t="str">
        <f>"20:32:58.313"</f>
        <v>20:32:58.313</v>
      </c>
      <c r="T3401" t="str">
        <f>"20:32:57.813"</f>
        <v>20:32:57.813</v>
      </c>
      <c r="U3401" t="str">
        <f t="shared" si="168"/>
        <v>AB01F4</v>
      </c>
      <c r="V3401">
        <v>0</v>
      </c>
      <c r="W3401">
        <v>0</v>
      </c>
      <c r="X3401">
        <v>2</v>
      </c>
      <c r="Z3401">
        <v>0</v>
      </c>
      <c r="AA3401">
        <v>9</v>
      </c>
      <c r="AB3401">
        <v>3</v>
      </c>
      <c r="AC3401">
        <v>0</v>
      </c>
      <c r="AD3401">
        <v>10</v>
      </c>
      <c r="AE3401">
        <v>0</v>
      </c>
      <c r="AF3401">
        <v>3</v>
      </c>
      <c r="AG3401">
        <v>2</v>
      </c>
      <c r="AH3401">
        <v>0</v>
      </c>
      <c r="AI3401" t="s">
        <v>1949</v>
      </c>
      <c r="AJ3401">
        <v>40.079520000000002</v>
      </c>
      <c r="AK3401" t="s">
        <v>1950</v>
      </c>
      <c r="AL3401">
        <v>-92.952511000000001</v>
      </c>
      <c r="AM3401">
        <v>100</v>
      </c>
      <c r="AN3401">
        <v>1300</v>
      </c>
      <c r="AO3401" t="s">
        <v>118</v>
      </c>
      <c r="AP3401">
        <v>-111</v>
      </c>
      <c r="AQ3401">
        <v>67</v>
      </c>
      <c r="AR3401">
        <v>0</v>
      </c>
      <c r="AZ3401">
        <v>1200</v>
      </c>
      <c r="BA3401">
        <v>1</v>
      </c>
      <c r="BB3401" t="str">
        <f t="shared" si="166"/>
        <v xml:space="preserve">N8080G  </v>
      </c>
      <c r="BC3401">
        <v>1</v>
      </c>
      <c r="BE3401">
        <v>0</v>
      </c>
      <c r="BF3401">
        <v>0</v>
      </c>
      <c r="BG3401">
        <v>0</v>
      </c>
      <c r="BH3401">
        <v>1350</v>
      </c>
      <c r="BI3401">
        <v>1</v>
      </c>
      <c r="BJ3401">
        <v>1</v>
      </c>
      <c r="BK3401">
        <v>1</v>
      </c>
      <c r="BL3401">
        <v>0</v>
      </c>
      <c r="BO3401">
        <v>0</v>
      </c>
      <c r="BP3401">
        <v>0</v>
      </c>
      <c r="BW3401" t="str">
        <f>"20:32:58.318"</f>
        <v>20:32:58.318</v>
      </c>
      <c r="BZ3401">
        <v>0</v>
      </c>
      <c r="CA3401">
        <v>1600</v>
      </c>
      <c r="CB3401">
        <v>224</v>
      </c>
      <c r="CD3401">
        <v>1</v>
      </c>
      <c r="CE3401">
        <v>0</v>
      </c>
      <c r="CF3401">
        <v>0</v>
      </c>
      <c r="CG3401">
        <v>1</v>
      </c>
      <c r="CH3401">
        <v>0</v>
      </c>
      <c r="CI3401">
        <v>0</v>
      </c>
      <c r="CJ3401">
        <v>0</v>
      </c>
      <c r="CK3401">
        <v>2</v>
      </c>
      <c r="CL3401">
        <v>0</v>
      </c>
      <c r="CM3401">
        <v>2</v>
      </c>
      <c r="CN3401">
        <v>0</v>
      </c>
      <c r="CO3401">
        <v>6</v>
      </c>
      <c r="CP3401" t="s">
        <v>119</v>
      </c>
      <c r="CQ3401">
        <v>180</v>
      </c>
      <c r="CR3401">
        <v>2</v>
      </c>
      <c r="CW3401">
        <v>8806772</v>
      </c>
      <c r="CY3401">
        <v>1</v>
      </c>
      <c r="CZ3401">
        <v>0</v>
      </c>
      <c r="DA3401">
        <v>1</v>
      </c>
      <c r="DB3401">
        <v>0</v>
      </c>
      <c r="DC3401">
        <v>0</v>
      </c>
      <c r="DD3401">
        <v>0</v>
      </c>
      <c r="DE3401">
        <v>0</v>
      </c>
      <c r="DF3401">
        <v>0</v>
      </c>
      <c r="DG3401">
        <v>0</v>
      </c>
      <c r="DH3401">
        <v>0</v>
      </c>
      <c r="DI3401">
        <v>0</v>
      </c>
    </row>
    <row r="3402" spans="1:113" x14ac:dyDescent="0.3">
      <c r="A3402" t="str">
        <f>"02/08/2021 20:32:55.991"</f>
        <v>02/08/2021 20:32:55.991</v>
      </c>
      <c r="C3402" t="str">
        <f t="shared" si="167"/>
        <v>FFDFD7C0</v>
      </c>
      <c r="D3402" t="s">
        <v>124</v>
      </c>
      <c r="E3402">
        <v>13</v>
      </c>
      <c r="F3402">
        <v>1013</v>
      </c>
      <c r="G3402" t="s">
        <v>114</v>
      </c>
      <c r="J3402" t="s">
        <v>125</v>
      </c>
      <c r="K3402">
        <v>0</v>
      </c>
      <c r="L3402">
        <v>3</v>
      </c>
      <c r="M3402">
        <v>0</v>
      </c>
      <c r="N3402">
        <v>2</v>
      </c>
      <c r="O3402">
        <v>1</v>
      </c>
      <c r="P3402">
        <v>0</v>
      </c>
      <c r="Q3402">
        <v>0</v>
      </c>
      <c r="S3402" t="str">
        <f>"20:32:58.313"</f>
        <v>20:32:58.313</v>
      </c>
      <c r="T3402" t="str">
        <f>"20:32:57.813"</f>
        <v>20:32:57.813</v>
      </c>
      <c r="U3402" t="str">
        <f t="shared" si="168"/>
        <v>AB01F4</v>
      </c>
      <c r="V3402">
        <v>0</v>
      </c>
      <c r="W3402">
        <v>0</v>
      </c>
      <c r="X3402">
        <v>2</v>
      </c>
      <c r="Z3402">
        <v>0</v>
      </c>
      <c r="AA3402">
        <v>9</v>
      </c>
      <c r="AB3402">
        <v>3</v>
      </c>
      <c r="AC3402">
        <v>0</v>
      </c>
      <c r="AD3402">
        <v>10</v>
      </c>
      <c r="AE3402">
        <v>0</v>
      </c>
      <c r="AF3402">
        <v>3</v>
      </c>
      <c r="AG3402">
        <v>2</v>
      </c>
      <c r="AH3402">
        <v>0</v>
      </c>
      <c r="AI3402" t="s">
        <v>1949</v>
      </c>
      <c r="AJ3402">
        <v>40.079520000000002</v>
      </c>
      <c r="AK3402" t="s">
        <v>1950</v>
      </c>
      <c r="AL3402">
        <v>-92.952511000000001</v>
      </c>
      <c r="AM3402">
        <v>100</v>
      </c>
      <c r="AN3402">
        <v>1300</v>
      </c>
      <c r="AO3402" t="s">
        <v>118</v>
      </c>
      <c r="AP3402">
        <v>-111</v>
      </c>
      <c r="AQ3402">
        <v>67</v>
      </c>
      <c r="AR3402">
        <v>0</v>
      </c>
      <c r="AZ3402">
        <v>1200</v>
      </c>
      <c r="BA3402">
        <v>1</v>
      </c>
      <c r="BB3402" t="str">
        <f t="shared" si="166"/>
        <v xml:space="preserve">N8080G  </v>
      </c>
      <c r="BC3402">
        <v>1</v>
      </c>
      <c r="BE3402">
        <v>0</v>
      </c>
      <c r="BF3402">
        <v>0</v>
      </c>
      <c r="BG3402">
        <v>0</v>
      </c>
      <c r="BH3402">
        <v>1350</v>
      </c>
      <c r="BI3402">
        <v>1</v>
      </c>
      <c r="BJ3402">
        <v>1</v>
      </c>
      <c r="BK3402">
        <v>1</v>
      </c>
      <c r="BL3402">
        <v>0</v>
      </c>
      <c r="BO3402">
        <v>0</v>
      </c>
      <c r="BP3402">
        <v>0</v>
      </c>
      <c r="BW3402" t="str">
        <f>"20:32:58.318"</f>
        <v>20:32:58.318</v>
      </c>
      <c r="BZ3402">
        <v>0</v>
      </c>
      <c r="CA3402">
        <v>1600</v>
      </c>
      <c r="CB3402">
        <v>224</v>
      </c>
      <c r="CD3402">
        <v>1</v>
      </c>
      <c r="CE3402">
        <v>0</v>
      </c>
      <c r="CF3402">
        <v>0</v>
      </c>
      <c r="CG3402">
        <v>1</v>
      </c>
      <c r="CH3402">
        <v>0</v>
      </c>
      <c r="CI3402">
        <v>0</v>
      </c>
      <c r="CJ3402">
        <v>0</v>
      </c>
      <c r="CK3402">
        <v>2</v>
      </c>
      <c r="CL3402">
        <v>0</v>
      </c>
      <c r="CM3402">
        <v>2</v>
      </c>
      <c r="CN3402">
        <v>0</v>
      </c>
      <c r="CO3402">
        <v>6</v>
      </c>
      <c r="CP3402" t="s">
        <v>119</v>
      </c>
      <c r="CQ3402">
        <v>180</v>
      </c>
      <c r="CR3402">
        <v>2</v>
      </c>
      <c r="CW3402">
        <v>8806772</v>
      </c>
      <c r="CY3402">
        <v>1</v>
      </c>
      <c r="CZ3402">
        <v>0</v>
      </c>
      <c r="DA3402">
        <v>1</v>
      </c>
      <c r="DB3402">
        <v>0</v>
      </c>
      <c r="DC3402">
        <v>0</v>
      </c>
      <c r="DD3402">
        <v>0</v>
      </c>
      <c r="DE3402">
        <v>0</v>
      </c>
      <c r="DF3402">
        <v>0</v>
      </c>
      <c r="DG3402">
        <v>0</v>
      </c>
      <c r="DH3402">
        <v>0</v>
      </c>
      <c r="DI3402">
        <v>0</v>
      </c>
    </row>
    <row r="3403" spans="1:113" x14ac:dyDescent="0.3">
      <c r="A3403" t="str">
        <f>"02/08/2021 20:32:56.896"</f>
        <v>02/08/2021 20:32:56.896</v>
      </c>
      <c r="C3403" t="str">
        <f t="shared" si="167"/>
        <v>FFDFD7C0</v>
      </c>
      <c r="D3403" t="s">
        <v>124</v>
      </c>
      <c r="E3403">
        <v>12</v>
      </c>
      <c r="F3403">
        <v>1012</v>
      </c>
      <c r="G3403" t="s">
        <v>675</v>
      </c>
      <c r="J3403" t="s">
        <v>125</v>
      </c>
      <c r="K3403">
        <v>0</v>
      </c>
      <c r="L3403">
        <v>3</v>
      </c>
      <c r="M3403">
        <v>0</v>
      </c>
      <c r="N3403">
        <v>2</v>
      </c>
      <c r="O3403">
        <v>1</v>
      </c>
      <c r="P3403">
        <v>0</v>
      </c>
      <c r="Q3403">
        <v>0</v>
      </c>
      <c r="S3403" t="str">
        <f>"20:32:59.242"</f>
        <v>20:32:59.242</v>
      </c>
      <c r="T3403" t="str">
        <f>"20:32:58.842"</f>
        <v>20:32:58.842</v>
      </c>
      <c r="U3403" t="str">
        <f t="shared" si="168"/>
        <v>AB01F4</v>
      </c>
      <c r="V3403">
        <v>0</v>
      </c>
      <c r="W3403">
        <v>0</v>
      </c>
      <c r="X3403">
        <v>2</v>
      </c>
      <c r="Z3403">
        <v>0</v>
      </c>
      <c r="AA3403">
        <v>9</v>
      </c>
      <c r="AB3403">
        <v>3</v>
      </c>
      <c r="AC3403">
        <v>0</v>
      </c>
      <c r="AD3403">
        <v>10</v>
      </c>
      <c r="AE3403">
        <v>0</v>
      </c>
      <c r="AF3403">
        <v>3</v>
      </c>
      <c r="AG3403">
        <v>2</v>
      </c>
      <c r="AH3403">
        <v>0</v>
      </c>
      <c r="AI3403" t="s">
        <v>1951</v>
      </c>
      <c r="AJ3403">
        <v>40.079841999999999</v>
      </c>
      <c r="AK3403" t="s">
        <v>1952</v>
      </c>
      <c r="AL3403">
        <v>-92.953198</v>
      </c>
      <c r="AM3403">
        <v>100</v>
      </c>
      <c r="AN3403">
        <v>1300</v>
      </c>
      <c r="AO3403" t="s">
        <v>118</v>
      </c>
      <c r="AP3403">
        <v>-112</v>
      </c>
      <c r="AQ3403">
        <v>67</v>
      </c>
      <c r="AR3403">
        <v>0</v>
      </c>
      <c r="AZ3403">
        <v>1200</v>
      </c>
      <c r="BA3403">
        <v>1</v>
      </c>
      <c r="BB3403" t="str">
        <f t="shared" si="166"/>
        <v xml:space="preserve">N8080G  </v>
      </c>
      <c r="BC3403">
        <v>1</v>
      </c>
      <c r="BE3403">
        <v>0</v>
      </c>
      <c r="BF3403">
        <v>0</v>
      </c>
      <c r="BG3403">
        <v>0</v>
      </c>
      <c r="BH3403">
        <v>1350</v>
      </c>
      <c r="BI3403">
        <v>1</v>
      </c>
      <c r="BJ3403">
        <v>1</v>
      </c>
      <c r="BK3403">
        <v>1</v>
      </c>
      <c r="BL3403">
        <v>0</v>
      </c>
      <c r="BO3403">
        <v>0</v>
      </c>
      <c r="BP3403">
        <v>0</v>
      </c>
      <c r="BW3403" t="str">
        <f>"20:32:59.248"</f>
        <v>20:32:59.248</v>
      </c>
      <c r="BZ3403">
        <v>0</v>
      </c>
      <c r="CA3403">
        <v>1600</v>
      </c>
      <c r="CB3403">
        <v>224</v>
      </c>
      <c r="CD3403">
        <v>1</v>
      </c>
      <c r="CE3403">
        <v>0</v>
      </c>
      <c r="CF3403">
        <v>0</v>
      </c>
      <c r="CG3403">
        <v>1</v>
      </c>
      <c r="CH3403">
        <v>0</v>
      </c>
      <c r="CI3403">
        <v>0</v>
      </c>
      <c r="CJ3403">
        <v>0</v>
      </c>
      <c r="CK3403">
        <v>2</v>
      </c>
      <c r="CL3403">
        <v>0</v>
      </c>
      <c r="CM3403">
        <v>2</v>
      </c>
      <c r="CN3403">
        <v>0</v>
      </c>
      <c r="CO3403">
        <v>6</v>
      </c>
      <c r="CP3403" t="s">
        <v>119</v>
      </c>
      <c r="CQ3403">
        <v>180</v>
      </c>
      <c r="CR3403">
        <v>2</v>
      </c>
      <c r="CW3403">
        <v>8807484</v>
      </c>
      <c r="CY3403">
        <v>1</v>
      </c>
      <c r="CZ3403">
        <v>0</v>
      </c>
      <c r="DA3403">
        <v>0</v>
      </c>
      <c r="DB3403">
        <v>0</v>
      </c>
      <c r="DC3403">
        <v>0</v>
      </c>
      <c r="DD3403">
        <v>0</v>
      </c>
      <c r="DE3403">
        <v>0</v>
      </c>
      <c r="DF3403">
        <v>0</v>
      </c>
      <c r="DG3403">
        <v>0</v>
      </c>
      <c r="DH3403">
        <v>0</v>
      </c>
      <c r="DI3403">
        <v>0</v>
      </c>
    </row>
    <row r="3404" spans="1:113" x14ac:dyDescent="0.3">
      <c r="A3404" t="str">
        <f>"02/08/2021 20:32:56.896"</f>
        <v>02/08/2021 20:32:56.896</v>
      </c>
      <c r="C3404" t="str">
        <f t="shared" si="167"/>
        <v>FFDFD7C0</v>
      </c>
      <c r="D3404" t="s">
        <v>124</v>
      </c>
      <c r="E3404">
        <v>11</v>
      </c>
      <c r="F3404">
        <v>1011</v>
      </c>
      <c r="G3404" t="s">
        <v>590</v>
      </c>
      <c r="J3404" t="s">
        <v>125</v>
      </c>
      <c r="K3404">
        <v>0</v>
      </c>
      <c r="L3404">
        <v>3</v>
      </c>
      <c r="M3404">
        <v>0</v>
      </c>
      <c r="N3404">
        <v>2</v>
      </c>
      <c r="O3404">
        <v>1</v>
      </c>
      <c r="P3404">
        <v>0</v>
      </c>
      <c r="Q3404">
        <v>0</v>
      </c>
      <c r="S3404" t="str">
        <f>"20:32:59.242"</f>
        <v>20:32:59.242</v>
      </c>
      <c r="T3404" t="str">
        <f>"20:32:58.842"</f>
        <v>20:32:58.842</v>
      </c>
      <c r="U3404" t="str">
        <f t="shared" si="168"/>
        <v>AB01F4</v>
      </c>
      <c r="V3404">
        <v>0</v>
      </c>
      <c r="W3404">
        <v>0</v>
      </c>
      <c r="X3404">
        <v>2</v>
      </c>
      <c r="Z3404">
        <v>0</v>
      </c>
      <c r="AA3404">
        <v>9</v>
      </c>
      <c r="AB3404">
        <v>3</v>
      </c>
      <c r="AC3404">
        <v>0</v>
      </c>
      <c r="AD3404">
        <v>10</v>
      </c>
      <c r="AE3404">
        <v>0</v>
      </c>
      <c r="AF3404">
        <v>3</v>
      </c>
      <c r="AG3404">
        <v>2</v>
      </c>
      <c r="AH3404">
        <v>0</v>
      </c>
      <c r="AI3404" t="s">
        <v>1951</v>
      </c>
      <c r="AJ3404">
        <v>40.079841999999999</v>
      </c>
      <c r="AK3404" t="s">
        <v>1952</v>
      </c>
      <c r="AL3404">
        <v>-92.953198</v>
      </c>
      <c r="AM3404">
        <v>100</v>
      </c>
      <c r="AN3404">
        <v>1300</v>
      </c>
      <c r="AO3404" t="s">
        <v>118</v>
      </c>
      <c r="AP3404">
        <v>-112</v>
      </c>
      <c r="AQ3404">
        <v>67</v>
      </c>
      <c r="AR3404">
        <v>0</v>
      </c>
      <c r="AZ3404">
        <v>1200</v>
      </c>
      <c r="BA3404">
        <v>1</v>
      </c>
      <c r="BB3404" t="str">
        <f t="shared" si="166"/>
        <v xml:space="preserve">N8080G  </v>
      </c>
      <c r="BC3404">
        <v>1</v>
      </c>
      <c r="BE3404">
        <v>0</v>
      </c>
      <c r="BF3404">
        <v>0</v>
      </c>
      <c r="BG3404">
        <v>0</v>
      </c>
      <c r="BH3404">
        <v>1350</v>
      </c>
      <c r="BI3404">
        <v>1</v>
      </c>
      <c r="BJ3404">
        <v>1</v>
      </c>
      <c r="BK3404">
        <v>1</v>
      </c>
      <c r="BL3404">
        <v>0</v>
      </c>
      <c r="BO3404">
        <v>0</v>
      </c>
      <c r="BP3404">
        <v>0</v>
      </c>
      <c r="BW3404" t="str">
        <f>"20:32:59.248"</f>
        <v>20:32:59.248</v>
      </c>
      <c r="BZ3404">
        <v>0</v>
      </c>
      <c r="CA3404">
        <v>1600</v>
      </c>
      <c r="CB3404">
        <v>224</v>
      </c>
      <c r="CD3404">
        <v>1</v>
      </c>
      <c r="CE3404">
        <v>0</v>
      </c>
      <c r="CF3404">
        <v>0</v>
      </c>
      <c r="CG3404">
        <v>1</v>
      </c>
      <c r="CH3404">
        <v>0</v>
      </c>
      <c r="CI3404">
        <v>0</v>
      </c>
      <c r="CJ3404">
        <v>0</v>
      </c>
      <c r="CK3404">
        <v>2</v>
      </c>
      <c r="CL3404">
        <v>0</v>
      </c>
      <c r="CM3404">
        <v>2</v>
      </c>
      <c r="CN3404">
        <v>0</v>
      </c>
      <c r="CO3404">
        <v>6</v>
      </c>
      <c r="CP3404" t="s">
        <v>119</v>
      </c>
      <c r="CQ3404">
        <v>180</v>
      </c>
      <c r="CR3404">
        <v>2</v>
      </c>
      <c r="CW3404">
        <v>8807484</v>
      </c>
      <c r="CY3404">
        <v>1</v>
      </c>
      <c r="CZ3404">
        <v>0</v>
      </c>
      <c r="DA3404">
        <v>1</v>
      </c>
      <c r="DB3404">
        <v>0</v>
      </c>
      <c r="DC3404">
        <v>0</v>
      </c>
      <c r="DD3404">
        <v>0</v>
      </c>
      <c r="DE3404">
        <v>0</v>
      </c>
      <c r="DF3404">
        <v>0</v>
      </c>
      <c r="DG3404">
        <v>0</v>
      </c>
      <c r="DH3404">
        <v>0</v>
      </c>
      <c r="DI3404">
        <v>0</v>
      </c>
    </row>
    <row r="3405" spans="1:113" x14ac:dyDescent="0.3">
      <c r="A3405" t="str">
        <f>"02/08/2021 20:32:56.896"</f>
        <v>02/08/2021 20:32:56.896</v>
      </c>
      <c r="C3405" t="str">
        <f t="shared" si="167"/>
        <v>FFDFD7C0</v>
      </c>
      <c r="D3405" t="s">
        <v>113</v>
      </c>
      <c r="E3405">
        <v>6</v>
      </c>
      <c r="H3405">
        <v>165</v>
      </c>
      <c r="I3405" t="s">
        <v>114</v>
      </c>
      <c r="J3405" t="s">
        <v>115</v>
      </c>
      <c r="K3405">
        <v>0</v>
      </c>
      <c r="L3405">
        <v>3</v>
      </c>
      <c r="M3405">
        <v>0</v>
      </c>
      <c r="N3405">
        <v>2</v>
      </c>
      <c r="O3405">
        <v>1</v>
      </c>
      <c r="P3405">
        <v>0</v>
      </c>
      <c r="Q3405">
        <v>0</v>
      </c>
      <c r="S3405" t="str">
        <f>"20:32:59.242"</f>
        <v>20:32:59.242</v>
      </c>
      <c r="T3405" t="str">
        <f>"20:32:58.842"</f>
        <v>20:32:58.842</v>
      </c>
      <c r="U3405" t="str">
        <f t="shared" si="168"/>
        <v>AB01F4</v>
      </c>
      <c r="V3405">
        <v>0</v>
      </c>
      <c r="W3405">
        <v>0</v>
      </c>
      <c r="X3405">
        <v>2</v>
      </c>
      <c r="Z3405">
        <v>0</v>
      </c>
      <c r="AA3405">
        <v>9</v>
      </c>
      <c r="AB3405">
        <v>3</v>
      </c>
      <c r="AC3405">
        <v>0</v>
      </c>
      <c r="AD3405">
        <v>10</v>
      </c>
      <c r="AE3405">
        <v>0</v>
      </c>
      <c r="AF3405">
        <v>3</v>
      </c>
      <c r="AG3405">
        <v>2</v>
      </c>
      <c r="AH3405">
        <v>0</v>
      </c>
      <c r="AI3405" t="s">
        <v>1951</v>
      </c>
      <c r="AJ3405">
        <v>40.079841999999999</v>
      </c>
      <c r="AK3405" t="s">
        <v>1952</v>
      </c>
      <c r="AL3405">
        <v>-92.953198</v>
      </c>
      <c r="AM3405">
        <v>100</v>
      </c>
      <c r="AN3405">
        <v>1300</v>
      </c>
      <c r="AO3405" t="s">
        <v>118</v>
      </c>
      <c r="AP3405">
        <v>-112</v>
      </c>
      <c r="AQ3405">
        <v>67</v>
      </c>
      <c r="AR3405">
        <v>0</v>
      </c>
      <c r="AZ3405">
        <v>1200</v>
      </c>
      <c r="BA3405">
        <v>1</v>
      </c>
      <c r="BB3405" t="str">
        <f t="shared" si="166"/>
        <v xml:space="preserve">N8080G  </v>
      </c>
      <c r="BC3405">
        <v>1</v>
      </c>
      <c r="BE3405">
        <v>0</v>
      </c>
      <c r="BF3405">
        <v>0</v>
      </c>
      <c r="BG3405">
        <v>0</v>
      </c>
      <c r="BH3405">
        <v>1350</v>
      </c>
      <c r="BI3405">
        <v>1</v>
      </c>
      <c r="BJ3405">
        <v>1</v>
      </c>
      <c r="BK3405">
        <v>1</v>
      </c>
      <c r="BL3405">
        <v>0</v>
      </c>
      <c r="BO3405">
        <v>0</v>
      </c>
      <c r="BP3405">
        <v>0</v>
      </c>
      <c r="BW3405" t="str">
        <f>"20:32:59.248"</f>
        <v>20:32:59.248</v>
      </c>
      <c r="BZ3405">
        <v>0</v>
      </c>
      <c r="CA3405">
        <v>1600</v>
      </c>
      <c r="CB3405">
        <v>224</v>
      </c>
      <c r="CD3405">
        <v>1</v>
      </c>
      <c r="CE3405">
        <v>0</v>
      </c>
      <c r="CF3405">
        <v>0</v>
      </c>
      <c r="CG3405">
        <v>1</v>
      </c>
      <c r="CH3405">
        <v>0</v>
      </c>
      <c r="CI3405">
        <v>0</v>
      </c>
      <c r="CJ3405">
        <v>0</v>
      </c>
      <c r="CK3405">
        <v>2</v>
      </c>
      <c r="CL3405">
        <v>0</v>
      </c>
      <c r="CM3405">
        <v>2</v>
      </c>
      <c r="CN3405">
        <v>0</v>
      </c>
      <c r="CO3405">
        <v>6</v>
      </c>
      <c r="CP3405" t="s">
        <v>119</v>
      </c>
      <c r="CQ3405">
        <v>180</v>
      </c>
      <c r="CR3405">
        <v>2</v>
      </c>
      <c r="CW3405">
        <v>8807484</v>
      </c>
      <c r="CY3405">
        <v>1</v>
      </c>
      <c r="CZ3405">
        <v>0</v>
      </c>
      <c r="DA3405">
        <v>1</v>
      </c>
      <c r="DB3405">
        <v>0</v>
      </c>
      <c r="DC3405">
        <v>0</v>
      </c>
      <c r="DD3405">
        <v>0</v>
      </c>
      <c r="DE3405">
        <v>0</v>
      </c>
      <c r="DF3405">
        <v>0</v>
      </c>
      <c r="DG3405">
        <v>0</v>
      </c>
      <c r="DH3405">
        <v>0</v>
      </c>
      <c r="DI3405">
        <v>0</v>
      </c>
    </row>
    <row r="3406" spans="1:113" x14ac:dyDescent="0.3">
      <c r="A3406" t="str">
        <f>"02/08/2021 20:32:56.896"</f>
        <v>02/08/2021 20:32:56.896</v>
      </c>
      <c r="C3406" t="str">
        <f t="shared" si="167"/>
        <v>FFDFD7C0</v>
      </c>
      <c r="D3406" t="s">
        <v>124</v>
      </c>
      <c r="E3406">
        <v>13</v>
      </c>
      <c r="F3406">
        <v>1013</v>
      </c>
      <c r="G3406" t="s">
        <v>114</v>
      </c>
      <c r="J3406" t="s">
        <v>125</v>
      </c>
      <c r="K3406">
        <v>0</v>
      </c>
      <c r="L3406">
        <v>3</v>
      </c>
      <c r="M3406">
        <v>0</v>
      </c>
      <c r="N3406">
        <v>2</v>
      </c>
      <c r="O3406">
        <v>1</v>
      </c>
      <c r="P3406">
        <v>0</v>
      </c>
      <c r="Q3406">
        <v>0</v>
      </c>
      <c r="S3406" t="str">
        <f>"20:32:59.242"</f>
        <v>20:32:59.242</v>
      </c>
      <c r="T3406" t="str">
        <f>"20:32:58.842"</f>
        <v>20:32:58.842</v>
      </c>
      <c r="U3406" t="str">
        <f t="shared" si="168"/>
        <v>AB01F4</v>
      </c>
      <c r="V3406">
        <v>0</v>
      </c>
      <c r="W3406">
        <v>0</v>
      </c>
      <c r="X3406">
        <v>2</v>
      </c>
      <c r="Z3406">
        <v>0</v>
      </c>
      <c r="AA3406">
        <v>9</v>
      </c>
      <c r="AB3406">
        <v>3</v>
      </c>
      <c r="AC3406">
        <v>0</v>
      </c>
      <c r="AD3406">
        <v>10</v>
      </c>
      <c r="AE3406">
        <v>0</v>
      </c>
      <c r="AF3406">
        <v>3</v>
      </c>
      <c r="AG3406">
        <v>2</v>
      </c>
      <c r="AH3406">
        <v>0</v>
      </c>
      <c r="AI3406" t="s">
        <v>1951</v>
      </c>
      <c r="AJ3406">
        <v>40.079841999999999</v>
      </c>
      <c r="AK3406" t="s">
        <v>1952</v>
      </c>
      <c r="AL3406">
        <v>-92.953198</v>
      </c>
      <c r="AM3406">
        <v>100</v>
      </c>
      <c r="AN3406">
        <v>1300</v>
      </c>
      <c r="AO3406" t="s">
        <v>118</v>
      </c>
      <c r="AP3406">
        <v>-112</v>
      </c>
      <c r="AQ3406">
        <v>67</v>
      </c>
      <c r="AR3406">
        <v>0</v>
      </c>
      <c r="AZ3406">
        <v>1200</v>
      </c>
      <c r="BA3406">
        <v>1</v>
      </c>
      <c r="BB3406" t="str">
        <f t="shared" si="166"/>
        <v xml:space="preserve">N8080G  </v>
      </c>
      <c r="BC3406">
        <v>1</v>
      </c>
      <c r="BE3406">
        <v>0</v>
      </c>
      <c r="BF3406">
        <v>0</v>
      </c>
      <c r="BG3406">
        <v>0</v>
      </c>
      <c r="BH3406">
        <v>1350</v>
      </c>
      <c r="BI3406">
        <v>1</v>
      </c>
      <c r="BJ3406">
        <v>1</v>
      </c>
      <c r="BK3406">
        <v>1</v>
      </c>
      <c r="BL3406">
        <v>0</v>
      </c>
      <c r="BO3406">
        <v>0</v>
      </c>
      <c r="BP3406">
        <v>0</v>
      </c>
      <c r="BW3406" t="str">
        <f>"20:32:59.248"</f>
        <v>20:32:59.248</v>
      </c>
      <c r="BZ3406">
        <v>0</v>
      </c>
      <c r="CA3406">
        <v>1600</v>
      </c>
      <c r="CB3406">
        <v>224</v>
      </c>
      <c r="CD3406">
        <v>1</v>
      </c>
      <c r="CE3406">
        <v>0</v>
      </c>
      <c r="CF3406">
        <v>0</v>
      </c>
      <c r="CG3406">
        <v>1</v>
      </c>
      <c r="CH3406">
        <v>0</v>
      </c>
      <c r="CI3406">
        <v>0</v>
      </c>
      <c r="CJ3406">
        <v>0</v>
      </c>
      <c r="CK3406">
        <v>2</v>
      </c>
      <c r="CL3406">
        <v>0</v>
      </c>
      <c r="CM3406">
        <v>2</v>
      </c>
      <c r="CN3406">
        <v>0</v>
      </c>
      <c r="CO3406">
        <v>6</v>
      </c>
      <c r="CP3406" t="s">
        <v>119</v>
      </c>
      <c r="CQ3406">
        <v>180</v>
      </c>
      <c r="CR3406">
        <v>2</v>
      </c>
      <c r="CW3406">
        <v>8807484</v>
      </c>
      <c r="CY3406">
        <v>1</v>
      </c>
      <c r="CZ3406">
        <v>0</v>
      </c>
      <c r="DA3406">
        <v>1</v>
      </c>
      <c r="DB3406">
        <v>0</v>
      </c>
      <c r="DC3406">
        <v>0</v>
      </c>
      <c r="DD3406">
        <v>0</v>
      </c>
      <c r="DE3406">
        <v>0</v>
      </c>
      <c r="DF3406">
        <v>0</v>
      </c>
      <c r="DG3406">
        <v>0</v>
      </c>
      <c r="DH3406">
        <v>0</v>
      </c>
      <c r="DI3406">
        <v>0</v>
      </c>
    </row>
    <row r="3407" spans="1:113" x14ac:dyDescent="0.3">
      <c r="A3407" t="str">
        <f>"02/08/2021 20:33:00.039"</f>
        <v>02/08/2021 20:33:00.039</v>
      </c>
      <c r="C3407" t="str">
        <f t="shared" si="167"/>
        <v>FFDFD7C0</v>
      </c>
      <c r="D3407" t="s">
        <v>113</v>
      </c>
      <c r="E3407">
        <v>6</v>
      </c>
      <c r="H3407">
        <v>165</v>
      </c>
      <c r="I3407" t="s">
        <v>114</v>
      </c>
      <c r="J3407" t="s">
        <v>115</v>
      </c>
      <c r="K3407">
        <v>0</v>
      </c>
      <c r="L3407">
        <v>3</v>
      </c>
      <c r="M3407">
        <v>0</v>
      </c>
      <c r="N3407">
        <v>2</v>
      </c>
      <c r="O3407">
        <v>1</v>
      </c>
      <c r="P3407">
        <v>0</v>
      </c>
      <c r="Q3407">
        <v>0</v>
      </c>
      <c r="S3407" t="str">
        <f>"20:33:02.375"</f>
        <v>20:33:02.375</v>
      </c>
      <c r="T3407" t="str">
        <f>"20:33:01.975"</f>
        <v>20:33:01.975</v>
      </c>
      <c r="U3407" t="str">
        <f t="shared" si="168"/>
        <v>AB01F4</v>
      </c>
      <c r="V3407">
        <v>0</v>
      </c>
      <c r="W3407">
        <v>0</v>
      </c>
      <c r="X3407">
        <v>2</v>
      </c>
      <c r="Z3407">
        <v>0</v>
      </c>
      <c r="AA3407">
        <v>9</v>
      </c>
      <c r="AB3407">
        <v>3</v>
      </c>
      <c r="AC3407">
        <v>0</v>
      </c>
      <c r="AD3407">
        <v>10</v>
      </c>
      <c r="AE3407">
        <v>0</v>
      </c>
      <c r="AF3407">
        <v>3</v>
      </c>
      <c r="AG3407">
        <v>2</v>
      </c>
      <c r="AH3407">
        <v>0</v>
      </c>
      <c r="AI3407" t="s">
        <v>1953</v>
      </c>
      <c r="AJ3407">
        <v>40.080786000000003</v>
      </c>
      <c r="AK3407" t="s">
        <v>1954</v>
      </c>
      <c r="AL3407">
        <v>-92.955258000000001</v>
      </c>
      <c r="AM3407">
        <v>100</v>
      </c>
      <c r="AN3407">
        <v>1300</v>
      </c>
      <c r="AO3407" t="s">
        <v>118</v>
      </c>
      <c r="AP3407">
        <v>-112</v>
      </c>
      <c r="AQ3407">
        <v>65</v>
      </c>
      <c r="AR3407">
        <v>0</v>
      </c>
      <c r="AZ3407">
        <v>1200</v>
      </c>
      <c r="BA3407">
        <v>1</v>
      </c>
      <c r="BB3407" t="str">
        <f t="shared" si="166"/>
        <v xml:space="preserve">N8080G  </v>
      </c>
      <c r="BC3407">
        <v>1</v>
      </c>
      <c r="BE3407">
        <v>0</v>
      </c>
      <c r="BF3407">
        <v>0</v>
      </c>
      <c r="BG3407">
        <v>0</v>
      </c>
      <c r="BH3407">
        <v>1350</v>
      </c>
      <c r="BI3407">
        <v>1</v>
      </c>
      <c r="BJ3407">
        <v>1</v>
      </c>
      <c r="BK3407">
        <v>1</v>
      </c>
      <c r="BL3407">
        <v>0</v>
      </c>
      <c r="BO3407">
        <v>0</v>
      </c>
      <c r="BP3407">
        <v>0</v>
      </c>
      <c r="BW3407" t="str">
        <f>"20:33:02.376"</f>
        <v>20:33:02.376</v>
      </c>
      <c r="BZ3407">
        <v>0</v>
      </c>
      <c r="CA3407">
        <v>1600</v>
      </c>
      <c r="CB3407">
        <v>224</v>
      </c>
      <c r="CD3407">
        <v>1</v>
      </c>
      <c r="CE3407">
        <v>0</v>
      </c>
      <c r="CF3407">
        <v>0</v>
      </c>
      <c r="CG3407">
        <v>1</v>
      </c>
      <c r="CH3407">
        <v>0</v>
      </c>
      <c r="CI3407">
        <v>0</v>
      </c>
      <c r="CJ3407">
        <v>0</v>
      </c>
      <c r="CK3407">
        <v>2</v>
      </c>
      <c r="CL3407">
        <v>0</v>
      </c>
      <c r="CM3407">
        <v>2</v>
      </c>
      <c r="CN3407">
        <v>0</v>
      </c>
      <c r="CO3407">
        <v>6</v>
      </c>
      <c r="CP3407" t="s">
        <v>119</v>
      </c>
      <c r="CQ3407">
        <v>180</v>
      </c>
      <c r="CR3407">
        <v>2</v>
      </c>
      <c r="CW3407">
        <v>8810215</v>
      </c>
      <c r="CY3407">
        <v>1</v>
      </c>
      <c r="CZ3407">
        <v>0</v>
      </c>
      <c r="DA3407">
        <v>0</v>
      </c>
      <c r="DB3407">
        <v>0</v>
      </c>
      <c r="DC3407">
        <v>0</v>
      </c>
      <c r="DD3407">
        <v>0</v>
      </c>
      <c r="DE3407">
        <v>0</v>
      </c>
      <c r="DF3407">
        <v>0</v>
      </c>
      <c r="DG3407">
        <v>0</v>
      </c>
      <c r="DH3407">
        <v>0</v>
      </c>
      <c r="DI3407">
        <v>0</v>
      </c>
    </row>
    <row r="3408" spans="1:113" x14ac:dyDescent="0.3">
      <c r="A3408" t="str">
        <f>"02/08/2021 20:33:00.039"</f>
        <v>02/08/2021 20:33:00.039</v>
      </c>
      <c r="C3408" t="str">
        <f t="shared" si="167"/>
        <v>FFDFD7C0</v>
      </c>
      <c r="D3408" t="s">
        <v>124</v>
      </c>
      <c r="E3408">
        <v>13</v>
      </c>
      <c r="F3408">
        <v>1013</v>
      </c>
      <c r="G3408" t="s">
        <v>114</v>
      </c>
      <c r="J3408" t="s">
        <v>125</v>
      </c>
      <c r="K3408">
        <v>0</v>
      </c>
      <c r="L3408">
        <v>3</v>
      </c>
      <c r="M3408">
        <v>0</v>
      </c>
      <c r="N3408">
        <v>2</v>
      </c>
      <c r="O3408">
        <v>1</v>
      </c>
      <c r="P3408">
        <v>0</v>
      </c>
      <c r="Q3408">
        <v>0</v>
      </c>
      <c r="S3408" t="str">
        <f>"20:33:02.375"</f>
        <v>20:33:02.375</v>
      </c>
      <c r="T3408" t="str">
        <f>"20:33:01.975"</f>
        <v>20:33:01.975</v>
      </c>
      <c r="U3408" t="str">
        <f t="shared" si="168"/>
        <v>AB01F4</v>
      </c>
      <c r="V3408">
        <v>0</v>
      </c>
      <c r="W3408">
        <v>0</v>
      </c>
      <c r="X3408">
        <v>2</v>
      </c>
      <c r="Z3408">
        <v>0</v>
      </c>
      <c r="AA3408">
        <v>9</v>
      </c>
      <c r="AB3408">
        <v>3</v>
      </c>
      <c r="AC3408">
        <v>0</v>
      </c>
      <c r="AD3408">
        <v>10</v>
      </c>
      <c r="AE3408">
        <v>0</v>
      </c>
      <c r="AF3408">
        <v>3</v>
      </c>
      <c r="AG3408">
        <v>2</v>
      </c>
      <c r="AH3408">
        <v>0</v>
      </c>
      <c r="AI3408" t="s">
        <v>1953</v>
      </c>
      <c r="AJ3408">
        <v>40.080786000000003</v>
      </c>
      <c r="AK3408" t="s">
        <v>1954</v>
      </c>
      <c r="AL3408">
        <v>-92.955258000000001</v>
      </c>
      <c r="AM3408">
        <v>100</v>
      </c>
      <c r="AN3408">
        <v>1300</v>
      </c>
      <c r="AO3408" t="s">
        <v>118</v>
      </c>
      <c r="AP3408">
        <v>-112</v>
      </c>
      <c r="AQ3408">
        <v>65</v>
      </c>
      <c r="AR3408">
        <v>0</v>
      </c>
      <c r="AZ3408">
        <v>1200</v>
      </c>
      <c r="BA3408">
        <v>1</v>
      </c>
      <c r="BB3408" t="str">
        <f t="shared" si="166"/>
        <v xml:space="preserve">N8080G  </v>
      </c>
      <c r="BC3408">
        <v>1</v>
      </c>
      <c r="BE3408">
        <v>0</v>
      </c>
      <c r="BF3408">
        <v>0</v>
      </c>
      <c r="BG3408">
        <v>0</v>
      </c>
      <c r="BH3408">
        <v>1350</v>
      </c>
      <c r="BI3408">
        <v>1</v>
      </c>
      <c r="BJ3408">
        <v>1</v>
      </c>
      <c r="BK3408">
        <v>1</v>
      </c>
      <c r="BL3408">
        <v>0</v>
      </c>
      <c r="BO3408">
        <v>0</v>
      </c>
      <c r="BP3408">
        <v>0</v>
      </c>
      <c r="BW3408" t="str">
        <f>"20:33:02.376"</f>
        <v>20:33:02.376</v>
      </c>
      <c r="BZ3408">
        <v>0</v>
      </c>
      <c r="CA3408">
        <v>1600</v>
      </c>
      <c r="CB3408">
        <v>224</v>
      </c>
      <c r="CD3408">
        <v>1</v>
      </c>
      <c r="CE3408">
        <v>0</v>
      </c>
      <c r="CF3408">
        <v>0</v>
      </c>
      <c r="CG3408">
        <v>1</v>
      </c>
      <c r="CH3408">
        <v>0</v>
      </c>
      <c r="CI3408">
        <v>0</v>
      </c>
      <c r="CJ3408">
        <v>0</v>
      </c>
      <c r="CK3408">
        <v>2</v>
      </c>
      <c r="CL3408">
        <v>0</v>
      </c>
      <c r="CM3408">
        <v>2</v>
      </c>
      <c r="CN3408">
        <v>0</v>
      </c>
      <c r="CO3408">
        <v>6</v>
      </c>
      <c r="CP3408" t="s">
        <v>119</v>
      </c>
      <c r="CQ3408">
        <v>180</v>
      </c>
      <c r="CR3408">
        <v>2</v>
      </c>
      <c r="CW3408">
        <v>8810215</v>
      </c>
      <c r="CY3408">
        <v>1</v>
      </c>
      <c r="CZ3408">
        <v>0</v>
      </c>
      <c r="DA3408">
        <v>1</v>
      </c>
      <c r="DB3408">
        <v>0</v>
      </c>
      <c r="DC3408">
        <v>0</v>
      </c>
      <c r="DD3408">
        <v>0</v>
      </c>
      <c r="DE3408">
        <v>0</v>
      </c>
      <c r="DF3408">
        <v>0</v>
      </c>
      <c r="DG3408">
        <v>0</v>
      </c>
      <c r="DH3408">
        <v>0</v>
      </c>
      <c r="DI3408">
        <v>0</v>
      </c>
    </row>
    <row r="3409" spans="1:113" x14ac:dyDescent="0.3">
      <c r="A3409" t="str">
        <f>"02/08/2021 20:33:00.039"</f>
        <v>02/08/2021 20:33:00.039</v>
      </c>
      <c r="C3409" t="str">
        <f t="shared" si="167"/>
        <v>FFDFD7C0</v>
      </c>
      <c r="D3409" t="s">
        <v>124</v>
      </c>
      <c r="E3409">
        <v>12</v>
      </c>
      <c r="F3409">
        <v>1012</v>
      </c>
      <c r="G3409" t="s">
        <v>675</v>
      </c>
      <c r="J3409" t="s">
        <v>125</v>
      </c>
      <c r="K3409">
        <v>0</v>
      </c>
      <c r="L3409">
        <v>3</v>
      </c>
      <c r="M3409">
        <v>0</v>
      </c>
      <c r="N3409">
        <v>2</v>
      </c>
      <c r="O3409">
        <v>1</v>
      </c>
      <c r="P3409">
        <v>0</v>
      </c>
      <c r="Q3409">
        <v>0</v>
      </c>
      <c r="S3409" t="str">
        <f>"20:33:02.375"</f>
        <v>20:33:02.375</v>
      </c>
      <c r="T3409" t="str">
        <f>"20:33:01.975"</f>
        <v>20:33:01.975</v>
      </c>
      <c r="U3409" t="str">
        <f t="shared" si="168"/>
        <v>AB01F4</v>
      </c>
      <c r="V3409">
        <v>0</v>
      </c>
      <c r="W3409">
        <v>0</v>
      </c>
      <c r="X3409">
        <v>2</v>
      </c>
      <c r="Z3409">
        <v>0</v>
      </c>
      <c r="AA3409">
        <v>9</v>
      </c>
      <c r="AB3409">
        <v>3</v>
      </c>
      <c r="AC3409">
        <v>0</v>
      </c>
      <c r="AD3409">
        <v>10</v>
      </c>
      <c r="AE3409">
        <v>0</v>
      </c>
      <c r="AF3409">
        <v>3</v>
      </c>
      <c r="AG3409">
        <v>2</v>
      </c>
      <c r="AH3409">
        <v>0</v>
      </c>
      <c r="AI3409" t="s">
        <v>1953</v>
      </c>
      <c r="AJ3409">
        <v>40.080786000000003</v>
      </c>
      <c r="AK3409" t="s">
        <v>1954</v>
      </c>
      <c r="AL3409">
        <v>-92.955258000000001</v>
      </c>
      <c r="AM3409">
        <v>100</v>
      </c>
      <c r="AN3409">
        <v>1300</v>
      </c>
      <c r="AO3409" t="s">
        <v>118</v>
      </c>
      <c r="AP3409">
        <v>-112</v>
      </c>
      <c r="AQ3409">
        <v>65</v>
      </c>
      <c r="AR3409">
        <v>0</v>
      </c>
      <c r="AZ3409">
        <v>1200</v>
      </c>
      <c r="BA3409">
        <v>1</v>
      </c>
      <c r="BB3409" t="str">
        <f t="shared" si="166"/>
        <v xml:space="preserve">N8080G  </v>
      </c>
      <c r="BC3409">
        <v>1</v>
      </c>
      <c r="BE3409">
        <v>0</v>
      </c>
      <c r="BF3409">
        <v>0</v>
      </c>
      <c r="BG3409">
        <v>0</v>
      </c>
      <c r="BH3409">
        <v>1350</v>
      </c>
      <c r="BI3409">
        <v>1</v>
      </c>
      <c r="BJ3409">
        <v>1</v>
      </c>
      <c r="BK3409">
        <v>1</v>
      </c>
      <c r="BL3409">
        <v>0</v>
      </c>
      <c r="BO3409">
        <v>0</v>
      </c>
      <c r="BP3409">
        <v>0</v>
      </c>
      <c r="BW3409" t="str">
        <f>"20:33:02.376"</f>
        <v>20:33:02.376</v>
      </c>
      <c r="BZ3409">
        <v>0</v>
      </c>
      <c r="CA3409">
        <v>1600</v>
      </c>
      <c r="CB3409">
        <v>224</v>
      </c>
      <c r="CD3409">
        <v>1</v>
      </c>
      <c r="CE3409">
        <v>0</v>
      </c>
      <c r="CF3409">
        <v>0</v>
      </c>
      <c r="CG3409">
        <v>1</v>
      </c>
      <c r="CH3409">
        <v>0</v>
      </c>
      <c r="CI3409">
        <v>0</v>
      </c>
      <c r="CJ3409">
        <v>0</v>
      </c>
      <c r="CK3409">
        <v>2</v>
      </c>
      <c r="CL3409">
        <v>0</v>
      </c>
      <c r="CM3409">
        <v>2</v>
      </c>
      <c r="CN3409">
        <v>0</v>
      </c>
      <c r="CO3409">
        <v>6</v>
      </c>
      <c r="CP3409" t="s">
        <v>119</v>
      </c>
      <c r="CQ3409">
        <v>180</v>
      </c>
      <c r="CR3409">
        <v>2</v>
      </c>
      <c r="CW3409">
        <v>8810215</v>
      </c>
      <c r="CY3409">
        <v>1</v>
      </c>
      <c r="CZ3409">
        <v>0</v>
      </c>
      <c r="DA3409">
        <v>1</v>
      </c>
      <c r="DB3409">
        <v>0</v>
      </c>
      <c r="DC3409">
        <v>0</v>
      </c>
      <c r="DD3409">
        <v>0</v>
      </c>
      <c r="DE3409">
        <v>0</v>
      </c>
      <c r="DF3409">
        <v>0</v>
      </c>
      <c r="DG3409">
        <v>0</v>
      </c>
      <c r="DH3409">
        <v>0</v>
      </c>
      <c r="DI3409">
        <v>0</v>
      </c>
    </row>
    <row r="3410" spans="1:113" x14ac:dyDescent="0.3">
      <c r="A3410" t="str">
        <f>"02/08/2021 20:33:00.039"</f>
        <v>02/08/2021 20:33:00.039</v>
      </c>
      <c r="C3410" t="str">
        <f t="shared" si="167"/>
        <v>FFDFD7C0</v>
      </c>
      <c r="D3410" t="s">
        <v>124</v>
      </c>
      <c r="E3410">
        <v>11</v>
      </c>
      <c r="F3410">
        <v>1011</v>
      </c>
      <c r="G3410" t="s">
        <v>590</v>
      </c>
      <c r="J3410" t="s">
        <v>125</v>
      </c>
      <c r="K3410">
        <v>0</v>
      </c>
      <c r="L3410">
        <v>3</v>
      </c>
      <c r="M3410">
        <v>0</v>
      </c>
      <c r="N3410">
        <v>2</v>
      </c>
      <c r="O3410">
        <v>1</v>
      </c>
      <c r="P3410">
        <v>0</v>
      </c>
      <c r="Q3410">
        <v>0</v>
      </c>
      <c r="S3410" t="str">
        <f>"20:33:02.375"</f>
        <v>20:33:02.375</v>
      </c>
      <c r="T3410" t="str">
        <f>"20:33:01.975"</f>
        <v>20:33:01.975</v>
      </c>
      <c r="U3410" t="str">
        <f t="shared" si="168"/>
        <v>AB01F4</v>
      </c>
      <c r="V3410">
        <v>0</v>
      </c>
      <c r="W3410">
        <v>0</v>
      </c>
      <c r="X3410">
        <v>2</v>
      </c>
      <c r="Z3410">
        <v>0</v>
      </c>
      <c r="AA3410">
        <v>9</v>
      </c>
      <c r="AB3410">
        <v>3</v>
      </c>
      <c r="AC3410">
        <v>0</v>
      </c>
      <c r="AD3410">
        <v>10</v>
      </c>
      <c r="AE3410">
        <v>0</v>
      </c>
      <c r="AF3410">
        <v>3</v>
      </c>
      <c r="AG3410">
        <v>2</v>
      </c>
      <c r="AH3410">
        <v>0</v>
      </c>
      <c r="AI3410" t="s">
        <v>1953</v>
      </c>
      <c r="AJ3410">
        <v>40.080786000000003</v>
      </c>
      <c r="AK3410" t="s">
        <v>1954</v>
      </c>
      <c r="AL3410">
        <v>-92.955258000000001</v>
      </c>
      <c r="AM3410">
        <v>100</v>
      </c>
      <c r="AN3410">
        <v>1300</v>
      </c>
      <c r="AO3410" t="s">
        <v>118</v>
      </c>
      <c r="AP3410">
        <v>-112</v>
      </c>
      <c r="AQ3410">
        <v>65</v>
      </c>
      <c r="AR3410">
        <v>0</v>
      </c>
      <c r="AZ3410">
        <v>1200</v>
      </c>
      <c r="BA3410">
        <v>1</v>
      </c>
      <c r="BB3410" t="str">
        <f t="shared" si="166"/>
        <v xml:space="preserve">N8080G  </v>
      </c>
      <c r="BC3410">
        <v>1</v>
      </c>
      <c r="BE3410">
        <v>0</v>
      </c>
      <c r="BF3410">
        <v>0</v>
      </c>
      <c r="BG3410">
        <v>0</v>
      </c>
      <c r="BH3410">
        <v>1350</v>
      </c>
      <c r="BI3410">
        <v>1</v>
      </c>
      <c r="BJ3410">
        <v>1</v>
      </c>
      <c r="BK3410">
        <v>1</v>
      </c>
      <c r="BL3410">
        <v>0</v>
      </c>
      <c r="BO3410">
        <v>0</v>
      </c>
      <c r="BP3410">
        <v>0</v>
      </c>
      <c r="BW3410" t="str">
        <f>"20:33:02.376"</f>
        <v>20:33:02.376</v>
      </c>
      <c r="BZ3410">
        <v>0</v>
      </c>
      <c r="CA3410">
        <v>1600</v>
      </c>
      <c r="CB3410">
        <v>224</v>
      </c>
      <c r="CD3410">
        <v>1</v>
      </c>
      <c r="CE3410">
        <v>0</v>
      </c>
      <c r="CF3410">
        <v>0</v>
      </c>
      <c r="CG3410">
        <v>1</v>
      </c>
      <c r="CH3410">
        <v>0</v>
      </c>
      <c r="CI3410">
        <v>0</v>
      </c>
      <c r="CJ3410">
        <v>0</v>
      </c>
      <c r="CK3410">
        <v>2</v>
      </c>
      <c r="CL3410">
        <v>0</v>
      </c>
      <c r="CM3410">
        <v>2</v>
      </c>
      <c r="CN3410">
        <v>0</v>
      </c>
      <c r="CO3410">
        <v>6</v>
      </c>
      <c r="CP3410" t="s">
        <v>119</v>
      </c>
      <c r="CQ3410">
        <v>180</v>
      </c>
      <c r="CR3410">
        <v>2</v>
      </c>
      <c r="CW3410">
        <v>8810215</v>
      </c>
      <c r="CY3410">
        <v>1</v>
      </c>
      <c r="CZ3410">
        <v>0</v>
      </c>
      <c r="DA3410">
        <v>1</v>
      </c>
      <c r="DB3410">
        <v>0</v>
      </c>
      <c r="DC3410">
        <v>0</v>
      </c>
      <c r="DD3410">
        <v>0</v>
      </c>
      <c r="DE3410">
        <v>0</v>
      </c>
      <c r="DF3410">
        <v>0</v>
      </c>
      <c r="DG3410">
        <v>0</v>
      </c>
      <c r="DH3410">
        <v>0</v>
      </c>
      <c r="DI3410">
        <v>0</v>
      </c>
    </row>
    <row r="3411" spans="1:113" x14ac:dyDescent="0.3">
      <c r="A3411" t="str">
        <f>"02/08/2021 20:33:00.968"</f>
        <v>02/08/2021 20:33:00.968</v>
      </c>
      <c r="C3411" t="str">
        <f t="shared" si="167"/>
        <v>FFDFD7C0</v>
      </c>
      <c r="D3411" t="s">
        <v>124</v>
      </c>
      <c r="E3411">
        <v>12</v>
      </c>
      <c r="F3411">
        <v>1012</v>
      </c>
      <c r="G3411" t="s">
        <v>675</v>
      </c>
      <c r="J3411" t="s">
        <v>125</v>
      </c>
      <c r="K3411">
        <v>0</v>
      </c>
      <c r="L3411">
        <v>3</v>
      </c>
      <c r="M3411">
        <v>0</v>
      </c>
      <c r="N3411">
        <v>2</v>
      </c>
      <c r="O3411">
        <v>1</v>
      </c>
      <c r="P3411">
        <v>0</v>
      </c>
      <c r="Q3411">
        <v>0</v>
      </c>
      <c r="S3411" t="str">
        <f>"20:33:03.313"</f>
        <v>20:33:03.313</v>
      </c>
      <c r="T3411" t="str">
        <f>"20:33:02.813"</f>
        <v>20:33:02.813</v>
      </c>
      <c r="U3411" t="str">
        <f t="shared" si="168"/>
        <v>AB01F4</v>
      </c>
      <c r="V3411">
        <v>0</v>
      </c>
      <c r="W3411">
        <v>0</v>
      </c>
      <c r="X3411">
        <v>2</v>
      </c>
      <c r="Z3411">
        <v>0</v>
      </c>
      <c r="AA3411">
        <v>9</v>
      </c>
      <c r="AB3411">
        <v>3</v>
      </c>
      <c r="AC3411">
        <v>0</v>
      </c>
      <c r="AD3411">
        <v>10</v>
      </c>
      <c r="AE3411">
        <v>0</v>
      </c>
      <c r="AF3411">
        <v>3</v>
      </c>
      <c r="AG3411">
        <v>2</v>
      </c>
      <c r="AH3411">
        <v>0</v>
      </c>
      <c r="AI3411" t="s">
        <v>1955</v>
      </c>
      <c r="AJ3411">
        <v>40.081065000000002</v>
      </c>
      <c r="AK3411" t="s">
        <v>1956</v>
      </c>
      <c r="AL3411">
        <v>-92.955879999999993</v>
      </c>
      <c r="AM3411">
        <v>100</v>
      </c>
      <c r="AN3411">
        <v>1300</v>
      </c>
      <c r="AO3411" t="s">
        <v>118</v>
      </c>
      <c r="AP3411">
        <v>-112</v>
      </c>
      <c r="AQ3411">
        <v>65</v>
      </c>
      <c r="AR3411">
        <v>64</v>
      </c>
      <c r="AZ3411">
        <v>1200</v>
      </c>
      <c r="BA3411">
        <v>1</v>
      </c>
      <c r="BB3411" t="str">
        <f t="shared" si="166"/>
        <v xml:space="preserve">N8080G  </v>
      </c>
      <c r="BC3411">
        <v>1</v>
      </c>
      <c r="BE3411">
        <v>0</v>
      </c>
      <c r="BF3411">
        <v>0</v>
      </c>
      <c r="BG3411">
        <v>0</v>
      </c>
      <c r="BH3411">
        <v>1350</v>
      </c>
      <c r="BI3411">
        <v>1</v>
      </c>
      <c r="BJ3411">
        <v>1</v>
      </c>
      <c r="BK3411">
        <v>1</v>
      </c>
      <c r="BL3411">
        <v>0</v>
      </c>
      <c r="BO3411">
        <v>0</v>
      </c>
      <c r="BP3411">
        <v>0</v>
      </c>
      <c r="BW3411" t="str">
        <f>"20:33:03.315"</f>
        <v>20:33:03.315</v>
      </c>
      <c r="BZ3411">
        <v>0</v>
      </c>
      <c r="CA3411">
        <v>1600</v>
      </c>
      <c r="CB3411">
        <v>224</v>
      </c>
      <c r="CD3411">
        <v>1</v>
      </c>
      <c r="CE3411">
        <v>0</v>
      </c>
      <c r="CF3411">
        <v>0</v>
      </c>
      <c r="CG3411">
        <v>1</v>
      </c>
      <c r="CH3411">
        <v>0</v>
      </c>
      <c r="CI3411">
        <v>0</v>
      </c>
      <c r="CJ3411">
        <v>0</v>
      </c>
      <c r="CK3411">
        <v>2</v>
      </c>
      <c r="CL3411">
        <v>0</v>
      </c>
      <c r="CM3411">
        <v>2</v>
      </c>
      <c r="CN3411">
        <v>0</v>
      </c>
      <c r="CO3411">
        <v>7</v>
      </c>
      <c r="CP3411" t="s">
        <v>119</v>
      </c>
      <c r="CQ3411">
        <v>180</v>
      </c>
      <c r="CR3411">
        <v>3</v>
      </c>
      <c r="CW3411">
        <v>1151596</v>
      </c>
      <c r="CY3411">
        <v>1</v>
      </c>
      <c r="CZ3411">
        <v>0</v>
      </c>
      <c r="DA3411">
        <v>0</v>
      </c>
      <c r="DB3411">
        <v>0</v>
      </c>
      <c r="DC3411">
        <v>0</v>
      </c>
      <c r="DD3411">
        <v>0</v>
      </c>
      <c r="DE3411">
        <v>0</v>
      </c>
      <c r="DF3411">
        <v>0</v>
      </c>
      <c r="DG3411">
        <v>0</v>
      </c>
      <c r="DH3411">
        <v>0</v>
      </c>
      <c r="DI3411">
        <v>0</v>
      </c>
    </row>
    <row r="3412" spans="1:113" x14ac:dyDescent="0.3">
      <c r="A3412" t="str">
        <f>"02/08/2021 20:33:00.968"</f>
        <v>02/08/2021 20:33:00.968</v>
      </c>
      <c r="C3412" t="str">
        <f t="shared" si="167"/>
        <v>FFDFD7C0</v>
      </c>
      <c r="D3412" t="s">
        <v>124</v>
      </c>
      <c r="E3412">
        <v>11</v>
      </c>
      <c r="F3412">
        <v>1011</v>
      </c>
      <c r="G3412" t="s">
        <v>590</v>
      </c>
      <c r="J3412" t="s">
        <v>125</v>
      </c>
      <c r="K3412">
        <v>0</v>
      </c>
      <c r="L3412">
        <v>3</v>
      </c>
      <c r="M3412">
        <v>0</v>
      </c>
      <c r="N3412">
        <v>2</v>
      </c>
      <c r="O3412">
        <v>1</v>
      </c>
      <c r="P3412">
        <v>0</v>
      </c>
      <c r="Q3412">
        <v>0</v>
      </c>
      <c r="S3412" t="str">
        <f>"20:33:03.313"</f>
        <v>20:33:03.313</v>
      </c>
      <c r="T3412" t="str">
        <f>"20:33:02.813"</f>
        <v>20:33:02.813</v>
      </c>
      <c r="U3412" t="str">
        <f t="shared" si="168"/>
        <v>AB01F4</v>
      </c>
      <c r="V3412">
        <v>0</v>
      </c>
      <c r="W3412">
        <v>0</v>
      </c>
      <c r="X3412">
        <v>2</v>
      </c>
      <c r="Z3412">
        <v>0</v>
      </c>
      <c r="AA3412">
        <v>9</v>
      </c>
      <c r="AB3412">
        <v>3</v>
      </c>
      <c r="AC3412">
        <v>0</v>
      </c>
      <c r="AD3412">
        <v>10</v>
      </c>
      <c r="AE3412">
        <v>0</v>
      </c>
      <c r="AF3412">
        <v>3</v>
      </c>
      <c r="AG3412">
        <v>2</v>
      </c>
      <c r="AH3412">
        <v>0</v>
      </c>
      <c r="AI3412" t="s">
        <v>1955</v>
      </c>
      <c r="AJ3412">
        <v>40.081065000000002</v>
      </c>
      <c r="AK3412" t="s">
        <v>1956</v>
      </c>
      <c r="AL3412">
        <v>-92.955879999999993</v>
      </c>
      <c r="AM3412">
        <v>100</v>
      </c>
      <c r="AN3412">
        <v>1300</v>
      </c>
      <c r="AO3412" t="s">
        <v>118</v>
      </c>
      <c r="AP3412">
        <v>-112</v>
      </c>
      <c r="AQ3412">
        <v>65</v>
      </c>
      <c r="AR3412">
        <v>64</v>
      </c>
      <c r="AZ3412">
        <v>1200</v>
      </c>
      <c r="BA3412">
        <v>1</v>
      </c>
      <c r="BB3412" t="str">
        <f t="shared" si="166"/>
        <v xml:space="preserve">N8080G  </v>
      </c>
      <c r="BC3412">
        <v>1</v>
      </c>
      <c r="BE3412">
        <v>0</v>
      </c>
      <c r="BF3412">
        <v>0</v>
      </c>
      <c r="BG3412">
        <v>0</v>
      </c>
      <c r="BH3412">
        <v>1350</v>
      </c>
      <c r="BI3412">
        <v>1</v>
      </c>
      <c r="BJ3412">
        <v>1</v>
      </c>
      <c r="BK3412">
        <v>1</v>
      </c>
      <c r="BL3412">
        <v>0</v>
      </c>
      <c r="BO3412">
        <v>0</v>
      </c>
      <c r="BP3412">
        <v>0</v>
      </c>
      <c r="BW3412" t="str">
        <f>"20:33:03.315"</f>
        <v>20:33:03.315</v>
      </c>
      <c r="BZ3412">
        <v>0</v>
      </c>
      <c r="CA3412">
        <v>1600</v>
      </c>
      <c r="CB3412">
        <v>224</v>
      </c>
      <c r="CD3412">
        <v>1</v>
      </c>
      <c r="CE3412">
        <v>0</v>
      </c>
      <c r="CF3412">
        <v>0</v>
      </c>
      <c r="CG3412">
        <v>1</v>
      </c>
      <c r="CH3412">
        <v>0</v>
      </c>
      <c r="CI3412">
        <v>0</v>
      </c>
      <c r="CJ3412">
        <v>0</v>
      </c>
      <c r="CK3412">
        <v>2</v>
      </c>
      <c r="CL3412">
        <v>0</v>
      </c>
      <c r="CM3412">
        <v>2</v>
      </c>
      <c r="CN3412">
        <v>0</v>
      </c>
      <c r="CO3412">
        <v>7</v>
      </c>
      <c r="CP3412" t="s">
        <v>119</v>
      </c>
      <c r="CQ3412">
        <v>180</v>
      </c>
      <c r="CR3412">
        <v>3</v>
      </c>
      <c r="CW3412">
        <v>1151596</v>
      </c>
      <c r="CY3412">
        <v>1</v>
      </c>
      <c r="CZ3412">
        <v>0</v>
      </c>
      <c r="DA3412">
        <v>1</v>
      </c>
      <c r="DB3412">
        <v>0</v>
      </c>
      <c r="DC3412">
        <v>0</v>
      </c>
      <c r="DD3412">
        <v>0</v>
      </c>
      <c r="DE3412">
        <v>0</v>
      </c>
      <c r="DF3412">
        <v>0</v>
      </c>
      <c r="DG3412">
        <v>0</v>
      </c>
      <c r="DH3412">
        <v>0</v>
      </c>
      <c r="DI3412">
        <v>0</v>
      </c>
    </row>
    <row r="3413" spans="1:113" x14ac:dyDescent="0.3">
      <c r="A3413" t="str">
        <f>"02/08/2021 20:33:00.968"</f>
        <v>02/08/2021 20:33:00.968</v>
      </c>
      <c r="C3413" t="str">
        <f t="shared" si="167"/>
        <v>FFDFD7C0</v>
      </c>
      <c r="D3413" t="s">
        <v>124</v>
      </c>
      <c r="E3413">
        <v>13</v>
      </c>
      <c r="F3413">
        <v>1013</v>
      </c>
      <c r="G3413" t="s">
        <v>114</v>
      </c>
      <c r="J3413" t="s">
        <v>125</v>
      </c>
      <c r="K3413">
        <v>0</v>
      </c>
      <c r="L3413">
        <v>3</v>
      </c>
      <c r="M3413">
        <v>0</v>
      </c>
      <c r="N3413">
        <v>2</v>
      </c>
      <c r="O3413">
        <v>1</v>
      </c>
      <c r="P3413">
        <v>0</v>
      </c>
      <c r="Q3413">
        <v>0</v>
      </c>
      <c r="S3413" t="str">
        <f>"20:33:03.313"</f>
        <v>20:33:03.313</v>
      </c>
      <c r="T3413" t="str">
        <f>"20:33:02.813"</f>
        <v>20:33:02.813</v>
      </c>
      <c r="U3413" t="str">
        <f t="shared" si="168"/>
        <v>AB01F4</v>
      </c>
      <c r="V3413">
        <v>0</v>
      </c>
      <c r="W3413">
        <v>0</v>
      </c>
      <c r="X3413">
        <v>2</v>
      </c>
      <c r="Z3413">
        <v>0</v>
      </c>
      <c r="AA3413">
        <v>9</v>
      </c>
      <c r="AB3413">
        <v>3</v>
      </c>
      <c r="AC3413">
        <v>0</v>
      </c>
      <c r="AD3413">
        <v>10</v>
      </c>
      <c r="AE3413">
        <v>0</v>
      </c>
      <c r="AF3413">
        <v>3</v>
      </c>
      <c r="AG3413">
        <v>2</v>
      </c>
      <c r="AH3413">
        <v>0</v>
      </c>
      <c r="AI3413" t="s">
        <v>1955</v>
      </c>
      <c r="AJ3413">
        <v>40.081065000000002</v>
      </c>
      <c r="AK3413" t="s">
        <v>1956</v>
      </c>
      <c r="AL3413">
        <v>-92.955879999999993</v>
      </c>
      <c r="AM3413">
        <v>100</v>
      </c>
      <c r="AN3413">
        <v>1300</v>
      </c>
      <c r="AO3413" t="s">
        <v>118</v>
      </c>
      <c r="AP3413">
        <v>-112</v>
      </c>
      <c r="AQ3413">
        <v>65</v>
      </c>
      <c r="AR3413">
        <v>64</v>
      </c>
      <c r="AZ3413">
        <v>1200</v>
      </c>
      <c r="BA3413">
        <v>1</v>
      </c>
      <c r="BB3413" t="str">
        <f t="shared" si="166"/>
        <v xml:space="preserve">N8080G  </v>
      </c>
      <c r="BC3413">
        <v>1</v>
      </c>
      <c r="BE3413">
        <v>0</v>
      </c>
      <c r="BF3413">
        <v>0</v>
      </c>
      <c r="BG3413">
        <v>0</v>
      </c>
      <c r="BH3413">
        <v>1350</v>
      </c>
      <c r="BI3413">
        <v>1</v>
      </c>
      <c r="BJ3413">
        <v>1</v>
      </c>
      <c r="BK3413">
        <v>1</v>
      </c>
      <c r="BL3413">
        <v>0</v>
      </c>
      <c r="BO3413">
        <v>0</v>
      </c>
      <c r="BP3413">
        <v>0</v>
      </c>
      <c r="BW3413" t="str">
        <f>"20:33:03.315"</f>
        <v>20:33:03.315</v>
      </c>
      <c r="BZ3413">
        <v>0</v>
      </c>
      <c r="CA3413">
        <v>1600</v>
      </c>
      <c r="CB3413">
        <v>224</v>
      </c>
      <c r="CD3413">
        <v>1</v>
      </c>
      <c r="CE3413">
        <v>0</v>
      </c>
      <c r="CF3413">
        <v>0</v>
      </c>
      <c r="CG3413">
        <v>1</v>
      </c>
      <c r="CH3413">
        <v>0</v>
      </c>
      <c r="CI3413">
        <v>0</v>
      </c>
      <c r="CJ3413">
        <v>0</v>
      </c>
      <c r="CK3413">
        <v>2</v>
      </c>
      <c r="CL3413">
        <v>0</v>
      </c>
      <c r="CM3413">
        <v>2</v>
      </c>
      <c r="CN3413">
        <v>0</v>
      </c>
      <c r="CO3413">
        <v>7</v>
      </c>
      <c r="CP3413" t="s">
        <v>119</v>
      </c>
      <c r="CQ3413">
        <v>180</v>
      </c>
      <c r="CR3413">
        <v>3</v>
      </c>
      <c r="CW3413">
        <v>1151596</v>
      </c>
      <c r="CY3413">
        <v>1</v>
      </c>
      <c r="CZ3413">
        <v>0</v>
      </c>
      <c r="DA3413">
        <v>1</v>
      </c>
      <c r="DB3413">
        <v>0</v>
      </c>
      <c r="DC3413">
        <v>0</v>
      </c>
      <c r="DD3413">
        <v>0</v>
      </c>
      <c r="DE3413">
        <v>0</v>
      </c>
      <c r="DF3413">
        <v>0</v>
      </c>
      <c r="DG3413">
        <v>0</v>
      </c>
      <c r="DH3413">
        <v>0</v>
      </c>
      <c r="DI3413">
        <v>0</v>
      </c>
    </row>
    <row r="3414" spans="1:113" x14ac:dyDescent="0.3">
      <c r="A3414" t="str">
        <f>"02/08/2021 20:33:00.968"</f>
        <v>02/08/2021 20:33:00.968</v>
      </c>
      <c r="C3414" t="str">
        <f t="shared" si="167"/>
        <v>FFDFD7C0</v>
      </c>
      <c r="D3414" t="s">
        <v>113</v>
      </c>
      <c r="E3414">
        <v>6</v>
      </c>
      <c r="H3414">
        <v>165</v>
      </c>
      <c r="I3414" t="s">
        <v>114</v>
      </c>
      <c r="J3414" t="s">
        <v>115</v>
      </c>
      <c r="K3414">
        <v>0</v>
      </c>
      <c r="L3414">
        <v>3</v>
      </c>
      <c r="M3414">
        <v>0</v>
      </c>
      <c r="N3414">
        <v>2</v>
      </c>
      <c r="O3414">
        <v>1</v>
      </c>
      <c r="P3414">
        <v>0</v>
      </c>
      <c r="Q3414">
        <v>0</v>
      </c>
      <c r="S3414" t="str">
        <f>"20:33:03.313"</f>
        <v>20:33:03.313</v>
      </c>
      <c r="T3414" t="str">
        <f>"20:33:02.813"</f>
        <v>20:33:02.813</v>
      </c>
      <c r="U3414" t="str">
        <f t="shared" si="168"/>
        <v>AB01F4</v>
      </c>
      <c r="V3414">
        <v>0</v>
      </c>
      <c r="W3414">
        <v>0</v>
      </c>
      <c r="X3414">
        <v>2</v>
      </c>
      <c r="Z3414">
        <v>0</v>
      </c>
      <c r="AA3414">
        <v>9</v>
      </c>
      <c r="AB3414">
        <v>3</v>
      </c>
      <c r="AC3414">
        <v>0</v>
      </c>
      <c r="AD3414">
        <v>10</v>
      </c>
      <c r="AE3414">
        <v>0</v>
      </c>
      <c r="AF3414">
        <v>3</v>
      </c>
      <c r="AG3414">
        <v>2</v>
      </c>
      <c r="AH3414">
        <v>0</v>
      </c>
      <c r="AI3414" t="s">
        <v>1955</v>
      </c>
      <c r="AJ3414">
        <v>40.081065000000002</v>
      </c>
      <c r="AK3414" t="s">
        <v>1956</v>
      </c>
      <c r="AL3414">
        <v>-92.955879999999993</v>
      </c>
      <c r="AM3414">
        <v>100</v>
      </c>
      <c r="AN3414">
        <v>1300</v>
      </c>
      <c r="AO3414" t="s">
        <v>118</v>
      </c>
      <c r="AP3414">
        <v>-112</v>
      </c>
      <c r="AQ3414">
        <v>65</v>
      </c>
      <c r="AR3414">
        <v>64</v>
      </c>
      <c r="AZ3414">
        <v>1200</v>
      </c>
      <c r="BA3414">
        <v>1</v>
      </c>
      <c r="BB3414" t="str">
        <f t="shared" si="166"/>
        <v xml:space="preserve">N8080G  </v>
      </c>
      <c r="BC3414">
        <v>1</v>
      </c>
      <c r="BE3414">
        <v>0</v>
      </c>
      <c r="BF3414">
        <v>0</v>
      </c>
      <c r="BG3414">
        <v>0</v>
      </c>
      <c r="BH3414">
        <v>1350</v>
      </c>
      <c r="BI3414">
        <v>1</v>
      </c>
      <c r="BJ3414">
        <v>1</v>
      </c>
      <c r="BK3414">
        <v>1</v>
      </c>
      <c r="BL3414">
        <v>0</v>
      </c>
      <c r="BO3414">
        <v>0</v>
      </c>
      <c r="BP3414">
        <v>0</v>
      </c>
      <c r="BW3414" t="str">
        <f>"20:33:03.315"</f>
        <v>20:33:03.315</v>
      </c>
      <c r="BZ3414">
        <v>0</v>
      </c>
      <c r="CA3414">
        <v>1600</v>
      </c>
      <c r="CB3414">
        <v>224</v>
      </c>
      <c r="CD3414">
        <v>1</v>
      </c>
      <c r="CE3414">
        <v>0</v>
      </c>
      <c r="CF3414">
        <v>0</v>
      </c>
      <c r="CG3414">
        <v>1</v>
      </c>
      <c r="CH3414">
        <v>0</v>
      </c>
      <c r="CI3414">
        <v>0</v>
      </c>
      <c r="CJ3414">
        <v>0</v>
      </c>
      <c r="CK3414">
        <v>2</v>
      </c>
      <c r="CL3414">
        <v>0</v>
      </c>
      <c r="CM3414">
        <v>2</v>
      </c>
      <c r="CN3414">
        <v>0</v>
      </c>
      <c r="CO3414">
        <v>7</v>
      </c>
      <c r="CP3414" t="s">
        <v>119</v>
      </c>
      <c r="CQ3414">
        <v>180</v>
      </c>
      <c r="CR3414">
        <v>3</v>
      </c>
      <c r="CW3414">
        <v>1151596</v>
      </c>
      <c r="CY3414">
        <v>1</v>
      </c>
      <c r="CZ3414">
        <v>0</v>
      </c>
      <c r="DA3414">
        <v>1</v>
      </c>
      <c r="DB3414">
        <v>0</v>
      </c>
      <c r="DC3414">
        <v>0</v>
      </c>
      <c r="DD3414">
        <v>0</v>
      </c>
      <c r="DE3414">
        <v>0</v>
      </c>
      <c r="DF3414">
        <v>0</v>
      </c>
      <c r="DG3414">
        <v>0</v>
      </c>
      <c r="DH3414">
        <v>0</v>
      </c>
      <c r="DI3414">
        <v>0</v>
      </c>
    </row>
    <row r="3415" spans="1:113" x14ac:dyDescent="0.3">
      <c r="A3415" t="str">
        <f>"02/08/2021 20:33:02.057"</f>
        <v>02/08/2021 20:33:02.057</v>
      </c>
      <c r="C3415" t="str">
        <f t="shared" si="167"/>
        <v>FFDFD7C0</v>
      </c>
      <c r="D3415" t="s">
        <v>124</v>
      </c>
      <c r="E3415">
        <v>13</v>
      </c>
      <c r="F3415">
        <v>1013</v>
      </c>
      <c r="G3415" t="s">
        <v>114</v>
      </c>
      <c r="J3415" t="s">
        <v>125</v>
      </c>
      <c r="K3415">
        <v>0</v>
      </c>
      <c r="L3415">
        <v>3</v>
      </c>
      <c r="M3415">
        <v>0</v>
      </c>
      <c r="N3415">
        <v>2</v>
      </c>
      <c r="O3415">
        <v>1</v>
      </c>
      <c r="P3415">
        <v>0</v>
      </c>
      <c r="Q3415">
        <v>0</v>
      </c>
      <c r="S3415" t="str">
        <f>"20:33:04.367"</f>
        <v>20:33:04.367</v>
      </c>
      <c r="T3415" t="str">
        <f>"20:33:03.867"</f>
        <v>20:33:03.867</v>
      </c>
      <c r="U3415" t="str">
        <f t="shared" si="168"/>
        <v>AB01F4</v>
      </c>
      <c r="V3415">
        <v>0</v>
      </c>
      <c r="W3415">
        <v>0</v>
      </c>
      <c r="X3415">
        <v>2</v>
      </c>
      <c r="Z3415">
        <v>0</v>
      </c>
      <c r="AA3415">
        <v>9</v>
      </c>
      <c r="AB3415">
        <v>3</v>
      </c>
      <c r="AC3415">
        <v>0</v>
      </c>
      <c r="AD3415">
        <v>10</v>
      </c>
      <c r="AE3415">
        <v>0</v>
      </c>
      <c r="AF3415">
        <v>3</v>
      </c>
      <c r="AG3415">
        <v>2</v>
      </c>
      <c r="AH3415">
        <v>0</v>
      </c>
      <c r="AI3415" t="s">
        <v>1957</v>
      </c>
      <c r="AJ3415">
        <v>40.081364999999998</v>
      </c>
      <c r="AK3415" t="s">
        <v>1958</v>
      </c>
      <c r="AL3415">
        <v>-92.956609999999998</v>
      </c>
      <c r="AM3415">
        <v>100</v>
      </c>
      <c r="AN3415">
        <v>1300</v>
      </c>
      <c r="AO3415" t="s">
        <v>118</v>
      </c>
      <c r="AP3415">
        <v>-113</v>
      </c>
      <c r="AQ3415">
        <v>65</v>
      </c>
      <c r="AR3415">
        <v>0</v>
      </c>
      <c r="AZ3415">
        <v>1200</v>
      </c>
      <c r="BA3415">
        <v>1</v>
      </c>
      <c r="BB3415" t="str">
        <f t="shared" si="166"/>
        <v xml:space="preserve">N8080G  </v>
      </c>
      <c r="BC3415">
        <v>1</v>
      </c>
      <c r="BE3415">
        <v>0</v>
      </c>
      <c r="BF3415">
        <v>0</v>
      </c>
      <c r="BG3415">
        <v>0</v>
      </c>
      <c r="BH3415">
        <v>1350</v>
      </c>
      <c r="BI3415">
        <v>1</v>
      </c>
      <c r="BJ3415">
        <v>1</v>
      </c>
      <c r="BK3415">
        <v>1</v>
      </c>
      <c r="BL3415">
        <v>0</v>
      </c>
      <c r="BO3415">
        <v>0</v>
      </c>
      <c r="BP3415">
        <v>0</v>
      </c>
      <c r="BW3415" t="str">
        <f>"20:33:04.368"</f>
        <v>20:33:04.368</v>
      </c>
      <c r="BZ3415">
        <v>0</v>
      </c>
      <c r="CA3415">
        <v>1600</v>
      </c>
      <c r="CB3415">
        <v>224</v>
      </c>
      <c r="CD3415">
        <v>1</v>
      </c>
      <c r="CE3415">
        <v>0</v>
      </c>
      <c r="CF3415">
        <v>0</v>
      </c>
      <c r="CG3415">
        <v>1</v>
      </c>
      <c r="CH3415">
        <v>0</v>
      </c>
      <c r="CI3415">
        <v>0</v>
      </c>
      <c r="CJ3415">
        <v>0</v>
      </c>
      <c r="CK3415">
        <v>2</v>
      </c>
      <c r="CL3415">
        <v>0</v>
      </c>
      <c r="CM3415">
        <v>2</v>
      </c>
      <c r="CN3415">
        <v>0</v>
      </c>
      <c r="CO3415">
        <v>6</v>
      </c>
      <c r="CP3415" t="s">
        <v>119</v>
      </c>
      <c r="CQ3415">
        <v>180</v>
      </c>
      <c r="CR3415">
        <v>2</v>
      </c>
      <c r="CW3415">
        <v>8811781</v>
      </c>
      <c r="CY3415">
        <v>1</v>
      </c>
      <c r="CZ3415">
        <v>0</v>
      </c>
      <c r="DA3415">
        <v>0</v>
      </c>
      <c r="DB3415">
        <v>0</v>
      </c>
      <c r="DC3415">
        <v>0</v>
      </c>
      <c r="DD3415">
        <v>0</v>
      </c>
      <c r="DE3415">
        <v>0</v>
      </c>
      <c r="DF3415">
        <v>0</v>
      </c>
      <c r="DG3415">
        <v>0</v>
      </c>
      <c r="DH3415">
        <v>0</v>
      </c>
      <c r="DI3415">
        <v>0</v>
      </c>
    </row>
    <row r="3416" spans="1:113" x14ac:dyDescent="0.3">
      <c r="A3416" t="str">
        <f>"02/08/2021 20:33:02.057"</f>
        <v>02/08/2021 20:33:02.057</v>
      </c>
      <c r="C3416" t="str">
        <f t="shared" si="167"/>
        <v>FFDFD7C0</v>
      </c>
      <c r="D3416" t="s">
        <v>113</v>
      </c>
      <c r="E3416">
        <v>6</v>
      </c>
      <c r="H3416">
        <v>165</v>
      </c>
      <c r="I3416" t="s">
        <v>114</v>
      </c>
      <c r="J3416" t="s">
        <v>115</v>
      </c>
      <c r="K3416">
        <v>0</v>
      </c>
      <c r="L3416">
        <v>3</v>
      </c>
      <c r="M3416">
        <v>0</v>
      </c>
      <c r="N3416">
        <v>2</v>
      </c>
      <c r="O3416">
        <v>1</v>
      </c>
      <c r="P3416">
        <v>0</v>
      </c>
      <c r="Q3416">
        <v>0</v>
      </c>
      <c r="S3416" t="str">
        <f>"20:33:04.367"</f>
        <v>20:33:04.367</v>
      </c>
      <c r="T3416" t="str">
        <f>"20:33:03.867"</f>
        <v>20:33:03.867</v>
      </c>
      <c r="U3416" t="str">
        <f t="shared" si="168"/>
        <v>AB01F4</v>
      </c>
      <c r="V3416">
        <v>0</v>
      </c>
      <c r="W3416">
        <v>0</v>
      </c>
      <c r="X3416">
        <v>2</v>
      </c>
      <c r="Z3416">
        <v>0</v>
      </c>
      <c r="AA3416">
        <v>9</v>
      </c>
      <c r="AB3416">
        <v>3</v>
      </c>
      <c r="AC3416">
        <v>0</v>
      </c>
      <c r="AD3416">
        <v>10</v>
      </c>
      <c r="AE3416">
        <v>0</v>
      </c>
      <c r="AF3416">
        <v>3</v>
      </c>
      <c r="AG3416">
        <v>2</v>
      </c>
      <c r="AH3416">
        <v>0</v>
      </c>
      <c r="AI3416" t="s">
        <v>1957</v>
      </c>
      <c r="AJ3416">
        <v>40.081364999999998</v>
      </c>
      <c r="AK3416" t="s">
        <v>1958</v>
      </c>
      <c r="AL3416">
        <v>-92.956609999999998</v>
      </c>
      <c r="AM3416">
        <v>100</v>
      </c>
      <c r="AN3416">
        <v>1300</v>
      </c>
      <c r="AO3416" t="s">
        <v>118</v>
      </c>
      <c r="AP3416">
        <v>-113</v>
      </c>
      <c r="AQ3416">
        <v>65</v>
      </c>
      <c r="AR3416">
        <v>0</v>
      </c>
      <c r="AZ3416">
        <v>1200</v>
      </c>
      <c r="BA3416">
        <v>1</v>
      </c>
      <c r="BB3416" t="str">
        <f t="shared" si="166"/>
        <v xml:space="preserve">N8080G  </v>
      </c>
      <c r="BC3416">
        <v>1</v>
      </c>
      <c r="BE3416">
        <v>0</v>
      </c>
      <c r="BF3416">
        <v>0</v>
      </c>
      <c r="BG3416">
        <v>0</v>
      </c>
      <c r="BH3416">
        <v>1350</v>
      </c>
      <c r="BI3416">
        <v>1</v>
      </c>
      <c r="BJ3416">
        <v>1</v>
      </c>
      <c r="BK3416">
        <v>1</v>
      </c>
      <c r="BL3416">
        <v>0</v>
      </c>
      <c r="BO3416">
        <v>0</v>
      </c>
      <c r="BP3416">
        <v>0</v>
      </c>
      <c r="BW3416" t="str">
        <f>"20:33:04.368"</f>
        <v>20:33:04.368</v>
      </c>
      <c r="BZ3416">
        <v>0</v>
      </c>
      <c r="CA3416">
        <v>1600</v>
      </c>
      <c r="CB3416">
        <v>224</v>
      </c>
      <c r="CD3416">
        <v>1</v>
      </c>
      <c r="CE3416">
        <v>0</v>
      </c>
      <c r="CF3416">
        <v>0</v>
      </c>
      <c r="CG3416">
        <v>1</v>
      </c>
      <c r="CH3416">
        <v>0</v>
      </c>
      <c r="CI3416">
        <v>0</v>
      </c>
      <c r="CJ3416">
        <v>0</v>
      </c>
      <c r="CK3416">
        <v>2</v>
      </c>
      <c r="CL3416">
        <v>0</v>
      </c>
      <c r="CM3416">
        <v>2</v>
      </c>
      <c r="CN3416">
        <v>0</v>
      </c>
      <c r="CO3416">
        <v>6</v>
      </c>
      <c r="CP3416" t="s">
        <v>119</v>
      </c>
      <c r="CQ3416">
        <v>180</v>
      </c>
      <c r="CR3416">
        <v>2</v>
      </c>
      <c r="CW3416">
        <v>8811781</v>
      </c>
      <c r="CY3416">
        <v>1</v>
      </c>
      <c r="CZ3416">
        <v>0</v>
      </c>
      <c r="DA3416">
        <v>1</v>
      </c>
      <c r="DB3416">
        <v>0</v>
      </c>
      <c r="DC3416">
        <v>0</v>
      </c>
      <c r="DD3416">
        <v>0</v>
      </c>
      <c r="DE3416">
        <v>0</v>
      </c>
      <c r="DF3416">
        <v>0</v>
      </c>
      <c r="DG3416">
        <v>0</v>
      </c>
      <c r="DH3416">
        <v>0</v>
      </c>
      <c r="DI3416">
        <v>0</v>
      </c>
    </row>
    <row r="3417" spans="1:113" x14ac:dyDescent="0.3">
      <c r="A3417" t="str">
        <f>"02/08/2021 20:33:02.057"</f>
        <v>02/08/2021 20:33:02.057</v>
      </c>
      <c r="C3417" t="str">
        <f t="shared" si="167"/>
        <v>FFDFD7C0</v>
      </c>
      <c r="D3417" t="s">
        <v>124</v>
      </c>
      <c r="E3417">
        <v>12</v>
      </c>
      <c r="F3417">
        <v>1012</v>
      </c>
      <c r="G3417" t="s">
        <v>675</v>
      </c>
      <c r="J3417" t="s">
        <v>125</v>
      </c>
      <c r="K3417">
        <v>0</v>
      </c>
      <c r="L3417">
        <v>3</v>
      </c>
      <c r="M3417">
        <v>0</v>
      </c>
      <c r="N3417">
        <v>2</v>
      </c>
      <c r="O3417">
        <v>1</v>
      </c>
      <c r="P3417">
        <v>0</v>
      </c>
      <c r="Q3417">
        <v>0</v>
      </c>
      <c r="S3417" t="str">
        <f>"20:33:04.367"</f>
        <v>20:33:04.367</v>
      </c>
      <c r="T3417" t="str">
        <f>"20:33:03.867"</f>
        <v>20:33:03.867</v>
      </c>
      <c r="U3417" t="str">
        <f t="shared" si="168"/>
        <v>AB01F4</v>
      </c>
      <c r="V3417">
        <v>0</v>
      </c>
      <c r="W3417">
        <v>0</v>
      </c>
      <c r="X3417">
        <v>2</v>
      </c>
      <c r="Z3417">
        <v>0</v>
      </c>
      <c r="AA3417">
        <v>9</v>
      </c>
      <c r="AB3417">
        <v>3</v>
      </c>
      <c r="AC3417">
        <v>0</v>
      </c>
      <c r="AD3417">
        <v>10</v>
      </c>
      <c r="AE3417">
        <v>0</v>
      </c>
      <c r="AF3417">
        <v>3</v>
      </c>
      <c r="AG3417">
        <v>2</v>
      </c>
      <c r="AH3417">
        <v>0</v>
      </c>
      <c r="AI3417" t="s">
        <v>1957</v>
      </c>
      <c r="AJ3417">
        <v>40.081364999999998</v>
      </c>
      <c r="AK3417" t="s">
        <v>1958</v>
      </c>
      <c r="AL3417">
        <v>-92.956609999999998</v>
      </c>
      <c r="AM3417">
        <v>100</v>
      </c>
      <c r="AN3417">
        <v>1300</v>
      </c>
      <c r="AO3417" t="s">
        <v>118</v>
      </c>
      <c r="AP3417">
        <v>-113</v>
      </c>
      <c r="AQ3417">
        <v>65</v>
      </c>
      <c r="AR3417">
        <v>0</v>
      </c>
      <c r="AZ3417">
        <v>1200</v>
      </c>
      <c r="BA3417">
        <v>1</v>
      </c>
      <c r="BB3417" t="str">
        <f t="shared" si="166"/>
        <v xml:space="preserve">N8080G  </v>
      </c>
      <c r="BC3417">
        <v>1</v>
      </c>
      <c r="BE3417">
        <v>0</v>
      </c>
      <c r="BF3417">
        <v>0</v>
      </c>
      <c r="BG3417">
        <v>0</v>
      </c>
      <c r="BH3417">
        <v>1350</v>
      </c>
      <c r="BI3417">
        <v>1</v>
      </c>
      <c r="BJ3417">
        <v>1</v>
      </c>
      <c r="BK3417">
        <v>1</v>
      </c>
      <c r="BL3417">
        <v>0</v>
      </c>
      <c r="BO3417">
        <v>0</v>
      </c>
      <c r="BP3417">
        <v>0</v>
      </c>
      <c r="BW3417" t="str">
        <f>"20:33:04.368"</f>
        <v>20:33:04.368</v>
      </c>
      <c r="BZ3417">
        <v>0</v>
      </c>
      <c r="CA3417">
        <v>1600</v>
      </c>
      <c r="CB3417">
        <v>224</v>
      </c>
      <c r="CD3417">
        <v>1</v>
      </c>
      <c r="CE3417">
        <v>0</v>
      </c>
      <c r="CF3417">
        <v>0</v>
      </c>
      <c r="CG3417">
        <v>1</v>
      </c>
      <c r="CH3417">
        <v>0</v>
      </c>
      <c r="CI3417">
        <v>0</v>
      </c>
      <c r="CJ3417">
        <v>0</v>
      </c>
      <c r="CK3417">
        <v>2</v>
      </c>
      <c r="CL3417">
        <v>0</v>
      </c>
      <c r="CM3417">
        <v>2</v>
      </c>
      <c r="CN3417">
        <v>0</v>
      </c>
      <c r="CO3417">
        <v>6</v>
      </c>
      <c r="CP3417" t="s">
        <v>119</v>
      </c>
      <c r="CQ3417">
        <v>180</v>
      </c>
      <c r="CR3417">
        <v>2</v>
      </c>
      <c r="CW3417">
        <v>8811781</v>
      </c>
      <c r="CY3417">
        <v>1</v>
      </c>
      <c r="CZ3417">
        <v>0</v>
      </c>
      <c r="DA3417">
        <v>1</v>
      </c>
      <c r="DB3417">
        <v>0</v>
      </c>
      <c r="DC3417">
        <v>0</v>
      </c>
      <c r="DD3417">
        <v>0</v>
      </c>
      <c r="DE3417">
        <v>0</v>
      </c>
      <c r="DF3417">
        <v>0</v>
      </c>
      <c r="DG3417">
        <v>0</v>
      </c>
      <c r="DH3417">
        <v>0</v>
      </c>
      <c r="DI3417">
        <v>0</v>
      </c>
    </row>
    <row r="3418" spans="1:113" x14ac:dyDescent="0.3">
      <c r="A3418" t="str">
        <f>"02/08/2021 20:33:02.057"</f>
        <v>02/08/2021 20:33:02.057</v>
      </c>
      <c r="C3418" t="str">
        <f t="shared" si="167"/>
        <v>FFDFD7C0</v>
      </c>
      <c r="D3418" t="s">
        <v>124</v>
      </c>
      <c r="E3418">
        <v>11</v>
      </c>
      <c r="F3418">
        <v>1011</v>
      </c>
      <c r="G3418" t="s">
        <v>590</v>
      </c>
      <c r="J3418" t="s">
        <v>125</v>
      </c>
      <c r="K3418">
        <v>0</v>
      </c>
      <c r="L3418">
        <v>3</v>
      </c>
      <c r="M3418">
        <v>0</v>
      </c>
      <c r="N3418">
        <v>2</v>
      </c>
      <c r="O3418">
        <v>1</v>
      </c>
      <c r="P3418">
        <v>0</v>
      </c>
      <c r="Q3418">
        <v>0</v>
      </c>
      <c r="S3418" t="str">
        <f>"20:33:04.367"</f>
        <v>20:33:04.367</v>
      </c>
      <c r="T3418" t="str">
        <f>"20:33:03.867"</f>
        <v>20:33:03.867</v>
      </c>
      <c r="U3418" t="str">
        <f t="shared" si="168"/>
        <v>AB01F4</v>
      </c>
      <c r="V3418">
        <v>0</v>
      </c>
      <c r="W3418">
        <v>0</v>
      </c>
      <c r="X3418">
        <v>2</v>
      </c>
      <c r="Z3418">
        <v>0</v>
      </c>
      <c r="AA3418">
        <v>9</v>
      </c>
      <c r="AB3418">
        <v>3</v>
      </c>
      <c r="AC3418">
        <v>0</v>
      </c>
      <c r="AD3418">
        <v>10</v>
      </c>
      <c r="AE3418">
        <v>0</v>
      </c>
      <c r="AF3418">
        <v>3</v>
      </c>
      <c r="AG3418">
        <v>2</v>
      </c>
      <c r="AH3418">
        <v>0</v>
      </c>
      <c r="AI3418" t="s">
        <v>1957</v>
      </c>
      <c r="AJ3418">
        <v>40.081364999999998</v>
      </c>
      <c r="AK3418" t="s">
        <v>1958</v>
      </c>
      <c r="AL3418">
        <v>-92.956609999999998</v>
      </c>
      <c r="AM3418">
        <v>100</v>
      </c>
      <c r="AN3418">
        <v>1300</v>
      </c>
      <c r="AO3418" t="s">
        <v>118</v>
      </c>
      <c r="AP3418">
        <v>-113</v>
      </c>
      <c r="AQ3418">
        <v>65</v>
      </c>
      <c r="AR3418">
        <v>0</v>
      </c>
      <c r="AZ3418">
        <v>1200</v>
      </c>
      <c r="BA3418">
        <v>1</v>
      </c>
      <c r="BB3418" t="str">
        <f t="shared" si="166"/>
        <v xml:space="preserve">N8080G  </v>
      </c>
      <c r="BC3418">
        <v>1</v>
      </c>
      <c r="BE3418">
        <v>0</v>
      </c>
      <c r="BF3418">
        <v>0</v>
      </c>
      <c r="BG3418">
        <v>0</v>
      </c>
      <c r="BH3418">
        <v>1350</v>
      </c>
      <c r="BI3418">
        <v>1</v>
      </c>
      <c r="BJ3418">
        <v>1</v>
      </c>
      <c r="BK3418">
        <v>1</v>
      </c>
      <c r="BL3418">
        <v>0</v>
      </c>
      <c r="BO3418">
        <v>0</v>
      </c>
      <c r="BP3418">
        <v>0</v>
      </c>
      <c r="BW3418" t="str">
        <f>"20:33:04.368"</f>
        <v>20:33:04.368</v>
      </c>
      <c r="BZ3418">
        <v>0</v>
      </c>
      <c r="CA3418">
        <v>1600</v>
      </c>
      <c r="CB3418">
        <v>224</v>
      </c>
      <c r="CD3418">
        <v>1</v>
      </c>
      <c r="CE3418">
        <v>0</v>
      </c>
      <c r="CF3418">
        <v>0</v>
      </c>
      <c r="CG3418">
        <v>1</v>
      </c>
      <c r="CH3418">
        <v>0</v>
      </c>
      <c r="CI3418">
        <v>0</v>
      </c>
      <c r="CJ3418">
        <v>0</v>
      </c>
      <c r="CK3418">
        <v>2</v>
      </c>
      <c r="CL3418">
        <v>0</v>
      </c>
      <c r="CM3418">
        <v>2</v>
      </c>
      <c r="CN3418">
        <v>0</v>
      </c>
      <c r="CO3418">
        <v>6</v>
      </c>
      <c r="CP3418" t="s">
        <v>119</v>
      </c>
      <c r="CQ3418">
        <v>180</v>
      </c>
      <c r="CR3418">
        <v>2</v>
      </c>
      <c r="CW3418">
        <v>8811781</v>
      </c>
      <c r="CY3418">
        <v>1</v>
      </c>
      <c r="CZ3418">
        <v>0</v>
      </c>
      <c r="DA3418">
        <v>1</v>
      </c>
      <c r="DB3418">
        <v>0</v>
      </c>
      <c r="DC3418">
        <v>0</v>
      </c>
      <c r="DD3418">
        <v>0</v>
      </c>
      <c r="DE3418">
        <v>0</v>
      </c>
      <c r="DF3418">
        <v>0</v>
      </c>
      <c r="DG3418">
        <v>0</v>
      </c>
      <c r="DH3418">
        <v>0</v>
      </c>
      <c r="DI3418">
        <v>0</v>
      </c>
    </row>
    <row r="3419" spans="1:113" x14ac:dyDescent="0.3">
      <c r="A3419" t="str">
        <f>"02/08/2021 20:33:03.010"</f>
        <v>02/08/2021 20:33:03.010</v>
      </c>
      <c r="C3419" t="str">
        <f t="shared" si="167"/>
        <v>FFDFD7C0</v>
      </c>
      <c r="D3419" t="s">
        <v>124</v>
      </c>
      <c r="E3419">
        <v>13</v>
      </c>
      <c r="F3419">
        <v>1013</v>
      </c>
      <c r="G3419" t="s">
        <v>114</v>
      </c>
      <c r="J3419" t="s">
        <v>125</v>
      </c>
      <c r="K3419">
        <v>0</v>
      </c>
      <c r="L3419">
        <v>3</v>
      </c>
      <c r="M3419">
        <v>0</v>
      </c>
      <c r="N3419">
        <v>2</v>
      </c>
      <c r="O3419">
        <v>1</v>
      </c>
      <c r="P3419">
        <v>0</v>
      </c>
      <c r="Q3419">
        <v>0</v>
      </c>
      <c r="S3419" t="str">
        <f>"20:33:05.359"</f>
        <v>20:33:05.359</v>
      </c>
      <c r="T3419" t="str">
        <f>"20:33:04.959"</f>
        <v>20:33:04.959</v>
      </c>
      <c r="U3419" t="str">
        <f t="shared" si="168"/>
        <v>AB01F4</v>
      </c>
      <c r="V3419">
        <v>0</v>
      </c>
      <c r="W3419">
        <v>0</v>
      </c>
      <c r="X3419">
        <v>2</v>
      </c>
      <c r="Z3419">
        <v>0</v>
      </c>
      <c r="AA3419">
        <v>9</v>
      </c>
      <c r="AB3419">
        <v>3</v>
      </c>
      <c r="AC3419">
        <v>0</v>
      </c>
      <c r="AD3419">
        <v>10</v>
      </c>
      <c r="AE3419">
        <v>0</v>
      </c>
      <c r="AF3419">
        <v>3</v>
      </c>
      <c r="AG3419">
        <v>2</v>
      </c>
      <c r="AH3419">
        <v>0</v>
      </c>
      <c r="AI3419" t="s">
        <v>1959</v>
      </c>
      <c r="AJ3419">
        <v>40.081687000000002</v>
      </c>
      <c r="AK3419" t="s">
        <v>1960</v>
      </c>
      <c r="AL3419">
        <v>-92.957339000000005</v>
      </c>
      <c r="AM3419">
        <v>100</v>
      </c>
      <c r="AN3419">
        <v>1300</v>
      </c>
      <c r="AO3419" t="s">
        <v>118</v>
      </c>
      <c r="AP3419">
        <v>-113</v>
      </c>
      <c r="AQ3419">
        <v>64</v>
      </c>
      <c r="AR3419">
        <v>-64</v>
      </c>
      <c r="AZ3419">
        <v>1200</v>
      </c>
      <c r="BA3419">
        <v>1</v>
      </c>
      <c r="BB3419" t="str">
        <f t="shared" si="166"/>
        <v xml:space="preserve">N8080G  </v>
      </c>
      <c r="BC3419">
        <v>1</v>
      </c>
      <c r="BE3419">
        <v>0</v>
      </c>
      <c r="BF3419">
        <v>0</v>
      </c>
      <c r="BG3419">
        <v>0</v>
      </c>
      <c r="BH3419">
        <v>1350</v>
      </c>
      <c r="BI3419">
        <v>1</v>
      </c>
      <c r="BJ3419">
        <v>1</v>
      </c>
      <c r="BK3419">
        <v>1</v>
      </c>
      <c r="BL3419">
        <v>0</v>
      </c>
      <c r="BO3419">
        <v>0</v>
      </c>
      <c r="BP3419">
        <v>0</v>
      </c>
      <c r="BW3419" t="str">
        <f>"20:33:05.359"</f>
        <v>20:33:05.359</v>
      </c>
      <c r="BZ3419">
        <v>0</v>
      </c>
      <c r="CA3419">
        <v>1600</v>
      </c>
      <c r="CB3419">
        <v>224</v>
      </c>
      <c r="CD3419">
        <v>1</v>
      </c>
      <c r="CE3419">
        <v>0</v>
      </c>
      <c r="CF3419">
        <v>0</v>
      </c>
      <c r="CG3419">
        <v>1</v>
      </c>
      <c r="CH3419">
        <v>0</v>
      </c>
      <c r="CI3419">
        <v>0</v>
      </c>
      <c r="CJ3419">
        <v>0</v>
      </c>
      <c r="CK3419">
        <v>2</v>
      </c>
      <c r="CL3419">
        <v>0</v>
      </c>
      <c r="CM3419">
        <v>2</v>
      </c>
      <c r="CN3419">
        <v>0</v>
      </c>
      <c r="CO3419">
        <v>6</v>
      </c>
      <c r="CP3419" t="s">
        <v>119</v>
      </c>
      <c r="CQ3419">
        <v>180</v>
      </c>
      <c r="CR3419">
        <v>2</v>
      </c>
      <c r="CW3419">
        <v>8812679</v>
      </c>
      <c r="CY3419">
        <v>1</v>
      </c>
      <c r="CZ3419">
        <v>0</v>
      </c>
      <c r="DA3419">
        <v>0</v>
      </c>
      <c r="DB3419">
        <v>0</v>
      </c>
      <c r="DC3419">
        <v>0</v>
      </c>
      <c r="DD3419">
        <v>0</v>
      </c>
      <c r="DE3419">
        <v>0</v>
      </c>
      <c r="DF3419">
        <v>0</v>
      </c>
      <c r="DG3419">
        <v>0</v>
      </c>
      <c r="DH3419">
        <v>0</v>
      </c>
      <c r="DI3419">
        <v>0</v>
      </c>
    </row>
    <row r="3420" spans="1:113" x14ac:dyDescent="0.3">
      <c r="A3420" t="str">
        <f>"02/08/2021 20:33:03.010"</f>
        <v>02/08/2021 20:33:03.010</v>
      </c>
      <c r="C3420" t="str">
        <f t="shared" si="167"/>
        <v>FFDFD7C0</v>
      </c>
      <c r="D3420" t="s">
        <v>113</v>
      </c>
      <c r="E3420">
        <v>6</v>
      </c>
      <c r="H3420">
        <v>165</v>
      </c>
      <c r="I3420" t="s">
        <v>114</v>
      </c>
      <c r="J3420" t="s">
        <v>115</v>
      </c>
      <c r="K3420">
        <v>0</v>
      </c>
      <c r="L3420">
        <v>3</v>
      </c>
      <c r="M3420">
        <v>0</v>
      </c>
      <c r="N3420">
        <v>2</v>
      </c>
      <c r="O3420">
        <v>1</v>
      </c>
      <c r="P3420">
        <v>0</v>
      </c>
      <c r="Q3420">
        <v>0</v>
      </c>
      <c r="S3420" t="str">
        <f>"20:33:05.359"</f>
        <v>20:33:05.359</v>
      </c>
      <c r="T3420" t="str">
        <f>"20:33:04.959"</f>
        <v>20:33:04.959</v>
      </c>
      <c r="U3420" t="str">
        <f t="shared" si="168"/>
        <v>AB01F4</v>
      </c>
      <c r="V3420">
        <v>0</v>
      </c>
      <c r="W3420">
        <v>0</v>
      </c>
      <c r="X3420">
        <v>2</v>
      </c>
      <c r="Z3420">
        <v>0</v>
      </c>
      <c r="AA3420">
        <v>9</v>
      </c>
      <c r="AB3420">
        <v>3</v>
      </c>
      <c r="AC3420">
        <v>0</v>
      </c>
      <c r="AD3420">
        <v>10</v>
      </c>
      <c r="AE3420">
        <v>0</v>
      </c>
      <c r="AF3420">
        <v>3</v>
      </c>
      <c r="AG3420">
        <v>2</v>
      </c>
      <c r="AH3420">
        <v>0</v>
      </c>
      <c r="AI3420" t="s">
        <v>1959</v>
      </c>
      <c r="AJ3420">
        <v>40.081687000000002</v>
      </c>
      <c r="AK3420" t="s">
        <v>1960</v>
      </c>
      <c r="AL3420">
        <v>-92.957339000000005</v>
      </c>
      <c r="AM3420">
        <v>100</v>
      </c>
      <c r="AN3420">
        <v>1300</v>
      </c>
      <c r="AO3420" t="s">
        <v>118</v>
      </c>
      <c r="AP3420">
        <v>-113</v>
      </c>
      <c r="AQ3420">
        <v>64</v>
      </c>
      <c r="AR3420">
        <v>-64</v>
      </c>
      <c r="AZ3420">
        <v>1200</v>
      </c>
      <c r="BA3420">
        <v>1</v>
      </c>
      <c r="BB3420" t="str">
        <f t="shared" si="166"/>
        <v xml:space="preserve">N8080G  </v>
      </c>
      <c r="BC3420">
        <v>1</v>
      </c>
      <c r="BE3420">
        <v>0</v>
      </c>
      <c r="BF3420">
        <v>0</v>
      </c>
      <c r="BG3420">
        <v>0</v>
      </c>
      <c r="BH3420">
        <v>1350</v>
      </c>
      <c r="BI3420">
        <v>1</v>
      </c>
      <c r="BJ3420">
        <v>1</v>
      </c>
      <c r="BK3420">
        <v>1</v>
      </c>
      <c r="BL3420">
        <v>0</v>
      </c>
      <c r="BO3420">
        <v>0</v>
      </c>
      <c r="BP3420">
        <v>0</v>
      </c>
      <c r="BW3420" t="str">
        <f>"20:33:05.359"</f>
        <v>20:33:05.359</v>
      </c>
      <c r="BZ3420">
        <v>0</v>
      </c>
      <c r="CA3420">
        <v>1600</v>
      </c>
      <c r="CB3420">
        <v>224</v>
      </c>
      <c r="CD3420">
        <v>1</v>
      </c>
      <c r="CE3420">
        <v>0</v>
      </c>
      <c r="CF3420">
        <v>0</v>
      </c>
      <c r="CG3420">
        <v>1</v>
      </c>
      <c r="CH3420">
        <v>0</v>
      </c>
      <c r="CI3420">
        <v>0</v>
      </c>
      <c r="CJ3420">
        <v>0</v>
      </c>
      <c r="CK3420">
        <v>2</v>
      </c>
      <c r="CL3420">
        <v>0</v>
      </c>
      <c r="CM3420">
        <v>2</v>
      </c>
      <c r="CN3420">
        <v>0</v>
      </c>
      <c r="CO3420">
        <v>6</v>
      </c>
      <c r="CP3420" t="s">
        <v>119</v>
      </c>
      <c r="CQ3420">
        <v>180</v>
      </c>
      <c r="CR3420">
        <v>2</v>
      </c>
      <c r="CW3420">
        <v>8812679</v>
      </c>
      <c r="CY3420">
        <v>1</v>
      </c>
      <c r="CZ3420">
        <v>0</v>
      </c>
      <c r="DA3420">
        <v>1</v>
      </c>
      <c r="DB3420">
        <v>0</v>
      </c>
      <c r="DC3420">
        <v>0</v>
      </c>
      <c r="DD3420">
        <v>0</v>
      </c>
      <c r="DE3420">
        <v>0</v>
      </c>
      <c r="DF3420">
        <v>0</v>
      </c>
      <c r="DG3420">
        <v>0</v>
      </c>
      <c r="DH3420">
        <v>0</v>
      </c>
      <c r="DI3420">
        <v>0</v>
      </c>
    </row>
    <row r="3421" spans="1:113" x14ac:dyDescent="0.3">
      <c r="A3421" t="str">
        <f>"02/08/2021 20:33:03.010"</f>
        <v>02/08/2021 20:33:03.010</v>
      </c>
      <c r="C3421" t="str">
        <f t="shared" si="167"/>
        <v>FFDFD7C0</v>
      </c>
      <c r="D3421" t="s">
        <v>124</v>
      </c>
      <c r="E3421">
        <v>12</v>
      </c>
      <c r="F3421">
        <v>1012</v>
      </c>
      <c r="G3421" t="s">
        <v>675</v>
      </c>
      <c r="J3421" t="s">
        <v>125</v>
      </c>
      <c r="K3421">
        <v>0</v>
      </c>
      <c r="L3421">
        <v>3</v>
      </c>
      <c r="M3421">
        <v>0</v>
      </c>
      <c r="N3421">
        <v>2</v>
      </c>
      <c r="O3421">
        <v>1</v>
      </c>
      <c r="P3421">
        <v>0</v>
      </c>
      <c r="Q3421">
        <v>0</v>
      </c>
      <c r="S3421" t="str">
        <f>"20:33:05.359"</f>
        <v>20:33:05.359</v>
      </c>
      <c r="T3421" t="str">
        <f>"20:33:04.959"</f>
        <v>20:33:04.959</v>
      </c>
      <c r="U3421" t="str">
        <f t="shared" si="168"/>
        <v>AB01F4</v>
      </c>
      <c r="V3421">
        <v>0</v>
      </c>
      <c r="W3421">
        <v>0</v>
      </c>
      <c r="X3421">
        <v>2</v>
      </c>
      <c r="Z3421">
        <v>0</v>
      </c>
      <c r="AA3421">
        <v>9</v>
      </c>
      <c r="AB3421">
        <v>3</v>
      </c>
      <c r="AC3421">
        <v>0</v>
      </c>
      <c r="AD3421">
        <v>10</v>
      </c>
      <c r="AE3421">
        <v>0</v>
      </c>
      <c r="AF3421">
        <v>3</v>
      </c>
      <c r="AG3421">
        <v>2</v>
      </c>
      <c r="AH3421">
        <v>0</v>
      </c>
      <c r="AI3421" t="s">
        <v>1959</v>
      </c>
      <c r="AJ3421">
        <v>40.081687000000002</v>
      </c>
      <c r="AK3421" t="s">
        <v>1960</v>
      </c>
      <c r="AL3421">
        <v>-92.957339000000005</v>
      </c>
      <c r="AM3421">
        <v>100</v>
      </c>
      <c r="AN3421">
        <v>1300</v>
      </c>
      <c r="AO3421" t="s">
        <v>118</v>
      </c>
      <c r="AP3421">
        <v>-113</v>
      </c>
      <c r="AQ3421">
        <v>64</v>
      </c>
      <c r="AR3421">
        <v>-64</v>
      </c>
      <c r="AZ3421">
        <v>1200</v>
      </c>
      <c r="BA3421">
        <v>1</v>
      </c>
      <c r="BB3421" t="str">
        <f t="shared" si="166"/>
        <v xml:space="preserve">N8080G  </v>
      </c>
      <c r="BC3421">
        <v>1</v>
      </c>
      <c r="BE3421">
        <v>0</v>
      </c>
      <c r="BF3421">
        <v>0</v>
      </c>
      <c r="BG3421">
        <v>0</v>
      </c>
      <c r="BH3421">
        <v>1350</v>
      </c>
      <c r="BI3421">
        <v>1</v>
      </c>
      <c r="BJ3421">
        <v>1</v>
      </c>
      <c r="BK3421">
        <v>1</v>
      </c>
      <c r="BL3421">
        <v>0</v>
      </c>
      <c r="BO3421">
        <v>0</v>
      </c>
      <c r="BP3421">
        <v>0</v>
      </c>
      <c r="BW3421" t="str">
        <f>"20:33:05.359"</f>
        <v>20:33:05.359</v>
      </c>
      <c r="BZ3421">
        <v>0</v>
      </c>
      <c r="CA3421">
        <v>1600</v>
      </c>
      <c r="CB3421">
        <v>224</v>
      </c>
      <c r="CD3421">
        <v>1</v>
      </c>
      <c r="CE3421">
        <v>0</v>
      </c>
      <c r="CF3421">
        <v>0</v>
      </c>
      <c r="CG3421">
        <v>1</v>
      </c>
      <c r="CH3421">
        <v>0</v>
      </c>
      <c r="CI3421">
        <v>0</v>
      </c>
      <c r="CJ3421">
        <v>0</v>
      </c>
      <c r="CK3421">
        <v>2</v>
      </c>
      <c r="CL3421">
        <v>0</v>
      </c>
      <c r="CM3421">
        <v>2</v>
      </c>
      <c r="CN3421">
        <v>0</v>
      </c>
      <c r="CO3421">
        <v>6</v>
      </c>
      <c r="CP3421" t="s">
        <v>119</v>
      </c>
      <c r="CQ3421">
        <v>180</v>
      </c>
      <c r="CR3421">
        <v>2</v>
      </c>
      <c r="CW3421">
        <v>8812679</v>
      </c>
      <c r="CY3421">
        <v>1</v>
      </c>
      <c r="CZ3421">
        <v>0</v>
      </c>
      <c r="DA3421">
        <v>1</v>
      </c>
      <c r="DB3421">
        <v>0</v>
      </c>
      <c r="DC3421">
        <v>0</v>
      </c>
      <c r="DD3421">
        <v>0</v>
      </c>
      <c r="DE3421">
        <v>0</v>
      </c>
      <c r="DF3421">
        <v>0</v>
      </c>
      <c r="DG3421">
        <v>0</v>
      </c>
      <c r="DH3421">
        <v>0</v>
      </c>
      <c r="DI3421">
        <v>0</v>
      </c>
    </row>
    <row r="3422" spans="1:113" x14ac:dyDescent="0.3">
      <c r="A3422" t="str">
        <f>"02/08/2021 20:33:03.010"</f>
        <v>02/08/2021 20:33:03.010</v>
      </c>
      <c r="C3422" t="str">
        <f t="shared" si="167"/>
        <v>FFDFD7C0</v>
      </c>
      <c r="D3422" t="s">
        <v>124</v>
      </c>
      <c r="E3422">
        <v>11</v>
      </c>
      <c r="F3422">
        <v>1011</v>
      </c>
      <c r="G3422" t="s">
        <v>590</v>
      </c>
      <c r="J3422" t="s">
        <v>125</v>
      </c>
      <c r="K3422">
        <v>0</v>
      </c>
      <c r="L3422">
        <v>3</v>
      </c>
      <c r="M3422">
        <v>0</v>
      </c>
      <c r="N3422">
        <v>2</v>
      </c>
      <c r="O3422">
        <v>1</v>
      </c>
      <c r="P3422">
        <v>0</v>
      </c>
      <c r="Q3422">
        <v>0</v>
      </c>
      <c r="S3422" t="str">
        <f>"20:33:05.359"</f>
        <v>20:33:05.359</v>
      </c>
      <c r="T3422" t="str">
        <f>"20:33:04.959"</f>
        <v>20:33:04.959</v>
      </c>
      <c r="U3422" t="str">
        <f t="shared" si="168"/>
        <v>AB01F4</v>
      </c>
      <c r="V3422">
        <v>0</v>
      </c>
      <c r="W3422">
        <v>0</v>
      </c>
      <c r="X3422">
        <v>2</v>
      </c>
      <c r="Z3422">
        <v>0</v>
      </c>
      <c r="AA3422">
        <v>9</v>
      </c>
      <c r="AB3422">
        <v>3</v>
      </c>
      <c r="AC3422">
        <v>0</v>
      </c>
      <c r="AD3422">
        <v>10</v>
      </c>
      <c r="AE3422">
        <v>0</v>
      </c>
      <c r="AF3422">
        <v>3</v>
      </c>
      <c r="AG3422">
        <v>2</v>
      </c>
      <c r="AH3422">
        <v>0</v>
      </c>
      <c r="AI3422" t="s">
        <v>1959</v>
      </c>
      <c r="AJ3422">
        <v>40.081687000000002</v>
      </c>
      <c r="AK3422" t="s">
        <v>1960</v>
      </c>
      <c r="AL3422">
        <v>-92.957339000000005</v>
      </c>
      <c r="AM3422">
        <v>100</v>
      </c>
      <c r="AN3422">
        <v>1300</v>
      </c>
      <c r="AO3422" t="s">
        <v>118</v>
      </c>
      <c r="AP3422">
        <v>-113</v>
      </c>
      <c r="AQ3422">
        <v>64</v>
      </c>
      <c r="AR3422">
        <v>-64</v>
      </c>
      <c r="AZ3422">
        <v>1200</v>
      </c>
      <c r="BA3422">
        <v>1</v>
      </c>
      <c r="BB3422" t="str">
        <f t="shared" si="166"/>
        <v xml:space="preserve">N8080G  </v>
      </c>
      <c r="BC3422">
        <v>1</v>
      </c>
      <c r="BE3422">
        <v>0</v>
      </c>
      <c r="BF3422">
        <v>0</v>
      </c>
      <c r="BG3422">
        <v>0</v>
      </c>
      <c r="BH3422">
        <v>1350</v>
      </c>
      <c r="BI3422">
        <v>1</v>
      </c>
      <c r="BJ3422">
        <v>1</v>
      </c>
      <c r="BK3422">
        <v>1</v>
      </c>
      <c r="BL3422">
        <v>0</v>
      </c>
      <c r="BO3422">
        <v>0</v>
      </c>
      <c r="BP3422">
        <v>0</v>
      </c>
      <c r="BW3422" t="str">
        <f>"20:33:05.359"</f>
        <v>20:33:05.359</v>
      </c>
      <c r="BZ3422">
        <v>0</v>
      </c>
      <c r="CA3422">
        <v>1600</v>
      </c>
      <c r="CB3422">
        <v>224</v>
      </c>
      <c r="CD3422">
        <v>1</v>
      </c>
      <c r="CE3422">
        <v>0</v>
      </c>
      <c r="CF3422">
        <v>0</v>
      </c>
      <c r="CG3422">
        <v>1</v>
      </c>
      <c r="CH3422">
        <v>0</v>
      </c>
      <c r="CI3422">
        <v>0</v>
      </c>
      <c r="CJ3422">
        <v>0</v>
      </c>
      <c r="CK3422">
        <v>2</v>
      </c>
      <c r="CL3422">
        <v>0</v>
      </c>
      <c r="CM3422">
        <v>2</v>
      </c>
      <c r="CN3422">
        <v>0</v>
      </c>
      <c r="CO3422">
        <v>6</v>
      </c>
      <c r="CP3422" t="s">
        <v>119</v>
      </c>
      <c r="CQ3422">
        <v>180</v>
      </c>
      <c r="CR3422">
        <v>2</v>
      </c>
      <c r="CW3422">
        <v>8812679</v>
      </c>
      <c r="CY3422">
        <v>1</v>
      </c>
      <c r="CZ3422">
        <v>0</v>
      </c>
      <c r="DA3422">
        <v>1</v>
      </c>
      <c r="DB3422">
        <v>0</v>
      </c>
      <c r="DC3422">
        <v>0</v>
      </c>
      <c r="DD3422">
        <v>0</v>
      </c>
      <c r="DE3422">
        <v>0</v>
      </c>
      <c r="DF3422">
        <v>0</v>
      </c>
      <c r="DG3422">
        <v>0</v>
      </c>
      <c r="DH3422">
        <v>0</v>
      </c>
      <c r="DI3422">
        <v>0</v>
      </c>
    </row>
    <row r="3423" spans="1:113" x14ac:dyDescent="0.3">
      <c r="A3423" t="str">
        <f>"02/08/2021 20:33:04.131"</f>
        <v>02/08/2021 20:33:04.131</v>
      </c>
      <c r="C3423" t="str">
        <f t="shared" ref="C3423:C3438" si="169">"FFDFD7C0"</f>
        <v>FFDFD7C0</v>
      </c>
      <c r="D3423" t="s">
        <v>113</v>
      </c>
      <c r="E3423">
        <v>6</v>
      </c>
      <c r="H3423">
        <v>165</v>
      </c>
      <c r="I3423" t="s">
        <v>114</v>
      </c>
      <c r="J3423" t="s">
        <v>115</v>
      </c>
      <c r="K3423">
        <v>0</v>
      </c>
      <c r="L3423">
        <v>3</v>
      </c>
      <c r="M3423">
        <v>0</v>
      </c>
      <c r="N3423">
        <v>2</v>
      </c>
      <c r="O3423">
        <v>1</v>
      </c>
      <c r="P3423">
        <v>0</v>
      </c>
      <c r="Q3423">
        <v>0</v>
      </c>
      <c r="S3423" t="str">
        <f>"20:33:06.469"</f>
        <v>20:33:06.469</v>
      </c>
      <c r="T3423" t="str">
        <f>"20:33:05.969"</f>
        <v>20:33:05.969</v>
      </c>
      <c r="U3423" t="str">
        <f t="shared" si="168"/>
        <v>AB01F4</v>
      </c>
      <c r="V3423">
        <v>0</v>
      </c>
      <c r="W3423">
        <v>0</v>
      </c>
      <c r="X3423">
        <v>2</v>
      </c>
      <c r="Z3423">
        <v>0</v>
      </c>
      <c r="AA3423">
        <v>9</v>
      </c>
      <c r="AB3423">
        <v>3</v>
      </c>
      <c r="AC3423">
        <v>0</v>
      </c>
      <c r="AD3423">
        <v>10</v>
      </c>
      <c r="AE3423">
        <v>0</v>
      </c>
      <c r="AF3423">
        <v>3</v>
      </c>
      <c r="AG3423">
        <v>2</v>
      </c>
      <c r="AH3423">
        <v>0</v>
      </c>
      <c r="AI3423" t="s">
        <v>1961</v>
      </c>
      <c r="AJ3423">
        <v>40.081986999999998</v>
      </c>
      <c r="AK3423" t="s">
        <v>1962</v>
      </c>
      <c r="AL3423">
        <v>-92.958068999999995</v>
      </c>
      <c r="AM3423">
        <v>100</v>
      </c>
      <c r="AN3423">
        <v>1300</v>
      </c>
      <c r="AO3423" t="s">
        <v>118</v>
      </c>
      <c r="AP3423">
        <v>-113</v>
      </c>
      <c r="AQ3423">
        <v>65</v>
      </c>
      <c r="AR3423">
        <v>0</v>
      </c>
      <c r="AZ3423">
        <v>1200</v>
      </c>
      <c r="BA3423">
        <v>1</v>
      </c>
      <c r="BB3423" t="str">
        <f t="shared" si="166"/>
        <v xml:space="preserve">N8080G  </v>
      </c>
      <c r="BC3423">
        <v>1</v>
      </c>
      <c r="BE3423">
        <v>0</v>
      </c>
      <c r="BF3423">
        <v>0</v>
      </c>
      <c r="BG3423">
        <v>0</v>
      </c>
      <c r="BH3423">
        <v>1350</v>
      </c>
      <c r="BI3423">
        <v>1</v>
      </c>
      <c r="BJ3423">
        <v>1</v>
      </c>
      <c r="BK3423">
        <v>1</v>
      </c>
      <c r="BL3423">
        <v>0</v>
      </c>
      <c r="BO3423">
        <v>0</v>
      </c>
      <c r="BP3423">
        <v>0</v>
      </c>
      <c r="BW3423" t="str">
        <f>"20:33:06.470"</f>
        <v>20:33:06.470</v>
      </c>
      <c r="BZ3423">
        <v>0</v>
      </c>
      <c r="CA3423">
        <v>1600</v>
      </c>
      <c r="CB3423">
        <v>224</v>
      </c>
      <c r="CD3423">
        <v>1</v>
      </c>
      <c r="CE3423">
        <v>0</v>
      </c>
      <c r="CF3423">
        <v>0</v>
      </c>
      <c r="CG3423">
        <v>1</v>
      </c>
      <c r="CH3423">
        <v>0</v>
      </c>
      <c r="CI3423">
        <v>0</v>
      </c>
      <c r="CJ3423">
        <v>0</v>
      </c>
      <c r="CK3423">
        <v>2</v>
      </c>
      <c r="CL3423">
        <v>0</v>
      </c>
      <c r="CM3423">
        <v>2</v>
      </c>
      <c r="CN3423">
        <v>0</v>
      </c>
      <c r="CO3423">
        <v>6</v>
      </c>
      <c r="CP3423" t="s">
        <v>119</v>
      </c>
      <c r="CQ3423">
        <v>180</v>
      </c>
      <c r="CR3423">
        <v>3</v>
      </c>
      <c r="CW3423">
        <v>1154165</v>
      </c>
      <c r="CY3423">
        <v>1</v>
      </c>
      <c r="CZ3423">
        <v>0</v>
      </c>
      <c r="DA3423">
        <v>0</v>
      </c>
      <c r="DB3423">
        <v>0</v>
      </c>
      <c r="DC3423">
        <v>0</v>
      </c>
      <c r="DD3423">
        <v>0</v>
      </c>
      <c r="DE3423">
        <v>0</v>
      </c>
      <c r="DF3423">
        <v>0</v>
      </c>
      <c r="DG3423">
        <v>0</v>
      </c>
      <c r="DH3423">
        <v>0</v>
      </c>
      <c r="DI3423">
        <v>0</v>
      </c>
    </row>
    <row r="3424" spans="1:113" x14ac:dyDescent="0.3">
      <c r="A3424" t="str">
        <f>"02/08/2021 20:33:04.131"</f>
        <v>02/08/2021 20:33:04.131</v>
      </c>
      <c r="C3424" t="str">
        <f t="shared" si="169"/>
        <v>FFDFD7C0</v>
      </c>
      <c r="D3424" t="s">
        <v>124</v>
      </c>
      <c r="E3424">
        <v>12</v>
      </c>
      <c r="F3424">
        <v>1012</v>
      </c>
      <c r="G3424" t="s">
        <v>675</v>
      </c>
      <c r="J3424" t="s">
        <v>125</v>
      </c>
      <c r="K3424">
        <v>0</v>
      </c>
      <c r="L3424">
        <v>3</v>
      </c>
      <c r="M3424">
        <v>0</v>
      </c>
      <c r="N3424">
        <v>2</v>
      </c>
      <c r="O3424">
        <v>1</v>
      </c>
      <c r="P3424">
        <v>0</v>
      </c>
      <c r="Q3424">
        <v>0</v>
      </c>
      <c r="S3424" t="str">
        <f>"20:33:06.469"</f>
        <v>20:33:06.469</v>
      </c>
      <c r="T3424" t="str">
        <f>"20:33:05.969"</f>
        <v>20:33:05.969</v>
      </c>
      <c r="U3424" t="str">
        <f t="shared" si="168"/>
        <v>AB01F4</v>
      </c>
      <c r="V3424">
        <v>0</v>
      </c>
      <c r="W3424">
        <v>0</v>
      </c>
      <c r="X3424">
        <v>2</v>
      </c>
      <c r="Z3424">
        <v>0</v>
      </c>
      <c r="AA3424">
        <v>9</v>
      </c>
      <c r="AB3424">
        <v>3</v>
      </c>
      <c r="AC3424">
        <v>0</v>
      </c>
      <c r="AD3424">
        <v>10</v>
      </c>
      <c r="AE3424">
        <v>0</v>
      </c>
      <c r="AF3424">
        <v>3</v>
      </c>
      <c r="AG3424">
        <v>2</v>
      </c>
      <c r="AH3424">
        <v>0</v>
      </c>
      <c r="AI3424" t="s">
        <v>1961</v>
      </c>
      <c r="AJ3424">
        <v>40.081986999999998</v>
      </c>
      <c r="AK3424" t="s">
        <v>1962</v>
      </c>
      <c r="AL3424">
        <v>-92.958068999999995</v>
      </c>
      <c r="AM3424">
        <v>100</v>
      </c>
      <c r="AN3424">
        <v>1300</v>
      </c>
      <c r="AO3424" t="s">
        <v>118</v>
      </c>
      <c r="AP3424">
        <v>-113</v>
      </c>
      <c r="AQ3424">
        <v>65</v>
      </c>
      <c r="AR3424">
        <v>0</v>
      </c>
      <c r="AZ3424">
        <v>1200</v>
      </c>
      <c r="BA3424">
        <v>1</v>
      </c>
      <c r="BB3424" t="str">
        <f t="shared" si="166"/>
        <v xml:space="preserve">N8080G  </v>
      </c>
      <c r="BC3424">
        <v>1</v>
      </c>
      <c r="BE3424">
        <v>0</v>
      </c>
      <c r="BF3424">
        <v>0</v>
      </c>
      <c r="BG3424">
        <v>0</v>
      </c>
      <c r="BH3424">
        <v>1350</v>
      </c>
      <c r="BI3424">
        <v>1</v>
      </c>
      <c r="BJ3424">
        <v>1</v>
      </c>
      <c r="BK3424">
        <v>1</v>
      </c>
      <c r="BL3424">
        <v>0</v>
      </c>
      <c r="BO3424">
        <v>0</v>
      </c>
      <c r="BP3424">
        <v>0</v>
      </c>
      <c r="BW3424" t="str">
        <f>"20:33:06.470"</f>
        <v>20:33:06.470</v>
      </c>
      <c r="BZ3424">
        <v>0</v>
      </c>
      <c r="CA3424">
        <v>1600</v>
      </c>
      <c r="CB3424">
        <v>224</v>
      </c>
      <c r="CD3424">
        <v>1</v>
      </c>
      <c r="CE3424">
        <v>0</v>
      </c>
      <c r="CF3424">
        <v>0</v>
      </c>
      <c r="CG3424">
        <v>1</v>
      </c>
      <c r="CH3424">
        <v>0</v>
      </c>
      <c r="CI3424">
        <v>0</v>
      </c>
      <c r="CJ3424">
        <v>0</v>
      </c>
      <c r="CK3424">
        <v>2</v>
      </c>
      <c r="CL3424">
        <v>0</v>
      </c>
      <c r="CM3424">
        <v>2</v>
      </c>
      <c r="CN3424">
        <v>0</v>
      </c>
      <c r="CO3424">
        <v>6</v>
      </c>
      <c r="CP3424" t="s">
        <v>119</v>
      </c>
      <c r="CQ3424">
        <v>180</v>
      </c>
      <c r="CR3424">
        <v>3</v>
      </c>
      <c r="CW3424">
        <v>1154165</v>
      </c>
      <c r="CY3424">
        <v>1</v>
      </c>
      <c r="CZ3424">
        <v>0</v>
      </c>
      <c r="DA3424">
        <v>1</v>
      </c>
      <c r="DB3424">
        <v>0</v>
      </c>
      <c r="DC3424">
        <v>0</v>
      </c>
      <c r="DD3424">
        <v>0</v>
      </c>
      <c r="DE3424">
        <v>0</v>
      </c>
      <c r="DF3424">
        <v>0</v>
      </c>
      <c r="DG3424">
        <v>0</v>
      </c>
      <c r="DH3424">
        <v>0</v>
      </c>
      <c r="DI3424">
        <v>0</v>
      </c>
    </row>
    <row r="3425" spans="1:113" x14ac:dyDescent="0.3">
      <c r="A3425" t="str">
        <f>"02/08/2021 20:33:04.131"</f>
        <v>02/08/2021 20:33:04.131</v>
      </c>
      <c r="C3425" t="str">
        <f t="shared" si="169"/>
        <v>FFDFD7C0</v>
      </c>
      <c r="D3425" t="s">
        <v>124</v>
      </c>
      <c r="E3425">
        <v>11</v>
      </c>
      <c r="F3425">
        <v>1011</v>
      </c>
      <c r="G3425" t="s">
        <v>590</v>
      </c>
      <c r="J3425" t="s">
        <v>125</v>
      </c>
      <c r="K3425">
        <v>0</v>
      </c>
      <c r="L3425">
        <v>3</v>
      </c>
      <c r="M3425">
        <v>0</v>
      </c>
      <c r="N3425">
        <v>2</v>
      </c>
      <c r="O3425">
        <v>1</v>
      </c>
      <c r="P3425">
        <v>0</v>
      </c>
      <c r="Q3425">
        <v>0</v>
      </c>
      <c r="S3425" t="str">
        <f>"20:33:06.469"</f>
        <v>20:33:06.469</v>
      </c>
      <c r="T3425" t="str">
        <f>"20:33:05.969"</f>
        <v>20:33:05.969</v>
      </c>
      <c r="U3425" t="str">
        <f t="shared" si="168"/>
        <v>AB01F4</v>
      </c>
      <c r="V3425">
        <v>0</v>
      </c>
      <c r="W3425">
        <v>0</v>
      </c>
      <c r="X3425">
        <v>2</v>
      </c>
      <c r="Z3425">
        <v>0</v>
      </c>
      <c r="AA3425">
        <v>9</v>
      </c>
      <c r="AB3425">
        <v>3</v>
      </c>
      <c r="AC3425">
        <v>0</v>
      </c>
      <c r="AD3425">
        <v>10</v>
      </c>
      <c r="AE3425">
        <v>0</v>
      </c>
      <c r="AF3425">
        <v>3</v>
      </c>
      <c r="AG3425">
        <v>2</v>
      </c>
      <c r="AH3425">
        <v>0</v>
      </c>
      <c r="AI3425" t="s">
        <v>1961</v>
      </c>
      <c r="AJ3425">
        <v>40.081986999999998</v>
      </c>
      <c r="AK3425" t="s">
        <v>1962</v>
      </c>
      <c r="AL3425">
        <v>-92.958068999999995</v>
      </c>
      <c r="AM3425">
        <v>100</v>
      </c>
      <c r="AN3425">
        <v>1300</v>
      </c>
      <c r="AO3425" t="s">
        <v>118</v>
      </c>
      <c r="AP3425">
        <v>-113</v>
      </c>
      <c r="AQ3425">
        <v>65</v>
      </c>
      <c r="AR3425">
        <v>0</v>
      </c>
      <c r="AZ3425">
        <v>1200</v>
      </c>
      <c r="BA3425">
        <v>1</v>
      </c>
      <c r="BB3425" t="str">
        <f t="shared" si="166"/>
        <v xml:space="preserve">N8080G  </v>
      </c>
      <c r="BC3425">
        <v>1</v>
      </c>
      <c r="BE3425">
        <v>0</v>
      </c>
      <c r="BF3425">
        <v>0</v>
      </c>
      <c r="BG3425">
        <v>0</v>
      </c>
      <c r="BH3425">
        <v>1350</v>
      </c>
      <c r="BI3425">
        <v>1</v>
      </c>
      <c r="BJ3425">
        <v>1</v>
      </c>
      <c r="BK3425">
        <v>1</v>
      </c>
      <c r="BL3425">
        <v>0</v>
      </c>
      <c r="BO3425">
        <v>0</v>
      </c>
      <c r="BP3425">
        <v>0</v>
      </c>
      <c r="BW3425" t="str">
        <f>"20:33:06.470"</f>
        <v>20:33:06.470</v>
      </c>
      <c r="BZ3425">
        <v>0</v>
      </c>
      <c r="CA3425">
        <v>1600</v>
      </c>
      <c r="CB3425">
        <v>224</v>
      </c>
      <c r="CD3425">
        <v>1</v>
      </c>
      <c r="CE3425">
        <v>0</v>
      </c>
      <c r="CF3425">
        <v>0</v>
      </c>
      <c r="CG3425">
        <v>1</v>
      </c>
      <c r="CH3425">
        <v>0</v>
      </c>
      <c r="CI3425">
        <v>0</v>
      </c>
      <c r="CJ3425">
        <v>0</v>
      </c>
      <c r="CK3425">
        <v>2</v>
      </c>
      <c r="CL3425">
        <v>0</v>
      </c>
      <c r="CM3425">
        <v>2</v>
      </c>
      <c r="CN3425">
        <v>0</v>
      </c>
      <c r="CO3425">
        <v>6</v>
      </c>
      <c r="CP3425" t="s">
        <v>119</v>
      </c>
      <c r="CQ3425">
        <v>180</v>
      </c>
      <c r="CR3425">
        <v>3</v>
      </c>
      <c r="CW3425">
        <v>1154165</v>
      </c>
      <c r="CY3425">
        <v>1</v>
      </c>
      <c r="CZ3425">
        <v>0</v>
      </c>
      <c r="DA3425">
        <v>1</v>
      </c>
      <c r="DB3425">
        <v>0</v>
      </c>
      <c r="DC3425">
        <v>0</v>
      </c>
      <c r="DD3425">
        <v>0</v>
      </c>
      <c r="DE3425">
        <v>0</v>
      </c>
      <c r="DF3425">
        <v>0</v>
      </c>
      <c r="DG3425">
        <v>0</v>
      </c>
      <c r="DH3425">
        <v>0</v>
      </c>
      <c r="DI3425">
        <v>0</v>
      </c>
    </row>
    <row r="3426" spans="1:113" x14ac:dyDescent="0.3">
      <c r="A3426" t="str">
        <f>"02/08/2021 20:33:04.131"</f>
        <v>02/08/2021 20:33:04.131</v>
      </c>
      <c r="C3426" t="str">
        <f t="shared" si="169"/>
        <v>FFDFD7C0</v>
      </c>
      <c r="D3426" t="s">
        <v>124</v>
      </c>
      <c r="E3426">
        <v>13</v>
      </c>
      <c r="F3426">
        <v>1013</v>
      </c>
      <c r="G3426" t="s">
        <v>114</v>
      </c>
      <c r="J3426" t="s">
        <v>125</v>
      </c>
      <c r="K3426">
        <v>0</v>
      </c>
      <c r="L3426">
        <v>3</v>
      </c>
      <c r="M3426">
        <v>0</v>
      </c>
      <c r="N3426">
        <v>2</v>
      </c>
      <c r="O3426">
        <v>1</v>
      </c>
      <c r="P3426">
        <v>0</v>
      </c>
      <c r="Q3426">
        <v>0</v>
      </c>
      <c r="S3426" t="str">
        <f>"20:33:06.469"</f>
        <v>20:33:06.469</v>
      </c>
      <c r="T3426" t="str">
        <f>"20:33:05.969"</f>
        <v>20:33:05.969</v>
      </c>
      <c r="U3426" t="str">
        <f t="shared" si="168"/>
        <v>AB01F4</v>
      </c>
      <c r="V3426">
        <v>0</v>
      </c>
      <c r="W3426">
        <v>0</v>
      </c>
      <c r="X3426">
        <v>2</v>
      </c>
      <c r="Z3426">
        <v>0</v>
      </c>
      <c r="AA3426">
        <v>9</v>
      </c>
      <c r="AB3426">
        <v>3</v>
      </c>
      <c r="AC3426">
        <v>0</v>
      </c>
      <c r="AD3426">
        <v>10</v>
      </c>
      <c r="AE3426">
        <v>0</v>
      </c>
      <c r="AF3426">
        <v>3</v>
      </c>
      <c r="AG3426">
        <v>2</v>
      </c>
      <c r="AH3426">
        <v>0</v>
      </c>
      <c r="AI3426" t="s">
        <v>1961</v>
      </c>
      <c r="AJ3426">
        <v>40.081986999999998</v>
      </c>
      <c r="AK3426" t="s">
        <v>1962</v>
      </c>
      <c r="AL3426">
        <v>-92.958068999999995</v>
      </c>
      <c r="AM3426">
        <v>100</v>
      </c>
      <c r="AN3426">
        <v>1300</v>
      </c>
      <c r="AO3426" t="s">
        <v>118</v>
      </c>
      <c r="AP3426">
        <v>-113</v>
      </c>
      <c r="AQ3426">
        <v>65</v>
      </c>
      <c r="AR3426">
        <v>0</v>
      </c>
      <c r="AZ3426">
        <v>1200</v>
      </c>
      <c r="BA3426">
        <v>1</v>
      </c>
      <c r="BB3426" t="str">
        <f t="shared" si="166"/>
        <v xml:space="preserve">N8080G  </v>
      </c>
      <c r="BC3426">
        <v>1</v>
      </c>
      <c r="BE3426">
        <v>0</v>
      </c>
      <c r="BF3426">
        <v>0</v>
      </c>
      <c r="BG3426">
        <v>0</v>
      </c>
      <c r="BH3426">
        <v>1350</v>
      </c>
      <c r="BI3426">
        <v>1</v>
      </c>
      <c r="BJ3426">
        <v>1</v>
      </c>
      <c r="BK3426">
        <v>1</v>
      </c>
      <c r="BL3426">
        <v>0</v>
      </c>
      <c r="BO3426">
        <v>0</v>
      </c>
      <c r="BP3426">
        <v>0</v>
      </c>
      <c r="BW3426" t="str">
        <f>"20:33:06.470"</f>
        <v>20:33:06.470</v>
      </c>
      <c r="BZ3426">
        <v>0</v>
      </c>
      <c r="CA3426">
        <v>1600</v>
      </c>
      <c r="CB3426">
        <v>224</v>
      </c>
      <c r="CD3426">
        <v>1</v>
      </c>
      <c r="CE3426">
        <v>0</v>
      </c>
      <c r="CF3426">
        <v>0</v>
      </c>
      <c r="CG3426">
        <v>1</v>
      </c>
      <c r="CH3426">
        <v>0</v>
      </c>
      <c r="CI3426">
        <v>0</v>
      </c>
      <c r="CJ3426">
        <v>0</v>
      </c>
      <c r="CK3426">
        <v>2</v>
      </c>
      <c r="CL3426">
        <v>0</v>
      </c>
      <c r="CM3426">
        <v>2</v>
      </c>
      <c r="CN3426">
        <v>0</v>
      </c>
      <c r="CO3426">
        <v>6</v>
      </c>
      <c r="CP3426" t="s">
        <v>119</v>
      </c>
      <c r="CQ3426">
        <v>180</v>
      </c>
      <c r="CR3426">
        <v>3</v>
      </c>
      <c r="CW3426">
        <v>1154165</v>
      </c>
      <c r="CY3426">
        <v>1</v>
      </c>
      <c r="CZ3426">
        <v>0</v>
      </c>
      <c r="DA3426">
        <v>1</v>
      </c>
      <c r="DB3426">
        <v>0</v>
      </c>
      <c r="DC3426">
        <v>0</v>
      </c>
      <c r="DD3426">
        <v>0</v>
      </c>
      <c r="DE3426">
        <v>0</v>
      </c>
      <c r="DF3426">
        <v>0</v>
      </c>
      <c r="DG3426">
        <v>0</v>
      </c>
      <c r="DH3426">
        <v>0</v>
      </c>
      <c r="DI3426">
        <v>0</v>
      </c>
    </row>
    <row r="3427" spans="1:113" x14ac:dyDescent="0.3">
      <c r="A3427" t="str">
        <f>"02/08/2021 20:33:05.520"</f>
        <v>02/08/2021 20:33:05.520</v>
      </c>
      <c r="C3427" t="str">
        <f t="shared" si="169"/>
        <v>FFDFD7C0</v>
      </c>
      <c r="D3427" t="s">
        <v>124</v>
      </c>
      <c r="E3427">
        <v>11</v>
      </c>
      <c r="F3427">
        <v>1011</v>
      </c>
      <c r="G3427" t="s">
        <v>590</v>
      </c>
      <c r="J3427" t="s">
        <v>125</v>
      </c>
      <c r="K3427">
        <v>0</v>
      </c>
      <c r="L3427">
        <v>3</v>
      </c>
      <c r="M3427">
        <v>0</v>
      </c>
      <c r="N3427">
        <v>2</v>
      </c>
      <c r="O3427">
        <v>1</v>
      </c>
      <c r="P3427">
        <v>0</v>
      </c>
      <c r="Q3427">
        <v>0</v>
      </c>
      <c r="S3427" t="str">
        <f>"20:33:07.828"</f>
        <v>20:33:07.828</v>
      </c>
      <c r="T3427" t="str">
        <f>"20:33:07.328"</f>
        <v>20:33:07.328</v>
      </c>
      <c r="U3427" t="str">
        <f t="shared" si="168"/>
        <v>AB01F4</v>
      </c>
      <c r="V3427">
        <v>0</v>
      </c>
      <c r="W3427">
        <v>0</v>
      </c>
      <c r="X3427">
        <v>2</v>
      </c>
      <c r="Z3427">
        <v>0</v>
      </c>
      <c r="AA3427">
        <v>9</v>
      </c>
      <c r="AB3427">
        <v>3</v>
      </c>
      <c r="AC3427">
        <v>0</v>
      </c>
      <c r="AD3427">
        <v>10</v>
      </c>
      <c r="AE3427">
        <v>0</v>
      </c>
      <c r="AF3427">
        <v>3</v>
      </c>
      <c r="AG3427">
        <v>2</v>
      </c>
      <c r="AH3427">
        <v>0</v>
      </c>
      <c r="AI3427" t="s">
        <v>1963</v>
      </c>
      <c r="AJ3427">
        <v>40.082417</v>
      </c>
      <c r="AK3427" t="s">
        <v>1964</v>
      </c>
      <c r="AL3427">
        <v>-92.959012999999999</v>
      </c>
      <c r="AM3427">
        <v>100</v>
      </c>
      <c r="AN3427">
        <v>1300</v>
      </c>
      <c r="AO3427" t="s">
        <v>118</v>
      </c>
      <c r="AP3427">
        <v>-113</v>
      </c>
      <c r="AQ3427">
        <v>65</v>
      </c>
      <c r="AR3427">
        <v>0</v>
      </c>
      <c r="AZ3427">
        <v>1200</v>
      </c>
      <c r="BA3427">
        <v>1</v>
      </c>
      <c r="BB3427" t="str">
        <f t="shared" si="166"/>
        <v xml:space="preserve">N8080G  </v>
      </c>
      <c r="BC3427">
        <v>1</v>
      </c>
      <c r="BE3427">
        <v>0</v>
      </c>
      <c r="BF3427">
        <v>0</v>
      </c>
      <c r="BG3427">
        <v>0</v>
      </c>
      <c r="BH3427">
        <v>1350</v>
      </c>
      <c r="BI3427">
        <v>1</v>
      </c>
      <c r="BJ3427">
        <v>1</v>
      </c>
      <c r="BK3427">
        <v>1</v>
      </c>
      <c r="BL3427">
        <v>0</v>
      </c>
      <c r="BO3427">
        <v>0</v>
      </c>
      <c r="BP3427">
        <v>0</v>
      </c>
      <c r="BW3427" t="str">
        <f>"20:33:07.829"</f>
        <v>20:33:07.829</v>
      </c>
      <c r="BZ3427">
        <v>0</v>
      </c>
      <c r="CA3427">
        <v>1600</v>
      </c>
      <c r="CB3427">
        <v>224</v>
      </c>
      <c r="CD3427">
        <v>1</v>
      </c>
      <c r="CE3427">
        <v>0</v>
      </c>
      <c r="CF3427">
        <v>0</v>
      </c>
      <c r="CG3427">
        <v>1</v>
      </c>
      <c r="CH3427">
        <v>0</v>
      </c>
      <c r="CI3427">
        <v>0</v>
      </c>
      <c r="CJ3427">
        <v>0</v>
      </c>
      <c r="CK3427">
        <v>2</v>
      </c>
      <c r="CL3427">
        <v>0</v>
      </c>
      <c r="CM3427">
        <v>2</v>
      </c>
      <c r="CN3427">
        <v>0</v>
      </c>
      <c r="CO3427">
        <v>6</v>
      </c>
      <c r="CP3427" t="s">
        <v>119</v>
      </c>
      <c r="CQ3427">
        <v>180</v>
      </c>
      <c r="CR3427">
        <v>3</v>
      </c>
      <c r="CW3427">
        <v>1155130</v>
      </c>
      <c r="CY3427">
        <v>1</v>
      </c>
      <c r="CZ3427">
        <v>0</v>
      </c>
      <c r="DA3427">
        <v>0</v>
      </c>
      <c r="DB3427">
        <v>0</v>
      </c>
      <c r="DC3427">
        <v>0</v>
      </c>
      <c r="DD3427">
        <v>0</v>
      </c>
      <c r="DE3427">
        <v>0</v>
      </c>
      <c r="DF3427">
        <v>0</v>
      </c>
      <c r="DG3427">
        <v>0</v>
      </c>
      <c r="DH3427">
        <v>0</v>
      </c>
      <c r="DI3427">
        <v>0</v>
      </c>
    </row>
    <row r="3428" spans="1:113" x14ac:dyDescent="0.3">
      <c r="A3428" t="str">
        <f>"02/08/2021 20:33:05.520"</f>
        <v>02/08/2021 20:33:05.520</v>
      </c>
      <c r="C3428" t="str">
        <f t="shared" si="169"/>
        <v>FFDFD7C0</v>
      </c>
      <c r="D3428" t="s">
        <v>124</v>
      </c>
      <c r="E3428">
        <v>13</v>
      </c>
      <c r="F3428">
        <v>1013</v>
      </c>
      <c r="G3428" t="s">
        <v>114</v>
      </c>
      <c r="J3428" t="s">
        <v>125</v>
      </c>
      <c r="K3428">
        <v>0</v>
      </c>
      <c r="L3428">
        <v>3</v>
      </c>
      <c r="M3428">
        <v>0</v>
      </c>
      <c r="N3428">
        <v>2</v>
      </c>
      <c r="O3428">
        <v>1</v>
      </c>
      <c r="P3428">
        <v>0</v>
      </c>
      <c r="Q3428">
        <v>0</v>
      </c>
      <c r="S3428" t="str">
        <f>"20:33:07.828"</f>
        <v>20:33:07.828</v>
      </c>
      <c r="T3428" t="str">
        <f>"20:33:07.328"</f>
        <v>20:33:07.328</v>
      </c>
      <c r="U3428" t="str">
        <f t="shared" si="168"/>
        <v>AB01F4</v>
      </c>
      <c r="V3428">
        <v>0</v>
      </c>
      <c r="W3428">
        <v>0</v>
      </c>
      <c r="X3428">
        <v>2</v>
      </c>
      <c r="Z3428">
        <v>0</v>
      </c>
      <c r="AA3428">
        <v>9</v>
      </c>
      <c r="AB3428">
        <v>3</v>
      </c>
      <c r="AC3428">
        <v>0</v>
      </c>
      <c r="AD3428">
        <v>10</v>
      </c>
      <c r="AE3428">
        <v>0</v>
      </c>
      <c r="AF3428">
        <v>3</v>
      </c>
      <c r="AG3428">
        <v>2</v>
      </c>
      <c r="AH3428">
        <v>0</v>
      </c>
      <c r="AI3428" t="s">
        <v>1963</v>
      </c>
      <c r="AJ3428">
        <v>40.082417</v>
      </c>
      <c r="AK3428" t="s">
        <v>1964</v>
      </c>
      <c r="AL3428">
        <v>-92.959012999999999</v>
      </c>
      <c r="AM3428">
        <v>100</v>
      </c>
      <c r="AN3428">
        <v>1300</v>
      </c>
      <c r="AO3428" t="s">
        <v>118</v>
      </c>
      <c r="AP3428">
        <v>-113</v>
      </c>
      <c r="AQ3428">
        <v>65</v>
      </c>
      <c r="AR3428">
        <v>0</v>
      </c>
      <c r="AZ3428">
        <v>1200</v>
      </c>
      <c r="BA3428">
        <v>1</v>
      </c>
      <c r="BB3428" t="str">
        <f t="shared" si="166"/>
        <v xml:space="preserve">N8080G  </v>
      </c>
      <c r="BC3428">
        <v>1</v>
      </c>
      <c r="BE3428">
        <v>0</v>
      </c>
      <c r="BF3428">
        <v>0</v>
      </c>
      <c r="BG3428">
        <v>0</v>
      </c>
      <c r="BH3428">
        <v>1350</v>
      </c>
      <c r="BI3428">
        <v>1</v>
      </c>
      <c r="BJ3428">
        <v>1</v>
      </c>
      <c r="BK3428">
        <v>1</v>
      </c>
      <c r="BL3428">
        <v>0</v>
      </c>
      <c r="BO3428">
        <v>0</v>
      </c>
      <c r="BP3428">
        <v>0</v>
      </c>
      <c r="BW3428" t="str">
        <f>"20:33:07.829"</f>
        <v>20:33:07.829</v>
      </c>
      <c r="BZ3428">
        <v>0</v>
      </c>
      <c r="CA3428">
        <v>1600</v>
      </c>
      <c r="CB3428">
        <v>224</v>
      </c>
      <c r="CD3428">
        <v>1</v>
      </c>
      <c r="CE3428">
        <v>0</v>
      </c>
      <c r="CF3428">
        <v>0</v>
      </c>
      <c r="CG3428">
        <v>1</v>
      </c>
      <c r="CH3428">
        <v>0</v>
      </c>
      <c r="CI3428">
        <v>0</v>
      </c>
      <c r="CJ3428">
        <v>0</v>
      </c>
      <c r="CK3428">
        <v>2</v>
      </c>
      <c r="CL3428">
        <v>0</v>
      </c>
      <c r="CM3428">
        <v>2</v>
      </c>
      <c r="CN3428">
        <v>0</v>
      </c>
      <c r="CO3428">
        <v>6</v>
      </c>
      <c r="CP3428" t="s">
        <v>119</v>
      </c>
      <c r="CQ3428">
        <v>180</v>
      </c>
      <c r="CR3428">
        <v>3</v>
      </c>
      <c r="CW3428">
        <v>1155130</v>
      </c>
      <c r="CY3428">
        <v>1</v>
      </c>
      <c r="CZ3428">
        <v>0</v>
      </c>
      <c r="DA3428">
        <v>1</v>
      </c>
      <c r="DB3428">
        <v>0</v>
      </c>
      <c r="DC3428">
        <v>0</v>
      </c>
      <c r="DD3428">
        <v>0</v>
      </c>
      <c r="DE3428">
        <v>0</v>
      </c>
      <c r="DF3428">
        <v>0</v>
      </c>
      <c r="DG3428">
        <v>0</v>
      </c>
      <c r="DH3428">
        <v>0</v>
      </c>
      <c r="DI3428">
        <v>0</v>
      </c>
    </row>
    <row r="3429" spans="1:113" x14ac:dyDescent="0.3">
      <c r="A3429" t="str">
        <f>"02/08/2021 20:33:05.520"</f>
        <v>02/08/2021 20:33:05.520</v>
      </c>
      <c r="C3429" t="str">
        <f t="shared" si="169"/>
        <v>FFDFD7C0</v>
      </c>
      <c r="D3429" t="s">
        <v>124</v>
      </c>
      <c r="E3429">
        <v>12</v>
      </c>
      <c r="F3429">
        <v>1012</v>
      </c>
      <c r="G3429" t="s">
        <v>675</v>
      </c>
      <c r="J3429" t="s">
        <v>125</v>
      </c>
      <c r="K3429">
        <v>0</v>
      </c>
      <c r="L3429">
        <v>3</v>
      </c>
      <c r="M3429">
        <v>0</v>
      </c>
      <c r="N3429">
        <v>2</v>
      </c>
      <c r="O3429">
        <v>1</v>
      </c>
      <c r="P3429">
        <v>0</v>
      </c>
      <c r="Q3429">
        <v>0</v>
      </c>
      <c r="S3429" t="str">
        <f>"20:33:07.828"</f>
        <v>20:33:07.828</v>
      </c>
      <c r="T3429" t="str">
        <f>"20:33:07.328"</f>
        <v>20:33:07.328</v>
      </c>
      <c r="U3429" t="str">
        <f t="shared" si="168"/>
        <v>AB01F4</v>
      </c>
      <c r="V3429">
        <v>0</v>
      </c>
      <c r="W3429">
        <v>0</v>
      </c>
      <c r="X3429">
        <v>2</v>
      </c>
      <c r="Z3429">
        <v>0</v>
      </c>
      <c r="AA3429">
        <v>9</v>
      </c>
      <c r="AB3429">
        <v>3</v>
      </c>
      <c r="AC3429">
        <v>0</v>
      </c>
      <c r="AD3429">
        <v>10</v>
      </c>
      <c r="AE3429">
        <v>0</v>
      </c>
      <c r="AF3429">
        <v>3</v>
      </c>
      <c r="AG3429">
        <v>2</v>
      </c>
      <c r="AH3429">
        <v>0</v>
      </c>
      <c r="AI3429" t="s">
        <v>1963</v>
      </c>
      <c r="AJ3429">
        <v>40.082417</v>
      </c>
      <c r="AK3429" t="s">
        <v>1964</v>
      </c>
      <c r="AL3429">
        <v>-92.959012999999999</v>
      </c>
      <c r="AM3429">
        <v>100</v>
      </c>
      <c r="AN3429">
        <v>1300</v>
      </c>
      <c r="AO3429" t="s">
        <v>118</v>
      </c>
      <c r="AP3429">
        <v>-113</v>
      </c>
      <c r="AQ3429">
        <v>65</v>
      </c>
      <c r="AR3429">
        <v>0</v>
      </c>
      <c r="AZ3429">
        <v>1200</v>
      </c>
      <c r="BA3429">
        <v>1</v>
      </c>
      <c r="BB3429" t="str">
        <f t="shared" si="166"/>
        <v xml:space="preserve">N8080G  </v>
      </c>
      <c r="BC3429">
        <v>1</v>
      </c>
      <c r="BE3429">
        <v>0</v>
      </c>
      <c r="BF3429">
        <v>0</v>
      </c>
      <c r="BG3429">
        <v>0</v>
      </c>
      <c r="BH3429">
        <v>1350</v>
      </c>
      <c r="BI3429">
        <v>1</v>
      </c>
      <c r="BJ3429">
        <v>1</v>
      </c>
      <c r="BK3429">
        <v>1</v>
      </c>
      <c r="BL3429">
        <v>0</v>
      </c>
      <c r="BO3429">
        <v>0</v>
      </c>
      <c r="BP3429">
        <v>0</v>
      </c>
      <c r="BW3429" t="str">
        <f>"20:33:07.829"</f>
        <v>20:33:07.829</v>
      </c>
      <c r="BZ3429">
        <v>0</v>
      </c>
      <c r="CA3429">
        <v>1600</v>
      </c>
      <c r="CB3429">
        <v>224</v>
      </c>
      <c r="CD3429">
        <v>1</v>
      </c>
      <c r="CE3429">
        <v>0</v>
      </c>
      <c r="CF3429">
        <v>0</v>
      </c>
      <c r="CG3429">
        <v>1</v>
      </c>
      <c r="CH3429">
        <v>0</v>
      </c>
      <c r="CI3429">
        <v>0</v>
      </c>
      <c r="CJ3429">
        <v>0</v>
      </c>
      <c r="CK3429">
        <v>2</v>
      </c>
      <c r="CL3429">
        <v>0</v>
      </c>
      <c r="CM3429">
        <v>2</v>
      </c>
      <c r="CN3429">
        <v>0</v>
      </c>
      <c r="CO3429">
        <v>6</v>
      </c>
      <c r="CP3429" t="s">
        <v>119</v>
      </c>
      <c r="CQ3429">
        <v>180</v>
      </c>
      <c r="CR3429">
        <v>3</v>
      </c>
      <c r="CW3429">
        <v>1155130</v>
      </c>
      <c r="CY3429">
        <v>1</v>
      </c>
      <c r="CZ3429">
        <v>0</v>
      </c>
      <c r="DA3429">
        <v>1</v>
      </c>
      <c r="DB3429">
        <v>0</v>
      </c>
      <c r="DC3429">
        <v>0</v>
      </c>
      <c r="DD3429">
        <v>0</v>
      </c>
      <c r="DE3429">
        <v>0</v>
      </c>
      <c r="DF3429">
        <v>0</v>
      </c>
      <c r="DG3429">
        <v>0</v>
      </c>
      <c r="DH3429">
        <v>0</v>
      </c>
      <c r="DI3429">
        <v>0</v>
      </c>
    </row>
    <row r="3430" spans="1:113" x14ac:dyDescent="0.3">
      <c r="A3430" t="str">
        <f>"02/08/2021 20:33:05.520"</f>
        <v>02/08/2021 20:33:05.520</v>
      </c>
      <c r="C3430" t="str">
        <f t="shared" si="169"/>
        <v>FFDFD7C0</v>
      </c>
      <c r="D3430" t="s">
        <v>113</v>
      </c>
      <c r="E3430">
        <v>6</v>
      </c>
      <c r="H3430">
        <v>165</v>
      </c>
      <c r="I3430" t="s">
        <v>114</v>
      </c>
      <c r="J3430" t="s">
        <v>115</v>
      </c>
      <c r="K3430">
        <v>0</v>
      </c>
      <c r="L3430">
        <v>3</v>
      </c>
      <c r="M3430">
        <v>0</v>
      </c>
      <c r="N3430">
        <v>2</v>
      </c>
      <c r="O3430">
        <v>1</v>
      </c>
      <c r="P3430">
        <v>0</v>
      </c>
      <c r="Q3430">
        <v>0</v>
      </c>
      <c r="S3430" t="str">
        <f>"20:33:07.828"</f>
        <v>20:33:07.828</v>
      </c>
      <c r="T3430" t="str">
        <f>"20:33:07.328"</f>
        <v>20:33:07.328</v>
      </c>
      <c r="U3430" t="str">
        <f t="shared" si="168"/>
        <v>AB01F4</v>
      </c>
      <c r="V3430">
        <v>0</v>
      </c>
      <c r="W3430">
        <v>0</v>
      </c>
      <c r="X3430">
        <v>2</v>
      </c>
      <c r="Z3430">
        <v>0</v>
      </c>
      <c r="AA3430">
        <v>9</v>
      </c>
      <c r="AB3430">
        <v>3</v>
      </c>
      <c r="AC3430">
        <v>0</v>
      </c>
      <c r="AD3430">
        <v>10</v>
      </c>
      <c r="AE3430">
        <v>0</v>
      </c>
      <c r="AF3430">
        <v>3</v>
      </c>
      <c r="AG3430">
        <v>2</v>
      </c>
      <c r="AH3430">
        <v>0</v>
      </c>
      <c r="AI3430" t="s">
        <v>1963</v>
      </c>
      <c r="AJ3430">
        <v>40.082417</v>
      </c>
      <c r="AK3430" t="s">
        <v>1964</v>
      </c>
      <c r="AL3430">
        <v>-92.959012999999999</v>
      </c>
      <c r="AM3430">
        <v>100</v>
      </c>
      <c r="AN3430">
        <v>1300</v>
      </c>
      <c r="AO3430" t="s">
        <v>118</v>
      </c>
      <c r="AP3430">
        <v>-113</v>
      </c>
      <c r="AQ3430">
        <v>65</v>
      </c>
      <c r="AR3430">
        <v>0</v>
      </c>
      <c r="AZ3430">
        <v>1200</v>
      </c>
      <c r="BA3430">
        <v>1</v>
      </c>
      <c r="BB3430" t="str">
        <f t="shared" si="166"/>
        <v xml:space="preserve">N8080G  </v>
      </c>
      <c r="BC3430">
        <v>1</v>
      </c>
      <c r="BE3430">
        <v>0</v>
      </c>
      <c r="BF3430">
        <v>0</v>
      </c>
      <c r="BG3430">
        <v>0</v>
      </c>
      <c r="BH3430">
        <v>1350</v>
      </c>
      <c r="BI3430">
        <v>1</v>
      </c>
      <c r="BJ3430">
        <v>1</v>
      </c>
      <c r="BK3430">
        <v>1</v>
      </c>
      <c r="BL3430">
        <v>0</v>
      </c>
      <c r="BO3430">
        <v>0</v>
      </c>
      <c r="BP3430">
        <v>0</v>
      </c>
      <c r="BW3430" t="str">
        <f>"20:33:07.829"</f>
        <v>20:33:07.829</v>
      </c>
      <c r="BZ3430">
        <v>0</v>
      </c>
      <c r="CA3430">
        <v>1600</v>
      </c>
      <c r="CB3430">
        <v>224</v>
      </c>
      <c r="CD3430">
        <v>1</v>
      </c>
      <c r="CE3430">
        <v>0</v>
      </c>
      <c r="CF3430">
        <v>0</v>
      </c>
      <c r="CG3430">
        <v>1</v>
      </c>
      <c r="CH3430">
        <v>0</v>
      </c>
      <c r="CI3430">
        <v>0</v>
      </c>
      <c r="CJ3430">
        <v>0</v>
      </c>
      <c r="CK3430">
        <v>2</v>
      </c>
      <c r="CL3430">
        <v>0</v>
      </c>
      <c r="CM3430">
        <v>2</v>
      </c>
      <c r="CN3430">
        <v>0</v>
      </c>
      <c r="CO3430">
        <v>6</v>
      </c>
      <c r="CP3430" t="s">
        <v>119</v>
      </c>
      <c r="CQ3430">
        <v>180</v>
      </c>
      <c r="CR3430">
        <v>3</v>
      </c>
      <c r="CW3430">
        <v>1155130</v>
      </c>
      <c r="CY3430">
        <v>1</v>
      </c>
      <c r="CZ3430">
        <v>0</v>
      </c>
      <c r="DA3430">
        <v>1</v>
      </c>
      <c r="DB3430">
        <v>0</v>
      </c>
      <c r="DC3430">
        <v>0</v>
      </c>
      <c r="DD3430">
        <v>0</v>
      </c>
      <c r="DE3430">
        <v>0</v>
      </c>
      <c r="DF3430">
        <v>0</v>
      </c>
      <c r="DG3430">
        <v>0</v>
      </c>
      <c r="DH3430">
        <v>0</v>
      </c>
      <c r="DI3430">
        <v>0</v>
      </c>
    </row>
    <row r="3431" spans="1:113" x14ac:dyDescent="0.3">
      <c r="A3431" t="str">
        <f>"02/08/2021 20:33:08.935"</f>
        <v>02/08/2021 20:33:08.935</v>
      </c>
      <c r="C3431" t="str">
        <f t="shared" si="169"/>
        <v>FFDFD7C0</v>
      </c>
      <c r="D3431" t="s">
        <v>113</v>
      </c>
      <c r="E3431">
        <v>6</v>
      </c>
      <c r="H3431">
        <v>165</v>
      </c>
      <c r="I3431" t="s">
        <v>114</v>
      </c>
      <c r="J3431" t="s">
        <v>115</v>
      </c>
      <c r="K3431">
        <v>0</v>
      </c>
      <c r="L3431">
        <v>3</v>
      </c>
      <c r="M3431">
        <v>0</v>
      </c>
      <c r="N3431">
        <v>2</v>
      </c>
      <c r="O3431">
        <v>1</v>
      </c>
      <c r="P3431">
        <v>0</v>
      </c>
      <c r="Q3431">
        <v>0</v>
      </c>
      <c r="S3431" t="str">
        <f>"20:33:11.266"</f>
        <v>20:33:11.266</v>
      </c>
      <c r="T3431" t="str">
        <f>"20:33:10.766"</f>
        <v>20:33:10.766</v>
      </c>
      <c r="U3431" t="str">
        <f t="shared" si="168"/>
        <v>AB01F4</v>
      </c>
      <c r="V3431">
        <v>0</v>
      </c>
      <c r="W3431">
        <v>0</v>
      </c>
      <c r="X3431">
        <v>2</v>
      </c>
      <c r="Z3431">
        <v>0</v>
      </c>
      <c r="AA3431">
        <v>9</v>
      </c>
      <c r="AB3431">
        <v>3</v>
      </c>
      <c r="AC3431">
        <v>0</v>
      </c>
      <c r="AD3431">
        <v>10</v>
      </c>
      <c r="AE3431">
        <v>0</v>
      </c>
      <c r="AF3431">
        <v>3</v>
      </c>
      <c r="AG3431">
        <v>2</v>
      </c>
      <c r="AH3431">
        <v>0</v>
      </c>
      <c r="AI3431" t="s">
        <v>1965</v>
      </c>
      <c r="AJ3431">
        <v>40.083424999999998</v>
      </c>
      <c r="AK3431" t="s">
        <v>1966</v>
      </c>
      <c r="AL3431">
        <v>-92.961309</v>
      </c>
      <c r="AM3431">
        <v>100</v>
      </c>
      <c r="AN3431">
        <v>1300</v>
      </c>
      <c r="AO3431" t="s">
        <v>118</v>
      </c>
      <c r="AP3431">
        <v>-113</v>
      </c>
      <c r="AQ3431">
        <v>63</v>
      </c>
      <c r="AR3431">
        <v>0</v>
      </c>
      <c r="AZ3431">
        <v>1200</v>
      </c>
      <c r="BA3431">
        <v>1</v>
      </c>
      <c r="BB3431" t="str">
        <f t="shared" si="166"/>
        <v xml:space="preserve">N8080G  </v>
      </c>
      <c r="BC3431">
        <v>1</v>
      </c>
      <c r="BE3431">
        <v>0</v>
      </c>
      <c r="BF3431">
        <v>0</v>
      </c>
      <c r="BG3431">
        <v>0</v>
      </c>
      <c r="BH3431">
        <v>1350</v>
      </c>
      <c r="BI3431">
        <v>1</v>
      </c>
      <c r="BJ3431">
        <v>1</v>
      </c>
      <c r="BK3431">
        <v>1</v>
      </c>
      <c r="BL3431">
        <v>0</v>
      </c>
      <c r="BO3431">
        <v>0</v>
      </c>
      <c r="BP3431">
        <v>0</v>
      </c>
      <c r="BW3431" t="str">
        <f>"20:33:11.266"</f>
        <v>20:33:11.266</v>
      </c>
      <c r="BZ3431">
        <v>0</v>
      </c>
      <c r="CA3431">
        <v>1600</v>
      </c>
      <c r="CB3431">
        <v>224</v>
      </c>
      <c r="CD3431">
        <v>1</v>
      </c>
      <c r="CE3431">
        <v>0</v>
      </c>
      <c r="CF3431">
        <v>0</v>
      </c>
      <c r="CG3431">
        <v>1</v>
      </c>
      <c r="CH3431">
        <v>0</v>
      </c>
      <c r="CI3431">
        <v>0</v>
      </c>
      <c r="CJ3431">
        <v>0</v>
      </c>
      <c r="CK3431">
        <v>2</v>
      </c>
      <c r="CL3431">
        <v>0</v>
      </c>
      <c r="CM3431">
        <v>2</v>
      </c>
      <c r="CN3431">
        <v>0</v>
      </c>
      <c r="CO3431">
        <v>6</v>
      </c>
      <c r="CP3431" t="s">
        <v>119</v>
      </c>
      <c r="CQ3431">
        <v>180</v>
      </c>
      <c r="CR3431">
        <v>3</v>
      </c>
      <c r="CW3431">
        <v>1157875</v>
      </c>
      <c r="CY3431">
        <v>1</v>
      </c>
      <c r="CZ3431">
        <v>0</v>
      </c>
      <c r="DA3431">
        <v>0</v>
      </c>
      <c r="DB3431">
        <v>0</v>
      </c>
      <c r="DC3431">
        <v>0</v>
      </c>
      <c r="DD3431">
        <v>0</v>
      </c>
      <c r="DE3431">
        <v>0</v>
      </c>
      <c r="DF3431">
        <v>0</v>
      </c>
      <c r="DG3431">
        <v>0</v>
      </c>
      <c r="DH3431">
        <v>0</v>
      </c>
      <c r="DI3431">
        <v>0</v>
      </c>
    </row>
    <row r="3432" spans="1:113" x14ac:dyDescent="0.3">
      <c r="A3432" t="str">
        <f>"02/08/2021 20:33:08.935"</f>
        <v>02/08/2021 20:33:08.935</v>
      </c>
      <c r="C3432" t="str">
        <f t="shared" si="169"/>
        <v>FFDFD7C0</v>
      </c>
      <c r="D3432" t="s">
        <v>124</v>
      </c>
      <c r="E3432">
        <v>13</v>
      </c>
      <c r="F3432">
        <v>1013</v>
      </c>
      <c r="G3432" t="s">
        <v>114</v>
      </c>
      <c r="J3432" t="s">
        <v>125</v>
      </c>
      <c r="K3432">
        <v>0</v>
      </c>
      <c r="L3432">
        <v>3</v>
      </c>
      <c r="M3432">
        <v>0</v>
      </c>
      <c r="N3432">
        <v>2</v>
      </c>
      <c r="O3432">
        <v>1</v>
      </c>
      <c r="P3432">
        <v>0</v>
      </c>
      <c r="Q3432">
        <v>0</v>
      </c>
      <c r="S3432" t="str">
        <f>"20:33:11.266"</f>
        <v>20:33:11.266</v>
      </c>
      <c r="T3432" t="str">
        <f>"20:33:10.766"</f>
        <v>20:33:10.766</v>
      </c>
      <c r="U3432" t="str">
        <f t="shared" si="168"/>
        <v>AB01F4</v>
      </c>
      <c r="V3432">
        <v>0</v>
      </c>
      <c r="W3432">
        <v>0</v>
      </c>
      <c r="X3432">
        <v>2</v>
      </c>
      <c r="Z3432">
        <v>0</v>
      </c>
      <c r="AA3432">
        <v>9</v>
      </c>
      <c r="AB3432">
        <v>3</v>
      </c>
      <c r="AC3432">
        <v>0</v>
      </c>
      <c r="AD3432">
        <v>10</v>
      </c>
      <c r="AE3432">
        <v>0</v>
      </c>
      <c r="AF3432">
        <v>3</v>
      </c>
      <c r="AG3432">
        <v>2</v>
      </c>
      <c r="AH3432">
        <v>0</v>
      </c>
      <c r="AI3432" t="s">
        <v>1965</v>
      </c>
      <c r="AJ3432">
        <v>40.083424999999998</v>
      </c>
      <c r="AK3432" t="s">
        <v>1966</v>
      </c>
      <c r="AL3432">
        <v>-92.961309</v>
      </c>
      <c r="AM3432">
        <v>100</v>
      </c>
      <c r="AN3432">
        <v>1300</v>
      </c>
      <c r="AO3432" t="s">
        <v>118</v>
      </c>
      <c r="AP3432">
        <v>-113</v>
      </c>
      <c r="AQ3432">
        <v>63</v>
      </c>
      <c r="AR3432">
        <v>0</v>
      </c>
      <c r="AZ3432">
        <v>1200</v>
      </c>
      <c r="BA3432">
        <v>1</v>
      </c>
      <c r="BB3432" t="str">
        <f t="shared" si="166"/>
        <v xml:space="preserve">N8080G  </v>
      </c>
      <c r="BC3432">
        <v>1</v>
      </c>
      <c r="BE3432">
        <v>0</v>
      </c>
      <c r="BF3432">
        <v>0</v>
      </c>
      <c r="BG3432">
        <v>0</v>
      </c>
      <c r="BH3432">
        <v>1350</v>
      </c>
      <c r="BI3432">
        <v>1</v>
      </c>
      <c r="BJ3432">
        <v>1</v>
      </c>
      <c r="BK3432">
        <v>1</v>
      </c>
      <c r="BL3432">
        <v>0</v>
      </c>
      <c r="BO3432">
        <v>0</v>
      </c>
      <c r="BP3432">
        <v>0</v>
      </c>
      <c r="BW3432" t="str">
        <f>"20:33:11.266"</f>
        <v>20:33:11.266</v>
      </c>
      <c r="BZ3432">
        <v>0</v>
      </c>
      <c r="CA3432">
        <v>1600</v>
      </c>
      <c r="CB3432">
        <v>224</v>
      </c>
      <c r="CD3432">
        <v>1</v>
      </c>
      <c r="CE3432">
        <v>0</v>
      </c>
      <c r="CF3432">
        <v>0</v>
      </c>
      <c r="CG3432">
        <v>1</v>
      </c>
      <c r="CH3432">
        <v>0</v>
      </c>
      <c r="CI3432">
        <v>0</v>
      </c>
      <c r="CJ3432">
        <v>0</v>
      </c>
      <c r="CK3432">
        <v>2</v>
      </c>
      <c r="CL3432">
        <v>0</v>
      </c>
      <c r="CM3432">
        <v>2</v>
      </c>
      <c r="CN3432">
        <v>0</v>
      </c>
      <c r="CO3432">
        <v>6</v>
      </c>
      <c r="CP3432" t="s">
        <v>119</v>
      </c>
      <c r="CQ3432">
        <v>180</v>
      </c>
      <c r="CR3432">
        <v>3</v>
      </c>
      <c r="CW3432">
        <v>1157875</v>
      </c>
      <c r="CY3432">
        <v>1</v>
      </c>
      <c r="CZ3432">
        <v>0</v>
      </c>
      <c r="DA3432">
        <v>1</v>
      </c>
      <c r="DB3432">
        <v>0</v>
      </c>
      <c r="DC3432">
        <v>0</v>
      </c>
      <c r="DD3432">
        <v>0</v>
      </c>
      <c r="DE3432">
        <v>0</v>
      </c>
      <c r="DF3432">
        <v>0</v>
      </c>
      <c r="DG3432">
        <v>0</v>
      </c>
      <c r="DH3432">
        <v>0</v>
      </c>
      <c r="DI3432">
        <v>0</v>
      </c>
    </row>
    <row r="3433" spans="1:113" x14ac:dyDescent="0.3">
      <c r="A3433" t="str">
        <f>"02/08/2021 20:33:08.935"</f>
        <v>02/08/2021 20:33:08.935</v>
      </c>
      <c r="C3433" t="str">
        <f t="shared" si="169"/>
        <v>FFDFD7C0</v>
      </c>
      <c r="D3433" t="s">
        <v>124</v>
      </c>
      <c r="E3433">
        <v>11</v>
      </c>
      <c r="F3433">
        <v>1011</v>
      </c>
      <c r="G3433" t="s">
        <v>590</v>
      </c>
      <c r="J3433" t="s">
        <v>125</v>
      </c>
      <c r="K3433">
        <v>0</v>
      </c>
      <c r="L3433">
        <v>3</v>
      </c>
      <c r="M3433">
        <v>0</v>
      </c>
      <c r="N3433">
        <v>2</v>
      </c>
      <c r="O3433">
        <v>1</v>
      </c>
      <c r="P3433">
        <v>0</v>
      </c>
      <c r="Q3433">
        <v>0</v>
      </c>
      <c r="S3433" t="str">
        <f>"20:33:11.266"</f>
        <v>20:33:11.266</v>
      </c>
      <c r="T3433" t="str">
        <f>"20:33:10.766"</f>
        <v>20:33:10.766</v>
      </c>
      <c r="U3433" t="str">
        <f t="shared" si="168"/>
        <v>AB01F4</v>
      </c>
      <c r="V3433">
        <v>0</v>
      </c>
      <c r="W3433">
        <v>0</v>
      </c>
      <c r="X3433">
        <v>2</v>
      </c>
      <c r="Z3433">
        <v>0</v>
      </c>
      <c r="AA3433">
        <v>9</v>
      </c>
      <c r="AB3433">
        <v>3</v>
      </c>
      <c r="AC3433">
        <v>0</v>
      </c>
      <c r="AD3433">
        <v>10</v>
      </c>
      <c r="AE3433">
        <v>0</v>
      </c>
      <c r="AF3433">
        <v>3</v>
      </c>
      <c r="AG3433">
        <v>2</v>
      </c>
      <c r="AH3433">
        <v>0</v>
      </c>
      <c r="AI3433" t="s">
        <v>1965</v>
      </c>
      <c r="AJ3433">
        <v>40.083424999999998</v>
      </c>
      <c r="AK3433" t="s">
        <v>1966</v>
      </c>
      <c r="AL3433">
        <v>-92.961309</v>
      </c>
      <c r="AM3433">
        <v>100</v>
      </c>
      <c r="AN3433">
        <v>1300</v>
      </c>
      <c r="AO3433" t="s">
        <v>118</v>
      </c>
      <c r="AP3433">
        <v>-113</v>
      </c>
      <c r="AQ3433">
        <v>63</v>
      </c>
      <c r="AR3433">
        <v>0</v>
      </c>
      <c r="AZ3433">
        <v>1200</v>
      </c>
      <c r="BA3433">
        <v>1</v>
      </c>
      <c r="BB3433" t="str">
        <f t="shared" si="166"/>
        <v xml:space="preserve">N8080G  </v>
      </c>
      <c r="BC3433">
        <v>1</v>
      </c>
      <c r="BE3433">
        <v>0</v>
      </c>
      <c r="BF3433">
        <v>0</v>
      </c>
      <c r="BG3433">
        <v>0</v>
      </c>
      <c r="BH3433">
        <v>1350</v>
      </c>
      <c r="BI3433">
        <v>1</v>
      </c>
      <c r="BJ3433">
        <v>1</v>
      </c>
      <c r="BK3433">
        <v>1</v>
      </c>
      <c r="BL3433">
        <v>0</v>
      </c>
      <c r="BO3433">
        <v>0</v>
      </c>
      <c r="BP3433">
        <v>0</v>
      </c>
      <c r="BW3433" t="str">
        <f>"20:33:11.266"</f>
        <v>20:33:11.266</v>
      </c>
      <c r="BZ3433">
        <v>0</v>
      </c>
      <c r="CA3433">
        <v>1600</v>
      </c>
      <c r="CB3433">
        <v>224</v>
      </c>
      <c r="CD3433">
        <v>1</v>
      </c>
      <c r="CE3433">
        <v>0</v>
      </c>
      <c r="CF3433">
        <v>0</v>
      </c>
      <c r="CG3433">
        <v>1</v>
      </c>
      <c r="CH3433">
        <v>0</v>
      </c>
      <c r="CI3433">
        <v>0</v>
      </c>
      <c r="CJ3433">
        <v>0</v>
      </c>
      <c r="CK3433">
        <v>2</v>
      </c>
      <c r="CL3433">
        <v>0</v>
      </c>
      <c r="CM3433">
        <v>2</v>
      </c>
      <c r="CN3433">
        <v>0</v>
      </c>
      <c r="CO3433">
        <v>6</v>
      </c>
      <c r="CP3433" t="s">
        <v>119</v>
      </c>
      <c r="CQ3433">
        <v>180</v>
      </c>
      <c r="CR3433">
        <v>3</v>
      </c>
      <c r="CW3433">
        <v>1157875</v>
      </c>
      <c r="CY3433">
        <v>1</v>
      </c>
      <c r="CZ3433">
        <v>0</v>
      </c>
      <c r="DA3433">
        <v>1</v>
      </c>
      <c r="DB3433">
        <v>0</v>
      </c>
      <c r="DC3433">
        <v>0</v>
      </c>
      <c r="DD3433">
        <v>0</v>
      </c>
      <c r="DE3433">
        <v>0</v>
      </c>
      <c r="DF3433">
        <v>0</v>
      </c>
      <c r="DG3433">
        <v>0</v>
      </c>
      <c r="DH3433">
        <v>0</v>
      </c>
      <c r="DI3433">
        <v>0</v>
      </c>
    </row>
    <row r="3434" spans="1:113" x14ac:dyDescent="0.3">
      <c r="A3434" t="str">
        <f>"02/08/2021 20:33:08.935"</f>
        <v>02/08/2021 20:33:08.935</v>
      </c>
      <c r="C3434" t="str">
        <f t="shared" si="169"/>
        <v>FFDFD7C0</v>
      </c>
      <c r="D3434" t="s">
        <v>124</v>
      </c>
      <c r="E3434">
        <v>12</v>
      </c>
      <c r="F3434">
        <v>1012</v>
      </c>
      <c r="G3434" t="s">
        <v>675</v>
      </c>
      <c r="J3434" t="s">
        <v>125</v>
      </c>
      <c r="K3434">
        <v>0</v>
      </c>
      <c r="L3434">
        <v>3</v>
      </c>
      <c r="M3434">
        <v>0</v>
      </c>
      <c r="N3434">
        <v>2</v>
      </c>
      <c r="O3434">
        <v>1</v>
      </c>
      <c r="P3434">
        <v>0</v>
      </c>
      <c r="Q3434">
        <v>0</v>
      </c>
      <c r="S3434" t="str">
        <f>"20:33:11.266"</f>
        <v>20:33:11.266</v>
      </c>
      <c r="T3434" t="str">
        <f>"20:33:10.766"</f>
        <v>20:33:10.766</v>
      </c>
      <c r="U3434" t="str">
        <f t="shared" si="168"/>
        <v>AB01F4</v>
      </c>
      <c r="V3434">
        <v>0</v>
      </c>
      <c r="W3434">
        <v>0</v>
      </c>
      <c r="X3434">
        <v>2</v>
      </c>
      <c r="Z3434">
        <v>0</v>
      </c>
      <c r="AA3434">
        <v>9</v>
      </c>
      <c r="AB3434">
        <v>3</v>
      </c>
      <c r="AC3434">
        <v>0</v>
      </c>
      <c r="AD3434">
        <v>10</v>
      </c>
      <c r="AE3434">
        <v>0</v>
      </c>
      <c r="AF3434">
        <v>3</v>
      </c>
      <c r="AG3434">
        <v>2</v>
      </c>
      <c r="AH3434">
        <v>0</v>
      </c>
      <c r="AI3434" t="s">
        <v>1965</v>
      </c>
      <c r="AJ3434">
        <v>40.083424999999998</v>
      </c>
      <c r="AK3434" t="s">
        <v>1966</v>
      </c>
      <c r="AL3434">
        <v>-92.961309</v>
      </c>
      <c r="AM3434">
        <v>100</v>
      </c>
      <c r="AN3434">
        <v>1300</v>
      </c>
      <c r="AO3434" t="s">
        <v>118</v>
      </c>
      <c r="AP3434">
        <v>-113</v>
      </c>
      <c r="AQ3434">
        <v>63</v>
      </c>
      <c r="AR3434">
        <v>0</v>
      </c>
      <c r="AZ3434">
        <v>1200</v>
      </c>
      <c r="BA3434">
        <v>1</v>
      </c>
      <c r="BB3434" t="str">
        <f t="shared" si="166"/>
        <v xml:space="preserve">N8080G  </v>
      </c>
      <c r="BC3434">
        <v>1</v>
      </c>
      <c r="BE3434">
        <v>0</v>
      </c>
      <c r="BF3434">
        <v>0</v>
      </c>
      <c r="BG3434">
        <v>0</v>
      </c>
      <c r="BH3434">
        <v>1350</v>
      </c>
      <c r="BI3434">
        <v>1</v>
      </c>
      <c r="BJ3434">
        <v>1</v>
      </c>
      <c r="BK3434">
        <v>1</v>
      </c>
      <c r="BL3434">
        <v>0</v>
      </c>
      <c r="BO3434">
        <v>0</v>
      </c>
      <c r="BP3434">
        <v>0</v>
      </c>
      <c r="BW3434" t="str">
        <f>"20:33:11.266"</f>
        <v>20:33:11.266</v>
      </c>
      <c r="BZ3434">
        <v>0</v>
      </c>
      <c r="CA3434">
        <v>1600</v>
      </c>
      <c r="CB3434">
        <v>224</v>
      </c>
      <c r="CD3434">
        <v>1</v>
      </c>
      <c r="CE3434">
        <v>0</v>
      </c>
      <c r="CF3434">
        <v>0</v>
      </c>
      <c r="CG3434">
        <v>1</v>
      </c>
      <c r="CH3434">
        <v>0</v>
      </c>
      <c r="CI3434">
        <v>0</v>
      </c>
      <c r="CJ3434">
        <v>0</v>
      </c>
      <c r="CK3434">
        <v>2</v>
      </c>
      <c r="CL3434">
        <v>0</v>
      </c>
      <c r="CM3434">
        <v>2</v>
      </c>
      <c r="CN3434">
        <v>0</v>
      </c>
      <c r="CO3434">
        <v>6</v>
      </c>
      <c r="CP3434" t="s">
        <v>119</v>
      </c>
      <c r="CQ3434">
        <v>180</v>
      </c>
      <c r="CR3434">
        <v>3</v>
      </c>
      <c r="CW3434">
        <v>1157875</v>
      </c>
      <c r="CY3434">
        <v>1</v>
      </c>
      <c r="CZ3434">
        <v>0</v>
      </c>
      <c r="DA3434">
        <v>1</v>
      </c>
      <c r="DB3434">
        <v>0</v>
      </c>
      <c r="DC3434">
        <v>0</v>
      </c>
      <c r="DD3434">
        <v>0</v>
      </c>
      <c r="DE3434">
        <v>0</v>
      </c>
      <c r="DF3434">
        <v>0</v>
      </c>
      <c r="DG3434">
        <v>0</v>
      </c>
      <c r="DH3434">
        <v>0</v>
      </c>
      <c r="DI3434">
        <v>0</v>
      </c>
    </row>
    <row r="3435" spans="1:113" x14ac:dyDescent="0.3">
      <c r="A3435" t="str">
        <f>"02/08/2021 20:33:10.005"</f>
        <v>02/08/2021 20:33:10.005</v>
      </c>
      <c r="C3435" t="str">
        <f t="shared" si="169"/>
        <v>FFDFD7C0</v>
      </c>
      <c r="D3435" t="s">
        <v>124</v>
      </c>
      <c r="E3435">
        <v>11</v>
      </c>
      <c r="F3435">
        <v>1011</v>
      </c>
      <c r="G3435" t="s">
        <v>590</v>
      </c>
      <c r="J3435" t="s">
        <v>125</v>
      </c>
      <c r="K3435">
        <v>0</v>
      </c>
      <c r="L3435">
        <v>3</v>
      </c>
      <c r="M3435">
        <v>0</v>
      </c>
      <c r="N3435">
        <v>2</v>
      </c>
      <c r="O3435">
        <v>1</v>
      </c>
      <c r="P3435">
        <v>0</v>
      </c>
      <c r="Q3435">
        <v>0</v>
      </c>
      <c r="S3435" t="str">
        <f>"20:33:12.336"</f>
        <v>20:33:12.336</v>
      </c>
      <c r="T3435" t="str">
        <f>"20:33:11.836"</f>
        <v>20:33:11.836</v>
      </c>
      <c r="U3435" t="str">
        <f t="shared" si="168"/>
        <v>AB01F4</v>
      </c>
      <c r="V3435">
        <v>0</v>
      </c>
      <c r="W3435">
        <v>0</v>
      </c>
      <c r="X3435">
        <v>2</v>
      </c>
      <c r="Z3435">
        <v>0</v>
      </c>
      <c r="AA3435">
        <v>9</v>
      </c>
      <c r="AB3435">
        <v>3</v>
      </c>
      <c r="AC3435">
        <v>0</v>
      </c>
      <c r="AD3435">
        <v>10</v>
      </c>
      <c r="AE3435">
        <v>0</v>
      </c>
      <c r="AF3435">
        <v>3</v>
      </c>
      <c r="AG3435">
        <v>2</v>
      </c>
      <c r="AH3435">
        <v>0</v>
      </c>
      <c r="AI3435" t="s">
        <v>1967</v>
      </c>
      <c r="AJ3435">
        <v>40.083747000000002</v>
      </c>
      <c r="AK3435" t="s">
        <v>1968</v>
      </c>
      <c r="AL3435">
        <v>-92.962102999999999</v>
      </c>
      <c r="AM3435">
        <v>100</v>
      </c>
      <c r="AN3435">
        <v>1300</v>
      </c>
      <c r="AO3435" t="s">
        <v>118</v>
      </c>
      <c r="AP3435">
        <v>-114</v>
      </c>
      <c r="AQ3435">
        <v>63</v>
      </c>
      <c r="AR3435">
        <v>64</v>
      </c>
      <c r="AZ3435">
        <v>1200</v>
      </c>
      <c r="BA3435">
        <v>1</v>
      </c>
      <c r="BB3435" t="str">
        <f t="shared" si="166"/>
        <v xml:space="preserve">N8080G  </v>
      </c>
      <c r="BC3435">
        <v>1</v>
      </c>
      <c r="BE3435">
        <v>0</v>
      </c>
      <c r="BF3435">
        <v>0</v>
      </c>
      <c r="BG3435">
        <v>0</v>
      </c>
      <c r="BH3435">
        <v>1350</v>
      </c>
      <c r="BI3435">
        <v>1</v>
      </c>
      <c r="BJ3435">
        <v>1</v>
      </c>
      <c r="BK3435">
        <v>1</v>
      </c>
      <c r="BL3435">
        <v>0</v>
      </c>
      <c r="BO3435">
        <v>0</v>
      </c>
      <c r="BP3435">
        <v>0</v>
      </c>
      <c r="BW3435" t="str">
        <f>"20:33:12.342"</f>
        <v>20:33:12.342</v>
      </c>
      <c r="BZ3435">
        <v>0</v>
      </c>
      <c r="CA3435">
        <v>1600</v>
      </c>
      <c r="CB3435">
        <v>224</v>
      </c>
      <c r="CD3435">
        <v>1</v>
      </c>
      <c r="CE3435">
        <v>0</v>
      </c>
      <c r="CF3435">
        <v>0</v>
      </c>
      <c r="CG3435">
        <v>1</v>
      </c>
      <c r="CH3435">
        <v>0</v>
      </c>
      <c r="CI3435">
        <v>0</v>
      </c>
      <c r="CJ3435">
        <v>0</v>
      </c>
      <c r="CK3435">
        <v>2</v>
      </c>
      <c r="CL3435">
        <v>0</v>
      </c>
      <c r="CM3435">
        <v>2</v>
      </c>
      <c r="CN3435">
        <v>0</v>
      </c>
      <c r="CO3435">
        <v>7</v>
      </c>
      <c r="CP3435" t="s">
        <v>119</v>
      </c>
      <c r="CQ3435">
        <v>180</v>
      </c>
      <c r="CR3435">
        <v>3</v>
      </c>
      <c r="CW3435">
        <v>1158618</v>
      </c>
      <c r="CY3435">
        <v>1</v>
      </c>
      <c r="CZ3435">
        <v>0</v>
      </c>
      <c r="DA3435">
        <v>0</v>
      </c>
      <c r="DB3435">
        <v>0</v>
      </c>
      <c r="DC3435">
        <v>0</v>
      </c>
      <c r="DD3435">
        <v>0</v>
      </c>
      <c r="DE3435">
        <v>0</v>
      </c>
      <c r="DF3435">
        <v>0</v>
      </c>
      <c r="DG3435">
        <v>0</v>
      </c>
      <c r="DH3435">
        <v>0</v>
      </c>
      <c r="DI3435">
        <v>0</v>
      </c>
    </row>
    <row r="3436" spans="1:113" x14ac:dyDescent="0.3">
      <c r="A3436" t="str">
        <f>"02/08/2021 20:33:10.005"</f>
        <v>02/08/2021 20:33:10.005</v>
      </c>
      <c r="C3436" t="str">
        <f t="shared" si="169"/>
        <v>FFDFD7C0</v>
      </c>
      <c r="D3436" t="s">
        <v>124</v>
      </c>
      <c r="E3436">
        <v>12</v>
      </c>
      <c r="F3436">
        <v>1012</v>
      </c>
      <c r="G3436" t="s">
        <v>675</v>
      </c>
      <c r="J3436" t="s">
        <v>125</v>
      </c>
      <c r="K3436">
        <v>0</v>
      </c>
      <c r="L3436">
        <v>3</v>
      </c>
      <c r="M3436">
        <v>0</v>
      </c>
      <c r="N3436">
        <v>2</v>
      </c>
      <c r="O3436">
        <v>1</v>
      </c>
      <c r="P3436">
        <v>0</v>
      </c>
      <c r="Q3436">
        <v>0</v>
      </c>
      <c r="S3436" t="str">
        <f>"20:33:12.336"</f>
        <v>20:33:12.336</v>
      </c>
      <c r="T3436" t="str">
        <f>"20:33:11.836"</f>
        <v>20:33:11.836</v>
      </c>
      <c r="U3436" t="str">
        <f t="shared" si="168"/>
        <v>AB01F4</v>
      </c>
      <c r="V3436">
        <v>0</v>
      </c>
      <c r="W3436">
        <v>0</v>
      </c>
      <c r="X3436">
        <v>2</v>
      </c>
      <c r="Z3436">
        <v>0</v>
      </c>
      <c r="AA3436">
        <v>9</v>
      </c>
      <c r="AB3436">
        <v>3</v>
      </c>
      <c r="AC3436">
        <v>0</v>
      </c>
      <c r="AD3436">
        <v>10</v>
      </c>
      <c r="AE3436">
        <v>0</v>
      </c>
      <c r="AF3436">
        <v>3</v>
      </c>
      <c r="AG3436">
        <v>2</v>
      </c>
      <c r="AH3436">
        <v>0</v>
      </c>
      <c r="AI3436" t="s">
        <v>1967</v>
      </c>
      <c r="AJ3436">
        <v>40.083747000000002</v>
      </c>
      <c r="AK3436" t="s">
        <v>1968</v>
      </c>
      <c r="AL3436">
        <v>-92.962102999999999</v>
      </c>
      <c r="AM3436">
        <v>100</v>
      </c>
      <c r="AN3436">
        <v>1300</v>
      </c>
      <c r="AO3436" t="s">
        <v>118</v>
      </c>
      <c r="AP3436">
        <v>-114</v>
      </c>
      <c r="AQ3436">
        <v>63</v>
      </c>
      <c r="AR3436">
        <v>64</v>
      </c>
      <c r="AZ3436">
        <v>1200</v>
      </c>
      <c r="BA3436">
        <v>1</v>
      </c>
      <c r="BB3436" t="str">
        <f t="shared" si="166"/>
        <v xml:space="preserve">N8080G  </v>
      </c>
      <c r="BC3436">
        <v>1</v>
      </c>
      <c r="BE3436">
        <v>0</v>
      </c>
      <c r="BF3436">
        <v>0</v>
      </c>
      <c r="BG3436">
        <v>0</v>
      </c>
      <c r="BH3436">
        <v>1350</v>
      </c>
      <c r="BI3436">
        <v>1</v>
      </c>
      <c r="BJ3436">
        <v>1</v>
      </c>
      <c r="BK3436">
        <v>1</v>
      </c>
      <c r="BL3436">
        <v>0</v>
      </c>
      <c r="BO3436">
        <v>0</v>
      </c>
      <c r="BP3436">
        <v>0</v>
      </c>
      <c r="BW3436" t="str">
        <f>"20:33:12.342"</f>
        <v>20:33:12.342</v>
      </c>
      <c r="BZ3436">
        <v>0</v>
      </c>
      <c r="CA3436">
        <v>1600</v>
      </c>
      <c r="CB3436">
        <v>224</v>
      </c>
      <c r="CD3436">
        <v>1</v>
      </c>
      <c r="CE3436">
        <v>0</v>
      </c>
      <c r="CF3436">
        <v>0</v>
      </c>
      <c r="CG3436">
        <v>1</v>
      </c>
      <c r="CH3436">
        <v>0</v>
      </c>
      <c r="CI3436">
        <v>0</v>
      </c>
      <c r="CJ3436">
        <v>0</v>
      </c>
      <c r="CK3436">
        <v>2</v>
      </c>
      <c r="CL3436">
        <v>0</v>
      </c>
      <c r="CM3436">
        <v>2</v>
      </c>
      <c r="CN3436">
        <v>0</v>
      </c>
      <c r="CO3436">
        <v>7</v>
      </c>
      <c r="CP3436" t="s">
        <v>119</v>
      </c>
      <c r="CQ3436">
        <v>180</v>
      </c>
      <c r="CR3436">
        <v>3</v>
      </c>
      <c r="CW3436">
        <v>1158618</v>
      </c>
      <c r="CY3436">
        <v>1</v>
      </c>
      <c r="CZ3436">
        <v>0</v>
      </c>
      <c r="DA3436">
        <v>1</v>
      </c>
      <c r="DB3436">
        <v>0</v>
      </c>
      <c r="DC3436">
        <v>0</v>
      </c>
      <c r="DD3436">
        <v>0</v>
      </c>
      <c r="DE3436">
        <v>0</v>
      </c>
      <c r="DF3436">
        <v>0</v>
      </c>
      <c r="DG3436">
        <v>0</v>
      </c>
      <c r="DH3436">
        <v>0</v>
      </c>
      <c r="DI3436">
        <v>0</v>
      </c>
    </row>
    <row r="3437" spans="1:113" x14ac:dyDescent="0.3">
      <c r="A3437" t="str">
        <f>"02/08/2021 20:33:10.005"</f>
        <v>02/08/2021 20:33:10.005</v>
      </c>
      <c r="C3437" t="str">
        <f t="shared" si="169"/>
        <v>FFDFD7C0</v>
      </c>
      <c r="D3437" t="s">
        <v>124</v>
      </c>
      <c r="E3437">
        <v>13</v>
      </c>
      <c r="F3437">
        <v>1013</v>
      </c>
      <c r="G3437" t="s">
        <v>114</v>
      </c>
      <c r="J3437" t="s">
        <v>125</v>
      </c>
      <c r="K3437">
        <v>0</v>
      </c>
      <c r="L3437">
        <v>3</v>
      </c>
      <c r="M3437">
        <v>0</v>
      </c>
      <c r="N3437">
        <v>2</v>
      </c>
      <c r="O3437">
        <v>1</v>
      </c>
      <c r="P3437">
        <v>0</v>
      </c>
      <c r="Q3437">
        <v>0</v>
      </c>
      <c r="S3437" t="str">
        <f>"20:33:12.336"</f>
        <v>20:33:12.336</v>
      </c>
      <c r="T3437" t="str">
        <f>"20:33:11.836"</f>
        <v>20:33:11.836</v>
      </c>
      <c r="U3437" t="str">
        <f t="shared" si="168"/>
        <v>AB01F4</v>
      </c>
      <c r="V3437">
        <v>0</v>
      </c>
      <c r="W3437">
        <v>0</v>
      </c>
      <c r="X3437">
        <v>2</v>
      </c>
      <c r="Z3437">
        <v>0</v>
      </c>
      <c r="AA3437">
        <v>9</v>
      </c>
      <c r="AB3437">
        <v>3</v>
      </c>
      <c r="AC3437">
        <v>0</v>
      </c>
      <c r="AD3437">
        <v>10</v>
      </c>
      <c r="AE3437">
        <v>0</v>
      </c>
      <c r="AF3437">
        <v>3</v>
      </c>
      <c r="AG3437">
        <v>2</v>
      </c>
      <c r="AH3437">
        <v>0</v>
      </c>
      <c r="AI3437" t="s">
        <v>1967</v>
      </c>
      <c r="AJ3437">
        <v>40.083747000000002</v>
      </c>
      <c r="AK3437" t="s">
        <v>1968</v>
      </c>
      <c r="AL3437">
        <v>-92.962102999999999</v>
      </c>
      <c r="AM3437">
        <v>100</v>
      </c>
      <c r="AN3437">
        <v>1300</v>
      </c>
      <c r="AO3437" t="s">
        <v>118</v>
      </c>
      <c r="AP3437">
        <v>-114</v>
      </c>
      <c r="AQ3437">
        <v>63</v>
      </c>
      <c r="AR3437">
        <v>64</v>
      </c>
      <c r="AZ3437">
        <v>1200</v>
      </c>
      <c r="BA3437">
        <v>1</v>
      </c>
      <c r="BB3437" t="str">
        <f t="shared" si="166"/>
        <v xml:space="preserve">N8080G  </v>
      </c>
      <c r="BC3437">
        <v>1</v>
      </c>
      <c r="BE3437">
        <v>0</v>
      </c>
      <c r="BF3437">
        <v>0</v>
      </c>
      <c r="BG3437">
        <v>0</v>
      </c>
      <c r="BH3437">
        <v>1350</v>
      </c>
      <c r="BI3437">
        <v>1</v>
      </c>
      <c r="BJ3437">
        <v>1</v>
      </c>
      <c r="BK3437">
        <v>1</v>
      </c>
      <c r="BL3437">
        <v>0</v>
      </c>
      <c r="BO3437">
        <v>0</v>
      </c>
      <c r="BP3437">
        <v>0</v>
      </c>
      <c r="BW3437" t="str">
        <f>"20:33:12.342"</f>
        <v>20:33:12.342</v>
      </c>
      <c r="BZ3437">
        <v>0</v>
      </c>
      <c r="CA3437">
        <v>1600</v>
      </c>
      <c r="CB3437">
        <v>224</v>
      </c>
      <c r="CD3437">
        <v>1</v>
      </c>
      <c r="CE3437">
        <v>0</v>
      </c>
      <c r="CF3437">
        <v>0</v>
      </c>
      <c r="CG3437">
        <v>1</v>
      </c>
      <c r="CH3437">
        <v>0</v>
      </c>
      <c r="CI3437">
        <v>0</v>
      </c>
      <c r="CJ3437">
        <v>0</v>
      </c>
      <c r="CK3437">
        <v>2</v>
      </c>
      <c r="CL3437">
        <v>0</v>
      </c>
      <c r="CM3437">
        <v>2</v>
      </c>
      <c r="CN3437">
        <v>0</v>
      </c>
      <c r="CO3437">
        <v>7</v>
      </c>
      <c r="CP3437" t="s">
        <v>119</v>
      </c>
      <c r="CQ3437">
        <v>180</v>
      </c>
      <c r="CR3437">
        <v>3</v>
      </c>
      <c r="CW3437">
        <v>1158618</v>
      </c>
      <c r="CY3437">
        <v>1</v>
      </c>
      <c r="CZ3437">
        <v>0</v>
      </c>
      <c r="DA3437">
        <v>1</v>
      </c>
      <c r="DB3437">
        <v>0</v>
      </c>
      <c r="DC3437">
        <v>0</v>
      </c>
      <c r="DD3437">
        <v>0</v>
      </c>
      <c r="DE3437">
        <v>0</v>
      </c>
      <c r="DF3437">
        <v>0</v>
      </c>
      <c r="DG3437">
        <v>0</v>
      </c>
      <c r="DH3437">
        <v>0</v>
      </c>
      <c r="DI3437">
        <v>0</v>
      </c>
    </row>
    <row r="3438" spans="1:113" x14ac:dyDescent="0.3">
      <c r="A3438" t="str">
        <f>"02/08/2021 20:33:10.005"</f>
        <v>02/08/2021 20:33:10.005</v>
      </c>
      <c r="C3438" t="str">
        <f t="shared" si="169"/>
        <v>FFDFD7C0</v>
      </c>
      <c r="D3438" t="s">
        <v>113</v>
      </c>
      <c r="E3438">
        <v>6</v>
      </c>
      <c r="H3438">
        <v>165</v>
      </c>
      <c r="I3438" t="s">
        <v>114</v>
      </c>
      <c r="J3438" t="s">
        <v>115</v>
      </c>
      <c r="K3438">
        <v>0</v>
      </c>
      <c r="L3438">
        <v>3</v>
      </c>
      <c r="M3438">
        <v>0</v>
      </c>
      <c r="N3438">
        <v>2</v>
      </c>
      <c r="O3438">
        <v>1</v>
      </c>
      <c r="P3438">
        <v>0</v>
      </c>
      <c r="Q3438">
        <v>0</v>
      </c>
      <c r="S3438" t="str">
        <f>"20:33:12.336"</f>
        <v>20:33:12.336</v>
      </c>
      <c r="T3438" t="str">
        <f>"20:33:11.836"</f>
        <v>20:33:11.836</v>
      </c>
      <c r="U3438" t="str">
        <f t="shared" si="168"/>
        <v>AB01F4</v>
      </c>
      <c r="V3438">
        <v>0</v>
      </c>
      <c r="W3438">
        <v>0</v>
      </c>
      <c r="X3438">
        <v>2</v>
      </c>
      <c r="Z3438">
        <v>0</v>
      </c>
      <c r="AA3438">
        <v>9</v>
      </c>
      <c r="AB3438">
        <v>3</v>
      </c>
      <c r="AC3438">
        <v>0</v>
      </c>
      <c r="AD3438">
        <v>10</v>
      </c>
      <c r="AE3438">
        <v>0</v>
      </c>
      <c r="AF3438">
        <v>3</v>
      </c>
      <c r="AG3438">
        <v>2</v>
      </c>
      <c r="AH3438">
        <v>0</v>
      </c>
      <c r="AI3438" t="s">
        <v>1967</v>
      </c>
      <c r="AJ3438">
        <v>40.083747000000002</v>
      </c>
      <c r="AK3438" t="s">
        <v>1968</v>
      </c>
      <c r="AL3438">
        <v>-92.962102999999999</v>
      </c>
      <c r="AM3438">
        <v>100</v>
      </c>
      <c r="AN3438">
        <v>1300</v>
      </c>
      <c r="AO3438" t="s">
        <v>118</v>
      </c>
      <c r="AP3438">
        <v>-114</v>
      </c>
      <c r="AQ3438">
        <v>63</v>
      </c>
      <c r="AR3438">
        <v>64</v>
      </c>
      <c r="AZ3438">
        <v>1200</v>
      </c>
      <c r="BA3438">
        <v>1</v>
      </c>
      <c r="BB3438" t="str">
        <f t="shared" si="166"/>
        <v xml:space="preserve">N8080G  </v>
      </c>
      <c r="BC3438">
        <v>1</v>
      </c>
      <c r="BE3438">
        <v>0</v>
      </c>
      <c r="BF3438">
        <v>0</v>
      </c>
      <c r="BG3438">
        <v>0</v>
      </c>
      <c r="BH3438">
        <v>1350</v>
      </c>
      <c r="BI3438">
        <v>1</v>
      </c>
      <c r="BJ3438">
        <v>1</v>
      </c>
      <c r="BK3438">
        <v>1</v>
      </c>
      <c r="BL3438">
        <v>0</v>
      </c>
      <c r="BO3438">
        <v>0</v>
      </c>
      <c r="BP3438">
        <v>0</v>
      </c>
      <c r="BW3438" t="str">
        <f>"20:33:12.342"</f>
        <v>20:33:12.342</v>
      </c>
      <c r="BZ3438">
        <v>0</v>
      </c>
      <c r="CA3438">
        <v>1600</v>
      </c>
      <c r="CB3438">
        <v>224</v>
      </c>
      <c r="CD3438">
        <v>1</v>
      </c>
      <c r="CE3438">
        <v>0</v>
      </c>
      <c r="CF3438">
        <v>0</v>
      </c>
      <c r="CG3438">
        <v>1</v>
      </c>
      <c r="CH3438">
        <v>0</v>
      </c>
      <c r="CI3438">
        <v>0</v>
      </c>
      <c r="CJ3438">
        <v>0</v>
      </c>
      <c r="CK3438">
        <v>2</v>
      </c>
      <c r="CL3438">
        <v>0</v>
      </c>
      <c r="CM3438">
        <v>2</v>
      </c>
      <c r="CN3438">
        <v>0</v>
      </c>
      <c r="CO3438">
        <v>7</v>
      </c>
      <c r="CP3438" t="s">
        <v>119</v>
      </c>
      <c r="CQ3438">
        <v>180</v>
      </c>
      <c r="CR3438">
        <v>3</v>
      </c>
      <c r="CW3438">
        <v>1158618</v>
      </c>
      <c r="CY3438">
        <v>1</v>
      </c>
      <c r="CZ3438">
        <v>0</v>
      </c>
      <c r="DA3438">
        <v>1</v>
      </c>
      <c r="DB3438">
        <v>0</v>
      </c>
      <c r="DC3438">
        <v>0</v>
      </c>
      <c r="DD3438">
        <v>0</v>
      </c>
      <c r="DE3438">
        <v>0</v>
      </c>
      <c r="DF3438">
        <v>0</v>
      </c>
      <c r="DG3438">
        <v>0</v>
      </c>
      <c r="DH3438">
        <v>0</v>
      </c>
      <c r="DI3438">
        <v>0</v>
      </c>
    </row>
    <row r="3439" spans="1:113" x14ac:dyDescent="0.3">
      <c r="A3439" t="str">
        <f>"02/08/2021 20:33:10.720"</f>
        <v>02/08/2021 20:33:10.720</v>
      </c>
      <c r="C3439" t="str">
        <f>"FFDF57C0"</f>
        <v>FFDF57C0</v>
      </c>
      <c r="D3439" t="s">
        <v>124</v>
      </c>
      <c r="E3439">
        <v>12</v>
      </c>
      <c r="F3439">
        <v>1012</v>
      </c>
      <c r="G3439" t="s">
        <v>675</v>
      </c>
      <c r="J3439" t="s">
        <v>125</v>
      </c>
      <c r="K3439">
        <v>0</v>
      </c>
      <c r="L3439">
        <v>3</v>
      </c>
      <c r="M3439">
        <v>0</v>
      </c>
      <c r="N3439">
        <v>2</v>
      </c>
      <c r="O3439">
        <v>1</v>
      </c>
      <c r="P3439">
        <v>0</v>
      </c>
      <c r="Q3439">
        <v>0</v>
      </c>
      <c r="S3439" t="str">
        <f>"20:33:12.766"</f>
        <v>20:33:12.766</v>
      </c>
      <c r="T3439" t="str">
        <f>"20:33:07.866"</f>
        <v>20:33:07.866</v>
      </c>
      <c r="U3439" t="str">
        <f t="shared" si="168"/>
        <v>AB01F4</v>
      </c>
      <c r="V3439">
        <v>0</v>
      </c>
      <c r="W3439">
        <v>0</v>
      </c>
      <c r="X3439">
        <v>2</v>
      </c>
      <c r="Z3439">
        <v>0</v>
      </c>
      <c r="AA3439">
        <v>9</v>
      </c>
      <c r="AB3439">
        <v>3</v>
      </c>
      <c r="AC3439">
        <v>0</v>
      </c>
      <c r="AD3439">
        <v>10</v>
      </c>
      <c r="AE3439">
        <v>0</v>
      </c>
      <c r="AF3439">
        <v>3</v>
      </c>
      <c r="AG3439">
        <v>2</v>
      </c>
      <c r="AH3439">
        <v>0</v>
      </c>
      <c r="AI3439" t="s">
        <v>1969</v>
      </c>
      <c r="AJ3439">
        <v>40.083854000000002</v>
      </c>
      <c r="AK3439" t="s">
        <v>1970</v>
      </c>
      <c r="AL3439">
        <v>-92.962339</v>
      </c>
      <c r="AM3439">
        <v>100</v>
      </c>
      <c r="AN3439">
        <v>1300</v>
      </c>
      <c r="AO3439" t="s">
        <v>118</v>
      </c>
      <c r="AP3439">
        <v>-113</v>
      </c>
      <c r="AQ3439">
        <v>64</v>
      </c>
      <c r="AR3439">
        <v>0</v>
      </c>
      <c r="AZ3439">
        <v>1200</v>
      </c>
      <c r="BA3439">
        <v>1</v>
      </c>
      <c r="BB3439" t="str">
        <f t="shared" ref="BB3439:BB3502" si="170">"N8080G  "</f>
        <v xml:space="preserve">N8080G  </v>
      </c>
      <c r="BC3439">
        <v>1</v>
      </c>
      <c r="BE3439">
        <v>0</v>
      </c>
      <c r="BF3439">
        <v>0</v>
      </c>
      <c r="BG3439">
        <v>0</v>
      </c>
      <c r="BI3439">
        <v>0</v>
      </c>
      <c r="BJ3439">
        <v>0</v>
      </c>
      <c r="BK3439">
        <v>0</v>
      </c>
      <c r="BL3439">
        <v>0</v>
      </c>
      <c r="BO3439">
        <v>0</v>
      </c>
      <c r="BP3439">
        <v>0</v>
      </c>
      <c r="BW3439" t="str">
        <f>"20:33:12.772"</f>
        <v>20:33:12.772</v>
      </c>
      <c r="BZ3439">
        <v>0</v>
      </c>
      <c r="CA3439">
        <v>1600</v>
      </c>
      <c r="CB3439">
        <v>224</v>
      </c>
      <c r="CD3439">
        <v>1</v>
      </c>
      <c r="CE3439">
        <v>0</v>
      </c>
      <c r="CF3439">
        <v>0</v>
      </c>
      <c r="CG3439">
        <v>1</v>
      </c>
      <c r="CH3439">
        <v>0</v>
      </c>
      <c r="CI3439">
        <v>0</v>
      </c>
      <c r="CJ3439">
        <v>0</v>
      </c>
      <c r="CK3439">
        <v>0</v>
      </c>
      <c r="CL3439">
        <v>0</v>
      </c>
      <c r="CM3439">
        <v>0</v>
      </c>
      <c r="CN3439">
        <v>0</v>
      </c>
      <c r="CO3439">
        <v>2</v>
      </c>
      <c r="CP3439" t="s">
        <v>119</v>
      </c>
      <c r="CQ3439">
        <v>179</v>
      </c>
      <c r="CR3439">
        <v>1</v>
      </c>
      <c r="CW3439">
        <v>9288990</v>
      </c>
      <c r="CY3439">
        <v>1</v>
      </c>
      <c r="CZ3439">
        <v>0</v>
      </c>
      <c r="DA3439">
        <v>0</v>
      </c>
      <c r="DB3439">
        <v>0</v>
      </c>
      <c r="DC3439">
        <v>0</v>
      </c>
      <c r="DD3439">
        <v>0</v>
      </c>
      <c r="DE3439">
        <v>0</v>
      </c>
      <c r="DF3439">
        <v>1</v>
      </c>
      <c r="DG3439">
        <v>1</v>
      </c>
      <c r="DH3439">
        <v>0</v>
      </c>
      <c r="DI3439">
        <v>0</v>
      </c>
    </row>
    <row r="3440" spans="1:113" x14ac:dyDescent="0.3">
      <c r="A3440" t="str">
        <f>"02/08/2021 20:33:10.720"</f>
        <v>02/08/2021 20:33:10.720</v>
      </c>
      <c r="C3440" t="str">
        <f>"FFDF57C0"</f>
        <v>FFDF57C0</v>
      </c>
      <c r="D3440" t="s">
        <v>124</v>
      </c>
      <c r="E3440">
        <v>13</v>
      </c>
      <c r="F3440">
        <v>1013</v>
      </c>
      <c r="G3440" t="s">
        <v>114</v>
      </c>
      <c r="J3440" t="s">
        <v>125</v>
      </c>
      <c r="K3440">
        <v>0</v>
      </c>
      <c r="L3440">
        <v>3</v>
      </c>
      <c r="M3440">
        <v>0</v>
      </c>
      <c r="N3440">
        <v>2</v>
      </c>
      <c r="O3440">
        <v>1</v>
      </c>
      <c r="P3440">
        <v>0</v>
      </c>
      <c r="Q3440">
        <v>0</v>
      </c>
      <c r="S3440" t="str">
        <f>"20:33:12.766"</f>
        <v>20:33:12.766</v>
      </c>
      <c r="T3440" t="str">
        <f>"20:33:07.866"</f>
        <v>20:33:07.866</v>
      </c>
      <c r="U3440" t="str">
        <f t="shared" si="168"/>
        <v>AB01F4</v>
      </c>
      <c r="V3440">
        <v>0</v>
      </c>
      <c r="W3440">
        <v>0</v>
      </c>
      <c r="X3440">
        <v>2</v>
      </c>
      <c r="Z3440">
        <v>0</v>
      </c>
      <c r="AA3440">
        <v>9</v>
      </c>
      <c r="AB3440">
        <v>3</v>
      </c>
      <c r="AC3440">
        <v>0</v>
      </c>
      <c r="AD3440">
        <v>10</v>
      </c>
      <c r="AE3440">
        <v>0</v>
      </c>
      <c r="AF3440">
        <v>3</v>
      </c>
      <c r="AG3440">
        <v>2</v>
      </c>
      <c r="AH3440">
        <v>0</v>
      </c>
      <c r="AI3440" t="s">
        <v>1969</v>
      </c>
      <c r="AJ3440">
        <v>40.083854000000002</v>
      </c>
      <c r="AK3440" t="s">
        <v>1970</v>
      </c>
      <c r="AL3440">
        <v>-92.962339</v>
      </c>
      <c r="AM3440">
        <v>100</v>
      </c>
      <c r="AN3440">
        <v>1300</v>
      </c>
      <c r="AO3440" t="s">
        <v>118</v>
      </c>
      <c r="AP3440">
        <v>-113</v>
      </c>
      <c r="AQ3440">
        <v>64</v>
      </c>
      <c r="AR3440">
        <v>0</v>
      </c>
      <c r="AZ3440">
        <v>1200</v>
      </c>
      <c r="BA3440">
        <v>1</v>
      </c>
      <c r="BB3440" t="str">
        <f t="shared" si="170"/>
        <v xml:space="preserve">N8080G  </v>
      </c>
      <c r="BC3440">
        <v>1</v>
      </c>
      <c r="BE3440">
        <v>0</v>
      </c>
      <c r="BF3440">
        <v>0</v>
      </c>
      <c r="BG3440">
        <v>0</v>
      </c>
      <c r="BI3440">
        <v>0</v>
      </c>
      <c r="BJ3440">
        <v>0</v>
      </c>
      <c r="BK3440">
        <v>0</v>
      </c>
      <c r="BL3440">
        <v>0</v>
      </c>
      <c r="BO3440">
        <v>0</v>
      </c>
      <c r="BP3440">
        <v>0</v>
      </c>
      <c r="BW3440" t="str">
        <f>"20:33:12.772"</f>
        <v>20:33:12.772</v>
      </c>
      <c r="BZ3440">
        <v>0</v>
      </c>
      <c r="CA3440">
        <v>1600</v>
      </c>
      <c r="CB3440">
        <v>224</v>
      </c>
      <c r="CD3440">
        <v>1</v>
      </c>
      <c r="CE3440">
        <v>0</v>
      </c>
      <c r="CF3440">
        <v>0</v>
      </c>
      <c r="CG3440">
        <v>1</v>
      </c>
      <c r="CH3440">
        <v>0</v>
      </c>
      <c r="CI3440">
        <v>0</v>
      </c>
      <c r="CJ3440">
        <v>0</v>
      </c>
      <c r="CK3440">
        <v>0</v>
      </c>
      <c r="CL3440">
        <v>0</v>
      </c>
      <c r="CM3440">
        <v>0</v>
      </c>
      <c r="CN3440">
        <v>0</v>
      </c>
      <c r="CO3440">
        <v>2</v>
      </c>
      <c r="CP3440" t="s">
        <v>119</v>
      </c>
      <c r="CQ3440">
        <v>179</v>
      </c>
      <c r="CR3440">
        <v>1</v>
      </c>
      <c r="CW3440">
        <v>9288990</v>
      </c>
      <c r="CY3440">
        <v>1</v>
      </c>
      <c r="CZ3440">
        <v>0</v>
      </c>
      <c r="DA3440">
        <v>1</v>
      </c>
      <c r="DB3440">
        <v>0</v>
      </c>
      <c r="DC3440">
        <v>0</v>
      </c>
      <c r="DD3440">
        <v>0</v>
      </c>
      <c r="DE3440">
        <v>0</v>
      </c>
      <c r="DF3440">
        <v>1</v>
      </c>
      <c r="DG3440">
        <v>1</v>
      </c>
      <c r="DH3440">
        <v>0</v>
      </c>
      <c r="DI3440">
        <v>0</v>
      </c>
    </row>
    <row r="3441" spans="1:113" x14ac:dyDescent="0.3">
      <c r="A3441" t="str">
        <f>"02/08/2021 20:33:10.720"</f>
        <v>02/08/2021 20:33:10.720</v>
      </c>
      <c r="C3441" t="str">
        <f>"FFDF57C0"</f>
        <v>FFDF57C0</v>
      </c>
      <c r="D3441" t="s">
        <v>113</v>
      </c>
      <c r="E3441">
        <v>6</v>
      </c>
      <c r="H3441">
        <v>165</v>
      </c>
      <c r="I3441" t="s">
        <v>114</v>
      </c>
      <c r="J3441" t="s">
        <v>115</v>
      </c>
      <c r="K3441">
        <v>0</v>
      </c>
      <c r="L3441">
        <v>3</v>
      </c>
      <c r="M3441">
        <v>0</v>
      </c>
      <c r="N3441">
        <v>2</v>
      </c>
      <c r="O3441">
        <v>1</v>
      </c>
      <c r="P3441">
        <v>0</v>
      </c>
      <c r="Q3441">
        <v>0</v>
      </c>
      <c r="S3441" t="str">
        <f>"20:33:12.766"</f>
        <v>20:33:12.766</v>
      </c>
      <c r="T3441" t="str">
        <f>"20:33:07.866"</f>
        <v>20:33:07.866</v>
      </c>
      <c r="U3441" t="str">
        <f t="shared" si="168"/>
        <v>AB01F4</v>
      </c>
      <c r="V3441">
        <v>0</v>
      </c>
      <c r="W3441">
        <v>0</v>
      </c>
      <c r="X3441">
        <v>2</v>
      </c>
      <c r="Z3441">
        <v>0</v>
      </c>
      <c r="AA3441">
        <v>9</v>
      </c>
      <c r="AB3441">
        <v>3</v>
      </c>
      <c r="AC3441">
        <v>0</v>
      </c>
      <c r="AD3441">
        <v>10</v>
      </c>
      <c r="AE3441">
        <v>0</v>
      </c>
      <c r="AF3441">
        <v>3</v>
      </c>
      <c r="AG3441">
        <v>2</v>
      </c>
      <c r="AH3441">
        <v>0</v>
      </c>
      <c r="AI3441" t="s">
        <v>1969</v>
      </c>
      <c r="AJ3441">
        <v>40.083854000000002</v>
      </c>
      <c r="AK3441" t="s">
        <v>1970</v>
      </c>
      <c r="AL3441">
        <v>-92.962339</v>
      </c>
      <c r="AM3441">
        <v>100</v>
      </c>
      <c r="AN3441">
        <v>1300</v>
      </c>
      <c r="AO3441" t="s">
        <v>118</v>
      </c>
      <c r="AP3441">
        <v>-113</v>
      </c>
      <c r="AQ3441">
        <v>64</v>
      </c>
      <c r="AR3441">
        <v>0</v>
      </c>
      <c r="AZ3441">
        <v>1200</v>
      </c>
      <c r="BA3441">
        <v>1</v>
      </c>
      <c r="BB3441" t="str">
        <f t="shared" si="170"/>
        <v xml:space="preserve">N8080G  </v>
      </c>
      <c r="BC3441">
        <v>1</v>
      </c>
      <c r="BE3441">
        <v>0</v>
      </c>
      <c r="BF3441">
        <v>0</v>
      </c>
      <c r="BG3441">
        <v>0</v>
      </c>
      <c r="BI3441">
        <v>0</v>
      </c>
      <c r="BJ3441">
        <v>0</v>
      </c>
      <c r="BK3441">
        <v>0</v>
      </c>
      <c r="BL3441">
        <v>0</v>
      </c>
      <c r="BO3441">
        <v>0</v>
      </c>
      <c r="BP3441">
        <v>0</v>
      </c>
      <c r="BW3441" t="str">
        <f>"20:33:12.772"</f>
        <v>20:33:12.772</v>
      </c>
      <c r="BZ3441">
        <v>0</v>
      </c>
      <c r="CA3441">
        <v>1600</v>
      </c>
      <c r="CB3441">
        <v>224</v>
      </c>
      <c r="CD3441">
        <v>1</v>
      </c>
      <c r="CE3441">
        <v>0</v>
      </c>
      <c r="CF3441">
        <v>0</v>
      </c>
      <c r="CG3441">
        <v>1</v>
      </c>
      <c r="CH3441">
        <v>0</v>
      </c>
      <c r="CI3441">
        <v>0</v>
      </c>
      <c r="CJ3441">
        <v>0</v>
      </c>
      <c r="CK3441">
        <v>0</v>
      </c>
      <c r="CL3441">
        <v>0</v>
      </c>
      <c r="CM3441">
        <v>0</v>
      </c>
      <c r="CN3441">
        <v>0</v>
      </c>
      <c r="CO3441">
        <v>2</v>
      </c>
      <c r="CP3441" t="s">
        <v>119</v>
      </c>
      <c r="CQ3441">
        <v>179</v>
      </c>
      <c r="CR3441">
        <v>1</v>
      </c>
      <c r="CW3441">
        <v>9288990</v>
      </c>
      <c r="CY3441">
        <v>1</v>
      </c>
      <c r="CZ3441">
        <v>0</v>
      </c>
      <c r="DA3441">
        <v>1</v>
      </c>
      <c r="DB3441">
        <v>0</v>
      </c>
      <c r="DC3441">
        <v>0</v>
      </c>
      <c r="DD3441">
        <v>0</v>
      </c>
      <c r="DE3441">
        <v>0</v>
      </c>
      <c r="DF3441">
        <v>1</v>
      </c>
      <c r="DG3441">
        <v>1</v>
      </c>
      <c r="DH3441">
        <v>0</v>
      </c>
      <c r="DI3441">
        <v>0</v>
      </c>
    </row>
    <row r="3442" spans="1:113" x14ac:dyDescent="0.3">
      <c r="A3442" t="str">
        <f>"02/08/2021 20:33:10.720"</f>
        <v>02/08/2021 20:33:10.720</v>
      </c>
      <c r="C3442" t="str">
        <f>"FFDF57C0"</f>
        <v>FFDF57C0</v>
      </c>
      <c r="D3442" t="s">
        <v>124</v>
      </c>
      <c r="E3442">
        <v>11</v>
      </c>
      <c r="F3442">
        <v>1011</v>
      </c>
      <c r="G3442" t="s">
        <v>590</v>
      </c>
      <c r="J3442" t="s">
        <v>125</v>
      </c>
      <c r="K3442">
        <v>0</v>
      </c>
      <c r="L3442">
        <v>3</v>
      </c>
      <c r="M3442">
        <v>0</v>
      </c>
      <c r="N3442">
        <v>2</v>
      </c>
      <c r="O3442">
        <v>1</v>
      </c>
      <c r="P3442">
        <v>0</v>
      </c>
      <c r="Q3442">
        <v>0</v>
      </c>
      <c r="S3442" t="str">
        <f>"20:33:12.766"</f>
        <v>20:33:12.766</v>
      </c>
      <c r="T3442" t="str">
        <f>"20:33:07.866"</f>
        <v>20:33:07.866</v>
      </c>
      <c r="U3442" t="str">
        <f t="shared" si="168"/>
        <v>AB01F4</v>
      </c>
      <c r="V3442">
        <v>0</v>
      </c>
      <c r="W3442">
        <v>0</v>
      </c>
      <c r="X3442">
        <v>2</v>
      </c>
      <c r="Z3442">
        <v>0</v>
      </c>
      <c r="AA3442">
        <v>9</v>
      </c>
      <c r="AB3442">
        <v>3</v>
      </c>
      <c r="AC3442">
        <v>0</v>
      </c>
      <c r="AD3442">
        <v>10</v>
      </c>
      <c r="AE3442">
        <v>0</v>
      </c>
      <c r="AF3442">
        <v>3</v>
      </c>
      <c r="AG3442">
        <v>2</v>
      </c>
      <c r="AH3442">
        <v>0</v>
      </c>
      <c r="AI3442" t="s">
        <v>1969</v>
      </c>
      <c r="AJ3442">
        <v>40.083854000000002</v>
      </c>
      <c r="AK3442" t="s">
        <v>1970</v>
      </c>
      <c r="AL3442">
        <v>-92.962339</v>
      </c>
      <c r="AM3442">
        <v>100</v>
      </c>
      <c r="AN3442">
        <v>1300</v>
      </c>
      <c r="AO3442" t="s">
        <v>118</v>
      </c>
      <c r="AP3442">
        <v>-113</v>
      </c>
      <c r="AQ3442">
        <v>64</v>
      </c>
      <c r="AR3442">
        <v>0</v>
      </c>
      <c r="AZ3442">
        <v>1200</v>
      </c>
      <c r="BA3442">
        <v>1</v>
      </c>
      <c r="BB3442" t="str">
        <f t="shared" si="170"/>
        <v xml:space="preserve">N8080G  </v>
      </c>
      <c r="BC3442">
        <v>1</v>
      </c>
      <c r="BE3442">
        <v>0</v>
      </c>
      <c r="BF3442">
        <v>0</v>
      </c>
      <c r="BG3442">
        <v>0</v>
      </c>
      <c r="BI3442">
        <v>0</v>
      </c>
      <c r="BJ3442">
        <v>0</v>
      </c>
      <c r="BK3442">
        <v>0</v>
      </c>
      <c r="BL3442">
        <v>0</v>
      </c>
      <c r="BO3442">
        <v>0</v>
      </c>
      <c r="BP3442">
        <v>0</v>
      </c>
      <c r="BW3442" t="str">
        <f>"20:33:12.772"</f>
        <v>20:33:12.772</v>
      </c>
      <c r="BZ3442">
        <v>0</v>
      </c>
      <c r="CA3442">
        <v>1600</v>
      </c>
      <c r="CB3442">
        <v>224</v>
      </c>
      <c r="CD3442">
        <v>1</v>
      </c>
      <c r="CE3442">
        <v>0</v>
      </c>
      <c r="CF3442">
        <v>0</v>
      </c>
      <c r="CG3442">
        <v>1</v>
      </c>
      <c r="CH3442">
        <v>0</v>
      </c>
      <c r="CI3442">
        <v>0</v>
      </c>
      <c r="CJ3442">
        <v>0</v>
      </c>
      <c r="CK3442">
        <v>0</v>
      </c>
      <c r="CL3442">
        <v>0</v>
      </c>
      <c r="CM3442">
        <v>0</v>
      </c>
      <c r="CN3442">
        <v>0</v>
      </c>
      <c r="CO3442">
        <v>2</v>
      </c>
      <c r="CP3442" t="s">
        <v>119</v>
      </c>
      <c r="CQ3442">
        <v>179</v>
      </c>
      <c r="CR3442">
        <v>1</v>
      </c>
      <c r="CW3442">
        <v>9288990</v>
      </c>
      <c r="CY3442">
        <v>1</v>
      </c>
      <c r="CZ3442">
        <v>0</v>
      </c>
      <c r="DA3442">
        <v>1</v>
      </c>
      <c r="DB3442">
        <v>0</v>
      </c>
      <c r="DC3442">
        <v>0</v>
      </c>
      <c r="DD3442">
        <v>0</v>
      </c>
      <c r="DE3442">
        <v>0</v>
      </c>
      <c r="DF3442">
        <v>1</v>
      </c>
      <c r="DG3442">
        <v>1</v>
      </c>
      <c r="DH3442">
        <v>0</v>
      </c>
      <c r="DI3442">
        <v>0</v>
      </c>
    </row>
    <row r="3443" spans="1:113" x14ac:dyDescent="0.3">
      <c r="A3443" t="str">
        <f>"02/08/2021 20:33:11.452"</f>
        <v>02/08/2021 20:33:11.452</v>
      </c>
      <c r="C3443" t="str">
        <f t="shared" ref="C3443:C3474" si="171">"FFDFD7C0"</f>
        <v>FFDFD7C0</v>
      </c>
      <c r="D3443" t="s">
        <v>124</v>
      </c>
      <c r="E3443">
        <v>13</v>
      </c>
      <c r="F3443">
        <v>1013</v>
      </c>
      <c r="G3443" t="s">
        <v>114</v>
      </c>
      <c r="J3443" t="s">
        <v>125</v>
      </c>
      <c r="K3443">
        <v>0</v>
      </c>
      <c r="L3443">
        <v>3</v>
      </c>
      <c r="M3443">
        <v>0</v>
      </c>
      <c r="N3443">
        <v>2</v>
      </c>
      <c r="O3443">
        <v>1</v>
      </c>
      <c r="P3443">
        <v>0</v>
      </c>
      <c r="Q3443">
        <v>0</v>
      </c>
      <c r="S3443" t="str">
        <f>"20:33:13.781"</f>
        <v>20:33:13.781</v>
      </c>
      <c r="T3443" t="str">
        <f>"20:33:13.281"</f>
        <v>20:33:13.281</v>
      </c>
      <c r="U3443" t="str">
        <f t="shared" si="168"/>
        <v>AB01F4</v>
      </c>
      <c r="V3443">
        <v>0</v>
      </c>
      <c r="W3443">
        <v>0</v>
      </c>
      <c r="X3443">
        <v>2</v>
      </c>
      <c r="Z3443">
        <v>0</v>
      </c>
      <c r="AA3443">
        <v>9</v>
      </c>
      <c r="AB3443">
        <v>3</v>
      </c>
      <c r="AC3443">
        <v>0</v>
      </c>
      <c r="AD3443">
        <v>10</v>
      </c>
      <c r="AE3443">
        <v>0</v>
      </c>
      <c r="AF3443">
        <v>3</v>
      </c>
      <c r="AG3443">
        <v>2</v>
      </c>
      <c r="AH3443">
        <v>0</v>
      </c>
      <c r="AI3443" t="s">
        <v>1971</v>
      </c>
      <c r="AJ3443">
        <v>40.084175999999999</v>
      </c>
      <c r="AK3443" t="s">
        <v>1972</v>
      </c>
      <c r="AL3443">
        <v>-92.963068000000007</v>
      </c>
      <c r="AM3443">
        <v>100</v>
      </c>
      <c r="AN3443">
        <v>1300</v>
      </c>
      <c r="AO3443" t="s">
        <v>118</v>
      </c>
      <c r="AP3443">
        <v>-113</v>
      </c>
      <c r="AQ3443">
        <v>63</v>
      </c>
      <c r="AR3443">
        <v>0</v>
      </c>
      <c r="AZ3443">
        <v>1200</v>
      </c>
      <c r="BA3443">
        <v>1</v>
      </c>
      <c r="BB3443" t="str">
        <f t="shared" si="170"/>
        <v xml:space="preserve">N8080G  </v>
      </c>
      <c r="BC3443">
        <v>1</v>
      </c>
      <c r="BE3443">
        <v>0</v>
      </c>
      <c r="BF3443">
        <v>0</v>
      </c>
      <c r="BG3443">
        <v>0</v>
      </c>
      <c r="BH3443">
        <v>1350</v>
      </c>
      <c r="BI3443">
        <v>1</v>
      </c>
      <c r="BJ3443">
        <v>1</v>
      </c>
      <c r="BK3443">
        <v>1</v>
      </c>
      <c r="BL3443">
        <v>0</v>
      </c>
      <c r="BO3443">
        <v>0</v>
      </c>
      <c r="BP3443">
        <v>0</v>
      </c>
      <c r="BW3443" t="str">
        <f>"20:33:13.788"</f>
        <v>20:33:13.788</v>
      </c>
      <c r="BZ3443">
        <v>0</v>
      </c>
      <c r="CA3443">
        <v>1600</v>
      </c>
      <c r="CB3443">
        <v>224</v>
      </c>
      <c r="CD3443">
        <v>1</v>
      </c>
      <c r="CE3443">
        <v>0</v>
      </c>
      <c r="CF3443">
        <v>0</v>
      </c>
      <c r="CG3443">
        <v>1</v>
      </c>
      <c r="CH3443">
        <v>0</v>
      </c>
      <c r="CI3443">
        <v>0</v>
      </c>
      <c r="CJ3443">
        <v>0</v>
      </c>
      <c r="CK3443">
        <v>2</v>
      </c>
      <c r="CL3443">
        <v>0</v>
      </c>
      <c r="CM3443">
        <v>2</v>
      </c>
      <c r="CN3443">
        <v>0</v>
      </c>
      <c r="CO3443">
        <v>7</v>
      </c>
      <c r="CP3443" t="s">
        <v>119</v>
      </c>
      <c r="CQ3443">
        <v>180</v>
      </c>
      <c r="CR3443">
        <v>2</v>
      </c>
      <c r="CW3443">
        <v>8819856</v>
      </c>
      <c r="CY3443">
        <v>1</v>
      </c>
      <c r="CZ3443">
        <v>0</v>
      </c>
      <c r="DA3443">
        <v>0</v>
      </c>
      <c r="DB3443">
        <v>0</v>
      </c>
      <c r="DC3443">
        <v>0</v>
      </c>
      <c r="DD3443">
        <v>0</v>
      </c>
      <c r="DE3443">
        <v>0</v>
      </c>
      <c r="DF3443">
        <v>0</v>
      </c>
      <c r="DG3443">
        <v>0</v>
      </c>
      <c r="DH3443">
        <v>0</v>
      </c>
      <c r="DI3443">
        <v>0</v>
      </c>
    </row>
    <row r="3444" spans="1:113" x14ac:dyDescent="0.3">
      <c r="A3444" t="str">
        <f>"02/08/2021 20:33:11.452"</f>
        <v>02/08/2021 20:33:11.452</v>
      </c>
      <c r="C3444" t="str">
        <f t="shared" si="171"/>
        <v>FFDFD7C0</v>
      </c>
      <c r="D3444" t="s">
        <v>113</v>
      </c>
      <c r="E3444">
        <v>6</v>
      </c>
      <c r="H3444">
        <v>165</v>
      </c>
      <c r="I3444" t="s">
        <v>114</v>
      </c>
      <c r="J3444" t="s">
        <v>115</v>
      </c>
      <c r="K3444">
        <v>0</v>
      </c>
      <c r="L3444">
        <v>3</v>
      </c>
      <c r="M3444">
        <v>0</v>
      </c>
      <c r="N3444">
        <v>2</v>
      </c>
      <c r="O3444">
        <v>1</v>
      </c>
      <c r="P3444">
        <v>0</v>
      </c>
      <c r="Q3444">
        <v>0</v>
      </c>
      <c r="S3444" t="str">
        <f>"20:33:13.781"</f>
        <v>20:33:13.781</v>
      </c>
      <c r="T3444" t="str">
        <f>"20:33:13.281"</f>
        <v>20:33:13.281</v>
      </c>
      <c r="U3444" t="str">
        <f t="shared" si="168"/>
        <v>AB01F4</v>
      </c>
      <c r="V3444">
        <v>0</v>
      </c>
      <c r="W3444">
        <v>0</v>
      </c>
      <c r="X3444">
        <v>2</v>
      </c>
      <c r="Z3444">
        <v>0</v>
      </c>
      <c r="AA3444">
        <v>9</v>
      </c>
      <c r="AB3444">
        <v>3</v>
      </c>
      <c r="AC3444">
        <v>0</v>
      </c>
      <c r="AD3444">
        <v>10</v>
      </c>
      <c r="AE3444">
        <v>0</v>
      </c>
      <c r="AF3444">
        <v>3</v>
      </c>
      <c r="AG3444">
        <v>2</v>
      </c>
      <c r="AH3444">
        <v>0</v>
      </c>
      <c r="AI3444" t="s">
        <v>1971</v>
      </c>
      <c r="AJ3444">
        <v>40.084175999999999</v>
      </c>
      <c r="AK3444" t="s">
        <v>1972</v>
      </c>
      <c r="AL3444">
        <v>-92.963068000000007</v>
      </c>
      <c r="AM3444">
        <v>100</v>
      </c>
      <c r="AN3444">
        <v>1300</v>
      </c>
      <c r="AO3444" t="s">
        <v>118</v>
      </c>
      <c r="AP3444">
        <v>-113</v>
      </c>
      <c r="AQ3444">
        <v>63</v>
      </c>
      <c r="AR3444">
        <v>0</v>
      </c>
      <c r="AZ3444">
        <v>1200</v>
      </c>
      <c r="BA3444">
        <v>1</v>
      </c>
      <c r="BB3444" t="str">
        <f t="shared" si="170"/>
        <v xml:space="preserve">N8080G  </v>
      </c>
      <c r="BC3444">
        <v>1</v>
      </c>
      <c r="BE3444">
        <v>0</v>
      </c>
      <c r="BF3444">
        <v>0</v>
      </c>
      <c r="BG3444">
        <v>0</v>
      </c>
      <c r="BH3444">
        <v>1350</v>
      </c>
      <c r="BI3444">
        <v>1</v>
      </c>
      <c r="BJ3444">
        <v>1</v>
      </c>
      <c r="BK3444">
        <v>1</v>
      </c>
      <c r="BL3444">
        <v>0</v>
      </c>
      <c r="BO3444">
        <v>0</v>
      </c>
      <c r="BP3444">
        <v>0</v>
      </c>
      <c r="BW3444" t="str">
        <f>"20:33:13.788"</f>
        <v>20:33:13.788</v>
      </c>
      <c r="BZ3444">
        <v>0</v>
      </c>
      <c r="CA3444">
        <v>1600</v>
      </c>
      <c r="CB3444">
        <v>224</v>
      </c>
      <c r="CD3444">
        <v>1</v>
      </c>
      <c r="CE3444">
        <v>0</v>
      </c>
      <c r="CF3444">
        <v>0</v>
      </c>
      <c r="CG3444">
        <v>1</v>
      </c>
      <c r="CH3444">
        <v>0</v>
      </c>
      <c r="CI3444">
        <v>0</v>
      </c>
      <c r="CJ3444">
        <v>0</v>
      </c>
      <c r="CK3444">
        <v>2</v>
      </c>
      <c r="CL3444">
        <v>0</v>
      </c>
      <c r="CM3444">
        <v>2</v>
      </c>
      <c r="CN3444">
        <v>0</v>
      </c>
      <c r="CO3444">
        <v>7</v>
      </c>
      <c r="CP3444" t="s">
        <v>119</v>
      </c>
      <c r="CQ3444">
        <v>180</v>
      </c>
      <c r="CR3444">
        <v>2</v>
      </c>
      <c r="CW3444">
        <v>8819856</v>
      </c>
      <c r="CY3444">
        <v>1</v>
      </c>
      <c r="CZ3444">
        <v>0</v>
      </c>
      <c r="DA3444">
        <v>1</v>
      </c>
      <c r="DB3444">
        <v>0</v>
      </c>
      <c r="DC3444">
        <v>0</v>
      </c>
      <c r="DD3444">
        <v>0</v>
      </c>
      <c r="DE3444">
        <v>0</v>
      </c>
      <c r="DF3444">
        <v>0</v>
      </c>
      <c r="DG3444">
        <v>0</v>
      </c>
      <c r="DH3444">
        <v>0</v>
      </c>
      <c r="DI3444">
        <v>0</v>
      </c>
    </row>
    <row r="3445" spans="1:113" x14ac:dyDescent="0.3">
      <c r="A3445" t="str">
        <f>"02/08/2021 20:33:11.452"</f>
        <v>02/08/2021 20:33:11.452</v>
      </c>
      <c r="C3445" t="str">
        <f t="shared" si="171"/>
        <v>FFDFD7C0</v>
      </c>
      <c r="D3445" t="s">
        <v>124</v>
      </c>
      <c r="E3445">
        <v>11</v>
      </c>
      <c r="F3445">
        <v>1011</v>
      </c>
      <c r="G3445" t="s">
        <v>590</v>
      </c>
      <c r="J3445" t="s">
        <v>125</v>
      </c>
      <c r="K3445">
        <v>0</v>
      </c>
      <c r="L3445">
        <v>3</v>
      </c>
      <c r="M3445">
        <v>0</v>
      </c>
      <c r="N3445">
        <v>2</v>
      </c>
      <c r="O3445">
        <v>1</v>
      </c>
      <c r="P3445">
        <v>0</v>
      </c>
      <c r="Q3445">
        <v>0</v>
      </c>
      <c r="S3445" t="str">
        <f>"20:33:13.781"</f>
        <v>20:33:13.781</v>
      </c>
      <c r="T3445" t="str">
        <f>"20:33:13.281"</f>
        <v>20:33:13.281</v>
      </c>
      <c r="U3445" t="str">
        <f t="shared" si="168"/>
        <v>AB01F4</v>
      </c>
      <c r="V3445">
        <v>0</v>
      </c>
      <c r="W3445">
        <v>0</v>
      </c>
      <c r="X3445">
        <v>2</v>
      </c>
      <c r="Z3445">
        <v>0</v>
      </c>
      <c r="AA3445">
        <v>9</v>
      </c>
      <c r="AB3445">
        <v>3</v>
      </c>
      <c r="AC3445">
        <v>0</v>
      </c>
      <c r="AD3445">
        <v>10</v>
      </c>
      <c r="AE3445">
        <v>0</v>
      </c>
      <c r="AF3445">
        <v>3</v>
      </c>
      <c r="AG3445">
        <v>2</v>
      </c>
      <c r="AH3445">
        <v>0</v>
      </c>
      <c r="AI3445" t="s">
        <v>1971</v>
      </c>
      <c r="AJ3445">
        <v>40.084175999999999</v>
      </c>
      <c r="AK3445" t="s">
        <v>1972</v>
      </c>
      <c r="AL3445">
        <v>-92.963068000000007</v>
      </c>
      <c r="AM3445">
        <v>100</v>
      </c>
      <c r="AN3445">
        <v>1300</v>
      </c>
      <c r="AO3445" t="s">
        <v>118</v>
      </c>
      <c r="AP3445">
        <v>-113</v>
      </c>
      <c r="AQ3445">
        <v>63</v>
      </c>
      <c r="AR3445">
        <v>0</v>
      </c>
      <c r="AZ3445">
        <v>1200</v>
      </c>
      <c r="BA3445">
        <v>1</v>
      </c>
      <c r="BB3445" t="str">
        <f t="shared" si="170"/>
        <v xml:space="preserve">N8080G  </v>
      </c>
      <c r="BC3445">
        <v>1</v>
      </c>
      <c r="BE3445">
        <v>0</v>
      </c>
      <c r="BF3445">
        <v>0</v>
      </c>
      <c r="BG3445">
        <v>0</v>
      </c>
      <c r="BH3445">
        <v>1350</v>
      </c>
      <c r="BI3445">
        <v>1</v>
      </c>
      <c r="BJ3445">
        <v>1</v>
      </c>
      <c r="BK3445">
        <v>1</v>
      </c>
      <c r="BL3445">
        <v>0</v>
      </c>
      <c r="BO3445">
        <v>0</v>
      </c>
      <c r="BP3445">
        <v>0</v>
      </c>
      <c r="BW3445" t="str">
        <f>"20:33:13.788"</f>
        <v>20:33:13.788</v>
      </c>
      <c r="BZ3445">
        <v>0</v>
      </c>
      <c r="CA3445">
        <v>1600</v>
      </c>
      <c r="CB3445">
        <v>224</v>
      </c>
      <c r="CD3445">
        <v>1</v>
      </c>
      <c r="CE3445">
        <v>0</v>
      </c>
      <c r="CF3445">
        <v>0</v>
      </c>
      <c r="CG3445">
        <v>1</v>
      </c>
      <c r="CH3445">
        <v>0</v>
      </c>
      <c r="CI3445">
        <v>0</v>
      </c>
      <c r="CJ3445">
        <v>0</v>
      </c>
      <c r="CK3445">
        <v>2</v>
      </c>
      <c r="CL3445">
        <v>0</v>
      </c>
      <c r="CM3445">
        <v>2</v>
      </c>
      <c r="CN3445">
        <v>0</v>
      </c>
      <c r="CO3445">
        <v>7</v>
      </c>
      <c r="CP3445" t="s">
        <v>119</v>
      </c>
      <c r="CQ3445">
        <v>180</v>
      </c>
      <c r="CR3445">
        <v>2</v>
      </c>
      <c r="CW3445">
        <v>8819856</v>
      </c>
      <c r="CY3445">
        <v>1</v>
      </c>
      <c r="CZ3445">
        <v>0</v>
      </c>
      <c r="DA3445">
        <v>1</v>
      </c>
      <c r="DB3445">
        <v>0</v>
      </c>
      <c r="DC3445">
        <v>0</v>
      </c>
      <c r="DD3445">
        <v>0</v>
      </c>
      <c r="DE3445">
        <v>0</v>
      </c>
      <c r="DF3445">
        <v>0</v>
      </c>
      <c r="DG3445">
        <v>0</v>
      </c>
      <c r="DH3445">
        <v>0</v>
      </c>
      <c r="DI3445">
        <v>0</v>
      </c>
    </row>
    <row r="3446" spans="1:113" x14ac:dyDescent="0.3">
      <c r="A3446" t="str">
        <f>"02/08/2021 20:33:11.452"</f>
        <v>02/08/2021 20:33:11.452</v>
      </c>
      <c r="C3446" t="str">
        <f t="shared" si="171"/>
        <v>FFDFD7C0</v>
      </c>
      <c r="D3446" t="s">
        <v>124</v>
      </c>
      <c r="E3446">
        <v>12</v>
      </c>
      <c r="F3446">
        <v>1012</v>
      </c>
      <c r="G3446" t="s">
        <v>675</v>
      </c>
      <c r="J3446" t="s">
        <v>125</v>
      </c>
      <c r="K3446">
        <v>0</v>
      </c>
      <c r="L3446">
        <v>3</v>
      </c>
      <c r="M3446">
        <v>0</v>
      </c>
      <c r="N3446">
        <v>2</v>
      </c>
      <c r="O3446">
        <v>1</v>
      </c>
      <c r="P3446">
        <v>0</v>
      </c>
      <c r="Q3446">
        <v>0</v>
      </c>
      <c r="S3446" t="str">
        <f>"20:33:13.781"</f>
        <v>20:33:13.781</v>
      </c>
      <c r="T3446" t="str">
        <f>"20:33:13.281"</f>
        <v>20:33:13.281</v>
      </c>
      <c r="U3446" t="str">
        <f t="shared" si="168"/>
        <v>AB01F4</v>
      </c>
      <c r="V3446">
        <v>0</v>
      </c>
      <c r="W3446">
        <v>0</v>
      </c>
      <c r="X3446">
        <v>2</v>
      </c>
      <c r="Z3446">
        <v>0</v>
      </c>
      <c r="AA3446">
        <v>9</v>
      </c>
      <c r="AB3446">
        <v>3</v>
      </c>
      <c r="AC3446">
        <v>0</v>
      </c>
      <c r="AD3446">
        <v>10</v>
      </c>
      <c r="AE3446">
        <v>0</v>
      </c>
      <c r="AF3446">
        <v>3</v>
      </c>
      <c r="AG3446">
        <v>2</v>
      </c>
      <c r="AH3446">
        <v>0</v>
      </c>
      <c r="AI3446" t="s">
        <v>1971</v>
      </c>
      <c r="AJ3446">
        <v>40.084175999999999</v>
      </c>
      <c r="AK3446" t="s">
        <v>1972</v>
      </c>
      <c r="AL3446">
        <v>-92.963068000000007</v>
      </c>
      <c r="AM3446">
        <v>100</v>
      </c>
      <c r="AN3446">
        <v>1300</v>
      </c>
      <c r="AO3446" t="s">
        <v>118</v>
      </c>
      <c r="AP3446">
        <v>-113</v>
      </c>
      <c r="AQ3446">
        <v>63</v>
      </c>
      <c r="AR3446">
        <v>0</v>
      </c>
      <c r="AZ3446">
        <v>1200</v>
      </c>
      <c r="BA3446">
        <v>1</v>
      </c>
      <c r="BB3446" t="str">
        <f t="shared" si="170"/>
        <v xml:space="preserve">N8080G  </v>
      </c>
      <c r="BC3446">
        <v>1</v>
      </c>
      <c r="BE3446">
        <v>0</v>
      </c>
      <c r="BF3446">
        <v>0</v>
      </c>
      <c r="BG3446">
        <v>0</v>
      </c>
      <c r="BH3446">
        <v>1350</v>
      </c>
      <c r="BI3446">
        <v>1</v>
      </c>
      <c r="BJ3446">
        <v>1</v>
      </c>
      <c r="BK3446">
        <v>1</v>
      </c>
      <c r="BL3446">
        <v>0</v>
      </c>
      <c r="BO3446">
        <v>0</v>
      </c>
      <c r="BP3446">
        <v>0</v>
      </c>
      <c r="BW3446" t="str">
        <f>"20:33:13.788"</f>
        <v>20:33:13.788</v>
      </c>
      <c r="BZ3446">
        <v>0</v>
      </c>
      <c r="CA3446">
        <v>1600</v>
      </c>
      <c r="CB3446">
        <v>224</v>
      </c>
      <c r="CD3446">
        <v>1</v>
      </c>
      <c r="CE3446">
        <v>0</v>
      </c>
      <c r="CF3446">
        <v>0</v>
      </c>
      <c r="CG3446">
        <v>1</v>
      </c>
      <c r="CH3446">
        <v>0</v>
      </c>
      <c r="CI3446">
        <v>0</v>
      </c>
      <c r="CJ3446">
        <v>0</v>
      </c>
      <c r="CK3446">
        <v>2</v>
      </c>
      <c r="CL3446">
        <v>0</v>
      </c>
      <c r="CM3446">
        <v>2</v>
      </c>
      <c r="CN3446">
        <v>0</v>
      </c>
      <c r="CO3446">
        <v>7</v>
      </c>
      <c r="CP3446" t="s">
        <v>119</v>
      </c>
      <c r="CQ3446">
        <v>180</v>
      </c>
      <c r="CR3446">
        <v>2</v>
      </c>
      <c r="CW3446">
        <v>8819856</v>
      </c>
      <c r="CY3446">
        <v>1</v>
      </c>
      <c r="CZ3446">
        <v>0</v>
      </c>
      <c r="DA3446">
        <v>1</v>
      </c>
      <c r="DB3446">
        <v>0</v>
      </c>
      <c r="DC3446">
        <v>0</v>
      </c>
      <c r="DD3446">
        <v>0</v>
      </c>
      <c r="DE3446">
        <v>0</v>
      </c>
      <c r="DF3446">
        <v>0</v>
      </c>
      <c r="DG3446">
        <v>0</v>
      </c>
      <c r="DH3446">
        <v>0</v>
      </c>
      <c r="DI3446">
        <v>0</v>
      </c>
    </row>
    <row r="3447" spans="1:113" x14ac:dyDescent="0.3">
      <c r="A3447" t="str">
        <f>"02/08/2021 20:33:12.809"</f>
        <v>02/08/2021 20:33:12.809</v>
      </c>
      <c r="C3447" t="str">
        <f t="shared" si="171"/>
        <v>FFDFD7C0</v>
      </c>
      <c r="D3447" t="s">
        <v>124</v>
      </c>
      <c r="E3447">
        <v>13</v>
      </c>
      <c r="F3447">
        <v>1013</v>
      </c>
      <c r="G3447" t="s">
        <v>114</v>
      </c>
      <c r="J3447" t="s">
        <v>125</v>
      </c>
      <c r="K3447">
        <v>0</v>
      </c>
      <c r="L3447">
        <v>3</v>
      </c>
      <c r="M3447">
        <v>0</v>
      </c>
      <c r="N3447">
        <v>2</v>
      </c>
      <c r="O3447">
        <v>1</v>
      </c>
      <c r="P3447">
        <v>0</v>
      </c>
      <c r="Q3447">
        <v>0</v>
      </c>
      <c r="S3447" t="str">
        <f>"20:33:15.109"</f>
        <v>20:33:15.109</v>
      </c>
      <c r="T3447" t="str">
        <f>"20:33:14.709"</f>
        <v>20:33:14.709</v>
      </c>
      <c r="U3447" t="str">
        <f t="shared" si="168"/>
        <v>AB01F4</v>
      </c>
      <c r="V3447">
        <v>0</v>
      </c>
      <c r="W3447">
        <v>0</v>
      </c>
      <c r="X3447">
        <v>2</v>
      </c>
      <c r="Z3447">
        <v>0</v>
      </c>
      <c r="AA3447">
        <v>9</v>
      </c>
      <c r="AB3447">
        <v>3</v>
      </c>
      <c r="AC3447">
        <v>0</v>
      </c>
      <c r="AD3447">
        <v>10</v>
      </c>
      <c r="AE3447">
        <v>0</v>
      </c>
      <c r="AF3447">
        <v>3</v>
      </c>
      <c r="AG3447">
        <v>2</v>
      </c>
      <c r="AH3447">
        <v>0</v>
      </c>
      <c r="AI3447" t="s">
        <v>1973</v>
      </c>
      <c r="AJ3447">
        <v>40.084541000000002</v>
      </c>
      <c r="AK3447" t="s">
        <v>1974</v>
      </c>
      <c r="AL3447">
        <v>-92.963926999999998</v>
      </c>
      <c r="AM3447">
        <v>100</v>
      </c>
      <c r="AN3447">
        <v>1300</v>
      </c>
      <c r="AO3447" t="s">
        <v>118</v>
      </c>
      <c r="AP3447">
        <v>-114</v>
      </c>
      <c r="AQ3447">
        <v>63</v>
      </c>
      <c r="AR3447">
        <v>-64</v>
      </c>
      <c r="AZ3447">
        <v>1200</v>
      </c>
      <c r="BA3447">
        <v>1</v>
      </c>
      <c r="BB3447" t="str">
        <f t="shared" si="170"/>
        <v xml:space="preserve">N8080G  </v>
      </c>
      <c r="BC3447">
        <v>1</v>
      </c>
      <c r="BE3447">
        <v>0</v>
      </c>
      <c r="BF3447">
        <v>0</v>
      </c>
      <c r="BG3447">
        <v>0</v>
      </c>
      <c r="BH3447">
        <v>1350</v>
      </c>
      <c r="BI3447">
        <v>1</v>
      </c>
      <c r="BJ3447">
        <v>1</v>
      </c>
      <c r="BK3447">
        <v>1</v>
      </c>
      <c r="BL3447">
        <v>0</v>
      </c>
      <c r="BO3447">
        <v>0</v>
      </c>
      <c r="BP3447">
        <v>0</v>
      </c>
      <c r="BW3447" t="str">
        <f>"20:33:15.110"</f>
        <v>20:33:15.110</v>
      </c>
      <c r="BZ3447">
        <v>0</v>
      </c>
      <c r="CA3447">
        <v>1600</v>
      </c>
      <c r="CB3447">
        <v>224</v>
      </c>
      <c r="CD3447">
        <v>1</v>
      </c>
      <c r="CE3447">
        <v>0</v>
      </c>
      <c r="CF3447">
        <v>0</v>
      </c>
      <c r="CG3447">
        <v>1</v>
      </c>
      <c r="CH3447">
        <v>0</v>
      </c>
      <c r="CI3447">
        <v>0</v>
      </c>
      <c r="CJ3447">
        <v>0</v>
      </c>
      <c r="CK3447">
        <v>2</v>
      </c>
      <c r="CL3447">
        <v>0</v>
      </c>
      <c r="CM3447">
        <v>2</v>
      </c>
      <c r="CN3447">
        <v>0</v>
      </c>
      <c r="CO3447">
        <v>7</v>
      </c>
      <c r="CP3447" t="s">
        <v>119</v>
      </c>
      <c r="CQ3447">
        <v>180</v>
      </c>
      <c r="CR3447">
        <v>3</v>
      </c>
      <c r="CW3447">
        <v>1160769</v>
      </c>
      <c r="CY3447">
        <v>1</v>
      </c>
      <c r="CZ3447">
        <v>0</v>
      </c>
      <c r="DA3447">
        <v>0</v>
      </c>
      <c r="DB3447">
        <v>0</v>
      </c>
      <c r="DC3447">
        <v>0</v>
      </c>
      <c r="DD3447">
        <v>0</v>
      </c>
      <c r="DE3447">
        <v>0</v>
      </c>
      <c r="DF3447">
        <v>0</v>
      </c>
      <c r="DG3447">
        <v>0</v>
      </c>
      <c r="DH3447">
        <v>0</v>
      </c>
      <c r="DI3447">
        <v>0</v>
      </c>
    </row>
    <row r="3448" spans="1:113" x14ac:dyDescent="0.3">
      <c r="A3448" t="str">
        <f>"02/08/2021 20:33:12.809"</f>
        <v>02/08/2021 20:33:12.809</v>
      </c>
      <c r="C3448" t="str">
        <f t="shared" si="171"/>
        <v>FFDFD7C0</v>
      </c>
      <c r="D3448" t="s">
        <v>113</v>
      </c>
      <c r="E3448">
        <v>6</v>
      </c>
      <c r="H3448">
        <v>165</v>
      </c>
      <c r="I3448" t="s">
        <v>114</v>
      </c>
      <c r="J3448" t="s">
        <v>115</v>
      </c>
      <c r="K3448">
        <v>0</v>
      </c>
      <c r="L3448">
        <v>3</v>
      </c>
      <c r="M3448">
        <v>0</v>
      </c>
      <c r="N3448">
        <v>2</v>
      </c>
      <c r="O3448">
        <v>1</v>
      </c>
      <c r="P3448">
        <v>0</v>
      </c>
      <c r="Q3448">
        <v>0</v>
      </c>
      <c r="S3448" t="str">
        <f>"20:33:15.109"</f>
        <v>20:33:15.109</v>
      </c>
      <c r="T3448" t="str">
        <f>"20:33:14.709"</f>
        <v>20:33:14.709</v>
      </c>
      <c r="U3448" t="str">
        <f t="shared" si="168"/>
        <v>AB01F4</v>
      </c>
      <c r="V3448">
        <v>0</v>
      </c>
      <c r="W3448">
        <v>0</v>
      </c>
      <c r="X3448">
        <v>2</v>
      </c>
      <c r="Z3448">
        <v>0</v>
      </c>
      <c r="AA3448">
        <v>9</v>
      </c>
      <c r="AB3448">
        <v>3</v>
      </c>
      <c r="AC3448">
        <v>0</v>
      </c>
      <c r="AD3448">
        <v>10</v>
      </c>
      <c r="AE3448">
        <v>0</v>
      </c>
      <c r="AF3448">
        <v>3</v>
      </c>
      <c r="AG3448">
        <v>2</v>
      </c>
      <c r="AH3448">
        <v>0</v>
      </c>
      <c r="AI3448" t="s">
        <v>1973</v>
      </c>
      <c r="AJ3448">
        <v>40.084541000000002</v>
      </c>
      <c r="AK3448" t="s">
        <v>1974</v>
      </c>
      <c r="AL3448">
        <v>-92.963926999999998</v>
      </c>
      <c r="AM3448">
        <v>100</v>
      </c>
      <c r="AN3448">
        <v>1300</v>
      </c>
      <c r="AO3448" t="s">
        <v>118</v>
      </c>
      <c r="AP3448">
        <v>-114</v>
      </c>
      <c r="AQ3448">
        <v>63</v>
      </c>
      <c r="AR3448">
        <v>-64</v>
      </c>
      <c r="AZ3448">
        <v>1200</v>
      </c>
      <c r="BA3448">
        <v>1</v>
      </c>
      <c r="BB3448" t="str">
        <f t="shared" si="170"/>
        <v xml:space="preserve">N8080G  </v>
      </c>
      <c r="BC3448">
        <v>1</v>
      </c>
      <c r="BE3448">
        <v>0</v>
      </c>
      <c r="BF3448">
        <v>0</v>
      </c>
      <c r="BG3448">
        <v>0</v>
      </c>
      <c r="BH3448">
        <v>1350</v>
      </c>
      <c r="BI3448">
        <v>1</v>
      </c>
      <c r="BJ3448">
        <v>1</v>
      </c>
      <c r="BK3448">
        <v>1</v>
      </c>
      <c r="BL3448">
        <v>0</v>
      </c>
      <c r="BO3448">
        <v>0</v>
      </c>
      <c r="BP3448">
        <v>0</v>
      </c>
      <c r="BW3448" t="str">
        <f>"20:33:15.110"</f>
        <v>20:33:15.110</v>
      </c>
      <c r="BZ3448">
        <v>0</v>
      </c>
      <c r="CA3448">
        <v>1600</v>
      </c>
      <c r="CB3448">
        <v>224</v>
      </c>
      <c r="CD3448">
        <v>1</v>
      </c>
      <c r="CE3448">
        <v>0</v>
      </c>
      <c r="CF3448">
        <v>0</v>
      </c>
      <c r="CG3448">
        <v>1</v>
      </c>
      <c r="CH3448">
        <v>0</v>
      </c>
      <c r="CI3448">
        <v>0</v>
      </c>
      <c r="CJ3448">
        <v>0</v>
      </c>
      <c r="CK3448">
        <v>2</v>
      </c>
      <c r="CL3448">
        <v>0</v>
      </c>
      <c r="CM3448">
        <v>2</v>
      </c>
      <c r="CN3448">
        <v>0</v>
      </c>
      <c r="CO3448">
        <v>7</v>
      </c>
      <c r="CP3448" t="s">
        <v>119</v>
      </c>
      <c r="CQ3448">
        <v>180</v>
      </c>
      <c r="CR3448">
        <v>3</v>
      </c>
      <c r="CW3448">
        <v>1160769</v>
      </c>
      <c r="CY3448">
        <v>1</v>
      </c>
      <c r="CZ3448">
        <v>0</v>
      </c>
      <c r="DA3448">
        <v>1</v>
      </c>
      <c r="DB3448">
        <v>0</v>
      </c>
      <c r="DC3448">
        <v>0</v>
      </c>
      <c r="DD3448">
        <v>0</v>
      </c>
      <c r="DE3448">
        <v>0</v>
      </c>
      <c r="DF3448">
        <v>0</v>
      </c>
      <c r="DG3448">
        <v>0</v>
      </c>
      <c r="DH3448">
        <v>0</v>
      </c>
      <c r="DI3448">
        <v>0</v>
      </c>
    </row>
    <row r="3449" spans="1:113" x14ac:dyDescent="0.3">
      <c r="A3449" t="str">
        <f>"02/08/2021 20:33:12.809"</f>
        <v>02/08/2021 20:33:12.809</v>
      </c>
      <c r="C3449" t="str">
        <f t="shared" si="171"/>
        <v>FFDFD7C0</v>
      </c>
      <c r="D3449" t="s">
        <v>124</v>
      </c>
      <c r="E3449">
        <v>11</v>
      </c>
      <c r="F3449">
        <v>1011</v>
      </c>
      <c r="G3449" t="s">
        <v>590</v>
      </c>
      <c r="J3449" t="s">
        <v>125</v>
      </c>
      <c r="K3449">
        <v>0</v>
      </c>
      <c r="L3449">
        <v>3</v>
      </c>
      <c r="M3449">
        <v>0</v>
      </c>
      <c r="N3449">
        <v>2</v>
      </c>
      <c r="O3449">
        <v>1</v>
      </c>
      <c r="P3449">
        <v>0</v>
      </c>
      <c r="Q3449">
        <v>0</v>
      </c>
      <c r="S3449" t="str">
        <f>"20:33:15.109"</f>
        <v>20:33:15.109</v>
      </c>
      <c r="T3449" t="str">
        <f>"20:33:14.709"</f>
        <v>20:33:14.709</v>
      </c>
      <c r="U3449" t="str">
        <f t="shared" si="168"/>
        <v>AB01F4</v>
      </c>
      <c r="V3449">
        <v>0</v>
      </c>
      <c r="W3449">
        <v>0</v>
      </c>
      <c r="X3449">
        <v>2</v>
      </c>
      <c r="Z3449">
        <v>0</v>
      </c>
      <c r="AA3449">
        <v>9</v>
      </c>
      <c r="AB3449">
        <v>3</v>
      </c>
      <c r="AC3449">
        <v>0</v>
      </c>
      <c r="AD3449">
        <v>10</v>
      </c>
      <c r="AE3449">
        <v>0</v>
      </c>
      <c r="AF3449">
        <v>3</v>
      </c>
      <c r="AG3449">
        <v>2</v>
      </c>
      <c r="AH3449">
        <v>0</v>
      </c>
      <c r="AI3449" t="s">
        <v>1973</v>
      </c>
      <c r="AJ3449">
        <v>40.084541000000002</v>
      </c>
      <c r="AK3449" t="s">
        <v>1974</v>
      </c>
      <c r="AL3449">
        <v>-92.963926999999998</v>
      </c>
      <c r="AM3449">
        <v>100</v>
      </c>
      <c r="AN3449">
        <v>1300</v>
      </c>
      <c r="AO3449" t="s">
        <v>118</v>
      </c>
      <c r="AP3449">
        <v>-114</v>
      </c>
      <c r="AQ3449">
        <v>63</v>
      </c>
      <c r="AR3449">
        <v>-64</v>
      </c>
      <c r="AZ3449">
        <v>1200</v>
      </c>
      <c r="BA3449">
        <v>1</v>
      </c>
      <c r="BB3449" t="str">
        <f t="shared" si="170"/>
        <v xml:space="preserve">N8080G  </v>
      </c>
      <c r="BC3449">
        <v>1</v>
      </c>
      <c r="BE3449">
        <v>0</v>
      </c>
      <c r="BF3449">
        <v>0</v>
      </c>
      <c r="BG3449">
        <v>0</v>
      </c>
      <c r="BH3449">
        <v>1350</v>
      </c>
      <c r="BI3449">
        <v>1</v>
      </c>
      <c r="BJ3449">
        <v>1</v>
      </c>
      <c r="BK3449">
        <v>1</v>
      </c>
      <c r="BL3449">
        <v>0</v>
      </c>
      <c r="BO3449">
        <v>0</v>
      </c>
      <c r="BP3449">
        <v>0</v>
      </c>
      <c r="BW3449" t="str">
        <f>"20:33:15.110"</f>
        <v>20:33:15.110</v>
      </c>
      <c r="BZ3449">
        <v>0</v>
      </c>
      <c r="CA3449">
        <v>1600</v>
      </c>
      <c r="CB3449">
        <v>224</v>
      </c>
      <c r="CD3449">
        <v>1</v>
      </c>
      <c r="CE3449">
        <v>0</v>
      </c>
      <c r="CF3449">
        <v>0</v>
      </c>
      <c r="CG3449">
        <v>1</v>
      </c>
      <c r="CH3449">
        <v>0</v>
      </c>
      <c r="CI3449">
        <v>0</v>
      </c>
      <c r="CJ3449">
        <v>0</v>
      </c>
      <c r="CK3449">
        <v>2</v>
      </c>
      <c r="CL3449">
        <v>0</v>
      </c>
      <c r="CM3449">
        <v>2</v>
      </c>
      <c r="CN3449">
        <v>0</v>
      </c>
      <c r="CO3449">
        <v>7</v>
      </c>
      <c r="CP3449" t="s">
        <v>119</v>
      </c>
      <c r="CQ3449">
        <v>180</v>
      </c>
      <c r="CR3449">
        <v>3</v>
      </c>
      <c r="CW3449">
        <v>1160769</v>
      </c>
      <c r="CY3449">
        <v>1</v>
      </c>
      <c r="CZ3449">
        <v>0</v>
      </c>
      <c r="DA3449">
        <v>1</v>
      </c>
      <c r="DB3449">
        <v>0</v>
      </c>
      <c r="DC3449">
        <v>0</v>
      </c>
      <c r="DD3449">
        <v>0</v>
      </c>
      <c r="DE3449">
        <v>0</v>
      </c>
      <c r="DF3449">
        <v>0</v>
      </c>
      <c r="DG3449">
        <v>0</v>
      </c>
      <c r="DH3449">
        <v>0</v>
      </c>
      <c r="DI3449">
        <v>0</v>
      </c>
    </row>
    <row r="3450" spans="1:113" x14ac:dyDescent="0.3">
      <c r="A3450" t="str">
        <f>"02/08/2021 20:33:12.809"</f>
        <v>02/08/2021 20:33:12.809</v>
      </c>
      <c r="C3450" t="str">
        <f t="shared" si="171"/>
        <v>FFDFD7C0</v>
      </c>
      <c r="D3450" t="s">
        <v>124</v>
      </c>
      <c r="E3450">
        <v>12</v>
      </c>
      <c r="F3450">
        <v>1012</v>
      </c>
      <c r="G3450" t="s">
        <v>675</v>
      </c>
      <c r="J3450" t="s">
        <v>125</v>
      </c>
      <c r="K3450">
        <v>0</v>
      </c>
      <c r="L3450">
        <v>3</v>
      </c>
      <c r="M3450">
        <v>0</v>
      </c>
      <c r="N3450">
        <v>2</v>
      </c>
      <c r="O3450">
        <v>1</v>
      </c>
      <c r="P3450">
        <v>0</v>
      </c>
      <c r="Q3450">
        <v>0</v>
      </c>
      <c r="S3450" t="str">
        <f>"20:33:15.109"</f>
        <v>20:33:15.109</v>
      </c>
      <c r="T3450" t="str">
        <f>"20:33:14.709"</f>
        <v>20:33:14.709</v>
      </c>
      <c r="U3450" t="str">
        <f t="shared" si="168"/>
        <v>AB01F4</v>
      </c>
      <c r="V3450">
        <v>0</v>
      </c>
      <c r="W3450">
        <v>0</v>
      </c>
      <c r="X3450">
        <v>2</v>
      </c>
      <c r="Z3450">
        <v>0</v>
      </c>
      <c r="AA3450">
        <v>9</v>
      </c>
      <c r="AB3450">
        <v>3</v>
      </c>
      <c r="AC3450">
        <v>0</v>
      </c>
      <c r="AD3450">
        <v>10</v>
      </c>
      <c r="AE3450">
        <v>0</v>
      </c>
      <c r="AF3450">
        <v>3</v>
      </c>
      <c r="AG3450">
        <v>2</v>
      </c>
      <c r="AH3450">
        <v>0</v>
      </c>
      <c r="AI3450" t="s">
        <v>1973</v>
      </c>
      <c r="AJ3450">
        <v>40.084541000000002</v>
      </c>
      <c r="AK3450" t="s">
        <v>1974</v>
      </c>
      <c r="AL3450">
        <v>-92.963926999999998</v>
      </c>
      <c r="AM3450">
        <v>100</v>
      </c>
      <c r="AN3450">
        <v>1300</v>
      </c>
      <c r="AO3450" t="s">
        <v>118</v>
      </c>
      <c r="AP3450">
        <v>-114</v>
      </c>
      <c r="AQ3450">
        <v>63</v>
      </c>
      <c r="AR3450">
        <v>-64</v>
      </c>
      <c r="AZ3450">
        <v>1200</v>
      </c>
      <c r="BA3450">
        <v>1</v>
      </c>
      <c r="BB3450" t="str">
        <f t="shared" si="170"/>
        <v xml:space="preserve">N8080G  </v>
      </c>
      <c r="BC3450">
        <v>1</v>
      </c>
      <c r="BE3450">
        <v>0</v>
      </c>
      <c r="BF3450">
        <v>0</v>
      </c>
      <c r="BG3450">
        <v>0</v>
      </c>
      <c r="BH3450">
        <v>1350</v>
      </c>
      <c r="BI3450">
        <v>1</v>
      </c>
      <c r="BJ3450">
        <v>1</v>
      </c>
      <c r="BK3450">
        <v>1</v>
      </c>
      <c r="BL3450">
        <v>0</v>
      </c>
      <c r="BO3450">
        <v>0</v>
      </c>
      <c r="BP3450">
        <v>0</v>
      </c>
      <c r="BW3450" t="str">
        <f>"20:33:15.110"</f>
        <v>20:33:15.110</v>
      </c>
      <c r="BZ3450">
        <v>0</v>
      </c>
      <c r="CA3450">
        <v>1600</v>
      </c>
      <c r="CB3450">
        <v>224</v>
      </c>
      <c r="CD3450">
        <v>1</v>
      </c>
      <c r="CE3450">
        <v>0</v>
      </c>
      <c r="CF3450">
        <v>0</v>
      </c>
      <c r="CG3450">
        <v>1</v>
      </c>
      <c r="CH3450">
        <v>0</v>
      </c>
      <c r="CI3450">
        <v>0</v>
      </c>
      <c r="CJ3450">
        <v>0</v>
      </c>
      <c r="CK3450">
        <v>2</v>
      </c>
      <c r="CL3450">
        <v>0</v>
      </c>
      <c r="CM3450">
        <v>2</v>
      </c>
      <c r="CN3450">
        <v>0</v>
      </c>
      <c r="CO3450">
        <v>7</v>
      </c>
      <c r="CP3450" t="s">
        <v>119</v>
      </c>
      <c r="CQ3450">
        <v>180</v>
      </c>
      <c r="CR3450">
        <v>3</v>
      </c>
      <c r="CW3450">
        <v>1160769</v>
      </c>
      <c r="CY3450">
        <v>1</v>
      </c>
      <c r="CZ3450">
        <v>0</v>
      </c>
      <c r="DA3450">
        <v>1</v>
      </c>
      <c r="DB3450">
        <v>0</v>
      </c>
      <c r="DC3450">
        <v>0</v>
      </c>
      <c r="DD3450">
        <v>0</v>
      </c>
      <c r="DE3450">
        <v>0</v>
      </c>
      <c r="DF3450">
        <v>0</v>
      </c>
      <c r="DG3450">
        <v>0</v>
      </c>
      <c r="DH3450">
        <v>0</v>
      </c>
      <c r="DI3450">
        <v>0</v>
      </c>
    </row>
    <row r="3451" spans="1:113" x14ac:dyDescent="0.3">
      <c r="A3451" t="str">
        <f>"02/08/2021 20:33:13.785"</f>
        <v>02/08/2021 20:33:13.785</v>
      </c>
      <c r="C3451" t="str">
        <f t="shared" si="171"/>
        <v>FFDFD7C0</v>
      </c>
      <c r="D3451" t="s">
        <v>124</v>
      </c>
      <c r="E3451">
        <v>12</v>
      </c>
      <c r="F3451">
        <v>1012</v>
      </c>
      <c r="G3451" t="s">
        <v>675</v>
      </c>
      <c r="J3451" t="s">
        <v>125</v>
      </c>
      <c r="K3451">
        <v>0</v>
      </c>
      <c r="L3451">
        <v>3</v>
      </c>
      <c r="M3451">
        <v>0</v>
      </c>
      <c r="N3451">
        <v>2</v>
      </c>
      <c r="O3451">
        <v>1</v>
      </c>
      <c r="P3451">
        <v>0</v>
      </c>
      <c r="Q3451">
        <v>0</v>
      </c>
      <c r="S3451" t="str">
        <f>"20:33:16.109"</f>
        <v>20:33:16.109</v>
      </c>
      <c r="T3451" t="str">
        <f>"20:33:15.609"</f>
        <v>20:33:15.609</v>
      </c>
      <c r="U3451" t="str">
        <f t="shared" si="168"/>
        <v>AB01F4</v>
      </c>
      <c r="V3451">
        <v>0</v>
      </c>
      <c r="W3451">
        <v>0</v>
      </c>
      <c r="X3451">
        <v>2</v>
      </c>
      <c r="Z3451">
        <v>0</v>
      </c>
      <c r="AA3451">
        <v>9</v>
      </c>
      <c r="AB3451">
        <v>3</v>
      </c>
      <c r="AC3451">
        <v>0</v>
      </c>
      <c r="AD3451">
        <v>10</v>
      </c>
      <c r="AE3451">
        <v>0</v>
      </c>
      <c r="AF3451">
        <v>3</v>
      </c>
      <c r="AG3451">
        <v>2</v>
      </c>
      <c r="AH3451">
        <v>0</v>
      </c>
      <c r="AI3451" t="s">
        <v>1975</v>
      </c>
      <c r="AJ3451">
        <v>40.084820000000001</v>
      </c>
      <c r="AK3451" t="s">
        <v>1976</v>
      </c>
      <c r="AL3451">
        <v>-92.964613</v>
      </c>
      <c r="AM3451">
        <v>100</v>
      </c>
      <c r="AN3451">
        <v>1300</v>
      </c>
      <c r="AO3451" t="s">
        <v>118</v>
      </c>
      <c r="AP3451">
        <v>-114</v>
      </c>
      <c r="AQ3451">
        <v>62</v>
      </c>
      <c r="AR3451">
        <v>-128</v>
      </c>
      <c r="AZ3451">
        <v>1200</v>
      </c>
      <c r="BA3451">
        <v>1</v>
      </c>
      <c r="BB3451" t="str">
        <f t="shared" si="170"/>
        <v xml:space="preserve">N8080G  </v>
      </c>
      <c r="BC3451">
        <v>1</v>
      </c>
      <c r="BE3451">
        <v>0</v>
      </c>
      <c r="BF3451">
        <v>0</v>
      </c>
      <c r="BG3451">
        <v>0</v>
      </c>
      <c r="BH3451">
        <v>1350</v>
      </c>
      <c r="BI3451">
        <v>1</v>
      </c>
      <c r="BJ3451">
        <v>1</v>
      </c>
      <c r="BK3451">
        <v>1</v>
      </c>
      <c r="BL3451">
        <v>0</v>
      </c>
      <c r="BO3451">
        <v>0</v>
      </c>
      <c r="BP3451">
        <v>0</v>
      </c>
      <c r="BW3451" t="str">
        <f>"20:33:16.116"</f>
        <v>20:33:16.116</v>
      </c>
      <c r="BZ3451">
        <v>0</v>
      </c>
      <c r="CA3451">
        <v>1600</v>
      </c>
      <c r="CB3451">
        <v>224</v>
      </c>
      <c r="CD3451">
        <v>1</v>
      </c>
      <c r="CE3451">
        <v>0</v>
      </c>
      <c r="CF3451">
        <v>0</v>
      </c>
      <c r="CG3451">
        <v>1</v>
      </c>
      <c r="CH3451">
        <v>0</v>
      </c>
      <c r="CI3451">
        <v>0</v>
      </c>
      <c r="CJ3451">
        <v>0</v>
      </c>
      <c r="CK3451">
        <v>2</v>
      </c>
      <c r="CL3451">
        <v>0</v>
      </c>
      <c r="CM3451">
        <v>2</v>
      </c>
      <c r="CN3451">
        <v>0</v>
      </c>
      <c r="CO3451">
        <v>7</v>
      </c>
      <c r="CP3451" t="s">
        <v>119</v>
      </c>
      <c r="CQ3451">
        <v>180</v>
      </c>
      <c r="CR3451">
        <v>3</v>
      </c>
      <c r="CW3451">
        <v>1161541</v>
      </c>
      <c r="CY3451">
        <v>1</v>
      </c>
      <c r="CZ3451">
        <v>0</v>
      </c>
      <c r="DA3451">
        <v>0</v>
      </c>
      <c r="DB3451">
        <v>0</v>
      </c>
      <c r="DC3451">
        <v>0</v>
      </c>
      <c r="DD3451">
        <v>0</v>
      </c>
      <c r="DE3451">
        <v>0</v>
      </c>
      <c r="DF3451">
        <v>0</v>
      </c>
      <c r="DG3451">
        <v>0</v>
      </c>
      <c r="DH3451">
        <v>0</v>
      </c>
      <c r="DI3451">
        <v>0</v>
      </c>
    </row>
    <row r="3452" spans="1:113" x14ac:dyDescent="0.3">
      <c r="A3452" t="str">
        <f>"02/08/2021 20:33:13.785"</f>
        <v>02/08/2021 20:33:13.785</v>
      </c>
      <c r="C3452" t="str">
        <f t="shared" si="171"/>
        <v>FFDFD7C0</v>
      </c>
      <c r="D3452" t="s">
        <v>124</v>
      </c>
      <c r="E3452">
        <v>11</v>
      </c>
      <c r="F3452">
        <v>1011</v>
      </c>
      <c r="G3452" t="s">
        <v>590</v>
      </c>
      <c r="J3452" t="s">
        <v>125</v>
      </c>
      <c r="K3452">
        <v>0</v>
      </c>
      <c r="L3452">
        <v>3</v>
      </c>
      <c r="M3452">
        <v>0</v>
      </c>
      <c r="N3452">
        <v>2</v>
      </c>
      <c r="O3452">
        <v>1</v>
      </c>
      <c r="P3452">
        <v>0</v>
      </c>
      <c r="Q3452">
        <v>0</v>
      </c>
      <c r="S3452" t="str">
        <f>"20:33:16.109"</f>
        <v>20:33:16.109</v>
      </c>
      <c r="T3452" t="str">
        <f>"20:33:15.609"</f>
        <v>20:33:15.609</v>
      </c>
      <c r="U3452" t="str">
        <f t="shared" si="168"/>
        <v>AB01F4</v>
      </c>
      <c r="V3452">
        <v>0</v>
      </c>
      <c r="W3452">
        <v>0</v>
      </c>
      <c r="X3452">
        <v>2</v>
      </c>
      <c r="Z3452">
        <v>0</v>
      </c>
      <c r="AA3452">
        <v>9</v>
      </c>
      <c r="AB3452">
        <v>3</v>
      </c>
      <c r="AC3452">
        <v>0</v>
      </c>
      <c r="AD3452">
        <v>10</v>
      </c>
      <c r="AE3452">
        <v>0</v>
      </c>
      <c r="AF3452">
        <v>3</v>
      </c>
      <c r="AG3452">
        <v>2</v>
      </c>
      <c r="AH3452">
        <v>0</v>
      </c>
      <c r="AI3452" t="s">
        <v>1975</v>
      </c>
      <c r="AJ3452">
        <v>40.084820000000001</v>
      </c>
      <c r="AK3452" t="s">
        <v>1976</v>
      </c>
      <c r="AL3452">
        <v>-92.964613</v>
      </c>
      <c r="AM3452">
        <v>100</v>
      </c>
      <c r="AN3452">
        <v>1300</v>
      </c>
      <c r="AO3452" t="s">
        <v>118</v>
      </c>
      <c r="AP3452">
        <v>-114</v>
      </c>
      <c r="AQ3452">
        <v>62</v>
      </c>
      <c r="AR3452">
        <v>-128</v>
      </c>
      <c r="AZ3452">
        <v>1200</v>
      </c>
      <c r="BA3452">
        <v>1</v>
      </c>
      <c r="BB3452" t="str">
        <f t="shared" si="170"/>
        <v xml:space="preserve">N8080G  </v>
      </c>
      <c r="BC3452">
        <v>1</v>
      </c>
      <c r="BE3452">
        <v>0</v>
      </c>
      <c r="BF3452">
        <v>0</v>
      </c>
      <c r="BG3452">
        <v>0</v>
      </c>
      <c r="BH3452">
        <v>1350</v>
      </c>
      <c r="BI3452">
        <v>1</v>
      </c>
      <c r="BJ3452">
        <v>1</v>
      </c>
      <c r="BK3452">
        <v>1</v>
      </c>
      <c r="BL3452">
        <v>0</v>
      </c>
      <c r="BO3452">
        <v>0</v>
      </c>
      <c r="BP3452">
        <v>0</v>
      </c>
      <c r="BW3452" t="str">
        <f>"20:33:16.116"</f>
        <v>20:33:16.116</v>
      </c>
      <c r="BZ3452">
        <v>0</v>
      </c>
      <c r="CA3452">
        <v>1600</v>
      </c>
      <c r="CB3452">
        <v>224</v>
      </c>
      <c r="CD3452">
        <v>1</v>
      </c>
      <c r="CE3452">
        <v>0</v>
      </c>
      <c r="CF3452">
        <v>0</v>
      </c>
      <c r="CG3452">
        <v>1</v>
      </c>
      <c r="CH3452">
        <v>0</v>
      </c>
      <c r="CI3452">
        <v>0</v>
      </c>
      <c r="CJ3452">
        <v>0</v>
      </c>
      <c r="CK3452">
        <v>2</v>
      </c>
      <c r="CL3452">
        <v>0</v>
      </c>
      <c r="CM3452">
        <v>2</v>
      </c>
      <c r="CN3452">
        <v>0</v>
      </c>
      <c r="CO3452">
        <v>7</v>
      </c>
      <c r="CP3452" t="s">
        <v>119</v>
      </c>
      <c r="CQ3452">
        <v>180</v>
      </c>
      <c r="CR3452">
        <v>3</v>
      </c>
      <c r="CW3452">
        <v>1161541</v>
      </c>
      <c r="CY3452">
        <v>1</v>
      </c>
      <c r="CZ3452">
        <v>0</v>
      </c>
      <c r="DA3452">
        <v>1</v>
      </c>
      <c r="DB3452">
        <v>0</v>
      </c>
      <c r="DC3452">
        <v>0</v>
      </c>
      <c r="DD3452">
        <v>0</v>
      </c>
      <c r="DE3452">
        <v>0</v>
      </c>
      <c r="DF3452">
        <v>0</v>
      </c>
      <c r="DG3452">
        <v>0</v>
      </c>
      <c r="DH3452">
        <v>0</v>
      </c>
      <c r="DI3452">
        <v>0</v>
      </c>
    </row>
    <row r="3453" spans="1:113" x14ac:dyDescent="0.3">
      <c r="A3453" t="str">
        <f>"02/08/2021 20:33:13.785"</f>
        <v>02/08/2021 20:33:13.785</v>
      </c>
      <c r="C3453" t="str">
        <f t="shared" si="171"/>
        <v>FFDFD7C0</v>
      </c>
      <c r="D3453" t="s">
        <v>113</v>
      </c>
      <c r="E3453">
        <v>6</v>
      </c>
      <c r="H3453">
        <v>165</v>
      </c>
      <c r="I3453" t="s">
        <v>114</v>
      </c>
      <c r="J3453" t="s">
        <v>115</v>
      </c>
      <c r="K3453">
        <v>0</v>
      </c>
      <c r="L3453">
        <v>3</v>
      </c>
      <c r="M3453">
        <v>0</v>
      </c>
      <c r="N3453">
        <v>2</v>
      </c>
      <c r="O3453">
        <v>1</v>
      </c>
      <c r="P3453">
        <v>0</v>
      </c>
      <c r="Q3453">
        <v>0</v>
      </c>
      <c r="S3453" t="str">
        <f>"20:33:16.109"</f>
        <v>20:33:16.109</v>
      </c>
      <c r="T3453" t="str">
        <f>"20:33:15.609"</f>
        <v>20:33:15.609</v>
      </c>
      <c r="U3453" t="str">
        <f t="shared" si="168"/>
        <v>AB01F4</v>
      </c>
      <c r="V3453">
        <v>0</v>
      </c>
      <c r="W3453">
        <v>0</v>
      </c>
      <c r="X3453">
        <v>2</v>
      </c>
      <c r="Z3453">
        <v>0</v>
      </c>
      <c r="AA3453">
        <v>9</v>
      </c>
      <c r="AB3453">
        <v>3</v>
      </c>
      <c r="AC3453">
        <v>0</v>
      </c>
      <c r="AD3453">
        <v>10</v>
      </c>
      <c r="AE3453">
        <v>0</v>
      </c>
      <c r="AF3453">
        <v>3</v>
      </c>
      <c r="AG3453">
        <v>2</v>
      </c>
      <c r="AH3453">
        <v>0</v>
      </c>
      <c r="AI3453" t="s">
        <v>1975</v>
      </c>
      <c r="AJ3453">
        <v>40.084820000000001</v>
      </c>
      <c r="AK3453" t="s">
        <v>1976</v>
      </c>
      <c r="AL3453">
        <v>-92.964613</v>
      </c>
      <c r="AM3453">
        <v>100</v>
      </c>
      <c r="AN3453">
        <v>1300</v>
      </c>
      <c r="AO3453" t="s">
        <v>118</v>
      </c>
      <c r="AP3453">
        <v>-114</v>
      </c>
      <c r="AQ3453">
        <v>62</v>
      </c>
      <c r="AR3453">
        <v>-128</v>
      </c>
      <c r="AZ3453">
        <v>1200</v>
      </c>
      <c r="BA3453">
        <v>1</v>
      </c>
      <c r="BB3453" t="str">
        <f t="shared" si="170"/>
        <v xml:space="preserve">N8080G  </v>
      </c>
      <c r="BC3453">
        <v>1</v>
      </c>
      <c r="BE3453">
        <v>0</v>
      </c>
      <c r="BF3453">
        <v>0</v>
      </c>
      <c r="BG3453">
        <v>0</v>
      </c>
      <c r="BH3453">
        <v>1350</v>
      </c>
      <c r="BI3453">
        <v>1</v>
      </c>
      <c r="BJ3453">
        <v>1</v>
      </c>
      <c r="BK3453">
        <v>1</v>
      </c>
      <c r="BL3453">
        <v>0</v>
      </c>
      <c r="BO3453">
        <v>0</v>
      </c>
      <c r="BP3453">
        <v>0</v>
      </c>
      <c r="BW3453" t="str">
        <f>"20:33:16.116"</f>
        <v>20:33:16.116</v>
      </c>
      <c r="BZ3453">
        <v>0</v>
      </c>
      <c r="CA3453">
        <v>1600</v>
      </c>
      <c r="CB3453">
        <v>224</v>
      </c>
      <c r="CD3453">
        <v>1</v>
      </c>
      <c r="CE3453">
        <v>0</v>
      </c>
      <c r="CF3453">
        <v>0</v>
      </c>
      <c r="CG3453">
        <v>1</v>
      </c>
      <c r="CH3453">
        <v>0</v>
      </c>
      <c r="CI3453">
        <v>0</v>
      </c>
      <c r="CJ3453">
        <v>0</v>
      </c>
      <c r="CK3453">
        <v>2</v>
      </c>
      <c r="CL3453">
        <v>0</v>
      </c>
      <c r="CM3453">
        <v>2</v>
      </c>
      <c r="CN3453">
        <v>0</v>
      </c>
      <c r="CO3453">
        <v>7</v>
      </c>
      <c r="CP3453" t="s">
        <v>119</v>
      </c>
      <c r="CQ3453">
        <v>180</v>
      </c>
      <c r="CR3453">
        <v>3</v>
      </c>
      <c r="CW3453">
        <v>1161541</v>
      </c>
      <c r="CY3453">
        <v>1</v>
      </c>
      <c r="CZ3453">
        <v>0</v>
      </c>
      <c r="DA3453">
        <v>1</v>
      </c>
      <c r="DB3453">
        <v>0</v>
      </c>
      <c r="DC3453">
        <v>0</v>
      </c>
      <c r="DD3453">
        <v>0</v>
      </c>
      <c r="DE3453">
        <v>0</v>
      </c>
      <c r="DF3453">
        <v>0</v>
      </c>
      <c r="DG3453">
        <v>0</v>
      </c>
      <c r="DH3453">
        <v>0</v>
      </c>
      <c r="DI3453">
        <v>0</v>
      </c>
    </row>
    <row r="3454" spans="1:113" x14ac:dyDescent="0.3">
      <c r="A3454" t="str">
        <f>"02/08/2021 20:33:13.785"</f>
        <v>02/08/2021 20:33:13.785</v>
      </c>
      <c r="C3454" t="str">
        <f t="shared" si="171"/>
        <v>FFDFD7C0</v>
      </c>
      <c r="D3454" t="s">
        <v>124</v>
      </c>
      <c r="E3454">
        <v>13</v>
      </c>
      <c r="F3454">
        <v>1013</v>
      </c>
      <c r="G3454" t="s">
        <v>114</v>
      </c>
      <c r="J3454" t="s">
        <v>125</v>
      </c>
      <c r="K3454">
        <v>0</v>
      </c>
      <c r="L3454">
        <v>3</v>
      </c>
      <c r="M3454">
        <v>0</v>
      </c>
      <c r="N3454">
        <v>2</v>
      </c>
      <c r="O3454">
        <v>1</v>
      </c>
      <c r="P3454">
        <v>0</v>
      </c>
      <c r="Q3454">
        <v>0</v>
      </c>
      <c r="S3454" t="str">
        <f>"20:33:16.109"</f>
        <v>20:33:16.109</v>
      </c>
      <c r="T3454" t="str">
        <f>"20:33:15.609"</f>
        <v>20:33:15.609</v>
      </c>
      <c r="U3454" t="str">
        <f t="shared" si="168"/>
        <v>AB01F4</v>
      </c>
      <c r="V3454">
        <v>0</v>
      </c>
      <c r="W3454">
        <v>0</v>
      </c>
      <c r="X3454">
        <v>2</v>
      </c>
      <c r="Z3454">
        <v>0</v>
      </c>
      <c r="AA3454">
        <v>9</v>
      </c>
      <c r="AB3454">
        <v>3</v>
      </c>
      <c r="AC3454">
        <v>0</v>
      </c>
      <c r="AD3454">
        <v>10</v>
      </c>
      <c r="AE3454">
        <v>0</v>
      </c>
      <c r="AF3454">
        <v>3</v>
      </c>
      <c r="AG3454">
        <v>2</v>
      </c>
      <c r="AH3454">
        <v>0</v>
      </c>
      <c r="AI3454" t="s">
        <v>1975</v>
      </c>
      <c r="AJ3454">
        <v>40.084820000000001</v>
      </c>
      <c r="AK3454" t="s">
        <v>1976</v>
      </c>
      <c r="AL3454">
        <v>-92.964613</v>
      </c>
      <c r="AM3454">
        <v>100</v>
      </c>
      <c r="AN3454">
        <v>1300</v>
      </c>
      <c r="AO3454" t="s">
        <v>118</v>
      </c>
      <c r="AP3454">
        <v>-114</v>
      </c>
      <c r="AQ3454">
        <v>62</v>
      </c>
      <c r="AR3454">
        <v>-128</v>
      </c>
      <c r="AZ3454">
        <v>1200</v>
      </c>
      <c r="BA3454">
        <v>1</v>
      </c>
      <c r="BB3454" t="str">
        <f t="shared" si="170"/>
        <v xml:space="preserve">N8080G  </v>
      </c>
      <c r="BC3454">
        <v>1</v>
      </c>
      <c r="BE3454">
        <v>0</v>
      </c>
      <c r="BF3454">
        <v>0</v>
      </c>
      <c r="BG3454">
        <v>0</v>
      </c>
      <c r="BH3454">
        <v>1350</v>
      </c>
      <c r="BI3454">
        <v>1</v>
      </c>
      <c r="BJ3454">
        <v>1</v>
      </c>
      <c r="BK3454">
        <v>1</v>
      </c>
      <c r="BL3454">
        <v>0</v>
      </c>
      <c r="BO3454">
        <v>0</v>
      </c>
      <c r="BP3454">
        <v>0</v>
      </c>
      <c r="BW3454" t="str">
        <f>"20:33:16.116"</f>
        <v>20:33:16.116</v>
      </c>
      <c r="BZ3454">
        <v>0</v>
      </c>
      <c r="CA3454">
        <v>1600</v>
      </c>
      <c r="CB3454">
        <v>224</v>
      </c>
      <c r="CD3454">
        <v>1</v>
      </c>
      <c r="CE3454">
        <v>0</v>
      </c>
      <c r="CF3454">
        <v>0</v>
      </c>
      <c r="CG3454">
        <v>1</v>
      </c>
      <c r="CH3454">
        <v>0</v>
      </c>
      <c r="CI3454">
        <v>0</v>
      </c>
      <c r="CJ3454">
        <v>0</v>
      </c>
      <c r="CK3454">
        <v>2</v>
      </c>
      <c r="CL3454">
        <v>0</v>
      </c>
      <c r="CM3454">
        <v>2</v>
      </c>
      <c r="CN3454">
        <v>0</v>
      </c>
      <c r="CO3454">
        <v>7</v>
      </c>
      <c r="CP3454" t="s">
        <v>119</v>
      </c>
      <c r="CQ3454">
        <v>180</v>
      </c>
      <c r="CR3454">
        <v>3</v>
      </c>
      <c r="CW3454">
        <v>1161541</v>
      </c>
      <c r="CY3454">
        <v>1</v>
      </c>
      <c r="CZ3454">
        <v>0</v>
      </c>
      <c r="DA3454">
        <v>1</v>
      </c>
      <c r="DB3454">
        <v>0</v>
      </c>
      <c r="DC3454">
        <v>0</v>
      </c>
      <c r="DD3454">
        <v>0</v>
      </c>
      <c r="DE3454">
        <v>0</v>
      </c>
      <c r="DF3454">
        <v>0</v>
      </c>
      <c r="DG3454">
        <v>0</v>
      </c>
      <c r="DH3454">
        <v>0</v>
      </c>
      <c r="DI3454">
        <v>0</v>
      </c>
    </row>
    <row r="3455" spans="1:113" x14ac:dyDescent="0.3">
      <c r="A3455" t="str">
        <f>"02/08/2021 20:33:14.789"</f>
        <v>02/08/2021 20:33:14.789</v>
      </c>
      <c r="C3455" t="str">
        <f t="shared" si="171"/>
        <v>FFDFD7C0</v>
      </c>
      <c r="D3455" t="s">
        <v>124</v>
      </c>
      <c r="E3455">
        <v>12</v>
      </c>
      <c r="F3455">
        <v>1012</v>
      </c>
      <c r="G3455" t="s">
        <v>675</v>
      </c>
      <c r="J3455" t="s">
        <v>125</v>
      </c>
      <c r="K3455">
        <v>0</v>
      </c>
      <c r="L3455">
        <v>3</v>
      </c>
      <c r="M3455">
        <v>0</v>
      </c>
      <c r="N3455">
        <v>2</v>
      </c>
      <c r="O3455">
        <v>1</v>
      </c>
      <c r="P3455">
        <v>0</v>
      </c>
      <c r="Q3455">
        <v>0</v>
      </c>
      <c r="S3455" t="str">
        <f>"20:33:17.094"</f>
        <v>20:33:17.094</v>
      </c>
      <c r="T3455" t="str">
        <f>"20:33:16.694"</f>
        <v>20:33:16.694</v>
      </c>
      <c r="U3455" t="str">
        <f t="shared" si="168"/>
        <v>AB01F4</v>
      </c>
      <c r="V3455">
        <v>0</v>
      </c>
      <c r="W3455">
        <v>0</v>
      </c>
      <c r="X3455">
        <v>2</v>
      </c>
      <c r="Z3455">
        <v>0</v>
      </c>
      <c r="AA3455">
        <v>9</v>
      </c>
      <c r="AB3455">
        <v>3</v>
      </c>
      <c r="AC3455">
        <v>0</v>
      </c>
      <c r="AD3455">
        <v>10</v>
      </c>
      <c r="AE3455">
        <v>0</v>
      </c>
      <c r="AF3455">
        <v>3</v>
      </c>
      <c r="AG3455">
        <v>2</v>
      </c>
      <c r="AH3455">
        <v>0</v>
      </c>
      <c r="AI3455" t="s">
        <v>1977</v>
      </c>
      <c r="AJ3455">
        <v>40.085099</v>
      </c>
      <c r="AK3455" t="s">
        <v>1978</v>
      </c>
      <c r="AL3455">
        <v>-92.965299999999999</v>
      </c>
      <c r="AM3455">
        <v>100</v>
      </c>
      <c r="AN3455">
        <v>1300</v>
      </c>
      <c r="AO3455" t="s">
        <v>118</v>
      </c>
      <c r="AP3455">
        <v>-114</v>
      </c>
      <c r="AQ3455">
        <v>62</v>
      </c>
      <c r="AR3455">
        <v>0</v>
      </c>
      <c r="AZ3455">
        <v>1200</v>
      </c>
      <c r="BA3455">
        <v>1</v>
      </c>
      <c r="BB3455" t="str">
        <f t="shared" si="170"/>
        <v xml:space="preserve">N8080G  </v>
      </c>
      <c r="BC3455">
        <v>1</v>
      </c>
      <c r="BE3455">
        <v>0</v>
      </c>
      <c r="BF3455">
        <v>0</v>
      </c>
      <c r="BG3455">
        <v>0</v>
      </c>
      <c r="BH3455">
        <v>1350</v>
      </c>
      <c r="BI3455">
        <v>1</v>
      </c>
      <c r="BJ3455">
        <v>1</v>
      </c>
      <c r="BK3455">
        <v>1</v>
      </c>
      <c r="BL3455">
        <v>0</v>
      </c>
      <c r="BO3455">
        <v>0</v>
      </c>
      <c r="BP3455">
        <v>0</v>
      </c>
      <c r="BW3455" t="str">
        <f>"20:33:17.094"</f>
        <v>20:33:17.094</v>
      </c>
      <c r="BZ3455">
        <v>0</v>
      </c>
      <c r="CA3455">
        <v>1600</v>
      </c>
      <c r="CB3455">
        <v>224</v>
      </c>
      <c r="CD3455">
        <v>1</v>
      </c>
      <c r="CE3455">
        <v>0</v>
      </c>
      <c r="CF3455">
        <v>0</v>
      </c>
      <c r="CG3455">
        <v>1</v>
      </c>
      <c r="CH3455">
        <v>0</v>
      </c>
      <c r="CI3455">
        <v>0</v>
      </c>
      <c r="CJ3455">
        <v>0</v>
      </c>
      <c r="CK3455">
        <v>2</v>
      </c>
      <c r="CL3455">
        <v>0</v>
      </c>
      <c r="CM3455">
        <v>2</v>
      </c>
      <c r="CN3455">
        <v>0</v>
      </c>
      <c r="CO3455">
        <v>7</v>
      </c>
      <c r="CP3455" t="s">
        <v>119</v>
      </c>
      <c r="CQ3455">
        <v>180</v>
      </c>
      <c r="CR3455">
        <v>3</v>
      </c>
      <c r="CW3455">
        <v>1162220</v>
      </c>
      <c r="CY3455">
        <v>1</v>
      </c>
      <c r="CZ3455">
        <v>0</v>
      </c>
      <c r="DA3455">
        <v>0</v>
      </c>
      <c r="DB3455">
        <v>0</v>
      </c>
      <c r="DC3455">
        <v>0</v>
      </c>
      <c r="DD3455">
        <v>0</v>
      </c>
      <c r="DE3455">
        <v>0</v>
      </c>
      <c r="DF3455">
        <v>0</v>
      </c>
      <c r="DG3455">
        <v>0</v>
      </c>
      <c r="DH3455">
        <v>0</v>
      </c>
      <c r="DI3455">
        <v>0</v>
      </c>
    </row>
    <row r="3456" spans="1:113" x14ac:dyDescent="0.3">
      <c r="A3456" t="str">
        <f>"02/08/2021 20:33:14.789"</f>
        <v>02/08/2021 20:33:14.789</v>
      </c>
      <c r="C3456" t="str">
        <f t="shared" si="171"/>
        <v>FFDFD7C0</v>
      </c>
      <c r="D3456" t="s">
        <v>124</v>
      </c>
      <c r="E3456">
        <v>11</v>
      </c>
      <c r="F3456">
        <v>1011</v>
      </c>
      <c r="G3456" t="s">
        <v>590</v>
      </c>
      <c r="J3456" t="s">
        <v>125</v>
      </c>
      <c r="K3456">
        <v>0</v>
      </c>
      <c r="L3456">
        <v>3</v>
      </c>
      <c r="M3456">
        <v>0</v>
      </c>
      <c r="N3456">
        <v>2</v>
      </c>
      <c r="O3456">
        <v>1</v>
      </c>
      <c r="P3456">
        <v>0</v>
      </c>
      <c r="Q3456">
        <v>0</v>
      </c>
      <c r="S3456" t="str">
        <f>"20:33:17.094"</f>
        <v>20:33:17.094</v>
      </c>
      <c r="T3456" t="str">
        <f>"20:33:16.694"</f>
        <v>20:33:16.694</v>
      </c>
      <c r="U3456" t="str">
        <f t="shared" si="168"/>
        <v>AB01F4</v>
      </c>
      <c r="V3456">
        <v>0</v>
      </c>
      <c r="W3456">
        <v>0</v>
      </c>
      <c r="X3456">
        <v>2</v>
      </c>
      <c r="Z3456">
        <v>0</v>
      </c>
      <c r="AA3456">
        <v>9</v>
      </c>
      <c r="AB3456">
        <v>3</v>
      </c>
      <c r="AC3456">
        <v>0</v>
      </c>
      <c r="AD3456">
        <v>10</v>
      </c>
      <c r="AE3456">
        <v>0</v>
      </c>
      <c r="AF3456">
        <v>3</v>
      </c>
      <c r="AG3456">
        <v>2</v>
      </c>
      <c r="AH3456">
        <v>0</v>
      </c>
      <c r="AI3456" t="s">
        <v>1977</v>
      </c>
      <c r="AJ3456">
        <v>40.085099</v>
      </c>
      <c r="AK3456" t="s">
        <v>1978</v>
      </c>
      <c r="AL3456">
        <v>-92.965299999999999</v>
      </c>
      <c r="AM3456">
        <v>100</v>
      </c>
      <c r="AN3456">
        <v>1300</v>
      </c>
      <c r="AO3456" t="s">
        <v>118</v>
      </c>
      <c r="AP3456">
        <v>-114</v>
      </c>
      <c r="AQ3456">
        <v>62</v>
      </c>
      <c r="AR3456">
        <v>0</v>
      </c>
      <c r="AZ3456">
        <v>1200</v>
      </c>
      <c r="BA3456">
        <v>1</v>
      </c>
      <c r="BB3456" t="str">
        <f t="shared" si="170"/>
        <v xml:space="preserve">N8080G  </v>
      </c>
      <c r="BC3456">
        <v>1</v>
      </c>
      <c r="BE3456">
        <v>0</v>
      </c>
      <c r="BF3456">
        <v>0</v>
      </c>
      <c r="BG3456">
        <v>0</v>
      </c>
      <c r="BH3456">
        <v>1350</v>
      </c>
      <c r="BI3456">
        <v>1</v>
      </c>
      <c r="BJ3456">
        <v>1</v>
      </c>
      <c r="BK3456">
        <v>1</v>
      </c>
      <c r="BL3456">
        <v>0</v>
      </c>
      <c r="BO3456">
        <v>0</v>
      </c>
      <c r="BP3456">
        <v>0</v>
      </c>
      <c r="BW3456" t="str">
        <f>"20:33:17.094"</f>
        <v>20:33:17.094</v>
      </c>
      <c r="BZ3456">
        <v>0</v>
      </c>
      <c r="CA3456">
        <v>1600</v>
      </c>
      <c r="CB3456">
        <v>224</v>
      </c>
      <c r="CD3456">
        <v>1</v>
      </c>
      <c r="CE3456">
        <v>0</v>
      </c>
      <c r="CF3456">
        <v>0</v>
      </c>
      <c r="CG3456">
        <v>1</v>
      </c>
      <c r="CH3456">
        <v>0</v>
      </c>
      <c r="CI3456">
        <v>0</v>
      </c>
      <c r="CJ3456">
        <v>0</v>
      </c>
      <c r="CK3456">
        <v>2</v>
      </c>
      <c r="CL3456">
        <v>0</v>
      </c>
      <c r="CM3456">
        <v>2</v>
      </c>
      <c r="CN3456">
        <v>0</v>
      </c>
      <c r="CO3456">
        <v>7</v>
      </c>
      <c r="CP3456" t="s">
        <v>119</v>
      </c>
      <c r="CQ3456">
        <v>180</v>
      </c>
      <c r="CR3456">
        <v>3</v>
      </c>
      <c r="CW3456">
        <v>1162220</v>
      </c>
      <c r="CY3456">
        <v>1</v>
      </c>
      <c r="CZ3456">
        <v>0</v>
      </c>
      <c r="DA3456">
        <v>1</v>
      </c>
      <c r="DB3456">
        <v>0</v>
      </c>
      <c r="DC3456">
        <v>0</v>
      </c>
      <c r="DD3456">
        <v>0</v>
      </c>
      <c r="DE3456">
        <v>0</v>
      </c>
      <c r="DF3456">
        <v>0</v>
      </c>
      <c r="DG3456">
        <v>0</v>
      </c>
      <c r="DH3456">
        <v>0</v>
      </c>
      <c r="DI3456">
        <v>0</v>
      </c>
    </row>
    <row r="3457" spans="1:113" x14ac:dyDescent="0.3">
      <c r="A3457" t="str">
        <f>"02/08/2021 20:33:14.789"</f>
        <v>02/08/2021 20:33:14.789</v>
      </c>
      <c r="C3457" t="str">
        <f t="shared" si="171"/>
        <v>FFDFD7C0</v>
      </c>
      <c r="D3457" t="s">
        <v>113</v>
      </c>
      <c r="E3457">
        <v>6</v>
      </c>
      <c r="H3457">
        <v>165</v>
      </c>
      <c r="I3457" t="s">
        <v>114</v>
      </c>
      <c r="J3457" t="s">
        <v>115</v>
      </c>
      <c r="K3457">
        <v>0</v>
      </c>
      <c r="L3457">
        <v>3</v>
      </c>
      <c r="M3457">
        <v>0</v>
      </c>
      <c r="N3457">
        <v>2</v>
      </c>
      <c r="O3457">
        <v>1</v>
      </c>
      <c r="P3457">
        <v>0</v>
      </c>
      <c r="Q3457">
        <v>0</v>
      </c>
      <c r="S3457" t="str">
        <f>"20:33:17.094"</f>
        <v>20:33:17.094</v>
      </c>
      <c r="T3457" t="str">
        <f>"20:33:16.694"</f>
        <v>20:33:16.694</v>
      </c>
      <c r="U3457" t="str">
        <f t="shared" si="168"/>
        <v>AB01F4</v>
      </c>
      <c r="V3457">
        <v>0</v>
      </c>
      <c r="W3457">
        <v>0</v>
      </c>
      <c r="X3457">
        <v>2</v>
      </c>
      <c r="Z3457">
        <v>0</v>
      </c>
      <c r="AA3457">
        <v>9</v>
      </c>
      <c r="AB3457">
        <v>3</v>
      </c>
      <c r="AC3457">
        <v>0</v>
      </c>
      <c r="AD3457">
        <v>10</v>
      </c>
      <c r="AE3457">
        <v>0</v>
      </c>
      <c r="AF3457">
        <v>3</v>
      </c>
      <c r="AG3457">
        <v>2</v>
      </c>
      <c r="AH3457">
        <v>0</v>
      </c>
      <c r="AI3457" t="s">
        <v>1977</v>
      </c>
      <c r="AJ3457">
        <v>40.085099</v>
      </c>
      <c r="AK3457" t="s">
        <v>1978</v>
      </c>
      <c r="AL3457">
        <v>-92.965299999999999</v>
      </c>
      <c r="AM3457">
        <v>100</v>
      </c>
      <c r="AN3457">
        <v>1300</v>
      </c>
      <c r="AO3457" t="s">
        <v>118</v>
      </c>
      <c r="AP3457">
        <v>-114</v>
      </c>
      <c r="AQ3457">
        <v>62</v>
      </c>
      <c r="AR3457">
        <v>0</v>
      </c>
      <c r="AZ3457">
        <v>1200</v>
      </c>
      <c r="BA3457">
        <v>1</v>
      </c>
      <c r="BB3457" t="str">
        <f t="shared" si="170"/>
        <v xml:space="preserve">N8080G  </v>
      </c>
      <c r="BC3457">
        <v>1</v>
      </c>
      <c r="BE3457">
        <v>0</v>
      </c>
      <c r="BF3457">
        <v>0</v>
      </c>
      <c r="BG3457">
        <v>0</v>
      </c>
      <c r="BH3457">
        <v>1350</v>
      </c>
      <c r="BI3457">
        <v>1</v>
      </c>
      <c r="BJ3457">
        <v>1</v>
      </c>
      <c r="BK3457">
        <v>1</v>
      </c>
      <c r="BL3457">
        <v>0</v>
      </c>
      <c r="BO3457">
        <v>0</v>
      </c>
      <c r="BP3457">
        <v>0</v>
      </c>
      <c r="BW3457" t="str">
        <f>"20:33:17.094"</f>
        <v>20:33:17.094</v>
      </c>
      <c r="BZ3457">
        <v>0</v>
      </c>
      <c r="CA3457">
        <v>1600</v>
      </c>
      <c r="CB3457">
        <v>224</v>
      </c>
      <c r="CD3457">
        <v>1</v>
      </c>
      <c r="CE3457">
        <v>0</v>
      </c>
      <c r="CF3457">
        <v>0</v>
      </c>
      <c r="CG3457">
        <v>1</v>
      </c>
      <c r="CH3457">
        <v>0</v>
      </c>
      <c r="CI3457">
        <v>0</v>
      </c>
      <c r="CJ3457">
        <v>0</v>
      </c>
      <c r="CK3457">
        <v>2</v>
      </c>
      <c r="CL3457">
        <v>0</v>
      </c>
      <c r="CM3457">
        <v>2</v>
      </c>
      <c r="CN3457">
        <v>0</v>
      </c>
      <c r="CO3457">
        <v>7</v>
      </c>
      <c r="CP3457" t="s">
        <v>119</v>
      </c>
      <c r="CQ3457">
        <v>180</v>
      </c>
      <c r="CR3457">
        <v>3</v>
      </c>
      <c r="CW3457">
        <v>1162220</v>
      </c>
      <c r="CY3457">
        <v>1</v>
      </c>
      <c r="CZ3457">
        <v>0</v>
      </c>
      <c r="DA3457">
        <v>1</v>
      </c>
      <c r="DB3457">
        <v>0</v>
      </c>
      <c r="DC3457">
        <v>0</v>
      </c>
      <c r="DD3457">
        <v>0</v>
      </c>
      <c r="DE3457">
        <v>0</v>
      </c>
      <c r="DF3457">
        <v>0</v>
      </c>
      <c r="DG3457">
        <v>0</v>
      </c>
      <c r="DH3457">
        <v>0</v>
      </c>
      <c r="DI3457">
        <v>0</v>
      </c>
    </row>
    <row r="3458" spans="1:113" x14ac:dyDescent="0.3">
      <c r="A3458" t="str">
        <f>"02/08/2021 20:33:14.789"</f>
        <v>02/08/2021 20:33:14.789</v>
      </c>
      <c r="C3458" t="str">
        <f t="shared" si="171"/>
        <v>FFDFD7C0</v>
      </c>
      <c r="D3458" t="s">
        <v>124</v>
      </c>
      <c r="E3458">
        <v>13</v>
      </c>
      <c r="F3458">
        <v>1013</v>
      </c>
      <c r="G3458" t="s">
        <v>114</v>
      </c>
      <c r="J3458" t="s">
        <v>125</v>
      </c>
      <c r="K3458">
        <v>0</v>
      </c>
      <c r="L3458">
        <v>3</v>
      </c>
      <c r="M3458">
        <v>0</v>
      </c>
      <c r="N3458">
        <v>2</v>
      </c>
      <c r="O3458">
        <v>1</v>
      </c>
      <c r="P3458">
        <v>0</v>
      </c>
      <c r="Q3458">
        <v>0</v>
      </c>
      <c r="S3458" t="str">
        <f>"20:33:17.094"</f>
        <v>20:33:17.094</v>
      </c>
      <c r="T3458" t="str">
        <f>"20:33:16.694"</f>
        <v>20:33:16.694</v>
      </c>
      <c r="U3458" t="str">
        <f t="shared" ref="U3458:U3521" si="172">"AB01F4"</f>
        <v>AB01F4</v>
      </c>
      <c r="V3458">
        <v>0</v>
      </c>
      <c r="W3458">
        <v>0</v>
      </c>
      <c r="X3458">
        <v>2</v>
      </c>
      <c r="Z3458">
        <v>0</v>
      </c>
      <c r="AA3458">
        <v>9</v>
      </c>
      <c r="AB3458">
        <v>3</v>
      </c>
      <c r="AC3458">
        <v>0</v>
      </c>
      <c r="AD3458">
        <v>10</v>
      </c>
      <c r="AE3458">
        <v>0</v>
      </c>
      <c r="AF3458">
        <v>3</v>
      </c>
      <c r="AG3458">
        <v>2</v>
      </c>
      <c r="AH3458">
        <v>0</v>
      </c>
      <c r="AI3458" t="s">
        <v>1977</v>
      </c>
      <c r="AJ3458">
        <v>40.085099</v>
      </c>
      <c r="AK3458" t="s">
        <v>1978</v>
      </c>
      <c r="AL3458">
        <v>-92.965299999999999</v>
      </c>
      <c r="AM3458">
        <v>100</v>
      </c>
      <c r="AN3458">
        <v>1300</v>
      </c>
      <c r="AO3458" t="s">
        <v>118</v>
      </c>
      <c r="AP3458">
        <v>-114</v>
      </c>
      <c r="AQ3458">
        <v>62</v>
      </c>
      <c r="AR3458">
        <v>0</v>
      </c>
      <c r="AZ3458">
        <v>1200</v>
      </c>
      <c r="BA3458">
        <v>1</v>
      </c>
      <c r="BB3458" t="str">
        <f t="shared" si="170"/>
        <v xml:space="preserve">N8080G  </v>
      </c>
      <c r="BC3458">
        <v>1</v>
      </c>
      <c r="BE3458">
        <v>0</v>
      </c>
      <c r="BF3458">
        <v>0</v>
      </c>
      <c r="BG3458">
        <v>0</v>
      </c>
      <c r="BH3458">
        <v>1350</v>
      </c>
      <c r="BI3458">
        <v>1</v>
      </c>
      <c r="BJ3458">
        <v>1</v>
      </c>
      <c r="BK3458">
        <v>1</v>
      </c>
      <c r="BL3458">
        <v>0</v>
      </c>
      <c r="BO3458">
        <v>0</v>
      </c>
      <c r="BP3458">
        <v>0</v>
      </c>
      <c r="BW3458" t="str">
        <f>"20:33:17.094"</f>
        <v>20:33:17.094</v>
      </c>
      <c r="BZ3458">
        <v>0</v>
      </c>
      <c r="CA3458">
        <v>1600</v>
      </c>
      <c r="CB3458">
        <v>224</v>
      </c>
      <c r="CD3458">
        <v>1</v>
      </c>
      <c r="CE3458">
        <v>0</v>
      </c>
      <c r="CF3458">
        <v>0</v>
      </c>
      <c r="CG3458">
        <v>1</v>
      </c>
      <c r="CH3458">
        <v>0</v>
      </c>
      <c r="CI3458">
        <v>0</v>
      </c>
      <c r="CJ3458">
        <v>0</v>
      </c>
      <c r="CK3458">
        <v>2</v>
      </c>
      <c r="CL3458">
        <v>0</v>
      </c>
      <c r="CM3458">
        <v>2</v>
      </c>
      <c r="CN3458">
        <v>0</v>
      </c>
      <c r="CO3458">
        <v>7</v>
      </c>
      <c r="CP3458" t="s">
        <v>119</v>
      </c>
      <c r="CQ3458">
        <v>180</v>
      </c>
      <c r="CR3458">
        <v>3</v>
      </c>
      <c r="CW3458">
        <v>1162220</v>
      </c>
      <c r="CY3458">
        <v>1</v>
      </c>
      <c r="CZ3458">
        <v>0</v>
      </c>
      <c r="DA3458">
        <v>1</v>
      </c>
      <c r="DB3458">
        <v>0</v>
      </c>
      <c r="DC3458">
        <v>0</v>
      </c>
      <c r="DD3458">
        <v>0</v>
      </c>
      <c r="DE3458">
        <v>0</v>
      </c>
      <c r="DF3458">
        <v>0</v>
      </c>
      <c r="DG3458">
        <v>0</v>
      </c>
      <c r="DH3458">
        <v>0</v>
      </c>
      <c r="DI3458">
        <v>0</v>
      </c>
    </row>
    <row r="3459" spans="1:113" x14ac:dyDescent="0.3">
      <c r="A3459" t="str">
        <f>"02/08/2021 20:33:17.881"</f>
        <v>02/08/2021 20:33:17.881</v>
      </c>
      <c r="C3459" t="str">
        <f t="shared" si="171"/>
        <v>FFDFD7C0</v>
      </c>
      <c r="D3459" t="s">
        <v>113</v>
      </c>
      <c r="E3459">
        <v>6</v>
      </c>
      <c r="H3459">
        <v>165</v>
      </c>
      <c r="I3459" t="s">
        <v>114</v>
      </c>
      <c r="J3459" t="s">
        <v>115</v>
      </c>
      <c r="K3459">
        <v>0</v>
      </c>
      <c r="L3459">
        <v>3</v>
      </c>
      <c r="M3459">
        <v>0</v>
      </c>
      <c r="N3459">
        <v>2</v>
      </c>
      <c r="O3459">
        <v>1</v>
      </c>
      <c r="P3459">
        <v>0</v>
      </c>
      <c r="Q3459">
        <v>0</v>
      </c>
      <c r="S3459" t="str">
        <f>"20:33:20.195"</f>
        <v>20:33:20.195</v>
      </c>
      <c r="T3459" t="str">
        <f>"20:33:19.795"</f>
        <v>20:33:19.795</v>
      </c>
      <c r="U3459" t="str">
        <f t="shared" si="172"/>
        <v>AB01F4</v>
      </c>
      <c r="V3459">
        <v>0</v>
      </c>
      <c r="W3459">
        <v>0</v>
      </c>
      <c r="X3459">
        <v>2</v>
      </c>
      <c r="Z3459">
        <v>0</v>
      </c>
      <c r="AA3459">
        <v>9</v>
      </c>
      <c r="AB3459">
        <v>3</v>
      </c>
      <c r="AC3459">
        <v>0</v>
      </c>
      <c r="AD3459">
        <v>10</v>
      </c>
      <c r="AE3459">
        <v>0</v>
      </c>
      <c r="AF3459">
        <v>3</v>
      </c>
      <c r="AG3459">
        <v>2</v>
      </c>
      <c r="AH3459">
        <v>0</v>
      </c>
      <c r="AI3459" t="s">
        <v>1979</v>
      </c>
      <c r="AJ3459">
        <v>40.085999999999999</v>
      </c>
      <c r="AK3459" t="s">
        <v>1980</v>
      </c>
      <c r="AL3459">
        <v>-92.967403000000004</v>
      </c>
      <c r="AM3459">
        <v>100</v>
      </c>
      <c r="AN3459">
        <v>1300</v>
      </c>
      <c r="AO3459" t="s">
        <v>118</v>
      </c>
      <c r="AP3459">
        <v>-114</v>
      </c>
      <c r="AQ3459">
        <v>62</v>
      </c>
      <c r="AR3459">
        <v>-64</v>
      </c>
      <c r="AZ3459">
        <v>1200</v>
      </c>
      <c r="BA3459">
        <v>1</v>
      </c>
      <c r="BB3459" t="str">
        <f t="shared" si="170"/>
        <v xml:space="preserve">N8080G  </v>
      </c>
      <c r="BC3459">
        <v>1</v>
      </c>
      <c r="BE3459">
        <v>0</v>
      </c>
      <c r="BF3459">
        <v>0</v>
      </c>
      <c r="BG3459">
        <v>0</v>
      </c>
      <c r="BH3459">
        <v>1350</v>
      </c>
      <c r="BI3459">
        <v>1</v>
      </c>
      <c r="BJ3459">
        <v>1</v>
      </c>
      <c r="BK3459">
        <v>1</v>
      </c>
      <c r="BL3459">
        <v>0</v>
      </c>
      <c r="BO3459">
        <v>0</v>
      </c>
      <c r="BP3459">
        <v>0</v>
      </c>
      <c r="BW3459" t="str">
        <f>"20:33:20.195"</f>
        <v>20:33:20.195</v>
      </c>
      <c r="BZ3459">
        <v>0</v>
      </c>
      <c r="CA3459">
        <v>1600</v>
      </c>
      <c r="CB3459">
        <v>224</v>
      </c>
      <c r="CD3459">
        <v>1</v>
      </c>
      <c r="CE3459">
        <v>0</v>
      </c>
      <c r="CF3459">
        <v>0</v>
      </c>
      <c r="CG3459">
        <v>1</v>
      </c>
      <c r="CH3459">
        <v>0</v>
      </c>
      <c r="CI3459">
        <v>0</v>
      </c>
      <c r="CJ3459">
        <v>0</v>
      </c>
      <c r="CK3459">
        <v>2</v>
      </c>
      <c r="CL3459">
        <v>0</v>
      </c>
      <c r="CM3459">
        <v>2</v>
      </c>
      <c r="CN3459">
        <v>0</v>
      </c>
      <c r="CO3459">
        <v>6</v>
      </c>
      <c r="CP3459" t="s">
        <v>119</v>
      </c>
      <c r="CQ3459">
        <v>180</v>
      </c>
      <c r="CR3459">
        <v>3</v>
      </c>
      <c r="CW3459">
        <v>1164731</v>
      </c>
      <c r="CY3459">
        <v>1</v>
      </c>
      <c r="CZ3459">
        <v>0</v>
      </c>
      <c r="DA3459">
        <v>0</v>
      </c>
      <c r="DB3459">
        <v>0</v>
      </c>
      <c r="DC3459">
        <v>0</v>
      </c>
      <c r="DD3459">
        <v>0</v>
      </c>
      <c r="DE3459">
        <v>0</v>
      </c>
      <c r="DF3459">
        <v>0</v>
      </c>
      <c r="DG3459">
        <v>0</v>
      </c>
      <c r="DH3459">
        <v>0</v>
      </c>
      <c r="DI3459">
        <v>0</v>
      </c>
    </row>
    <row r="3460" spans="1:113" x14ac:dyDescent="0.3">
      <c r="A3460" t="str">
        <f>"02/08/2021 20:33:17.881"</f>
        <v>02/08/2021 20:33:17.881</v>
      </c>
      <c r="C3460" t="str">
        <f t="shared" si="171"/>
        <v>FFDFD7C0</v>
      </c>
      <c r="D3460" t="s">
        <v>124</v>
      </c>
      <c r="E3460">
        <v>13</v>
      </c>
      <c r="F3460">
        <v>1013</v>
      </c>
      <c r="G3460" t="s">
        <v>114</v>
      </c>
      <c r="J3460" t="s">
        <v>125</v>
      </c>
      <c r="K3460">
        <v>0</v>
      </c>
      <c r="L3460">
        <v>3</v>
      </c>
      <c r="M3460">
        <v>0</v>
      </c>
      <c r="N3460">
        <v>2</v>
      </c>
      <c r="O3460">
        <v>1</v>
      </c>
      <c r="P3460">
        <v>0</v>
      </c>
      <c r="Q3460">
        <v>0</v>
      </c>
      <c r="S3460" t="str">
        <f>"20:33:20.195"</f>
        <v>20:33:20.195</v>
      </c>
      <c r="T3460" t="str">
        <f>"20:33:19.795"</f>
        <v>20:33:19.795</v>
      </c>
      <c r="U3460" t="str">
        <f t="shared" si="172"/>
        <v>AB01F4</v>
      </c>
      <c r="V3460">
        <v>0</v>
      </c>
      <c r="W3460">
        <v>0</v>
      </c>
      <c r="X3460">
        <v>2</v>
      </c>
      <c r="Z3460">
        <v>0</v>
      </c>
      <c r="AA3460">
        <v>9</v>
      </c>
      <c r="AB3460">
        <v>3</v>
      </c>
      <c r="AC3460">
        <v>0</v>
      </c>
      <c r="AD3460">
        <v>10</v>
      </c>
      <c r="AE3460">
        <v>0</v>
      </c>
      <c r="AF3460">
        <v>3</v>
      </c>
      <c r="AG3460">
        <v>2</v>
      </c>
      <c r="AH3460">
        <v>0</v>
      </c>
      <c r="AI3460" t="s">
        <v>1979</v>
      </c>
      <c r="AJ3460">
        <v>40.085999999999999</v>
      </c>
      <c r="AK3460" t="s">
        <v>1980</v>
      </c>
      <c r="AL3460">
        <v>-92.967403000000004</v>
      </c>
      <c r="AM3460">
        <v>100</v>
      </c>
      <c r="AN3460">
        <v>1300</v>
      </c>
      <c r="AO3460" t="s">
        <v>118</v>
      </c>
      <c r="AP3460">
        <v>-114</v>
      </c>
      <c r="AQ3460">
        <v>62</v>
      </c>
      <c r="AR3460">
        <v>-64</v>
      </c>
      <c r="AZ3460">
        <v>1200</v>
      </c>
      <c r="BA3460">
        <v>1</v>
      </c>
      <c r="BB3460" t="str">
        <f t="shared" si="170"/>
        <v xml:space="preserve">N8080G  </v>
      </c>
      <c r="BC3460">
        <v>1</v>
      </c>
      <c r="BE3460">
        <v>0</v>
      </c>
      <c r="BF3460">
        <v>0</v>
      </c>
      <c r="BG3460">
        <v>0</v>
      </c>
      <c r="BH3460">
        <v>1350</v>
      </c>
      <c r="BI3460">
        <v>1</v>
      </c>
      <c r="BJ3460">
        <v>1</v>
      </c>
      <c r="BK3460">
        <v>1</v>
      </c>
      <c r="BL3460">
        <v>0</v>
      </c>
      <c r="BO3460">
        <v>0</v>
      </c>
      <c r="BP3460">
        <v>0</v>
      </c>
      <c r="BW3460" t="str">
        <f>"20:33:20.195"</f>
        <v>20:33:20.195</v>
      </c>
      <c r="BZ3460">
        <v>0</v>
      </c>
      <c r="CA3460">
        <v>1600</v>
      </c>
      <c r="CB3460">
        <v>224</v>
      </c>
      <c r="CD3460">
        <v>1</v>
      </c>
      <c r="CE3460">
        <v>0</v>
      </c>
      <c r="CF3460">
        <v>0</v>
      </c>
      <c r="CG3460">
        <v>1</v>
      </c>
      <c r="CH3460">
        <v>0</v>
      </c>
      <c r="CI3460">
        <v>0</v>
      </c>
      <c r="CJ3460">
        <v>0</v>
      </c>
      <c r="CK3460">
        <v>2</v>
      </c>
      <c r="CL3460">
        <v>0</v>
      </c>
      <c r="CM3460">
        <v>2</v>
      </c>
      <c r="CN3460">
        <v>0</v>
      </c>
      <c r="CO3460">
        <v>6</v>
      </c>
      <c r="CP3460" t="s">
        <v>119</v>
      </c>
      <c r="CQ3460">
        <v>180</v>
      </c>
      <c r="CR3460">
        <v>3</v>
      </c>
      <c r="CW3460">
        <v>1164731</v>
      </c>
      <c r="CY3460">
        <v>1</v>
      </c>
      <c r="CZ3460">
        <v>0</v>
      </c>
      <c r="DA3460">
        <v>1</v>
      </c>
      <c r="DB3460">
        <v>0</v>
      </c>
      <c r="DC3460">
        <v>0</v>
      </c>
      <c r="DD3460">
        <v>0</v>
      </c>
      <c r="DE3460">
        <v>0</v>
      </c>
      <c r="DF3460">
        <v>0</v>
      </c>
      <c r="DG3460">
        <v>0</v>
      </c>
      <c r="DH3460">
        <v>0</v>
      </c>
      <c r="DI3460">
        <v>0</v>
      </c>
    </row>
    <row r="3461" spans="1:113" x14ac:dyDescent="0.3">
      <c r="A3461" t="str">
        <f>"02/08/2021 20:33:17.881"</f>
        <v>02/08/2021 20:33:17.881</v>
      </c>
      <c r="C3461" t="str">
        <f t="shared" si="171"/>
        <v>FFDFD7C0</v>
      </c>
      <c r="D3461" t="s">
        <v>124</v>
      </c>
      <c r="E3461">
        <v>12</v>
      </c>
      <c r="F3461">
        <v>1012</v>
      </c>
      <c r="G3461" t="s">
        <v>675</v>
      </c>
      <c r="J3461" t="s">
        <v>125</v>
      </c>
      <c r="K3461">
        <v>0</v>
      </c>
      <c r="L3461">
        <v>3</v>
      </c>
      <c r="M3461">
        <v>0</v>
      </c>
      <c r="N3461">
        <v>2</v>
      </c>
      <c r="O3461">
        <v>1</v>
      </c>
      <c r="P3461">
        <v>0</v>
      </c>
      <c r="Q3461">
        <v>0</v>
      </c>
      <c r="S3461" t="str">
        <f>"20:33:20.195"</f>
        <v>20:33:20.195</v>
      </c>
      <c r="T3461" t="str">
        <f>"20:33:19.795"</f>
        <v>20:33:19.795</v>
      </c>
      <c r="U3461" t="str">
        <f t="shared" si="172"/>
        <v>AB01F4</v>
      </c>
      <c r="V3461">
        <v>0</v>
      </c>
      <c r="W3461">
        <v>0</v>
      </c>
      <c r="X3461">
        <v>2</v>
      </c>
      <c r="Z3461">
        <v>0</v>
      </c>
      <c r="AA3461">
        <v>9</v>
      </c>
      <c r="AB3461">
        <v>3</v>
      </c>
      <c r="AC3461">
        <v>0</v>
      </c>
      <c r="AD3461">
        <v>10</v>
      </c>
      <c r="AE3461">
        <v>0</v>
      </c>
      <c r="AF3461">
        <v>3</v>
      </c>
      <c r="AG3461">
        <v>2</v>
      </c>
      <c r="AH3461">
        <v>0</v>
      </c>
      <c r="AI3461" t="s">
        <v>1979</v>
      </c>
      <c r="AJ3461">
        <v>40.085999999999999</v>
      </c>
      <c r="AK3461" t="s">
        <v>1980</v>
      </c>
      <c r="AL3461">
        <v>-92.967403000000004</v>
      </c>
      <c r="AM3461">
        <v>100</v>
      </c>
      <c r="AN3461">
        <v>1300</v>
      </c>
      <c r="AO3461" t="s">
        <v>118</v>
      </c>
      <c r="AP3461">
        <v>-114</v>
      </c>
      <c r="AQ3461">
        <v>62</v>
      </c>
      <c r="AR3461">
        <v>-64</v>
      </c>
      <c r="AZ3461">
        <v>1200</v>
      </c>
      <c r="BA3461">
        <v>1</v>
      </c>
      <c r="BB3461" t="str">
        <f t="shared" si="170"/>
        <v xml:space="preserve">N8080G  </v>
      </c>
      <c r="BC3461">
        <v>1</v>
      </c>
      <c r="BE3461">
        <v>0</v>
      </c>
      <c r="BF3461">
        <v>0</v>
      </c>
      <c r="BG3461">
        <v>0</v>
      </c>
      <c r="BH3461">
        <v>1350</v>
      </c>
      <c r="BI3461">
        <v>1</v>
      </c>
      <c r="BJ3461">
        <v>1</v>
      </c>
      <c r="BK3461">
        <v>1</v>
      </c>
      <c r="BL3461">
        <v>0</v>
      </c>
      <c r="BO3461">
        <v>0</v>
      </c>
      <c r="BP3461">
        <v>0</v>
      </c>
      <c r="BW3461" t="str">
        <f>"20:33:20.195"</f>
        <v>20:33:20.195</v>
      </c>
      <c r="BZ3461">
        <v>0</v>
      </c>
      <c r="CA3461">
        <v>1600</v>
      </c>
      <c r="CB3461">
        <v>224</v>
      </c>
      <c r="CD3461">
        <v>1</v>
      </c>
      <c r="CE3461">
        <v>0</v>
      </c>
      <c r="CF3461">
        <v>0</v>
      </c>
      <c r="CG3461">
        <v>1</v>
      </c>
      <c r="CH3461">
        <v>0</v>
      </c>
      <c r="CI3461">
        <v>0</v>
      </c>
      <c r="CJ3461">
        <v>0</v>
      </c>
      <c r="CK3461">
        <v>2</v>
      </c>
      <c r="CL3461">
        <v>0</v>
      </c>
      <c r="CM3461">
        <v>2</v>
      </c>
      <c r="CN3461">
        <v>0</v>
      </c>
      <c r="CO3461">
        <v>6</v>
      </c>
      <c r="CP3461" t="s">
        <v>119</v>
      </c>
      <c r="CQ3461">
        <v>180</v>
      </c>
      <c r="CR3461">
        <v>3</v>
      </c>
      <c r="CW3461">
        <v>1164731</v>
      </c>
      <c r="CY3461">
        <v>1</v>
      </c>
      <c r="CZ3461">
        <v>0</v>
      </c>
      <c r="DA3461">
        <v>1</v>
      </c>
      <c r="DB3461">
        <v>0</v>
      </c>
      <c r="DC3461">
        <v>0</v>
      </c>
      <c r="DD3461">
        <v>0</v>
      </c>
      <c r="DE3461">
        <v>0</v>
      </c>
      <c r="DF3461">
        <v>0</v>
      </c>
      <c r="DG3461">
        <v>0</v>
      </c>
      <c r="DH3461">
        <v>0</v>
      </c>
      <c r="DI3461">
        <v>0</v>
      </c>
    </row>
    <row r="3462" spans="1:113" x14ac:dyDescent="0.3">
      <c r="A3462" t="str">
        <f>"02/08/2021 20:33:17.881"</f>
        <v>02/08/2021 20:33:17.881</v>
      </c>
      <c r="C3462" t="str">
        <f t="shared" si="171"/>
        <v>FFDFD7C0</v>
      </c>
      <c r="D3462" t="s">
        <v>124</v>
      </c>
      <c r="E3462">
        <v>11</v>
      </c>
      <c r="F3462">
        <v>1011</v>
      </c>
      <c r="G3462" t="s">
        <v>590</v>
      </c>
      <c r="J3462" t="s">
        <v>125</v>
      </c>
      <c r="K3462">
        <v>0</v>
      </c>
      <c r="L3462">
        <v>3</v>
      </c>
      <c r="M3462">
        <v>0</v>
      </c>
      <c r="N3462">
        <v>2</v>
      </c>
      <c r="O3462">
        <v>1</v>
      </c>
      <c r="P3462">
        <v>0</v>
      </c>
      <c r="Q3462">
        <v>0</v>
      </c>
      <c r="S3462" t="str">
        <f>"20:33:20.195"</f>
        <v>20:33:20.195</v>
      </c>
      <c r="T3462" t="str">
        <f>"20:33:19.795"</f>
        <v>20:33:19.795</v>
      </c>
      <c r="U3462" t="str">
        <f t="shared" si="172"/>
        <v>AB01F4</v>
      </c>
      <c r="V3462">
        <v>0</v>
      </c>
      <c r="W3462">
        <v>0</v>
      </c>
      <c r="X3462">
        <v>2</v>
      </c>
      <c r="Z3462">
        <v>0</v>
      </c>
      <c r="AA3462">
        <v>9</v>
      </c>
      <c r="AB3462">
        <v>3</v>
      </c>
      <c r="AC3462">
        <v>0</v>
      </c>
      <c r="AD3462">
        <v>10</v>
      </c>
      <c r="AE3462">
        <v>0</v>
      </c>
      <c r="AF3462">
        <v>3</v>
      </c>
      <c r="AG3462">
        <v>2</v>
      </c>
      <c r="AH3462">
        <v>0</v>
      </c>
      <c r="AI3462" t="s">
        <v>1979</v>
      </c>
      <c r="AJ3462">
        <v>40.085999999999999</v>
      </c>
      <c r="AK3462" t="s">
        <v>1980</v>
      </c>
      <c r="AL3462">
        <v>-92.967403000000004</v>
      </c>
      <c r="AM3462">
        <v>100</v>
      </c>
      <c r="AN3462">
        <v>1300</v>
      </c>
      <c r="AO3462" t="s">
        <v>118</v>
      </c>
      <c r="AP3462">
        <v>-114</v>
      </c>
      <c r="AQ3462">
        <v>62</v>
      </c>
      <c r="AR3462">
        <v>-64</v>
      </c>
      <c r="AZ3462">
        <v>1200</v>
      </c>
      <c r="BA3462">
        <v>1</v>
      </c>
      <c r="BB3462" t="str">
        <f t="shared" si="170"/>
        <v xml:space="preserve">N8080G  </v>
      </c>
      <c r="BC3462">
        <v>1</v>
      </c>
      <c r="BE3462">
        <v>0</v>
      </c>
      <c r="BF3462">
        <v>0</v>
      </c>
      <c r="BG3462">
        <v>0</v>
      </c>
      <c r="BH3462">
        <v>1350</v>
      </c>
      <c r="BI3462">
        <v>1</v>
      </c>
      <c r="BJ3462">
        <v>1</v>
      </c>
      <c r="BK3462">
        <v>1</v>
      </c>
      <c r="BL3462">
        <v>0</v>
      </c>
      <c r="BO3462">
        <v>0</v>
      </c>
      <c r="BP3462">
        <v>0</v>
      </c>
      <c r="BW3462" t="str">
        <f>"20:33:20.195"</f>
        <v>20:33:20.195</v>
      </c>
      <c r="BZ3462">
        <v>0</v>
      </c>
      <c r="CA3462">
        <v>1600</v>
      </c>
      <c r="CB3462">
        <v>224</v>
      </c>
      <c r="CD3462">
        <v>1</v>
      </c>
      <c r="CE3462">
        <v>0</v>
      </c>
      <c r="CF3462">
        <v>0</v>
      </c>
      <c r="CG3462">
        <v>1</v>
      </c>
      <c r="CH3462">
        <v>0</v>
      </c>
      <c r="CI3462">
        <v>0</v>
      </c>
      <c r="CJ3462">
        <v>0</v>
      </c>
      <c r="CK3462">
        <v>2</v>
      </c>
      <c r="CL3462">
        <v>0</v>
      </c>
      <c r="CM3462">
        <v>2</v>
      </c>
      <c r="CN3462">
        <v>0</v>
      </c>
      <c r="CO3462">
        <v>6</v>
      </c>
      <c r="CP3462" t="s">
        <v>119</v>
      </c>
      <c r="CQ3462">
        <v>180</v>
      </c>
      <c r="CR3462">
        <v>3</v>
      </c>
      <c r="CW3462">
        <v>1164731</v>
      </c>
      <c r="CY3462">
        <v>1</v>
      </c>
      <c r="CZ3462">
        <v>0</v>
      </c>
      <c r="DA3462">
        <v>1</v>
      </c>
      <c r="DB3462">
        <v>0</v>
      </c>
      <c r="DC3462">
        <v>0</v>
      </c>
      <c r="DD3462">
        <v>0</v>
      </c>
      <c r="DE3462">
        <v>0</v>
      </c>
      <c r="DF3462">
        <v>0</v>
      </c>
      <c r="DG3462">
        <v>0</v>
      </c>
      <c r="DH3462">
        <v>0</v>
      </c>
      <c r="DI3462">
        <v>0</v>
      </c>
    </row>
    <row r="3463" spans="1:113" x14ac:dyDescent="0.3">
      <c r="A3463" t="str">
        <f>"02/08/2021 20:33:18.876"</f>
        <v>02/08/2021 20:33:18.876</v>
      </c>
      <c r="C3463" t="str">
        <f t="shared" si="171"/>
        <v>FFDFD7C0</v>
      </c>
      <c r="D3463" t="s">
        <v>124</v>
      </c>
      <c r="E3463">
        <v>11</v>
      </c>
      <c r="F3463">
        <v>1011</v>
      </c>
      <c r="G3463" t="s">
        <v>590</v>
      </c>
      <c r="J3463" t="s">
        <v>125</v>
      </c>
      <c r="K3463">
        <v>0</v>
      </c>
      <c r="L3463">
        <v>3</v>
      </c>
      <c r="M3463">
        <v>0</v>
      </c>
      <c r="N3463">
        <v>2</v>
      </c>
      <c r="O3463">
        <v>1</v>
      </c>
      <c r="P3463">
        <v>0</v>
      </c>
      <c r="Q3463">
        <v>0</v>
      </c>
      <c r="S3463" t="str">
        <f>"20:33:21.188"</f>
        <v>20:33:21.188</v>
      </c>
      <c r="T3463" t="str">
        <f>"20:33:20.788"</f>
        <v>20:33:20.788</v>
      </c>
      <c r="U3463" t="str">
        <f t="shared" si="172"/>
        <v>AB01F4</v>
      </c>
      <c r="V3463">
        <v>0</v>
      </c>
      <c r="W3463">
        <v>0</v>
      </c>
      <c r="X3463">
        <v>2</v>
      </c>
      <c r="Z3463">
        <v>0</v>
      </c>
      <c r="AA3463">
        <v>9</v>
      </c>
      <c r="AB3463">
        <v>3</v>
      </c>
      <c r="AC3463">
        <v>0</v>
      </c>
      <c r="AD3463">
        <v>10</v>
      </c>
      <c r="AE3463">
        <v>0</v>
      </c>
      <c r="AF3463">
        <v>3</v>
      </c>
      <c r="AG3463">
        <v>2</v>
      </c>
      <c r="AH3463">
        <v>0</v>
      </c>
      <c r="AI3463" t="s">
        <v>1981</v>
      </c>
      <c r="AJ3463">
        <v>40.086278999999998</v>
      </c>
      <c r="AK3463" t="s">
        <v>1982</v>
      </c>
      <c r="AL3463">
        <v>-92.968131999999997</v>
      </c>
      <c r="AM3463">
        <v>100</v>
      </c>
      <c r="AN3463">
        <v>1300</v>
      </c>
      <c r="AO3463" t="s">
        <v>118</v>
      </c>
      <c r="AP3463">
        <v>-113</v>
      </c>
      <c r="AQ3463">
        <v>63</v>
      </c>
      <c r="AR3463">
        <v>64</v>
      </c>
      <c r="AZ3463">
        <v>1200</v>
      </c>
      <c r="BA3463">
        <v>1</v>
      </c>
      <c r="BB3463" t="str">
        <f t="shared" si="170"/>
        <v xml:space="preserve">N8080G  </v>
      </c>
      <c r="BC3463">
        <v>1</v>
      </c>
      <c r="BE3463">
        <v>0</v>
      </c>
      <c r="BF3463">
        <v>0</v>
      </c>
      <c r="BG3463">
        <v>0</v>
      </c>
      <c r="BH3463">
        <v>1350</v>
      </c>
      <c r="BI3463">
        <v>1</v>
      </c>
      <c r="BJ3463">
        <v>1</v>
      </c>
      <c r="BK3463">
        <v>1</v>
      </c>
      <c r="BL3463">
        <v>0</v>
      </c>
      <c r="BO3463">
        <v>0</v>
      </c>
      <c r="BP3463">
        <v>0</v>
      </c>
      <c r="BW3463" t="str">
        <f>"20:33:21.190"</f>
        <v>20:33:21.190</v>
      </c>
      <c r="BZ3463">
        <v>0</v>
      </c>
      <c r="CA3463">
        <v>1600</v>
      </c>
      <c r="CB3463">
        <v>224</v>
      </c>
      <c r="CD3463">
        <v>1</v>
      </c>
      <c r="CE3463">
        <v>0</v>
      </c>
      <c r="CF3463">
        <v>0</v>
      </c>
      <c r="CG3463">
        <v>1</v>
      </c>
      <c r="CH3463">
        <v>0</v>
      </c>
      <c r="CI3463">
        <v>0</v>
      </c>
      <c r="CJ3463">
        <v>0</v>
      </c>
      <c r="CK3463">
        <v>2</v>
      </c>
      <c r="CL3463">
        <v>0</v>
      </c>
      <c r="CM3463">
        <v>2</v>
      </c>
      <c r="CN3463">
        <v>0</v>
      </c>
      <c r="CO3463">
        <v>6</v>
      </c>
      <c r="CP3463" t="s">
        <v>119</v>
      </c>
      <c r="CQ3463">
        <v>180</v>
      </c>
      <c r="CR3463">
        <v>3</v>
      </c>
      <c r="CW3463">
        <v>1165415</v>
      </c>
      <c r="CY3463">
        <v>1</v>
      </c>
      <c r="CZ3463">
        <v>0</v>
      </c>
      <c r="DA3463">
        <v>0</v>
      </c>
      <c r="DB3463">
        <v>0</v>
      </c>
      <c r="DC3463">
        <v>0</v>
      </c>
      <c r="DD3463">
        <v>0</v>
      </c>
      <c r="DE3463">
        <v>0</v>
      </c>
      <c r="DF3463">
        <v>0</v>
      </c>
      <c r="DG3463">
        <v>0</v>
      </c>
      <c r="DH3463">
        <v>0</v>
      </c>
      <c r="DI3463">
        <v>0</v>
      </c>
    </row>
    <row r="3464" spans="1:113" x14ac:dyDescent="0.3">
      <c r="A3464" t="str">
        <f>"02/08/2021 20:33:18.876"</f>
        <v>02/08/2021 20:33:18.876</v>
      </c>
      <c r="C3464" t="str">
        <f t="shared" si="171"/>
        <v>FFDFD7C0</v>
      </c>
      <c r="D3464" t="s">
        <v>124</v>
      </c>
      <c r="E3464">
        <v>13</v>
      </c>
      <c r="F3464">
        <v>1013</v>
      </c>
      <c r="G3464" t="s">
        <v>114</v>
      </c>
      <c r="J3464" t="s">
        <v>125</v>
      </c>
      <c r="K3464">
        <v>0</v>
      </c>
      <c r="L3464">
        <v>3</v>
      </c>
      <c r="M3464">
        <v>0</v>
      </c>
      <c r="N3464">
        <v>2</v>
      </c>
      <c r="O3464">
        <v>1</v>
      </c>
      <c r="P3464">
        <v>0</v>
      </c>
      <c r="Q3464">
        <v>0</v>
      </c>
      <c r="S3464" t="str">
        <f>"20:33:21.188"</f>
        <v>20:33:21.188</v>
      </c>
      <c r="T3464" t="str">
        <f>"20:33:20.788"</f>
        <v>20:33:20.788</v>
      </c>
      <c r="U3464" t="str">
        <f t="shared" si="172"/>
        <v>AB01F4</v>
      </c>
      <c r="V3464">
        <v>0</v>
      </c>
      <c r="W3464">
        <v>0</v>
      </c>
      <c r="X3464">
        <v>2</v>
      </c>
      <c r="Z3464">
        <v>0</v>
      </c>
      <c r="AA3464">
        <v>9</v>
      </c>
      <c r="AB3464">
        <v>3</v>
      </c>
      <c r="AC3464">
        <v>0</v>
      </c>
      <c r="AD3464">
        <v>10</v>
      </c>
      <c r="AE3464">
        <v>0</v>
      </c>
      <c r="AF3464">
        <v>3</v>
      </c>
      <c r="AG3464">
        <v>2</v>
      </c>
      <c r="AH3464">
        <v>0</v>
      </c>
      <c r="AI3464" t="s">
        <v>1981</v>
      </c>
      <c r="AJ3464">
        <v>40.086278999999998</v>
      </c>
      <c r="AK3464" t="s">
        <v>1982</v>
      </c>
      <c r="AL3464">
        <v>-92.968131999999997</v>
      </c>
      <c r="AM3464">
        <v>100</v>
      </c>
      <c r="AN3464">
        <v>1300</v>
      </c>
      <c r="AO3464" t="s">
        <v>118</v>
      </c>
      <c r="AP3464">
        <v>-113</v>
      </c>
      <c r="AQ3464">
        <v>63</v>
      </c>
      <c r="AR3464">
        <v>64</v>
      </c>
      <c r="AZ3464">
        <v>1200</v>
      </c>
      <c r="BA3464">
        <v>1</v>
      </c>
      <c r="BB3464" t="str">
        <f t="shared" si="170"/>
        <v xml:space="preserve">N8080G  </v>
      </c>
      <c r="BC3464">
        <v>1</v>
      </c>
      <c r="BE3464">
        <v>0</v>
      </c>
      <c r="BF3464">
        <v>0</v>
      </c>
      <c r="BG3464">
        <v>0</v>
      </c>
      <c r="BH3464">
        <v>1350</v>
      </c>
      <c r="BI3464">
        <v>1</v>
      </c>
      <c r="BJ3464">
        <v>1</v>
      </c>
      <c r="BK3464">
        <v>1</v>
      </c>
      <c r="BL3464">
        <v>0</v>
      </c>
      <c r="BO3464">
        <v>0</v>
      </c>
      <c r="BP3464">
        <v>0</v>
      </c>
      <c r="BW3464" t="str">
        <f>"20:33:21.190"</f>
        <v>20:33:21.190</v>
      </c>
      <c r="BZ3464">
        <v>0</v>
      </c>
      <c r="CA3464">
        <v>1600</v>
      </c>
      <c r="CB3464">
        <v>224</v>
      </c>
      <c r="CD3464">
        <v>1</v>
      </c>
      <c r="CE3464">
        <v>0</v>
      </c>
      <c r="CF3464">
        <v>0</v>
      </c>
      <c r="CG3464">
        <v>1</v>
      </c>
      <c r="CH3464">
        <v>0</v>
      </c>
      <c r="CI3464">
        <v>0</v>
      </c>
      <c r="CJ3464">
        <v>0</v>
      </c>
      <c r="CK3464">
        <v>2</v>
      </c>
      <c r="CL3464">
        <v>0</v>
      </c>
      <c r="CM3464">
        <v>2</v>
      </c>
      <c r="CN3464">
        <v>0</v>
      </c>
      <c r="CO3464">
        <v>6</v>
      </c>
      <c r="CP3464" t="s">
        <v>119</v>
      </c>
      <c r="CQ3464">
        <v>180</v>
      </c>
      <c r="CR3464">
        <v>3</v>
      </c>
      <c r="CW3464">
        <v>1165415</v>
      </c>
      <c r="CY3464">
        <v>1</v>
      </c>
      <c r="CZ3464">
        <v>0</v>
      </c>
      <c r="DA3464">
        <v>1</v>
      </c>
      <c r="DB3464">
        <v>0</v>
      </c>
      <c r="DC3464">
        <v>0</v>
      </c>
      <c r="DD3464">
        <v>0</v>
      </c>
      <c r="DE3464">
        <v>0</v>
      </c>
      <c r="DF3464">
        <v>0</v>
      </c>
      <c r="DG3464">
        <v>0</v>
      </c>
      <c r="DH3464">
        <v>0</v>
      </c>
      <c r="DI3464">
        <v>0</v>
      </c>
    </row>
    <row r="3465" spans="1:113" x14ac:dyDescent="0.3">
      <c r="A3465" t="str">
        <f>"02/08/2021 20:33:18.876"</f>
        <v>02/08/2021 20:33:18.876</v>
      </c>
      <c r="C3465" t="str">
        <f t="shared" si="171"/>
        <v>FFDFD7C0</v>
      </c>
      <c r="D3465" t="s">
        <v>113</v>
      </c>
      <c r="E3465">
        <v>6</v>
      </c>
      <c r="H3465">
        <v>165</v>
      </c>
      <c r="I3465" t="s">
        <v>114</v>
      </c>
      <c r="J3465" t="s">
        <v>115</v>
      </c>
      <c r="K3465">
        <v>0</v>
      </c>
      <c r="L3465">
        <v>3</v>
      </c>
      <c r="M3465">
        <v>0</v>
      </c>
      <c r="N3465">
        <v>2</v>
      </c>
      <c r="O3465">
        <v>1</v>
      </c>
      <c r="P3465">
        <v>0</v>
      </c>
      <c r="Q3465">
        <v>0</v>
      </c>
      <c r="S3465" t="str">
        <f>"20:33:21.188"</f>
        <v>20:33:21.188</v>
      </c>
      <c r="T3465" t="str">
        <f>"20:33:20.788"</f>
        <v>20:33:20.788</v>
      </c>
      <c r="U3465" t="str">
        <f t="shared" si="172"/>
        <v>AB01F4</v>
      </c>
      <c r="V3465">
        <v>0</v>
      </c>
      <c r="W3465">
        <v>0</v>
      </c>
      <c r="X3465">
        <v>2</v>
      </c>
      <c r="Z3465">
        <v>0</v>
      </c>
      <c r="AA3465">
        <v>9</v>
      </c>
      <c r="AB3465">
        <v>3</v>
      </c>
      <c r="AC3465">
        <v>0</v>
      </c>
      <c r="AD3465">
        <v>10</v>
      </c>
      <c r="AE3465">
        <v>0</v>
      </c>
      <c r="AF3465">
        <v>3</v>
      </c>
      <c r="AG3465">
        <v>2</v>
      </c>
      <c r="AH3465">
        <v>0</v>
      </c>
      <c r="AI3465" t="s">
        <v>1981</v>
      </c>
      <c r="AJ3465">
        <v>40.086278999999998</v>
      </c>
      <c r="AK3465" t="s">
        <v>1982</v>
      </c>
      <c r="AL3465">
        <v>-92.968131999999997</v>
      </c>
      <c r="AM3465">
        <v>100</v>
      </c>
      <c r="AN3465">
        <v>1300</v>
      </c>
      <c r="AO3465" t="s">
        <v>118</v>
      </c>
      <c r="AP3465">
        <v>-113</v>
      </c>
      <c r="AQ3465">
        <v>63</v>
      </c>
      <c r="AR3465">
        <v>64</v>
      </c>
      <c r="AZ3465">
        <v>1200</v>
      </c>
      <c r="BA3465">
        <v>1</v>
      </c>
      <c r="BB3465" t="str">
        <f t="shared" si="170"/>
        <v xml:space="preserve">N8080G  </v>
      </c>
      <c r="BC3465">
        <v>1</v>
      </c>
      <c r="BE3465">
        <v>0</v>
      </c>
      <c r="BF3465">
        <v>0</v>
      </c>
      <c r="BG3465">
        <v>0</v>
      </c>
      <c r="BH3465">
        <v>1350</v>
      </c>
      <c r="BI3465">
        <v>1</v>
      </c>
      <c r="BJ3465">
        <v>1</v>
      </c>
      <c r="BK3465">
        <v>1</v>
      </c>
      <c r="BL3465">
        <v>0</v>
      </c>
      <c r="BO3465">
        <v>0</v>
      </c>
      <c r="BP3465">
        <v>0</v>
      </c>
      <c r="BW3465" t="str">
        <f>"20:33:21.190"</f>
        <v>20:33:21.190</v>
      </c>
      <c r="BZ3465">
        <v>0</v>
      </c>
      <c r="CA3465">
        <v>1600</v>
      </c>
      <c r="CB3465">
        <v>224</v>
      </c>
      <c r="CD3465">
        <v>1</v>
      </c>
      <c r="CE3465">
        <v>0</v>
      </c>
      <c r="CF3465">
        <v>0</v>
      </c>
      <c r="CG3465">
        <v>1</v>
      </c>
      <c r="CH3465">
        <v>0</v>
      </c>
      <c r="CI3465">
        <v>0</v>
      </c>
      <c r="CJ3465">
        <v>0</v>
      </c>
      <c r="CK3465">
        <v>2</v>
      </c>
      <c r="CL3465">
        <v>0</v>
      </c>
      <c r="CM3465">
        <v>2</v>
      </c>
      <c r="CN3465">
        <v>0</v>
      </c>
      <c r="CO3465">
        <v>6</v>
      </c>
      <c r="CP3465" t="s">
        <v>119</v>
      </c>
      <c r="CQ3465">
        <v>180</v>
      </c>
      <c r="CR3465">
        <v>3</v>
      </c>
      <c r="CW3465">
        <v>1165415</v>
      </c>
      <c r="CY3465">
        <v>1</v>
      </c>
      <c r="CZ3465">
        <v>0</v>
      </c>
      <c r="DA3465">
        <v>1</v>
      </c>
      <c r="DB3465">
        <v>0</v>
      </c>
      <c r="DC3465">
        <v>0</v>
      </c>
      <c r="DD3465">
        <v>0</v>
      </c>
      <c r="DE3465">
        <v>0</v>
      </c>
      <c r="DF3465">
        <v>0</v>
      </c>
      <c r="DG3465">
        <v>0</v>
      </c>
      <c r="DH3465">
        <v>0</v>
      </c>
      <c r="DI3465">
        <v>0</v>
      </c>
    </row>
    <row r="3466" spans="1:113" x14ac:dyDescent="0.3">
      <c r="A3466" t="str">
        <f>"02/08/2021 20:33:18.876"</f>
        <v>02/08/2021 20:33:18.876</v>
      </c>
      <c r="C3466" t="str">
        <f t="shared" si="171"/>
        <v>FFDFD7C0</v>
      </c>
      <c r="D3466" t="s">
        <v>124</v>
      </c>
      <c r="E3466">
        <v>12</v>
      </c>
      <c r="F3466">
        <v>1012</v>
      </c>
      <c r="G3466" t="s">
        <v>675</v>
      </c>
      <c r="J3466" t="s">
        <v>125</v>
      </c>
      <c r="K3466">
        <v>0</v>
      </c>
      <c r="L3466">
        <v>3</v>
      </c>
      <c r="M3466">
        <v>0</v>
      </c>
      <c r="N3466">
        <v>2</v>
      </c>
      <c r="O3466">
        <v>1</v>
      </c>
      <c r="P3466">
        <v>0</v>
      </c>
      <c r="Q3466">
        <v>0</v>
      </c>
      <c r="S3466" t="str">
        <f>"20:33:21.188"</f>
        <v>20:33:21.188</v>
      </c>
      <c r="T3466" t="str">
        <f>"20:33:20.788"</f>
        <v>20:33:20.788</v>
      </c>
      <c r="U3466" t="str">
        <f t="shared" si="172"/>
        <v>AB01F4</v>
      </c>
      <c r="V3466">
        <v>0</v>
      </c>
      <c r="W3466">
        <v>0</v>
      </c>
      <c r="X3466">
        <v>2</v>
      </c>
      <c r="Z3466">
        <v>0</v>
      </c>
      <c r="AA3466">
        <v>9</v>
      </c>
      <c r="AB3466">
        <v>3</v>
      </c>
      <c r="AC3466">
        <v>0</v>
      </c>
      <c r="AD3466">
        <v>10</v>
      </c>
      <c r="AE3466">
        <v>0</v>
      </c>
      <c r="AF3466">
        <v>3</v>
      </c>
      <c r="AG3466">
        <v>2</v>
      </c>
      <c r="AH3466">
        <v>0</v>
      </c>
      <c r="AI3466" t="s">
        <v>1981</v>
      </c>
      <c r="AJ3466">
        <v>40.086278999999998</v>
      </c>
      <c r="AK3466" t="s">
        <v>1982</v>
      </c>
      <c r="AL3466">
        <v>-92.968131999999997</v>
      </c>
      <c r="AM3466">
        <v>100</v>
      </c>
      <c r="AN3466">
        <v>1300</v>
      </c>
      <c r="AO3466" t="s">
        <v>118</v>
      </c>
      <c r="AP3466">
        <v>-113</v>
      </c>
      <c r="AQ3466">
        <v>63</v>
      </c>
      <c r="AR3466">
        <v>64</v>
      </c>
      <c r="AZ3466">
        <v>1200</v>
      </c>
      <c r="BA3466">
        <v>1</v>
      </c>
      <c r="BB3466" t="str">
        <f t="shared" si="170"/>
        <v xml:space="preserve">N8080G  </v>
      </c>
      <c r="BC3466">
        <v>1</v>
      </c>
      <c r="BE3466">
        <v>0</v>
      </c>
      <c r="BF3466">
        <v>0</v>
      </c>
      <c r="BG3466">
        <v>0</v>
      </c>
      <c r="BH3466">
        <v>1350</v>
      </c>
      <c r="BI3466">
        <v>1</v>
      </c>
      <c r="BJ3466">
        <v>1</v>
      </c>
      <c r="BK3466">
        <v>1</v>
      </c>
      <c r="BL3466">
        <v>0</v>
      </c>
      <c r="BO3466">
        <v>0</v>
      </c>
      <c r="BP3466">
        <v>0</v>
      </c>
      <c r="BW3466" t="str">
        <f>"20:33:21.190"</f>
        <v>20:33:21.190</v>
      </c>
      <c r="BZ3466">
        <v>0</v>
      </c>
      <c r="CA3466">
        <v>1600</v>
      </c>
      <c r="CB3466">
        <v>224</v>
      </c>
      <c r="CD3466">
        <v>1</v>
      </c>
      <c r="CE3466">
        <v>0</v>
      </c>
      <c r="CF3466">
        <v>0</v>
      </c>
      <c r="CG3466">
        <v>1</v>
      </c>
      <c r="CH3466">
        <v>0</v>
      </c>
      <c r="CI3466">
        <v>0</v>
      </c>
      <c r="CJ3466">
        <v>0</v>
      </c>
      <c r="CK3466">
        <v>2</v>
      </c>
      <c r="CL3466">
        <v>0</v>
      </c>
      <c r="CM3466">
        <v>2</v>
      </c>
      <c r="CN3466">
        <v>0</v>
      </c>
      <c r="CO3466">
        <v>6</v>
      </c>
      <c r="CP3466" t="s">
        <v>119</v>
      </c>
      <c r="CQ3466">
        <v>180</v>
      </c>
      <c r="CR3466">
        <v>3</v>
      </c>
      <c r="CW3466">
        <v>1165415</v>
      </c>
      <c r="CY3466">
        <v>1</v>
      </c>
      <c r="CZ3466">
        <v>0</v>
      </c>
      <c r="DA3466">
        <v>1</v>
      </c>
      <c r="DB3466">
        <v>0</v>
      </c>
      <c r="DC3466">
        <v>0</v>
      </c>
      <c r="DD3466">
        <v>0</v>
      </c>
      <c r="DE3466">
        <v>0</v>
      </c>
      <c r="DF3466">
        <v>0</v>
      </c>
      <c r="DG3466">
        <v>0</v>
      </c>
      <c r="DH3466">
        <v>0</v>
      </c>
      <c r="DI3466">
        <v>0</v>
      </c>
    </row>
    <row r="3467" spans="1:113" x14ac:dyDescent="0.3">
      <c r="A3467" t="str">
        <f>"02/08/2021 20:33:19.913"</f>
        <v>02/08/2021 20:33:19.913</v>
      </c>
      <c r="C3467" t="str">
        <f t="shared" si="171"/>
        <v>FFDFD7C0</v>
      </c>
      <c r="D3467" t="s">
        <v>124</v>
      </c>
      <c r="E3467">
        <v>12</v>
      </c>
      <c r="F3467">
        <v>1012</v>
      </c>
      <c r="G3467" t="s">
        <v>675</v>
      </c>
      <c r="J3467" t="s">
        <v>125</v>
      </c>
      <c r="K3467">
        <v>0</v>
      </c>
      <c r="L3467">
        <v>3</v>
      </c>
      <c r="M3467">
        <v>0</v>
      </c>
      <c r="N3467">
        <v>2</v>
      </c>
      <c r="O3467">
        <v>1</v>
      </c>
      <c r="P3467">
        <v>0</v>
      </c>
      <c r="Q3467">
        <v>0</v>
      </c>
      <c r="S3467" t="str">
        <f>"20:33:22.211"</f>
        <v>20:33:22.211</v>
      </c>
      <c r="T3467" t="str">
        <f>"20:33:21.811"</f>
        <v>20:33:21.811</v>
      </c>
      <c r="U3467" t="str">
        <f t="shared" si="172"/>
        <v>AB01F4</v>
      </c>
      <c r="V3467">
        <v>0</v>
      </c>
      <c r="W3467">
        <v>0</v>
      </c>
      <c r="X3467">
        <v>2</v>
      </c>
      <c r="Z3467">
        <v>0</v>
      </c>
      <c r="AA3467">
        <v>9</v>
      </c>
      <c r="AB3467">
        <v>3</v>
      </c>
      <c r="AC3467">
        <v>0</v>
      </c>
      <c r="AD3467">
        <v>10</v>
      </c>
      <c r="AE3467">
        <v>0</v>
      </c>
      <c r="AF3467">
        <v>3</v>
      </c>
      <c r="AG3467">
        <v>2</v>
      </c>
      <c r="AH3467">
        <v>0</v>
      </c>
      <c r="AI3467" t="s">
        <v>1983</v>
      </c>
      <c r="AJ3467">
        <v>40.086601000000002</v>
      </c>
      <c r="AK3467" t="s">
        <v>1984</v>
      </c>
      <c r="AL3467">
        <v>-92.968818999999996</v>
      </c>
      <c r="AM3467">
        <v>100</v>
      </c>
      <c r="AN3467">
        <v>1300</v>
      </c>
      <c r="AO3467" t="s">
        <v>118</v>
      </c>
      <c r="AP3467">
        <v>-113</v>
      </c>
      <c r="AQ3467">
        <v>63</v>
      </c>
      <c r="AR3467">
        <v>64</v>
      </c>
      <c r="AZ3467">
        <v>1200</v>
      </c>
      <c r="BA3467">
        <v>1</v>
      </c>
      <c r="BB3467" t="str">
        <f t="shared" si="170"/>
        <v xml:space="preserve">N8080G  </v>
      </c>
      <c r="BC3467">
        <v>1</v>
      </c>
      <c r="BE3467">
        <v>0</v>
      </c>
      <c r="BF3467">
        <v>0</v>
      </c>
      <c r="BG3467">
        <v>0</v>
      </c>
      <c r="BH3467">
        <v>1350</v>
      </c>
      <c r="BI3467">
        <v>1</v>
      </c>
      <c r="BJ3467">
        <v>1</v>
      </c>
      <c r="BK3467">
        <v>1</v>
      </c>
      <c r="BL3467">
        <v>0</v>
      </c>
      <c r="BO3467">
        <v>0</v>
      </c>
      <c r="BP3467">
        <v>0</v>
      </c>
      <c r="BW3467" t="str">
        <f>"20:33:22.217"</f>
        <v>20:33:22.217</v>
      </c>
      <c r="BZ3467">
        <v>0</v>
      </c>
      <c r="CA3467">
        <v>1600</v>
      </c>
      <c r="CB3467">
        <v>224</v>
      </c>
      <c r="CD3467">
        <v>1</v>
      </c>
      <c r="CE3467">
        <v>0</v>
      </c>
      <c r="CF3467">
        <v>0</v>
      </c>
      <c r="CG3467">
        <v>1</v>
      </c>
      <c r="CH3467">
        <v>0</v>
      </c>
      <c r="CI3467">
        <v>0</v>
      </c>
      <c r="CJ3467">
        <v>0</v>
      </c>
      <c r="CK3467">
        <v>2</v>
      </c>
      <c r="CL3467">
        <v>0</v>
      </c>
      <c r="CM3467">
        <v>2</v>
      </c>
      <c r="CN3467">
        <v>0</v>
      </c>
      <c r="CO3467">
        <v>7</v>
      </c>
      <c r="CP3467" t="s">
        <v>119</v>
      </c>
      <c r="CQ3467">
        <v>180</v>
      </c>
      <c r="CR3467">
        <v>3</v>
      </c>
      <c r="CW3467">
        <v>1166145</v>
      </c>
      <c r="CY3467">
        <v>1</v>
      </c>
      <c r="CZ3467">
        <v>0</v>
      </c>
      <c r="DA3467">
        <v>0</v>
      </c>
      <c r="DB3467">
        <v>0</v>
      </c>
      <c r="DC3467">
        <v>0</v>
      </c>
      <c r="DD3467">
        <v>0</v>
      </c>
      <c r="DE3467">
        <v>0</v>
      </c>
      <c r="DF3467">
        <v>0</v>
      </c>
      <c r="DG3467">
        <v>0</v>
      </c>
      <c r="DH3467">
        <v>0</v>
      </c>
      <c r="DI3467">
        <v>0</v>
      </c>
    </row>
    <row r="3468" spans="1:113" x14ac:dyDescent="0.3">
      <c r="A3468" t="str">
        <f>"02/08/2021 20:33:19.913"</f>
        <v>02/08/2021 20:33:19.913</v>
      </c>
      <c r="C3468" t="str">
        <f t="shared" si="171"/>
        <v>FFDFD7C0</v>
      </c>
      <c r="D3468" t="s">
        <v>124</v>
      </c>
      <c r="E3468">
        <v>11</v>
      </c>
      <c r="F3468">
        <v>1011</v>
      </c>
      <c r="G3468" t="s">
        <v>590</v>
      </c>
      <c r="J3468" t="s">
        <v>125</v>
      </c>
      <c r="K3468">
        <v>0</v>
      </c>
      <c r="L3468">
        <v>3</v>
      </c>
      <c r="M3468">
        <v>0</v>
      </c>
      <c r="N3468">
        <v>2</v>
      </c>
      <c r="O3468">
        <v>1</v>
      </c>
      <c r="P3468">
        <v>0</v>
      </c>
      <c r="Q3468">
        <v>0</v>
      </c>
      <c r="S3468" t="str">
        <f>"20:33:22.211"</f>
        <v>20:33:22.211</v>
      </c>
      <c r="T3468" t="str">
        <f>"20:33:21.811"</f>
        <v>20:33:21.811</v>
      </c>
      <c r="U3468" t="str">
        <f t="shared" si="172"/>
        <v>AB01F4</v>
      </c>
      <c r="V3468">
        <v>0</v>
      </c>
      <c r="W3468">
        <v>0</v>
      </c>
      <c r="X3468">
        <v>2</v>
      </c>
      <c r="Z3468">
        <v>0</v>
      </c>
      <c r="AA3468">
        <v>9</v>
      </c>
      <c r="AB3468">
        <v>3</v>
      </c>
      <c r="AC3468">
        <v>0</v>
      </c>
      <c r="AD3468">
        <v>10</v>
      </c>
      <c r="AE3468">
        <v>0</v>
      </c>
      <c r="AF3468">
        <v>3</v>
      </c>
      <c r="AG3468">
        <v>2</v>
      </c>
      <c r="AH3468">
        <v>0</v>
      </c>
      <c r="AI3468" t="s">
        <v>1983</v>
      </c>
      <c r="AJ3468">
        <v>40.086601000000002</v>
      </c>
      <c r="AK3468" t="s">
        <v>1984</v>
      </c>
      <c r="AL3468">
        <v>-92.968818999999996</v>
      </c>
      <c r="AM3468">
        <v>100</v>
      </c>
      <c r="AN3468">
        <v>1300</v>
      </c>
      <c r="AO3468" t="s">
        <v>118</v>
      </c>
      <c r="AP3468">
        <v>-113</v>
      </c>
      <c r="AQ3468">
        <v>63</v>
      </c>
      <c r="AR3468">
        <v>64</v>
      </c>
      <c r="AZ3468">
        <v>1200</v>
      </c>
      <c r="BA3468">
        <v>1</v>
      </c>
      <c r="BB3468" t="str">
        <f t="shared" si="170"/>
        <v xml:space="preserve">N8080G  </v>
      </c>
      <c r="BC3468">
        <v>1</v>
      </c>
      <c r="BE3468">
        <v>0</v>
      </c>
      <c r="BF3468">
        <v>0</v>
      </c>
      <c r="BG3468">
        <v>0</v>
      </c>
      <c r="BH3468">
        <v>1350</v>
      </c>
      <c r="BI3468">
        <v>1</v>
      </c>
      <c r="BJ3468">
        <v>1</v>
      </c>
      <c r="BK3468">
        <v>1</v>
      </c>
      <c r="BL3468">
        <v>0</v>
      </c>
      <c r="BO3468">
        <v>0</v>
      </c>
      <c r="BP3468">
        <v>0</v>
      </c>
      <c r="BW3468" t="str">
        <f>"20:33:22.217"</f>
        <v>20:33:22.217</v>
      </c>
      <c r="BZ3468">
        <v>0</v>
      </c>
      <c r="CA3468">
        <v>1600</v>
      </c>
      <c r="CB3468">
        <v>224</v>
      </c>
      <c r="CD3468">
        <v>1</v>
      </c>
      <c r="CE3468">
        <v>0</v>
      </c>
      <c r="CF3468">
        <v>0</v>
      </c>
      <c r="CG3468">
        <v>1</v>
      </c>
      <c r="CH3468">
        <v>0</v>
      </c>
      <c r="CI3468">
        <v>0</v>
      </c>
      <c r="CJ3468">
        <v>0</v>
      </c>
      <c r="CK3468">
        <v>2</v>
      </c>
      <c r="CL3468">
        <v>0</v>
      </c>
      <c r="CM3468">
        <v>2</v>
      </c>
      <c r="CN3468">
        <v>0</v>
      </c>
      <c r="CO3468">
        <v>7</v>
      </c>
      <c r="CP3468" t="s">
        <v>119</v>
      </c>
      <c r="CQ3468">
        <v>180</v>
      </c>
      <c r="CR3468">
        <v>3</v>
      </c>
      <c r="CW3468">
        <v>1166145</v>
      </c>
      <c r="CY3468">
        <v>1</v>
      </c>
      <c r="CZ3468">
        <v>0</v>
      </c>
      <c r="DA3468">
        <v>1</v>
      </c>
      <c r="DB3468">
        <v>0</v>
      </c>
      <c r="DC3468">
        <v>0</v>
      </c>
      <c r="DD3468">
        <v>0</v>
      </c>
      <c r="DE3468">
        <v>0</v>
      </c>
      <c r="DF3468">
        <v>0</v>
      </c>
      <c r="DG3468">
        <v>0</v>
      </c>
      <c r="DH3468">
        <v>0</v>
      </c>
      <c r="DI3468">
        <v>0</v>
      </c>
    </row>
    <row r="3469" spans="1:113" x14ac:dyDescent="0.3">
      <c r="A3469" t="str">
        <f>"02/08/2021 20:33:19.913"</f>
        <v>02/08/2021 20:33:19.913</v>
      </c>
      <c r="C3469" t="str">
        <f t="shared" si="171"/>
        <v>FFDFD7C0</v>
      </c>
      <c r="D3469" t="s">
        <v>124</v>
      </c>
      <c r="E3469">
        <v>13</v>
      </c>
      <c r="F3469">
        <v>1013</v>
      </c>
      <c r="G3469" t="s">
        <v>114</v>
      </c>
      <c r="J3469" t="s">
        <v>125</v>
      </c>
      <c r="K3469">
        <v>0</v>
      </c>
      <c r="L3469">
        <v>3</v>
      </c>
      <c r="M3469">
        <v>0</v>
      </c>
      <c r="N3469">
        <v>2</v>
      </c>
      <c r="O3469">
        <v>1</v>
      </c>
      <c r="P3469">
        <v>0</v>
      </c>
      <c r="Q3469">
        <v>0</v>
      </c>
      <c r="S3469" t="str">
        <f>"20:33:22.211"</f>
        <v>20:33:22.211</v>
      </c>
      <c r="T3469" t="str">
        <f>"20:33:21.811"</f>
        <v>20:33:21.811</v>
      </c>
      <c r="U3469" t="str">
        <f t="shared" si="172"/>
        <v>AB01F4</v>
      </c>
      <c r="V3469">
        <v>0</v>
      </c>
      <c r="W3469">
        <v>0</v>
      </c>
      <c r="X3469">
        <v>2</v>
      </c>
      <c r="Z3469">
        <v>0</v>
      </c>
      <c r="AA3469">
        <v>9</v>
      </c>
      <c r="AB3469">
        <v>3</v>
      </c>
      <c r="AC3469">
        <v>0</v>
      </c>
      <c r="AD3469">
        <v>10</v>
      </c>
      <c r="AE3469">
        <v>0</v>
      </c>
      <c r="AF3469">
        <v>3</v>
      </c>
      <c r="AG3469">
        <v>2</v>
      </c>
      <c r="AH3469">
        <v>0</v>
      </c>
      <c r="AI3469" t="s">
        <v>1983</v>
      </c>
      <c r="AJ3469">
        <v>40.086601000000002</v>
      </c>
      <c r="AK3469" t="s">
        <v>1984</v>
      </c>
      <c r="AL3469">
        <v>-92.968818999999996</v>
      </c>
      <c r="AM3469">
        <v>100</v>
      </c>
      <c r="AN3469">
        <v>1300</v>
      </c>
      <c r="AO3469" t="s">
        <v>118</v>
      </c>
      <c r="AP3469">
        <v>-113</v>
      </c>
      <c r="AQ3469">
        <v>63</v>
      </c>
      <c r="AR3469">
        <v>64</v>
      </c>
      <c r="AZ3469">
        <v>1200</v>
      </c>
      <c r="BA3469">
        <v>1</v>
      </c>
      <c r="BB3469" t="str">
        <f t="shared" si="170"/>
        <v xml:space="preserve">N8080G  </v>
      </c>
      <c r="BC3469">
        <v>1</v>
      </c>
      <c r="BE3469">
        <v>0</v>
      </c>
      <c r="BF3469">
        <v>0</v>
      </c>
      <c r="BG3469">
        <v>0</v>
      </c>
      <c r="BH3469">
        <v>1350</v>
      </c>
      <c r="BI3469">
        <v>1</v>
      </c>
      <c r="BJ3469">
        <v>1</v>
      </c>
      <c r="BK3469">
        <v>1</v>
      </c>
      <c r="BL3469">
        <v>0</v>
      </c>
      <c r="BO3469">
        <v>0</v>
      </c>
      <c r="BP3469">
        <v>0</v>
      </c>
      <c r="BW3469" t="str">
        <f>"20:33:22.217"</f>
        <v>20:33:22.217</v>
      </c>
      <c r="BZ3469">
        <v>0</v>
      </c>
      <c r="CA3469">
        <v>1600</v>
      </c>
      <c r="CB3469">
        <v>224</v>
      </c>
      <c r="CD3469">
        <v>1</v>
      </c>
      <c r="CE3469">
        <v>0</v>
      </c>
      <c r="CF3469">
        <v>0</v>
      </c>
      <c r="CG3469">
        <v>1</v>
      </c>
      <c r="CH3469">
        <v>0</v>
      </c>
      <c r="CI3469">
        <v>0</v>
      </c>
      <c r="CJ3469">
        <v>0</v>
      </c>
      <c r="CK3469">
        <v>2</v>
      </c>
      <c r="CL3469">
        <v>0</v>
      </c>
      <c r="CM3469">
        <v>2</v>
      </c>
      <c r="CN3469">
        <v>0</v>
      </c>
      <c r="CO3469">
        <v>7</v>
      </c>
      <c r="CP3469" t="s">
        <v>119</v>
      </c>
      <c r="CQ3469">
        <v>180</v>
      </c>
      <c r="CR3469">
        <v>3</v>
      </c>
      <c r="CW3469">
        <v>1166145</v>
      </c>
      <c r="CY3469">
        <v>1</v>
      </c>
      <c r="CZ3469">
        <v>0</v>
      </c>
      <c r="DA3469">
        <v>1</v>
      </c>
      <c r="DB3469">
        <v>0</v>
      </c>
      <c r="DC3469">
        <v>0</v>
      </c>
      <c r="DD3469">
        <v>0</v>
      </c>
      <c r="DE3469">
        <v>0</v>
      </c>
      <c r="DF3469">
        <v>0</v>
      </c>
      <c r="DG3469">
        <v>0</v>
      </c>
      <c r="DH3469">
        <v>0</v>
      </c>
      <c r="DI3469">
        <v>0</v>
      </c>
    </row>
    <row r="3470" spans="1:113" x14ac:dyDescent="0.3">
      <c r="A3470" t="str">
        <f>"02/08/2021 20:33:19.913"</f>
        <v>02/08/2021 20:33:19.913</v>
      </c>
      <c r="C3470" t="str">
        <f t="shared" si="171"/>
        <v>FFDFD7C0</v>
      </c>
      <c r="D3470" t="s">
        <v>113</v>
      </c>
      <c r="E3470">
        <v>6</v>
      </c>
      <c r="H3470">
        <v>165</v>
      </c>
      <c r="I3470" t="s">
        <v>114</v>
      </c>
      <c r="J3470" t="s">
        <v>115</v>
      </c>
      <c r="K3470">
        <v>0</v>
      </c>
      <c r="L3470">
        <v>3</v>
      </c>
      <c r="M3470">
        <v>0</v>
      </c>
      <c r="N3470">
        <v>2</v>
      </c>
      <c r="O3470">
        <v>1</v>
      </c>
      <c r="P3470">
        <v>0</v>
      </c>
      <c r="Q3470">
        <v>0</v>
      </c>
      <c r="S3470" t="str">
        <f>"20:33:22.211"</f>
        <v>20:33:22.211</v>
      </c>
      <c r="T3470" t="str">
        <f>"20:33:21.811"</f>
        <v>20:33:21.811</v>
      </c>
      <c r="U3470" t="str">
        <f t="shared" si="172"/>
        <v>AB01F4</v>
      </c>
      <c r="V3470">
        <v>0</v>
      </c>
      <c r="W3470">
        <v>0</v>
      </c>
      <c r="X3470">
        <v>2</v>
      </c>
      <c r="Z3470">
        <v>0</v>
      </c>
      <c r="AA3470">
        <v>9</v>
      </c>
      <c r="AB3470">
        <v>3</v>
      </c>
      <c r="AC3470">
        <v>0</v>
      </c>
      <c r="AD3470">
        <v>10</v>
      </c>
      <c r="AE3470">
        <v>0</v>
      </c>
      <c r="AF3470">
        <v>3</v>
      </c>
      <c r="AG3470">
        <v>2</v>
      </c>
      <c r="AH3470">
        <v>0</v>
      </c>
      <c r="AI3470" t="s">
        <v>1983</v>
      </c>
      <c r="AJ3470">
        <v>40.086601000000002</v>
      </c>
      <c r="AK3470" t="s">
        <v>1984</v>
      </c>
      <c r="AL3470">
        <v>-92.968818999999996</v>
      </c>
      <c r="AM3470">
        <v>100</v>
      </c>
      <c r="AN3470">
        <v>1300</v>
      </c>
      <c r="AO3470" t="s">
        <v>118</v>
      </c>
      <c r="AP3470">
        <v>-113</v>
      </c>
      <c r="AQ3470">
        <v>63</v>
      </c>
      <c r="AR3470">
        <v>64</v>
      </c>
      <c r="AZ3470">
        <v>1200</v>
      </c>
      <c r="BA3470">
        <v>1</v>
      </c>
      <c r="BB3470" t="str">
        <f t="shared" si="170"/>
        <v xml:space="preserve">N8080G  </v>
      </c>
      <c r="BC3470">
        <v>1</v>
      </c>
      <c r="BE3470">
        <v>0</v>
      </c>
      <c r="BF3470">
        <v>0</v>
      </c>
      <c r="BG3470">
        <v>0</v>
      </c>
      <c r="BH3470">
        <v>1350</v>
      </c>
      <c r="BI3470">
        <v>1</v>
      </c>
      <c r="BJ3470">
        <v>1</v>
      </c>
      <c r="BK3470">
        <v>1</v>
      </c>
      <c r="BL3470">
        <v>0</v>
      </c>
      <c r="BO3470">
        <v>0</v>
      </c>
      <c r="BP3470">
        <v>0</v>
      </c>
      <c r="BW3470" t="str">
        <f>"20:33:22.217"</f>
        <v>20:33:22.217</v>
      </c>
      <c r="BZ3470">
        <v>0</v>
      </c>
      <c r="CA3470">
        <v>1600</v>
      </c>
      <c r="CB3470">
        <v>224</v>
      </c>
      <c r="CD3470">
        <v>1</v>
      </c>
      <c r="CE3470">
        <v>0</v>
      </c>
      <c r="CF3470">
        <v>0</v>
      </c>
      <c r="CG3470">
        <v>1</v>
      </c>
      <c r="CH3470">
        <v>0</v>
      </c>
      <c r="CI3470">
        <v>0</v>
      </c>
      <c r="CJ3470">
        <v>0</v>
      </c>
      <c r="CK3470">
        <v>2</v>
      </c>
      <c r="CL3470">
        <v>0</v>
      </c>
      <c r="CM3470">
        <v>2</v>
      </c>
      <c r="CN3470">
        <v>0</v>
      </c>
      <c r="CO3470">
        <v>7</v>
      </c>
      <c r="CP3470" t="s">
        <v>119</v>
      </c>
      <c r="CQ3470">
        <v>180</v>
      </c>
      <c r="CR3470">
        <v>3</v>
      </c>
      <c r="CW3470">
        <v>1166145</v>
      </c>
      <c r="CY3470">
        <v>1</v>
      </c>
      <c r="CZ3470">
        <v>0</v>
      </c>
      <c r="DA3470">
        <v>1</v>
      </c>
      <c r="DB3470">
        <v>0</v>
      </c>
      <c r="DC3470">
        <v>0</v>
      </c>
      <c r="DD3470">
        <v>0</v>
      </c>
      <c r="DE3470">
        <v>0</v>
      </c>
      <c r="DF3470">
        <v>0</v>
      </c>
      <c r="DG3470">
        <v>0</v>
      </c>
      <c r="DH3470">
        <v>0</v>
      </c>
      <c r="DI3470">
        <v>0</v>
      </c>
    </row>
    <row r="3471" spans="1:113" x14ac:dyDescent="0.3">
      <c r="A3471" t="str">
        <f>"02/08/2021 20:33:20.811"</f>
        <v>02/08/2021 20:33:20.811</v>
      </c>
      <c r="C3471" t="str">
        <f t="shared" si="171"/>
        <v>FFDFD7C0</v>
      </c>
      <c r="D3471" t="s">
        <v>113</v>
      </c>
      <c r="E3471">
        <v>6</v>
      </c>
      <c r="H3471">
        <v>165</v>
      </c>
      <c r="I3471" t="s">
        <v>114</v>
      </c>
      <c r="J3471" t="s">
        <v>115</v>
      </c>
      <c r="K3471">
        <v>0</v>
      </c>
      <c r="L3471">
        <v>3</v>
      </c>
      <c r="M3471">
        <v>0</v>
      </c>
      <c r="N3471">
        <v>2</v>
      </c>
      <c r="O3471">
        <v>1</v>
      </c>
      <c r="P3471">
        <v>0</v>
      </c>
      <c r="Q3471">
        <v>0</v>
      </c>
      <c r="S3471" t="str">
        <f>"20:33:23.164"</f>
        <v>20:33:23.164</v>
      </c>
      <c r="T3471" t="str">
        <f>"20:33:22.764"</f>
        <v>20:33:22.764</v>
      </c>
      <c r="U3471" t="str">
        <f t="shared" si="172"/>
        <v>AB01F4</v>
      </c>
      <c r="V3471">
        <v>0</v>
      </c>
      <c r="W3471">
        <v>0</v>
      </c>
      <c r="X3471">
        <v>2</v>
      </c>
      <c r="Z3471">
        <v>0</v>
      </c>
      <c r="AA3471">
        <v>9</v>
      </c>
      <c r="AB3471">
        <v>3</v>
      </c>
      <c r="AC3471">
        <v>0</v>
      </c>
      <c r="AD3471">
        <v>10</v>
      </c>
      <c r="AE3471">
        <v>0</v>
      </c>
      <c r="AF3471">
        <v>3</v>
      </c>
      <c r="AG3471">
        <v>2</v>
      </c>
      <c r="AH3471">
        <v>0</v>
      </c>
      <c r="AI3471" t="s">
        <v>1985</v>
      </c>
      <c r="AJ3471">
        <v>40.086857999999999</v>
      </c>
      <c r="AK3471" t="s">
        <v>1986</v>
      </c>
      <c r="AL3471">
        <v>-92.969483999999994</v>
      </c>
      <c r="AM3471">
        <v>100</v>
      </c>
      <c r="AN3471">
        <v>1300</v>
      </c>
      <c r="AO3471" t="s">
        <v>118</v>
      </c>
      <c r="AP3471">
        <v>-113</v>
      </c>
      <c r="AQ3471">
        <v>63</v>
      </c>
      <c r="AR3471">
        <v>64</v>
      </c>
      <c r="AZ3471">
        <v>1200</v>
      </c>
      <c r="BA3471">
        <v>1</v>
      </c>
      <c r="BB3471" t="str">
        <f t="shared" si="170"/>
        <v xml:space="preserve">N8080G  </v>
      </c>
      <c r="BC3471">
        <v>1</v>
      </c>
      <c r="BE3471">
        <v>0</v>
      </c>
      <c r="BF3471">
        <v>0</v>
      </c>
      <c r="BG3471">
        <v>0</v>
      </c>
      <c r="BH3471">
        <v>1350</v>
      </c>
      <c r="BI3471">
        <v>1</v>
      </c>
      <c r="BJ3471">
        <v>1</v>
      </c>
      <c r="BK3471">
        <v>1</v>
      </c>
      <c r="BL3471">
        <v>0</v>
      </c>
      <c r="BO3471">
        <v>0</v>
      </c>
      <c r="BP3471">
        <v>0</v>
      </c>
      <c r="BW3471" t="str">
        <f>"20:33:23.166"</f>
        <v>20:33:23.166</v>
      </c>
      <c r="BZ3471">
        <v>0</v>
      </c>
      <c r="CA3471">
        <v>1600</v>
      </c>
      <c r="CB3471">
        <v>224</v>
      </c>
      <c r="CD3471">
        <v>1</v>
      </c>
      <c r="CE3471">
        <v>0</v>
      </c>
      <c r="CF3471">
        <v>0</v>
      </c>
      <c r="CG3471">
        <v>1</v>
      </c>
      <c r="CH3471">
        <v>0</v>
      </c>
      <c r="CI3471">
        <v>0</v>
      </c>
      <c r="CJ3471">
        <v>0</v>
      </c>
      <c r="CK3471">
        <v>2</v>
      </c>
      <c r="CL3471">
        <v>0</v>
      </c>
      <c r="CM3471">
        <v>2</v>
      </c>
      <c r="CN3471">
        <v>0</v>
      </c>
      <c r="CO3471">
        <v>6</v>
      </c>
      <c r="CP3471" t="s">
        <v>119</v>
      </c>
      <c r="CQ3471">
        <v>180</v>
      </c>
      <c r="CR3471">
        <v>3</v>
      </c>
      <c r="CW3471">
        <v>1166896</v>
      </c>
      <c r="CY3471">
        <v>1</v>
      </c>
      <c r="CZ3471">
        <v>0</v>
      </c>
      <c r="DA3471">
        <v>0</v>
      </c>
      <c r="DB3471">
        <v>0</v>
      </c>
      <c r="DC3471">
        <v>0</v>
      </c>
      <c r="DD3471">
        <v>0</v>
      </c>
      <c r="DE3471">
        <v>0</v>
      </c>
      <c r="DF3471">
        <v>0</v>
      </c>
      <c r="DG3471">
        <v>0</v>
      </c>
      <c r="DH3471">
        <v>0</v>
      </c>
      <c r="DI3471">
        <v>0</v>
      </c>
    </row>
    <row r="3472" spans="1:113" x14ac:dyDescent="0.3">
      <c r="A3472" t="str">
        <f>"02/08/2021 20:33:20.811"</f>
        <v>02/08/2021 20:33:20.811</v>
      </c>
      <c r="C3472" t="str">
        <f t="shared" si="171"/>
        <v>FFDFD7C0</v>
      </c>
      <c r="D3472" t="s">
        <v>124</v>
      </c>
      <c r="E3472">
        <v>12</v>
      </c>
      <c r="F3472">
        <v>1012</v>
      </c>
      <c r="G3472" t="s">
        <v>675</v>
      </c>
      <c r="J3472" t="s">
        <v>125</v>
      </c>
      <c r="K3472">
        <v>0</v>
      </c>
      <c r="L3472">
        <v>3</v>
      </c>
      <c r="M3472">
        <v>0</v>
      </c>
      <c r="N3472">
        <v>2</v>
      </c>
      <c r="O3472">
        <v>1</v>
      </c>
      <c r="P3472">
        <v>0</v>
      </c>
      <c r="Q3472">
        <v>0</v>
      </c>
      <c r="S3472" t="str">
        <f>"20:33:23.164"</f>
        <v>20:33:23.164</v>
      </c>
      <c r="T3472" t="str">
        <f>"20:33:22.764"</f>
        <v>20:33:22.764</v>
      </c>
      <c r="U3472" t="str">
        <f t="shared" si="172"/>
        <v>AB01F4</v>
      </c>
      <c r="V3472">
        <v>0</v>
      </c>
      <c r="W3472">
        <v>0</v>
      </c>
      <c r="X3472">
        <v>2</v>
      </c>
      <c r="Z3472">
        <v>0</v>
      </c>
      <c r="AA3472">
        <v>9</v>
      </c>
      <c r="AB3472">
        <v>3</v>
      </c>
      <c r="AC3472">
        <v>0</v>
      </c>
      <c r="AD3472">
        <v>10</v>
      </c>
      <c r="AE3472">
        <v>0</v>
      </c>
      <c r="AF3472">
        <v>3</v>
      </c>
      <c r="AG3472">
        <v>2</v>
      </c>
      <c r="AH3472">
        <v>0</v>
      </c>
      <c r="AI3472" t="s">
        <v>1985</v>
      </c>
      <c r="AJ3472">
        <v>40.086857999999999</v>
      </c>
      <c r="AK3472" t="s">
        <v>1986</v>
      </c>
      <c r="AL3472">
        <v>-92.969483999999994</v>
      </c>
      <c r="AM3472">
        <v>100</v>
      </c>
      <c r="AN3472">
        <v>1300</v>
      </c>
      <c r="AO3472" t="s">
        <v>118</v>
      </c>
      <c r="AP3472">
        <v>-113</v>
      </c>
      <c r="AQ3472">
        <v>63</v>
      </c>
      <c r="AR3472">
        <v>64</v>
      </c>
      <c r="AZ3472">
        <v>1200</v>
      </c>
      <c r="BA3472">
        <v>1</v>
      </c>
      <c r="BB3472" t="str">
        <f t="shared" si="170"/>
        <v xml:space="preserve">N8080G  </v>
      </c>
      <c r="BC3472">
        <v>1</v>
      </c>
      <c r="BE3472">
        <v>0</v>
      </c>
      <c r="BF3472">
        <v>0</v>
      </c>
      <c r="BG3472">
        <v>0</v>
      </c>
      <c r="BH3472">
        <v>1350</v>
      </c>
      <c r="BI3472">
        <v>1</v>
      </c>
      <c r="BJ3472">
        <v>1</v>
      </c>
      <c r="BK3472">
        <v>1</v>
      </c>
      <c r="BL3472">
        <v>0</v>
      </c>
      <c r="BO3472">
        <v>0</v>
      </c>
      <c r="BP3472">
        <v>0</v>
      </c>
      <c r="BW3472" t="str">
        <f>"20:33:23.166"</f>
        <v>20:33:23.166</v>
      </c>
      <c r="BZ3472">
        <v>0</v>
      </c>
      <c r="CA3472">
        <v>1600</v>
      </c>
      <c r="CB3472">
        <v>224</v>
      </c>
      <c r="CD3472">
        <v>1</v>
      </c>
      <c r="CE3472">
        <v>0</v>
      </c>
      <c r="CF3472">
        <v>0</v>
      </c>
      <c r="CG3472">
        <v>1</v>
      </c>
      <c r="CH3472">
        <v>0</v>
      </c>
      <c r="CI3472">
        <v>0</v>
      </c>
      <c r="CJ3472">
        <v>0</v>
      </c>
      <c r="CK3472">
        <v>2</v>
      </c>
      <c r="CL3472">
        <v>0</v>
      </c>
      <c r="CM3472">
        <v>2</v>
      </c>
      <c r="CN3472">
        <v>0</v>
      </c>
      <c r="CO3472">
        <v>6</v>
      </c>
      <c r="CP3472" t="s">
        <v>119</v>
      </c>
      <c r="CQ3472">
        <v>180</v>
      </c>
      <c r="CR3472">
        <v>3</v>
      </c>
      <c r="CW3472">
        <v>1166896</v>
      </c>
      <c r="CY3472">
        <v>1</v>
      </c>
      <c r="CZ3472">
        <v>0</v>
      </c>
      <c r="DA3472">
        <v>1</v>
      </c>
      <c r="DB3472">
        <v>0</v>
      </c>
      <c r="DC3472">
        <v>0</v>
      </c>
      <c r="DD3472">
        <v>0</v>
      </c>
      <c r="DE3472">
        <v>0</v>
      </c>
      <c r="DF3472">
        <v>0</v>
      </c>
      <c r="DG3472">
        <v>0</v>
      </c>
      <c r="DH3472">
        <v>0</v>
      </c>
      <c r="DI3472">
        <v>0</v>
      </c>
    </row>
    <row r="3473" spans="1:113" x14ac:dyDescent="0.3">
      <c r="A3473" t="str">
        <f>"02/08/2021 20:33:20.811"</f>
        <v>02/08/2021 20:33:20.811</v>
      </c>
      <c r="C3473" t="str">
        <f t="shared" si="171"/>
        <v>FFDFD7C0</v>
      </c>
      <c r="D3473" t="s">
        <v>124</v>
      </c>
      <c r="E3473">
        <v>11</v>
      </c>
      <c r="F3473">
        <v>1011</v>
      </c>
      <c r="G3473" t="s">
        <v>590</v>
      </c>
      <c r="J3473" t="s">
        <v>125</v>
      </c>
      <c r="K3473">
        <v>0</v>
      </c>
      <c r="L3473">
        <v>3</v>
      </c>
      <c r="M3473">
        <v>0</v>
      </c>
      <c r="N3473">
        <v>2</v>
      </c>
      <c r="O3473">
        <v>1</v>
      </c>
      <c r="P3473">
        <v>0</v>
      </c>
      <c r="Q3473">
        <v>0</v>
      </c>
      <c r="S3473" t="str">
        <f>"20:33:23.164"</f>
        <v>20:33:23.164</v>
      </c>
      <c r="T3473" t="str">
        <f>"20:33:22.764"</f>
        <v>20:33:22.764</v>
      </c>
      <c r="U3473" t="str">
        <f t="shared" si="172"/>
        <v>AB01F4</v>
      </c>
      <c r="V3473">
        <v>0</v>
      </c>
      <c r="W3473">
        <v>0</v>
      </c>
      <c r="X3473">
        <v>2</v>
      </c>
      <c r="Z3473">
        <v>0</v>
      </c>
      <c r="AA3473">
        <v>9</v>
      </c>
      <c r="AB3473">
        <v>3</v>
      </c>
      <c r="AC3473">
        <v>0</v>
      </c>
      <c r="AD3473">
        <v>10</v>
      </c>
      <c r="AE3473">
        <v>0</v>
      </c>
      <c r="AF3473">
        <v>3</v>
      </c>
      <c r="AG3473">
        <v>2</v>
      </c>
      <c r="AH3473">
        <v>0</v>
      </c>
      <c r="AI3473" t="s">
        <v>1985</v>
      </c>
      <c r="AJ3473">
        <v>40.086857999999999</v>
      </c>
      <c r="AK3473" t="s">
        <v>1986</v>
      </c>
      <c r="AL3473">
        <v>-92.969483999999994</v>
      </c>
      <c r="AM3473">
        <v>100</v>
      </c>
      <c r="AN3473">
        <v>1300</v>
      </c>
      <c r="AO3473" t="s">
        <v>118</v>
      </c>
      <c r="AP3473">
        <v>-113</v>
      </c>
      <c r="AQ3473">
        <v>63</v>
      </c>
      <c r="AR3473">
        <v>64</v>
      </c>
      <c r="AZ3473">
        <v>1200</v>
      </c>
      <c r="BA3473">
        <v>1</v>
      </c>
      <c r="BB3473" t="str">
        <f t="shared" si="170"/>
        <v xml:space="preserve">N8080G  </v>
      </c>
      <c r="BC3473">
        <v>1</v>
      </c>
      <c r="BE3473">
        <v>0</v>
      </c>
      <c r="BF3473">
        <v>0</v>
      </c>
      <c r="BG3473">
        <v>0</v>
      </c>
      <c r="BH3473">
        <v>1350</v>
      </c>
      <c r="BI3473">
        <v>1</v>
      </c>
      <c r="BJ3473">
        <v>1</v>
      </c>
      <c r="BK3473">
        <v>1</v>
      </c>
      <c r="BL3473">
        <v>0</v>
      </c>
      <c r="BO3473">
        <v>0</v>
      </c>
      <c r="BP3473">
        <v>0</v>
      </c>
      <c r="BW3473" t="str">
        <f>"20:33:23.166"</f>
        <v>20:33:23.166</v>
      </c>
      <c r="BZ3473">
        <v>0</v>
      </c>
      <c r="CA3473">
        <v>1600</v>
      </c>
      <c r="CB3473">
        <v>224</v>
      </c>
      <c r="CD3473">
        <v>1</v>
      </c>
      <c r="CE3473">
        <v>0</v>
      </c>
      <c r="CF3473">
        <v>0</v>
      </c>
      <c r="CG3473">
        <v>1</v>
      </c>
      <c r="CH3473">
        <v>0</v>
      </c>
      <c r="CI3473">
        <v>0</v>
      </c>
      <c r="CJ3473">
        <v>0</v>
      </c>
      <c r="CK3473">
        <v>2</v>
      </c>
      <c r="CL3473">
        <v>0</v>
      </c>
      <c r="CM3473">
        <v>2</v>
      </c>
      <c r="CN3473">
        <v>0</v>
      </c>
      <c r="CO3473">
        <v>6</v>
      </c>
      <c r="CP3473" t="s">
        <v>119</v>
      </c>
      <c r="CQ3473">
        <v>180</v>
      </c>
      <c r="CR3473">
        <v>3</v>
      </c>
      <c r="CW3473">
        <v>1166896</v>
      </c>
      <c r="CY3473">
        <v>1</v>
      </c>
      <c r="CZ3473">
        <v>0</v>
      </c>
      <c r="DA3473">
        <v>1</v>
      </c>
      <c r="DB3473">
        <v>0</v>
      </c>
      <c r="DC3473">
        <v>0</v>
      </c>
      <c r="DD3473">
        <v>0</v>
      </c>
      <c r="DE3473">
        <v>0</v>
      </c>
      <c r="DF3473">
        <v>0</v>
      </c>
      <c r="DG3473">
        <v>0</v>
      </c>
      <c r="DH3473">
        <v>0</v>
      </c>
      <c r="DI3473">
        <v>0</v>
      </c>
    </row>
    <row r="3474" spans="1:113" x14ac:dyDescent="0.3">
      <c r="A3474" t="str">
        <f>"02/08/2021 20:33:20.811"</f>
        <v>02/08/2021 20:33:20.811</v>
      </c>
      <c r="C3474" t="str">
        <f t="shared" si="171"/>
        <v>FFDFD7C0</v>
      </c>
      <c r="D3474" t="s">
        <v>124</v>
      </c>
      <c r="E3474">
        <v>13</v>
      </c>
      <c r="F3474">
        <v>1013</v>
      </c>
      <c r="G3474" t="s">
        <v>114</v>
      </c>
      <c r="J3474" t="s">
        <v>125</v>
      </c>
      <c r="K3474">
        <v>0</v>
      </c>
      <c r="L3474">
        <v>3</v>
      </c>
      <c r="M3474">
        <v>0</v>
      </c>
      <c r="N3474">
        <v>2</v>
      </c>
      <c r="O3474">
        <v>1</v>
      </c>
      <c r="P3474">
        <v>0</v>
      </c>
      <c r="Q3474">
        <v>0</v>
      </c>
      <c r="S3474" t="str">
        <f>"20:33:23.164"</f>
        <v>20:33:23.164</v>
      </c>
      <c r="T3474" t="str">
        <f>"20:33:22.764"</f>
        <v>20:33:22.764</v>
      </c>
      <c r="U3474" t="str">
        <f t="shared" si="172"/>
        <v>AB01F4</v>
      </c>
      <c r="V3474">
        <v>0</v>
      </c>
      <c r="W3474">
        <v>0</v>
      </c>
      <c r="X3474">
        <v>2</v>
      </c>
      <c r="Z3474">
        <v>0</v>
      </c>
      <c r="AA3474">
        <v>9</v>
      </c>
      <c r="AB3474">
        <v>3</v>
      </c>
      <c r="AC3474">
        <v>0</v>
      </c>
      <c r="AD3474">
        <v>10</v>
      </c>
      <c r="AE3474">
        <v>0</v>
      </c>
      <c r="AF3474">
        <v>3</v>
      </c>
      <c r="AG3474">
        <v>2</v>
      </c>
      <c r="AH3474">
        <v>0</v>
      </c>
      <c r="AI3474" t="s">
        <v>1985</v>
      </c>
      <c r="AJ3474">
        <v>40.086857999999999</v>
      </c>
      <c r="AK3474" t="s">
        <v>1986</v>
      </c>
      <c r="AL3474">
        <v>-92.969483999999994</v>
      </c>
      <c r="AM3474">
        <v>100</v>
      </c>
      <c r="AN3474">
        <v>1300</v>
      </c>
      <c r="AO3474" t="s">
        <v>118</v>
      </c>
      <c r="AP3474">
        <v>-113</v>
      </c>
      <c r="AQ3474">
        <v>63</v>
      </c>
      <c r="AR3474">
        <v>64</v>
      </c>
      <c r="AZ3474">
        <v>1200</v>
      </c>
      <c r="BA3474">
        <v>1</v>
      </c>
      <c r="BB3474" t="str">
        <f t="shared" si="170"/>
        <v xml:space="preserve">N8080G  </v>
      </c>
      <c r="BC3474">
        <v>1</v>
      </c>
      <c r="BE3474">
        <v>0</v>
      </c>
      <c r="BF3474">
        <v>0</v>
      </c>
      <c r="BG3474">
        <v>0</v>
      </c>
      <c r="BH3474">
        <v>1350</v>
      </c>
      <c r="BI3474">
        <v>1</v>
      </c>
      <c r="BJ3474">
        <v>1</v>
      </c>
      <c r="BK3474">
        <v>1</v>
      </c>
      <c r="BL3474">
        <v>0</v>
      </c>
      <c r="BO3474">
        <v>0</v>
      </c>
      <c r="BP3474">
        <v>0</v>
      </c>
      <c r="BW3474" t="str">
        <f>"20:33:23.166"</f>
        <v>20:33:23.166</v>
      </c>
      <c r="BZ3474">
        <v>0</v>
      </c>
      <c r="CA3474">
        <v>1600</v>
      </c>
      <c r="CB3474">
        <v>224</v>
      </c>
      <c r="CD3474">
        <v>1</v>
      </c>
      <c r="CE3474">
        <v>0</v>
      </c>
      <c r="CF3474">
        <v>0</v>
      </c>
      <c r="CG3474">
        <v>1</v>
      </c>
      <c r="CH3474">
        <v>0</v>
      </c>
      <c r="CI3474">
        <v>0</v>
      </c>
      <c r="CJ3474">
        <v>0</v>
      </c>
      <c r="CK3474">
        <v>2</v>
      </c>
      <c r="CL3474">
        <v>0</v>
      </c>
      <c r="CM3474">
        <v>2</v>
      </c>
      <c r="CN3474">
        <v>0</v>
      </c>
      <c r="CO3474">
        <v>6</v>
      </c>
      <c r="CP3474" t="s">
        <v>119</v>
      </c>
      <c r="CQ3474">
        <v>180</v>
      </c>
      <c r="CR3474">
        <v>3</v>
      </c>
      <c r="CW3474">
        <v>1166896</v>
      </c>
      <c r="CY3474">
        <v>1</v>
      </c>
      <c r="CZ3474">
        <v>0</v>
      </c>
      <c r="DA3474">
        <v>1</v>
      </c>
      <c r="DB3474">
        <v>0</v>
      </c>
      <c r="DC3474">
        <v>0</v>
      </c>
      <c r="DD3474">
        <v>0</v>
      </c>
      <c r="DE3474">
        <v>0</v>
      </c>
      <c r="DF3474">
        <v>0</v>
      </c>
      <c r="DG3474">
        <v>0</v>
      </c>
      <c r="DH3474">
        <v>0</v>
      </c>
      <c r="DI3474">
        <v>0</v>
      </c>
    </row>
    <row r="3475" spans="1:113" x14ac:dyDescent="0.3">
      <c r="A3475" t="str">
        <f>"02/08/2021 20:33:21.771"</f>
        <v>02/08/2021 20:33:21.771</v>
      </c>
      <c r="C3475" t="str">
        <f t="shared" ref="C3475:C3506" si="173">"FFDFD7C0"</f>
        <v>FFDFD7C0</v>
      </c>
      <c r="D3475" t="s">
        <v>113</v>
      </c>
      <c r="E3475">
        <v>6</v>
      </c>
      <c r="H3475">
        <v>165</v>
      </c>
      <c r="I3475" t="s">
        <v>114</v>
      </c>
      <c r="J3475" t="s">
        <v>115</v>
      </c>
      <c r="K3475">
        <v>0</v>
      </c>
      <c r="L3475">
        <v>3</v>
      </c>
      <c r="M3475">
        <v>0</v>
      </c>
      <c r="N3475">
        <v>2</v>
      </c>
      <c r="O3475">
        <v>1</v>
      </c>
      <c r="P3475">
        <v>0</v>
      </c>
      <c r="Q3475">
        <v>0</v>
      </c>
      <c r="S3475" t="str">
        <f>"20:33:24.078"</f>
        <v>20:33:24.078</v>
      </c>
      <c r="T3475" t="str">
        <f>"20:33:23.678"</f>
        <v>20:33:23.678</v>
      </c>
      <c r="U3475" t="str">
        <f t="shared" si="172"/>
        <v>AB01F4</v>
      </c>
      <c r="V3475">
        <v>0</v>
      </c>
      <c r="W3475">
        <v>0</v>
      </c>
      <c r="X3475">
        <v>2</v>
      </c>
      <c r="Z3475">
        <v>0</v>
      </c>
      <c r="AA3475">
        <v>9</v>
      </c>
      <c r="AB3475">
        <v>3</v>
      </c>
      <c r="AC3475">
        <v>0</v>
      </c>
      <c r="AD3475">
        <v>10</v>
      </c>
      <c r="AE3475">
        <v>0</v>
      </c>
      <c r="AF3475">
        <v>3</v>
      </c>
      <c r="AG3475">
        <v>2</v>
      </c>
      <c r="AH3475">
        <v>0</v>
      </c>
      <c r="AI3475" t="s">
        <v>1987</v>
      </c>
      <c r="AJ3475">
        <v>40.087159</v>
      </c>
      <c r="AK3475" t="s">
        <v>1988</v>
      </c>
      <c r="AL3475">
        <v>-92.970106999999999</v>
      </c>
      <c r="AM3475">
        <v>100</v>
      </c>
      <c r="AN3475">
        <v>1300</v>
      </c>
      <c r="AO3475" t="s">
        <v>118</v>
      </c>
      <c r="AP3475">
        <v>-113</v>
      </c>
      <c r="AQ3475">
        <v>63</v>
      </c>
      <c r="AR3475">
        <v>0</v>
      </c>
      <c r="AZ3475">
        <v>1200</v>
      </c>
      <c r="BA3475">
        <v>1</v>
      </c>
      <c r="BB3475" t="str">
        <f t="shared" si="170"/>
        <v xml:space="preserve">N8080G  </v>
      </c>
      <c r="BC3475">
        <v>1</v>
      </c>
      <c r="BE3475">
        <v>0</v>
      </c>
      <c r="BF3475">
        <v>0</v>
      </c>
      <c r="BG3475">
        <v>0</v>
      </c>
      <c r="BH3475">
        <v>1350</v>
      </c>
      <c r="BI3475">
        <v>1</v>
      </c>
      <c r="BJ3475">
        <v>1</v>
      </c>
      <c r="BK3475">
        <v>1</v>
      </c>
      <c r="BL3475">
        <v>0</v>
      </c>
      <c r="BO3475">
        <v>0</v>
      </c>
      <c r="BP3475">
        <v>0</v>
      </c>
      <c r="BW3475" t="str">
        <f>"20:33:24.085"</f>
        <v>20:33:24.085</v>
      </c>
      <c r="BZ3475">
        <v>0</v>
      </c>
      <c r="CA3475">
        <v>1600</v>
      </c>
      <c r="CB3475">
        <v>224</v>
      </c>
      <c r="CD3475">
        <v>1</v>
      </c>
      <c r="CE3475">
        <v>0</v>
      </c>
      <c r="CF3475">
        <v>0</v>
      </c>
      <c r="CG3475">
        <v>1</v>
      </c>
      <c r="CH3475">
        <v>0</v>
      </c>
      <c r="CI3475">
        <v>0</v>
      </c>
      <c r="CJ3475">
        <v>0</v>
      </c>
      <c r="CK3475">
        <v>2</v>
      </c>
      <c r="CL3475">
        <v>0</v>
      </c>
      <c r="CM3475">
        <v>2</v>
      </c>
      <c r="CN3475">
        <v>0</v>
      </c>
      <c r="CO3475">
        <v>6</v>
      </c>
      <c r="CP3475" t="s">
        <v>119</v>
      </c>
      <c r="CQ3475">
        <v>180</v>
      </c>
      <c r="CR3475">
        <v>3</v>
      </c>
      <c r="CW3475">
        <v>1167627</v>
      </c>
      <c r="CY3475">
        <v>1</v>
      </c>
      <c r="CZ3475">
        <v>0</v>
      </c>
      <c r="DA3475">
        <v>0</v>
      </c>
      <c r="DB3475">
        <v>0</v>
      </c>
      <c r="DC3475">
        <v>0</v>
      </c>
      <c r="DD3475">
        <v>0</v>
      </c>
      <c r="DE3475">
        <v>0</v>
      </c>
      <c r="DF3475">
        <v>0</v>
      </c>
      <c r="DG3475">
        <v>0</v>
      </c>
      <c r="DH3475">
        <v>0</v>
      </c>
      <c r="DI3475">
        <v>0</v>
      </c>
    </row>
    <row r="3476" spans="1:113" x14ac:dyDescent="0.3">
      <c r="A3476" t="str">
        <f>"02/08/2021 20:33:21.771"</f>
        <v>02/08/2021 20:33:21.771</v>
      </c>
      <c r="C3476" t="str">
        <f t="shared" si="173"/>
        <v>FFDFD7C0</v>
      </c>
      <c r="D3476" t="s">
        <v>124</v>
      </c>
      <c r="E3476">
        <v>12</v>
      </c>
      <c r="F3476">
        <v>1012</v>
      </c>
      <c r="G3476" t="s">
        <v>675</v>
      </c>
      <c r="J3476" t="s">
        <v>125</v>
      </c>
      <c r="K3476">
        <v>0</v>
      </c>
      <c r="L3476">
        <v>3</v>
      </c>
      <c r="M3476">
        <v>0</v>
      </c>
      <c r="N3476">
        <v>2</v>
      </c>
      <c r="O3476">
        <v>1</v>
      </c>
      <c r="P3476">
        <v>0</v>
      </c>
      <c r="Q3476">
        <v>0</v>
      </c>
      <c r="S3476" t="str">
        <f>"20:33:24.078"</f>
        <v>20:33:24.078</v>
      </c>
      <c r="T3476" t="str">
        <f>"20:33:23.678"</f>
        <v>20:33:23.678</v>
      </c>
      <c r="U3476" t="str">
        <f t="shared" si="172"/>
        <v>AB01F4</v>
      </c>
      <c r="V3476">
        <v>0</v>
      </c>
      <c r="W3476">
        <v>0</v>
      </c>
      <c r="X3476">
        <v>2</v>
      </c>
      <c r="Z3476">
        <v>0</v>
      </c>
      <c r="AA3476">
        <v>9</v>
      </c>
      <c r="AB3476">
        <v>3</v>
      </c>
      <c r="AC3476">
        <v>0</v>
      </c>
      <c r="AD3476">
        <v>10</v>
      </c>
      <c r="AE3476">
        <v>0</v>
      </c>
      <c r="AF3476">
        <v>3</v>
      </c>
      <c r="AG3476">
        <v>2</v>
      </c>
      <c r="AH3476">
        <v>0</v>
      </c>
      <c r="AI3476" t="s">
        <v>1987</v>
      </c>
      <c r="AJ3476">
        <v>40.087159</v>
      </c>
      <c r="AK3476" t="s">
        <v>1988</v>
      </c>
      <c r="AL3476">
        <v>-92.970106999999999</v>
      </c>
      <c r="AM3476">
        <v>100</v>
      </c>
      <c r="AN3476">
        <v>1300</v>
      </c>
      <c r="AO3476" t="s">
        <v>118</v>
      </c>
      <c r="AP3476">
        <v>-113</v>
      </c>
      <c r="AQ3476">
        <v>63</v>
      </c>
      <c r="AR3476">
        <v>0</v>
      </c>
      <c r="AZ3476">
        <v>1200</v>
      </c>
      <c r="BA3476">
        <v>1</v>
      </c>
      <c r="BB3476" t="str">
        <f t="shared" si="170"/>
        <v xml:space="preserve">N8080G  </v>
      </c>
      <c r="BC3476">
        <v>1</v>
      </c>
      <c r="BE3476">
        <v>0</v>
      </c>
      <c r="BF3476">
        <v>0</v>
      </c>
      <c r="BG3476">
        <v>0</v>
      </c>
      <c r="BH3476">
        <v>1350</v>
      </c>
      <c r="BI3476">
        <v>1</v>
      </c>
      <c r="BJ3476">
        <v>1</v>
      </c>
      <c r="BK3476">
        <v>1</v>
      </c>
      <c r="BL3476">
        <v>0</v>
      </c>
      <c r="BO3476">
        <v>0</v>
      </c>
      <c r="BP3476">
        <v>0</v>
      </c>
      <c r="BW3476" t="str">
        <f>"20:33:24.085"</f>
        <v>20:33:24.085</v>
      </c>
      <c r="BZ3476">
        <v>0</v>
      </c>
      <c r="CA3476">
        <v>1600</v>
      </c>
      <c r="CB3476">
        <v>224</v>
      </c>
      <c r="CD3476">
        <v>1</v>
      </c>
      <c r="CE3476">
        <v>0</v>
      </c>
      <c r="CF3476">
        <v>0</v>
      </c>
      <c r="CG3476">
        <v>1</v>
      </c>
      <c r="CH3476">
        <v>0</v>
      </c>
      <c r="CI3476">
        <v>0</v>
      </c>
      <c r="CJ3476">
        <v>0</v>
      </c>
      <c r="CK3476">
        <v>2</v>
      </c>
      <c r="CL3476">
        <v>0</v>
      </c>
      <c r="CM3476">
        <v>2</v>
      </c>
      <c r="CN3476">
        <v>0</v>
      </c>
      <c r="CO3476">
        <v>6</v>
      </c>
      <c r="CP3476" t="s">
        <v>119</v>
      </c>
      <c r="CQ3476">
        <v>180</v>
      </c>
      <c r="CR3476">
        <v>3</v>
      </c>
      <c r="CW3476">
        <v>1167627</v>
      </c>
      <c r="CY3476">
        <v>1</v>
      </c>
      <c r="CZ3476">
        <v>0</v>
      </c>
      <c r="DA3476">
        <v>1</v>
      </c>
      <c r="DB3476">
        <v>0</v>
      </c>
      <c r="DC3476">
        <v>0</v>
      </c>
      <c r="DD3476">
        <v>0</v>
      </c>
      <c r="DE3476">
        <v>0</v>
      </c>
      <c r="DF3476">
        <v>0</v>
      </c>
      <c r="DG3476">
        <v>0</v>
      </c>
      <c r="DH3476">
        <v>0</v>
      </c>
      <c r="DI3476">
        <v>0</v>
      </c>
    </row>
    <row r="3477" spans="1:113" x14ac:dyDescent="0.3">
      <c r="A3477" t="str">
        <f>"02/08/2021 20:33:21.771"</f>
        <v>02/08/2021 20:33:21.771</v>
      </c>
      <c r="C3477" t="str">
        <f t="shared" si="173"/>
        <v>FFDFD7C0</v>
      </c>
      <c r="D3477" t="s">
        <v>124</v>
      </c>
      <c r="E3477">
        <v>13</v>
      </c>
      <c r="F3477">
        <v>1013</v>
      </c>
      <c r="G3477" t="s">
        <v>114</v>
      </c>
      <c r="J3477" t="s">
        <v>125</v>
      </c>
      <c r="K3477">
        <v>0</v>
      </c>
      <c r="L3477">
        <v>3</v>
      </c>
      <c r="M3477">
        <v>0</v>
      </c>
      <c r="N3477">
        <v>2</v>
      </c>
      <c r="O3477">
        <v>1</v>
      </c>
      <c r="P3477">
        <v>0</v>
      </c>
      <c r="Q3477">
        <v>0</v>
      </c>
      <c r="S3477" t="str">
        <f>"20:33:24.078"</f>
        <v>20:33:24.078</v>
      </c>
      <c r="T3477" t="str">
        <f>"20:33:23.678"</f>
        <v>20:33:23.678</v>
      </c>
      <c r="U3477" t="str">
        <f t="shared" si="172"/>
        <v>AB01F4</v>
      </c>
      <c r="V3477">
        <v>0</v>
      </c>
      <c r="W3477">
        <v>0</v>
      </c>
      <c r="X3477">
        <v>2</v>
      </c>
      <c r="Z3477">
        <v>0</v>
      </c>
      <c r="AA3477">
        <v>9</v>
      </c>
      <c r="AB3477">
        <v>3</v>
      </c>
      <c r="AC3477">
        <v>0</v>
      </c>
      <c r="AD3477">
        <v>10</v>
      </c>
      <c r="AE3477">
        <v>0</v>
      </c>
      <c r="AF3477">
        <v>3</v>
      </c>
      <c r="AG3477">
        <v>2</v>
      </c>
      <c r="AH3477">
        <v>0</v>
      </c>
      <c r="AI3477" t="s">
        <v>1987</v>
      </c>
      <c r="AJ3477">
        <v>40.087159</v>
      </c>
      <c r="AK3477" t="s">
        <v>1988</v>
      </c>
      <c r="AL3477">
        <v>-92.970106999999999</v>
      </c>
      <c r="AM3477">
        <v>100</v>
      </c>
      <c r="AN3477">
        <v>1300</v>
      </c>
      <c r="AO3477" t="s">
        <v>118</v>
      </c>
      <c r="AP3477">
        <v>-113</v>
      </c>
      <c r="AQ3477">
        <v>63</v>
      </c>
      <c r="AR3477">
        <v>0</v>
      </c>
      <c r="AZ3477">
        <v>1200</v>
      </c>
      <c r="BA3477">
        <v>1</v>
      </c>
      <c r="BB3477" t="str">
        <f t="shared" si="170"/>
        <v xml:space="preserve">N8080G  </v>
      </c>
      <c r="BC3477">
        <v>1</v>
      </c>
      <c r="BE3477">
        <v>0</v>
      </c>
      <c r="BF3477">
        <v>0</v>
      </c>
      <c r="BG3477">
        <v>0</v>
      </c>
      <c r="BH3477">
        <v>1350</v>
      </c>
      <c r="BI3477">
        <v>1</v>
      </c>
      <c r="BJ3477">
        <v>1</v>
      </c>
      <c r="BK3477">
        <v>1</v>
      </c>
      <c r="BL3477">
        <v>0</v>
      </c>
      <c r="BO3477">
        <v>0</v>
      </c>
      <c r="BP3477">
        <v>0</v>
      </c>
      <c r="BW3477" t="str">
        <f>"20:33:24.085"</f>
        <v>20:33:24.085</v>
      </c>
      <c r="BZ3477">
        <v>0</v>
      </c>
      <c r="CA3477">
        <v>1600</v>
      </c>
      <c r="CB3477">
        <v>224</v>
      </c>
      <c r="CD3477">
        <v>1</v>
      </c>
      <c r="CE3477">
        <v>0</v>
      </c>
      <c r="CF3477">
        <v>0</v>
      </c>
      <c r="CG3477">
        <v>1</v>
      </c>
      <c r="CH3477">
        <v>0</v>
      </c>
      <c r="CI3477">
        <v>0</v>
      </c>
      <c r="CJ3477">
        <v>0</v>
      </c>
      <c r="CK3477">
        <v>2</v>
      </c>
      <c r="CL3477">
        <v>0</v>
      </c>
      <c r="CM3477">
        <v>2</v>
      </c>
      <c r="CN3477">
        <v>0</v>
      </c>
      <c r="CO3477">
        <v>6</v>
      </c>
      <c r="CP3477" t="s">
        <v>119</v>
      </c>
      <c r="CQ3477">
        <v>180</v>
      </c>
      <c r="CR3477">
        <v>3</v>
      </c>
      <c r="CW3477">
        <v>1167627</v>
      </c>
      <c r="CY3477">
        <v>1</v>
      </c>
      <c r="CZ3477">
        <v>0</v>
      </c>
      <c r="DA3477">
        <v>1</v>
      </c>
      <c r="DB3477">
        <v>0</v>
      </c>
      <c r="DC3477">
        <v>0</v>
      </c>
      <c r="DD3477">
        <v>0</v>
      </c>
      <c r="DE3477">
        <v>0</v>
      </c>
      <c r="DF3477">
        <v>0</v>
      </c>
      <c r="DG3477">
        <v>0</v>
      </c>
      <c r="DH3477">
        <v>0</v>
      </c>
      <c r="DI3477">
        <v>0</v>
      </c>
    </row>
    <row r="3478" spans="1:113" x14ac:dyDescent="0.3">
      <c r="A3478" t="str">
        <f>"02/08/2021 20:33:21.771"</f>
        <v>02/08/2021 20:33:21.771</v>
      </c>
      <c r="C3478" t="str">
        <f t="shared" si="173"/>
        <v>FFDFD7C0</v>
      </c>
      <c r="D3478" t="s">
        <v>124</v>
      </c>
      <c r="E3478">
        <v>11</v>
      </c>
      <c r="F3478">
        <v>1011</v>
      </c>
      <c r="G3478" t="s">
        <v>590</v>
      </c>
      <c r="J3478" t="s">
        <v>125</v>
      </c>
      <c r="K3478">
        <v>0</v>
      </c>
      <c r="L3478">
        <v>3</v>
      </c>
      <c r="M3478">
        <v>0</v>
      </c>
      <c r="N3478">
        <v>2</v>
      </c>
      <c r="O3478">
        <v>1</v>
      </c>
      <c r="P3478">
        <v>0</v>
      </c>
      <c r="Q3478">
        <v>0</v>
      </c>
      <c r="S3478" t="str">
        <f>"20:33:24.078"</f>
        <v>20:33:24.078</v>
      </c>
      <c r="T3478" t="str">
        <f>"20:33:23.678"</f>
        <v>20:33:23.678</v>
      </c>
      <c r="U3478" t="str">
        <f t="shared" si="172"/>
        <v>AB01F4</v>
      </c>
      <c r="V3478">
        <v>0</v>
      </c>
      <c r="W3478">
        <v>0</v>
      </c>
      <c r="X3478">
        <v>2</v>
      </c>
      <c r="Z3478">
        <v>0</v>
      </c>
      <c r="AA3478">
        <v>9</v>
      </c>
      <c r="AB3478">
        <v>3</v>
      </c>
      <c r="AC3478">
        <v>0</v>
      </c>
      <c r="AD3478">
        <v>10</v>
      </c>
      <c r="AE3478">
        <v>0</v>
      </c>
      <c r="AF3478">
        <v>3</v>
      </c>
      <c r="AG3478">
        <v>2</v>
      </c>
      <c r="AH3478">
        <v>0</v>
      </c>
      <c r="AI3478" t="s">
        <v>1987</v>
      </c>
      <c r="AJ3478">
        <v>40.087159</v>
      </c>
      <c r="AK3478" t="s">
        <v>1988</v>
      </c>
      <c r="AL3478">
        <v>-92.970106999999999</v>
      </c>
      <c r="AM3478">
        <v>100</v>
      </c>
      <c r="AN3478">
        <v>1300</v>
      </c>
      <c r="AO3478" t="s">
        <v>118</v>
      </c>
      <c r="AP3478">
        <v>-113</v>
      </c>
      <c r="AQ3478">
        <v>63</v>
      </c>
      <c r="AR3478">
        <v>0</v>
      </c>
      <c r="AZ3478">
        <v>1200</v>
      </c>
      <c r="BA3478">
        <v>1</v>
      </c>
      <c r="BB3478" t="str">
        <f t="shared" si="170"/>
        <v xml:space="preserve">N8080G  </v>
      </c>
      <c r="BC3478">
        <v>1</v>
      </c>
      <c r="BE3478">
        <v>0</v>
      </c>
      <c r="BF3478">
        <v>0</v>
      </c>
      <c r="BG3478">
        <v>0</v>
      </c>
      <c r="BH3478">
        <v>1350</v>
      </c>
      <c r="BI3478">
        <v>1</v>
      </c>
      <c r="BJ3478">
        <v>1</v>
      </c>
      <c r="BK3478">
        <v>1</v>
      </c>
      <c r="BL3478">
        <v>0</v>
      </c>
      <c r="BO3478">
        <v>0</v>
      </c>
      <c r="BP3478">
        <v>0</v>
      </c>
      <c r="BW3478" t="str">
        <f>"20:33:24.085"</f>
        <v>20:33:24.085</v>
      </c>
      <c r="BZ3478">
        <v>0</v>
      </c>
      <c r="CA3478">
        <v>1600</v>
      </c>
      <c r="CB3478">
        <v>224</v>
      </c>
      <c r="CD3478">
        <v>1</v>
      </c>
      <c r="CE3478">
        <v>0</v>
      </c>
      <c r="CF3478">
        <v>0</v>
      </c>
      <c r="CG3478">
        <v>1</v>
      </c>
      <c r="CH3478">
        <v>0</v>
      </c>
      <c r="CI3478">
        <v>0</v>
      </c>
      <c r="CJ3478">
        <v>0</v>
      </c>
      <c r="CK3478">
        <v>2</v>
      </c>
      <c r="CL3478">
        <v>0</v>
      </c>
      <c r="CM3478">
        <v>2</v>
      </c>
      <c r="CN3478">
        <v>0</v>
      </c>
      <c r="CO3478">
        <v>6</v>
      </c>
      <c r="CP3478" t="s">
        <v>119</v>
      </c>
      <c r="CQ3478">
        <v>180</v>
      </c>
      <c r="CR3478">
        <v>3</v>
      </c>
      <c r="CW3478">
        <v>1167627</v>
      </c>
      <c r="CY3478">
        <v>1</v>
      </c>
      <c r="CZ3478">
        <v>0</v>
      </c>
      <c r="DA3478">
        <v>1</v>
      </c>
      <c r="DB3478">
        <v>0</v>
      </c>
      <c r="DC3478">
        <v>0</v>
      </c>
      <c r="DD3478">
        <v>0</v>
      </c>
      <c r="DE3478">
        <v>0</v>
      </c>
      <c r="DF3478">
        <v>0</v>
      </c>
      <c r="DG3478">
        <v>0</v>
      </c>
      <c r="DH3478">
        <v>0</v>
      </c>
      <c r="DI3478">
        <v>0</v>
      </c>
    </row>
    <row r="3479" spans="1:113" x14ac:dyDescent="0.3">
      <c r="A3479" t="str">
        <f>"02/08/2021 20:33:22.828"</f>
        <v>02/08/2021 20:33:22.828</v>
      </c>
      <c r="C3479" t="str">
        <f t="shared" si="173"/>
        <v>FFDFD7C0</v>
      </c>
      <c r="D3479" t="s">
        <v>124</v>
      </c>
      <c r="E3479">
        <v>12</v>
      </c>
      <c r="F3479">
        <v>1012</v>
      </c>
      <c r="G3479" t="s">
        <v>675</v>
      </c>
      <c r="J3479" t="s">
        <v>125</v>
      </c>
      <c r="K3479">
        <v>0</v>
      </c>
      <c r="L3479">
        <v>3</v>
      </c>
      <c r="M3479">
        <v>0</v>
      </c>
      <c r="N3479">
        <v>2</v>
      </c>
      <c r="O3479">
        <v>1</v>
      </c>
      <c r="P3479">
        <v>0</v>
      </c>
      <c r="Q3479">
        <v>0</v>
      </c>
      <c r="S3479" t="str">
        <f>"20:33:25.148"</f>
        <v>20:33:25.148</v>
      </c>
      <c r="T3479" t="str">
        <f>"20:33:24.748"</f>
        <v>20:33:24.748</v>
      </c>
      <c r="U3479" t="str">
        <f t="shared" si="172"/>
        <v>AB01F4</v>
      </c>
      <c r="V3479">
        <v>0</v>
      </c>
      <c r="W3479">
        <v>0</v>
      </c>
      <c r="X3479">
        <v>2</v>
      </c>
      <c r="Z3479">
        <v>0</v>
      </c>
      <c r="AA3479">
        <v>9</v>
      </c>
      <c r="AB3479">
        <v>3</v>
      </c>
      <c r="AC3479">
        <v>0</v>
      </c>
      <c r="AD3479">
        <v>10</v>
      </c>
      <c r="AE3479">
        <v>0</v>
      </c>
      <c r="AF3479">
        <v>3</v>
      </c>
      <c r="AG3479">
        <v>2</v>
      </c>
      <c r="AH3479">
        <v>0</v>
      </c>
      <c r="AI3479" t="s">
        <v>1989</v>
      </c>
      <c r="AJ3479">
        <v>40.087459000000003</v>
      </c>
      <c r="AK3479" t="s">
        <v>1990</v>
      </c>
      <c r="AL3479">
        <v>-92.970815000000002</v>
      </c>
      <c r="AM3479">
        <v>100</v>
      </c>
      <c r="AN3479">
        <v>1300</v>
      </c>
      <c r="AO3479" t="s">
        <v>118</v>
      </c>
      <c r="AP3479">
        <v>-113</v>
      </c>
      <c r="AQ3479">
        <v>63</v>
      </c>
      <c r="AR3479">
        <v>-64</v>
      </c>
      <c r="AZ3479">
        <v>1200</v>
      </c>
      <c r="BA3479">
        <v>1</v>
      </c>
      <c r="BB3479" t="str">
        <f t="shared" si="170"/>
        <v xml:space="preserve">N8080G  </v>
      </c>
      <c r="BC3479">
        <v>1</v>
      </c>
      <c r="BE3479">
        <v>0</v>
      </c>
      <c r="BF3479">
        <v>0</v>
      </c>
      <c r="BG3479">
        <v>0</v>
      </c>
      <c r="BH3479">
        <v>1350</v>
      </c>
      <c r="BI3479">
        <v>1</v>
      </c>
      <c r="BJ3479">
        <v>1</v>
      </c>
      <c r="BK3479">
        <v>1</v>
      </c>
      <c r="BL3479">
        <v>0</v>
      </c>
      <c r="BO3479">
        <v>0</v>
      </c>
      <c r="BP3479">
        <v>0</v>
      </c>
      <c r="BW3479" t="str">
        <f>"20:33:25.152"</f>
        <v>20:33:25.152</v>
      </c>
      <c r="BZ3479">
        <v>0</v>
      </c>
      <c r="CA3479">
        <v>1600</v>
      </c>
      <c r="CB3479">
        <v>224</v>
      </c>
      <c r="CD3479">
        <v>1</v>
      </c>
      <c r="CE3479">
        <v>0</v>
      </c>
      <c r="CF3479">
        <v>0</v>
      </c>
      <c r="CG3479">
        <v>1</v>
      </c>
      <c r="CH3479">
        <v>0</v>
      </c>
      <c r="CI3479">
        <v>0</v>
      </c>
      <c r="CJ3479">
        <v>0</v>
      </c>
      <c r="CK3479">
        <v>2</v>
      </c>
      <c r="CL3479">
        <v>0</v>
      </c>
      <c r="CM3479">
        <v>2</v>
      </c>
      <c r="CN3479">
        <v>0</v>
      </c>
      <c r="CO3479">
        <v>7</v>
      </c>
      <c r="CP3479" t="s">
        <v>119</v>
      </c>
      <c r="CQ3479">
        <v>180</v>
      </c>
      <c r="CR3479">
        <v>3</v>
      </c>
      <c r="CW3479">
        <v>1168464</v>
      </c>
      <c r="CY3479">
        <v>1</v>
      </c>
      <c r="CZ3479">
        <v>0</v>
      </c>
      <c r="DA3479">
        <v>0</v>
      </c>
      <c r="DB3479">
        <v>0</v>
      </c>
      <c r="DC3479">
        <v>0</v>
      </c>
      <c r="DD3479">
        <v>0</v>
      </c>
      <c r="DE3479">
        <v>0</v>
      </c>
      <c r="DF3479">
        <v>0</v>
      </c>
      <c r="DG3479">
        <v>0</v>
      </c>
      <c r="DH3479">
        <v>0</v>
      </c>
      <c r="DI3479">
        <v>0</v>
      </c>
    </row>
    <row r="3480" spans="1:113" x14ac:dyDescent="0.3">
      <c r="A3480" t="str">
        <f>"02/08/2021 20:33:22.828"</f>
        <v>02/08/2021 20:33:22.828</v>
      </c>
      <c r="C3480" t="str">
        <f t="shared" si="173"/>
        <v>FFDFD7C0</v>
      </c>
      <c r="D3480" t="s">
        <v>113</v>
      </c>
      <c r="E3480">
        <v>6</v>
      </c>
      <c r="H3480">
        <v>165</v>
      </c>
      <c r="I3480" t="s">
        <v>114</v>
      </c>
      <c r="J3480" t="s">
        <v>115</v>
      </c>
      <c r="K3480">
        <v>0</v>
      </c>
      <c r="L3480">
        <v>3</v>
      </c>
      <c r="M3480">
        <v>0</v>
      </c>
      <c r="N3480">
        <v>2</v>
      </c>
      <c r="O3480">
        <v>1</v>
      </c>
      <c r="P3480">
        <v>0</v>
      </c>
      <c r="Q3480">
        <v>0</v>
      </c>
      <c r="S3480" t="str">
        <f>"20:33:25.148"</f>
        <v>20:33:25.148</v>
      </c>
      <c r="T3480" t="str">
        <f>"20:33:24.748"</f>
        <v>20:33:24.748</v>
      </c>
      <c r="U3480" t="str">
        <f t="shared" si="172"/>
        <v>AB01F4</v>
      </c>
      <c r="V3480">
        <v>0</v>
      </c>
      <c r="W3480">
        <v>0</v>
      </c>
      <c r="X3480">
        <v>2</v>
      </c>
      <c r="Z3480">
        <v>0</v>
      </c>
      <c r="AA3480">
        <v>9</v>
      </c>
      <c r="AB3480">
        <v>3</v>
      </c>
      <c r="AC3480">
        <v>0</v>
      </c>
      <c r="AD3480">
        <v>10</v>
      </c>
      <c r="AE3480">
        <v>0</v>
      </c>
      <c r="AF3480">
        <v>3</v>
      </c>
      <c r="AG3480">
        <v>2</v>
      </c>
      <c r="AH3480">
        <v>0</v>
      </c>
      <c r="AI3480" t="s">
        <v>1989</v>
      </c>
      <c r="AJ3480">
        <v>40.087459000000003</v>
      </c>
      <c r="AK3480" t="s">
        <v>1990</v>
      </c>
      <c r="AL3480">
        <v>-92.970815000000002</v>
      </c>
      <c r="AM3480">
        <v>100</v>
      </c>
      <c r="AN3480">
        <v>1300</v>
      </c>
      <c r="AO3480" t="s">
        <v>118</v>
      </c>
      <c r="AP3480">
        <v>-113</v>
      </c>
      <c r="AQ3480">
        <v>63</v>
      </c>
      <c r="AR3480">
        <v>-64</v>
      </c>
      <c r="AZ3480">
        <v>1200</v>
      </c>
      <c r="BA3480">
        <v>1</v>
      </c>
      <c r="BB3480" t="str">
        <f t="shared" si="170"/>
        <v xml:space="preserve">N8080G  </v>
      </c>
      <c r="BC3480">
        <v>1</v>
      </c>
      <c r="BE3480">
        <v>0</v>
      </c>
      <c r="BF3480">
        <v>0</v>
      </c>
      <c r="BG3480">
        <v>0</v>
      </c>
      <c r="BH3480">
        <v>1350</v>
      </c>
      <c r="BI3480">
        <v>1</v>
      </c>
      <c r="BJ3480">
        <v>1</v>
      </c>
      <c r="BK3480">
        <v>1</v>
      </c>
      <c r="BL3480">
        <v>0</v>
      </c>
      <c r="BO3480">
        <v>0</v>
      </c>
      <c r="BP3480">
        <v>0</v>
      </c>
      <c r="BW3480" t="str">
        <f>"20:33:25.152"</f>
        <v>20:33:25.152</v>
      </c>
      <c r="BZ3480">
        <v>0</v>
      </c>
      <c r="CA3480">
        <v>1600</v>
      </c>
      <c r="CB3480">
        <v>224</v>
      </c>
      <c r="CD3480">
        <v>1</v>
      </c>
      <c r="CE3480">
        <v>0</v>
      </c>
      <c r="CF3480">
        <v>0</v>
      </c>
      <c r="CG3480">
        <v>1</v>
      </c>
      <c r="CH3480">
        <v>0</v>
      </c>
      <c r="CI3480">
        <v>0</v>
      </c>
      <c r="CJ3480">
        <v>0</v>
      </c>
      <c r="CK3480">
        <v>2</v>
      </c>
      <c r="CL3480">
        <v>0</v>
      </c>
      <c r="CM3480">
        <v>2</v>
      </c>
      <c r="CN3480">
        <v>0</v>
      </c>
      <c r="CO3480">
        <v>7</v>
      </c>
      <c r="CP3480" t="s">
        <v>119</v>
      </c>
      <c r="CQ3480">
        <v>180</v>
      </c>
      <c r="CR3480">
        <v>3</v>
      </c>
      <c r="CW3480">
        <v>1168464</v>
      </c>
      <c r="CY3480">
        <v>1</v>
      </c>
      <c r="CZ3480">
        <v>0</v>
      </c>
      <c r="DA3480">
        <v>1</v>
      </c>
      <c r="DB3480">
        <v>0</v>
      </c>
      <c r="DC3480">
        <v>0</v>
      </c>
      <c r="DD3480">
        <v>0</v>
      </c>
      <c r="DE3480">
        <v>0</v>
      </c>
      <c r="DF3480">
        <v>0</v>
      </c>
      <c r="DG3480">
        <v>0</v>
      </c>
      <c r="DH3480">
        <v>0</v>
      </c>
      <c r="DI3480">
        <v>0</v>
      </c>
    </row>
    <row r="3481" spans="1:113" x14ac:dyDescent="0.3">
      <c r="A3481" t="str">
        <f>"02/08/2021 20:33:22.828"</f>
        <v>02/08/2021 20:33:22.828</v>
      </c>
      <c r="C3481" t="str">
        <f t="shared" si="173"/>
        <v>FFDFD7C0</v>
      </c>
      <c r="D3481" t="s">
        <v>124</v>
      </c>
      <c r="E3481">
        <v>13</v>
      </c>
      <c r="F3481">
        <v>1013</v>
      </c>
      <c r="G3481" t="s">
        <v>114</v>
      </c>
      <c r="J3481" t="s">
        <v>125</v>
      </c>
      <c r="K3481">
        <v>0</v>
      </c>
      <c r="L3481">
        <v>3</v>
      </c>
      <c r="M3481">
        <v>0</v>
      </c>
      <c r="N3481">
        <v>2</v>
      </c>
      <c r="O3481">
        <v>1</v>
      </c>
      <c r="P3481">
        <v>0</v>
      </c>
      <c r="Q3481">
        <v>0</v>
      </c>
      <c r="S3481" t="str">
        <f>"20:33:25.148"</f>
        <v>20:33:25.148</v>
      </c>
      <c r="T3481" t="str">
        <f>"20:33:24.748"</f>
        <v>20:33:24.748</v>
      </c>
      <c r="U3481" t="str">
        <f t="shared" si="172"/>
        <v>AB01F4</v>
      </c>
      <c r="V3481">
        <v>0</v>
      </c>
      <c r="W3481">
        <v>0</v>
      </c>
      <c r="X3481">
        <v>2</v>
      </c>
      <c r="Z3481">
        <v>0</v>
      </c>
      <c r="AA3481">
        <v>9</v>
      </c>
      <c r="AB3481">
        <v>3</v>
      </c>
      <c r="AC3481">
        <v>0</v>
      </c>
      <c r="AD3481">
        <v>10</v>
      </c>
      <c r="AE3481">
        <v>0</v>
      </c>
      <c r="AF3481">
        <v>3</v>
      </c>
      <c r="AG3481">
        <v>2</v>
      </c>
      <c r="AH3481">
        <v>0</v>
      </c>
      <c r="AI3481" t="s">
        <v>1989</v>
      </c>
      <c r="AJ3481">
        <v>40.087459000000003</v>
      </c>
      <c r="AK3481" t="s">
        <v>1990</v>
      </c>
      <c r="AL3481">
        <v>-92.970815000000002</v>
      </c>
      <c r="AM3481">
        <v>100</v>
      </c>
      <c r="AN3481">
        <v>1300</v>
      </c>
      <c r="AO3481" t="s">
        <v>118</v>
      </c>
      <c r="AP3481">
        <v>-113</v>
      </c>
      <c r="AQ3481">
        <v>63</v>
      </c>
      <c r="AR3481">
        <v>-64</v>
      </c>
      <c r="AZ3481">
        <v>1200</v>
      </c>
      <c r="BA3481">
        <v>1</v>
      </c>
      <c r="BB3481" t="str">
        <f t="shared" si="170"/>
        <v xml:space="preserve">N8080G  </v>
      </c>
      <c r="BC3481">
        <v>1</v>
      </c>
      <c r="BE3481">
        <v>0</v>
      </c>
      <c r="BF3481">
        <v>0</v>
      </c>
      <c r="BG3481">
        <v>0</v>
      </c>
      <c r="BH3481">
        <v>1350</v>
      </c>
      <c r="BI3481">
        <v>1</v>
      </c>
      <c r="BJ3481">
        <v>1</v>
      </c>
      <c r="BK3481">
        <v>1</v>
      </c>
      <c r="BL3481">
        <v>0</v>
      </c>
      <c r="BO3481">
        <v>0</v>
      </c>
      <c r="BP3481">
        <v>0</v>
      </c>
      <c r="BW3481" t="str">
        <f>"20:33:25.152"</f>
        <v>20:33:25.152</v>
      </c>
      <c r="BZ3481">
        <v>0</v>
      </c>
      <c r="CA3481">
        <v>1600</v>
      </c>
      <c r="CB3481">
        <v>224</v>
      </c>
      <c r="CD3481">
        <v>1</v>
      </c>
      <c r="CE3481">
        <v>0</v>
      </c>
      <c r="CF3481">
        <v>0</v>
      </c>
      <c r="CG3481">
        <v>1</v>
      </c>
      <c r="CH3481">
        <v>0</v>
      </c>
      <c r="CI3481">
        <v>0</v>
      </c>
      <c r="CJ3481">
        <v>0</v>
      </c>
      <c r="CK3481">
        <v>2</v>
      </c>
      <c r="CL3481">
        <v>0</v>
      </c>
      <c r="CM3481">
        <v>2</v>
      </c>
      <c r="CN3481">
        <v>0</v>
      </c>
      <c r="CO3481">
        <v>7</v>
      </c>
      <c r="CP3481" t="s">
        <v>119</v>
      </c>
      <c r="CQ3481">
        <v>180</v>
      </c>
      <c r="CR3481">
        <v>3</v>
      </c>
      <c r="CW3481">
        <v>1168464</v>
      </c>
      <c r="CY3481">
        <v>1</v>
      </c>
      <c r="CZ3481">
        <v>0</v>
      </c>
      <c r="DA3481">
        <v>1</v>
      </c>
      <c r="DB3481">
        <v>0</v>
      </c>
      <c r="DC3481">
        <v>0</v>
      </c>
      <c r="DD3481">
        <v>0</v>
      </c>
      <c r="DE3481">
        <v>0</v>
      </c>
      <c r="DF3481">
        <v>0</v>
      </c>
      <c r="DG3481">
        <v>0</v>
      </c>
      <c r="DH3481">
        <v>0</v>
      </c>
      <c r="DI3481">
        <v>0</v>
      </c>
    </row>
    <row r="3482" spans="1:113" x14ac:dyDescent="0.3">
      <c r="A3482" t="str">
        <f>"02/08/2021 20:33:22.828"</f>
        <v>02/08/2021 20:33:22.828</v>
      </c>
      <c r="C3482" t="str">
        <f t="shared" si="173"/>
        <v>FFDFD7C0</v>
      </c>
      <c r="D3482" t="s">
        <v>124</v>
      </c>
      <c r="E3482">
        <v>11</v>
      </c>
      <c r="F3482">
        <v>1011</v>
      </c>
      <c r="G3482" t="s">
        <v>590</v>
      </c>
      <c r="J3482" t="s">
        <v>125</v>
      </c>
      <c r="K3482">
        <v>0</v>
      </c>
      <c r="L3482">
        <v>3</v>
      </c>
      <c r="M3482">
        <v>0</v>
      </c>
      <c r="N3482">
        <v>2</v>
      </c>
      <c r="O3482">
        <v>1</v>
      </c>
      <c r="P3482">
        <v>0</v>
      </c>
      <c r="Q3482">
        <v>0</v>
      </c>
      <c r="S3482" t="str">
        <f>"20:33:25.148"</f>
        <v>20:33:25.148</v>
      </c>
      <c r="T3482" t="str">
        <f>"20:33:24.748"</f>
        <v>20:33:24.748</v>
      </c>
      <c r="U3482" t="str">
        <f t="shared" si="172"/>
        <v>AB01F4</v>
      </c>
      <c r="V3482">
        <v>0</v>
      </c>
      <c r="W3482">
        <v>0</v>
      </c>
      <c r="X3482">
        <v>2</v>
      </c>
      <c r="Z3482">
        <v>0</v>
      </c>
      <c r="AA3482">
        <v>9</v>
      </c>
      <c r="AB3482">
        <v>3</v>
      </c>
      <c r="AC3482">
        <v>0</v>
      </c>
      <c r="AD3482">
        <v>10</v>
      </c>
      <c r="AE3482">
        <v>0</v>
      </c>
      <c r="AF3482">
        <v>3</v>
      </c>
      <c r="AG3482">
        <v>2</v>
      </c>
      <c r="AH3482">
        <v>0</v>
      </c>
      <c r="AI3482" t="s">
        <v>1989</v>
      </c>
      <c r="AJ3482">
        <v>40.087459000000003</v>
      </c>
      <c r="AK3482" t="s">
        <v>1990</v>
      </c>
      <c r="AL3482">
        <v>-92.970815000000002</v>
      </c>
      <c r="AM3482">
        <v>100</v>
      </c>
      <c r="AN3482">
        <v>1300</v>
      </c>
      <c r="AO3482" t="s">
        <v>118</v>
      </c>
      <c r="AP3482">
        <v>-113</v>
      </c>
      <c r="AQ3482">
        <v>63</v>
      </c>
      <c r="AR3482">
        <v>-64</v>
      </c>
      <c r="AZ3482">
        <v>1200</v>
      </c>
      <c r="BA3482">
        <v>1</v>
      </c>
      <c r="BB3482" t="str">
        <f t="shared" si="170"/>
        <v xml:space="preserve">N8080G  </v>
      </c>
      <c r="BC3482">
        <v>1</v>
      </c>
      <c r="BE3482">
        <v>0</v>
      </c>
      <c r="BF3482">
        <v>0</v>
      </c>
      <c r="BG3482">
        <v>0</v>
      </c>
      <c r="BH3482">
        <v>1350</v>
      </c>
      <c r="BI3482">
        <v>1</v>
      </c>
      <c r="BJ3482">
        <v>1</v>
      </c>
      <c r="BK3482">
        <v>1</v>
      </c>
      <c r="BL3482">
        <v>0</v>
      </c>
      <c r="BO3482">
        <v>0</v>
      </c>
      <c r="BP3482">
        <v>0</v>
      </c>
      <c r="BW3482" t="str">
        <f>"20:33:25.152"</f>
        <v>20:33:25.152</v>
      </c>
      <c r="BZ3482">
        <v>0</v>
      </c>
      <c r="CA3482">
        <v>1600</v>
      </c>
      <c r="CB3482">
        <v>224</v>
      </c>
      <c r="CD3482">
        <v>1</v>
      </c>
      <c r="CE3482">
        <v>0</v>
      </c>
      <c r="CF3482">
        <v>0</v>
      </c>
      <c r="CG3482">
        <v>1</v>
      </c>
      <c r="CH3482">
        <v>0</v>
      </c>
      <c r="CI3482">
        <v>0</v>
      </c>
      <c r="CJ3482">
        <v>0</v>
      </c>
      <c r="CK3482">
        <v>2</v>
      </c>
      <c r="CL3482">
        <v>0</v>
      </c>
      <c r="CM3482">
        <v>2</v>
      </c>
      <c r="CN3482">
        <v>0</v>
      </c>
      <c r="CO3482">
        <v>7</v>
      </c>
      <c r="CP3482" t="s">
        <v>119</v>
      </c>
      <c r="CQ3482">
        <v>180</v>
      </c>
      <c r="CR3482">
        <v>3</v>
      </c>
      <c r="CW3482">
        <v>1168464</v>
      </c>
      <c r="CY3482">
        <v>1</v>
      </c>
      <c r="CZ3482">
        <v>0</v>
      </c>
      <c r="DA3482">
        <v>1</v>
      </c>
      <c r="DB3482">
        <v>0</v>
      </c>
      <c r="DC3482">
        <v>0</v>
      </c>
      <c r="DD3482">
        <v>0</v>
      </c>
      <c r="DE3482">
        <v>0</v>
      </c>
      <c r="DF3482">
        <v>0</v>
      </c>
      <c r="DG3482">
        <v>0</v>
      </c>
      <c r="DH3482">
        <v>0</v>
      </c>
      <c r="DI3482">
        <v>0</v>
      </c>
    </row>
    <row r="3483" spans="1:113" x14ac:dyDescent="0.3">
      <c r="A3483" t="str">
        <f>"02/08/2021 20:33:24.471"</f>
        <v>02/08/2021 20:33:24.471</v>
      </c>
      <c r="C3483" t="str">
        <f t="shared" si="173"/>
        <v>FFDFD7C0</v>
      </c>
      <c r="D3483" t="s">
        <v>124</v>
      </c>
      <c r="E3483">
        <v>11</v>
      </c>
      <c r="F3483">
        <v>1011</v>
      </c>
      <c r="G3483" t="s">
        <v>590</v>
      </c>
      <c r="J3483" t="s">
        <v>125</v>
      </c>
      <c r="K3483">
        <v>0</v>
      </c>
      <c r="L3483">
        <v>3</v>
      </c>
      <c r="M3483">
        <v>0</v>
      </c>
      <c r="N3483">
        <v>2</v>
      </c>
      <c r="O3483">
        <v>1</v>
      </c>
      <c r="P3483">
        <v>0</v>
      </c>
      <c r="Q3483">
        <v>0</v>
      </c>
      <c r="S3483" t="str">
        <f>"20:33:26.828"</f>
        <v>20:33:26.828</v>
      </c>
      <c r="T3483" t="str">
        <f>"20:33:26.428"</f>
        <v>20:33:26.428</v>
      </c>
      <c r="U3483" t="str">
        <f t="shared" si="172"/>
        <v>AB01F4</v>
      </c>
      <c r="V3483">
        <v>0</v>
      </c>
      <c r="W3483">
        <v>0</v>
      </c>
      <c r="X3483">
        <v>2</v>
      </c>
      <c r="Z3483">
        <v>0</v>
      </c>
      <c r="AA3483">
        <v>9</v>
      </c>
      <c r="AB3483">
        <v>3</v>
      </c>
      <c r="AC3483">
        <v>0</v>
      </c>
      <c r="AD3483">
        <v>10</v>
      </c>
      <c r="AE3483">
        <v>0</v>
      </c>
      <c r="AF3483">
        <v>3</v>
      </c>
      <c r="AG3483">
        <v>2</v>
      </c>
      <c r="AH3483">
        <v>0</v>
      </c>
      <c r="AI3483" t="s">
        <v>1991</v>
      </c>
      <c r="AJ3483">
        <v>40.087952999999999</v>
      </c>
      <c r="AK3483" t="s">
        <v>1992</v>
      </c>
      <c r="AL3483">
        <v>-92.971995000000007</v>
      </c>
      <c r="AM3483">
        <v>100</v>
      </c>
      <c r="AN3483">
        <v>1300</v>
      </c>
      <c r="AO3483" t="s">
        <v>118</v>
      </c>
      <c r="AP3483">
        <v>-113</v>
      </c>
      <c r="AQ3483">
        <v>63</v>
      </c>
      <c r="AR3483">
        <v>-64</v>
      </c>
      <c r="AZ3483">
        <v>1200</v>
      </c>
      <c r="BA3483">
        <v>1</v>
      </c>
      <c r="BB3483" t="str">
        <f t="shared" si="170"/>
        <v xml:space="preserve">N8080G  </v>
      </c>
      <c r="BC3483">
        <v>1</v>
      </c>
      <c r="BE3483">
        <v>0</v>
      </c>
      <c r="BF3483">
        <v>0</v>
      </c>
      <c r="BG3483">
        <v>0</v>
      </c>
      <c r="BH3483">
        <v>1350</v>
      </c>
      <c r="BI3483">
        <v>1</v>
      </c>
      <c r="BJ3483">
        <v>1</v>
      </c>
      <c r="BK3483">
        <v>1</v>
      </c>
      <c r="BL3483">
        <v>0</v>
      </c>
      <c r="BO3483">
        <v>0</v>
      </c>
      <c r="BP3483">
        <v>0</v>
      </c>
      <c r="BW3483" t="str">
        <f>"20:33:26.831"</f>
        <v>20:33:26.831</v>
      </c>
      <c r="BZ3483">
        <v>0</v>
      </c>
      <c r="CA3483">
        <v>1600</v>
      </c>
      <c r="CB3483">
        <v>224</v>
      </c>
      <c r="CD3483">
        <v>1</v>
      </c>
      <c r="CE3483">
        <v>0</v>
      </c>
      <c r="CF3483">
        <v>0</v>
      </c>
      <c r="CG3483">
        <v>1</v>
      </c>
      <c r="CH3483">
        <v>0</v>
      </c>
      <c r="CI3483">
        <v>0</v>
      </c>
      <c r="CJ3483">
        <v>0</v>
      </c>
      <c r="CK3483">
        <v>2</v>
      </c>
      <c r="CL3483">
        <v>0</v>
      </c>
      <c r="CM3483">
        <v>2</v>
      </c>
      <c r="CN3483">
        <v>0</v>
      </c>
      <c r="CO3483">
        <v>7</v>
      </c>
      <c r="CP3483" t="s">
        <v>119</v>
      </c>
      <c r="CQ3483">
        <v>180</v>
      </c>
      <c r="CR3483">
        <v>3</v>
      </c>
      <c r="CW3483">
        <v>1169633</v>
      </c>
      <c r="CY3483">
        <v>1</v>
      </c>
      <c r="CZ3483">
        <v>0</v>
      </c>
      <c r="DA3483">
        <v>0</v>
      </c>
      <c r="DB3483">
        <v>0</v>
      </c>
      <c r="DC3483">
        <v>0</v>
      </c>
      <c r="DD3483">
        <v>0</v>
      </c>
      <c r="DE3483">
        <v>0</v>
      </c>
      <c r="DF3483">
        <v>0</v>
      </c>
      <c r="DG3483">
        <v>0</v>
      </c>
      <c r="DH3483">
        <v>0</v>
      </c>
      <c r="DI3483">
        <v>0</v>
      </c>
    </row>
    <row r="3484" spans="1:113" x14ac:dyDescent="0.3">
      <c r="A3484" t="str">
        <f>"02/08/2021 20:33:24.471"</f>
        <v>02/08/2021 20:33:24.471</v>
      </c>
      <c r="C3484" t="str">
        <f t="shared" si="173"/>
        <v>FFDFD7C0</v>
      </c>
      <c r="D3484" t="s">
        <v>124</v>
      </c>
      <c r="E3484">
        <v>12</v>
      </c>
      <c r="F3484">
        <v>1012</v>
      </c>
      <c r="G3484" t="s">
        <v>675</v>
      </c>
      <c r="J3484" t="s">
        <v>125</v>
      </c>
      <c r="K3484">
        <v>0</v>
      </c>
      <c r="L3484">
        <v>3</v>
      </c>
      <c r="M3484">
        <v>0</v>
      </c>
      <c r="N3484">
        <v>2</v>
      </c>
      <c r="O3484">
        <v>1</v>
      </c>
      <c r="P3484">
        <v>0</v>
      </c>
      <c r="Q3484">
        <v>0</v>
      </c>
      <c r="S3484" t="str">
        <f>"20:33:26.828"</f>
        <v>20:33:26.828</v>
      </c>
      <c r="T3484" t="str">
        <f>"20:33:26.428"</f>
        <v>20:33:26.428</v>
      </c>
      <c r="U3484" t="str">
        <f t="shared" si="172"/>
        <v>AB01F4</v>
      </c>
      <c r="V3484">
        <v>0</v>
      </c>
      <c r="W3484">
        <v>0</v>
      </c>
      <c r="X3484">
        <v>2</v>
      </c>
      <c r="Z3484">
        <v>0</v>
      </c>
      <c r="AA3484">
        <v>9</v>
      </c>
      <c r="AB3484">
        <v>3</v>
      </c>
      <c r="AC3484">
        <v>0</v>
      </c>
      <c r="AD3484">
        <v>10</v>
      </c>
      <c r="AE3484">
        <v>0</v>
      </c>
      <c r="AF3484">
        <v>3</v>
      </c>
      <c r="AG3484">
        <v>2</v>
      </c>
      <c r="AH3484">
        <v>0</v>
      </c>
      <c r="AI3484" t="s">
        <v>1991</v>
      </c>
      <c r="AJ3484">
        <v>40.087952999999999</v>
      </c>
      <c r="AK3484" t="s">
        <v>1992</v>
      </c>
      <c r="AL3484">
        <v>-92.971995000000007</v>
      </c>
      <c r="AM3484">
        <v>100</v>
      </c>
      <c r="AN3484">
        <v>1300</v>
      </c>
      <c r="AO3484" t="s">
        <v>118</v>
      </c>
      <c r="AP3484">
        <v>-113</v>
      </c>
      <c r="AQ3484">
        <v>63</v>
      </c>
      <c r="AR3484">
        <v>-64</v>
      </c>
      <c r="AZ3484">
        <v>1200</v>
      </c>
      <c r="BA3484">
        <v>1</v>
      </c>
      <c r="BB3484" t="str">
        <f t="shared" si="170"/>
        <v xml:space="preserve">N8080G  </v>
      </c>
      <c r="BC3484">
        <v>1</v>
      </c>
      <c r="BE3484">
        <v>0</v>
      </c>
      <c r="BF3484">
        <v>0</v>
      </c>
      <c r="BG3484">
        <v>0</v>
      </c>
      <c r="BH3484">
        <v>1350</v>
      </c>
      <c r="BI3484">
        <v>1</v>
      </c>
      <c r="BJ3484">
        <v>1</v>
      </c>
      <c r="BK3484">
        <v>1</v>
      </c>
      <c r="BL3484">
        <v>0</v>
      </c>
      <c r="BO3484">
        <v>0</v>
      </c>
      <c r="BP3484">
        <v>0</v>
      </c>
      <c r="BW3484" t="str">
        <f>"20:33:26.831"</f>
        <v>20:33:26.831</v>
      </c>
      <c r="BZ3484">
        <v>0</v>
      </c>
      <c r="CA3484">
        <v>1600</v>
      </c>
      <c r="CB3484">
        <v>224</v>
      </c>
      <c r="CD3484">
        <v>1</v>
      </c>
      <c r="CE3484">
        <v>0</v>
      </c>
      <c r="CF3484">
        <v>0</v>
      </c>
      <c r="CG3484">
        <v>1</v>
      </c>
      <c r="CH3484">
        <v>0</v>
      </c>
      <c r="CI3484">
        <v>0</v>
      </c>
      <c r="CJ3484">
        <v>0</v>
      </c>
      <c r="CK3484">
        <v>2</v>
      </c>
      <c r="CL3484">
        <v>0</v>
      </c>
      <c r="CM3484">
        <v>2</v>
      </c>
      <c r="CN3484">
        <v>0</v>
      </c>
      <c r="CO3484">
        <v>7</v>
      </c>
      <c r="CP3484" t="s">
        <v>119</v>
      </c>
      <c r="CQ3484">
        <v>180</v>
      </c>
      <c r="CR3484">
        <v>3</v>
      </c>
      <c r="CW3484">
        <v>1169633</v>
      </c>
      <c r="CY3484">
        <v>1</v>
      </c>
      <c r="CZ3484">
        <v>0</v>
      </c>
      <c r="DA3484">
        <v>1</v>
      </c>
      <c r="DB3484">
        <v>0</v>
      </c>
      <c r="DC3484">
        <v>0</v>
      </c>
      <c r="DD3484">
        <v>0</v>
      </c>
      <c r="DE3484">
        <v>0</v>
      </c>
      <c r="DF3484">
        <v>0</v>
      </c>
      <c r="DG3484">
        <v>0</v>
      </c>
      <c r="DH3484">
        <v>0</v>
      </c>
      <c r="DI3484">
        <v>0</v>
      </c>
    </row>
    <row r="3485" spans="1:113" x14ac:dyDescent="0.3">
      <c r="A3485" t="str">
        <f>"02/08/2021 20:33:24.471"</f>
        <v>02/08/2021 20:33:24.471</v>
      </c>
      <c r="C3485" t="str">
        <f t="shared" si="173"/>
        <v>FFDFD7C0</v>
      </c>
      <c r="D3485" t="s">
        <v>113</v>
      </c>
      <c r="E3485">
        <v>6</v>
      </c>
      <c r="H3485">
        <v>165</v>
      </c>
      <c r="I3485" t="s">
        <v>114</v>
      </c>
      <c r="J3485" t="s">
        <v>115</v>
      </c>
      <c r="K3485">
        <v>0</v>
      </c>
      <c r="L3485">
        <v>3</v>
      </c>
      <c r="M3485">
        <v>0</v>
      </c>
      <c r="N3485">
        <v>2</v>
      </c>
      <c r="O3485">
        <v>1</v>
      </c>
      <c r="P3485">
        <v>0</v>
      </c>
      <c r="Q3485">
        <v>0</v>
      </c>
      <c r="S3485" t="str">
        <f>"20:33:26.828"</f>
        <v>20:33:26.828</v>
      </c>
      <c r="T3485" t="str">
        <f>"20:33:26.428"</f>
        <v>20:33:26.428</v>
      </c>
      <c r="U3485" t="str">
        <f t="shared" si="172"/>
        <v>AB01F4</v>
      </c>
      <c r="V3485">
        <v>0</v>
      </c>
      <c r="W3485">
        <v>0</v>
      </c>
      <c r="X3485">
        <v>2</v>
      </c>
      <c r="Z3485">
        <v>0</v>
      </c>
      <c r="AA3485">
        <v>9</v>
      </c>
      <c r="AB3485">
        <v>3</v>
      </c>
      <c r="AC3485">
        <v>0</v>
      </c>
      <c r="AD3485">
        <v>10</v>
      </c>
      <c r="AE3485">
        <v>0</v>
      </c>
      <c r="AF3485">
        <v>3</v>
      </c>
      <c r="AG3485">
        <v>2</v>
      </c>
      <c r="AH3485">
        <v>0</v>
      </c>
      <c r="AI3485" t="s">
        <v>1991</v>
      </c>
      <c r="AJ3485">
        <v>40.087952999999999</v>
      </c>
      <c r="AK3485" t="s">
        <v>1992</v>
      </c>
      <c r="AL3485">
        <v>-92.971995000000007</v>
      </c>
      <c r="AM3485">
        <v>100</v>
      </c>
      <c r="AN3485">
        <v>1300</v>
      </c>
      <c r="AO3485" t="s">
        <v>118</v>
      </c>
      <c r="AP3485">
        <v>-113</v>
      </c>
      <c r="AQ3485">
        <v>63</v>
      </c>
      <c r="AR3485">
        <v>-64</v>
      </c>
      <c r="AZ3485">
        <v>1200</v>
      </c>
      <c r="BA3485">
        <v>1</v>
      </c>
      <c r="BB3485" t="str">
        <f t="shared" si="170"/>
        <v xml:space="preserve">N8080G  </v>
      </c>
      <c r="BC3485">
        <v>1</v>
      </c>
      <c r="BE3485">
        <v>0</v>
      </c>
      <c r="BF3485">
        <v>0</v>
      </c>
      <c r="BG3485">
        <v>0</v>
      </c>
      <c r="BH3485">
        <v>1350</v>
      </c>
      <c r="BI3485">
        <v>1</v>
      </c>
      <c r="BJ3485">
        <v>1</v>
      </c>
      <c r="BK3485">
        <v>1</v>
      </c>
      <c r="BL3485">
        <v>0</v>
      </c>
      <c r="BO3485">
        <v>0</v>
      </c>
      <c r="BP3485">
        <v>0</v>
      </c>
      <c r="BW3485" t="str">
        <f>"20:33:26.831"</f>
        <v>20:33:26.831</v>
      </c>
      <c r="BZ3485">
        <v>0</v>
      </c>
      <c r="CA3485">
        <v>1600</v>
      </c>
      <c r="CB3485">
        <v>224</v>
      </c>
      <c r="CD3485">
        <v>1</v>
      </c>
      <c r="CE3485">
        <v>0</v>
      </c>
      <c r="CF3485">
        <v>0</v>
      </c>
      <c r="CG3485">
        <v>1</v>
      </c>
      <c r="CH3485">
        <v>0</v>
      </c>
      <c r="CI3485">
        <v>0</v>
      </c>
      <c r="CJ3485">
        <v>0</v>
      </c>
      <c r="CK3485">
        <v>2</v>
      </c>
      <c r="CL3485">
        <v>0</v>
      </c>
      <c r="CM3485">
        <v>2</v>
      </c>
      <c r="CN3485">
        <v>0</v>
      </c>
      <c r="CO3485">
        <v>7</v>
      </c>
      <c r="CP3485" t="s">
        <v>119</v>
      </c>
      <c r="CQ3485">
        <v>180</v>
      </c>
      <c r="CR3485">
        <v>3</v>
      </c>
      <c r="CW3485">
        <v>1169633</v>
      </c>
      <c r="CY3485">
        <v>1</v>
      </c>
      <c r="CZ3485">
        <v>0</v>
      </c>
      <c r="DA3485">
        <v>1</v>
      </c>
      <c r="DB3485">
        <v>0</v>
      </c>
      <c r="DC3485">
        <v>0</v>
      </c>
      <c r="DD3485">
        <v>0</v>
      </c>
      <c r="DE3485">
        <v>0</v>
      </c>
      <c r="DF3485">
        <v>0</v>
      </c>
      <c r="DG3485">
        <v>0</v>
      </c>
      <c r="DH3485">
        <v>0</v>
      </c>
      <c r="DI3485">
        <v>0</v>
      </c>
    </row>
    <row r="3486" spans="1:113" x14ac:dyDescent="0.3">
      <c r="A3486" t="str">
        <f>"02/08/2021 20:33:24.511"</f>
        <v>02/08/2021 20:33:24.511</v>
      </c>
      <c r="C3486" t="str">
        <f t="shared" si="173"/>
        <v>FFDFD7C0</v>
      </c>
      <c r="D3486" t="s">
        <v>124</v>
      </c>
      <c r="E3486">
        <v>13</v>
      </c>
      <c r="F3486">
        <v>1013</v>
      </c>
      <c r="G3486" t="s">
        <v>114</v>
      </c>
      <c r="J3486" t="s">
        <v>125</v>
      </c>
      <c r="K3486">
        <v>0</v>
      </c>
      <c r="L3486">
        <v>3</v>
      </c>
      <c r="M3486">
        <v>0</v>
      </c>
      <c r="N3486">
        <v>2</v>
      </c>
      <c r="O3486">
        <v>1</v>
      </c>
      <c r="P3486">
        <v>0</v>
      </c>
      <c r="Q3486">
        <v>0</v>
      </c>
      <c r="S3486" t="str">
        <f>"20:33:26.828"</f>
        <v>20:33:26.828</v>
      </c>
      <c r="T3486" t="str">
        <f>"20:33:26.428"</f>
        <v>20:33:26.428</v>
      </c>
      <c r="U3486" t="str">
        <f t="shared" si="172"/>
        <v>AB01F4</v>
      </c>
      <c r="V3486">
        <v>0</v>
      </c>
      <c r="W3486">
        <v>0</v>
      </c>
      <c r="X3486">
        <v>2</v>
      </c>
      <c r="Z3486">
        <v>0</v>
      </c>
      <c r="AA3486">
        <v>9</v>
      </c>
      <c r="AB3486">
        <v>3</v>
      </c>
      <c r="AC3486">
        <v>0</v>
      </c>
      <c r="AD3486">
        <v>10</v>
      </c>
      <c r="AE3486">
        <v>0</v>
      </c>
      <c r="AF3486">
        <v>3</v>
      </c>
      <c r="AG3486">
        <v>2</v>
      </c>
      <c r="AH3486">
        <v>0</v>
      </c>
      <c r="AI3486" t="s">
        <v>1991</v>
      </c>
      <c r="AJ3486">
        <v>40.087952999999999</v>
      </c>
      <c r="AK3486" t="s">
        <v>1992</v>
      </c>
      <c r="AL3486">
        <v>-92.971995000000007</v>
      </c>
      <c r="AM3486">
        <v>100</v>
      </c>
      <c r="AN3486">
        <v>1300</v>
      </c>
      <c r="AO3486" t="s">
        <v>118</v>
      </c>
      <c r="AP3486">
        <v>-113</v>
      </c>
      <c r="AQ3486">
        <v>63</v>
      </c>
      <c r="AR3486">
        <v>-64</v>
      </c>
      <c r="AZ3486">
        <v>1200</v>
      </c>
      <c r="BA3486">
        <v>1</v>
      </c>
      <c r="BB3486" t="str">
        <f t="shared" si="170"/>
        <v xml:space="preserve">N8080G  </v>
      </c>
      <c r="BC3486">
        <v>1</v>
      </c>
      <c r="BE3486">
        <v>0</v>
      </c>
      <c r="BF3486">
        <v>0</v>
      </c>
      <c r="BG3486">
        <v>0</v>
      </c>
      <c r="BH3486">
        <v>1350</v>
      </c>
      <c r="BI3486">
        <v>1</v>
      </c>
      <c r="BJ3486">
        <v>1</v>
      </c>
      <c r="BK3486">
        <v>1</v>
      </c>
      <c r="BL3486">
        <v>0</v>
      </c>
      <c r="BO3486">
        <v>0</v>
      </c>
      <c r="BP3486">
        <v>0</v>
      </c>
      <c r="BW3486" t="str">
        <f>"20:33:26.831"</f>
        <v>20:33:26.831</v>
      </c>
      <c r="BZ3486">
        <v>0</v>
      </c>
      <c r="CA3486">
        <v>1600</v>
      </c>
      <c r="CB3486">
        <v>224</v>
      </c>
      <c r="CD3486">
        <v>1</v>
      </c>
      <c r="CE3486">
        <v>0</v>
      </c>
      <c r="CF3486">
        <v>0</v>
      </c>
      <c r="CG3486">
        <v>1</v>
      </c>
      <c r="CH3486">
        <v>0</v>
      </c>
      <c r="CI3486">
        <v>0</v>
      </c>
      <c r="CJ3486">
        <v>0</v>
      </c>
      <c r="CK3486">
        <v>2</v>
      </c>
      <c r="CL3486">
        <v>0</v>
      </c>
      <c r="CM3486">
        <v>2</v>
      </c>
      <c r="CN3486">
        <v>0</v>
      </c>
      <c r="CO3486">
        <v>7</v>
      </c>
      <c r="CP3486" t="s">
        <v>119</v>
      </c>
      <c r="CQ3486">
        <v>180</v>
      </c>
      <c r="CR3486">
        <v>3</v>
      </c>
      <c r="CW3486">
        <v>1169633</v>
      </c>
      <c r="CY3486">
        <v>1</v>
      </c>
      <c r="CZ3486">
        <v>0</v>
      </c>
      <c r="DA3486">
        <v>0</v>
      </c>
      <c r="DB3486">
        <v>0</v>
      </c>
      <c r="DC3486">
        <v>0</v>
      </c>
      <c r="DD3486">
        <v>0</v>
      </c>
      <c r="DE3486">
        <v>0</v>
      </c>
      <c r="DF3486">
        <v>0</v>
      </c>
      <c r="DG3486">
        <v>0</v>
      </c>
      <c r="DH3486">
        <v>0</v>
      </c>
      <c r="DI3486">
        <v>0</v>
      </c>
    </row>
    <row r="3487" spans="1:113" x14ac:dyDescent="0.3">
      <c r="A3487" t="str">
        <f>"02/08/2021 20:33:27.748"</f>
        <v>02/08/2021 20:33:27.748</v>
      </c>
      <c r="C3487" t="str">
        <f t="shared" si="173"/>
        <v>FFDFD7C0</v>
      </c>
      <c r="D3487" t="s">
        <v>124</v>
      </c>
      <c r="E3487">
        <v>11</v>
      </c>
      <c r="F3487">
        <v>1011</v>
      </c>
      <c r="G3487" t="s">
        <v>590</v>
      </c>
      <c r="J3487" t="s">
        <v>125</v>
      </c>
      <c r="K3487">
        <v>0</v>
      </c>
      <c r="L3487">
        <v>3</v>
      </c>
      <c r="M3487">
        <v>0</v>
      </c>
      <c r="N3487">
        <v>2</v>
      </c>
      <c r="O3487">
        <v>1</v>
      </c>
      <c r="P3487">
        <v>0</v>
      </c>
      <c r="Q3487">
        <v>0</v>
      </c>
      <c r="S3487" t="str">
        <f>"20:33:30.078"</f>
        <v>20:33:30.078</v>
      </c>
      <c r="T3487" t="str">
        <f>"20:33:29.578"</f>
        <v>20:33:29.578</v>
      </c>
      <c r="U3487" t="str">
        <f t="shared" si="172"/>
        <v>AB01F4</v>
      </c>
      <c r="V3487">
        <v>0</v>
      </c>
      <c r="W3487">
        <v>0</v>
      </c>
      <c r="X3487">
        <v>2</v>
      </c>
      <c r="Z3487">
        <v>0</v>
      </c>
      <c r="AA3487">
        <v>9</v>
      </c>
      <c r="AB3487">
        <v>3</v>
      </c>
      <c r="AC3487">
        <v>0</v>
      </c>
      <c r="AD3487">
        <v>10</v>
      </c>
      <c r="AE3487">
        <v>0</v>
      </c>
      <c r="AF3487">
        <v>3</v>
      </c>
      <c r="AG3487">
        <v>2</v>
      </c>
      <c r="AH3487">
        <v>0</v>
      </c>
      <c r="AI3487" t="s">
        <v>1993</v>
      </c>
      <c r="AJ3487">
        <v>40.088875000000002</v>
      </c>
      <c r="AK3487" t="s">
        <v>1994</v>
      </c>
      <c r="AL3487">
        <v>-92.974226000000002</v>
      </c>
      <c r="AM3487">
        <v>100</v>
      </c>
      <c r="AN3487">
        <v>1300</v>
      </c>
      <c r="AO3487" t="s">
        <v>118</v>
      </c>
      <c r="AP3487">
        <v>-114</v>
      </c>
      <c r="AQ3487">
        <v>63</v>
      </c>
      <c r="AR3487">
        <v>0</v>
      </c>
      <c r="AZ3487">
        <v>1200</v>
      </c>
      <c r="BA3487">
        <v>1</v>
      </c>
      <c r="BB3487" t="str">
        <f t="shared" si="170"/>
        <v xml:space="preserve">N8080G  </v>
      </c>
      <c r="BC3487">
        <v>1</v>
      </c>
      <c r="BE3487">
        <v>0</v>
      </c>
      <c r="BF3487">
        <v>0</v>
      </c>
      <c r="BG3487">
        <v>0</v>
      </c>
      <c r="BH3487">
        <v>1325</v>
      </c>
      <c r="BI3487">
        <v>1</v>
      </c>
      <c r="BJ3487">
        <v>1</v>
      </c>
      <c r="BK3487">
        <v>1</v>
      </c>
      <c r="BL3487">
        <v>0</v>
      </c>
      <c r="BO3487">
        <v>0</v>
      </c>
      <c r="BP3487">
        <v>0</v>
      </c>
      <c r="BW3487" t="str">
        <f>"20:33:30.080"</f>
        <v>20:33:30.080</v>
      </c>
      <c r="BZ3487">
        <v>0</v>
      </c>
      <c r="CA3487">
        <v>1600</v>
      </c>
      <c r="CB3487">
        <v>224</v>
      </c>
      <c r="CD3487">
        <v>1</v>
      </c>
      <c r="CE3487">
        <v>0</v>
      </c>
      <c r="CF3487">
        <v>0</v>
      </c>
      <c r="CG3487">
        <v>1</v>
      </c>
      <c r="CH3487">
        <v>0</v>
      </c>
      <c r="CI3487">
        <v>0</v>
      </c>
      <c r="CJ3487">
        <v>0</v>
      </c>
      <c r="CK3487">
        <v>2</v>
      </c>
      <c r="CL3487">
        <v>0</v>
      </c>
      <c r="CM3487">
        <v>2</v>
      </c>
      <c r="CN3487">
        <v>0</v>
      </c>
      <c r="CO3487">
        <v>7</v>
      </c>
      <c r="CP3487" t="s">
        <v>119</v>
      </c>
      <c r="CQ3487">
        <v>180</v>
      </c>
      <c r="CR3487">
        <v>3</v>
      </c>
      <c r="CW3487">
        <v>1172208</v>
      </c>
      <c r="CY3487">
        <v>1</v>
      </c>
      <c r="CZ3487">
        <v>0</v>
      </c>
      <c r="DA3487">
        <v>0</v>
      </c>
      <c r="DB3487">
        <v>0</v>
      </c>
      <c r="DC3487">
        <v>0</v>
      </c>
      <c r="DD3487">
        <v>0</v>
      </c>
      <c r="DE3487">
        <v>0</v>
      </c>
      <c r="DF3487">
        <v>0</v>
      </c>
      <c r="DG3487">
        <v>0</v>
      </c>
      <c r="DH3487">
        <v>0</v>
      </c>
      <c r="DI3487">
        <v>0</v>
      </c>
    </row>
    <row r="3488" spans="1:113" x14ac:dyDescent="0.3">
      <c r="A3488" t="str">
        <f>"02/08/2021 20:33:27.748"</f>
        <v>02/08/2021 20:33:27.748</v>
      </c>
      <c r="C3488" t="str">
        <f t="shared" si="173"/>
        <v>FFDFD7C0</v>
      </c>
      <c r="D3488" t="s">
        <v>124</v>
      </c>
      <c r="E3488">
        <v>12</v>
      </c>
      <c r="F3488">
        <v>1012</v>
      </c>
      <c r="G3488" t="s">
        <v>675</v>
      </c>
      <c r="J3488" t="s">
        <v>125</v>
      </c>
      <c r="K3488">
        <v>0</v>
      </c>
      <c r="L3488">
        <v>3</v>
      </c>
      <c r="M3488">
        <v>0</v>
      </c>
      <c r="N3488">
        <v>2</v>
      </c>
      <c r="O3488">
        <v>1</v>
      </c>
      <c r="P3488">
        <v>0</v>
      </c>
      <c r="Q3488">
        <v>0</v>
      </c>
      <c r="S3488" t="str">
        <f>"20:33:30.078"</f>
        <v>20:33:30.078</v>
      </c>
      <c r="T3488" t="str">
        <f>"20:33:29.578"</f>
        <v>20:33:29.578</v>
      </c>
      <c r="U3488" t="str">
        <f t="shared" si="172"/>
        <v>AB01F4</v>
      </c>
      <c r="V3488">
        <v>0</v>
      </c>
      <c r="W3488">
        <v>0</v>
      </c>
      <c r="X3488">
        <v>2</v>
      </c>
      <c r="Z3488">
        <v>0</v>
      </c>
      <c r="AA3488">
        <v>9</v>
      </c>
      <c r="AB3488">
        <v>3</v>
      </c>
      <c r="AC3488">
        <v>0</v>
      </c>
      <c r="AD3488">
        <v>10</v>
      </c>
      <c r="AE3488">
        <v>0</v>
      </c>
      <c r="AF3488">
        <v>3</v>
      </c>
      <c r="AG3488">
        <v>2</v>
      </c>
      <c r="AH3488">
        <v>0</v>
      </c>
      <c r="AI3488" t="s">
        <v>1993</v>
      </c>
      <c r="AJ3488">
        <v>40.088875000000002</v>
      </c>
      <c r="AK3488" t="s">
        <v>1994</v>
      </c>
      <c r="AL3488">
        <v>-92.974226000000002</v>
      </c>
      <c r="AM3488">
        <v>100</v>
      </c>
      <c r="AN3488">
        <v>1300</v>
      </c>
      <c r="AO3488" t="s">
        <v>118</v>
      </c>
      <c r="AP3488">
        <v>-114</v>
      </c>
      <c r="AQ3488">
        <v>63</v>
      </c>
      <c r="AR3488">
        <v>0</v>
      </c>
      <c r="AZ3488">
        <v>1200</v>
      </c>
      <c r="BA3488">
        <v>1</v>
      </c>
      <c r="BB3488" t="str">
        <f t="shared" si="170"/>
        <v xml:space="preserve">N8080G  </v>
      </c>
      <c r="BC3488">
        <v>1</v>
      </c>
      <c r="BE3488">
        <v>0</v>
      </c>
      <c r="BF3488">
        <v>0</v>
      </c>
      <c r="BG3488">
        <v>0</v>
      </c>
      <c r="BH3488">
        <v>1325</v>
      </c>
      <c r="BI3488">
        <v>1</v>
      </c>
      <c r="BJ3488">
        <v>1</v>
      </c>
      <c r="BK3488">
        <v>1</v>
      </c>
      <c r="BL3488">
        <v>0</v>
      </c>
      <c r="BO3488">
        <v>0</v>
      </c>
      <c r="BP3488">
        <v>0</v>
      </c>
      <c r="BW3488" t="str">
        <f>"20:33:30.080"</f>
        <v>20:33:30.080</v>
      </c>
      <c r="BZ3488">
        <v>0</v>
      </c>
      <c r="CA3488">
        <v>1600</v>
      </c>
      <c r="CB3488">
        <v>224</v>
      </c>
      <c r="CD3488">
        <v>1</v>
      </c>
      <c r="CE3488">
        <v>0</v>
      </c>
      <c r="CF3488">
        <v>0</v>
      </c>
      <c r="CG3488">
        <v>1</v>
      </c>
      <c r="CH3488">
        <v>0</v>
      </c>
      <c r="CI3488">
        <v>0</v>
      </c>
      <c r="CJ3488">
        <v>0</v>
      </c>
      <c r="CK3488">
        <v>2</v>
      </c>
      <c r="CL3488">
        <v>0</v>
      </c>
      <c r="CM3488">
        <v>2</v>
      </c>
      <c r="CN3488">
        <v>0</v>
      </c>
      <c r="CO3488">
        <v>7</v>
      </c>
      <c r="CP3488" t="s">
        <v>119</v>
      </c>
      <c r="CQ3488">
        <v>180</v>
      </c>
      <c r="CR3488">
        <v>3</v>
      </c>
      <c r="CW3488">
        <v>1172208</v>
      </c>
      <c r="CY3488">
        <v>1</v>
      </c>
      <c r="CZ3488">
        <v>0</v>
      </c>
      <c r="DA3488">
        <v>1</v>
      </c>
      <c r="DB3488">
        <v>0</v>
      </c>
      <c r="DC3488">
        <v>0</v>
      </c>
      <c r="DD3488">
        <v>0</v>
      </c>
      <c r="DE3488">
        <v>0</v>
      </c>
      <c r="DF3488">
        <v>0</v>
      </c>
      <c r="DG3488">
        <v>0</v>
      </c>
      <c r="DH3488">
        <v>0</v>
      </c>
      <c r="DI3488">
        <v>0</v>
      </c>
    </row>
    <row r="3489" spans="1:113" x14ac:dyDescent="0.3">
      <c r="A3489" t="str">
        <f>"02/08/2021 20:33:27.748"</f>
        <v>02/08/2021 20:33:27.748</v>
      </c>
      <c r="C3489" t="str">
        <f t="shared" si="173"/>
        <v>FFDFD7C0</v>
      </c>
      <c r="D3489" t="s">
        <v>124</v>
      </c>
      <c r="E3489">
        <v>13</v>
      </c>
      <c r="F3489">
        <v>1013</v>
      </c>
      <c r="G3489" t="s">
        <v>114</v>
      </c>
      <c r="J3489" t="s">
        <v>125</v>
      </c>
      <c r="K3489">
        <v>0</v>
      </c>
      <c r="L3489">
        <v>3</v>
      </c>
      <c r="M3489">
        <v>0</v>
      </c>
      <c r="N3489">
        <v>2</v>
      </c>
      <c r="O3489">
        <v>1</v>
      </c>
      <c r="P3489">
        <v>0</v>
      </c>
      <c r="Q3489">
        <v>0</v>
      </c>
      <c r="S3489" t="str">
        <f>"20:33:30.078"</f>
        <v>20:33:30.078</v>
      </c>
      <c r="T3489" t="str">
        <f>"20:33:29.578"</f>
        <v>20:33:29.578</v>
      </c>
      <c r="U3489" t="str">
        <f t="shared" si="172"/>
        <v>AB01F4</v>
      </c>
      <c r="V3489">
        <v>0</v>
      </c>
      <c r="W3489">
        <v>0</v>
      </c>
      <c r="X3489">
        <v>2</v>
      </c>
      <c r="Z3489">
        <v>0</v>
      </c>
      <c r="AA3489">
        <v>9</v>
      </c>
      <c r="AB3489">
        <v>3</v>
      </c>
      <c r="AC3489">
        <v>0</v>
      </c>
      <c r="AD3489">
        <v>10</v>
      </c>
      <c r="AE3489">
        <v>0</v>
      </c>
      <c r="AF3489">
        <v>3</v>
      </c>
      <c r="AG3489">
        <v>2</v>
      </c>
      <c r="AH3489">
        <v>0</v>
      </c>
      <c r="AI3489" t="s">
        <v>1993</v>
      </c>
      <c r="AJ3489">
        <v>40.088875000000002</v>
      </c>
      <c r="AK3489" t="s">
        <v>1994</v>
      </c>
      <c r="AL3489">
        <v>-92.974226000000002</v>
      </c>
      <c r="AM3489">
        <v>100</v>
      </c>
      <c r="AN3489">
        <v>1300</v>
      </c>
      <c r="AO3489" t="s">
        <v>118</v>
      </c>
      <c r="AP3489">
        <v>-114</v>
      </c>
      <c r="AQ3489">
        <v>63</v>
      </c>
      <c r="AR3489">
        <v>0</v>
      </c>
      <c r="AZ3489">
        <v>1200</v>
      </c>
      <c r="BA3489">
        <v>1</v>
      </c>
      <c r="BB3489" t="str">
        <f t="shared" si="170"/>
        <v xml:space="preserve">N8080G  </v>
      </c>
      <c r="BC3489">
        <v>1</v>
      </c>
      <c r="BE3489">
        <v>0</v>
      </c>
      <c r="BF3489">
        <v>0</v>
      </c>
      <c r="BG3489">
        <v>0</v>
      </c>
      <c r="BH3489">
        <v>1325</v>
      </c>
      <c r="BI3489">
        <v>1</v>
      </c>
      <c r="BJ3489">
        <v>1</v>
      </c>
      <c r="BK3489">
        <v>1</v>
      </c>
      <c r="BL3489">
        <v>0</v>
      </c>
      <c r="BO3489">
        <v>0</v>
      </c>
      <c r="BP3489">
        <v>0</v>
      </c>
      <c r="BW3489" t="str">
        <f>"20:33:30.080"</f>
        <v>20:33:30.080</v>
      </c>
      <c r="BZ3489">
        <v>0</v>
      </c>
      <c r="CA3489">
        <v>1600</v>
      </c>
      <c r="CB3489">
        <v>224</v>
      </c>
      <c r="CD3489">
        <v>1</v>
      </c>
      <c r="CE3489">
        <v>0</v>
      </c>
      <c r="CF3489">
        <v>0</v>
      </c>
      <c r="CG3489">
        <v>1</v>
      </c>
      <c r="CH3489">
        <v>0</v>
      </c>
      <c r="CI3489">
        <v>0</v>
      </c>
      <c r="CJ3489">
        <v>0</v>
      </c>
      <c r="CK3489">
        <v>2</v>
      </c>
      <c r="CL3489">
        <v>0</v>
      </c>
      <c r="CM3489">
        <v>2</v>
      </c>
      <c r="CN3489">
        <v>0</v>
      </c>
      <c r="CO3489">
        <v>7</v>
      </c>
      <c r="CP3489" t="s">
        <v>119</v>
      </c>
      <c r="CQ3489">
        <v>180</v>
      </c>
      <c r="CR3489">
        <v>3</v>
      </c>
      <c r="CW3489">
        <v>1172208</v>
      </c>
      <c r="CY3489">
        <v>1</v>
      </c>
      <c r="CZ3489">
        <v>0</v>
      </c>
      <c r="DA3489">
        <v>1</v>
      </c>
      <c r="DB3489">
        <v>0</v>
      </c>
      <c r="DC3489">
        <v>0</v>
      </c>
      <c r="DD3489">
        <v>0</v>
      </c>
      <c r="DE3489">
        <v>0</v>
      </c>
      <c r="DF3489">
        <v>0</v>
      </c>
      <c r="DG3489">
        <v>0</v>
      </c>
      <c r="DH3489">
        <v>0</v>
      </c>
      <c r="DI3489">
        <v>0</v>
      </c>
    </row>
    <row r="3490" spans="1:113" x14ac:dyDescent="0.3">
      <c r="A3490" t="str">
        <f>"02/08/2021 20:33:27.748"</f>
        <v>02/08/2021 20:33:27.748</v>
      </c>
      <c r="C3490" t="str">
        <f t="shared" si="173"/>
        <v>FFDFD7C0</v>
      </c>
      <c r="D3490" t="s">
        <v>113</v>
      </c>
      <c r="E3490">
        <v>6</v>
      </c>
      <c r="H3490">
        <v>165</v>
      </c>
      <c r="I3490" t="s">
        <v>114</v>
      </c>
      <c r="J3490" t="s">
        <v>115</v>
      </c>
      <c r="K3490">
        <v>0</v>
      </c>
      <c r="L3490">
        <v>3</v>
      </c>
      <c r="M3490">
        <v>0</v>
      </c>
      <c r="N3490">
        <v>2</v>
      </c>
      <c r="O3490">
        <v>1</v>
      </c>
      <c r="P3490">
        <v>0</v>
      </c>
      <c r="Q3490">
        <v>0</v>
      </c>
      <c r="S3490" t="str">
        <f>"20:33:30.078"</f>
        <v>20:33:30.078</v>
      </c>
      <c r="T3490" t="str">
        <f>"20:33:29.578"</f>
        <v>20:33:29.578</v>
      </c>
      <c r="U3490" t="str">
        <f t="shared" si="172"/>
        <v>AB01F4</v>
      </c>
      <c r="V3490">
        <v>0</v>
      </c>
      <c r="W3490">
        <v>0</v>
      </c>
      <c r="X3490">
        <v>2</v>
      </c>
      <c r="Z3490">
        <v>0</v>
      </c>
      <c r="AA3490">
        <v>9</v>
      </c>
      <c r="AB3490">
        <v>3</v>
      </c>
      <c r="AC3490">
        <v>0</v>
      </c>
      <c r="AD3490">
        <v>10</v>
      </c>
      <c r="AE3490">
        <v>0</v>
      </c>
      <c r="AF3490">
        <v>3</v>
      </c>
      <c r="AG3490">
        <v>2</v>
      </c>
      <c r="AH3490">
        <v>0</v>
      </c>
      <c r="AI3490" t="s">
        <v>1993</v>
      </c>
      <c r="AJ3490">
        <v>40.088875000000002</v>
      </c>
      <c r="AK3490" t="s">
        <v>1994</v>
      </c>
      <c r="AL3490">
        <v>-92.974226000000002</v>
      </c>
      <c r="AM3490">
        <v>100</v>
      </c>
      <c r="AN3490">
        <v>1300</v>
      </c>
      <c r="AO3490" t="s">
        <v>118</v>
      </c>
      <c r="AP3490">
        <v>-114</v>
      </c>
      <c r="AQ3490">
        <v>63</v>
      </c>
      <c r="AR3490">
        <v>0</v>
      </c>
      <c r="AZ3490">
        <v>1200</v>
      </c>
      <c r="BA3490">
        <v>1</v>
      </c>
      <c r="BB3490" t="str">
        <f t="shared" si="170"/>
        <v xml:space="preserve">N8080G  </v>
      </c>
      <c r="BC3490">
        <v>1</v>
      </c>
      <c r="BE3490">
        <v>0</v>
      </c>
      <c r="BF3490">
        <v>0</v>
      </c>
      <c r="BG3490">
        <v>0</v>
      </c>
      <c r="BH3490">
        <v>1325</v>
      </c>
      <c r="BI3490">
        <v>1</v>
      </c>
      <c r="BJ3490">
        <v>1</v>
      </c>
      <c r="BK3490">
        <v>1</v>
      </c>
      <c r="BL3490">
        <v>0</v>
      </c>
      <c r="BO3490">
        <v>0</v>
      </c>
      <c r="BP3490">
        <v>0</v>
      </c>
      <c r="BW3490" t="str">
        <f>"20:33:30.080"</f>
        <v>20:33:30.080</v>
      </c>
      <c r="BZ3490">
        <v>0</v>
      </c>
      <c r="CA3490">
        <v>1600</v>
      </c>
      <c r="CB3490">
        <v>224</v>
      </c>
      <c r="CD3490">
        <v>1</v>
      </c>
      <c r="CE3490">
        <v>0</v>
      </c>
      <c r="CF3490">
        <v>0</v>
      </c>
      <c r="CG3490">
        <v>1</v>
      </c>
      <c r="CH3490">
        <v>0</v>
      </c>
      <c r="CI3490">
        <v>0</v>
      </c>
      <c r="CJ3490">
        <v>0</v>
      </c>
      <c r="CK3490">
        <v>2</v>
      </c>
      <c r="CL3490">
        <v>0</v>
      </c>
      <c r="CM3490">
        <v>2</v>
      </c>
      <c r="CN3490">
        <v>0</v>
      </c>
      <c r="CO3490">
        <v>7</v>
      </c>
      <c r="CP3490" t="s">
        <v>119</v>
      </c>
      <c r="CQ3490">
        <v>180</v>
      </c>
      <c r="CR3490">
        <v>3</v>
      </c>
      <c r="CW3490">
        <v>1172208</v>
      </c>
      <c r="CY3490">
        <v>1</v>
      </c>
      <c r="CZ3490">
        <v>0</v>
      </c>
      <c r="DA3490">
        <v>1</v>
      </c>
      <c r="DB3490">
        <v>0</v>
      </c>
      <c r="DC3490">
        <v>0</v>
      </c>
      <c r="DD3490">
        <v>0</v>
      </c>
      <c r="DE3490">
        <v>0</v>
      </c>
      <c r="DF3490">
        <v>0</v>
      </c>
      <c r="DG3490">
        <v>0</v>
      </c>
      <c r="DH3490">
        <v>0</v>
      </c>
      <c r="DI3490">
        <v>0</v>
      </c>
    </row>
    <row r="3491" spans="1:113" x14ac:dyDescent="0.3">
      <c r="A3491" t="str">
        <f>"02/08/2021 20:33:29.283"</f>
        <v>02/08/2021 20:33:29.283</v>
      </c>
      <c r="C3491" t="str">
        <f t="shared" si="173"/>
        <v>FFDFD7C0</v>
      </c>
      <c r="D3491" t="s">
        <v>124</v>
      </c>
      <c r="E3491">
        <v>13</v>
      </c>
      <c r="F3491">
        <v>1013</v>
      </c>
      <c r="G3491" t="s">
        <v>114</v>
      </c>
      <c r="J3491" t="s">
        <v>125</v>
      </c>
      <c r="K3491">
        <v>0</v>
      </c>
      <c r="L3491">
        <v>3</v>
      </c>
      <c r="M3491">
        <v>0</v>
      </c>
      <c r="N3491">
        <v>2</v>
      </c>
      <c r="O3491">
        <v>1</v>
      </c>
      <c r="P3491">
        <v>0</v>
      </c>
      <c r="Q3491">
        <v>0</v>
      </c>
      <c r="S3491" t="str">
        <f>"20:33:31.625"</f>
        <v>20:33:31.625</v>
      </c>
      <c r="T3491" t="str">
        <f>"20:33:31.225"</f>
        <v>20:33:31.225</v>
      </c>
      <c r="U3491" t="str">
        <f t="shared" si="172"/>
        <v>AB01F4</v>
      </c>
      <c r="V3491">
        <v>0</v>
      </c>
      <c r="W3491">
        <v>0</v>
      </c>
      <c r="X3491">
        <v>2</v>
      </c>
      <c r="Z3491">
        <v>0</v>
      </c>
      <c r="AA3491">
        <v>9</v>
      </c>
      <c r="AB3491">
        <v>3</v>
      </c>
      <c r="AC3491">
        <v>0</v>
      </c>
      <c r="AD3491">
        <v>10</v>
      </c>
      <c r="AE3491">
        <v>0</v>
      </c>
      <c r="AF3491">
        <v>3</v>
      </c>
      <c r="AG3491">
        <v>2</v>
      </c>
      <c r="AH3491">
        <v>0</v>
      </c>
      <c r="AI3491" t="s">
        <v>1995</v>
      </c>
      <c r="AJ3491">
        <v>40.089346999999997</v>
      </c>
      <c r="AK3491" t="s">
        <v>1996</v>
      </c>
      <c r="AL3491">
        <v>-92.975299000000007</v>
      </c>
      <c r="AM3491">
        <v>100</v>
      </c>
      <c r="AN3491">
        <v>1300</v>
      </c>
      <c r="AO3491" t="s">
        <v>118</v>
      </c>
      <c r="AP3491">
        <v>-113</v>
      </c>
      <c r="AQ3491">
        <v>63</v>
      </c>
      <c r="AR3491">
        <v>0</v>
      </c>
      <c r="AZ3491">
        <v>1200</v>
      </c>
      <c r="BA3491">
        <v>1</v>
      </c>
      <c r="BB3491" t="str">
        <f t="shared" si="170"/>
        <v xml:space="preserve">N8080G  </v>
      </c>
      <c r="BC3491">
        <v>1</v>
      </c>
      <c r="BE3491">
        <v>0</v>
      </c>
      <c r="BF3491">
        <v>0</v>
      </c>
      <c r="BG3491">
        <v>0</v>
      </c>
      <c r="BH3491">
        <v>1325</v>
      </c>
      <c r="BI3491">
        <v>1</v>
      </c>
      <c r="BJ3491">
        <v>1</v>
      </c>
      <c r="BK3491">
        <v>1</v>
      </c>
      <c r="BL3491">
        <v>0</v>
      </c>
      <c r="BO3491">
        <v>0</v>
      </c>
      <c r="BP3491">
        <v>0</v>
      </c>
      <c r="BW3491" t="str">
        <f>"20:33:31.628"</f>
        <v>20:33:31.628</v>
      </c>
      <c r="BZ3491">
        <v>0</v>
      </c>
      <c r="CA3491">
        <v>1600</v>
      </c>
      <c r="CB3491">
        <v>224</v>
      </c>
      <c r="CD3491">
        <v>1</v>
      </c>
      <c r="CE3491">
        <v>0</v>
      </c>
      <c r="CF3491">
        <v>0</v>
      </c>
      <c r="CG3491">
        <v>1</v>
      </c>
      <c r="CH3491">
        <v>0</v>
      </c>
      <c r="CI3491">
        <v>0</v>
      </c>
      <c r="CJ3491">
        <v>0</v>
      </c>
      <c r="CK3491">
        <v>2</v>
      </c>
      <c r="CL3491">
        <v>0</v>
      </c>
      <c r="CM3491">
        <v>2</v>
      </c>
      <c r="CN3491">
        <v>0</v>
      </c>
      <c r="CO3491">
        <v>7</v>
      </c>
      <c r="CP3491" t="s">
        <v>119</v>
      </c>
      <c r="CQ3491">
        <v>180</v>
      </c>
      <c r="CR3491">
        <v>3</v>
      </c>
      <c r="CW3491">
        <v>1173297</v>
      </c>
      <c r="CY3491">
        <v>1</v>
      </c>
      <c r="CZ3491">
        <v>0</v>
      </c>
      <c r="DA3491">
        <v>0</v>
      </c>
      <c r="DB3491">
        <v>0</v>
      </c>
      <c r="DC3491">
        <v>0</v>
      </c>
      <c r="DD3491">
        <v>0</v>
      </c>
      <c r="DE3491">
        <v>0</v>
      </c>
      <c r="DF3491">
        <v>0</v>
      </c>
      <c r="DG3491">
        <v>0</v>
      </c>
      <c r="DH3491">
        <v>0</v>
      </c>
      <c r="DI3491">
        <v>0</v>
      </c>
    </row>
    <row r="3492" spans="1:113" x14ac:dyDescent="0.3">
      <c r="A3492" t="str">
        <f>"02/08/2021 20:33:29.283"</f>
        <v>02/08/2021 20:33:29.283</v>
      </c>
      <c r="C3492" t="str">
        <f t="shared" si="173"/>
        <v>FFDFD7C0</v>
      </c>
      <c r="D3492" t="s">
        <v>113</v>
      </c>
      <c r="E3492">
        <v>6</v>
      </c>
      <c r="H3492">
        <v>165</v>
      </c>
      <c r="I3492" t="s">
        <v>114</v>
      </c>
      <c r="J3492" t="s">
        <v>115</v>
      </c>
      <c r="K3492">
        <v>0</v>
      </c>
      <c r="L3492">
        <v>3</v>
      </c>
      <c r="M3492">
        <v>0</v>
      </c>
      <c r="N3492">
        <v>2</v>
      </c>
      <c r="O3492">
        <v>1</v>
      </c>
      <c r="P3492">
        <v>0</v>
      </c>
      <c r="Q3492">
        <v>0</v>
      </c>
      <c r="S3492" t="str">
        <f>"20:33:31.625"</f>
        <v>20:33:31.625</v>
      </c>
      <c r="T3492" t="str">
        <f>"20:33:31.225"</f>
        <v>20:33:31.225</v>
      </c>
      <c r="U3492" t="str">
        <f t="shared" si="172"/>
        <v>AB01F4</v>
      </c>
      <c r="V3492">
        <v>0</v>
      </c>
      <c r="W3492">
        <v>0</v>
      </c>
      <c r="X3492">
        <v>2</v>
      </c>
      <c r="Z3492">
        <v>0</v>
      </c>
      <c r="AA3492">
        <v>9</v>
      </c>
      <c r="AB3492">
        <v>3</v>
      </c>
      <c r="AC3492">
        <v>0</v>
      </c>
      <c r="AD3492">
        <v>10</v>
      </c>
      <c r="AE3492">
        <v>0</v>
      </c>
      <c r="AF3492">
        <v>3</v>
      </c>
      <c r="AG3492">
        <v>2</v>
      </c>
      <c r="AH3492">
        <v>0</v>
      </c>
      <c r="AI3492" t="s">
        <v>1995</v>
      </c>
      <c r="AJ3492">
        <v>40.089346999999997</v>
      </c>
      <c r="AK3492" t="s">
        <v>1996</v>
      </c>
      <c r="AL3492">
        <v>-92.975299000000007</v>
      </c>
      <c r="AM3492">
        <v>100</v>
      </c>
      <c r="AN3492">
        <v>1300</v>
      </c>
      <c r="AO3492" t="s">
        <v>118</v>
      </c>
      <c r="AP3492">
        <v>-113</v>
      </c>
      <c r="AQ3492">
        <v>63</v>
      </c>
      <c r="AR3492">
        <v>0</v>
      </c>
      <c r="AZ3492">
        <v>1200</v>
      </c>
      <c r="BA3492">
        <v>1</v>
      </c>
      <c r="BB3492" t="str">
        <f t="shared" si="170"/>
        <v xml:space="preserve">N8080G  </v>
      </c>
      <c r="BC3492">
        <v>1</v>
      </c>
      <c r="BE3492">
        <v>0</v>
      </c>
      <c r="BF3492">
        <v>0</v>
      </c>
      <c r="BG3492">
        <v>0</v>
      </c>
      <c r="BH3492">
        <v>1325</v>
      </c>
      <c r="BI3492">
        <v>1</v>
      </c>
      <c r="BJ3492">
        <v>1</v>
      </c>
      <c r="BK3492">
        <v>1</v>
      </c>
      <c r="BL3492">
        <v>0</v>
      </c>
      <c r="BO3492">
        <v>0</v>
      </c>
      <c r="BP3492">
        <v>0</v>
      </c>
      <c r="BW3492" t="str">
        <f>"20:33:31.628"</f>
        <v>20:33:31.628</v>
      </c>
      <c r="BZ3492">
        <v>0</v>
      </c>
      <c r="CA3492">
        <v>1600</v>
      </c>
      <c r="CB3492">
        <v>224</v>
      </c>
      <c r="CD3492">
        <v>1</v>
      </c>
      <c r="CE3492">
        <v>0</v>
      </c>
      <c r="CF3492">
        <v>0</v>
      </c>
      <c r="CG3492">
        <v>1</v>
      </c>
      <c r="CH3492">
        <v>0</v>
      </c>
      <c r="CI3492">
        <v>0</v>
      </c>
      <c r="CJ3492">
        <v>0</v>
      </c>
      <c r="CK3492">
        <v>2</v>
      </c>
      <c r="CL3492">
        <v>0</v>
      </c>
      <c r="CM3492">
        <v>2</v>
      </c>
      <c r="CN3492">
        <v>0</v>
      </c>
      <c r="CO3492">
        <v>7</v>
      </c>
      <c r="CP3492" t="s">
        <v>119</v>
      </c>
      <c r="CQ3492">
        <v>180</v>
      </c>
      <c r="CR3492">
        <v>3</v>
      </c>
      <c r="CW3492">
        <v>1173297</v>
      </c>
      <c r="CY3492">
        <v>1</v>
      </c>
      <c r="CZ3492">
        <v>0</v>
      </c>
      <c r="DA3492">
        <v>1</v>
      </c>
      <c r="DB3492">
        <v>0</v>
      </c>
      <c r="DC3492">
        <v>0</v>
      </c>
      <c r="DD3492">
        <v>0</v>
      </c>
      <c r="DE3492">
        <v>0</v>
      </c>
      <c r="DF3492">
        <v>0</v>
      </c>
      <c r="DG3492">
        <v>0</v>
      </c>
      <c r="DH3492">
        <v>0</v>
      </c>
      <c r="DI3492">
        <v>0</v>
      </c>
    </row>
    <row r="3493" spans="1:113" x14ac:dyDescent="0.3">
      <c r="A3493" t="str">
        <f>"02/08/2021 20:33:29.283"</f>
        <v>02/08/2021 20:33:29.283</v>
      </c>
      <c r="C3493" t="str">
        <f t="shared" si="173"/>
        <v>FFDFD7C0</v>
      </c>
      <c r="D3493" t="s">
        <v>124</v>
      </c>
      <c r="E3493">
        <v>11</v>
      </c>
      <c r="F3493">
        <v>1011</v>
      </c>
      <c r="G3493" t="s">
        <v>590</v>
      </c>
      <c r="J3493" t="s">
        <v>125</v>
      </c>
      <c r="K3493">
        <v>0</v>
      </c>
      <c r="L3493">
        <v>3</v>
      </c>
      <c r="M3493">
        <v>0</v>
      </c>
      <c r="N3493">
        <v>2</v>
      </c>
      <c r="O3493">
        <v>1</v>
      </c>
      <c r="P3493">
        <v>0</v>
      </c>
      <c r="Q3493">
        <v>0</v>
      </c>
      <c r="S3493" t="str">
        <f>"20:33:31.625"</f>
        <v>20:33:31.625</v>
      </c>
      <c r="T3493" t="str">
        <f>"20:33:31.225"</f>
        <v>20:33:31.225</v>
      </c>
      <c r="U3493" t="str">
        <f t="shared" si="172"/>
        <v>AB01F4</v>
      </c>
      <c r="V3493">
        <v>0</v>
      </c>
      <c r="W3493">
        <v>0</v>
      </c>
      <c r="X3493">
        <v>2</v>
      </c>
      <c r="Z3493">
        <v>0</v>
      </c>
      <c r="AA3493">
        <v>9</v>
      </c>
      <c r="AB3493">
        <v>3</v>
      </c>
      <c r="AC3493">
        <v>0</v>
      </c>
      <c r="AD3493">
        <v>10</v>
      </c>
      <c r="AE3493">
        <v>0</v>
      </c>
      <c r="AF3493">
        <v>3</v>
      </c>
      <c r="AG3493">
        <v>2</v>
      </c>
      <c r="AH3493">
        <v>0</v>
      </c>
      <c r="AI3493" t="s">
        <v>1995</v>
      </c>
      <c r="AJ3493">
        <v>40.089346999999997</v>
      </c>
      <c r="AK3493" t="s">
        <v>1996</v>
      </c>
      <c r="AL3493">
        <v>-92.975299000000007</v>
      </c>
      <c r="AM3493">
        <v>100</v>
      </c>
      <c r="AN3493">
        <v>1300</v>
      </c>
      <c r="AO3493" t="s">
        <v>118</v>
      </c>
      <c r="AP3493">
        <v>-113</v>
      </c>
      <c r="AQ3493">
        <v>63</v>
      </c>
      <c r="AR3493">
        <v>0</v>
      </c>
      <c r="AZ3493">
        <v>1200</v>
      </c>
      <c r="BA3493">
        <v>1</v>
      </c>
      <c r="BB3493" t="str">
        <f t="shared" si="170"/>
        <v xml:space="preserve">N8080G  </v>
      </c>
      <c r="BC3493">
        <v>1</v>
      </c>
      <c r="BE3493">
        <v>0</v>
      </c>
      <c r="BF3493">
        <v>0</v>
      </c>
      <c r="BG3493">
        <v>0</v>
      </c>
      <c r="BH3493">
        <v>1325</v>
      </c>
      <c r="BI3493">
        <v>1</v>
      </c>
      <c r="BJ3493">
        <v>1</v>
      </c>
      <c r="BK3493">
        <v>1</v>
      </c>
      <c r="BL3493">
        <v>0</v>
      </c>
      <c r="BO3493">
        <v>0</v>
      </c>
      <c r="BP3493">
        <v>0</v>
      </c>
      <c r="BW3493" t="str">
        <f>"20:33:31.628"</f>
        <v>20:33:31.628</v>
      </c>
      <c r="BZ3493">
        <v>0</v>
      </c>
      <c r="CA3493">
        <v>1600</v>
      </c>
      <c r="CB3493">
        <v>224</v>
      </c>
      <c r="CD3493">
        <v>1</v>
      </c>
      <c r="CE3493">
        <v>0</v>
      </c>
      <c r="CF3493">
        <v>0</v>
      </c>
      <c r="CG3493">
        <v>1</v>
      </c>
      <c r="CH3493">
        <v>0</v>
      </c>
      <c r="CI3493">
        <v>0</v>
      </c>
      <c r="CJ3493">
        <v>0</v>
      </c>
      <c r="CK3493">
        <v>2</v>
      </c>
      <c r="CL3493">
        <v>0</v>
      </c>
      <c r="CM3493">
        <v>2</v>
      </c>
      <c r="CN3493">
        <v>0</v>
      </c>
      <c r="CO3493">
        <v>7</v>
      </c>
      <c r="CP3493" t="s">
        <v>119</v>
      </c>
      <c r="CQ3493">
        <v>180</v>
      </c>
      <c r="CR3493">
        <v>3</v>
      </c>
      <c r="CW3493">
        <v>1173297</v>
      </c>
      <c r="CY3493">
        <v>1</v>
      </c>
      <c r="CZ3493">
        <v>0</v>
      </c>
      <c r="DA3493">
        <v>1</v>
      </c>
      <c r="DB3493">
        <v>0</v>
      </c>
      <c r="DC3493">
        <v>0</v>
      </c>
      <c r="DD3493">
        <v>0</v>
      </c>
      <c r="DE3493">
        <v>0</v>
      </c>
      <c r="DF3493">
        <v>0</v>
      </c>
      <c r="DG3493">
        <v>0</v>
      </c>
      <c r="DH3493">
        <v>0</v>
      </c>
      <c r="DI3493">
        <v>0</v>
      </c>
    </row>
    <row r="3494" spans="1:113" x14ac:dyDescent="0.3">
      <c r="A3494" t="str">
        <f>"02/08/2021 20:33:29.283"</f>
        <v>02/08/2021 20:33:29.283</v>
      </c>
      <c r="C3494" t="str">
        <f t="shared" si="173"/>
        <v>FFDFD7C0</v>
      </c>
      <c r="D3494" t="s">
        <v>124</v>
      </c>
      <c r="E3494">
        <v>12</v>
      </c>
      <c r="F3494">
        <v>1012</v>
      </c>
      <c r="G3494" t="s">
        <v>675</v>
      </c>
      <c r="J3494" t="s">
        <v>125</v>
      </c>
      <c r="K3494">
        <v>0</v>
      </c>
      <c r="L3494">
        <v>3</v>
      </c>
      <c r="M3494">
        <v>0</v>
      </c>
      <c r="N3494">
        <v>2</v>
      </c>
      <c r="O3494">
        <v>1</v>
      </c>
      <c r="P3494">
        <v>0</v>
      </c>
      <c r="Q3494">
        <v>0</v>
      </c>
      <c r="S3494" t="str">
        <f>"20:33:31.625"</f>
        <v>20:33:31.625</v>
      </c>
      <c r="T3494" t="str">
        <f>"20:33:31.225"</f>
        <v>20:33:31.225</v>
      </c>
      <c r="U3494" t="str">
        <f t="shared" si="172"/>
        <v>AB01F4</v>
      </c>
      <c r="V3494">
        <v>0</v>
      </c>
      <c r="W3494">
        <v>0</v>
      </c>
      <c r="X3494">
        <v>2</v>
      </c>
      <c r="Z3494">
        <v>0</v>
      </c>
      <c r="AA3494">
        <v>9</v>
      </c>
      <c r="AB3494">
        <v>3</v>
      </c>
      <c r="AC3494">
        <v>0</v>
      </c>
      <c r="AD3494">
        <v>10</v>
      </c>
      <c r="AE3494">
        <v>0</v>
      </c>
      <c r="AF3494">
        <v>3</v>
      </c>
      <c r="AG3494">
        <v>2</v>
      </c>
      <c r="AH3494">
        <v>0</v>
      </c>
      <c r="AI3494" t="s">
        <v>1995</v>
      </c>
      <c r="AJ3494">
        <v>40.089346999999997</v>
      </c>
      <c r="AK3494" t="s">
        <v>1996</v>
      </c>
      <c r="AL3494">
        <v>-92.975299000000007</v>
      </c>
      <c r="AM3494">
        <v>100</v>
      </c>
      <c r="AN3494">
        <v>1300</v>
      </c>
      <c r="AO3494" t="s">
        <v>118</v>
      </c>
      <c r="AP3494">
        <v>-113</v>
      </c>
      <c r="AQ3494">
        <v>63</v>
      </c>
      <c r="AR3494">
        <v>0</v>
      </c>
      <c r="AZ3494">
        <v>1200</v>
      </c>
      <c r="BA3494">
        <v>1</v>
      </c>
      <c r="BB3494" t="str">
        <f t="shared" si="170"/>
        <v xml:space="preserve">N8080G  </v>
      </c>
      <c r="BC3494">
        <v>1</v>
      </c>
      <c r="BE3494">
        <v>0</v>
      </c>
      <c r="BF3494">
        <v>0</v>
      </c>
      <c r="BG3494">
        <v>0</v>
      </c>
      <c r="BH3494">
        <v>1325</v>
      </c>
      <c r="BI3494">
        <v>1</v>
      </c>
      <c r="BJ3494">
        <v>1</v>
      </c>
      <c r="BK3494">
        <v>1</v>
      </c>
      <c r="BL3494">
        <v>0</v>
      </c>
      <c r="BO3494">
        <v>0</v>
      </c>
      <c r="BP3494">
        <v>0</v>
      </c>
      <c r="BW3494" t="str">
        <f>"20:33:31.628"</f>
        <v>20:33:31.628</v>
      </c>
      <c r="BZ3494">
        <v>0</v>
      </c>
      <c r="CA3494">
        <v>1600</v>
      </c>
      <c r="CB3494">
        <v>224</v>
      </c>
      <c r="CD3494">
        <v>1</v>
      </c>
      <c r="CE3494">
        <v>0</v>
      </c>
      <c r="CF3494">
        <v>0</v>
      </c>
      <c r="CG3494">
        <v>1</v>
      </c>
      <c r="CH3494">
        <v>0</v>
      </c>
      <c r="CI3494">
        <v>0</v>
      </c>
      <c r="CJ3494">
        <v>0</v>
      </c>
      <c r="CK3494">
        <v>2</v>
      </c>
      <c r="CL3494">
        <v>0</v>
      </c>
      <c r="CM3494">
        <v>2</v>
      </c>
      <c r="CN3494">
        <v>0</v>
      </c>
      <c r="CO3494">
        <v>7</v>
      </c>
      <c r="CP3494" t="s">
        <v>119</v>
      </c>
      <c r="CQ3494">
        <v>180</v>
      </c>
      <c r="CR3494">
        <v>3</v>
      </c>
      <c r="CW3494">
        <v>1173297</v>
      </c>
      <c r="CY3494">
        <v>1</v>
      </c>
      <c r="CZ3494">
        <v>0</v>
      </c>
      <c r="DA3494">
        <v>1</v>
      </c>
      <c r="DB3494">
        <v>0</v>
      </c>
      <c r="DC3494">
        <v>0</v>
      </c>
      <c r="DD3494">
        <v>0</v>
      </c>
      <c r="DE3494">
        <v>0</v>
      </c>
      <c r="DF3494">
        <v>0</v>
      </c>
      <c r="DG3494">
        <v>0</v>
      </c>
      <c r="DH3494">
        <v>0</v>
      </c>
      <c r="DI3494">
        <v>0</v>
      </c>
    </row>
    <row r="3495" spans="1:113" x14ac:dyDescent="0.3">
      <c r="A3495" t="str">
        <f>"02/08/2021 20:33:30.713"</f>
        <v>02/08/2021 20:33:30.713</v>
      </c>
      <c r="C3495" t="str">
        <f t="shared" si="173"/>
        <v>FFDFD7C0</v>
      </c>
      <c r="D3495" t="s">
        <v>113</v>
      </c>
      <c r="E3495">
        <v>6</v>
      </c>
      <c r="H3495">
        <v>165</v>
      </c>
      <c r="I3495" t="s">
        <v>114</v>
      </c>
      <c r="J3495" t="s">
        <v>115</v>
      </c>
      <c r="K3495">
        <v>0</v>
      </c>
      <c r="L3495">
        <v>3</v>
      </c>
      <c r="M3495">
        <v>0</v>
      </c>
      <c r="N3495">
        <v>2</v>
      </c>
      <c r="O3495">
        <v>1</v>
      </c>
      <c r="P3495">
        <v>0</v>
      </c>
      <c r="Q3495">
        <v>0</v>
      </c>
      <c r="S3495" t="str">
        <f>"20:33:33.047"</f>
        <v>20:33:33.047</v>
      </c>
      <c r="T3495" t="str">
        <f>"20:33:32.547"</f>
        <v>20:33:32.547</v>
      </c>
      <c r="U3495" t="str">
        <f t="shared" si="172"/>
        <v>AB01F4</v>
      </c>
      <c r="V3495">
        <v>0</v>
      </c>
      <c r="W3495">
        <v>0</v>
      </c>
      <c r="X3495">
        <v>2</v>
      </c>
      <c r="Z3495">
        <v>0</v>
      </c>
      <c r="AA3495">
        <v>9</v>
      </c>
      <c r="AB3495">
        <v>3</v>
      </c>
      <c r="AC3495">
        <v>0</v>
      </c>
      <c r="AD3495">
        <v>10</v>
      </c>
      <c r="AE3495">
        <v>0</v>
      </c>
      <c r="AF3495">
        <v>3</v>
      </c>
      <c r="AG3495">
        <v>2</v>
      </c>
      <c r="AH3495">
        <v>0</v>
      </c>
      <c r="AI3495" t="s">
        <v>1997</v>
      </c>
      <c r="AJ3495">
        <v>40.089754999999997</v>
      </c>
      <c r="AK3495" t="s">
        <v>1998</v>
      </c>
      <c r="AL3495">
        <v>-92.976242999999997</v>
      </c>
      <c r="AM3495">
        <v>100</v>
      </c>
      <c r="AN3495">
        <v>1300</v>
      </c>
      <c r="AO3495" t="s">
        <v>118</v>
      </c>
      <c r="AP3495">
        <v>-114</v>
      </c>
      <c r="AQ3495">
        <v>62</v>
      </c>
      <c r="AR3495">
        <v>-64</v>
      </c>
      <c r="AZ3495">
        <v>1200</v>
      </c>
      <c r="BA3495">
        <v>1</v>
      </c>
      <c r="BB3495" t="str">
        <f t="shared" si="170"/>
        <v xml:space="preserve">N8080G  </v>
      </c>
      <c r="BC3495">
        <v>1</v>
      </c>
      <c r="BE3495">
        <v>0</v>
      </c>
      <c r="BF3495">
        <v>0</v>
      </c>
      <c r="BG3495">
        <v>0</v>
      </c>
      <c r="BH3495">
        <v>1325</v>
      </c>
      <c r="BI3495">
        <v>1</v>
      </c>
      <c r="BJ3495">
        <v>1</v>
      </c>
      <c r="BK3495">
        <v>1</v>
      </c>
      <c r="BL3495">
        <v>0</v>
      </c>
      <c r="BO3495">
        <v>0</v>
      </c>
      <c r="BP3495">
        <v>0</v>
      </c>
      <c r="BW3495" t="str">
        <f>"20:33:33.054"</f>
        <v>20:33:33.054</v>
      </c>
      <c r="BZ3495">
        <v>0</v>
      </c>
      <c r="CA3495">
        <v>1600</v>
      </c>
      <c r="CB3495">
        <v>224</v>
      </c>
      <c r="CD3495">
        <v>1</v>
      </c>
      <c r="CE3495">
        <v>0</v>
      </c>
      <c r="CF3495">
        <v>0</v>
      </c>
      <c r="CG3495">
        <v>1</v>
      </c>
      <c r="CH3495">
        <v>0</v>
      </c>
      <c r="CI3495">
        <v>0</v>
      </c>
      <c r="CJ3495">
        <v>0</v>
      </c>
      <c r="CK3495">
        <v>2</v>
      </c>
      <c r="CL3495">
        <v>0</v>
      </c>
      <c r="CM3495">
        <v>2</v>
      </c>
      <c r="CN3495">
        <v>0</v>
      </c>
      <c r="CO3495">
        <v>7</v>
      </c>
      <c r="CP3495" t="s">
        <v>119</v>
      </c>
      <c r="CQ3495">
        <v>180</v>
      </c>
      <c r="CR3495">
        <v>3</v>
      </c>
      <c r="CW3495">
        <v>1174420</v>
      </c>
      <c r="CY3495">
        <v>1</v>
      </c>
      <c r="CZ3495">
        <v>0</v>
      </c>
      <c r="DA3495">
        <v>0</v>
      </c>
      <c r="DB3495">
        <v>0</v>
      </c>
      <c r="DC3495">
        <v>0</v>
      </c>
      <c r="DD3495">
        <v>0</v>
      </c>
      <c r="DE3495">
        <v>0</v>
      </c>
      <c r="DF3495">
        <v>0</v>
      </c>
      <c r="DG3495">
        <v>0</v>
      </c>
      <c r="DH3495">
        <v>0</v>
      </c>
      <c r="DI3495">
        <v>0</v>
      </c>
    </row>
    <row r="3496" spans="1:113" x14ac:dyDescent="0.3">
      <c r="A3496" t="str">
        <f>"02/08/2021 20:33:30.713"</f>
        <v>02/08/2021 20:33:30.713</v>
      </c>
      <c r="C3496" t="str">
        <f t="shared" si="173"/>
        <v>FFDFD7C0</v>
      </c>
      <c r="D3496" t="s">
        <v>124</v>
      </c>
      <c r="E3496">
        <v>12</v>
      </c>
      <c r="F3496">
        <v>1012</v>
      </c>
      <c r="G3496" t="s">
        <v>675</v>
      </c>
      <c r="J3496" t="s">
        <v>125</v>
      </c>
      <c r="K3496">
        <v>0</v>
      </c>
      <c r="L3496">
        <v>3</v>
      </c>
      <c r="M3496">
        <v>0</v>
      </c>
      <c r="N3496">
        <v>2</v>
      </c>
      <c r="O3496">
        <v>1</v>
      </c>
      <c r="P3496">
        <v>0</v>
      </c>
      <c r="Q3496">
        <v>0</v>
      </c>
      <c r="S3496" t="str">
        <f>"20:33:33.047"</f>
        <v>20:33:33.047</v>
      </c>
      <c r="T3496" t="str">
        <f>"20:33:32.547"</f>
        <v>20:33:32.547</v>
      </c>
      <c r="U3496" t="str">
        <f t="shared" si="172"/>
        <v>AB01F4</v>
      </c>
      <c r="V3496">
        <v>0</v>
      </c>
      <c r="W3496">
        <v>0</v>
      </c>
      <c r="X3496">
        <v>2</v>
      </c>
      <c r="Z3496">
        <v>0</v>
      </c>
      <c r="AA3496">
        <v>9</v>
      </c>
      <c r="AB3496">
        <v>3</v>
      </c>
      <c r="AC3496">
        <v>0</v>
      </c>
      <c r="AD3496">
        <v>10</v>
      </c>
      <c r="AE3496">
        <v>0</v>
      </c>
      <c r="AF3496">
        <v>3</v>
      </c>
      <c r="AG3496">
        <v>2</v>
      </c>
      <c r="AH3496">
        <v>0</v>
      </c>
      <c r="AI3496" t="s">
        <v>1997</v>
      </c>
      <c r="AJ3496">
        <v>40.089754999999997</v>
      </c>
      <c r="AK3496" t="s">
        <v>1998</v>
      </c>
      <c r="AL3496">
        <v>-92.976242999999997</v>
      </c>
      <c r="AM3496">
        <v>100</v>
      </c>
      <c r="AN3496">
        <v>1300</v>
      </c>
      <c r="AO3496" t="s">
        <v>118</v>
      </c>
      <c r="AP3496">
        <v>-114</v>
      </c>
      <c r="AQ3496">
        <v>62</v>
      </c>
      <c r="AR3496">
        <v>-64</v>
      </c>
      <c r="AZ3496">
        <v>1200</v>
      </c>
      <c r="BA3496">
        <v>1</v>
      </c>
      <c r="BB3496" t="str">
        <f t="shared" si="170"/>
        <v xml:space="preserve">N8080G  </v>
      </c>
      <c r="BC3496">
        <v>1</v>
      </c>
      <c r="BE3496">
        <v>0</v>
      </c>
      <c r="BF3496">
        <v>0</v>
      </c>
      <c r="BG3496">
        <v>0</v>
      </c>
      <c r="BH3496">
        <v>1325</v>
      </c>
      <c r="BI3496">
        <v>1</v>
      </c>
      <c r="BJ3496">
        <v>1</v>
      </c>
      <c r="BK3496">
        <v>1</v>
      </c>
      <c r="BL3496">
        <v>0</v>
      </c>
      <c r="BO3496">
        <v>0</v>
      </c>
      <c r="BP3496">
        <v>0</v>
      </c>
      <c r="BW3496" t="str">
        <f>"20:33:33.054"</f>
        <v>20:33:33.054</v>
      </c>
      <c r="BZ3496">
        <v>0</v>
      </c>
      <c r="CA3496">
        <v>1600</v>
      </c>
      <c r="CB3496">
        <v>224</v>
      </c>
      <c r="CD3496">
        <v>1</v>
      </c>
      <c r="CE3496">
        <v>0</v>
      </c>
      <c r="CF3496">
        <v>0</v>
      </c>
      <c r="CG3496">
        <v>1</v>
      </c>
      <c r="CH3496">
        <v>0</v>
      </c>
      <c r="CI3496">
        <v>0</v>
      </c>
      <c r="CJ3496">
        <v>0</v>
      </c>
      <c r="CK3496">
        <v>2</v>
      </c>
      <c r="CL3496">
        <v>0</v>
      </c>
      <c r="CM3496">
        <v>2</v>
      </c>
      <c r="CN3496">
        <v>0</v>
      </c>
      <c r="CO3496">
        <v>7</v>
      </c>
      <c r="CP3496" t="s">
        <v>119</v>
      </c>
      <c r="CQ3496">
        <v>180</v>
      </c>
      <c r="CR3496">
        <v>3</v>
      </c>
      <c r="CW3496">
        <v>1174420</v>
      </c>
      <c r="CY3496">
        <v>1</v>
      </c>
      <c r="CZ3496">
        <v>0</v>
      </c>
      <c r="DA3496">
        <v>1</v>
      </c>
      <c r="DB3496">
        <v>0</v>
      </c>
      <c r="DC3496">
        <v>0</v>
      </c>
      <c r="DD3496">
        <v>0</v>
      </c>
      <c r="DE3496">
        <v>0</v>
      </c>
      <c r="DF3496">
        <v>0</v>
      </c>
      <c r="DG3496">
        <v>0</v>
      </c>
      <c r="DH3496">
        <v>0</v>
      </c>
      <c r="DI3496">
        <v>0</v>
      </c>
    </row>
    <row r="3497" spans="1:113" x14ac:dyDescent="0.3">
      <c r="A3497" t="str">
        <f>"02/08/2021 20:33:30.713"</f>
        <v>02/08/2021 20:33:30.713</v>
      </c>
      <c r="C3497" t="str">
        <f t="shared" si="173"/>
        <v>FFDFD7C0</v>
      </c>
      <c r="D3497" t="s">
        <v>124</v>
      </c>
      <c r="E3497">
        <v>11</v>
      </c>
      <c r="F3497">
        <v>1011</v>
      </c>
      <c r="G3497" t="s">
        <v>590</v>
      </c>
      <c r="J3497" t="s">
        <v>125</v>
      </c>
      <c r="K3497">
        <v>0</v>
      </c>
      <c r="L3497">
        <v>3</v>
      </c>
      <c r="M3497">
        <v>0</v>
      </c>
      <c r="N3497">
        <v>2</v>
      </c>
      <c r="O3497">
        <v>1</v>
      </c>
      <c r="P3497">
        <v>0</v>
      </c>
      <c r="Q3497">
        <v>0</v>
      </c>
      <c r="S3497" t="str">
        <f>"20:33:33.047"</f>
        <v>20:33:33.047</v>
      </c>
      <c r="T3497" t="str">
        <f>"20:33:32.547"</f>
        <v>20:33:32.547</v>
      </c>
      <c r="U3497" t="str">
        <f t="shared" si="172"/>
        <v>AB01F4</v>
      </c>
      <c r="V3497">
        <v>0</v>
      </c>
      <c r="W3497">
        <v>0</v>
      </c>
      <c r="X3497">
        <v>2</v>
      </c>
      <c r="Z3497">
        <v>0</v>
      </c>
      <c r="AA3497">
        <v>9</v>
      </c>
      <c r="AB3497">
        <v>3</v>
      </c>
      <c r="AC3497">
        <v>0</v>
      </c>
      <c r="AD3497">
        <v>10</v>
      </c>
      <c r="AE3497">
        <v>0</v>
      </c>
      <c r="AF3497">
        <v>3</v>
      </c>
      <c r="AG3497">
        <v>2</v>
      </c>
      <c r="AH3497">
        <v>0</v>
      </c>
      <c r="AI3497" t="s">
        <v>1997</v>
      </c>
      <c r="AJ3497">
        <v>40.089754999999997</v>
      </c>
      <c r="AK3497" t="s">
        <v>1998</v>
      </c>
      <c r="AL3497">
        <v>-92.976242999999997</v>
      </c>
      <c r="AM3497">
        <v>100</v>
      </c>
      <c r="AN3497">
        <v>1300</v>
      </c>
      <c r="AO3497" t="s">
        <v>118</v>
      </c>
      <c r="AP3497">
        <v>-114</v>
      </c>
      <c r="AQ3497">
        <v>62</v>
      </c>
      <c r="AR3497">
        <v>-64</v>
      </c>
      <c r="AZ3497">
        <v>1200</v>
      </c>
      <c r="BA3497">
        <v>1</v>
      </c>
      <c r="BB3497" t="str">
        <f t="shared" si="170"/>
        <v xml:space="preserve">N8080G  </v>
      </c>
      <c r="BC3497">
        <v>1</v>
      </c>
      <c r="BE3497">
        <v>0</v>
      </c>
      <c r="BF3497">
        <v>0</v>
      </c>
      <c r="BG3497">
        <v>0</v>
      </c>
      <c r="BH3497">
        <v>1325</v>
      </c>
      <c r="BI3497">
        <v>1</v>
      </c>
      <c r="BJ3497">
        <v>1</v>
      </c>
      <c r="BK3497">
        <v>1</v>
      </c>
      <c r="BL3497">
        <v>0</v>
      </c>
      <c r="BO3497">
        <v>0</v>
      </c>
      <c r="BP3497">
        <v>0</v>
      </c>
      <c r="BW3497" t="str">
        <f>"20:33:33.054"</f>
        <v>20:33:33.054</v>
      </c>
      <c r="BZ3497">
        <v>0</v>
      </c>
      <c r="CA3497">
        <v>1600</v>
      </c>
      <c r="CB3497">
        <v>224</v>
      </c>
      <c r="CD3497">
        <v>1</v>
      </c>
      <c r="CE3497">
        <v>0</v>
      </c>
      <c r="CF3497">
        <v>0</v>
      </c>
      <c r="CG3497">
        <v>1</v>
      </c>
      <c r="CH3497">
        <v>0</v>
      </c>
      <c r="CI3497">
        <v>0</v>
      </c>
      <c r="CJ3497">
        <v>0</v>
      </c>
      <c r="CK3497">
        <v>2</v>
      </c>
      <c r="CL3497">
        <v>0</v>
      </c>
      <c r="CM3497">
        <v>2</v>
      </c>
      <c r="CN3497">
        <v>0</v>
      </c>
      <c r="CO3497">
        <v>7</v>
      </c>
      <c r="CP3497" t="s">
        <v>119</v>
      </c>
      <c r="CQ3497">
        <v>180</v>
      </c>
      <c r="CR3497">
        <v>3</v>
      </c>
      <c r="CW3497">
        <v>1174420</v>
      </c>
      <c r="CY3497">
        <v>1</v>
      </c>
      <c r="CZ3497">
        <v>0</v>
      </c>
      <c r="DA3497">
        <v>1</v>
      </c>
      <c r="DB3497">
        <v>0</v>
      </c>
      <c r="DC3497">
        <v>0</v>
      </c>
      <c r="DD3497">
        <v>0</v>
      </c>
      <c r="DE3497">
        <v>0</v>
      </c>
      <c r="DF3497">
        <v>0</v>
      </c>
      <c r="DG3497">
        <v>0</v>
      </c>
      <c r="DH3497">
        <v>0</v>
      </c>
      <c r="DI3497">
        <v>0</v>
      </c>
    </row>
    <row r="3498" spans="1:113" x14ac:dyDescent="0.3">
      <c r="A3498" t="str">
        <f>"02/08/2021 20:33:30.713"</f>
        <v>02/08/2021 20:33:30.713</v>
      </c>
      <c r="C3498" t="str">
        <f t="shared" si="173"/>
        <v>FFDFD7C0</v>
      </c>
      <c r="D3498" t="s">
        <v>124</v>
      </c>
      <c r="E3498">
        <v>13</v>
      </c>
      <c r="F3498">
        <v>1013</v>
      </c>
      <c r="G3498" t="s">
        <v>114</v>
      </c>
      <c r="J3498" t="s">
        <v>125</v>
      </c>
      <c r="K3498">
        <v>0</v>
      </c>
      <c r="L3498">
        <v>3</v>
      </c>
      <c r="M3498">
        <v>0</v>
      </c>
      <c r="N3498">
        <v>2</v>
      </c>
      <c r="O3498">
        <v>1</v>
      </c>
      <c r="P3498">
        <v>0</v>
      </c>
      <c r="Q3498">
        <v>0</v>
      </c>
      <c r="S3498" t="str">
        <f>"20:33:33.047"</f>
        <v>20:33:33.047</v>
      </c>
      <c r="T3498" t="str">
        <f>"20:33:32.547"</f>
        <v>20:33:32.547</v>
      </c>
      <c r="U3498" t="str">
        <f t="shared" si="172"/>
        <v>AB01F4</v>
      </c>
      <c r="V3498">
        <v>0</v>
      </c>
      <c r="W3498">
        <v>0</v>
      </c>
      <c r="X3498">
        <v>2</v>
      </c>
      <c r="Z3498">
        <v>0</v>
      </c>
      <c r="AA3498">
        <v>9</v>
      </c>
      <c r="AB3498">
        <v>3</v>
      </c>
      <c r="AC3498">
        <v>0</v>
      </c>
      <c r="AD3498">
        <v>10</v>
      </c>
      <c r="AE3498">
        <v>0</v>
      </c>
      <c r="AF3498">
        <v>3</v>
      </c>
      <c r="AG3498">
        <v>2</v>
      </c>
      <c r="AH3498">
        <v>0</v>
      </c>
      <c r="AI3498" t="s">
        <v>1997</v>
      </c>
      <c r="AJ3498">
        <v>40.089754999999997</v>
      </c>
      <c r="AK3498" t="s">
        <v>1998</v>
      </c>
      <c r="AL3498">
        <v>-92.976242999999997</v>
      </c>
      <c r="AM3498">
        <v>100</v>
      </c>
      <c r="AN3498">
        <v>1300</v>
      </c>
      <c r="AO3498" t="s">
        <v>118</v>
      </c>
      <c r="AP3498">
        <v>-114</v>
      </c>
      <c r="AQ3498">
        <v>62</v>
      </c>
      <c r="AR3498">
        <v>-64</v>
      </c>
      <c r="AZ3498">
        <v>1200</v>
      </c>
      <c r="BA3498">
        <v>1</v>
      </c>
      <c r="BB3498" t="str">
        <f t="shared" si="170"/>
        <v xml:space="preserve">N8080G  </v>
      </c>
      <c r="BC3498">
        <v>1</v>
      </c>
      <c r="BE3498">
        <v>0</v>
      </c>
      <c r="BF3498">
        <v>0</v>
      </c>
      <c r="BG3498">
        <v>0</v>
      </c>
      <c r="BH3498">
        <v>1325</v>
      </c>
      <c r="BI3498">
        <v>1</v>
      </c>
      <c r="BJ3498">
        <v>1</v>
      </c>
      <c r="BK3498">
        <v>1</v>
      </c>
      <c r="BL3498">
        <v>0</v>
      </c>
      <c r="BO3498">
        <v>0</v>
      </c>
      <c r="BP3498">
        <v>0</v>
      </c>
      <c r="BW3498" t="str">
        <f>"20:33:33.054"</f>
        <v>20:33:33.054</v>
      </c>
      <c r="BZ3498">
        <v>0</v>
      </c>
      <c r="CA3498">
        <v>1600</v>
      </c>
      <c r="CB3498">
        <v>224</v>
      </c>
      <c r="CD3498">
        <v>1</v>
      </c>
      <c r="CE3498">
        <v>0</v>
      </c>
      <c r="CF3498">
        <v>0</v>
      </c>
      <c r="CG3498">
        <v>1</v>
      </c>
      <c r="CH3498">
        <v>0</v>
      </c>
      <c r="CI3498">
        <v>0</v>
      </c>
      <c r="CJ3498">
        <v>0</v>
      </c>
      <c r="CK3498">
        <v>2</v>
      </c>
      <c r="CL3498">
        <v>0</v>
      </c>
      <c r="CM3498">
        <v>2</v>
      </c>
      <c r="CN3498">
        <v>0</v>
      </c>
      <c r="CO3498">
        <v>7</v>
      </c>
      <c r="CP3498" t="s">
        <v>119</v>
      </c>
      <c r="CQ3498">
        <v>180</v>
      </c>
      <c r="CR3498">
        <v>3</v>
      </c>
      <c r="CW3498">
        <v>1174420</v>
      </c>
      <c r="CY3498">
        <v>1</v>
      </c>
      <c r="CZ3498">
        <v>0</v>
      </c>
      <c r="DA3498">
        <v>1</v>
      </c>
      <c r="DB3498">
        <v>0</v>
      </c>
      <c r="DC3498">
        <v>0</v>
      </c>
      <c r="DD3498">
        <v>0</v>
      </c>
      <c r="DE3498">
        <v>0</v>
      </c>
      <c r="DF3498">
        <v>0</v>
      </c>
      <c r="DG3498">
        <v>0</v>
      </c>
      <c r="DH3498">
        <v>0</v>
      </c>
      <c r="DI3498">
        <v>0</v>
      </c>
    </row>
    <row r="3499" spans="1:113" x14ac:dyDescent="0.3">
      <c r="A3499" t="str">
        <f>"02/08/2021 20:33:32.249"</f>
        <v>02/08/2021 20:33:32.249</v>
      </c>
      <c r="C3499" t="str">
        <f t="shared" si="173"/>
        <v>FFDFD7C0</v>
      </c>
      <c r="D3499" t="s">
        <v>124</v>
      </c>
      <c r="E3499">
        <v>13</v>
      </c>
      <c r="F3499">
        <v>1013</v>
      </c>
      <c r="G3499" t="s">
        <v>114</v>
      </c>
      <c r="J3499" t="s">
        <v>125</v>
      </c>
      <c r="K3499">
        <v>0</v>
      </c>
      <c r="L3499">
        <v>3</v>
      </c>
      <c r="M3499">
        <v>0</v>
      </c>
      <c r="N3499">
        <v>2</v>
      </c>
      <c r="O3499">
        <v>1</v>
      </c>
      <c r="P3499">
        <v>0</v>
      </c>
      <c r="Q3499">
        <v>0</v>
      </c>
      <c r="S3499" t="str">
        <f>"20:33:34.563"</f>
        <v>20:33:34.563</v>
      </c>
      <c r="T3499" t="str">
        <f>"20:33:34.063"</f>
        <v>20:33:34.063</v>
      </c>
      <c r="U3499" t="str">
        <f t="shared" si="172"/>
        <v>AB01F4</v>
      </c>
      <c r="V3499">
        <v>0</v>
      </c>
      <c r="W3499">
        <v>0</v>
      </c>
      <c r="X3499">
        <v>2</v>
      </c>
      <c r="Z3499">
        <v>0</v>
      </c>
      <c r="AA3499">
        <v>9</v>
      </c>
      <c r="AB3499">
        <v>3</v>
      </c>
      <c r="AC3499">
        <v>0</v>
      </c>
      <c r="AD3499">
        <v>10</v>
      </c>
      <c r="AE3499">
        <v>0</v>
      </c>
      <c r="AF3499">
        <v>3</v>
      </c>
      <c r="AG3499">
        <v>2</v>
      </c>
      <c r="AH3499">
        <v>0</v>
      </c>
      <c r="AI3499" t="s">
        <v>1999</v>
      </c>
      <c r="AJ3499">
        <v>40.090206000000002</v>
      </c>
      <c r="AK3499" t="s">
        <v>2000</v>
      </c>
      <c r="AL3499">
        <v>-92.977294999999998</v>
      </c>
      <c r="AM3499">
        <v>100</v>
      </c>
      <c r="AN3499">
        <v>1300</v>
      </c>
      <c r="AO3499" t="s">
        <v>118</v>
      </c>
      <c r="AP3499">
        <v>-114</v>
      </c>
      <c r="AQ3499">
        <v>62</v>
      </c>
      <c r="AR3499">
        <v>-64</v>
      </c>
      <c r="AZ3499">
        <v>1200</v>
      </c>
      <c r="BA3499">
        <v>1</v>
      </c>
      <c r="BB3499" t="str">
        <f t="shared" si="170"/>
        <v xml:space="preserve">N8080G  </v>
      </c>
      <c r="BC3499">
        <v>1</v>
      </c>
      <c r="BE3499">
        <v>0</v>
      </c>
      <c r="BF3499">
        <v>0</v>
      </c>
      <c r="BG3499">
        <v>0</v>
      </c>
      <c r="BH3499">
        <v>1325</v>
      </c>
      <c r="BI3499">
        <v>1</v>
      </c>
      <c r="BJ3499">
        <v>1</v>
      </c>
      <c r="BK3499">
        <v>1</v>
      </c>
      <c r="BL3499">
        <v>0</v>
      </c>
      <c r="BO3499">
        <v>0</v>
      </c>
      <c r="BP3499">
        <v>0</v>
      </c>
      <c r="BW3499" t="str">
        <f>"20:33:34.566"</f>
        <v>20:33:34.566</v>
      </c>
      <c r="BZ3499">
        <v>0</v>
      </c>
      <c r="CA3499">
        <v>1600</v>
      </c>
      <c r="CB3499">
        <v>224</v>
      </c>
      <c r="CD3499">
        <v>1</v>
      </c>
      <c r="CE3499">
        <v>0</v>
      </c>
      <c r="CF3499">
        <v>0</v>
      </c>
      <c r="CG3499">
        <v>1</v>
      </c>
      <c r="CH3499">
        <v>0</v>
      </c>
      <c r="CI3499">
        <v>0</v>
      </c>
      <c r="CJ3499">
        <v>0</v>
      </c>
      <c r="CK3499">
        <v>2</v>
      </c>
      <c r="CL3499">
        <v>0</v>
      </c>
      <c r="CM3499">
        <v>2</v>
      </c>
      <c r="CN3499">
        <v>0</v>
      </c>
      <c r="CO3499">
        <v>7</v>
      </c>
      <c r="CP3499" t="s">
        <v>119</v>
      </c>
      <c r="CQ3499">
        <v>180</v>
      </c>
      <c r="CR3499">
        <v>3</v>
      </c>
      <c r="CW3499">
        <v>1175599</v>
      </c>
      <c r="CY3499">
        <v>1</v>
      </c>
      <c r="CZ3499">
        <v>0</v>
      </c>
      <c r="DA3499">
        <v>0</v>
      </c>
      <c r="DB3499">
        <v>0</v>
      </c>
      <c r="DC3499">
        <v>0</v>
      </c>
      <c r="DD3499">
        <v>0</v>
      </c>
      <c r="DE3499">
        <v>0</v>
      </c>
      <c r="DF3499">
        <v>0</v>
      </c>
      <c r="DG3499">
        <v>0</v>
      </c>
      <c r="DH3499">
        <v>0</v>
      </c>
      <c r="DI3499">
        <v>0</v>
      </c>
    </row>
    <row r="3500" spans="1:113" x14ac:dyDescent="0.3">
      <c r="A3500" t="str">
        <f>"02/08/2021 20:33:32.249"</f>
        <v>02/08/2021 20:33:32.249</v>
      </c>
      <c r="C3500" t="str">
        <f t="shared" si="173"/>
        <v>FFDFD7C0</v>
      </c>
      <c r="D3500" t="s">
        <v>124</v>
      </c>
      <c r="E3500">
        <v>12</v>
      </c>
      <c r="F3500">
        <v>1012</v>
      </c>
      <c r="G3500" t="s">
        <v>675</v>
      </c>
      <c r="J3500" t="s">
        <v>125</v>
      </c>
      <c r="K3500">
        <v>0</v>
      </c>
      <c r="L3500">
        <v>3</v>
      </c>
      <c r="M3500">
        <v>0</v>
      </c>
      <c r="N3500">
        <v>2</v>
      </c>
      <c r="O3500">
        <v>1</v>
      </c>
      <c r="P3500">
        <v>0</v>
      </c>
      <c r="Q3500">
        <v>0</v>
      </c>
      <c r="S3500" t="str">
        <f>"20:33:34.563"</f>
        <v>20:33:34.563</v>
      </c>
      <c r="T3500" t="str">
        <f>"20:33:34.063"</f>
        <v>20:33:34.063</v>
      </c>
      <c r="U3500" t="str">
        <f t="shared" si="172"/>
        <v>AB01F4</v>
      </c>
      <c r="V3500">
        <v>0</v>
      </c>
      <c r="W3500">
        <v>0</v>
      </c>
      <c r="X3500">
        <v>2</v>
      </c>
      <c r="Z3500">
        <v>0</v>
      </c>
      <c r="AA3500">
        <v>9</v>
      </c>
      <c r="AB3500">
        <v>3</v>
      </c>
      <c r="AC3500">
        <v>0</v>
      </c>
      <c r="AD3500">
        <v>10</v>
      </c>
      <c r="AE3500">
        <v>0</v>
      </c>
      <c r="AF3500">
        <v>3</v>
      </c>
      <c r="AG3500">
        <v>2</v>
      </c>
      <c r="AH3500">
        <v>0</v>
      </c>
      <c r="AI3500" t="s">
        <v>1999</v>
      </c>
      <c r="AJ3500">
        <v>40.090206000000002</v>
      </c>
      <c r="AK3500" t="s">
        <v>2000</v>
      </c>
      <c r="AL3500">
        <v>-92.977294999999998</v>
      </c>
      <c r="AM3500">
        <v>100</v>
      </c>
      <c r="AN3500">
        <v>1300</v>
      </c>
      <c r="AO3500" t="s">
        <v>118</v>
      </c>
      <c r="AP3500">
        <v>-114</v>
      </c>
      <c r="AQ3500">
        <v>62</v>
      </c>
      <c r="AR3500">
        <v>-64</v>
      </c>
      <c r="AZ3500">
        <v>1200</v>
      </c>
      <c r="BA3500">
        <v>1</v>
      </c>
      <c r="BB3500" t="str">
        <f t="shared" si="170"/>
        <v xml:space="preserve">N8080G  </v>
      </c>
      <c r="BC3500">
        <v>1</v>
      </c>
      <c r="BE3500">
        <v>0</v>
      </c>
      <c r="BF3500">
        <v>0</v>
      </c>
      <c r="BG3500">
        <v>0</v>
      </c>
      <c r="BH3500">
        <v>1325</v>
      </c>
      <c r="BI3500">
        <v>1</v>
      </c>
      <c r="BJ3500">
        <v>1</v>
      </c>
      <c r="BK3500">
        <v>1</v>
      </c>
      <c r="BL3500">
        <v>0</v>
      </c>
      <c r="BO3500">
        <v>0</v>
      </c>
      <c r="BP3500">
        <v>0</v>
      </c>
      <c r="BW3500" t="str">
        <f>"20:33:34.566"</f>
        <v>20:33:34.566</v>
      </c>
      <c r="BZ3500">
        <v>0</v>
      </c>
      <c r="CA3500">
        <v>1600</v>
      </c>
      <c r="CB3500">
        <v>224</v>
      </c>
      <c r="CD3500">
        <v>1</v>
      </c>
      <c r="CE3500">
        <v>0</v>
      </c>
      <c r="CF3500">
        <v>0</v>
      </c>
      <c r="CG3500">
        <v>1</v>
      </c>
      <c r="CH3500">
        <v>0</v>
      </c>
      <c r="CI3500">
        <v>0</v>
      </c>
      <c r="CJ3500">
        <v>0</v>
      </c>
      <c r="CK3500">
        <v>2</v>
      </c>
      <c r="CL3500">
        <v>0</v>
      </c>
      <c r="CM3500">
        <v>2</v>
      </c>
      <c r="CN3500">
        <v>0</v>
      </c>
      <c r="CO3500">
        <v>7</v>
      </c>
      <c r="CP3500" t="s">
        <v>119</v>
      </c>
      <c r="CQ3500">
        <v>180</v>
      </c>
      <c r="CR3500">
        <v>3</v>
      </c>
      <c r="CW3500">
        <v>1175599</v>
      </c>
      <c r="CY3500">
        <v>1</v>
      </c>
      <c r="CZ3500">
        <v>0</v>
      </c>
      <c r="DA3500">
        <v>1</v>
      </c>
      <c r="DB3500">
        <v>0</v>
      </c>
      <c r="DC3500">
        <v>0</v>
      </c>
      <c r="DD3500">
        <v>0</v>
      </c>
      <c r="DE3500">
        <v>0</v>
      </c>
      <c r="DF3500">
        <v>0</v>
      </c>
      <c r="DG3500">
        <v>0</v>
      </c>
      <c r="DH3500">
        <v>0</v>
      </c>
      <c r="DI3500">
        <v>0</v>
      </c>
    </row>
    <row r="3501" spans="1:113" x14ac:dyDescent="0.3">
      <c r="A3501" t="str">
        <f>"02/08/2021 20:33:32.249"</f>
        <v>02/08/2021 20:33:32.249</v>
      </c>
      <c r="C3501" t="str">
        <f t="shared" si="173"/>
        <v>FFDFD7C0</v>
      </c>
      <c r="D3501" t="s">
        <v>113</v>
      </c>
      <c r="E3501">
        <v>6</v>
      </c>
      <c r="H3501">
        <v>165</v>
      </c>
      <c r="I3501" t="s">
        <v>114</v>
      </c>
      <c r="J3501" t="s">
        <v>115</v>
      </c>
      <c r="K3501">
        <v>0</v>
      </c>
      <c r="L3501">
        <v>3</v>
      </c>
      <c r="M3501">
        <v>0</v>
      </c>
      <c r="N3501">
        <v>2</v>
      </c>
      <c r="O3501">
        <v>1</v>
      </c>
      <c r="P3501">
        <v>0</v>
      </c>
      <c r="Q3501">
        <v>0</v>
      </c>
      <c r="S3501" t="str">
        <f>"20:33:34.563"</f>
        <v>20:33:34.563</v>
      </c>
      <c r="T3501" t="str">
        <f>"20:33:34.063"</f>
        <v>20:33:34.063</v>
      </c>
      <c r="U3501" t="str">
        <f t="shared" si="172"/>
        <v>AB01F4</v>
      </c>
      <c r="V3501">
        <v>0</v>
      </c>
      <c r="W3501">
        <v>0</v>
      </c>
      <c r="X3501">
        <v>2</v>
      </c>
      <c r="Z3501">
        <v>0</v>
      </c>
      <c r="AA3501">
        <v>9</v>
      </c>
      <c r="AB3501">
        <v>3</v>
      </c>
      <c r="AC3501">
        <v>0</v>
      </c>
      <c r="AD3501">
        <v>10</v>
      </c>
      <c r="AE3501">
        <v>0</v>
      </c>
      <c r="AF3501">
        <v>3</v>
      </c>
      <c r="AG3501">
        <v>2</v>
      </c>
      <c r="AH3501">
        <v>0</v>
      </c>
      <c r="AI3501" t="s">
        <v>1999</v>
      </c>
      <c r="AJ3501">
        <v>40.090206000000002</v>
      </c>
      <c r="AK3501" t="s">
        <v>2000</v>
      </c>
      <c r="AL3501">
        <v>-92.977294999999998</v>
      </c>
      <c r="AM3501">
        <v>100</v>
      </c>
      <c r="AN3501">
        <v>1300</v>
      </c>
      <c r="AO3501" t="s">
        <v>118</v>
      </c>
      <c r="AP3501">
        <v>-114</v>
      </c>
      <c r="AQ3501">
        <v>62</v>
      </c>
      <c r="AR3501">
        <v>-64</v>
      </c>
      <c r="AZ3501">
        <v>1200</v>
      </c>
      <c r="BA3501">
        <v>1</v>
      </c>
      <c r="BB3501" t="str">
        <f t="shared" si="170"/>
        <v xml:space="preserve">N8080G  </v>
      </c>
      <c r="BC3501">
        <v>1</v>
      </c>
      <c r="BE3501">
        <v>0</v>
      </c>
      <c r="BF3501">
        <v>0</v>
      </c>
      <c r="BG3501">
        <v>0</v>
      </c>
      <c r="BH3501">
        <v>1325</v>
      </c>
      <c r="BI3501">
        <v>1</v>
      </c>
      <c r="BJ3501">
        <v>1</v>
      </c>
      <c r="BK3501">
        <v>1</v>
      </c>
      <c r="BL3501">
        <v>0</v>
      </c>
      <c r="BO3501">
        <v>0</v>
      </c>
      <c r="BP3501">
        <v>0</v>
      </c>
      <c r="BW3501" t="str">
        <f>"20:33:34.566"</f>
        <v>20:33:34.566</v>
      </c>
      <c r="BZ3501">
        <v>0</v>
      </c>
      <c r="CA3501">
        <v>1600</v>
      </c>
      <c r="CB3501">
        <v>224</v>
      </c>
      <c r="CD3501">
        <v>1</v>
      </c>
      <c r="CE3501">
        <v>0</v>
      </c>
      <c r="CF3501">
        <v>0</v>
      </c>
      <c r="CG3501">
        <v>1</v>
      </c>
      <c r="CH3501">
        <v>0</v>
      </c>
      <c r="CI3501">
        <v>0</v>
      </c>
      <c r="CJ3501">
        <v>0</v>
      </c>
      <c r="CK3501">
        <v>2</v>
      </c>
      <c r="CL3501">
        <v>0</v>
      </c>
      <c r="CM3501">
        <v>2</v>
      </c>
      <c r="CN3501">
        <v>0</v>
      </c>
      <c r="CO3501">
        <v>7</v>
      </c>
      <c r="CP3501" t="s">
        <v>119</v>
      </c>
      <c r="CQ3501">
        <v>180</v>
      </c>
      <c r="CR3501">
        <v>3</v>
      </c>
      <c r="CW3501">
        <v>1175599</v>
      </c>
      <c r="CY3501">
        <v>1</v>
      </c>
      <c r="CZ3501">
        <v>0</v>
      </c>
      <c r="DA3501">
        <v>1</v>
      </c>
      <c r="DB3501">
        <v>0</v>
      </c>
      <c r="DC3501">
        <v>0</v>
      </c>
      <c r="DD3501">
        <v>0</v>
      </c>
      <c r="DE3501">
        <v>0</v>
      </c>
      <c r="DF3501">
        <v>0</v>
      </c>
      <c r="DG3501">
        <v>0</v>
      </c>
      <c r="DH3501">
        <v>0</v>
      </c>
      <c r="DI3501">
        <v>0</v>
      </c>
    </row>
    <row r="3502" spans="1:113" x14ac:dyDescent="0.3">
      <c r="A3502" t="str">
        <f>"02/08/2021 20:33:32.249"</f>
        <v>02/08/2021 20:33:32.249</v>
      </c>
      <c r="C3502" t="str">
        <f t="shared" si="173"/>
        <v>FFDFD7C0</v>
      </c>
      <c r="D3502" t="s">
        <v>124</v>
      </c>
      <c r="E3502">
        <v>11</v>
      </c>
      <c r="F3502">
        <v>1011</v>
      </c>
      <c r="G3502" t="s">
        <v>590</v>
      </c>
      <c r="J3502" t="s">
        <v>125</v>
      </c>
      <c r="K3502">
        <v>0</v>
      </c>
      <c r="L3502">
        <v>3</v>
      </c>
      <c r="M3502">
        <v>0</v>
      </c>
      <c r="N3502">
        <v>2</v>
      </c>
      <c r="O3502">
        <v>1</v>
      </c>
      <c r="P3502">
        <v>0</v>
      </c>
      <c r="Q3502">
        <v>0</v>
      </c>
      <c r="S3502" t="str">
        <f>"20:33:34.563"</f>
        <v>20:33:34.563</v>
      </c>
      <c r="T3502" t="str">
        <f>"20:33:34.063"</f>
        <v>20:33:34.063</v>
      </c>
      <c r="U3502" t="str">
        <f t="shared" si="172"/>
        <v>AB01F4</v>
      </c>
      <c r="V3502">
        <v>0</v>
      </c>
      <c r="W3502">
        <v>0</v>
      </c>
      <c r="X3502">
        <v>2</v>
      </c>
      <c r="Z3502">
        <v>0</v>
      </c>
      <c r="AA3502">
        <v>9</v>
      </c>
      <c r="AB3502">
        <v>3</v>
      </c>
      <c r="AC3502">
        <v>0</v>
      </c>
      <c r="AD3502">
        <v>10</v>
      </c>
      <c r="AE3502">
        <v>0</v>
      </c>
      <c r="AF3502">
        <v>3</v>
      </c>
      <c r="AG3502">
        <v>2</v>
      </c>
      <c r="AH3502">
        <v>0</v>
      </c>
      <c r="AI3502" t="s">
        <v>1999</v>
      </c>
      <c r="AJ3502">
        <v>40.090206000000002</v>
      </c>
      <c r="AK3502" t="s">
        <v>2000</v>
      </c>
      <c r="AL3502">
        <v>-92.977294999999998</v>
      </c>
      <c r="AM3502">
        <v>100</v>
      </c>
      <c r="AN3502">
        <v>1300</v>
      </c>
      <c r="AO3502" t="s">
        <v>118</v>
      </c>
      <c r="AP3502">
        <v>-114</v>
      </c>
      <c r="AQ3502">
        <v>62</v>
      </c>
      <c r="AR3502">
        <v>-64</v>
      </c>
      <c r="AZ3502">
        <v>1200</v>
      </c>
      <c r="BA3502">
        <v>1</v>
      </c>
      <c r="BB3502" t="str">
        <f t="shared" si="170"/>
        <v xml:space="preserve">N8080G  </v>
      </c>
      <c r="BC3502">
        <v>1</v>
      </c>
      <c r="BE3502">
        <v>0</v>
      </c>
      <c r="BF3502">
        <v>0</v>
      </c>
      <c r="BG3502">
        <v>0</v>
      </c>
      <c r="BH3502">
        <v>1325</v>
      </c>
      <c r="BI3502">
        <v>1</v>
      </c>
      <c r="BJ3502">
        <v>1</v>
      </c>
      <c r="BK3502">
        <v>1</v>
      </c>
      <c r="BL3502">
        <v>0</v>
      </c>
      <c r="BO3502">
        <v>0</v>
      </c>
      <c r="BP3502">
        <v>0</v>
      </c>
      <c r="BW3502" t="str">
        <f>"20:33:34.566"</f>
        <v>20:33:34.566</v>
      </c>
      <c r="BZ3502">
        <v>0</v>
      </c>
      <c r="CA3502">
        <v>1600</v>
      </c>
      <c r="CB3502">
        <v>224</v>
      </c>
      <c r="CD3502">
        <v>1</v>
      </c>
      <c r="CE3502">
        <v>0</v>
      </c>
      <c r="CF3502">
        <v>0</v>
      </c>
      <c r="CG3502">
        <v>1</v>
      </c>
      <c r="CH3502">
        <v>0</v>
      </c>
      <c r="CI3502">
        <v>0</v>
      </c>
      <c r="CJ3502">
        <v>0</v>
      </c>
      <c r="CK3502">
        <v>2</v>
      </c>
      <c r="CL3502">
        <v>0</v>
      </c>
      <c r="CM3502">
        <v>2</v>
      </c>
      <c r="CN3502">
        <v>0</v>
      </c>
      <c r="CO3502">
        <v>7</v>
      </c>
      <c r="CP3502" t="s">
        <v>119</v>
      </c>
      <c r="CQ3502">
        <v>180</v>
      </c>
      <c r="CR3502">
        <v>3</v>
      </c>
      <c r="CW3502">
        <v>1175599</v>
      </c>
      <c r="CY3502">
        <v>1</v>
      </c>
      <c r="CZ3502">
        <v>0</v>
      </c>
      <c r="DA3502">
        <v>1</v>
      </c>
      <c r="DB3502">
        <v>0</v>
      </c>
      <c r="DC3502">
        <v>0</v>
      </c>
      <c r="DD3502">
        <v>0</v>
      </c>
      <c r="DE3502">
        <v>0</v>
      </c>
      <c r="DF3502">
        <v>0</v>
      </c>
      <c r="DG3502">
        <v>0</v>
      </c>
      <c r="DH3502">
        <v>0</v>
      </c>
      <c r="DI3502">
        <v>0</v>
      </c>
    </row>
    <row r="3503" spans="1:113" x14ac:dyDescent="0.3">
      <c r="A3503" t="str">
        <f>"02/08/2021 20:33:35.292"</f>
        <v>02/08/2021 20:33:35.292</v>
      </c>
      <c r="C3503" t="str">
        <f t="shared" si="173"/>
        <v>FFDFD7C0</v>
      </c>
      <c r="D3503" t="s">
        <v>124</v>
      </c>
      <c r="E3503">
        <v>12</v>
      </c>
      <c r="F3503">
        <v>1012</v>
      </c>
      <c r="G3503" t="s">
        <v>675</v>
      </c>
      <c r="J3503" t="s">
        <v>125</v>
      </c>
      <c r="K3503">
        <v>0</v>
      </c>
      <c r="L3503">
        <v>3</v>
      </c>
      <c r="M3503">
        <v>0</v>
      </c>
      <c r="N3503">
        <v>2</v>
      </c>
      <c r="O3503">
        <v>1</v>
      </c>
      <c r="P3503">
        <v>0</v>
      </c>
      <c r="Q3503">
        <v>0</v>
      </c>
      <c r="S3503" t="str">
        <f>"20:33:37.633"</f>
        <v>20:33:37.633</v>
      </c>
      <c r="T3503" t="str">
        <f>"20:33:37.133"</f>
        <v>20:33:37.133</v>
      </c>
      <c r="U3503" t="str">
        <f t="shared" si="172"/>
        <v>AB01F4</v>
      </c>
      <c r="V3503">
        <v>0</v>
      </c>
      <c r="W3503">
        <v>0</v>
      </c>
      <c r="X3503">
        <v>2</v>
      </c>
      <c r="Z3503">
        <v>0</v>
      </c>
      <c r="AA3503">
        <v>9</v>
      </c>
      <c r="AB3503">
        <v>3</v>
      </c>
      <c r="AC3503">
        <v>0</v>
      </c>
      <c r="AD3503">
        <v>10</v>
      </c>
      <c r="AE3503">
        <v>0</v>
      </c>
      <c r="AF3503">
        <v>3</v>
      </c>
      <c r="AG3503">
        <v>2</v>
      </c>
      <c r="AH3503">
        <v>0</v>
      </c>
      <c r="AI3503" t="s">
        <v>2001</v>
      </c>
      <c r="AJ3503">
        <v>40.091064000000003</v>
      </c>
      <c r="AK3503" t="s">
        <v>2002</v>
      </c>
      <c r="AL3503">
        <v>-92.979418999999993</v>
      </c>
      <c r="AM3503">
        <v>100</v>
      </c>
      <c r="AN3503">
        <v>1300</v>
      </c>
      <c r="AO3503" t="s">
        <v>118</v>
      </c>
      <c r="AP3503">
        <v>-114</v>
      </c>
      <c r="AQ3503">
        <v>62</v>
      </c>
      <c r="AR3503">
        <v>64</v>
      </c>
      <c r="AZ3503">
        <v>1200</v>
      </c>
      <c r="BA3503">
        <v>1</v>
      </c>
      <c r="BB3503" t="str">
        <f t="shared" ref="BB3503:BB3566" si="174">"N8080G  "</f>
        <v xml:space="preserve">N8080G  </v>
      </c>
      <c r="BC3503">
        <v>1</v>
      </c>
      <c r="BE3503">
        <v>0</v>
      </c>
      <c r="BF3503">
        <v>0</v>
      </c>
      <c r="BG3503">
        <v>0</v>
      </c>
      <c r="BH3503">
        <v>1350</v>
      </c>
      <c r="BI3503">
        <v>1</v>
      </c>
      <c r="BJ3503">
        <v>1</v>
      </c>
      <c r="BK3503">
        <v>1</v>
      </c>
      <c r="BL3503">
        <v>0</v>
      </c>
      <c r="BO3503">
        <v>0</v>
      </c>
      <c r="BP3503">
        <v>0</v>
      </c>
      <c r="BW3503" t="str">
        <f>"20:33:37.636"</f>
        <v>20:33:37.636</v>
      </c>
      <c r="BZ3503">
        <v>0</v>
      </c>
      <c r="CA3503">
        <v>1600</v>
      </c>
      <c r="CB3503">
        <v>224</v>
      </c>
      <c r="CD3503">
        <v>1</v>
      </c>
      <c r="CE3503">
        <v>0</v>
      </c>
      <c r="CF3503">
        <v>0</v>
      </c>
      <c r="CG3503">
        <v>1</v>
      </c>
      <c r="CH3503">
        <v>0</v>
      </c>
      <c r="CI3503">
        <v>0</v>
      </c>
      <c r="CJ3503">
        <v>0</v>
      </c>
      <c r="CK3503">
        <v>2</v>
      </c>
      <c r="CL3503">
        <v>0</v>
      </c>
      <c r="CM3503">
        <v>2</v>
      </c>
      <c r="CN3503">
        <v>0</v>
      </c>
      <c r="CO3503">
        <v>7</v>
      </c>
      <c r="CP3503" t="s">
        <v>119</v>
      </c>
      <c r="CQ3503">
        <v>180</v>
      </c>
      <c r="CR3503">
        <v>3</v>
      </c>
      <c r="CW3503">
        <v>1177956</v>
      </c>
      <c r="CY3503">
        <v>1</v>
      </c>
      <c r="CZ3503">
        <v>0</v>
      </c>
      <c r="DA3503">
        <v>0</v>
      </c>
      <c r="DB3503">
        <v>0</v>
      </c>
      <c r="DC3503">
        <v>0</v>
      </c>
      <c r="DD3503">
        <v>0</v>
      </c>
      <c r="DE3503">
        <v>0</v>
      </c>
      <c r="DF3503">
        <v>0</v>
      </c>
      <c r="DG3503">
        <v>0</v>
      </c>
      <c r="DH3503">
        <v>0</v>
      </c>
      <c r="DI3503">
        <v>0</v>
      </c>
    </row>
    <row r="3504" spans="1:113" x14ac:dyDescent="0.3">
      <c r="A3504" t="str">
        <f>"02/08/2021 20:33:35.292"</f>
        <v>02/08/2021 20:33:35.292</v>
      </c>
      <c r="C3504" t="str">
        <f t="shared" si="173"/>
        <v>FFDFD7C0</v>
      </c>
      <c r="D3504" t="s">
        <v>113</v>
      </c>
      <c r="E3504">
        <v>6</v>
      </c>
      <c r="H3504">
        <v>165</v>
      </c>
      <c r="I3504" t="s">
        <v>114</v>
      </c>
      <c r="J3504" t="s">
        <v>115</v>
      </c>
      <c r="K3504">
        <v>0</v>
      </c>
      <c r="L3504">
        <v>3</v>
      </c>
      <c r="M3504">
        <v>0</v>
      </c>
      <c r="N3504">
        <v>2</v>
      </c>
      <c r="O3504">
        <v>1</v>
      </c>
      <c r="P3504">
        <v>0</v>
      </c>
      <c r="Q3504">
        <v>0</v>
      </c>
      <c r="S3504" t="str">
        <f>"20:33:37.633"</f>
        <v>20:33:37.633</v>
      </c>
      <c r="T3504" t="str">
        <f>"20:33:37.133"</f>
        <v>20:33:37.133</v>
      </c>
      <c r="U3504" t="str">
        <f t="shared" si="172"/>
        <v>AB01F4</v>
      </c>
      <c r="V3504">
        <v>0</v>
      </c>
      <c r="W3504">
        <v>0</v>
      </c>
      <c r="X3504">
        <v>2</v>
      </c>
      <c r="Z3504">
        <v>0</v>
      </c>
      <c r="AA3504">
        <v>9</v>
      </c>
      <c r="AB3504">
        <v>3</v>
      </c>
      <c r="AC3504">
        <v>0</v>
      </c>
      <c r="AD3504">
        <v>10</v>
      </c>
      <c r="AE3504">
        <v>0</v>
      </c>
      <c r="AF3504">
        <v>3</v>
      </c>
      <c r="AG3504">
        <v>2</v>
      </c>
      <c r="AH3504">
        <v>0</v>
      </c>
      <c r="AI3504" t="s">
        <v>2001</v>
      </c>
      <c r="AJ3504">
        <v>40.091064000000003</v>
      </c>
      <c r="AK3504" t="s">
        <v>2002</v>
      </c>
      <c r="AL3504">
        <v>-92.979418999999993</v>
      </c>
      <c r="AM3504">
        <v>100</v>
      </c>
      <c r="AN3504">
        <v>1300</v>
      </c>
      <c r="AO3504" t="s">
        <v>118</v>
      </c>
      <c r="AP3504">
        <v>-114</v>
      </c>
      <c r="AQ3504">
        <v>62</v>
      </c>
      <c r="AR3504">
        <v>64</v>
      </c>
      <c r="AZ3504">
        <v>1200</v>
      </c>
      <c r="BA3504">
        <v>1</v>
      </c>
      <c r="BB3504" t="str">
        <f t="shared" si="174"/>
        <v xml:space="preserve">N8080G  </v>
      </c>
      <c r="BC3504">
        <v>1</v>
      </c>
      <c r="BE3504">
        <v>0</v>
      </c>
      <c r="BF3504">
        <v>0</v>
      </c>
      <c r="BG3504">
        <v>0</v>
      </c>
      <c r="BH3504">
        <v>1350</v>
      </c>
      <c r="BI3504">
        <v>1</v>
      </c>
      <c r="BJ3504">
        <v>1</v>
      </c>
      <c r="BK3504">
        <v>1</v>
      </c>
      <c r="BL3504">
        <v>0</v>
      </c>
      <c r="BO3504">
        <v>0</v>
      </c>
      <c r="BP3504">
        <v>0</v>
      </c>
      <c r="BW3504" t="str">
        <f>"20:33:37.636"</f>
        <v>20:33:37.636</v>
      </c>
      <c r="BZ3504">
        <v>0</v>
      </c>
      <c r="CA3504">
        <v>1600</v>
      </c>
      <c r="CB3504">
        <v>224</v>
      </c>
      <c r="CD3504">
        <v>1</v>
      </c>
      <c r="CE3504">
        <v>0</v>
      </c>
      <c r="CF3504">
        <v>0</v>
      </c>
      <c r="CG3504">
        <v>1</v>
      </c>
      <c r="CH3504">
        <v>0</v>
      </c>
      <c r="CI3504">
        <v>0</v>
      </c>
      <c r="CJ3504">
        <v>0</v>
      </c>
      <c r="CK3504">
        <v>2</v>
      </c>
      <c r="CL3504">
        <v>0</v>
      </c>
      <c r="CM3504">
        <v>2</v>
      </c>
      <c r="CN3504">
        <v>0</v>
      </c>
      <c r="CO3504">
        <v>7</v>
      </c>
      <c r="CP3504" t="s">
        <v>119</v>
      </c>
      <c r="CQ3504">
        <v>180</v>
      </c>
      <c r="CR3504">
        <v>3</v>
      </c>
      <c r="CW3504">
        <v>1177956</v>
      </c>
      <c r="CY3504">
        <v>1</v>
      </c>
      <c r="CZ3504">
        <v>0</v>
      </c>
      <c r="DA3504">
        <v>1</v>
      </c>
      <c r="DB3504">
        <v>0</v>
      </c>
      <c r="DC3504">
        <v>0</v>
      </c>
      <c r="DD3504">
        <v>0</v>
      </c>
      <c r="DE3504">
        <v>0</v>
      </c>
      <c r="DF3504">
        <v>0</v>
      </c>
      <c r="DG3504">
        <v>0</v>
      </c>
      <c r="DH3504">
        <v>0</v>
      </c>
      <c r="DI3504">
        <v>0</v>
      </c>
    </row>
    <row r="3505" spans="1:113" x14ac:dyDescent="0.3">
      <c r="A3505" t="str">
        <f>"02/08/2021 20:33:35.292"</f>
        <v>02/08/2021 20:33:35.292</v>
      </c>
      <c r="C3505" t="str">
        <f t="shared" si="173"/>
        <v>FFDFD7C0</v>
      </c>
      <c r="D3505" t="s">
        <v>124</v>
      </c>
      <c r="E3505">
        <v>11</v>
      </c>
      <c r="F3505">
        <v>1011</v>
      </c>
      <c r="G3505" t="s">
        <v>590</v>
      </c>
      <c r="J3505" t="s">
        <v>125</v>
      </c>
      <c r="K3505">
        <v>0</v>
      </c>
      <c r="L3505">
        <v>3</v>
      </c>
      <c r="M3505">
        <v>0</v>
      </c>
      <c r="N3505">
        <v>2</v>
      </c>
      <c r="O3505">
        <v>1</v>
      </c>
      <c r="P3505">
        <v>0</v>
      </c>
      <c r="Q3505">
        <v>0</v>
      </c>
      <c r="S3505" t="str">
        <f>"20:33:37.633"</f>
        <v>20:33:37.633</v>
      </c>
      <c r="T3505" t="str">
        <f>"20:33:37.133"</f>
        <v>20:33:37.133</v>
      </c>
      <c r="U3505" t="str">
        <f t="shared" si="172"/>
        <v>AB01F4</v>
      </c>
      <c r="V3505">
        <v>0</v>
      </c>
      <c r="W3505">
        <v>0</v>
      </c>
      <c r="X3505">
        <v>2</v>
      </c>
      <c r="Z3505">
        <v>0</v>
      </c>
      <c r="AA3505">
        <v>9</v>
      </c>
      <c r="AB3505">
        <v>3</v>
      </c>
      <c r="AC3505">
        <v>0</v>
      </c>
      <c r="AD3505">
        <v>10</v>
      </c>
      <c r="AE3505">
        <v>0</v>
      </c>
      <c r="AF3505">
        <v>3</v>
      </c>
      <c r="AG3505">
        <v>2</v>
      </c>
      <c r="AH3505">
        <v>0</v>
      </c>
      <c r="AI3505" t="s">
        <v>2001</v>
      </c>
      <c r="AJ3505">
        <v>40.091064000000003</v>
      </c>
      <c r="AK3505" t="s">
        <v>2002</v>
      </c>
      <c r="AL3505">
        <v>-92.979418999999993</v>
      </c>
      <c r="AM3505">
        <v>100</v>
      </c>
      <c r="AN3505">
        <v>1300</v>
      </c>
      <c r="AO3505" t="s">
        <v>118</v>
      </c>
      <c r="AP3505">
        <v>-114</v>
      </c>
      <c r="AQ3505">
        <v>62</v>
      </c>
      <c r="AR3505">
        <v>64</v>
      </c>
      <c r="AZ3505">
        <v>1200</v>
      </c>
      <c r="BA3505">
        <v>1</v>
      </c>
      <c r="BB3505" t="str">
        <f t="shared" si="174"/>
        <v xml:space="preserve">N8080G  </v>
      </c>
      <c r="BC3505">
        <v>1</v>
      </c>
      <c r="BE3505">
        <v>0</v>
      </c>
      <c r="BF3505">
        <v>0</v>
      </c>
      <c r="BG3505">
        <v>0</v>
      </c>
      <c r="BH3505">
        <v>1350</v>
      </c>
      <c r="BI3505">
        <v>1</v>
      </c>
      <c r="BJ3505">
        <v>1</v>
      </c>
      <c r="BK3505">
        <v>1</v>
      </c>
      <c r="BL3505">
        <v>0</v>
      </c>
      <c r="BO3505">
        <v>0</v>
      </c>
      <c r="BP3505">
        <v>0</v>
      </c>
      <c r="BW3505" t="str">
        <f>"20:33:37.636"</f>
        <v>20:33:37.636</v>
      </c>
      <c r="BZ3505">
        <v>0</v>
      </c>
      <c r="CA3505">
        <v>1600</v>
      </c>
      <c r="CB3505">
        <v>224</v>
      </c>
      <c r="CD3505">
        <v>1</v>
      </c>
      <c r="CE3505">
        <v>0</v>
      </c>
      <c r="CF3505">
        <v>0</v>
      </c>
      <c r="CG3505">
        <v>1</v>
      </c>
      <c r="CH3505">
        <v>0</v>
      </c>
      <c r="CI3505">
        <v>0</v>
      </c>
      <c r="CJ3505">
        <v>0</v>
      </c>
      <c r="CK3505">
        <v>2</v>
      </c>
      <c r="CL3505">
        <v>0</v>
      </c>
      <c r="CM3505">
        <v>2</v>
      </c>
      <c r="CN3505">
        <v>0</v>
      </c>
      <c r="CO3505">
        <v>7</v>
      </c>
      <c r="CP3505" t="s">
        <v>119</v>
      </c>
      <c r="CQ3505">
        <v>180</v>
      </c>
      <c r="CR3505">
        <v>3</v>
      </c>
      <c r="CW3505">
        <v>1177956</v>
      </c>
      <c r="CY3505">
        <v>1</v>
      </c>
      <c r="CZ3505">
        <v>0</v>
      </c>
      <c r="DA3505">
        <v>1</v>
      </c>
      <c r="DB3505">
        <v>0</v>
      </c>
      <c r="DC3505">
        <v>0</v>
      </c>
      <c r="DD3505">
        <v>0</v>
      </c>
      <c r="DE3505">
        <v>0</v>
      </c>
      <c r="DF3505">
        <v>0</v>
      </c>
      <c r="DG3505">
        <v>0</v>
      </c>
      <c r="DH3505">
        <v>0</v>
      </c>
      <c r="DI3505">
        <v>0</v>
      </c>
    </row>
    <row r="3506" spans="1:113" x14ac:dyDescent="0.3">
      <c r="A3506" t="str">
        <f>"02/08/2021 20:33:35.292"</f>
        <v>02/08/2021 20:33:35.292</v>
      </c>
      <c r="C3506" t="str">
        <f t="shared" si="173"/>
        <v>FFDFD7C0</v>
      </c>
      <c r="D3506" t="s">
        <v>124</v>
      </c>
      <c r="E3506">
        <v>13</v>
      </c>
      <c r="F3506">
        <v>1013</v>
      </c>
      <c r="G3506" t="s">
        <v>114</v>
      </c>
      <c r="J3506" t="s">
        <v>125</v>
      </c>
      <c r="K3506">
        <v>0</v>
      </c>
      <c r="L3506">
        <v>3</v>
      </c>
      <c r="M3506">
        <v>0</v>
      </c>
      <c r="N3506">
        <v>2</v>
      </c>
      <c r="O3506">
        <v>1</v>
      </c>
      <c r="P3506">
        <v>0</v>
      </c>
      <c r="Q3506">
        <v>0</v>
      </c>
      <c r="S3506" t="str">
        <f>"20:33:37.633"</f>
        <v>20:33:37.633</v>
      </c>
      <c r="T3506" t="str">
        <f>"20:33:37.133"</f>
        <v>20:33:37.133</v>
      </c>
      <c r="U3506" t="str">
        <f t="shared" si="172"/>
        <v>AB01F4</v>
      </c>
      <c r="V3506">
        <v>0</v>
      </c>
      <c r="W3506">
        <v>0</v>
      </c>
      <c r="X3506">
        <v>2</v>
      </c>
      <c r="Z3506">
        <v>0</v>
      </c>
      <c r="AA3506">
        <v>9</v>
      </c>
      <c r="AB3506">
        <v>3</v>
      </c>
      <c r="AC3506">
        <v>0</v>
      </c>
      <c r="AD3506">
        <v>10</v>
      </c>
      <c r="AE3506">
        <v>0</v>
      </c>
      <c r="AF3506">
        <v>3</v>
      </c>
      <c r="AG3506">
        <v>2</v>
      </c>
      <c r="AH3506">
        <v>0</v>
      </c>
      <c r="AI3506" t="s">
        <v>2001</v>
      </c>
      <c r="AJ3506">
        <v>40.091064000000003</v>
      </c>
      <c r="AK3506" t="s">
        <v>2002</v>
      </c>
      <c r="AL3506">
        <v>-92.979418999999993</v>
      </c>
      <c r="AM3506">
        <v>100</v>
      </c>
      <c r="AN3506">
        <v>1300</v>
      </c>
      <c r="AO3506" t="s">
        <v>118</v>
      </c>
      <c r="AP3506">
        <v>-114</v>
      </c>
      <c r="AQ3506">
        <v>62</v>
      </c>
      <c r="AR3506">
        <v>64</v>
      </c>
      <c r="AZ3506">
        <v>1200</v>
      </c>
      <c r="BA3506">
        <v>1</v>
      </c>
      <c r="BB3506" t="str">
        <f t="shared" si="174"/>
        <v xml:space="preserve">N8080G  </v>
      </c>
      <c r="BC3506">
        <v>1</v>
      </c>
      <c r="BE3506">
        <v>0</v>
      </c>
      <c r="BF3506">
        <v>0</v>
      </c>
      <c r="BG3506">
        <v>0</v>
      </c>
      <c r="BH3506">
        <v>1350</v>
      </c>
      <c r="BI3506">
        <v>1</v>
      </c>
      <c r="BJ3506">
        <v>1</v>
      </c>
      <c r="BK3506">
        <v>1</v>
      </c>
      <c r="BL3506">
        <v>0</v>
      </c>
      <c r="BO3506">
        <v>0</v>
      </c>
      <c r="BP3506">
        <v>0</v>
      </c>
      <c r="BW3506" t="str">
        <f>"20:33:37.636"</f>
        <v>20:33:37.636</v>
      </c>
      <c r="BZ3506">
        <v>0</v>
      </c>
      <c r="CA3506">
        <v>1600</v>
      </c>
      <c r="CB3506">
        <v>224</v>
      </c>
      <c r="CD3506">
        <v>1</v>
      </c>
      <c r="CE3506">
        <v>0</v>
      </c>
      <c r="CF3506">
        <v>0</v>
      </c>
      <c r="CG3506">
        <v>1</v>
      </c>
      <c r="CH3506">
        <v>0</v>
      </c>
      <c r="CI3506">
        <v>0</v>
      </c>
      <c r="CJ3506">
        <v>0</v>
      </c>
      <c r="CK3506">
        <v>2</v>
      </c>
      <c r="CL3506">
        <v>0</v>
      </c>
      <c r="CM3506">
        <v>2</v>
      </c>
      <c r="CN3506">
        <v>0</v>
      </c>
      <c r="CO3506">
        <v>7</v>
      </c>
      <c r="CP3506" t="s">
        <v>119</v>
      </c>
      <c r="CQ3506">
        <v>180</v>
      </c>
      <c r="CR3506">
        <v>3</v>
      </c>
      <c r="CW3506">
        <v>1177956</v>
      </c>
      <c r="CY3506">
        <v>1</v>
      </c>
      <c r="CZ3506">
        <v>0</v>
      </c>
      <c r="DA3506">
        <v>1</v>
      </c>
      <c r="DB3506">
        <v>0</v>
      </c>
      <c r="DC3506">
        <v>0</v>
      </c>
      <c r="DD3506">
        <v>0</v>
      </c>
      <c r="DE3506">
        <v>0</v>
      </c>
      <c r="DF3506">
        <v>0</v>
      </c>
      <c r="DG3506">
        <v>0</v>
      </c>
      <c r="DH3506">
        <v>0</v>
      </c>
      <c r="DI3506">
        <v>0</v>
      </c>
    </row>
    <row r="3507" spans="1:113" x14ac:dyDescent="0.3">
      <c r="A3507" t="str">
        <f>"02/08/2021 20:33:36.299"</f>
        <v>02/08/2021 20:33:36.299</v>
      </c>
      <c r="C3507" t="str">
        <f t="shared" ref="C3507:C3538" si="175">"FFDFD7C0"</f>
        <v>FFDFD7C0</v>
      </c>
      <c r="D3507" t="s">
        <v>124</v>
      </c>
      <c r="E3507">
        <v>12</v>
      </c>
      <c r="F3507">
        <v>1012</v>
      </c>
      <c r="G3507" t="s">
        <v>675</v>
      </c>
      <c r="J3507" t="s">
        <v>125</v>
      </c>
      <c r="K3507">
        <v>0</v>
      </c>
      <c r="L3507">
        <v>3</v>
      </c>
      <c r="M3507">
        <v>0</v>
      </c>
      <c r="N3507">
        <v>2</v>
      </c>
      <c r="O3507">
        <v>1</v>
      </c>
      <c r="P3507">
        <v>0</v>
      </c>
      <c r="Q3507">
        <v>0</v>
      </c>
      <c r="S3507" t="str">
        <f>"20:33:38.656"</f>
        <v>20:33:38.656</v>
      </c>
      <c r="T3507" t="str">
        <f>"20:33:38.256"</f>
        <v>20:33:38.256</v>
      </c>
      <c r="U3507" t="str">
        <f t="shared" si="172"/>
        <v>AB01F4</v>
      </c>
      <c r="V3507">
        <v>0</v>
      </c>
      <c r="W3507">
        <v>0</v>
      </c>
      <c r="X3507">
        <v>2</v>
      </c>
      <c r="Z3507">
        <v>0</v>
      </c>
      <c r="AA3507">
        <v>9</v>
      </c>
      <c r="AB3507">
        <v>3</v>
      </c>
      <c r="AC3507">
        <v>0</v>
      </c>
      <c r="AD3507">
        <v>10</v>
      </c>
      <c r="AE3507">
        <v>0</v>
      </c>
      <c r="AF3507">
        <v>3</v>
      </c>
      <c r="AG3507">
        <v>2</v>
      </c>
      <c r="AH3507">
        <v>0</v>
      </c>
      <c r="AI3507" t="s">
        <v>2003</v>
      </c>
      <c r="AJ3507">
        <v>40.091386</v>
      </c>
      <c r="AK3507" t="s">
        <v>2004</v>
      </c>
      <c r="AL3507">
        <v>-92.980106000000006</v>
      </c>
      <c r="AM3507">
        <v>100</v>
      </c>
      <c r="AN3507">
        <v>1300</v>
      </c>
      <c r="AO3507" t="s">
        <v>118</v>
      </c>
      <c r="AP3507">
        <v>-114</v>
      </c>
      <c r="AQ3507">
        <v>63</v>
      </c>
      <c r="AR3507">
        <v>128</v>
      </c>
      <c r="AZ3507">
        <v>1200</v>
      </c>
      <c r="BA3507">
        <v>1</v>
      </c>
      <c r="BB3507" t="str">
        <f t="shared" si="174"/>
        <v xml:space="preserve">N8080G  </v>
      </c>
      <c r="BC3507">
        <v>1</v>
      </c>
      <c r="BE3507">
        <v>0</v>
      </c>
      <c r="BF3507">
        <v>0</v>
      </c>
      <c r="BG3507">
        <v>0</v>
      </c>
      <c r="BH3507">
        <v>1350</v>
      </c>
      <c r="BI3507">
        <v>1</v>
      </c>
      <c r="BJ3507">
        <v>1</v>
      </c>
      <c r="BK3507">
        <v>1</v>
      </c>
      <c r="BL3507">
        <v>0</v>
      </c>
      <c r="BO3507">
        <v>0</v>
      </c>
      <c r="BP3507">
        <v>0</v>
      </c>
      <c r="BW3507" t="str">
        <f>"20:33:38.659"</f>
        <v>20:33:38.659</v>
      </c>
      <c r="BZ3507">
        <v>0</v>
      </c>
      <c r="CA3507">
        <v>1600</v>
      </c>
      <c r="CB3507">
        <v>224</v>
      </c>
      <c r="CD3507">
        <v>1</v>
      </c>
      <c r="CE3507">
        <v>0</v>
      </c>
      <c r="CF3507">
        <v>0</v>
      </c>
      <c r="CG3507">
        <v>1</v>
      </c>
      <c r="CH3507">
        <v>0</v>
      </c>
      <c r="CI3507">
        <v>0</v>
      </c>
      <c r="CJ3507">
        <v>0</v>
      </c>
      <c r="CK3507">
        <v>2</v>
      </c>
      <c r="CL3507">
        <v>0</v>
      </c>
      <c r="CM3507">
        <v>2</v>
      </c>
      <c r="CN3507">
        <v>0</v>
      </c>
      <c r="CO3507">
        <v>7</v>
      </c>
      <c r="CP3507" t="s">
        <v>119</v>
      </c>
      <c r="CQ3507">
        <v>180</v>
      </c>
      <c r="CR3507">
        <v>3</v>
      </c>
      <c r="CW3507">
        <v>1178793</v>
      </c>
      <c r="CY3507">
        <v>1</v>
      </c>
      <c r="CZ3507">
        <v>0</v>
      </c>
      <c r="DA3507">
        <v>0</v>
      </c>
      <c r="DB3507">
        <v>0</v>
      </c>
      <c r="DC3507">
        <v>0</v>
      </c>
      <c r="DD3507">
        <v>0</v>
      </c>
      <c r="DE3507">
        <v>0</v>
      </c>
      <c r="DF3507">
        <v>0</v>
      </c>
      <c r="DG3507">
        <v>0</v>
      </c>
      <c r="DH3507">
        <v>0</v>
      </c>
      <c r="DI3507">
        <v>0</v>
      </c>
    </row>
    <row r="3508" spans="1:113" x14ac:dyDescent="0.3">
      <c r="A3508" t="str">
        <f>"02/08/2021 20:33:36.299"</f>
        <v>02/08/2021 20:33:36.299</v>
      </c>
      <c r="C3508" t="str">
        <f t="shared" si="175"/>
        <v>FFDFD7C0</v>
      </c>
      <c r="D3508" t="s">
        <v>124</v>
      </c>
      <c r="E3508">
        <v>13</v>
      </c>
      <c r="F3508">
        <v>1013</v>
      </c>
      <c r="G3508" t="s">
        <v>114</v>
      </c>
      <c r="J3508" t="s">
        <v>125</v>
      </c>
      <c r="K3508">
        <v>0</v>
      </c>
      <c r="L3508">
        <v>3</v>
      </c>
      <c r="M3508">
        <v>0</v>
      </c>
      <c r="N3508">
        <v>2</v>
      </c>
      <c r="O3508">
        <v>1</v>
      </c>
      <c r="P3508">
        <v>0</v>
      </c>
      <c r="Q3508">
        <v>0</v>
      </c>
      <c r="S3508" t="str">
        <f>"20:33:38.656"</f>
        <v>20:33:38.656</v>
      </c>
      <c r="T3508" t="str">
        <f>"20:33:38.256"</f>
        <v>20:33:38.256</v>
      </c>
      <c r="U3508" t="str">
        <f t="shared" si="172"/>
        <v>AB01F4</v>
      </c>
      <c r="V3508">
        <v>0</v>
      </c>
      <c r="W3508">
        <v>0</v>
      </c>
      <c r="X3508">
        <v>2</v>
      </c>
      <c r="Z3508">
        <v>0</v>
      </c>
      <c r="AA3508">
        <v>9</v>
      </c>
      <c r="AB3508">
        <v>3</v>
      </c>
      <c r="AC3508">
        <v>0</v>
      </c>
      <c r="AD3508">
        <v>10</v>
      </c>
      <c r="AE3508">
        <v>0</v>
      </c>
      <c r="AF3508">
        <v>3</v>
      </c>
      <c r="AG3508">
        <v>2</v>
      </c>
      <c r="AH3508">
        <v>0</v>
      </c>
      <c r="AI3508" t="s">
        <v>2003</v>
      </c>
      <c r="AJ3508">
        <v>40.091386</v>
      </c>
      <c r="AK3508" t="s">
        <v>2004</v>
      </c>
      <c r="AL3508">
        <v>-92.980106000000006</v>
      </c>
      <c r="AM3508">
        <v>100</v>
      </c>
      <c r="AN3508">
        <v>1300</v>
      </c>
      <c r="AO3508" t="s">
        <v>118</v>
      </c>
      <c r="AP3508">
        <v>-114</v>
      </c>
      <c r="AQ3508">
        <v>63</v>
      </c>
      <c r="AR3508">
        <v>128</v>
      </c>
      <c r="AZ3508">
        <v>1200</v>
      </c>
      <c r="BA3508">
        <v>1</v>
      </c>
      <c r="BB3508" t="str">
        <f t="shared" si="174"/>
        <v xml:space="preserve">N8080G  </v>
      </c>
      <c r="BC3508">
        <v>1</v>
      </c>
      <c r="BE3508">
        <v>0</v>
      </c>
      <c r="BF3508">
        <v>0</v>
      </c>
      <c r="BG3508">
        <v>0</v>
      </c>
      <c r="BH3508">
        <v>1350</v>
      </c>
      <c r="BI3508">
        <v>1</v>
      </c>
      <c r="BJ3508">
        <v>1</v>
      </c>
      <c r="BK3508">
        <v>1</v>
      </c>
      <c r="BL3508">
        <v>0</v>
      </c>
      <c r="BO3508">
        <v>0</v>
      </c>
      <c r="BP3508">
        <v>0</v>
      </c>
      <c r="BW3508" t="str">
        <f>"20:33:38.659"</f>
        <v>20:33:38.659</v>
      </c>
      <c r="BZ3508">
        <v>0</v>
      </c>
      <c r="CA3508">
        <v>1600</v>
      </c>
      <c r="CB3508">
        <v>224</v>
      </c>
      <c r="CD3508">
        <v>1</v>
      </c>
      <c r="CE3508">
        <v>0</v>
      </c>
      <c r="CF3508">
        <v>0</v>
      </c>
      <c r="CG3508">
        <v>1</v>
      </c>
      <c r="CH3508">
        <v>0</v>
      </c>
      <c r="CI3508">
        <v>0</v>
      </c>
      <c r="CJ3508">
        <v>0</v>
      </c>
      <c r="CK3508">
        <v>2</v>
      </c>
      <c r="CL3508">
        <v>0</v>
      </c>
      <c r="CM3508">
        <v>2</v>
      </c>
      <c r="CN3508">
        <v>0</v>
      </c>
      <c r="CO3508">
        <v>7</v>
      </c>
      <c r="CP3508" t="s">
        <v>119</v>
      </c>
      <c r="CQ3508">
        <v>180</v>
      </c>
      <c r="CR3508">
        <v>3</v>
      </c>
      <c r="CW3508">
        <v>1178793</v>
      </c>
      <c r="CY3508">
        <v>1</v>
      </c>
      <c r="CZ3508">
        <v>0</v>
      </c>
      <c r="DA3508">
        <v>1</v>
      </c>
      <c r="DB3508">
        <v>0</v>
      </c>
      <c r="DC3508">
        <v>0</v>
      </c>
      <c r="DD3508">
        <v>0</v>
      </c>
      <c r="DE3508">
        <v>0</v>
      </c>
      <c r="DF3508">
        <v>0</v>
      </c>
      <c r="DG3508">
        <v>0</v>
      </c>
      <c r="DH3508">
        <v>0</v>
      </c>
      <c r="DI3508">
        <v>0</v>
      </c>
    </row>
    <row r="3509" spans="1:113" x14ac:dyDescent="0.3">
      <c r="A3509" t="str">
        <f>"02/08/2021 20:33:36.299"</f>
        <v>02/08/2021 20:33:36.299</v>
      </c>
      <c r="C3509" t="str">
        <f t="shared" si="175"/>
        <v>FFDFD7C0</v>
      </c>
      <c r="D3509" t="s">
        <v>124</v>
      </c>
      <c r="E3509">
        <v>11</v>
      </c>
      <c r="F3509">
        <v>1011</v>
      </c>
      <c r="G3509" t="s">
        <v>590</v>
      </c>
      <c r="J3509" t="s">
        <v>125</v>
      </c>
      <c r="K3509">
        <v>0</v>
      </c>
      <c r="L3509">
        <v>3</v>
      </c>
      <c r="M3509">
        <v>0</v>
      </c>
      <c r="N3509">
        <v>2</v>
      </c>
      <c r="O3509">
        <v>1</v>
      </c>
      <c r="P3509">
        <v>0</v>
      </c>
      <c r="Q3509">
        <v>0</v>
      </c>
      <c r="S3509" t="str">
        <f>"20:33:38.656"</f>
        <v>20:33:38.656</v>
      </c>
      <c r="T3509" t="str">
        <f>"20:33:38.256"</f>
        <v>20:33:38.256</v>
      </c>
      <c r="U3509" t="str">
        <f t="shared" si="172"/>
        <v>AB01F4</v>
      </c>
      <c r="V3509">
        <v>0</v>
      </c>
      <c r="W3509">
        <v>0</v>
      </c>
      <c r="X3509">
        <v>2</v>
      </c>
      <c r="Z3509">
        <v>0</v>
      </c>
      <c r="AA3509">
        <v>9</v>
      </c>
      <c r="AB3509">
        <v>3</v>
      </c>
      <c r="AC3509">
        <v>0</v>
      </c>
      <c r="AD3509">
        <v>10</v>
      </c>
      <c r="AE3509">
        <v>0</v>
      </c>
      <c r="AF3509">
        <v>3</v>
      </c>
      <c r="AG3509">
        <v>2</v>
      </c>
      <c r="AH3509">
        <v>0</v>
      </c>
      <c r="AI3509" t="s">
        <v>2003</v>
      </c>
      <c r="AJ3509">
        <v>40.091386</v>
      </c>
      <c r="AK3509" t="s">
        <v>2004</v>
      </c>
      <c r="AL3509">
        <v>-92.980106000000006</v>
      </c>
      <c r="AM3509">
        <v>100</v>
      </c>
      <c r="AN3509">
        <v>1300</v>
      </c>
      <c r="AO3509" t="s">
        <v>118</v>
      </c>
      <c r="AP3509">
        <v>-114</v>
      </c>
      <c r="AQ3509">
        <v>63</v>
      </c>
      <c r="AR3509">
        <v>128</v>
      </c>
      <c r="AZ3509">
        <v>1200</v>
      </c>
      <c r="BA3509">
        <v>1</v>
      </c>
      <c r="BB3509" t="str">
        <f t="shared" si="174"/>
        <v xml:space="preserve">N8080G  </v>
      </c>
      <c r="BC3509">
        <v>1</v>
      </c>
      <c r="BE3509">
        <v>0</v>
      </c>
      <c r="BF3509">
        <v>0</v>
      </c>
      <c r="BG3509">
        <v>0</v>
      </c>
      <c r="BH3509">
        <v>1350</v>
      </c>
      <c r="BI3509">
        <v>1</v>
      </c>
      <c r="BJ3509">
        <v>1</v>
      </c>
      <c r="BK3509">
        <v>1</v>
      </c>
      <c r="BL3509">
        <v>0</v>
      </c>
      <c r="BO3509">
        <v>0</v>
      </c>
      <c r="BP3509">
        <v>0</v>
      </c>
      <c r="BW3509" t="str">
        <f>"20:33:38.659"</f>
        <v>20:33:38.659</v>
      </c>
      <c r="BZ3509">
        <v>0</v>
      </c>
      <c r="CA3509">
        <v>1600</v>
      </c>
      <c r="CB3509">
        <v>224</v>
      </c>
      <c r="CD3509">
        <v>1</v>
      </c>
      <c r="CE3509">
        <v>0</v>
      </c>
      <c r="CF3509">
        <v>0</v>
      </c>
      <c r="CG3509">
        <v>1</v>
      </c>
      <c r="CH3509">
        <v>0</v>
      </c>
      <c r="CI3509">
        <v>0</v>
      </c>
      <c r="CJ3509">
        <v>0</v>
      </c>
      <c r="CK3509">
        <v>2</v>
      </c>
      <c r="CL3509">
        <v>0</v>
      </c>
      <c r="CM3509">
        <v>2</v>
      </c>
      <c r="CN3509">
        <v>0</v>
      </c>
      <c r="CO3509">
        <v>7</v>
      </c>
      <c r="CP3509" t="s">
        <v>119</v>
      </c>
      <c r="CQ3509">
        <v>180</v>
      </c>
      <c r="CR3509">
        <v>3</v>
      </c>
      <c r="CW3509">
        <v>1178793</v>
      </c>
      <c r="CY3509">
        <v>1</v>
      </c>
      <c r="CZ3509">
        <v>0</v>
      </c>
      <c r="DA3509">
        <v>1</v>
      </c>
      <c r="DB3509">
        <v>0</v>
      </c>
      <c r="DC3509">
        <v>0</v>
      </c>
      <c r="DD3509">
        <v>0</v>
      </c>
      <c r="DE3509">
        <v>0</v>
      </c>
      <c r="DF3509">
        <v>0</v>
      </c>
      <c r="DG3509">
        <v>0</v>
      </c>
      <c r="DH3509">
        <v>0</v>
      </c>
      <c r="DI3509">
        <v>0</v>
      </c>
    </row>
    <row r="3510" spans="1:113" x14ac:dyDescent="0.3">
      <c r="A3510" t="str">
        <f>"02/08/2021 20:33:36.299"</f>
        <v>02/08/2021 20:33:36.299</v>
      </c>
      <c r="C3510" t="str">
        <f t="shared" si="175"/>
        <v>FFDFD7C0</v>
      </c>
      <c r="D3510" t="s">
        <v>113</v>
      </c>
      <c r="E3510">
        <v>6</v>
      </c>
      <c r="H3510">
        <v>165</v>
      </c>
      <c r="I3510" t="s">
        <v>114</v>
      </c>
      <c r="J3510" t="s">
        <v>115</v>
      </c>
      <c r="K3510">
        <v>0</v>
      </c>
      <c r="L3510">
        <v>3</v>
      </c>
      <c r="M3510">
        <v>0</v>
      </c>
      <c r="N3510">
        <v>2</v>
      </c>
      <c r="O3510">
        <v>1</v>
      </c>
      <c r="P3510">
        <v>0</v>
      </c>
      <c r="Q3510">
        <v>0</v>
      </c>
      <c r="S3510" t="str">
        <f>"20:33:38.656"</f>
        <v>20:33:38.656</v>
      </c>
      <c r="T3510" t="str">
        <f>"20:33:38.256"</f>
        <v>20:33:38.256</v>
      </c>
      <c r="U3510" t="str">
        <f t="shared" si="172"/>
        <v>AB01F4</v>
      </c>
      <c r="V3510">
        <v>0</v>
      </c>
      <c r="W3510">
        <v>0</v>
      </c>
      <c r="X3510">
        <v>2</v>
      </c>
      <c r="Z3510">
        <v>0</v>
      </c>
      <c r="AA3510">
        <v>9</v>
      </c>
      <c r="AB3510">
        <v>3</v>
      </c>
      <c r="AC3510">
        <v>0</v>
      </c>
      <c r="AD3510">
        <v>10</v>
      </c>
      <c r="AE3510">
        <v>0</v>
      </c>
      <c r="AF3510">
        <v>3</v>
      </c>
      <c r="AG3510">
        <v>2</v>
      </c>
      <c r="AH3510">
        <v>0</v>
      </c>
      <c r="AI3510" t="s">
        <v>2003</v>
      </c>
      <c r="AJ3510">
        <v>40.091386</v>
      </c>
      <c r="AK3510" t="s">
        <v>2004</v>
      </c>
      <c r="AL3510">
        <v>-92.980106000000006</v>
      </c>
      <c r="AM3510">
        <v>100</v>
      </c>
      <c r="AN3510">
        <v>1300</v>
      </c>
      <c r="AO3510" t="s">
        <v>118</v>
      </c>
      <c r="AP3510">
        <v>-114</v>
      </c>
      <c r="AQ3510">
        <v>63</v>
      </c>
      <c r="AR3510">
        <v>128</v>
      </c>
      <c r="AZ3510">
        <v>1200</v>
      </c>
      <c r="BA3510">
        <v>1</v>
      </c>
      <c r="BB3510" t="str">
        <f t="shared" si="174"/>
        <v xml:space="preserve">N8080G  </v>
      </c>
      <c r="BC3510">
        <v>1</v>
      </c>
      <c r="BE3510">
        <v>0</v>
      </c>
      <c r="BF3510">
        <v>0</v>
      </c>
      <c r="BG3510">
        <v>0</v>
      </c>
      <c r="BH3510">
        <v>1350</v>
      </c>
      <c r="BI3510">
        <v>1</v>
      </c>
      <c r="BJ3510">
        <v>1</v>
      </c>
      <c r="BK3510">
        <v>1</v>
      </c>
      <c r="BL3510">
        <v>0</v>
      </c>
      <c r="BO3510">
        <v>0</v>
      </c>
      <c r="BP3510">
        <v>0</v>
      </c>
      <c r="BW3510" t="str">
        <f>"20:33:38.659"</f>
        <v>20:33:38.659</v>
      </c>
      <c r="BZ3510">
        <v>0</v>
      </c>
      <c r="CA3510">
        <v>1600</v>
      </c>
      <c r="CB3510">
        <v>224</v>
      </c>
      <c r="CD3510">
        <v>1</v>
      </c>
      <c r="CE3510">
        <v>0</v>
      </c>
      <c r="CF3510">
        <v>0</v>
      </c>
      <c r="CG3510">
        <v>1</v>
      </c>
      <c r="CH3510">
        <v>0</v>
      </c>
      <c r="CI3510">
        <v>0</v>
      </c>
      <c r="CJ3510">
        <v>0</v>
      </c>
      <c r="CK3510">
        <v>2</v>
      </c>
      <c r="CL3510">
        <v>0</v>
      </c>
      <c r="CM3510">
        <v>2</v>
      </c>
      <c r="CN3510">
        <v>0</v>
      </c>
      <c r="CO3510">
        <v>7</v>
      </c>
      <c r="CP3510" t="s">
        <v>119</v>
      </c>
      <c r="CQ3510">
        <v>180</v>
      </c>
      <c r="CR3510">
        <v>3</v>
      </c>
      <c r="CW3510">
        <v>1178793</v>
      </c>
      <c r="CY3510">
        <v>1</v>
      </c>
      <c r="CZ3510">
        <v>0</v>
      </c>
      <c r="DA3510">
        <v>1</v>
      </c>
      <c r="DB3510">
        <v>0</v>
      </c>
      <c r="DC3510">
        <v>0</v>
      </c>
      <c r="DD3510">
        <v>0</v>
      </c>
      <c r="DE3510">
        <v>0</v>
      </c>
      <c r="DF3510">
        <v>0</v>
      </c>
      <c r="DG3510">
        <v>0</v>
      </c>
      <c r="DH3510">
        <v>0</v>
      </c>
      <c r="DI3510">
        <v>0</v>
      </c>
    </row>
    <row r="3511" spans="1:113" x14ac:dyDescent="0.3">
      <c r="A3511" t="str">
        <f>"02/08/2021 20:33:37.523"</f>
        <v>02/08/2021 20:33:37.523</v>
      </c>
      <c r="C3511" t="str">
        <f t="shared" si="175"/>
        <v>FFDFD7C0</v>
      </c>
      <c r="D3511" t="s">
        <v>124</v>
      </c>
      <c r="E3511">
        <v>13</v>
      </c>
      <c r="F3511">
        <v>1013</v>
      </c>
      <c r="G3511" t="s">
        <v>114</v>
      </c>
      <c r="J3511" t="s">
        <v>125</v>
      </c>
      <c r="K3511">
        <v>0</v>
      </c>
      <c r="L3511">
        <v>3</v>
      </c>
      <c r="M3511">
        <v>0</v>
      </c>
      <c r="N3511">
        <v>2</v>
      </c>
      <c r="O3511">
        <v>1</v>
      </c>
      <c r="P3511">
        <v>0</v>
      </c>
      <c r="Q3511">
        <v>0</v>
      </c>
      <c r="S3511" t="str">
        <f>"20:33:39.836"</f>
        <v>20:33:39.836</v>
      </c>
      <c r="T3511" t="str">
        <f>"20:33:39.336"</f>
        <v>20:33:39.336</v>
      </c>
      <c r="U3511" t="str">
        <f t="shared" si="172"/>
        <v>AB01F4</v>
      </c>
      <c r="V3511">
        <v>0</v>
      </c>
      <c r="W3511">
        <v>0</v>
      </c>
      <c r="X3511">
        <v>2</v>
      </c>
      <c r="Z3511">
        <v>0</v>
      </c>
      <c r="AA3511">
        <v>9</v>
      </c>
      <c r="AB3511">
        <v>3</v>
      </c>
      <c r="AC3511">
        <v>0</v>
      </c>
      <c r="AD3511">
        <v>10</v>
      </c>
      <c r="AE3511">
        <v>0</v>
      </c>
      <c r="AF3511">
        <v>3</v>
      </c>
      <c r="AG3511">
        <v>2</v>
      </c>
      <c r="AH3511">
        <v>0</v>
      </c>
      <c r="AI3511" t="s">
        <v>2005</v>
      </c>
      <c r="AJ3511">
        <v>40.091707999999997</v>
      </c>
      <c r="AK3511" t="s">
        <v>2006</v>
      </c>
      <c r="AL3511">
        <v>-92.980920999999995</v>
      </c>
      <c r="AM3511">
        <v>100</v>
      </c>
      <c r="AN3511">
        <v>1300</v>
      </c>
      <c r="AO3511" t="s">
        <v>118</v>
      </c>
      <c r="AP3511">
        <v>-114</v>
      </c>
      <c r="AQ3511">
        <v>63</v>
      </c>
      <c r="AR3511">
        <v>64</v>
      </c>
      <c r="AZ3511">
        <v>1200</v>
      </c>
      <c r="BA3511">
        <v>1</v>
      </c>
      <c r="BB3511" t="str">
        <f t="shared" si="174"/>
        <v xml:space="preserve">N8080G  </v>
      </c>
      <c r="BC3511">
        <v>1</v>
      </c>
      <c r="BE3511">
        <v>0</v>
      </c>
      <c r="BF3511">
        <v>0</v>
      </c>
      <c r="BG3511">
        <v>0</v>
      </c>
      <c r="BH3511">
        <v>1350</v>
      </c>
      <c r="BI3511">
        <v>1</v>
      </c>
      <c r="BJ3511">
        <v>1</v>
      </c>
      <c r="BK3511">
        <v>1</v>
      </c>
      <c r="BL3511">
        <v>0</v>
      </c>
      <c r="BO3511">
        <v>0</v>
      </c>
      <c r="BP3511">
        <v>0</v>
      </c>
      <c r="BW3511" t="str">
        <f>"20:33:39.842"</f>
        <v>20:33:39.842</v>
      </c>
      <c r="BZ3511">
        <v>0</v>
      </c>
      <c r="CA3511">
        <v>1600</v>
      </c>
      <c r="CB3511">
        <v>224</v>
      </c>
      <c r="CD3511">
        <v>1</v>
      </c>
      <c r="CE3511">
        <v>0</v>
      </c>
      <c r="CF3511">
        <v>0</v>
      </c>
      <c r="CG3511">
        <v>1</v>
      </c>
      <c r="CH3511">
        <v>0</v>
      </c>
      <c r="CI3511">
        <v>0</v>
      </c>
      <c r="CJ3511">
        <v>0</v>
      </c>
      <c r="CK3511">
        <v>2</v>
      </c>
      <c r="CL3511">
        <v>0</v>
      </c>
      <c r="CM3511">
        <v>2</v>
      </c>
      <c r="CN3511">
        <v>0</v>
      </c>
      <c r="CO3511">
        <v>7</v>
      </c>
      <c r="CP3511" t="s">
        <v>119</v>
      </c>
      <c r="CQ3511">
        <v>180</v>
      </c>
      <c r="CR3511">
        <v>3</v>
      </c>
      <c r="CW3511">
        <v>1179672</v>
      </c>
      <c r="CY3511">
        <v>1</v>
      </c>
      <c r="CZ3511">
        <v>0</v>
      </c>
      <c r="DA3511">
        <v>0</v>
      </c>
      <c r="DB3511">
        <v>0</v>
      </c>
      <c r="DC3511">
        <v>0</v>
      </c>
      <c r="DD3511">
        <v>0</v>
      </c>
      <c r="DE3511">
        <v>0</v>
      </c>
      <c r="DF3511">
        <v>0</v>
      </c>
      <c r="DG3511">
        <v>0</v>
      </c>
      <c r="DH3511">
        <v>0</v>
      </c>
      <c r="DI3511">
        <v>0</v>
      </c>
    </row>
    <row r="3512" spans="1:113" x14ac:dyDescent="0.3">
      <c r="A3512" t="str">
        <f>"02/08/2021 20:33:37.523"</f>
        <v>02/08/2021 20:33:37.523</v>
      </c>
      <c r="C3512" t="str">
        <f t="shared" si="175"/>
        <v>FFDFD7C0</v>
      </c>
      <c r="D3512" t="s">
        <v>124</v>
      </c>
      <c r="E3512">
        <v>11</v>
      </c>
      <c r="F3512">
        <v>1011</v>
      </c>
      <c r="G3512" t="s">
        <v>590</v>
      </c>
      <c r="J3512" t="s">
        <v>125</v>
      </c>
      <c r="K3512">
        <v>0</v>
      </c>
      <c r="L3512">
        <v>3</v>
      </c>
      <c r="M3512">
        <v>0</v>
      </c>
      <c r="N3512">
        <v>2</v>
      </c>
      <c r="O3512">
        <v>1</v>
      </c>
      <c r="P3512">
        <v>0</v>
      </c>
      <c r="Q3512">
        <v>0</v>
      </c>
      <c r="S3512" t="str">
        <f>"20:33:39.836"</f>
        <v>20:33:39.836</v>
      </c>
      <c r="T3512" t="str">
        <f>"20:33:39.336"</f>
        <v>20:33:39.336</v>
      </c>
      <c r="U3512" t="str">
        <f t="shared" si="172"/>
        <v>AB01F4</v>
      </c>
      <c r="V3512">
        <v>0</v>
      </c>
      <c r="W3512">
        <v>0</v>
      </c>
      <c r="X3512">
        <v>2</v>
      </c>
      <c r="Z3512">
        <v>0</v>
      </c>
      <c r="AA3512">
        <v>9</v>
      </c>
      <c r="AB3512">
        <v>3</v>
      </c>
      <c r="AC3512">
        <v>0</v>
      </c>
      <c r="AD3512">
        <v>10</v>
      </c>
      <c r="AE3512">
        <v>0</v>
      </c>
      <c r="AF3512">
        <v>3</v>
      </c>
      <c r="AG3512">
        <v>2</v>
      </c>
      <c r="AH3512">
        <v>0</v>
      </c>
      <c r="AI3512" t="s">
        <v>2005</v>
      </c>
      <c r="AJ3512">
        <v>40.091707999999997</v>
      </c>
      <c r="AK3512" t="s">
        <v>2006</v>
      </c>
      <c r="AL3512">
        <v>-92.980920999999995</v>
      </c>
      <c r="AM3512">
        <v>100</v>
      </c>
      <c r="AN3512">
        <v>1300</v>
      </c>
      <c r="AO3512" t="s">
        <v>118</v>
      </c>
      <c r="AP3512">
        <v>-114</v>
      </c>
      <c r="AQ3512">
        <v>63</v>
      </c>
      <c r="AR3512">
        <v>64</v>
      </c>
      <c r="AZ3512">
        <v>1200</v>
      </c>
      <c r="BA3512">
        <v>1</v>
      </c>
      <c r="BB3512" t="str">
        <f t="shared" si="174"/>
        <v xml:space="preserve">N8080G  </v>
      </c>
      <c r="BC3512">
        <v>1</v>
      </c>
      <c r="BE3512">
        <v>0</v>
      </c>
      <c r="BF3512">
        <v>0</v>
      </c>
      <c r="BG3512">
        <v>0</v>
      </c>
      <c r="BH3512">
        <v>1350</v>
      </c>
      <c r="BI3512">
        <v>1</v>
      </c>
      <c r="BJ3512">
        <v>1</v>
      </c>
      <c r="BK3512">
        <v>1</v>
      </c>
      <c r="BL3512">
        <v>0</v>
      </c>
      <c r="BO3512">
        <v>0</v>
      </c>
      <c r="BP3512">
        <v>0</v>
      </c>
      <c r="BW3512" t="str">
        <f>"20:33:39.842"</f>
        <v>20:33:39.842</v>
      </c>
      <c r="BZ3512">
        <v>0</v>
      </c>
      <c r="CA3512">
        <v>1600</v>
      </c>
      <c r="CB3512">
        <v>224</v>
      </c>
      <c r="CD3512">
        <v>1</v>
      </c>
      <c r="CE3512">
        <v>0</v>
      </c>
      <c r="CF3512">
        <v>0</v>
      </c>
      <c r="CG3512">
        <v>1</v>
      </c>
      <c r="CH3512">
        <v>0</v>
      </c>
      <c r="CI3512">
        <v>0</v>
      </c>
      <c r="CJ3512">
        <v>0</v>
      </c>
      <c r="CK3512">
        <v>2</v>
      </c>
      <c r="CL3512">
        <v>0</v>
      </c>
      <c r="CM3512">
        <v>2</v>
      </c>
      <c r="CN3512">
        <v>0</v>
      </c>
      <c r="CO3512">
        <v>7</v>
      </c>
      <c r="CP3512" t="s">
        <v>119</v>
      </c>
      <c r="CQ3512">
        <v>180</v>
      </c>
      <c r="CR3512">
        <v>3</v>
      </c>
      <c r="CW3512">
        <v>1179672</v>
      </c>
      <c r="CY3512">
        <v>1</v>
      </c>
      <c r="CZ3512">
        <v>0</v>
      </c>
      <c r="DA3512">
        <v>1</v>
      </c>
      <c r="DB3512">
        <v>0</v>
      </c>
      <c r="DC3512">
        <v>0</v>
      </c>
      <c r="DD3512">
        <v>0</v>
      </c>
      <c r="DE3512">
        <v>0</v>
      </c>
      <c r="DF3512">
        <v>0</v>
      </c>
      <c r="DG3512">
        <v>0</v>
      </c>
      <c r="DH3512">
        <v>0</v>
      </c>
      <c r="DI3512">
        <v>0</v>
      </c>
    </row>
    <row r="3513" spans="1:113" x14ac:dyDescent="0.3">
      <c r="A3513" t="str">
        <f>"02/08/2021 20:33:37.523"</f>
        <v>02/08/2021 20:33:37.523</v>
      </c>
      <c r="C3513" t="str">
        <f t="shared" si="175"/>
        <v>FFDFD7C0</v>
      </c>
      <c r="D3513" t="s">
        <v>113</v>
      </c>
      <c r="E3513">
        <v>6</v>
      </c>
      <c r="H3513">
        <v>165</v>
      </c>
      <c r="I3513" t="s">
        <v>114</v>
      </c>
      <c r="J3513" t="s">
        <v>115</v>
      </c>
      <c r="K3513">
        <v>0</v>
      </c>
      <c r="L3513">
        <v>3</v>
      </c>
      <c r="M3513">
        <v>0</v>
      </c>
      <c r="N3513">
        <v>2</v>
      </c>
      <c r="O3513">
        <v>1</v>
      </c>
      <c r="P3513">
        <v>0</v>
      </c>
      <c r="Q3513">
        <v>0</v>
      </c>
      <c r="S3513" t="str">
        <f>"20:33:39.836"</f>
        <v>20:33:39.836</v>
      </c>
      <c r="T3513" t="str">
        <f>"20:33:39.336"</f>
        <v>20:33:39.336</v>
      </c>
      <c r="U3513" t="str">
        <f t="shared" si="172"/>
        <v>AB01F4</v>
      </c>
      <c r="V3513">
        <v>0</v>
      </c>
      <c r="W3513">
        <v>0</v>
      </c>
      <c r="X3513">
        <v>2</v>
      </c>
      <c r="Z3513">
        <v>0</v>
      </c>
      <c r="AA3513">
        <v>9</v>
      </c>
      <c r="AB3513">
        <v>3</v>
      </c>
      <c r="AC3513">
        <v>0</v>
      </c>
      <c r="AD3513">
        <v>10</v>
      </c>
      <c r="AE3513">
        <v>0</v>
      </c>
      <c r="AF3513">
        <v>3</v>
      </c>
      <c r="AG3513">
        <v>2</v>
      </c>
      <c r="AH3513">
        <v>0</v>
      </c>
      <c r="AI3513" t="s">
        <v>2005</v>
      </c>
      <c r="AJ3513">
        <v>40.091707999999997</v>
      </c>
      <c r="AK3513" t="s">
        <v>2006</v>
      </c>
      <c r="AL3513">
        <v>-92.980920999999995</v>
      </c>
      <c r="AM3513">
        <v>100</v>
      </c>
      <c r="AN3513">
        <v>1300</v>
      </c>
      <c r="AO3513" t="s">
        <v>118</v>
      </c>
      <c r="AP3513">
        <v>-114</v>
      </c>
      <c r="AQ3513">
        <v>63</v>
      </c>
      <c r="AR3513">
        <v>64</v>
      </c>
      <c r="AZ3513">
        <v>1200</v>
      </c>
      <c r="BA3513">
        <v>1</v>
      </c>
      <c r="BB3513" t="str">
        <f t="shared" si="174"/>
        <v xml:space="preserve">N8080G  </v>
      </c>
      <c r="BC3513">
        <v>1</v>
      </c>
      <c r="BE3513">
        <v>0</v>
      </c>
      <c r="BF3513">
        <v>0</v>
      </c>
      <c r="BG3513">
        <v>0</v>
      </c>
      <c r="BH3513">
        <v>1350</v>
      </c>
      <c r="BI3513">
        <v>1</v>
      </c>
      <c r="BJ3513">
        <v>1</v>
      </c>
      <c r="BK3513">
        <v>1</v>
      </c>
      <c r="BL3513">
        <v>0</v>
      </c>
      <c r="BO3513">
        <v>0</v>
      </c>
      <c r="BP3513">
        <v>0</v>
      </c>
      <c r="BW3513" t="str">
        <f>"20:33:39.842"</f>
        <v>20:33:39.842</v>
      </c>
      <c r="BZ3513">
        <v>0</v>
      </c>
      <c r="CA3513">
        <v>1600</v>
      </c>
      <c r="CB3513">
        <v>224</v>
      </c>
      <c r="CD3513">
        <v>1</v>
      </c>
      <c r="CE3513">
        <v>0</v>
      </c>
      <c r="CF3513">
        <v>0</v>
      </c>
      <c r="CG3513">
        <v>1</v>
      </c>
      <c r="CH3513">
        <v>0</v>
      </c>
      <c r="CI3513">
        <v>0</v>
      </c>
      <c r="CJ3513">
        <v>0</v>
      </c>
      <c r="CK3513">
        <v>2</v>
      </c>
      <c r="CL3513">
        <v>0</v>
      </c>
      <c r="CM3513">
        <v>2</v>
      </c>
      <c r="CN3513">
        <v>0</v>
      </c>
      <c r="CO3513">
        <v>7</v>
      </c>
      <c r="CP3513" t="s">
        <v>119</v>
      </c>
      <c r="CQ3513">
        <v>180</v>
      </c>
      <c r="CR3513">
        <v>3</v>
      </c>
      <c r="CW3513">
        <v>1179672</v>
      </c>
      <c r="CY3513">
        <v>1</v>
      </c>
      <c r="CZ3513">
        <v>0</v>
      </c>
      <c r="DA3513">
        <v>1</v>
      </c>
      <c r="DB3513">
        <v>0</v>
      </c>
      <c r="DC3513">
        <v>0</v>
      </c>
      <c r="DD3513">
        <v>0</v>
      </c>
      <c r="DE3513">
        <v>0</v>
      </c>
      <c r="DF3513">
        <v>0</v>
      </c>
      <c r="DG3513">
        <v>0</v>
      </c>
      <c r="DH3513">
        <v>0</v>
      </c>
      <c r="DI3513">
        <v>0</v>
      </c>
    </row>
    <row r="3514" spans="1:113" x14ac:dyDescent="0.3">
      <c r="A3514" t="str">
        <f>"02/08/2021 20:33:37.523"</f>
        <v>02/08/2021 20:33:37.523</v>
      </c>
      <c r="C3514" t="str">
        <f t="shared" si="175"/>
        <v>FFDFD7C0</v>
      </c>
      <c r="D3514" t="s">
        <v>124</v>
      </c>
      <c r="E3514">
        <v>12</v>
      </c>
      <c r="F3514">
        <v>1012</v>
      </c>
      <c r="G3514" t="s">
        <v>675</v>
      </c>
      <c r="J3514" t="s">
        <v>125</v>
      </c>
      <c r="K3514">
        <v>0</v>
      </c>
      <c r="L3514">
        <v>3</v>
      </c>
      <c r="M3514">
        <v>0</v>
      </c>
      <c r="N3514">
        <v>2</v>
      </c>
      <c r="O3514">
        <v>1</v>
      </c>
      <c r="P3514">
        <v>0</v>
      </c>
      <c r="Q3514">
        <v>0</v>
      </c>
      <c r="S3514" t="str">
        <f>"20:33:39.836"</f>
        <v>20:33:39.836</v>
      </c>
      <c r="T3514" t="str">
        <f>"20:33:39.336"</f>
        <v>20:33:39.336</v>
      </c>
      <c r="U3514" t="str">
        <f t="shared" si="172"/>
        <v>AB01F4</v>
      </c>
      <c r="V3514">
        <v>0</v>
      </c>
      <c r="W3514">
        <v>0</v>
      </c>
      <c r="X3514">
        <v>2</v>
      </c>
      <c r="Z3514">
        <v>0</v>
      </c>
      <c r="AA3514">
        <v>9</v>
      </c>
      <c r="AB3514">
        <v>3</v>
      </c>
      <c r="AC3514">
        <v>0</v>
      </c>
      <c r="AD3514">
        <v>10</v>
      </c>
      <c r="AE3514">
        <v>0</v>
      </c>
      <c r="AF3514">
        <v>3</v>
      </c>
      <c r="AG3514">
        <v>2</v>
      </c>
      <c r="AH3514">
        <v>0</v>
      </c>
      <c r="AI3514" t="s">
        <v>2005</v>
      </c>
      <c r="AJ3514">
        <v>40.091707999999997</v>
      </c>
      <c r="AK3514" t="s">
        <v>2006</v>
      </c>
      <c r="AL3514">
        <v>-92.980920999999995</v>
      </c>
      <c r="AM3514">
        <v>100</v>
      </c>
      <c r="AN3514">
        <v>1300</v>
      </c>
      <c r="AO3514" t="s">
        <v>118</v>
      </c>
      <c r="AP3514">
        <v>-114</v>
      </c>
      <c r="AQ3514">
        <v>63</v>
      </c>
      <c r="AR3514">
        <v>64</v>
      </c>
      <c r="AZ3514">
        <v>1200</v>
      </c>
      <c r="BA3514">
        <v>1</v>
      </c>
      <c r="BB3514" t="str">
        <f t="shared" si="174"/>
        <v xml:space="preserve">N8080G  </v>
      </c>
      <c r="BC3514">
        <v>1</v>
      </c>
      <c r="BE3514">
        <v>0</v>
      </c>
      <c r="BF3514">
        <v>0</v>
      </c>
      <c r="BG3514">
        <v>0</v>
      </c>
      <c r="BH3514">
        <v>1350</v>
      </c>
      <c r="BI3514">
        <v>1</v>
      </c>
      <c r="BJ3514">
        <v>1</v>
      </c>
      <c r="BK3514">
        <v>1</v>
      </c>
      <c r="BL3514">
        <v>0</v>
      </c>
      <c r="BO3514">
        <v>0</v>
      </c>
      <c r="BP3514">
        <v>0</v>
      </c>
      <c r="BW3514" t="str">
        <f>"20:33:39.842"</f>
        <v>20:33:39.842</v>
      </c>
      <c r="BZ3514">
        <v>0</v>
      </c>
      <c r="CA3514">
        <v>1600</v>
      </c>
      <c r="CB3514">
        <v>224</v>
      </c>
      <c r="CD3514">
        <v>1</v>
      </c>
      <c r="CE3514">
        <v>0</v>
      </c>
      <c r="CF3514">
        <v>0</v>
      </c>
      <c r="CG3514">
        <v>1</v>
      </c>
      <c r="CH3514">
        <v>0</v>
      </c>
      <c r="CI3514">
        <v>0</v>
      </c>
      <c r="CJ3514">
        <v>0</v>
      </c>
      <c r="CK3514">
        <v>2</v>
      </c>
      <c r="CL3514">
        <v>0</v>
      </c>
      <c r="CM3514">
        <v>2</v>
      </c>
      <c r="CN3514">
        <v>0</v>
      </c>
      <c r="CO3514">
        <v>7</v>
      </c>
      <c r="CP3514" t="s">
        <v>119</v>
      </c>
      <c r="CQ3514">
        <v>180</v>
      </c>
      <c r="CR3514">
        <v>3</v>
      </c>
      <c r="CW3514">
        <v>1179672</v>
      </c>
      <c r="CY3514">
        <v>1</v>
      </c>
      <c r="CZ3514">
        <v>0</v>
      </c>
      <c r="DA3514">
        <v>1</v>
      </c>
      <c r="DB3514">
        <v>0</v>
      </c>
      <c r="DC3514">
        <v>0</v>
      </c>
      <c r="DD3514">
        <v>0</v>
      </c>
      <c r="DE3514">
        <v>0</v>
      </c>
      <c r="DF3514">
        <v>0</v>
      </c>
      <c r="DG3514">
        <v>0</v>
      </c>
      <c r="DH3514">
        <v>0</v>
      </c>
      <c r="DI3514">
        <v>0</v>
      </c>
    </row>
    <row r="3515" spans="1:113" x14ac:dyDescent="0.3">
      <c r="A3515" t="str">
        <f>"02/08/2021 20:33:38.538"</f>
        <v>02/08/2021 20:33:38.538</v>
      </c>
      <c r="C3515" t="str">
        <f t="shared" si="175"/>
        <v>FFDFD7C0</v>
      </c>
      <c r="D3515" t="s">
        <v>124</v>
      </c>
      <c r="E3515">
        <v>11</v>
      </c>
      <c r="F3515">
        <v>1011</v>
      </c>
      <c r="G3515" t="s">
        <v>590</v>
      </c>
      <c r="J3515" t="s">
        <v>125</v>
      </c>
      <c r="K3515">
        <v>0</v>
      </c>
      <c r="L3515">
        <v>3</v>
      </c>
      <c r="M3515">
        <v>0</v>
      </c>
      <c r="N3515">
        <v>2</v>
      </c>
      <c r="O3515">
        <v>1</v>
      </c>
      <c r="P3515">
        <v>0</v>
      </c>
      <c r="Q3515">
        <v>0</v>
      </c>
      <c r="S3515" t="str">
        <f>"20:33:40.844"</f>
        <v>20:33:40.844</v>
      </c>
      <c r="T3515" t="str">
        <f>"20:33:40.344"</f>
        <v>20:33:40.344</v>
      </c>
      <c r="U3515" t="str">
        <f t="shared" si="172"/>
        <v>AB01F4</v>
      </c>
      <c r="V3515">
        <v>0</v>
      </c>
      <c r="W3515">
        <v>0</v>
      </c>
      <c r="X3515">
        <v>2</v>
      </c>
      <c r="Z3515">
        <v>0</v>
      </c>
      <c r="AA3515">
        <v>9</v>
      </c>
      <c r="AB3515">
        <v>3</v>
      </c>
      <c r="AC3515">
        <v>0</v>
      </c>
      <c r="AD3515">
        <v>10</v>
      </c>
      <c r="AE3515">
        <v>0</v>
      </c>
      <c r="AF3515">
        <v>3</v>
      </c>
      <c r="AG3515">
        <v>2</v>
      </c>
      <c r="AH3515">
        <v>0</v>
      </c>
      <c r="AI3515" t="s">
        <v>2007</v>
      </c>
      <c r="AJ3515">
        <v>40.092008</v>
      </c>
      <c r="AK3515" t="s">
        <v>2008</v>
      </c>
      <c r="AL3515">
        <v>-92.981607999999994</v>
      </c>
      <c r="AM3515">
        <v>100</v>
      </c>
      <c r="AN3515">
        <v>1300</v>
      </c>
      <c r="AO3515" t="s">
        <v>118</v>
      </c>
      <c r="AP3515">
        <v>-114</v>
      </c>
      <c r="AQ3515">
        <v>63</v>
      </c>
      <c r="AR3515">
        <v>0</v>
      </c>
      <c r="AZ3515">
        <v>1200</v>
      </c>
      <c r="BA3515">
        <v>1</v>
      </c>
      <c r="BB3515" t="str">
        <f t="shared" si="174"/>
        <v xml:space="preserve">N8080G  </v>
      </c>
      <c r="BC3515">
        <v>1</v>
      </c>
      <c r="BE3515">
        <v>0</v>
      </c>
      <c r="BF3515">
        <v>0</v>
      </c>
      <c r="BG3515">
        <v>0</v>
      </c>
      <c r="BH3515">
        <v>1350</v>
      </c>
      <c r="BI3515">
        <v>1</v>
      </c>
      <c r="BJ3515">
        <v>1</v>
      </c>
      <c r="BK3515">
        <v>1</v>
      </c>
      <c r="BL3515">
        <v>0</v>
      </c>
      <c r="BO3515">
        <v>0</v>
      </c>
      <c r="BP3515">
        <v>0</v>
      </c>
      <c r="BW3515" t="str">
        <f>"20:33:40.851"</f>
        <v>20:33:40.851</v>
      </c>
      <c r="BZ3515">
        <v>0</v>
      </c>
      <c r="CA3515">
        <v>1600</v>
      </c>
      <c r="CB3515">
        <v>224</v>
      </c>
      <c r="CD3515">
        <v>1</v>
      </c>
      <c r="CE3515">
        <v>0</v>
      </c>
      <c r="CF3515">
        <v>0</v>
      </c>
      <c r="CG3515">
        <v>1</v>
      </c>
      <c r="CH3515">
        <v>0</v>
      </c>
      <c r="CI3515">
        <v>0</v>
      </c>
      <c r="CJ3515">
        <v>0</v>
      </c>
      <c r="CK3515">
        <v>2</v>
      </c>
      <c r="CL3515">
        <v>0</v>
      </c>
      <c r="CM3515">
        <v>2</v>
      </c>
      <c r="CN3515">
        <v>0</v>
      </c>
      <c r="CO3515">
        <v>7</v>
      </c>
      <c r="CP3515" t="s">
        <v>119</v>
      </c>
      <c r="CQ3515">
        <v>180</v>
      </c>
      <c r="CR3515">
        <v>3</v>
      </c>
      <c r="CW3515">
        <v>1180403</v>
      </c>
      <c r="CY3515">
        <v>1</v>
      </c>
      <c r="CZ3515">
        <v>0</v>
      </c>
      <c r="DA3515">
        <v>0</v>
      </c>
      <c r="DB3515">
        <v>0</v>
      </c>
      <c r="DC3515">
        <v>0</v>
      </c>
      <c r="DD3515">
        <v>0</v>
      </c>
      <c r="DE3515">
        <v>0</v>
      </c>
      <c r="DF3515">
        <v>0</v>
      </c>
      <c r="DG3515">
        <v>0</v>
      </c>
      <c r="DH3515">
        <v>0</v>
      </c>
      <c r="DI3515">
        <v>0</v>
      </c>
    </row>
    <row r="3516" spans="1:113" x14ac:dyDescent="0.3">
      <c r="A3516" t="str">
        <f>"02/08/2021 20:33:38.538"</f>
        <v>02/08/2021 20:33:38.538</v>
      </c>
      <c r="C3516" t="str">
        <f t="shared" si="175"/>
        <v>FFDFD7C0</v>
      </c>
      <c r="D3516" t="s">
        <v>113</v>
      </c>
      <c r="E3516">
        <v>6</v>
      </c>
      <c r="H3516">
        <v>165</v>
      </c>
      <c r="I3516" t="s">
        <v>114</v>
      </c>
      <c r="J3516" t="s">
        <v>115</v>
      </c>
      <c r="K3516">
        <v>0</v>
      </c>
      <c r="L3516">
        <v>3</v>
      </c>
      <c r="M3516">
        <v>0</v>
      </c>
      <c r="N3516">
        <v>2</v>
      </c>
      <c r="O3516">
        <v>1</v>
      </c>
      <c r="P3516">
        <v>0</v>
      </c>
      <c r="Q3516">
        <v>0</v>
      </c>
      <c r="S3516" t="str">
        <f>"20:33:40.844"</f>
        <v>20:33:40.844</v>
      </c>
      <c r="T3516" t="str">
        <f>"20:33:40.344"</f>
        <v>20:33:40.344</v>
      </c>
      <c r="U3516" t="str">
        <f t="shared" si="172"/>
        <v>AB01F4</v>
      </c>
      <c r="V3516">
        <v>0</v>
      </c>
      <c r="W3516">
        <v>0</v>
      </c>
      <c r="X3516">
        <v>2</v>
      </c>
      <c r="Z3516">
        <v>0</v>
      </c>
      <c r="AA3516">
        <v>9</v>
      </c>
      <c r="AB3516">
        <v>3</v>
      </c>
      <c r="AC3516">
        <v>0</v>
      </c>
      <c r="AD3516">
        <v>10</v>
      </c>
      <c r="AE3516">
        <v>0</v>
      </c>
      <c r="AF3516">
        <v>3</v>
      </c>
      <c r="AG3516">
        <v>2</v>
      </c>
      <c r="AH3516">
        <v>0</v>
      </c>
      <c r="AI3516" t="s">
        <v>2007</v>
      </c>
      <c r="AJ3516">
        <v>40.092008</v>
      </c>
      <c r="AK3516" t="s">
        <v>2008</v>
      </c>
      <c r="AL3516">
        <v>-92.981607999999994</v>
      </c>
      <c r="AM3516">
        <v>100</v>
      </c>
      <c r="AN3516">
        <v>1300</v>
      </c>
      <c r="AO3516" t="s">
        <v>118</v>
      </c>
      <c r="AP3516">
        <v>-114</v>
      </c>
      <c r="AQ3516">
        <v>63</v>
      </c>
      <c r="AR3516">
        <v>0</v>
      </c>
      <c r="AZ3516">
        <v>1200</v>
      </c>
      <c r="BA3516">
        <v>1</v>
      </c>
      <c r="BB3516" t="str">
        <f t="shared" si="174"/>
        <v xml:space="preserve">N8080G  </v>
      </c>
      <c r="BC3516">
        <v>1</v>
      </c>
      <c r="BE3516">
        <v>0</v>
      </c>
      <c r="BF3516">
        <v>0</v>
      </c>
      <c r="BG3516">
        <v>0</v>
      </c>
      <c r="BH3516">
        <v>1350</v>
      </c>
      <c r="BI3516">
        <v>1</v>
      </c>
      <c r="BJ3516">
        <v>1</v>
      </c>
      <c r="BK3516">
        <v>1</v>
      </c>
      <c r="BL3516">
        <v>0</v>
      </c>
      <c r="BO3516">
        <v>0</v>
      </c>
      <c r="BP3516">
        <v>0</v>
      </c>
      <c r="BW3516" t="str">
        <f>"20:33:40.851"</f>
        <v>20:33:40.851</v>
      </c>
      <c r="BZ3516">
        <v>0</v>
      </c>
      <c r="CA3516">
        <v>1600</v>
      </c>
      <c r="CB3516">
        <v>224</v>
      </c>
      <c r="CD3516">
        <v>1</v>
      </c>
      <c r="CE3516">
        <v>0</v>
      </c>
      <c r="CF3516">
        <v>0</v>
      </c>
      <c r="CG3516">
        <v>1</v>
      </c>
      <c r="CH3516">
        <v>0</v>
      </c>
      <c r="CI3516">
        <v>0</v>
      </c>
      <c r="CJ3516">
        <v>0</v>
      </c>
      <c r="CK3516">
        <v>2</v>
      </c>
      <c r="CL3516">
        <v>0</v>
      </c>
      <c r="CM3516">
        <v>2</v>
      </c>
      <c r="CN3516">
        <v>0</v>
      </c>
      <c r="CO3516">
        <v>7</v>
      </c>
      <c r="CP3516" t="s">
        <v>119</v>
      </c>
      <c r="CQ3516">
        <v>180</v>
      </c>
      <c r="CR3516">
        <v>3</v>
      </c>
      <c r="CW3516">
        <v>1180403</v>
      </c>
      <c r="CY3516">
        <v>1</v>
      </c>
      <c r="CZ3516">
        <v>0</v>
      </c>
      <c r="DA3516">
        <v>1</v>
      </c>
      <c r="DB3516">
        <v>0</v>
      </c>
      <c r="DC3516">
        <v>0</v>
      </c>
      <c r="DD3516">
        <v>0</v>
      </c>
      <c r="DE3516">
        <v>0</v>
      </c>
      <c r="DF3516">
        <v>0</v>
      </c>
      <c r="DG3516">
        <v>0</v>
      </c>
      <c r="DH3516">
        <v>0</v>
      </c>
      <c r="DI3516">
        <v>0</v>
      </c>
    </row>
    <row r="3517" spans="1:113" x14ac:dyDescent="0.3">
      <c r="A3517" t="str">
        <f>"02/08/2021 20:33:38.538"</f>
        <v>02/08/2021 20:33:38.538</v>
      </c>
      <c r="C3517" t="str">
        <f t="shared" si="175"/>
        <v>FFDFD7C0</v>
      </c>
      <c r="D3517" t="s">
        <v>124</v>
      </c>
      <c r="E3517">
        <v>12</v>
      </c>
      <c r="F3517">
        <v>1012</v>
      </c>
      <c r="G3517" t="s">
        <v>675</v>
      </c>
      <c r="J3517" t="s">
        <v>125</v>
      </c>
      <c r="K3517">
        <v>0</v>
      </c>
      <c r="L3517">
        <v>3</v>
      </c>
      <c r="M3517">
        <v>0</v>
      </c>
      <c r="N3517">
        <v>2</v>
      </c>
      <c r="O3517">
        <v>1</v>
      </c>
      <c r="P3517">
        <v>0</v>
      </c>
      <c r="Q3517">
        <v>0</v>
      </c>
      <c r="S3517" t="str">
        <f>"20:33:40.844"</f>
        <v>20:33:40.844</v>
      </c>
      <c r="T3517" t="str">
        <f>"20:33:40.344"</f>
        <v>20:33:40.344</v>
      </c>
      <c r="U3517" t="str">
        <f t="shared" si="172"/>
        <v>AB01F4</v>
      </c>
      <c r="V3517">
        <v>0</v>
      </c>
      <c r="W3517">
        <v>0</v>
      </c>
      <c r="X3517">
        <v>2</v>
      </c>
      <c r="Z3517">
        <v>0</v>
      </c>
      <c r="AA3517">
        <v>9</v>
      </c>
      <c r="AB3517">
        <v>3</v>
      </c>
      <c r="AC3517">
        <v>0</v>
      </c>
      <c r="AD3517">
        <v>10</v>
      </c>
      <c r="AE3517">
        <v>0</v>
      </c>
      <c r="AF3517">
        <v>3</v>
      </c>
      <c r="AG3517">
        <v>2</v>
      </c>
      <c r="AH3517">
        <v>0</v>
      </c>
      <c r="AI3517" t="s">
        <v>2007</v>
      </c>
      <c r="AJ3517">
        <v>40.092008</v>
      </c>
      <c r="AK3517" t="s">
        <v>2008</v>
      </c>
      <c r="AL3517">
        <v>-92.981607999999994</v>
      </c>
      <c r="AM3517">
        <v>100</v>
      </c>
      <c r="AN3517">
        <v>1300</v>
      </c>
      <c r="AO3517" t="s">
        <v>118</v>
      </c>
      <c r="AP3517">
        <v>-114</v>
      </c>
      <c r="AQ3517">
        <v>63</v>
      </c>
      <c r="AR3517">
        <v>0</v>
      </c>
      <c r="AZ3517">
        <v>1200</v>
      </c>
      <c r="BA3517">
        <v>1</v>
      </c>
      <c r="BB3517" t="str">
        <f t="shared" si="174"/>
        <v xml:space="preserve">N8080G  </v>
      </c>
      <c r="BC3517">
        <v>1</v>
      </c>
      <c r="BE3517">
        <v>0</v>
      </c>
      <c r="BF3517">
        <v>0</v>
      </c>
      <c r="BG3517">
        <v>0</v>
      </c>
      <c r="BH3517">
        <v>1350</v>
      </c>
      <c r="BI3517">
        <v>1</v>
      </c>
      <c r="BJ3517">
        <v>1</v>
      </c>
      <c r="BK3517">
        <v>1</v>
      </c>
      <c r="BL3517">
        <v>0</v>
      </c>
      <c r="BO3517">
        <v>0</v>
      </c>
      <c r="BP3517">
        <v>0</v>
      </c>
      <c r="BW3517" t="str">
        <f>"20:33:40.851"</f>
        <v>20:33:40.851</v>
      </c>
      <c r="BZ3517">
        <v>0</v>
      </c>
      <c r="CA3517">
        <v>1600</v>
      </c>
      <c r="CB3517">
        <v>224</v>
      </c>
      <c r="CD3517">
        <v>1</v>
      </c>
      <c r="CE3517">
        <v>0</v>
      </c>
      <c r="CF3517">
        <v>0</v>
      </c>
      <c r="CG3517">
        <v>1</v>
      </c>
      <c r="CH3517">
        <v>0</v>
      </c>
      <c r="CI3517">
        <v>0</v>
      </c>
      <c r="CJ3517">
        <v>0</v>
      </c>
      <c r="CK3517">
        <v>2</v>
      </c>
      <c r="CL3517">
        <v>0</v>
      </c>
      <c r="CM3517">
        <v>2</v>
      </c>
      <c r="CN3517">
        <v>0</v>
      </c>
      <c r="CO3517">
        <v>7</v>
      </c>
      <c r="CP3517" t="s">
        <v>119</v>
      </c>
      <c r="CQ3517">
        <v>180</v>
      </c>
      <c r="CR3517">
        <v>3</v>
      </c>
      <c r="CW3517">
        <v>1180403</v>
      </c>
      <c r="CY3517">
        <v>1</v>
      </c>
      <c r="CZ3517">
        <v>0</v>
      </c>
      <c r="DA3517">
        <v>1</v>
      </c>
      <c r="DB3517">
        <v>0</v>
      </c>
      <c r="DC3517">
        <v>0</v>
      </c>
      <c r="DD3517">
        <v>0</v>
      </c>
      <c r="DE3517">
        <v>0</v>
      </c>
      <c r="DF3517">
        <v>0</v>
      </c>
      <c r="DG3517">
        <v>0</v>
      </c>
      <c r="DH3517">
        <v>0</v>
      </c>
      <c r="DI3517">
        <v>0</v>
      </c>
    </row>
    <row r="3518" spans="1:113" x14ac:dyDescent="0.3">
      <c r="A3518" t="str">
        <f>"02/08/2021 20:33:38.538"</f>
        <v>02/08/2021 20:33:38.538</v>
      </c>
      <c r="C3518" t="str">
        <f t="shared" si="175"/>
        <v>FFDFD7C0</v>
      </c>
      <c r="D3518" t="s">
        <v>124</v>
      </c>
      <c r="E3518">
        <v>13</v>
      </c>
      <c r="F3518">
        <v>1013</v>
      </c>
      <c r="G3518" t="s">
        <v>114</v>
      </c>
      <c r="J3518" t="s">
        <v>125</v>
      </c>
      <c r="K3518">
        <v>0</v>
      </c>
      <c r="L3518">
        <v>3</v>
      </c>
      <c r="M3518">
        <v>0</v>
      </c>
      <c r="N3518">
        <v>2</v>
      </c>
      <c r="O3518">
        <v>1</v>
      </c>
      <c r="P3518">
        <v>0</v>
      </c>
      <c r="Q3518">
        <v>0</v>
      </c>
      <c r="S3518" t="str">
        <f>"20:33:40.844"</f>
        <v>20:33:40.844</v>
      </c>
      <c r="T3518" t="str">
        <f>"20:33:40.344"</f>
        <v>20:33:40.344</v>
      </c>
      <c r="U3518" t="str">
        <f t="shared" si="172"/>
        <v>AB01F4</v>
      </c>
      <c r="V3518">
        <v>0</v>
      </c>
      <c r="W3518">
        <v>0</v>
      </c>
      <c r="X3518">
        <v>2</v>
      </c>
      <c r="Z3518">
        <v>0</v>
      </c>
      <c r="AA3518">
        <v>9</v>
      </c>
      <c r="AB3518">
        <v>3</v>
      </c>
      <c r="AC3518">
        <v>0</v>
      </c>
      <c r="AD3518">
        <v>10</v>
      </c>
      <c r="AE3518">
        <v>0</v>
      </c>
      <c r="AF3518">
        <v>3</v>
      </c>
      <c r="AG3518">
        <v>2</v>
      </c>
      <c r="AH3518">
        <v>0</v>
      </c>
      <c r="AI3518" t="s">
        <v>2007</v>
      </c>
      <c r="AJ3518">
        <v>40.092008</v>
      </c>
      <c r="AK3518" t="s">
        <v>2008</v>
      </c>
      <c r="AL3518">
        <v>-92.981607999999994</v>
      </c>
      <c r="AM3518">
        <v>100</v>
      </c>
      <c r="AN3518">
        <v>1300</v>
      </c>
      <c r="AO3518" t="s">
        <v>118</v>
      </c>
      <c r="AP3518">
        <v>-114</v>
      </c>
      <c r="AQ3518">
        <v>63</v>
      </c>
      <c r="AR3518">
        <v>0</v>
      </c>
      <c r="AZ3518">
        <v>1200</v>
      </c>
      <c r="BA3518">
        <v>1</v>
      </c>
      <c r="BB3518" t="str">
        <f t="shared" si="174"/>
        <v xml:space="preserve">N8080G  </v>
      </c>
      <c r="BC3518">
        <v>1</v>
      </c>
      <c r="BE3518">
        <v>0</v>
      </c>
      <c r="BF3518">
        <v>0</v>
      </c>
      <c r="BG3518">
        <v>0</v>
      </c>
      <c r="BH3518">
        <v>1350</v>
      </c>
      <c r="BI3518">
        <v>1</v>
      </c>
      <c r="BJ3518">
        <v>1</v>
      </c>
      <c r="BK3518">
        <v>1</v>
      </c>
      <c r="BL3518">
        <v>0</v>
      </c>
      <c r="BO3518">
        <v>0</v>
      </c>
      <c r="BP3518">
        <v>0</v>
      </c>
      <c r="BW3518" t="str">
        <f>"20:33:40.851"</f>
        <v>20:33:40.851</v>
      </c>
      <c r="BZ3518">
        <v>0</v>
      </c>
      <c r="CA3518">
        <v>1600</v>
      </c>
      <c r="CB3518">
        <v>224</v>
      </c>
      <c r="CD3518">
        <v>1</v>
      </c>
      <c r="CE3518">
        <v>0</v>
      </c>
      <c r="CF3518">
        <v>0</v>
      </c>
      <c r="CG3518">
        <v>1</v>
      </c>
      <c r="CH3518">
        <v>0</v>
      </c>
      <c r="CI3518">
        <v>0</v>
      </c>
      <c r="CJ3518">
        <v>0</v>
      </c>
      <c r="CK3518">
        <v>2</v>
      </c>
      <c r="CL3518">
        <v>0</v>
      </c>
      <c r="CM3518">
        <v>2</v>
      </c>
      <c r="CN3518">
        <v>0</v>
      </c>
      <c r="CO3518">
        <v>7</v>
      </c>
      <c r="CP3518" t="s">
        <v>119</v>
      </c>
      <c r="CQ3518">
        <v>180</v>
      </c>
      <c r="CR3518">
        <v>3</v>
      </c>
      <c r="CW3518">
        <v>1180403</v>
      </c>
      <c r="CY3518">
        <v>1</v>
      </c>
      <c r="CZ3518">
        <v>0</v>
      </c>
      <c r="DA3518">
        <v>1</v>
      </c>
      <c r="DB3518">
        <v>0</v>
      </c>
      <c r="DC3518">
        <v>0</v>
      </c>
      <c r="DD3518">
        <v>0</v>
      </c>
      <c r="DE3518">
        <v>0</v>
      </c>
      <c r="DF3518">
        <v>0</v>
      </c>
      <c r="DG3518">
        <v>0</v>
      </c>
      <c r="DH3518">
        <v>0</v>
      </c>
      <c r="DI3518">
        <v>0</v>
      </c>
    </row>
    <row r="3519" spans="1:113" x14ac:dyDescent="0.3">
      <c r="A3519" t="str">
        <f>"02/08/2021 20:33:39.666"</f>
        <v>02/08/2021 20:33:39.666</v>
      </c>
      <c r="C3519" t="str">
        <f t="shared" si="175"/>
        <v>FFDFD7C0</v>
      </c>
      <c r="D3519" t="s">
        <v>124</v>
      </c>
      <c r="E3519">
        <v>12</v>
      </c>
      <c r="F3519">
        <v>1012</v>
      </c>
      <c r="G3519" t="s">
        <v>675</v>
      </c>
      <c r="J3519" t="s">
        <v>125</v>
      </c>
      <c r="K3519">
        <v>0</v>
      </c>
      <c r="L3519">
        <v>3</v>
      </c>
      <c r="M3519">
        <v>0</v>
      </c>
      <c r="N3519">
        <v>2</v>
      </c>
      <c r="O3519">
        <v>1</v>
      </c>
      <c r="P3519">
        <v>0</v>
      </c>
      <c r="Q3519">
        <v>0</v>
      </c>
      <c r="S3519" t="str">
        <f>"20:33:41.984"</f>
        <v>20:33:41.984</v>
      </c>
      <c r="T3519" t="str">
        <f>"20:33:41.484"</f>
        <v>20:33:41.484</v>
      </c>
      <c r="U3519" t="str">
        <f t="shared" si="172"/>
        <v>AB01F4</v>
      </c>
      <c r="V3519">
        <v>0</v>
      </c>
      <c r="W3519">
        <v>0</v>
      </c>
      <c r="X3519">
        <v>2</v>
      </c>
      <c r="Z3519">
        <v>0</v>
      </c>
      <c r="AA3519">
        <v>9</v>
      </c>
      <c r="AB3519">
        <v>3</v>
      </c>
      <c r="AC3519">
        <v>0</v>
      </c>
      <c r="AD3519">
        <v>10</v>
      </c>
      <c r="AE3519">
        <v>0</v>
      </c>
      <c r="AF3519">
        <v>3</v>
      </c>
      <c r="AG3519">
        <v>2</v>
      </c>
      <c r="AH3519">
        <v>0</v>
      </c>
      <c r="AI3519" t="s">
        <v>2009</v>
      </c>
      <c r="AJ3519">
        <v>40.092309</v>
      </c>
      <c r="AK3519" t="s">
        <v>2010</v>
      </c>
      <c r="AL3519">
        <v>-92.982359000000002</v>
      </c>
      <c r="AM3519">
        <v>100</v>
      </c>
      <c r="AN3519">
        <v>1300</v>
      </c>
      <c r="AO3519" t="s">
        <v>118</v>
      </c>
      <c r="AP3519">
        <v>-114</v>
      </c>
      <c r="AQ3519">
        <v>63</v>
      </c>
      <c r="AR3519">
        <v>0</v>
      </c>
      <c r="AZ3519">
        <v>1200</v>
      </c>
      <c r="BA3519">
        <v>1</v>
      </c>
      <c r="BB3519" t="str">
        <f t="shared" si="174"/>
        <v xml:space="preserve">N8080G  </v>
      </c>
      <c r="BC3519">
        <v>1</v>
      </c>
      <c r="BE3519">
        <v>0</v>
      </c>
      <c r="BF3519">
        <v>0</v>
      </c>
      <c r="BG3519">
        <v>0</v>
      </c>
      <c r="BH3519">
        <v>1350</v>
      </c>
      <c r="BI3519">
        <v>1</v>
      </c>
      <c r="BJ3519">
        <v>1</v>
      </c>
      <c r="BK3519">
        <v>1</v>
      </c>
      <c r="BL3519">
        <v>0</v>
      </c>
      <c r="BO3519">
        <v>0</v>
      </c>
      <c r="BP3519">
        <v>0</v>
      </c>
      <c r="BW3519" t="str">
        <f>"20:33:41.991"</f>
        <v>20:33:41.991</v>
      </c>
      <c r="BZ3519">
        <v>0</v>
      </c>
      <c r="CA3519">
        <v>1600</v>
      </c>
      <c r="CB3519">
        <v>224</v>
      </c>
      <c r="CD3519">
        <v>1</v>
      </c>
      <c r="CE3519">
        <v>0</v>
      </c>
      <c r="CF3519">
        <v>0</v>
      </c>
      <c r="CG3519">
        <v>1</v>
      </c>
      <c r="CH3519">
        <v>0</v>
      </c>
      <c r="CI3519">
        <v>0</v>
      </c>
      <c r="CJ3519">
        <v>0</v>
      </c>
      <c r="CK3519">
        <v>2</v>
      </c>
      <c r="CL3519">
        <v>0</v>
      </c>
      <c r="CM3519">
        <v>2</v>
      </c>
      <c r="CN3519">
        <v>0</v>
      </c>
      <c r="CO3519">
        <v>7</v>
      </c>
      <c r="CP3519" t="s">
        <v>119</v>
      </c>
      <c r="CQ3519">
        <v>180</v>
      </c>
      <c r="CR3519">
        <v>3</v>
      </c>
      <c r="CW3519">
        <v>1181331</v>
      </c>
      <c r="CY3519">
        <v>1</v>
      </c>
      <c r="CZ3519">
        <v>0</v>
      </c>
      <c r="DA3519">
        <v>0</v>
      </c>
      <c r="DB3519">
        <v>0</v>
      </c>
      <c r="DC3519">
        <v>0</v>
      </c>
      <c r="DD3519">
        <v>0</v>
      </c>
      <c r="DE3519">
        <v>0</v>
      </c>
      <c r="DF3519">
        <v>0</v>
      </c>
      <c r="DG3519">
        <v>0</v>
      </c>
      <c r="DH3519">
        <v>0</v>
      </c>
      <c r="DI3519">
        <v>0</v>
      </c>
    </row>
    <row r="3520" spans="1:113" x14ac:dyDescent="0.3">
      <c r="A3520" t="str">
        <f>"02/08/2021 20:33:39.666"</f>
        <v>02/08/2021 20:33:39.666</v>
      </c>
      <c r="C3520" t="str">
        <f t="shared" si="175"/>
        <v>FFDFD7C0</v>
      </c>
      <c r="D3520" t="s">
        <v>124</v>
      </c>
      <c r="E3520">
        <v>13</v>
      </c>
      <c r="F3520">
        <v>1013</v>
      </c>
      <c r="G3520" t="s">
        <v>114</v>
      </c>
      <c r="J3520" t="s">
        <v>125</v>
      </c>
      <c r="K3520">
        <v>0</v>
      </c>
      <c r="L3520">
        <v>3</v>
      </c>
      <c r="M3520">
        <v>0</v>
      </c>
      <c r="N3520">
        <v>2</v>
      </c>
      <c r="O3520">
        <v>1</v>
      </c>
      <c r="P3520">
        <v>0</v>
      </c>
      <c r="Q3520">
        <v>0</v>
      </c>
      <c r="S3520" t="str">
        <f>"20:33:41.984"</f>
        <v>20:33:41.984</v>
      </c>
      <c r="T3520" t="str">
        <f>"20:33:41.484"</f>
        <v>20:33:41.484</v>
      </c>
      <c r="U3520" t="str">
        <f t="shared" si="172"/>
        <v>AB01F4</v>
      </c>
      <c r="V3520">
        <v>0</v>
      </c>
      <c r="W3520">
        <v>0</v>
      </c>
      <c r="X3520">
        <v>2</v>
      </c>
      <c r="Z3520">
        <v>0</v>
      </c>
      <c r="AA3520">
        <v>9</v>
      </c>
      <c r="AB3520">
        <v>3</v>
      </c>
      <c r="AC3520">
        <v>0</v>
      </c>
      <c r="AD3520">
        <v>10</v>
      </c>
      <c r="AE3520">
        <v>0</v>
      </c>
      <c r="AF3520">
        <v>3</v>
      </c>
      <c r="AG3520">
        <v>2</v>
      </c>
      <c r="AH3520">
        <v>0</v>
      </c>
      <c r="AI3520" t="s">
        <v>2009</v>
      </c>
      <c r="AJ3520">
        <v>40.092309</v>
      </c>
      <c r="AK3520" t="s">
        <v>2010</v>
      </c>
      <c r="AL3520">
        <v>-92.982359000000002</v>
      </c>
      <c r="AM3520">
        <v>100</v>
      </c>
      <c r="AN3520">
        <v>1300</v>
      </c>
      <c r="AO3520" t="s">
        <v>118</v>
      </c>
      <c r="AP3520">
        <v>-114</v>
      </c>
      <c r="AQ3520">
        <v>63</v>
      </c>
      <c r="AR3520">
        <v>0</v>
      </c>
      <c r="AZ3520">
        <v>1200</v>
      </c>
      <c r="BA3520">
        <v>1</v>
      </c>
      <c r="BB3520" t="str">
        <f t="shared" si="174"/>
        <v xml:space="preserve">N8080G  </v>
      </c>
      <c r="BC3520">
        <v>1</v>
      </c>
      <c r="BE3520">
        <v>0</v>
      </c>
      <c r="BF3520">
        <v>0</v>
      </c>
      <c r="BG3520">
        <v>0</v>
      </c>
      <c r="BH3520">
        <v>1350</v>
      </c>
      <c r="BI3520">
        <v>1</v>
      </c>
      <c r="BJ3520">
        <v>1</v>
      </c>
      <c r="BK3520">
        <v>1</v>
      </c>
      <c r="BL3520">
        <v>0</v>
      </c>
      <c r="BO3520">
        <v>0</v>
      </c>
      <c r="BP3520">
        <v>0</v>
      </c>
      <c r="BW3520" t="str">
        <f>"20:33:41.991"</f>
        <v>20:33:41.991</v>
      </c>
      <c r="BZ3520">
        <v>0</v>
      </c>
      <c r="CA3520">
        <v>1600</v>
      </c>
      <c r="CB3520">
        <v>224</v>
      </c>
      <c r="CD3520">
        <v>1</v>
      </c>
      <c r="CE3520">
        <v>0</v>
      </c>
      <c r="CF3520">
        <v>0</v>
      </c>
      <c r="CG3520">
        <v>1</v>
      </c>
      <c r="CH3520">
        <v>0</v>
      </c>
      <c r="CI3520">
        <v>0</v>
      </c>
      <c r="CJ3520">
        <v>0</v>
      </c>
      <c r="CK3520">
        <v>2</v>
      </c>
      <c r="CL3520">
        <v>0</v>
      </c>
      <c r="CM3520">
        <v>2</v>
      </c>
      <c r="CN3520">
        <v>0</v>
      </c>
      <c r="CO3520">
        <v>7</v>
      </c>
      <c r="CP3520" t="s">
        <v>119</v>
      </c>
      <c r="CQ3520">
        <v>180</v>
      </c>
      <c r="CR3520">
        <v>3</v>
      </c>
      <c r="CW3520">
        <v>1181331</v>
      </c>
      <c r="CY3520">
        <v>1</v>
      </c>
      <c r="CZ3520">
        <v>0</v>
      </c>
      <c r="DA3520">
        <v>1</v>
      </c>
      <c r="DB3520">
        <v>0</v>
      </c>
      <c r="DC3520">
        <v>0</v>
      </c>
      <c r="DD3520">
        <v>0</v>
      </c>
      <c r="DE3520">
        <v>0</v>
      </c>
      <c r="DF3520">
        <v>0</v>
      </c>
      <c r="DG3520">
        <v>0</v>
      </c>
      <c r="DH3520">
        <v>0</v>
      </c>
      <c r="DI3520">
        <v>0</v>
      </c>
    </row>
    <row r="3521" spans="1:113" x14ac:dyDescent="0.3">
      <c r="A3521" t="str">
        <f>"02/08/2021 20:33:39.666"</f>
        <v>02/08/2021 20:33:39.666</v>
      </c>
      <c r="C3521" t="str">
        <f t="shared" si="175"/>
        <v>FFDFD7C0</v>
      </c>
      <c r="D3521" t="s">
        <v>124</v>
      </c>
      <c r="E3521">
        <v>11</v>
      </c>
      <c r="F3521">
        <v>1011</v>
      </c>
      <c r="G3521" t="s">
        <v>590</v>
      </c>
      <c r="J3521" t="s">
        <v>125</v>
      </c>
      <c r="K3521">
        <v>0</v>
      </c>
      <c r="L3521">
        <v>3</v>
      </c>
      <c r="M3521">
        <v>0</v>
      </c>
      <c r="N3521">
        <v>2</v>
      </c>
      <c r="O3521">
        <v>1</v>
      </c>
      <c r="P3521">
        <v>0</v>
      </c>
      <c r="Q3521">
        <v>0</v>
      </c>
      <c r="S3521" t="str">
        <f>"20:33:41.984"</f>
        <v>20:33:41.984</v>
      </c>
      <c r="T3521" t="str">
        <f>"20:33:41.484"</f>
        <v>20:33:41.484</v>
      </c>
      <c r="U3521" t="str">
        <f t="shared" si="172"/>
        <v>AB01F4</v>
      </c>
      <c r="V3521">
        <v>0</v>
      </c>
      <c r="W3521">
        <v>0</v>
      </c>
      <c r="X3521">
        <v>2</v>
      </c>
      <c r="Z3521">
        <v>0</v>
      </c>
      <c r="AA3521">
        <v>9</v>
      </c>
      <c r="AB3521">
        <v>3</v>
      </c>
      <c r="AC3521">
        <v>0</v>
      </c>
      <c r="AD3521">
        <v>10</v>
      </c>
      <c r="AE3521">
        <v>0</v>
      </c>
      <c r="AF3521">
        <v>3</v>
      </c>
      <c r="AG3521">
        <v>2</v>
      </c>
      <c r="AH3521">
        <v>0</v>
      </c>
      <c r="AI3521" t="s">
        <v>2009</v>
      </c>
      <c r="AJ3521">
        <v>40.092309</v>
      </c>
      <c r="AK3521" t="s">
        <v>2010</v>
      </c>
      <c r="AL3521">
        <v>-92.982359000000002</v>
      </c>
      <c r="AM3521">
        <v>100</v>
      </c>
      <c r="AN3521">
        <v>1300</v>
      </c>
      <c r="AO3521" t="s">
        <v>118</v>
      </c>
      <c r="AP3521">
        <v>-114</v>
      </c>
      <c r="AQ3521">
        <v>63</v>
      </c>
      <c r="AR3521">
        <v>0</v>
      </c>
      <c r="AZ3521">
        <v>1200</v>
      </c>
      <c r="BA3521">
        <v>1</v>
      </c>
      <c r="BB3521" t="str">
        <f t="shared" si="174"/>
        <v xml:space="preserve">N8080G  </v>
      </c>
      <c r="BC3521">
        <v>1</v>
      </c>
      <c r="BE3521">
        <v>0</v>
      </c>
      <c r="BF3521">
        <v>0</v>
      </c>
      <c r="BG3521">
        <v>0</v>
      </c>
      <c r="BH3521">
        <v>1350</v>
      </c>
      <c r="BI3521">
        <v>1</v>
      </c>
      <c r="BJ3521">
        <v>1</v>
      </c>
      <c r="BK3521">
        <v>1</v>
      </c>
      <c r="BL3521">
        <v>0</v>
      </c>
      <c r="BO3521">
        <v>0</v>
      </c>
      <c r="BP3521">
        <v>0</v>
      </c>
      <c r="BW3521" t="str">
        <f>"20:33:41.991"</f>
        <v>20:33:41.991</v>
      </c>
      <c r="BZ3521">
        <v>0</v>
      </c>
      <c r="CA3521">
        <v>1600</v>
      </c>
      <c r="CB3521">
        <v>224</v>
      </c>
      <c r="CD3521">
        <v>1</v>
      </c>
      <c r="CE3521">
        <v>0</v>
      </c>
      <c r="CF3521">
        <v>0</v>
      </c>
      <c r="CG3521">
        <v>1</v>
      </c>
      <c r="CH3521">
        <v>0</v>
      </c>
      <c r="CI3521">
        <v>0</v>
      </c>
      <c r="CJ3521">
        <v>0</v>
      </c>
      <c r="CK3521">
        <v>2</v>
      </c>
      <c r="CL3521">
        <v>0</v>
      </c>
      <c r="CM3521">
        <v>2</v>
      </c>
      <c r="CN3521">
        <v>0</v>
      </c>
      <c r="CO3521">
        <v>7</v>
      </c>
      <c r="CP3521" t="s">
        <v>119</v>
      </c>
      <c r="CQ3521">
        <v>180</v>
      </c>
      <c r="CR3521">
        <v>3</v>
      </c>
      <c r="CW3521">
        <v>1181331</v>
      </c>
      <c r="CY3521">
        <v>1</v>
      </c>
      <c r="CZ3521">
        <v>0</v>
      </c>
      <c r="DA3521">
        <v>1</v>
      </c>
      <c r="DB3521">
        <v>0</v>
      </c>
      <c r="DC3521">
        <v>0</v>
      </c>
      <c r="DD3521">
        <v>0</v>
      </c>
      <c r="DE3521">
        <v>0</v>
      </c>
      <c r="DF3521">
        <v>0</v>
      </c>
      <c r="DG3521">
        <v>0</v>
      </c>
      <c r="DH3521">
        <v>0</v>
      </c>
      <c r="DI3521">
        <v>0</v>
      </c>
    </row>
    <row r="3522" spans="1:113" x14ac:dyDescent="0.3">
      <c r="A3522" t="str">
        <f>"02/08/2021 20:33:39.666"</f>
        <v>02/08/2021 20:33:39.666</v>
      </c>
      <c r="C3522" t="str">
        <f t="shared" si="175"/>
        <v>FFDFD7C0</v>
      </c>
      <c r="D3522" t="s">
        <v>113</v>
      </c>
      <c r="E3522">
        <v>6</v>
      </c>
      <c r="H3522">
        <v>165</v>
      </c>
      <c r="I3522" t="s">
        <v>114</v>
      </c>
      <c r="J3522" t="s">
        <v>115</v>
      </c>
      <c r="K3522">
        <v>0</v>
      </c>
      <c r="L3522">
        <v>3</v>
      </c>
      <c r="M3522">
        <v>0</v>
      </c>
      <c r="N3522">
        <v>2</v>
      </c>
      <c r="O3522">
        <v>1</v>
      </c>
      <c r="P3522">
        <v>0</v>
      </c>
      <c r="Q3522">
        <v>0</v>
      </c>
      <c r="S3522" t="str">
        <f>"20:33:41.984"</f>
        <v>20:33:41.984</v>
      </c>
      <c r="T3522" t="str">
        <f>"20:33:41.484"</f>
        <v>20:33:41.484</v>
      </c>
      <c r="U3522" t="str">
        <f t="shared" ref="U3522:U3585" si="176">"AB01F4"</f>
        <v>AB01F4</v>
      </c>
      <c r="V3522">
        <v>0</v>
      </c>
      <c r="W3522">
        <v>0</v>
      </c>
      <c r="X3522">
        <v>2</v>
      </c>
      <c r="Z3522">
        <v>0</v>
      </c>
      <c r="AA3522">
        <v>9</v>
      </c>
      <c r="AB3522">
        <v>3</v>
      </c>
      <c r="AC3522">
        <v>0</v>
      </c>
      <c r="AD3522">
        <v>10</v>
      </c>
      <c r="AE3522">
        <v>0</v>
      </c>
      <c r="AF3522">
        <v>3</v>
      </c>
      <c r="AG3522">
        <v>2</v>
      </c>
      <c r="AH3522">
        <v>0</v>
      </c>
      <c r="AI3522" t="s">
        <v>2009</v>
      </c>
      <c r="AJ3522">
        <v>40.092309</v>
      </c>
      <c r="AK3522" t="s">
        <v>2010</v>
      </c>
      <c r="AL3522">
        <v>-92.982359000000002</v>
      </c>
      <c r="AM3522">
        <v>100</v>
      </c>
      <c r="AN3522">
        <v>1300</v>
      </c>
      <c r="AO3522" t="s">
        <v>118</v>
      </c>
      <c r="AP3522">
        <v>-114</v>
      </c>
      <c r="AQ3522">
        <v>63</v>
      </c>
      <c r="AR3522">
        <v>0</v>
      </c>
      <c r="AZ3522">
        <v>1200</v>
      </c>
      <c r="BA3522">
        <v>1</v>
      </c>
      <c r="BB3522" t="str">
        <f t="shared" si="174"/>
        <v xml:space="preserve">N8080G  </v>
      </c>
      <c r="BC3522">
        <v>1</v>
      </c>
      <c r="BE3522">
        <v>0</v>
      </c>
      <c r="BF3522">
        <v>0</v>
      </c>
      <c r="BG3522">
        <v>0</v>
      </c>
      <c r="BH3522">
        <v>1350</v>
      </c>
      <c r="BI3522">
        <v>1</v>
      </c>
      <c r="BJ3522">
        <v>1</v>
      </c>
      <c r="BK3522">
        <v>1</v>
      </c>
      <c r="BL3522">
        <v>0</v>
      </c>
      <c r="BO3522">
        <v>0</v>
      </c>
      <c r="BP3522">
        <v>0</v>
      </c>
      <c r="BW3522" t="str">
        <f>"20:33:41.991"</f>
        <v>20:33:41.991</v>
      </c>
      <c r="BZ3522">
        <v>0</v>
      </c>
      <c r="CA3522">
        <v>1600</v>
      </c>
      <c r="CB3522">
        <v>224</v>
      </c>
      <c r="CD3522">
        <v>1</v>
      </c>
      <c r="CE3522">
        <v>0</v>
      </c>
      <c r="CF3522">
        <v>0</v>
      </c>
      <c r="CG3522">
        <v>1</v>
      </c>
      <c r="CH3522">
        <v>0</v>
      </c>
      <c r="CI3522">
        <v>0</v>
      </c>
      <c r="CJ3522">
        <v>0</v>
      </c>
      <c r="CK3522">
        <v>2</v>
      </c>
      <c r="CL3522">
        <v>0</v>
      </c>
      <c r="CM3522">
        <v>2</v>
      </c>
      <c r="CN3522">
        <v>0</v>
      </c>
      <c r="CO3522">
        <v>7</v>
      </c>
      <c r="CP3522" t="s">
        <v>119</v>
      </c>
      <c r="CQ3522">
        <v>180</v>
      </c>
      <c r="CR3522">
        <v>3</v>
      </c>
      <c r="CW3522">
        <v>1181331</v>
      </c>
      <c r="CY3522">
        <v>1</v>
      </c>
      <c r="CZ3522">
        <v>0</v>
      </c>
      <c r="DA3522">
        <v>1</v>
      </c>
      <c r="DB3522">
        <v>0</v>
      </c>
      <c r="DC3522">
        <v>0</v>
      </c>
      <c r="DD3522">
        <v>0</v>
      </c>
      <c r="DE3522">
        <v>0</v>
      </c>
      <c r="DF3522">
        <v>0</v>
      </c>
      <c r="DG3522">
        <v>0</v>
      </c>
      <c r="DH3522">
        <v>0</v>
      </c>
      <c r="DI3522">
        <v>0</v>
      </c>
    </row>
    <row r="3523" spans="1:113" x14ac:dyDescent="0.3">
      <c r="A3523" t="str">
        <f>"02/08/2021 20:33:42.649"</f>
        <v>02/08/2021 20:33:42.649</v>
      </c>
      <c r="C3523" t="str">
        <f t="shared" si="175"/>
        <v>FFDFD7C0</v>
      </c>
      <c r="D3523" t="s">
        <v>124</v>
      </c>
      <c r="E3523">
        <v>13</v>
      </c>
      <c r="F3523">
        <v>1013</v>
      </c>
      <c r="G3523" t="s">
        <v>114</v>
      </c>
      <c r="J3523" t="s">
        <v>125</v>
      </c>
      <c r="K3523">
        <v>0</v>
      </c>
      <c r="L3523">
        <v>3</v>
      </c>
      <c r="M3523">
        <v>0</v>
      </c>
      <c r="N3523">
        <v>2</v>
      </c>
      <c r="O3523">
        <v>1</v>
      </c>
      <c r="P3523">
        <v>0</v>
      </c>
      <c r="Q3523">
        <v>0</v>
      </c>
      <c r="S3523" t="str">
        <f>"20:33:44.984"</f>
        <v>20:33:44.984</v>
      </c>
      <c r="T3523" t="str">
        <f>"20:33:44.584"</f>
        <v>20:33:44.584</v>
      </c>
      <c r="U3523" t="str">
        <f t="shared" si="176"/>
        <v>AB01F4</v>
      </c>
      <c r="V3523">
        <v>0</v>
      </c>
      <c r="W3523">
        <v>0</v>
      </c>
      <c r="X3523">
        <v>2</v>
      </c>
      <c r="Z3523">
        <v>0</v>
      </c>
      <c r="AA3523">
        <v>9</v>
      </c>
      <c r="AB3523">
        <v>3</v>
      </c>
      <c r="AC3523">
        <v>0</v>
      </c>
      <c r="AD3523">
        <v>10</v>
      </c>
      <c r="AE3523">
        <v>0</v>
      </c>
      <c r="AF3523">
        <v>3</v>
      </c>
      <c r="AG3523">
        <v>2</v>
      </c>
      <c r="AH3523">
        <v>0</v>
      </c>
      <c r="AI3523" t="s">
        <v>2011</v>
      </c>
      <c r="AJ3523">
        <v>40.093231000000003</v>
      </c>
      <c r="AK3523" t="s">
        <v>2012</v>
      </c>
      <c r="AL3523">
        <v>-92.984440000000006</v>
      </c>
      <c r="AM3523">
        <v>100</v>
      </c>
      <c r="AN3523">
        <v>1300</v>
      </c>
      <c r="AO3523" t="s">
        <v>118</v>
      </c>
      <c r="AP3523">
        <v>-113</v>
      </c>
      <c r="AQ3523">
        <v>63</v>
      </c>
      <c r="AR3523">
        <v>0</v>
      </c>
      <c r="AZ3523">
        <v>1200</v>
      </c>
      <c r="BA3523">
        <v>1</v>
      </c>
      <c r="BB3523" t="str">
        <f t="shared" si="174"/>
        <v xml:space="preserve">N8080G  </v>
      </c>
      <c r="BC3523">
        <v>1</v>
      </c>
      <c r="BE3523">
        <v>0</v>
      </c>
      <c r="BF3523">
        <v>0</v>
      </c>
      <c r="BG3523">
        <v>0</v>
      </c>
      <c r="BH3523">
        <v>1350</v>
      </c>
      <c r="BI3523">
        <v>1</v>
      </c>
      <c r="BJ3523">
        <v>1</v>
      </c>
      <c r="BK3523">
        <v>1</v>
      </c>
      <c r="BL3523">
        <v>0</v>
      </c>
      <c r="BO3523">
        <v>0</v>
      </c>
      <c r="BP3523">
        <v>0</v>
      </c>
      <c r="BW3523" t="str">
        <f>"20:33:44.991"</f>
        <v>20:33:44.991</v>
      </c>
      <c r="BZ3523">
        <v>0</v>
      </c>
      <c r="CA3523">
        <v>1600</v>
      </c>
      <c r="CB3523">
        <v>224</v>
      </c>
      <c r="CD3523">
        <v>1</v>
      </c>
      <c r="CE3523">
        <v>0</v>
      </c>
      <c r="CF3523">
        <v>0</v>
      </c>
      <c r="CG3523">
        <v>1</v>
      </c>
      <c r="CH3523">
        <v>0</v>
      </c>
      <c r="CI3523">
        <v>0</v>
      </c>
      <c r="CJ3523">
        <v>0</v>
      </c>
      <c r="CK3523">
        <v>2</v>
      </c>
      <c r="CL3523">
        <v>0</v>
      </c>
      <c r="CM3523">
        <v>2</v>
      </c>
      <c r="CN3523">
        <v>0</v>
      </c>
      <c r="CO3523">
        <v>7</v>
      </c>
      <c r="CP3523" t="s">
        <v>119</v>
      </c>
      <c r="CQ3523">
        <v>180</v>
      </c>
      <c r="CR3523">
        <v>3</v>
      </c>
      <c r="CW3523">
        <v>1183589</v>
      </c>
      <c r="CY3523">
        <v>1</v>
      </c>
      <c r="CZ3523">
        <v>0</v>
      </c>
      <c r="DA3523">
        <v>0</v>
      </c>
      <c r="DB3523">
        <v>0</v>
      </c>
      <c r="DC3523">
        <v>0</v>
      </c>
      <c r="DD3523">
        <v>0</v>
      </c>
      <c r="DE3523">
        <v>0</v>
      </c>
      <c r="DF3523">
        <v>0</v>
      </c>
      <c r="DG3523">
        <v>0</v>
      </c>
      <c r="DH3523">
        <v>0</v>
      </c>
      <c r="DI3523">
        <v>0</v>
      </c>
    </row>
    <row r="3524" spans="1:113" x14ac:dyDescent="0.3">
      <c r="A3524" t="str">
        <f>"02/08/2021 20:33:42.649"</f>
        <v>02/08/2021 20:33:42.649</v>
      </c>
      <c r="C3524" t="str">
        <f t="shared" si="175"/>
        <v>FFDFD7C0</v>
      </c>
      <c r="D3524" t="s">
        <v>124</v>
      </c>
      <c r="E3524">
        <v>11</v>
      </c>
      <c r="F3524">
        <v>1011</v>
      </c>
      <c r="G3524" t="s">
        <v>590</v>
      </c>
      <c r="J3524" t="s">
        <v>125</v>
      </c>
      <c r="K3524">
        <v>0</v>
      </c>
      <c r="L3524">
        <v>3</v>
      </c>
      <c r="M3524">
        <v>0</v>
      </c>
      <c r="N3524">
        <v>2</v>
      </c>
      <c r="O3524">
        <v>1</v>
      </c>
      <c r="P3524">
        <v>0</v>
      </c>
      <c r="Q3524">
        <v>0</v>
      </c>
      <c r="S3524" t="str">
        <f>"20:33:44.984"</f>
        <v>20:33:44.984</v>
      </c>
      <c r="T3524" t="str">
        <f>"20:33:44.584"</f>
        <v>20:33:44.584</v>
      </c>
      <c r="U3524" t="str">
        <f t="shared" si="176"/>
        <v>AB01F4</v>
      </c>
      <c r="V3524">
        <v>0</v>
      </c>
      <c r="W3524">
        <v>0</v>
      </c>
      <c r="X3524">
        <v>2</v>
      </c>
      <c r="Z3524">
        <v>0</v>
      </c>
      <c r="AA3524">
        <v>9</v>
      </c>
      <c r="AB3524">
        <v>3</v>
      </c>
      <c r="AC3524">
        <v>0</v>
      </c>
      <c r="AD3524">
        <v>10</v>
      </c>
      <c r="AE3524">
        <v>0</v>
      </c>
      <c r="AF3524">
        <v>3</v>
      </c>
      <c r="AG3524">
        <v>2</v>
      </c>
      <c r="AH3524">
        <v>0</v>
      </c>
      <c r="AI3524" t="s">
        <v>2011</v>
      </c>
      <c r="AJ3524">
        <v>40.093231000000003</v>
      </c>
      <c r="AK3524" t="s">
        <v>2012</v>
      </c>
      <c r="AL3524">
        <v>-92.984440000000006</v>
      </c>
      <c r="AM3524">
        <v>100</v>
      </c>
      <c r="AN3524">
        <v>1300</v>
      </c>
      <c r="AO3524" t="s">
        <v>118</v>
      </c>
      <c r="AP3524">
        <v>-113</v>
      </c>
      <c r="AQ3524">
        <v>63</v>
      </c>
      <c r="AR3524">
        <v>0</v>
      </c>
      <c r="AZ3524">
        <v>1200</v>
      </c>
      <c r="BA3524">
        <v>1</v>
      </c>
      <c r="BB3524" t="str">
        <f t="shared" si="174"/>
        <v xml:space="preserve">N8080G  </v>
      </c>
      <c r="BC3524">
        <v>1</v>
      </c>
      <c r="BE3524">
        <v>0</v>
      </c>
      <c r="BF3524">
        <v>0</v>
      </c>
      <c r="BG3524">
        <v>0</v>
      </c>
      <c r="BH3524">
        <v>1350</v>
      </c>
      <c r="BI3524">
        <v>1</v>
      </c>
      <c r="BJ3524">
        <v>1</v>
      </c>
      <c r="BK3524">
        <v>1</v>
      </c>
      <c r="BL3524">
        <v>0</v>
      </c>
      <c r="BO3524">
        <v>0</v>
      </c>
      <c r="BP3524">
        <v>0</v>
      </c>
      <c r="BW3524" t="str">
        <f>"20:33:44.991"</f>
        <v>20:33:44.991</v>
      </c>
      <c r="BZ3524">
        <v>0</v>
      </c>
      <c r="CA3524">
        <v>1600</v>
      </c>
      <c r="CB3524">
        <v>224</v>
      </c>
      <c r="CD3524">
        <v>1</v>
      </c>
      <c r="CE3524">
        <v>0</v>
      </c>
      <c r="CF3524">
        <v>0</v>
      </c>
      <c r="CG3524">
        <v>1</v>
      </c>
      <c r="CH3524">
        <v>0</v>
      </c>
      <c r="CI3524">
        <v>0</v>
      </c>
      <c r="CJ3524">
        <v>0</v>
      </c>
      <c r="CK3524">
        <v>2</v>
      </c>
      <c r="CL3524">
        <v>0</v>
      </c>
      <c r="CM3524">
        <v>2</v>
      </c>
      <c r="CN3524">
        <v>0</v>
      </c>
      <c r="CO3524">
        <v>7</v>
      </c>
      <c r="CP3524" t="s">
        <v>119</v>
      </c>
      <c r="CQ3524">
        <v>180</v>
      </c>
      <c r="CR3524">
        <v>3</v>
      </c>
      <c r="CW3524">
        <v>1183589</v>
      </c>
      <c r="CY3524">
        <v>1</v>
      </c>
      <c r="CZ3524">
        <v>0</v>
      </c>
      <c r="DA3524">
        <v>1</v>
      </c>
      <c r="DB3524">
        <v>0</v>
      </c>
      <c r="DC3524">
        <v>0</v>
      </c>
      <c r="DD3524">
        <v>0</v>
      </c>
      <c r="DE3524">
        <v>0</v>
      </c>
      <c r="DF3524">
        <v>0</v>
      </c>
      <c r="DG3524">
        <v>0</v>
      </c>
      <c r="DH3524">
        <v>0</v>
      </c>
      <c r="DI3524">
        <v>0</v>
      </c>
    </row>
    <row r="3525" spans="1:113" x14ac:dyDescent="0.3">
      <c r="A3525" t="str">
        <f>"02/08/2021 20:33:42.649"</f>
        <v>02/08/2021 20:33:42.649</v>
      </c>
      <c r="C3525" t="str">
        <f t="shared" si="175"/>
        <v>FFDFD7C0</v>
      </c>
      <c r="D3525" t="s">
        <v>124</v>
      </c>
      <c r="E3525">
        <v>12</v>
      </c>
      <c r="F3525">
        <v>1012</v>
      </c>
      <c r="G3525" t="s">
        <v>675</v>
      </c>
      <c r="J3525" t="s">
        <v>125</v>
      </c>
      <c r="K3525">
        <v>0</v>
      </c>
      <c r="L3525">
        <v>3</v>
      </c>
      <c r="M3525">
        <v>0</v>
      </c>
      <c r="N3525">
        <v>2</v>
      </c>
      <c r="O3525">
        <v>1</v>
      </c>
      <c r="P3525">
        <v>0</v>
      </c>
      <c r="Q3525">
        <v>0</v>
      </c>
      <c r="S3525" t="str">
        <f>"20:33:44.984"</f>
        <v>20:33:44.984</v>
      </c>
      <c r="T3525" t="str">
        <f>"20:33:44.584"</f>
        <v>20:33:44.584</v>
      </c>
      <c r="U3525" t="str">
        <f t="shared" si="176"/>
        <v>AB01F4</v>
      </c>
      <c r="V3525">
        <v>0</v>
      </c>
      <c r="W3525">
        <v>0</v>
      </c>
      <c r="X3525">
        <v>2</v>
      </c>
      <c r="Z3525">
        <v>0</v>
      </c>
      <c r="AA3525">
        <v>9</v>
      </c>
      <c r="AB3525">
        <v>3</v>
      </c>
      <c r="AC3525">
        <v>0</v>
      </c>
      <c r="AD3525">
        <v>10</v>
      </c>
      <c r="AE3525">
        <v>0</v>
      </c>
      <c r="AF3525">
        <v>3</v>
      </c>
      <c r="AG3525">
        <v>2</v>
      </c>
      <c r="AH3525">
        <v>0</v>
      </c>
      <c r="AI3525" t="s">
        <v>2011</v>
      </c>
      <c r="AJ3525">
        <v>40.093231000000003</v>
      </c>
      <c r="AK3525" t="s">
        <v>2012</v>
      </c>
      <c r="AL3525">
        <v>-92.984440000000006</v>
      </c>
      <c r="AM3525">
        <v>100</v>
      </c>
      <c r="AN3525">
        <v>1300</v>
      </c>
      <c r="AO3525" t="s">
        <v>118</v>
      </c>
      <c r="AP3525">
        <v>-113</v>
      </c>
      <c r="AQ3525">
        <v>63</v>
      </c>
      <c r="AR3525">
        <v>0</v>
      </c>
      <c r="AZ3525">
        <v>1200</v>
      </c>
      <c r="BA3525">
        <v>1</v>
      </c>
      <c r="BB3525" t="str">
        <f t="shared" si="174"/>
        <v xml:space="preserve">N8080G  </v>
      </c>
      <c r="BC3525">
        <v>1</v>
      </c>
      <c r="BE3525">
        <v>0</v>
      </c>
      <c r="BF3525">
        <v>0</v>
      </c>
      <c r="BG3525">
        <v>0</v>
      </c>
      <c r="BH3525">
        <v>1350</v>
      </c>
      <c r="BI3525">
        <v>1</v>
      </c>
      <c r="BJ3525">
        <v>1</v>
      </c>
      <c r="BK3525">
        <v>1</v>
      </c>
      <c r="BL3525">
        <v>0</v>
      </c>
      <c r="BO3525">
        <v>0</v>
      </c>
      <c r="BP3525">
        <v>0</v>
      </c>
      <c r="BW3525" t="str">
        <f>"20:33:44.991"</f>
        <v>20:33:44.991</v>
      </c>
      <c r="BZ3525">
        <v>0</v>
      </c>
      <c r="CA3525">
        <v>1600</v>
      </c>
      <c r="CB3525">
        <v>224</v>
      </c>
      <c r="CD3525">
        <v>1</v>
      </c>
      <c r="CE3525">
        <v>0</v>
      </c>
      <c r="CF3525">
        <v>0</v>
      </c>
      <c r="CG3525">
        <v>1</v>
      </c>
      <c r="CH3525">
        <v>0</v>
      </c>
      <c r="CI3525">
        <v>0</v>
      </c>
      <c r="CJ3525">
        <v>0</v>
      </c>
      <c r="CK3525">
        <v>2</v>
      </c>
      <c r="CL3525">
        <v>0</v>
      </c>
      <c r="CM3525">
        <v>2</v>
      </c>
      <c r="CN3525">
        <v>0</v>
      </c>
      <c r="CO3525">
        <v>7</v>
      </c>
      <c r="CP3525" t="s">
        <v>119</v>
      </c>
      <c r="CQ3525">
        <v>180</v>
      </c>
      <c r="CR3525">
        <v>3</v>
      </c>
      <c r="CW3525">
        <v>1183589</v>
      </c>
      <c r="CY3525">
        <v>1</v>
      </c>
      <c r="CZ3525">
        <v>0</v>
      </c>
      <c r="DA3525">
        <v>1</v>
      </c>
      <c r="DB3525">
        <v>0</v>
      </c>
      <c r="DC3525">
        <v>0</v>
      </c>
      <c r="DD3525">
        <v>0</v>
      </c>
      <c r="DE3525">
        <v>0</v>
      </c>
      <c r="DF3525">
        <v>0</v>
      </c>
      <c r="DG3525">
        <v>0</v>
      </c>
      <c r="DH3525">
        <v>0</v>
      </c>
      <c r="DI3525">
        <v>0</v>
      </c>
    </row>
    <row r="3526" spans="1:113" x14ac:dyDescent="0.3">
      <c r="A3526" t="str">
        <f>"02/08/2021 20:33:42.649"</f>
        <v>02/08/2021 20:33:42.649</v>
      </c>
      <c r="C3526" t="str">
        <f t="shared" si="175"/>
        <v>FFDFD7C0</v>
      </c>
      <c r="D3526" t="s">
        <v>113</v>
      </c>
      <c r="E3526">
        <v>6</v>
      </c>
      <c r="H3526">
        <v>165</v>
      </c>
      <c r="I3526" t="s">
        <v>114</v>
      </c>
      <c r="J3526" t="s">
        <v>115</v>
      </c>
      <c r="K3526">
        <v>0</v>
      </c>
      <c r="L3526">
        <v>3</v>
      </c>
      <c r="M3526">
        <v>0</v>
      </c>
      <c r="N3526">
        <v>2</v>
      </c>
      <c r="O3526">
        <v>1</v>
      </c>
      <c r="P3526">
        <v>0</v>
      </c>
      <c r="Q3526">
        <v>0</v>
      </c>
      <c r="S3526" t="str">
        <f>"20:33:44.984"</f>
        <v>20:33:44.984</v>
      </c>
      <c r="T3526" t="str">
        <f>"20:33:44.584"</f>
        <v>20:33:44.584</v>
      </c>
      <c r="U3526" t="str">
        <f t="shared" si="176"/>
        <v>AB01F4</v>
      </c>
      <c r="V3526">
        <v>0</v>
      </c>
      <c r="W3526">
        <v>0</v>
      </c>
      <c r="X3526">
        <v>2</v>
      </c>
      <c r="Z3526">
        <v>0</v>
      </c>
      <c r="AA3526">
        <v>9</v>
      </c>
      <c r="AB3526">
        <v>3</v>
      </c>
      <c r="AC3526">
        <v>0</v>
      </c>
      <c r="AD3526">
        <v>10</v>
      </c>
      <c r="AE3526">
        <v>0</v>
      </c>
      <c r="AF3526">
        <v>3</v>
      </c>
      <c r="AG3526">
        <v>2</v>
      </c>
      <c r="AH3526">
        <v>0</v>
      </c>
      <c r="AI3526" t="s">
        <v>2011</v>
      </c>
      <c r="AJ3526">
        <v>40.093231000000003</v>
      </c>
      <c r="AK3526" t="s">
        <v>2012</v>
      </c>
      <c r="AL3526">
        <v>-92.984440000000006</v>
      </c>
      <c r="AM3526">
        <v>100</v>
      </c>
      <c r="AN3526">
        <v>1300</v>
      </c>
      <c r="AO3526" t="s">
        <v>118</v>
      </c>
      <c r="AP3526">
        <v>-113</v>
      </c>
      <c r="AQ3526">
        <v>63</v>
      </c>
      <c r="AR3526">
        <v>0</v>
      </c>
      <c r="AZ3526">
        <v>1200</v>
      </c>
      <c r="BA3526">
        <v>1</v>
      </c>
      <c r="BB3526" t="str">
        <f t="shared" si="174"/>
        <v xml:space="preserve">N8080G  </v>
      </c>
      <c r="BC3526">
        <v>1</v>
      </c>
      <c r="BE3526">
        <v>0</v>
      </c>
      <c r="BF3526">
        <v>0</v>
      </c>
      <c r="BG3526">
        <v>0</v>
      </c>
      <c r="BH3526">
        <v>1350</v>
      </c>
      <c r="BI3526">
        <v>1</v>
      </c>
      <c r="BJ3526">
        <v>1</v>
      </c>
      <c r="BK3526">
        <v>1</v>
      </c>
      <c r="BL3526">
        <v>0</v>
      </c>
      <c r="BO3526">
        <v>0</v>
      </c>
      <c r="BP3526">
        <v>0</v>
      </c>
      <c r="BW3526" t="str">
        <f>"20:33:44.991"</f>
        <v>20:33:44.991</v>
      </c>
      <c r="BZ3526">
        <v>0</v>
      </c>
      <c r="CA3526">
        <v>1600</v>
      </c>
      <c r="CB3526">
        <v>224</v>
      </c>
      <c r="CD3526">
        <v>1</v>
      </c>
      <c r="CE3526">
        <v>0</v>
      </c>
      <c r="CF3526">
        <v>0</v>
      </c>
      <c r="CG3526">
        <v>1</v>
      </c>
      <c r="CH3526">
        <v>0</v>
      </c>
      <c r="CI3526">
        <v>0</v>
      </c>
      <c r="CJ3526">
        <v>0</v>
      </c>
      <c r="CK3526">
        <v>2</v>
      </c>
      <c r="CL3526">
        <v>0</v>
      </c>
      <c r="CM3526">
        <v>2</v>
      </c>
      <c r="CN3526">
        <v>0</v>
      </c>
      <c r="CO3526">
        <v>7</v>
      </c>
      <c r="CP3526" t="s">
        <v>119</v>
      </c>
      <c r="CQ3526">
        <v>180</v>
      </c>
      <c r="CR3526">
        <v>3</v>
      </c>
      <c r="CW3526">
        <v>1183589</v>
      </c>
      <c r="CY3526">
        <v>1</v>
      </c>
      <c r="CZ3526">
        <v>0</v>
      </c>
      <c r="DA3526">
        <v>1</v>
      </c>
      <c r="DB3526">
        <v>0</v>
      </c>
      <c r="DC3526">
        <v>0</v>
      </c>
      <c r="DD3526">
        <v>0</v>
      </c>
      <c r="DE3526">
        <v>0</v>
      </c>
      <c r="DF3526">
        <v>0</v>
      </c>
      <c r="DG3526">
        <v>0</v>
      </c>
      <c r="DH3526">
        <v>0</v>
      </c>
      <c r="DI3526">
        <v>0</v>
      </c>
    </row>
    <row r="3527" spans="1:113" x14ac:dyDescent="0.3">
      <c r="A3527" t="str">
        <f>"02/08/2021 20:33:43.988"</f>
        <v>02/08/2021 20:33:43.988</v>
      </c>
      <c r="C3527" t="str">
        <f t="shared" si="175"/>
        <v>FFDFD7C0</v>
      </c>
      <c r="D3527" t="s">
        <v>124</v>
      </c>
      <c r="E3527">
        <v>12</v>
      </c>
      <c r="F3527">
        <v>1012</v>
      </c>
      <c r="G3527" t="s">
        <v>675</v>
      </c>
      <c r="J3527" t="s">
        <v>125</v>
      </c>
      <c r="K3527">
        <v>0</v>
      </c>
      <c r="L3527">
        <v>3</v>
      </c>
      <c r="M3527">
        <v>0</v>
      </c>
      <c r="N3527">
        <v>2</v>
      </c>
      <c r="O3527">
        <v>1</v>
      </c>
      <c r="P3527">
        <v>0</v>
      </c>
      <c r="Q3527">
        <v>0</v>
      </c>
      <c r="S3527" t="str">
        <f>"20:33:46.320"</f>
        <v>20:33:46.320</v>
      </c>
      <c r="T3527" t="str">
        <f>"20:33:45.920"</f>
        <v>20:33:45.920</v>
      </c>
      <c r="U3527" t="str">
        <f t="shared" si="176"/>
        <v>AB01F4</v>
      </c>
      <c r="V3527">
        <v>0</v>
      </c>
      <c r="W3527">
        <v>0</v>
      </c>
      <c r="X3527">
        <v>2</v>
      </c>
      <c r="Z3527">
        <v>0</v>
      </c>
      <c r="AA3527">
        <v>9</v>
      </c>
      <c r="AB3527">
        <v>3</v>
      </c>
      <c r="AC3527">
        <v>0</v>
      </c>
      <c r="AD3527">
        <v>10</v>
      </c>
      <c r="AE3527">
        <v>0</v>
      </c>
      <c r="AF3527">
        <v>3</v>
      </c>
      <c r="AG3527">
        <v>2</v>
      </c>
      <c r="AH3527">
        <v>0</v>
      </c>
      <c r="AI3527" t="s">
        <v>2013</v>
      </c>
      <c r="AJ3527">
        <v>40.093595999999998</v>
      </c>
      <c r="AK3527" t="s">
        <v>2014</v>
      </c>
      <c r="AL3527">
        <v>-92.985342000000003</v>
      </c>
      <c r="AM3527">
        <v>100</v>
      </c>
      <c r="AN3527">
        <v>1300</v>
      </c>
      <c r="AO3527" t="s">
        <v>118</v>
      </c>
      <c r="AP3527">
        <v>-114</v>
      </c>
      <c r="AQ3527">
        <v>63</v>
      </c>
      <c r="AR3527">
        <v>64</v>
      </c>
      <c r="AZ3527">
        <v>1200</v>
      </c>
      <c r="BA3527">
        <v>1</v>
      </c>
      <c r="BB3527" t="str">
        <f t="shared" si="174"/>
        <v xml:space="preserve">N8080G  </v>
      </c>
      <c r="BC3527">
        <v>1</v>
      </c>
      <c r="BE3527">
        <v>0</v>
      </c>
      <c r="BF3527">
        <v>0</v>
      </c>
      <c r="BG3527">
        <v>0</v>
      </c>
      <c r="BH3527">
        <v>1350</v>
      </c>
      <c r="BI3527">
        <v>1</v>
      </c>
      <c r="BJ3527">
        <v>1</v>
      </c>
      <c r="BK3527">
        <v>1</v>
      </c>
      <c r="BL3527">
        <v>0</v>
      </c>
      <c r="BO3527">
        <v>0</v>
      </c>
      <c r="BP3527">
        <v>0</v>
      </c>
      <c r="BW3527" t="str">
        <f>"20:33:46.327"</f>
        <v>20:33:46.327</v>
      </c>
      <c r="BZ3527">
        <v>0</v>
      </c>
      <c r="CA3527">
        <v>1600</v>
      </c>
      <c r="CB3527">
        <v>224</v>
      </c>
      <c r="CD3527">
        <v>1</v>
      </c>
      <c r="CE3527">
        <v>0</v>
      </c>
      <c r="CF3527">
        <v>0</v>
      </c>
      <c r="CG3527">
        <v>1</v>
      </c>
      <c r="CH3527">
        <v>0</v>
      </c>
      <c r="CI3527">
        <v>0</v>
      </c>
      <c r="CJ3527">
        <v>0</v>
      </c>
      <c r="CK3527">
        <v>2</v>
      </c>
      <c r="CL3527">
        <v>0</v>
      </c>
      <c r="CM3527">
        <v>2</v>
      </c>
      <c r="CN3527">
        <v>0</v>
      </c>
      <c r="CO3527">
        <v>7</v>
      </c>
      <c r="CP3527" t="s">
        <v>119</v>
      </c>
      <c r="CQ3527">
        <v>180</v>
      </c>
      <c r="CR3527">
        <v>3</v>
      </c>
      <c r="CW3527">
        <v>1184634</v>
      </c>
      <c r="CY3527">
        <v>1</v>
      </c>
      <c r="CZ3527">
        <v>0</v>
      </c>
      <c r="DA3527">
        <v>0</v>
      </c>
      <c r="DB3527">
        <v>0</v>
      </c>
      <c r="DC3527">
        <v>0</v>
      </c>
      <c r="DD3527">
        <v>0</v>
      </c>
      <c r="DE3527">
        <v>0</v>
      </c>
      <c r="DF3527">
        <v>0</v>
      </c>
      <c r="DG3527">
        <v>0</v>
      </c>
      <c r="DH3527">
        <v>0</v>
      </c>
      <c r="DI3527">
        <v>0</v>
      </c>
    </row>
    <row r="3528" spans="1:113" x14ac:dyDescent="0.3">
      <c r="A3528" t="str">
        <f>"02/08/2021 20:33:43.988"</f>
        <v>02/08/2021 20:33:43.988</v>
      </c>
      <c r="C3528" t="str">
        <f t="shared" si="175"/>
        <v>FFDFD7C0</v>
      </c>
      <c r="D3528" t="s">
        <v>124</v>
      </c>
      <c r="E3528">
        <v>13</v>
      </c>
      <c r="F3528">
        <v>1013</v>
      </c>
      <c r="G3528" t="s">
        <v>114</v>
      </c>
      <c r="J3528" t="s">
        <v>125</v>
      </c>
      <c r="K3528">
        <v>0</v>
      </c>
      <c r="L3528">
        <v>3</v>
      </c>
      <c r="M3528">
        <v>0</v>
      </c>
      <c r="N3528">
        <v>2</v>
      </c>
      <c r="O3528">
        <v>1</v>
      </c>
      <c r="P3528">
        <v>0</v>
      </c>
      <c r="Q3528">
        <v>0</v>
      </c>
      <c r="S3528" t="str">
        <f>"20:33:46.320"</f>
        <v>20:33:46.320</v>
      </c>
      <c r="T3528" t="str">
        <f>"20:33:45.920"</f>
        <v>20:33:45.920</v>
      </c>
      <c r="U3528" t="str">
        <f t="shared" si="176"/>
        <v>AB01F4</v>
      </c>
      <c r="V3528">
        <v>0</v>
      </c>
      <c r="W3528">
        <v>0</v>
      </c>
      <c r="X3528">
        <v>2</v>
      </c>
      <c r="Z3528">
        <v>0</v>
      </c>
      <c r="AA3528">
        <v>9</v>
      </c>
      <c r="AB3528">
        <v>3</v>
      </c>
      <c r="AC3528">
        <v>0</v>
      </c>
      <c r="AD3528">
        <v>10</v>
      </c>
      <c r="AE3528">
        <v>0</v>
      </c>
      <c r="AF3528">
        <v>3</v>
      </c>
      <c r="AG3528">
        <v>2</v>
      </c>
      <c r="AH3528">
        <v>0</v>
      </c>
      <c r="AI3528" t="s">
        <v>2013</v>
      </c>
      <c r="AJ3528">
        <v>40.093595999999998</v>
      </c>
      <c r="AK3528" t="s">
        <v>2014</v>
      </c>
      <c r="AL3528">
        <v>-92.985342000000003</v>
      </c>
      <c r="AM3528">
        <v>100</v>
      </c>
      <c r="AN3528">
        <v>1300</v>
      </c>
      <c r="AO3528" t="s">
        <v>118</v>
      </c>
      <c r="AP3528">
        <v>-114</v>
      </c>
      <c r="AQ3528">
        <v>63</v>
      </c>
      <c r="AR3528">
        <v>64</v>
      </c>
      <c r="AZ3528">
        <v>1200</v>
      </c>
      <c r="BA3528">
        <v>1</v>
      </c>
      <c r="BB3528" t="str">
        <f t="shared" si="174"/>
        <v xml:space="preserve">N8080G  </v>
      </c>
      <c r="BC3528">
        <v>1</v>
      </c>
      <c r="BE3528">
        <v>0</v>
      </c>
      <c r="BF3528">
        <v>0</v>
      </c>
      <c r="BG3528">
        <v>0</v>
      </c>
      <c r="BH3528">
        <v>1350</v>
      </c>
      <c r="BI3528">
        <v>1</v>
      </c>
      <c r="BJ3528">
        <v>1</v>
      </c>
      <c r="BK3528">
        <v>1</v>
      </c>
      <c r="BL3528">
        <v>0</v>
      </c>
      <c r="BO3528">
        <v>0</v>
      </c>
      <c r="BP3528">
        <v>0</v>
      </c>
      <c r="BW3528" t="str">
        <f>"20:33:46.327"</f>
        <v>20:33:46.327</v>
      </c>
      <c r="BZ3528">
        <v>0</v>
      </c>
      <c r="CA3528">
        <v>1600</v>
      </c>
      <c r="CB3528">
        <v>224</v>
      </c>
      <c r="CD3528">
        <v>1</v>
      </c>
      <c r="CE3528">
        <v>0</v>
      </c>
      <c r="CF3528">
        <v>0</v>
      </c>
      <c r="CG3528">
        <v>1</v>
      </c>
      <c r="CH3528">
        <v>0</v>
      </c>
      <c r="CI3528">
        <v>0</v>
      </c>
      <c r="CJ3528">
        <v>0</v>
      </c>
      <c r="CK3528">
        <v>2</v>
      </c>
      <c r="CL3528">
        <v>0</v>
      </c>
      <c r="CM3528">
        <v>2</v>
      </c>
      <c r="CN3528">
        <v>0</v>
      </c>
      <c r="CO3528">
        <v>7</v>
      </c>
      <c r="CP3528" t="s">
        <v>119</v>
      </c>
      <c r="CQ3528">
        <v>180</v>
      </c>
      <c r="CR3528">
        <v>3</v>
      </c>
      <c r="CW3528">
        <v>1184634</v>
      </c>
      <c r="CY3528">
        <v>1</v>
      </c>
      <c r="CZ3528">
        <v>0</v>
      </c>
      <c r="DA3528">
        <v>1</v>
      </c>
      <c r="DB3528">
        <v>0</v>
      </c>
      <c r="DC3528">
        <v>0</v>
      </c>
      <c r="DD3528">
        <v>0</v>
      </c>
      <c r="DE3528">
        <v>0</v>
      </c>
      <c r="DF3528">
        <v>0</v>
      </c>
      <c r="DG3528">
        <v>0</v>
      </c>
      <c r="DH3528">
        <v>0</v>
      </c>
      <c r="DI3528">
        <v>0</v>
      </c>
    </row>
    <row r="3529" spans="1:113" x14ac:dyDescent="0.3">
      <c r="A3529" t="str">
        <f>"02/08/2021 20:33:43.988"</f>
        <v>02/08/2021 20:33:43.988</v>
      </c>
      <c r="C3529" t="str">
        <f t="shared" si="175"/>
        <v>FFDFD7C0</v>
      </c>
      <c r="D3529" t="s">
        <v>113</v>
      </c>
      <c r="E3529">
        <v>6</v>
      </c>
      <c r="H3529">
        <v>165</v>
      </c>
      <c r="I3529" t="s">
        <v>114</v>
      </c>
      <c r="J3529" t="s">
        <v>115</v>
      </c>
      <c r="K3529">
        <v>0</v>
      </c>
      <c r="L3529">
        <v>3</v>
      </c>
      <c r="M3529">
        <v>0</v>
      </c>
      <c r="N3529">
        <v>2</v>
      </c>
      <c r="O3529">
        <v>1</v>
      </c>
      <c r="P3529">
        <v>0</v>
      </c>
      <c r="Q3529">
        <v>0</v>
      </c>
      <c r="S3529" t="str">
        <f>"20:33:46.320"</f>
        <v>20:33:46.320</v>
      </c>
      <c r="T3529" t="str">
        <f>"20:33:45.920"</f>
        <v>20:33:45.920</v>
      </c>
      <c r="U3529" t="str">
        <f t="shared" si="176"/>
        <v>AB01F4</v>
      </c>
      <c r="V3529">
        <v>0</v>
      </c>
      <c r="W3529">
        <v>0</v>
      </c>
      <c r="X3529">
        <v>2</v>
      </c>
      <c r="Z3529">
        <v>0</v>
      </c>
      <c r="AA3529">
        <v>9</v>
      </c>
      <c r="AB3529">
        <v>3</v>
      </c>
      <c r="AC3529">
        <v>0</v>
      </c>
      <c r="AD3529">
        <v>10</v>
      </c>
      <c r="AE3529">
        <v>0</v>
      </c>
      <c r="AF3529">
        <v>3</v>
      </c>
      <c r="AG3529">
        <v>2</v>
      </c>
      <c r="AH3529">
        <v>0</v>
      </c>
      <c r="AI3529" t="s">
        <v>2013</v>
      </c>
      <c r="AJ3529">
        <v>40.093595999999998</v>
      </c>
      <c r="AK3529" t="s">
        <v>2014</v>
      </c>
      <c r="AL3529">
        <v>-92.985342000000003</v>
      </c>
      <c r="AM3529">
        <v>100</v>
      </c>
      <c r="AN3529">
        <v>1300</v>
      </c>
      <c r="AO3529" t="s">
        <v>118</v>
      </c>
      <c r="AP3529">
        <v>-114</v>
      </c>
      <c r="AQ3529">
        <v>63</v>
      </c>
      <c r="AR3529">
        <v>64</v>
      </c>
      <c r="AZ3529">
        <v>1200</v>
      </c>
      <c r="BA3529">
        <v>1</v>
      </c>
      <c r="BB3529" t="str">
        <f t="shared" si="174"/>
        <v xml:space="preserve">N8080G  </v>
      </c>
      <c r="BC3529">
        <v>1</v>
      </c>
      <c r="BE3529">
        <v>0</v>
      </c>
      <c r="BF3529">
        <v>0</v>
      </c>
      <c r="BG3529">
        <v>0</v>
      </c>
      <c r="BH3529">
        <v>1350</v>
      </c>
      <c r="BI3529">
        <v>1</v>
      </c>
      <c r="BJ3529">
        <v>1</v>
      </c>
      <c r="BK3529">
        <v>1</v>
      </c>
      <c r="BL3529">
        <v>0</v>
      </c>
      <c r="BO3529">
        <v>0</v>
      </c>
      <c r="BP3529">
        <v>0</v>
      </c>
      <c r="BW3529" t="str">
        <f>"20:33:46.327"</f>
        <v>20:33:46.327</v>
      </c>
      <c r="BZ3529">
        <v>0</v>
      </c>
      <c r="CA3529">
        <v>1600</v>
      </c>
      <c r="CB3529">
        <v>224</v>
      </c>
      <c r="CD3529">
        <v>1</v>
      </c>
      <c r="CE3529">
        <v>0</v>
      </c>
      <c r="CF3529">
        <v>0</v>
      </c>
      <c r="CG3529">
        <v>1</v>
      </c>
      <c r="CH3529">
        <v>0</v>
      </c>
      <c r="CI3529">
        <v>0</v>
      </c>
      <c r="CJ3529">
        <v>0</v>
      </c>
      <c r="CK3529">
        <v>2</v>
      </c>
      <c r="CL3529">
        <v>0</v>
      </c>
      <c r="CM3529">
        <v>2</v>
      </c>
      <c r="CN3529">
        <v>0</v>
      </c>
      <c r="CO3529">
        <v>7</v>
      </c>
      <c r="CP3529" t="s">
        <v>119</v>
      </c>
      <c r="CQ3529">
        <v>180</v>
      </c>
      <c r="CR3529">
        <v>3</v>
      </c>
      <c r="CW3529">
        <v>1184634</v>
      </c>
      <c r="CY3529">
        <v>1</v>
      </c>
      <c r="CZ3529">
        <v>0</v>
      </c>
      <c r="DA3529">
        <v>1</v>
      </c>
      <c r="DB3529">
        <v>0</v>
      </c>
      <c r="DC3529">
        <v>0</v>
      </c>
      <c r="DD3529">
        <v>0</v>
      </c>
      <c r="DE3529">
        <v>0</v>
      </c>
      <c r="DF3529">
        <v>0</v>
      </c>
      <c r="DG3529">
        <v>0</v>
      </c>
      <c r="DH3529">
        <v>0</v>
      </c>
      <c r="DI3529">
        <v>0</v>
      </c>
    </row>
    <row r="3530" spans="1:113" x14ac:dyDescent="0.3">
      <c r="A3530" t="str">
        <f>"02/08/2021 20:33:43.988"</f>
        <v>02/08/2021 20:33:43.988</v>
      </c>
      <c r="C3530" t="str">
        <f t="shared" si="175"/>
        <v>FFDFD7C0</v>
      </c>
      <c r="D3530" t="s">
        <v>124</v>
      </c>
      <c r="E3530">
        <v>11</v>
      </c>
      <c r="F3530">
        <v>1011</v>
      </c>
      <c r="G3530" t="s">
        <v>590</v>
      </c>
      <c r="J3530" t="s">
        <v>125</v>
      </c>
      <c r="K3530">
        <v>0</v>
      </c>
      <c r="L3530">
        <v>3</v>
      </c>
      <c r="M3530">
        <v>0</v>
      </c>
      <c r="N3530">
        <v>2</v>
      </c>
      <c r="O3530">
        <v>1</v>
      </c>
      <c r="P3530">
        <v>0</v>
      </c>
      <c r="Q3530">
        <v>0</v>
      </c>
      <c r="S3530" t="str">
        <f>"20:33:46.320"</f>
        <v>20:33:46.320</v>
      </c>
      <c r="T3530" t="str">
        <f>"20:33:45.920"</f>
        <v>20:33:45.920</v>
      </c>
      <c r="U3530" t="str">
        <f t="shared" si="176"/>
        <v>AB01F4</v>
      </c>
      <c r="V3530">
        <v>0</v>
      </c>
      <c r="W3530">
        <v>0</v>
      </c>
      <c r="X3530">
        <v>2</v>
      </c>
      <c r="Z3530">
        <v>0</v>
      </c>
      <c r="AA3530">
        <v>9</v>
      </c>
      <c r="AB3530">
        <v>3</v>
      </c>
      <c r="AC3530">
        <v>0</v>
      </c>
      <c r="AD3530">
        <v>10</v>
      </c>
      <c r="AE3530">
        <v>0</v>
      </c>
      <c r="AF3530">
        <v>3</v>
      </c>
      <c r="AG3530">
        <v>2</v>
      </c>
      <c r="AH3530">
        <v>0</v>
      </c>
      <c r="AI3530" t="s">
        <v>2013</v>
      </c>
      <c r="AJ3530">
        <v>40.093595999999998</v>
      </c>
      <c r="AK3530" t="s">
        <v>2014</v>
      </c>
      <c r="AL3530">
        <v>-92.985342000000003</v>
      </c>
      <c r="AM3530">
        <v>100</v>
      </c>
      <c r="AN3530">
        <v>1300</v>
      </c>
      <c r="AO3530" t="s">
        <v>118</v>
      </c>
      <c r="AP3530">
        <v>-114</v>
      </c>
      <c r="AQ3530">
        <v>63</v>
      </c>
      <c r="AR3530">
        <v>64</v>
      </c>
      <c r="AZ3530">
        <v>1200</v>
      </c>
      <c r="BA3530">
        <v>1</v>
      </c>
      <c r="BB3530" t="str">
        <f t="shared" si="174"/>
        <v xml:space="preserve">N8080G  </v>
      </c>
      <c r="BC3530">
        <v>1</v>
      </c>
      <c r="BE3530">
        <v>0</v>
      </c>
      <c r="BF3530">
        <v>0</v>
      </c>
      <c r="BG3530">
        <v>0</v>
      </c>
      <c r="BH3530">
        <v>1350</v>
      </c>
      <c r="BI3530">
        <v>1</v>
      </c>
      <c r="BJ3530">
        <v>1</v>
      </c>
      <c r="BK3530">
        <v>1</v>
      </c>
      <c r="BL3530">
        <v>0</v>
      </c>
      <c r="BO3530">
        <v>0</v>
      </c>
      <c r="BP3530">
        <v>0</v>
      </c>
      <c r="BW3530" t="str">
        <f>"20:33:46.327"</f>
        <v>20:33:46.327</v>
      </c>
      <c r="BZ3530">
        <v>0</v>
      </c>
      <c r="CA3530">
        <v>1600</v>
      </c>
      <c r="CB3530">
        <v>224</v>
      </c>
      <c r="CD3530">
        <v>1</v>
      </c>
      <c r="CE3530">
        <v>0</v>
      </c>
      <c r="CF3530">
        <v>0</v>
      </c>
      <c r="CG3530">
        <v>1</v>
      </c>
      <c r="CH3530">
        <v>0</v>
      </c>
      <c r="CI3530">
        <v>0</v>
      </c>
      <c r="CJ3530">
        <v>0</v>
      </c>
      <c r="CK3530">
        <v>2</v>
      </c>
      <c r="CL3530">
        <v>0</v>
      </c>
      <c r="CM3530">
        <v>2</v>
      </c>
      <c r="CN3530">
        <v>0</v>
      </c>
      <c r="CO3530">
        <v>7</v>
      </c>
      <c r="CP3530" t="s">
        <v>119</v>
      </c>
      <c r="CQ3530">
        <v>180</v>
      </c>
      <c r="CR3530">
        <v>3</v>
      </c>
      <c r="CW3530">
        <v>1184634</v>
      </c>
      <c r="CY3530">
        <v>1</v>
      </c>
      <c r="CZ3530">
        <v>0</v>
      </c>
      <c r="DA3530">
        <v>1</v>
      </c>
      <c r="DB3530">
        <v>0</v>
      </c>
      <c r="DC3530">
        <v>0</v>
      </c>
      <c r="DD3530">
        <v>0</v>
      </c>
      <c r="DE3530">
        <v>0</v>
      </c>
      <c r="DF3530">
        <v>0</v>
      </c>
      <c r="DG3530">
        <v>0</v>
      </c>
      <c r="DH3530">
        <v>0</v>
      </c>
      <c r="DI3530">
        <v>0</v>
      </c>
    </row>
    <row r="3531" spans="1:113" x14ac:dyDescent="0.3">
      <c r="A3531" t="str">
        <f>"02/08/2021 20:33:45.093"</f>
        <v>02/08/2021 20:33:45.093</v>
      </c>
      <c r="C3531" t="str">
        <f t="shared" si="175"/>
        <v>FFDFD7C0</v>
      </c>
      <c r="D3531" t="s">
        <v>124</v>
      </c>
      <c r="E3531">
        <v>11</v>
      </c>
      <c r="F3531">
        <v>1011</v>
      </c>
      <c r="G3531" t="s">
        <v>590</v>
      </c>
      <c r="J3531" t="s">
        <v>125</v>
      </c>
      <c r="K3531">
        <v>0</v>
      </c>
      <c r="L3531">
        <v>3</v>
      </c>
      <c r="M3531">
        <v>0</v>
      </c>
      <c r="N3531">
        <v>2</v>
      </c>
      <c r="O3531">
        <v>1</v>
      </c>
      <c r="P3531">
        <v>0</v>
      </c>
      <c r="Q3531">
        <v>0</v>
      </c>
      <c r="S3531" t="str">
        <f>"20:33:47.414"</f>
        <v>20:33:47.414</v>
      </c>
      <c r="T3531" t="str">
        <f>"20:33:46.914"</f>
        <v>20:33:46.914</v>
      </c>
      <c r="U3531" t="str">
        <f t="shared" si="176"/>
        <v>AB01F4</v>
      </c>
      <c r="V3531">
        <v>0</v>
      </c>
      <c r="W3531">
        <v>0</v>
      </c>
      <c r="X3531">
        <v>2</v>
      </c>
      <c r="Z3531">
        <v>0</v>
      </c>
      <c r="AA3531">
        <v>9</v>
      </c>
      <c r="AB3531">
        <v>3</v>
      </c>
      <c r="AC3531">
        <v>0</v>
      </c>
      <c r="AD3531">
        <v>10</v>
      </c>
      <c r="AE3531">
        <v>0</v>
      </c>
      <c r="AF3531">
        <v>3</v>
      </c>
      <c r="AG3531">
        <v>2</v>
      </c>
      <c r="AH3531">
        <v>0</v>
      </c>
      <c r="AI3531" t="s">
        <v>2015</v>
      </c>
      <c r="AJ3531">
        <v>40.093918000000002</v>
      </c>
      <c r="AK3531" t="s">
        <v>2016</v>
      </c>
      <c r="AL3531">
        <v>-92.986092999999997</v>
      </c>
      <c r="AM3531">
        <v>100</v>
      </c>
      <c r="AN3531">
        <v>1300</v>
      </c>
      <c r="AO3531" t="s">
        <v>118</v>
      </c>
      <c r="AP3531">
        <v>-114</v>
      </c>
      <c r="AQ3531">
        <v>62</v>
      </c>
      <c r="AR3531">
        <v>128</v>
      </c>
      <c r="AZ3531">
        <v>1200</v>
      </c>
      <c r="BA3531">
        <v>1</v>
      </c>
      <c r="BB3531" t="str">
        <f t="shared" si="174"/>
        <v xml:space="preserve">N8080G  </v>
      </c>
      <c r="BC3531">
        <v>1</v>
      </c>
      <c r="BE3531">
        <v>0</v>
      </c>
      <c r="BF3531">
        <v>0</v>
      </c>
      <c r="BG3531">
        <v>0</v>
      </c>
      <c r="BH3531">
        <v>1350</v>
      </c>
      <c r="BI3531">
        <v>1</v>
      </c>
      <c r="BJ3531">
        <v>1</v>
      </c>
      <c r="BK3531">
        <v>1</v>
      </c>
      <c r="BL3531">
        <v>0</v>
      </c>
      <c r="BO3531">
        <v>0</v>
      </c>
      <c r="BP3531">
        <v>0</v>
      </c>
      <c r="BW3531" t="str">
        <f>"20:33:47.418"</f>
        <v>20:33:47.418</v>
      </c>
      <c r="BZ3531">
        <v>0</v>
      </c>
      <c r="CA3531">
        <v>1600</v>
      </c>
      <c r="CB3531">
        <v>224</v>
      </c>
      <c r="CD3531">
        <v>1</v>
      </c>
      <c r="CE3531">
        <v>0</v>
      </c>
      <c r="CF3531">
        <v>0</v>
      </c>
      <c r="CG3531">
        <v>1</v>
      </c>
      <c r="CH3531">
        <v>0</v>
      </c>
      <c r="CI3531">
        <v>0</v>
      </c>
      <c r="CJ3531">
        <v>0</v>
      </c>
      <c r="CK3531">
        <v>2</v>
      </c>
      <c r="CL3531">
        <v>0</v>
      </c>
      <c r="CM3531">
        <v>2</v>
      </c>
      <c r="CN3531">
        <v>0</v>
      </c>
      <c r="CO3531">
        <v>7</v>
      </c>
      <c r="CP3531" t="s">
        <v>119</v>
      </c>
      <c r="CQ3531">
        <v>180</v>
      </c>
      <c r="CR3531">
        <v>3</v>
      </c>
      <c r="CW3531">
        <v>1185490</v>
      </c>
      <c r="CY3531">
        <v>1</v>
      </c>
      <c r="CZ3531">
        <v>0</v>
      </c>
      <c r="DA3531">
        <v>0</v>
      </c>
      <c r="DB3531">
        <v>0</v>
      </c>
      <c r="DC3531">
        <v>0</v>
      </c>
      <c r="DD3531">
        <v>0</v>
      </c>
      <c r="DE3531">
        <v>0</v>
      </c>
      <c r="DF3531">
        <v>0</v>
      </c>
      <c r="DG3531">
        <v>0</v>
      </c>
      <c r="DH3531">
        <v>0</v>
      </c>
      <c r="DI3531">
        <v>0</v>
      </c>
    </row>
    <row r="3532" spans="1:113" x14ac:dyDescent="0.3">
      <c r="A3532" t="str">
        <f>"02/08/2021 20:33:45.093"</f>
        <v>02/08/2021 20:33:45.093</v>
      </c>
      <c r="C3532" t="str">
        <f t="shared" si="175"/>
        <v>FFDFD7C0</v>
      </c>
      <c r="D3532" t="s">
        <v>124</v>
      </c>
      <c r="E3532">
        <v>12</v>
      </c>
      <c r="F3532">
        <v>1012</v>
      </c>
      <c r="G3532" t="s">
        <v>675</v>
      </c>
      <c r="J3532" t="s">
        <v>125</v>
      </c>
      <c r="K3532">
        <v>0</v>
      </c>
      <c r="L3532">
        <v>3</v>
      </c>
      <c r="M3532">
        <v>0</v>
      </c>
      <c r="N3532">
        <v>2</v>
      </c>
      <c r="O3532">
        <v>1</v>
      </c>
      <c r="P3532">
        <v>0</v>
      </c>
      <c r="Q3532">
        <v>0</v>
      </c>
      <c r="S3532" t="str">
        <f>"20:33:47.414"</f>
        <v>20:33:47.414</v>
      </c>
      <c r="T3532" t="str">
        <f>"20:33:46.914"</f>
        <v>20:33:46.914</v>
      </c>
      <c r="U3532" t="str">
        <f t="shared" si="176"/>
        <v>AB01F4</v>
      </c>
      <c r="V3532">
        <v>0</v>
      </c>
      <c r="W3532">
        <v>0</v>
      </c>
      <c r="X3532">
        <v>2</v>
      </c>
      <c r="Z3532">
        <v>0</v>
      </c>
      <c r="AA3532">
        <v>9</v>
      </c>
      <c r="AB3532">
        <v>3</v>
      </c>
      <c r="AC3532">
        <v>0</v>
      </c>
      <c r="AD3532">
        <v>10</v>
      </c>
      <c r="AE3532">
        <v>0</v>
      </c>
      <c r="AF3532">
        <v>3</v>
      </c>
      <c r="AG3532">
        <v>2</v>
      </c>
      <c r="AH3532">
        <v>0</v>
      </c>
      <c r="AI3532" t="s">
        <v>2015</v>
      </c>
      <c r="AJ3532">
        <v>40.093918000000002</v>
      </c>
      <c r="AK3532" t="s">
        <v>2016</v>
      </c>
      <c r="AL3532">
        <v>-92.986092999999997</v>
      </c>
      <c r="AM3532">
        <v>100</v>
      </c>
      <c r="AN3532">
        <v>1300</v>
      </c>
      <c r="AO3532" t="s">
        <v>118</v>
      </c>
      <c r="AP3532">
        <v>-114</v>
      </c>
      <c r="AQ3532">
        <v>62</v>
      </c>
      <c r="AR3532">
        <v>128</v>
      </c>
      <c r="AZ3532">
        <v>1200</v>
      </c>
      <c r="BA3532">
        <v>1</v>
      </c>
      <c r="BB3532" t="str">
        <f t="shared" si="174"/>
        <v xml:space="preserve">N8080G  </v>
      </c>
      <c r="BC3532">
        <v>1</v>
      </c>
      <c r="BE3532">
        <v>0</v>
      </c>
      <c r="BF3532">
        <v>0</v>
      </c>
      <c r="BG3532">
        <v>0</v>
      </c>
      <c r="BH3532">
        <v>1350</v>
      </c>
      <c r="BI3532">
        <v>1</v>
      </c>
      <c r="BJ3532">
        <v>1</v>
      </c>
      <c r="BK3532">
        <v>1</v>
      </c>
      <c r="BL3532">
        <v>0</v>
      </c>
      <c r="BO3532">
        <v>0</v>
      </c>
      <c r="BP3532">
        <v>0</v>
      </c>
      <c r="BW3532" t="str">
        <f>"20:33:47.418"</f>
        <v>20:33:47.418</v>
      </c>
      <c r="BZ3532">
        <v>0</v>
      </c>
      <c r="CA3532">
        <v>1600</v>
      </c>
      <c r="CB3532">
        <v>224</v>
      </c>
      <c r="CD3532">
        <v>1</v>
      </c>
      <c r="CE3532">
        <v>0</v>
      </c>
      <c r="CF3532">
        <v>0</v>
      </c>
      <c r="CG3532">
        <v>1</v>
      </c>
      <c r="CH3532">
        <v>0</v>
      </c>
      <c r="CI3532">
        <v>0</v>
      </c>
      <c r="CJ3532">
        <v>0</v>
      </c>
      <c r="CK3532">
        <v>2</v>
      </c>
      <c r="CL3532">
        <v>0</v>
      </c>
      <c r="CM3532">
        <v>2</v>
      </c>
      <c r="CN3532">
        <v>0</v>
      </c>
      <c r="CO3532">
        <v>7</v>
      </c>
      <c r="CP3532" t="s">
        <v>119</v>
      </c>
      <c r="CQ3532">
        <v>180</v>
      </c>
      <c r="CR3532">
        <v>3</v>
      </c>
      <c r="CW3532">
        <v>1185490</v>
      </c>
      <c r="CY3532">
        <v>1</v>
      </c>
      <c r="CZ3532">
        <v>0</v>
      </c>
      <c r="DA3532">
        <v>1</v>
      </c>
      <c r="DB3532">
        <v>0</v>
      </c>
      <c r="DC3532">
        <v>0</v>
      </c>
      <c r="DD3532">
        <v>0</v>
      </c>
      <c r="DE3532">
        <v>0</v>
      </c>
      <c r="DF3532">
        <v>0</v>
      </c>
      <c r="DG3532">
        <v>0</v>
      </c>
      <c r="DH3532">
        <v>0</v>
      </c>
      <c r="DI3532">
        <v>0</v>
      </c>
    </row>
    <row r="3533" spans="1:113" x14ac:dyDescent="0.3">
      <c r="A3533" t="str">
        <f>"02/08/2021 20:33:45.093"</f>
        <v>02/08/2021 20:33:45.093</v>
      </c>
      <c r="C3533" t="str">
        <f t="shared" si="175"/>
        <v>FFDFD7C0</v>
      </c>
      <c r="D3533" t="s">
        <v>124</v>
      </c>
      <c r="E3533">
        <v>13</v>
      </c>
      <c r="F3533">
        <v>1013</v>
      </c>
      <c r="G3533" t="s">
        <v>114</v>
      </c>
      <c r="J3533" t="s">
        <v>125</v>
      </c>
      <c r="K3533">
        <v>0</v>
      </c>
      <c r="L3533">
        <v>3</v>
      </c>
      <c r="M3533">
        <v>0</v>
      </c>
      <c r="N3533">
        <v>2</v>
      </c>
      <c r="O3533">
        <v>1</v>
      </c>
      <c r="P3533">
        <v>0</v>
      </c>
      <c r="Q3533">
        <v>0</v>
      </c>
      <c r="S3533" t="str">
        <f>"20:33:47.414"</f>
        <v>20:33:47.414</v>
      </c>
      <c r="T3533" t="str">
        <f>"20:33:46.914"</f>
        <v>20:33:46.914</v>
      </c>
      <c r="U3533" t="str">
        <f t="shared" si="176"/>
        <v>AB01F4</v>
      </c>
      <c r="V3533">
        <v>0</v>
      </c>
      <c r="W3533">
        <v>0</v>
      </c>
      <c r="X3533">
        <v>2</v>
      </c>
      <c r="Z3533">
        <v>0</v>
      </c>
      <c r="AA3533">
        <v>9</v>
      </c>
      <c r="AB3533">
        <v>3</v>
      </c>
      <c r="AC3533">
        <v>0</v>
      </c>
      <c r="AD3533">
        <v>10</v>
      </c>
      <c r="AE3533">
        <v>0</v>
      </c>
      <c r="AF3533">
        <v>3</v>
      </c>
      <c r="AG3533">
        <v>2</v>
      </c>
      <c r="AH3533">
        <v>0</v>
      </c>
      <c r="AI3533" t="s">
        <v>2015</v>
      </c>
      <c r="AJ3533">
        <v>40.093918000000002</v>
      </c>
      <c r="AK3533" t="s">
        <v>2016</v>
      </c>
      <c r="AL3533">
        <v>-92.986092999999997</v>
      </c>
      <c r="AM3533">
        <v>100</v>
      </c>
      <c r="AN3533">
        <v>1300</v>
      </c>
      <c r="AO3533" t="s">
        <v>118</v>
      </c>
      <c r="AP3533">
        <v>-114</v>
      </c>
      <c r="AQ3533">
        <v>62</v>
      </c>
      <c r="AR3533">
        <v>128</v>
      </c>
      <c r="AZ3533">
        <v>1200</v>
      </c>
      <c r="BA3533">
        <v>1</v>
      </c>
      <c r="BB3533" t="str">
        <f t="shared" si="174"/>
        <v xml:space="preserve">N8080G  </v>
      </c>
      <c r="BC3533">
        <v>1</v>
      </c>
      <c r="BE3533">
        <v>0</v>
      </c>
      <c r="BF3533">
        <v>0</v>
      </c>
      <c r="BG3533">
        <v>0</v>
      </c>
      <c r="BH3533">
        <v>1350</v>
      </c>
      <c r="BI3533">
        <v>1</v>
      </c>
      <c r="BJ3533">
        <v>1</v>
      </c>
      <c r="BK3533">
        <v>1</v>
      </c>
      <c r="BL3533">
        <v>0</v>
      </c>
      <c r="BO3533">
        <v>0</v>
      </c>
      <c r="BP3533">
        <v>0</v>
      </c>
      <c r="BW3533" t="str">
        <f>"20:33:47.418"</f>
        <v>20:33:47.418</v>
      </c>
      <c r="BZ3533">
        <v>0</v>
      </c>
      <c r="CA3533">
        <v>1600</v>
      </c>
      <c r="CB3533">
        <v>224</v>
      </c>
      <c r="CD3533">
        <v>1</v>
      </c>
      <c r="CE3533">
        <v>0</v>
      </c>
      <c r="CF3533">
        <v>0</v>
      </c>
      <c r="CG3533">
        <v>1</v>
      </c>
      <c r="CH3533">
        <v>0</v>
      </c>
      <c r="CI3533">
        <v>0</v>
      </c>
      <c r="CJ3533">
        <v>0</v>
      </c>
      <c r="CK3533">
        <v>2</v>
      </c>
      <c r="CL3533">
        <v>0</v>
      </c>
      <c r="CM3533">
        <v>2</v>
      </c>
      <c r="CN3533">
        <v>0</v>
      </c>
      <c r="CO3533">
        <v>7</v>
      </c>
      <c r="CP3533" t="s">
        <v>119</v>
      </c>
      <c r="CQ3533">
        <v>180</v>
      </c>
      <c r="CR3533">
        <v>3</v>
      </c>
      <c r="CW3533">
        <v>1185490</v>
      </c>
      <c r="CY3533">
        <v>1</v>
      </c>
      <c r="CZ3533">
        <v>0</v>
      </c>
      <c r="DA3533">
        <v>1</v>
      </c>
      <c r="DB3533">
        <v>0</v>
      </c>
      <c r="DC3533">
        <v>0</v>
      </c>
      <c r="DD3533">
        <v>0</v>
      </c>
      <c r="DE3533">
        <v>0</v>
      </c>
      <c r="DF3533">
        <v>0</v>
      </c>
      <c r="DG3533">
        <v>0</v>
      </c>
      <c r="DH3533">
        <v>0</v>
      </c>
      <c r="DI3533">
        <v>0</v>
      </c>
    </row>
    <row r="3534" spans="1:113" x14ac:dyDescent="0.3">
      <c r="A3534" t="str">
        <f>"02/08/2021 20:33:45.093"</f>
        <v>02/08/2021 20:33:45.093</v>
      </c>
      <c r="C3534" t="str">
        <f t="shared" si="175"/>
        <v>FFDFD7C0</v>
      </c>
      <c r="D3534" t="s">
        <v>113</v>
      </c>
      <c r="E3534">
        <v>6</v>
      </c>
      <c r="H3534">
        <v>165</v>
      </c>
      <c r="I3534" t="s">
        <v>114</v>
      </c>
      <c r="J3534" t="s">
        <v>115</v>
      </c>
      <c r="K3534">
        <v>0</v>
      </c>
      <c r="L3534">
        <v>3</v>
      </c>
      <c r="M3534">
        <v>0</v>
      </c>
      <c r="N3534">
        <v>2</v>
      </c>
      <c r="O3534">
        <v>1</v>
      </c>
      <c r="P3534">
        <v>0</v>
      </c>
      <c r="Q3534">
        <v>0</v>
      </c>
      <c r="S3534" t="str">
        <f>"20:33:47.414"</f>
        <v>20:33:47.414</v>
      </c>
      <c r="T3534" t="str">
        <f>"20:33:46.914"</f>
        <v>20:33:46.914</v>
      </c>
      <c r="U3534" t="str">
        <f t="shared" si="176"/>
        <v>AB01F4</v>
      </c>
      <c r="V3534">
        <v>0</v>
      </c>
      <c r="W3534">
        <v>0</v>
      </c>
      <c r="X3534">
        <v>2</v>
      </c>
      <c r="Z3534">
        <v>0</v>
      </c>
      <c r="AA3534">
        <v>9</v>
      </c>
      <c r="AB3534">
        <v>3</v>
      </c>
      <c r="AC3534">
        <v>0</v>
      </c>
      <c r="AD3534">
        <v>10</v>
      </c>
      <c r="AE3534">
        <v>0</v>
      </c>
      <c r="AF3534">
        <v>3</v>
      </c>
      <c r="AG3534">
        <v>2</v>
      </c>
      <c r="AH3534">
        <v>0</v>
      </c>
      <c r="AI3534" t="s">
        <v>2015</v>
      </c>
      <c r="AJ3534">
        <v>40.093918000000002</v>
      </c>
      <c r="AK3534" t="s">
        <v>2016</v>
      </c>
      <c r="AL3534">
        <v>-92.986092999999997</v>
      </c>
      <c r="AM3534">
        <v>100</v>
      </c>
      <c r="AN3534">
        <v>1300</v>
      </c>
      <c r="AO3534" t="s">
        <v>118</v>
      </c>
      <c r="AP3534">
        <v>-114</v>
      </c>
      <c r="AQ3534">
        <v>62</v>
      </c>
      <c r="AR3534">
        <v>128</v>
      </c>
      <c r="AZ3534">
        <v>1200</v>
      </c>
      <c r="BA3534">
        <v>1</v>
      </c>
      <c r="BB3534" t="str">
        <f t="shared" si="174"/>
        <v xml:space="preserve">N8080G  </v>
      </c>
      <c r="BC3534">
        <v>1</v>
      </c>
      <c r="BE3534">
        <v>0</v>
      </c>
      <c r="BF3534">
        <v>0</v>
      </c>
      <c r="BG3534">
        <v>0</v>
      </c>
      <c r="BH3534">
        <v>1350</v>
      </c>
      <c r="BI3534">
        <v>1</v>
      </c>
      <c r="BJ3534">
        <v>1</v>
      </c>
      <c r="BK3534">
        <v>1</v>
      </c>
      <c r="BL3534">
        <v>0</v>
      </c>
      <c r="BO3534">
        <v>0</v>
      </c>
      <c r="BP3534">
        <v>0</v>
      </c>
      <c r="BW3534" t="str">
        <f>"20:33:47.418"</f>
        <v>20:33:47.418</v>
      </c>
      <c r="BZ3534">
        <v>0</v>
      </c>
      <c r="CA3534">
        <v>1600</v>
      </c>
      <c r="CB3534">
        <v>224</v>
      </c>
      <c r="CD3534">
        <v>1</v>
      </c>
      <c r="CE3534">
        <v>0</v>
      </c>
      <c r="CF3534">
        <v>0</v>
      </c>
      <c r="CG3534">
        <v>1</v>
      </c>
      <c r="CH3534">
        <v>0</v>
      </c>
      <c r="CI3534">
        <v>0</v>
      </c>
      <c r="CJ3534">
        <v>0</v>
      </c>
      <c r="CK3534">
        <v>2</v>
      </c>
      <c r="CL3534">
        <v>0</v>
      </c>
      <c r="CM3534">
        <v>2</v>
      </c>
      <c r="CN3534">
        <v>0</v>
      </c>
      <c r="CO3534">
        <v>7</v>
      </c>
      <c r="CP3534" t="s">
        <v>119</v>
      </c>
      <c r="CQ3534">
        <v>180</v>
      </c>
      <c r="CR3534">
        <v>3</v>
      </c>
      <c r="CW3534">
        <v>1185490</v>
      </c>
      <c r="CY3534">
        <v>1</v>
      </c>
      <c r="CZ3534">
        <v>0</v>
      </c>
      <c r="DA3534">
        <v>1</v>
      </c>
      <c r="DB3534">
        <v>0</v>
      </c>
      <c r="DC3534">
        <v>0</v>
      </c>
      <c r="DD3534">
        <v>0</v>
      </c>
      <c r="DE3534">
        <v>0</v>
      </c>
      <c r="DF3534">
        <v>0</v>
      </c>
      <c r="DG3534">
        <v>0</v>
      </c>
      <c r="DH3534">
        <v>0</v>
      </c>
      <c r="DI3534">
        <v>0</v>
      </c>
    </row>
    <row r="3535" spans="1:113" x14ac:dyDescent="0.3">
      <c r="A3535" t="str">
        <f>"02/08/2021 20:33:46.118"</f>
        <v>02/08/2021 20:33:46.118</v>
      </c>
      <c r="C3535" t="str">
        <f t="shared" si="175"/>
        <v>FFDFD7C0</v>
      </c>
      <c r="D3535" t="s">
        <v>124</v>
      </c>
      <c r="E3535">
        <v>13</v>
      </c>
      <c r="F3535">
        <v>1013</v>
      </c>
      <c r="G3535" t="s">
        <v>114</v>
      </c>
      <c r="J3535" t="s">
        <v>125</v>
      </c>
      <c r="K3535">
        <v>0</v>
      </c>
      <c r="L3535">
        <v>3</v>
      </c>
      <c r="M3535">
        <v>0</v>
      </c>
      <c r="N3535">
        <v>2</v>
      </c>
      <c r="O3535">
        <v>1</v>
      </c>
      <c r="P3535">
        <v>0</v>
      </c>
      <c r="Q3535">
        <v>0</v>
      </c>
      <c r="S3535" t="str">
        <f>"20:33:48.430"</f>
        <v>20:33:48.430</v>
      </c>
      <c r="T3535" t="str">
        <f>"20:33:47.930"</f>
        <v>20:33:47.930</v>
      </c>
      <c r="U3535" t="str">
        <f t="shared" si="176"/>
        <v>AB01F4</v>
      </c>
      <c r="V3535">
        <v>0</v>
      </c>
      <c r="W3535">
        <v>0</v>
      </c>
      <c r="X3535">
        <v>2</v>
      </c>
      <c r="Z3535">
        <v>0</v>
      </c>
      <c r="AA3535">
        <v>9</v>
      </c>
      <c r="AB3535">
        <v>3</v>
      </c>
      <c r="AC3535">
        <v>0</v>
      </c>
      <c r="AD3535">
        <v>10</v>
      </c>
      <c r="AE3535">
        <v>0</v>
      </c>
      <c r="AF3535">
        <v>3</v>
      </c>
      <c r="AG3535">
        <v>2</v>
      </c>
      <c r="AH3535">
        <v>0</v>
      </c>
      <c r="AI3535" t="s">
        <v>2017</v>
      </c>
      <c r="AJ3535">
        <v>40.094239999999999</v>
      </c>
      <c r="AK3535" t="s">
        <v>2018</v>
      </c>
      <c r="AL3535">
        <v>-92.986844000000005</v>
      </c>
      <c r="AM3535">
        <v>100</v>
      </c>
      <c r="AN3535">
        <v>1300</v>
      </c>
      <c r="AO3535" t="s">
        <v>118</v>
      </c>
      <c r="AP3535">
        <v>-114</v>
      </c>
      <c r="AQ3535">
        <v>62</v>
      </c>
      <c r="AR3535">
        <v>0</v>
      </c>
      <c r="AZ3535">
        <v>1200</v>
      </c>
      <c r="BA3535">
        <v>1</v>
      </c>
      <c r="BB3535" t="str">
        <f t="shared" si="174"/>
        <v xml:space="preserve">N8080G  </v>
      </c>
      <c r="BC3535">
        <v>1</v>
      </c>
      <c r="BE3535">
        <v>0</v>
      </c>
      <c r="BF3535">
        <v>0</v>
      </c>
      <c r="BG3535">
        <v>0</v>
      </c>
      <c r="BH3535">
        <v>1350</v>
      </c>
      <c r="BI3535">
        <v>1</v>
      </c>
      <c r="BJ3535">
        <v>1</v>
      </c>
      <c r="BK3535">
        <v>1</v>
      </c>
      <c r="BL3535">
        <v>0</v>
      </c>
      <c r="BO3535">
        <v>0</v>
      </c>
      <c r="BP3535">
        <v>0</v>
      </c>
      <c r="BW3535" t="str">
        <f>"20:33:48.432"</f>
        <v>20:33:48.432</v>
      </c>
      <c r="BZ3535">
        <v>0</v>
      </c>
      <c r="CA3535">
        <v>1600</v>
      </c>
      <c r="CB3535">
        <v>224</v>
      </c>
      <c r="CD3535">
        <v>1</v>
      </c>
      <c r="CE3535">
        <v>0</v>
      </c>
      <c r="CF3535">
        <v>0</v>
      </c>
      <c r="CG3535">
        <v>1</v>
      </c>
      <c r="CH3535">
        <v>0</v>
      </c>
      <c r="CI3535">
        <v>0</v>
      </c>
      <c r="CJ3535">
        <v>0</v>
      </c>
      <c r="CK3535">
        <v>2</v>
      </c>
      <c r="CL3535">
        <v>0</v>
      </c>
      <c r="CM3535">
        <v>2</v>
      </c>
      <c r="CN3535">
        <v>0</v>
      </c>
      <c r="CO3535">
        <v>7</v>
      </c>
      <c r="CP3535" t="s">
        <v>119</v>
      </c>
      <c r="CQ3535">
        <v>180</v>
      </c>
      <c r="CR3535">
        <v>3</v>
      </c>
      <c r="CW3535">
        <v>1186251</v>
      </c>
      <c r="CY3535">
        <v>1</v>
      </c>
      <c r="CZ3535">
        <v>0</v>
      </c>
      <c r="DA3535">
        <v>0</v>
      </c>
      <c r="DB3535">
        <v>0</v>
      </c>
      <c r="DC3535">
        <v>0</v>
      </c>
      <c r="DD3535">
        <v>0</v>
      </c>
      <c r="DE3535">
        <v>0</v>
      </c>
      <c r="DF3535">
        <v>0</v>
      </c>
      <c r="DG3535">
        <v>0</v>
      </c>
      <c r="DH3535">
        <v>0</v>
      </c>
      <c r="DI3535">
        <v>0</v>
      </c>
    </row>
    <row r="3536" spans="1:113" x14ac:dyDescent="0.3">
      <c r="A3536" t="str">
        <f>"02/08/2021 20:33:46.118"</f>
        <v>02/08/2021 20:33:46.118</v>
      </c>
      <c r="C3536" t="str">
        <f t="shared" si="175"/>
        <v>FFDFD7C0</v>
      </c>
      <c r="D3536" t="s">
        <v>113</v>
      </c>
      <c r="E3536">
        <v>6</v>
      </c>
      <c r="H3536">
        <v>165</v>
      </c>
      <c r="I3536" t="s">
        <v>114</v>
      </c>
      <c r="J3536" t="s">
        <v>115</v>
      </c>
      <c r="K3536">
        <v>0</v>
      </c>
      <c r="L3536">
        <v>3</v>
      </c>
      <c r="M3536">
        <v>0</v>
      </c>
      <c r="N3536">
        <v>2</v>
      </c>
      <c r="O3536">
        <v>1</v>
      </c>
      <c r="P3536">
        <v>0</v>
      </c>
      <c r="Q3536">
        <v>0</v>
      </c>
      <c r="S3536" t="str">
        <f>"20:33:48.430"</f>
        <v>20:33:48.430</v>
      </c>
      <c r="T3536" t="str">
        <f>"20:33:47.930"</f>
        <v>20:33:47.930</v>
      </c>
      <c r="U3536" t="str">
        <f t="shared" si="176"/>
        <v>AB01F4</v>
      </c>
      <c r="V3536">
        <v>0</v>
      </c>
      <c r="W3536">
        <v>0</v>
      </c>
      <c r="X3536">
        <v>2</v>
      </c>
      <c r="Z3536">
        <v>0</v>
      </c>
      <c r="AA3536">
        <v>9</v>
      </c>
      <c r="AB3536">
        <v>3</v>
      </c>
      <c r="AC3536">
        <v>0</v>
      </c>
      <c r="AD3536">
        <v>10</v>
      </c>
      <c r="AE3536">
        <v>0</v>
      </c>
      <c r="AF3536">
        <v>3</v>
      </c>
      <c r="AG3536">
        <v>2</v>
      </c>
      <c r="AH3536">
        <v>0</v>
      </c>
      <c r="AI3536" t="s">
        <v>2017</v>
      </c>
      <c r="AJ3536">
        <v>40.094239999999999</v>
      </c>
      <c r="AK3536" t="s">
        <v>2018</v>
      </c>
      <c r="AL3536">
        <v>-92.986844000000005</v>
      </c>
      <c r="AM3536">
        <v>100</v>
      </c>
      <c r="AN3536">
        <v>1300</v>
      </c>
      <c r="AO3536" t="s">
        <v>118</v>
      </c>
      <c r="AP3536">
        <v>-114</v>
      </c>
      <c r="AQ3536">
        <v>62</v>
      </c>
      <c r="AR3536">
        <v>0</v>
      </c>
      <c r="AZ3536">
        <v>1200</v>
      </c>
      <c r="BA3536">
        <v>1</v>
      </c>
      <c r="BB3536" t="str">
        <f t="shared" si="174"/>
        <v xml:space="preserve">N8080G  </v>
      </c>
      <c r="BC3536">
        <v>1</v>
      </c>
      <c r="BE3536">
        <v>0</v>
      </c>
      <c r="BF3536">
        <v>0</v>
      </c>
      <c r="BG3536">
        <v>0</v>
      </c>
      <c r="BH3536">
        <v>1350</v>
      </c>
      <c r="BI3536">
        <v>1</v>
      </c>
      <c r="BJ3536">
        <v>1</v>
      </c>
      <c r="BK3536">
        <v>1</v>
      </c>
      <c r="BL3536">
        <v>0</v>
      </c>
      <c r="BO3536">
        <v>0</v>
      </c>
      <c r="BP3536">
        <v>0</v>
      </c>
      <c r="BW3536" t="str">
        <f>"20:33:48.432"</f>
        <v>20:33:48.432</v>
      </c>
      <c r="BZ3536">
        <v>0</v>
      </c>
      <c r="CA3536">
        <v>1600</v>
      </c>
      <c r="CB3536">
        <v>224</v>
      </c>
      <c r="CD3536">
        <v>1</v>
      </c>
      <c r="CE3536">
        <v>0</v>
      </c>
      <c r="CF3536">
        <v>0</v>
      </c>
      <c r="CG3536">
        <v>1</v>
      </c>
      <c r="CH3536">
        <v>0</v>
      </c>
      <c r="CI3536">
        <v>0</v>
      </c>
      <c r="CJ3536">
        <v>0</v>
      </c>
      <c r="CK3536">
        <v>2</v>
      </c>
      <c r="CL3536">
        <v>0</v>
      </c>
      <c r="CM3536">
        <v>2</v>
      </c>
      <c r="CN3536">
        <v>0</v>
      </c>
      <c r="CO3536">
        <v>7</v>
      </c>
      <c r="CP3536" t="s">
        <v>119</v>
      </c>
      <c r="CQ3536">
        <v>180</v>
      </c>
      <c r="CR3536">
        <v>3</v>
      </c>
      <c r="CW3536">
        <v>1186251</v>
      </c>
      <c r="CY3536">
        <v>1</v>
      </c>
      <c r="CZ3536">
        <v>0</v>
      </c>
      <c r="DA3536">
        <v>1</v>
      </c>
      <c r="DB3536">
        <v>0</v>
      </c>
      <c r="DC3536">
        <v>0</v>
      </c>
      <c r="DD3536">
        <v>0</v>
      </c>
      <c r="DE3536">
        <v>0</v>
      </c>
      <c r="DF3536">
        <v>0</v>
      </c>
      <c r="DG3536">
        <v>0</v>
      </c>
      <c r="DH3536">
        <v>0</v>
      </c>
      <c r="DI3536">
        <v>0</v>
      </c>
    </row>
    <row r="3537" spans="1:113" x14ac:dyDescent="0.3">
      <c r="A3537" t="str">
        <f>"02/08/2021 20:33:46.118"</f>
        <v>02/08/2021 20:33:46.118</v>
      </c>
      <c r="C3537" t="str">
        <f t="shared" si="175"/>
        <v>FFDFD7C0</v>
      </c>
      <c r="D3537" t="s">
        <v>124</v>
      </c>
      <c r="E3537">
        <v>11</v>
      </c>
      <c r="F3537">
        <v>1011</v>
      </c>
      <c r="G3537" t="s">
        <v>590</v>
      </c>
      <c r="J3537" t="s">
        <v>125</v>
      </c>
      <c r="K3537">
        <v>0</v>
      </c>
      <c r="L3537">
        <v>3</v>
      </c>
      <c r="M3537">
        <v>0</v>
      </c>
      <c r="N3537">
        <v>2</v>
      </c>
      <c r="O3537">
        <v>1</v>
      </c>
      <c r="P3537">
        <v>0</v>
      </c>
      <c r="Q3537">
        <v>0</v>
      </c>
      <c r="S3537" t="str">
        <f>"20:33:48.430"</f>
        <v>20:33:48.430</v>
      </c>
      <c r="T3537" t="str">
        <f>"20:33:47.930"</f>
        <v>20:33:47.930</v>
      </c>
      <c r="U3537" t="str">
        <f t="shared" si="176"/>
        <v>AB01F4</v>
      </c>
      <c r="V3537">
        <v>0</v>
      </c>
      <c r="W3537">
        <v>0</v>
      </c>
      <c r="X3537">
        <v>2</v>
      </c>
      <c r="Z3537">
        <v>0</v>
      </c>
      <c r="AA3537">
        <v>9</v>
      </c>
      <c r="AB3537">
        <v>3</v>
      </c>
      <c r="AC3537">
        <v>0</v>
      </c>
      <c r="AD3537">
        <v>10</v>
      </c>
      <c r="AE3537">
        <v>0</v>
      </c>
      <c r="AF3537">
        <v>3</v>
      </c>
      <c r="AG3537">
        <v>2</v>
      </c>
      <c r="AH3537">
        <v>0</v>
      </c>
      <c r="AI3537" t="s">
        <v>2017</v>
      </c>
      <c r="AJ3537">
        <v>40.094239999999999</v>
      </c>
      <c r="AK3537" t="s">
        <v>2018</v>
      </c>
      <c r="AL3537">
        <v>-92.986844000000005</v>
      </c>
      <c r="AM3537">
        <v>100</v>
      </c>
      <c r="AN3537">
        <v>1300</v>
      </c>
      <c r="AO3537" t="s">
        <v>118</v>
      </c>
      <c r="AP3537">
        <v>-114</v>
      </c>
      <c r="AQ3537">
        <v>62</v>
      </c>
      <c r="AR3537">
        <v>0</v>
      </c>
      <c r="AZ3537">
        <v>1200</v>
      </c>
      <c r="BA3537">
        <v>1</v>
      </c>
      <c r="BB3537" t="str">
        <f t="shared" si="174"/>
        <v xml:space="preserve">N8080G  </v>
      </c>
      <c r="BC3537">
        <v>1</v>
      </c>
      <c r="BE3537">
        <v>0</v>
      </c>
      <c r="BF3537">
        <v>0</v>
      </c>
      <c r="BG3537">
        <v>0</v>
      </c>
      <c r="BH3537">
        <v>1350</v>
      </c>
      <c r="BI3537">
        <v>1</v>
      </c>
      <c r="BJ3537">
        <v>1</v>
      </c>
      <c r="BK3537">
        <v>1</v>
      </c>
      <c r="BL3537">
        <v>0</v>
      </c>
      <c r="BO3537">
        <v>0</v>
      </c>
      <c r="BP3537">
        <v>0</v>
      </c>
      <c r="BW3537" t="str">
        <f>"20:33:48.432"</f>
        <v>20:33:48.432</v>
      </c>
      <c r="BZ3537">
        <v>0</v>
      </c>
      <c r="CA3537">
        <v>1600</v>
      </c>
      <c r="CB3537">
        <v>224</v>
      </c>
      <c r="CD3537">
        <v>1</v>
      </c>
      <c r="CE3537">
        <v>0</v>
      </c>
      <c r="CF3537">
        <v>0</v>
      </c>
      <c r="CG3537">
        <v>1</v>
      </c>
      <c r="CH3537">
        <v>0</v>
      </c>
      <c r="CI3537">
        <v>0</v>
      </c>
      <c r="CJ3537">
        <v>0</v>
      </c>
      <c r="CK3537">
        <v>2</v>
      </c>
      <c r="CL3537">
        <v>0</v>
      </c>
      <c r="CM3537">
        <v>2</v>
      </c>
      <c r="CN3537">
        <v>0</v>
      </c>
      <c r="CO3537">
        <v>7</v>
      </c>
      <c r="CP3537" t="s">
        <v>119</v>
      </c>
      <c r="CQ3537">
        <v>180</v>
      </c>
      <c r="CR3537">
        <v>3</v>
      </c>
      <c r="CW3537">
        <v>1186251</v>
      </c>
      <c r="CY3537">
        <v>1</v>
      </c>
      <c r="CZ3537">
        <v>0</v>
      </c>
      <c r="DA3537">
        <v>1</v>
      </c>
      <c r="DB3537">
        <v>0</v>
      </c>
      <c r="DC3537">
        <v>0</v>
      </c>
      <c r="DD3537">
        <v>0</v>
      </c>
      <c r="DE3537">
        <v>0</v>
      </c>
      <c r="DF3537">
        <v>0</v>
      </c>
      <c r="DG3537">
        <v>0</v>
      </c>
      <c r="DH3537">
        <v>0</v>
      </c>
      <c r="DI3537">
        <v>0</v>
      </c>
    </row>
    <row r="3538" spans="1:113" x14ac:dyDescent="0.3">
      <c r="A3538" t="str">
        <f>"02/08/2021 20:33:46.118"</f>
        <v>02/08/2021 20:33:46.118</v>
      </c>
      <c r="C3538" t="str">
        <f t="shared" si="175"/>
        <v>FFDFD7C0</v>
      </c>
      <c r="D3538" t="s">
        <v>124</v>
      </c>
      <c r="E3538">
        <v>12</v>
      </c>
      <c r="F3538">
        <v>1012</v>
      </c>
      <c r="G3538" t="s">
        <v>675</v>
      </c>
      <c r="J3538" t="s">
        <v>125</v>
      </c>
      <c r="K3538">
        <v>0</v>
      </c>
      <c r="L3538">
        <v>3</v>
      </c>
      <c r="M3538">
        <v>0</v>
      </c>
      <c r="N3538">
        <v>2</v>
      </c>
      <c r="O3538">
        <v>1</v>
      </c>
      <c r="P3538">
        <v>0</v>
      </c>
      <c r="Q3538">
        <v>0</v>
      </c>
      <c r="S3538" t="str">
        <f>"20:33:48.430"</f>
        <v>20:33:48.430</v>
      </c>
      <c r="T3538" t="str">
        <f>"20:33:47.930"</f>
        <v>20:33:47.930</v>
      </c>
      <c r="U3538" t="str">
        <f t="shared" si="176"/>
        <v>AB01F4</v>
      </c>
      <c r="V3538">
        <v>0</v>
      </c>
      <c r="W3538">
        <v>0</v>
      </c>
      <c r="X3538">
        <v>2</v>
      </c>
      <c r="Z3538">
        <v>0</v>
      </c>
      <c r="AA3538">
        <v>9</v>
      </c>
      <c r="AB3538">
        <v>3</v>
      </c>
      <c r="AC3538">
        <v>0</v>
      </c>
      <c r="AD3538">
        <v>10</v>
      </c>
      <c r="AE3538">
        <v>0</v>
      </c>
      <c r="AF3538">
        <v>3</v>
      </c>
      <c r="AG3538">
        <v>2</v>
      </c>
      <c r="AH3538">
        <v>0</v>
      </c>
      <c r="AI3538" t="s">
        <v>2017</v>
      </c>
      <c r="AJ3538">
        <v>40.094239999999999</v>
      </c>
      <c r="AK3538" t="s">
        <v>2018</v>
      </c>
      <c r="AL3538">
        <v>-92.986844000000005</v>
      </c>
      <c r="AM3538">
        <v>100</v>
      </c>
      <c r="AN3538">
        <v>1300</v>
      </c>
      <c r="AO3538" t="s">
        <v>118</v>
      </c>
      <c r="AP3538">
        <v>-114</v>
      </c>
      <c r="AQ3538">
        <v>62</v>
      </c>
      <c r="AR3538">
        <v>0</v>
      </c>
      <c r="AZ3538">
        <v>1200</v>
      </c>
      <c r="BA3538">
        <v>1</v>
      </c>
      <c r="BB3538" t="str">
        <f t="shared" si="174"/>
        <v xml:space="preserve">N8080G  </v>
      </c>
      <c r="BC3538">
        <v>1</v>
      </c>
      <c r="BE3538">
        <v>0</v>
      </c>
      <c r="BF3538">
        <v>0</v>
      </c>
      <c r="BG3538">
        <v>0</v>
      </c>
      <c r="BH3538">
        <v>1350</v>
      </c>
      <c r="BI3538">
        <v>1</v>
      </c>
      <c r="BJ3538">
        <v>1</v>
      </c>
      <c r="BK3538">
        <v>1</v>
      </c>
      <c r="BL3538">
        <v>0</v>
      </c>
      <c r="BO3538">
        <v>0</v>
      </c>
      <c r="BP3538">
        <v>0</v>
      </c>
      <c r="BW3538" t="str">
        <f>"20:33:48.432"</f>
        <v>20:33:48.432</v>
      </c>
      <c r="BZ3538">
        <v>0</v>
      </c>
      <c r="CA3538">
        <v>1600</v>
      </c>
      <c r="CB3538">
        <v>224</v>
      </c>
      <c r="CD3538">
        <v>1</v>
      </c>
      <c r="CE3538">
        <v>0</v>
      </c>
      <c r="CF3538">
        <v>0</v>
      </c>
      <c r="CG3538">
        <v>1</v>
      </c>
      <c r="CH3538">
        <v>0</v>
      </c>
      <c r="CI3538">
        <v>0</v>
      </c>
      <c r="CJ3538">
        <v>0</v>
      </c>
      <c r="CK3538">
        <v>2</v>
      </c>
      <c r="CL3538">
        <v>0</v>
      </c>
      <c r="CM3538">
        <v>2</v>
      </c>
      <c r="CN3538">
        <v>0</v>
      </c>
      <c r="CO3538">
        <v>7</v>
      </c>
      <c r="CP3538" t="s">
        <v>119</v>
      </c>
      <c r="CQ3538">
        <v>180</v>
      </c>
      <c r="CR3538">
        <v>3</v>
      </c>
      <c r="CW3538">
        <v>1186251</v>
      </c>
      <c r="CY3538">
        <v>1</v>
      </c>
      <c r="CZ3538">
        <v>0</v>
      </c>
      <c r="DA3538">
        <v>1</v>
      </c>
      <c r="DB3538">
        <v>0</v>
      </c>
      <c r="DC3538">
        <v>0</v>
      </c>
      <c r="DD3538">
        <v>0</v>
      </c>
      <c r="DE3538">
        <v>0</v>
      </c>
      <c r="DF3538">
        <v>0</v>
      </c>
      <c r="DG3538">
        <v>0</v>
      </c>
      <c r="DH3538">
        <v>0</v>
      </c>
      <c r="DI3538">
        <v>0</v>
      </c>
    </row>
    <row r="3539" spans="1:113" x14ac:dyDescent="0.3">
      <c r="A3539" t="str">
        <f>"02/08/2021 20:33:47.056"</f>
        <v>02/08/2021 20:33:47.056</v>
      </c>
      <c r="C3539" t="str">
        <f t="shared" ref="C3539:C3570" si="177">"FFDFD7C0"</f>
        <v>FFDFD7C0</v>
      </c>
      <c r="D3539" t="s">
        <v>124</v>
      </c>
      <c r="E3539">
        <v>12</v>
      </c>
      <c r="F3539">
        <v>1012</v>
      </c>
      <c r="G3539" t="s">
        <v>675</v>
      </c>
      <c r="J3539" t="s">
        <v>125</v>
      </c>
      <c r="K3539">
        <v>0</v>
      </c>
      <c r="L3539">
        <v>3</v>
      </c>
      <c r="M3539">
        <v>0</v>
      </c>
      <c r="N3539">
        <v>2</v>
      </c>
      <c r="O3539">
        <v>1</v>
      </c>
      <c r="P3539">
        <v>0</v>
      </c>
      <c r="Q3539">
        <v>0</v>
      </c>
      <c r="S3539" t="str">
        <f>"20:33:49.414"</f>
        <v>20:33:49.414</v>
      </c>
      <c r="T3539" t="str">
        <f>"20:33:48.914"</f>
        <v>20:33:48.914</v>
      </c>
      <c r="U3539" t="str">
        <f t="shared" si="176"/>
        <v>AB01F4</v>
      </c>
      <c r="V3539">
        <v>0</v>
      </c>
      <c r="W3539">
        <v>0</v>
      </c>
      <c r="X3539">
        <v>2</v>
      </c>
      <c r="Z3539">
        <v>0</v>
      </c>
      <c r="AA3539">
        <v>9</v>
      </c>
      <c r="AB3539">
        <v>3</v>
      </c>
      <c r="AC3539">
        <v>0</v>
      </c>
      <c r="AD3539">
        <v>10</v>
      </c>
      <c r="AE3539">
        <v>0</v>
      </c>
      <c r="AF3539">
        <v>3</v>
      </c>
      <c r="AG3539">
        <v>2</v>
      </c>
      <c r="AH3539">
        <v>0</v>
      </c>
      <c r="AI3539" t="s">
        <v>2019</v>
      </c>
      <c r="AJ3539">
        <v>40.094476</v>
      </c>
      <c r="AK3539" t="s">
        <v>2020</v>
      </c>
      <c r="AL3539">
        <v>-92.987423000000007</v>
      </c>
      <c r="AM3539">
        <v>100</v>
      </c>
      <c r="AN3539">
        <v>1300</v>
      </c>
      <c r="AO3539" t="s">
        <v>118</v>
      </c>
      <c r="AP3539">
        <v>-114</v>
      </c>
      <c r="AQ3539">
        <v>63</v>
      </c>
      <c r="AR3539">
        <v>-64</v>
      </c>
      <c r="AZ3539">
        <v>1200</v>
      </c>
      <c r="BA3539">
        <v>1</v>
      </c>
      <c r="BB3539" t="str">
        <f t="shared" si="174"/>
        <v xml:space="preserve">N8080G  </v>
      </c>
      <c r="BC3539">
        <v>1</v>
      </c>
      <c r="BE3539">
        <v>0</v>
      </c>
      <c r="BF3539">
        <v>0</v>
      </c>
      <c r="BG3539">
        <v>0</v>
      </c>
      <c r="BH3539">
        <v>1350</v>
      </c>
      <c r="BI3539">
        <v>1</v>
      </c>
      <c r="BJ3539">
        <v>1</v>
      </c>
      <c r="BK3539">
        <v>1</v>
      </c>
      <c r="BL3539">
        <v>0</v>
      </c>
      <c r="BO3539">
        <v>0</v>
      </c>
      <c r="BP3539">
        <v>0</v>
      </c>
      <c r="BW3539" t="str">
        <f>"20:33:49.415"</f>
        <v>20:33:49.415</v>
      </c>
      <c r="BZ3539">
        <v>0</v>
      </c>
      <c r="CA3539">
        <v>1600</v>
      </c>
      <c r="CB3539">
        <v>224</v>
      </c>
      <c r="CD3539">
        <v>1</v>
      </c>
      <c r="CE3539">
        <v>0</v>
      </c>
      <c r="CF3539">
        <v>0</v>
      </c>
      <c r="CG3539">
        <v>1</v>
      </c>
      <c r="CH3539">
        <v>0</v>
      </c>
      <c r="CI3539">
        <v>0</v>
      </c>
      <c r="CJ3539">
        <v>0</v>
      </c>
      <c r="CK3539">
        <v>2</v>
      </c>
      <c r="CL3539">
        <v>0</v>
      </c>
      <c r="CM3539">
        <v>2</v>
      </c>
      <c r="CN3539">
        <v>0</v>
      </c>
      <c r="CO3539">
        <v>7</v>
      </c>
      <c r="CP3539" t="s">
        <v>119</v>
      </c>
      <c r="CQ3539">
        <v>180</v>
      </c>
      <c r="CR3539">
        <v>3</v>
      </c>
      <c r="CW3539">
        <v>1186955</v>
      </c>
      <c r="CY3539">
        <v>1</v>
      </c>
      <c r="CZ3539">
        <v>0</v>
      </c>
      <c r="DA3539">
        <v>0</v>
      </c>
      <c r="DB3539">
        <v>0</v>
      </c>
      <c r="DC3539">
        <v>0</v>
      </c>
      <c r="DD3539">
        <v>0</v>
      </c>
      <c r="DE3539">
        <v>0</v>
      </c>
      <c r="DF3539">
        <v>0</v>
      </c>
      <c r="DG3539">
        <v>0</v>
      </c>
      <c r="DH3539">
        <v>0</v>
      </c>
      <c r="DI3539">
        <v>0</v>
      </c>
    </row>
    <row r="3540" spans="1:113" x14ac:dyDescent="0.3">
      <c r="A3540" t="str">
        <f>"02/08/2021 20:33:47.056"</f>
        <v>02/08/2021 20:33:47.056</v>
      </c>
      <c r="C3540" t="str">
        <f t="shared" si="177"/>
        <v>FFDFD7C0</v>
      </c>
      <c r="D3540" t="s">
        <v>124</v>
      </c>
      <c r="E3540">
        <v>11</v>
      </c>
      <c r="F3540">
        <v>1011</v>
      </c>
      <c r="G3540" t="s">
        <v>590</v>
      </c>
      <c r="J3540" t="s">
        <v>125</v>
      </c>
      <c r="K3540">
        <v>0</v>
      </c>
      <c r="L3540">
        <v>3</v>
      </c>
      <c r="M3540">
        <v>0</v>
      </c>
      <c r="N3540">
        <v>2</v>
      </c>
      <c r="O3540">
        <v>1</v>
      </c>
      <c r="P3540">
        <v>0</v>
      </c>
      <c r="Q3540">
        <v>0</v>
      </c>
      <c r="S3540" t="str">
        <f>"20:33:49.414"</f>
        <v>20:33:49.414</v>
      </c>
      <c r="T3540" t="str">
        <f>"20:33:48.914"</f>
        <v>20:33:48.914</v>
      </c>
      <c r="U3540" t="str">
        <f t="shared" si="176"/>
        <v>AB01F4</v>
      </c>
      <c r="V3540">
        <v>0</v>
      </c>
      <c r="W3540">
        <v>0</v>
      </c>
      <c r="X3540">
        <v>2</v>
      </c>
      <c r="Z3540">
        <v>0</v>
      </c>
      <c r="AA3540">
        <v>9</v>
      </c>
      <c r="AB3540">
        <v>3</v>
      </c>
      <c r="AC3540">
        <v>0</v>
      </c>
      <c r="AD3540">
        <v>10</v>
      </c>
      <c r="AE3540">
        <v>0</v>
      </c>
      <c r="AF3540">
        <v>3</v>
      </c>
      <c r="AG3540">
        <v>2</v>
      </c>
      <c r="AH3540">
        <v>0</v>
      </c>
      <c r="AI3540" t="s">
        <v>2019</v>
      </c>
      <c r="AJ3540">
        <v>40.094476</v>
      </c>
      <c r="AK3540" t="s">
        <v>2020</v>
      </c>
      <c r="AL3540">
        <v>-92.987423000000007</v>
      </c>
      <c r="AM3540">
        <v>100</v>
      </c>
      <c r="AN3540">
        <v>1300</v>
      </c>
      <c r="AO3540" t="s">
        <v>118</v>
      </c>
      <c r="AP3540">
        <v>-114</v>
      </c>
      <c r="AQ3540">
        <v>63</v>
      </c>
      <c r="AR3540">
        <v>-64</v>
      </c>
      <c r="AZ3540">
        <v>1200</v>
      </c>
      <c r="BA3540">
        <v>1</v>
      </c>
      <c r="BB3540" t="str">
        <f t="shared" si="174"/>
        <v xml:space="preserve">N8080G  </v>
      </c>
      <c r="BC3540">
        <v>1</v>
      </c>
      <c r="BE3540">
        <v>0</v>
      </c>
      <c r="BF3540">
        <v>0</v>
      </c>
      <c r="BG3540">
        <v>0</v>
      </c>
      <c r="BH3540">
        <v>1350</v>
      </c>
      <c r="BI3540">
        <v>1</v>
      </c>
      <c r="BJ3540">
        <v>1</v>
      </c>
      <c r="BK3540">
        <v>1</v>
      </c>
      <c r="BL3540">
        <v>0</v>
      </c>
      <c r="BO3540">
        <v>0</v>
      </c>
      <c r="BP3540">
        <v>0</v>
      </c>
      <c r="BW3540" t="str">
        <f>"20:33:49.415"</f>
        <v>20:33:49.415</v>
      </c>
      <c r="BZ3540">
        <v>0</v>
      </c>
      <c r="CA3540">
        <v>1600</v>
      </c>
      <c r="CB3540">
        <v>224</v>
      </c>
      <c r="CD3540">
        <v>1</v>
      </c>
      <c r="CE3540">
        <v>0</v>
      </c>
      <c r="CF3540">
        <v>0</v>
      </c>
      <c r="CG3540">
        <v>1</v>
      </c>
      <c r="CH3540">
        <v>0</v>
      </c>
      <c r="CI3540">
        <v>0</v>
      </c>
      <c r="CJ3540">
        <v>0</v>
      </c>
      <c r="CK3540">
        <v>2</v>
      </c>
      <c r="CL3540">
        <v>0</v>
      </c>
      <c r="CM3540">
        <v>2</v>
      </c>
      <c r="CN3540">
        <v>0</v>
      </c>
      <c r="CO3540">
        <v>7</v>
      </c>
      <c r="CP3540" t="s">
        <v>119</v>
      </c>
      <c r="CQ3540">
        <v>180</v>
      </c>
      <c r="CR3540">
        <v>3</v>
      </c>
      <c r="CW3540">
        <v>1186955</v>
      </c>
      <c r="CY3540">
        <v>1</v>
      </c>
      <c r="CZ3540">
        <v>0</v>
      </c>
      <c r="DA3540">
        <v>1</v>
      </c>
      <c r="DB3540">
        <v>0</v>
      </c>
      <c r="DC3540">
        <v>0</v>
      </c>
      <c r="DD3540">
        <v>0</v>
      </c>
      <c r="DE3540">
        <v>0</v>
      </c>
      <c r="DF3540">
        <v>0</v>
      </c>
      <c r="DG3540">
        <v>0</v>
      </c>
      <c r="DH3540">
        <v>0</v>
      </c>
      <c r="DI3540">
        <v>0</v>
      </c>
    </row>
    <row r="3541" spans="1:113" x14ac:dyDescent="0.3">
      <c r="A3541" t="str">
        <f>"02/08/2021 20:33:47.056"</f>
        <v>02/08/2021 20:33:47.056</v>
      </c>
      <c r="C3541" t="str">
        <f t="shared" si="177"/>
        <v>FFDFD7C0</v>
      </c>
      <c r="D3541" t="s">
        <v>124</v>
      </c>
      <c r="E3541">
        <v>13</v>
      </c>
      <c r="F3541">
        <v>1013</v>
      </c>
      <c r="G3541" t="s">
        <v>114</v>
      </c>
      <c r="J3541" t="s">
        <v>125</v>
      </c>
      <c r="K3541">
        <v>0</v>
      </c>
      <c r="L3541">
        <v>3</v>
      </c>
      <c r="M3541">
        <v>0</v>
      </c>
      <c r="N3541">
        <v>2</v>
      </c>
      <c r="O3541">
        <v>1</v>
      </c>
      <c r="P3541">
        <v>0</v>
      </c>
      <c r="Q3541">
        <v>0</v>
      </c>
      <c r="S3541" t="str">
        <f>"20:33:49.414"</f>
        <v>20:33:49.414</v>
      </c>
      <c r="T3541" t="str">
        <f>"20:33:48.914"</f>
        <v>20:33:48.914</v>
      </c>
      <c r="U3541" t="str">
        <f t="shared" si="176"/>
        <v>AB01F4</v>
      </c>
      <c r="V3541">
        <v>0</v>
      </c>
      <c r="W3541">
        <v>0</v>
      </c>
      <c r="X3541">
        <v>2</v>
      </c>
      <c r="Z3541">
        <v>0</v>
      </c>
      <c r="AA3541">
        <v>9</v>
      </c>
      <c r="AB3541">
        <v>3</v>
      </c>
      <c r="AC3541">
        <v>0</v>
      </c>
      <c r="AD3541">
        <v>10</v>
      </c>
      <c r="AE3541">
        <v>0</v>
      </c>
      <c r="AF3541">
        <v>3</v>
      </c>
      <c r="AG3541">
        <v>2</v>
      </c>
      <c r="AH3541">
        <v>0</v>
      </c>
      <c r="AI3541" t="s">
        <v>2019</v>
      </c>
      <c r="AJ3541">
        <v>40.094476</v>
      </c>
      <c r="AK3541" t="s">
        <v>2020</v>
      </c>
      <c r="AL3541">
        <v>-92.987423000000007</v>
      </c>
      <c r="AM3541">
        <v>100</v>
      </c>
      <c r="AN3541">
        <v>1300</v>
      </c>
      <c r="AO3541" t="s">
        <v>118</v>
      </c>
      <c r="AP3541">
        <v>-114</v>
      </c>
      <c r="AQ3541">
        <v>63</v>
      </c>
      <c r="AR3541">
        <v>-64</v>
      </c>
      <c r="AZ3541">
        <v>1200</v>
      </c>
      <c r="BA3541">
        <v>1</v>
      </c>
      <c r="BB3541" t="str">
        <f t="shared" si="174"/>
        <v xml:space="preserve">N8080G  </v>
      </c>
      <c r="BC3541">
        <v>1</v>
      </c>
      <c r="BE3541">
        <v>0</v>
      </c>
      <c r="BF3541">
        <v>0</v>
      </c>
      <c r="BG3541">
        <v>0</v>
      </c>
      <c r="BH3541">
        <v>1350</v>
      </c>
      <c r="BI3541">
        <v>1</v>
      </c>
      <c r="BJ3541">
        <v>1</v>
      </c>
      <c r="BK3541">
        <v>1</v>
      </c>
      <c r="BL3541">
        <v>0</v>
      </c>
      <c r="BO3541">
        <v>0</v>
      </c>
      <c r="BP3541">
        <v>0</v>
      </c>
      <c r="BW3541" t="str">
        <f>"20:33:49.415"</f>
        <v>20:33:49.415</v>
      </c>
      <c r="BZ3541">
        <v>0</v>
      </c>
      <c r="CA3541">
        <v>1600</v>
      </c>
      <c r="CB3541">
        <v>224</v>
      </c>
      <c r="CD3541">
        <v>1</v>
      </c>
      <c r="CE3541">
        <v>0</v>
      </c>
      <c r="CF3541">
        <v>0</v>
      </c>
      <c r="CG3541">
        <v>1</v>
      </c>
      <c r="CH3541">
        <v>0</v>
      </c>
      <c r="CI3541">
        <v>0</v>
      </c>
      <c r="CJ3541">
        <v>0</v>
      </c>
      <c r="CK3541">
        <v>2</v>
      </c>
      <c r="CL3541">
        <v>0</v>
      </c>
      <c r="CM3541">
        <v>2</v>
      </c>
      <c r="CN3541">
        <v>0</v>
      </c>
      <c r="CO3541">
        <v>7</v>
      </c>
      <c r="CP3541" t="s">
        <v>119</v>
      </c>
      <c r="CQ3541">
        <v>180</v>
      </c>
      <c r="CR3541">
        <v>3</v>
      </c>
      <c r="CW3541">
        <v>1186955</v>
      </c>
      <c r="CY3541">
        <v>1</v>
      </c>
      <c r="CZ3541">
        <v>0</v>
      </c>
      <c r="DA3541">
        <v>1</v>
      </c>
      <c r="DB3541">
        <v>0</v>
      </c>
      <c r="DC3541">
        <v>0</v>
      </c>
      <c r="DD3541">
        <v>0</v>
      </c>
      <c r="DE3541">
        <v>0</v>
      </c>
      <c r="DF3541">
        <v>0</v>
      </c>
      <c r="DG3541">
        <v>0</v>
      </c>
      <c r="DH3541">
        <v>0</v>
      </c>
      <c r="DI3541">
        <v>0</v>
      </c>
    </row>
    <row r="3542" spans="1:113" x14ac:dyDescent="0.3">
      <c r="A3542" t="str">
        <f>"02/08/2021 20:33:47.056"</f>
        <v>02/08/2021 20:33:47.056</v>
      </c>
      <c r="C3542" t="str">
        <f t="shared" si="177"/>
        <v>FFDFD7C0</v>
      </c>
      <c r="D3542" t="s">
        <v>113</v>
      </c>
      <c r="E3542">
        <v>6</v>
      </c>
      <c r="H3542">
        <v>165</v>
      </c>
      <c r="I3542" t="s">
        <v>114</v>
      </c>
      <c r="J3542" t="s">
        <v>115</v>
      </c>
      <c r="K3542">
        <v>0</v>
      </c>
      <c r="L3542">
        <v>3</v>
      </c>
      <c r="M3542">
        <v>0</v>
      </c>
      <c r="N3542">
        <v>2</v>
      </c>
      <c r="O3542">
        <v>1</v>
      </c>
      <c r="P3542">
        <v>0</v>
      </c>
      <c r="Q3542">
        <v>0</v>
      </c>
      <c r="S3542" t="str">
        <f>"20:33:49.414"</f>
        <v>20:33:49.414</v>
      </c>
      <c r="T3542" t="str">
        <f>"20:33:48.914"</f>
        <v>20:33:48.914</v>
      </c>
      <c r="U3542" t="str">
        <f t="shared" si="176"/>
        <v>AB01F4</v>
      </c>
      <c r="V3542">
        <v>0</v>
      </c>
      <c r="W3542">
        <v>0</v>
      </c>
      <c r="X3542">
        <v>2</v>
      </c>
      <c r="Z3542">
        <v>0</v>
      </c>
      <c r="AA3542">
        <v>9</v>
      </c>
      <c r="AB3542">
        <v>3</v>
      </c>
      <c r="AC3542">
        <v>0</v>
      </c>
      <c r="AD3542">
        <v>10</v>
      </c>
      <c r="AE3542">
        <v>0</v>
      </c>
      <c r="AF3542">
        <v>3</v>
      </c>
      <c r="AG3542">
        <v>2</v>
      </c>
      <c r="AH3542">
        <v>0</v>
      </c>
      <c r="AI3542" t="s">
        <v>2019</v>
      </c>
      <c r="AJ3542">
        <v>40.094476</v>
      </c>
      <c r="AK3542" t="s">
        <v>2020</v>
      </c>
      <c r="AL3542">
        <v>-92.987423000000007</v>
      </c>
      <c r="AM3542">
        <v>100</v>
      </c>
      <c r="AN3542">
        <v>1300</v>
      </c>
      <c r="AO3542" t="s">
        <v>118</v>
      </c>
      <c r="AP3542">
        <v>-114</v>
      </c>
      <c r="AQ3542">
        <v>63</v>
      </c>
      <c r="AR3542">
        <v>-64</v>
      </c>
      <c r="AZ3542">
        <v>1200</v>
      </c>
      <c r="BA3542">
        <v>1</v>
      </c>
      <c r="BB3542" t="str">
        <f t="shared" si="174"/>
        <v xml:space="preserve">N8080G  </v>
      </c>
      <c r="BC3542">
        <v>1</v>
      </c>
      <c r="BE3542">
        <v>0</v>
      </c>
      <c r="BF3542">
        <v>0</v>
      </c>
      <c r="BG3542">
        <v>0</v>
      </c>
      <c r="BH3542">
        <v>1350</v>
      </c>
      <c r="BI3542">
        <v>1</v>
      </c>
      <c r="BJ3542">
        <v>1</v>
      </c>
      <c r="BK3542">
        <v>1</v>
      </c>
      <c r="BL3542">
        <v>0</v>
      </c>
      <c r="BO3542">
        <v>0</v>
      </c>
      <c r="BP3542">
        <v>0</v>
      </c>
      <c r="BW3542" t="str">
        <f>"20:33:49.415"</f>
        <v>20:33:49.415</v>
      </c>
      <c r="BZ3542">
        <v>0</v>
      </c>
      <c r="CA3542">
        <v>1600</v>
      </c>
      <c r="CB3542">
        <v>224</v>
      </c>
      <c r="CD3542">
        <v>1</v>
      </c>
      <c r="CE3542">
        <v>0</v>
      </c>
      <c r="CF3542">
        <v>0</v>
      </c>
      <c r="CG3542">
        <v>1</v>
      </c>
      <c r="CH3542">
        <v>0</v>
      </c>
      <c r="CI3542">
        <v>0</v>
      </c>
      <c r="CJ3542">
        <v>0</v>
      </c>
      <c r="CK3542">
        <v>2</v>
      </c>
      <c r="CL3542">
        <v>0</v>
      </c>
      <c r="CM3542">
        <v>2</v>
      </c>
      <c r="CN3542">
        <v>0</v>
      </c>
      <c r="CO3542">
        <v>7</v>
      </c>
      <c r="CP3542" t="s">
        <v>119</v>
      </c>
      <c r="CQ3542">
        <v>180</v>
      </c>
      <c r="CR3542">
        <v>3</v>
      </c>
      <c r="CW3542">
        <v>1186955</v>
      </c>
      <c r="CY3542">
        <v>1</v>
      </c>
      <c r="CZ3542">
        <v>0</v>
      </c>
      <c r="DA3542">
        <v>1</v>
      </c>
      <c r="DB3542">
        <v>0</v>
      </c>
      <c r="DC3542">
        <v>0</v>
      </c>
      <c r="DD3542">
        <v>0</v>
      </c>
      <c r="DE3542">
        <v>0</v>
      </c>
      <c r="DF3542">
        <v>0</v>
      </c>
      <c r="DG3542">
        <v>0</v>
      </c>
      <c r="DH3542">
        <v>0</v>
      </c>
      <c r="DI3542">
        <v>0</v>
      </c>
    </row>
    <row r="3543" spans="1:113" x14ac:dyDescent="0.3">
      <c r="A3543" t="str">
        <f>"02/08/2021 20:33:48.207"</f>
        <v>02/08/2021 20:33:48.207</v>
      </c>
      <c r="C3543" t="str">
        <f t="shared" si="177"/>
        <v>FFDFD7C0</v>
      </c>
      <c r="D3543" t="s">
        <v>113</v>
      </c>
      <c r="E3543">
        <v>6</v>
      </c>
      <c r="H3543">
        <v>165</v>
      </c>
      <c r="I3543" t="s">
        <v>114</v>
      </c>
      <c r="J3543" t="s">
        <v>115</v>
      </c>
      <c r="K3543">
        <v>0</v>
      </c>
      <c r="L3543">
        <v>3</v>
      </c>
      <c r="M3543">
        <v>0</v>
      </c>
      <c r="N3543">
        <v>2</v>
      </c>
      <c r="O3543">
        <v>1</v>
      </c>
      <c r="P3543">
        <v>0</v>
      </c>
      <c r="Q3543">
        <v>0</v>
      </c>
      <c r="S3543" t="str">
        <f>"20:33:50.539"</f>
        <v>20:33:50.539</v>
      </c>
      <c r="T3543" t="str">
        <f>"20:33:50.039"</f>
        <v>20:33:50.039</v>
      </c>
      <c r="U3543" t="str">
        <f t="shared" si="176"/>
        <v>AB01F4</v>
      </c>
      <c r="V3543">
        <v>0</v>
      </c>
      <c r="W3543">
        <v>0</v>
      </c>
      <c r="X3543">
        <v>2</v>
      </c>
      <c r="Z3543">
        <v>0</v>
      </c>
      <c r="AA3543">
        <v>9</v>
      </c>
      <c r="AB3543">
        <v>3</v>
      </c>
      <c r="AC3543">
        <v>0</v>
      </c>
      <c r="AD3543">
        <v>10</v>
      </c>
      <c r="AE3543">
        <v>0</v>
      </c>
      <c r="AF3543">
        <v>3</v>
      </c>
      <c r="AG3543">
        <v>2</v>
      </c>
      <c r="AH3543">
        <v>0</v>
      </c>
      <c r="AI3543" t="s">
        <v>2021</v>
      </c>
      <c r="AJ3543">
        <v>40.094841000000002</v>
      </c>
      <c r="AK3543" t="s">
        <v>2022</v>
      </c>
      <c r="AL3543">
        <v>-92.988281000000001</v>
      </c>
      <c r="AM3543">
        <v>100</v>
      </c>
      <c r="AN3543">
        <v>1300</v>
      </c>
      <c r="AO3543" t="s">
        <v>118</v>
      </c>
      <c r="AP3543">
        <v>-114</v>
      </c>
      <c r="AQ3543">
        <v>62</v>
      </c>
      <c r="AR3543">
        <v>-128</v>
      </c>
      <c r="AZ3543">
        <v>1200</v>
      </c>
      <c r="BA3543">
        <v>1</v>
      </c>
      <c r="BB3543" t="str">
        <f t="shared" si="174"/>
        <v xml:space="preserve">N8080G  </v>
      </c>
      <c r="BC3543">
        <v>1</v>
      </c>
      <c r="BE3543">
        <v>0</v>
      </c>
      <c r="BF3543">
        <v>0</v>
      </c>
      <c r="BG3543">
        <v>0</v>
      </c>
      <c r="BH3543">
        <v>1350</v>
      </c>
      <c r="BI3543">
        <v>1</v>
      </c>
      <c r="BJ3543">
        <v>1</v>
      </c>
      <c r="BK3543">
        <v>1</v>
      </c>
      <c r="BL3543">
        <v>0</v>
      </c>
      <c r="BO3543">
        <v>0</v>
      </c>
      <c r="BP3543">
        <v>0</v>
      </c>
      <c r="BW3543" t="str">
        <f>"20:33:50.544"</f>
        <v>20:33:50.544</v>
      </c>
      <c r="BZ3543">
        <v>0</v>
      </c>
      <c r="CA3543">
        <v>1600</v>
      </c>
      <c r="CB3543">
        <v>224</v>
      </c>
      <c r="CD3543">
        <v>1</v>
      </c>
      <c r="CE3543">
        <v>0</v>
      </c>
      <c r="CF3543">
        <v>0</v>
      </c>
      <c r="CG3543">
        <v>1</v>
      </c>
      <c r="CH3543">
        <v>0</v>
      </c>
      <c r="CI3543">
        <v>0</v>
      </c>
      <c r="CJ3543">
        <v>0</v>
      </c>
      <c r="CK3543">
        <v>2</v>
      </c>
      <c r="CL3543">
        <v>0</v>
      </c>
      <c r="CM3543">
        <v>2</v>
      </c>
      <c r="CN3543">
        <v>0</v>
      </c>
      <c r="CO3543">
        <v>7</v>
      </c>
      <c r="CP3543" t="s">
        <v>119</v>
      </c>
      <c r="CQ3543">
        <v>180</v>
      </c>
      <c r="CR3543">
        <v>3</v>
      </c>
      <c r="CW3543">
        <v>1187817</v>
      </c>
      <c r="CY3543">
        <v>1</v>
      </c>
      <c r="CZ3543">
        <v>0</v>
      </c>
      <c r="DA3543">
        <v>0</v>
      </c>
      <c r="DB3543">
        <v>0</v>
      </c>
      <c r="DC3543">
        <v>0</v>
      </c>
      <c r="DD3543">
        <v>0</v>
      </c>
      <c r="DE3543">
        <v>0</v>
      </c>
      <c r="DF3543">
        <v>0</v>
      </c>
      <c r="DG3543">
        <v>0</v>
      </c>
      <c r="DH3543">
        <v>0</v>
      </c>
      <c r="DI3543">
        <v>0</v>
      </c>
    </row>
    <row r="3544" spans="1:113" x14ac:dyDescent="0.3">
      <c r="A3544" t="str">
        <f>"02/08/2021 20:33:48.207"</f>
        <v>02/08/2021 20:33:48.207</v>
      </c>
      <c r="C3544" t="str">
        <f t="shared" si="177"/>
        <v>FFDFD7C0</v>
      </c>
      <c r="D3544" t="s">
        <v>124</v>
      </c>
      <c r="E3544">
        <v>12</v>
      </c>
      <c r="F3544">
        <v>1012</v>
      </c>
      <c r="G3544" t="s">
        <v>675</v>
      </c>
      <c r="J3544" t="s">
        <v>125</v>
      </c>
      <c r="K3544">
        <v>0</v>
      </c>
      <c r="L3544">
        <v>3</v>
      </c>
      <c r="M3544">
        <v>0</v>
      </c>
      <c r="N3544">
        <v>2</v>
      </c>
      <c r="O3544">
        <v>1</v>
      </c>
      <c r="P3544">
        <v>0</v>
      </c>
      <c r="Q3544">
        <v>0</v>
      </c>
      <c r="S3544" t="str">
        <f>"20:33:50.539"</f>
        <v>20:33:50.539</v>
      </c>
      <c r="T3544" t="str">
        <f>"20:33:50.039"</f>
        <v>20:33:50.039</v>
      </c>
      <c r="U3544" t="str">
        <f t="shared" si="176"/>
        <v>AB01F4</v>
      </c>
      <c r="V3544">
        <v>0</v>
      </c>
      <c r="W3544">
        <v>0</v>
      </c>
      <c r="X3544">
        <v>2</v>
      </c>
      <c r="Z3544">
        <v>0</v>
      </c>
      <c r="AA3544">
        <v>9</v>
      </c>
      <c r="AB3544">
        <v>3</v>
      </c>
      <c r="AC3544">
        <v>0</v>
      </c>
      <c r="AD3544">
        <v>10</v>
      </c>
      <c r="AE3544">
        <v>0</v>
      </c>
      <c r="AF3544">
        <v>3</v>
      </c>
      <c r="AG3544">
        <v>2</v>
      </c>
      <c r="AH3544">
        <v>0</v>
      </c>
      <c r="AI3544" t="s">
        <v>2021</v>
      </c>
      <c r="AJ3544">
        <v>40.094841000000002</v>
      </c>
      <c r="AK3544" t="s">
        <v>2022</v>
      </c>
      <c r="AL3544">
        <v>-92.988281000000001</v>
      </c>
      <c r="AM3544">
        <v>100</v>
      </c>
      <c r="AN3544">
        <v>1300</v>
      </c>
      <c r="AO3544" t="s">
        <v>118</v>
      </c>
      <c r="AP3544">
        <v>-114</v>
      </c>
      <c r="AQ3544">
        <v>62</v>
      </c>
      <c r="AR3544">
        <v>-128</v>
      </c>
      <c r="AZ3544">
        <v>1200</v>
      </c>
      <c r="BA3544">
        <v>1</v>
      </c>
      <c r="BB3544" t="str">
        <f t="shared" si="174"/>
        <v xml:space="preserve">N8080G  </v>
      </c>
      <c r="BC3544">
        <v>1</v>
      </c>
      <c r="BE3544">
        <v>0</v>
      </c>
      <c r="BF3544">
        <v>0</v>
      </c>
      <c r="BG3544">
        <v>0</v>
      </c>
      <c r="BH3544">
        <v>1350</v>
      </c>
      <c r="BI3544">
        <v>1</v>
      </c>
      <c r="BJ3544">
        <v>1</v>
      </c>
      <c r="BK3544">
        <v>1</v>
      </c>
      <c r="BL3544">
        <v>0</v>
      </c>
      <c r="BO3544">
        <v>0</v>
      </c>
      <c r="BP3544">
        <v>0</v>
      </c>
      <c r="BW3544" t="str">
        <f>"20:33:50.544"</f>
        <v>20:33:50.544</v>
      </c>
      <c r="BZ3544">
        <v>0</v>
      </c>
      <c r="CA3544">
        <v>1600</v>
      </c>
      <c r="CB3544">
        <v>224</v>
      </c>
      <c r="CD3544">
        <v>1</v>
      </c>
      <c r="CE3544">
        <v>0</v>
      </c>
      <c r="CF3544">
        <v>0</v>
      </c>
      <c r="CG3544">
        <v>1</v>
      </c>
      <c r="CH3544">
        <v>0</v>
      </c>
      <c r="CI3544">
        <v>0</v>
      </c>
      <c r="CJ3544">
        <v>0</v>
      </c>
      <c r="CK3544">
        <v>2</v>
      </c>
      <c r="CL3544">
        <v>0</v>
      </c>
      <c r="CM3544">
        <v>2</v>
      </c>
      <c r="CN3544">
        <v>0</v>
      </c>
      <c r="CO3544">
        <v>7</v>
      </c>
      <c r="CP3544" t="s">
        <v>119</v>
      </c>
      <c r="CQ3544">
        <v>180</v>
      </c>
      <c r="CR3544">
        <v>3</v>
      </c>
      <c r="CW3544">
        <v>1187817</v>
      </c>
      <c r="CY3544">
        <v>1</v>
      </c>
      <c r="CZ3544">
        <v>0</v>
      </c>
      <c r="DA3544">
        <v>1</v>
      </c>
      <c r="DB3544">
        <v>0</v>
      </c>
      <c r="DC3544">
        <v>0</v>
      </c>
      <c r="DD3544">
        <v>0</v>
      </c>
      <c r="DE3544">
        <v>0</v>
      </c>
      <c r="DF3544">
        <v>0</v>
      </c>
      <c r="DG3544">
        <v>0</v>
      </c>
      <c r="DH3544">
        <v>0</v>
      </c>
      <c r="DI3544">
        <v>0</v>
      </c>
    </row>
    <row r="3545" spans="1:113" x14ac:dyDescent="0.3">
      <c r="A3545" t="str">
        <f>"02/08/2021 20:33:48.207"</f>
        <v>02/08/2021 20:33:48.207</v>
      </c>
      <c r="C3545" t="str">
        <f t="shared" si="177"/>
        <v>FFDFD7C0</v>
      </c>
      <c r="D3545" t="s">
        <v>124</v>
      </c>
      <c r="E3545">
        <v>11</v>
      </c>
      <c r="F3545">
        <v>1011</v>
      </c>
      <c r="G3545" t="s">
        <v>590</v>
      </c>
      <c r="J3545" t="s">
        <v>125</v>
      </c>
      <c r="K3545">
        <v>0</v>
      </c>
      <c r="L3545">
        <v>3</v>
      </c>
      <c r="M3545">
        <v>0</v>
      </c>
      <c r="N3545">
        <v>2</v>
      </c>
      <c r="O3545">
        <v>1</v>
      </c>
      <c r="P3545">
        <v>0</v>
      </c>
      <c r="Q3545">
        <v>0</v>
      </c>
      <c r="S3545" t="str">
        <f>"20:33:50.539"</f>
        <v>20:33:50.539</v>
      </c>
      <c r="T3545" t="str">
        <f>"20:33:50.039"</f>
        <v>20:33:50.039</v>
      </c>
      <c r="U3545" t="str">
        <f t="shared" si="176"/>
        <v>AB01F4</v>
      </c>
      <c r="V3545">
        <v>0</v>
      </c>
      <c r="W3545">
        <v>0</v>
      </c>
      <c r="X3545">
        <v>2</v>
      </c>
      <c r="Z3545">
        <v>0</v>
      </c>
      <c r="AA3545">
        <v>9</v>
      </c>
      <c r="AB3545">
        <v>3</v>
      </c>
      <c r="AC3545">
        <v>0</v>
      </c>
      <c r="AD3545">
        <v>10</v>
      </c>
      <c r="AE3545">
        <v>0</v>
      </c>
      <c r="AF3545">
        <v>3</v>
      </c>
      <c r="AG3545">
        <v>2</v>
      </c>
      <c r="AH3545">
        <v>0</v>
      </c>
      <c r="AI3545" t="s">
        <v>2021</v>
      </c>
      <c r="AJ3545">
        <v>40.094841000000002</v>
      </c>
      <c r="AK3545" t="s">
        <v>2022</v>
      </c>
      <c r="AL3545">
        <v>-92.988281000000001</v>
      </c>
      <c r="AM3545">
        <v>100</v>
      </c>
      <c r="AN3545">
        <v>1300</v>
      </c>
      <c r="AO3545" t="s">
        <v>118</v>
      </c>
      <c r="AP3545">
        <v>-114</v>
      </c>
      <c r="AQ3545">
        <v>62</v>
      </c>
      <c r="AR3545">
        <v>-128</v>
      </c>
      <c r="AZ3545">
        <v>1200</v>
      </c>
      <c r="BA3545">
        <v>1</v>
      </c>
      <c r="BB3545" t="str">
        <f t="shared" si="174"/>
        <v xml:space="preserve">N8080G  </v>
      </c>
      <c r="BC3545">
        <v>1</v>
      </c>
      <c r="BE3545">
        <v>0</v>
      </c>
      <c r="BF3545">
        <v>0</v>
      </c>
      <c r="BG3545">
        <v>0</v>
      </c>
      <c r="BH3545">
        <v>1350</v>
      </c>
      <c r="BI3545">
        <v>1</v>
      </c>
      <c r="BJ3545">
        <v>1</v>
      </c>
      <c r="BK3545">
        <v>1</v>
      </c>
      <c r="BL3545">
        <v>0</v>
      </c>
      <c r="BO3545">
        <v>0</v>
      </c>
      <c r="BP3545">
        <v>0</v>
      </c>
      <c r="BW3545" t="str">
        <f>"20:33:50.544"</f>
        <v>20:33:50.544</v>
      </c>
      <c r="BZ3545">
        <v>0</v>
      </c>
      <c r="CA3545">
        <v>1600</v>
      </c>
      <c r="CB3545">
        <v>224</v>
      </c>
      <c r="CD3545">
        <v>1</v>
      </c>
      <c r="CE3545">
        <v>0</v>
      </c>
      <c r="CF3545">
        <v>0</v>
      </c>
      <c r="CG3545">
        <v>1</v>
      </c>
      <c r="CH3545">
        <v>0</v>
      </c>
      <c r="CI3545">
        <v>0</v>
      </c>
      <c r="CJ3545">
        <v>0</v>
      </c>
      <c r="CK3545">
        <v>2</v>
      </c>
      <c r="CL3545">
        <v>0</v>
      </c>
      <c r="CM3545">
        <v>2</v>
      </c>
      <c r="CN3545">
        <v>0</v>
      </c>
      <c r="CO3545">
        <v>7</v>
      </c>
      <c r="CP3545" t="s">
        <v>119</v>
      </c>
      <c r="CQ3545">
        <v>180</v>
      </c>
      <c r="CR3545">
        <v>3</v>
      </c>
      <c r="CW3545">
        <v>1187817</v>
      </c>
      <c r="CY3545">
        <v>1</v>
      </c>
      <c r="CZ3545">
        <v>0</v>
      </c>
      <c r="DA3545">
        <v>1</v>
      </c>
      <c r="DB3545">
        <v>0</v>
      </c>
      <c r="DC3545">
        <v>0</v>
      </c>
      <c r="DD3545">
        <v>0</v>
      </c>
      <c r="DE3545">
        <v>0</v>
      </c>
      <c r="DF3545">
        <v>0</v>
      </c>
      <c r="DG3545">
        <v>0</v>
      </c>
      <c r="DH3545">
        <v>0</v>
      </c>
      <c r="DI3545">
        <v>0</v>
      </c>
    </row>
    <row r="3546" spans="1:113" x14ac:dyDescent="0.3">
      <c r="A3546" t="str">
        <f>"02/08/2021 20:33:48.207"</f>
        <v>02/08/2021 20:33:48.207</v>
      </c>
      <c r="C3546" t="str">
        <f t="shared" si="177"/>
        <v>FFDFD7C0</v>
      </c>
      <c r="D3546" t="s">
        <v>124</v>
      </c>
      <c r="E3546">
        <v>13</v>
      </c>
      <c r="F3546">
        <v>1013</v>
      </c>
      <c r="G3546" t="s">
        <v>114</v>
      </c>
      <c r="J3546" t="s">
        <v>125</v>
      </c>
      <c r="K3546">
        <v>0</v>
      </c>
      <c r="L3546">
        <v>3</v>
      </c>
      <c r="M3546">
        <v>0</v>
      </c>
      <c r="N3546">
        <v>2</v>
      </c>
      <c r="O3546">
        <v>1</v>
      </c>
      <c r="P3546">
        <v>0</v>
      </c>
      <c r="Q3546">
        <v>0</v>
      </c>
      <c r="S3546" t="str">
        <f>"20:33:50.539"</f>
        <v>20:33:50.539</v>
      </c>
      <c r="T3546" t="str">
        <f>"20:33:50.039"</f>
        <v>20:33:50.039</v>
      </c>
      <c r="U3546" t="str">
        <f t="shared" si="176"/>
        <v>AB01F4</v>
      </c>
      <c r="V3546">
        <v>0</v>
      </c>
      <c r="W3546">
        <v>0</v>
      </c>
      <c r="X3546">
        <v>2</v>
      </c>
      <c r="Z3546">
        <v>0</v>
      </c>
      <c r="AA3546">
        <v>9</v>
      </c>
      <c r="AB3546">
        <v>3</v>
      </c>
      <c r="AC3546">
        <v>0</v>
      </c>
      <c r="AD3546">
        <v>10</v>
      </c>
      <c r="AE3546">
        <v>0</v>
      </c>
      <c r="AF3546">
        <v>3</v>
      </c>
      <c r="AG3546">
        <v>2</v>
      </c>
      <c r="AH3546">
        <v>0</v>
      </c>
      <c r="AI3546" t="s">
        <v>2021</v>
      </c>
      <c r="AJ3546">
        <v>40.094841000000002</v>
      </c>
      <c r="AK3546" t="s">
        <v>2022</v>
      </c>
      <c r="AL3546">
        <v>-92.988281000000001</v>
      </c>
      <c r="AM3546">
        <v>100</v>
      </c>
      <c r="AN3546">
        <v>1300</v>
      </c>
      <c r="AO3546" t="s">
        <v>118</v>
      </c>
      <c r="AP3546">
        <v>-114</v>
      </c>
      <c r="AQ3546">
        <v>62</v>
      </c>
      <c r="AR3546">
        <v>-128</v>
      </c>
      <c r="AZ3546">
        <v>1200</v>
      </c>
      <c r="BA3546">
        <v>1</v>
      </c>
      <c r="BB3546" t="str">
        <f t="shared" si="174"/>
        <v xml:space="preserve">N8080G  </v>
      </c>
      <c r="BC3546">
        <v>1</v>
      </c>
      <c r="BE3546">
        <v>0</v>
      </c>
      <c r="BF3546">
        <v>0</v>
      </c>
      <c r="BG3546">
        <v>0</v>
      </c>
      <c r="BH3546">
        <v>1350</v>
      </c>
      <c r="BI3546">
        <v>1</v>
      </c>
      <c r="BJ3546">
        <v>1</v>
      </c>
      <c r="BK3546">
        <v>1</v>
      </c>
      <c r="BL3546">
        <v>0</v>
      </c>
      <c r="BO3546">
        <v>0</v>
      </c>
      <c r="BP3546">
        <v>0</v>
      </c>
      <c r="BW3546" t="str">
        <f>"20:33:50.544"</f>
        <v>20:33:50.544</v>
      </c>
      <c r="BZ3546">
        <v>0</v>
      </c>
      <c r="CA3546">
        <v>1600</v>
      </c>
      <c r="CB3546">
        <v>224</v>
      </c>
      <c r="CD3546">
        <v>1</v>
      </c>
      <c r="CE3546">
        <v>0</v>
      </c>
      <c r="CF3546">
        <v>0</v>
      </c>
      <c r="CG3546">
        <v>1</v>
      </c>
      <c r="CH3546">
        <v>0</v>
      </c>
      <c r="CI3546">
        <v>0</v>
      </c>
      <c r="CJ3546">
        <v>0</v>
      </c>
      <c r="CK3546">
        <v>2</v>
      </c>
      <c r="CL3546">
        <v>0</v>
      </c>
      <c r="CM3546">
        <v>2</v>
      </c>
      <c r="CN3546">
        <v>0</v>
      </c>
      <c r="CO3546">
        <v>7</v>
      </c>
      <c r="CP3546" t="s">
        <v>119</v>
      </c>
      <c r="CQ3546">
        <v>180</v>
      </c>
      <c r="CR3546">
        <v>3</v>
      </c>
      <c r="CW3546">
        <v>1187817</v>
      </c>
      <c r="CY3546">
        <v>1</v>
      </c>
      <c r="CZ3546">
        <v>0</v>
      </c>
      <c r="DA3546">
        <v>1</v>
      </c>
      <c r="DB3546">
        <v>0</v>
      </c>
      <c r="DC3546">
        <v>0</v>
      </c>
      <c r="DD3546">
        <v>0</v>
      </c>
      <c r="DE3546">
        <v>0</v>
      </c>
      <c r="DF3546">
        <v>0</v>
      </c>
      <c r="DG3546">
        <v>0</v>
      </c>
      <c r="DH3546">
        <v>0</v>
      </c>
      <c r="DI3546">
        <v>0</v>
      </c>
    </row>
    <row r="3547" spans="1:113" x14ac:dyDescent="0.3">
      <c r="A3547" t="str">
        <f>"02/08/2021 20:33:49.619"</f>
        <v>02/08/2021 20:33:49.619</v>
      </c>
      <c r="C3547" t="str">
        <f t="shared" si="177"/>
        <v>FFDFD7C0</v>
      </c>
      <c r="D3547" t="s">
        <v>124</v>
      </c>
      <c r="E3547">
        <v>12</v>
      </c>
      <c r="F3547">
        <v>1012</v>
      </c>
      <c r="G3547" t="s">
        <v>675</v>
      </c>
      <c r="J3547" t="s">
        <v>125</v>
      </c>
      <c r="K3547">
        <v>0</v>
      </c>
      <c r="L3547">
        <v>3</v>
      </c>
      <c r="M3547">
        <v>0</v>
      </c>
      <c r="N3547">
        <v>2</v>
      </c>
      <c r="O3547">
        <v>1</v>
      </c>
      <c r="P3547">
        <v>0</v>
      </c>
      <c r="Q3547">
        <v>0</v>
      </c>
      <c r="S3547" t="str">
        <f>"20:33:51.906"</f>
        <v>20:33:51.906</v>
      </c>
      <c r="T3547" t="str">
        <f>"20:33:51.406"</f>
        <v>20:33:51.406</v>
      </c>
      <c r="U3547" t="str">
        <f t="shared" si="176"/>
        <v>AB01F4</v>
      </c>
      <c r="V3547">
        <v>0</v>
      </c>
      <c r="W3547">
        <v>0</v>
      </c>
      <c r="X3547">
        <v>2</v>
      </c>
      <c r="Z3547">
        <v>0</v>
      </c>
      <c r="AA3547">
        <v>9</v>
      </c>
      <c r="AB3547">
        <v>3</v>
      </c>
      <c r="AC3547">
        <v>0</v>
      </c>
      <c r="AD3547">
        <v>10</v>
      </c>
      <c r="AE3547">
        <v>0</v>
      </c>
      <c r="AF3547">
        <v>3</v>
      </c>
      <c r="AG3547">
        <v>2</v>
      </c>
      <c r="AH3547">
        <v>0</v>
      </c>
      <c r="AI3547" t="s">
        <v>2023</v>
      </c>
      <c r="AJ3547">
        <v>40.095205</v>
      </c>
      <c r="AK3547" t="s">
        <v>2024</v>
      </c>
      <c r="AL3547">
        <v>-92.989160999999996</v>
      </c>
      <c r="AM3547">
        <v>100</v>
      </c>
      <c r="AN3547">
        <v>1300</v>
      </c>
      <c r="AO3547" t="s">
        <v>118</v>
      </c>
      <c r="AP3547">
        <v>-114</v>
      </c>
      <c r="AQ3547">
        <v>62</v>
      </c>
      <c r="AR3547">
        <v>-64</v>
      </c>
      <c r="AZ3547">
        <v>1200</v>
      </c>
      <c r="BA3547">
        <v>1</v>
      </c>
      <c r="BB3547" t="str">
        <f t="shared" si="174"/>
        <v xml:space="preserve">N8080G  </v>
      </c>
      <c r="BC3547">
        <v>1</v>
      </c>
      <c r="BE3547">
        <v>0</v>
      </c>
      <c r="BF3547">
        <v>0</v>
      </c>
      <c r="BG3547">
        <v>0</v>
      </c>
      <c r="BH3547">
        <v>1350</v>
      </c>
      <c r="BI3547">
        <v>1</v>
      </c>
      <c r="BJ3547">
        <v>1</v>
      </c>
      <c r="BK3547">
        <v>1</v>
      </c>
      <c r="BL3547">
        <v>0</v>
      </c>
      <c r="BO3547">
        <v>0</v>
      </c>
      <c r="BP3547">
        <v>0</v>
      </c>
      <c r="BW3547" t="str">
        <f>"20:33:51.912"</f>
        <v>20:33:51.912</v>
      </c>
      <c r="BZ3547">
        <v>0</v>
      </c>
      <c r="CA3547">
        <v>1600</v>
      </c>
      <c r="CB3547">
        <v>224</v>
      </c>
      <c r="CD3547">
        <v>1</v>
      </c>
      <c r="CE3547">
        <v>0</v>
      </c>
      <c r="CF3547">
        <v>0</v>
      </c>
      <c r="CG3547">
        <v>1</v>
      </c>
      <c r="CH3547">
        <v>0</v>
      </c>
      <c r="CI3547">
        <v>0</v>
      </c>
      <c r="CJ3547">
        <v>0</v>
      </c>
      <c r="CK3547">
        <v>2</v>
      </c>
      <c r="CL3547">
        <v>0</v>
      </c>
      <c r="CM3547">
        <v>2</v>
      </c>
      <c r="CN3547">
        <v>0</v>
      </c>
      <c r="CO3547">
        <v>7</v>
      </c>
      <c r="CP3547" t="s">
        <v>119</v>
      </c>
      <c r="CQ3547">
        <v>180</v>
      </c>
      <c r="CR3547">
        <v>3</v>
      </c>
      <c r="CW3547">
        <v>1188937</v>
      </c>
      <c r="CY3547">
        <v>1</v>
      </c>
      <c r="CZ3547">
        <v>0</v>
      </c>
      <c r="DA3547">
        <v>0</v>
      </c>
      <c r="DB3547">
        <v>0</v>
      </c>
      <c r="DC3547">
        <v>0</v>
      </c>
      <c r="DD3547">
        <v>0</v>
      </c>
      <c r="DE3547">
        <v>0</v>
      </c>
      <c r="DF3547">
        <v>0</v>
      </c>
      <c r="DG3547">
        <v>0</v>
      </c>
      <c r="DH3547">
        <v>0</v>
      </c>
      <c r="DI3547">
        <v>0</v>
      </c>
    </row>
    <row r="3548" spans="1:113" x14ac:dyDescent="0.3">
      <c r="A3548" t="str">
        <f>"02/08/2021 20:33:49.619"</f>
        <v>02/08/2021 20:33:49.619</v>
      </c>
      <c r="C3548" t="str">
        <f t="shared" si="177"/>
        <v>FFDFD7C0</v>
      </c>
      <c r="D3548" t="s">
        <v>113</v>
      </c>
      <c r="E3548">
        <v>6</v>
      </c>
      <c r="H3548">
        <v>165</v>
      </c>
      <c r="I3548" t="s">
        <v>114</v>
      </c>
      <c r="J3548" t="s">
        <v>115</v>
      </c>
      <c r="K3548">
        <v>0</v>
      </c>
      <c r="L3548">
        <v>3</v>
      </c>
      <c r="M3548">
        <v>0</v>
      </c>
      <c r="N3548">
        <v>2</v>
      </c>
      <c r="O3548">
        <v>1</v>
      </c>
      <c r="P3548">
        <v>0</v>
      </c>
      <c r="Q3548">
        <v>0</v>
      </c>
      <c r="S3548" t="str">
        <f>"20:33:51.906"</f>
        <v>20:33:51.906</v>
      </c>
      <c r="T3548" t="str">
        <f>"20:33:51.406"</f>
        <v>20:33:51.406</v>
      </c>
      <c r="U3548" t="str">
        <f t="shared" si="176"/>
        <v>AB01F4</v>
      </c>
      <c r="V3548">
        <v>0</v>
      </c>
      <c r="W3548">
        <v>0</v>
      </c>
      <c r="X3548">
        <v>2</v>
      </c>
      <c r="Z3548">
        <v>0</v>
      </c>
      <c r="AA3548">
        <v>9</v>
      </c>
      <c r="AB3548">
        <v>3</v>
      </c>
      <c r="AC3548">
        <v>0</v>
      </c>
      <c r="AD3548">
        <v>10</v>
      </c>
      <c r="AE3548">
        <v>0</v>
      </c>
      <c r="AF3548">
        <v>3</v>
      </c>
      <c r="AG3548">
        <v>2</v>
      </c>
      <c r="AH3548">
        <v>0</v>
      </c>
      <c r="AI3548" t="s">
        <v>2023</v>
      </c>
      <c r="AJ3548">
        <v>40.095205</v>
      </c>
      <c r="AK3548" t="s">
        <v>2024</v>
      </c>
      <c r="AL3548">
        <v>-92.989160999999996</v>
      </c>
      <c r="AM3548">
        <v>100</v>
      </c>
      <c r="AN3548">
        <v>1300</v>
      </c>
      <c r="AO3548" t="s">
        <v>118</v>
      </c>
      <c r="AP3548">
        <v>-114</v>
      </c>
      <c r="AQ3548">
        <v>62</v>
      </c>
      <c r="AR3548">
        <v>-64</v>
      </c>
      <c r="AZ3548">
        <v>1200</v>
      </c>
      <c r="BA3548">
        <v>1</v>
      </c>
      <c r="BB3548" t="str">
        <f t="shared" si="174"/>
        <v xml:space="preserve">N8080G  </v>
      </c>
      <c r="BC3548">
        <v>1</v>
      </c>
      <c r="BE3548">
        <v>0</v>
      </c>
      <c r="BF3548">
        <v>0</v>
      </c>
      <c r="BG3548">
        <v>0</v>
      </c>
      <c r="BH3548">
        <v>1350</v>
      </c>
      <c r="BI3548">
        <v>1</v>
      </c>
      <c r="BJ3548">
        <v>1</v>
      </c>
      <c r="BK3548">
        <v>1</v>
      </c>
      <c r="BL3548">
        <v>0</v>
      </c>
      <c r="BO3548">
        <v>0</v>
      </c>
      <c r="BP3548">
        <v>0</v>
      </c>
      <c r="BW3548" t="str">
        <f>"20:33:51.912"</f>
        <v>20:33:51.912</v>
      </c>
      <c r="BZ3548">
        <v>0</v>
      </c>
      <c r="CA3548">
        <v>1600</v>
      </c>
      <c r="CB3548">
        <v>224</v>
      </c>
      <c r="CD3548">
        <v>1</v>
      </c>
      <c r="CE3548">
        <v>0</v>
      </c>
      <c r="CF3548">
        <v>0</v>
      </c>
      <c r="CG3548">
        <v>1</v>
      </c>
      <c r="CH3548">
        <v>0</v>
      </c>
      <c r="CI3548">
        <v>0</v>
      </c>
      <c r="CJ3548">
        <v>0</v>
      </c>
      <c r="CK3548">
        <v>2</v>
      </c>
      <c r="CL3548">
        <v>0</v>
      </c>
      <c r="CM3548">
        <v>2</v>
      </c>
      <c r="CN3548">
        <v>0</v>
      </c>
      <c r="CO3548">
        <v>7</v>
      </c>
      <c r="CP3548" t="s">
        <v>119</v>
      </c>
      <c r="CQ3548">
        <v>180</v>
      </c>
      <c r="CR3548">
        <v>3</v>
      </c>
      <c r="CW3548">
        <v>1188937</v>
      </c>
      <c r="CY3548">
        <v>1</v>
      </c>
      <c r="CZ3548">
        <v>0</v>
      </c>
      <c r="DA3548">
        <v>1</v>
      </c>
      <c r="DB3548">
        <v>0</v>
      </c>
      <c r="DC3548">
        <v>0</v>
      </c>
      <c r="DD3548">
        <v>0</v>
      </c>
      <c r="DE3548">
        <v>0</v>
      </c>
      <c r="DF3548">
        <v>0</v>
      </c>
      <c r="DG3548">
        <v>0</v>
      </c>
      <c r="DH3548">
        <v>0</v>
      </c>
      <c r="DI3548">
        <v>0</v>
      </c>
    </row>
    <row r="3549" spans="1:113" x14ac:dyDescent="0.3">
      <c r="A3549" t="str">
        <f>"02/08/2021 20:33:49.619"</f>
        <v>02/08/2021 20:33:49.619</v>
      </c>
      <c r="C3549" t="str">
        <f t="shared" si="177"/>
        <v>FFDFD7C0</v>
      </c>
      <c r="D3549" t="s">
        <v>124</v>
      </c>
      <c r="E3549">
        <v>11</v>
      </c>
      <c r="F3549">
        <v>1011</v>
      </c>
      <c r="G3549" t="s">
        <v>590</v>
      </c>
      <c r="J3549" t="s">
        <v>125</v>
      </c>
      <c r="K3549">
        <v>0</v>
      </c>
      <c r="L3549">
        <v>3</v>
      </c>
      <c r="M3549">
        <v>0</v>
      </c>
      <c r="N3549">
        <v>2</v>
      </c>
      <c r="O3549">
        <v>1</v>
      </c>
      <c r="P3549">
        <v>0</v>
      </c>
      <c r="Q3549">
        <v>0</v>
      </c>
      <c r="S3549" t="str">
        <f>"20:33:51.906"</f>
        <v>20:33:51.906</v>
      </c>
      <c r="T3549" t="str">
        <f>"20:33:51.406"</f>
        <v>20:33:51.406</v>
      </c>
      <c r="U3549" t="str">
        <f t="shared" si="176"/>
        <v>AB01F4</v>
      </c>
      <c r="V3549">
        <v>0</v>
      </c>
      <c r="W3549">
        <v>0</v>
      </c>
      <c r="X3549">
        <v>2</v>
      </c>
      <c r="Z3549">
        <v>0</v>
      </c>
      <c r="AA3549">
        <v>9</v>
      </c>
      <c r="AB3549">
        <v>3</v>
      </c>
      <c r="AC3549">
        <v>0</v>
      </c>
      <c r="AD3549">
        <v>10</v>
      </c>
      <c r="AE3549">
        <v>0</v>
      </c>
      <c r="AF3549">
        <v>3</v>
      </c>
      <c r="AG3549">
        <v>2</v>
      </c>
      <c r="AH3549">
        <v>0</v>
      </c>
      <c r="AI3549" t="s">
        <v>2023</v>
      </c>
      <c r="AJ3549">
        <v>40.095205</v>
      </c>
      <c r="AK3549" t="s">
        <v>2024</v>
      </c>
      <c r="AL3549">
        <v>-92.989160999999996</v>
      </c>
      <c r="AM3549">
        <v>100</v>
      </c>
      <c r="AN3549">
        <v>1300</v>
      </c>
      <c r="AO3549" t="s">
        <v>118</v>
      </c>
      <c r="AP3549">
        <v>-114</v>
      </c>
      <c r="AQ3549">
        <v>62</v>
      </c>
      <c r="AR3549">
        <v>-64</v>
      </c>
      <c r="AZ3549">
        <v>1200</v>
      </c>
      <c r="BA3549">
        <v>1</v>
      </c>
      <c r="BB3549" t="str">
        <f t="shared" si="174"/>
        <v xml:space="preserve">N8080G  </v>
      </c>
      <c r="BC3549">
        <v>1</v>
      </c>
      <c r="BE3549">
        <v>0</v>
      </c>
      <c r="BF3549">
        <v>0</v>
      </c>
      <c r="BG3549">
        <v>0</v>
      </c>
      <c r="BH3549">
        <v>1350</v>
      </c>
      <c r="BI3549">
        <v>1</v>
      </c>
      <c r="BJ3549">
        <v>1</v>
      </c>
      <c r="BK3549">
        <v>1</v>
      </c>
      <c r="BL3549">
        <v>0</v>
      </c>
      <c r="BO3549">
        <v>0</v>
      </c>
      <c r="BP3549">
        <v>0</v>
      </c>
      <c r="BW3549" t="str">
        <f>"20:33:51.912"</f>
        <v>20:33:51.912</v>
      </c>
      <c r="BZ3549">
        <v>0</v>
      </c>
      <c r="CA3549">
        <v>1600</v>
      </c>
      <c r="CB3549">
        <v>224</v>
      </c>
      <c r="CD3549">
        <v>1</v>
      </c>
      <c r="CE3549">
        <v>0</v>
      </c>
      <c r="CF3549">
        <v>0</v>
      </c>
      <c r="CG3549">
        <v>1</v>
      </c>
      <c r="CH3549">
        <v>0</v>
      </c>
      <c r="CI3549">
        <v>0</v>
      </c>
      <c r="CJ3549">
        <v>0</v>
      </c>
      <c r="CK3549">
        <v>2</v>
      </c>
      <c r="CL3549">
        <v>0</v>
      </c>
      <c r="CM3549">
        <v>2</v>
      </c>
      <c r="CN3549">
        <v>0</v>
      </c>
      <c r="CO3549">
        <v>7</v>
      </c>
      <c r="CP3549" t="s">
        <v>119</v>
      </c>
      <c r="CQ3549">
        <v>180</v>
      </c>
      <c r="CR3549">
        <v>3</v>
      </c>
      <c r="CW3549">
        <v>1188937</v>
      </c>
      <c r="CY3549">
        <v>1</v>
      </c>
      <c r="CZ3549">
        <v>0</v>
      </c>
      <c r="DA3549">
        <v>1</v>
      </c>
      <c r="DB3549">
        <v>0</v>
      </c>
      <c r="DC3549">
        <v>0</v>
      </c>
      <c r="DD3549">
        <v>0</v>
      </c>
      <c r="DE3549">
        <v>0</v>
      </c>
      <c r="DF3549">
        <v>0</v>
      </c>
      <c r="DG3549">
        <v>0</v>
      </c>
      <c r="DH3549">
        <v>0</v>
      </c>
      <c r="DI3549">
        <v>0</v>
      </c>
    </row>
    <row r="3550" spans="1:113" x14ac:dyDescent="0.3">
      <c r="A3550" t="str">
        <f>"02/08/2021 20:33:49.619"</f>
        <v>02/08/2021 20:33:49.619</v>
      </c>
      <c r="C3550" t="str">
        <f t="shared" si="177"/>
        <v>FFDFD7C0</v>
      </c>
      <c r="D3550" t="s">
        <v>124</v>
      </c>
      <c r="E3550">
        <v>13</v>
      </c>
      <c r="F3550">
        <v>1013</v>
      </c>
      <c r="G3550" t="s">
        <v>114</v>
      </c>
      <c r="J3550" t="s">
        <v>125</v>
      </c>
      <c r="K3550">
        <v>0</v>
      </c>
      <c r="L3550">
        <v>3</v>
      </c>
      <c r="M3550">
        <v>0</v>
      </c>
      <c r="N3550">
        <v>2</v>
      </c>
      <c r="O3550">
        <v>1</v>
      </c>
      <c r="P3550">
        <v>0</v>
      </c>
      <c r="Q3550">
        <v>0</v>
      </c>
      <c r="S3550" t="str">
        <f>"20:33:51.906"</f>
        <v>20:33:51.906</v>
      </c>
      <c r="T3550" t="str">
        <f>"20:33:51.406"</f>
        <v>20:33:51.406</v>
      </c>
      <c r="U3550" t="str">
        <f t="shared" si="176"/>
        <v>AB01F4</v>
      </c>
      <c r="V3550">
        <v>0</v>
      </c>
      <c r="W3550">
        <v>0</v>
      </c>
      <c r="X3550">
        <v>2</v>
      </c>
      <c r="Z3550">
        <v>0</v>
      </c>
      <c r="AA3550">
        <v>9</v>
      </c>
      <c r="AB3550">
        <v>3</v>
      </c>
      <c r="AC3550">
        <v>0</v>
      </c>
      <c r="AD3550">
        <v>10</v>
      </c>
      <c r="AE3550">
        <v>0</v>
      </c>
      <c r="AF3550">
        <v>3</v>
      </c>
      <c r="AG3550">
        <v>2</v>
      </c>
      <c r="AH3550">
        <v>0</v>
      </c>
      <c r="AI3550" t="s">
        <v>2023</v>
      </c>
      <c r="AJ3550">
        <v>40.095205</v>
      </c>
      <c r="AK3550" t="s">
        <v>2024</v>
      </c>
      <c r="AL3550">
        <v>-92.989160999999996</v>
      </c>
      <c r="AM3550">
        <v>100</v>
      </c>
      <c r="AN3550">
        <v>1300</v>
      </c>
      <c r="AO3550" t="s">
        <v>118</v>
      </c>
      <c r="AP3550">
        <v>-114</v>
      </c>
      <c r="AQ3550">
        <v>62</v>
      </c>
      <c r="AR3550">
        <v>-64</v>
      </c>
      <c r="AZ3550">
        <v>1200</v>
      </c>
      <c r="BA3550">
        <v>1</v>
      </c>
      <c r="BB3550" t="str">
        <f t="shared" si="174"/>
        <v xml:space="preserve">N8080G  </v>
      </c>
      <c r="BC3550">
        <v>1</v>
      </c>
      <c r="BE3550">
        <v>0</v>
      </c>
      <c r="BF3550">
        <v>0</v>
      </c>
      <c r="BG3550">
        <v>0</v>
      </c>
      <c r="BH3550">
        <v>1350</v>
      </c>
      <c r="BI3550">
        <v>1</v>
      </c>
      <c r="BJ3550">
        <v>1</v>
      </c>
      <c r="BK3550">
        <v>1</v>
      </c>
      <c r="BL3550">
        <v>0</v>
      </c>
      <c r="BO3550">
        <v>0</v>
      </c>
      <c r="BP3550">
        <v>0</v>
      </c>
      <c r="BW3550" t="str">
        <f>"20:33:51.912"</f>
        <v>20:33:51.912</v>
      </c>
      <c r="BZ3550">
        <v>0</v>
      </c>
      <c r="CA3550">
        <v>1600</v>
      </c>
      <c r="CB3550">
        <v>224</v>
      </c>
      <c r="CD3550">
        <v>1</v>
      </c>
      <c r="CE3550">
        <v>0</v>
      </c>
      <c r="CF3550">
        <v>0</v>
      </c>
      <c r="CG3550">
        <v>1</v>
      </c>
      <c r="CH3550">
        <v>0</v>
      </c>
      <c r="CI3550">
        <v>0</v>
      </c>
      <c r="CJ3550">
        <v>0</v>
      </c>
      <c r="CK3550">
        <v>2</v>
      </c>
      <c r="CL3550">
        <v>0</v>
      </c>
      <c r="CM3550">
        <v>2</v>
      </c>
      <c r="CN3550">
        <v>0</v>
      </c>
      <c r="CO3550">
        <v>7</v>
      </c>
      <c r="CP3550" t="s">
        <v>119</v>
      </c>
      <c r="CQ3550">
        <v>180</v>
      </c>
      <c r="CR3550">
        <v>3</v>
      </c>
      <c r="CW3550">
        <v>1188937</v>
      </c>
      <c r="CY3550">
        <v>1</v>
      </c>
      <c r="CZ3550">
        <v>0</v>
      </c>
      <c r="DA3550">
        <v>1</v>
      </c>
      <c r="DB3550">
        <v>0</v>
      </c>
      <c r="DC3550">
        <v>0</v>
      </c>
      <c r="DD3550">
        <v>0</v>
      </c>
      <c r="DE3550">
        <v>0</v>
      </c>
      <c r="DF3550">
        <v>0</v>
      </c>
      <c r="DG3550">
        <v>0</v>
      </c>
      <c r="DH3550">
        <v>0</v>
      </c>
      <c r="DI3550">
        <v>0</v>
      </c>
    </row>
    <row r="3551" spans="1:113" x14ac:dyDescent="0.3">
      <c r="A3551" t="str">
        <f>"02/08/2021 20:33:51.800"</f>
        <v>02/08/2021 20:33:51.800</v>
      </c>
      <c r="C3551" t="str">
        <f t="shared" si="177"/>
        <v>FFDFD7C0</v>
      </c>
      <c r="D3551" t="s">
        <v>113</v>
      </c>
      <c r="E3551">
        <v>6</v>
      </c>
      <c r="H3551">
        <v>165</v>
      </c>
      <c r="I3551" t="s">
        <v>114</v>
      </c>
      <c r="J3551" t="s">
        <v>115</v>
      </c>
      <c r="K3551">
        <v>0</v>
      </c>
      <c r="L3551">
        <v>3</v>
      </c>
      <c r="M3551">
        <v>0</v>
      </c>
      <c r="N3551">
        <v>2</v>
      </c>
      <c r="O3551">
        <v>1</v>
      </c>
      <c r="P3551">
        <v>0</v>
      </c>
      <c r="Q3551">
        <v>0</v>
      </c>
      <c r="S3551" t="str">
        <f>"20:33:54.117"</f>
        <v>20:33:54.117</v>
      </c>
      <c r="T3551" t="str">
        <f>"20:33:53.617"</f>
        <v>20:33:53.617</v>
      </c>
      <c r="U3551" t="str">
        <f t="shared" si="176"/>
        <v>AB01F4</v>
      </c>
      <c r="V3551">
        <v>0</v>
      </c>
      <c r="W3551">
        <v>0</v>
      </c>
      <c r="X3551">
        <v>2</v>
      </c>
      <c r="Z3551">
        <v>0</v>
      </c>
      <c r="AA3551">
        <v>9</v>
      </c>
      <c r="AB3551">
        <v>3</v>
      </c>
      <c r="AC3551">
        <v>0</v>
      </c>
      <c r="AD3551">
        <v>10</v>
      </c>
      <c r="AE3551">
        <v>0</v>
      </c>
      <c r="AF3551">
        <v>3</v>
      </c>
      <c r="AG3551">
        <v>2</v>
      </c>
      <c r="AH3551">
        <v>0</v>
      </c>
      <c r="AI3551" t="s">
        <v>2025</v>
      </c>
      <c r="AJ3551">
        <v>40.095806000000003</v>
      </c>
      <c r="AK3551" t="s">
        <v>2026</v>
      </c>
      <c r="AL3551">
        <v>-92.990662999999998</v>
      </c>
      <c r="AM3551">
        <v>100</v>
      </c>
      <c r="AN3551">
        <v>1300</v>
      </c>
      <c r="AO3551" t="s">
        <v>118</v>
      </c>
      <c r="AP3551">
        <v>-114</v>
      </c>
      <c r="AQ3551">
        <v>62</v>
      </c>
      <c r="AR3551">
        <v>-64</v>
      </c>
      <c r="AZ3551">
        <v>1200</v>
      </c>
      <c r="BA3551">
        <v>1</v>
      </c>
      <c r="BB3551" t="str">
        <f t="shared" si="174"/>
        <v xml:space="preserve">N8080G  </v>
      </c>
      <c r="BC3551">
        <v>1</v>
      </c>
      <c r="BE3551">
        <v>0</v>
      </c>
      <c r="BF3551">
        <v>0</v>
      </c>
      <c r="BG3551">
        <v>0</v>
      </c>
      <c r="BH3551">
        <v>1350</v>
      </c>
      <c r="BI3551">
        <v>1</v>
      </c>
      <c r="BJ3551">
        <v>1</v>
      </c>
      <c r="BK3551">
        <v>1</v>
      </c>
      <c r="BL3551">
        <v>0</v>
      </c>
      <c r="BO3551">
        <v>0</v>
      </c>
      <c r="BP3551">
        <v>0</v>
      </c>
      <c r="BW3551" t="str">
        <f>"20:33:54.119"</f>
        <v>20:33:54.119</v>
      </c>
      <c r="BZ3551">
        <v>0</v>
      </c>
      <c r="CA3551">
        <v>1600</v>
      </c>
      <c r="CB3551">
        <v>224</v>
      </c>
      <c r="CD3551">
        <v>1</v>
      </c>
      <c r="CE3551">
        <v>0</v>
      </c>
      <c r="CF3551">
        <v>0</v>
      </c>
      <c r="CG3551">
        <v>1</v>
      </c>
      <c r="CH3551">
        <v>0</v>
      </c>
      <c r="CI3551">
        <v>0</v>
      </c>
      <c r="CJ3551">
        <v>0</v>
      </c>
      <c r="CK3551">
        <v>2</v>
      </c>
      <c r="CL3551">
        <v>0</v>
      </c>
      <c r="CM3551">
        <v>2</v>
      </c>
      <c r="CN3551">
        <v>0</v>
      </c>
      <c r="CO3551">
        <v>7</v>
      </c>
      <c r="CP3551" t="s">
        <v>119</v>
      </c>
      <c r="CQ3551">
        <v>180</v>
      </c>
      <c r="CR3551">
        <v>3</v>
      </c>
      <c r="CW3551">
        <v>1190571</v>
      </c>
      <c r="CY3551">
        <v>1</v>
      </c>
      <c r="CZ3551">
        <v>0</v>
      </c>
      <c r="DA3551">
        <v>0</v>
      </c>
      <c r="DB3551">
        <v>0</v>
      </c>
      <c r="DC3551">
        <v>0</v>
      </c>
      <c r="DD3551">
        <v>0</v>
      </c>
      <c r="DE3551">
        <v>0</v>
      </c>
      <c r="DF3551">
        <v>0</v>
      </c>
      <c r="DG3551">
        <v>0</v>
      </c>
      <c r="DH3551">
        <v>0</v>
      </c>
      <c r="DI3551">
        <v>0</v>
      </c>
    </row>
    <row r="3552" spans="1:113" x14ac:dyDescent="0.3">
      <c r="A3552" t="str">
        <f>"02/08/2021 20:33:51.800"</f>
        <v>02/08/2021 20:33:51.800</v>
      </c>
      <c r="C3552" t="str">
        <f t="shared" si="177"/>
        <v>FFDFD7C0</v>
      </c>
      <c r="D3552" t="s">
        <v>124</v>
      </c>
      <c r="E3552">
        <v>13</v>
      </c>
      <c r="F3552">
        <v>1013</v>
      </c>
      <c r="G3552" t="s">
        <v>114</v>
      </c>
      <c r="J3552" t="s">
        <v>125</v>
      </c>
      <c r="K3552">
        <v>0</v>
      </c>
      <c r="L3552">
        <v>3</v>
      </c>
      <c r="M3552">
        <v>0</v>
      </c>
      <c r="N3552">
        <v>2</v>
      </c>
      <c r="O3552">
        <v>1</v>
      </c>
      <c r="P3552">
        <v>0</v>
      </c>
      <c r="Q3552">
        <v>0</v>
      </c>
      <c r="S3552" t="str">
        <f>"20:33:54.117"</f>
        <v>20:33:54.117</v>
      </c>
      <c r="T3552" t="str">
        <f>"20:33:53.617"</f>
        <v>20:33:53.617</v>
      </c>
      <c r="U3552" t="str">
        <f t="shared" si="176"/>
        <v>AB01F4</v>
      </c>
      <c r="V3552">
        <v>0</v>
      </c>
      <c r="W3552">
        <v>0</v>
      </c>
      <c r="X3552">
        <v>2</v>
      </c>
      <c r="Z3552">
        <v>0</v>
      </c>
      <c r="AA3552">
        <v>9</v>
      </c>
      <c r="AB3552">
        <v>3</v>
      </c>
      <c r="AC3552">
        <v>0</v>
      </c>
      <c r="AD3552">
        <v>10</v>
      </c>
      <c r="AE3552">
        <v>0</v>
      </c>
      <c r="AF3552">
        <v>3</v>
      </c>
      <c r="AG3552">
        <v>2</v>
      </c>
      <c r="AH3552">
        <v>0</v>
      </c>
      <c r="AI3552" t="s">
        <v>2025</v>
      </c>
      <c r="AJ3552">
        <v>40.095806000000003</v>
      </c>
      <c r="AK3552" t="s">
        <v>2026</v>
      </c>
      <c r="AL3552">
        <v>-92.990662999999998</v>
      </c>
      <c r="AM3552">
        <v>100</v>
      </c>
      <c r="AN3552">
        <v>1300</v>
      </c>
      <c r="AO3552" t="s">
        <v>118</v>
      </c>
      <c r="AP3552">
        <v>-114</v>
      </c>
      <c r="AQ3552">
        <v>62</v>
      </c>
      <c r="AR3552">
        <v>-64</v>
      </c>
      <c r="AZ3552">
        <v>1200</v>
      </c>
      <c r="BA3552">
        <v>1</v>
      </c>
      <c r="BB3552" t="str">
        <f t="shared" si="174"/>
        <v xml:space="preserve">N8080G  </v>
      </c>
      <c r="BC3552">
        <v>1</v>
      </c>
      <c r="BE3552">
        <v>0</v>
      </c>
      <c r="BF3552">
        <v>0</v>
      </c>
      <c r="BG3552">
        <v>0</v>
      </c>
      <c r="BH3552">
        <v>1350</v>
      </c>
      <c r="BI3552">
        <v>1</v>
      </c>
      <c r="BJ3552">
        <v>1</v>
      </c>
      <c r="BK3552">
        <v>1</v>
      </c>
      <c r="BL3552">
        <v>0</v>
      </c>
      <c r="BO3552">
        <v>0</v>
      </c>
      <c r="BP3552">
        <v>0</v>
      </c>
      <c r="BW3552" t="str">
        <f>"20:33:54.119"</f>
        <v>20:33:54.119</v>
      </c>
      <c r="BZ3552">
        <v>0</v>
      </c>
      <c r="CA3552">
        <v>1600</v>
      </c>
      <c r="CB3552">
        <v>224</v>
      </c>
      <c r="CD3552">
        <v>1</v>
      </c>
      <c r="CE3552">
        <v>0</v>
      </c>
      <c r="CF3552">
        <v>0</v>
      </c>
      <c r="CG3552">
        <v>1</v>
      </c>
      <c r="CH3552">
        <v>0</v>
      </c>
      <c r="CI3552">
        <v>0</v>
      </c>
      <c r="CJ3552">
        <v>0</v>
      </c>
      <c r="CK3552">
        <v>2</v>
      </c>
      <c r="CL3552">
        <v>0</v>
      </c>
      <c r="CM3552">
        <v>2</v>
      </c>
      <c r="CN3552">
        <v>0</v>
      </c>
      <c r="CO3552">
        <v>7</v>
      </c>
      <c r="CP3552" t="s">
        <v>119</v>
      </c>
      <c r="CQ3552">
        <v>180</v>
      </c>
      <c r="CR3552">
        <v>3</v>
      </c>
      <c r="CW3552">
        <v>1190571</v>
      </c>
      <c r="CY3552">
        <v>1</v>
      </c>
      <c r="CZ3552">
        <v>0</v>
      </c>
      <c r="DA3552">
        <v>1</v>
      </c>
      <c r="DB3552">
        <v>0</v>
      </c>
      <c r="DC3552">
        <v>0</v>
      </c>
      <c r="DD3552">
        <v>0</v>
      </c>
      <c r="DE3552">
        <v>0</v>
      </c>
      <c r="DF3552">
        <v>0</v>
      </c>
      <c r="DG3552">
        <v>0</v>
      </c>
      <c r="DH3552">
        <v>0</v>
      </c>
      <c r="DI3552">
        <v>0</v>
      </c>
    </row>
    <row r="3553" spans="1:113" x14ac:dyDescent="0.3">
      <c r="A3553" t="str">
        <f>"02/08/2021 20:33:51.800"</f>
        <v>02/08/2021 20:33:51.800</v>
      </c>
      <c r="C3553" t="str">
        <f t="shared" si="177"/>
        <v>FFDFD7C0</v>
      </c>
      <c r="D3553" t="s">
        <v>124</v>
      </c>
      <c r="E3553">
        <v>12</v>
      </c>
      <c r="F3553">
        <v>1012</v>
      </c>
      <c r="G3553" t="s">
        <v>675</v>
      </c>
      <c r="J3553" t="s">
        <v>125</v>
      </c>
      <c r="K3553">
        <v>0</v>
      </c>
      <c r="L3553">
        <v>3</v>
      </c>
      <c r="M3553">
        <v>0</v>
      </c>
      <c r="N3553">
        <v>2</v>
      </c>
      <c r="O3553">
        <v>1</v>
      </c>
      <c r="P3553">
        <v>0</v>
      </c>
      <c r="Q3553">
        <v>0</v>
      </c>
      <c r="S3553" t="str">
        <f>"20:33:54.117"</f>
        <v>20:33:54.117</v>
      </c>
      <c r="T3553" t="str">
        <f>"20:33:53.617"</f>
        <v>20:33:53.617</v>
      </c>
      <c r="U3553" t="str">
        <f t="shared" si="176"/>
        <v>AB01F4</v>
      </c>
      <c r="V3553">
        <v>0</v>
      </c>
      <c r="W3553">
        <v>0</v>
      </c>
      <c r="X3553">
        <v>2</v>
      </c>
      <c r="Z3553">
        <v>0</v>
      </c>
      <c r="AA3553">
        <v>9</v>
      </c>
      <c r="AB3553">
        <v>3</v>
      </c>
      <c r="AC3553">
        <v>0</v>
      </c>
      <c r="AD3553">
        <v>10</v>
      </c>
      <c r="AE3553">
        <v>0</v>
      </c>
      <c r="AF3553">
        <v>3</v>
      </c>
      <c r="AG3553">
        <v>2</v>
      </c>
      <c r="AH3553">
        <v>0</v>
      </c>
      <c r="AI3553" t="s">
        <v>2025</v>
      </c>
      <c r="AJ3553">
        <v>40.095806000000003</v>
      </c>
      <c r="AK3553" t="s">
        <v>2026</v>
      </c>
      <c r="AL3553">
        <v>-92.990662999999998</v>
      </c>
      <c r="AM3553">
        <v>100</v>
      </c>
      <c r="AN3553">
        <v>1300</v>
      </c>
      <c r="AO3553" t="s">
        <v>118</v>
      </c>
      <c r="AP3553">
        <v>-114</v>
      </c>
      <c r="AQ3553">
        <v>62</v>
      </c>
      <c r="AR3553">
        <v>-64</v>
      </c>
      <c r="AZ3553">
        <v>1200</v>
      </c>
      <c r="BA3553">
        <v>1</v>
      </c>
      <c r="BB3553" t="str">
        <f t="shared" si="174"/>
        <v xml:space="preserve">N8080G  </v>
      </c>
      <c r="BC3553">
        <v>1</v>
      </c>
      <c r="BE3553">
        <v>0</v>
      </c>
      <c r="BF3553">
        <v>0</v>
      </c>
      <c r="BG3553">
        <v>0</v>
      </c>
      <c r="BH3553">
        <v>1350</v>
      </c>
      <c r="BI3553">
        <v>1</v>
      </c>
      <c r="BJ3553">
        <v>1</v>
      </c>
      <c r="BK3553">
        <v>1</v>
      </c>
      <c r="BL3553">
        <v>0</v>
      </c>
      <c r="BO3553">
        <v>0</v>
      </c>
      <c r="BP3553">
        <v>0</v>
      </c>
      <c r="BW3553" t="str">
        <f>"20:33:54.119"</f>
        <v>20:33:54.119</v>
      </c>
      <c r="BZ3553">
        <v>0</v>
      </c>
      <c r="CA3553">
        <v>1600</v>
      </c>
      <c r="CB3553">
        <v>224</v>
      </c>
      <c r="CD3553">
        <v>1</v>
      </c>
      <c r="CE3553">
        <v>0</v>
      </c>
      <c r="CF3553">
        <v>0</v>
      </c>
      <c r="CG3553">
        <v>1</v>
      </c>
      <c r="CH3553">
        <v>0</v>
      </c>
      <c r="CI3553">
        <v>0</v>
      </c>
      <c r="CJ3553">
        <v>0</v>
      </c>
      <c r="CK3553">
        <v>2</v>
      </c>
      <c r="CL3553">
        <v>0</v>
      </c>
      <c r="CM3553">
        <v>2</v>
      </c>
      <c r="CN3553">
        <v>0</v>
      </c>
      <c r="CO3553">
        <v>7</v>
      </c>
      <c r="CP3553" t="s">
        <v>119</v>
      </c>
      <c r="CQ3553">
        <v>180</v>
      </c>
      <c r="CR3553">
        <v>3</v>
      </c>
      <c r="CW3553">
        <v>1190571</v>
      </c>
      <c r="CY3553">
        <v>1</v>
      </c>
      <c r="CZ3553">
        <v>0</v>
      </c>
      <c r="DA3553">
        <v>1</v>
      </c>
      <c r="DB3553">
        <v>0</v>
      </c>
      <c r="DC3553">
        <v>0</v>
      </c>
      <c r="DD3553">
        <v>0</v>
      </c>
      <c r="DE3553">
        <v>0</v>
      </c>
      <c r="DF3553">
        <v>0</v>
      </c>
      <c r="DG3553">
        <v>0</v>
      </c>
      <c r="DH3553">
        <v>0</v>
      </c>
      <c r="DI3553">
        <v>0</v>
      </c>
    </row>
    <row r="3554" spans="1:113" x14ac:dyDescent="0.3">
      <c r="A3554" t="str">
        <f>"02/08/2021 20:33:51.800"</f>
        <v>02/08/2021 20:33:51.800</v>
      </c>
      <c r="C3554" t="str">
        <f t="shared" si="177"/>
        <v>FFDFD7C0</v>
      </c>
      <c r="D3554" t="s">
        <v>124</v>
      </c>
      <c r="E3554">
        <v>11</v>
      </c>
      <c r="F3554">
        <v>1011</v>
      </c>
      <c r="G3554" t="s">
        <v>590</v>
      </c>
      <c r="J3554" t="s">
        <v>125</v>
      </c>
      <c r="K3554">
        <v>0</v>
      </c>
      <c r="L3554">
        <v>3</v>
      </c>
      <c r="M3554">
        <v>0</v>
      </c>
      <c r="N3554">
        <v>2</v>
      </c>
      <c r="O3554">
        <v>1</v>
      </c>
      <c r="P3554">
        <v>0</v>
      </c>
      <c r="Q3554">
        <v>0</v>
      </c>
      <c r="S3554" t="str">
        <f>"20:33:54.117"</f>
        <v>20:33:54.117</v>
      </c>
      <c r="T3554" t="str">
        <f>"20:33:53.617"</f>
        <v>20:33:53.617</v>
      </c>
      <c r="U3554" t="str">
        <f t="shared" si="176"/>
        <v>AB01F4</v>
      </c>
      <c r="V3554">
        <v>0</v>
      </c>
      <c r="W3554">
        <v>0</v>
      </c>
      <c r="X3554">
        <v>2</v>
      </c>
      <c r="Z3554">
        <v>0</v>
      </c>
      <c r="AA3554">
        <v>9</v>
      </c>
      <c r="AB3554">
        <v>3</v>
      </c>
      <c r="AC3554">
        <v>0</v>
      </c>
      <c r="AD3554">
        <v>10</v>
      </c>
      <c r="AE3554">
        <v>0</v>
      </c>
      <c r="AF3554">
        <v>3</v>
      </c>
      <c r="AG3554">
        <v>2</v>
      </c>
      <c r="AH3554">
        <v>0</v>
      </c>
      <c r="AI3554" t="s">
        <v>2025</v>
      </c>
      <c r="AJ3554">
        <v>40.095806000000003</v>
      </c>
      <c r="AK3554" t="s">
        <v>2026</v>
      </c>
      <c r="AL3554">
        <v>-92.990662999999998</v>
      </c>
      <c r="AM3554">
        <v>100</v>
      </c>
      <c r="AN3554">
        <v>1300</v>
      </c>
      <c r="AO3554" t="s">
        <v>118</v>
      </c>
      <c r="AP3554">
        <v>-114</v>
      </c>
      <c r="AQ3554">
        <v>62</v>
      </c>
      <c r="AR3554">
        <v>-64</v>
      </c>
      <c r="AZ3554">
        <v>1200</v>
      </c>
      <c r="BA3554">
        <v>1</v>
      </c>
      <c r="BB3554" t="str">
        <f t="shared" si="174"/>
        <v xml:space="preserve">N8080G  </v>
      </c>
      <c r="BC3554">
        <v>1</v>
      </c>
      <c r="BE3554">
        <v>0</v>
      </c>
      <c r="BF3554">
        <v>0</v>
      </c>
      <c r="BG3554">
        <v>0</v>
      </c>
      <c r="BH3554">
        <v>1350</v>
      </c>
      <c r="BI3554">
        <v>1</v>
      </c>
      <c r="BJ3554">
        <v>1</v>
      </c>
      <c r="BK3554">
        <v>1</v>
      </c>
      <c r="BL3554">
        <v>0</v>
      </c>
      <c r="BO3554">
        <v>0</v>
      </c>
      <c r="BP3554">
        <v>0</v>
      </c>
      <c r="BW3554" t="str">
        <f>"20:33:54.119"</f>
        <v>20:33:54.119</v>
      </c>
      <c r="BZ3554">
        <v>0</v>
      </c>
      <c r="CA3554">
        <v>1600</v>
      </c>
      <c r="CB3554">
        <v>224</v>
      </c>
      <c r="CD3554">
        <v>1</v>
      </c>
      <c r="CE3554">
        <v>0</v>
      </c>
      <c r="CF3554">
        <v>0</v>
      </c>
      <c r="CG3554">
        <v>1</v>
      </c>
      <c r="CH3554">
        <v>0</v>
      </c>
      <c r="CI3554">
        <v>0</v>
      </c>
      <c r="CJ3554">
        <v>0</v>
      </c>
      <c r="CK3554">
        <v>2</v>
      </c>
      <c r="CL3554">
        <v>0</v>
      </c>
      <c r="CM3554">
        <v>2</v>
      </c>
      <c r="CN3554">
        <v>0</v>
      </c>
      <c r="CO3554">
        <v>7</v>
      </c>
      <c r="CP3554" t="s">
        <v>119</v>
      </c>
      <c r="CQ3554">
        <v>180</v>
      </c>
      <c r="CR3554">
        <v>3</v>
      </c>
      <c r="CW3554">
        <v>1190571</v>
      </c>
      <c r="CY3554">
        <v>1</v>
      </c>
      <c r="CZ3554">
        <v>0</v>
      </c>
      <c r="DA3554">
        <v>1</v>
      </c>
      <c r="DB3554">
        <v>0</v>
      </c>
      <c r="DC3554">
        <v>0</v>
      </c>
      <c r="DD3554">
        <v>0</v>
      </c>
      <c r="DE3554">
        <v>0</v>
      </c>
      <c r="DF3554">
        <v>0</v>
      </c>
      <c r="DG3554">
        <v>0</v>
      </c>
      <c r="DH3554">
        <v>0</v>
      </c>
      <c r="DI3554">
        <v>0</v>
      </c>
    </row>
    <row r="3555" spans="1:113" x14ac:dyDescent="0.3">
      <c r="A3555" t="str">
        <f>"02/08/2021 20:33:53.359"</f>
        <v>02/08/2021 20:33:53.359</v>
      </c>
      <c r="C3555" t="str">
        <f t="shared" si="177"/>
        <v>FFDFD7C0</v>
      </c>
      <c r="D3555" t="s">
        <v>124</v>
      </c>
      <c r="E3555">
        <v>13</v>
      </c>
      <c r="F3555">
        <v>1013</v>
      </c>
      <c r="G3555" t="s">
        <v>114</v>
      </c>
      <c r="J3555" t="s">
        <v>125</v>
      </c>
      <c r="K3555">
        <v>0</v>
      </c>
      <c r="L3555">
        <v>3</v>
      </c>
      <c r="M3555">
        <v>0</v>
      </c>
      <c r="N3555">
        <v>2</v>
      </c>
      <c r="O3555">
        <v>1</v>
      </c>
      <c r="P3555">
        <v>0</v>
      </c>
      <c r="Q3555">
        <v>0</v>
      </c>
      <c r="S3555" t="str">
        <f>"20:33:55.695"</f>
        <v>20:33:55.695</v>
      </c>
      <c r="T3555" t="str">
        <f>"20:33:55.195"</f>
        <v>20:33:55.195</v>
      </c>
      <c r="U3555" t="str">
        <f t="shared" si="176"/>
        <v>AB01F4</v>
      </c>
      <c r="V3555">
        <v>0</v>
      </c>
      <c r="W3555">
        <v>0</v>
      </c>
      <c r="X3555">
        <v>2</v>
      </c>
      <c r="Z3555">
        <v>0</v>
      </c>
      <c r="AA3555">
        <v>9</v>
      </c>
      <c r="AB3555">
        <v>3</v>
      </c>
      <c r="AC3555">
        <v>0</v>
      </c>
      <c r="AD3555">
        <v>10</v>
      </c>
      <c r="AE3555">
        <v>0</v>
      </c>
      <c r="AF3555">
        <v>3</v>
      </c>
      <c r="AG3555">
        <v>2</v>
      </c>
      <c r="AH3555">
        <v>0</v>
      </c>
      <c r="AI3555" t="s">
        <v>2027</v>
      </c>
      <c r="AJ3555">
        <v>40.096277999999998</v>
      </c>
      <c r="AK3555" t="s">
        <v>2028</v>
      </c>
      <c r="AL3555">
        <v>-92.991778999999994</v>
      </c>
      <c r="AM3555">
        <v>100</v>
      </c>
      <c r="AN3555">
        <v>1300</v>
      </c>
      <c r="AO3555" t="s">
        <v>118</v>
      </c>
      <c r="AP3555">
        <v>-114</v>
      </c>
      <c r="AQ3555">
        <v>62</v>
      </c>
      <c r="AR3555">
        <v>0</v>
      </c>
      <c r="AZ3555">
        <v>1200</v>
      </c>
      <c r="BA3555">
        <v>1</v>
      </c>
      <c r="BB3555" t="str">
        <f t="shared" si="174"/>
        <v xml:space="preserve">N8080G  </v>
      </c>
      <c r="BC3555">
        <v>1</v>
      </c>
      <c r="BE3555">
        <v>0</v>
      </c>
      <c r="BF3555">
        <v>0</v>
      </c>
      <c r="BG3555">
        <v>0</v>
      </c>
      <c r="BH3555">
        <v>1350</v>
      </c>
      <c r="BI3555">
        <v>1</v>
      </c>
      <c r="BJ3555">
        <v>1</v>
      </c>
      <c r="BK3555">
        <v>1</v>
      </c>
      <c r="BL3555">
        <v>0</v>
      </c>
      <c r="BO3555">
        <v>0</v>
      </c>
      <c r="BP3555">
        <v>0</v>
      </c>
      <c r="BW3555" t="str">
        <f>"20:33:55.698"</f>
        <v>20:33:55.698</v>
      </c>
      <c r="BZ3555">
        <v>0</v>
      </c>
      <c r="CA3555">
        <v>1600</v>
      </c>
      <c r="CB3555">
        <v>224</v>
      </c>
      <c r="CD3555">
        <v>1</v>
      </c>
      <c r="CE3555">
        <v>0</v>
      </c>
      <c r="CF3555">
        <v>0</v>
      </c>
      <c r="CG3555">
        <v>1</v>
      </c>
      <c r="CH3555">
        <v>0</v>
      </c>
      <c r="CI3555">
        <v>0</v>
      </c>
      <c r="CJ3555">
        <v>0</v>
      </c>
      <c r="CK3555">
        <v>2</v>
      </c>
      <c r="CL3555">
        <v>0</v>
      </c>
      <c r="CM3555">
        <v>2</v>
      </c>
      <c r="CN3555">
        <v>0</v>
      </c>
      <c r="CO3555">
        <v>7</v>
      </c>
      <c r="CP3555" t="s">
        <v>119</v>
      </c>
      <c r="CQ3555">
        <v>180</v>
      </c>
      <c r="CR3555">
        <v>3</v>
      </c>
      <c r="CW3555">
        <v>1191841</v>
      </c>
      <c r="CY3555">
        <v>1</v>
      </c>
      <c r="CZ3555">
        <v>0</v>
      </c>
      <c r="DA3555">
        <v>0</v>
      </c>
      <c r="DB3555">
        <v>0</v>
      </c>
      <c r="DC3555">
        <v>0</v>
      </c>
      <c r="DD3555">
        <v>0</v>
      </c>
      <c r="DE3555">
        <v>0</v>
      </c>
      <c r="DF3555">
        <v>0</v>
      </c>
      <c r="DG3555">
        <v>0</v>
      </c>
      <c r="DH3555">
        <v>0</v>
      </c>
      <c r="DI3555">
        <v>0</v>
      </c>
    </row>
    <row r="3556" spans="1:113" x14ac:dyDescent="0.3">
      <c r="A3556" t="str">
        <f>"02/08/2021 20:33:53.359"</f>
        <v>02/08/2021 20:33:53.359</v>
      </c>
      <c r="C3556" t="str">
        <f t="shared" si="177"/>
        <v>FFDFD7C0</v>
      </c>
      <c r="D3556" t="s">
        <v>124</v>
      </c>
      <c r="E3556">
        <v>11</v>
      </c>
      <c r="F3556">
        <v>1011</v>
      </c>
      <c r="G3556" t="s">
        <v>590</v>
      </c>
      <c r="J3556" t="s">
        <v>125</v>
      </c>
      <c r="K3556">
        <v>0</v>
      </c>
      <c r="L3556">
        <v>3</v>
      </c>
      <c r="M3556">
        <v>0</v>
      </c>
      <c r="N3556">
        <v>2</v>
      </c>
      <c r="O3556">
        <v>1</v>
      </c>
      <c r="P3556">
        <v>0</v>
      </c>
      <c r="Q3556">
        <v>0</v>
      </c>
      <c r="S3556" t="str">
        <f>"20:33:55.695"</f>
        <v>20:33:55.695</v>
      </c>
      <c r="T3556" t="str">
        <f>"20:33:55.195"</f>
        <v>20:33:55.195</v>
      </c>
      <c r="U3556" t="str">
        <f t="shared" si="176"/>
        <v>AB01F4</v>
      </c>
      <c r="V3556">
        <v>0</v>
      </c>
      <c r="W3556">
        <v>0</v>
      </c>
      <c r="X3556">
        <v>2</v>
      </c>
      <c r="Z3556">
        <v>0</v>
      </c>
      <c r="AA3556">
        <v>9</v>
      </c>
      <c r="AB3556">
        <v>3</v>
      </c>
      <c r="AC3556">
        <v>0</v>
      </c>
      <c r="AD3556">
        <v>10</v>
      </c>
      <c r="AE3556">
        <v>0</v>
      </c>
      <c r="AF3556">
        <v>3</v>
      </c>
      <c r="AG3556">
        <v>2</v>
      </c>
      <c r="AH3556">
        <v>0</v>
      </c>
      <c r="AI3556" t="s">
        <v>2027</v>
      </c>
      <c r="AJ3556">
        <v>40.096277999999998</v>
      </c>
      <c r="AK3556" t="s">
        <v>2028</v>
      </c>
      <c r="AL3556">
        <v>-92.991778999999994</v>
      </c>
      <c r="AM3556">
        <v>100</v>
      </c>
      <c r="AN3556">
        <v>1300</v>
      </c>
      <c r="AO3556" t="s">
        <v>118</v>
      </c>
      <c r="AP3556">
        <v>-114</v>
      </c>
      <c r="AQ3556">
        <v>62</v>
      </c>
      <c r="AR3556">
        <v>0</v>
      </c>
      <c r="AZ3556">
        <v>1200</v>
      </c>
      <c r="BA3556">
        <v>1</v>
      </c>
      <c r="BB3556" t="str">
        <f t="shared" si="174"/>
        <v xml:space="preserve">N8080G  </v>
      </c>
      <c r="BC3556">
        <v>1</v>
      </c>
      <c r="BE3556">
        <v>0</v>
      </c>
      <c r="BF3556">
        <v>0</v>
      </c>
      <c r="BG3556">
        <v>0</v>
      </c>
      <c r="BH3556">
        <v>1350</v>
      </c>
      <c r="BI3556">
        <v>1</v>
      </c>
      <c r="BJ3556">
        <v>1</v>
      </c>
      <c r="BK3556">
        <v>1</v>
      </c>
      <c r="BL3556">
        <v>0</v>
      </c>
      <c r="BO3556">
        <v>0</v>
      </c>
      <c r="BP3556">
        <v>0</v>
      </c>
      <c r="BW3556" t="str">
        <f>"20:33:55.698"</f>
        <v>20:33:55.698</v>
      </c>
      <c r="BZ3556">
        <v>0</v>
      </c>
      <c r="CA3556">
        <v>1600</v>
      </c>
      <c r="CB3556">
        <v>224</v>
      </c>
      <c r="CD3556">
        <v>1</v>
      </c>
      <c r="CE3556">
        <v>0</v>
      </c>
      <c r="CF3556">
        <v>0</v>
      </c>
      <c r="CG3556">
        <v>1</v>
      </c>
      <c r="CH3556">
        <v>0</v>
      </c>
      <c r="CI3556">
        <v>0</v>
      </c>
      <c r="CJ3556">
        <v>0</v>
      </c>
      <c r="CK3556">
        <v>2</v>
      </c>
      <c r="CL3556">
        <v>0</v>
      </c>
      <c r="CM3556">
        <v>2</v>
      </c>
      <c r="CN3556">
        <v>0</v>
      </c>
      <c r="CO3556">
        <v>7</v>
      </c>
      <c r="CP3556" t="s">
        <v>119</v>
      </c>
      <c r="CQ3556">
        <v>180</v>
      </c>
      <c r="CR3556">
        <v>3</v>
      </c>
      <c r="CW3556">
        <v>1191841</v>
      </c>
      <c r="CY3556">
        <v>1</v>
      </c>
      <c r="CZ3556">
        <v>0</v>
      </c>
      <c r="DA3556">
        <v>1</v>
      </c>
      <c r="DB3556">
        <v>0</v>
      </c>
      <c r="DC3556">
        <v>0</v>
      </c>
      <c r="DD3556">
        <v>0</v>
      </c>
      <c r="DE3556">
        <v>0</v>
      </c>
      <c r="DF3556">
        <v>0</v>
      </c>
      <c r="DG3556">
        <v>0</v>
      </c>
      <c r="DH3556">
        <v>0</v>
      </c>
      <c r="DI3556">
        <v>0</v>
      </c>
    </row>
    <row r="3557" spans="1:113" x14ac:dyDescent="0.3">
      <c r="A3557" t="str">
        <f>"02/08/2021 20:33:53.359"</f>
        <v>02/08/2021 20:33:53.359</v>
      </c>
      <c r="C3557" t="str">
        <f t="shared" si="177"/>
        <v>FFDFD7C0</v>
      </c>
      <c r="D3557" t="s">
        <v>113</v>
      </c>
      <c r="E3557">
        <v>6</v>
      </c>
      <c r="H3557">
        <v>165</v>
      </c>
      <c r="I3557" t="s">
        <v>114</v>
      </c>
      <c r="J3557" t="s">
        <v>115</v>
      </c>
      <c r="K3557">
        <v>0</v>
      </c>
      <c r="L3557">
        <v>3</v>
      </c>
      <c r="M3557">
        <v>0</v>
      </c>
      <c r="N3557">
        <v>2</v>
      </c>
      <c r="O3557">
        <v>1</v>
      </c>
      <c r="P3557">
        <v>0</v>
      </c>
      <c r="Q3557">
        <v>0</v>
      </c>
      <c r="S3557" t="str">
        <f>"20:33:55.695"</f>
        <v>20:33:55.695</v>
      </c>
      <c r="T3557" t="str">
        <f>"20:33:55.195"</f>
        <v>20:33:55.195</v>
      </c>
      <c r="U3557" t="str">
        <f t="shared" si="176"/>
        <v>AB01F4</v>
      </c>
      <c r="V3557">
        <v>0</v>
      </c>
      <c r="W3557">
        <v>0</v>
      </c>
      <c r="X3557">
        <v>2</v>
      </c>
      <c r="Z3557">
        <v>0</v>
      </c>
      <c r="AA3557">
        <v>9</v>
      </c>
      <c r="AB3557">
        <v>3</v>
      </c>
      <c r="AC3557">
        <v>0</v>
      </c>
      <c r="AD3557">
        <v>10</v>
      </c>
      <c r="AE3557">
        <v>0</v>
      </c>
      <c r="AF3557">
        <v>3</v>
      </c>
      <c r="AG3557">
        <v>2</v>
      </c>
      <c r="AH3557">
        <v>0</v>
      </c>
      <c r="AI3557" t="s">
        <v>2027</v>
      </c>
      <c r="AJ3557">
        <v>40.096277999999998</v>
      </c>
      <c r="AK3557" t="s">
        <v>2028</v>
      </c>
      <c r="AL3557">
        <v>-92.991778999999994</v>
      </c>
      <c r="AM3557">
        <v>100</v>
      </c>
      <c r="AN3557">
        <v>1300</v>
      </c>
      <c r="AO3557" t="s">
        <v>118</v>
      </c>
      <c r="AP3557">
        <v>-114</v>
      </c>
      <c r="AQ3557">
        <v>62</v>
      </c>
      <c r="AR3557">
        <v>0</v>
      </c>
      <c r="AZ3557">
        <v>1200</v>
      </c>
      <c r="BA3557">
        <v>1</v>
      </c>
      <c r="BB3557" t="str">
        <f t="shared" si="174"/>
        <v xml:space="preserve">N8080G  </v>
      </c>
      <c r="BC3557">
        <v>1</v>
      </c>
      <c r="BE3557">
        <v>0</v>
      </c>
      <c r="BF3557">
        <v>0</v>
      </c>
      <c r="BG3557">
        <v>0</v>
      </c>
      <c r="BH3557">
        <v>1350</v>
      </c>
      <c r="BI3557">
        <v>1</v>
      </c>
      <c r="BJ3557">
        <v>1</v>
      </c>
      <c r="BK3557">
        <v>1</v>
      </c>
      <c r="BL3557">
        <v>0</v>
      </c>
      <c r="BO3557">
        <v>0</v>
      </c>
      <c r="BP3557">
        <v>0</v>
      </c>
      <c r="BW3557" t="str">
        <f>"20:33:55.698"</f>
        <v>20:33:55.698</v>
      </c>
      <c r="BZ3557">
        <v>0</v>
      </c>
      <c r="CA3557">
        <v>1600</v>
      </c>
      <c r="CB3557">
        <v>224</v>
      </c>
      <c r="CD3557">
        <v>1</v>
      </c>
      <c r="CE3557">
        <v>0</v>
      </c>
      <c r="CF3557">
        <v>0</v>
      </c>
      <c r="CG3557">
        <v>1</v>
      </c>
      <c r="CH3557">
        <v>0</v>
      </c>
      <c r="CI3557">
        <v>0</v>
      </c>
      <c r="CJ3557">
        <v>0</v>
      </c>
      <c r="CK3557">
        <v>2</v>
      </c>
      <c r="CL3557">
        <v>0</v>
      </c>
      <c r="CM3557">
        <v>2</v>
      </c>
      <c r="CN3557">
        <v>0</v>
      </c>
      <c r="CO3557">
        <v>7</v>
      </c>
      <c r="CP3557" t="s">
        <v>119</v>
      </c>
      <c r="CQ3557">
        <v>180</v>
      </c>
      <c r="CR3557">
        <v>3</v>
      </c>
      <c r="CW3557">
        <v>1191841</v>
      </c>
      <c r="CY3557">
        <v>1</v>
      </c>
      <c r="CZ3557">
        <v>0</v>
      </c>
      <c r="DA3557">
        <v>1</v>
      </c>
      <c r="DB3557">
        <v>0</v>
      </c>
      <c r="DC3557">
        <v>0</v>
      </c>
      <c r="DD3557">
        <v>0</v>
      </c>
      <c r="DE3557">
        <v>0</v>
      </c>
      <c r="DF3557">
        <v>0</v>
      </c>
      <c r="DG3557">
        <v>0</v>
      </c>
      <c r="DH3557">
        <v>0</v>
      </c>
      <c r="DI3557">
        <v>0</v>
      </c>
    </row>
    <row r="3558" spans="1:113" x14ac:dyDescent="0.3">
      <c r="A3558" t="str">
        <f>"02/08/2021 20:33:53.359"</f>
        <v>02/08/2021 20:33:53.359</v>
      </c>
      <c r="C3558" t="str">
        <f t="shared" si="177"/>
        <v>FFDFD7C0</v>
      </c>
      <c r="D3558" t="s">
        <v>124</v>
      </c>
      <c r="E3558">
        <v>12</v>
      </c>
      <c r="F3558">
        <v>1012</v>
      </c>
      <c r="G3558" t="s">
        <v>675</v>
      </c>
      <c r="J3558" t="s">
        <v>125</v>
      </c>
      <c r="K3558">
        <v>0</v>
      </c>
      <c r="L3558">
        <v>3</v>
      </c>
      <c r="M3558">
        <v>0</v>
      </c>
      <c r="N3558">
        <v>2</v>
      </c>
      <c r="O3558">
        <v>1</v>
      </c>
      <c r="P3558">
        <v>0</v>
      </c>
      <c r="Q3558">
        <v>0</v>
      </c>
      <c r="S3558" t="str">
        <f>"20:33:55.695"</f>
        <v>20:33:55.695</v>
      </c>
      <c r="T3558" t="str">
        <f>"20:33:55.195"</f>
        <v>20:33:55.195</v>
      </c>
      <c r="U3558" t="str">
        <f t="shared" si="176"/>
        <v>AB01F4</v>
      </c>
      <c r="V3558">
        <v>0</v>
      </c>
      <c r="W3558">
        <v>0</v>
      </c>
      <c r="X3558">
        <v>2</v>
      </c>
      <c r="Z3558">
        <v>0</v>
      </c>
      <c r="AA3558">
        <v>9</v>
      </c>
      <c r="AB3558">
        <v>3</v>
      </c>
      <c r="AC3558">
        <v>0</v>
      </c>
      <c r="AD3558">
        <v>10</v>
      </c>
      <c r="AE3558">
        <v>0</v>
      </c>
      <c r="AF3558">
        <v>3</v>
      </c>
      <c r="AG3558">
        <v>2</v>
      </c>
      <c r="AH3558">
        <v>0</v>
      </c>
      <c r="AI3558" t="s">
        <v>2027</v>
      </c>
      <c r="AJ3558">
        <v>40.096277999999998</v>
      </c>
      <c r="AK3558" t="s">
        <v>2028</v>
      </c>
      <c r="AL3558">
        <v>-92.991778999999994</v>
      </c>
      <c r="AM3558">
        <v>100</v>
      </c>
      <c r="AN3558">
        <v>1300</v>
      </c>
      <c r="AO3558" t="s">
        <v>118</v>
      </c>
      <c r="AP3558">
        <v>-114</v>
      </c>
      <c r="AQ3558">
        <v>62</v>
      </c>
      <c r="AR3558">
        <v>0</v>
      </c>
      <c r="AZ3558">
        <v>1200</v>
      </c>
      <c r="BA3558">
        <v>1</v>
      </c>
      <c r="BB3558" t="str">
        <f t="shared" si="174"/>
        <v xml:space="preserve">N8080G  </v>
      </c>
      <c r="BC3558">
        <v>1</v>
      </c>
      <c r="BE3558">
        <v>0</v>
      </c>
      <c r="BF3558">
        <v>0</v>
      </c>
      <c r="BG3558">
        <v>0</v>
      </c>
      <c r="BH3558">
        <v>1350</v>
      </c>
      <c r="BI3558">
        <v>1</v>
      </c>
      <c r="BJ3558">
        <v>1</v>
      </c>
      <c r="BK3558">
        <v>1</v>
      </c>
      <c r="BL3558">
        <v>0</v>
      </c>
      <c r="BO3558">
        <v>0</v>
      </c>
      <c r="BP3558">
        <v>0</v>
      </c>
      <c r="BW3558" t="str">
        <f>"20:33:55.698"</f>
        <v>20:33:55.698</v>
      </c>
      <c r="BZ3558">
        <v>0</v>
      </c>
      <c r="CA3558">
        <v>1600</v>
      </c>
      <c r="CB3558">
        <v>224</v>
      </c>
      <c r="CD3558">
        <v>1</v>
      </c>
      <c r="CE3558">
        <v>0</v>
      </c>
      <c r="CF3558">
        <v>0</v>
      </c>
      <c r="CG3558">
        <v>1</v>
      </c>
      <c r="CH3558">
        <v>0</v>
      </c>
      <c r="CI3558">
        <v>0</v>
      </c>
      <c r="CJ3558">
        <v>0</v>
      </c>
      <c r="CK3558">
        <v>2</v>
      </c>
      <c r="CL3558">
        <v>0</v>
      </c>
      <c r="CM3558">
        <v>2</v>
      </c>
      <c r="CN3558">
        <v>0</v>
      </c>
      <c r="CO3558">
        <v>7</v>
      </c>
      <c r="CP3558" t="s">
        <v>119</v>
      </c>
      <c r="CQ3558">
        <v>180</v>
      </c>
      <c r="CR3558">
        <v>3</v>
      </c>
      <c r="CW3558">
        <v>1191841</v>
      </c>
      <c r="CY3558">
        <v>1</v>
      </c>
      <c r="CZ3558">
        <v>0</v>
      </c>
      <c r="DA3558">
        <v>1</v>
      </c>
      <c r="DB3558">
        <v>0</v>
      </c>
      <c r="DC3558">
        <v>0</v>
      </c>
      <c r="DD3558">
        <v>0</v>
      </c>
      <c r="DE3558">
        <v>0</v>
      </c>
      <c r="DF3558">
        <v>0</v>
      </c>
      <c r="DG3558">
        <v>0</v>
      </c>
      <c r="DH3558">
        <v>0</v>
      </c>
      <c r="DI3558">
        <v>0</v>
      </c>
    </row>
    <row r="3559" spans="1:113" x14ac:dyDescent="0.3">
      <c r="A3559" t="str">
        <f>"02/08/2021 20:33:54.413"</f>
        <v>02/08/2021 20:33:54.413</v>
      </c>
      <c r="C3559" t="str">
        <f t="shared" si="177"/>
        <v>FFDFD7C0</v>
      </c>
      <c r="D3559" t="s">
        <v>124</v>
      </c>
      <c r="E3559">
        <v>13</v>
      </c>
      <c r="F3559">
        <v>1013</v>
      </c>
      <c r="G3559" t="s">
        <v>114</v>
      </c>
      <c r="J3559" t="s">
        <v>125</v>
      </c>
      <c r="K3559">
        <v>0</v>
      </c>
      <c r="L3559">
        <v>3</v>
      </c>
      <c r="M3559">
        <v>0</v>
      </c>
      <c r="N3559">
        <v>2</v>
      </c>
      <c r="O3559">
        <v>1</v>
      </c>
      <c r="P3559">
        <v>0</v>
      </c>
      <c r="Q3559">
        <v>0</v>
      </c>
      <c r="S3559" t="str">
        <f>"20:33:56.727"</f>
        <v>20:33:56.727</v>
      </c>
      <c r="T3559" t="str">
        <f>"20:33:56.327"</f>
        <v>20:33:56.327</v>
      </c>
      <c r="U3559" t="str">
        <f t="shared" si="176"/>
        <v>AB01F4</v>
      </c>
      <c r="V3559">
        <v>0</v>
      </c>
      <c r="W3559">
        <v>0</v>
      </c>
      <c r="X3559">
        <v>2</v>
      </c>
      <c r="Z3559">
        <v>0</v>
      </c>
      <c r="AA3559">
        <v>9</v>
      </c>
      <c r="AB3559">
        <v>3</v>
      </c>
      <c r="AC3559">
        <v>0</v>
      </c>
      <c r="AD3559">
        <v>10</v>
      </c>
      <c r="AE3559">
        <v>0</v>
      </c>
      <c r="AF3559">
        <v>3</v>
      </c>
      <c r="AG3559">
        <v>2</v>
      </c>
      <c r="AH3559">
        <v>0</v>
      </c>
      <c r="AI3559" t="s">
        <v>2029</v>
      </c>
      <c r="AJ3559">
        <v>40.096622000000004</v>
      </c>
      <c r="AK3559" t="s">
        <v>2030</v>
      </c>
      <c r="AL3559">
        <v>-92.992486999999997</v>
      </c>
      <c r="AM3559">
        <v>100</v>
      </c>
      <c r="AN3559">
        <v>1300</v>
      </c>
      <c r="AO3559" t="s">
        <v>118</v>
      </c>
      <c r="AP3559">
        <v>-114</v>
      </c>
      <c r="AQ3559">
        <v>62</v>
      </c>
      <c r="AR3559">
        <v>-64</v>
      </c>
      <c r="AZ3559">
        <v>1200</v>
      </c>
      <c r="BA3559">
        <v>1</v>
      </c>
      <c r="BB3559" t="str">
        <f t="shared" si="174"/>
        <v xml:space="preserve">N8080G  </v>
      </c>
      <c r="BC3559">
        <v>1</v>
      </c>
      <c r="BE3559">
        <v>0</v>
      </c>
      <c r="BF3559">
        <v>0</v>
      </c>
      <c r="BG3559">
        <v>0</v>
      </c>
      <c r="BH3559">
        <v>1350</v>
      </c>
      <c r="BI3559">
        <v>1</v>
      </c>
      <c r="BJ3559">
        <v>1</v>
      </c>
      <c r="BK3559">
        <v>1</v>
      </c>
      <c r="BL3559">
        <v>0</v>
      </c>
      <c r="BO3559">
        <v>0</v>
      </c>
      <c r="BP3559">
        <v>0</v>
      </c>
      <c r="BW3559" t="str">
        <f>"20:33:56.732"</f>
        <v>20:33:56.732</v>
      </c>
      <c r="BZ3559">
        <v>0</v>
      </c>
      <c r="CA3559">
        <v>1600</v>
      </c>
      <c r="CB3559">
        <v>224</v>
      </c>
      <c r="CD3559">
        <v>1</v>
      </c>
      <c r="CE3559">
        <v>0</v>
      </c>
      <c r="CF3559">
        <v>0</v>
      </c>
      <c r="CG3559">
        <v>1</v>
      </c>
      <c r="CH3559">
        <v>0</v>
      </c>
      <c r="CI3559">
        <v>0</v>
      </c>
      <c r="CJ3559">
        <v>0</v>
      </c>
      <c r="CK3559">
        <v>2</v>
      </c>
      <c r="CL3559">
        <v>0</v>
      </c>
      <c r="CM3559">
        <v>2</v>
      </c>
      <c r="CN3559">
        <v>0</v>
      </c>
      <c r="CO3559">
        <v>7</v>
      </c>
      <c r="CP3559" t="s">
        <v>119</v>
      </c>
      <c r="CQ3559">
        <v>180</v>
      </c>
      <c r="CR3559">
        <v>3</v>
      </c>
      <c r="CW3559">
        <v>1192672</v>
      </c>
      <c r="CY3559">
        <v>1</v>
      </c>
      <c r="CZ3559">
        <v>0</v>
      </c>
      <c r="DA3559">
        <v>0</v>
      </c>
      <c r="DB3559">
        <v>0</v>
      </c>
      <c r="DC3559">
        <v>0</v>
      </c>
      <c r="DD3559">
        <v>0</v>
      </c>
      <c r="DE3559">
        <v>0</v>
      </c>
      <c r="DF3559">
        <v>0</v>
      </c>
      <c r="DG3559">
        <v>0</v>
      </c>
      <c r="DH3559">
        <v>0</v>
      </c>
      <c r="DI3559">
        <v>0</v>
      </c>
    </row>
    <row r="3560" spans="1:113" x14ac:dyDescent="0.3">
      <c r="A3560" t="str">
        <f>"02/08/2021 20:33:54.413"</f>
        <v>02/08/2021 20:33:54.413</v>
      </c>
      <c r="C3560" t="str">
        <f t="shared" si="177"/>
        <v>FFDFD7C0</v>
      </c>
      <c r="D3560" t="s">
        <v>124</v>
      </c>
      <c r="E3560">
        <v>11</v>
      </c>
      <c r="F3560">
        <v>1011</v>
      </c>
      <c r="G3560" t="s">
        <v>590</v>
      </c>
      <c r="J3560" t="s">
        <v>125</v>
      </c>
      <c r="K3560">
        <v>0</v>
      </c>
      <c r="L3560">
        <v>3</v>
      </c>
      <c r="M3560">
        <v>0</v>
      </c>
      <c r="N3560">
        <v>2</v>
      </c>
      <c r="O3560">
        <v>1</v>
      </c>
      <c r="P3560">
        <v>0</v>
      </c>
      <c r="Q3560">
        <v>0</v>
      </c>
      <c r="S3560" t="str">
        <f>"20:33:56.727"</f>
        <v>20:33:56.727</v>
      </c>
      <c r="T3560" t="str">
        <f>"20:33:56.327"</f>
        <v>20:33:56.327</v>
      </c>
      <c r="U3560" t="str">
        <f t="shared" si="176"/>
        <v>AB01F4</v>
      </c>
      <c r="V3560">
        <v>0</v>
      </c>
      <c r="W3560">
        <v>0</v>
      </c>
      <c r="X3560">
        <v>2</v>
      </c>
      <c r="Z3560">
        <v>0</v>
      </c>
      <c r="AA3560">
        <v>9</v>
      </c>
      <c r="AB3560">
        <v>3</v>
      </c>
      <c r="AC3560">
        <v>0</v>
      </c>
      <c r="AD3560">
        <v>10</v>
      </c>
      <c r="AE3560">
        <v>0</v>
      </c>
      <c r="AF3560">
        <v>3</v>
      </c>
      <c r="AG3560">
        <v>2</v>
      </c>
      <c r="AH3560">
        <v>0</v>
      </c>
      <c r="AI3560" t="s">
        <v>2029</v>
      </c>
      <c r="AJ3560">
        <v>40.096622000000004</v>
      </c>
      <c r="AK3560" t="s">
        <v>2030</v>
      </c>
      <c r="AL3560">
        <v>-92.992486999999997</v>
      </c>
      <c r="AM3560">
        <v>100</v>
      </c>
      <c r="AN3560">
        <v>1300</v>
      </c>
      <c r="AO3560" t="s">
        <v>118</v>
      </c>
      <c r="AP3560">
        <v>-114</v>
      </c>
      <c r="AQ3560">
        <v>62</v>
      </c>
      <c r="AR3560">
        <v>-64</v>
      </c>
      <c r="AZ3560">
        <v>1200</v>
      </c>
      <c r="BA3560">
        <v>1</v>
      </c>
      <c r="BB3560" t="str">
        <f t="shared" si="174"/>
        <v xml:space="preserve">N8080G  </v>
      </c>
      <c r="BC3560">
        <v>1</v>
      </c>
      <c r="BE3560">
        <v>0</v>
      </c>
      <c r="BF3560">
        <v>0</v>
      </c>
      <c r="BG3560">
        <v>0</v>
      </c>
      <c r="BH3560">
        <v>1350</v>
      </c>
      <c r="BI3560">
        <v>1</v>
      </c>
      <c r="BJ3560">
        <v>1</v>
      </c>
      <c r="BK3560">
        <v>1</v>
      </c>
      <c r="BL3560">
        <v>0</v>
      </c>
      <c r="BO3560">
        <v>0</v>
      </c>
      <c r="BP3560">
        <v>0</v>
      </c>
      <c r="BW3560" t="str">
        <f>"20:33:56.732"</f>
        <v>20:33:56.732</v>
      </c>
      <c r="BZ3560">
        <v>0</v>
      </c>
      <c r="CA3560">
        <v>1600</v>
      </c>
      <c r="CB3560">
        <v>224</v>
      </c>
      <c r="CD3560">
        <v>1</v>
      </c>
      <c r="CE3560">
        <v>0</v>
      </c>
      <c r="CF3560">
        <v>0</v>
      </c>
      <c r="CG3560">
        <v>1</v>
      </c>
      <c r="CH3560">
        <v>0</v>
      </c>
      <c r="CI3560">
        <v>0</v>
      </c>
      <c r="CJ3560">
        <v>0</v>
      </c>
      <c r="CK3560">
        <v>2</v>
      </c>
      <c r="CL3560">
        <v>0</v>
      </c>
      <c r="CM3560">
        <v>2</v>
      </c>
      <c r="CN3560">
        <v>0</v>
      </c>
      <c r="CO3560">
        <v>7</v>
      </c>
      <c r="CP3560" t="s">
        <v>119</v>
      </c>
      <c r="CQ3560">
        <v>180</v>
      </c>
      <c r="CR3560">
        <v>3</v>
      </c>
      <c r="CW3560">
        <v>1192672</v>
      </c>
      <c r="CY3560">
        <v>1</v>
      </c>
      <c r="CZ3560">
        <v>0</v>
      </c>
      <c r="DA3560">
        <v>1</v>
      </c>
      <c r="DB3560">
        <v>0</v>
      </c>
      <c r="DC3560">
        <v>0</v>
      </c>
      <c r="DD3560">
        <v>0</v>
      </c>
      <c r="DE3560">
        <v>0</v>
      </c>
      <c r="DF3560">
        <v>0</v>
      </c>
      <c r="DG3560">
        <v>0</v>
      </c>
      <c r="DH3560">
        <v>0</v>
      </c>
      <c r="DI3560">
        <v>0</v>
      </c>
    </row>
    <row r="3561" spans="1:113" x14ac:dyDescent="0.3">
      <c r="A3561" t="str">
        <f>"02/08/2021 20:33:54.413"</f>
        <v>02/08/2021 20:33:54.413</v>
      </c>
      <c r="C3561" t="str">
        <f t="shared" si="177"/>
        <v>FFDFD7C0</v>
      </c>
      <c r="D3561" t="s">
        <v>113</v>
      </c>
      <c r="E3561">
        <v>6</v>
      </c>
      <c r="H3561">
        <v>165</v>
      </c>
      <c r="I3561" t="s">
        <v>114</v>
      </c>
      <c r="J3561" t="s">
        <v>115</v>
      </c>
      <c r="K3561">
        <v>0</v>
      </c>
      <c r="L3561">
        <v>3</v>
      </c>
      <c r="M3561">
        <v>0</v>
      </c>
      <c r="N3561">
        <v>2</v>
      </c>
      <c r="O3561">
        <v>1</v>
      </c>
      <c r="P3561">
        <v>0</v>
      </c>
      <c r="Q3561">
        <v>0</v>
      </c>
      <c r="S3561" t="str">
        <f>"20:33:56.727"</f>
        <v>20:33:56.727</v>
      </c>
      <c r="T3561" t="str">
        <f>"20:33:56.327"</f>
        <v>20:33:56.327</v>
      </c>
      <c r="U3561" t="str">
        <f t="shared" si="176"/>
        <v>AB01F4</v>
      </c>
      <c r="V3561">
        <v>0</v>
      </c>
      <c r="W3561">
        <v>0</v>
      </c>
      <c r="X3561">
        <v>2</v>
      </c>
      <c r="Z3561">
        <v>0</v>
      </c>
      <c r="AA3561">
        <v>9</v>
      </c>
      <c r="AB3561">
        <v>3</v>
      </c>
      <c r="AC3561">
        <v>0</v>
      </c>
      <c r="AD3561">
        <v>10</v>
      </c>
      <c r="AE3561">
        <v>0</v>
      </c>
      <c r="AF3561">
        <v>3</v>
      </c>
      <c r="AG3561">
        <v>2</v>
      </c>
      <c r="AH3561">
        <v>0</v>
      </c>
      <c r="AI3561" t="s">
        <v>2029</v>
      </c>
      <c r="AJ3561">
        <v>40.096622000000004</v>
      </c>
      <c r="AK3561" t="s">
        <v>2030</v>
      </c>
      <c r="AL3561">
        <v>-92.992486999999997</v>
      </c>
      <c r="AM3561">
        <v>100</v>
      </c>
      <c r="AN3561">
        <v>1300</v>
      </c>
      <c r="AO3561" t="s">
        <v>118</v>
      </c>
      <c r="AP3561">
        <v>-114</v>
      </c>
      <c r="AQ3561">
        <v>62</v>
      </c>
      <c r="AR3561">
        <v>-64</v>
      </c>
      <c r="AZ3561">
        <v>1200</v>
      </c>
      <c r="BA3561">
        <v>1</v>
      </c>
      <c r="BB3561" t="str">
        <f t="shared" si="174"/>
        <v xml:space="preserve">N8080G  </v>
      </c>
      <c r="BC3561">
        <v>1</v>
      </c>
      <c r="BE3561">
        <v>0</v>
      </c>
      <c r="BF3561">
        <v>0</v>
      </c>
      <c r="BG3561">
        <v>0</v>
      </c>
      <c r="BH3561">
        <v>1350</v>
      </c>
      <c r="BI3561">
        <v>1</v>
      </c>
      <c r="BJ3561">
        <v>1</v>
      </c>
      <c r="BK3561">
        <v>1</v>
      </c>
      <c r="BL3561">
        <v>0</v>
      </c>
      <c r="BO3561">
        <v>0</v>
      </c>
      <c r="BP3561">
        <v>0</v>
      </c>
      <c r="BW3561" t="str">
        <f>"20:33:56.732"</f>
        <v>20:33:56.732</v>
      </c>
      <c r="BZ3561">
        <v>0</v>
      </c>
      <c r="CA3561">
        <v>1600</v>
      </c>
      <c r="CB3561">
        <v>224</v>
      </c>
      <c r="CD3561">
        <v>1</v>
      </c>
      <c r="CE3561">
        <v>0</v>
      </c>
      <c r="CF3561">
        <v>0</v>
      </c>
      <c r="CG3561">
        <v>1</v>
      </c>
      <c r="CH3561">
        <v>0</v>
      </c>
      <c r="CI3561">
        <v>0</v>
      </c>
      <c r="CJ3561">
        <v>0</v>
      </c>
      <c r="CK3561">
        <v>2</v>
      </c>
      <c r="CL3561">
        <v>0</v>
      </c>
      <c r="CM3561">
        <v>2</v>
      </c>
      <c r="CN3561">
        <v>0</v>
      </c>
      <c r="CO3561">
        <v>7</v>
      </c>
      <c r="CP3561" t="s">
        <v>119</v>
      </c>
      <c r="CQ3561">
        <v>180</v>
      </c>
      <c r="CR3561">
        <v>3</v>
      </c>
      <c r="CW3561">
        <v>1192672</v>
      </c>
      <c r="CY3561">
        <v>1</v>
      </c>
      <c r="CZ3561">
        <v>0</v>
      </c>
      <c r="DA3561">
        <v>1</v>
      </c>
      <c r="DB3561">
        <v>0</v>
      </c>
      <c r="DC3561">
        <v>0</v>
      </c>
      <c r="DD3561">
        <v>0</v>
      </c>
      <c r="DE3561">
        <v>0</v>
      </c>
      <c r="DF3561">
        <v>0</v>
      </c>
      <c r="DG3561">
        <v>0</v>
      </c>
      <c r="DH3561">
        <v>0</v>
      </c>
      <c r="DI3561">
        <v>0</v>
      </c>
    </row>
    <row r="3562" spans="1:113" x14ac:dyDescent="0.3">
      <c r="A3562" t="str">
        <f>"02/08/2021 20:33:54.413"</f>
        <v>02/08/2021 20:33:54.413</v>
      </c>
      <c r="C3562" t="str">
        <f t="shared" si="177"/>
        <v>FFDFD7C0</v>
      </c>
      <c r="D3562" t="s">
        <v>124</v>
      </c>
      <c r="E3562">
        <v>12</v>
      </c>
      <c r="F3562">
        <v>1012</v>
      </c>
      <c r="G3562" t="s">
        <v>675</v>
      </c>
      <c r="J3562" t="s">
        <v>125</v>
      </c>
      <c r="K3562">
        <v>0</v>
      </c>
      <c r="L3562">
        <v>3</v>
      </c>
      <c r="M3562">
        <v>0</v>
      </c>
      <c r="N3562">
        <v>2</v>
      </c>
      <c r="O3562">
        <v>1</v>
      </c>
      <c r="P3562">
        <v>0</v>
      </c>
      <c r="Q3562">
        <v>0</v>
      </c>
      <c r="S3562" t="str">
        <f>"20:33:56.727"</f>
        <v>20:33:56.727</v>
      </c>
      <c r="T3562" t="str">
        <f>"20:33:56.327"</f>
        <v>20:33:56.327</v>
      </c>
      <c r="U3562" t="str">
        <f t="shared" si="176"/>
        <v>AB01F4</v>
      </c>
      <c r="V3562">
        <v>0</v>
      </c>
      <c r="W3562">
        <v>0</v>
      </c>
      <c r="X3562">
        <v>2</v>
      </c>
      <c r="Z3562">
        <v>0</v>
      </c>
      <c r="AA3562">
        <v>9</v>
      </c>
      <c r="AB3562">
        <v>3</v>
      </c>
      <c r="AC3562">
        <v>0</v>
      </c>
      <c r="AD3562">
        <v>10</v>
      </c>
      <c r="AE3562">
        <v>0</v>
      </c>
      <c r="AF3562">
        <v>3</v>
      </c>
      <c r="AG3562">
        <v>2</v>
      </c>
      <c r="AH3562">
        <v>0</v>
      </c>
      <c r="AI3562" t="s">
        <v>2029</v>
      </c>
      <c r="AJ3562">
        <v>40.096622000000004</v>
      </c>
      <c r="AK3562" t="s">
        <v>2030</v>
      </c>
      <c r="AL3562">
        <v>-92.992486999999997</v>
      </c>
      <c r="AM3562">
        <v>100</v>
      </c>
      <c r="AN3562">
        <v>1300</v>
      </c>
      <c r="AO3562" t="s">
        <v>118</v>
      </c>
      <c r="AP3562">
        <v>-114</v>
      </c>
      <c r="AQ3562">
        <v>62</v>
      </c>
      <c r="AR3562">
        <v>-64</v>
      </c>
      <c r="AZ3562">
        <v>1200</v>
      </c>
      <c r="BA3562">
        <v>1</v>
      </c>
      <c r="BB3562" t="str">
        <f t="shared" si="174"/>
        <v xml:space="preserve">N8080G  </v>
      </c>
      <c r="BC3562">
        <v>1</v>
      </c>
      <c r="BE3562">
        <v>0</v>
      </c>
      <c r="BF3562">
        <v>0</v>
      </c>
      <c r="BG3562">
        <v>0</v>
      </c>
      <c r="BH3562">
        <v>1350</v>
      </c>
      <c r="BI3562">
        <v>1</v>
      </c>
      <c r="BJ3562">
        <v>1</v>
      </c>
      <c r="BK3562">
        <v>1</v>
      </c>
      <c r="BL3562">
        <v>0</v>
      </c>
      <c r="BO3562">
        <v>0</v>
      </c>
      <c r="BP3562">
        <v>0</v>
      </c>
      <c r="BW3562" t="str">
        <f>"20:33:56.732"</f>
        <v>20:33:56.732</v>
      </c>
      <c r="BZ3562">
        <v>0</v>
      </c>
      <c r="CA3562">
        <v>1600</v>
      </c>
      <c r="CB3562">
        <v>224</v>
      </c>
      <c r="CD3562">
        <v>1</v>
      </c>
      <c r="CE3562">
        <v>0</v>
      </c>
      <c r="CF3562">
        <v>0</v>
      </c>
      <c r="CG3562">
        <v>1</v>
      </c>
      <c r="CH3562">
        <v>0</v>
      </c>
      <c r="CI3562">
        <v>0</v>
      </c>
      <c r="CJ3562">
        <v>0</v>
      </c>
      <c r="CK3562">
        <v>2</v>
      </c>
      <c r="CL3562">
        <v>0</v>
      </c>
      <c r="CM3562">
        <v>2</v>
      </c>
      <c r="CN3562">
        <v>0</v>
      </c>
      <c r="CO3562">
        <v>7</v>
      </c>
      <c r="CP3562" t="s">
        <v>119</v>
      </c>
      <c r="CQ3562">
        <v>180</v>
      </c>
      <c r="CR3562">
        <v>3</v>
      </c>
      <c r="CW3562">
        <v>1192672</v>
      </c>
      <c r="CY3562">
        <v>1</v>
      </c>
      <c r="CZ3562">
        <v>0</v>
      </c>
      <c r="DA3562">
        <v>1</v>
      </c>
      <c r="DB3562">
        <v>0</v>
      </c>
      <c r="DC3562">
        <v>0</v>
      </c>
      <c r="DD3562">
        <v>0</v>
      </c>
      <c r="DE3562">
        <v>0</v>
      </c>
      <c r="DF3562">
        <v>0</v>
      </c>
      <c r="DG3562">
        <v>0</v>
      </c>
      <c r="DH3562">
        <v>0</v>
      </c>
      <c r="DI3562">
        <v>0</v>
      </c>
    </row>
    <row r="3563" spans="1:113" x14ac:dyDescent="0.3">
      <c r="A3563" t="str">
        <f>"02/08/2021 20:33:56.304"</f>
        <v>02/08/2021 20:33:56.304</v>
      </c>
      <c r="C3563" t="str">
        <f t="shared" si="177"/>
        <v>FFDFD7C0</v>
      </c>
      <c r="D3563" t="s">
        <v>124</v>
      </c>
      <c r="E3563">
        <v>12</v>
      </c>
      <c r="F3563">
        <v>1012</v>
      </c>
      <c r="G3563" t="s">
        <v>675</v>
      </c>
      <c r="J3563" t="s">
        <v>125</v>
      </c>
      <c r="K3563">
        <v>0</v>
      </c>
      <c r="L3563">
        <v>3</v>
      </c>
      <c r="M3563">
        <v>0</v>
      </c>
      <c r="N3563">
        <v>2</v>
      </c>
      <c r="O3563">
        <v>1</v>
      </c>
      <c r="P3563">
        <v>0</v>
      </c>
      <c r="Q3563">
        <v>0</v>
      </c>
      <c r="S3563" t="str">
        <f>"20:33:58.625"</f>
        <v>20:33:58.625</v>
      </c>
      <c r="T3563" t="str">
        <f>"20:33:58.125"</f>
        <v>20:33:58.125</v>
      </c>
      <c r="U3563" t="str">
        <f t="shared" si="176"/>
        <v>AB01F4</v>
      </c>
      <c r="V3563">
        <v>0</v>
      </c>
      <c r="W3563">
        <v>0</v>
      </c>
      <c r="X3563">
        <v>2</v>
      </c>
      <c r="Z3563">
        <v>0</v>
      </c>
      <c r="AA3563">
        <v>9</v>
      </c>
      <c r="AB3563">
        <v>3</v>
      </c>
      <c r="AC3563">
        <v>0</v>
      </c>
      <c r="AD3563">
        <v>10</v>
      </c>
      <c r="AE3563">
        <v>0</v>
      </c>
      <c r="AF3563">
        <v>3</v>
      </c>
      <c r="AG3563">
        <v>2</v>
      </c>
      <c r="AH3563">
        <v>0</v>
      </c>
      <c r="AI3563" t="s">
        <v>2031</v>
      </c>
      <c r="AJ3563">
        <v>40.097158</v>
      </c>
      <c r="AK3563" t="s">
        <v>2032</v>
      </c>
      <c r="AL3563">
        <v>-92.993838999999994</v>
      </c>
      <c r="AM3563">
        <v>100</v>
      </c>
      <c r="AN3563">
        <v>1300</v>
      </c>
      <c r="AO3563" t="s">
        <v>118</v>
      </c>
      <c r="AP3563">
        <v>-114</v>
      </c>
      <c r="AQ3563">
        <v>62</v>
      </c>
      <c r="AR3563">
        <v>64</v>
      </c>
      <c r="AZ3563">
        <v>1200</v>
      </c>
      <c r="BA3563">
        <v>1</v>
      </c>
      <c r="BB3563" t="str">
        <f t="shared" si="174"/>
        <v xml:space="preserve">N8080G  </v>
      </c>
      <c r="BC3563">
        <v>1</v>
      </c>
      <c r="BE3563">
        <v>0</v>
      </c>
      <c r="BF3563">
        <v>0</v>
      </c>
      <c r="BG3563">
        <v>0</v>
      </c>
      <c r="BH3563">
        <v>1350</v>
      </c>
      <c r="BI3563">
        <v>1</v>
      </c>
      <c r="BJ3563">
        <v>1</v>
      </c>
      <c r="BK3563">
        <v>1</v>
      </c>
      <c r="BL3563">
        <v>0</v>
      </c>
      <c r="BO3563">
        <v>0</v>
      </c>
      <c r="BP3563">
        <v>0</v>
      </c>
      <c r="BW3563" t="str">
        <f>"20:33:58.631"</f>
        <v>20:33:58.631</v>
      </c>
      <c r="BZ3563">
        <v>0</v>
      </c>
      <c r="CA3563">
        <v>1600</v>
      </c>
      <c r="CB3563">
        <v>224</v>
      </c>
      <c r="CD3563">
        <v>1</v>
      </c>
      <c r="CE3563">
        <v>0</v>
      </c>
      <c r="CF3563">
        <v>0</v>
      </c>
      <c r="CG3563">
        <v>1</v>
      </c>
      <c r="CH3563">
        <v>0</v>
      </c>
      <c r="CI3563">
        <v>0</v>
      </c>
      <c r="CJ3563">
        <v>0</v>
      </c>
      <c r="CK3563">
        <v>2</v>
      </c>
      <c r="CL3563">
        <v>0</v>
      </c>
      <c r="CM3563">
        <v>2</v>
      </c>
      <c r="CN3563">
        <v>0</v>
      </c>
      <c r="CO3563">
        <v>7</v>
      </c>
      <c r="CP3563" t="s">
        <v>119</v>
      </c>
      <c r="CQ3563">
        <v>180</v>
      </c>
      <c r="CR3563">
        <v>3</v>
      </c>
      <c r="CW3563">
        <v>1194043</v>
      </c>
      <c r="CY3563">
        <v>1</v>
      </c>
      <c r="CZ3563">
        <v>0</v>
      </c>
      <c r="DA3563">
        <v>0</v>
      </c>
      <c r="DB3563">
        <v>0</v>
      </c>
      <c r="DC3563">
        <v>0</v>
      </c>
      <c r="DD3563">
        <v>0</v>
      </c>
      <c r="DE3563">
        <v>0</v>
      </c>
      <c r="DF3563">
        <v>0</v>
      </c>
      <c r="DG3563">
        <v>0</v>
      </c>
      <c r="DH3563">
        <v>0</v>
      </c>
      <c r="DI3563">
        <v>0</v>
      </c>
    </row>
    <row r="3564" spans="1:113" x14ac:dyDescent="0.3">
      <c r="A3564" t="str">
        <f>"02/08/2021 20:33:56.304"</f>
        <v>02/08/2021 20:33:56.304</v>
      </c>
      <c r="C3564" t="str">
        <f t="shared" si="177"/>
        <v>FFDFD7C0</v>
      </c>
      <c r="D3564" t="s">
        <v>124</v>
      </c>
      <c r="E3564">
        <v>13</v>
      </c>
      <c r="F3564">
        <v>1013</v>
      </c>
      <c r="G3564" t="s">
        <v>114</v>
      </c>
      <c r="J3564" t="s">
        <v>125</v>
      </c>
      <c r="K3564">
        <v>0</v>
      </c>
      <c r="L3564">
        <v>3</v>
      </c>
      <c r="M3564">
        <v>0</v>
      </c>
      <c r="N3564">
        <v>2</v>
      </c>
      <c r="O3564">
        <v>1</v>
      </c>
      <c r="P3564">
        <v>0</v>
      </c>
      <c r="Q3564">
        <v>0</v>
      </c>
      <c r="S3564" t="str">
        <f>"20:33:58.625"</f>
        <v>20:33:58.625</v>
      </c>
      <c r="T3564" t="str">
        <f>"20:33:58.125"</f>
        <v>20:33:58.125</v>
      </c>
      <c r="U3564" t="str">
        <f t="shared" si="176"/>
        <v>AB01F4</v>
      </c>
      <c r="V3564">
        <v>0</v>
      </c>
      <c r="W3564">
        <v>0</v>
      </c>
      <c r="X3564">
        <v>2</v>
      </c>
      <c r="Z3564">
        <v>0</v>
      </c>
      <c r="AA3564">
        <v>9</v>
      </c>
      <c r="AB3564">
        <v>3</v>
      </c>
      <c r="AC3564">
        <v>0</v>
      </c>
      <c r="AD3564">
        <v>10</v>
      </c>
      <c r="AE3564">
        <v>0</v>
      </c>
      <c r="AF3564">
        <v>3</v>
      </c>
      <c r="AG3564">
        <v>2</v>
      </c>
      <c r="AH3564">
        <v>0</v>
      </c>
      <c r="AI3564" t="s">
        <v>2031</v>
      </c>
      <c r="AJ3564">
        <v>40.097158</v>
      </c>
      <c r="AK3564" t="s">
        <v>2032</v>
      </c>
      <c r="AL3564">
        <v>-92.993838999999994</v>
      </c>
      <c r="AM3564">
        <v>100</v>
      </c>
      <c r="AN3564">
        <v>1300</v>
      </c>
      <c r="AO3564" t="s">
        <v>118</v>
      </c>
      <c r="AP3564">
        <v>-114</v>
      </c>
      <c r="AQ3564">
        <v>62</v>
      </c>
      <c r="AR3564">
        <v>64</v>
      </c>
      <c r="AZ3564">
        <v>1200</v>
      </c>
      <c r="BA3564">
        <v>1</v>
      </c>
      <c r="BB3564" t="str">
        <f t="shared" si="174"/>
        <v xml:space="preserve">N8080G  </v>
      </c>
      <c r="BC3564">
        <v>1</v>
      </c>
      <c r="BE3564">
        <v>0</v>
      </c>
      <c r="BF3564">
        <v>0</v>
      </c>
      <c r="BG3564">
        <v>0</v>
      </c>
      <c r="BH3564">
        <v>1350</v>
      </c>
      <c r="BI3564">
        <v>1</v>
      </c>
      <c r="BJ3564">
        <v>1</v>
      </c>
      <c r="BK3564">
        <v>1</v>
      </c>
      <c r="BL3564">
        <v>0</v>
      </c>
      <c r="BO3564">
        <v>0</v>
      </c>
      <c r="BP3564">
        <v>0</v>
      </c>
      <c r="BW3564" t="str">
        <f>"20:33:58.631"</f>
        <v>20:33:58.631</v>
      </c>
      <c r="BZ3564">
        <v>0</v>
      </c>
      <c r="CA3564">
        <v>1600</v>
      </c>
      <c r="CB3564">
        <v>224</v>
      </c>
      <c r="CD3564">
        <v>1</v>
      </c>
      <c r="CE3564">
        <v>0</v>
      </c>
      <c r="CF3564">
        <v>0</v>
      </c>
      <c r="CG3564">
        <v>1</v>
      </c>
      <c r="CH3564">
        <v>0</v>
      </c>
      <c r="CI3564">
        <v>0</v>
      </c>
      <c r="CJ3564">
        <v>0</v>
      </c>
      <c r="CK3564">
        <v>2</v>
      </c>
      <c r="CL3564">
        <v>0</v>
      </c>
      <c r="CM3564">
        <v>2</v>
      </c>
      <c r="CN3564">
        <v>0</v>
      </c>
      <c r="CO3564">
        <v>7</v>
      </c>
      <c r="CP3564" t="s">
        <v>119</v>
      </c>
      <c r="CQ3564">
        <v>180</v>
      </c>
      <c r="CR3564">
        <v>3</v>
      </c>
      <c r="CW3564">
        <v>1194043</v>
      </c>
      <c r="CY3564">
        <v>1</v>
      </c>
      <c r="CZ3564">
        <v>0</v>
      </c>
      <c r="DA3564">
        <v>1</v>
      </c>
      <c r="DB3564">
        <v>0</v>
      </c>
      <c r="DC3564">
        <v>0</v>
      </c>
      <c r="DD3564">
        <v>0</v>
      </c>
      <c r="DE3564">
        <v>0</v>
      </c>
      <c r="DF3564">
        <v>0</v>
      </c>
      <c r="DG3564">
        <v>0</v>
      </c>
      <c r="DH3564">
        <v>0</v>
      </c>
      <c r="DI3564">
        <v>0</v>
      </c>
    </row>
    <row r="3565" spans="1:113" x14ac:dyDescent="0.3">
      <c r="A3565" t="str">
        <f>"02/08/2021 20:33:56.304"</f>
        <v>02/08/2021 20:33:56.304</v>
      </c>
      <c r="C3565" t="str">
        <f t="shared" si="177"/>
        <v>FFDFD7C0</v>
      </c>
      <c r="D3565" t="s">
        <v>124</v>
      </c>
      <c r="E3565">
        <v>11</v>
      </c>
      <c r="F3565">
        <v>1011</v>
      </c>
      <c r="G3565" t="s">
        <v>590</v>
      </c>
      <c r="J3565" t="s">
        <v>125</v>
      </c>
      <c r="K3565">
        <v>0</v>
      </c>
      <c r="L3565">
        <v>3</v>
      </c>
      <c r="M3565">
        <v>0</v>
      </c>
      <c r="N3565">
        <v>2</v>
      </c>
      <c r="O3565">
        <v>1</v>
      </c>
      <c r="P3565">
        <v>0</v>
      </c>
      <c r="Q3565">
        <v>0</v>
      </c>
      <c r="S3565" t="str">
        <f>"20:33:58.625"</f>
        <v>20:33:58.625</v>
      </c>
      <c r="T3565" t="str">
        <f>"20:33:58.125"</f>
        <v>20:33:58.125</v>
      </c>
      <c r="U3565" t="str">
        <f t="shared" si="176"/>
        <v>AB01F4</v>
      </c>
      <c r="V3565">
        <v>0</v>
      </c>
      <c r="W3565">
        <v>0</v>
      </c>
      <c r="X3565">
        <v>2</v>
      </c>
      <c r="Z3565">
        <v>0</v>
      </c>
      <c r="AA3565">
        <v>9</v>
      </c>
      <c r="AB3565">
        <v>3</v>
      </c>
      <c r="AC3565">
        <v>0</v>
      </c>
      <c r="AD3565">
        <v>10</v>
      </c>
      <c r="AE3565">
        <v>0</v>
      </c>
      <c r="AF3565">
        <v>3</v>
      </c>
      <c r="AG3565">
        <v>2</v>
      </c>
      <c r="AH3565">
        <v>0</v>
      </c>
      <c r="AI3565" t="s">
        <v>2031</v>
      </c>
      <c r="AJ3565">
        <v>40.097158</v>
      </c>
      <c r="AK3565" t="s">
        <v>2032</v>
      </c>
      <c r="AL3565">
        <v>-92.993838999999994</v>
      </c>
      <c r="AM3565">
        <v>100</v>
      </c>
      <c r="AN3565">
        <v>1300</v>
      </c>
      <c r="AO3565" t="s">
        <v>118</v>
      </c>
      <c r="AP3565">
        <v>-114</v>
      </c>
      <c r="AQ3565">
        <v>62</v>
      </c>
      <c r="AR3565">
        <v>64</v>
      </c>
      <c r="AZ3565">
        <v>1200</v>
      </c>
      <c r="BA3565">
        <v>1</v>
      </c>
      <c r="BB3565" t="str">
        <f t="shared" si="174"/>
        <v xml:space="preserve">N8080G  </v>
      </c>
      <c r="BC3565">
        <v>1</v>
      </c>
      <c r="BE3565">
        <v>0</v>
      </c>
      <c r="BF3565">
        <v>0</v>
      </c>
      <c r="BG3565">
        <v>0</v>
      </c>
      <c r="BH3565">
        <v>1350</v>
      </c>
      <c r="BI3565">
        <v>1</v>
      </c>
      <c r="BJ3565">
        <v>1</v>
      </c>
      <c r="BK3565">
        <v>1</v>
      </c>
      <c r="BL3565">
        <v>0</v>
      </c>
      <c r="BO3565">
        <v>0</v>
      </c>
      <c r="BP3565">
        <v>0</v>
      </c>
      <c r="BW3565" t="str">
        <f>"20:33:58.631"</f>
        <v>20:33:58.631</v>
      </c>
      <c r="BZ3565">
        <v>0</v>
      </c>
      <c r="CA3565">
        <v>1600</v>
      </c>
      <c r="CB3565">
        <v>224</v>
      </c>
      <c r="CD3565">
        <v>1</v>
      </c>
      <c r="CE3565">
        <v>0</v>
      </c>
      <c r="CF3565">
        <v>0</v>
      </c>
      <c r="CG3565">
        <v>1</v>
      </c>
      <c r="CH3565">
        <v>0</v>
      </c>
      <c r="CI3565">
        <v>0</v>
      </c>
      <c r="CJ3565">
        <v>0</v>
      </c>
      <c r="CK3565">
        <v>2</v>
      </c>
      <c r="CL3565">
        <v>0</v>
      </c>
      <c r="CM3565">
        <v>2</v>
      </c>
      <c r="CN3565">
        <v>0</v>
      </c>
      <c r="CO3565">
        <v>7</v>
      </c>
      <c r="CP3565" t="s">
        <v>119</v>
      </c>
      <c r="CQ3565">
        <v>180</v>
      </c>
      <c r="CR3565">
        <v>3</v>
      </c>
      <c r="CW3565">
        <v>1194043</v>
      </c>
      <c r="CY3565">
        <v>1</v>
      </c>
      <c r="CZ3565">
        <v>0</v>
      </c>
      <c r="DA3565">
        <v>1</v>
      </c>
      <c r="DB3565">
        <v>0</v>
      </c>
      <c r="DC3565">
        <v>0</v>
      </c>
      <c r="DD3565">
        <v>0</v>
      </c>
      <c r="DE3565">
        <v>0</v>
      </c>
      <c r="DF3565">
        <v>0</v>
      </c>
      <c r="DG3565">
        <v>0</v>
      </c>
      <c r="DH3565">
        <v>0</v>
      </c>
      <c r="DI3565">
        <v>0</v>
      </c>
    </row>
    <row r="3566" spans="1:113" x14ac:dyDescent="0.3">
      <c r="A3566" t="str">
        <f>"02/08/2021 20:33:56.304"</f>
        <v>02/08/2021 20:33:56.304</v>
      </c>
      <c r="C3566" t="str">
        <f t="shared" si="177"/>
        <v>FFDFD7C0</v>
      </c>
      <c r="D3566" t="s">
        <v>113</v>
      </c>
      <c r="E3566">
        <v>6</v>
      </c>
      <c r="H3566">
        <v>165</v>
      </c>
      <c r="I3566" t="s">
        <v>114</v>
      </c>
      <c r="J3566" t="s">
        <v>115</v>
      </c>
      <c r="K3566">
        <v>0</v>
      </c>
      <c r="L3566">
        <v>3</v>
      </c>
      <c r="M3566">
        <v>0</v>
      </c>
      <c r="N3566">
        <v>2</v>
      </c>
      <c r="O3566">
        <v>1</v>
      </c>
      <c r="P3566">
        <v>0</v>
      </c>
      <c r="Q3566">
        <v>0</v>
      </c>
      <c r="S3566" t="str">
        <f>"20:33:58.625"</f>
        <v>20:33:58.625</v>
      </c>
      <c r="T3566" t="str">
        <f>"20:33:58.125"</f>
        <v>20:33:58.125</v>
      </c>
      <c r="U3566" t="str">
        <f t="shared" si="176"/>
        <v>AB01F4</v>
      </c>
      <c r="V3566">
        <v>0</v>
      </c>
      <c r="W3566">
        <v>0</v>
      </c>
      <c r="X3566">
        <v>2</v>
      </c>
      <c r="Z3566">
        <v>0</v>
      </c>
      <c r="AA3566">
        <v>9</v>
      </c>
      <c r="AB3566">
        <v>3</v>
      </c>
      <c r="AC3566">
        <v>0</v>
      </c>
      <c r="AD3566">
        <v>10</v>
      </c>
      <c r="AE3566">
        <v>0</v>
      </c>
      <c r="AF3566">
        <v>3</v>
      </c>
      <c r="AG3566">
        <v>2</v>
      </c>
      <c r="AH3566">
        <v>0</v>
      </c>
      <c r="AI3566" t="s">
        <v>2031</v>
      </c>
      <c r="AJ3566">
        <v>40.097158</v>
      </c>
      <c r="AK3566" t="s">
        <v>2032</v>
      </c>
      <c r="AL3566">
        <v>-92.993838999999994</v>
      </c>
      <c r="AM3566">
        <v>100</v>
      </c>
      <c r="AN3566">
        <v>1300</v>
      </c>
      <c r="AO3566" t="s">
        <v>118</v>
      </c>
      <c r="AP3566">
        <v>-114</v>
      </c>
      <c r="AQ3566">
        <v>62</v>
      </c>
      <c r="AR3566">
        <v>64</v>
      </c>
      <c r="AZ3566">
        <v>1200</v>
      </c>
      <c r="BA3566">
        <v>1</v>
      </c>
      <c r="BB3566" t="str">
        <f t="shared" si="174"/>
        <v xml:space="preserve">N8080G  </v>
      </c>
      <c r="BC3566">
        <v>1</v>
      </c>
      <c r="BE3566">
        <v>0</v>
      </c>
      <c r="BF3566">
        <v>0</v>
      </c>
      <c r="BG3566">
        <v>0</v>
      </c>
      <c r="BH3566">
        <v>1350</v>
      </c>
      <c r="BI3566">
        <v>1</v>
      </c>
      <c r="BJ3566">
        <v>1</v>
      </c>
      <c r="BK3566">
        <v>1</v>
      </c>
      <c r="BL3566">
        <v>0</v>
      </c>
      <c r="BO3566">
        <v>0</v>
      </c>
      <c r="BP3566">
        <v>0</v>
      </c>
      <c r="BW3566" t="str">
        <f>"20:33:58.631"</f>
        <v>20:33:58.631</v>
      </c>
      <c r="BZ3566">
        <v>0</v>
      </c>
      <c r="CA3566">
        <v>1600</v>
      </c>
      <c r="CB3566">
        <v>224</v>
      </c>
      <c r="CD3566">
        <v>1</v>
      </c>
      <c r="CE3566">
        <v>0</v>
      </c>
      <c r="CF3566">
        <v>0</v>
      </c>
      <c r="CG3566">
        <v>1</v>
      </c>
      <c r="CH3566">
        <v>0</v>
      </c>
      <c r="CI3566">
        <v>0</v>
      </c>
      <c r="CJ3566">
        <v>0</v>
      </c>
      <c r="CK3566">
        <v>2</v>
      </c>
      <c r="CL3566">
        <v>0</v>
      </c>
      <c r="CM3566">
        <v>2</v>
      </c>
      <c r="CN3566">
        <v>0</v>
      </c>
      <c r="CO3566">
        <v>7</v>
      </c>
      <c r="CP3566" t="s">
        <v>119</v>
      </c>
      <c r="CQ3566">
        <v>180</v>
      </c>
      <c r="CR3566">
        <v>3</v>
      </c>
      <c r="CW3566">
        <v>1194043</v>
      </c>
      <c r="CY3566">
        <v>1</v>
      </c>
      <c r="CZ3566">
        <v>0</v>
      </c>
      <c r="DA3566">
        <v>1</v>
      </c>
      <c r="DB3566">
        <v>0</v>
      </c>
      <c r="DC3566">
        <v>0</v>
      </c>
      <c r="DD3566">
        <v>0</v>
      </c>
      <c r="DE3566">
        <v>0</v>
      </c>
      <c r="DF3566">
        <v>0</v>
      </c>
      <c r="DG3566">
        <v>0</v>
      </c>
      <c r="DH3566">
        <v>0</v>
      </c>
      <c r="DI3566">
        <v>0</v>
      </c>
    </row>
    <row r="3567" spans="1:113" x14ac:dyDescent="0.3">
      <c r="A3567" t="str">
        <f>"02/08/2021 20:34:00.187"</f>
        <v>02/08/2021 20:34:00.187</v>
      </c>
      <c r="C3567" t="str">
        <f t="shared" si="177"/>
        <v>FFDFD7C0</v>
      </c>
      <c r="D3567" t="s">
        <v>113</v>
      </c>
      <c r="E3567">
        <v>6</v>
      </c>
      <c r="H3567">
        <v>165</v>
      </c>
      <c r="I3567" t="s">
        <v>114</v>
      </c>
      <c r="J3567" t="s">
        <v>115</v>
      </c>
      <c r="K3567">
        <v>0</v>
      </c>
      <c r="L3567">
        <v>3</v>
      </c>
      <c r="M3567">
        <v>0</v>
      </c>
      <c r="N3567">
        <v>2</v>
      </c>
      <c r="O3567">
        <v>1</v>
      </c>
      <c r="P3567">
        <v>0</v>
      </c>
      <c r="Q3567">
        <v>0</v>
      </c>
      <c r="S3567" t="str">
        <f>"20:34:02.492"</f>
        <v>20:34:02.492</v>
      </c>
      <c r="T3567" t="str">
        <f>"20:34:02.092"</f>
        <v>20:34:02.092</v>
      </c>
      <c r="U3567" t="str">
        <f t="shared" si="176"/>
        <v>AB01F4</v>
      </c>
      <c r="V3567">
        <v>0</v>
      </c>
      <c r="W3567">
        <v>0</v>
      </c>
      <c r="X3567">
        <v>2</v>
      </c>
      <c r="Z3567">
        <v>0</v>
      </c>
      <c r="AA3567">
        <v>9</v>
      </c>
      <c r="AB3567">
        <v>3</v>
      </c>
      <c r="AC3567">
        <v>0</v>
      </c>
      <c r="AD3567">
        <v>10</v>
      </c>
      <c r="AE3567">
        <v>0</v>
      </c>
      <c r="AF3567">
        <v>3</v>
      </c>
      <c r="AG3567">
        <v>2</v>
      </c>
      <c r="AH3567">
        <v>0</v>
      </c>
      <c r="AI3567" t="s">
        <v>2033</v>
      </c>
      <c r="AJ3567">
        <v>40.098230999999998</v>
      </c>
      <c r="AK3567" t="s">
        <v>2034</v>
      </c>
      <c r="AL3567">
        <v>-92.996457000000007</v>
      </c>
      <c r="AM3567">
        <v>100</v>
      </c>
      <c r="AN3567">
        <v>1300</v>
      </c>
      <c r="AO3567" t="s">
        <v>118</v>
      </c>
      <c r="AP3567">
        <v>-114</v>
      </c>
      <c r="AQ3567">
        <v>61</v>
      </c>
      <c r="AR3567">
        <v>0</v>
      </c>
      <c r="AZ3567">
        <v>1200</v>
      </c>
      <c r="BA3567">
        <v>1</v>
      </c>
      <c r="BB3567" t="str">
        <f t="shared" ref="BB3567:BB3630" si="178">"N8080G  "</f>
        <v xml:space="preserve">N8080G  </v>
      </c>
      <c r="BC3567">
        <v>1</v>
      </c>
      <c r="BE3567">
        <v>0</v>
      </c>
      <c r="BF3567">
        <v>0</v>
      </c>
      <c r="BG3567">
        <v>0</v>
      </c>
      <c r="BH3567">
        <v>1350</v>
      </c>
      <c r="BI3567">
        <v>1</v>
      </c>
      <c r="BJ3567">
        <v>1</v>
      </c>
      <c r="BK3567">
        <v>1</v>
      </c>
      <c r="BL3567">
        <v>0</v>
      </c>
      <c r="BO3567">
        <v>0</v>
      </c>
      <c r="BP3567">
        <v>0</v>
      </c>
      <c r="BW3567" t="str">
        <f>"20:34:02.498"</f>
        <v>20:34:02.498</v>
      </c>
      <c r="BZ3567">
        <v>0</v>
      </c>
      <c r="CA3567">
        <v>1600</v>
      </c>
      <c r="CB3567">
        <v>224</v>
      </c>
      <c r="CD3567">
        <v>1</v>
      </c>
      <c r="CE3567">
        <v>0</v>
      </c>
      <c r="CF3567">
        <v>0</v>
      </c>
      <c r="CG3567">
        <v>1</v>
      </c>
      <c r="CH3567">
        <v>0</v>
      </c>
      <c r="CI3567">
        <v>0</v>
      </c>
      <c r="CJ3567">
        <v>0</v>
      </c>
      <c r="CK3567">
        <v>2</v>
      </c>
      <c r="CL3567">
        <v>0</v>
      </c>
      <c r="CM3567">
        <v>2</v>
      </c>
      <c r="CN3567">
        <v>0</v>
      </c>
      <c r="CO3567">
        <v>7</v>
      </c>
      <c r="CP3567" t="s">
        <v>119</v>
      </c>
      <c r="CQ3567">
        <v>180</v>
      </c>
      <c r="CR3567">
        <v>3</v>
      </c>
      <c r="CW3567">
        <v>1197095</v>
      </c>
      <c r="CY3567">
        <v>1</v>
      </c>
      <c r="CZ3567">
        <v>0</v>
      </c>
      <c r="DA3567">
        <v>0</v>
      </c>
      <c r="DB3567">
        <v>0</v>
      </c>
      <c r="DC3567">
        <v>0</v>
      </c>
      <c r="DD3567">
        <v>0</v>
      </c>
      <c r="DE3567">
        <v>0</v>
      </c>
      <c r="DF3567">
        <v>0</v>
      </c>
      <c r="DG3567">
        <v>0</v>
      </c>
      <c r="DH3567">
        <v>0</v>
      </c>
      <c r="DI3567">
        <v>0</v>
      </c>
    </row>
    <row r="3568" spans="1:113" x14ac:dyDescent="0.3">
      <c r="A3568" t="str">
        <f>"02/08/2021 20:34:00.187"</f>
        <v>02/08/2021 20:34:00.187</v>
      </c>
      <c r="C3568" t="str">
        <f t="shared" si="177"/>
        <v>FFDFD7C0</v>
      </c>
      <c r="D3568" t="s">
        <v>124</v>
      </c>
      <c r="E3568">
        <v>13</v>
      </c>
      <c r="F3568">
        <v>1013</v>
      </c>
      <c r="G3568" t="s">
        <v>114</v>
      </c>
      <c r="J3568" t="s">
        <v>125</v>
      </c>
      <c r="K3568">
        <v>0</v>
      </c>
      <c r="L3568">
        <v>3</v>
      </c>
      <c r="M3568">
        <v>0</v>
      </c>
      <c r="N3568">
        <v>2</v>
      </c>
      <c r="O3568">
        <v>1</v>
      </c>
      <c r="P3568">
        <v>0</v>
      </c>
      <c r="Q3568">
        <v>0</v>
      </c>
      <c r="S3568" t="str">
        <f>"20:34:02.492"</f>
        <v>20:34:02.492</v>
      </c>
      <c r="T3568" t="str">
        <f>"20:34:02.092"</f>
        <v>20:34:02.092</v>
      </c>
      <c r="U3568" t="str">
        <f t="shared" si="176"/>
        <v>AB01F4</v>
      </c>
      <c r="V3568">
        <v>0</v>
      </c>
      <c r="W3568">
        <v>0</v>
      </c>
      <c r="X3568">
        <v>2</v>
      </c>
      <c r="Z3568">
        <v>0</v>
      </c>
      <c r="AA3568">
        <v>9</v>
      </c>
      <c r="AB3568">
        <v>3</v>
      </c>
      <c r="AC3568">
        <v>0</v>
      </c>
      <c r="AD3568">
        <v>10</v>
      </c>
      <c r="AE3568">
        <v>0</v>
      </c>
      <c r="AF3568">
        <v>3</v>
      </c>
      <c r="AG3568">
        <v>2</v>
      </c>
      <c r="AH3568">
        <v>0</v>
      </c>
      <c r="AI3568" t="s">
        <v>2033</v>
      </c>
      <c r="AJ3568">
        <v>40.098230999999998</v>
      </c>
      <c r="AK3568" t="s">
        <v>2034</v>
      </c>
      <c r="AL3568">
        <v>-92.996457000000007</v>
      </c>
      <c r="AM3568">
        <v>100</v>
      </c>
      <c r="AN3568">
        <v>1300</v>
      </c>
      <c r="AO3568" t="s">
        <v>118</v>
      </c>
      <c r="AP3568">
        <v>-114</v>
      </c>
      <c r="AQ3568">
        <v>61</v>
      </c>
      <c r="AR3568">
        <v>0</v>
      </c>
      <c r="AZ3568">
        <v>1200</v>
      </c>
      <c r="BA3568">
        <v>1</v>
      </c>
      <c r="BB3568" t="str">
        <f t="shared" si="178"/>
        <v xml:space="preserve">N8080G  </v>
      </c>
      <c r="BC3568">
        <v>1</v>
      </c>
      <c r="BE3568">
        <v>0</v>
      </c>
      <c r="BF3568">
        <v>0</v>
      </c>
      <c r="BG3568">
        <v>0</v>
      </c>
      <c r="BH3568">
        <v>1350</v>
      </c>
      <c r="BI3568">
        <v>1</v>
      </c>
      <c r="BJ3568">
        <v>1</v>
      </c>
      <c r="BK3568">
        <v>1</v>
      </c>
      <c r="BL3568">
        <v>0</v>
      </c>
      <c r="BO3568">
        <v>0</v>
      </c>
      <c r="BP3568">
        <v>0</v>
      </c>
      <c r="BW3568" t="str">
        <f>"20:34:02.498"</f>
        <v>20:34:02.498</v>
      </c>
      <c r="BZ3568">
        <v>0</v>
      </c>
      <c r="CA3568">
        <v>1600</v>
      </c>
      <c r="CB3568">
        <v>224</v>
      </c>
      <c r="CD3568">
        <v>1</v>
      </c>
      <c r="CE3568">
        <v>0</v>
      </c>
      <c r="CF3568">
        <v>0</v>
      </c>
      <c r="CG3568">
        <v>1</v>
      </c>
      <c r="CH3568">
        <v>0</v>
      </c>
      <c r="CI3568">
        <v>0</v>
      </c>
      <c r="CJ3568">
        <v>0</v>
      </c>
      <c r="CK3568">
        <v>2</v>
      </c>
      <c r="CL3568">
        <v>0</v>
      </c>
      <c r="CM3568">
        <v>2</v>
      </c>
      <c r="CN3568">
        <v>0</v>
      </c>
      <c r="CO3568">
        <v>7</v>
      </c>
      <c r="CP3568" t="s">
        <v>119</v>
      </c>
      <c r="CQ3568">
        <v>180</v>
      </c>
      <c r="CR3568">
        <v>3</v>
      </c>
      <c r="CW3568">
        <v>1197095</v>
      </c>
      <c r="CY3568">
        <v>1</v>
      </c>
      <c r="CZ3568">
        <v>0</v>
      </c>
      <c r="DA3568">
        <v>1</v>
      </c>
      <c r="DB3568">
        <v>0</v>
      </c>
      <c r="DC3568">
        <v>0</v>
      </c>
      <c r="DD3568">
        <v>0</v>
      </c>
      <c r="DE3568">
        <v>0</v>
      </c>
      <c r="DF3568">
        <v>0</v>
      </c>
      <c r="DG3568">
        <v>0</v>
      </c>
      <c r="DH3568">
        <v>0</v>
      </c>
      <c r="DI3568">
        <v>0</v>
      </c>
    </row>
    <row r="3569" spans="1:113" x14ac:dyDescent="0.3">
      <c r="A3569" t="str">
        <f>"02/08/2021 20:34:00.187"</f>
        <v>02/08/2021 20:34:00.187</v>
      </c>
      <c r="C3569" t="str">
        <f t="shared" si="177"/>
        <v>FFDFD7C0</v>
      </c>
      <c r="D3569" t="s">
        <v>124</v>
      </c>
      <c r="E3569">
        <v>11</v>
      </c>
      <c r="F3569">
        <v>1011</v>
      </c>
      <c r="G3569" t="s">
        <v>590</v>
      </c>
      <c r="J3569" t="s">
        <v>125</v>
      </c>
      <c r="K3569">
        <v>0</v>
      </c>
      <c r="L3569">
        <v>3</v>
      </c>
      <c r="M3569">
        <v>0</v>
      </c>
      <c r="N3569">
        <v>2</v>
      </c>
      <c r="O3569">
        <v>1</v>
      </c>
      <c r="P3569">
        <v>0</v>
      </c>
      <c r="Q3569">
        <v>0</v>
      </c>
      <c r="S3569" t="str">
        <f>"20:34:02.492"</f>
        <v>20:34:02.492</v>
      </c>
      <c r="T3569" t="str">
        <f>"20:34:02.092"</f>
        <v>20:34:02.092</v>
      </c>
      <c r="U3569" t="str">
        <f t="shared" si="176"/>
        <v>AB01F4</v>
      </c>
      <c r="V3569">
        <v>0</v>
      </c>
      <c r="W3569">
        <v>0</v>
      </c>
      <c r="X3569">
        <v>2</v>
      </c>
      <c r="Z3569">
        <v>0</v>
      </c>
      <c r="AA3569">
        <v>9</v>
      </c>
      <c r="AB3569">
        <v>3</v>
      </c>
      <c r="AC3569">
        <v>0</v>
      </c>
      <c r="AD3569">
        <v>10</v>
      </c>
      <c r="AE3569">
        <v>0</v>
      </c>
      <c r="AF3569">
        <v>3</v>
      </c>
      <c r="AG3569">
        <v>2</v>
      </c>
      <c r="AH3569">
        <v>0</v>
      </c>
      <c r="AI3569" t="s">
        <v>2033</v>
      </c>
      <c r="AJ3569">
        <v>40.098230999999998</v>
      </c>
      <c r="AK3569" t="s">
        <v>2034</v>
      </c>
      <c r="AL3569">
        <v>-92.996457000000007</v>
      </c>
      <c r="AM3569">
        <v>100</v>
      </c>
      <c r="AN3569">
        <v>1300</v>
      </c>
      <c r="AO3569" t="s">
        <v>118</v>
      </c>
      <c r="AP3569">
        <v>-114</v>
      </c>
      <c r="AQ3569">
        <v>61</v>
      </c>
      <c r="AR3569">
        <v>0</v>
      </c>
      <c r="AZ3569">
        <v>1200</v>
      </c>
      <c r="BA3569">
        <v>1</v>
      </c>
      <c r="BB3569" t="str">
        <f t="shared" si="178"/>
        <v xml:space="preserve">N8080G  </v>
      </c>
      <c r="BC3569">
        <v>1</v>
      </c>
      <c r="BE3569">
        <v>0</v>
      </c>
      <c r="BF3569">
        <v>0</v>
      </c>
      <c r="BG3569">
        <v>0</v>
      </c>
      <c r="BH3569">
        <v>1350</v>
      </c>
      <c r="BI3569">
        <v>1</v>
      </c>
      <c r="BJ3569">
        <v>1</v>
      </c>
      <c r="BK3569">
        <v>1</v>
      </c>
      <c r="BL3569">
        <v>0</v>
      </c>
      <c r="BO3569">
        <v>0</v>
      </c>
      <c r="BP3569">
        <v>0</v>
      </c>
      <c r="BW3569" t="str">
        <f>"20:34:02.498"</f>
        <v>20:34:02.498</v>
      </c>
      <c r="BZ3569">
        <v>0</v>
      </c>
      <c r="CA3569">
        <v>1600</v>
      </c>
      <c r="CB3569">
        <v>224</v>
      </c>
      <c r="CD3569">
        <v>1</v>
      </c>
      <c r="CE3569">
        <v>0</v>
      </c>
      <c r="CF3569">
        <v>0</v>
      </c>
      <c r="CG3569">
        <v>1</v>
      </c>
      <c r="CH3569">
        <v>0</v>
      </c>
      <c r="CI3569">
        <v>0</v>
      </c>
      <c r="CJ3569">
        <v>0</v>
      </c>
      <c r="CK3569">
        <v>2</v>
      </c>
      <c r="CL3569">
        <v>0</v>
      </c>
      <c r="CM3569">
        <v>2</v>
      </c>
      <c r="CN3569">
        <v>0</v>
      </c>
      <c r="CO3569">
        <v>7</v>
      </c>
      <c r="CP3569" t="s">
        <v>119</v>
      </c>
      <c r="CQ3569">
        <v>180</v>
      </c>
      <c r="CR3569">
        <v>3</v>
      </c>
      <c r="CW3569">
        <v>1197095</v>
      </c>
      <c r="CY3569">
        <v>1</v>
      </c>
      <c r="CZ3569">
        <v>0</v>
      </c>
      <c r="DA3569">
        <v>1</v>
      </c>
      <c r="DB3569">
        <v>0</v>
      </c>
      <c r="DC3569">
        <v>0</v>
      </c>
      <c r="DD3569">
        <v>0</v>
      </c>
      <c r="DE3569">
        <v>0</v>
      </c>
      <c r="DF3569">
        <v>0</v>
      </c>
      <c r="DG3569">
        <v>0</v>
      </c>
      <c r="DH3569">
        <v>0</v>
      </c>
      <c r="DI3569">
        <v>0</v>
      </c>
    </row>
    <row r="3570" spans="1:113" x14ac:dyDescent="0.3">
      <c r="A3570" t="str">
        <f>"02/08/2021 20:34:00.187"</f>
        <v>02/08/2021 20:34:00.187</v>
      </c>
      <c r="C3570" t="str">
        <f t="shared" si="177"/>
        <v>FFDFD7C0</v>
      </c>
      <c r="D3570" t="s">
        <v>124</v>
      </c>
      <c r="E3570">
        <v>12</v>
      </c>
      <c r="F3570">
        <v>1012</v>
      </c>
      <c r="G3570" t="s">
        <v>675</v>
      </c>
      <c r="J3570" t="s">
        <v>125</v>
      </c>
      <c r="K3570">
        <v>0</v>
      </c>
      <c r="L3570">
        <v>3</v>
      </c>
      <c r="M3570">
        <v>0</v>
      </c>
      <c r="N3570">
        <v>2</v>
      </c>
      <c r="O3570">
        <v>1</v>
      </c>
      <c r="P3570">
        <v>0</v>
      </c>
      <c r="Q3570">
        <v>0</v>
      </c>
      <c r="S3570" t="str">
        <f>"20:34:02.492"</f>
        <v>20:34:02.492</v>
      </c>
      <c r="T3570" t="str">
        <f>"20:34:02.092"</f>
        <v>20:34:02.092</v>
      </c>
      <c r="U3570" t="str">
        <f t="shared" si="176"/>
        <v>AB01F4</v>
      </c>
      <c r="V3570">
        <v>0</v>
      </c>
      <c r="W3570">
        <v>0</v>
      </c>
      <c r="X3570">
        <v>2</v>
      </c>
      <c r="Z3570">
        <v>0</v>
      </c>
      <c r="AA3570">
        <v>9</v>
      </c>
      <c r="AB3570">
        <v>3</v>
      </c>
      <c r="AC3570">
        <v>0</v>
      </c>
      <c r="AD3570">
        <v>10</v>
      </c>
      <c r="AE3570">
        <v>0</v>
      </c>
      <c r="AF3570">
        <v>3</v>
      </c>
      <c r="AG3570">
        <v>2</v>
      </c>
      <c r="AH3570">
        <v>0</v>
      </c>
      <c r="AI3570" t="s">
        <v>2033</v>
      </c>
      <c r="AJ3570">
        <v>40.098230999999998</v>
      </c>
      <c r="AK3570" t="s">
        <v>2034</v>
      </c>
      <c r="AL3570">
        <v>-92.996457000000007</v>
      </c>
      <c r="AM3570">
        <v>100</v>
      </c>
      <c r="AN3570">
        <v>1300</v>
      </c>
      <c r="AO3570" t="s">
        <v>118</v>
      </c>
      <c r="AP3570">
        <v>-114</v>
      </c>
      <c r="AQ3570">
        <v>61</v>
      </c>
      <c r="AR3570">
        <v>0</v>
      </c>
      <c r="AZ3570">
        <v>1200</v>
      </c>
      <c r="BA3570">
        <v>1</v>
      </c>
      <c r="BB3570" t="str">
        <f t="shared" si="178"/>
        <v xml:space="preserve">N8080G  </v>
      </c>
      <c r="BC3570">
        <v>1</v>
      </c>
      <c r="BE3570">
        <v>0</v>
      </c>
      <c r="BF3570">
        <v>0</v>
      </c>
      <c r="BG3570">
        <v>0</v>
      </c>
      <c r="BH3570">
        <v>1350</v>
      </c>
      <c r="BI3570">
        <v>1</v>
      </c>
      <c r="BJ3570">
        <v>1</v>
      </c>
      <c r="BK3570">
        <v>1</v>
      </c>
      <c r="BL3570">
        <v>0</v>
      </c>
      <c r="BO3570">
        <v>0</v>
      </c>
      <c r="BP3570">
        <v>0</v>
      </c>
      <c r="BW3570" t="str">
        <f>"20:34:02.498"</f>
        <v>20:34:02.498</v>
      </c>
      <c r="BZ3570">
        <v>0</v>
      </c>
      <c r="CA3570">
        <v>1600</v>
      </c>
      <c r="CB3570">
        <v>224</v>
      </c>
      <c r="CD3570">
        <v>1</v>
      </c>
      <c r="CE3570">
        <v>0</v>
      </c>
      <c r="CF3570">
        <v>0</v>
      </c>
      <c r="CG3570">
        <v>1</v>
      </c>
      <c r="CH3570">
        <v>0</v>
      </c>
      <c r="CI3570">
        <v>0</v>
      </c>
      <c r="CJ3570">
        <v>0</v>
      </c>
      <c r="CK3570">
        <v>2</v>
      </c>
      <c r="CL3570">
        <v>0</v>
      </c>
      <c r="CM3570">
        <v>2</v>
      </c>
      <c r="CN3570">
        <v>0</v>
      </c>
      <c r="CO3570">
        <v>7</v>
      </c>
      <c r="CP3570" t="s">
        <v>119</v>
      </c>
      <c r="CQ3570">
        <v>180</v>
      </c>
      <c r="CR3570">
        <v>3</v>
      </c>
      <c r="CW3570">
        <v>1197095</v>
      </c>
      <c r="CY3570">
        <v>1</v>
      </c>
      <c r="CZ3570">
        <v>0</v>
      </c>
      <c r="DA3570">
        <v>1</v>
      </c>
      <c r="DB3570">
        <v>0</v>
      </c>
      <c r="DC3570">
        <v>0</v>
      </c>
      <c r="DD3570">
        <v>0</v>
      </c>
      <c r="DE3570">
        <v>0</v>
      </c>
      <c r="DF3570">
        <v>0</v>
      </c>
      <c r="DG3570">
        <v>0</v>
      </c>
      <c r="DH3570">
        <v>0</v>
      </c>
      <c r="DI3570">
        <v>0</v>
      </c>
    </row>
    <row r="3571" spans="1:113" x14ac:dyDescent="0.3">
      <c r="A3571" t="str">
        <f>"02/08/2021 20:34:01.830"</f>
        <v>02/08/2021 20:34:01.830</v>
      </c>
      <c r="C3571" t="str">
        <f t="shared" ref="C3571:C3602" si="179">"FFDFD7C0"</f>
        <v>FFDFD7C0</v>
      </c>
      <c r="D3571" t="s">
        <v>124</v>
      </c>
      <c r="E3571">
        <v>11</v>
      </c>
      <c r="F3571">
        <v>1011</v>
      </c>
      <c r="G3571" t="s">
        <v>590</v>
      </c>
      <c r="J3571" t="s">
        <v>125</v>
      </c>
      <c r="K3571">
        <v>0</v>
      </c>
      <c r="L3571">
        <v>3</v>
      </c>
      <c r="M3571">
        <v>0</v>
      </c>
      <c r="N3571">
        <v>2</v>
      </c>
      <c r="O3571">
        <v>1</v>
      </c>
      <c r="P3571">
        <v>0</v>
      </c>
      <c r="Q3571">
        <v>0</v>
      </c>
      <c r="S3571" t="str">
        <f>"20:34:04.141"</f>
        <v>20:34:04.141</v>
      </c>
      <c r="T3571" t="str">
        <f>"20:34:03.641"</f>
        <v>20:34:03.641</v>
      </c>
      <c r="U3571" t="str">
        <f t="shared" si="176"/>
        <v>AB01F4</v>
      </c>
      <c r="V3571">
        <v>0</v>
      </c>
      <c r="W3571">
        <v>0</v>
      </c>
      <c r="X3571">
        <v>2</v>
      </c>
      <c r="Z3571">
        <v>0</v>
      </c>
      <c r="AA3571">
        <v>9</v>
      </c>
      <c r="AB3571">
        <v>3</v>
      </c>
      <c r="AC3571">
        <v>0</v>
      </c>
      <c r="AD3571">
        <v>10</v>
      </c>
      <c r="AE3571">
        <v>0</v>
      </c>
      <c r="AF3571">
        <v>3</v>
      </c>
      <c r="AG3571">
        <v>2</v>
      </c>
      <c r="AH3571">
        <v>0</v>
      </c>
      <c r="AI3571" t="s">
        <v>2035</v>
      </c>
      <c r="AJ3571">
        <v>40.098723999999997</v>
      </c>
      <c r="AK3571" t="s">
        <v>2036</v>
      </c>
      <c r="AL3571">
        <v>-92.997614999999996</v>
      </c>
      <c r="AM3571">
        <v>100</v>
      </c>
      <c r="AN3571">
        <v>1300</v>
      </c>
      <c r="AO3571" t="s">
        <v>118</v>
      </c>
      <c r="AP3571">
        <v>-113</v>
      </c>
      <c r="AQ3571">
        <v>61</v>
      </c>
      <c r="AR3571">
        <v>64</v>
      </c>
      <c r="AZ3571">
        <v>1200</v>
      </c>
      <c r="BA3571">
        <v>1</v>
      </c>
      <c r="BB3571" t="str">
        <f t="shared" si="178"/>
        <v xml:space="preserve">N8080G  </v>
      </c>
      <c r="BC3571">
        <v>1</v>
      </c>
      <c r="BE3571">
        <v>0</v>
      </c>
      <c r="BF3571">
        <v>0</v>
      </c>
      <c r="BG3571">
        <v>0</v>
      </c>
      <c r="BH3571">
        <v>1350</v>
      </c>
      <c r="BI3571">
        <v>1</v>
      </c>
      <c r="BJ3571">
        <v>1</v>
      </c>
      <c r="BK3571">
        <v>1</v>
      </c>
      <c r="BL3571">
        <v>0</v>
      </c>
      <c r="BO3571">
        <v>0</v>
      </c>
      <c r="BP3571">
        <v>0</v>
      </c>
      <c r="BW3571" t="str">
        <f>"20:34:04.141"</f>
        <v>20:34:04.141</v>
      </c>
      <c r="BZ3571">
        <v>0</v>
      </c>
      <c r="CA3571">
        <v>1600</v>
      </c>
      <c r="CB3571">
        <v>224</v>
      </c>
      <c r="CD3571">
        <v>1</v>
      </c>
      <c r="CE3571">
        <v>0</v>
      </c>
      <c r="CF3571">
        <v>0</v>
      </c>
      <c r="CG3571">
        <v>1</v>
      </c>
      <c r="CH3571">
        <v>0</v>
      </c>
      <c r="CI3571">
        <v>0</v>
      </c>
      <c r="CJ3571">
        <v>0</v>
      </c>
      <c r="CK3571">
        <v>2</v>
      </c>
      <c r="CL3571">
        <v>0</v>
      </c>
      <c r="CM3571">
        <v>2</v>
      </c>
      <c r="CN3571">
        <v>0</v>
      </c>
      <c r="CO3571">
        <v>6</v>
      </c>
      <c r="CP3571" t="s">
        <v>119</v>
      </c>
      <c r="CQ3571">
        <v>180</v>
      </c>
      <c r="CR3571">
        <v>3</v>
      </c>
      <c r="CW3571">
        <v>1198284</v>
      </c>
      <c r="CY3571">
        <v>1</v>
      </c>
      <c r="CZ3571">
        <v>0</v>
      </c>
      <c r="DA3571">
        <v>0</v>
      </c>
      <c r="DB3571">
        <v>0</v>
      </c>
      <c r="DC3571">
        <v>0</v>
      </c>
      <c r="DD3571">
        <v>0</v>
      </c>
      <c r="DE3571">
        <v>0</v>
      </c>
      <c r="DF3571">
        <v>0</v>
      </c>
      <c r="DG3571">
        <v>0</v>
      </c>
      <c r="DH3571">
        <v>0</v>
      </c>
      <c r="DI3571">
        <v>0</v>
      </c>
    </row>
    <row r="3572" spans="1:113" x14ac:dyDescent="0.3">
      <c r="A3572" t="str">
        <f>"02/08/2021 20:34:01.830"</f>
        <v>02/08/2021 20:34:01.830</v>
      </c>
      <c r="C3572" t="str">
        <f t="shared" si="179"/>
        <v>FFDFD7C0</v>
      </c>
      <c r="D3572" t="s">
        <v>124</v>
      </c>
      <c r="E3572">
        <v>12</v>
      </c>
      <c r="F3572">
        <v>1012</v>
      </c>
      <c r="G3572" t="s">
        <v>675</v>
      </c>
      <c r="J3572" t="s">
        <v>125</v>
      </c>
      <c r="K3572">
        <v>0</v>
      </c>
      <c r="L3572">
        <v>3</v>
      </c>
      <c r="M3572">
        <v>0</v>
      </c>
      <c r="N3572">
        <v>2</v>
      </c>
      <c r="O3572">
        <v>1</v>
      </c>
      <c r="P3572">
        <v>0</v>
      </c>
      <c r="Q3572">
        <v>0</v>
      </c>
      <c r="S3572" t="str">
        <f>"20:34:04.141"</f>
        <v>20:34:04.141</v>
      </c>
      <c r="T3572" t="str">
        <f>"20:34:03.641"</f>
        <v>20:34:03.641</v>
      </c>
      <c r="U3572" t="str">
        <f t="shared" si="176"/>
        <v>AB01F4</v>
      </c>
      <c r="V3572">
        <v>0</v>
      </c>
      <c r="W3572">
        <v>0</v>
      </c>
      <c r="X3572">
        <v>2</v>
      </c>
      <c r="Z3572">
        <v>0</v>
      </c>
      <c r="AA3572">
        <v>9</v>
      </c>
      <c r="AB3572">
        <v>3</v>
      </c>
      <c r="AC3572">
        <v>0</v>
      </c>
      <c r="AD3572">
        <v>10</v>
      </c>
      <c r="AE3572">
        <v>0</v>
      </c>
      <c r="AF3572">
        <v>3</v>
      </c>
      <c r="AG3572">
        <v>2</v>
      </c>
      <c r="AH3572">
        <v>0</v>
      </c>
      <c r="AI3572" t="s">
        <v>2035</v>
      </c>
      <c r="AJ3572">
        <v>40.098723999999997</v>
      </c>
      <c r="AK3572" t="s">
        <v>2036</v>
      </c>
      <c r="AL3572">
        <v>-92.997614999999996</v>
      </c>
      <c r="AM3572">
        <v>100</v>
      </c>
      <c r="AN3572">
        <v>1300</v>
      </c>
      <c r="AO3572" t="s">
        <v>118</v>
      </c>
      <c r="AP3572">
        <v>-113</v>
      </c>
      <c r="AQ3572">
        <v>61</v>
      </c>
      <c r="AR3572">
        <v>64</v>
      </c>
      <c r="AZ3572">
        <v>1200</v>
      </c>
      <c r="BA3572">
        <v>1</v>
      </c>
      <c r="BB3572" t="str">
        <f t="shared" si="178"/>
        <v xml:space="preserve">N8080G  </v>
      </c>
      <c r="BC3572">
        <v>1</v>
      </c>
      <c r="BE3572">
        <v>0</v>
      </c>
      <c r="BF3572">
        <v>0</v>
      </c>
      <c r="BG3572">
        <v>0</v>
      </c>
      <c r="BH3572">
        <v>1350</v>
      </c>
      <c r="BI3572">
        <v>1</v>
      </c>
      <c r="BJ3572">
        <v>1</v>
      </c>
      <c r="BK3572">
        <v>1</v>
      </c>
      <c r="BL3572">
        <v>0</v>
      </c>
      <c r="BO3572">
        <v>0</v>
      </c>
      <c r="BP3572">
        <v>0</v>
      </c>
      <c r="BW3572" t="str">
        <f>"20:34:04.141"</f>
        <v>20:34:04.141</v>
      </c>
      <c r="BZ3572">
        <v>0</v>
      </c>
      <c r="CA3572">
        <v>1600</v>
      </c>
      <c r="CB3572">
        <v>224</v>
      </c>
      <c r="CD3572">
        <v>1</v>
      </c>
      <c r="CE3572">
        <v>0</v>
      </c>
      <c r="CF3572">
        <v>0</v>
      </c>
      <c r="CG3572">
        <v>1</v>
      </c>
      <c r="CH3572">
        <v>0</v>
      </c>
      <c r="CI3572">
        <v>0</v>
      </c>
      <c r="CJ3572">
        <v>0</v>
      </c>
      <c r="CK3572">
        <v>2</v>
      </c>
      <c r="CL3572">
        <v>0</v>
      </c>
      <c r="CM3572">
        <v>2</v>
      </c>
      <c r="CN3572">
        <v>0</v>
      </c>
      <c r="CO3572">
        <v>6</v>
      </c>
      <c r="CP3572" t="s">
        <v>119</v>
      </c>
      <c r="CQ3572">
        <v>180</v>
      </c>
      <c r="CR3572">
        <v>3</v>
      </c>
      <c r="CW3572">
        <v>1198284</v>
      </c>
      <c r="CY3572">
        <v>1</v>
      </c>
      <c r="CZ3572">
        <v>0</v>
      </c>
      <c r="DA3572">
        <v>1</v>
      </c>
      <c r="DB3572">
        <v>0</v>
      </c>
      <c r="DC3572">
        <v>0</v>
      </c>
      <c r="DD3572">
        <v>0</v>
      </c>
      <c r="DE3572">
        <v>0</v>
      </c>
      <c r="DF3572">
        <v>0</v>
      </c>
      <c r="DG3572">
        <v>0</v>
      </c>
      <c r="DH3572">
        <v>0</v>
      </c>
      <c r="DI3572">
        <v>0</v>
      </c>
    </row>
    <row r="3573" spans="1:113" x14ac:dyDescent="0.3">
      <c r="A3573" t="str">
        <f>"02/08/2021 20:34:01.830"</f>
        <v>02/08/2021 20:34:01.830</v>
      </c>
      <c r="C3573" t="str">
        <f t="shared" si="179"/>
        <v>FFDFD7C0</v>
      </c>
      <c r="D3573" t="s">
        <v>124</v>
      </c>
      <c r="E3573">
        <v>13</v>
      </c>
      <c r="F3573">
        <v>1013</v>
      </c>
      <c r="G3573" t="s">
        <v>114</v>
      </c>
      <c r="J3573" t="s">
        <v>125</v>
      </c>
      <c r="K3573">
        <v>0</v>
      </c>
      <c r="L3573">
        <v>3</v>
      </c>
      <c r="M3573">
        <v>0</v>
      </c>
      <c r="N3573">
        <v>2</v>
      </c>
      <c r="O3573">
        <v>1</v>
      </c>
      <c r="P3573">
        <v>0</v>
      </c>
      <c r="Q3573">
        <v>0</v>
      </c>
      <c r="S3573" t="str">
        <f>"20:34:04.141"</f>
        <v>20:34:04.141</v>
      </c>
      <c r="T3573" t="str">
        <f>"20:34:03.641"</f>
        <v>20:34:03.641</v>
      </c>
      <c r="U3573" t="str">
        <f t="shared" si="176"/>
        <v>AB01F4</v>
      </c>
      <c r="V3573">
        <v>0</v>
      </c>
      <c r="W3573">
        <v>0</v>
      </c>
      <c r="X3573">
        <v>2</v>
      </c>
      <c r="Z3573">
        <v>0</v>
      </c>
      <c r="AA3573">
        <v>9</v>
      </c>
      <c r="AB3573">
        <v>3</v>
      </c>
      <c r="AC3573">
        <v>0</v>
      </c>
      <c r="AD3573">
        <v>10</v>
      </c>
      <c r="AE3573">
        <v>0</v>
      </c>
      <c r="AF3573">
        <v>3</v>
      </c>
      <c r="AG3573">
        <v>2</v>
      </c>
      <c r="AH3573">
        <v>0</v>
      </c>
      <c r="AI3573" t="s">
        <v>2035</v>
      </c>
      <c r="AJ3573">
        <v>40.098723999999997</v>
      </c>
      <c r="AK3573" t="s">
        <v>2036</v>
      </c>
      <c r="AL3573">
        <v>-92.997614999999996</v>
      </c>
      <c r="AM3573">
        <v>100</v>
      </c>
      <c r="AN3573">
        <v>1300</v>
      </c>
      <c r="AO3573" t="s">
        <v>118</v>
      </c>
      <c r="AP3573">
        <v>-113</v>
      </c>
      <c r="AQ3573">
        <v>61</v>
      </c>
      <c r="AR3573">
        <v>64</v>
      </c>
      <c r="AZ3573">
        <v>1200</v>
      </c>
      <c r="BA3573">
        <v>1</v>
      </c>
      <c r="BB3573" t="str">
        <f t="shared" si="178"/>
        <v xml:space="preserve">N8080G  </v>
      </c>
      <c r="BC3573">
        <v>1</v>
      </c>
      <c r="BE3573">
        <v>0</v>
      </c>
      <c r="BF3573">
        <v>0</v>
      </c>
      <c r="BG3573">
        <v>0</v>
      </c>
      <c r="BH3573">
        <v>1350</v>
      </c>
      <c r="BI3573">
        <v>1</v>
      </c>
      <c r="BJ3573">
        <v>1</v>
      </c>
      <c r="BK3573">
        <v>1</v>
      </c>
      <c r="BL3573">
        <v>0</v>
      </c>
      <c r="BO3573">
        <v>0</v>
      </c>
      <c r="BP3573">
        <v>0</v>
      </c>
      <c r="BW3573" t="str">
        <f>"20:34:04.141"</f>
        <v>20:34:04.141</v>
      </c>
      <c r="BZ3573">
        <v>0</v>
      </c>
      <c r="CA3573">
        <v>1600</v>
      </c>
      <c r="CB3573">
        <v>224</v>
      </c>
      <c r="CD3573">
        <v>1</v>
      </c>
      <c r="CE3573">
        <v>0</v>
      </c>
      <c r="CF3573">
        <v>0</v>
      </c>
      <c r="CG3573">
        <v>1</v>
      </c>
      <c r="CH3573">
        <v>0</v>
      </c>
      <c r="CI3573">
        <v>0</v>
      </c>
      <c r="CJ3573">
        <v>0</v>
      </c>
      <c r="CK3573">
        <v>2</v>
      </c>
      <c r="CL3573">
        <v>0</v>
      </c>
      <c r="CM3573">
        <v>2</v>
      </c>
      <c r="CN3573">
        <v>0</v>
      </c>
      <c r="CO3573">
        <v>6</v>
      </c>
      <c r="CP3573" t="s">
        <v>119</v>
      </c>
      <c r="CQ3573">
        <v>180</v>
      </c>
      <c r="CR3573">
        <v>3</v>
      </c>
      <c r="CW3573">
        <v>1198284</v>
      </c>
      <c r="CY3573">
        <v>1</v>
      </c>
      <c r="CZ3573">
        <v>0</v>
      </c>
      <c r="DA3573">
        <v>1</v>
      </c>
      <c r="DB3573">
        <v>0</v>
      </c>
      <c r="DC3573">
        <v>0</v>
      </c>
      <c r="DD3573">
        <v>0</v>
      </c>
      <c r="DE3573">
        <v>0</v>
      </c>
      <c r="DF3573">
        <v>0</v>
      </c>
      <c r="DG3573">
        <v>0</v>
      </c>
      <c r="DH3573">
        <v>0</v>
      </c>
      <c r="DI3573">
        <v>0</v>
      </c>
    </row>
    <row r="3574" spans="1:113" x14ac:dyDescent="0.3">
      <c r="A3574" t="str">
        <f>"02/08/2021 20:34:01.830"</f>
        <v>02/08/2021 20:34:01.830</v>
      </c>
      <c r="C3574" t="str">
        <f t="shared" si="179"/>
        <v>FFDFD7C0</v>
      </c>
      <c r="D3574" t="s">
        <v>113</v>
      </c>
      <c r="E3574">
        <v>6</v>
      </c>
      <c r="H3574">
        <v>165</v>
      </c>
      <c r="I3574" t="s">
        <v>114</v>
      </c>
      <c r="J3574" t="s">
        <v>115</v>
      </c>
      <c r="K3574">
        <v>0</v>
      </c>
      <c r="L3574">
        <v>3</v>
      </c>
      <c r="M3574">
        <v>0</v>
      </c>
      <c r="N3574">
        <v>2</v>
      </c>
      <c r="O3574">
        <v>1</v>
      </c>
      <c r="P3574">
        <v>0</v>
      </c>
      <c r="Q3574">
        <v>0</v>
      </c>
      <c r="S3574" t="str">
        <f>"20:34:04.141"</f>
        <v>20:34:04.141</v>
      </c>
      <c r="T3574" t="str">
        <f>"20:34:03.641"</f>
        <v>20:34:03.641</v>
      </c>
      <c r="U3574" t="str">
        <f t="shared" si="176"/>
        <v>AB01F4</v>
      </c>
      <c r="V3574">
        <v>0</v>
      </c>
      <c r="W3574">
        <v>0</v>
      </c>
      <c r="X3574">
        <v>2</v>
      </c>
      <c r="Z3574">
        <v>0</v>
      </c>
      <c r="AA3574">
        <v>9</v>
      </c>
      <c r="AB3574">
        <v>3</v>
      </c>
      <c r="AC3574">
        <v>0</v>
      </c>
      <c r="AD3574">
        <v>10</v>
      </c>
      <c r="AE3574">
        <v>0</v>
      </c>
      <c r="AF3574">
        <v>3</v>
      </c>
      <c r="AG3574">
        <v>2</v>
      </c>
      <c r="AH3574">
        <v>0</v>
      </c>
      <c r="AI3574" t="s">
        <v>2035</v>
      </c>
      <c r="AJ3574">
        <v>40.098723999999997</v>
      </c>
      <c r="AK3574" t="s">
        <v>2036</v>
      </c>
      <c r="AL3574">
        <v>-92.997614999999996</v>
      </c>
      <c r="AM3574">
        <v>100</v>
      </c>
      <c r="AN3574">
        <v>1300</v>
      </c>
      <c r="AO3574" t="s">
        <v>118</v>
      </c>
      <c r="AP3574">
        <v>-113</v>
      </c>
      <c r="AQ3574">
        <v>61</v>
      </c>
      <c r="AR3574">
        <v>64</v>
      </c>
      <c r="AZ3574">
        <v>1200</v>
      </c>
      <c r="BA3574">
        <v>1</v>
      </c>
      <c r="BB3574" t="str">
        <f t="shared" si="178"/>
        <v xml:space="preserve">N8080G  </v>
      </c>
      <c r="BC3574">
        <v>1</v>
      </c>
      <c r="BE3574">
        <v>0</v>
      </c>
      <c r="BF3574">
        <v>0</v>
      </c>
      <c r="BG3574">
        <v>0</v>
      </c>
      <c r="BH3574">
        <v>1350</v>
      </c>
      <c r="BI3574">
        <v>1</v>
      </c>
      <c r="BJ3574">
        <v>1</v>
      </c>
      <c r="BK3574">
        <v>1</v>
      </c>
      <c r="BL3574">
        <v>0</v>
      </c>
      <c r="BO3574">
        <v>0</v>
      </c>
      <c r="BP3574">
        <v>0</v>
      </c>
      <c r="BW3574" t="str">
        <f>"20:34:04.141"</f>
        <v>20:34:04.141</v>
      </c>
      <c r="BZ3574">
        <v>0</v>
      </c>
      <c r="CA3574">
        <v>1600</v>
      </c>
      <c r="CB3574">
        <v>224</v>
      </c>
      <c r="CD3574">
        <v>1</v>
      </c>
      <c r="CE3574">
        <v>0</v>
      </c>
      <c r="CF3574">
        <v>0</v>
      </c>
      <c r="CG3574">
        <v>1</v>
      </c>
      <c r="CH3574">
        <v>0</v>
      </c>
      <c r="CI3574">
        <v>0</v>
      </c>
      <c r="CJ3574">
        <v>0</v>
      </c>
      <c r="CK3574">
        <v>2</v>
      </c>
      <c r="CL3574">
        <v>0</v>
      </c>
      <c r="CM3574">
        <v>2</v>
      </c>
      <c r="CN3574">
        <v>0</v>
      </c>
      <c r="CO3574">
        <v>6</v>
      </c>
      <c r="CP3574" t="s">
        <v>119</v>
      </c>
      <c r="CQ3574">
        <v>180</v>
      </c>
      <c r="CR3574">
        <v>3</v>
      </c>
      <c r="CW3574">
        <v>1198284</v>
      </c>
      <c r="CY3574">
        <v>1</v>
      </c>
      <c r="CZ3574">
        <v>0</v>
      </c>
      <c r="DA3574">
        <v>1</v>
      </c>
      <c r="DB3574">
        <v>0</v>
      </c>
      <c r="DC3574">
        <v>0</v>
      </c>
      <c r="DD3574">
        <v>0</v>
      </c>
      <c r="DE3574">
        <v>0</v>
      </c>
      <c r="DF3574">
        <v>0</v>
      </c>
      <c r="DG3574">
        <v>0</v>
      </c>
      <c r="DH3574">
        <v>0</v>
      </c>
      <c r="DI3574">
        <v>0</v>
      </c>
    </row>
    <row r="3575" spans="1:113" x14ac:dyDescent="0.3">
      <c r="A3575" t="str">
        <f>"02/08/2021 20:34:03.623"</f>
        <v>02/08/2021 20:34:03.623</v>
      </c>
      <c r="C3575" t="str">
        <f t="shared" si="179"/>
        <v>FFDFD7C0</v>
      </c>
      <c r="D3575" t="s">
        <v>113</v>
      </c>
      <c r="E3575">
        <v>6</v>
      </c>
      <c r="H3575">
        <v>165</v>
      </c>
      <c r="I3575" t="s">
        <v>114</v>
      </c>
      <c r="J3575" t="s">
        <v>115</v>
      </c>
      <c r="K3575">
        <v>0</v>
      </c>
      <c r="L3575">
        <v>3</v>
      </c>
      <c r="M3575">
        <v>0</v>
      </c>
      <c r="N3575">
        <v>2</v>
      </c>
      <c r="O3575">
        <v>1</v>
      </c>
      <c r="P3575">
        <v>0</v>
      </c>
      <c r="Q3575">
        <v>0</v>
      </c>
      <c r="S3575" t="str">
        <f>"20:34:05.938"</f>
        <v>20:34:05.938</v>
      </c>
      <c r="T3575" t="str">
        <f>"20:34:05.538"</f>
        <v>20:34:05.538</v>
      </c>
      <c r="U3575" t="str">
        <f t="shared" si="176"/>
        <v>AB01F4</v>
      </c>
      <c r="V3575">
        <v>0</v>
      </c>
      <c r="W3575">
        <v>0</v>
      </c>
      <c r="X3575">
        <v>2</v>
      </c>
      <c r="Z3575">
        <v>0</v>
      </c>
      <c r="AA3575">
        <v>9</v>
      </c>
      <c r="AB3575">
        <v>3</v>
      </c>
      <c r="AC3575">
        <v>0</v>
      </c>
      <c r="AD3575">
        <v>10</v>
      </c>
      <c r="AE3575">
        <v>0</v>
      </c>
      <c r="AF3575">
        <v>3</v>
      </c>
      <c r="AG3575">
        <v>2</v>
      </c>
      <c r="AH3575">
        <v>0</v>
      </c>
      <c r="AI3575" t="s">
        <v>2037</v>
      </c>
      <c r="AJ3575">
        <v>40.099218</v>
      </c>
      <c r="AK3575" t="s">
        <v>2038</v>
      </c>
      <c r="AL3575">
        <v>-92.998838000000006</v>
      </c>
      <c r="AM3575">
        <v>100</v>
      </c>
      <c r="AN3575">
        <v>1300</v>
      </c>
      <c r="AO3575" t="s">
        <v>118</v>
      </c>
      <c r="AP3575">
        <v>-113</v>
      </c>
      <c r="AQ3575">
        <v>61</v>
      </c>
      <c r="AR3575">
        <v>64</v>
      </c>
      <c r="AZ3575">
        <v>1200</v>
      </c>
      <c r="BA3575">
        <v>1</v>
      </c>
      <c r="BB3575" t="str">
        <f t="shared" si="178"/>
        <v xml:space="preserve">N8080G  </v>
      </c>
      <c r="BC3575">
        <v>1</v>
      </c>
      <c r="BE3575">
        <v>0</v>
      </c>
      <c r="BF3575">
        <v>0</v>
      </c>
      <c r="BG3575">
        <v>0</v>
      </c>
      <c r="BH3575">
        <v>1350</v>
      </c>
      <c r="BI3575">
        <v>1</v>
      </c>
      <c r="BJ3575">
        <v>1</v>
      </c>
      <c r="BK3575">
        <v>1</v>
      </c>
      <c r="BL3575">
        <v>0</v>
      </c>
      <c r="BO3575">
        <v>0</v>
      </c>
      <c r="BP3575">
        <v>0</v>
      </c>
      <c r="BW3575" t="str">
        <f>"20:34:05.939"</f>
        <v>20:34:05.939</v>
      </c>
      <c r="BZ3575">
        <v>0</v>
      </c>
      <c r="CA3575">
        <v>1600</v>
      </c>
      <c r="CB3575">
        <v>224</v>
      </c>
      <c r="CD3575">
        <v>1</v>
      </c>
      <c r="CE3575">
        <v>0</v>
      </c>
      <c r="CF3575">
        <v>0</v>
      </c>
      <c r="CG3575">
        <v>1</v>
      </c>
      <c r="CH3575">
        <v>0</v>
      </c>
      <c r="CI3575">
        <v>0</v>
      </c>
      <c r="CJ3575">
        <v>0</v>
      </c>
      <c r="CK3575">
        <v>2</v>
      </c>
      <c r="CL3575">
        <v>0</v>
      </c>
      <c r="CM3575">
        <v>2</v>
      </c>
      <c r="CN3575">
        <v>0</v>
      </c>
      <c r="CO3575">
        <v>6</v>
      </c>
      <c r="CP3575" t="s">
        <v>119</v>
      </c>
      <c r="CQ3575">
        <v>180</v>
      </c>
      <c r="CR3575">
        <v>3</v>
      </c>
      <c r="CW3575">
        <v>1199791</v>
      </c>
      <c r="CY3575">
        <v>1</v>
      </c>
      <c r="CZ3575">
        <v>0</v>
      </c>
      <c r="DA3575">
        <v>0</v>
      </c>
      <c r="DB3575">
        <v>0</v>
      </c>
      <c r="DC3575">
        <v>0</v>
      </c>
      <c r="DD3575">
        <v>0</v>
      </c>
      <c r="DE3575">
        <v>0</v>
      </c>
      <c r="DF3575">
        <v>0</v>
      </c>
      <c r="DG3575">
        <v>0</v>
      </c>
      <c r="DH3575">
        <v>0</v>
      </c>
      <c r="DI3575">
        <v>0</v>
      </c>
    </row>
    <row r="3576" spans="1:113" x14ac:dyDescent="0.3">
      <c r="A3576" t="str">
        <f>"02/08/2021 20:34:03.623"</f>
        <v>02/08/2021 20:34:03.623</v>
      </c>
      <c r="C3576" t="str">
        <f t="shared" si="179"/>
        <v>FFDFD7C0</v>
      </c>
      <c r="D3576" t="s">
        <v>124</v>
      </c>
      <c r="E3576">
        <v>11</v>
      </c>
      <c r="F3576">
        <v>1011</v>
      </c>
      <c r="G3576" t="s">
        <v>590</v>
      </c>
      <c r="J3576" t="s">
        <v>125</v>
      </c>
      <c r="K3576">
        <v>0</v>
      </c>
      <c r="L3576">
        <v>3</v>
      </c>
      <c r="M3576">
        <v>0</v>
      </c>
      <c r="N3576">
        <v>2</v>
      </c>
      <c r="O3576">
        <v>1</v>
      </c>
      <c r="P3576">
        <v>0</v>
      </c>
      <c r="Q3576">
        <v>0</v>
      </c>
      <c r="S3576" t="str">
        <f>"20:34:05.938"</f>
        <v>20:34:05.938</v>
      </c>
      <c r="T3576" t="str">
        <f>"20:34:05.538"</f>
        <v>20:34:05.538</v>
      </c>
      <c r="U3576" t="str">
        <f t="shared" si="176"/>
        <v>AB01F4</v>
      </c>
      <c r="V3576">
        <v>0</v>
      </c>
      <c r="W3576">
        <v>0</v>
      </c>
      <c r="X3576">
        <v>2</v>
      </c>
      <c r="Z3576">
        <v>0</v>
      </c>
      <c r="AA3576">
        <v>9</v>
      </c>
      <c r="AB3576">
        <v>3</v>
      </c>
      <c r="AC3576">
        <v>0</v>
      </c>
      <c r="AD3576">
        <v>10</v>
      </c>
      <c r="AE3576">
        <v>0</v>
      </c>
      <c r="AF3576">
        <v>3</v>
      </c>
      <c r="AG3576">
        <v>2</v>
      </c>
      <c r="AH3576">
        <v>0</v>
      </c>
      <c r="AI3576" t="s">
        <v>2037</v>
      </c>
      <c r="AJ3576">
        <v>40.099218</v>
      </c>
      <c r="AK3576" t="s">
        <v>2038</v>
      </c>
      <c r="AL3576">
        <v>-92.998838000000006</v>
      </c>
      <c r="AM3576">
        <v>100</v>
      </c>
      <c r="AN3576">
        <v>1300</v>
      </c>
      <c r="AO3576" t="s">
        <v>118</v>
      </c>
      <c r="AP3576">
        <v>-113</v>
      </c>
      <c r="AQ3576">
        <v>61</v>
      </c>
      <c r="AR3576">
        <v>64</v>
      </c>
      <c r="AZ3576">
        <v>1200</v>
      </c>
      <c r="BA3576">
        <v>1</v>
      </c>
      <c r="BB3576" t="str">
        <f t="shared" si="178"/>
        <v xml:space="preserve">N8080G  </v>
      </c>
      <c r="BC3576">
        <v>1</v>
      </c>
      <c r="BE3576">
        <v>0</v>
      </c>
      <c r="BF3576">
        <v>0</v>
      </c>
      <c r="BG3576">
        <v>0</v>
      </c>
      <c r="BH3576">
        <v>1350</v>
      </c>
      <c r="BI3576">
        <v>1</v>
      </c>
      <c r="BJ3576">
        <v>1</v>
      </c>
      <c r="BK3576">
        <v>1</v>
      </c>
      <c r="BL3576">
        <v>0</v>
      </c>
      <c r="BO3576">
        <v>0</v>
      </c>
      <c r="BP3576">
        <v>0</v>
      </c>
      <c r="BW3576" t="str">
        <f>"20:34:05.939"</f>
        <v>20:34:05.939</v>
      </c>
      <c r="BZ3576">
        <v>0</v>
      </c>
      <c r="CA3576">
        <v>1600</v>
      </c>
      <c r="CB3576">
        <v>224</v>
      </c>
      <c r="CD3576">
        <v>1</v>
      </c>
      <c r="CE3576">
        <v>0</v>
      </c>
      <c r="CF3576">
        <v>0</v>
      </c>
      <c r="CG3576">
        <v>1</v>
      </c>
      <c r="CH3576">
        <v>0</v>
      </c>
      <c r="CI3576">
        <v>0</v>
      </c>
      <c r="CJ3576">
        <v>0</v>
      </c>
      <c r="CK3576">
        <v>2</v>
      </c>
      <c r="CL3576">
        <v>0</v>
      </c>
      <c r="CM3576">
        <v>2</v>
      </c>
      <c r="CN3576">
        <v>0</v>
      </c>
      <c r="CO3576">
        <v>6</v>
      </c>
      <c r="CP3576" t="s">
        <v>119</v>
      </c>
      <c r="CQ3576">
        <v>180</v>
      </c>
      <c r="CR3576">
        <v>3</v>
      </c>
      <c r="CW3576">
        <v>1199791</v>
      </c>
      <c r="CY3576">
        <v>1</v>
      </c>
      <c r="CZ3576">
        <v>0</v>
      </c>
      <c r="DA3576">
        <v>1</v>
      </c>
      <c r="DB3576">
        <v>0</v>
      </c>
      <c r="DC3576">
        <v>0</v>
      </c>
      <c r="DD3576">
        <v>0</v>
      </c>
      <c r="DE3576">
        <v>0</v>
      </c>
      <c r="DF3576">
        <v>0</v>
      </c>
      <c r="DG3576">
        <v>0</v>
      </c>
      <c r="DH3576">
        <v>0</v>
      </c>
      <c r="DI3576">
        <v>0</v>
      </c>
    </row>
    <row r="3577" spans="1:113" x14ac:dyDescent="0.3">
      <c r="A3577" t="str">
        <f>"02/08/2021 20:34:03.623"</f>
        <v>02/08/2021 20:34:03.623</v>
      </c>
      <c r="C3577" t="str">
        <f t="shared" si="179"/>
        <v>FFDFD7C0</v>
      </c>
      <c r="D3577" t="s">
        <v>124</v>
      </c>
      <c r="E3577">
        <v>12</v>
      </c>
      <c r="F3577">
        <v>1012</v>
      </c>
      <c r="G3577" t="s">
        <v>675</v>
      </c>
      <c r="J3577" t="s">
        <v>125</v>
      </c>
      <c r="K3577">
        <v>0</v>
      </c>
      <c r="L3577">
        <v>3</v>
      </c>
      <c r="M3577">
        <v>0</v>
      </c>
      <c r="N3577">
        <v>2</v>
      </c>
      <c r="O3577">
        <v>1</v>
      </c>
      <c r="P3577">
        <v>0</v>
      </c>
      <c r="Q3577">
        <v>0</v>
      </c>
      <c r="S3577" t="str">
        <f>"20:34:05.938"</f>
        <v>20:34:05.938</v>
      </c>
      <c r="T3577" t="str">
        <f>"20:34:05.538"</f>
        <v>20:34:05.538</v>
      </c>
      <c r="U3577" t="str">
        <f t="shared" si="176"/>
        <v>AB01F4</v>
      </c>
      <c r="V3577">
        <v>0</v>
      </c>
      <c r="W3577">
        <v>0</v>
      </c>
      <c r="X3577">
        <v>2</v>
      </c>
      <c r="Z3577">
        <v>0</v>
      </c>
      <c r="AA3577">
        <v>9</v>
      </c>
      <c r="AB3577">
        <v>3</v>
      </c>
      <c r="AC3577">
        <v>0</v>
      </c>
      <c r="AD3577">
        <v>10</v>
      </c>
      <c r="AE3577">
        <v>0</v>
      </c>
      <c r="AF3577">
        <v>3</v>
      </c>
      <c r="AG3577">
        <v>2</v>
      </c>
      <c r="AH3577">
        <v>0</v>
      </c>
      <c r="AI3577" t="s">
        <v>2037</v>
      </c>
      <c r="AJ3577">
        <v>40.099218</v>
      </c>
      <c r="AK3577" t="s">
        <v>2038</v>
      </c>
      <c r="AL3577">
        <v>-92.998838000000006</v>
      </c>
      <c r="AM3577">
        <v>100</v>
      </c>
      <c r="AN3577">
        <v>1300</v>
      </c>
      <c r="AO3577" t="s">
        <v>118</v>
      </c>
      <c r="AP3577">
        <v>-113</v>
      </c>
      <c r="AQ3577">
        <v>61</v>
      </c>
      <c r="AR3577">
        <v>64</v>
      </c>
      <c r="AZ3577">
        <v>1200</v>
      </c>
      <c r="BA3577">
        <v>1</v>
      </c>
      <c r="BB3577" t="str">
        <f t="shared" si="178"/>
        <v xml:space="preserve">N8080G  </v>
      </c>
      <c r="BC3577">
        <v>1</v>
      </c>
      <c r="BE3577">
        <v>0</v>
      </c>
      <c r="BF3577">
        <v>0</v>
      </c>
      <c r="BG3577">
        <v>0</v>
      </c>
      <c r="BH3577">
        <v>1350</v>
      </c>
      <c r="BI3577">
        <v>1</v>
      </c>
      <c r="BJ3577">
        <v>1</v>
      </c>
      <c r="BK3577">
        <v>1</v>
      </c>
      <c r="BL3577">
        <v>0</v>
      </c>
      <c r="BO3577">
        <v>0</v>
      </c>
      <c r="BP3577">
        <v>0</v>
      </c>
      <c r="BW3577" t="str">
        <f>"20:34:05.939"</f>
        <v>20:34:05.939</v>
      </c>
      <c r="BZ3577">
        <v>0</v>
      </c>
      <c r="CA3577">
        <v>1600</v>
      </c>
      <c r="CB3577">
        <v>224</v>
      </c>
      <c r="CD3577">
        <v>1</v>
      </c>
      <c r="CE3577">
        <v>0</v>
      </c>
      <c r="CF3577">
        <v>0</v>
      </c>
      <c r="CG3577">
        <v>1</v>
      </c>
      <c r="CH3577">
        <v>0</v>
      </c>
      <c r="CI3577">
        <v>0</v>
      </c>
      <c r="CJ3577">
        <v>0</v>
      </c>
      <c r="CK3577">
        <v>2</v>
      </c>
      <c r="CL3577">
        <v>0</v>
      </c>
      <c r="CM3577">
        <v>2</v>
      </c>
      <c r="CN3577">
        <v>0</v>
      </c>
      <c r="CO3577">
        <v>6</v>
      </c>
      <c r="CP3577" t="s">
        <v>119</v>
      </c>
      <c r="CQ3577">
        <v>180</v>
      </c>
      <c r="CR3577">
        <v>3</v>
      </c>
      <c r="CW3577">
        <v>1199791</v>
      </c>
      <c r="CY3577">
        <v>1</v>
      </c>
      <c r="CZ3577">
        <v>0</v>
      </c>
      <c r="DA3577">
        <v>1</v>
      </c>
      <c r="DB3577">
        <v>0</v>
      </c>
      <c r="DC3577">
        <v>0</v>
      </c>
      <c r="DD3577">
        <v>0</v>
      </c>
      <c r="DE3577">
        <v>0</v>
      </c>
      <c r="DF3577">
        <v>0</v>
      </c>
      <c r="DG3577">
        <v>0</v>
      </c>
      <c r="DH3577">
        <v>0</v>
      </c>
      <c r="DI3577">
        <v>0</v>
      </c>
    </row>
    <row r="3578" spans="1:113" x14ac:dyDescent="0.3">
      <c r="A3578" t="str">
        <f>"02/08/2021 20:34:03.623"</f>
        <v>02/08/2021 20:34:03.623</v>
      </c>
      <c r="C3578" t="str">
        <f t="shared" si="179"/>
        <v>FFDFD7C0</v>
      </c>
      <c r="D3578" t="s">
        <v>124</v>
      </c>
      <c r="E3578">
        <v>13</v>
      </c>
      <c r="F3578">
        <v>1013</v>
      </c>
      <c r="G3578" t="s">
        <v>114</v>
      </c>
      <c r="J3578" t="s">
        <v>125</v>
      </c>
      <c r="K3578">
        <v>0</v>
      </c>
      <c r="L3578">
        <v>3</v>
      </c>
      <c r="M3578">
        <v>0</v>
      </c>
      <c r="N3578">
        <v>2</v>
      </c>
      <c r="O3578">
        <v>1</v>
      </c>
      <c r="P3578">
        <v>0</v>
      </c>
      <c r="Q3578">
        <v>0</v>
      </c>
      <c r="S3578" t="str">
        <f>"20:34:05.938"</f>
        <v>20:34:05.938</v>
      </c>
      <c r="T3578" t="str">
        <f>"20:34:05.538"</f>
        <v>20:34:05.538</v>
      </c>
      <c r="U3578" t="str">
        <f t="shared" si="176"/>
        <v>AB01F4</v>
      </c>
      <c r="V3578">
        <v>0</v>
      </c>
      <c r="W3578">
        <v>0</v>
      </c>
      <c r="X3578">
        <v>2</v>
      </c>
      <c r="Z3578">
        <v>0</v>
      </c>
      <c r="AA3578">
        <v>9</v>
      </c>
      <c r="AB3578">
        <v>3</v>
      </c>
      <c r="AC3578">
        <v>0</v>
      </c>
      <c r="AD3578">
        <v>10</v>
      </c>
      <c r="AE3578">
        <v>0</v>
      </c>
      <c r="AF3578">
        <v>3</v>
      </c>
      <c r="AG3578">
        <v>2</v>
      </c>
      <c r="AH3578">
        <v>0</v>
      </c>
      <c r="AI3578" t="s">
        <v>2037</v>
      </c>
      <c r="AJ3578">
        <v>40.099218</v>
      </c>
      <c r="AK3578" t="s">
        <v>2038</v>
      </c>
      <c r="AL3578">
        <v>-92.998838000000006</v>
      </c>
      <c r="AM3578">
        <v>100</v>
      </c>
      <c r="AN3578">
        <v>1300</v>
      </c>
      <c r="AO3578" t="s">
        <v>118</v>
      </c>
      <c r="AP3578">
        <v>-113</v>
      </c>
      <c r="AQ3578">
        <v>61</v>
      </c>
      <c r="AR3578">
        <v>64</v>
      </c>
      <c r="AZ3578">
        <v>1200</v>
      </c>
      <c r="BA3578">
        <v>1</v>
      </c>
      <c r="BB3578" t="str">
        <f t="shared" si="178"/>
        <v xml:space="preserve">N8080G  </v>
      </c>
      <c r="BC3578">
        <v>1</v>
      </c>
      <c r="BE3578">
        <v>0</v>
      </c>
      <c r="BF3578">
        <v>0</v>
      </c>
      <c r="BG3578">
        <v>0</v>
      </c>
      <c r="BH3578">
        <v>1350</v>
      </c>
      <c r="BI3578">
        <v>1</v>
      </c>
      <c r="BJ3578">
        <v>1</v>
      </c>
      <c r="BK3578">
        <v>1</v>
      </c>
      <c r="BL3578">
        <v>0</v>
      </c>
      <c r="BO3578">
        <v>0</v>
      </c>
      <c r="BP3578">
        <v>0</v>
      </c>
      <c r="BW3578" t="str">
        <f>"20:34:05.939"</f>
        <v>20:34:05.939</v>
      </c>
      <c r="BZ3578">
        <v>0</v>
      </c>
      <c r="CA3578">
        <v>1600</v>
      </c>
      <c r="CB3578">
        <v>224</v>
      </c>
      <c r="CD3578">
        <v>1</v>
      </c>
      <c r="CE3578">
        <v>0</v>
      </c>
      <c r="CF3578">
        <v>0</v>
      </c>
      <c r="CG3578">
        <v>1</v>
      </c>
      <c r="CH3578">
        <v>0</v>
      </c>
      <c r="CI3578">
        <v>0</v>
      </c>
      <c r="CJ3578">
        <v>0</v>
      </c>
      <c r="CK3578">
        <v>2</v>
      </c>
      <c r="CL3578">
        <v>0</v>
      </c>
      <c r="CM3578">
        <v>2</v>
      </c>
      <c r="CN3578">
        <v>0</v>
      </c>
      <c r="CO3578">
        <v>6</v>
      </c>
      <c r="CP3578" t="s">
        <v>119</v>
      </c>
      <c r="CQ3578">
        <v>180</v>
      </c>
      <c r="CR3578">
        <v>3</v>
      </c>
      <c r="CW3578">
        <v>1199791</v>
      </c>
      <c r="CY3578">
        <v>1</v>
      </c>
      <c r="CZ3578">
        <v>0</v>
      </c>
      <c r="DA3578">
        <v>1</v>
      </c>
      <c r="DB3578">
        <v>0</v>
      </c>
      <c r="DC3578">
        <v>0</v>
      </c>
      <c r="DD3578">
        <v>0</v>
      </c>
      <c r="DE3578">
        <v>0</v>
      </c>
      <c r="DF3578">
        <v>0</v>
      </c>
      <c r="DG3578">
        <v>0</v>
      </c>
      <c r="DH3578">
        <v>0</v>
      </c>
      <c r="DI3578">
        <v>0</v>
      </c>
    </row>
    <row r="3579" spans="1:113" x14ac:dyDescent="0.3">
      <c r="A3579" t="str">
        <f>"02/08/2021 20:34:06.983"</f>
        <v>02/08/2021 20:34:06.983</v>
      </c>
      <c r="C3579" t="str">
        <f t="shared" si="179"/>
        <v>FFDFD7C0</v>
      </c>
      <c r="D3579" t="s">
        <v>124</v>
      </c>
      <c r="E3579">
        <v>13</v>
      </c>
      <c r="F3579">
        <v>1013</v>
      </c>
      <c r="G3579" t="s">
        <v>114</v>
      </c>
      <c r="J3579" t="s">
        <v>125</v>
      </c>
      <c r="K3579">
        <v>0</v>
      </c>
      <c r="L3579">
        <v>3</v>
      </c>
      <c r="M3579">
        <v>0</v>
      </c>
      <c r="N3579">
        <v>2</v>
      </c>
      <c r="O3579">
        <v>1</v>
      </c>
      <c r="P3579">
        <v>0</v>
      </c>
      <c r="Q3579">
        <v>0</v>
      </c>
      <c r="S3579" t="str">
        <f>"20:34:09.297"</f>
        <v>20:34:09.297</v>
      </c>
      <c r="T3579" t="str">
        <f>"20:34:08.797"</f>
        <v>20:34:08.797</v>
      </c>
      <c r="U3579" t="str">
        <f t="shared" si="176"/>
        <v>AB01F4</v>
      </c>
      <c r="V3579">
        <v>0</v>
      </c>
      <c r="W3579">
        <v>0</v>
      </c>
      <c r="X3579">
        <v>2</v>
      </c>
      <c r="Z3579">
        <v>0</v>
      </c>
      <c r="AA3579">
        <v>9</v>
      </c>
      <c r="AB3579">
        <v>3</v>
      </c>
      <c r="AC3579">
        <v>0</v>
      </c>
      <c r="AD3579">
        <v>10</v>
      </c>
      <c r="AE3579">
        <v>0</v>
      </c>
      <c r="AF3579">
        <v>3</v>
      </c>
      <c r="AG3579">
        <v>2</v>
      </c>
      <c r="AH3579">
        <v>0</v>
      </c>
      <c r="AI3579" t="s">
        <v>2039</v>
      </c>
      <c r="AJ3579">
        <v>40.100141000000001</v>
      </c>
      <c r="AK3579" t="s">
        <v>2040</v>
      </c>
      <c r="AL3579">
        <v>-93.001069999999999</v>
      </c>
      <c r="AM3579">
        <v>100</v>
      </c>
      <c r="AN3579">
        <v>1300</v>
      </c>
      <c r="AO3579" t="s">
        <v>118</v>
      </c>
      <c r="AP3579">
        <v>-114</v>
      </c>
      <c r="AQ3579">
        <v>61</v>
      </c>
      <c r="AR3579">
        <v>64</v>
      </c>
      <c r="AZ3579">
        <v>1200</v>
      </c>
      <c r="BA3579">
        <v>1</v>
      </c>
      <c r="BB3579" t="str">
        <f t="shared" si="178"/>
        <v xml:space="preserve">N8080G  </v>
      </c>
      <c r="BC3579">
        <v>1</v>
      </c>
      <c r="BE3579">
        <v>0</v>
      </c>
      <c r="BF3579">
        <v>0</v>
      </c>
      <c r="BG3579">
        <v>0</v>
      </c>
      <c r="BH3579">
        <v>1350</v>
      </c>
      <c r="BI3579">
        <v>1</v>
      </c>
      <c r="BJ3579">
        <v>1</v>
      </c>
      <c r="BK3579">
        <v>1</v>
      </c>
      <c r="BL3579">
        <v>0</v>
      </c>
      <c r="BO3579">
        <v>0</v>
      </c>
      <c r="BP3579">
        <v>0</v>
      </c>
      <c r="BW3579" t="str">
        <f>"20:34:09.297"</f>
        <v>20:34:09.297</v>
      </c>
      <c r="BZ3579">
        <v>0</v>
      </c>
      <c r="CA3579">
        <v>1600</v>
      </c>
      <c r="CB3579">
        <v>224</v>
      </c>
      <c r="CD3579">
        <v>1</v>
      </c>
      <c r="CE3579">
        <v>0</v>
      </c>
      <c r="CF3579">
        <v>0</v>
      </c>
      <c r="CG3579">
        <v>1</v>
      </c>
      <c r="CH3579">
        <v>0</v>
      </c>
      <c r="CI3579">
        <v>0</v>
      </c>
      <c r="CJ3579">
        <v>0</v>
      </c>
      <c r="CK3579">
        <v>2</v>
      </c>
      <c r="CL3579">
        <v>0</v>
      </c>
      <c r="CM3579">
        <v>2</v>
      </c>
      <c r="CN3579">
        <v>0</v>
      </c>
      <c r="CO3579">
        <v>7</v>
      </c>
      <c r="CP3579" t="s">
        <v>119</v>
      </c>
      <c r="CQ3579">
        <v>180</v>
      </c>
      <c r="CR3579">
        <v>3</v>
      </c>
      <c r="CW3579">
        <v>1202219</v>
      </c>
      <c r="CY3579">
        <v>1</v>
      </c>
      <c r="CZ3579">
        <v>0</v>
      </c>
      <c r="DA3579">
        <v>0</v>
      </c>
      <c r="DB3579">
        <v>0</v>
      </c>
      <c r="DC3579">
        <v>0</v>
      </c>
      <c r="DD3579">
        <v>0</v>
      </c>
      <c r="DE3579">
        <v>0</v>
      </c>
      <c r="DF3579">
        <v>0</v>
      </c>
      <c r="DG3579">
        <v>0</v>
      </c>
      <c r="DH3579">
        <v>0</v>
      </c>
      <c r="DI3579">
        <v>0</v>
      </c>
    </row>
    <row r="3580" spans="1:113" x14ac:dyDescent="0.3">
      <c r="A3580" t="str">
        <f>"02/08/2021 20:34:06.983"</f>
        <v>02/08/2021 20:34:06.983</v>
      </c>
      <c r="C3580" t="str">
        <f t="shared" si="179"/>
        <v>FFDFD7C0</v>
      </c>
      <c r="D3580" t="s">
        <v>113</v>
      </c>
      <c r="E3580">
        <v>6</v>
      </c>
      <c r="H3580">
        <v>165</v>
      </c>
      <c r="I3580" t="s">
        <v>114</v>
      </c>
      <c r="J3580" t="s">
        <v>115</v>
      </c>
      <c r="K3580">
        <v>0</v>
      </c>
      <c r="L3580">
        <v>3</v>
      </c>
      <c r="M3580">
        <v>0</v>
      </c>
      <c r="N3580">
        <v>2</v>
      </c>
      <c r="O3580">
        <v>1</v>
      </c>
      <c r="P3580">
        <v>0</v>
      </c>
      <c r="Q3580">
        <v>0</v>
      </c>
      <c r="S3580" t="str">
        <f>"20:34:09.297"</f>
        <v>20:34:09.297</v>
      </c>
      <c r="T3580" t="str">
        <f>"20:34:08.797"</f>
        <v>20:34:08.797</v>
      </c>
      <c r="U3580" t="str">
        <f t="shared" si="176"/>
        <v>AB01F4</v>
      </c>
      <c r="V3580">
        <v>0</v>
      </c>
      <c r="W3580">
        <v>0</v>
      </c>
      <c r="X3580">
        <v>2</v>
      </c>
      <c r="Z3580">
        <v>0</v>
      </c>
      <c r="AA3580">
        <v>9</v>
      </c>
      <c r="AB3580">
        <v>3</v>
      </c>
      <c r="AC3580">
        <v>0</v>
      </c>
      <c r="AD3580">
        <v>10</v>
      </c>
      <c r="AE3580">
        <v>0</v>
      </c>
      <c r="AF3580">
        <v>3</v>
      </c>
      <c r="AG3580">
        <v>2</v>
      </c>
      <c r="AH3580">
        <v>0</v>
      </c>
      <c r="AI3580" t="s">
        <v>2039</v>
      </c>
      <c r="AJ3580">
        <v>40.100141000000001</v>
      </c>
      <c r="AK3580" t="s">
        <v>2040</v>
      </c>
      <c r="AL3580">
        <v>-93.001069999999999</v>
      </c>
      <c r="AM3580">
        <v>100</v>
      </c>
      <c r="AN3580">
        <v>1300</v>
      </c>
      <c r="AO3580" t="s">
        <v>118</v>
      </c>
      <c r="AP3580">
        <v>-114</v>
      </c>
      <c r="AQ3580">
        <v>61</v>
      </c>
      <c r="AR3580">
        <v>64</v>
      </c>
      <c r="AZ3580">
        <v>1200</v>
      </c>
      <c r="BA3580">
        <v>1</v>
      </c>
      <c r="BB3580" t="str">
        <f t="shared" si="178"/>
        <v xml:space="preserve">N8080G  </v>
      </c>
      <c r="BC3580">
        <v>1</v>
      </c>
      <c r="BE3580">
        <v>0</v>
      </c>
      <c r="BF3580">
        <v>0</v>
      </c>
      <c r="BG3580">
        <v>0</v>
      </c>
      <c r="BH3580">
        <v>1350</v>
      </c>
      <c r="BI3580">
        <v>1</v>
      </c>
      <c r="BJ3580">
        <v>1</v>
      </c>
      <c r="BK3580">
        <v>1</v>
      </c>
      <c r="BL3580">
        <v>0</v>
      </c>
      <c r="BO3580">
        <v>0</v>
      </c>
      <c r="BP3580">
        <v>0</v>
      </c>
      <c r="BW3580" t="str">
        <f>"20:34:09.297"</f>
        <v>20:34:09.297</v>
      </c>
      <c r="BZ3580">
        <v>0</v>
      </c>
      <c r="CA3580">
        <v>1600</v>
      </c>
      <c r="CB3580">
        <v>224</v>
      </c>
      <c r="CD3580">
        <v>1</v>
      </c>
      <c r="CE3580">
        <v>0</v>
      </c>
      <c r="CF3580">
        <v>0</v>
      </c>
      <c r="CG3580">
        <v>1</v>
      </c>
      <c r="CH3580">
        <v>0</v>
      </c>
      <c r="CI3580">
        <v>0</v>
      </c>
      <c r="CJ3580">
        <v>0</v>
      </c>
      <c r="CK3580">
        <v>2</v>
      </c>
      <c r="CL3580">
        <v>0</v>
      </c>
      <c r="CM3580">
        <v>2</v>
      </c>
      <c r="CN3580">
        <v>0</v>
      </c>
      <c r="CO3580">
        <v>7</v>
      </c>
      <c r="CP3580" t="s">
        <v>119</v>
      </c>
      <c r="CQ3580">
        <v>180</v>
      </c>
      <c r="CR3580">
        <v>3</v>
      </c>
      <c r="CW3580">
        <v>1202219</v>
      </c>
      <c r="CY3580">
        <v>1</v>
      </c>
      <c r="CZ3580">
        <v>0</v>
      </c>
      <c r="DA3580">
        <v>1</v>
      </c>
      <c r="DB3580">
        <v>0</v>
      </c>
      <c r="DC3580">
        <v>0</v>
      </c>
      <c r="DD3580">
        <v>0</v>
      </c>
      <c r="DE3580">
        <v>0</v>
      </c>
      <c r="DF3580">
        <v>0</v>
      </c>
      <c r="DG3580">
        <v>0</v>
      </c>
      <c r="DH3580">
        <v>0</v>
      </c>
      <c r="DI3580">
        <v>0</v>
      </c>
    </row>
    <row r="3581" spans="1:113" x14ac:dyDescent="0.3">
      <c r="A3581" t="str">
        <f>"02/08/2021 20:34:06.983"</f>
        <v>02/08/2021 20:34:06.983</v>
      </c>
      <c r="C3581" t="str">
        <f t="shared" si="179"/>
        <v>FFDFD7C0</v>
      </c>
      <c r="D3581" t="s">
        <v>124</v>
      </c>
      <c r="E3581">
        <v>12</v>
      </c>
      <c r="F3581">
        <v>1012</v>
      </c>
      <c r="G3581" t="s">
        <v>675</v>
      </c>
      <c r="J3581" t="s">
        <v>125</v>
      </c>
      <c r="K3581">
        <v>0</v>
      </c>
      <c r="L3581">
        <v>3</v>
      </c>
      <c r="M3581">
        <v>0</v>
      </c>
      <c r="N3581">
        <v>2</v>
      </c>
      <c r="O3581">
        <v>1</v>
      </c>
      <c r="P3581">
        <v>0</v>
      </c>
      <c r="Q3581">
        <v>0</v>
      </c>
      <c r="S3581" t="str">
        <f>"20:34:09.297"</f>
        <v>20:34:09.297</v>
      </c>
      <c r="T3581" t="str">
        <f>"20:34:08.797"</f>
        <v>20:34:08.797</v>
      </c>
      <c r="U3581" t="str">
        <f t="shared" si="176"/>
        <v>AB01F4</v>
      </c>
      <c r="V3581">
        <v>0</v>
      </c>
      <c r="W3581">
        <v>0</v>
      </c>
      <c r="X3581">
        <v>2</v>
      </c>
      <c r="Z3581">
        <v>0</v>
      </c>
      <c r="AA3581">
        <v>9</v>
      </c>
      <c r="AB3581">
        <v>3</v>
      </c>
      <c r="AC3581">
        <v>0</v>
      </c>
      <c r="AD3581">
        <v>10</v>
      </c>
      <c r="AE3581">
        <v>0</v>
      </c>
      <c r="AF3581">
        <v>3</v>
      </c>
      <c r="AG3581">
        <v>2</v>
      </c>
      <c r="AH3581">
        <v>0</v>
      </c>
      <c r="AI3581" t="s">
        <v>2039</v>
      </c>
      <c r="AJ3581">
        <v>40.100141000000001</v>
      </c>
      <c r="AK3581" t="s">
        <v>2040</v>
      </c>
      <c r="AL3581">
        <v>-93.001069999999999</v>
      </c>
      <c r="AM3581">
        <v>100</v>
      </c>
      <c r="AN3581">
        <v>1300</v>
      </c>
      <c r="AO3581" t="s">
        <v>118</v>
      </c>
      <c r="AP3581">
        <v>-114</v>
      </c>
      <c r="AQ3581">
        <v>61</v>
      </c>
      <c r="AR3581">
        <v>64</v>
      </c>
      <c r="AZ3581">
        <v>1200</v>
      </c>
      <c r="BA3581">
        <v>1</v>
      </c>
      <c r="BB3581" t="str">
        <f t="shared" si="178"/>
        <v xml:space="preserve">N8080G  </v>
      </c>
      <c r="BC3581">
        <v>1</v>
      </c>
      <c r="BE3581">
        <v>0</v>
      </c>
      <c r="BF3581">
        <v>0</v>
      </c>
      <c r="BG3581">
        <v>0</v>
      </c>
      <c r="BH3581">
        <v>1350</v>
      </c>
      <c r="BI3581">
        <v>1</v>
      </c>
      <c r="BJ3581">
        <v>1</v>
      </c>
      <c r="BK3581">
        <v>1</v>
      </c>
      <c r="BL3581">
        <v>0</v>
      </c>
      <c r="BO3581">
        <v>0</v>
      </c>
      <c r="BP3581">
        <v>0</v>
      </c>
      <c r="BW3581" t="str">
        <f>"20:34:09.297"</f>
        <v>20:34:09.297</v>
      </c>
      <c r="BZ3581">
        <v>0</v>
      </c>
      <c r="CA3581">
        <v>1600</v>
      </c>
      <c r="CB3581">
        <v>224</v>
      </c>
      <c r="CD3581">
        <v>1</v>
      </c>
      <c r="CE3581">
        <v>0</v>
      </c>
      <c r="CF3581">
        <v>0</v>
      </c>
      <c r="CG3581">
        <v>1</v>
      </c>
      <c r="CH3581">
        <v>0</v>
      </c>
      <c r="CI3581">
        <v>0</v>
      </c>
      <c r="CJ3581">
        <v>0</v>
      </c>
      <c r="CK3581">
        <v>2</v>
      </c>
      <c r="CL3581">
        <v>0</v>
      </c>
      <c r="CM3581">
        <v>2</v>
      </c>
      <c r="CN3581">
        <v>0</v>
      </c>
      <c r="CO3581">
        <v>7</v>
      </c>
      <c r="CP3581" t="s">
        <v>119</v>
      </c>
      <c r="CQ3581">
        <v>180</v>
      </c>
      <c r="CR3581">
        <v>3</v>
      </c>
      <c r="CW3581">
        <v>1202219</v>
      </c>
      <c r="CY3581">
        <v>1</v>
      </c>
      <c r="CZ3581">
        <v>0</v>
      </c>
      <c r="DA3581">
        <v>1</v>
      </c>
      <c r="DB3581">
        <v>0</v>
      </c>
      <c r="DC3581">
        <v>0</v>
      </c>
      <c r="DD3581">
        <v>0</v>
      </c>
      <c r="DE3581">
        <v>0</v>
      </c>
      <c r="DF3581">
        <v>0</v>
      </c>
      <c r="DG3581">
        <v>0</v>
      </c>
      <c r="DH3581">
        <v>0</v>
      </c>
      <c r="DI3581">
        <v>0</v>
      </c>
    </row>
    <row r="3582" spans="1:113" x14ac:dyDescent="0.3">
      <c r="A3582" t="str">
        <f>"02/08/2021 20:34:06.983"</f>
        <v>02/08/2021 20:34:06.983</v>
      </c>
      <c r="C3582" t="str">
        <f t="shared" si="179"/>
        <v>FFDFD7C0</v>
      </c>
      <c r="D3582" t="s">
        <v>124</v>
      </c>
      <c r="E3582">
        <v>11</v>
      </c>
      <c r="F3582">
        <v>1011</v>
      </c>
      <c r="G3582" t="s">
        <v>590</v>
      </c>
      <c r="J3582" t="s">
        <v>125</v>
      </c>
      <c r="K3582">
        <v>0</v>
      </c>
      <c r="L3582">
        <v>3</v>
      </c>
      <c r="M3582">
        <v>0</v>
      </c>
      <c r="N3582">
        <v>2</v>
      </c>
      <c r="O3582">
        <v>1</v>
      </c>
      <c r="P3582">
        <v>0</v>
      </c>
      <c r="Q3582">
        <v>0</v>
      </c>
      <c r="S3582" t="str">
        <f>"20:34:09.297"</f>
        <v>20:34:09.297</v>
      </c>
      <c r="T3582" t="str">
        <f>"20:34:08.797"</f>
        <v>20:34:08.797</v>
      </c>
      <c r="U3582" t="str">
        <f t="shared" si="176"/>
        <v>AB01F4</v>
      </c>
      <c r="V3582">
        <v>0</v>
      </c>
      <c r="W3582">
        <v>0</v>
      </c>
      <c r="X3582">
        <v>2</v>
      </c>
      <c r="Z3582">
        <v>0</v>
      </c>
      <c r="AA3582">
        <v>9</v>
      </c>
      <c r="AB3582">
        <v>3</v>
      </c>
      <c r="AC3582">
        <v>0</v>
      </c>
      <c r="AD3582">
        <v>10</v>
      </c>
      <c r="AE3582">
        <v>0</v>
      </c>
      <c r="AF3582">
        <v>3</v>
      </c>
      <c r="AG3582">
        <v>2</v>
      </c>
      <c r="AH3582">
        <v>0</v>
      </c>
      <c r="AI3582" t="s">
        <v>2039</v>
      </c>
      <c r="AJ3582">
        <v>40.100141000000001</v>
      </c>
      <c r="AK3582" t="s">
        <v>2040</v>
      </c>
      <c r="AL3582">
        <v>-93.001069999999999</v>
      </c>
      <c r="AM3582">
        <v>100</v>
      </c>
      <c r="AN3582">
        <v>1300</v>
      </c>
      <c r="AO3582" t="s">
        <v>118</v>
      </c>
      <c r="AP3582">
        <v>-114</v>
      </c>
      <c r="AQ3582">
        <v>61</v>
      </c>
      <c r="AR3582">
        <v>64</v>
      </c>
      <c r="AZ3582">
        <v>1200</v>
      </c>
      <c r="BA3582">
        <v>1</v>
      </c>
      <c r="BB3582" t="str">
        <f t="shared" si="178"/>
        <v xml:space="preserve">N8080G  </v>
      </c>
      <c r="BC3582">
        <v>1</v>
      </c>
      <c r="BE3582">
        <v>0</v>
      </c>
      <c r="BF3582">
        <v>0</v>
      </c>
      <c r="BG3582">
        <v>0</v>
      </c>
      <c r="BH3582">
        <v>1350</v>
      </c>
      <c r="BI3582">
        <v>1</v>
      </c>
      <c r="BJ3582">
        <v>1</v>
      </c>
      <c r="BK3582">
        <v>1</v>
      </c>
      <c r="BL3582">
        <v>0</v>
      </c>
      <c r="BO3582">
        <v>0</v>
      </c>
      <c r="BP3582">
        <v>0</v>
      </c>
      <c r="BW3582" t="str">
        <f>"20:34:09.297"</f>
        <v>20:34:09.297</v>
      </c>
      <c r="BZ3582">
        <v>0</v>
      </c>
      <c r="CA3582">
        <v>1600</v>
      </c>
      <c r="CB3582">
        <v>224</v>
      </c>
      <c r="CD3582">
        <v>1</v>
      </c>
      <c r="CE3582">
        <v>0</v>
      </c>
      <c r="CF3582">
        <v>0</v>
      </c>
      <c r="CG3582">
        <v>1</v>
      </c>
      <c r="CH3582">
        <v>0</v>
      </c>
      <c r="CI3582">
        <v>0</v>
      </c>
      <c r="CJ3582">
        <v>0</v>
      </c>
      <c r="CK3582">
        <v>2</v>
      </c>
      <c r="CL3582">
        <v>0</v>
      </c>
      <c r="CM3582">
        <v>2</v>
      </c>
      <c r="CN3582">
        <v>0</v>
      </c>
      <c r="CO3582">
        <v>7</v>
      </c>
      <c r="CP3582" t="s">
        <v>119</v>
      </c>
      <c r="CQ3582">
        <v>180</v>
      </c>
      <c r="CR3582">
        <v>3</v>
      </c>
      <c r="CW3582">
        <v>1202219</v>
      </c>
      <c r="CY3582">
        <v>1</v>
      </c>
      <c r="CZ3582">
        <v>0</v>
      </c>
      <c r="DA3582">
        <v>1</v>
      </c>
      <c r="DB3582">
        <v>0</v>
      </c>
      <c r="DC3582">
        <v>0</v>
      </c>
      <c r="DD3582">
        <v>0</v>
      </c>
      <c r="DE3582">
        <v>0</v>
      </c>
      <c r="DF3582">
        <v>0</v>
      </c>
      <c r="DG3582">
        <v>0</v>
      </c>
      <c r="DH3582">
        <v>0</v>
      </c>
      <c r="DI3582">
        <v>0</v>
      </c>
    </row>
    <row r="3583" spans="1:113" x14ac:dyDescent="0.3">
      <c r="A3583" t="str">
        <f>"02/08/2021 20:34:08.526"</f>
        <v>02/08/2021 20:34:08.526</v>
      </c>
      <c r="C3583" t="str">
        <f t="shared" si="179"/>
        <v>FFDFD7C0</v>
      </c>
      <c r="D3583" t="s">
        <v>124</v>
      </c>
      <c r="E3583">
        <v>12</v>
      </c>
      <c r="F3583">
        <v>1012</v>
      </c>
      <c r="G3583" t="s">
        <v>675</v>
      </c>
      <c r="J3583" t="s">
        <v>125</v>
      </c>
      <c r="K3583">
        <v>0</v>
      </c>
      <c r="L3583">
        <v>3</v>
      </c>
      <c r="M3583">
        <v>0</v>
      </c>
      <c r="N3583">
        <v>2</v>
      </c>
      <c r="O3583">
        <v>1</v>
      </c>
      <c r="P3583">
        <v>0</v>
      </c>
      <c r="Q3583">
        <v>0</v>
      </c>
      <c r="S3583" t="str">
        <f>"20:34:10.828"</f>
        <v>20:34:10.828</v>
      </c>
      <c r="T3583" t="str">
        <f>"20:34:10.328"</f>
        <v>20:34:10.328</v>
      </c>
      <c r="U3583" t="str">
        <f t="shared" si="176"/>
        <v>AB01F4</v>
      </c>
      <c r="V3583">
        <v>0</v>
      </c>
      <c r="W3583">
        <v>0</v>
      </c>
      <c r="X3583">
        <v>2</v>
      </c>
      <c r="Z3583">
        <v>0</v>
      </c>
      <c r="AA3583">
        <v>9</v>
      </c>
      <c r="AB3583">
        <v>3</v>
      </c>
      <c r="AC3583">
        <v>0</v>
      </c>
      <c r="AD3583">
        <v>10</v>
      </c>
      <c r="AE3583">
        <v>0</v>
      </c>
      <c r="AF3583">
        <v>3</v>
      </c>
      <c r="AG3583">
        <v>2</v>
      </c>
      <c r="AH3583">
        <v>0</v>
      </c>
      <c r="AI3583" t="s">
        <v>2041</v>
      </c>
      <c r="AJ3583">
        <v>40.100613000000003</v>
      </c>
      <c r="AK3583" t="s">
        <v>2042</v>
      </c>
      <c r="AL3583">
        <v>-93.002206999999999</v>
      </c>
      <c r="AM3583">
        <v>100</v>
      </c>
      <c r="AN3583">
        <v>1300</v>
      </c>
      <c r="AO3583" t="s">
        <v>118</v>
      </c>
      <c r="AP3583">
        <v>-113</v>
      </c>
      <c r="AQ3583">
        <v>62</v>
      </c>
      <c r="AR3583">
        <v>0</v>
      </c>
      <c r="AZ3583">
        <v>1200</v>
      </c>
      <c r="BA3583">
        <v>1</v>
      </c>
      <c r="BB3583" t="str">
        <f t="shared" si="178"/>
        <v xml:space="preserve">N8080G  </v>
      </c>
      <c r="BC3583">
        <v>1</v>
      </c>
      <c r="BE3583">
        <v>0</v>
      </c>
      <c r="BF3583">
        <v>0</v>
      </c>
      <c r="BG3583">
        <v>0</v>
      </c>
      <c r="BH3583">
        <v>1350</v>
      </c>
      <c r="BI3583">
        <v>1</v>
      </c>
      <c r="BJ3583">
        <v>1</v>
      </c>
      <c r="BK3583">
        <v>1</v>
      </c>
      <c r="BL3583">
        <v>0</v>
      </c>
      <c r="BO3583">
        <v>0</v>
      </c>
      <c r="BP3583">
        <v>0</v>
      </c>
      <c r="BW3583" t="str">
        <f>"20:34:10.832"</f>
        <v>20:34:10.832</v>
      </c>
      <c r="BZ3583">
        <v>0</v>
      </c>
      <c r="CA3583">
        <v>1600</v>
      </c>
      <c r="CB3583">
        <v>224</v>
      </c>
      <c r="CD3583">
        <v>1</v>
      </c>
      <c r="CE3583">
        <v>0</v>
      </c>
      <c r="CF3583">
        <v>0</v>
      </c>
      <c r="CG3583">
        <v>1</v>
      </c>
      <c r="CH3583">
        <v>0</v>
      </c>
      <c r="CI3583">
        <v>0</v>
      </c>
      <c r="CJ3583">
        <v>0</v>
      </c>
      <c r="CK3583">
        <v>2</v>
      </c>
      <c r="CL3583">
        <v>0</v>
      </c>
      <c r="CM3583">
        <v>2</v>
      </c>
      <c r="CN3583">
        <v>0</v>
      </c>
      <c r="CO3583">
        <v>7</v>
      </c>
      <c r="CP3583" t="s">
        <v>119</v>
      </c>
      <c r="CQ3583">
        <v>180</v>
      </c>
      <c r="CR3583">
        <v>3</v>
      </c>
      <c r="CW3583">
        <v>1203477</v>
      </c>
      <c r="CY3583">
        <v>1</v>
      </c>
      <c r="CZ3583">
        <v>0</v>
      </c>
      <c r="DA3583">
        <v>0</v>
      </c>
      <c r="DB3583">
        <v>0</v>
      </c>
      <c r="DC3583">
        <v>0</v>
      </c>
      <c r="DD3583">
        <v>0</v>
      </c>
      <c r="DE3583">
        <v>0</v>
      </c>
      <c r="DF3583">
        <v>0</v>
      </c>
      <c r="DG3583">
        <v>0</v>
      </c>
      <c r="DH3583">
        <v>0</v>
      </c>
      <c r="DI3583">
        <v>0</v>
      </c>
    </row>
    <row r="3584" spans="1:113" x14ac:dyDescent="0.3">
      <c r="A3584" t="str">
        <f>"02/08/2021 20:34:08.526"</f>
        <v>02/08/2021 20:34:08.526</v>
      </c>
      <c r="C3584" t="str">
        <f t="shared" si="179"/>
        <v>FFDFD7C0</v>
      </c>
      <c r="D3584" t="s">
        <v>113</v>
      </c>
      <c r="E3584">
        <v>6</v>
      </c>
      <c r="H3584">
        <v>165</v>
      </c>
      <c r="I3584" t="s">
        <v>114</v>
      </c>
      <c r="J3584" t="s">
        <v>115</v>
      </c>
      <c r="K3584">
        <v>0</v>
      </c>
      <c r="L3584">
        <v>3</v>
      </c>
      <c r="M3584">
        <v>0</v>
      </c>
      <c r="N3584">
        <v>2</v>
      </c>
      <c r="O3584">
        <v>1</v>
      </c>
      <c r="P3584">
        <v>0</v>
      </c>
      <c r="Q3584">
        <v>0</v>
      </c>
      <c r="S3584" t="str">
        <f>"20:34:10.828"</f>
        <v>20:34:10.828</v>
      </c>
      <c r="T3584" t="str">
        <f>"20:34:10.328"</f>
        <v>20:34:10.328</v>
      </c>
      <c r="U3584" t="str">
        <f t="shared" si="176"/>
        <v>AB01F4</v>
      </c>
      <c r="V3584">
        <v>0</v>
      </c>
      <c r="W3584">
        <v>0</v>
      </c>
      <c r="X3584">
        <v>2</v>
      </c>
      <c r="Z3584">
        <v>0</v>
      </c>
      <c r="AA3584">
        <v>9</v>
      </c>
      <c r="AB3584">
        <v>3</v>
      </c>
      <c r="AC3584">
        <v>0</v>
      </c>
      <c r="AD3584">
        <v>10</v>
      </c>
      <c r="AE3584">
        <v>0</v>
      </c>
      <c r="AF3584">
        <v>3</v>
      </c>
      <c r="AG3584">
        <v>2</v>
      </c>
      <c r="AH3584">
        <v>0</v>
      </c>
      <c r="AI3584" t="s">
        <v>2041</v>
      </c>
      <c r="AJ3584">
        <v>40.100613000000003</v>
      </c>
      <c r="AK3584" t="s">
        <v>2042</v>
      </c>
      <c r="AL3584">
        <v>-93.002206999999999</v>
      </c>
      <c r="AM3584">
        <v>100</v>
      </c>
      <c r="AN3584">
        <v>1300</v>
      </c>
      <c r="AO3584" t="s">
        <v>118</v>
      </c>
      <c r="AP3584">
        <v>-113</v>
      </c>
      <c r="AQ3584">
        <v>62</v>
      </c>
      <c r="AR3584">
        <v>0</v>
      </c>
      <c r="AZ3584">
        <v>1200</v>
      </c>
      <c r="BA3584">
        <v>1</v>
      </c>
      <c r="BB3584" t="str">
        <f t="shared" si="178"/>
        <v xml:space="preserve">N8080G  </v>
      </c>
      <c r="BC3584">
        <v>1</v>
      </c>
      <c r="BE3584">
        <v>0</v>
      </c>
      <c r="BF3584">
        <v>0</v>
      </c>
      <c r="BG3584">
        <v>0</v>
      </c>
      <c r="BH3584">
        <v>1350</v>
      </c>
      <c r="BI3584">
        <v>1</v>
      </c>
      <c r="BJ3584">
        <v>1</v>
      </c>
      <c r="BK3584">
        <v>1</v>
      </c>
      <c r="BL3584">
        <v>0</v>
      </c>
      <c r="BO3584">
        <v>0</v>
      </c>
      <c r="BP3584">
        <v>0</v>
      </c>
      <c r="BW3584" t="str">
        <f>"20:34:10.832"</f>
        <v>20:34:10.832</v>
      </c>
      <c r="BZ3584">
        <v>0</v>
      </c>
      <c r="CA3584">
        <v>1600</v>
      </c>
      <c r="CB3584">
        <v>224</v>
      </c>
      <c r="CD3584">
        <v>1</v>
      </c>
      <c r="CE3584">
        <v>0</v>
      </c>
      <c r="CF3584">
        <v>0</v>
      </c>
      <c r="CG3584">
        <v>1</v>
      </c>
      <c r="CH3584">
        <v>0</v>
      </c>
      <c r="CI3584">
        <v>0</v>
      </c>
      <c r="CJ3584">
        <v>0</v>
      </c>
      <c r="CK3584">
        <v>2</v>
      </c>
      <c r="CL3584">
        <v>0</v>
      </c>
      <c r="CM3584">
        <v>2</v>
      </c>
      <c r="CN3584">
        <v>0</v>
      </c>
      <c r="CO3584">
        <v>7</v>
      </c>
      <c r="CP3584" t="s">
        <v>119</v>
      </c>
      <c r="CQ3584">
        <v>180</v>
      </c>
      <c r="CR3584">
        <v>3</v>
      </c>
      <c r="CW3584">
        <v>1203477</v>
      </c>
      <c r="CY3584">
        <v>1</v>
      </c>
      <c r="CZ3584">
        <v>0</v>
      </c>
      <c r="DA3584">
        <v>1</v>
      </c>
      <c r="DB3584">
        <v>0</v>
      </c>
      <c r="DC3584">
        <v>0</v>
      </c>
      <c r="DD3584">
        <v>0</v>
      </c>
      <c r="DE3584">
        <v>0</v>
      </c>
      <c r="DF3584">
        <v>0</v>
      </c>
      <c r="DG3584">
        <v>0</v>
      </c>
      <c r="DH3584">
        <v>0</v>
      </c>
      <c r="DI3584">
        <v>0</v>
      </c>
    </row>
    <row r="3585" spans="1:113" x14ac:dyDescent="0.3">
      <c r="A3585" t="str">
        <f>"02/08/2021 20:34:08.526"</f>
        <v>02/08/2021 20:34:08.526</v>
      </c>
      <c r="C3585" t="str">
        <f t="shared" si="179"/>
        <v>FFDFD7C0</v>
      </c>
      <c r="D3585" t="s">
        <v>124</v>
      </c>
      <c r="E3585">
        <v>11</v>
      </c>
      <c r="F3585">
        <v>1011</v>
      </c>
      <c r="G3585" t="s">
        <v>590</v>
      </c>
      <c r="J3585" t="s">
        <v>125</v>
      </c>
      <c r="K3585">
        <v>0</v>
      </c>
      <c r="L3585">
        <v>3</v>
      </c>
      <c r="M3585">
        <v>0</v>
      </c>
      <c r="N3585">
        <v>2</v>
      </c>
      <c r="O3585">
        <v>1</v>
      </c>
      <c r="P3585">
        <v>0</v>
      </c>
      <c r="Q3585">
        <v>0</v>
      </c>
      <c r="S3585" t="str">
        <f>"20:34:10.828"</f>
        <v>20:34:10.828</v>
      </c>
      <c r="T3585" t="str">
        <f>"20:34:10.328"</f>
        <v>20:34:10.328</v>
      </c>
      <c r="U3585" t="str">
        <f t="shared" si="176"/>
        <v>AB01F4</v>
      </c>
      <c r="V3585">
        <v>0</v>
      </c>
      <c r="W3585">
        <v>0</v>
      </c>
      <c r="X3585">
        <v>2</v>
      </c>
      <c r="Z3585">
        <v>0</v>
      </c>
      <c r="AA3585">
        <v>9</v>
      </c>
      <c r="AB3585">
        <v>3</v>
      </c>
      <c r="AC3585">
        <v>0</v>
      </c>
      <c r="AD3585">
        <v>10</v>
      </c>
      <c r="AE3585">
        <v>0</v>
      </c>
      <c r="AF3585">
        <v>3</v>
      </c>
      <c r="AG3585">
        <v>2</v>
      </c>
      <c r="AH3585">
        <v>0</v>
      </c>
      <c r="AI3585" t="s">
        <v>2041</v>
      </c>
      <c r="AJ3585">
        <v>40.100613000000003</v>
      </c>
      <c r="AK3585" t="s">
        <v>2042</v>
      </c>
      <c r="AL3585">
        <v>-93.002206999999999</v>
      </c>
      <c r="AM3585">
        <v>100</v>
      </c>
      <c r="AN3585">
        <v>1300</v>
      </c>
      <c r="AO3585" t="s">
        <v>118</v>
      </c>
      <c r="AP3585">
        <v>-113</v>
      </c>
      <c r="AQ3585">
        <v>62</v>
      </c>
      <c r="AR3585">
        <v>0</v>
      </c>
      <c r="AZ3585">
        <v>1200</v>
      </c>
      <c r="BA3585">
        <v>1</v>
      </c>
      <c r="BB3585" t="str">
        <f t="shared" si="178"/>
        <v xml:space="preserve">N8080G  </v>
      </c>
      <c r="BC3585">
        <v>1</v>
      </c>
      <c r="BE3585">
        <v>0</v>
      </c>
      <c r="BF3585">
        <v>0</v>
      </c>
      <c r="BG3585">
        <v>0</v>
      </c>
      <c r="BH3585">
        <v>1350</v>
      </c>
      <c r="BI3585">
        <v>1</v>
      </c>
      <c r="BJ3585">
        <v>1</v>
      </c>
      <c r="BK3585">
        <v>1</v>
      </c>
      <c r="BL3585">
        <v>0</v>
      </c>
      <c r="BO3585">
        <v>0</v>
      </c>
      <c r="BP3585">
        <v>0</v>
      </c>
      <c r="BW3585" t="str">
        <f>"20:34:10.832"</f>
        <v>20:34:10.832</v>
      </c>
      <c r="BZ3585">
        <v>0</v>
      </c>
      <c r="CA3585">
        <v>1600</v>
      </c>
      <c r="CB3585">
        <v>224</v>
      </c>
      <c r="CD3585">
        <v>1</v>
      </c>
      <c r="CE3585">
        <v>0</v>
      </c>
      <c r="CF3585">
        <v>0</v>
      </c>
      <c r="CG3585">
        <v>1</v>
      </c>
      <c r="CH3585">
        <v>0</v>
      </c>
      <c r="CI3585">
        <v>0</v>
      </c>
      <c r="CJ3585">
        <v>0</v>
      </c>
      <c r="CK3585">
        <v>2</v>
      </c>
      <c r="CL3585">
        <v>0</v>
      </c>
      <c r="CM3585">
        <v>2</v>
      </c>
      <c r="CN3585">
        <v>0</v>
      </c>
      <c r="CO3585">
        <v>7</v>
      </c>
      <c r="CP3585" t="s">
        <v>119</v>
      </c>
      <c r="CQ3585">
        <v>180</v>
      </c>
      <c r="CR3585">
        <v>3</v>
      </c>
      <c r="CW3585">
        <v>1203477</v>
      </c>
      <c r="CY3585">
        <v>1</v>
      </c>
      <c r="CZ3585">
        <v>0</v>
      </c>
      <c r="DA3585">
        <v>1</v>
      </c>
      <c r="DB3585">
        <v>0</v>
      </c>
      <c r="DC3585">
        <v>0</v>
      </c>
      <c r="DD3585">
        <v>0</v>
      </c>
      <c r="DE3585">
        <v>0</v>
      </c>
      <c r="DF3585">
        <v>0</v>
      </c>
      <c r="DG3585">
        <v>0</v>
      </c>
      <c r="DH3585">
        <v>0</v>
      </c>
      <c r="DI3585">
        <v>0</v>
      </c>
    </row>
    <row r="3586" spans="1:113" x14ac:dyDescent="0.3">
      <c r="A3586" t="str">
        <f>"02/08/2021 20:34:08.526"</f>
        <v>02/08/2021 20:34:08.526</v>
      </c>
      <c r="C3586" t="str">
        <f t="shared" si="179"/>
        <v>FFDFD7C0</v>
      </c>
      <c r="D3586" t="s">
        <v>124</v>
      </c>
      <c r="E3586">
        <v>13</v>
      </c>
      <c r="F3586">
        <v>1013</v>
      </c>
      <c r="G3586" t="s">
        <v>114</v>
      </c>
      <c r="J3586" t="s">
        <v>125</v>
      </c>
      <c r="K3586">
        <v>0</v>
      </c>
      <c r="L3586">
        <v>3</v>
      </c>
      <c r="M3586">
        <v>0</v>
      </c>
      <c r="N3586">
        <v>2</v>
      </c>
      <c r="O3586">
        <v>1</v>
      </c>
      <c r="P3586">
        <v>0</v>
      </c>
      <c r="Q3586">
        <v>0</v>
      </c>
      <c r="S3586" t="str">
        <f>"20:34:10.828"</f>
        <v>20:34:10.828</v>
      </c>
      <c r="T3586" t="str">
        <f>"20:34:10.328"</f>
        <v>20:34:10.328</v>
      </c>
      <c r="U3586" t="str">
        <f t="shared" ref="U3586:U3649" si="180">"AB01F4"</f>
        <v>AB01F4</v>
      </c>
      <c r="V3586">
        <v>0</v>
      </c>
      <c r="W3586">
        <v>0</v>
      </c>
      <c r="X3586">
        <v>2</v>
      </c>
      <c r="Z3586">
        <v>0</v>
      </c>
      <c r="AA3586">
        <v>9</v>
      </c>
      <c r="AB3586">
        <v>3</v>
      </c>
      <c r="AC3586">
        <v>0</v>
      </c>
      <c r="AD3586">
        <v>10</v>
      </c>
      <c r="AE3586">
        <v>0</v>
      </c>
      <c r="AF3586">
        <v>3</v>
      </c>
      <c r="AG3586">
        <v>2</v>
      </c>
      <c r="AH3586">
        <v>0</v>
      </c>
      <c r="AI3586" t="s">
        <v>2041</v>
      </c>
      <c r="AJ3586">
        <v>40.100613000000003</v>
      </c>
      <c r="AK3586" t="s">
        <v>2042</v>
      </c>
      <c r="AL3586">
        <v>-93.002206999999999</v>
      </c>
      <c r="AM3586">
        <v>100</v>
      </c>
      <c r="AN3586">
        <v>1300</v>
      </c>
      <c r="AO3586" t="s">
        <v>118</v>
      </c>
      <c r="AP3586">
        <v>-113</v>
      </c>
      <c r="AQ3586">
        <v>62</v>
      </c>
      <c r="AR3586">
        <v>0</v>
      </c>
      <c r="AZ3586">
        <v>1200</v>
      </c>
      <c r="BA3586">
        <v>1</v>
      </c>
      <c r="BB3586" t="str">
        <f t="shared" si="178"/>
        <v xml:space="preserve">N8080G  </v>
      </c>
      <c r="BC3586">
        <v>1</v>
      </c>
      <c r="BE3586">
        <v>0</v>
      </c>
      <c r="BF3586">
        <v>0</v>
      </c>
      <c r="BG3586">
        <v>0</v>
      </c>
      <c r="BH3586">
        <v>1350</v>
      </c>
      <c r="BI3586">
        <v>1</v>
      </c>
      <c r="BJ3586">
        <v>1</v>
      </c>
      <c r="BK3586">
        <v>1</v>
      </c>
      <c r="BL3586">
        <v>0</v>
      </c>
      <c r="BO3586">
        <v>0</v>
      </c>
      <c r="BP3586">
        <v>0</v>
      </c>
      <c r="BW3586" t="str">
        <f>"20:34:10.832"</f>
        <v>20:34:10.832</v>
      </c>
      <c r="BZ3586">
        <v>0</v>
      </c>
      <c r="CA3586">
        <v>1600</v>
      </c>
      <c r="CB3586">
        <v>224</v>
      </c>
      <c r="CD3586">
        <v>1</v>
      </c>
      <c r="CE3586">
        <v>0</v>
      </c>
      <c r="CF3586">
        <v>0</v>
      </c>
      <c r="CG3586">
        <v>1</v>
      </c>
      <c r="CH3586">
        <v>0</v>
      </c>
      <c r="CI3586">
        <v>0</v>
      </c>
      <c r="CJ3586">
        <v>0</v>
      </c>
      <c r="CK3586">
        <v>2</v>
      </c>
      <c r="CL3586">
        <v>0</v>
      </c>
      <c r="CM3586">
        <v>2</v>
      </c>
      <c r="CN3586">
        <v>0</v>
      </c>
      <c r="CO3586">
        <v>7</v>
      </c>
      <c r="CP3586" t="s">
        <v>119</v>
      </c>
      <c r="CQ3586">
        <v>180</v>
      </c>
      <c r="CR3586">
        <v>3</v>
      </c>
      <c r="CW3586">
        <v>1203477</v>
      </c>
      <c r="CY3586">
        <v>1</v>
      </c>
      <c r="CZ3586">
        <v>0</v>
      </c>
      <c r="DA3586">
        <v>1</v>
      </c>
      <c r="DB3586">
        <v>0</v>
      </c>
      <c r="DC3586">
        <v>0</v>
      </c>
      <c r="DD3586">
        <v>0</v>
      </c>
      <c r="DE3586">
        <v>0</v>
      </c>
      <c r="DF3586">
        <v>0</v>
      </c>
      <c r="DG3586">
        <v>0</v>
      </c>
      <c r="DH3586">
        <v>0</v>
      </c>
      <c r="DI3586">
        <v>0</v>
      </c>
    </row>
    <row r="3587" spans="1:113" x14ac:dyDescent="0.3">
      <c r="A3587" t="str">
        <f>"02/08/2021 20:34:09.982"</f>
        <v>02/08/2021 20:34:09.982</v>
      </c>
      <c r="C3587" t="str">
        <f t="shared" si="179"/>
        <v>FFDFD7C0</v>
      </c>
      <c r="D3587" t="s">
        <v>124</v>
      </c>
      <c r="E3587">
        <v>12</v>
      </c>
      <c r="F3587">
        <v>1012</v>
      </c>
      <c r="G3587" t="s">
        <v>675</v>
      </c>
      <c r="J3587" t="s">
        <v>125</v>
      </c>
      <c r="K3587">
        <v>0</v>
      </c>
      <c r="L3587">
        <v>3</v>
      </c>
      <c r="M3587">
        <v>0</v>
      </c>
      <c r="N3587">
        <v>2</v>
      </c>
      <c r="O3587">
        <v>1</v>
      </c>
      <c r="P3587">
        <v>0</v>
      </c>
      <c r="Q3587">
        <v>0</v>
      </c>
      <c r="S3587" t="str">
        <f>"20:34:12.320"</f>
        <v>20:34:12.320</v>
      </c>
      <c r="T3587" t="str">
        <f>"20:34:11.920"</f>
        <v>20:34:11.920</v>
      </c>
      <c r="U3587" t="str">
        <f t="shared" si="180"/>
        <v>AB01F4</v>
      </c>
      <c r="V3587">
        <v>0</v>
      </c>
      <c r="W3587">
        <v>0</v>
      </c>
      <c r="X3587">
        <v>2</v>
      </c>
      <c r="Z3587">
        <v>0</v>
      </c>
      <c r="AA3587">
        <v>9</v>
      </c>
      <c r="AB3587">
        <v>3</v>
      </c>
      <c r="AC3587">
        <v>0</v>
      </c>
      <c r="AD3587">
        <v>10</v>
      </c>
      <c r="AE3587">
        <v>0</v>
      </c>
      <c r="AF3587">
        <v>3</v>
      </c>
      <c r="AG3587">
        <v>2</v>
      </c>
      <c r="AH3587">
        <v>0</v>
      </c>
      <c r="AI3587" t="s">
        <v>2043</v>
      </c>
      <c r="AJ3587">
        <v>40.101019999999998</v>
      </c>
      <c r="AK3587" t="s">
        <v>2044</v>
      </c>
      <c r="AL3587">
        <v>-93.003129999999999</v>
      </c>
      <c r="AM3587">
        <v>100</v>
      </c>
      <c r="AN3587">
        <v>1300</v>
      </c>
      <c r="AO3587" t="s">
        <v>118</v>
      </c>
      <c r="AP3587">
        <v>-114</v>
      </c>
      <c r="AQ3587">
        <v>61</v>
      </c>
      <c r="AR3587">
        <v>-128</v>
      </c>
      <c r="AZ3587">
        <v>1200</v>
      </c>
      <c r="BA3587">
        <v>1</v>
      </c>
      <c r="BB3587" t="str">
        <f t="shared" si="178"/>
        <v xml:space="preserve">N8080G  </v>
      </c>
      <c r="BC3587">
        <v>1</v>
      </c>
      <c r="BE3587">
        <v>0</v>
      </c>
      <c r="BF3587">
        <v>0</v>
      </c>
      <c r="BG3587">
        <v>0</v>
      </c>
      <c r="BH3587">
        <v>1350</v>
      </c>
      <c r="BI3587">
        <v>1</v>
      </c>
      <c r="BJ3587">
        <v>1</v>
      </c>
      <c r="BK3587">
        <v>1</v>
      </c>
      <c r="BL3587">
        <v>0</v>
      </c>
      <c r="BO3587">
        <v>0</v>
      </c>
      <c r="BP3587">
        <v>0</v>
      </c>
      <c r="BW3587" t="str">
        <f>"20:34:12.323"</f>
        <v>20:34:12.323</v>
      </c>
      <c r="BZ3587">
        <v>0</v>
      </c>
      <c r="CA3587">
        <v>1600</v>
      </c>
      <c r="CB3587">
        <v>224</v>
      </c>
      <c r="CD3587">
        <v>1</v>
      </c>
      <c r="CE3587">
        <v>0</v>
      </c>
      <c r="CF3587">
        <v>0</v>
      </c>
      <c r="CG3587">
        <v>1</v>
      </c>
      <c r="CH3587">
        <v>0</v>
      </c>
      <c r="CI3587">
        <v>0</v>
      </c>
      <c r="CJ3587">
        <v>0</v>
      </c>
      <c r="CK3587">
        <v>2</v>
      </c>
      <c r="CL3587">
        <v>0</v>
      </c>
      <c r="CM3587">
        <v>2</v>
      </c>
      <c r="CN3587">
        <v>0</v>
      </c>
      <c r="CO3587">
        <v>6</v>
      </c>
      <c r="CP3587" t="s">
        <v>119</v>
      </c>
      <c r="CQ3587">
        <v>180</v>
      </c>
      <c r="CR3587">
        <v>2</v>
      </c>
      <c r="CW3587">
        <v>8869577</v>
      </c>
      <c r="CY3587">
        <v>1</v>
      </c>
      <c r="CZ3587">
        <v>0</v>
      </c>
      <c r="DA3587">
        <v>0</v>
      </c>
      <c r="DB3587">
        <v>0</v>
      </c>
      <c r="DC3587">
        <v>0</v>
      </c>
      <c r="DD3587">
        <v>0</v>
      </c>
      <c r="DE3587">
        <v>0</v>
      </c>
      <c r="DF3587">
        <v>0</v>
      </c>
      <c r="DG3587">
        <v>0</v>
      </c>
      <c r="DH3587">
        <v>0</v>
      </c>
      <c r="DI3587">
        <v>0</v>
      </c>
    </row>
    <row r="3588" spans="1:113" x14ac:dyDescent="0.3">
      <c r="A3588" t="str">
        <f>"02/08/2021 20:34:09.982"</f>
        <v>02/08/2021 20:34:09.982</v>
      </c>
      <c r="C3588" t="str">
        <f t="shared" si="179"/>
        <v>FFDFD7C0</v>
      </c>
      <c r="D3588" t="s">
        <v>124</v>
      </c>
      <c r="E3588">
        <v>13</v>
      </c>
      <c r="F3588">
        <v>1013</v>
      </c>
      <c r="G3588" t="s">
        <v>114</v>
      </c>
      <c r="J3588" t="s">
        <v>125</v>
      </c>
      <c r="K3588">
        <v>0</v>
      </c>
      <c r="L3588">
        <v>3</v>
      </c>
      <c r="M3588">
        <v>0</v>
      </c>
      <c r="N3588">
        <v>2</v>
      </c>
      <c r="O3588">
        <v>1</v>
      </c>
      <c r="P3588">
        <v>0</v>
      </c>
      <c r="Q3588">
        <v>0</v>
      </c>
      <c r="S3588" t="str">
        <f>"20:34:12.320"</f>
        <v>20:34:12.320</v>
      </c>
      <c r="T3588" t="str">
        <f>"20:34:11.920"</f>
        <v>20:34:11.920</v>
      </c>
      <c r="U3588" t="str">
        <f t="shared" si="180"/>
        <v>AB01F4</v>
      </c>
      <c r="V3588">
        <v>0</v>
      </c>
      <c r="W3588">
        <v>0</v>
      </c>
      <c r="X3588">
        <v>2</v>
      </c>
      <c r="Z3588">
        <v>0</v>
      </c>
      <c r="AA3588">
        <v>9</v>
      </c>
      <c r="AB3588">
        <v>3</v>
      </c>
      <c r="AC3588">
        <v>0</v>
      </c>
      <c r="AD3588">
        <v>10</v>
      </c>
      <c r="AE3588">
        <v>0</v>
      </c>
      <c r="AF3588">
        <v>3</v>
      </c>
      <c r="AG3588">
        <v>2</v>
      </c>
      <c r="AH3588">
        <v>0</v>
      </c>
      <c r="AI3588" t="s">
        <v>2043</v>
      </c>
      <c r="AJ3588">
        <v>40.101019999999998</v>
      </c>
      <c r="AK3588" t="s">
        <v>2044</v>
      </c>
      <c r="AL3588">
        <v>-93.003129999999999</v>
      </c>
      <c r="AM3588">
        <v>100</v>
      </c>
      <c r="AN3588">
        <v>1300</v>
      </c>
      <c r="AO3588" t="s">
        <v>118</v>
      </c>
      <c r="AP3588">
        <v>-114</v>
      </c>
      <c r="AQ3588">
        <v>61</v>
      </c>
      <c r="AR3588">
        <v>-128</v>
      </c>
      <c r="AZ3588">
        <v>1200</v>
      </c>
      <c r="BA3588">
        <v>1</v>
      </c>
      <c r="BB3588" t="str">
        <f t="shared" si="178"/>
        <v xml:space="preserve">N8080G  </v>
      </c>
      <c r="BC3588">
        <v>1</v>
      </c>
      <c r="BE3588">
        <v>0</v>
      </c>
      <c r="BF3588">
        <v>0</v>
      </c>
      <c r="BG3588">
        <v>0</v>
      </c>
      <c r="BH3588">
        <v>1350</v>
      </c>
      <c r="BI3588">
        <v>1</v>
      </c>
      <c r="BJ3588">
        <v>1</v>
      </c>
      <c r="BK3588">
        <v>1</v>
      </c>
      <c r="BL3588">
        <v>0</v>
      </c>
      <c r="BO3588">
        <v>0</v>
      </c>
      <c r="BP3588">
        <v>0</v>
      </c>
      <c r="BW3588" t="str">
        <f>"20:34:12.323"</f>
        <v>20:34:12.323</v>
      </c>
      <c r="BZ3588">
        <v>0</v>
      </c>
      <c r="CA3588">
        <v>1600</v>
      </c>
      <c r="CB3588">
        <v>224</v>
      </c>
      <c r="CD3588">
        <v>1</v>
      </c>
      <c r="CE3588">
        <v>0</v>
      </c>
      <c r="CF3588">
        <v>0</v>
      </c>
      <c r="CG3588">
        <v>1</v>
      </c>
      <c r="CH3588">
        <v>0</v>
      </c>
      <c r="CI3588">
        <v>0</v>
      </c>
      <c r="CJ3588">
        <v>0</v>
      </c>
      <c r="CK3588">
        <v>2</v>
      </c>
      <c r="CL3588">
        <v>0</v>
      </c>
      <c r="CM3588">
        <v>2</v>
      </c>
      <c r="CN3588">
        <v>0</v>
      </c>
      <c r="CO3588">
        <v>6</v>
      </c>
      <c r="CP3588" t="s">
        <v>119</v>
      </c>
      <c r="CQ3588">
        <v>180</v>
      </c>
      <c r="CR3588">
        <v>2</v>
      </c>
      <c r="CW3588">
        <v>8869577</v>
      </c>
      <c r="CY3588">
        <v>1</v>
      </c>
      <c r="CZ3588">
        <v>0</v>
      </c>
      <c r="DA3588">
        <v>1</v>
      </c>
      <c r="DB3588">
        <v>0</v>
      </c>
      <c r="DC3588">
        <v>0</v>
      </c>
      <c r="DD3588">
        <v>0</v>
      </c>
      <c r="DE3588">
        <v>0</v>
      </c>
      <c r="DF3588">
        <v>0</v>
      </c>
      <c r="DG3588">
        <v>0</v>
      </c>
      <c r="DH3588">
        <v>0</v>
      </c>
      <c r="DI3588">
        <v>0</v>
      </c>
    </row>
    <row r="3589" spans="1:113" x14ac:dyDescent="0.3">
      <c r="A3589" t="str">
        <f>"02/08/2021 20:34:09.982"</f>
        <v>02/08/2021 20:34:09.982</v>
      </c>
      <c r="C3589" t="str">
        <f t="shared" si="179"/>
        <v>FFDFD7C0</v>
      </c>
      <c r="D3589" t="s">
        <v>124</v>
      </c>
      <c r="E3589">
        <v>11</v>
      </c>
      <c r="F3589">
        <v>1011</v>
      </c>
      <c r="G3589" t="s">
        <v>590</v>
      </c>
      <c r="J3589" t="s">
        <v>125</v>
      </c>
      <c r="K3589">
        <v>0</v>
      </c>
      <c r="L3589">
        <v>3</v>
      </c>
      <c r="M3589">
        <v>0</v>
      </c>
      <c r="N3589">
        <v>2</v>
      </c>
      <c r="O3589">
        <v>1</v>
      </c>
      <c r="P3589">
        <v>0</v>
      </c>
      <c r="Q3589">
        <v>0</v>
      </c>
      <c r="S3589" t="str">
        <f>"20:34:12.320"</f>
        <v>20:34:12.320</v>
      </c>
      <c r="T3589" t="str">
        <f>"20:34:11.920"</f>
        <v>20:34:11.920</v>
      </c>
      <c r="U3589" t="str">
        <f t="shared" si="180"/>
        <v>AB01F4</v>
      </c>
      <c r="V3589">
        <v>0</v>
      </c>
      <c r="W3589">
        <v>0</v>
      </c>
      <c r="X3589">
        <v>2</v>
      </c>
      <c r="Z3589">
        <v>0</v>
      </c>
      <c r="AA3589">
        <v>9</v>
      </c>
      <c r="AB3589">
        <v>3</v>
      </c>
      <c r="AC3589">
        <v>0</v>
      </c>
      <c r="AD3589">
        <v>10</v>
      </c>
      <c r="AE3589">
        <v>0</v>
      </c>
      <c r="AF3589">
        <v>3</v>
      </c>
      <c r="AG3589">
        <v>2</v>
      </c>
      <c r="AH3589">
        <v>0</v>
      </c>
      <c r="AI3589" t="s">
        <v>2043</v>
      </c>
      <c r="AJ3589">
        <v>40.101019999999998</v>
      </c>
      <c r="AK3589" t="s">
        <v>2044</v>
      </c>
      <c r="AL3589">
        <v>-93.003129999999999</v>
      </c>
      <c r="AM3589">
        <v>100</v>
      </c>
      <c r="AN3589">
        <v>1300</v>
      </c>
      <c r="AO3589" t="s">
        <v>118</v>
      </c>
      <c r="AP3589">
        <v>-114</v>
      </c>
      <c r="AQ3589">
        <v>61</v>
      </c>
      <c r="AR3589">
        <v>-128</v>
      </c>
      <c r="AZ3589">
        <v>1200</v>
      </c>
      <c r="BA3589">
        <v>1</v>
      </c>
      <c r="BB3589" t="str">
        <f t="shared" si="178"/>
        <v xml:space="preserve">N8080G  </v>
      </c>
      <c r="BC3589">
        <v>1</v>
      </c>
      <c r="BE3589">
        <v>0</v>
      </c>
      <c r="BF3589">
        <v>0</v>
      </c>
      <c r="BG3589">
        <v>0</v>
      </c>
      <c r="BH3589">
        <v>1350</v>
      </c>
      <c r="BI3589">
        <v>1</v>
      </c>
      <c r="BJ3589">
        <v>1</v>
      </c>
      <c r="BK3589">
        <v>1</v>
      </c>
      <c r="BL3589">
        <v>0</v>
      </c>
      <c r="BO3589">
        <v>0</v>
      </c>
      <c r="BP3589">
        <v>0</v>
      </c>
      <c r="BW3589" t="str">
        <f>"20:34:12.323"</f>
        <v>20:34:12.323</v>
      </c>
      <c r="BZ3589">
        <v>0</v>
      </c>
      <c r="CA3589">
        <v>1600</v>
      </c>
      <c r="CB3589">
        <v>224</v>
      </c>
      <c r="CD3589">
        <v>1</v>
      </c>
      <c r="CE3589">
        <v>0</v>
      </c>
      <c r="CF3589">
        <v>0</v>
      </c>
      <c r="CG3589">
        <v>1</v>
      </c>
      <c r="CH3589">
        <v>0</v>
      </c>
      <c r="CI3589">
        <v>0</v>
      </c>
      <c r="CJ3589">
        <v>0</v>
      </c>
      <c r="CK3589">
        <v>2</v>
      </c>
      <c r="CL3589">
        <v>0</v>
      </c>
      <c r="CM3589">
        <v>2</v>
      </c>
      <c r="CN3589">
        <v>0</v>
      </c>
      <c r="CO3589">
        <v>6</v>
      </c>
      <c r="CP3589" t="s">
        <v>119</v>
      </c>
      <c r="CQ3589">
        <v>180</v>
      </c>
      <c r="CR3589">
        <v>2</v>
      </c>
      <c r="CW3589">
        <v>8869577</v>
      </c>
      <c r="CY3589">
        <v>1</v>
      </c>
      <c r="CZ3589">
        <v>0</v>
      </c>
      <c r="DA3589">
        <v>1</v>
      </c>
      <c r="DB3589">
        <v>0</v>
      </c>
      <c r="DC3589">
        <v>0</v>
      </c>
      <c r="DD3589">
        <v>0</v>
      </c>
      <c r="DE3589">
        <v>0</v>
      </c>
      <c r="DF3589">
        <v>0</v>
      </c>
      <c r="DG3589">
        <v>0</v>
      </c>
      <c r="DH3589">
        <v>0</v>
      </c>
      <c r="DI3589">
        <v>0</v>
      </c>
    </row>
    <row r="3590" spans="1:113" x14ac:dyDescent="0.3">
      <c r="A3590" t="str">
        <f>"02/08/2021 20:34:09.982"</f>
        <v>02/08/2021 20:34:09.982</v>
      </c>
      <c r="C3590" t="str">
        <f t="shared" si="179"/>
        <v>FFDFD7C0</v>
      </c>
      <c r="D3590" t="s">
        <v>113</v>
      </c>
      <c r="E3590">
        <v>6</v>
      </c>
      <c r="H3590">
        <v>165</v>
      </c>
      <c r="I3590" t="s">
        <v>114</v>
      </c>
      <c r="J3590" t="s">
        <v>115</v>
      </c>
      <c r="K3590">
        <v>0</v>
      </c>
      <c r="L3590">
        <v>3</v>
      </c>
      <c r="M3590">
        <v>0</v>
      </c>
      <c r="N3590">
        <v>2</v>
      </c>
      <c r="O3590">
        <v>1</v>
      </c>
      <c r="P3590">
        <v>0</v>
      </c>
      <c r="Q3590">
        <v>0</v>
      </c>
      <c r="S3590" t="str">
        <f>"20:34:12.320"</f>
        <v>20:34:12.320</v>
      </c>
      <c r="T3590" t="str">
        <f>"20:34:11.920"</f>
        <v>20:34:11.920</v>
      </c>
      <c r="U3590" t="str">
        <f t="shared" si="180"/>
        <v>AB01F4</v>
      </c>
      <c r="V3590">
        <v>0</v>
      </c>
      <c r="W3590">
        <v>0</v>
      </c>
      <c r="X3590">
        <v>2</v>
      </c>
      <c r="Z3590">
        <v>0</v>
      </c>
      <c r="AA3590">
        <v>9</v>
      </c>
      <c r="AB3590">
        <v>3</v>
      </c>
      <c r="AC3590">
        <v>0</v>
      </c>
      <c r="AD3590">
        <v>10</v>
      </c>
      <c r="AE3590">
        <v>0</v>
      </c>
      <c r="AF3590">
        <v>3</v>
      </c>
      <c r="AG3590">
        <v>2</v>
      </c>
      <c r="AH3590">
        <v>0</v>
      </c>
      <c r="AI3590" t="s">
        <v>2043</v>
      </c>
      <c r="AJ3590">
        <v>40.101019999999998</v>
      </c>
      <c r="AK3590" t="s">
        <v>2044</v>
      </c>
      <c r="AL3590">
        <v>-93.003129999999999</v>
      </c>
      <c r="AM3590">
        <v>100</v>
      </c>
      <c r="AN3590">
        <v>1300</v>
      </c>
      <c r="AO3590" t="s">
        <v>118</v>
      </c>
      <c r="AP3590">
        <v>-114</v>
      </c>
      <c r="AQ3590">
        <v>61</v>
      </c>
      <c r="AR3590">
        <v>-128</v>
      </c>
      <c r="AZ3590">
        <v>1200</v>
      </c>
      <c r="BA3590">
        <v>1</v>
      </c>
      <c r="BB3590" t="str">
        <f t="shared" si="178"/>
        <v xml:space="preserve">N8080G  </v>
      </c>
      <c r="BC3590">
        <v>1</v>
      </c>
      <c r="BE3590">
        <v>0</v>
      </c>
      <c r="BF3590">
        <v>0</v>
      </c>
      <c r="BG3590">
        <v>0</v>
      </c>
      <c r="BH3590">
        <v>1350</v>
      </c>
      <c r="BI3590">
        <v>1</v>
      </c>
      <c r="BJ3590">
        <v>1</v>
      </c>
      <c r="BK3590">
        <v>1</v>
      </c>
      <c r="BL3590">
        <v>0</v>
      </c>
      <c r="BO3590">
        <v>0</v>
      </c>
      <c r="BP3590">
        <v>0</v>
      </c>
      <c r="BW3590" t="str">
        <f>"20:34:12.323"</f>
        <v>20:34:12.323</v>
      </c>
      <c r="BZ3590">
        <v>0</v>
      </c>
      <c r="CA3590">
        <v>1600</v>
      </c>
      <c r="CB3590">
        <v>224</v>
      </c>
      <c r="CD3590">
        <v>1</v>
      </c>
      <c r="CE3590">
        <v>0</v>
      </c>
      <c r="CF3590">
        <v>0</v>
      </c>
      <c r="CG3590">
        <v>1</v>
      </c>
      <c r="CH3590">
        <v>0</v>
      </c>
      <c r="CI3590">
        <v>0</v>
      </c>
      <c r="CJ3590">
        <v>0</v>
      </c>
      <c r="CK3590">
        <v>2</v>
      </c>
      <c r="CL3590">
        <v>0</v>
      </c>
      <c r="CM3590">
        <v>2</v>
      </c>
      <c r="CN3590">
        <v>0</v>
      </c>
      <c r="CO3590">
        <v>6</v>
      </c>
      <c r="CP3590" t="s">
        <v>119</v>
      </c>
      <c r="CQ3590">
        <v>180</v>
      </c>
      <c r="CR3590">
        <v>2</v>
      </c>
      <c r="CW3590">
        <v>8869577</v>
      </c>
      <c r="CY3590">
        <v>1</v>
      </c>
      <c r="CZ3590">
        <v>0</v>
      </c>
      <c r="DA3590">
        <v>1</v>
      </c>
      <c r="DB3590">
        <v>0</v>
      </c>
      <c r="DC3590">
        <v>0</v>
      </c>
      <c r="DD3590">
        <v>0</v>
      </c>
      <c r="DE3590">
        <v>0</v>
      </c>
      <c r="DF3590">
        <v>0</v>
      </c>
      <c r="DG3590">
        <v>0</v>
      </c>
      <c r="DH3590">
        <v>0</v>
      </c>
      <c r="DI3590">
        <v>0</v>
      </c>
    </row>
    <row r="3591" spans="1:113" x14ac:dyDescent="0.3">
      <c r="A3591" t="str">
        <f>"02/08/2021 20:34:11.791"</f>
        <v>02/08/2021 20:34:11.791</v>
      </c>
      <c r="C3591" t="str">
        <f t="shared" si="179"/>
        <v>FFDFD7C0</v>
      </c>
      <c r="D3591" t="s">
        <v>124</v>
      </c>
      <c r="E3591">
        <v>12</v>
      </c>
      <c r="F3591">
        <v>1012</v>
      </c>
      <c r="G3591" t="s">
        <v>675</v>
      </c>
      <c r="J3591" t="s">
        <v>125</v>
      </c>
      <c r="K3591">
        <v>0</v>
      </c>
      <c r="L3591">
        <v>3</v>
      </c>
      <c r="M3591">
        <v>0</v>
      </c>
      <c r="N3591">
        <v>2</v>
      </c>
      <c r="O3591">
        <v>1</v>
      </c>
      <c r="P3591">
        <v>0</v>
      </c>
      <c r="Q3591">
        <v>0</v>
      </c>
      <c r="S3591" t="str">
        <f>"20:34:14.094"</f>
        <v>20:34:14.094</v>
      </c>
      <c r="T3591" t="str">
        <f>"20:34:13.694"</f>
        <v>20:34:13.694</v>
      </c>
      <c r="U3591" t="str">
        <f t="shared" si="180"/>
        <v>AB01F4</v>
      </c>
      <c r="V3591">
        <v>0</v>
      </c>
      <c r="W3591">
        <v>0</v>
      </c>
      <c r="X3591">
        <v>2</v>
      </c>
      <c r="Z3591">
        <v>0</v>
      </c>
      <c r="AA3591">
        <v>9</v>
      </c>
      <c r="AB3591">
        <v>3</v>
      </c>
      <c r="AC3591">
        <v>0</v>
      </c>
      <c r="AD3591">
        <v>10</v>
      </c>
      <c r="AE3591">
        <v>0</v>
      </c>
      <c r="AF3591">
        <v>3</v>
      </c>
      <c r="AG3591">
        <v>2</v>
      </c>
      <c r="AH3591">
        <v>0</v>
      </c>
      <c r="AI3591" t="s">
        <v>2045</v>
      </c>
      <c r="AJ3591">
        <v>40.101534999999998</v>
      </c>
      <c r="AK3591" t="s">
        <v>2046</v>
      </c>
      <c r="AL3591">
        <v>-93.004396</v>
      </c>
      <c r="AM3591">
        <v>100</v>
      </c>
      <c r="AN3591">
        <v>1300</v>
      </c>
      <c r="AO3591" t="s">
        <v>118</v>
      </c>
      <c r="AP3591">
        <v>-114</v>
      </c>
      <c r="AQ3591">
        <v>61</v>
      </c>
      <c r="AR3591">
        <v>0</v>
      </c>
      <c r="AZ3591">
        <v>1200</v>
      </c>
      <c r="BA3591">
        <v>1</v>
      </c>
      <c r="BB3591" t="str">
        <f t="shared" si="178"/>
        <v xml:space="preserve">N8080G  </v>
      </c>
      <c r="BC3591">
        <v>1</v>
      </c>
      <c r="BE3591">
        <v>0</v>
      </c>
      <c r="BF3591">
        <v>0</v>
      </c>
      <c r="BG3591">
        <v>0</v>
      </c>
      <c r="BH3591">
        <v>1350</v>
      </c>
      <c r="BI3591">
        <v>1</v>
      </c>
      <c r="BJ3591">
        <v>1</v>
      </c>
      <c r="BK3591">
        <v>1</v>
      </c>
      <c r="BL3591">
        <v>0</v>
      </c>
      <c r="BO3591">
        <v>0</v>
      </c>
      <c r="BP3591">
        <v>0</v>
      </c>
      <c r="BW3591" t="str">
        <f>"20:34:14.095"</f>
        <v>20:34:14.095</v>
      </c>
      <c r="BZ3591">
        <v>0</v>
      </c>
      <c r="CA3591">
        <v>1600</v>
      </c>
      <c r="CB3591">
        <v>224</v>
      </c>
      <c r="CD3591">
        <v>1</v>
      </c>
      <c r="CE3591">
        <v>0</v>
      </c>
      <c r="CF3591">
        <v>0</v>
      </c>
      <c r="CG3591">
        <v>1</v>
      </c>
      <c r="CH3591">
        <v>0</v>
      </c>
      <c r="CI3591">
        <v>0</v>
      </c>
      <c r="CJ3591">
        <v>0</v>
      </c>
      <c r="CK3591">
        <v>2</v>
      </c>
      <c r="CL3591">
        <v>0</v>
      </c>
      <c r="CM3591">
        <v>2</v>
      </c>
      <c r="CN3591">
        <v>0</v>
      </c>
      <c r="CO3591">
        <v>6</v>
      </c>
      <c r="CP3591" t="s">
        <v>119</v>
      </c>
      <c r="CQ3591">
        <v>180</v>
      </c>
      <c r="CR3591">
        <v>3</v>
      </c>
      <c r="CW3591">
        <v>1205876</v>
      </c>
      <c r="CY3591">
        <v>1</v>
      </c>
      <c r="CZ3591">
        <v>0</v>
      </c>
      <c r="DA3591">
        <v>0</v>
      </c>
      <c r="DB3591">
        <v>0</v>
      </c>
      <c r="DC3591">
        <v>0</v>
      </c>
      <c r="DD3591">
        <v>0</v>
      </c>
      <c r="DE3591">
        <v>0</v>
      </c>
      <c r="DF3591">
        <v>0</v>
      </c>
      <c r="DG3591">
        <v>0</v>
      </c>
      <c r="DH3591">
        <v>0</v>
      </c>
      <c r="DI3591">
        <v>0</v>
      </c>
    </row>
    <row r="3592" spans="1:113" x14ac:dyDescent="0.3">
      <c r="A3592" t="str">
        <f>"02/08/2021 20:34:11.791"</f>
        <v>02/08/2021 20:34:11.791</v>
      </c>
      <c r="C3592" t="str">
        <f t="shared" si="179"/>
        <v>FFDFD7C0</v>
      </c>
      <c r="D3592" t="s">
        <v>124</v>
      </c>
      <c r="E3592">
        <v>13</v>
      </c>
      <c r="F3592">
        <v>1013</v>
      </c>
      <c r="G3592" t="s">
        <v>114</v>
      </c>
      <c r="J3592" t="s">
        <v>125</v>
      </c>
      <c r="K3592">
        <v>0</v>
      </c>
      <c r="L3592">
        <v>3</v>
      </c>
      <c r="M3592">
        <v>0</v>
      </c>
      <c r="N3592">
        <v>2</v>
      </c>
      <c r="O3592">
        <v>1</v>
      </c>
      <c r="P3592">
        <v>0</v>
      </c>
      <c r="Q3592">
        <v>0</v>
      </c>
      <c r="S3592" t="str">
        <f>"20:34:14.094"</f>
        <v>20:34:14.094</v>
      </c>
      <c r="T3592" t="str">
        <f>"20:34:13.694"</f>
        <v>20:34:13.694</v>
      </c>
      <c r="U3592" t="str">
        <f t="shared" si="180"/>
        <v>AB01F4</v>
      </c>
      <c r="V3592">
        <v>0</v>
      </c>
      <c r="W3592">
        <v>0</v>
      </c>
      <c r="X3592">
        <v>2</v>
      </c>
      <c r="Z3592">
        <v>0</v>
      </c>
      <c r="AA3592">
        <v>9</v>
      </c>
      <c r="AB3592">
        <v>3</v>
      </c>
      <c r="AC3592">
        <v>0</v>
      </c>
      <c r="AD3592">
        <v>10</v>
      </c>
      <c r="AE3592">
        <v>0</v>
      </c>
      <c r="AF3592">
        <v>3</v>
      </c>
      <c r="AG3592">
        <v>2</v>
      </c>
      <c r="AH3592">
        <v>0</v>
      </c>
      <c r="AI3592" t="s">
        <v>2045</v>
      </c>
      <c r="AJ3592">
        <v>40.101534999999998</v>
      </c>
      <c r="AK3592" t="s">
        <v>2046</v>
      </c>
      <c r="AL3592">
        <v>-93.004396</v>
      </c>
      <c r="AM3592">
        <v>100</v>
      </c>
      <c r="AN3592">
        <v>1300</v>
      </c>
      <c r="AO3592" t="s">
        <v>118</v>
      </c>
      <c r="AP3592">
        <v>-114</v>
      </c>
      <c r="AQ3592">
        <v>61</v>
      </c>
      <c r="AR3592">
        <v>0</v>
      </c>
      <c r="AZ3592">
        <v>1200</v>
      </c>
      <c r="BA3592">
        <v>1</v>
      </c>
      <c r="BB3592" t="str">
        <f t="shared" si="178"/>
        <v xml:space="preserve">N8080G  </v>
      </c>
      <c r="BC3592">
        <v>1</v>
      </c>
      <c r="BE3592">
        <v>0</v>
      </c>
      <c r="BF3592">
        <v>0</v>
      </c>
      <c r="BG3592">
        <v>0</v>
      </c>
      <c r="BH3592">
        <v>1350</v>
      </c>
      <c r="BI3592">
        <v>1</v>
      </c>
      <c r="BJ3592">
        <v>1</v>
      </c>
      <c r="BK3592">
        <v>1</v>
      </c>
      <c r="BL3592">
        <v>0</v>
      </c>
      <c r="BO3592">
        <v>0</v>
      </c>
      <c r="BP3592">
        <v>0</v>
      </c>
      <c r="BW3592" t="str">
        <f>"20:34:14.095"</f>
        <v>20:34:14.095</v>
      </c>
      <c r="BZ3592">
        <v>0</v>
      </c>
      <c r="CA3592">
        <v>1600</v>
      </c>
      <c r="CB3592">
        <v>224</v>
      </c>
      <c r="CD3592">
        <v>1</v>
      </c>
      <c r="CE3592">
        <v>0</v>
      </c>
      <c r="CF3592">
        <v>0</v>
      </c>
      <c r="CG3592">
        <v>1</v>
      </c>
      <c r="CH3592">
        <v>0</v>
      </c>
      <c r="CI3592">
        <v>0</v>
      </c>
      <c r="CJ3592">
        <v>0</v>
      </c>
      <c r="CK3592">
        <v>2</v>
      </c>
      <c r="CL3592">
        <v>0</v>
      </c>
      <c r="CM3592">
        <v>2</v>
      </c>
      <c r="CN3592">
        <v>0</v>
      </c>
      <c r="CO3592">
        <v>6</v>
      </c>
      <c r="CP3592" t="s">
        <v>119</v>
      </c>
      <c r="CQ3592">
        <v>180</v>
      </c>
      <c r="CR3592">
        <v>3</v>
      </c>
      <c r="CW3592">
        <v>1205876</v>
      </c>
      <c r="CY3592">
        <v>1</v>
      </c>
      <c r="CZ3592">
        <v>0</v>
      </c>
      <c r="DA3592">
        <v>1</v>
      </c>
      <c r="DB3592">
        <v>0</v>
      </c>
      <c r="DC3592">
        <v>0</v>
      </c>
      <c r="DD3592">
        <v>0</v>
      </c>
      <c r="DE3592">
        <v>0</v>
      </c>
      <c r="DF3592">
        <v>0</v>
      </c>
      <c r="DG3592">
        <v>0</v>
      </c>
      <c r="DH3592">
        <v>0</v>
      </c>
      <c r="DI3592">
        <v>0</v>
      </c>
    </row>
    <row r="3593" spans="1:113" x14ac:dyDescent="0.3">
      <c r="A3593" t="str">
        <f>"02/08/2021 20:34:11.791"</f>
        <v>02/08/2021 20:34:11.791</v>
      </c>
      <c r="C3593" t="str">
        <f t="shared" si="179"/>
        <v>FFDFD7C0</v>
      </c>
      <c r="D3593" t="s">
        <v>124</v>
      </c>
      <c r="E3593">
        <v>11</v>
      </c>
      <c r="F3593">
        <v>1011</v>
      </c>
      <c r="G3593" t="s">
        <v>590</v>
      </c>
      <c r="J3593" t="s">
        <v>125</v>
      </c>
      <c r="K3593">
        <v>0</v>
      </c>
      <c r="L3593">
        <v>3</v>
      </c>
      <c r="M3593">
        <v>0</v>
      </c>
      <c r="N3593">
        <v>2</v>
      </c>
      <c r="O3593">
        <v>1</v>
      </c>
      <c r="P3593">
        <v>0</v>
      </c>
      <c r="Q3593">
        <v>0</v>
      </c>
      <c r="S3593" t="str">
        <f>"20:34:14.094"</f>
        <v>20:34:14.094</v>
      </c>
      <c r="T3593" t="str">
        <f>"20:34:13.694"</f>
        <v>20:34:13.694</v>
      </c>
      <c r="U3593" t="str">
        <f t="shared" si="180"/>
        <v>AB01F4</v>
      </c>
      <c r="V3593">
        <v>0</v>
      </c>
      <c r="W3593">
        <v>0</v>
      </c>
      <c r="X3593">
        <v>2</v>
      </c>
      <c r="Z3593">
        <v>0</v>
      </c>
      <c r="AA3593">
        <v>9</v>
      </c>
      <c r="AB3593">
        <v>3</v>
      </c>
      <c r="AC3593">
        <v>0</v>
      </c>
      <c r="AD3593">
        <v>10</v>
      </c>
      <c r="AE3593">
        <v>0</v>
      </c>
      <c r="AF3593">
        <v>3</v>
      </c>
      <c r="AG3593">
        <v>2</v>
      </c>
      <c r="AH3593">
        <v>0</v>
      </c>
      <c r="AI3593" t="s">
        <v>2045</v>
      </c>
      <c r="AJ3593">
        <v>40.101534999999998</v>
      </c>
      <c r="AK3593" t="s">
        <v>2046</v>
      </c>
      <c r="AL3593">
        <v>-93.004396</v>
      </c>
      <c r="AM3593">
        <v>100</v>
      </c>
      <c r="AN3593">
        <v>1300</v>
      </c>
      <c r="AO3593" t="s">
        <v>118</v>
      </c>
      <c r="AP3593">
        <v>-114</v>
      </c>
      <c r="AQ3593">
        <v>61</v>
      </c>
      <c r="AR3593">
        <v>0</v>
      </c>
      <c r="AZ3593">
        <v>1200</v>
      </c>
      <c r="BA3593">
        <v>1</v>
      </c>
      <c r="BB3593" t="str">
        <f t="shared" si="178"/>
        <v xml:space="preserve">N8080G  </v>
      </c>
      <c r="BC3593">
        <v>1</v>
      </c>
      <c r="BE3593">
        <v>0</v>
      </c>
      <c r="BF3593">
        <v>0</v>
      </c>
      <c r="BG3593">
        <v>0</v>
      </c>
      <c r="BH3593">
        <v>1350</v>
      </c>
      <c r="BI3593">
        <v>1</v>
      </c>
      <c r="BJ3593">
        <v>1</v>
      </c>
      <c r="BK3593">
        <v>1</v>
      </c>
      <c r="BL3593">
        <v>0</v>
      </c>
      <c r="BO3593">
        <v>0</v>
      </c>
      <c r="BP3593">
        <v>0</v>
      </c>
      <c r="BW3593" t="str">
        <f>"20:34:14.095"</f>
        <v>20:34:14.095</v>
      </c>
      <c r="BZ3593">
        <v>0</v>
      </c>
      <c r="CA3593">
        <v>1600</v>
      </c>
      <c r="CB3593">
        <v>224</v>
      </c>
      <c r="CD3593">
        <v>1</v>
      </c>
      <c r="CE3593">
        <v>0</v>
      </c>
      <c r="CF3593">
        <v>0</v>
      </c>
      <c r="CG3593">
        <v>1</v>
      </c>
      <c r="CH3593">
        <v>0</v>
      </c>
      <c r="CI3593">
        <v>0</v>
      </c>
      <c r="CJ3593">
        <v>0</v>
      </c>
      <c r="CK3593">
        <v>2</v>
      </c>
      <c r="CL3593">
        <v>0</v>
      </c>
      <c r="CM3593">
        <v>2</v>
      </c>
      <c r="CN3593">
        <v>0</v>
      </c>
      <c r="CO3593">
        <v>6</v>
      </c>
      <c r="CP3593" t="s">
        <v>119</v>
      </c>
      <c r="CQ3593">
        <v>180</v>
      </c>
      <c r="CR3593">
        <v>3</v>
      </c>
      <c r="CW3593">
        <v>1205876</v>
      </c>
      <c r="CY3593">
        <v>1</v>
      </c>
      <c r="CZ3593">
        <v>0</v>
      </c>
      <c r="DA3593">
        <v>1</v>
      </c>
      <c r="DB3593">
        <v>0</v>
      </c>
      <c r="DC3593">
        <v>0</v>
      </c>
      <c r="DD3593">
        <v>0</v>
      </c>
      <c r="DE3593">
        <v>0</v>
      </c>
      <c r="DF3593">
        <v>0</v>
      </c>
      <c r="DG3593">
        <v>0</v>
      </c>
      <c r="DH3593">
        <v>0</v>
      </c>
      <c r="DI3593">
        <v>0</v>
      </c>
    </row>
    <row r="3594" spans="1:113" x14ac:dyDescent="0.3">
      <c r="A3594" t="str">
        <f>"02/08/2021 20:34:11.791"</f>
        <v>02/08/2021 20:34:11.791</v>
      </c>
      <c r="C3594" t="str">
        <f t="shared" si="179"/>
        <v>FFDFD7C0</v>
      </c>
      <c r="D3594" t="s">
        <v>113</v>
      </c>
      <c r="E3594">
        <v>6</v>
      </c>
      <c r="H3594">
        <v>165</v>
      </c>
      <c r="I3594" t="s">
        <v>114</v>
      </c>
      <c r="J3594" t="s">
        <v>115</v>
      </c>
      <c r="K3594">
        <v>0</v>
      </c>
      <c r="L3594">
        <v>3</v>
      </c>
      <c r="M3594">
        <v>0</v>
      </c>
      <c r="N3594">
        <v>2</v>
      </c>
      <c r="O3594">
        <v>1</v>
      </c>
      <c r="P3594">
        <v>0</v>
      </c>
      <c r="Q3594">
        <v>0</v>
      </c>
      <c r="S3594" t="str">
        <f>"20:34:14.094"</f>
        <v>20:34:14.094</v>
      </c>
      <c r="T3594" t="str">
        <f>"20:34:13.694"</f>
        <v>20:34:13.694</v>
      </c>
      <c r="U3594" t="str">
        <f t="shared" si="180"/>
        <v>AB01F4</v>
      </c>
      <c r="V3594">
        <v>0</v>
      </c>
      <c r="W3594">
        <v>0</v>
      </c>
      <c r="X3594">
        <v>2</v>
      </c>
      <c r="Z3594">
        <v>0</v>
      </c>
      <c r="AA3594">
        <v>9</v>
      </c>
      <c r="AB3594">
        <v>3</v>
      </c>
      <c r="AC3594">
        <v>0</v>
      </c>
      <c r="AD3594">
        <v>10</v>
      </c>
      <c r="AE3594">
        <v>0</v>
      </c>
      <c r="AF3594">
        <v>3</v>
      </c>
      <c r="AG3594">
        <v>2</v>
      </c>
      <c r="AH3594">
        <v>0</v>
      </c>
      <c r="AI3594" t="s">
        <v>2045</v>
      </c>
      <c r="AJ3594">
        <v>40.101534999999998</v>
      </c>
      <c r="AK3594" t="s">
        <v>2046</v>
      </c>
      <c r="AL3594">
        <v>-93.004396</v>
      </c>
      <c r="AM3594">
        <v>100</v>
      </c>
      <c r="AN3594">
        <v>1300</v>
      </c>
      <c r="AO3594" t="s">
        <v>118</v>
      </c>
      <c r="AP3594">
        <v>-114</v>
      </c>
      <c r="AQ3594">
        <v>61</v>
      </c>
      <c r="AR3594">
        <v>0</v>
      </c>
      <c r="AZ3594">
        <v>1200</v>
      </c>
      <c r="BA3594">
        <v>1</v>
      </c>
      <c r="BB3594" t="str">
        <f t="shared" si="178"/>
        <v xml:space="preserve">N8080G  </v>
      </c>
      <c r="BC3594">
        <v>1</v>
      </c>
      <c r="BE3594">
        <v>0</v>
      </c>
      <c r="BF3594">
        <v>0</v>
      </c>
      <c r="BG3594">
        <v>0</v>
      </c>
      <c r="BH3594">
        <v>1350</v>
      </c>
      <c r="BI3594">
        <v>1</v>
      </c>
      <c r="BJ3594">
        <v>1</v>
      </c>
      <c r="BK3594">
        <v>1</v>
      </c>
      <c r="BL3594">
        <v>0</v>
      </c>
      <c r="BO3594">
        <v>0</v>
      </c>
      <c r="BP3594">
        <v>0</v>
      </c>
      <c r="BW3594" t="str">
        <f>"20:34:14.095"</f>
        <v>20:34:14.095</v>
      </c>
      <c r="BZ3594">
        <v>0</v>
      </c>
      <c r="CA3594">
        <v>1600</v>
      </c>
      <c r="CB3594">
        <v>224</v>
      </c>
      <c r="CD3594">
        <v>1</v>
      </c>
      <c r="CE3594">
        <v>0</v>
      </c>
      <c r="CF3594">
        <v>0</v>
      </c>
      <c r="CG3594">
        <v>1</v>
      </c>
      <c r="CH3594">
        <v>0</v>
      </c>
      <c r="CI3594">
        <v>0</v>
      </c>
      <c r="CJ3594">
        <v>0</v>
      </c>
      <c r="CK3594">
        <v>2</v>
      </c>
      <c r="CL3594">
        <v>0</v>
      </c>
      <c r="CM3594">
        <v>2</v>
      </c>
      <c r="CN3594">
        <v>0</v>
      </c>
      <c r="CO3594">
        <v>6</v>
      </c>
      <c r="CP3594" t="s">
        <v>119</v>
      </c>
      <c r="CQ3594">
        <v>180</v>
      </c>
      <c r="CR3594">
        <v>3</v>
      </c>
      <c r="CW3594">
        <v>1205876</v>
      </c>
      <c r="CY3594">
        <v>1</v>
      </c>
      <c r="CZ3594">
        <v>0</v>
      </c>
      <c r="DA3594">
        <v>1</v>
      </c>
      <c r="DB3594">
        <v>0</v>
      </c>
      <c r="DC3594">
        <v>0</v>
      </c>
      <c r="DD3594">
        <v>0</v>
      </c>
      <c r="DE3594">
        <v>0</v>
      </c>
      <c r="DF3594">
        <v>0</v>
      </c>
      <c r="DG3594">
        <v>0</v>
      </c>
      <c r="DH3594">
        <v>0</v>
      </c>
      <c r="DI3594">
        <v>0</v>
      </c>
    </row>
    <row r="3595" spans="1:113" x14ac:dyDescent="0.3">
      <c r="A3595" t="str">
        <f>"02/08/2021 20:34:13.440"</f>
        <v>02/08/2021 20:34:13.440</v>
      </c>
      <c r="C3595" t="str">
        <f t="shared" si="179"/>
        <v>FFDFD7C0</v>
      </c>
      <c r="D3595" t="s">
        <v>113</v>
      </c>
      <c r="E3595">
        <v>6</v>
      </c>
      <c r="H3595">
        <v>165</v>
      </c>
      <c r="I3595" t="s">
        <v>114</v>
      </c>
      <c r="J3595" t="s">
        <v>115</v>
      </c>
      <c r="K3595">
        <v>0</v>
      </c>
      <c r="L3595">
        <v>3</v>
      </c>
      <c r="M3595">
        <v>0</v>
      </c>
      <c r="N3595">
        <v>2</v>
      </c>
      <c r="O3595">
        <v>1</v>
      </c>
      <c r="P3595">
        <v>0</v>
      </c>
      <c r="Q3595">
        <v>0</v>
      </c>
      <c r="S3595" t="str">
        <f>"20:34:15.766"</f>
        <v>20:34:15.766</v>
      </c>
      <c r="T3595" t="str">
        <f>"20:34:15.266"</f>
        <v>20:34:15.266</v>
      </c>
      <c r="U3595" t="str">
        <f t="shared" si="180"/>
        <v>AB01F4</v>
      </c>
      <c r="V3595">
        <v>0</v>
      </c>
      <c r="W3595">
        <v>0</v>
      </c>
      <c r="X3595">
        <v>2</v>
      </c>
      <c r="Z3595">
        <v>0</v>
      </c>
      <c r="AA3595">
        <v>9</v>
      </c>
      <c r="AB3595">
        <v>3</v>
      </c>
      <c r="AC3595">
        <v>0</v>
      </c>
      <c r="AD3595">
        <v>10</v>
      </c>
      <c r="AE3595">
        <v>0</v>
      </c>
      <c r="AF3595">
        <v>3</v>
      </c>
      <c r="AG3595">
        <v>2</v>
      </c>
      <c r="AH3595">
        <v>0</v>
      </c>
      <c r="AI3595" t="s">
        <v>2047</v>
      </c>
      <c r="AJ3595">
        <v>40.102029000000002</v>
      </c>
      <c r="AK3595" t="s">
        <v>2048</v>
      </c>
      <c r="AL3595">
        <v>-93.005555000000001</v>
      </c>
      <c r="AM3595">
        <v>100</v>
      </c>
      <c r="AN3595">
        <v>1300</v>
      </c>
      <c r="AO3595" t="s">
        <v>118</v>
      </c>
      <c r="AP3595">
        <v>-114</v>
      </c>
      <c r="AQ3595">
        <v>62</v>
      </c>
      <c r="AR3595">
        <v>0</v>
      </c>
      <c r="AZ3595">
        <v>1200</v>
      </c>
      <c r="BA3595">
        <v>1</v>
      </c>
      <c r="BB3595" t="str">
        <f t="shared" si="178"/>
        <v xml:space="preserve">N8080G  </v>
      </c>
      <c r="BC3595">
        <v>1</v>
      </c>
      <c r="BE3595">
        <v>0</v>
      </c>
      <c r="BF3595">
        <v>0</v>
      </c>
      <c r="BG3595">
        <v>0</v>
      </c>
      <c r="BH3595">
        <v>1350</v>
      </c>
      <c r="BI3595">
        <v>1</v>
      </c>
      <c r="BJ3595">
        <v>1</v>
      </c>
      <c r="BK3595">
        <v>1</v>
      </c>
      <c r="BL3595">
        <v>0</v>
      </c>
      <c r="BO3595">
        <v>0</v>
      </c>
      <c r="BP3595">
        <v>0</v>
      </c>
      <c r="BW3595" t="str">
        <f>"20:34:15.769"</f>
        <v>20:34:15.769</v>
      </c>
      <c r="BZ3595">
        <v>0</v>
      </c>
      <c r="CA3595">
        <v>1600</v>
      </c>
      <c r="CB3595">
        <v>224</v>
      </c>
      <c r="CD3595">
        <v>1</v>
      </c>
      <c r="CE3595">
        <v>0</v>
      </c>
      <c r="CF3595">
        <v>0</v>
      </c>
      <c r="CG3595">
        <v>1</v>
      </c>
      <c r="CH3595">
        <v>0</v>
      </c>
      <c r="CI3595">
        <v>0</v>
      </c>
      <c r="CJ3595">
        <v>0</v>
      </c>
      <c r="CK3595">
        <v>2</v>
      </c>
      <c r="CL3595">
        <v>0</v>
      </c>
      <c r="CM3595">
        <v>2</v>
      </c>
      <c r="CN3595">
        <v>0</v>
      </c>
      <c r="CO3595">
        <v>6</v>
      </c>
      <c r="CP3595" t="s">
        <v>119</v>
      </c>
      <c r="CQ3595">
        <v>180</v>
      </c>
      <c r="CR3595">
        <v>2</v>
      </c>
      <c r="CW3595">
        <v>8872405</v>
      </c>
      <c r="CY3595">
        <v>1</v>
      </c>
      <c r="CZ3595">
        <v>0</v>
      </c>
      <c r="DA3595">
        <v>0</v>
      </c>
      <c r="DB3595">
        <v>0</v>
      </c>
      <c r="DC3595">
        <v>0</v>
      </c>
      <c r="DD3595">
        <v>0</v>
      </c>
      <c r="DE3595">
        <v>0</v>
      </c>
      <c r="DF3595">
        <v>0</v>
      </c>
      <c r="DG3595">
        <v>0</v>
      </c>
      <c r="DH3595">
        <v>0</v>
      </c>
      <c r="DI3595">
        <v>0</v>
      </c>
    </row>
    <row r="3596" spans="1:113" x14ac:dyDescent="0.3">
      <c r="A3596" t="str">
        <f>"02/08/2021 20:34:13.440"</f>
        <v>02/08/2021 20:34:13.440</v>
      </c>
      <c r="C3596" t="str">
        <f t="shared" si="179"/>
        <v>FFDFD7C0</v>
      </c>
      <c r="D3596" t="s">
        <v>124</v>
      </c>
      <c r="E3596">
        <v>12</v>
      </c>
      <c r="F3596">
        <v>1012</v>
      </c>
      <c r="G3596" t="s">
        <v>675</v>
      </c>
      <c r="J3596" t="s">
        <v>125</v>
      </c>
      <c r="K3596">
        <v>0</v>
      </c>
      <c r="L3596">
        <v>3</v>
      </c>
      <c r="M3596">
        <v>0</v>
      </c>
      <c r="N3596">
        <v>2</v>
      </c>
      <c r="O3596">
        <v>1</v>
      </c>
      <c r="P3596">
        <v>0</v>
      </c>
      <c r="Q3596">
        <v>0</v>
      </c>
      <c r="S3596" t="str">
        <f>"20:34:15.766"</f>
        <v>20:34:15.766</v>
      </c>
      <c r="T3596" t="str">
        <f>"20:34:15.266"</f>
        <v>20:34:15.266</v>
      </c>
      <c r="U3596" t="str">
        <f t="shared" si="180"/>
        <v>AB01F4</v>
      </c>
      <c r="V3596">
        <v>0</v>
      </c>
      <c r="W3596">
        <v>0</v>
      </c>
      <c r="X3596">
        <v>2</v>
      </c>
      <c r="Z3596">
        <v>0</v>
      </c>
      <c r="AA3596">
        <v>9</v>
      </c>
      <c r="AB3596">
        <v>3</v>
      </c>
      <c r="AC3596">
        <v>0</v>
      </c>
      <c r="AD3596">
        <v>10</v>
      </c>
      <c r="AE3596">
        <v>0</v>
      </c>
      <c r="AF3596">
        <v>3</v>
      </c>
      <c r="AG3596">
        <v>2</v>
      </c>
      <c r="AH3596">
        <v>0</v>
      </c>
      <c r="AI3596" t="s">
        <v>2047</v>
      </c>
      <c r="AJ3596">
        <v>40.102029000000002</v>
      </c>
      <c r="AK3596" t="s">
        <v>2048</v>
      </c>
      <c r="AL3596">
        <v>-93.005555000000001</v>
      </c>
      <c r="AM3596">
        <v>100</v>
      </c>
      <c r="AN3596">
        <v>1300</v>
      </c>
      <c r="AO3596" t="s">
        <v>118</v>
      </c>
      <c r="AP3596">
        <v>-114</v>
      </c>
      <c r="AQ3596">
        <v>62</v>
      </c>
      <c r="AR3596">
        <v>0</v>
      </c>
      <c r="AZ3596">
        <v>1200</v>
      </c>
      <c r="BA3596">
        <v>1</v>
      </c>
      <c r="BB3596" t="str">
        <f t="shared" si="178"/>
        <v xml:space="preserve">N8080G  </v>
      </c>
      <c r="BC3596">
        <v>1</v>
      </c>
      <c r="BE3596">
        <v>0</v>
      </c>
      <c r="BF3596">
        <v>0</v>
      </c>
      <c r="BG3596">
        <v>0</v>
      </c>
      <c r="BH3596">
        <v>1350</v>
      </c>
      <c r="BI3596">
        <v>1</v>
      </c>
      <c r="BJ3596">
        <v>1</v>
      </c>
      <c r="BK3596">
        <v>1</v>
      </c>
      <c r="BL3596">
        <v>0</v>
      </c>
      <c r="BO3596">
        <v>0</v>
      </c>
      <c r="BP3596">
        <v>0</v>
      </c>
      <c r="BW3596" t="str">
        <f>"20:34:15.769"</f>
        <v>20:34:15.769</v>
      </c>
      <c r="BZ3596">
        <v>0</v>
      </c>
      <c r="CA3596">
        <v>1600</v>
      </c>
      <c r="CB3596">
        <v>224</v>
      </c>
      <c r="CD3596">
        <v>1</v>
      </c>
      <c r="CE3596">
        <v>0</v>
      </c>
      <c r="CF3596">
        <v>0</v>
      </c>
      <c r="CG3596">
        <v>1</v>
      </c>
      <c r="CH3596">
        <v>0</v>
      </c>
      <c r="CI3596">
        <v>0</v>
      </c>
      <c r="CJ3596">
        <v>0</v>
      </c>
      <c r="CK3596">
        <v>2</v>
      </c>
      <c r="CL3596">
        <v>0</v>
      </c>
      <c r="CM3596">
        <v>2</v>
      </c>
      <c r="CN3596">
        <v>0</v>
      </c>
      <c r="CO3596">
        <v>6</v>
      </c>
      <c r="CP3596" t="s">
        <v>119</v>
      </c>
      <c r="CQ3596">
        <v>180</v>
      </c>
      <c r="CR3596">
        <v>2</v>
      </c>
      <c r="CW3596">
        <v>8872405</v>
      </c>
      <c r="CY3596">
        <v>1</v>
      </c>
      <c r="CZ3596">
        <v>0</v>
      </c>
      <c r="DA3596">
        <v>1</v>
      </c>
      <c r="DB3596">
        <v>0</v>
      </c>
      <c r="DC3596">
        <v>0</v>
      </c>
      <c r="DD3596">
        <v>0</v>
      </c>
      <c r="DE3596">
        <v>0</v>
      </c>
      <c r="DF3596">
        <v>0</v>
      </c>
      <c r="DG3596">
        <v>0</v>
      </c>
      <c r="DH3596">
        <v>0</v>
      </c>
      <c r="DI3596">
        <v>0</v>
      </c>
    </row>
    <row r="3597" spans="1:113" x14ac:dyDescent="0.3">
      <c r="A3597" t="str">
        <f>"02/08/2021 20:34:13.440"</f>
        <v>02/08/2021 20:34:13.440</v>
      </c>
      <c r="C3597" t="str">
        <f t="shared" si="179"/>
        <v>FFDFD7C0</v>
      </c>
      <c r="D3597" t="s">
        <v>124</v>
      </c>
      <c r="E3597">
        <v>13</v>
      </c>
      <c r="F3597">
        <v>1013</v>
      </c>
      <c r="G3597" t="s">
        <v>114</v>
      </c>
      <c r="J3597" t="s">
        <v>125</v>
      </c>
      <c r="K3597">
        <v>0</v>
      </c>
      <c r="L3597">
        <v>3</v>
      </c>
      <c r="M3597">
        <v>0</v>
      </c>
      <c r="N3597">
        <v>2</v>
      </c>
      <c r="O3597">
        <v>1</v>
      </c>
      <c r="P3597">
        <v>0</v>
      </c>
      <c r="Q3597">
        <v>0</v>
      </c>
      <c r="S3597" t="str">
        <f>"20:34:15.766"</f>
        <v>20:34:15.766</v>
      </c>
      <c r="T3597" t="str">
        <f>"20:34:15.266"</f>
        <v>20:34:15.266</v>
      </c>
      <c r="U3597" t="str">
        <f t="shared" si="180"/>
        <v>AB01F4</v>
      </c>
      <c r="V3597">
        <v>0</v>
      </c>
      <c r="W3597">
        <v>0</v>
      </c>
      <c r="X3597">
        <v>2</v>
      </c>
      <c r="Z3597">
        <v>0</v>
      </c>
      <c r="AA3597">
        <v>9</v>
      </c>
      <c r="AB3597">
        <v>3</v>
      </c>
      <c r="AC3597">
        <v>0</v>
      </c>
      <c r="AD3597">
        <v>10</v>
      </c>
      <c r="AE3597">
        <v>0</v>
      </c>
      <c r="AF3597">
        <v>3</v>
      </c>
      <c r="AG3597">
        <v>2</v>
      </c>
      <c r="AH3597">
        <v>0</v>
      </c>
      <c r="AI3597" t="s">
        <v>2047</v>
      </c>
      <c r="AJ3597">
        <v>40.102029000000002</v>
      </c>
      <c r="AK3597" t="s">
        <v>2048</v>
      </c>
      <c r="AL3597">
        <v>-93.005555000000001</v>
      </c>
      <c r="AM3597">
        <v>100</v>
      </c>
      <c r="AN3597">
        <v>1300</v>
      </c>
      <c r="AO3597" t="s">
        <v>118</v>
      </c>
      <c r="AP3597">
        <v>-114</v>
      </c>
      <c r="AQ3597">
        <v>62</v>
      </c>
      <c r="AR3597">
        <v>0</v>
      </c>
      <c r="AZ3597">
        <v>1200</v>
      </c>
      <c r="BA3597">
        <v>1</v>
      </c>
      <c r="BB3597" t="str">
        <f t="shared" si="178"/>
        <v xml:space="preserve">N8080G  </v>
      </c>
      <c r="BC3597">
        <v>1</v>
      </c>
      <c r="BE3597">
        <v>0</v>
      </c>
      <c r="BF3597">
        <v>0</v>
      </c>
      <c r="BG3597">
        <v>0</v>
      </c>
      <c r="BH3597">
        <v>1350</v>
      </c>
      <c r="BI3597">
        <v>1</v>
      </c>
      <c r="BJ3597">
        <v>1</v>
      </c>
      <c r="BK3597">
        <v>1</v>
      </c>
      <c r="BL3597">
        <v>0</v>
      </c>
      <c r="BO3597">
        <v>0</v>
      </c>
      <c r="BP3597">
        <v>0</v>
      </c>
      <c r="BW3597" t="str">
        <f>"20:34:15.769"</f>
        <v>20:34:15.769</v>
      </c>
      <c r="BZ3597">
        <v>0</v>
      </c>
      <c r="CA3597">
        <v>1600</v>
      </c>
      <c r="CB3597">
        <v>224</v>
      </c>
      <c r="CD3597">
        <v>1</v>
      </c>
      <c r="CE3597">
        <v>0</v>
      </c>
      <c r="CF3597">
        <v>0</v>
      </c>
      <c r="CG3597">
        <v>1</v>
      </c>
      <c r="CH3597">
        <v>0</v>
      </c>
      <c r="CI3597">
        <v>0</v>
      </c>
      <c r="CJ3597">
        <v>0</v>
      </c>
      <c r="CK3597">
        <v>2</v>
      </c>
      <c r="CL3597">
        <v>0</v>
      </c>
      <c r="CM3597">
        <v>2</v>
      </c>
      <c r="CN3597">
        <v>0</v>
      </c>
      <c r="CO3597">
        <v>6</v>
      </c>
      <c r="CP3597" t="s">
        <v>119</v>
      </c>
      <c r="CQ3597">
        <v>180</v>
      </c>
      <c r="CR3597">
        <v>2</v>
      </c>
      <c r="CW3597">
        <v>8872405</v>
      </c>
      <c r="CY3597">
        <v>1</v>
      </c>
      <c r="CZ3597">
        <v>0</v>
      </c>
      <c r="DA3597">
        <v>1</v>
      </c>
      <c r="DB3597">
        <v>0</v>
      </c>
      <c r="DC3597">
        <v>0</v>
      </c>
      <c r="DD3597">
        <v>0</v>
      </c>
      <c r="DE3597">
        <v>0</v>
      </c>
      <c r="DF3597">
        <v>0</v>
      </c>
      <c r="DG3597">
        <v>0</v>
      </c>
      <c r="DH3597">
        <v>0</v>
      </c>
      <c r="DI3597">
        <v>0</v>
      </c>
    </row>
    <row r="3598" spans="1:113" x14ac:dyDescent="0.3">
      <c r="A3598" t="str">
        <f>"02/08/2021 20:34:13.440"</f>
        <v>02/08/2021 20:34:13.440</v>
      </c>
      <c r="C3598" t="str">
        <f t="shared" si="179"/>
        <v>FFDFD7C0</v>
      </c>
      <c r="D3598" t="s">
        <v>124</v>
      </c>
      <c r="E3598">
        <v>11</v>
      </c>
      <c r="F3598">
        <v>1011</v>
      </c>
      <c r="G3598" t="s">
        <v>590</v>
      </c>
      <c r="J3598" t="s">
        <v>125</v>
      </c>
      <c r="K3598">
        <v>0</v>
      </c>
      <c r="L3598">
        <v>3</v>
      </c>
      <c r="M3598">
        <v>0</v>
      </c>
      <c r="N3598">
        <v>2</v>
      </c>
      <c r="O3598">
        <v>1</v>
      </c>
      <c r="P3598">
        <v>0</v>
      </c>
      <c r="Q3598">
        <v>0</v>
      </c>
      <c r="S3598" t="str">
        <f>"20:34:15.766"</f>
        <v>20:34:15.766</v>
      </c>
      <c r="T3598" t="str">
        <f>"20:34:15.266"</f>
        <v>20:34:15.266</v>
      </c>
      <c r="U3598" t="str">
        <f t="shared" si="180"/>
        <v>AB01F4</v>
      </c>
      <c r="V3598">
        <v>0</v>
      </c>
      <c r="W3598">
        <v>0</v>
      </c>
      <c r="X3598">
        <v>2</v>
      </c>
      <c r="Z3598">
        <v>0</v>
      </c>
      <c r="AA3598">
        <v>9</v>
      </c>
      <c r="AB3598">
        <v>3</v>
      </c>
      <c r="AC3598">
        <v>0</v>
      </c>
      <c r="AD3598">
        <v>10</v>
      </c>
      <c r="AE3598">
        <v>0</v>
      </c>
      <c r="AF3598">
        <v>3</v>
      </c>
      <c r="AG3598">
        <v>2</v>
      </c>
      <c r="AH3598">
        <v>0</v>
      </c>
      <c r="AI3598" t="s">
        <v>2047</v>
      </c>
      <c r="AJ3598">
        <v>40.102029000000002</v>
      </c>
      <c r="AK3598" t="s">
        <v>2048</v>
      </c>
      <c r="AL3598">
        <v>-93.005555000000001</v>
      </c>
      <c r="AM3598">
        <v>100</v>
      </c>
      <c r="AN3598">
        <v>1300</v>
      </c>
      <c r="AO3598" t="s">
        <v>118</v>
      </c>
      <c r="AP3598">
        <v>-114</v>
      </c>
      <c r="AQ3598">
        <v>62</v>
      </c>
      <c r="AR3598">
        <v>0</v>
      </c>
      <c r="AZ3598">
        <v>1200</v>
      </c>
      <c r="BA3598">
        <v>1</v>
      </c>
      <c r="BB3598" t="str">
        <f t="shared" si="178"/>
        <v xml:space="preserve">N8080G  </v>
      </c>
      <c r="BC3598">
        <v>1</v>
      </c>
      <c r="BE3598">
        <v>0</v>
      </c>
      <c r="BF3598">
        <v>0</v>
      </c>
      <c r="BG3598">
        <v>0</v>
      </c>
      <c r="BH3598">
        <v>1350</v>
      </c>
      <c r="BI3598">
        <v>1</v>
      </c>
      <c r="BJ3598">
        <v>1</v>
      </c>
      <c r="BK3598">
        <v>1</v>
      </c>
      <c r="BL3598">
        <v>0</v>
      </c>
      <c r="BO3598">
        <v>0</v>
      </c>
      <c r="BP3598">
        <v>0</v>
      </c>
      <c r="BW3598" t="str">
        <f>"20:34:15.769"</f>
        <v>20:34:15.769</v>
      </c>
      <c r="BZ3598">
        <v>0</v>
      </c>
      <c r="CA3598">
        <v>1600</v>
      </c>
      <c r="CB3598">
        <v>224</v>
      </c>
      <c r="CD3598">
        <v>1</v>
      </c>
      <c r="CE3598">
        <v>0</v>
      </c>
      <c r="CF3598">
        <v>0</v>
      </c>
      <c r="CG3598">
        <v>1</v>
      </c>
      <c r="CH3598">
        <v>0</v>
      </c>
      <c r="CI3598">
        <v>0</v>
      </c>
      <c r="CJ3598">
        <v>0</v>
      </c>
      <c r="CK3598">
        <v>2</v>
      </c>
      <c r="CL3598">
        <v>0</v>
      </c>
      <c r="CM3598">
        <v>2</v>
      </c>
      <c r="CN3598">
        <v>0</v>
      </c>
      <c r="CO3598">
        <v>6</v>
      </c>
      <c r="CP3598" t="s">
        <v>119</v>
      </c>
      <c r="CQ3598">
        <v>180</v>
      </c>
      <c r="CR3598">
        <v>2</v>
      </c>
      <c r="CW3598">
        <v>8872405</v>
      </c>
      <c r="CY3598">
        <v>1</v>
      </c>
      <c r="CZ3598">
        <v>0</v>
      </c>
      <c r="DA3598">
        <v>1</v>
      </c>
      <c r="DB3598">
        <v>0</v>
      </c>
      <c r="DC3598">
        <v>0</v>
      </c>
      <c r="DD3598">
        <v>0</v>
      </c>
      <c r="DE3598">
        <v>0</v>
      </c>
      <c r="DF3598">
        <v>0</v>
      </c>
      <c r="DG3598">
        <v>0</v>
      </c>
      <c r="DH3598">
        <v>0</v>
      </c>
      <c r="DI3598">
        <v>0</v>
      </c>
    </row>
    <row r="3599" spans="1:113" x14ac:dyDescent="0.3">
      <c r="A3599" t="str">
        <f>"02/08/2021 20:34:17.458"</f>
        <v>02/08/2021 20:34:17.458</v>
      </c>
      <c r="C3599" t="str">
        <f t="shared" si="179"/>
        <v>FFDFD7C0</v>
      </c>
      <c r="D3599" t="s">
        <v>124</v>
      </c>
      <c r="E3599">
        <v>11</v>
      </c>
      <c r="F3599">
        <v>1011</v>
      </c>
      <c r="G3599" t="s">
        <v>590</v>
      </c>
      <c r="J3599" t="s">
        <v>125</v>
      </c>
      <c r="K3599">
        <v>0</v>
      </c>
      <c r="L3599">
        <v>3</v>
      </c>
      <c r="M3599">
        <v>0</v>
      </c>
      <c r="N3599">
        <v>2</v>
      </c>
      <c r="O3599">
        <v>1</v>
      </c>
      <c r="P3599">
        <v>0</v>
      </c>
      <c r="Q3599">
        <v>0</v>
      </c>
      <c r="S3599" t="str">
        <f>"20:34:19.750"</f>
        <v>20:34:19.750</v>
      </c>
      <c r="T3599" t="str">
        <f>"20:34:19.350"</f>
        <v>20:34:19.350</v>
      </c>
      <c r="U3599" t="str">
        <f t="shared" si="180"/>
        <v>AB01F4</v>
      </c>
      <c r="V3599">
        <v>0</v>
      </c>
      <c r="W3599">
        <v>0</v>
      </c>
      <c r="X3599">
        <v>2</v>
      </c>
      <c r="Z3599">
        <v>0</v>
      </c>
      <c r="AA3599">
        <v>9</v>
      </c>
      <c r="AB3599">
        <v>3</v>
      </c>
      <c r="AC3599">
        <v>0</v>
      </c>
      <c r="AD3599">
        <v>10</v>
      </c>
      <c r="AE3599">
        <v>0</v>
      </c>
      <c r="AF3599">
        <v>3</v>
      </c>
      <c r="AG3599">
        <v>2</v>
      </c>
      <c r="AH3599">
        <v>0</v>
      </c>
      <c r="AI3599" t="s">
        <v>2049</v>
      </c>
      <c r="AJ3599">
        <v>40.103166000000002</v>
      </c>
      <c r="AK3599" t="s">
        <v>2050</v>
      </c>
      <c r="AL3599">
        <v>-93.008301000000003</v>
      </c>
      <c r="AM3599">
        <v>100</v>
      </c>
      <c r="AN3599">
        <v>1300</v>
      </c>
      <c r="AO3599" t="s">
        <v>118</v>
      </c>
      <c r="AP3599">
        <v>-114</v>
      </c>
      <c r="AQ3599">
        <v>62</v>
      </c>
      <c r="AR3599">
        <v>-128</v>
      </c>
      <c r="AZ3599">
        <v>1200</v>
      </c>
      <c r="BA3599">
        <v>1</v>
      </c>
      <c r="BB3599" t="str">
        <f t="shared" si="178"/>
        <v xml:space="preserve">N8080G  </v>
      </c>
      <c r="BC3599">
        <v>1</v>
      </c>
      <c r="BE3599">
        <v>0</v>
      </c>
      <c r="BF3599">
        <v>0</v>
      </c>
      <c r="BG3599">
        <v>0</v>
      </c>
      <c r="BH3599">
        <v>1325</v>
      </c>
      <c r="BI3599">
        <v>1</v>
      </c>
      <c r="BJ3599">
        <v>1</v>
      </c>
      <c r="BK3599">
        <v>1</v>
      </c>
      <c r="BL3599">
        <v>0</v>
      </c>
      <c r="BO3599">
        <v>0</v>
      </c>
      <c r="BP3599">
        <v>0</v>
      </c>
      <c r="BW3599" t="str">
        <f>"20:34:19.755"</f>
        <v>20:34:19.755</v>
      </c>
      <c r="BZ3599">
        <v>0</v>
      </c>
      <c r="CA3599">
        <v>1600</v>
      </c>
      <c r="CB3599">
        <v>224</v>
      </c>
      <c r="CD3599">
        <v>1</v>
      </c>
      <c r="CE3599">
        <v>0</v>
      </c>
      <c r="CF3599">
        <v>0</v>
      </c>
      <c r="CG3599">
        <v>1</v>
      </c>
      <c r="CH3599">
        <v>0</v>
      </c>
      <c r="CI3599">
        <v>0</v>
      </c>
      <c r="CJ3599">
        <v>0</v>
      </c>
      <c r="CK3599">
        <v>2</v>
      </c>
      <c r="CL3599">
        <v>0</v>
      </c>
      <c r="CM3599">
        <v>2</v>
      </c>
      <c r="CN3599">
        <v>0</v>
      </c>
      <c r="CO3599">
        <v>7</v>
      </c>
      <c r="CP3599" t="s">
        <v>119</v>
      </c>
      <c r="CQ3599">
        <v>180</v>
      </c>
      <c r="CR3599">
        <v>3</v>
      </c>
      <c r="CW3599">
        <v>1210312</v>
      </c>
      <c r="CY3599">
        <v>1</v>
      </c>
      <c r="CZ3599">
        <v>0</v>
      </c>
      <c r="DA3599">
        <v>0</v>
      </c>
      <c r="DB3599">
        <v>0</v>
      </c>
      <c r="DC3599">
        <v>0</v>
      </c>
      <c r="DD3599">
        <v>0</v>
      </c>
      <c r="DE3599">
        <v>0</v>
      </c>
      <c r="DF3599">
        <v>0</v>
      </c>
      <c r="DG3599">
        <v>0</v>
      </c>
      <c r="DH3599">
        <v>0</v>
      </c>
      <c r="DI3599">
        <v>0</v>
      </c>
    </row>
    <row r="3600" spans="1:113" x14ac:dyDescent="0.3">
      <c r="A3600" t="str">
        <f>"02/08/2021 20:34:17.458"</f>
        <v>02/08/2021 20:34:17.458</v>
      </c>
      <c r="C3600" t="str">
        <f t="shared" si="179"/>
        <v>FFDFD7C0</v>
      </c>
      <c r="D3600" t="s">
        <v>124</v>
      </c>
      <c r="E3600">
        <v>12</v>
      </c>
      <c r="F3600">
        <v>1012</v>
      </c>
      <c r="G3600" t="s">
        <v>675</v>
      </c>
      <c r="J3600" t="s">
        <v>125</v>
      </c>
      <c r="K3600">
        <v>0</v>
      </c>
      <c r="L3600">
        <v>3</v>
      </c>
      <c r="M3600">
        <v>0</v>
      </c>
      <c r="N3600">
        <v>2</v>
      </c>
      <c r="O3600">
        <v>1</v>
      </c>
      <c r="P3600">
        <v>0</v>
      </c>
      <c r="Q3600">
        <v>0</v>
      </c>
      <c r="S3600" t="str">
        <f>"20:34:19.750"</f>
        <v>20:34:19.750</v>
      </c>
      <c r="T3600" t="str">
        <f>"20:34:19.350"</f>
        <v>20:34:19.350</v>
      </c>
      <c r="U3600" t="str">
        <f t="shared" si="180"/>
        <v>AB01F4</v>
      </c>
      <c r="V3600">
        <v>0</v>
      </c>
      <c r="W3600">
        <v>0</v>
      </c>
      <c r="X3600">
        <v>2</v>
      </c>
      <c r="Z3600">
        <v>0</v>
      </c>
      <c r="AA3600">
        <v>9</v>
      </c>
      <c r="AB3600">
        <v>3</v>
      </c>
      <c r="AC3600">
        <v>0</v>
      </c>
      <c r="AD3600">
        <v>10</v>
      </c>
      <c r="AE3600">
        <v>0</v>
      </c>
      <c r="AF3600">
        <v>3</v>
      </c>
      <c r="AG3600">
        <v>2</v>
      </c>
      <c r="AH3600">
        <v>0</v>
      </c>
      <c r="AI3600" t="s">
        <v>2049</v>
      </c>
      <c r="AJ3600">
        <v>40.103166000000002</v>
      </c>
      <c r="AK3600" t="s">
        <v>2050</v>
      </c>
      <c r="AL3600">
        <v>-93.008301000000003</v>
      </c>
      <c r="AM3600">
        <v>100</v>
      </c>
      <c r="AN3600">
        <v>1300</v>
      </c>
      <c r="AO3600" t="s">
        <v>118</v>
      </c>
      <c r="AP3600">
        <v>-114</v>
      </c>
      <c r="AQ3600">
        <v>62</v>
      </c>
      <c r="AR3600">
        <v>-128</v>
      </c>
      <c r="AZ3600">
        <v>1200</v>
      </c>
      <c r="BA3600">
        <v>1</v>
      </c>
      <c r="BB3600" t="str">
        <f t="shared" si="178"/>
        <v xml:space="preserve">N8080G  </v>
      </c>
      <c r="BC3600">
        <v>1</v>
      </c>
      <c r="BE3600">
        <v>0</v>
      </c>
      <c r="BF3600">
        <v>0</v>
      </c>
      <c r="BG3600">
        <v>0</v>
      </c>
      <c r="BH3600">
        <v>1325</v>
      </c>
      <c r="BI3600">
        <v>1</v>
      </c>
      <c r="BJ3600">
        <v>1</v>
      </c>
      <c r="BK3600">
        <v>1</v>
      </c>
      <c r="BL3600">
        <v>0</v>
      </c>
      <c r="BO3600">
        <v>0</v>
      </c>
      <c r="BP3600">
        <v>0</v>
      </c>
      <c r="BW3600" t="str">
        <f>"20:34:19.755"</f>
        <v>20:34:19.755</v>
      </c>
      <c r="BZ3600">
        <v>0</v>
      </c>
      <c r="CA3600">
        <v>1600</v>
      </c>
      <c r="CB3600">
        <v>224</v>
      </c>
      <c r="CD3600">
        <v>1</v>
      </c>
      <c r="CE3600">
        <v>0</v>
      </c>
      <c r="CF3600">
        <v>0</v>
      </c>
      <c r="CG3600">
        <v>1</v>
      </c>
      <c r="CH3600">
        <v>0</v>
      </c>
      <c r="CI3600">
        <v>0</v>
      </c>
      <c r="CJ3600">
        <v>0</v>
      </c>
      <c r="CK3600">
        <v>2</v>
      </c>
      <c r="CL3600">
        <v>0</v>
      </c>
      <c r="CM3600">
        <v>2</v>
      </c>
      <c r="CN3600">
        <v>0</v>
      </c>
      <c r="CO3600">
        <v>7</v>
      </c>
      <c r="CP3600" t="s">
        <v>119</v>
      </c>
      <c r="CQ3600">
        <v>180</v>
      </c>
      <c r="CR3600">
        <v>3</v>
      </c>
      <c r="CW3600">
        <v>1210312</v>
      </c>
      <c r="CY3600">
        <v>1</v>
      </c>
      <c r="CZ3600">
        <v>0</v>
      </c>
      <c r="DA3600">
        <v>1</v>
      </c>
      <c r="DB3600">
        <v>0</v>
      </c>
      <c r="DC3600">
        <v>0</v>
      </c>
      <c r="DD3600">
        <v>0</v>
      </c>
      <c r="DE3600">
        <v>0</v>
      </c>
      <c r="DF3600">
        <v>0</v>
      </c>
      <c r="DG3600">
        <v>0</v>
      </c>
      <c r="DH3600">
        <v>0</v>
      </c>
      <c r="DI3600">
        <v>0</v>
      </c>
    </row>
    <row r="3601" spans="1:113" x14ac:dyDescent="0.3">
      <c r="A3601" t="str">
        <f>"02/08/2021 20:34:17.458"</f>
        <v>02/08/2021 20:34:17.458</v>
      </c>
      <c r="C3601" t="str">
        <f t="shared" si="179"/>
        <v>FFDFD7C0</v>
      </c>
      <c r="D3601" t="s">
        <v>113</v>
      </c>
      <c r="E3601">
        <v>6</v>
      </c>
      <c r="H3601">
        <v>165</v>
      </c>
      <c r="I3601" t="s">
        <v>114</v>
      </c>
      <c r="J3601" t="s">
        <v>115</v>
      </c>
      <c r="K3601">
        <v>0</v>
      </c>
      <c r="L3601">
        <v>3</v>
      </c>
      <c r="M3601">
        <v>0</v>
      </c>
      <c r="N3601">
        <v>2</v>
      </c>
      <c r="O3601">
        <v>1</v>
      </c>
      <c r="P3601">
        <v>0</v>
      </c>
      <c r="Q3601">
        <v>0</v>
      </c>
      <c r="S3601" t="str">
        <f>"20:34:19.750"</f>
        <v>20:34:19.750</v>
      </c>
      <c r="T3601" t="str">
        <f>"20:34:19.350"</f>
        <v>20:34:19.350</v>
      </c>
      <c r="U3601" t="str">
        <f t="shared" si="180"/>
        <v>AB01F4</v>
      </c>
      <c r="V3601">
        <v>0</v>
      </c>
      <c r="W3601">
        <v>0</v>
      </c>
      <c r="X3601">
        <v>2</v>
      </c>
      <c r="Z3601">
        <v>0</v>
      </c>
      <c r="AA3601">
        <v>9</v>
      </c>
      <c r="AB3601">
        <v>3</v>
      </c>
      <c r="AC3601">
        <v>0</v>
      </c>
      <c r="AD3601">
        <v>10</v>
      </c>
      <c r="AE3601">
        <v>0</v>
      </c>
      <c r="AF3601">
        <v>3</v>
      </c>
      <c r="AG3601">
        <v>2</v>
      </c>
      <c r="AH3601">
        <v>0</v>
      </c>
      <c r="AI3601" t="s">
        <v>2049</v>
      </c>
      <c r="AJ3601">
        <v>40.103166000000002</v>
      </c>
      <c r="AK3601" t="s">
        <v>2050</v>
      </c>
      <c r="AL3601">
        <v>-93.008301000000003</v>
      </c>
      <c r="AM3601">
        <v>100</v>
      </c>
      <c r="AN3601">
        <v>1300</v>
      </c>
      <c r="AO3601" t="s">
        <v>118</v>
      </c>
      <c r="AP3601">
        <v>-114</v>
      </c>
      <c r="AQ3601">
        <v>62</v>
      </c>
      <c r="AR3601">
        <v>-128</v>
      </c>
      <c r="AZ3601">
        <v>1200</v>
      </c>
      <c r="BA3601">
        <v>1</v>
      </c>
      <c r="BB3601" t="str">
        <f t="shared" si="178"/>
        <v xml:space="preserve">N8080G  </v>
      </c>
      <c r="BC3601">
        <v>1</v>
      </c>
      <c r="BE3601">
        <v>0</v>
      </c>
      <c r="BF3601">
        <v>0</v>
      </c>
      <c r="BG3601">
        <v>0</v>
      </c>
      <c r="BH3601">
        <v>1325</v>
      </c>
      <c r="BI3601">
        <v>1</v>
      </c>
      <c r="BJ3601">
        <v>1</v>
      </c>
      <c r="BK3601">
        <v>1</v>
      </c>
      <c r="BL3601">
        <v>0</v>
      </c>
      <c r="BO3601">
        <v>0</v>
      </c>
      <c r="BP3601">
        <v>0</v>
      </c>
      <c r="BW3601" t="str">
        <f>"20:34:19.755"</f>
        <v>20:34:19.755</v>
      </c>
      <c r="BZ3601">
        <v>0</v>
      </c>
      <c r="CA3601">
        <v>1600</v>
      </c>
      <c r="CB3601">
        <v>224</v>
      </c>
      <c r="CD3601">
        <v>1</v>
      </c>
      <c r="CE3601">
        <v>0</v>
      </c>
      <c r="CF3601">
        <v>0</v>
      </c>
      <c r="CG3601">
        <v>1</v>
      </c>
      <c r="CH3601">
        <v>0</v>
      </c>
      <c r="CI3601">
        <v>0</v>
      </c>
      <c r="CJ3601">
        <v>0</v>
      </c>
      <c r="CK3601">
        <v>2</v>
      </c>
      <c r="CL3601">
        <v>0</v>
      </c>
      <c r="CM3601">
        <v>2</v>
      </c>
      <c r="CN3601">
        <v>0</v>
      </c>
      <c r="CO3601">
        <v>7</v>
      </c>
      <c r="CP3601" t="s">
        <v>119</v>
      </c>
      <c r="CQ3601">
        <v>180</v>
      </c>
      <c r="CR3601">
        <v>3</v>
      </c>
      <c r="CW3601">
        <v>1210312</v>
      </c>
      <c r="CY3601">
        <v>1</v>
      </c>
      <c r="CZ3601">
        <v>0</v>
      </c>
      <c r="DA3601">
        <v>1</v>
      </c>
      <c r="DB3601">
        <v>0</v>
      </c>
      <c r="DC3601">
        <v>0</v>
      </c>
      <c r="DD3601">
        <v>0</v>
      </c>
      <c r="DE3601">
        <v>0</v>
      </c>
      <c r="DF3601">
        <v>0</v>
      </c>
      <c r="DG3601">
        <v>0</v>
      </c>
      <c r="DH3601">
        <v>0</v>
      </c>
      <c r="DI3601">
        <v>0</v>
      </c>
    </row>
    <row r="3602" spans="1:113" x14ac:dyDescent="0.3">
      <c r="A3602" t="str">
        <f>"02/08/2021 20:34:17.458"</f>
        <v>02/08/2021 20:34:17.458</v>
      </c>
      <c r="C3602" t="str">
        <f t="shared" si="179"/>
        <v>FFDFD7C0</v>
      </c>
      <c r="D3602" t="s">
        <v>124</v>
      </c>
      <c r="E3602">
        <v>13</v>
      </c>
      <c r="F3602">
        <v>1013</v>
      </c>
      <c r="G3602" t="s">
        <v>114</v>
      </c>
      <c r="J3602" t="s">
        <v>125</v>
      </c>
      <c r="K3602">
        <v>0</v>
      </c>
      <c r="L3602">
        <v>3</v>
      </c>
      <c r="M3602">
        <v>0</v>
      </c>
      <c r="N3602">
        <v>2</v>
      </c>
      <c r="O3602">
        <v>1</v>
      </c>
      <c r="P3602">
        <v>0</v>
      </c>
      <c r="Q3602">
        <v>0</v>
      </c>
      <c r="S3602" t="str">
        <f>"20:34:19.750"</f>
        <v>20:34:19.750</v>
      </c>
      <c r="T3602" t="str">
        <f>"20:34:19.350"</f>
        <v>20:34:19.350</v>
      </c>
      <c r="U3602" t="str">
        <f t="shared" si="180"/>
        <v>AB01F4</v>
      </c>
      <c r="V3602">
        <v>0</v>
      </c>
      <c r="W3602">
        <v>0</v>
      </c>
      <c r="X3602">
        <v>2</v>
      </c>
      <c r="Z3602">
        <v>0</v>
      </c>
      <c r="AA3602">
        <v>9</v>
      </c>
      <c r="AB3602">
        <v>3</v>
      </c>
      <c r="AC3602">
        <v>0</v>
      </c>
      <c r="AD3602">
        <v>10</v>
      </c>
      <c r="AE3602">
        <v>0</v>
      </c>
      <c r="AF3602">
        <v>3</v>
      </c>
      <c r="AG3602">
        <v>2</v>
      </c>
      <c r="AH3602">
        <v>0</v>
      </c>
      <c r="AI3602" t="s">
        <v>2049</v>
      </c>
      <c r="AJ3602">
        <v>40.103166000000002</v>
      </c>
      <c r="AK3602" t="s">
        <v>2050</v>
      </c>
      <c r="AL3602">
        <v>-93.008301000000003</v>
      </c>
      <c r="AM3602">
        <v>100</v>
      </c>
      <c r="AN3602">
        <v>1300</v>
      </c>
      <c r="AO3602" t="s">
        <v>118</v>
      </c>
      <c r="AP3602">
        <v>-114</v>
      </c>
      <c r="AQ3602">
        <v>62</v>
      </c>
      <c r="AR3602">
        <v>-128</v>
      </c>
      <c r="AZ3602">
        <v>1200</v>
      </c>
      <c r="BA3602">
        <v>1</v>
      </c>
      <c r="BB3602" t="str">
        <f t="shared" si="178"/>
        <v xml:space="preserve">N8080G  </v>
      </c>
      <c r="BC3602">
        <v>1</v>
      </c>
      <c r="BE3602">
        <v>0</v>
      </c>
      <c r="BF3602">
        <v>0</v>
      </c>
      <c r="BG3602">
        <v>0</v>
      </c>
      <c r="BH3602">
        <v>1325</v>
      </c>
      <c r="BI3602">
        <v>1</v>
      </c>
      <c r="BJ3602">
        <v>1</v>
      </c>
      <c r="BK3602">
        <v>1</v>
      </c>
      <c r="BL3602">
        <v>0</v>
      </c>
      <c r="BO3602">
        <v>0</v>
      </c>
      <c r="BP3602">
        <v>0</v>
      </c>
      <c r="BW3602" t="str">
        <f>"20:34:19.755"</f>
        <v>20:34:19.755</v>
      </c>
      <c r="BZ3602">
        <v>0</v>
      </c>
      <c r="CA3602">
        <v>1600</v>
      </c>
      <c r="CB3602">
        <v>224</v>
      </c>
      <c r="CD3602">
        <v>1</v>
      </c>
      <c r="CE3602">
        <v>0</v>
      </c>
      <c r="CF3602">
        <v>0</v>
      </c>
      <c r="CG3602">
        <v>1</v>
      </c>
      <c r="CH3602">
        <v>0</v>
      </c>
      <c r="CI3602">
        <v>0</v>
      </c>
      <c r="CJ3602">
        <v>0</v>
      </c>
      <c r="CK3602">
        <v>2</v>
      </c>
      <c r="CL3602">
        <v>0</v>
      </c>
      <c r="CM3602">
        <v>2</v>
      </c>
      <c r="CN3602">
        <v>0</v>
      </c>
      <c r="CO3602">
        <v>7</v>
      </c>
      <c r="CP3602" t="s">
        <v>119</v>
      </c>
      <c r="CQ3602">
        <v>180</v>
      </c>
      <c r="CR3602">
        <v>3</v>
      </c>
      <c r="CW3602">
        <v>1210312</v>
      </c>
      <c r="CY3602">
        <v>1</v>
      </c>
      <c r="CZ3602">
        <v>0</v>
      </c>
      <c r="DA3602">
        <v>1</v>
      </c>
      <c r="DB3602">
        <v>0</v>
      </c>
      <c r="DC3602">
        <v>0</v>
      </c>
      <c r="DD3602">
        <v>0</v>
      </c>
      <c r="DE3602">
        <v>0</v>
      </c>
      <c r="DF3602">
        <v>0</v>
      </c>
      <c r="DG3602">
        <v>0</v>
      </c>
      <c r="DH3602">
        <v>0</v>
      </c>
      <c r="DI3602">
        <v>0</v>
      </c>
    </row>
    <row r="3603" spans="1:113" x14ac:dyDescent="0.3">
      <c r="A3603" t="str">
        <f>"02/08/2021 20:34:19.022"</f>
        <v>02/08/2021 20:34:19.022</v>
      </c>
      <c r="C3603" t="str">
        <f t="shared" ref="C3603:C3618" si="181">"FFDFD7C0"</f>
        <v>FFDFD7C0</v>
      </c>
      <c r="D3603" t="s">
        <v>124</v>
      </c>
      <c r="E3603">
        <v>11</v>
      </c>
      <c r="F3603">
        <v>1011</v>
      </c>
      <c r="G3603" t="s">
        <v>590</v>
      </c>
      <c r="J3603" t="s">
        <v>125</v>
      </c>
      <c r="K3603">
        <v>0</v>
      </c>
      <c r="L3603">
        <v>3</v>
      </c>
      <c r="M3603">
        <v>0</v>
      </c>
      <c r="N3603">
        <v>2</v>
      </c>
      <c r="O3603">
        <v>1</v>
      </c>
      <c r="P3603">
        <v>0</v>
      </c>
      <c r="Q3603">
        <v>0</v>
      </c>
      <c r="S3603" t="str">
        <f>"20:34:21.352"</f>
        <v>20:34:21.352</v>
      </c>
      <c r="T3603" t="str">
        <f>"20:34:20.852"</f>
        <v>20:34:20.852</v>
      </c>
      <c r="U3603" t="str">
        <f t="shared" si="180"/>
        <v>AB01F4</v>
      </c>
      <c r="V3603">
        <v>0</v>
      </c>
      <c r="W3603">
        <v>0</v>
      </c>
      <c r="X3603">
        <v>2</v>
      </c>
      <c r="Z3603">
        <v>0</v>
      </c>
      <c r="AA3603">
        <v>9</v>
      </c>
      <c r="AB3603">
        <v>3</v>
      </c>
      <c r="AC3603">
        <v>0</v>
      </c>
      <c r="AD3603">
        <v>10</v>
      </c>
      <c r="AE3603">
        <v>0</v>
      </c>
      <c r="AF3603">
        <v>3</v>
      </c>
      <c r="AG3603">
        <v>2</v>
      </c>
      <c r="AH3603">
        <v>0</v>
      </c>
      <c r="AI3603" t="s">
        <v>2051</v>
      </c>
      <c r="AJ3603">
        <v>40.103617</v>
      </c>
      <c r="AK3603" t="s">
        <v>2052</v>
      </c>
      <c r="AL3603">
        <v>-93.009395999999995</v>
      </c>
      <c r="AM3603">
        <v>100</v>
      </c>
      <c r="AN3603">
        <v>1300</v>
      </c>
      <c r="AO3603" t="s">
        <v>118</v>
      </c>
      <c r="AP3603">
        <v>-114</v>
      </c>
      <c r="AQ3603">
        <v>62</v>
      </c>
      <c r="AR3603">
        <v>64</v>
      </c>
      <c r="AZ3603">
        <v>1200</v>
      </c>
      <c r="BA3603">
        <v>1</v>
      </c>
      <c r="BB3603" t="str">
        <f t="shared" si="178"/>
        <v xml:space="preserve">N8080G  </v>
      </c>
      <c r="BC3603">
        <v>1</v>
      </c>
      <c r="BE3603">
        <v>0</v>
      </c>
      <c r="BF3603">
        <v>0</v>
      </c>
      <c r="BG3603">
        <v>0</v>
      </c>
      <c r="BH3603">
        <v>1350</v>
      </c>
      <c r="BI3603">
        <v>1</v>
      </c>
      <c r="BJ3603">
        <v>1</v>
      </c>
      <c r="BK3603">
        <v>1</v>
      </c>
      <c r="BL3603">
        <v>0</v>
      </c>
      <c r="BO3603">
        <v>0</v>
      </c>
      <c r="BP3603">
        <v>0</v>
      </c>
      <c r="BW3603" t="str">
        <f>"20:34:21.358"</f>
        <v>20:34:21.358</v>
      </c>
      <c r="BZ3603">
        <v>0</v>
      </c>
      <c r="CA3603">
        <v>1600</v>
      </c>
      <c r="CB3603">
        <v>224</v>
      </c>
      <c r="CD3603">
        <v>1</v>
      </c>
      <c r="CE3603">
        <v>0</v>
      </c>
      <c r="CF3603">
        <v>0</v>
      </c>
      <c r="CG3603">
        <v>1</v>
      </c>
      <c r="CH3603">
        <v>0</v>
      </c>
      <c r="CI3603">
        <v>0</v>
      </c>
      <c r="CJ3603">
        <v>0</v>
      </c>
      <c r="CK3603">
        <v>2</v>
      </c>
      <c r="CL3603">
        <v>0</v>
      </c>
      <c r="CM3603">
        <v>2</v>
      </c>
      <c r="CN3603">
        <v>0</v>
      </c>
      <c r="CO3603">
        <v>7</v>
      </c>
      <c r="CP3603" t="s">
        <v>119</v>
      </c>
      <c r="CQ3603">
        <v>180</v>
      </c>
      <c r="CR3603">
        <v>3</v>
      </c>
      <c r="CW3603">
        <v>1211486</v>
      </c>
      <c r="CY3603">
        <v>1</v>
      </c>
      <c r="CZ3603">
        <v>0</v>
      </c>
      <c r="DA3603">
        <v>0</v>
      </c>
      <c r="DB3603">
        <v>0</v>
      </c>
      <c r="DC3603">
        <v>0</v>
      </c>
      <c r="DD3603">
        <v>0</v>
      </c>
      <c r="DE3603">
        <v>0</v>
      </c>
      <c r="DF3603">
        <v>0</v>
      </c>
      <c r="DG3603">
        <v>0</v>
      </c>
      <c r="DH3603">
        <v>0</v>
      </c>
      <c r="DI3603">
        <v>0</v>
      </c>
    </row>
    <row r="3604" spans="1:113" x14ac:dyDescent="0.3">
      <c r="A3604" t="str">
        <f>"02/08/2021 20:34:19.022"</f>
        <v>02/08/2021 20:34:19.022</v>
      </c>
      <c r="C3604" t="str">
        <f t="shared" si="181"/>
        <v>FFDFD7C0</v>
      </c>
      <c r="D3604" t="s">
        <v>124</v>
      </c>
      <c r="E3604">
        <v>12</v>
      </c>
      <c r="F3604">
        <v>1012</v>
      </c>
      <c r="G3604" t="s">
        <v>675</v>
      </c>
      <c r="J3604" t="s">
        <v>125</v>
      </c>
      <c r="K3604">
        <v>0</v>
      </c>
      <c r="L3604">
        <v>3</v>
      </c>
      <c r="M3604">
        <v>0</v>
      </c>
      <c r="N3604">
        <v>2</v>
      </c>
      <c r="O3604">
        <v>1</v>
      </c>
      <c r="P3604">
        <v>0</v>
      </c>
      <c r="Q3604">
        <v>0</v>
      </c>
      <c r="S3604" t="str">
        <f>"20:34:21.352"</f>
        <v>20:34:21.352</v>
      </c>
      <c r="T3604" t="str">
        <f>"20:34:20.852"</f>
        <v>20:34:20.852</v>
      </c>
      <c r="U3604" t="str">
        <f t="shared" si="180"/>
        <v>AB01F4</v>
      </c>
      <c r="V3604">
        <v>0</v>
      </c>
      <c r="W3604">
        <v>0</v>
      </c>
      <c r="X3604">
        <v>2</v>
      </c>
      <c r="Z3604">
        <v>0</v>
      </c>
      <c r="AA3604">
        <v>9</v>
      </c>
      <c r="AB3604">
        <v>3</v>
      </c>
      <c r="AC3604">
        <v>0</v>
      </c>
      <c r="AD3604">
        <v>10</v>
      </c>
      <c r="AE3604">
        <v>0</v>
      </c>
      <c r="AF3604">
        <v>3</v>
      </c>
      <c r="AG3604">
        <v>2</v>
      </c>
      <c r="AH3604">
        <v>0</v>
      </c>
      <c r="AI3604" t="s">
        <v>2051</v>
      </c>
      <c r="AJ3604">
        <v>40.103617</v>
      </c>
      <c r="AK3604" t="s">
        <v>2052</v>
      </c>
      <c r="AL3604">
        <v>-93.009395999999995</v>
      </c>
      <c r="AM3604">
        <v>100</v>
      </c>
      <c r="AN3604">
        <v>1300</v>
      </c>
      <c r="AO3604" t="s">
        <v>118</v>
      </c>
      <c r="AP3604">
        <v>-114</v>
      </c>
      <c r="AQ3604">
        <v>62</v>
      </c>
      <c r="AR3604">
        <v>64</v>
      </c>
      <c r="AZ3604">
        <v>1200</v>
      </c>
      <c r="BA3604">
        <v>1</v>
      </c>
      <c r="BB3604" t="str">
        <f t="shared" si="178"/>
        <v xml:space="preserve">N8080G  </v>
      </c>
      <c r="BC3604">
        <v>1</v>
      </c>
      <c r="BE3604">
        <v>0</v>
      </c>
      <c r="BF3604">
        <v>0</v>
      </c>
      <c r="BG3604">
        <v>0</v>
      </c>
      <c r="BH3604">
        <v>1350</v>
      </c>
      <c r="BI3604">
        <v>1</v>
      </c>
      <c r="BJ3604">
        <v>1</v>
      </c>
      <c r="BK3604">
        <v>1</v>
      </c>
      <c r="BL3604">
        <v>0</v>
      </c>
      <c r="BO3604">
        <v>0</v>
      </c>
      <c r="BP3604">
        <v>0</v>
      </c>
      <c r="BW3604" t="str">
        <f>"20:34:21.358"</f>
        <v>20:34:21.358</v>
      </c>
      <c r="BZ3604">
        <v>0</v>
      </c>
      <c r="CA3604">
        <v>1600</v>
      </c>
      <c r="CB3604">
        <v>224</v>
      </c>
      <c r="CD3604">
        <v>1</v>
      </c>
      <c r="CE3604">
        <v>0</v>
      </c>
      <c r="CF3604">
        <v>0</v>
      </c>
      <c r="CG3604">
        <v>1</v>
      </c>
      <c r="CH3604">
        <v>0</v>
      </c>
      <c r="CI3604">
        <v>0</v>
      </c>
      <c r="CJ3604">
        <v>0</v>
      </c>
      <c r="CK3604">
        <v>2</v>
      </c>
      <c r="CL3604">
        <v>0</v>
      </c>
      <c r="CM3604">
        <v>2</v>
      </c>
      <c r="CN3604">
        <v>0</v>
      </c>
      <c r="CO3604">
        <v>7</v>
      </c>
      <c r="CP3604" t="s">
        <v>119</v>
      </c>
      <c r="CQ3604">
        <v>180</v>
      </c>
      <c r="CR3604">
        <v>3</v>
      </c>
      <c r="CW3604">
        <v>1211486</v>
      </c>
      <c r="CY3604">
        <v>1</v>
      </c>
      <c r="CZ3604">
        <v>0</v>
      </c>
      <c r="DA3604">
        <v>1</v>
      </c>
      <c r="DB3604">
        <v>0</v>
      </c>
      <c r="DC3604">
        <v>0</v>
      </c>
      <c r="DD3604">
        <v>0</v>
      </c>
      <c r="DE3604">
        <v>0</v>
      </c>
      <c r="DF3604">
        <v>0</v>
      </c>
      <c r="DG3604">
        <v>0</v>
      </c>
      <c r="DH3604">
        <v>0</v>
      </c>
      <c r="DI3604">
        <v>0</v>
      </c>
    </row>
    <row r="3605" spans="1:113" x14ac:dyDescent="0.3">
      <c r="A3605" t="str">
        <f>"02/08/2021 20:34:19.022"</f>
        <v>02/08/2021 20:34:19.022</v>
      </c>
      <c r="C3605" t="str">
        <f t="shared" si="181"/>
        <v>FFDFD7C0</v>
      </c>
      <c r="D3605" t="s">
        <v>124</v>
      </c>
      <c r="E3605">
        <v>13</v>
      </c>
      <c r="F3605">
        <v>1013</v>
      </c>
      <c r="G3605" t="s">
        <v>114</v>
      </c>
      <c r="J3605" t="s">
        <v>125</v>
      </c>
      <c r="K3605">
        <v>0</v>
      </c>
      <c r="L3605">
        <v>3</v>
      </c>
      <c r="M3605">
        <v>0</v>
      </c>
      <c r="N3605">
        <v>2</v>
      </c>
      <c r="O3605">
        <v>1</v>
      </c>
      <c r="P3605">
        <v>0</v>
      </c>
      <c r="Q3605">
        <v>0</v>
      </c>
      <c r="S3605" t="str">
        <f>"20:34:21.352"</f>
        <v>20:34:21.352</v>
      </c>
      <c r="T3605" t="str">
        <f>"20:34:20.852"</f>
        <v>20:34:20.852</v>
      </c>
      <c r="U3605" t="str">
        <f t="shared" si="180"/>
        <v>AB01F4</v>
      </c>
      <c r="V3605">
        <v>0</v>
      </c>
      <c r="W3605">
        <v>0</v>
      </c>
      <c r="X3605">
        <v>2</v>
      </c>
      <c r="Z3605">
        <v>0</v>
      </c>
      <c r="AA3605">
        <v>9</v>
      </c>
      <c r="AB3605">
        <v>3</v>
      </c>
      <c r="AC3605">
        <v>0</v>
      </c>
      <c r="AD3605">
        <v>10</v>
      </c>
      <c r="AE3605">
        <v>0</v>
      </c>
      <c r="AF3605">
        <v>3</v>
      </c>
      <c r="AG3605">
        <v>2</v>
      </c>
      <c r="AH3605">
        <v>0</v>
      </c>
      <c r="AI3605" t="s">
        <v>2051</v>
      </c>
      <c r="AJ3605">
        <v>40.103617</v>
      </c>
      <c r="AK3605" t="s">
        <v>2052</v>
      </c>
      <c r="AL3605">
        <v>-93.009395999999995</v>
      </c>
      <c r="AM3605">
        <v>100</v>
      </c>
      <c r="AN3605">
        <v>1300</v>
      </c>
      <c r="AO3605" t="s">
        <v>118</v>
      </c>
      <c r="AP3605">
        <v>-114</v>
      </c>
      <c r="AQ3605">
        <v>62</v>
      </c>
      <c r="AR3605">
        <v>64</v>
      </c>
      <c r="AZ3605">
        <v>1200</v>
      </c>
      <c r="BA3605">
        <v>1</v>
      </c>
      <c r="BB3605" t="str">
        <f t="shared" si="178"/>
        <v xml:space="preserve">N8080G  </v>
      </c>
      <c r="BC3605">
        <v>1</v>
      </c>
      <c r="BE3605">
        <v>0</v>
      </c>
      <c r="BF3605">
        <v>0</v>
      </c>
      <c r="BG3605">
        <v>0</v>
      </c>
      <c r="BH3605">
        <v>1350</v>
      </c>
      <c r="BI3605">
        <v>1</v>
      </c>
      <c r="BJ3605">
        <v>1</v>
      </c>
      <c r="BK3605">
        <v>1</v>
      </c>
      <c r="BL3605">
        <v>0</v>
      </c>
      <c r="BO3605">
        <v>0</v>
      </c>
      <c r="BP3605">
        <v>0</v>
      </c>
      <c r="BW3605" t="str">
        <f>"20:34:21.358"</f>
        <v>20:34:21.358</v>
      </c>
      <c r="BZ3605">
        <v>0</v>
      </c>
      <c r="CA3605">
        <v>1600</v>
      </c>
      <c r="CB3605">
        <v>224</v>
      </c>
      <c r="CD3605">
        <v>1</v>
      </c>
      <c r="CE3605">
        <v>0</v>
      </c>
      <c r="CF3605">
        <v>0</v>
      </c>
      <c r="CG3605">
        <v>1</v>
      </c>
      <c r="CH3605">
        <v>0</v>
      </c>
      <c r="CI3605">
        <v>0</v>
      </c>
      <c r="CJ3605">
        <v>0</v>
      </c>
      <c r="CK3605">
        <v>2</v>
      </c>
      <c r="CL3605">
        <v>0</v>
      </c>
      <c r="CM3605">
        <v>2</v>
      </c>
      <c r="CN3605">
        <v>0</v>
      </c>
      <c r="CO3605">
        <v>7</v>
      </c>
      <c r="CP3605" t="s">
        <v>119</v>
      </c>
      <c r="CQ3605">
        <v>180</v>
      </c>
      <c r="CR3605">
        <v>3</v>
      </c>
      <c r="CW3605">
        <v>1211486</v>
      </c>
      <c r="CY3605">
        <v>1</v>
      </c>
      <c r="CZ3605">
        <v>0</v>
      </c>
      <c r="DA3605">
        <v>1</v>
      </c>
      <c r="DB3605">
        <v>0</v>
      </c>
      <c r="DC3605">
        <v>0</v>
      </c>
      <c r="DD3605">
        <v>0</v>
      </c>
      <c r="DE3605">
        <v>0</v>
      </c>
      <c r="DF3605">
        <v>0</v>
      </c>
      <c r="DG3605">
        <v>0</v>
      </c>
      <c r="DH3605">
        <v>0</v>
      </c>
      <c r="DI3605">
        <v>0</v>
      </c>
    </row>
    <row r="3606" spans="1:113" x14ac:dyDescent="0.3">
      <c r="A3606" t="str">
        <f>"02/08/2021 20:34:19.022"</f>
        <v>02/08/2021 20:34:19.022</v>
      </c>
      <c r="C3606" t="str">
        <f t="shared" si="181"/>
        <v>FFDFD7C0</v>
      </c>
      <c r="D3606" t="s">
        <v>113</v>
      </c>
      <c r="E3606">
        <v>6</v>
      </c>
      <c r="H3606">
        <v>165</v>
      </c>
      <c r="I3606" t="s">
        <v>114</v>
      </c>
      <c r="J3606" t="s">
        <v>115</v>
      </c>
      <c r="K3606">
        <v>0</v>
      </c>
      <c r="L3606">
        <v>3</v>
      </c>
      <c r="M3606">
        <v>0</v>
      </c>
      <c r="N3606">
        <v>2</v>
      </c>
      <c r="O3606">
        <v>1</v>
      </c>
      <c r="P3606">
        <v>0</v>
      </c>
      <c r="Q3606">
        <v>0</v>
      </c>
      <c r="S3606" t="str">
        <f>"20:34:21.352"</f>
        <v>20:34:21.352</v>
      </c>
      <c r="T3606" t="str">
        <f>"20:34:20.852"</f>
        <v>20:34:20.852</v>
      </c>
      <c r="U3606" t="str">
        <f t="shared" si="180"/>
        <v>AB01F4</v>
      </c>
      <c r="V3606">
        <v>0</v>
      </c>
      <c r="W3606">
        <v>0</v>
      </c>
      <c r="X3606">
        <v>2</v>
      </c>
      <c r="Z3606">
        <v>0</v>
      </c>
      <c r="AA3606">
        <v>9</v>
      </c>
      <c r="AB3606">
        <v>3</v>
      </c>
      <c r="AC3606">
        <v>0</v>
      </c>
      <c r="AD3606">
        <v>10</v>
      </c>
      <c r="AE3606">
        <v>0</v>
      </c>
      <c r="AF3606">
        <v>3</v>
      </c>
      <c r="AG3606">
        <v>2</v>
      </c>
      <c r="AH3606">
        <v>0</v>
      </c>
      <c r="AI3606" t="s">
        <v>2051</v>
      </c>
      <c r="AJ3606">
        <v>40.103617</v>
      </c>
      <c r="AK3606" t="s">
        <v>2052</v>
      </c>
      <c r="AL3606">
        <v>-93.009395999999995</v>
      </c>
      <c r="AM3606">
        <v>100</v>
      </c>
      <c r="AN3606">
        <v>1300</v>
      </c>
      <c r="AO3606" t="s">
        <v>118</v>
      </c>
      <c r="AP3606">
        <v>-114</v>
      </c>
      <c r="AQ3606">
        <v>62</v>
      </c>
      <c r="AR3606">
        <v>64</v>
      </c>
      <c r="AZ3606">
        <v>1200</v>
      </c>
      <c r="BA3606">
        <v>1</v>
      </c>
      <c r="BB3606" t="str">
        <f t="shared" si="178"/>
        <v xml:space="preserve">N8080G  </v>
      </c>
      <c r="BC3606">
        <v>1</v>
      </c>
      <c r="BE3606">
        <v>0</v>
      </c>
      <c r="BF3606">
        <v>0</v>
      </c>
      <c r="BG3606">
        <v>0</v>
      </c>
      <c r="BH3606">
        <v>1350</v>
      </c>
      <c r="BI3606">
        <v>1</v>
      </c>
      <c r="BJ3606">
        <v>1</v>
      </c>
      <c r="BK3606">
        <v>1</v>
      </c>
      <c r="BL3606">
        <v>0</v>
      </c>
      <c r="BO3606">
        <v>0</v>
      </c>
      <c r="BP3606">
        <v>0</v>
      </c>
      <c r="BW3606" t="str">
        <f>"20:34:21.358"</f>
        <v>20:34:21.358</v>
      </c>
      <c r="BZ3606">
        <v>0</v>
      </c>
      <c r="CA3606">
        <v>1600</v>
      </c>
      <c r="CB3606">
        <v>224</v>
      </c>
      <c r="CD3606">
        <v>1</v>
      </c>
      <c r="CE3606">
        <v>0</v>
      </c>
      <c r="CF3606">
        <v>0</v>
      </c>
      <c r="CG3606">
        <v>1</v>
      </c>
      <c r="CH3606">
        <v>0</v>
      </c>
      <c r="CI3606">
        <v>0</v>
      </c>
      <c r="CJ3606">
        <v>0</v>
      </c>
      <c r="CK3606">
        <v>2</v>
      </c>
      <c r="CL3606">
        <v>0</v>
      </c>
      <c r="CM3606">
        <v>2</v>
      </c>
      <c r="CN3606">
        <v>0</v>
      </c>
      <c r="CO3606">
        <v>7</v>
      </c>
      <c r="CP3606" t="s">
        <v>119</v>
      </c>
      <c r="CQ3606">
        <v>180</v>
      </c>
      <c r="CR3606">
        <v>3</v>
      </c>
      <c r="CW3606">
        <v>1211486</v>
      </c>
      <c r="CY3606">
        <v>1</v>
      </c>
      <c r="CZ3606">
        <v>0</v>
      </c>
      <c r="DA3606">
        <v>1</v>
      </c>
      <c r="DB3606">
        <v>0</v>
      </c>
      <c r="DC3606">
        <v>0</v>
      </c>
      <c r="DD3606">
        <v>0</v>
      </c>
      <c r="DE3606">
        <v>0</v>
      </c>
      <c r="DF3606">
        <v>0</v>
      </c>
      <c r="DG3606">
        <v>0</v>
      </c>
      <c r="DH3606">
        <v>0</v>
      </c>
      <c r="DI3606">
        <v>0</v>
      </c>
    </row>
    <row r="3607" spans="1:113" x14ac:dyDescent="0.3">
      <c r="A3607" t="str">
        <f>"02/08/2021 20:34:20.831"</f>
        <v>02/08/2021 20:34:20.831</v>
      </c>
      <c r="C3607" t="str">
        <f t="shared" si="181"/>
        <v>FFDFD7C0</v>
      </c>
      <c r="D3607" t="s">
        <v>124</v>
      </c>
      <c r="E3607">
        <v>12</v>
      </c>
      <c r="F3607">
        <v>1012</v>
      </c>
      <c r="G3607" t="s">
        <v>675</v>
      </c>
      <c r="J3607" t="s">
        <v>125</v>
      </c>
      <c r="K3607">
        <v>0</v>
      </c>
      <c r="L3607">
        <v>3</v>
      </c>
      <c r="M3607">
        <v>0</v>
      </c>
      <c r="N3607">
        <v>2</v>
      </c>
      <c r="O3607">
        <v>1</v>
      </c>
      <c r="P3607">
        <v>0</v>
      </c>
      <c r="Q3607">
        <v>0</v>
      </c>
      <c r="S3607" t="str">
        <f>"20:34:23.125"</f>
        <v>20:34:23.125</v>
      </c>
      <c r="T3607" t="str">
        <f>"20:34:22.725"</f>
        <v>20:34:22.725</v>
      </c>
      <c r="U3607" t="str">
        <f t="shared" si="180"/>
        <v>AB01F4</v>
      </c>
      <c r="V3607">
        <v>0</v>
      </c>
      <c r="W3607">
        <v>0</v>
      </c>
      <c r="X3607">
        <v>2</v>
      </c>
      <c r="Z3607">
        <v>0</v>
      </c>
      <c r="AA3607">
        <v>9</v>
      </c>
      <c r="AB3607">
        <v>3</v>
      </c>
      <c r="AC3607">
        <v>0</v>
      </c>
      <c r="AD3607">
        <v>10</v>
      </c>
      <c r="AE3607">
        <v>0</v>
      </c>
      <c r="AF3607">
        <v>3</v>
      </c>
      <c r="AG3607">
        <v>2</v>
      </c>
      <c r="AH3607">
        <v>0</v>
      </c>
      <c r="AI3607" t="s">
        <v>2053</v>
      </c>
      <c r="AJ3607">
        <v>40.104132</v>
      </c>
      <c r="AK3607" t="s">
        <v>2054</v>
      </c>
      <c r="AL3607">
        <v>-93.010619000000005</v>
      </c>
      <c r="AM3607">
        <v>100</v>
      </c>
      <c r="AN3607">
        <v>1300</v>
      </c>
      <c r="AO3607" t="s">
        <v>118</v>
      </c>
      <c r="AP3607">
        <v>-114</v>
      </c>
      <c r="AQ3607">
        <v>62</v>
      </c>
      <c r="AR3607">
        <v>64</v>
      </c>
      <c r="AZ3607">
        <v>1200</v>
      </c>
      <c r="BA3607">
        <v>1</v>
      </c>
      <c r="BB3607" t="str">
        <f t="shared" si="178"/>
        <v xml:space="preserve">N8080G  </v>
      </c>
      <c r="BC3607">
        <v>1</v>
      </c>
      <c r="BE3607">
        <v>0</v>
      </c>
      <c r="BF3607">
        <v>0</v>
      </c>
      <c r="BG3607">
        <v>0</v>
      </c>
      <c r="BH3607">
        <v>1350</v>
      </c>
      <c r="BI3607">
        <v>1</v>
      </c>
      <c r="BJ3607">
        <v>1</v>
      </c>
      <c r="BK3607">
        <v>1</v>
      </c>
      <c r="BL3607">
        <v>0</v>
      </c>
      <c r="BO3607">
        <v>0</v>
      </c>
      <c r="BP3607">
        <v>0</v>
      </c>
      <c r="BW3607" t="str">
        <f>"20:34:23.132"</f>
        <v>20:34:23.132</v>
      </c>
      <c r="BZ3607">
        <v>0</v>
      </c>
      <c r="CA3607">
        <v>1600</v>
      </c>
      <c r="CB3607">
        <v>224</v>
      </c>
      <c r="CD3607">
        <v>1</v>
      </c>
      <c r="CE3607">
        <v>0</v>
      </c>
      <c r="CF3607">
        <v>0</v>
      </c>
      <c r="CG3607">
        <v>1</v>
      </c>
      <c r="CH3607">
        <v>0</v>
      </c>
      <c r="CI3607">
        <v>0</v>
      </c>
      <c r="CJ3607">
        <v>0</v>
      </c>
      <c r="CK3607">
        <v>2</v>
      </c>
      <c r="CL3607">
        <v>0</v>
      </c>
      <c r="CM3607">
        <v>2</v>
      </c>
      <c r="CN3607">
        <v>0</v>
      </c>
      <c r="CO3607">
        <v>6</v>
      </c>
      <c r="CP3607" t="s">
        <v>119</v>
      </c>
      <c r="CQ3607">
        <v>180</v>
      </c>
      <c r="CR3607">
        <v>3</v>
      </c>
      <c r="CW3607">
        <v>1212807</v>
      </c>
      <c r="CY3607">
        <v>1</v>
      </c>
      <c r="CZ3607">
        <v>0</v>
      </c>
      <c r="DA3607">
        <v>0</v>
      </c>
      <c r="DB3607">
        <v>0</v>
      </c>
      <c r="DC3607">
        <v>0</v>
      </c>
      <c r="DD3607">
        <v>0</v>
      </c>
      <c r="DE3607">
        <v>0</v>
      </c>
      <c r="DF3607">
        <v>0</v>
      </c>
      <c r="DG3607">
        <v>0</v>
      </c>
      <c r="DH3607">
        <v>0</v>
      </c>
      <c r="DI3607">
        <v>0</v>
      </c>
    </row>
    <row r="3608" spans="1:113" x14ac:dyDescent="0.3">
      <c r="A3608" t="str">
        <f>"02/08/2021 20:34:20.831"</f>
        <v>02/08/2021 20:34:20.831</v>
      </c>
      <c r="C3608" t="str">
        <f t="shared" si="181"/>
        <v>FFDFD7C0</v>
      </c>
      <c r="D3608" t="s">
        <v>124</v>
      </c>
      <c r="E3608">
        <v>11</v>
      </c>
      <c r="F3608">
        <v>1011</v>
      </c>
      <c r="G3608" t="s">
        <v>590</v>
      </c>
      <c r="J3608" t="s">
        <v>125</v>
      </c>
      <c r="K3608">
        <v>0</v>
      </c>
      <c r="L3608">
        <v>3</v>
      </c>
      <c r="M3608">
        <v>0</v>
      </c>
      <c r="N3608">
        <v>2</v>
      </c>
      <c r="O3608">
        <v>1</v>
      </c>
      <c r="P3608">
        <v>0</v>
      </c>
      <c r="Q3608">
        <v>0</v>
      </c>
      <c r="S3608" t="str">
        <f>"20:34:23.125"</f>
        <v>20:34:23.125</v>
      </c>
      <c r="T3608" t="str">
        <f>"20:34:22.725"</f>
        <v>20:34:22.725</v>
      </c>
      <c r="U3608" t="str">
        <f t="shared" si="180"/>
        <v>AB01F4</v>
      </c>
      <c r="V3608">
        <v>0</v>
      </c>
      <c r="W3608">
        <v>0</v>
      </c>
      <c r="X3608">
        <v>2</v>
      </c>
      <c r="Z3608">
        <v>0</v>
      </c>
      <c r="AA3608">
        <v>9</v>
      </c>
      <c r="AB3608">
        <v>3</v>
      </c>
      <c r="AC3608">
        <v>0</v>
      </c>
      <c r="AD3608">
        <v>10</v>
      </c>
      <c r="AE3608">
        <v>0</v>
      </c>
      <c r="AF3608">
        <v>3</v>
      </c>
      <c r="AG3608">
        <v>2</v>
      </c>
      <c r="AH3608">
        <v>0</v>
      </c>
      <c r="AI3608" t="s">
        <v>2053</v>
      </c>
      <c r="AJ3608">
        <v>40.104132</v>
      </c>
      <c r="AK3608" t="s">
        <v>2054</v>
      </c>
      <c r="AL3608">
        <v>-93.010619000000005</v>
      </c>
      <c r="AM3608">
        <v>100</v>
      </c>
      <c r="AN3608">
        <v>1300</v>
      </c>
      <c r="AO3608" t="s">
        <v>118</v>
      </c>
      <c r="AP3608">
        <v>-114</v>
      </c>
      <c r="AQ3608">
        <v>62</v>
      </c>
      <c r="AR3608">
        <v>64</v>
      </c>
      <c r="AZ3608">
        <v>1200</v>
      </c>
      <c r="BA3608">
        <v>1</v>
      </c>
      <c r="BB3608" t="str">
        <f t="shared" si="178"/>
        <v xml:space="preserve">N8080G  </v>
      </c>
      <c r="BC3608">
        <v>1</v>
      </c>
      <c r="BE3608">
        <v>0</v>
      </c>
      <c r="BF3608">
        <v>0</v>
      </c>
      <c r="BG3608">
        <v>0</v>
      </c>
      <c r="BH3608">
        <v>1350</v>
      </c>
      <c r="BI3608">
        <v>1</v>
      </c>
      <c r="BJ3608">
        <v>1</v>
      </c>
      <c r="BK3608">
        <v>1</v>
      </c>
      <c r="BL3608">
        <v>0</v>
      </c>
      <c r="BO3608">
        <v>0</v>
      </c>
      <c r="BP3608">
        <v>0</v>
      </c>
      <c r="BW3608" t="str">
        <f>"20:34:23.132"</f>
        <v>20:34:23.132</v>
      </c>
      <c r="BZ3608">
        <v>0</v>
      </c>
      <c r="CA3608">
        <v>1600</v>
      </c>
      <c r="CB3608">
        <v>224</v>
      </c>
      <c r="CD3608">
        <v>1</v>
      </c>
      <c r="CE3608">
        <v>0</v>
      </c>
      <c r="CF3608">
        <v>0</v>
      </c>
      <c r="CG3608">
        <v>1</v>
      </c>
      <c r="CH3608">
        <v>0</v>
      </c>
      <c r="CI3608">
        <v>0</v>
      </c>
      <c r="CJ3608">
        <v>0</v>
      </c>
      <c r="CK3608">
        <v>2</v>
      </c>
      <c r="CL3608">
        <v>0</v>
      </c>
      <c r="CM3608">
        <v>2</v>
      </c>
      <c r="CN3608">
        <v>0</v>
      </c>
      <c r="CO3608">
        <v>6</v>
      </c>
      <c r="CP3608" t="s">
        <v>119</v>
      </c>
      <c r="CQ3608">
        <v>180</v>
      </c>
      <c r="CR3608">
        <v>3</v>
      </c>
      <c r="CW3608">
        <v>1212807</v>
      </c>
      <c r="CY3608">
        <v>1</v>
      </c>
      <c r="CZ3608">
        <v>0</v>
      </c>
      <c r="DA3608">
        <v>1</v>
      </c>
      <c r="DB3608">
        <v>0</v>
      </c>
      <c r="DC3608">
        <v>0</v>
      </c>
      <c r="DD3608">
        <v>0</v>
      </c>
      <c r="DE3608">
        <v>0</v>
      </c>
      <c r="DF3608">
        <v>0</v>
      </c>
      <c r="DG3608">
        <v>0</v>
      </c>
      <c r="DH3608">
        <v>0</v>
      </c>
      <c r="DI3608">
        <v>0</v>
      </c>
    </row>
    <row r="3609" spans="1:113" x14ac:dyDescent="0.3">
      <c r="A3609" t="str">
        <f>"02/08/2021 20:34:20.831"</f>
        <v>02/08/2021 20:34:20.831</v>
      </c>
      <c r="C3609" t="str">
        <f t="shared" si="181"/>
        <v>FFDFD7C0</v>
      </c>
      <c r="D3609" t="s">
        <v>124</v>
      </c>
      <c r="E3609">
        <v>13</v>
      </c>
      <c r="F3609">
        <v>1013</v>
      </c>
      <c r="G3609" t="s">
        <v>114</v>
      </c>
      <c r="J3609" t="s">
        <v>125</v>
      </c>
      <c r="K3609">
        <v>0</v>
      </c>
      <c r="L3609">
        <v>3</v>
      </c>
      <c r="M3609">
        <v>0</v>
      </c>
      <c r="N3609">
        <v>2</v>
      </c>
      <c r="O3609">
        <v>1</v>
      </c>
      <c r="P3609">
        <v>0</v>
      </c>
      <c r="Q3609">
        <v>0</v>
      </c>
      <c r="S3609" t="str">
        <f>"20:34:23.125"</f>
        <v>20:34:23.125</v>
      </c>
      <c r="T3609" t="str">
        <f>"20:34:22.725"</f>
        <v>20:34:22.725</v>
      </c>
      <c r="U3609" t="str">
        <f t="shared" si="180"/>
        <v>AB01F4</v>
      </c>
      <c r="V3609">
        <v>0</v>
      </c>
      <c r="W3609">
        <v>0</v>
      </c>
      <c r="X3609">
        <v>2</v>
      </c>
      <c r="Z3609">
        <v>0</v>
      </c>
      <c r="AA3609">
        <v>9</v>
      </c>
      <c r="AB3609">
        <v>3</v>
      </c>
      <c r="AC3609">
        <v>0</v>
      </c>
      <c r="AD3609">
        <v>10</v>
      </c>
      <c r="AE3609">
        <v>0</v>
      </c>
      <c r="AF3609">
        <v>3</v>
      </c>
      <c r="AG3609">
        <v>2</v>
      </c>
      <c r="AH3609">
        <v>0</v>
      </c>
      <c r="AI3609" t="s">
        <v>2053</v>
      </c>
      <c r="AJ3609">
        <v>40.104132</v>
      </c>
      <c r="AK3609" t="s">
        <v>2054</v>
      </c>
      <c r="AL3609">
        <v>-93.010619000000005</v>
      </c>
      <c r="AM3609">
        <v>100</v>
      </c>
      <c r="AN3609">
        <v>1300</v>
      </c>
      <c r="AO3609" t="s">
        <v>118</v>
      </c>
      <c r="AP3609">
        <v>-114</v>
      </c>
      <c r="AQ3609">
        <v>62</v>
      </c>
      <c r="AR3609">
        <v>64</v>
      </c>
      <c r="AZ3609">
        <v>1200</v>
      </c>
      <c r="BA3609">
        <v>1</v>
      </c>
      <c r="BB3609" t="str">
        <f t="shared" si="178"/>
        <v xml:space="preserve">N8080G  </v>
      </c>
      <c r="BC3609">
        <v>1</v>
      </c>
      <c r="BE3609">
        <v>0</v>
      </c>
      <c r="BF3609">
        <v>0</v>
      </c>
      <c r="BG3609">
        <v>0</v>
      </c>
      <c r="BH3609">
        <v>1350</v>
      </c>
      <c r="BI3609">
        <v>1</v>
      </c>
      <c r="BJ3609">
        <v>1</v>
      </c>
      <c r="BK3609">
        <v>1</v>
      </c>
      <c r="BL3609">
        <v>0</v>
      </c>
      <c r="BO3609">
        <v>0</v>
      </c>
      <c r="BP3609">
        <v>0</v>
      </c>
      <c r="BW3609" t="str">
        <f>"20:34:23.132"</f>
        <v>20:34:23.132</v>
      </c>
      <c r="BZ3609">
        <v>0</v>
      </c>
      <c r="CA3609">
        <v>1600</v>
      </c>
      <c r="CB3609">
        <v>224</v>
      </c>
      <c r="CD3609">
        <v>1</v>
      </c>
      <c r="CE3609">
        <v>0</v>
      </c>
      <c r="CF3609">
        <v>0</v>
      </c>
      <c r="CG3609">
        <v>1</v>
      </c>
      <c r="CH3609">
        <v>0</v>
      </c>
      <c r="CI3609">
        <v>0</v>
      </c>
      <c r="CJ3609">
        <v>0</v>
      </c>
      <c r="CK3609">
        <v>2</v>
      </c>
      <c r="CL3609">
        <v>0</v>
      </c>
      <c r="CM3609">
        <v>2</v>
      </c>
      <c r="CN3609">
        <v>0</v>
      </c>
      <c r="CO3609">
        <v>6</v>
      </c>
      <c r="CP3609" t="s">
        <v>119</v>
      </c>
      <c r="CQ3609">
        <v>180</v>
      </c>
      <c r="CR3609">
        <v>3</v>
      </c>
      <c r="CW3609">
        <v>1212807</v>
      </c>
      <c r="CY3609">
        <v>1</v>
      </c>
      <c r="CZ3609">
        <v>0</v>
      </c>
      <c r="DA3609">
        <v>1</v>
      </c>
      <c r="DB3609">
        <v>0</v>
      </c>
      <c r="DC3609">
        <v>0</v>
      </c>
      <c r="DD3609">
        <v>0</v>
      </c>
      <c r="DE3609">
        <v>0</v>
      </c>
      <c r="DF3609">
        <v>0</v>
      </c>
      <c r="DG3609">
        <v>0</v>
      </c>
      <c r="DH3609">
        <v>0</v>
      </c>
      <c r="DI3609">
        <v>0</v>
      </c>
    </row>
    <row r="3610" spans="1:113" x14ac:dyDescent="0.3">
      <c r="A3610" t="str">
        <f>"02/08/2021 20:34:20.831"</f>
        <v>02/08/2021 20:34:20.831</v>
      </c>
      <c r="C3610" t="str">
        <f t="shared" si="181"/>
        <v>FFDFD7C0</v>
      </c>
      <c r="D3610" t="s">
        <v>113</v>
      </c>
      <c r="E3610">
        <v>6</v>
      </c>
      <c r="H3610">
        <v>165</v>
      </c>
      <c r="I3610" t="s">
        <v>114</v>
      </c>
      <c r="J3610" t="s">
        <v>115</v>
      </c>
      <c r="K3610">
        <v>0</v>
      </c>
      <c r="L3610">
        <v>3</v>
      </c>
      <c r="M3610">
        <v>0</v>
      </c>
      <c r="N3610">
        <v>2</v>
      </c>
      <c r="O3610">
        <v>1</v>
      </c>
      <c r="P3610">
        <v>0</v>
      </c>
      <c r="Q3610">
        <v>0</v>
      </c>
      <c r="S3610" t="str">
        <f>"20:34:23.125"</f>
        <v>20:34:23.125</v>
      </c>
      <c r="T3610" t="str">
        <f>"20:34:22.725"</f>
        <v>20:34:22.725</v>
      </c>
      <c r="U3610" t="str">
        <f t="shared" si="180"/>
        <v>AB01F4</v>
      </c>
      <c r="V3610">
        <v>0</v>
      </c>
      <c r="W3610">
        <v>0</v>
      </c>
      <c r="X3610">
        <v>2</v>
      </c>
      <c r="Z3610">
        <v>0</v>
      </c>
      <c r="AA3610">
        <v>9</v>
      </c>
      <c r="AB3610">
        <v>3</v>
      </c>
      <c r="AC3610">
        <v>0</v>
      </c>
      <c r="AD3610">
        <v>10</v>
      </c>
      <c r="AE3610">
        <v>0</v>
      </c>
      <c r="AF3610">
        <v>3</v>
      </c>
      <c r="AG3610">
        <v>2</v>
      </c>
      <c r="AH3610">
        <v>0</v>
      </c>
      <c r="AI3610" t="s">
        <v>2053</v>
      </c>
      <c r="AJ3610">
        <v>40.104132</v>
      </c>
      <c r="AK3610" t="s">
        <v>2054</v>
      </c>
      <c r="AL3610">
        <v>-93.010619000000005</v>
      </c>
      <c r="AM3610">
        <v>100</v>
      </c>
      <c r="AN3610">
        <v>1300</v>
      </c>
      <c r="AO3610" t="s">
        <v>118</v>
      </c>
      <c r="AP3610">
        <v>-114</v>
      </c>
      <c r="AQ3610">
        <v>62</v>
      </c>
      <c r="AR3610">
        <v>64</v>
      </c>
      <c r="AZ3610">
        <v>1200</v>
      </c>
      <c r="BA3610">
        <v>1</v>
      </c>
      <c r="BB3610" t="str">
        <f t="shared" si="178"/>
        <v xml:space="preserve">N8080G  </v>
      </c>
      <c r="BC3610">
        <v>1</v>
      </c>
      <c r="BE3610">
        <v>0</v>
      </c>
      <c r="BF3610">
        <v>0</v>
      </c>
      <c r="BG3610">
        <v>0</v>
      </c>
      <c r="BH3610">
        <v>1350</v>
      </c>
      <c r="BI3610">
        <v>1</v>
      </c>
      <c r="BJ3610">
        <v>1</v>
      </c>
      <c r="BK3610">
        <v>1</v>
      </c>
      <c r="BL3610">
        <v>0</v>
      </c>
      <c r="BO3610">
        <v>0</v>
      </c>
      <c r="BP3610">
        <v>0</v>
      </c>
      <c r="BW3610" t="str">
        <f>"20:34:23.132"</f>
        <v>20:34:23.132</v>
      </c>
      <c r="BZ3610">
        <v>0</v>
      </c>
      <c r="CA3610">
        <v>1600</v>
      </c>
      <c r="CB3610">
        <v>224</v>
      </c>
      <c r="CD3610">
        <v>1</v>
      </c>
      <c r="CE3610">
        <v>0</v>
      </c>
      <c r="CF3610">
        <v>0</v>
      </c>
      <c r="CG3610">
        <v>1</v>
      </c>
      <c r="CH3610">
        <v>0</v>
      </c>
      <c r="CI3610">
        <v>0</v>
      </c>
      <c r="CJ3610">
        <v>0</v>
      </c>
      <c r="CK3610">
        <v>2</v>
      </c>
      <c r="CL3610">
        <v>0</v>
      </c>
      <c r="CM3610">
        <v>2</v>
      </c>
      <c r="CN3610">
        <v>0</v>
      </c>
      <c r="CO3610">
        <v>6</v>
      </c>
      <c r="CP3610" t="s">
        <v>119</v>
      </c>
      <c r="CQ3610">
        <v>180</v>
      </c>
      <c r="CR3610">
        <v>3</v>
      </c>
      <c r="CW3610">
        <v>1212807</v>
      </c>
      <c r="CY3610">
        <v>1</v>
      </c>
      <c r="CZ3610">
        <v>0</v>
      </c>
      <c r="DA3610">
        <v>1</v>
      </c>
      <c r="DB3610">
        <v>0</v>
      </c>
      <c r="DC3610">
        <v>0</v>
      </c>
      <c r="DD3610">
        <v>0</v>
      </c>
      <c r="DE3610">
        <v>0</v>
      </c>
      <c r="DF3610">
        <v>0</v>
      </c>
      <c r="DG3610">
        <v>0</v>
      </c>
      <c r="DH3610">
        <v>0</v>
      </c>
      <c r="DI3610">
        <v>0</v>
      </c>
    </row>
    <row r="3611" spans="1:113" x14ac:dyDescent="0.3">
      <c r="A3611" t="str">
        <f>"02/08/2021 20:34:24.300"</f>
        <v>02/08/2021 20:34:24.300</v>
      </c>
      <c r="C3611" t="str">
        <f t="shared" si="181"/>
        <v>FFDFD7C0</v>
      </c>
      <c r="D3611" t="s">
        <v>124</v>
      </c>
      <c r="E3611">
        <v>12</v>
      </c>
      <c r="F3611">
        <v>1012</v>
      </c>
      <c r="G3611" t="s">
        <v>675</v>
      </c>
      <c r="J3611" t="s">
        <v>125</v>
      </c>
      <c r="K3611">
        <v>0</v>
      </c>
      <c r="L3611">
        <v>3</v>
      </c>
      <c r="M3611">
        <v>0</v>
      </c>
      <c r="N3611">
        <v>2</v>
      </c>
      <c r="O3611">
        <v>1</v>
      </c>
      <c r="P3611">
        <v>0</v>
      </c>
      <c r="Q3611">
        <v>0</v>
      </c>
      <c r="S3611" t="str">
        <f>"20:34:26.578"</f>
        <v>20:34:26.578</v>
      </c>
      <c r="T3611" t="str">
        <f>"20:34:26.078"</f>
        <v>20:34:26.078</v>
      </c>
      <c r="U3611" t="str">
        <f t="shared" si="180"/>
        <v>AB01F4</v>
      </c>
      <c r="V3611">
        <v>0</v>
      </c>
      <c r="W3611">
        <v>0</v>
      </c>
      <c r="X3611">
        <v>2</v>
      </c>
      <c r="Z3611">
        <v>0</v>
      </c>
      <c r="AA3611">
        <v>9</v>
      </c>
      <c r="AB3611">
        <v>3</v>
      </c>
      <c r="AC3611">
        <v>0</v>
      </c>
      <c r="AD3611">
        <v>10</v>
      </c>
      <c r="AE3611">
        <v>0</v>
      </c>
      <c r="AF3611">
        <v>3</v>
      </c>
      <c r="AG3611">
        <v>2</v>
      </c>
      <c r="AH3611">
        <v>0</v>
      </c>
      <c r="AI3611" t="s">
        <v>2055</v>
      </c>
      <c r="AJ3611">
        <v>40.105139999999999</v>
      </c>
      <c r="AK3611" t="s">
        <v>2056</v>
      </c>
      <c r="AL3611">
        <v>-93.012935999999996</v>
      </c>
      <c r="AM3611">
        <v>100</v>
      </c>
      <c r="AN3611">
        <v>1300</v>
      </c>
      <c r="AO3611" t="s">
        <v>118</v>
      </c>
      <c r="AP3611">
        <v>-114</v>
      </c>
      <c r="AQ3611">
        <v>62</v>
      </c>
      <c r="AR3611">
        <v>-64</v>
      </c>
      <c r="AZ3611">
        <v>1200</v>
      </c>
      <c r="BA3611">
        <v>1</v>
      </c>
      <c r="BB3611" t="str">
        <f t="shared" si="178"/>
        <v xml:space="preserve">N8080G  </v>
      </c>
      <c r="BC3611">
        <v>1</v>
      </c>
      <c r="BE3611">
        <v>0</v>
      </c>
      <c r="BF3611">
        <v>0</v>
      </c>
      <c r="BG3611">
        <v>0</v>
      </c>
      <c r="BH3611">
        <v>1350</v>
      </c>
      <c r="BI3611">
        <v>1</v>
      </c>
      <c r="BJ3611">
        <v>1</v>
      </c>
      <c r="BK3611">
        <v>1</v>
      </c>
      <c r="BL3611">
        <v>0</v>
      </c>
      <c r="BO3611">
        <v>0</v>
      </c>
      <c r="BP3611">
        <v>0</v>
      </c>
      <c r="BW3611" t="str">
        <f>"20:34:26.583"</f>
        <v>20:34:26.583</v>
      </c>
      <c r="BZ3611">
        <v>0</v>
      </c>
      <c r="CA3611">
        <v>1600</v>
      </c>
      <c r="CB3611">
        <v>224</v>
      </c>
      <c r="CD3611">
        <v>1</v>
      </c>
      <c r="CE3611">
        <v>0</v>
      </c>
      <c r="CF3611">
        <v>0</v>
      </c>
      <c r="CG3611">
        <v>1</v>
      </c>
      <c r="CH3611">
        <v>0</v>
      </c>
      <c r="CI3611">
        <v>0</v>
      </c>
      <c r="CJ3611">
        <v>0</v>
      </c>
      <c r="CK3611">
        <v>2</v>
      </c>
      <c r="CL3611">
        <v>0</v>
      </c>
      <c r="CM3611">
        <v>2</v>
      </c>
      <c r="CN3611">
        <v>0</v>
      </c>
      <c r="CO3611">
        <v>6</v>
      </c>
      <c r="CP3611" t="s">
        <v>119</v>
      </c>
      <c r="CQ3611">
        <v>180</v>
      </c>
      <c r="CR3611">
        <v>3</v>
      </c>
      <c r="CW3611">
        <v>1215495</v>
      </c>
      <c r="CY3611">
        <v>1</v>
      </c>
      <c r="CZ3611">
        <v>0</v>
      </c>
      <c r="DA3611">
        <v>0</v>
      </c>
      <c r="DB3611">
        <v>0</v>
      </c>
      <c r="DC3611">
        <v>0</v>
      </c>
      <c r="DD3611">
        <v>0</v>
      </c>
      <c r="DE3611">
        <v>0</v>
      </c>
      <c r="DF3611">
        <v>0</v>
      </c>
      <c r="DG3611">
        <v>0</v>
      </c>
      <c r="DH3611">
        <v>0</v>
      </c>
      <c r="DI3611">
        <v>0</v>
      </c>
    </row>
    <row r="3612" spans="1:113" x14ac:dyDescent="0.3">
      <c r="A3612" t="str">
        <f>"02/08/2021 20:34:24.300"</f>
        <v>02/08/2021 20:34:24.300</v>
      </c>
      <c r="C3612" t="str">
        <f t="shared" si="181"/>
        <v>FFDFD7C0</v>
      </c>
      <c r="D3612" t="s">
        <v>113</v>
      </c>
      <c r="E3612">
        <v>6</v>
      </c>
      <c r="H3612">
        <v>165</v>
      </c>
      <c r="I3612" t="s">
        <v>114</v>
      </c>
      <c r="J3612" t="s">
        <v>115</v>
      </c>
      <c r="K3612">
        <v>0</v>
      </c>
      <c r="L3612">
        <v>3</v>
      </c>
      <c r="M3612">
        <v>0</v>
      </c>
      <c r="N3612">
        <v>2</v>
      </c>
      <c r="O3612">
        <v>1</v>
      </c>
      <c r="P3612">
        <v>0</v>
      </c>
      <c r="Q3612">
        <v>0</v>
      </c>
      <c r="S3612" t="str">
        <f>"20:34:26.578"</f>
        <v>20:34:26.578</v>
      </c>
      <c r="T3612" t="str">
        <f>"20:34:26.078"</f>
        <v>20:34:26.078</v>
      </c>
      <c r="U3612" t="str">
        <f t="shared" si="180"/>
        <v>AB01F4</v>
      </c>
      <c r="V3612">
        <v>0</v>
      </c>
      <c r="W3612">
        <v>0</v>
      </c>
      <c r="X3612">
        <v>2</v>
      </c>
      <c r="Z3612">
        <v>0</v>
      </c>
      <c r="AA3612">
        <v>9</v>
      </c>
      <c r="AB3612">
        <v>3</v>
      </c>
      <c r="AC3612">
        <v>0</v>
      </c>
      <c r="AD3612">
        <v>10</v>
      </c>
      <c r="AE3612">
        <v>0</v>
      </c>
      <c r="AF3612">
        <v>3</v>
      </c>
      <c r="AG3612">
        <v>2</v>
      </c>
      <c r="AH3612">
        <v>0</v>
      </c>
      <c r="AI3612" t="s">
        <v>2055</v>
      </c>
      <c r="AJ3612">
        <v>40.105139999999999</v>
      </c>
      <c r="AK3612" t="s">
        <v>2056</v>
      </c>
      <c r="AL3612">
        <v>-93.012935999999996</v>
      </c>
      <c r="AM3612">
        <v>100</v>
      </c>
      <c r="AN3612">
        <v>1300</v>
      </c>
      <c r="AO3612" t="s">
        <v>118</v>
      </c>
      <c r="AP3612">
        <v>-114</v>
      </c>
      <c r="AQ3612">
        <v>62</v>
      </c>
      <c r="AR3612">
        <v>-64</v>
      </c>
      <c r="AZ3612">
        <v>1200</v>
      </c>
      <c r="BA3612">
        <v>1</v>
      </c>
      <c r="BB3612" t="str">
        <f t="shared" si="178"/>
        <v xml:space="preserve">N8080G  </v>
      </c>
      <c r="BC3612">
        <v>1</v>
      </c>
      <c r="BE3612">
        <v>0</v>
      </c>
      <c r="BF3612">
        <v>0</v>
      </c>
      <c r="BG3612">
        <v>0</v>
      </c>
      <c r="BH3612">
        <v>1350</v>
      </c>
      <c r="BI3612">
        <v>1</v>
      </c>
      <c r="BJ3612">
        <v>1</v>
      </c>
      <c r="BK3612">
        <v>1</v>
      </c>
      <c r="BL3612">
        <v>0</v>
      </c>
      <c r="BO3612">
        <v>0</v>
      </c>
      <c r="BP3612">
        <v>0</v>
      </c>
      <c r="BW3612" t="str">
        <f>"20:34:26.583"</f>
        <v>20:34:26.583</v>
      </c>
      <c r="BZ3612">
        <v>0</v>
      </c>
      <c r="CA3612">
        <v>1600</v>
      </c>
      <c r="CB3612">
        <v>224</v>
      </c>
      <c r="CD3612">
        <v>1</v>
      </c>
      <c r="CE3612">
        <v>0</v>
      </c>
      <c r="CF3612">
        <v>0</v>
      </c>
      <c r="CG3612">
        <v>1</v>
      </c>
      <c r="CH3612">
        <v>0</v>
      </c>
      <c r="CI3612">
        <v>0</v>
      </c>
      <c r="CJ3612">
        <v>0</v>
      </c>
      <c r="CK3612">
        <v>2</v>
      </c>
      <c r="CL3612">
        <v>0</v>
      </c>
      <c r="CM3612">
        <v>2</v>
      </c>
      <c r="CN3612">
        <v>0</v>
      </c>
      <c r="CO3612">
        <v>6</v>
      </c>
      <c r="CP3612" t="s">
        <v>119</v>
      </c>
      <c r="CQ3612">
        <v>180</v>
      </c>
      <c r="CR3612">
        <v>3</v>
      </c>
      <c r="CW3612">
        <v>1215495</v>
      </c>
      <c r="CY3612">
        <v>1</v>
      </c>
      <c r="CZ3612">
        <v>0</v>
      </c>
      <c r="DA3612">
        <v>1</v>
      </c>
      <c r="DB3612">
        <v>0</v>
      </c>
      <c r="DC3612">
        <v>0</v>
      </c>
      <c r="DD3612">
        <v>0</v>
      </c>
      <c r="DE3612">
        <v>0</v>
      </c>
      <c r="DF3612">
        <v>0</v>
      </c>
      <c r="DG3612">
        <v>0</v>
      </c>
      <c r="DH3612">
        <v>0</v>
      </c>
      <c r="DI3612">
        <v>0</v>
      </c>
    </row>
    <row r="3613" spans="1:113" x14ac:dyDescent="0.3">
      <c r="A3613" t="str">
        <f>"02/08/2021 20:34:24.300"</f>
        <v>02/08/2021 20:34:24.300</v>
      </c>
      <c r="C3613" t="str">
        <f t="shared" si="181"/>
        <v>FFDFD7C0</v>
      </c>
      <c r="D3613" t="s">
        <v>124</v>
      </c>
      <c r="E3613">
        <v>11</v>
      </c>
      <c r="F3613">
        <v>1011</v>
      </c>
      <c r="G3613" t="s">
        <v>590</v>
      </c>
      <c r="J3613" t="s">
        <v>125</v>
      </c>
      <c r="K3613">
        <v>0</v>
      </c>
      <c r="L3613">
        <v>3</v>
      </c>
      <c r="M3613">
        <v>0</v>
      </c>
      <c r="N3613">
        <v>2</v>
      </c>
      <c r="O3613">
        <v>1</v>
      </c>
      <c r="P3613">
        <v>0</v>
      </c>
      <c r="Q3613">
        <v>0</v>
      </c>
      <c r="S3613" t="str">
        <f>"20:34:26.578"</f>
        <v>20:34:26.578</v>
      </c>
      <c r="T3613" t="str">
        <f>"20:34:26.078"</f>
        <v>20:34:26.078</v>
      </c>
      <c r="U3613" t="str">
        <f t="shared" si="180"/>
        <v>AB01F4</v>
      </c>
      <c r="V3613">
        <v>0</v>
      </c>
      <c r="W3613">
        <v>0</v>
      </c>
      <c r="X3613">
        <v>2</v>
      </c>
      <c r="Z3613">
        <v>0</v>
      </c>
      <c r="AA3613">
        <v>9</v>
      </c>
      <c r="AB3613">
        <v>3</v>
      </c>
      <c r="AC3613">
        <v>0</v>
      </c>
      <c r="AD3613">
        <v>10</v>
      </c>
      <c r="AE3613">
        <v>0</v>
      </c>
      <c r="AF3613">
        <v>3</v>
      </c>
      <c r="AG3613">
        <v>2</v>
      </c>
      <c r="AH3613">
        <v>0</v>
      </c>
      <c r="AI3613" t="s">
        <v>2055</v>
      </c>
      <c r="AJ3613">
        <v>40.105139999999999</v>
      </c>
      <c r="AK3613" t="s">
        <v>2056</v>
      </c>
      <c r="AL3613">
        <v>-93.012935999999996</v>
      </c>
      <c r="AM3613">
        <v>100</v>
      </c>
      <c r="AN3613">
        <v>1300</v>
      </c>
      <c r="AO3613" t="s">
        <v>118</v>
      </c>
      <c r="AP3613">
        <v>-114</v>
      </c>
      <c r="AQ3613">
        <v>62</v>
      </c>
      <c r="AR3613">
        <v>-64</v>
      </c>
      <c r="AZ3613">
        <v>1200</v>
      </c>
      <c r="BA3613">
        <v>1</v>
      </c>
      <c r="BB3613" t="str">
        <f t="shared" si="178"/>
        <v xml:space="preserve">N8080G  </v>
      </c>
      <c r="BC3613">
        <v>1</v>
      </c>
      <c r="BE3613">
        <v>0</v>
      </c>
      <c r="BF3613">
        <v>0</v>
      </c>
      <c r="BG3613">
        <v>0</v>
      </c>
      <c r="BH3613">
        <v>1350</v>
      </c>
      <c r="BI3613">
        <v>1</v>
      </c>
      <c r="BJ3613">
        <v>1</v>
      </c>
      <c r="BK3613">
        <v>1</v>
      </c>
      <c r="BL3613">
        <v>0</v>
      </c>
      <c r="BO3613">
        <v>0</v>
      </c>
      <c r="BP3613">
        <v>0</v>
      </c>
      <c r="BW3613" t="str">
        <f>"20:34:26.583"</f>
        <v>20:34:26.583</v>
      </c>
      <c r="BZ3613">
        <v>0</v>
      </c>
      <c r="CA3613">
        <v>1600</v>
      </c>
      <c r="CB3613">
        <v>224</v>
      </c>
      <c r="CD3613">
        <v>1</v>
      </c>
      <c r="CE3613">
        <v>0</v>
      </c>
      <c r="CF3613">
        <v>0</v>
      </c>
      <c r="CG3613">
        <v>1</v>
      </c>
      <c r="CH3613">
        <v>0</v>
      </c>
      <c r="CI3613">
        <v>0</v>
      </c>
      <c r="CJ3613">
        <v>0</v>
      </c>
      <c r="CK3613">
        <v>2</v>
      </c>
      <c r="CL3613">
        <v>0</v>
      </c>
      <c r="CM3613">
        <v>2</v>
      </c>
      <c r="CN3613">
        <v>0</v>
      </c>
      <c r="CO3613">
        <v>6</v>
      </c>
      <c r="CP3613" t="s">
        <v>119</v>
      </c>
      <c r="CQ3613">
        <v>180</v>
      </c>
      <c r="CR3613">
        <v>3</v>
      </c>
      <c r="CW3613">
        <v>1215495</v>
      </c>
      <c r="CY3613">
        <v>1</v>
      </c>
      <c r="CZ3613">
        <v>0</v>
      </c>
      <c r="DA3613">
        <v>1</v>
      </c>
      <c r="DB3613">
        <v>0</v>
      </c>
      <c r="DC3613">
        <v>0</v>
      </c>
      <c r="DD3613">
        <v>0</v>
      </c>
      <c r="DE3613">
        <v>0</v>
      </c>
      <c r="DF3613">
        <v>0</v>
      </c>
      <c r="DG3613">
        <v>0</v>
      </c>
      <c r="DH3613">
        <v>0</v>
      </c>
      <c r="DI3613">
        <v>0</v>
      </c>
    </row>
    <row r="3614" spans="1:113" x14ac:dyDescent="0.3">
      <c r="A3614" t="str">
        <f>"02/08/2021 20:34:24.300"</f>
        <v>02/08/2021 20:34:24.300</v>
      </c>
      <c r="C3614" t="str">
        <f t="shared" si="181"/>
        <v>FFDFD7C0</v>
      </c>
      <c r="D3614" t="s">
        <v>124</v>
      </c>
      <c r="E3614">
        <v>13</v>
      </c>
      <c r="F3614">
        <v>1013</v>
      </c>
      <c r="G3614" t="s">
        <v>114</v>
      </c>
      <c r="J3614" t="s">
        <v>125</v>
      </c>
      <c r="K3614">
        <v>0</v>
      </c>
      <c r="L3614">
        <v>3</v>
      </c>
      <c r="M3614">
        <v>0</v>
      </c>
      <c r="N3614">
        <v>2</v>
      </c>
      <c r="O3614">
        <v>1</v>
      </c>
      <c r="P3614">
        <v>0</v>
      </c>
      <c r="Q3614">
        <v>0</v>
      </c>
      <c r="S3614" t="str">
        <f>"20:34:26.578"</f>
        <v>20:34:26.578</v>
      </c>
      <c r="T3614" t="str">
        <f>"20:34:26.078"</f>
        <v>20:34:26.078</v>
      </c>
      <c r="U3614" t="str">
        <f t="shared" si="180"/>
        <v>AB01F4</v>
      </c>
      <c r="V3614">
        <v>0</v>
      </c>
      <c r="W3614">
        <v>0</v>
      </c>
      <c r="X3614">
        <v>2</v>
      </c>
      <c r="Z3614">
        <v>0</v>
      </c>
      <c r="AA3614">
        <v>9</v>
      </c>
      <c r="AB3614">
        <v>3</v>
      </c>
      <c r="AC3614">
        <v>0</v>
      </c>
      <c r="AD3614">
        <v>10</v>
      </c>
      <c r="AE3614">
        <v>0</v>
      </c>
      <c r="AF3614">
        <v>3</v>
      </c>
      <c r="AG3614">
        <v>2</v>
      </c>
      <c r="AH3614">
        <v>0</v>
      </c>
      <c r="AI3614" t="s">
        <v>2055</v>
      </c>
      <c r="AJ3614">
        <v>40.105139999999999</v>
      </c>
      <c r="AK3614" t="s">
        <v>2056</v>
      </c>
      <c r="AL3614">
        <v>-93.012935999999996</v>
      </c>
      <c r="AM3614">
        <v>100</v>
      </c>
      <c r="AN3614">
        <v>1300</v>
      </c>
      <c r="AO3614" t="s">
        <v>118</v>
      </c>
      <c r="AP3614">
        <v>-114</v>
      </c>
      <c r="AQ3614">
        <v>62</v>
      </c>
      <c r="AR3614">
        <v>-64</v>
      </c>
      <c r="AZ3614">
        <v>1200</v>
      </c>
      <c r="BA3614">
        <v>1</v>
      </c>
      <c r="BB3614" t="str">
        <f t="shared" si="178"/>
        <v xml:space="preserve">N8080G  </v>
      </c>
      <c r="BC3614">
        <v>1</v>
      </c>
      <c r="BE3614">
        <v>0</v>
      </c>
      <c r="BF3614">
        <v>0</v>
      </c>
      <c r="BG3614">
        <v>0</v>
      </c>
      <c r="BH3614">
        <v>1350</v>
      </c>
      <c r="BI3614">
        <v>1</v>
      </c>
      <c r="BJ3614">
        <v>1</v>
      </c>
      <c r="BK3614">
        <v>1</v>
      </c>
      <c r="BL3614">
        <v>0</v>
      </c>
      <c r="BO3614">
        <v>0</v>
      </c>
      <c r="BP3614">
        <v>0</v>
      </c>
      <c r="BW3614" t="str">
        <f>"20:34:26.583"</f>
        <v>20:34:26.583</v>
      </c>
      <c r="BZ3614">
        <v>0</v>
      </c>
      <c r="CA3614">
        <v>1600</v>
      </c>
      <c r="CB3614">
        <v>224</v>
      </c>
      <c r="CD3614">
        <v>1</v>
      </c>
      <c r="CE3614">
        <v>0</v>
      </c>
      <c r="CF3614">
        <v>0</v>
      </c>
      <c r="CG3614">
        <v>1</v>
      </c>
      <c r="CH3614">
        <v>0</v>
      </c>
      <c r="CI3614">
        <v>0</v>
      </c>
      <c r="CJ3614">
        <v>0</v>
      </c>
      <c r="CK3614">
        <v>2</v>
      </c>
      <c r="CL3614">
        <v>0</v>
      </c>
      <c r="CM3614">
        <v>2</v>
      </c>
      <c r="CN3614">
        <v>0</v>
      </c>
      <c r="CO3614">
        <v>6</v>
      </c>
      <c r="CP3614" t="s">
        <v>119</v>
      </c>
      <c r="CQ3614">
        <v>180</v>
      </c>
      <c r="CR3614">
        <v>3</v>
      </c>
      <c r="CW3614">
        <v>1215495</v>
      </c>
      <c r="CY3614">
        <v>1</v>
      </c>
      <c r="CZ3614">
        <v>0</v>
      </c>
      <c r="DA3614">
        <v>1</v>
      </c>
      <c r="DB3614">
        <v>0</v>
      </c>
      <c r="DC3614">
        <v>0</v>
      </c>
      <c r="DD3614">
        <v>0</v>
      </c>
      <c r="DE3614">
        <v>0</v>
      </c>
      <c r="DF3614">
        <v>0</v>
      </c>
      <c r="DG3614">
        <v>0</v>
      </c>
      <c r="DH3614">
        <v>0</v>
      </c>
      <c r="DI3614">
        <v>0</v>
      </c>
    </row>
    <row r="3615" spans="1:113" x14ac:dyDescent="0.3">
      <c r="A3615" t="str">
        <f>"02/08/2021 20:34:25.805"</f>
        <v>02/08/2021 20:34:25.805</v>
      </c>
      <c r="C3615" t="str">
        <f t="shared" si="181"/>
        <v>FFDFD7C0</v>
      </c>
      <c r="D3615" t="s">
        <v>124</v>
      </c>
      <c r="E3615">
        <v>12</v>
      </c>
      <c r="F3615">
        <v>1012</v>
      </c>
      <c r="G3615" t="s">
        <v>675</v>
      </c>
      <c r="J3615" t="s">
        <v>125</v>
      </c>
      <c r="K3615">
        <v>0</v>
      </c>
      <c r="L3615">
        <v>3</v>
      </c>
      <c r="M3615">
        <v>0</v>
      </c>
      <c r="N3615">
        <v>2</v>
      </c>
      <c r="O3615">
        <v>1</v>
      </c>
      <c r="P3615">
        <v>0</v>
      </c>
      <c r="Q3615">
        <v>0</v>
      </c>
      <c r="S3615" t="str">
        <f>"20:34:28.094"</f>
        <v>20:34:28.094</v>
      </c>
      <c r="T3615" t="str">
        <f>"20:34:27.694"</f>
        <v>20:34:27.694</v>
      </c>
      <c r="U3615" t="str">
        <f t="shared" si="180"/>
        <v>AB01F4</v>
      </c>
      <c r="V3615">
        <v>0</v>
      </c>
      <c r="W3615">
        <v>0</v>
      </c>
      <c r="X3615">
        <v>2</v>
      </c>
      <c r="Z3615">
        <v>0</v>
      </c>
      <c r="AA3615">
        <v>9</v>
      </c>
      <c r="AB3615">
        <v>3</v>
      </c>
      <c r="AC3615">
        <v>0</v>
      </c>
      <c r="AD3615">
        <v>10</v>
      </c>
      <c r="AE3615">
        <v>0</v>
      </c>
      <c r="AF3615">
        <v>3</v>
      </c>
      <c r="AG3615">
        <v>2</v>
      </c>
      <c r="AH3615">
        <v>0</v>
      </c>
      <c r="AI3615" t="s">
        <v>2057</v>
      </c>
      <c r="AJ3615">
        <v>40.105547999999999</v>
      </c>
      <c r="AK3615" t="s">
        <v>2058</v>
      </c>
      <c r="AL3615">
        <v>-93.014009000000001</v>
      </c>
      <c r="AM3615">
        <v>100</v>
      </c>
      <c r="AN3615">
        <v>1300</v>
      </c>
      <c r="AO3615" t="s">
        <v>118</v>
      </c>
      <c r="AP3615">
        <v>-114</v>
      </c>
      <c r="AQ3615">
        <v>62</v>
      </c>
      <c r="AR3615">
        <v>-64</v>
      </c>
      <c r="AZ3615">
        <v>1200</v>
      </c>
      <c r="BA3615">
        <v>1</v>
      </c>
      <c r="BB3615" t="str">
        <f t="shared" si="178"/>
        <v xml:space="preserve">N8080G  </v>
      </c>
      <c r="BC3615">
        <v>1</v>
      </c>
      <c r="BE3615">
        <v>0</v>
      </c>
      <c r="BF3615">
        <v>0</v>
      </c>
      <c r="BG3615">
        <v>0</v>
      </c>
      <c r="BH3615">
        <v>1350</v>
      </c>
      <c r="BI3615">
        <v>1</v>
      </c>
      <c r="BJ3615">
        <v>1</v>
      </c>
      <c r="BK3615">
        <v>1</v>
      </c>
      <c r="BL3615">
        <v>0</v>
      </c>
      <c r="BO3615">
        <v>0</v>
      </c>
      <c r="BP3615">
        <v>0</v>
      </c>
      <c r="BW3615" t="str">
        <f>"20:34:28.101"</f>
        <v>20:34:28.101</v>
      </c>
      <c r="BZ3615">
        <v>0</v>
      </c>
      <c r="CA3615">
        <v>1600</v>
      </c>
      <c r="CB3615">
        <v>224</v>
      </c>
      <c r="CD3615">
        <v>1</v>
      </c>
      <c r="CE3615">
        <v>0</v>
      </c>
      <c r="CF3615">
        <v>0</v>
      </c>
      <c r="CG3615">
        <v>1</v>
      </c>
      <c r="CH3615">
        <v>0</v>
      </c>
      <c r="CI3615">
        <v>0</v>
      </c>
      <c r="CJ3615">
        <v>0</v>
      </c>
      <c r="CK3615">
        <v>2</v>
      </c>
      <c r="CL3615">
        <v>0</v>
      </c>
      <c r="CM3615">
        <v>2</v>
      </c>
      <c r="CN3615">
        <v>0</v>
      </c>
      <c r="CO3615">
        <v>6</v>
      </c>
      <c r="CP3615" t="s">
        <v>119</v>
      </c>
      <c r="CQ3615">
        <v>180</v>
      </c>
      <c r="CR3615">
        <v>2</v>
      </c>
      <c r="CW3615">
        <v>8882617</v>
      </c>
      <c r="CY3615">
        <v>1</v>
      </c>
      <c r="CZ3615">
        <v>0</v>
      </c>
      <c r="DA3615">
        <v>0</v>
      </c>
      <c r="DB3615">
        <v>0</v>
      </c>
      <c r="DC3615">
        <v>0</v>
      </c>
      <c r="DD3615">
        <v>0</v>
      </c>
      <c r="DE3615">
        <v>0</v>
      </c>
      <c r="DF3615">
        <v>0</v>
      </c>
      <c r="DG3615">
        <v>0</v>
      </c>
      <c r="DH3615">
        <v>0</v>
      </c>
      <c r="DI3615">
        <v>0</v>
      </c>
    </row>
    <row r="3616" spans="1:113" x14ac:dyDescent="0.3">
      <c r="A3616" t="str">
        <f>"02/08/2021 20:34:25.805"</f>
        <v>02/08/2021 20:34:25.805</v>
      </c>
      <c r="C3616" t="str">
        <f t="shared" si="181"/>
        <v>FFDFD7C0</v>
      </c>
      <c r="D3616" t="s">
        <v>113</v>
      </c>
      <c r="E3616">
        <v>6</v>
      </c>
      <c r="H3616">
        <v>165</v>
      </c>
      <c r="I3616" t="s">
        <v>114</v>
      </c>
      <c r="J3616" t="s">
        <v>115</v>
      </c>
      <c r="K3616">
        <v>0</v>
      </c>
      <c r="L3616">
        <v>3</v>
      </c>
      <c r="M3616">
        <v>0</v>
      </c>
      <c r="N3616">
        <v>2</v>
      </c>
      <c r="O3616">
        <v>1</v>
      </c>
      <c r="P3616">
        <v>0</v>
      </c>
      <c r="Q3616">
        <v>0</v>
      </c>
      <c r="S3616" t="str">
        <f>"20:34:28.094"</f>
        <v>20:34:28.094</v>
      </c>
      <c r="T3616" t="str">
        <f>"20:34:27.694"</f>
        <v>20:34:27.694</v>
      </c>
      <c r="U3616" t="str">
        <f t="shared" si="180"/>
        <v>AB01F4</v>
      </c>
      <c r="V3616">
        <v>0</v>
      </c>
      <c r="W3616">
        <v>0</v>
      </c>
      <c r="X3616">
        <v>2</v>
      </c>
      <c r="Z3616">
        <v>0</v>
      </c>
      <c r="AA3616">
        <v>9</v>
      </c>
      <c r="AB3616">
        <v>3</v>
      </c>
      <c r="AC3616">
        <v>0</v>
      </c>
      <c r="AD3616">
        <v>10</v>
      </c>
      <c r="AE3616">
        <v>0</v>
      </c>
      <c r="AF3616">
        <v>3</v>
      </c>
      <c r="AG3616">
        <v>2</v>
      </c>
      <c r="AH3616">
        <v>0</v>
      </c>
      <c r="AI3616" t="s">
        <v>2057</v>
      </c>
      <c r="AJ3616">
        <v>40.105547999999999</v>
      </c>
      <c r="AK3616" t="s">
        <v>2058</v>
      </c>
      <c r="AL3616">
        <v>-93.014009000000001</v>
      </c>
      <c r="AM3616">
        <v>100</v>
      </c>
      <c r="AN3616">
        <v>1300</v>
      </c>
      <c r="AO3616" t="s">
        <v>118</v>
      </c>
      <c r="AP3616">
        <v>-114</v>
      </c>
      <c r="AQ3616">
        <v>62</v>
      </c>
      <c r="AR3616">
        <v>-64</v>
      </c>
      <c r="AZ3616">
        <v>1200</v>
      </c>
      <c r="BA3616">
        <v>1</v>
      </c>
      <c r="BB3616" t="str">
        <f t="shared" si="178"/>
        <v xml:space="preserve">N8080G  </v>
      </c>
      <c r="BC3616">
        <v>1</v>
      </c>
      <c r="BE3616">
        <v>0</v>
      </c>
      <c r="BF3616">
        <v>0</v>
      </c>
      <c r="BG3616">
        <v>0</v>
      </c>
      <c r="BH3616">
        <v>1350</v>
      </c>
      <c r="BI3616">
        <v>1</v>
      </c>
      <c r="BJ3616">
        <v>1</v>
      </c>
      <c r="BK3616">
        <v>1</v>
      </c>
      <c r="BL3616">
        <v>0</v>
      </c>
      <c r="BO3616">
        <v>0</v>
      </c>
      <c r="BP3616">
        <v>0</v>
      </c>
      <c r="BW3616" t="str">
        <f>"20:34:28.101"</f>
        <v>20:34:28.101</v>
      </c>
      <c r="BZ3616">
        <v>0</v>
      </c>
      <c r="CA3616">
        <v>1600</v>
      </c>
      <c r="CB3616">
        <v>224</v>
      </c>
      <c r="CD3616">
        <v>1</v>
      </c>
      <c r="CE3616">
        <v>0</v>
      </c>
      <c r="CF3616">
        <v>0</v>
      </c>
      <c r="CG3616">
        <v>1</v>
      </c>
      <c r="CH3616">
        <v>0</v>
      </c>
      <c r="CI3616">
        <v>0</v>
      </c>
      <c r="CJ3616">
        <v>0</v>
      </c>
      <c r="CK3616">
        <v>2</v>
      </c>
      <c r="CL3616">
        <v>0</v>
      </c>
      <c r="CM3616">
        <v>2</v>
      </c>
      <c r="CN3616">
        <v>0</v>
      </c>
      <c r="CO3616">
        <v>6</v>
      </c>
      <c r="CP3616" t="s">
        <v>119</v>
      </c>
      <c r="CQ3616">
        <v>180</v>
      </c>
      <c r="CR3616">
        <v>2</v>
      </c>
      <c r="CW3616">
        <v>8882617</v>
      </c>
      <c r="CY3616">
        <v>1</v>
      </c>
      <c r="CZ3616">
        <v>0</v>
      </c>
      <c r="DA3616">
        <v>1</v>
      </c>
      <c r="DB3616">
        <v>0</v>
      </c>
      <c r="DC3616">
        <v>0</v>
      </c>
      <c r="DD3616">
        <v>0</v>
      </c>
      <c r="DE3616">
        <v>0</v>
      </c>
      <c r="DF3616">
        <v>0</v>
      </c>
      <c r="DG3616">
        <v>0</v>
      </c>
      <c r="DH3616">
        <v>0</v>
      </c>
      <c r="DI3616">
        <v>0</v>
      </c>
    </row>
    <row r="3617" spans="1:113" x14ac:dyDescent="0.3">
      <c r="A3617" t="str">
        <f>"02/08/2021 20:34:25.805"</f>
        <v>02/08/2021 20:34:25.805</v>
      </c>
      <c r="C3617" t="str">
        <f t="shared" si="181"/>
        <v>FFDFD7C0</v>
      </c>
      <c r="D3617" t="s">
        <v>124</v>
      </c>
      <c r="E3617">
        <v>11</v>
      </c>
      <c r="F3617">
        <v>1011</v>
      </c>
      <c r="G3617" t="s">
        <v>590</v>
      </c>
      <c r="J3617" t="s">
        <v>125</v>
      </c>
      <c r="K3617">
        <v>0</v>
      </c>
      <c r="L3617">
        <v>3</v>
      </c>
      <c r="M3617">
        <v>0</v>
      </c>
      <c r="N3617">
        <v>2</v>
      </c>
      <c r="O3617">
        <v>1</v>
      </c>
      <c r="P3617">
        <v>0</v>
      </c>
      <c r="Q3617">
        <v>0</v>
      </c>
      <c r="S3617" t="str">
        <f>"20:34:28.094"</f>
        <v>20:34:28.094</v>
      </c>
      <c r="T3617" t="str">
        <f>"20:34:27.694"</f>
        <v>20:34:27.694</v>
      </c>
      <c r="U3617" t="str">
        <f t="shared" si="180"/>
        <v>AB01F4</v>
      </c>
      <c r="V3617">
        <v>0</v>
      </c>
      <c r="W3617">
        <v>0</v>
      </c>
      <c r="X3617">
        <v>2</v>
      </c>
      <c r="Z3617">
        <v>0</v>
      </c>
      <c r="AA3617">
        <v>9</v>
      </c>
      <c r="AB3617">
        <v>3</v>
      </c>
      <c r="AC3617">
        <v>0</v>
      </c>
      <c r="AD3617">
        <v>10</v>
      </c>
      <c r="AE3617">
        <v>0</v>
      </c>
      <c r="AF3617">
        <v>3</v>
      </c>
      <c r="AG3617">
        <v>2</v>
      </c>
      <c r="AH3617">
        <v>0</v>
      </c>
      <c r="AI3617" t="s">
        <v>2057</v>
      </c>
      <c r="AJ3617">
        <v>40.105547999999999</v>
      </c>
      <c r="AK3617" t="s">
        <v>2058</v>
      </c>
      <c r="AL3617">
        <v>-93.014009000000001</v>
      </c>
      <c r="AM3617">
        <v>100</v>
      </c>
      <c r="AN3617">
        <v>1300</v>
      </c>
      <c r="AO3617" t="s">
        <v>118</v>
      </c>
      <c r="AP3617">
        <v>-114</v>
      </c>
      <c r="AQ3617">
        <v>62</v>
      </c>
      <c r="AR3617">
        <v>-64</v>
      </c>
      <c r="AZ3617">
        <v>1200</v>
      </c>
      <c r="BA3617">
        <v>1</v>
      </c>
      <c r="BB3617" t="str">
        <f t="shared" si="178"/>
        <v xml:space="preserve">N8080G  </v>
      </c>
      <c r="BC3617">
        <v>1</v>
      </c>
      <c r="BE3617">
        <v>0</v>
      </c>
      <c r="BF3617">
        <v>0</v>
      </c>
      <c r="BG3617">
        <v>0</v>
      </c>
      <c r="BH3617">
        <v>1350</v>
      </c>
      <c r="BI3617">
        <v>1</v>
      </c>
      <c r="BJ3617">
        <v>1</v>
      </c>
      <c r="BK3617">
        <v>1</v>
      </c>
      <c r="BL3617">
        <v>0</v>
      </c>
      <c r="BO3617">
        <v>0</v>
      </c>
      <c r="BP3617">
        <v>0</v>
      </c>
      <c r="BW3617" t="str">
        <f>"20:34:28.101"</f>
        <v>20:34:28.101</v>
      </c>
      <c r="BZ3617">
        <v>0</v>
      </c>
      <c r="CA3617">
        <v>1600</v>
      </c>
      <c r="CB3617">
        <v>224</v>
      </c>
      <c r="CD3617">
        <v>1</v>
      </c>
      <c r="CE3617">
        <v>0</v>
      </c>
      <c r="CF3617">
        <v>0</v>
      </c>
      <c r="CG3617">
        <v>1</v>
      </c>
      <c r="CH3617">
        <v>0</v>
      </c>
      <c r="CI3617">
        <v>0</v>
      </c>
      <c r="CJ3617">
        <v>0</v>
      </c>
      <c r="CK3617">
        <v>2</v>
      </c>
      <c r="CL3617">
        <v>0</v>
      </c>
      <c r="CM3617">
        <v>2</v>
      </c>
      <c r="CN3617">
        <v>0</v>
      </c>
      <c r="CO3617">
        <v>6</v>
      </c>
      <c r="CP3617" t="s">
        <v>119</v>
      </c>
      <c r="CQ3617">
        <v>180</v>
      </c>
      <c r="CR3617">
        <v>2</v>
      </c>
      <c r="CW3617">
        <v>8882617</v>
      </c>
      <c r="CY3617">
        <v>1</v>
      </c>
      <c r="CZ3617">
        <v>0</v>
      </c>
      <c r="DA3617">
        <v>1</v>
      </c>
      <c r="DB3617">
        <v>0</v>
      </c>
      <c r="DC3617">
        <v>0</v>
      </c>
      <c r="DD3617">
        <v>0</v>
      </c>
      <c r="DE3617">
        <v>0</v>
      </c>
      <c r="DF3617">
        <v>0</v>
      </c>
      <c r="DG3617">
        <v>0</v>
      </c>
      <c r="DH3617">
        <v>0</v>
      </c>
      <c r="DI3617">
        <v>0</v>
      </c>
    </row>
    <row r="3618" spans="1:113" x14ac:dyDescent="0.3">
      <c r="A3618" t="str">
        <f>"02/08/2021 20:34:25.805"</f>
        <v>02/08/2021 20:34:25.805</v>
      </c>
      <c r="C3618" t="str">
        <f t="shared" si="181"/>
        <v>FFDFD7C0</v>
      </c>
      <c r="D3618" t="s">
        <v>124</v>
      </c>
      <c r="E3618">
        <v>13</v>
      </c>
      <c r="F3618">
        <v>1013</v>
      </c>
      <c r="G3618" t="s">
        <v>114</v>
      </c>
      <c r="J3618" t="s">
        <v>125</v>
      </c>
      <c r="K3618">
        <v>0</v>
      </c>
      <c r="L3618">
        <v>3</v>
      </c>
      <c r="M3618">
        <v>0</v>
      </c>
      <c r="N3618">
        <v>2</v>
      </c>
      <c r="O3618">
        <v>1</v>
      </c>
      <c r="P3618">
        <v>0</v>
      </c>
      <c r="Q3618">
        <v>0</v>
      </c>
      <c r="S3618" t="str">
        <f>"20:34:28.094"</f>
        <v>20:34:28.094</v>
      </c>
      <c r="T3618" t="str">
        <f>"20:34:27.694"</f>
        <v>20:34:27.694</v>
      </c>
      <c r="U3618" t="str">
        <f t="shared" si="180"/>
        <v>AB01F4</v>
      </c>
      <c r="V3618">
        <v>0</v>
      </c>
      <c r="W3618">
        <v>0</v>
      </c>
      <c r="X3618">
        <v>2</v>
      </c>
      <c r="Z3618">
        <v>0</v>
      </c>
      <c r="AA3618">
        <v>9</v>
      </c>
      <c r="AB3618">
        <v>3</v>
      </c>
      <c r="AC3618">
        <v>0</v>
      </c>
      <c r="AD3618">
        <v>10</v>
      </c>
      <c r="AE3618">
        <v>0</v>
      </c>
      <c r="AF3618">
        <v>3</v>
      </c>
      <c r="AG3618">
        <v>2</v>
      </c>
      <c r="AH3618">
        <v>0</v>
      </c>
      <c r="AI3618" t="s">
        <v>2057</v>
      </c>
      <c r="AJ3618">
        <v>40.105547999999999</v>
      </c>
      <c r="AK3618" t="s">
        <v>2058</v>
      </c>
      <c r="AL3618">
        <v>-93.014009000000001</v>
      </c>
      <c r="AM3618">
        <v>100</v>
      </c>
      <c r="AN3618">
        <v>1300</v>
      </c>
      <c r="AO3618" t="s">
        <v>118</v>
      </c>
      <c r="AP3618">
        <v>-114</v>
      </c>
      <c r="AQ3618">
        <v>62</v>
      </c>
      <c r="AR3618">
        <v>-64</v>
      </c>
      <c r="AZ3618">
        <v>1200</v>
      </c>
      <c r="BA3618">
        <v>1</v>
      </c>
      <c r="BB3618" t="str">
        <f t="shared" si="178"/>
        <v xml:space="preserve">N8080G  </v>
      </c>
      <c r="BC3618">
        <v>1</v>
      </c>
      <c r="BE3618">
        <v>0</v>
      </c>
      <c r="BF3618">
        <v>0</v>
      </c>
      <c r="BG3618">
        <v>0</v>
      </c>
      <c r="BH3618">
        <v>1350</v>
      </c>
      <c r="BI3618">
        <v>1</v>
      </c>
      <c r="BJ3618">
        <v>1</v>
      </c>
      <c r="BK3618">
        <v>1</v>
      </c>
      <c r="BL3618">
        <v>0</v>
      </c>
      <c r="BO3618">
        <v>0</v>
      </c>
      <c r="BP3618">
        <v>0</v>
      </c>
      <c r="BW3618" t="str">
        <f>"20:34:28.101"</f>
        <v>20:34:28.101</v>
      </c>
      <c r="BZ3618">
        <v>0</v>
      </c>
      <c r="CA3618">
        <v>1600</v>
      </c>
      <c r="CB3618">
        <v>224</v>
      </c>
      <c r="CD3618">
        <v>1</v>
      </c>
      <c r="CE3618">
        <v>0</v>
      </c>
      <c r="CF3618">
        <v>0</v>
      </c>
      <c r="CG3618">
        <v>1</v>
      </c>
      <c r="CH3618">
        <v>0</v>
      </c>
      <c r="CI3618">
        <v>0</v>
      </c>
      <c r="CJ3618">
        <v>0</v>
      </c>
      <c r="CK3618">
        <v>2</v>
      </c>
      <c r="CL3618">
        <v>0</v>
      </c>
      <c r="CM3618">
        <v>2</v>
      </c>
      <c r="CN3618">
        <v>0</v>
      </c>
      <c r="CO3618">
        <v>6</v>
      </c>
      <c r="CP3618" t="s">
        <v>119</v>
      </c>
      <c r="CQ3618">
        <v>180</v>
      </c>
      <c r="CR3618">
        <v>2</v>
      </c>
      <c r="CW3618">
        <v>8882617</v>
      </c>
      <c r="CY3618">
        <v>1</v>
      </c>
      <c r="CZ3618">
        <v>0</v>
      </c>
      <c r="DA3618">
        <v>1</v>
      </c>
      <c r="DB3618">
        <v>0</v>
      </c>
      <c r="DC3618">
        <v>0</v>
      </c>
      <c r="DD3618">
        <v>0</v>
      </c>
      <c r="DE3618">
        <v>0</v>
      </c>
      <c r="DF3618">
        <v>0</v>
      </c>
      <c r="DG3618">
        <v>0</v>
      </c>
      <c r="DH3618">
        <v>0</v>
      </c>
      <c r="DI3618">
        <v>0</v>
      </c>
    </row>
    <row r="3619" spans="1:113" x14ac:dyDescent="0.3">
      <c r="A3619" t="str">
        <f>"02/08/2021 20:34:27.186"</f>
        <v>02/08/2021 20:34:27.186</v>
      </c>
      <c r="C3619" t="str">
        <f>"FFDF57C0"</f>
        <v>FFDF57C0</v>
      </c>
      <c r="D3619" t="s">
        <v>124</v>
      </c>
      <c r="E3619">
        <v>11</v>
      </c>
      <c r="F3619">
        <v>1011</v>
      </c>
      <c r="G3619" t="s">
        <v>590</v>
      </c>
      <c r="J3619" t="s">
        <v>125</v>
      </c>
      <c r="K3619">
        <v>0</v>
      </c>
      <c r="L3619">
        <v>3</v>
      </c>
      <c r="M3619">
        <v>0</v>
      </c>
      <c r="N3619">
        <v>2</v>
      </c>
      <c r="O3619">
        <v>1</v>
      </c>
      <c r="P3619">
        <v>0</v>
      </c>
      <c r="Q3619">
        <v>0</v>
      </c>
      <c r="S3619" t="str">
        <f>"20:34:29.523"</f>
        <v>20:34:29.523</v>
      </c>
      <c r="T3619" t="str">
        <f>"20:34:22.323"</f>
        <v>20:34:22.323</v>
      </c>
      <c r="U3619" t="str">
        <f t="shared" si="180"/>
        <v>AB01F4</v>
      </c>
      <c r="V3619">
        <v>0</v>
      </c>
      <c r="W3619">
        <v>0</v>
      </c>
      <c r="X3619">
        <v>2</v>
      </c>
      <c r="Z3619">
        <v>0</v>
      </c>
      <c r="AA3619">
        <v>9</v>
      </c>
      <c r="AB3619">
        <v>3</v>
      </c>
      <c r="AC3619">
        <v>0</v>
      </c>
      <c r="AD3619">
        <v>10</v>
      </c>
      <c r="AE3619">
        <v>0</v>
      </c>
      <c r="AF3619">
        <v>3</v>
      </c>
      <c r="AG3619">
        <v>2</v>
      </c>
      <c r="AH3619">
        <v>0</v>
      </c>
      <c r="AI3619" t="s">
        <v>2059</v>
      </c>
      <c r="AJ3619">
        <v>40.105955999999999</v>
      </c>
      <c r="AK3619" t="s">
        <v>2060</v>
      </c>
      <c r="AL3619">
        <v>-93.014932000000002</v>
      </c>
      <c r="AM3619">
        <v>100</v>
      </c>
      <c r="AN3619">
        <v>1300</v>
      </c>
      <c r="AO3619" t="s">
        <v>118</v>
      </c>
      <c r="AP3619">
        <v>-114</v>
      </c>
      <c r="AQ3619">
        <v>62</v>
      </c>
      <c r="AR3619">
        <v>64</v>
      </c>
      <c r="AZ3619">
        <v>1200</v>
      </c>
      <c r="BA3619">
        <v>1</v>
      </c>
      <c r="BB3619" t="str">
        <f t="shared" si="178"/>
        <v xml:space="preserve">N8080G  </v>
      </c>
      <c r="BC3619">
        <v>1</v>
      </c>
      <c r="BE3619">
        <v>0</v>
      </c>
      <c r="BF3619">
        <v>0</v>
      </c>
      <c r="BG3619">
        <v>0</v>
      </c>
      <c r="BI3619">
        <v>1</v>
      </c>
      <c r="BJ3619">
        <v>1</v>
      </c>
      <c r="BK3619">
        <v>1</v>
      </c>
      <c r="BL3619">
        <v>0</v>
      </c>
      <c r="BO3619">
        <v>0</v>
      </c>
      <c r="BP3619">
        <v>0</v>
      </c>
      <c r="BW3619" t="str">
        <f>"20:34:29.524"</f>
        <v>20:34:29.524</v>
      </c>
      <c r="BZ3619">
        <v>0</v>
      </c>
      <c r="CA3619">
        <v>1600</v>
      </c>
      <c r="CB3619">
        <v>224</v>
      </c>
      <c r="CD3619">
        <v>1</v>
      </c>
      <c r="CE3619">
        <v>0</v>
      </c>
      <c r="CF3619">
        <v>0</v>
      </c>
      <c r="CG3619">
        <v>1</v>
      </c>
      <c r="CH3619">
        <v>0</v>
      </c>
      <c r="CI3619">
        <v>0</v>
      </c>
      <c r="CJ3619">
        <v>0</v>
      </c>
      <c r="CK3619">
        <v>2</v>
      </c>
      <c r="CL3619">
        <v>0</v>
      </c>
      <c r="CM3619">
        <v>2</v>
      </c>
      <c r="CN3619">
        <v>0</v>
      </c>
      <c r="CO3619">
        <v>1</v>
      </c>
      <c r="CP3619" t="s">
        <v>119</v>
      </c>
      <c r="CQ3619">
        <v>179</v>
      </c>
      <c r="CR3619">
        <v>1</v>
      </c>
      <c r="CW3619">
        <v>9357145</v>
      </c>
      <c r="CY3619">
        <v>1</v>
      </c>
      <c r="CZ3619">
        <v>0</v>
      </c>
      <c r="DA3619">
        <v>0</v>
      </c>
      <c r="DB3619">
        <v>0</v>
      </c>
      <c r="DC3619">
        <v>0</v>
      </c>
      <c r="DD3619">
        <v>0</v>
      </c>
      <c r="DE3619">
        <v>0</v>
      </c>
      <c r="DF3619">
        <v>1</v>
      </c>
      <c r="DG3619">
        <v>0</v>
      </c>
      <c r="DH3619">
        <v>0</v>
      </c>
      <c r="DI3619">
        <v>0</v>
      </c>
    </row>
    <row r="3620" spans="1:113" x14ac:dyDescent="0.3">
      <c r="A3620" t="str">
        <f>"02/08/2021 20:34:27.186"</f>
        <v>02/08/2021 20:34:27.186</v>
      </c>
      <c r="C3620" t="str">
        <f>"FFDF57C0"</f>
        <v>FFDF57C0</v>
      </c>
      <c r="D3620" t="s">
        <v>113</v>
      </c>
      <c r="E3620">
        <v>6</v>
      </c>
      <c r="H3620">
        <v>165</v>
      </c>
      <c r="I3620" t="s">
        <v>114</v>
      </c>
      <c r="J3620" t="s">
        <v>115</v>
      </c>
      <c r="K3620">
        <v>0</v>
      </c>
      <c r="L3620">
        <v>3</v>
      </c>
      <c r="M3620">
        <v>0</v>
      </c>
      <c r="N3620">
        <v>2</v>
      </c>
      <c r="O3620">
        <v>1</v>
      </c>
      <c r="P3620">
        <v>0</v>
      </c>
      <c r="Q3620">
        <v>0</v>
      </c>
      <c r="S3620" t="str">
        <f>"20:34:29.523"</f>
        <v>20:34:29.523</v>
      </c>
      <c r="T3620" t="str">
        <f>"20:34:22.323"</f>
        <v>20:34:22.323</v>
      </c>
      <c r="U3620" t="str">
        <f t="shared" si="180"/>
        <v>AB01F4</v>
      </c>
      <c r="V3620">
        <v>0</v>
      </c>
      <c r="W3620">
        <v>0</v>
      </c>
      <c r="X3620">
        <v>2</v>
      </c>
      <c r="Z3620">
        <v>0</v>
      </c>
      <c r="AA3620">
        <v>9</v>
      </c>
      <c r="AB3620">
        <v>3</v>
      </c>
      <c r="AC3620">
        <v>0</v>
      </c>
      <c r="AD3620">
        <v>10</v>
      </c>
      <c r="AE3620">
        <v>0</v>
      </c>
      <c r="AF3620">
        <v>3</v>
      </c>
      <c r="AG3620">
        <v>2</v>
      </c>
      <c r="AH3620">
        <v>0</v>
      </c>
      <c r="AI3620" t="s">
        <v>2059</v>
      </c>
      <c r="AJ3620">
        <v>40.105955999999999</v>
      </c>
      <c r="AK3620" t="s">
        <v>2060</v>
      </c>
      <c r="AL3620">
        <v>-93.014932000000002</v>
      </c>
      <c r="AM3620">
        <v>100</v>
      </c>
      <c r="AN3620">
        <v>1300</v>
      </c>
      <c r="AO3620" t="s">
        <v>118</v>
      </c>
      <c r="AP3620">
        <v>-114</v>
      </c>
      <c r="AQ3620">
        <v>62</v>
      </c>
      <c r="AR3620">
        <v>64</v>
      </c>
      <c r="AZ3620">
        <v>1200</v>
      </c>
      <c r="BA3620">
        <v>1</v>
      </c>
      <c r="BB3620" t="str">
        <f t="shared" si="178"/>
        <v xml:space="preserve">N8080G  </v>
      </c>
      <c r="BC3620">
        <v>1</v>
      </c>
      <c r="BE3620">
        <v>0</v>
      </c>
      <c r="BF3620">
        <v>0</v>
      </c>
      <c r="BG3620">
        <v>0</v>
      </c>
      <c r="BI3620">
        <v>1</v>
      </c>
      <c r="BJ3620">
        <v>1</v>
      </c>
      <c r="BK3620">
        <v>1</v>
      </c>
      <c r="BL3620">
        <v>0</v>
      </c>
      <c r="BO3620">
        <v>0</v>
      </c>
      <c r="BP3620">
        <v>0</v>
      </c>
      <c r="BW3620" t="str">
        <f>"20:34:29.524"</f>
        <v>20:34:29.524</v>
      </c>
      <c r="BZ3620">
        <v>0</v>
      </c>
      <c r="CA3620">
        <v>1600</v>
      </c>
      <c r="CB3620">
        <v>224</v>
      </c>
      <c r="CD3620">
        <v>1</v>
      </c>
      <c r="CE3620">
        <v>0</v>
      </c>
      <c r="CF3620">
        <v>0</v>
      </c>
      <c r="CG3620">
        <v>1</v>
      </c>
      <c r="CH3620">
        <v>0</v>
      </c>
      <c r="CI3620">
        <v>0</v>
      </c>
      <c r="CJ3620">
        <v>0</v>
      </c>
      <c r="CK3620">
        <v>2</v>
      </c>
      <c r="CL3620">
        <v>0</v>
      </c>
      <c r="CM3620">
        <v>2</v>
      </c>
      <c r="CN3620">
        <v>0</v>
      </c>
      <c r="CO3620">
        <v>1</v>
      </c>
      <c r="CP3620" t="s">
        <v>119</v>
      </c>
      <c r="CQ3620">
        <v>179</v>
      </c>
      <c r="CR3620">
        <v>1</v>
      </c>
      <c r="CW3620">
        <v>9357145</v>
      </c>
      <c r="CY3620">
        <v>1</v>
      </c>
      <c r="CZ3620">
        <v>0</v>
      </c>
      <c r="DA3620">
        <v>1</v>
      </c>
      <c r="DB3620">
        <v>0</v>
      </c>
      <c r="DC3620">
        <v>0</v>
      </c>
      <c r="DD3620">
        <v>0</v>
      </c>
      <c r="DE3620">
        <v>0</v>
      </c>
      <c r="DF3620">
        <v>1</v>
      </c>
      <c r="DG3620">
        <v>0</v>
      </c>
      <c r="DH3620">
        <v>0</v>
      </c>
      <c r="DI3620">
        <v>0</v>
      </c>
    </row>
    <row r="3621" spans="1:113" x14ac:dyDescent="0.3">
      <c r="A3621" t="str">
        <f>"02/08/2021 20:34:27.186"</f>
        <v>02/08/2021 20:34:27.186</v>
      </c>
      <c r="C3621" t="str">
        <f>"FFDF57C0"</f>
        <v>FFDF57C0</v>
      </c>
      <c r="D3621" t="s">
        <v>124</v>
      </c>
      <c r="E3621">
        <v>12</v>
      </c>
      <c r="F3621">
        <v>1012</v>
      </c>
      <c r="G3621" t="s">
        <v>675</v>
      </c>
      <c r="J3621" t="s">
        <v>125</v>
      </c>
      <c r="K3621">
        <v>0</v>
      </c>
      <c r="L3621">
        <v>3</v>
      </c>
      <c r="M3621">
        <v>0</v>
      </c>
      <c r="N3621">
        <v>2</v>
      </c>
      <c r="O3621">
        <v>1</v>
      </c>
      <c r="P3621">
        <v>0</v>
      </c>
      <c r="Q3621">
        <v>0</v>
      </c>
      <c r="S3621" t="str">
        <f>"20:34:29.523"</f>
        <v>20:34:29.523</v>
      </c>
      <c r="T3621" t="str">
        <f>"20:34:22.323"</f>
        <v>20:34:22.323</v>
      </c>
      <c r="U3621" t="str">
        <f t="shared" si="180"/>
        <v>AB01F4</v>
      </c>
      <c r="V3621">
        <v>0</v>
      </c>
      <c r="W3621">
        <v>0</v>
      </c>
      <c r="X3621">
        <v>2</v>
      </c>
      <c r="Z3621">
        <v>0</v>
      </c>
      <c r="AA3621">
        <v>9</v>
      </c>
      <c r="AB3621">
        <v>3</v>
      </c>
      <c r="AC3621">
        <v>0</v>
      </c>
      <c r="AD3621">
        <v>10</v>
      </c>
      <c r="AE3621">
        <v>0</v>
      </c>
      <c r="AF3621">
        <v>3</v>
      </c>
      <c r="AG3621">
        <v>2</v>
      </c>
      <c r="AH3621">
        <v>0</v>
      </c>
      <c r="AI3621" t="s">
        <v>2059</v>
      </c>
      <c r="AJ3621">
        <v>40.105955999999999</v>
      </c>
      <c r="AK3621" t="s">
        <v>2060</v>
      </c>
      <c r="AL3621">
        <v>-93.014932000000002</v>
      </c>
      <c r="AM3621">
        <v>100</v>
      </c>
      <c r="AN3621">
        <v>1300</v>
      </c>
      <c r="AO3621" t="s">
        <v>118</v>
      </c>
      <c r="AP3621">
        <v>-114</v>
      </c>
      <c r="AQ3621">
        <v>62</v>
      </c>
      <c r="AR3621">
        <v>64</v>
      </c>
      <c r="AZ3621">
        <v>1200</v>
      </c>
      <c r="BA3621">
        <v>1</v>
      </c>
      <c r="BB3621" t="str">
        <f t="shared" si="178"/>
        <v xml:space="preserve">N8080G  </v>
      </c>
      <c r="BC3621">
        <v>1</v>
      </c>
      <c r="BE3621">
        <v>0</v>
      </c>
      <c r="BF3621">
        <v>0</v>
      </c>
      <c r="BG3621">
        <v>0</v>
      </c>
      <c r="BI3621">
        <v>1</v>
      </c>
      <c r="BJ3621">
        <v>1</v>
      </c>
      <c r="BK3621">
        <v>1</v>
      </c>
      <c r="BL3621">
        <v>0</v>
      </c>
      <c r="BO3621">
        <v>0</v>
      </c>
      <c r="BP3621">
        <v>0</v>
      </c>
      <c r="BW3621" t="str">
        <f>"20:34:29.524"</f>
        <v>20:34:29.524</v>
      </c>
      <c r="BZ3621">
        <v>0</v>
      </c>
      <c r="CA3621">
        <v>1600</v>
      </c>
      <c r="CB3621">
        <v>224</v>
      </c>
      <c r="CD3621">
        <v>1</v>
      </c>
      <c r="CE3621">
        <v>0</v>
      </c>
      <c r="CF3621">
        <v>0</v>
      </c>
      <c r="CG3621">
        <v>1</v>
      </c>
      <c r="CH3621">
        <v>0</v>
      </c>
      <c r="CI3621">
        <v>0</v>
      </c>
      <c r="CJ3621">
        <v>0</v>
      </c>
      <c r="CK3621">
        <v>2</v>
      </c>
      <c r="CL3621">
        <v>0</v>
      </c>
      <c r="CM3621">
        <v>2</v>
      </c>
      <c r="CN3621">
        <v>0</v>
      </c>
      <c r="CO3621">
        <v>1</v>
      </c>
      <c r="CP3621" t="s">
        <v>119</v>
      </c>
      <c r="CQ3621">
        <v>179</v>
      </c>
      <c r="CR3621">
        <v>1</v>
      </c>
      <c r="CW3621">
        <v>9357145</v>
      </c>
      <c r="CY3621">
        <v>1</v>
      </c>
      <c r="CZ3621">
        <v>0</v>
      </c>
      <c r="DA3621">
        <v>1</v>
      </c>
      <c r="DB3621">
        <v>0</v>
      </c>
      <c r="DC3621">
        <v>0</v>
      </c>
      <c r="DD3621">
        <v>0</v>
      </c>
      <c r="DE3621">
        <v>0</v>
      </c>
      <c r="DF3621">
        <v>1</v>
      </c>
      <c r="DG3621">
        <v>0</v>
      </c>
      <c r="DH3621">
        <v>0</v>
      </c>
      <c r="DI3621">
        <v>0</v>
      </c>
    </row>
    <row r="3622" spans="1:113" x14ac:dyDescent="0.3">
      <c r="A3622" t="str">
        <f>"02/08/2021 20:34:27.186"</f>
        <v>02/08/2021 20:34:27.186</v>
      </c>
      <c r="C3622" t="str">
        <f>"FFDF57C0"</f>
        <v>FFDF57C0</v>
      </c>
      <c r="D3622" t="s">
        <v>124</v>
      </c>
      <c r="E3622">
        <v>13</v>
      </c>
      <c r="F3622">
        <v>1013</v>
      </c>
      <c r="G3622" t="s">
        <v>114</v>
      </c>
      <c r="J3622" t="s">
        <v>125</v>
      </c>
      <c r="K3622">
        <v>0</v>
      </c>
      <c r="L3622">
        <v>3</v>
      </c>
      <c r="M3622">
        <v>0</v>
      </c>
      <c r="N3622">
        <v>2</v>
      </c>
      <c r="O3622">
        <v>1</v>
      </c>
      <c r="P3622">
        <v>0</v>
      </c>
      <c r="Q3622">
        <v>0</v>
      </c>
      <c r="S3622" t="str">
        <f>"20:34:29.523"</f>
        <v>20:34:29.523</v>
      </c>
      <c r="T3622" t="str">
        <f>"20:34:22.323"</f>
        <v>20:34:22.323</v>
      </c>
      <c r="U3622" t="str">
        <f t="shared" si="180"/>
        <v>AB01F4</v>
      </c>
      <c r="V3622">
        <v>0</v>
      </c>
      <c r="W3622">
        <v>0</v>
      </c>
      <c r="X3622">
        <v>2</v>
      </c>
      <c r="Z3622">
        <v>0</v>
      </c>
      <c r="AA3622">
        <v>9</v>
      </c>
      <c r="AB3622">
        <v>3</v>
      </c>
      <c r="AC3622">
        <v>0</v>
      </c>
      <c r="AD3622">
        <v>10</v>
      </c>
      <c r="AE3622">
        <v>0</v>
      </c>
      <c r="AF3622">
        <v>3</v>
      </c>
      <c r="AG3622">
        <v>2</v>
      </c>
      <c r="AH3622">
        <v>0</v>
      </c>
      <c r="AI3622" t="s">
        <v>2059</v>
      </c>
      <c r="AJ3622">
        <v>40.105955999999999</v>
      </c>
      <c r="AK3622" t="s">
        <v>2060</v>
      </c>
      <c r="AL3622">
        <v>-93.014932000000002</v>
      </c>
      <c r="AM3622">
        <v>100</v>
      </c>
      <c r="AN3622">
        <v>1300</v>
      </c>
      <c r="AO3622" t="s">
        <v>118</v>
      </c>
      <c r="AP3622">
        <v>-114</v>
      </c>
      <c r="AQ3622">
        <v>62</v>
      </c>
      <c r="AR3622">
        <v>64</v>
      </c>
      <c r="AZ3622">
        <v>1200</v>
      </c>
      <c r="BA3622">
        <v>1</v>
      </c>
      <c r="BB3622" t="str">
        <f t="shared" si="178"/>
        <v xml:space="preserve">N8080G  </v>
      </c>
      <c r="BC3622">
        <v>1</v>
      </c>
      <c r="BE3622">
        <v>0</v>
      </c>
      <c r="BF3622">
        <v>0</v>
      </c>
      <c r="BG3622">
        <v>0</v>
      </c>
      <c r="BI3622">
        <v>1</v>
      </c>
      <c r="BJ3622">
        <v>1</v>
      </c>
      <c r="BK3622">
        <v>1</v>
      </c>
      <c r="BL3622">
        <v>0</v>
      </c>
      <c r="BO3622">
        <v>0</v>
      </c>
      <c r="BP3622">
        <v>0</v>
      </c>
      <c r="BW3622" t="str">
        <f>"20:34:29.524"</f>
        <v>20:34:29.524</v>
      </c>
      <c r="BZ3622">
        <v>0</v>
      </c>
      <c r="CA3622">
        <v>1600</v>
      </c>
      <c r="CB3622">
        <v>224</v>
      </c>
      <c r="CD3622">
        <v>1</v>
      </c>
      <c r="CE3622">
        <v>0</v>
      </c>
      <c r="CF3622">
        <v>0</v>
      </c>
      <c r="CG3622">
        <v>1</v>
      </c>
      <c r="CH3622">
        <v>0</v>
      </c>
      <c r="CI3622">
        <v>0</v>
      </c>
      <c r="CJ3622">
        <v>0</v>
      </c>
      <c r="CK3622">
        <v>2</v>
      </c>
      <c r="CL3622">
        <v>0</v>
      </c>
      <c r="CM3622">
        <v>2</v>
      </c>
      <c r="CN3622">
        <v>0</v>
      </c>
      <c r="CO3622">
        <v>1</v>
      </c>
      <c r="CP3622" t="s">
        <v>119</v>
      </c>
      <c r="CQ3622">
        <v>179</v>
      </c>
      <c r="CR3622">
        <v>1</v>
      </c>
      <c r="CW3622">
        <v>9357145</v>
      </c>
      <c r="CY3622">
        <v>1</v>
      </c>
      <c r="CZ3622">
        <v>0</v>
      </c>
      <c r="DA3622">
        <v>1</v>
      </c>
      <c r="DB3622">
        <v>0</v>
      </c>
      <c r="DC3622">
        <v>0</v>
      </c>
      <c r="DD3622">
        <v>0</v>
      </c>
      <c r="DE3622">
        <v>0</v>
      </c>
      <c r="DF3622">
        <v>1</v>
      </c>
      <c r="DG3622">
        <v>0</v>
      </c>
      <c r="DH3622">
        <v>0</v>
      </c>
      <c r="DI3622">
        <v>0</v>
      </c>
    </row>
    <row r="3623" spans="1:113" x14ac:dyDescent="0.3">
      <c r="A3623" t="str">
        <f>"02/08/2021 20:34:29.210"</f>
        <v>02/08/2021 20:34:29.210</v>
      </c>
      <c r="C3623" t="str">
        <f t="shared" ref="C3623:C3686" si="182">"FFDFD7C0"</f>
        <v>FFDFD7C0</v>
      </c>
      <c r="D3623" t="s">
        <v>113</v>
      </c>
      <c r="E3623">
        <v>6</v>
      </c>
      <c r="H3623">
        <v>165</v>
      </c>
      <c r="I3623" t="s">
        <v>114</v>
      </c>
      <c r="J3623" t="s">
        <v>115</v>
      </c>
      <c r="K3623">
        <v>0</v>
      </c>
      <c r="L3623">
        <v>3</v>
      </c>
      <c r="M3623">
        <v>0</v>
      </c>
      <c r="N3623">
        <v>2</v>
      </c>
      <c r="O3623">
        <v>1</v>
      </c>
      <c r="P3623">
        <v>0</v>
      </c>
      <c r="Q3623">
        <v>0</v>
      </c>
      <c r="S3623" t="str">
        <f>"20:34:31.555"</f>
        <v>20:34:31.555</v>
      </c>
      <c r="T3623" t="str">
        <f>"20:34:31.055"</f>
        <v>20:34:31.055</v>
      </c>
      <c r="U3623" t="str">
        <f t="shared" si="180"/>
        <v>AB01F4</v>
      </c>
      <c r="V3623">
        <v>0</v>
      </c>
      <c r="W3623">
        <v>0</v>
      </c>
      <c r="X3623">
        <v>2</v>
      </c>
      <c r="Z3623">
        <v>0</v>
      </c>
      <c r="AA3623">
        <v>9</v>
      </c>
      <c r="AB3623">
        <v>3</v>
      </c>
      <c r="AC3623">
        <v>0</v>
      </c>
      <c r="AD3623">
        <v>10</v>
      </c>
      <c r="AE3623">
        <v>0</v>
      </c>
      <c r="AF3623">
        <v>3</v>
      </c>
      <c r="AG3623">
        <v>2</v>
      </c>
      <c r="AH3623">
        <v>0</v>
      </c>
      <c r="AI3623" t="s">
        <v>2061</v>
      </c>
      <c r="AJ3623">
        <v>40.106555999999998</v>
      </c>
      <c r="AK3623" t="s">
        <v>2062</v>
      </c>
      <c r="AL3623">
        <v>-93.016347999999994</v>
      </c>
      <c r="AM3623">
        <v>100</v>
      </c>
      <c r="AN3623">
        <v>1300</v>
      </c>
      <c r="AO3623" t="s">
        <v>118</v>
      </c>
      <c r="AP3623">
        <v>-114</v>
      </c>
      <c r="AQ3623">
        <v>62</v>
      </c>
      <c r="AR3623">
        <v>64</v>
      </c>
      <c r="AZ3623">
        <v>1200</v>
      </c>
      <c r="BA3623">
        <v>1</v>
      </c>
      <c r="BB3623" t="str">
        <f t="shared" si="178"/>
        <v xml:space="preserve">N8080G  </v>
      </c>
      <c r="BC3623">
        <v>1</v>
      </c>
      <c r="BE3623">
        <v>0</v>
      </c>
      <c r="BF3623">
        <v>0</v>
      </c>
      <c r="BG3623">
        <v>0</v>
      </c>
      <c r="BH3623">
        <v>1350</v>
      </c>
      <c r="BI3623">
        <v>1</v>
      </c>
      <c r="BJ3623">
        <v>1</v>
      </c>
      <c r="BK3623">
        <v>1</v>
      </c>
      <c r="BL3623">
        <v>0</v>
      </c>
      <c r="BO3623">
        <v>0</v>
      </c>
      <c r="BP3623">
        <v>0</v>
      </c>
      <c r="BW3623" t="str">
        <f>"20:34:31.559"</f>
        <v>20:34:31.559</v>
      </c>
      <c r="BZ3623">
        <v>0</v>
      </c>
      <c r="CA3623">
        <v>1600</v>
      </c>
      <c r="CB3623">
        <v>224</v>
      </c>
      <c r="CD3623">
        <v>1</v>
      </c>
      <c r="CE3623">
        <v>0</v>
      </c>
      <c r="CF3623">
        <v>0</v>
      </c>
      <c r="CG3623">
        <v>1</v>
      </c>
      <c r="CH3623">
        <v>0</v>
      </c>
      <c r="CI3623">
        <v>0</v>
      </c>
      <c r="CJ3623">
        <v>0</v>
      </c>
      <c r="CK3623">
        <v>2</v>
      </c>
      <c r="CL3623">
        <v>0</v>
      </c>
      <c r="CM3623">
        <v>2</v>
      </c>
      <c r="CN3623">
        <v>0</v>
      </c>
      <c r="CO3623">
        <v>6</v>
      </c>
      <c r="CP3623" t="s">
        <v>119</v>
      </c>
      <c r="CQ3623">
        <v>180</v>
      </c>
      <c r="CR3623">
        <v>2</v>
      </c>
      <c r="CW3623">
        <v>8885533</v>
      </c>
      <c r="CY3623">
        <v>1</v>
      </c>
      <c r="CZ3623">
        <v>0</v>
      </c>
      <c r="DA3623">
        <v>0</v>
      </c>
      <c r="DB3623">
        <v>0</v>
      </c>
      <c r="DC3623">
        <v>0</v>
      </c>
      <c r="DD3623">
        <v>0</v>
      </c>
      <c r="DE3623">
        <v>0</v>
      </c>
      <c r="DF3623">
        <v>0</v>
      </c>
      <c r="DG3623">
        <v>0</v>
      </c>
      <c r="DH3623">
        <v>0</v>
      </c>
      <c r="DI3623">
        <v>0</v>
      </c>
    </row>
    <row r="3624" spans="1:113" x14ac:dyDescent="0.3">
      <c r="A3624" t="str">
        <f>"02/08/2021 20:34:29.210"</f>
        <v>02/08/2021 20:34:29.210</v>
      </c>
      <c r="C3624" t="str">
        <f t="shared" si="182"/>
        <v>FFDFD7C0</v>
      </c>
      <c r="D3624" t="s">
        <v>124</v>
      </c>
      <c r="E3624">
        <v>12</v>
      </c>
      <c r="F3624">
        <v>1012</v>
      </c>
      <c r="G3624" t="s">
        <v>675</v>
      </c>
      <c r="J3624" t="s">
        <v>125</v>
      </c>
      <c r="K3624">
        <v>0</v>
      </c>
      <c r="L3624">
        <v>3</v>
      </c>
      <c r="M3624">
        <v>0</v>
      </c>
      <c r="N3624">
        <v>2</v>
      </c>
      <c r="O3624">
        <v>1</v>
      </c>
      <c r="P3624">
        <v>0</v>
      </c>
      <c r="Q3624">
        <v>0</v>
      </c>
      <c r="S3624" t="str">
        <f>"20:34:31.555"</f>
        <v>20:34:31.555</v>
      </c>
      <c r="T3624" t="str">
        <f>"20:34:31.055"</f>
        <v>20:34:31.055</v>
      </c>
      <c r="U3624" t="str">
        <f t="shared" si="180"/>
        <v>AB01F4</v>
      </c>
      <c r="V3624">
        <v>0</v>
      </c>
      <c r="W3624">
        <v>0</v>
      </c>
      <c r="X3624">
        <v>2</v>
      </c>
      <c r="Z3624">
        <v>0</v>
      </c>
      <c r="AA3624">
        <v>9</v>
      </c>
      <c r="AB3624">
        <v>3</v>
      </c>
      <c r="AC3624">
        <v>0</v>
      </c>
      <c r="AD3624">
        <v>10</v>
      </c>
      <c r="AE3624">
        <v>0</v>
      </c>
      <c r="AF3624">
        <v>3</v>
      </c>
      <c r="AG3624">
        <v>2</v>
      </c>
      <c r="AH3624">
        <v>0</v>
      </c>
      <c r="AI3624" t="s">
        <v>2061</v>
      </c>
      <c r="AJ3624">
        <v>40.106555999999998</v>
      </c>
      <c r="AK3624" t="s">
        <v>2062</v>
      </c>
      <c r="AL3624">
        <v>-93.016347999999994</v>
      </c>
      <c r="AM3624">
        <v>100</v>
      </c>
      <c r="AN3624">
        <v>1300</v>
      </c>
      <c r="AO3624" t="s">
        <v>118</v>
      </c>
      <c r="AP3624">
        <v>-114</v>
      </c>
      <c r="AQ3624">
        <v>62</v>
      </c>
      <c r="AR3624">
        <v>64</v>
      </c>
      <c r="AZ3624">
        <v>1200</v>
      </c>
      <c r="BA3624">
        <v>1</v>
      </c>
      <c r="BB3624" t="str">
        <f t="shared" si="178"/>
        <v xml:space="preserve">N8080G  </v>
      </c>
      <c r="BC3624">
        <v>1</v>
      </c>
      <c r="BE3624">
        <v>0</v>
      </c>
      <c r="BF3624">
        <v>0</v>
      </c>
      <c r="BG3624">
        <v>0</v>
      </c>
      <c r="BH3624">
        <v>1350</v>
      </c>
      <c r="BI3624">
        <v>1</v>
      </c>
      <c r="BJ3624">
        <v>1</v>
      </c>
      <c r="BK3624">
        <v>1</v>
      </c>
      <c r="BL3624">
        <v>0</v>
      </c>
      <c r="BO3624">
        <v>0</v>
      </c>
      <c r="BP3624">
        <v>0</v>
      </c>
      <c r="BW3624" t="str">
        <f>"20:34:31.559"</f>
        <v>20:34:31.559</v>
      </c>
      <c r="BZ3624">
        <v>0</v>
      </c>
      <c r="CA3624">
        <v>1600</v>
      </c>
      <c r="CB3624">
        <v>224</v>
      </c>
      <c r="CD3624">
        <v>1</v>
      </c>
      <c r="CE3624">
        <v>0</v>
      </c>
      <c r="CF3624">
        <v>0</v>
      </c>
      <c r="CG3624">
        <v>1</v>
      </c>
      <c r="CH3624">
        <v>0</v>
      </c>
      <c r="CI3624">
        <v>0</v>
      </c>
      <c r="CJ3624">
        <v>0</v>
      </c>
      <c r="CK3624">
        <v>2</v>
      </c>
      <c r="CL3624">
        <v>0</v>
      </c>
      <c r="CM3624">
        <v>2</v>
      </c>
      <c r="CN3624">
        <v>0</v>
      </c>
      <c r="CO3624">
        <v>6</v>
      </c>
      <c r="CP3624" t="s">
        <v>119</v>
      </c>
      <c r="CQ3624">
        <v>180</v>
      </c>
      <c r="CR3624">
        <v>2</v>
      </c>
      <c r="CW3624">
        <v>8885533</v>
      </c>
      <c r="CY3624">
        <v>1</v>
      </c>
      <c r="CZ3624">
        <v>0</v>
      </c>
      <c r="DA3624">
        <v>1</v>
      </c>
      <c r="DB3624">
        <v>0</v>
      </c>
      <c r="DC3624">
        <v>0</v>
      </c>
      <c r="DD3624">
        <v>0</v>
      </c>
      <c r="DE3624">
        <v>0</v>
      </c>
      <c r="DF3624">
        <v>0</v>
      </c>
      <c r="DG3624">
        <v>0</v>
      </c>
      <c r="DH3624">
        <v>0</v>
      </c>
      <c r="DI3624">
        <v>0</v>
      </c>
    </row>
    <row r="3625" spans="1:113" x14ac:dyDescent="0.3">
      <c r="A3625" t="str">
        <f>"02/08/2021 20:34:29.210"</f>
        <v>02/08/2021 20:34:29.210</v>
      </c>
      <c r="C3625" t="str">
        <f t="shared" si="182"/>
        <v>FFDFD7C0</v>
      </c>
      <c r="D3625" t="s">
        <v>124</v>
      </c>
      <c r="E3625">
        <v>13</v>
      </c>
      <c r="F3625">
        <v>1013</v>
      </c>
      <c r="G3625" t="s">
        <v>114</v>
      </c>
      <c r="J3625" t="s">
        <v>125</v>
      </c>
      <c r="K3625">
        <v>0</v>
      </c>
      <c r="L3625">
        <v>3</v>
      </c>
      <c r="M3625">
        <v>0</v>
      </c>
      <c r="N3625">
        <v>2</v>
      </c>
      <c r="O3625">
        <v>1</v>
      </c>
      <c r="P3625">
        <v>0</v>
      </c>
      <c r="Q3625">
        <v>0</v>
      </c>
      <c r="S3625" t="str">
        <f>"20:34:31.555"</f>
        <v>20:34:31.555</v>
      </c>
      <c r="T3625" t="str">
        <f>"20:34:31.055"</f>
        <v>20:34:31.055</v>
      </c>
      <c r="U3625" t="str">
        <f t="shared" si="180"/>
        <v>AB01F4</v>
      </c>
      <c r="V3625">
        <v>0</v>
      </c>
      <c r="W3625">
        <v>0</v>
      </c>
      <c r="X3625">
        <v>2</v>
      </c>
      <c r="Z3625">
        <v>0</v>
      </c>
      <c r="AA3625">
        <v>9</v>
      </c>
      <c r="AB3625">
        <v>3</v>
      </c>
      <c r="AC3625">
        <v>0</v>
      </c>
      <c r="AD3625">
        <v>10</v>
      </c>
      <c r="AE3625">
        <v>0</v>
      </c>
      <c r="AF3625">
        <v>3</v>
      </c>
      <c r="AG3625">
        <v>2</v>
      </c>
      <c r="AH3625">
        <v>0</v>
      </c>
      <c r="AI3625" t="s">
        <v>2061</v>
      </c>
      <c r="AJ3625">
        <v>40.106555999999998</v>
      </c>
      <c r="AK3625" t="s">
        <v>2062</v>
      </c>
      <c r="AL3625">
        <v>-93.016347999999994</v>
      </c>
      <c r="AM3625">
        <v>100</v>
      </c>
      <c r="AN3625">
        <v>1300</v>
      </c>
      <c r="AO3625" t="s">
        <v>118</v>
      </c>
      <c r="AP3625">
        <v>-114</v>
      </c>
      <c r="AQ3625">
        <v>62</v>
      </c>
      <c r="AR3625">
        <v>64</v>
      </c>
      <c r="AZ3625">
        <v>1200</v>
      </c>
      <c r="BA3625">
        <v>1</v>
      </c>
      <c r="BB3625" t="str">
        <f t="shared" si="178"/>
        <v xml:space="preserve">N8080G  </v>
      </c>
      <c r="BC3625">
        <v>1</v>
      </c>
      <c r="BE3625">
        <v>0</v>
      </c>
      <c r="BF3625">
        <v>0</v>
      </c>
      <c r="BG3625">
        <v>0</v>
      </c>
      <c r="BH3625">
        <v>1350</v>
      </c>
      <c r="BI3625">
        <v>1</v>
      </c>
      <c r="BJ3625">
        <v>1</v>
      </c>
      <c r="BK3625">
        <v>1</v>
      </c>
      <c r="BL3625">
        <v>0</v>
      </c>
      <c r="BO3625">
        <v>0</v>
      </c>
      <c r="BP3625">
        <v>0</v>
      </c>
      <c r="BW3625" t="str">
        <f>"20:34:31.559"</f>
        <v>20:34:31.559</v>
      </c>
      <c r="BZ3625">
        <v>0</v>
      </c>
      <c r="CA3625">
        <v>1600</v>
      </c>
      <c r="CB3625">
        <v>224</v>
      </c>
      <c r="CD3625">
        <v>1</v>
      </c>
      <c r="CE3625">
        <v>0</v>
      </c>
      <c r="CF3625">
        <v>0</v>
      </c>
      <c r="CG3625">
        <v>1</v>
      </c>
      <c r="CH3625">
        <v>0</v>
      </c>
      <c r="CI3625">
        <v>0</v>
      </c>
      <c r="CJ3625">
        <v>0</v>
      </c>
      <c r="CK3625">
        <v>2</v>
      </c>
      <c r="CL3625">
        <v>0</v>
      </c>
      <c r="CM3625">
        <v>2</v>
      </c>
      <c r="CN3625">
        <v>0</v>
      </c>
      <c r="CO3625">
        <v>6</v>
      </c>
      <c r="CP3625" t="s">
        <v>119</v>
      </c>
      <c r="CQ3625">
        <v>180</v>
      </c>
      <c r="CR3625">
        <v>2</v>
      </c>
      <c r="CW3625">
        <v>8885533</v>
      </c>
      <c r="CY3625">
        <v>1</v>
      </c>
      <c r="CZ3625">
        <v>0</v>
      </c>
      <c r="DA3625">
        <v>1</v>
      </c>
      <c r="DB3625">
        <v>0</v>
      </c>
      <c r="DC3625">
        <v>0</v>
      </c>
      <c r="DD3625">
        <v>0</v>
      </c>
      <c r="DE3625">
        <v>0</v>
      </c>
      <c r="DF3625">
        <v>0</v>
      </c>
      <c r="DG3625">
        <v>0</v>
      </c>
      <c r="DH3625">
        <v>0</v>
      </c>
      <c r="DI3625">
        <v>0</v>
      </c>
    </row>
    <row r="3626" spans="1:113" x14ac:dyDescent="0.3">
      <c r="A3626" t="str">
        <f>"02/08/2021 20:34:29.210"</f>
        <v>02/08/2021 20:34:29.210</v>
      </c>
      <c r="C3626" t="str">
        <f t="shared" si="182"/>
        <v>FFDFD7C0</v>
      </c>
      <c r="D3626" t="s">
        <v>124</v>
      </c>
      <c r="E3626">
        <v>11</v>
      </c>
      <c r="F3626">
        <v>1011</v>
      </c>
      <c r="G3626" t="s">
        <v>590</v>
      </c>
      <c r="J3626" t="s">
        <v>125</v>
      </c>
      <c r="K3626">
        <v>0</v>
      </c>
      <c r="L3626">
        <v>3</v>
      </c>
      <c r="M3626">
        <v>0</v>
      </c>
      <c r="N3626">
        <v>2</v>
      </c>
      <c r="O3626">
        <v>1</v>
      </c>
      <c r="P3626">
        <v>0</v>
      </c>
      <c r="Q3626">
        <v>0</v>
      </c>
      <c r="S3626" t="str">
        <f>"20:34:31.555"</f>
        <v>20:34:31.555</v>
      </c>
      <c r="T3626" t="str">
        <f>"20:34:31.055"</f>
        <v>20:34:31.055</v>
      </c>
      <c r="U3626" t="str">
        <f t="shared" si="180"/>
        <v>AB01F4</v>
      </c>
      <c r="V3626">
        <v>0</v>
      </c>
      <c r="W3626">
        <v>0</v>
      </c>
      <c r="X3626">
        <v>2</v>
      </c>
      <c r="Z3626">
        <v>0</v>
      </c>
      <c r="AA3626">
        <v>9</v>
      </c>
      <c r="AB3626">
        <v>3</v>
      </c>
      <c r="AC3626">
        <v>0</v>
      </c>
      <c r="AD3626">
        <v>10</v>
      </c>
      <c r="AE3626">
        <v>0</v>
      </c>
      <c r="AF3626">
        <v>3</v>
      </c>
      <c r="AG3626">
        <v>2</v>
      </c>
      <c r="AH3626">
        <v>0</v>
      </c>
      <c r="AI3626" t="s">
        <v>2061</v>
      </c>
      <c r="AJ3626">
        <v>40.106555999999998</v>
      </c>
      <c r="AK3626" t="s">
        <v>2062</v>
      </c>
      <c r="AL3626">
        <v>-93.016347999999994</v>
      </c>
      <c r="AM3626">
        <v>100</v>
      </c>
      <c r="AN3626">
        <v>1300</v>
      </c>
      <c r="AO3626" t="s">
        <v>118</v>
      </c>
      <c r="AP3626">
        <v>-114</v>
      </c>
      <c r="AQ3626">
        <v>62</v>
      </c>
      <c r="AR3626">
        <v>64</v>
      </c>
      <c r="AZ3626">
        <v>1200</v>
      </c>
      <c r="BA3626">
        <v>1</v>
      </c>
      <c r="BB3626" t="str">
        <f t="shared" si="178"/>
        <v xml:space="preserve">N8080G  </v>
      </c>
      <c r="BC3626">
        <v>1</v>
      </c>
      <c r="BE3626">
        <v>0</v>
      </c>
      <c r="BF3626">
        <v>0</v>
      </c>
      <c r="BG3626">
        <v>0</v>
      </c>
      <c r="BH3626">
        <v>1350</v>
      </c>
      <c r="BI3626">
        <v>1</v>
      </c>
      <c r="BJ3626">
        <v>1</v>
      </c>
      <c r="BK3626">
        <v>1</v>
      </c>
      <c r="BL3626">
        <v>0</v>
      </c>
      <c r="BO3626">
        <v>0</v>
      </c>
      <c r="BP3626">
        <v>0</v>
      </c>
      <c r="BW3626" t="str">
        <f>"20:34:31.559"</f>
        <v>20:34:31.559</v>
      </c>
      <c r="BZ3626">
        <v>0</v>
      </c>
      <c r="CA3626">
        <v>1600</v>
      </c>
      <c r="CB3626">
        <v>224</v>
      </c>
      <c r="CD3626">
        <v>1</v>
      </c>
      <c r="CE3626">
        <v>0</v>
      </c>
      <c r="CF3626">
        <v>0</v>
      </c>
      <c r="CG3626">
        <v>1</v>
      </c>
      <c r="CH3626">
        <v>0</v>
      </c>
      <c r="CI3626">
        <v>0</v>
      </c>
      <c r="CJ3626">
        <v>0</v>
      </c>
      <c r="CK3626">
        <v>2</v>
      </c>
      <c r="CL3626">
        <v>0</v>
      </c>
      <c r="CM3626">
        <v>2</v>
      </c>
      <c r="CN3626">
        <v>0</v>
      </c>
      <c r="CO3626">
        <v>6</v>
      </c>
      <c r="CP3626" t="s">
        <v>119</v>
      </c>
      <c r="CQ3626">
        <v>180</v>
      </c>
      <c r="CR3626">
        <v>2</v>
      </c>
      <c r="CW3626">
        <v>8885533</v>
      </c>
      <c r="CY3626">
        <v>1</v>
      </c>
      <c r="CZ3626">
        <v>0</v>
      </c>
      <c r="DA3626">
        <v>1</v>
      </c>
      <c r="DB3626">
        <v>0</v>
      </c>
      <c r="DC3626">
        <v>0</v>
      </c>
      <c r="DD3626">
        <v>0</v>
      </c>
      <c r="DE3626">
        <v>0</v>
      </c>
      <c r="DF3626">
        <v>0</v>
      </c>
      <c r="DG3626">
        <v>0</v>
      </c>
      <c r="DH3626">
        <v>0</v>
      </c>
      <c r="DI3626">
        <v>0</v>
      </c>
    </row>
    <row r="3627" spans="1:113" x14ac:dyDescent="0.3">
      <c r="A3627" t="str">
        <f>"02/08/2021 20:34:30.830"</f>
        <v>02/08/2021 20:34:30.830</v>
      </c>
      <c r="C3627" t="str">
        <f t="shared" si="182"/>
        <v>FFDFD7C0</v>
      </c>
      <c r="D3627" t="s">
        <v>124</v>
      </c>
      <c r="E3627">
        <v>12</v>
      </c>
      <c r="F3627">
        <v>1012</v>
      </c>
      <c r="G3627" t="s">
        <v>675</v>
      </c>
      <c r="J3627" t="s">
        <v>125</v>
      </c>
      <c r="K3627">
        <v>0</v>
      </c>
      <c r="L3627">
        <v>3</v>
      </c>
      <c r="M3627">
        <v>0</v>
      </c>
      <c r="N3627">
        <v>2</v>
      </c>
      <c r="O3627">
        <v>1</v>
      </c>
      <c r="P3627">
        <v>0</v>
      </c>
      <c r="Q3627">
        <v>0</v>
      </c>
      <c r="S3627" t="str">
        <f>"20:34:33.141"</f>
        <v>20:34:33.141</v>
      </c>
      <c r="T3627" t="str">
        <f>"20:34:32.641"</f>
        <v>20:34:32.641</v>
      </c>
      <c r="U3627" t="str">
        <f t="shared" si="180"/>
        <v>AB01F4</v>
      </c>
      <c r="V3627">
        <v>0</v>
      </c>
      <c r="W3627">
        <v>0</v>
      </c>
      <c r="X3627">
        <v>2</v>
      </c>
      <c r="Z3627">
        <v>0</v>
      </c>
      <c r="AA3627">
        <v>9</v>
      </c>
      <c r="AB3627">
        <v>3</v>
      </c>
      <c r="AC3627">
        <v>0</v>
      </c>
      <c r="AD3627">
        <v>10</v>
      </c>
      <c r="AE3627">
        <v>0</v>
      </c>
      <c r="AF3627">
        <v>3</v>
      </c>
      <c r="AG3627">
        <v>2</v>
      </c>
      <c r="AH3627">
        <v>0</v>
      </c>
      <c r="AI3627" t="s">
        <v>2063</v>
      </c>
      <c r="AJ3627">
        <v>40.107007000000003</v>
      </c>
      <c r="AK3627" t="s">
        <v>2064</v>
      </c>
      <c r="AL3627">
        <v>-93.017464000000004</v>
      </c>
      <c r="AM3627">
        <v>100</v>
      </c>
      <c r="AN3627">
        <v>1300</v>
      </c>
      <c r="AO3627" t="s">
        <v>118</v>
      </c>
      <c r="AP3627">
        <v>-114</v>
      </c>
      <c r="AQ3627">
        <v>62</v>
      </c>
      <c r="AR3627">
        <v>64</v>
      </c>
      <c r="AZ3627">
        <v>1200</v>
      </c>
      <c r="BA3627">
        <v>1</v>
      </c>
      <c r="BB3627" t="str">
        <f t="shared" si="178"/>
        <v xml:space="preserve">N8080G  </v>
      </c>
      <c r="BC3627">
        <v>1</v>
      </c>
      <c r="BE3627">
        <v>0</v>
      </c>
      <c r="BF3627">
        <v>0</v>
      </c>
      <c r="BG3627">
        <v>0</v>
      </c>
      <c r="BH3627">
        <v>1350</v>
      </c>
      <c r="BI3627">
        <v>1</v>
      </c>
      <c r="BJ3627">
        <v>1</v>
      </c>
      <c r="BK3627">
        <v>1</v>
      </c>
      <c r="BL3627">
        <v>0</v>
      </c>
      <c r="BO3627">
        <v>0</v>
      </c>
      <c r="BP3627">
        <v>0</v>
      </c>
      <c r="BW3627" t="str">
        <f>"20:34:33.143"</f>
        <v>20:34:33.143</v>
      </c>
      <c r="BZ3627">
        <v>0</v>
      </c>
      <c r="CA3627">
        <v>1600</v>
      </c>
      <c r="CB3627">
        <v>224</v>
      </c>
      <c r="CD3627">
        <v>1</v>
      </c>
      <c r="CE3627">
        <v>0</v>
      </c>
      <c r="CF3627">
        <v>0</v>
      </c>
      <c r="CG3627">
        <v>1</v>
      </c>
      <c r="CH3627">
        <v>0</v>
      </c>
      <c r="CI3627">
        <v>0</v>
      </c>
      <c r="CJ3627">
        <v>0</v>
      </c>
      <c r="CK3627">
        <v>2</v>
      </c>
      <c r="CL3627">
        <v>0</v>
      </c>
      <c r="CM3627">
        <v>2</v>
      </c>
      <c r="CN3627">
        <v>0</v>
      </c>
      <c r="CO3627">
        <v>6</v>
      </c>
      <c r="CP3627" t="s">
        <v>119</v>
      </c>
      <c r="CQ3627">
        <v>180</v>
      </c>
      <c r="CR3627">
        <v>3</v>
      </c>
      <c r="CW3627">
        <v>1220610</v>
      </c>
      <c r="CY3627">
        <v>1</v>
      </c>
      <c r="CZ3627">
        <v>0</v>
      </c>
      <c r="DA3627">
        <v>0</v>
      </c>
      <c r="DB3627">
        <v>0</v>
      </c>
      <c r="DC3627">
        <v>0</v>
      </c>
      <c r="DD3627">
        <v>0</v>
      </c>
      <c r="DE3627">
        <v>0</v>
      </c>
      <c r="DF3627">
        <v>0</v>
      </c>
      <c r="DG3627">
        <v>0</v>
      </c>
      <c r="DH3627">
        <v>0</v>
      </c>
      <c r="DI3627">
        <v>0</v>
      </c>
    </row>
    <row r="3628" spans="1:113" x14ac:dyDescent="0.3">
      <c r="A3628" t="str">
        <f>"02/08/2021 20:34:30.830"</f>
        <v>02/08/2021 20:34:30.830</v>
      </c>
      <c r="C3628" t="str">
        <f t="shared" si="182"/>
        <v>FFDFD7C0</v>
      </c>
      <c r="D3628" t="s">
        <v>124</v>
      </c>
      <c r="E3628">
        <v>13</v>
      </c>
      <c r="F3628">
        <v>1013</v>
      </c>
      <c r="G3628" t="s">
        <v>114</v>
      </c>
      <c r="J3628" t="s">
        <v>125</v>
      </c>
      <c r="K3628">
        <v>0</v>
      </c>
      <c r="L3628">
        <v>3</v>
      </c>
      <c r="M3628">
        <v>0</v>
      </c>
      <c r="N3628">
        <v>2</v>
      </c>
      <c r="O3628">
        <v>1</v>
      </c>
      <c r="P3628">
        <v>0</v>
      </c>
      <c r="Q3628">
        <v>0</v>
      </c>
      <c r="S3628" t="str">
        <f>"20:34:33.141"</f>
        <v>20:34:33.141</v>
      </c>
      <c r="T3628" t="str">
        <f>"20:34:32.641"</f>
        <v>20:34:32.641</v>
      </c>
      <c r="U3628" t="str">
        <f t="shared" si="180"/>
        <v>AB01F4</v>
      </c>
      <c r="V3628">
        <v>0</v>
      </c>
      <c r="W3628">
        <v>0</v>
      </c>
      <c r="X3628">
        <v>2</v>
      </c>
      <c r="Z3628">
        <v>0</v>
      </c>
      <c r="AA3628">
        <v>9</v>
      </c>
      <c r="AB3628">
        <v>3</v>
      </c>
      <c r="AC3628">
        <v>0</v>
      </c>
      <c r="AD3628">
        <v>10</v>
      </c>
      <c r="AE3628">
        <v>0</v>
      </c>
      <c r="AF3628">
        <v>3</v>
      </c>
      <c r="AG3628">
        <v>2</v>
      </c>
      <c r="AH3628">
        <v>0</v>
      </c>
      <c r="AI3628" t="s">
        <v>2063</v>
      </c>
      <c r="AJ3628">
        <v>40.107007000000003</v>
      </c>
      <c r="AK3628" t="s">
        <v>2064</v>
      </c>
      <c r="AL3628">
        <v>-93.017464000000004</v>
      </c>
      <c r="AM3628">
        <v>100</v>
      </c>
      <c r="AN3628">
        <v>1300</v>
      </c>
      <c r="AO3628" t="s">
        <v>118</v>
      </c>
      <c r="AP3628">
        <v>-114</v>
      </c>
      <c r="AQ3628">
        <v>62</v>
      </c>
      <c r="AR3628">
        <v>64</v>
      </c>
      <c r="AZ3628">
        <v>1200</v>
      </c>
      <c r="BA3628">
        <v>1</v>
      </c>
      <c r="BB3628" t="str">
        <f t="shared" si="178"/>
        <v xml:space="preserve">N8080G  </v>
      </c>
      <c r="BC3628">
        <v>1</v>
      </c>
      <c r="BE3628">
        <v>0</v>
      </c>
      <c r="BF3628">
        <v>0</v>
      </c>
      <c r="BG3628">
        <v>0</v>
      </c>
      <c r="BH3628">
        <v>1350</v>
      </c>
      <c r="BI3628">
        <v>1</v>
      </c>
      <c r="BJ3628">
        <v>1</v>
      </c>
      <c r="BK3628">
        <v>1</v>
      </c>
      <c r="BL3628">
        <v>0</v>
      </c>
      <c r="BO3628">
        <v>0</v>
      </c>
      <c r="BP3628">
        <v>0</v>
      </c>
      <c r="BW3628" t="str">
        <f>"20:34:33.143"</f>
        <v>20:34:33.143</v>
      </c>
      <c r="BZ3628">
        <v>0</v>
      </c>
      <c r="CA3628">
        <v>1600</v>
      </c>
      <c r="CB3628">
        <v>224</v>
      </c>
      <c r="CD3628">
        <v>1</v>
      </c>
      <c r="CE3628">
        <v>0</v>
      </c>
      <c r="CF3628">
        <v>0</v>
      </c>
      <c r="CG3628">
        <v>1</v>
      </c>
      <c r="CH3628">
        <v>0</v>
      </c>
      <c r="CI3628">
        <v>0</v>
      </c>
      <c r="CJ3628">
        <v>0</v>
      </c>
      <c r="CK3628">
        <v>2</v>
      </c>
      <c r="CL3628">
        <v>0</v>
      </c>
      <c r="CM3628">
        <v>2</v>
      </c>
      <c r="CN3628">
        <v>0</v>
      </c>
      <c r="CO3628">
        <v>6</v>
      </c>
      <c r="CP3628" t="s">
        <v>119</v>
      </c>
      <c r="CQ3628">
        <v>180</v>
      </c>
      <c r="CR3628">
        <v>3</v>
      </c>
      <c r="CW3628">
        <v>1220610</v>
      </c>
      <c r="CY3628">
        <v>1</v>
      </c>
      <c r="CZ3628">
        <v>0</v>
      </c>
      <c r="DA3628">
        <v>1</v>
      </c>
      <c r="DB3628">
        <v>0</v>
      </c>
      <c r="DC3628">
        <v>0</v>
      </c>
      <c r="DD3628">
        <v>0</v>
      </c>
      <c r="DE3628">
        <v>0</v>
      </c>
      <c r="DF3628">
        <v>0</v>
      </c>
      <c r="DG3628">
        <v>0</v>
      </c>
      <c r="DH3628">
        <v>0</v>
      </c>
      <c r="DI3628">
        <v>0</v>
      </c>
    </row>
    <row r="3629" spans="1:113" x14ac:dyDescent="0.3">
      <c r="A3629" t="str">
        <f>"02/08/2021 20:34:30.830"</f>
        <v>02/08/2021 20:34:30.830</v>
      </c>
      <c r="C3629" t="str">
        <f t="shared" si="182"/>
        <v>FFDFD7C0</v>
      </c>
      <c r="D3629" t="s">
        <v>124</v>
      </c>
      <c r="E3629">
        <v>11</v>
      </c>
      <c r="F3629">
        <v>1011</v>
      </c>
      <c r="G3629" t="s">
        <v>590</v>
      </c>
      <c r="J3629" t="s">
        <v>125</v>
      </c>
      <c r="K3629">
        <v>0</v>
      </c>
      <c r="L3629">
        <v>3</v>
      </c>
      <c r="M3629">
        <v>0</v>
      </c>
      <c r="N3629">
        <v>2</v>
      </c>
      <c r="O3629">
        <v>1</v>
      </c>
      <c r="P3629">
        <v>0</v>
      </c>
      <c r="Q3629">
        <v>0</v>
      </c>
      <c r="S3629" t="str">
        <f>"20:34:33.141"</f>
        <v>20:34:33.141</v>
      </c>
      <c r="T3629" t="str">
        <f>"20:34:32.641"</f>
        <v>20:34:32.641</v>
      </c>
      <c r="U3629" t="str">
        <f t="shared" si="180"/>
        <v>AB01F4</v>
      </c>
      <c r="V3629">
        <v>0</v>
      </c>
      <c r="W3629">
        <v>0</v>
      </c>
      <c r="X3629">
        <v>2</v>
      </c>
      <c r="Z3629">
        <v>0</v>
      </c>
      <c r="AA3629">
        <v>9</v>
      </c>
      <c r="AB3629">
        <v>3</v>
      </c>
      <c r="AC3629">
        <v>0</v>
      </c>
      <c r="AD3629">
        <v>10</v>
      </c>
      <c r="AE3629">
        <v>0</v>
      </c>
      <c r="AF3629">
        <v>3</v>
      </c>
      <c r="AG3629">
        <v>2</v>
      </c>
      <c r="AH3629">
        <v>0</v>
      </c>
      <c r="AI3629" t="s">
        <v>2063</v>
      </c>
      <c r="AJ3629">
        <v>40.107007000000003</v>
      </c>
      <c r="AK3629" t="s">
        <v>2064</v>
      </c>
      <c r="AL3629">
        <v>-93.017464000000004</v>
      </c>
      <c r="AM3629">
        <v>100</v>
      </c>
      <c r="AN3629">
        <v>1300</v>
      </c>
      <c r="AO3629" t="s">
        <v>118</v>
      </c>
      <c r="AP3629">
        <v>-114</v>
      </c>
      <c r="AQ3629">
        <v>62</v>
      </c>
      <c r="AR3629">
        <v>64</v>
      </c>
      <c r="AZ3629">
        <v>1200</v>
      </c>
      <c r="BA3629">
        <v>1</v>
      </c>
      <c r="BB3629" t="str">
        <f t="shared" si="178"/>
        <v xml:space="preserve">N8080G  </v>
      </c>
      <c r="BC3629">
        <v>1</v>
      </c>
      <c r="BE3629">
        <v>0</v>
      </c>
      <c r="BF3629">
        <v>0</v>
      </c>
      <c r="BG3629">
        <v>0</v>
      </c>
      <c r="BH3629">
        <v>1350</v>
      </c>
      <c r="BI3629">
        <v>1</v>
      </c>
      <c r="BJ3629">
        <v>1</v>
      </c>
      <c r="BK3629">
        <v>1</v>
      </c>
      <c r="BL3629">
        <v>0</v>
      </c>
      <c r="BO3629">
        <v>0</v>
      </c>
      <c r="BP3629">
        <v>0</v>
      </c>
      <c r="BW3629" t="str">
        <f>"20:34:33.143"</f>
        <v>20:34:33.143</v>
      </c>
      <c r="BZ3629">
        <v>0</v>
      </c>
      <c r="CA3629">
        <v>1600</v>
      </c>
      <c r="CB3629">
        <v>224</v>
      </c>
      <c r="CD3629">
        <v>1</v>
      </c>
      <c r="CE3629">
        <v>0</v>
      </c>
      <c r="CF3629">
        <v>0</v>
      </c>
      <c r="CG3629">
        <v>1</v>
      </c>
      <c r="CH3629">
        <v>0</v>
      </c>
      <c r="CI3629">
        <v>0</v>
      </c>
      <c r="CJ3629">
        <v>0</v>
      </c>
      <c r="CK3629">
        <v>2</v>
      </c>
      <c r="CL3629">
        <v>0</v>
      </c>
      <c r="CM3629">
        <v>2</v>
      </c>
      <c r="CN3629">
        <v>0</v>
      </c>
      <c r="CO3629">
        <v>6</v>
      </c>
      <c r="CP3629" t="s">
        <v>119</v>
      </c>
      <c r="CQ3629">
        <v>180</v>
      </c>
      <c r="CR3629">
        <v>3</v>
      </c>
      <c r="CW3629">
        <v>1220610</v>
      </c>
      <c r="CY3629">
        <v>1</v>
      </c>
      <c r="CZ3629">
        <v>0</v>
      </c>
      <c r="DA3629">
        <v>1</v>
      </c>
      <c r="DB3629">
        <v>0</v>
      </c>
      <c r="DC3629">
        <v>0</v>
      </c>
      <c r="DD3629">
        <v>0</v>
      </c>
      <c r="DE3629">
        <v>0</v>
      </c>
      <c r="DF3629">
        <v>0</v>
      </c>
      <c r="DG3629">
        <v>0</v>
      </c>
      <c r="DH3629">
        <v>0</v>
      </c>
      <c r="DI3629">
        <v>0</v>
      </c>
    </row>
    <row r="3630" spans="1:113" x14ac:dyDescent="0.3">
      <c r="A3630" t="str">
        <f>"02/08/2021 20:34:30.830"</f>
        <v>02/08/2021 20:34:30.830</v>
      </c>
      <c r="C3630" t="str">
        <f t="shared" si="182"/>
        <v>FFDFD7C0</v>
      </c>
      <c r="D3630" t="s">
        <v>113</v>
      </c>
      <c r="E3630">
        <v>6</v>
      </c>
      <c r="H3630">
        <v>165</v>
      </c>
      <c r="I3630" t="s">
        <v>114</v>
      </c>
      <c r="J3630" t="s">
        <v>115</v>
      </c>
      <c r="K3630">
        <v>0</v>
      </c>
      <c r="L3630">
        <v>3</v>
      </c>
      <c r="M3630">
        <v>0</v>
      </c>
      <c r="N3630">
        <v>2</v>
      </c>
      <c r="O3630">
        <v>1</v>
      </c>
      <c r="P3630">
        <v>0</v>
      </c>
      <c r="Q3630">
        <v>0</v>
      </c>
      <c r="S3630" t="str">
        <f>"20:34:33.141"</f>
        <v>20:34:33.141</v>
      </c>
      <c r="T3630" t="str">
        <f>"20:34:32.641"</f>
        <v>20:34:32.641</v>
      </c>
      <c r="U3630" t="str">
        <f t="shared" si="180"/>
        <v>AB01F4</v>
      </c>
      <c r="V3630">
        <v>0</v>
      </c>
      <c r="W3630">
        <v>0</v>
      </c>
      <c r="X3630">
        <v>2</v>
      </c>
      <c r="Z3630">
        <v>0</v>
      </c>
      <c r="AA3630">
        <v>9</v>
      </c>
      <c r="AB3630">
        <v>3</v>
      </c>
      <c r="AC3630">
        <v>0</v>
      </c>
      <c r="AD3630">
        <v>10</v>
      </c>
      <c r="AE3630">
        <v>0</v>
      </c>
      <c r="AF3630">
        <v>3</v>
      </c>
      <c r="AG3630">
        <v>2</v>
      </c>
      <c r="AH3630">
        <v>0</v>
      </c>
      <c r="AI3630" t="s">
        <v>2063</v>
      </c>
      <c r="AJ3630">
        <v>40.107007000000003</v>
      </c>
      <c r="AK3630" t="s">
        <v>2064</v>
      </c>
      <c r="AL3630">
        <v>-93.017464000000004</v>
      </c>
      <c r="AM3630">
        <v>100</v>
      </c>
      <c r="AN3630">
        <v>1300</v>
      </c>
      <c r="AO3630" t="s">
        <v>118</v>
      </c>
      <c r="AP3630">
        <v>-114</v>
      </c>
      <c r="AQ3630">
        <v>62</v>
      </c>
      <c r="AR3630">
        <v>64</v>
      </c>
      <c r="AZ3630">
        <v>1200</v>
      </c>
      <c r="BA3630">
        <v>1</v>
      </c>
      <c r="BB3630" t="str">
        <f t="shared" si="178"/>
        <v xml:space="preserve">N8080G  </v>
      </c>
      <c r="BC3630">
        <v>1</v>
      </c>
      <c r="BE3630">
        <v>0</v>
      </c>
      <c r="BF3630">
        <v>0</v>
      </c>
      <c r="BG3630">
        <v>0</v>
      </c>
      <c r="BH3630">
        <v>1350</v>
      </c>
      <c r="BI3630">
        <v>1</v>
      </c>
      <c r="BJ3630">
        <v>1</v>
      </c>
      <c r="BK3630">
        <v>1</v>
      </c>
      <c r="BL3630">
        <v>0</v>
      </c>
      <c r="BO3630">
        <v>0</v>
      </c>
      <c r="BP3630">
        <v>0</v>
      </c>
      <c r="BW3630" t="str">
        <f>"20:34:33.143"</f>
        <v>20:34:33.143</v>
      </c>
      <c r="BZ3630">
        <v>0</v>
      </c>
      <c r="CA3630">
        <v>1600</v>
      </c>
      <c r="CB3630">
        <v>224</v>
      </c>
      <c r="CD3630">
        <v>1</v>
      </c>
      <c r="CE3630">
        <v>0</v>
      </c>
      <c r="CF3630">
        <v>0</v>
      </c>
      <c r="CG3630">
        <v>1</v>
      </c>
      <c r="CH3630">
        <v>0</v>
      </c>
      <c r="CI3630">
        <v>0</v>
      </c>
      <c r="CJ3630">
        <v>0</v>
      </c>
      <c r="CK3630">
        <v>2</v>
      </c>
      <c r="CL3630">
        <v>0</v>
      </c>
      <c r="CM3630">
        <v>2</v>
      </c>
      <c r="CN3630">
        <v>0</v>
      </c>
      <c r="CO3630">
        <v>6</v>
      </c>
      <c r="CP3630" t="s">
        <v>119</v>
      </c>
      <c r="CQ3630">
        <v>180</v>
      </c>
      <c r="CR3630">
        <v>3</v>
      </c>
      <c r="CW3630">
        <v>1220610</v>
      </c>
      <c r="CY3630">
        <v>1</v>
      </c>
      <c r="CZ3630">
        <v>0</v>
      </c>
      <c r="DA3630">
        <v>1</v>
      </c>
      <c r="DB3630">
        <v>0</v>
      </c>
      <c r="DC3630">
        <v>0</v>
      </c>
      <c r="DD3630">
        <v>0</v>
      </c>
      <c r="DE3630">
        <v>0</v>
      </c>
      <c r="DF3630">
        <v>0</v>
      </c>
      <c r="DG3630">
        <v>0</v>
      </c>
      <c r="DH3630">
        <v>0</v>
      </c>
      <c r="DI3630">
        <v>0</v>
      </c>
    </row>
    <row r="3631" spans="1:113" x14ac:dyDescent="0.3">
      <c r="A3631" t="str">
        <f>"02/08/2021 20:34:34.397"</f>
        <v>02/08/2021 20:34:34.397</v>
      </c>
      <c r="C3631" t="str">
        <f t="shared" si="182"/>
        <v>FFDFD7C0</v>
      </c>
      <c r="D3631" t="s">
        <v>124</v>
      </c>
      <c r="E3631">
        <v>11</v>
      </c>
      <c r="F3631">
        <v>1011</v>
      </c>
      <c r="G3631" t="s">
        <v>590</v>
      </c>
      <c r="J3631" t="s">
        <v>125</v>
      </c>
      <c r="K3631">
        <v>0</v>
      </c>
      <c r="L3631">
        <v>3</v>
      </c>
      <c r="M3631">
        <v>0</v>
      </c>
      <c r="N3631">
        <v>2</v>
      </c>
      <c r="O3631">
        <v>1</v>
      </c>
      <c r="P3631">
        <v>0</v>
      </c>
      <c r="Q3631">
        <v>0</v>
      </c>
      <c r="S3631" t="str">
        <f>"20:34:36.711"</f>
        <v>20:34:36.711</v>
      </c>
      <c r="T3631" t="str">
        <f>"20:34:36.211"</f>
        <v>20:34:36.211</v>
      </c>
      <c r="U3631" t="str">
        <f t="shared" si="180"/>
        <v>AB01F4</v>
      </c>
      <c r="V3631">
        <v>0</v>
      </c>
      <c r="W3631">
        <v>0</v>
      </c>
      <c r="X3631">
        <v>2</v>
      </c>
      <c r="Z3631">
        <v>0</v>
      </c>
      <c r="AA3631">
        <v>9</v>
      </c>
      <c r="AB3631">
        <v>3</v>
      </c>
      <c r="AC3631">
        <v>0</v>
      </c>
      <c r="AD3631">
        <v>10</v>
      </c>
      <c r="AE3631">
        <v>0</v>
      </c>
      <c r="AF3631">
        <v>3</v>
      </c>
      <c r="AG3631">
        <v>2</v>
      </c>
      <c r="AH3631">
        <v>0</v>
      </c>
      <c r="AI3631" t="s">
        <v>2065</v>
      </c>
      <c r="AJ3631">
        <v>40.108015999999999</v>
      </c>
      <c r="AK3631" t="s">
        <v>2066</v>
      </c>
      <c r="AL3631">
        <v>-93.019867000000005</v>
      </c>
      <c r="AM3631">
        <v>100</v>
      </c>
      <c r="AN3631">
        <v>1300</v>
      </c>
      <c r="AO3631" t="s">
        <v>118</v>
      </c>
      <c r="AP3631">
        <v>-113</v>
      </c>
      <c r="AQ3631">
        <v>62</v>
      </c>
      <c r="AR3631">
        <v>-128</v>
      </c>
      <c r="AZ3631">
        <v>1200</v>
      </c>
      <c r="BA3631">
        <v>1</v>
      </c>
      <c r="BB3631" t="str">
        <f t="shared" ref="BB3631:BB3694" si="183">"N8080G  "</f>
        <v xml:space="preserve">N8080G  </v>
      </c>
      <c r="BC3631">
        <v>1</v>
      </c>
      <c r="BE3631">
        <v>0</v>
      </c>
      <c r="BF3631">
        <v>0</v>
      </c>
      <c r="BG3631">
        <v>0</v>
      </c>
      <c r="BH3631">
        <v>1350</v>
      </c>
      <c r="BI3631">
        <v>1</v>
      </c>
      <c r="BJ3631">
        <v>1</v>
      </c>
      <c r="BK3631">
        <v>1</v>
      </c>
      <c r="BL3631">
        <v>0</v>
      </c>
      <c r="BO3631">
        <v>0</v>
      </c>
      <c r="BP3631">
        <v>0</v>
      </c>
      <c r="BW3631" t="str">
        <f>"20:34:36.716"</f>
        <v>20:34:36.716</v>
      </c>
      <c r="BZ3631">
        <v>0</v>
      </c>
      <c r="CA3631">
        <v>1600</v>
      </c>
      <c r="CB3631">
        <v>224</v>
      </c>
      <c r="CD3631">
        <v>1</v>
      </c>
      <c r="CE3631">
        <v>0</v>
      </c>
      <c r="CF3631">
        <v>0</v>
      </c>
      <c r="CG3631">
        <v>1</v>
      </c>
      <c r="CH3631">
        <v>0</v>
      </c>
      <c r="CI3631">
        <v>0</v>
      </c>
      <c r="CJ3631">
        <v>0</v>
      </c>
      <c r="CK3631">
        <v>2</v>
      </c>
      <c r="CL3631">
        <v>0</v>
      </c>
      <c r="CM3631">
        <v>2</v>
      </c>
      <c r="CN3631">
        <v>0</v>
      </c>
      <c r="CO3631">
        <v>1</v>
      </c>
      <c r="CP3631" t="s">
        <v>119</v>
      </c>
      <c r="CQ3631">
        <v>179</v>
      </c>
      <c r="CR3631">
        <v>1</v>
      </c>
      <c r="CW3631">
        <v>9363175</v>
      </c>
      <c r="CY3631">
        <v>1</v>
      </c>
      <c r="CZ3631">
        <v>0</v>
      </c>
      <c r="DA3631">
        <v>0</v>
      </c>
      <c r="DB3631">
        <v>0</v>
      </c>
      <c r="DC3631">
        <v>0</v>
      </c>
      <c r="DD3631">
        <v>0</v>
      </c>
      <c r="DE3631">
        <v>0</v>
      </c>
      <c r="DF3631">
        <v>0</v>
      </c>
      <c r="DG3631">
        <v>0</v>
      </c>
      <c r="DH3631">
        <v>0</v>
      </c>
      <c r="DI3631">
        <v>0</v>
      </c>
    </row>
    <row r="3632" spans="1:113" x14ac:dyDescent="0.3">
      <c r="A3632" t="str">
        <f>"02/08/2021 20:34:34.397"</f>
        <v>02/08/2021 20:34:34.397</v>
      </c>
      <c r="C3632" t="str">
        <f t="shared" si="182"/>
        <v>FFDFD7C0</v>
      </c>
      <c r="D3632" t="s">
        <v>124</v>
      </c>
      <c r="E3632">
        <v>12</v>
      </c>
      <c r="F3632">
        <v>1012</v>
      </c>
      <c r="G3632" t="s">
        <v>675</v>
      </c>
      <c r="J3632" t="s">
        <v>125</v>
      </c>
      <c r="K3632">
        <v>0</v>
      </c>
      <c r="L3632">
        <v>3</v>
      </c>
      <c r="M3632">
        <v>0</v>
      </c>
      <c r="N3632">
        <v>2</v>
      </c>
      <c r="O3632">
        <v>1</v>
      </c>
      <c r="P3632">
        <v>0</v>
      </c>
      <c r="Q3632">
        <v>0</v>
      </c>
      <c r="S3632" t="str">
        <f>"20:34:36.711"</f>
        <v>20:34:36.711</v>
      </c>
      <c r="T3632" t="str">
        <f>"20:34:36.211"</f>
        <v>20:34:36.211</v>
      </c>
      <c r="U3632" t="str">
        <f t="shared" si="180"/>
        <v>AB01F4</v>
      </c>
      <c r="V3632">
        <v>0</v>
      </c>
      <c r="W3632">
        <v>0</v>
      </c>
      <c r="X3632">
        <v>2</v>
      </c>
      <c r="Z3632">
        <v>0</v>
      </c>
      <c r="AA3632">
        <v>9</v>
      </c>
      <c r="AB3632">
        <v>3</v>
      </c>
      <c r="AC3632">
        <v>0</v>
      </c>
      <c r="AD3632">
        <v>10</v>
      </c>
      <c r="AE3632">
        <v>0</v>
      </c>
      <c r="AF3632">
        <v>3</v>
      </c>
      <c r="AG3632">
        <v>2</v>
      </c>
      <c r="AH3632">
        <v>0</v>
      </c>
      <c r="AI3632" t="s">
        <v>2065</v>
      </c>
      <c r="AJ3632">
        <v>40.108015999999999</v>
      </c>
      <c r="AK3632" t="s">
        <v>2066</v>
      </c>
      <c r="AL3632">
        <v>-93.019867000000005</v>
      </c>
      <c r="AM3632">
        <v>100</v>
      </c>
      <c r="AN3632">
        <v>1300</v>
      </c>
      <c r="AO3632" t="s">
        <v>118</v>
      </c>
      <c r="AP3632">
        <v>-113</v>
      </c>
      <c r="AQ3632">
        <v>62</v>
      </c>
      <c r="AR3632">
        <v>-128</v>
      </c>
      <c r="AZ3632">
        <v>1200</v>
      </c>
      <c r="BA3632">
        <v>1</v>
      </c>
      <c r="BB3632" t="str">
        <f t="shared" si="183"/>
        <v xml:space="preserve">N8080G  </v>
      </c>
      <c r="BC3632">
        <v>1</v>
      </c>
      <c r="BE3632">
        <v>0</v>
      </c>
      <c r="BF3632">
        <v>0</v>
      </c>
      <c r="BG3632">
        <v>0</v>
      </c>
      <c r="BH3632">
        <v>1350</v>
      </c>
      <c r="BI3632">
        <v>1</v>
      </c>
      <c r="BJ3632">
        <v>1</v>
      </c>
      <c r="BK3632">
        <v>1</v>
      </c>
      <c r="BL3632">
        <v>0</v>
      </c>
      <c r="BO3632">
        <v>0</v>
      </c>
      <c r="BP3632">
        <v>0</v>
      </c>
      <c r="BW3632" t="str">
        <f>"20:34:36.716"</f>
        <v>20:34:36.716</v>
      </c>
      <c r="BZ3632">
        <v>0</v>
      </c>
      <c r="CA3632">
        <v>1600</v>
      </c>
      <c r="CB3632">
        <v>224</v>
      </c>
      <c r="CD3632">
        <v>1</v>
      </c>
      <c r="CE3632">
        <v>0</v>
      </c>
      <c r="CF3632">
        <v>0</v>
      </c>
      <c r="CG3632">
        <v>1</v>
      </c>
      <c r="CH3632">
        <v>0</v>
      </c>
      <c r="CI3632">
        <v>0</v>
      </c>
      <c r="CJ3632">
        <v>0</v>
      </c>
      <c r="CK3632">
        <v>2</v>
      </c>
      <c r="CL3632">
        <v>0</v>
      </c>
      <c r="CM3632">
        <v>2</v>
      </c>
      <c r="CN3632">
        <v>0</v>
      </c>
      <c r="CO3632">
        <v>1</v>
      </c>
      <c r="CP3632" t="s">
        <v>119</v>
      </c>
      <c r="CQ3632">
        <v>179</v>
      </c>
      <c r="CR3632">
        <v>1</v>
      </c>
      <c r="CW3632">
        <v>9363175</v>
      </c>
      <c r="CY3632">
        <v>1</v>
      </c>
      <c r="CZ3632">
        <v>0</v>
      </c>
      <c r="DA3632">
        <v>1</v>
      </c>
      <c r="DB3632">
        <v>0</v>
      </c>
      <c r="DC3632">
        <v>0</v>
      </c>
      <c r="DD3632">
        <v>0</v>
      </c>
      <c r="DE3632">
        <v>0</v>
      </c>
      <c r="DF3632">
        <v>0</v>
      </c>
      <c r="DG3632">
        <v>0</v>
      </c>
      <c r="DH3632">
        <v>0</v>
      </c>
      <c r="DI3632">
        <v>0</v>
      </c>
    </row>
    <row r="3633" spans="1:113" x14ac:dyDescent="0.3">
      <c r="A3633" t="str">
        <f>"02/08/2021 20:34:34.397"</f>
        <v>02/08/2021 20:34:34.397</v>
      </c>
      <c r="C3633" t="str">
        <f t="shared" si="182"/>
        <v>FFDFD7C0</v>
      </c>
      <c r="D3633" t="s">
        <v>113</v>
      </c>
      <c r="E3633">
        <v>6</v>
      </c>
      <c r="H3633">
        <v>165</v>
      </c>
      <c r="I3633" t="s">
        <v>114</v>
      </c>
      <c r="J3633" t="s">
        <v>115</v>
      </c>
      <c r="K3633">
        <v>0</v>
      </c>
      <c r="L3633">
        <v>3</v>
      </c>
      <c r="M3633">
        <v>0</v>
      </c>
      <c r="N3633">
        <v>2</v>
      </c>
      <c r="O3633">
        <v>1</v>
      </c>
      <c r="P3633">
        <v>0</v>
      </c>
      <c r="Q3633">
        <v>0</v>
      </c>
      <c r="S3633" t="str">
        <f>"20:34:36.711"</f>
        <v>20:34:36.711</v>
      </c>
      <c r="T3633" t="str">
        <f>"20:34:36.211"</f>
        <v>20:34:36.211</v>
      </c>
      <c r="U3633" t="str">
        <f t="shared" si="180"/>
        <v>AB01F4</v>
      </c>
      <c r="V3633">
        <v>0</v>
      </c>
      <c r="W3633">
        <v>0</v>
      </c>
      <c r="X3633">
        <v>2</v>
      </c>
      <c r="Z3633">
        <v>0</v>
      </c>
      <c r="AA3633">
        <v>9</v>
      </c>
      <c r="AB3633">
        <v>3</v>
      </c>
      <c r="AC3633">
        <v>0</v>
      </c>
      <c r="AD3633">
        <v>10</v>
      </c>
      <c r="AE3633">
        <v>0</v>
      </c>
      <c r="AF3633">
        <v>3</v>
      </c>
      <c r="AG3633">
        <v>2</v>
      </c>
      <c r="AH3633">
        <v>0</v>
      </c>
      <c r="AI3633" t="s">
        <v>2065</v>
      </c>
      <c r="AJ3633">
        <v>40.108015999999999</v>
      </c>
      <c r="AK3633" t="s">
        <v>2066</v>
      </c>
      <c r="AL3633">
        <v>-93.019867000000005</v>
      </c>
      <c r="AM3633">
        <v>100</v>
      </c>
      <c r="AN3633">
        <v>1300</v>
      </c>
      <c r="AO3633" t="s">
        <v>118</v>
      </c>
      <c r="AP3633">
        <v>-113</v>
      </c>
      <c r="AQ3633">
        <v>62</v>
      </c>
      <c r="AR3633">
        <v>-128</v>
      </c>
      <c r="AZ3633">
        <v>1200</v>
      </c>
      <c r="BA3633">
        <v>1</v>
      </c>
      <c r="BB3633" t="str">
        <f t="shared" si="183"/>
        <v xml:space="preserve">N8080G  </v>
      </c>
      <c r="BC3633">
        <v>1</v>
      </c>
      <c r="BE3633">
        <v>0</v>
      </c>
      <c r="BF3633">
        <v>0</v>
      </c>
      <c r="BG3633">
        <v>0</v>
      </c>
      <c r="BH3633">
        <v>1350</v>
      </c>
      <c r="BI3633">
        <v>1</v>
      </c>
      <c r="BJ3633">
        <v>1</v>
      </c>
      <c r="BK3633">
        <v>1</v>
      </c>
      <c r="BL3633">
        <v>0</v>
      </c>
      <c r="BO3633">
        <v>0</v>
      </c>
      <c r="BP3633">
        <v>0</v>
      </c>
      <c r="BW3633" t="str">
        <f>"20:34:36.716"</f>
        <v>20:34:36.716</v>
      </c>
      <c r="BZ3633">
        <v>0</v>
      </c>
      <c r="CA3633">
        <v>1600</v>
      </c>
      <c r="CB3633">
        <v>224</v>
      </c>
      <c r="CD3633">
        <v>1</v>
      </c>
      <c r="CE3633">
        <v>0</v>
      </c>
      <c r="CF3633">
        <v>0</v>
      </c>
      <c r="CG3633">
        <v>1</v>
      </c>
      <c r="CH3633">
        <v>0</v>
      </c>
      <c r="CI3633">
        <v>0</v>
      </c>
      <c r="CJ3633">
        <v>0</v>
      </c>
      <c r="CK3633">
        <v>2</v>
      </c>
      <c r="CL3633">
        <v>0</v>
      </c>
      <c r="CM3633">
        <v>2</v>
      </c>
      <c r="CN3633">
        <v>0</v>
      </c>
      <c r="CO3633">
        <v>1</v>
      </c>
      <c r="CP3633" t="s">
        <v>119</v>
      </c>
      <c r="CQ3633">
        <v>179</v>
      </c>
      <c r="CR3633">
        <v>1</v>
      </c>
      <c r="CW3633">
        <v>9363175</v>
      </c>
      <c r="CY3633">
        <v>1</v>
      </c>
      <c r="CZ3633">
        <v>0</v>
      </c>
      <c r="DA3633">
        <v>1</v>
      </c>
      <c r="DB3633">
        <v>0</v>
      </c>
      <c r="DC3633">
        <v>0</v>
      </c>
      <c r="DD3633">
        <v>0</v>
      </c>
      <c r="DE3633">
        <v>0</v>
      </c>
      <c r="DF3633">
        <v>0</v>
      </c>
      <c r="DG3633">
        <v>0</v>
      </c>
      <c r="DH3633">
        <v>0</v>
      </c>
      <c r="DI3633">
        <v>0</v>
      </c>
    </row>
    <row r="3634" spans="1:113" x14ac:dyDescent="0.3">
      <c r="A3634" t="str">
        <f>"02/08/2021 20:34:34.397"</f>
        <v>02/08/2021 20:34:34.397</v>
      </c>
      <c r="C3634" t="str">
        <f t="shared" si="182"/>
        <v>FFDFD7C0</v>
      </c>
      <c r="D3634" t="s">
        <v>124</v>
      </c>
      <c r="E3634">
        <v>13</v>
      </c>
      <c r="F3634">
        <v>1013</v>
      </c>
      <c r="G3634" t="s">
        <v>114</v>
      </c>
      <c r="J3634" t="s">
        <v>125</v>
      </c>
      <c r="K3634">
        <v>0</v>
      </c>
      <c r="L3634">
        <v>3</v>
      </c>
      <c r="M3634">
        <v>0</v>
      </c>
      <c r="N3634">
        <v>2</v>
      </c>
      <c r="O3634">
        <v>1</v>
      </c>
      <c r="P3634">
        <v>0</v>
      </c>
      <c r="Q3634">
        <v>0</v>
      </c>
      <c r="S3634" t="str">
        <f>"20:34:36.711"</f>
        <v>20:34:36.711</v>
      </c>
      <c r="T3634" t="str">
        <f>"20:34:36.211"</f>
        <v>20:34:36.211</v>
      </c>
      <c r="U3634" t="str">
        <f t="shared" si="180"/>
        <v>AB01F4</v>
      </c>
      <c r="V3634">
        <v>0</v>
      </c>
      <c r="W3634">
        <v>0</v>
      </c>
      <c r="X3634">
        <v>2</v>
      </c>
      <c r="Z3634">
        <v>0</v>
      </c>
      <c r="AA3634">
        <v>9</v>
      </c>
      <c r="AB3634">
        <v>3</v>
      </c>
      <c r="AC3634">
        <v>0</v>
      </c>
      <c r="AD3634">
        <v>10</v>
      </c>
      <c r="AE3634">
        <v>0</v>
      </c>
      <c r="AF3634">
        <v>3</v>
      </c>
      <c r="AG3634">
        <v>2</v>
      </c>
      <c r="AH3634">
        <v>0</v>
      </c>
      <c r="AI3634" t="s">
        <v>2065</v>
      </c>
      <c r="AJ3634">
        <v>40.108015999999999</v>
      </c>
      <c r="AK3634" t="s">
        <v>2066</v>
      </c>
      <c r="AL3634">
        <v>-93.019867000000005</v>
      </c>
      <c r="AM3634">
        <v>100</v>
      </c>
      <c r="AN3634">
        <v>1300</v>
      </c>
      <c r="AO3634" t="s">
        <v>118</v>
      </c>
      <c r="AP3634">
        <v>-113</v>
      </c>
      <c r="AQ3634">
        <v>62</v>
      </c>
      <c r="AR3634">
        <v>-128</v>
      </c>
      <c r="AZ3634">
        <v>1200</v>
      </c>
      <c r="BA3634">
        <v>1</v>
      </c>
      <c r="BB3634" t="str">
        <f t="shared" si="183"/>
        <v xml:space="preserve">N8080G  </v>
      </c>
      <c r="BC3634">
        <v>1</v>
      </c>
      <c r="BE3634">
        <v>0</v>
      </c>
      <c r="BF3634">
        <v>0</v>
      </c>
      <c r="BG3634">
        <v>0</v>
      </c>
      <c r="BH3634">
        <v>1350</v>
      </c>
      <c r="BI3634">
        <v>1</v>
      </c>
      <c r="BJ3634">
        <v>1</v>
      </c>
      <c r="BK3634">
        <v>1</v>
      </c>
      <c r="BL3634">
        <v>0</v>
      </c>
      <c r="BO3634">
        <v>0</v>
      </c>
      <c r="BP3634">
        <v>0</v>
      </c>
      <c r="BW3634" t="str">
        <f>"20:34:36.716"</f>
        <v>20:34:36.716</v>
      </c>
      <c r="BZ3634">
        <v>0</v>
      </c>
      <c r="CA3634">
        <v>1600</v>
      </c>
      <c r="CB3634">
        <v>224</v>
      </c>
      <c r="CD3634">
        <v>1</v>
      </c>
      <c r="CE3634">
        <v>0</v>
      </c>
      <c r="CF3634">
        <v>0</v>
      </c>
      <c r="CG3634">
        <v>1</v>
      </c>
      <c r="CH3634">
        <v>0</v>
      </c>
      <c r="CI3634">
        <v>0</v>
      </c>
      <c r="CJ3634">
        <v>0</v>
      </c>
      <c r="CK3634">
        <v>2</v>
      </c>
      <c r="CL3634">
        <v>0</v>
      </c>
      <c r="CM3634">
        <v>2</v>
      </c>
      <c r="CN3634">
        <v>0</v>
      </c>
      <c r="CO3634">
        <v>1</v>
      </c>
      <c r="CP3634" t="s">
        <v>119</v>
      </c>
      <c r="CQ3634">
        <v>179</v>
      </c>
      <c r="CR3634">
        <v>1</v>
      </c>
      <c r="CW3634">
        <v>9363175</v>
      </c>
      <c r="CY3634">
        <v>1</v>
      </c>
      <c r="CZ3634">
        <v>0</v>
      </c>
      <c r="DA3634">
        <v>1</v>
      </c>
      <c r="DB3634">
        <v>0</v>
      </c>
      <c r="DC3634">
        <v>0</v>
      </c>
      <c r="DD3634">
        <v>0</v>
      </c>
      <c r="DE3634">
        <v>0</v>
      </c>
      <c r="DF3634">
        <v>0</v>
      </c>
      <c r="DG3634">
        <v>0</v>
      </c>
      <c r="DH3634">
        <v>0</v>
      </c>
      <c r="DI3634">
        <v>0</v>
      </c>
    </row>
    <row r="3635" spans="1:113" x14ac:dyDescent="0.3">
      <c r="A3635" t="str">
        <f>"02/08/2021 20:34:35.828"</f>
        <v>02/08/2021 20:34:35.828</v>
      </c>
      <c r="C3635" t="str">
        <f t="shared" si="182"/>
        <v>FFDFD7C0</v>
      </c>
      <c r="D3635" t="s">
        <v>124</v>
      </c>
      <c r="E3635">
        <v>13</v>
      </c>
      <c r="F3635">
        <v>1013</v>
      </c>
      <c r="G3635" t="s">
        <v>114</v>
      </c>
      <c r="J3635" t="s">
        <v>125</v>
      </c>
      <c r="K3635">
        <v>0</v>
      </c>
      <c r="L3635">
        <v>3</v>
      </c>
      <c r="M3635">
        <v>0</v>
      </c>
      <c r="N3635">
        <v>2</v>
      </c>
      <c r="O3635">
        <v>1</v>
      </c>
      <c r="P3635">
        <v>0</v>
      </c>
      <c r="Q3635">
        <v>0</v>
      </c>
      <c r="S3635" t="str">
        <f>"20:34:38.156"</f>
        <v>20:34:38.156</v>
      </c>
      <c r="T3635" t="str">
        <f>"20:34:37.756"</f>
        <v>20:34:37.756</v>
      </c>
      <c r="U3635" t="str">
        <f t="shared" si="180"/>
        <v>AB01F4</v>
      </c>
      <c r="V3635">
        <v>0</v>
      </c>
      <c r="W3635">
        <v>0</v>
      </c>
      <c r="X3635">
        <v>2</v>
      </c>
      <c r="Z3635">
        <v>0</v>
      </c>
      <c r="AA3635">
        <v>9</v>
      </c>
      <c r="AB3635">
        <v>3</v>
      </c>
      <c r="AC3635">
        <v>0</v>
      </c>
      <c r="AD3635">
        <v>10</v>
      </c>
      <c r="AE3635">
        <v>0</v>
      </c>
      <c r="AF3635">
        <v>3</v>
      </c>
      <c r="AG3635">
        <v>2</v>
      </c>
      <c r="AH3635">
        <v>0</v>
      </c>
      <c r="AI3635" t="s">
        <v>2067</v>
      </c>
      <c r="AJ3635">
        <v>40.108423000000002</v>
      </c>
      <c r="AK3635" t="s">
        <v>2068</v>
      </c>
      <c r="AL3635">
        <v>-93.020875000000004</v>
      </c>
      <c r="AM3635">
        <v>100</v>
      </c>
      <c r="AN3635">
        <v>1300</v>
      </c>
      <c r="AO3635" t="s">
        <v>118</v>
      </c>
      <c r="AP3635">
        <v>-114</v>
      </c>
      <c r="AQ3635">
        <v>61</v>
      </c>
      <c r="AR3635">
        <v>0</v>
      </c>
      <c r="AZ3635">
        <v>1200</v>
      </c>
      <c r="BA3635">
        <v>1</v>
      </c>
      <c r="BB3635" t="str">
        <f t="shared" si="183"/>
        <v xml:space="preserve">N8080G  </v>
      </c>
      <c r="BC3635">
        <v>1</v>
      </c>
      <c r="BE3635">
        <v>0</v>
      </c>
      <c r="BF3635">
        <v>0</v>
      </c>
      <c r="BG3635">
        <v>0</v>
      </c>
      <c r="BH3635">
        <v>1350</v>
      </c>
      <c r="BI3635">
        <v>1</v>
      </c>
      <c r="BJ3635">
        <v>1</v>
      </c>
      <c r="BK3635">
        <v>1</v>
      </c>
      <c r="BL3635">
        <v>0</v>
      </c>
      <c r="BO3635">
        <v>0</v>
      </c>
      <c r="BP3635">
        <v>0</v>
      </c>
      <c r="BW3635" t="str">
        <f>"20:34:38.156"</f>
        <v>20:34:38.156</v>
      </c>
      <c r="BZ3635">
        <v>0</v>
      </c>
      <c r="CA3635">
        <v>1600</v>
      </c>
      <c r="CB3635">
        <v>224</v>
      </c>
      <c r="CD3635">
        <v>1</v>
      </c>
      <c r="CE3635">
        <v>0</v>
      </c>
      <c r="CF3635">
        <v>0</v>
      </c>
      <c r="CG3635">
        <v>1</v>
      </c>
      <c r="CH3635">
        <v>0</v>
      </c>
      <c r="CI3635">
        <v>0</v>
      </c>
      <c r="CJ3635">
        <v>0</v>
      </c>
      <c r="CK3635">
        <v>2</v>
      </c>
      <c r="CL3635">
        <v>0</v>
      </c>
      <c r="CM3635">
        <v>2</v>
      </c>
      <c r="CN3635">
        <v>0</v>
      </c>
      <c r="CO3635">
        <v>6</v>
      </c>
      <c r="CP3635" t="s">
        <v>119</v>
      </c>
      <c r="CQ3635">
        <v>180</v>
      </c>
      <c r="CR3635">
        <v>2</v>
      </c>
      <c r="CW3635">
        <v>8890957</v>
      </c>
      <c r="CY3635">
        <v>1</v>
      </c>
      <c r="CZ3635">
        <v>0</v>
      </c>
      <c r="DA3635">
        <v>0</v>
      </c>
      <c r="DB3635">
        <v>0</v>
      </c>
      <c r="DC3635">
        <v>0</v>
      </c>
      <c r="DD3635">
        <v>0</v>
      </c>
      <c r="DE3635">
        <v>0</v>
      </c>
      <c r="DF3635">
        <v>0</v>
      </c>
      <c r="DG3635">
        <v>0</v>
      </c>
      <c r="DH3635">
        <v>0</v>
      </c>
      <c r="DI3635">
        <v>0</v>
      </c>
    </row>
    <row r="3636" spans="1:113" x14ac:dyDescent="0.3">
      <c r="A3636" t="str">
        <f>"02/08/2021 20:34:35.828"</f>
        <v>02/08/2021 20:34:35.828</v>
      </c>
      <c r="C3636" t="str">
        <f t="shared" si="182"/>
        <v>FFDFD7C0</v>
      </c>
      <c r="D3636" t="s">
        <v>113</v>
      </c>
      <c r="E3636">
        <v>6</v>
      </c>
      <c r="H3636">
        <v>165</v>
      </c>
      <c r="I3636" t="s">
        <v>114</v>
      </c>
      <c r="J3636" t="s">
        <v>115</v>
      </c>
      <c r="K3636">
        <v>0</v>
      </c>
      <c r="L3636">
        <v>3</v>
      </c>
      <c r="M3636">
        <v>0</v>
      </c>
      <c r="N3636">
        <v>2</v>
      </c>
      <c r="O3636">
        <v>1</v>
      </c>
      <c r="P3636">
        <v>0</v>
      </c>
      <c r="Q3636">
        <v>0</v>
      </c>
      <c r="S3636" t="str">
        <f>"20:34:38.156"</f>
        <v>20:34:38.156</v>
      </c>
      <c r="T3636" t="str">
        <f>"20:34:37.756"</f>
        <v>20:34:37.756</v>
      </c>
      <c r="U3636" t="str">
        <f t="shared" si="180"/>
        <v>AB01F4</v>
      </c>
      <c r="V3636">
        <v>0</v>
      </c>
      <c r="W3636">
        <v>0</v>
      </c>
      <c r="X3636">
        <v>2</v>
      </c>
      <c r="Z3636">
        <v>0</v>
      </c>
      <c r="AA3636">
        <v>9</v>
      </c>
      <c r="AB3636">
        <v>3</v>
      </c>
      <c r="AC3636">
        <v>0</v>
      </c>
      <c r="AD3636">
        <v>10</v>
      </c>
      <c r="AE3636">
        <v>0</v>
      </c>
      <c r="AF3636">
        <v>3</v>
      </c>
      <c r="AG3636">
        <v>2</v>
      </c>
      <c r="AH3636">
        <v>0</v>
      </c>
      <c r="AI3636" t="s">
        <v>2067</v>
      </c>
      <c r="AJ3636">
        <v>40.108423000000002</v>
      </c>
      <c r="AK3636" t="s">
        <v>2068</v>
      </c>
      <c r="AL3636">
        <v>-93.020875000000004</v>
      </c>
      <c r="AM3636">
        <v>100</v>
      </c>
      <c r="AN3636">
        <v>1300</v>
      </c>
      <c r="AO3636" t="s">
        <v>118</v>
      </c>
      <c r="AP3636">
        <v>-114</v>
      </c>
      <c r="AQ3636">
        <v>61</v>
      </c>
      <c r="AR3636">
        <v>0</v>
      </c>
      <c r="AZ3636">
        <v>1200</v>
      </c>
      <c r="BA3636">
        <v>1</v>
      </c>
      <c r="BB3636" t="str">
        <f t="shared" si="183"/>
        <v xml:space="preserve">N8080G  </v>
      </c>
      <c r="BC3636">
        <v>1</v>
      </c>
      <c r="BE3636">
        <v>0</v>
      </c>
      <c r="BF3636">
        <v>0</v>
      </c>
      <c r="BG3636">
        <v>0</v>
      </c>
      <c r="BH3636">
        <v>1350</v>
      </c>
      <c r="BI3636">
        <v>1</v>
      </c>
      <c r="BJ3636">
        <v>1</v>
      </c>
      <c r="BK3636">
        <v>1</v>
      </c>
      <c r="BL3636">
        <v>0</v>
      </c>
      <c r="BO3636">
        <v>0</v>
      </c>
      <c r="BP3636">
        <v>0</v>
      </c>
      <c r="BW3636" t="str">
        <f>"20:34:38.156"</f>
        <v>20:34:38.156</v>
      </c>
      <c r="BZ3636">
        <v>0</v>
      </c>
      <c r="CA3636">
        <v>1600</v>
      </c>
      <c r="CB3636">
        <v>224</v>
      </c>
      <c r="CD3636">
        <v>1</v>
      </c>
      <c r="CE3636">
        <v>0</v>
      </c>
      <c r="CF3636">
        <v>0</v>
      </c>
      <c r="CG3636">
        <v>1</v>
      </c>
      <c r="CH3636">
        <v>0</v>
      </c>
      <c r="CI3636">
        <v>0</v>
      </c>
      <c r="CJ3636">
        <v>0</v>
      </c>
      <c r="CK3636">
        <v>2</v>
      </c>
      <c r="CL3636">
        <v>0</v>
      </c>
      <c r="CM3636">
        <v>2</v>
      </c>
      <c r="CN3636">
        <v>0</v>
      </c>
      <c r="CO3636">
        <v>6</v>
      </c>
      <c r="CP3636" t="s">
        <v>119</v>
      </c>
      <c r="CQ3636">
        <v>180</v>
      </c>
      <c r="CR3636">
        <v>2</v>
      </c>
      <c r="CW3636">
        <v>8890957</v>
      </c>
      <c r="CY3636">
        <v>1</v>
      </c>
      <c r="CZ3636">
        <v>0</v>
      </c>
      <c r="DA3636">
        <v>1</v>
      </c>
      <c r="DB3636">
        <v>0</v>
      </c>
      <c r="DC3636">
        <v>0</v>
      </c>
      <c r="DD3636">
        <v>0</v>
      </c>
      <c r="DE3636">
        <v>0</v>
      </c>
      <c r="DF3636">
        <v>0</v>
      </c>
      <c r="DG3636">
        <v>0</v>
      </c>
      <c r="DH3636">
        <v>0</v>
      </c>
      <c r="DI3636">
        <v>0</v>
      </c>
    </row>
    <row r="3637" spans="1:113" x14ac:dyDescent="0.3">
      <c r="A3637" t="str">
        <f>"02/08/2021 20:34:35.828"</f>
        <v>02/08/2021 20:34:35.828</v>
      </c>
      <c r="C3637" t="str">
        <f t="shared" si="182"/>
        <v>FFDFD7C0</v>
      </c>
      <c r="D3637" t="s">
        <v>124</v>
      </c>
      <c r="E3637">
        <v>11</v>
      </c>
      <c r="F3637">
        <v>1011</v>
      </c>
      <c r="G3637" t="s">
        <v>590</v>
      </c>
      <c r="J3637" t="s">
        <v>125</v>
      </c>
      <c r="K3637">
        <v>0</v>
      </c>
      <c r="L3637">
        <v>3</v>
      </c>
      <c r="M3637">
        <v>0</v>
      </c>
      <c r="N3637">
        <v>2</v>
      </c>
      <c r="O3637">
        <v>1</v>
      </c>
      <c r="P3637">
        <v>0</v>
      </c>
      <c r="Q3637">
        <v>0</v>
      </c>
      <c r="S3637" t="str">
        <f>"20:34:38.156"</f>
        <v>20:34:38.156</v>
      </c>
      <c r="T3637" t="str">
        <f>"20:34:37.756"</f>
        <v>20:34:37.756</v>
      </c>
      <c r="U3637" t="str">
        <f t="shared" si="180"/>
        <v>AB01F4</v>
      </c>
      <c r="V3637">
        <v>0</v>
      </c>
      <c r="W3637">
        <v>0</v>
      </c>
      <c r="X3637">
        <v>2</v>
      </c>
      <c r="Z3637">
        <v>0</v>
      </c>
      <c r="AA3637">
        <v>9</v>
      </c>
      <c r="AB3637">
        <v>3</v>
      </c>
      <c r="AC3637">
        <v>0</v>
      </c>
      <c r="AD3637">
        <v>10</v>
      </c>
      <c r="AE3637">
        <v>0</v>
      </c>
      <c r="AF3637">
        <v>3</v>
      </c>
      <c r="AG3637">
        <v>2</v>
      </c>
      <c r="AH3637">
        <v>0</v>
      </c>
      <c r="AI3637" t="s">
        <v>2067</v>
      </c>
      <c r="AJ3637">
        <v>40.108423000000002</v>
      </c>
      <c r="AK3637" t="s">
        <v>2068</v>
      </c>
      <c r="AL3637">
        <v>-93.020875000000004</v>
      </c>
      <c r="AM3637">
        <v>100</v>
      </c>
      <c r="AN3637">
        <v>1300</v>
      </c>
      <c r="AO3637" t="s">
        <v>118</v>
      </c>
      <c r="AP3637">
        <v>-114</v>
      </c>
      <c r="AQ3637">
        <v>61</v>
      </c>
      <c r="AR3637">
        <v>0</v>
      </c>
      <c r="AZ3637">
        <v>1200</v>
      </c>
      <c r="BA3637">
        <v>1</v>
      </c>
      <c r="BB3637" t="str">
        <f t="shared" si="183"/>
        <v xml:space="preserve">N8080G  </v>
      </c>
      <c r="BC3637">
        <v>1</v>
      </c>
      <c r="BE3637">
        <v>0</v>
      </c>
      <c r="BF3637">
        <v>0</v>
      </c>
      <c r="BG3637">
        <v>0</v>
      </c>
      <c r="BH3637">
        <v>1350</v>
      </c>
      <c r="BI3637">
        <v>1</v>
      </c>
      <c r="BJ3637">
        <v>1</v>
      </c>
      <c r="BK3637">
        <v>1</v>
      </c>
      <c r="BL3637">
        <v>0</v>
      </c>
      <c r="BO3637">
        <v>0</v>
      </c>
      <c r="BP3637">
        <v>0</v>
      </c>
      <c r="BW3637" t="str">
        <f>"20:34:38.156"</f>
        <v>20:34:38.156</v>
      </c>
      <c r="BZ3637">
        <v>0</v>
      </c>
      <c r="CA3637">
        <v>1600</v>
      </c>
      <c r="CB3637">
        <v>224</v>
      </c>
      <c r="CD3637">
        <v>1</v>
      </c>
      <c r="CE3637">
        <v>0</v>
      </c>
      <c r="CF3637">
        <v>0</v>
      </c>
      <c r="CG3637">
        <v>1</v>
      </c>
      <c r="CH3637">
        <v>0</v>
      </c>
      <c r="CI3637">
        <v>0</v>
      </c>
      <c r="CJ3637">
        <v>0</v>
      </c>
      <c r="CK3637">
        <v>2</v>
      </c>
      <c r="CL3637">
        <v>0</v>
      </c>
      <c r="CM3637">
        <v>2</v>
      </c>
      <c r="CN3637">
        <v>0</v>
      </c>
      <c r="CO3637">
        <v>6</v>
      </c>
      <c r="CP3637" t="s">
        <v>119</v>
      </c>
      <c r="CQ3637">
        <v>180</v>
      </c>
      <c r="CR3637">
        <v>2</v>
      </c>
      <c r="CW3637">
        <v>8890957</v>
      </c>
      <c r="CY3637">
        <v>1</v>
      </c>
      <c r="CZ3637">
        <v>0</v>
      </c>
      <c r="DA3637">
        <v>1</v>
      </c>
      <c r="DB3637">
        <v>0</v>
      </c>
      <c r="DC3637">
        <v>0</v>
      </c>
      <c r="DD3637">
        <v>0</v>
      </c>
      <c r="DE3637">
        <v>0</v>
      </c>
      <c r="DF3637">
        <v>0</v>
      </c>
      <c r="DG3637">
        <v>0</v>
      </c>
      <c r="DH3637">
        <v>0</v>
      </c>
      <c r="DI3637">
        <v>0</v>
      </c>
    </row>
    <row r="3638" spans="1:113" x14ac:dyDescent="0.3">
      <c r="A3638" t="str">
        <f>"02/08/2021 20:34:35.828"</f>
        <v>02/08/2021 20:34:35.828</v>
      </c>
      <c r="C3638" t="str">
        <f t="shared" si="182"/>
        <v>FFDFD7C0</v>
      </c>
      <c r="D3638" t="s">
        <v>124</v>
      </c>
      <c r="E3638">
        <v>12</v>
      </c>
      <c r="F3638">
        <v>1012</v>
      </c>
      <c r="G3638" t="s">
        <v>675</v>
      </c>
      <c r="J3638" t="s">
        <v>125</v>
      </c>
      <c r="K3638">
        <v>0</v>
      </c>
      <c r="L3638">
        <v>3</v>
      </c>
      <c r="M3638">
        <v>0</v>
      </c>
      <c r="N3638">
        <v>2</v>
      </c>
      <c r="O3638">
        <v>1</v>
      </c>
      <c r="P3638">
        <v>0</v>
      </c>
      <c r="Q3638">
        <v>0</v>
      </c>
      <c r="S3638" t="str">
        <f>"20:34:38.156"</f>
        <v>20:34:38.156</v>
      </c>
      <c r="T3638" t="str">
        <f>"20:34:37.756"</f>
        <v>20:34:37.756</v>
      </c>
      <c r="U3638" t="str">
        <f t="shared" si="180"/>
        <v>AB01F4</v>
      </c>
      <c r="V3638">
        <v>0</v>
      </c>
      <c r="W3638">
        <v>0</v>
      </c>
      <c r="X3638">
        <v>2</v>
      </c>
      <c r="Z3638">
        <v>0</v>
      </c>
      <c r="AA3638">
        <v>9</v>
      </c>
      <c r="AB3638">
        <v>3</v>
      </c>
      <c r="AC3638">
        <v>0</v>
      </c>
      <c r="AD3638">
        <v>10</v>
      </c>
      <c r="AE3638">
        <v>0</v>
      </c>
      <c r="AF3638">
        <v>3</v>
      </c>
      <c r="AG3638">
        <v>2</v>
      </c>
      <c r="AH3638">
        <v>0</v>
      </c>
      <c r="AI3638" t="s">
        <v>2067</v>
      </c>
      <c r="AJ3638">
        <v>40.108423000000002</v>
      </c>
      <c r="AK3638" t="s">
        <v>2068</v>
      </c>
      <c r="AL3638">
        <v>-93.020875000000004</v>
      </c>
      <c r="AM3638">
        <v>100</v>
      </c>
      <c r="AN3638">
        <v>1300</v>
      </c>
      <c r="AO3638" t="s">
        <v>118</v>
      </c>
      <c r="AP3638">
        <v>-114</v>
      </c>
      <c r="AQ3638">
        <v>61</v>
      </c>
      <c r="AR3638">
        <v>0</v>
      </c>
      <c r="AZ3638">
        <v>1200</v>
      </c>
      <c r="BA3638">
        <v>1</v>
      </c>
      <c r="BB3638" t="str">
        <f t="shared" si="183"/>
        <v xml:space="preserve">N8080G  </v>
      </c>
      <c r="BC3638">
        <v>1</v>
      </c>
      <c r="BE3638">
        <v>0</v>
      </c>
      <c r="BF3638">
        <v>0</v>
      </c>
      <c r="BG3638">
        <v>0</v>
      </c>
      <c r="BH3638">
        <v>1350</v>
      </c>
      <c r="BI3638">
        <v>1</v>
      </c>
      <c r="BJ3638">
        <v>1</v>
      </c>
      <c r="BK3638">
        <v>1</v>
      </c>
      <c r="BL3638">
        <v>0</v>
      </c>
      <c r="BO3638">
        <v>0</v>
      </c>
      <c r="BP3638">
        <v>0</v>
      </c>
      <c r="BW3638" t="str">
        <f>"20:34:38.156"</f>
        <v>20:34:38.156</v>
      </c>
      <c r="BZ3638">
        <v>0</v>
      </c>
      <c r="CA3638">
        <v>1600</v>
      </c>
      <c r="CB3638">
        <v>224</v>
      </c>
      <c r="CD3638">
        <v>1</v>
      </c>
      <c r="CE3638">
        <v>0</v>
      </c>
      <c r="CF3638">
        <v>0</v>
      </c>
      <c r="CG3638">
        <v>1</v>
      </c>
      <c r="CH3638">
        <v>0</v>
      </c>
      <c r="CI3638">
        <v>0</v>
      </c>
      <c r="CJ3638">
        <v>0</v>
      </c>
      <c r="CK3638">
        <v>2</v>
      </c>
      <c r="CL3638">
        <v>0</v>
      </c>
      <c r="CM3638">
        <v>2</v>
      </c>
      <c r="CN3638">
        <v>0</v>
      </c>
      <c r="CO3638">
        <v>6</v>
      </c>
      <c r="CP3638" t="s">
        <v>119</v>
      </c>
      <c r="CQ3638">
        <v>180</v>
      </c>
      <c r="CR3638">
        <v>2</v>
      </c>
      <c r="CW3638">
        <v>8890957</v>
      </c>
      <c r="CY3638">
        <v>1</v>
      </c>
      <c r="CZ3638">
        <v>0</v>
      </c>
      <c r="DA3638">
        <v>1</v>
      </c>
      <c r="DB3638">
        <v>0</v>
      </c>
      <c r="DC3638">
        <v>0</v>
      </c>
      <c r="DD3638">
        <v>0</v>
      </c>
      <c r="DE3638">
        <v>0</v>
      </c>
      <c r="DF3638">
        <v>0</v>
      </c>
      <c r="DG3638">
        <v>0</v>
      </c>
      <c r="DH3638">
        <v>0</v>
      </c>
      <c r="DI3638">
        <v>0</v>
      </c>
    </row>
    <row r="3639" spans="1:113" x14ac:dyDescent="0.3">
      <c r="A3639" t="str">
        <f>"02/08/2021 20:34:36.814"</f>
        <v>02/08/2021 20:34:36.814</v>
      </c>
      <c r="C3639" t="str">
        <f t="shared" si="182"/>
        <v>FFDFD7C0</v>
      </c>
      <c r="D3639" t="s">
        <v>124</v>
      </c>
      <c r="E3639">
        <v>12</v>
      </c>
      <c r="F3639">
        <v>1012</v>
      </c>
      <c r="G3639" t="s">
        <v>675</v>
      </c>
      <c r="J3639" t="s">
        <v>125</v>
      </c>
      <c r="K3639">
        <v>0</v>
      </c>
      <c r="L3639">
        <v>3</v>
      </c>
      <c r="M3639">
        <v>0</v>
      </c>
      <c r="N3639">
        <v>2</v>
      </c>
      <c r="O3639">
        <v>1</v>
      </c>
      <c r="P3639">
        <v>0</v>
      </c>
      <c r="Q3639">
        <v>0</v>
      </c>
      <c r="S3639" t="str">
        <f>"20:34:39.156"</f>
        <v>20:34:39.156</v>
      </c>
      <c r="T3639" t="str">
        <f>"20:34:38.656"</f>
        <v>20:34:38.656</v>
      </c>
      <c r="U3639" t="str">
        <f t="shared" si="180"/>
        <v>AB01F4</v>
      </c>
      <c r="V3639">
        <v>0</v>
      </c>
      <c r="W3639">
        <v>0</v>
      </c>
      <c r="X3639">
        <v>2</v>
      </c>
      <c r="Z3639">
        <v>0</v>
      </c>
      <c r="AA3639">
        <v>9</v>
      </c>
      <c r="AB3639">
        <v>3</v>
      </c>
      <c r="AC3639">
        <v>0</v>
      </c>
      <c r="AD3639">
        <v>10</v>
      </c>
      <c r="AE3639">
        <v>0</v>
      </c>
      <c r="AF3639">
        <v>3</v>
      </c>
      <c r="AG3639">
        <v>2</v>
      </c>
      <c r="AH3639">
        <v>0</v>
      </c>
      <c r="AI3639" t="s">
        <v>2069</v>
      </c>
      <c r="AJ3639">
        <v>40.108702000000001</v>
      </c>
      <c r="AK3639" t="s">
        <v>2070</v>
      </c>
      <c r="AL3639">
        <v>-93.021604999999994</v>
      </c>
      <c r="AM3639">
        <v>100</v>
      </c>
      <c r="AN3639">
        <v>1300</v>
      </c>
      <c r="AO3639" t="s">
        <v>118</v>
      </c>
      <c r="AP3639">
        <v>-114</v>
      </c>
      <c r="AQ3639">
        <v>61</v>
      </c>
      <c r="AR3639">
        <v>64</v>
      </c>
      <c r="AZ3639">
        <v>1200</v>
      </c>
      <c r="BA3639">
        <v>1</v>
      </c>
      <c r="BB3639" t="str">
        <f t="shared" si="183"/>
        <v xml:space="preserve">N8080G  </v>
      </c>
      <c r="BC3639">
        <v>1</v>
      </c>
      <c r="BE3639">
        <v>0</v>
      </c>
      <c r="BF3639">
        <v>0</v>
      </c>
      <c r="BG3639">
        <v>0</v>
      </c>
      <c r="BH3639">
        <v>1350</v>
      </c>
      <c r="BI3639">
        <v>1</v>
      </c>
      <c r="BJ3639">
        <v>1</v>
      </c>
      <c r="BK3639">
        <v>1</v>
      </c>
      <c r="BL3639">
        <v>0</v>
      </c>
      <c r="BO3639">
        <v>0</v>
      </c>
      <c r="BP3639">
        <v>0</v>
      </c>
      <c r="BW3639" t="str">
        <f>"20:34:39.158"</f>
        <v>20:34:39.158</v>
      </c>
      <c r="BZ3639">
        <v>0</v>
      </c>
      <c r="CA3639">
        <v>1600</v>
      </c>
      <c r="CB3639">
        <v>224</v>
      </c>
      <c r="CD3639">
        <v>1</v>
      </c>
      <c r="CE3639">
        <v>0</v>
      </c>
      <c r="CF3639">
        <v>0</v>
      </c>
      <c r="CG3639">
        <v>1</v>
      </c>
      <c r="CH3639">
        <v>0</v>
      </c>
      <c r="CI3639">
        <v>0</v>
      </c>
      <c r="CJ3639">
        <v>0</v>
      </c>
      <c r="CK3639">
        <v>2</v>
      </c>
      <c r="CL3639">
        <v>0</v>
      </c>
      <c r="CM3639">
        <v>2</v>
      </c>
      <c r="CN3639">
        <v>0</v>
      </c>
      <c r="CO3639">
        <v>1</v>
      </c>
      <c r="CP3639" t="s">
        <v>119</v>
      </c>
      <c r="CQ3639">
        <v>179</v>
      </c>
      <c r="CR3639">
        <v>1</v>
      </c>
      <c r="CW3639">
        <v>9365322</v>
      </c>
      <c r="CY3639">
        <v>1</v>
      </c>
      <c r="CZ3639">
        <v>0</v>
      </c>
      <c r="DA3639">
        <v>0</v>
      </c>
      <c r="DB3639">
        <v>0</v>
      </c>
      <c r="DC3639">
        <v>0</v>
      </c>
      <c r="DD3639">
        <v>0</v>
      </c>
      <c r="DE3639">
        <v>0</v>
      </c>
      <c r="DF3639">
        <v>0</v>
      </c>
      <c r="DG3639">
        <v>0</v>
      </c>
      <c r="DH3639">
        <v>0</v>
      </c>
      <c r="DI3639">
        <v>0</v>
      </c>
    </row>
    <row r="3640" spans="1:113" x14ac:dyDescent="0.3">
      <c r="A3640" t="str">
        <f>"02/08/2021 20:34:36.814"</f>
        <v>02/08/2021 20:34:36.814</v>
      </c>
      <c r="C3640" t="str">
        <f t="shared" si="182"/>
        <v>FFDFD7C0</v>
      </c>
      <c r="D3640" t="s">
        <v>124</v>
      </c>
      <c r="E3640">
        <v>11</v>
      </c>
      <c r="F3640">
        <v>1011</v>
      </c>
      <c r="G3640" t="s">
        <v>590</v>
      </c>
      <c r="J3640" t="s">
        <v>125</v>
      </c>
      <c r="K3640">
        <v>0</v>
      </c>
      <c r="L3640">
        <v>3</v>
      </c>
      <c r="M3640">
        <v>0</v>
      </c>
      <c r="N3640">
        <v>2</v>
      </c>
      <c r="O3640">
        <v>1</v>
      </c>
      <c r="P3640">
        <v>0</v>
      </c>
      <c r="Q3640">
        <v>0</v>
      </c>
      <c r="S3640" t="str">
        <f>"20:34:39.156"</f>
        <v>20:34:39.156</v>
      </c>
      <c r="T3640" t="str">
        <f>"20:34:38.656"</f>
        <v>20:34:38.656</v>
      </c>
      <c r="U3640" t="str">
        <f t="shared" si="180"/>
        <v>AB01F4</v>
      </c>
      <c r="V3640">
        <v>0</v>
      </c>
      <c r="W3640">
        <v>0</v>
      </c>
      <c r="X3640">
        <v>2</v>
      </c>
      <c r="Z3640">
        <v>0</v>
      </c>
      <c r="AA3640">
        <v>9</v>
      </c>
      <c r="AB3640">
        <v>3</v>
      </c>
      <c r="AC3640">
        <v>0</v>
      </c>
      <c r="AD3640">
        <v>10</v>
      </c>
      <c r="AE3640">
        <v>0</v>
      </c>
      <c r="AF3640">
        <v>3</v>
      </c>
      <c r="AG3640">
        <v>2</v>
      </c>
      <c r="AH3640">
        <v>0</v>
      </c>
      <c r="AI3640" t="s">
        <v>2069</v>
      </c>
      <c r="AJ3640">
        <v>40.108702000000001</v>
      </c>
      <c r="AK3640" t="s">
        <v>2070</v>
      </c>
      <c r="AL3640">
        <v>-93.021604999999994</v>
      </c>
      <c r="AM3640">
        <v>100</v>
      </c>
      <c r="AN3640">
        <v>1300</v>
      </c>
      <c r="AO3640" t="s">
        <v>118</v>
      </c>
      <c r="AP3640">
        <v>-114</v>
      </c>
      <c r="AQ3640">
        <v>61</v>
      </c>
      <c r="AR3640">
        <v>64</v>
      </c>
      <c r="AZ3640">
        <v>1200</v>
      </c>
      <c r="BA3640">
        <v>1</v>
      </c>
      <c r="BB3640" t="str">
        <f t="shared" si="183"/>
        <v xml:space="preserve">N8080G  </v>
      </c>
      <c r="BC3640">
        <v>1</v>
      </c>
      <c r="BE3640">
        <v>0</v>
      </c>
      <c r="BF3640">
        <v>0</v>
      </c>
      <c r="BG3640">
        <v>0</v>
      </c>
      <c r="BH3640">
        <v>1350</v>
      </c>
      <c r="BI3640">
        <v>1</v>
      </c>
      <c r="BJ3640">
        <v>1</v>
      </c>
      <c r="BK3640">
        <v>1</v>
      </c>
      <c r="BL3640">
        <v>0</v>
      </c>
      <c r="BO3640">
        <v>0</v>
      </c>
      <c r="BP3640">
        <v>0</v>
      </c>
      <c r="BW3640" t="str">
        <f>"20:34:39.158"</f>
        <v>20:34:39.158</v>
      </c>
      <c r="BZ3640">
        <v>0</v>
      </c>
      <c r="CA3640">
        <v>1600</v>
      </c>
      <c r="CB3640">
        <v>224</v>
      </c>
      <c r="CD3640">
        <v>1</v>
      </c>
      <c r="CE3640">
        <v>0</v>
      </c>
      <c r="CF3640">
        <v>0</v>
      </c>
      <c r="CG3640">
        <v>1</v>
      </c>
      <c r="CH3640">
        <v>0</v>
      </c>
      <c r="CI3640">
        <v>0</v>
      </c>
      <c r="CJ3640">
        <v>0</v>
      </c>
      <c r="CK3640">
        <v>2</v>
      </c>
      <c r="CL3640">
        <v>0</v>
      </c>
      <c r="CM3640">
        <v>2</v>
      </c>
      <c r="CN3640">
        <v>0</v>
      </c>
      <c r="CO3640">
        <v>1</v>
      </c>
      <c r="CP3640" t="s">
        <v>119</v>
      </c>
      <c r="CQ3640">
        <v>179</v>
      </c>
      <c r="CR3640">
        <v>1</v>
      </c>
      <c r="CW3640">
        <v>9365322</v>
      </c>
      <c r="CY3640">
        <v>1</v>
      </c>
      <c r="CZ3640">
        <v>0</v>
      </c>
      <c r="DA3640">
        <v>1</v>
      </c>
      <c r="DB3640">
        <v>0</v>
      </c>
      <c r="DC3640">
        <v>0</v>
      </c>
      <c r="DD3640">
        <v>0</v>
      </c>
      <c r="DE3640">
        <v>0</v>
      </c>
      <c r="DF3640">
        <v>0</v>
      </c>
      <c r="DG3640">
        <v>0</v>
      </c>
      <c r="DH3640">
        <v>0</v>
      </c>
      <c r="DI3640">
        <v>0</v>
      </c>
    </row>
    <row r="3641" spans="1:113" x14ac:dyDescent="0.3">
      <c r="A3641" t="str">
        <f>"02/08/2021 20:34:36.814"</f>
        <v>02/08/2021 20:34:36.814</v>
      </c>
      <c r="C3641" t="str">
        <f t="shared" si="182"/>
        <v>FFDFD7C0</v>
      </c>
      <c r="D3641" t="s">
        <v>124</v>
      </c>
      <c r="E3641">
        <v>13</v>
      </c>
      <c r="F3641">
        <v>1013</v>
      </c>
      <c r="G3641" t="s">
        <v>114</v>
      </c>
      <c r="J3641" t="s">
        <v>125</v>
      </c>
      <c r="K3641">
        <v>0</v>
      </c>
      <c r="L3641">
        <v>3</v>
      </c>
      <c r="M3641">
        <v>0</v>
      </c>
      <c r="N3641">
        <v>2</v>
      </c>
      <c r="O3641">
        <v>1</v>
      </c>
      <c r="P3641">
        <v>0</v>
      </c>
      <c r="Q3641">
        <v>0</v>
      </c>
      <c r="S3641" t="str">
        <f>"20:34:39.156"</f>
        <v>20:34:39.156</v>
      </c>
      <c r="T3641" t="str">
        <f>"20:34:38.656"</f>
        <v>20:34:38.656</v>
      </c>
      <c r="U3641" t="str">
        <f t="shared" si="180"/>
        <v>AB01F4</v>
      </c>
      <c r="V3641">
        <v>0</v>
      </c>
      <c r="W3641">
        <v>0</v>
      </c>
      <c r="X3641">
        <v>2</v>
      </c>
      <c r="Z3641">
        <v>0</v>
      </c>
      <c r="AA3641">
        <v>9</v>
      </c>
      <c r="AB3641">
        <v>3</v>
      </c>
      <c r="AC3641">
        <v>0</v>
      </c>
      <c r="AD3641">
        <v>10</v>
      </c>
      <c r="AE3641">
        <v>0</v>
      </c>
      <c r="AF3641">
        <v>3</v>
      </c>
      <c r="AG3641">
        <v>2</v>
      </c>
      <c r="AH3641">
        <v>0</v>
      </c>
      <c r="AI3641" t="s">
        <v>2069</v>
      </c>
      <c r="AJ3641">
        <v>40.108702000000001</v>
      </c>
      <c r="AK3641" t="s">
        <v>2070</v>
      </c>
      <c r="AL3641">
        <v>-93.021604999999994</v>
      </c>
      <c r="AM3641">
        <v>100</v>
      </c>
      <c r="AN3641">
        <v>1300</v>
      </c>
      <c r="AO3641" t="s">
        <v>118</v>
      </c>
      <c r="AP3641">
        <v>-114</v>
      </c>
      <c r="AQ3641">
        <v>61</v>
      </c>
      <c r="AR3641">
        <v>64</v>
      </c>
      <c r="AZ3641">
        <v>1200</v>
      </c>
      <c r="BA3641">
        <v>1</v>
      </c>
      <c r="BB3641" t="str">
        <f t="shared" si="183"/>
        <v xml:space="preserve">N8080G  </v>
      </c>
      <c r="BC3641">
        <v>1</v>
      </c>
      <c r="BE3641">
        <v>0</v>
      </c>
      <c r="BF3641">
        <v>0</v>
      </c>
      <c r="BG3641">
        <v>0</v>
      </c>
      <c r="BH3641">
        <v>1350</v>
      </c>
      <c r="BI3641">
        <v>1</v>
      </c>
      <c r="BJ3641">
        <v>1</v>
      </c>
      <c r="BK3641">
        <v>1</v>
      </c>
      <c r="BL3641">
        <v>0</v>
      </c>
      <c r="BO3641">
        <v>0</v>
      </c>
      <c r="BP3641">
        <v>0</v>
      </c>
      <c r="BW3641" t="str">
        <f>"20:34:39.158"</f>
        <v>20:34:39.158</v>
      </c>
      <c r="BZ3641">
        <v>0</v>
      </c>
      <c r="CA3641">
        <v>1600</v>
      </c>
      <c r="CB3641">
        <v>224</v>
      </c>
      <c r="CD3641">
        <v>1</v>
      </c>
      <c r="CE3641">
        <v>0</v>
      </c>
      <c r="CF3641">
        <v>0</v>
      </c>
      <c r="CG3641">
        <v>1</v>
      </c>
      <c r="CH3641">
        <v>0</v>
      </c>
      <c r="CI3641">
        <v>0</v>
      </c>
      <c r="CJ3641">
        <v>0</v>
      </c>
      <c r="CK3641">
        <v>2</v>
      </c>
      <c r="CL3641">
        <v>0</v>
      </c>
      <c r="CM3641">
        <v>2</v>
      </c>
      <c r="CN3641">
        <v>0</v>
      </c>
      <c r="CO3641">
        <v>1</v>
      </c>
      <c r="CP3641" t="s">
        <v>119</v>
      </c>
      <c r="CQ3641">
        <v>179</v>
      </c>
      <c r="CR3641">
        <v>1</v>
      </c>
      <c r="CW3641">
        <v>9365322</v>
      </c>
      <c r="CY3641">
        <v>1</v>
      </c>
      <c r="CZ3641">
        <v>0</v>
      </c>
      <c r="DA3641">
        <v>1</v>
      </c>
      <c r="DB3641">
        <v>0</v>
      </c>
      <c r="DC3641">
        <v>0</v>
      </c>
      <c r="DD3641">
        <v>0</v>
      </c>
      <c r="DE3641">
        <v>0</v>
      </c>
      <c r="DF3641">
        <v>0</v>
      </c>
      <c r="DG3641">
        <v>0</v>
      </c>
      <c r="DH3641">
        <v>0</v>
      </c>
      <c r="DI3641">
        <v>0</v>
      </c>
    </row>
    <row r="3642" spans="1:113" x14ac:dyDescent="0.3">
      <c r="A3642" t="str">
        <f>"02/08/2021 20:34:36.814"</f>
        <v>02/08/2021 20:34:36.814</v>
      </c>
      <c r="C3642" t="str">
        <f t="shared" si="182"/>
        <v>FFDFD7C0</v>
      </c>
      <c r="D3642" t="s">
        <v>113</v>
      </c>
      <c r="E3642">
        <v>6</v>
      </c>
      <c r="H3642">
        <v>165</v>
      </c>
      <c r="I3642" t="s">
        <v>114</v>
      </c>
      <c r="J3642" t="s">
        <v>115</v>
      </c>
      <c r="K3642">
        <v>0</v>
      </c>
      <c r="L3642">
        <v>3</v>
      </c>
      <c r="M3642">
        <v>0</v>
      </c>
      <c r="N3642">
        <v>2</v>
      </c>
      <c r="O3642">
        <v>1</v>
      </c>
      <c r="P3642">
        <v>0</v>
      </c>
      <c r="Q3642">
        <v>0</v>
      </c>
      <c r="S3642" t="str">
        <f>"20:34:39.156"</f>
        <v>20:34:39.156</v>
      </c>
      <c r="T3642" t="str">
        <f>"20:34:38.656"</f>
        <v>20:34:38.656</v>
      </c>
      <c r="U3642" t="str">
        <f t="shared" si="180"/>
        <v>AB01F4</v>
      </c>
      <c r="V3642">
        <v>0</v>
      </c>
      <c r="W3642">
        <v>0</v>
      </c>
      <c r="X3642">
        <v>2</v>
      </c>
      <c r="Z3642">
        <v>0</v>
      </c>
      <c r="AA3642">
        <v>9</v>
      </c>
      <c r="AB3642">
        <v>3</v>
      </c>
      <c r="AC3642">
        <v>0</v>
      </c>
      <c r="AD3642">
        <v>10</v>
      </c>
      <c r="AE3642">
        <v>0</v>
      </c>
      <c r="AF3642">
        <v>3</v>
      </c>
      <c r="AG3642">
        <v>2</v>
      </c>
      <c r="AH3642">
        <v>0</v>
      </c>
      <c r="AI3642" t="s">
        <v>2069</v>
      </c>
      <c r="AJ3642">
        <v>40.108702000000001</v>
      </c>
      <c r="AK3642" t="s">
        <v>2070</v>
      </c>
      <c r="AL3642">
        <v>-93.021604999999994</v>
      </c>
      <c r="AM3642">
        <v>100</v>
      </c>
      <c r="AN3642">
        <v>1300</v>
      </c>
      <c r="AO3642" t="s">
        <v>118</v>
      </c>
      <c r="AP3642">
        <v>-114</v>
      </c>
      <c r="AQ3642">
        <v>61</v>
      </c>
      <c r="AR3642">
        <v>64</v>
      </c>
      <c r="AZ3642">
        <v>1200</v>
      </c>
      <c r="BA3642">
        <v>1</v>
      </c>
      <c r="BB3642" t="str">
        <f t="shared" si="183"/>
        <v xml:space="preserve">N8080G  </v>
      </c>
      <c r="BC3642">
        <v>1</v>
      </c>
      <c r="BE3642">
        <v>0</v>
      </c>
      <c r="BF3642">
        <v>0</v>
      </c>
      <c r="BG3642">
        <v>0</v>
      </c>
      <c r="BH3642">
        <v>1350</v>
      </c>
      <c r="BI3642">
        <v>1</v>
      </c>
      <c r="BJ3642">
        <v>1</v>
      </c>
      <c r="BK3642">
        <v>1</v>
      </c>
      <c r="BL3642">
        <v>0</v>
      </c>
      <c r="BO3642">
        <v>0</v>
      </c>
      <c r="BP3642">
        <v>0</v>
      </c>
      <c r="BW3642" t="str">
        <f>"20:34:39.158"</f>
        <v>20:34:39.158</v>
      </c>
      <c r="BZ3642">
        <v>0</v>
      </c>
      <c r="CA3642">
        <v>1600</v>
      </c>
      <c r="CB3642">
        <v>224</v>
      </c>
      <c r="CD3642">
        <v>1</v>
      </c>
      <c r="CE3642">
        <v>0</v>
      </c>
      <c r="CF3642">
        <v>0</v>
      </c>
      <c r="CG3642">
        <v>1</v>
      </c>
      <c r="CH3642">
        <v>0</v>
      </c>
      <c r="CI3642">
        <v>0</v>
      </c>
      <c r="CJ3642">
        <v>0</v>
      </c>
      <c r="CK3642">
        <v>2</v>
      </c>
      <c r="CL3642">
        <v>0</v>
      </c>
      <c r="CM3642">
        <v>2</v>
      </c>
      <c r="CN3642">
        <v>0</v>
      </c>
      <c r="CO3642">
        <v>1</v>
      </c>
      <c r="CP3642" t="s">
        <v>119</v>
      </c>
      <c r="CQ3642">
        <v>179</v>
      </c>
      <c r="CR3642">
        <v>1</v>
      </c>
      <c r="CW3642">
        <v>9365322</v>
      </c>
      <c r="CY3642">
        <v>1</v>
      </c>
      <c r="CZ3642">
        <v>0</v>
      </c>
      <c r="DA3642">
        <v>1</v>
      </c>
      <c r="DB3642">
        <v>0</v>
      </c>
      <c r="DC3642">
        <v>0</v>
      </c>
      <c r="DD3642">
        <v>0</v>
      </c>
      <c r="DE3642">
        <v>0</v>
      </c>
      <c r="DF3642">
        <v>0</v>
      </c>
      <c r="DG3642">
        <v>0</v>
      </c>
      <c r="DH3642">
        <v>0</v>
      </c>
      <c r="DI3642">
        <v>0</v>
      </c>
    </row>
    <row r="3643" spans="1:113" x14ac:dyDescent="0.3">
      <c r="A3643" t="str">
        <f>"02/08/2021 20:34:37.971"</f>
        <v>02/08/2021 20:34:37.971</v>
      </c>
      <c r="C3643" t="str">
        <f t="shared" si="182"/>
        <v>FFDFD7C0</v>
      </c>
      <c r="D3643" t="s">
        <v>124</v>
      </c>
      <c r="E3643">
        <v>12</v>
      </c>
      <c r="F3643">
        <v>1012</v>
      </c>
      <c r="G3643" t="s">
        <v>675</v>
      </c>
      <c r="J3643" t="s">
        <v>125</v>
      </c>
      <c r="K3643">
        <v>0</v>
      </c>
      <c r="L3643">
        <v>3</v>
      </c>
      <c r="M3643">
        <v>0</v>
      </c>
      <c r="N3643">
        <v>2</v>
      </c>
      <c r="O3643">
        <v>1</v>
      </c>
      <c r="P3643">
        <v>0</v>
      </c>
      <c r="Q3643">
        <v>0</v>
      </c>
      <c r="S3643" t="str">
        <f>"20:34:40.313"</f>
        <v>20:34:40.313</v>
      </c>
      <c r="T3643" t="str">
        <f>"20:34:38.712"</f>
        <v>20:34:38.712</v>
      </c>
      <c r="U3643" t="str">
        <f t="shared" si="180"/>
        <v>AB01F4</v>
      </c>
      <c r="V3643">
        <v>0</v>
      </c>
      <c r="W3643">
        <v>0</v>
      </c>
      <c r="X3643">
        <v>2</v>
      </c>
      <c r="Z3643">
        <v>0</v>
      </c>
      <c r="AA3643">
        <v>9</v>
      </c>
      <c r="AB3643">
        <v>3</v>
      </c>
      <c r="AC3643">
        <v>0</v>
      </c>
      <c r="AD3643">
        <v>10</v>
      </c>
      <c r="AE3643">
        <v>0</v>
      </c>
      <c r="AF3643">
        <v>3</v>
      </c>
      <c r="AG3643">
        <v>2</v>
      </c>
      <c r="AH3643">
        <v>0</v>
      </c>
      <c r="AI3643" t="s">
        <v>2071</v>
      </c>
      <c r="AJ3643">
        <v>40.109045999999999</v>
      </c>
      <c r="AK3643" t="s">
        <v>2072</v>
      </c>
      <c r="AL3643">
        <v>-93.022356000000002</v>
      </c>
      <c r="AM3643">
        <v>100</v>
      </c>
      <c r="AN3643">
        <v>1300</v>
      </c>
      <c r="AO3643" t="s">
        <v>118</v>
      </c>
      <c r="AP3643">
        <v>-114</v>
      </c>
      <c r="AQ3643">
        <v>61</v>
      </c>
      <c r="AR3643">
        <v>64</v>
      </c>
      <c r="AZ3643">
        <v>1200</v>
      </c>
      <c r="BA3643">
        <v>1</v>
      </c>
      <c r="BB3643" t="str">
        <f t="shared" si="183"/>
        <v xml:space="preserve">N8080G  </v>
      </c>
      <c r="BC3643">
        <v>1</v>
      </c>
      <c r="BE3643">
        <v>0</v>
      </c>
      <c r="BF3643">
        <v>0</v>
      </c>
      <c r="BG3643">
        <v>0</v>
      </c>
      <c r="BH3643">
        <v>1350</v>
      </c>
      <c r="BI3643">
        <v>1</v>
      </c>
      <c r="BJ3643">
        <v>1</v>
      </c>
      <c r="BK3643">
        <v>1</v>
      </c>
      <c r="BL3643">
        <v>0</v>
      </c>
      <c r="BO3643">
        <v>0</v>
      </c>
      <c r="BP3643">
        <v>0</v>
      </c>
      <c r="BW3643" t="str">
        <f>"20:34:40.316"</f>
        <v>20:34:40.316</v>
      </c>
      <c r="BZ3643">
        <v>0</v>
      </c>
      <c r="CA3643">
        <v>1600</v>
      </c>
      <c r="CB3643">
        <v>224</v>
      </c>
      <c r="CD3643">
        <v>1</v>
      </c>
      <c r="CE3643">
        <v>0</v>
      </c>
      <c r="CF3643">
        <v>0</v>
      </c>
      <c r="CG3643">
        <v>1</v>
      </c>
      <c r="CH3643">
        <v>0</v>
      </c>
      <c r="CI3643">
        <v>0</v>
      </c>
      <c r="CJ3643">
        <v>0</v>
      </c>
      <c r="CK3643">
        <v>2</v>
      </c>
      <c r="CL3643">
        <v>0</v>
      </c>
      <c r="CM3643">
        <v>2</v>
      </c>
      <c r="CN3643">
        <v>0</v>
      </c>
      <c r="CO3643">
        <v>1</v>
      </c>
      <c r="CP3643" t="s">
        <v>119</v>
      </c>
      <c r="CQ3643">
        <v>179</v>
      </c>
      <c r="CR3643">
        <v>1</v>
      </c>
      <c r="CW3643">
        <v>9366223</v>
      </c>
      <c r="CY3643">
        <v>1</v>
      </c>
      <c r="CZ3643">
        <v>0</v>
      </c>
      <c r="DA3643">
        <v>0</v>
      </c>
      <c r="DB3643">
        <v>0</v>
      </c>
      <c r="DC3643">
        <v>0</v>
      </c>
      <c r="DD3643">
        <v>0</v>
      </c>
      <c r="DE3643">
        <v>0</v>
      </c>
      <c r="DF3643">
        <v>0</v>
      </c>
      <c r="DG3643">
        <v>0</v>
      </c>
      <c r="DH3643">
        <v>0</v>
      </c>
      <c r="DI3643">
        <v>0</v>
      </c>
    </row>
    <row r="3644" spans="1:113" x14ac:dyDescent="0.3">
      <c r="A3644" t="str">
        <f>"02/08/2021 20:34:37.971"</f>
        <v>02/08/2021 20:34:37.971</v>
      </c>
      <c r="C3644" t="str">
        <f t="shared" si="182"/>
        <v>FFDFD7C0</v>
      </c>
      <c r="D3644" t="s">
        <v>124</v>
      </c>
      <c r="E3644">
        <v>11</v>
      </c>
      <c r="F3644">
        <v>1011</v>
      </c>
      <c r="G3644" t="s">
        <v>590</v>
      </c>
      <c r="J3644" t="s">
        <v>125</v>
      </c>
      <c r="K3644">
        <v>0</v>
      </c>
      <c r="L3644">
        <v>3</v>
      </c>
      <c r="M3644">
        <v>0</v>
      </c>
      <c r="N3644">
        <v>2</v>
      </c>
      <c r="O3644">
        <v>1</v>
      </c>
      <c r="P3644">
        <v>0</v>
      </c>
      <c r="Q3644">
        <v>0</v>
      </c>
      <c r="S3644" t="str">
        <f>"20:34:40.313"</f>
        <v>20:34:40.313</v>
      </c>
      <c r="T3644" t="str">
        <f>"20:34:38.712"</f>
        <v>20:34:38.712</v>
      </c>
      <c r="U3644" t="str">
        <f t="shared" si="180"/>
        <v>AB01F4</v>
      </c>
      <c r="V3644">
        <v>0</v>
      </c>
      <c r="W3644">
        <v>0</v>
      </c>
      <c r="X3644">
        <v>2</v>
      </c>
      <c r="Z3644">
        <v>0</v>
      </c>
      <c r="AA3644">
        <v>9</v>
      </c>
      <c r="AB3644">
        <v>3</v>
      </c>
      <c r="AC3644">
        <v>0</v>
      </c>
      <c r="AD3644">
        <v>10</v>
      </c>
      <c r="AE3644">
        <v>0</v>
      </c>
      <c r="AF3644">
        <v>3</v>
      </c>
      <c r="AG3644">
        <v>2</v>
      </c>
      <c r="AH3644">
        <v>0</v>
      </c>
      <c r="AI3644" t="s">
        <v>2071</v>
      </c>
      <c r="AJ3644">
        <v>40.109045999999999</v>
      </c>
      <c r="AK3644" t="s">
        <v>2072</v>
      </c>
      <c r="AL3644">
        <v>-93.022356000000002</v>
      </c>
      <c r="AM3644">
        <v>100</v>
      </c>
      <c r="AN3644">
        <v>1300</v>
      </c>
      <c r="AO3644" t="s">
        <v>118</v>
      </c>
      <c r="AP3644">
        <v>-114</v>
      </c>
      <c r="AQ3644">
        <v>61</v>
      </c>
      <c r="AR3644">
        <v>64</v>
      </c>
      <c r="AZ3644">
        <v>1200</v>
      </c>
      <c r="BA3644">
        <v>1</v>
      </c>
      <c r="BB3644" t="str">
        <f t="shared" si="183"/>
        <v xml:space="preserve">N8080G  </v>
      </c>
      <c r="BC3644">
        <v>1</v>
      </c>
      <c r="BE3644">
        <v>0</v>
      </c>
      <c r="BF3644">
        <v>0</v>
      </c>
      <c r="BG3644">
        <v>0</v>
      </c>
      <c r="BH3644">
        <v>1350</v>
      </c>
      <c r="BI3644">
        <v>1</v>
      </c>
      <c r="BJ3644">
        <v>1</v>
      </c>
      <c r="BK3644">
        <v>1</v>
      </c>
      <c r="BL3644">
        <v>0</v>
      </c>
      <c r="BO3644">
        <v>0</v>
      </c>
      <c r="BP3644">
        <v>0</v>
      </c>
      <c r="BW3644" t="str">
        <f>"20:34:40.316"</f>
        <v>20:34:40.316</v>
      </c>
      <c r="BZ3644">
        <v>0</v>
      </c>
      <c r="CA3644">
        <v>1600</v>
      </c>
      <c r="CB3644">
        <v>224</v>
      </c>
      <c r="CD3644">
        <v>1</v>
      </c>
      <c r="CE3644">
        <v>0</v>
      </c>
      <c r="CF3644">
        <v>0</v>
      </c>
      <c r="CG3644">
        <v>1</v>
      </c>
      <c r="CH3644">
        <v>0</v>
      </c>
      <c r="CI3644">
        <v>0</v>
      </c>
      <c r="CJ3644">
        <v>0</v>
      </c>
      <c r="CK3644">
        <v>2</v>
      </c>
      <c r="CL3644">
        <v>0</v>
      </c>
      <c r="CM3644">
        <v>2</v>
      </c>
      <c r="CN3644">
        <v>0</v>
      </c>
      <c r="CO3644">
        <v>1</v>
      </c>
      <c r="CP3644" t="s">
        <v>119</v>
      </c>
      <c r="CQ3644">
        <v>179</v>
      </c>
      <c r="CR3644">
        <v>1</v>
      </c>
      <c r="CW3644">
        <v>9366223</v>
      </c>
      <c r="CY3644">
        <v>1</v>
      </c>
      <c r="CZ3644">
        <v>0</v>
      </c>
      <c r="DA3644">
        <v>1</v>
      </c>
      <c r="DB3644">
        <v>0</v>
      </c>
      <c r="DC3644">
        <v>0</v>
      </c>
      <c r="DD3644">
        <v>0</v>
      </c>
      <c r="DE3644">
        <v>0</v>
      </c>
      <c r="DF3644">
        <v>0</v>
      </c>
      <c r="DG3644">
        <v>0</v>
      </c>
      <c r="DH3644">
        <v>0</v>
      </c>
      <c r="DI3644">
        <v>0</v>
      </c>
    </row>
    <row r="3645" spans="1:113" x14ac:dyDescent="0.3">
      <c r="A3645" t="str">
        <f>"02/08/2021 20:34:37.971"</f>
        <v>02/08/2021 20:34:37.971</v>
      </c>
      <c r="C3645" t="str">
        <f t="shared" si="182"/>
        <v>FFDFD7C0</v>
      </c>
      <c r="D3645" t="s">
        <v>124</v>
      </c>
      <c r="E3645">
        <v>13</v>
      </c>
      <c r="F3645">
        <v>1013</v>
      </c>
      <c r="G3645" t="s">
        <v>114</v>
      </c>
      <c r="J3645" t="s">
        <v>125</v>
      </c>
      <c r="K3645">
        <v>0</v>
      </c>
      <c r="L3645">
        <v>3</v>
      </c>
      <c r="M3645">
        <v>0</v>
      </c>
      <c r="N3645">
        <v>2</v>
      </c>
      <c r="O3645">
        <v>1</v>
      </c>
      <c r="P3645">
        <v>0</v>
      </c>
      <c r="Q3645">
        <v>0</v>
      </c>
      <c r="S3645" t="str">
        <f>"20:34:40.313"</f>
        <v>20:34:40.313</v>
      </c>
      <c r="T3645" t="str">
        <f>"20:34:38.712"</f>
        <v>20:34:38.712</v>
      </c>
      <c r="U3645" t="str">
        <f t="shared" si="180"/>
        <v>AB01F4</v>
      </c>
      <c r="V3645">
        <v>0</v>
      </c>
      <c r="W3645">
        <v>0</v>
      </c>
      <c r="X3645">
        <v>2</v>
      </c>
      <c r="Z3645">
        <v>0</v>
      </c>
      <c r="AA3645">
        <v>9</v>
      </c>
      <c r="AB3645">
        <v>3</v>
      </c>
      <c r="AC3645">
        <v>0</v>
      </c>
      <c r="AD3645">
        <v>10</v>
      </c>
      <c r="AE3645">
        <v>0</v>
      </c>
      <c r="AF3645">
        <v>3</v>
      </c>
      <c r="AG3645">
        <v>2</v>
      </c>
      <c r="AH3645">
        <v>0</v>
      </c>
      <c r="AI3645" t="s">
        <v>2071</v>
      </c>
      <c r="AJ3645">
        <v>40.109045999999999</v>
      </c>
      <c r="AK3645" t="s">
        <v>2072</v>
      </c>
      <c r="AL3645">
        <v>-93.022356000000002</v>
      </c>
      <c r="AM3645">
        <v>100</v>
      </c>
      <c r="AN3645">
        <v>1300</v>
      </c>
      <c r="AO3645" t="s">
        <v>118</v>
      </c>
      <c r="AP3645">
        <v>-114</v>
      </c>
      <c r="AQ3645">
        <v>61</v>
      </c>
      <c r="AR3645">
        <v>64</v>
      </c>
      <c r="AZ3645">
        <v>1200</v>
      </c>
      <c r="BA3645">
        <v>1</v>
      </c>
      <c r="BB3645" t="str">
        <f t="shared" si="183"/>
        <v xml:space="preserve">N8080G  </v>
      </c>
      <c r="BC3645">
        <v>1</v>
      </c>
      <c r="BE3645">
        <v>0</v>
      </c>
      <c r="BF3645">
        <v>0</v>
      </c>
      <c r="BG3645">
        <v>0</v>
      </c>
      <c r="BH3645">
        <v>1350</v>
      </c>
      <c r="BI3645">
        <v>1</v>
      </c>
      <c r="BJ3645">
        <v>1</v>
      </c>
      <c r="BK3645">
        <v>1</v>
      </c>
      <c r="BL3645">
        <v>0</v>
      </c>
      <c r="BO3645">
        <v>0</v>
      </c>
      <c r="BP3645">
        <v>0</v>
      </c>
      <c r="BW3645" t="str">
        <f>"20:34:40.316"</f>
        <v>20:34:40.316</v>
      </c>
      <c r="BZ3645">
        <v>0</v>
      </c>
      <c r="CA3645">
        <v>1600</v>
      </c>
      <c r="CB3645">
        <v>224</v>
      </c>
      <c r="CD3645">
        <v>1</v>
      </c>
      <c r="CE3645">
        <v>0</v>
      </c>
      <c r="CF3645">
        <v>0</v>
      </c>
      <c r="CG3645">
        <v>1</v>
      </c>
      <c r="CH3645">
        <v>0</v>
      </c>
      <c r="CI3645">
        <v>0</v>
      </c>
      <c r="CJ3645">
        <v>0</v>
      </c>
      <c r="CK3645">
        <v>2</v>
      </c>
      <c r="CL3645">
        <v>0</v>
      </c>
      <c r="CM3645">
        <v>2</v>
      </c>
      <c r="CN3645">
        <v>0</v>
      </c>
      <c r="CO3645">
        <v>1</v>
      </c>
      <c r="CP3645" t="s">
        <v>119</v>
      </c>
      <c r="CQ3645">
        <v>179</v>
      </c>
      <c r="CR3645">
        <v>1</v>
      </c>
      <c r="CW3645">
        <v>9366223</v>
      </c>
      <c r="CY3645">
        <v>1</v>
      </c>
      <c r="CZ3645">
        <v>0</v>
      </c>
      <c r="DA3645">
        <v>1</v>
      </c>
      <c r="DB3645">
        <v>0</v>
      </c>
      <c r="DC3645">
        <v>0</v>
      </c>
      <c r="DD3645">
        <v>0</v>
      </c>
      <c r="DE3645">
        <v>0</v>
      </c>
      <c r="DF3645">
        <v>0</v>
      </c>
      <c r="DG3645">
        <v>0</v>
      </c>
      <c r="DH3645">
        <v>0</v>
      </c>
      <c r="DI3645">
        <v>0</v>
      </c>
    </row>
    <row r="3646" spans="1:113" x14ac:dyDescent="0.3">
      <c r="A3646" t="str">
        <f>"02/08/2021 20:34:37.971"</f>
        <v>02/08/2021 20:34:37.971</v>
      </c>
      <c r="C3646" t="str">
        <f t="shared" si="182"/>
        <v>FFDFD7C0</v>
      </c>
      <c r="D3646" t="s">
        <v>113</v>
      </c>
      <c r="E3646">
        <v>6</v>
      </c>
      <c r="H3646">
        <v>165</v>
      </c>
      <c r="I3646" t="s">
        <v>114</v>
      </c>
      <c r="J3646" t="s">
        <v>115</v>
      </c>
      <c r="K3646">
        <v>0</v>
      </c>
      <c r="L3646">
        <v>3</v>
      </c>
      <c r="M3646">
        <v>0</v>
      </c>
      <c r="N3646">
        <v>2</v>
      </c>
      <c r="O3646">
        <v>1</v>
      </c>
      <c r="P3646">
        <v>0</v>
      </c>
      <c r="Q3646">
        <v>0</v>
      </c>
      <c r="S3646" t="str">
        <f>"20:34:40.313"</f>
        <v>20:34:40.313</v>
      </c>
      <c r="T3646" t="str">
        <f>"20:34:38.712"</f>
        <v>20:34:38.712</v>
      </c>
      <c r="U3646" t="str">
        <f t="shared" si="180"/>
        <v>AB01F4</v>
      </c>
      <c r="V3646">
        <v>0</v>
      </c>
      <c r="W3646">
        <v>0</v>
      </c>
      <c r="X3646">
        <v>2</v>
      </c>
      <c r="Z3646">
        <v>0</v>
      </c>
      <c r="AA3646">
        <v>9</v>
      </c>
      <c r="AB3646">
        <v>3</v>
      </c>
      <c r="AC3646">
        <v>0</v>
      </c>
      <c r="AD3646">
        <v>10</v>
      </c>
      <c r="AE3646">
        <v>0</v>
      </c>
      <c r="AF3646">
        <v>3</v>
      </c>
      <c r="AG3646">
        <v>2</v>
      </c>
      <c r="AH3646">
        <v>0</v>
      </c>
      <c r="AI3646" t="s">
        <v>2071</v>
      </c>
      <c r="AJ3646">
        <v>40.109045999999999</v>
      </c>
      <c r="AK3646" t="s">
        <v>2072</v>
      </c>
      <c r="AL3646">
        <v>-93.022356000000002</v>
      </c>
      <c r="AM3646">
        <v>100</v>
      </c>
      <c r="AN3646">
        <v>1300</v>
      </c>
      <c r="AO3646" t="s">
        <v>118</v>
      </c>
      <c r="AP3646">
        <v>-114</v>
      </c>
      <c r="AQ3646">
        <v>61</v>
      </c>
      <c r="AR3646">
        <v>64</v>
      </c>
      <c r="AZ3646">
        <v>1200</v>
      </c>
      <c r="BA3646">
        <v>1</v>
      </c>
      <c r="BB3646" t="str">
        <f t="shared" si="183"/>
        <v xml:space="preserve">N8080G  </v>
      </c>
      <c r="BC3646">
        <v>1</v>
      </c>
      <c r="BE3646">
        <v>0</v>
      </c>
      <c r="BF3646">
        <v>0</v>
      </c>
      <c r="BG3646">
        <v>0</v>
      </c>
      <c r="BH3646">
        <v>1350</v>
      </c>
      <c r="BI3646">
        <v>1</v>
      </c>
      <c r="BJ3646">
        <v>1</v>
      </c>
      <c r="BK3646">
        <v>1</v>
      </c>
      <c r="BL3646">
        <v>0</v>
      </c>
      <c r="BO3646">
        <v>0</v>
      </c>
      <c r="BP3646">
        <v>0</v>
      </c>
      <c r="BW3646" t="str">
        <f>"20:34:40.316"</f>
        <v>20:34:40.316</v>
      </c>
      <c r="BZ3646">
        <v>0</v>
      </c>
      <c r="CA3646">
        <v>1600</v>
      </c>
      <c r="CB3646">
        <v>224</v>
      </c>
      <c r="CD3646">
        <v>1</v>
      </c>
      <c r="CE3646">
        <v>0</v>
      </c>
      <c r="CF3646">
        <v>0</v>
      </c>
      <c r="CG3646">
        <v>1</v>
      </c>
      <c r="CH3646">
        <v>0</v>
      </c>
      <c r="CI3646">
        <v>0</v>
      </c>
      <c r="CJ3646">
        <v>0</v>
      </c>
      <c r="CK3646">
        <v>2</v>
      </c>
      <c r="CL3646">
        <v>0</v>
      </c>
      <c r="CM3646">
        <v>2</v>
      </c>
      <c r="CN3646">
        <v>0</v>
      </c>
      <c r="CO3646">
        <v>1</v>
      </c>
      <c r="CP3646" t="s">
        <v>119</v>
      </c>
      <c r="CQ3646">
        <v>179</v>
      </c>
      <c r="CR3646">
        <v>1</v>
      </c>
      <c r="CW3646">
        <v>9366223</v>
      </c>
      <c r="CY3646">
        <v>1</v>
      </c>
      <c r="CZ3646">
        <v>0</v>
      </c>
      <c r="DA3646">
        <v>1</v>
      </c>
      <c r="DB3646">
        <v>0</v>
      </c>
      <c r="DC3646">
        <v>0</v>
      </c>
      <c r="DD3646">
        <v>0</v>
      </c>
      <c r="DE3646">
        <v>0</v>
      </c>
      <c r="DF3646">
        <v>0</v>
      </c>
      <c r="DG3646">
        <v>0</v>
      </c>
      <c r="DH3646">
        <v>0</v>
      </c>
      <c r="DI3646">
        <v>0</v>
      </c>
    </row>
    <row r="3647" spans="1:113" x14ac:dyDescent="0.3">
      <c r="A3647" t="str">
        <f>"02/08/2021 20:34:38.959"</f>
        <v>02/08/2021 20:34:38.959</v>
      </c>
      <c r="C3647" t="str">
        <f t="shared" si="182"/>
        <v>FFDFD7C0</v>
      </c>
      <c r="D3647" t="s">
        <v>113</v>
      </c>
      <c r="E3647">
        <v>6</v>
      </c>
      <c r="H3647">
        <v>165</v>
      </c>
      <c r="I3647" t="s">
        <v>114</v>
      </c>
      <c r="J3647" t="s">
        <v>115</v>
      </c>
      <c r="K3647">
        <v>0</v>
      </c>
      <c r="L3647">
        <v>3</v>
      </c>
      <c r="M3647">
        <v>0</v>
      </c>
      <c r="N3647">
        <v>2</v>
      </c>
      <c r="O3647">
        <v>1</v>
      </c>
      <c r="P3647">
        <v>0</v>
      </c>
      <c r="Q3647">
        <v>0</v>
      </c>
      <c r="S3647" t="str">
        <f>"20:34:41.281"</f>
        <v>20:34:41.281</v>
      </c>
      <c r="T3647" t="str">
        <f>"20:34:40.781"</f>
        <v>20:34:40.781</v>
      </c>
      <c r="U3647" t="str">
        <f t="shared" si="180"/>
        <v>AB01F4</v>
      </c>
      <c r="V3647">
        <v>0</v>
      </c>
      <c r="W3647">
        <v>0</v>
      </c>
      <c r="X3647">
        <v>2</v>
      </c>
      <c r="Z3647">
        <v>0</v>
      </c>
      <c r="AA3647">
        <v>9</v>
      </c>
      <c r="AB3647">
        <v>3</v>
      </c>
      <c r="AC3647">
        <v>0</v>
      </c>
      <c r="AD3647">
        <v>10</v>
      </c>
      <c r="AE3647">
        <v>0</v>
      </c>
      <c r="AF3647">
        <v>3</v>
      </c>
      <c r="AG3647">
        <v>2</v>
      </c>
      <c r="AH3647">
        <v>0</v>
      </c>
      <c r="AI3647" t="s">
        <v>2073</v>
      </c>
      <c r="AJ3647">
        <v>40.109324000000001</v>
      </c>
      <c r="AK3647" t="s">
        <v>2074</v>
      </c>
      <c r="AL3647">
        <v>-93.022977999999995</v>
      </c>
      <c r="AM3647">
        <v>100</v>
      </c>
      <c r="AN3647">
        <v>1300</v>
      </c>
      <c r="AO3647" t="s">
        <v>118</v>
      </c>
      <c r="AP3647">
        <v>-113</v>
      </c>
      <c r="AQ3647">
        <v>61</v>
      </c>
      <c r="AR3647">
        <v>128</v>
      </c>
      <c r="AZ3647">
        <v>1200</v>
      </c>
      <c r="BA3647">
        <v>1</v>
      </c>
      <c r="BB3647" t="str">
        <f t="shared" si="183"/>
        <v xml:space="preserve">N8080G  </v>
      </c>
      <c r="BC3647">
        <v>1</v>
      </c>
      <c r="BE3647">
        <v>0</v>
      </c>
      <c r="BF3647">
        <v>0</v>
      </c>
      <c r="BG3647">
        <v>0</v>
      </c>
      <c r="BH3647">
        <v>1350</v>
      </c>
      <c r="BI3647">
        <v>1</v>
      </c>
      <c r="BJ3647">
        <v>1</v>
      </c>
      <c r="BK3647">
        <v>1</v>
      </c>
      <c r="BL3647">
        <v>0</v>
      </c>
      <c r="BO3647">
        <v>0</v>
      </c>
      <c r="BP3647">
        <v>0</v>
      </c>
      <c r="BW3647" t="str">
        <f>"20:34:41.284"</f>
        <v>20:34:41.284</v>
      </c>
      <c r="BZ3647">
        <v>0</v>
      </c>
      <c r="CA3647">
        <v>1600</v>
      </c>
      <c r="CB3647">
        <v>224</v>
      </c>
      <c r="CD3647">
        <v>1</v>
      </c>
      <c r="CE3647">
        <v>0</v>
      </c>
      <c r="CF3647">
        <v>0</v>
      </c>
      <c r="CG3647">
        <v>1</v>
      </c>
      <c r="CH3647">
        <v>0</v>
      </c>
      <c r="CI3647">
        <v>0</v>
      </c>
      <c r="CJ3647">
        <v>0</v>
      </c>
      <c r="CK3647">
        <v>2</v>
      </c>
      <c r="CL3647">
        <v>0</v>
      </c>
      <c r="CM3647">
        <v>2</v>
      </c>
      <c r="CN3647">
        <v>0</v>
      </c>
      <c r="CO3647">
        <v>6</v>
      </c>
      <c r="CP3647" t="s">
        <v>119</v>
      </c>
      <c r="CQ3647">
        <v>180</v>
      </c>
      <c r="CR3647">
        <v>3</v>
      </c>
      <c r="CW3647">
        <v>1226857</v>
      </c>
      <c r="CY3647">
        <v>1</v>
      </c>
      <c r="CZ3647">
        <v>0</v>
      </c>
      <c r="DA3647">
        <v>0</v>
      </c>
      <c r="DB3647">
        <v>0</v>
      </c>
      <c r="DC3647">
        <v>0</v>
      </c>
      <c r="DD3647">
        <v>0</v>
      </c>
      <c r="DE3647">
        <v>0</v>
      </c>
      <c r="DF3647">
        <v>0</v>
      </c>
      <c r="DG3647">
        <v>0</v>
      </c>
      <c r="DH3647">
        <v>0</v>
      </c>
      <c r="DI3647">
        <v>0</v>
      </c>
    </row>
    <row r="3648" spans="1:113" x14ac:dyDescent="0.3">
      <c r="A3648" t="str">
        <f>"02/08/2021 20:34:38.959"</f>
        <v>02/08/2021 20:34:38.959</v>
      </c>
      <c r="C3648" t="str">
        <f t="shared" si="182"/>
        <v>FFDFD7C0</v>
      </c>
      <c r="D3648" t="s">
        <v>124</v>
      </c>
      <c r="E3648">
        <v>12</v>
      </c>
      <c r="F3648">
        <v>1012</v>
      </c>
      <c r="G3648" t="s">
        <v>675</v>
      </c>
      <c r="J3648" t="s">
        <v>125</v>
      </c>
      <c r="K3648">
        <v>0</v>
      </c>
      <c r="L3648">
        <v>3</v>
      </c>
      <c r="M3648">
        <v>0</v>
      </c>
      <c r="N3648">
        <v>2</v>
      </c>
      <c r="O3648">
        <v>1</v>
      </c>
      <c r="P3648">
        <v>0</v>
      </c>
      <c r="Q3648">
        <v>0</v>
      </c>
      <c r="S3648" t="str">
        <f>"20:34:41.281"</f>
        <v>20:34:41.281</v>
      </c>
      <c r="T3648" t="str">
        <f>"20:34:40.781"</f>
        <v>20:34:40.781</v>
      </c>
      <c r="U3648" t="str">
        <f t="shared" si="180"/>
        <v>AB01F4</v>
      </c>
      <c r="V3648">
        <v>0</v>
      </c>
      <c r="W3648">
        <v>0</v>
      </c>
      <c r="X3648">
        <v>2</v>
      </c>
      <c r="Z3648">
        <v>0</v>
      </c>
      <c r="AA3648">
        <v>9</v>
      </c>
      <c r="AB3648">
        <v>3</v>
      </c>
      <c r="AC3648">
        <v>0</v>
      </c>
      <c r="AD3648">
        <v>10</v>
      </c>
      <c r="AE3648">
        <v>0</v>
      </c>
      <c r="AF3648">
        <v>3</v>
      </c>
      <c r="AG3648">
        <v>2</v>
      </c>
      <c r="AH3648">
        <v>0</v>
      </c>
      <c r="AI3648" t="s">
        <v>2073</v>
      </c>
      <c r="AJ3648">
        <v>40.109324000000001</v>
      </c>
      <c r="AK3648" t="s">
        <v>2074</v>
      </c>
      <c r="AL3648">
        <v>-93.022977999999995</v>
      </c>
      <c r="AM3648">
        <v>100</v>
      </c>
      <c r="AN3648">
        <v>1300</v>
      </c>
      <c r="AO3648" t="s">
        <v>118</v>
      </c>
      <c r="AP3648">
        <v>-113</v>
      </c>
      <c r="AQ3648">
        <v>61</v>
      </c>
      <c r="AR3648">
        <v>128</v>
      </c>
      <c r="AZ3648">
        <v>1200</v>
      </c>
      <c r="BA3648">
        <v>1</v>
      </c>
      <c r="BB3648" t="str">
        <f t="shared" si="183"/>
        <v xml:space="preserve">N8080G  </v>
      </c>
      <c r="BC3648">
        <v>1</v>
      </c>
      <c r="BE3648">
        <v>0</v>
      </c>
      <c r="BF3648">
        <v>0</v>
      </c>
      <c r="BG3648">
        <v>0</v>
      </c>
      <c r="BH3648">
        <v>1350</v>
      </c>
      <c r="BI3648">
        <v>1</v>
      </c>
      <c r="BJ3648">
        <v>1</v>
      </c>
      <c r="BK3648">
        <v>1</v>
      </c>
      <c r="BL3648">
        <v>0</v>
      </c>
      <c r="BO3648">
        <v>0</v>
      </c>
      <c r="BP3648">
        <v>0</v>
      </c>
      <c r="BW3648" t="str">
        <f>"20:34:41.284"</f>
        <v>20:34:41.284</v>
      </c>
      <c r="BZ3648">
        <v>0</v>
      </c>
      <c r="CA3648">
        <v>1600</v>
      </c>
      <c r="CB3648">
        <v>224</v>
      </c>
      <c r="CD3648">
        <v>1</v>
      </c>
      <c r="CE3648">
        <v>0</v>
      </c>
      <c r="CF3648">
        <v>0</v>
      </c>
      <c r="CG3648">
        <v>1</v>
      </c>
      <c r="CH3648">
        <v>0</v>
      </c>
      <c r="CI3648">
        <v>0</v>
      </c>
      <c r="CJ3648">
        <v>0</v>
      </c>
      <c r="CK3648">
        <v>2</v>
      </c>
      <c r="CL3648">
        <v>0</v>
      </c>
      <c r="CM3648">
        <v>2</v>
      </c>
      <c r="CN3648">
        <v>0</v>
      </c>
      <c r="CO3648">
        <v>6</v>
      </c>
      <c r="CP3648" t="s">
        <v>119</v>
      </c>
      <c r="CQ3648">
        <v>180</v>
      </c>
      <c r="CR3648">
        <v>3</v>
      </c>
      <c r="CW3648">
        <v>1226857</v>
      </c>
      <c r="CY3648">
        <v>1</v>
      </c>
      <c r="CZ3648">
        <v>0</v>
      </c>
      <c r="DA3648">
        <v>1</v>
      </c>
      <c r="DB3648">
        <v>0</v>
      </c>
      <c r="DC3648">
        <v>0</v>
      </c>
      <c r="DD3648">
        <v>0</v>
      </c>
      <c r="DE3648">
        <v>0</v>
      </c>
      <c r="DF3648">
        <v>0</v>
      </c>
      <c r="DG3648">
        <v>0</v>
      </c>
      <c r="DH3648">
        <v>0</v>
      </c>
      <c r="DI3648">
        <v>0</v>
      </c>
    </row>
    <row r="3649" spans="1:113" x14ac:dyDescent="0.3">
      <c r="A3649" t="str">
        <f>"02/08/2021 20:34:38.959"</f>
        <v>02/08/2021 20:34:38.959</v>
      </c>
      <c r="C3649" t="str">
        <f t="shared" si="182"/>
        <v>FFDFD7C0</v>
      </c>
      <c r="D3649" t="s">
        <v>124</v>
      </c>
      <c r="E3649">
        <v>11</v>
      </c>
      <c r="F3649">
        <v>1011</v>
      </c>
      <c r="G3649" t="s">
        <v>590</v>
      </c>
      <c r="J3649" t="s">
        <v>125</v>
      </c>
      <c r="K3649">
        <v>0</v>
      </c>
      <c r="L3649">
        <v>3</v>
      </c>
      <c r="M3649">
        <v>0</v>
      </c>
      <c r="N3649">
        <v>2</v>
      </c>
      <c r="O3649">
        <v>1</v>
      </c>
      <c r="P3649">
        <v>0</v>
      </c>
      <c r="Q3649">
        <v>0</v>
      </c>
      <c r="S3649" t="str">
        <f>"20:34:41.281"</f>
        <v>20:34:41.281</v>
      </c>
      <c r="T3649" t="str">
        <f>"20:34:40.781"</f>
        <v>20:34:40.781</v>
      </c>
      <c r="U3649" t="str">
        <f t="shared" si="180"/>
        <v>AB01F4</v>
      </c>
      <c r="V3649">
        <v>0</v>
      </c>
      <c r="W3649">
        <v>0</v>
      </c>
      <c r="X3649">
        <v>2</v>
      </c>
      <c r="Z3649">
        <v>0</v>
      </c>
      <c r="AA3649">
        <v>9</v>
      </c>
      <c r="AB3649">
        <v>3</v>
      </c>
      <c r="AC3649">
        <v>0</v>
      </c>
      <c r="AD3649">
        <v>10</v>
      </c>
      <c r="AE3649">
        <v>0</v>
      </c>
      <c r="AF3649">
        <v>3</v>
      </c>
      <c r="AG3649">
        <v>2</v>
      </c>
      <c r="AH3649">
        <v>0</v>
      </c>
      <c r="AI3649" t="s">
        <v>2073</v>
      </c>
      <c r="AJ3649">
        <v>40.109324000000001</v>
      </c>
      <c r="AK3649" t="s">
        <v>2074</v>
      </c>
      <c r="AL3649">
        <v>-93.022977999999995</v>
      </c>
      <c r="AM3649">
        <v>100</v>
      </c>
      <c r="AN3649">
        <v>1300</v>
      </c>
      <c r="AO3649" t="s">
        <v>118</v>
      </c>
      <c r="AP3649">
        <v>-113</v>
      </c>
      <c r="AQ3649">
        <v>61</v>
      </c>
      <c r="AR3649">
        <v>128</v>
      </c>
      <c r="AZ3649">
        <v>1200</v>
      </c>
      <c r="BA3649">
        <v>1</v>
      </c>
      <c r="BB3649" t="str">
        <f t="shared" si="183"/>
        <v xml:space="preserve">N8080G  </v>
      </c>
      <c r="BC3649">
        <v>1</v>
      </c>
      <c r="BE3649">
        <v>0</v>
      </c>
      <c r="BF3649">
        <v>0</v>
      </c>
      <c r="BG3649">
        <v>0</v>
      </c>
      <c r="BH3649">
        <v>1350</v>
      </c>
      <c r="BI3649">
        <v>1</v>
      </c>
      <c r="BJ3649">
        <v>1</v>
      </c>
      <c r="BK3649">
        <v>1</v>
      </c>
      <c r="BL3649">
        <v>0</v>
      </c>
      <c r="BO3649">
        <v>0</v>
      </c>
      <c r="BP3649">
        <v>0</v>
      </c>
      <c r="BW3649" t="str">
        <f>"20:34:41.284"</f>
        <v>20:34:41.284</v>
      </c>
      <c r="BZ3649">
        <v>0</v>
      </c>
      <c r="CA3649">
        <v>1600</v>
      </c>
      <c r="CB3649">
        <v>224</v>
      </c>
      <c r="CD3649">
        <v>1</v>
      </c>
      <c r="CE3649">
        <v>0</v>
      </c>
      <c r="CF3649">
        <v>0</v>
      </c>
      <c r="CG3649">
        <v>1</v>
      </c>
      <c r="CH3649">
        <v>0</v>
      </c>
      <c r="CI3649">
        <v>0</v>
      </c>
      <c r="CJ3649">
        <v>0</v>
      </c>
      <c r="CK3649">
        <v>2</v>
      </c>
      <c r="CL3649">
        <v>0</v>
      </c>
      <c r="CM3649">
        <v>2</v>
      </c>
      <c r="CN3649">
        <v>0</v>
      </c>
      <c r="CO3649">
        <v>6</v>
      </c>
      <c r="CP3649" t="s">
        <v>119</v>
      </c>
      <c r="CQ3649">
        <v>180</v>
      </c>
      <c r="CR3649">
        <v>3</v>
      </c>
      <c r="CW3649">
        <v>1226857</v>
      </c>
      <c r="CY3649">
        <v>1</v>
      </c>
      <c r="CZ3649">
        <v>0</v>
      </c>
      <c r="DA3649">
        <v>1</v>
      </c>
      <c r="DB3649">
        <v>0</v>
      </c>
      <c r="DC3649">
        <v>0</v>
      </c>
      <c r="DD3649">
        <v>0</v>
      </c>
      <c r="DE3649">
        <v>0</v>
      </c>
      <c r="DF3649">
        <v>0</v>
      </c>
      <c r="DG3649">
        <v>0</v>
      </c>
      <c r="DH3649">
        <v>0</v>
      </c>
      <c r="DI3649">
        <v>0</v>
      </c>
    </row>
    <row r="3650" spans="1:113" x14ac:dyDescent="0.3">
      <c r="A3650" t="str">
        <f>"02/08/2021 20:34:38.959"</f>
        <v>02/08/2021 20:34:38.959</v>
      </c>
      <c r="C3650" t="str">
        <f t="shared" si="182"/>
        <v>FFDFD7C0</v>
      </c>
      <c r="D3650" t="s">
        <v>124</v>
      </c>
      <c r="E3650">
        <v>13</v>
      </c>
      <c r="F3650">
        <v>1013</v>
      </c>
      <c r="G3650" t="s">
        <v>114</v>
      </c>
      <c r="J3650" t="s">
        <v>125</v>
      </c>
      <c r="K3650">
        <v>0</v>
      </c>
      <c r="L3650">
        <v>3</v>
      </c>
      <c r="M3650">
        <v>0</v>
      </c>
      <c r="N3650">
        <v>2</v>
      </c>
      <c r="O3650">
        <v>1</v>
      </c>
      <c r="P3650">
        <v>0</v>
      </c>
      <c r="Q3650">
        <v>0</v>
      </c>
      <c r="S3650" t="str">
        <f>"20:34:41.281"</f>
        <v>20:34:41.281</v>
      </c>
      <c r="T3650" t="str">
        <f>"20:34:40.781"</f>
        <v>20:34:40.781</v>
      </c>
      <c r="U3650" t="str">
        <f t="shared" ref="U3650:U3713" si="184">"AB01F4"</f>
        <v>AB01F4</v>
      </c>
      <c r="V3650">
        <v>0</v>
      </c>
      <c r="W3650">
        <v>0</v>
      </c>
      <c r="X3650">
        <v>2</v>
      </c>
      <c r="Z3650">
        <v>0</v>
      </c>
      <c r="AA3650">
        <v>9</v>
      </c>
      <c r="AB3650">
        <v>3</v>
      </c>
      <c r="AC3650">
        <v>0</v>
      </c>
      <c r="AD3650">
        <v>10</v>
      </c>
      <c r="AE3650">
        <v>0</v>
      </c>
      <c r="AF3650">
        <v>3</v>
      </c>
      <c r="AG3650">
        <v>2</v>
      </c>
      <c r="AH3650">
        <v>0</v>
      </c>
      <c r="AI3650" t="s">
        <v>2073</v>
      </c>
      <c r="AJ3650">
        <v>40.109324000000001</v>
      </c>
      <c r="AK3650" t="s">
        <v>2074</v>
      </c>
      <c r="AL3650">
        <v>-93.022977999999995</v>
      </c>
      <c r="AM3650">
        <v>100</v>
      </c>
      <c r="AN3650">
        <v>1300</v>
      </c>
      <c r="AO3650" t="s">
        <v>118</v>
      </c>
      <c r="AP3650">
        <v>-113</v>
      </c>
      <c r="AQ3650">
        <v>61</v>
      </c>
      <c r="AR3650">
        <v>128</v>
      </c>
      <c r="AZ3650">
        <v>1200</v>
      </c>
      <c r="BA3650">
        <v>1</v>
      </c>
      <c r="BB3650" t="str">
        <f t="shared" si="183"/>
        <v xml:space="preserve">N8080G  </v>
      </c>
      <c r="BC3650">
        <v>1</v>
      </c>
      <c r="BE3650">
        <v>0</v>
      </c>
      <c r="BF3650">
        <v>0</v>
      </c>
      <c r="BG3650">
        <v>0</v>
      </c>
      <c r="BH3650">
        <v>1350</v>
      </c>
      <c r="BI3650">
        <v>1</v>
      </c>
      <c r="BJ3650">
        <v>1</v>
      </c>
      <c r="BK3650">
        <v>1</v>
      </c>
      <c r="BL3650">
        <v>0</v>
      </c>
      <c r="BO3650">
        <v>0</v>
      </c>
      <c r="BP3650">
        <v>0</v>
      </c>
      <c r="BW3650" t="str">
        <f>"20:34:41.284"</f>
        <v>20:34:41.284</v>
      </c>
      <c r="BZ3650">
        <v>0</v>
      </c>
      <c r="CA3650">
        <v>1600</v>
      </c>
      <c r="CB3650">
        <v>224</v>
      </c>
      <c r="CD3650">
        <v>1</v>
      </c>
      <c r="CE3650">
        <v>0</v>
      </c>
      <c r="CF3650">
        <v>0</v>
      </c>
      <c r="CG3650">
        <v>1</v>
      </c>
      <c r="CH3650">
        <v>0</v>
      </c>
      <c r="CI3650">
        <v>0</v>
      </c>
      <c r="CJ3650">
        <v>0</v>
      </c>
      <c r="CK3650">
        <v>2</v>
      </c>
      <c r="CL3650">
        <v>0</v>
      </c>
      <c r="CM3650">
        <v>2</v>
      </c>
      <c r="CN3650">
        <v>0</v>
      </c>
      <c r="CO3650">
        <v>6</v>
      </c>
      <c r="CP3650" t="s">
        <v>119</v>
      </c>
      <c r="CQ3650">
        <v>180</v>
      </c>
      <c r="CR3650">
        <v>3</v>
      </c>
      <c r="CW3650">
        <v>1226857</v>
      </c>
      <c r="CY3650">
        <v>1</v>
      </c>
      <c r="CZ3650">
        <v>0</v>
      </c>
      <c r="DA3650">
        <v>1</v>
      </c>
      <c r="DB3650">
        <v>0</v>
      </c>
      <c r="DC3650">
        <v>0</v>
      </c>
      <c r="DD3650">
        <v>0</v>
      </c>
      <c r="DE3650">
        <v>0</v>
      </c>
      <c r="DF3650">
        <v>0</v>
      </c>
      <c r="DG3650">
        <v>0</v>
      </c>
      <c r="DH3650">
        <v>0</v>
      </c>
      <c r="DI3650">
        <v>0</v>
      </c>
    </row>
    <row r="3651" spans="1:113" x14ac:dyDescent="0.3">
      <c r="A3651" t="str">
        <f>"02/08/2021 20:34:39.880"</f>
        <v>02/08/2021 20:34:39.880</v>
      </c>
      <c r="C3651" t="str">
        <f t="shared" si="182"/>
        <v>FFDFD7C0</v>
      </c>
      <c r="D3651" t="s">
        <v>124</v>
      </c>
      <c r="E3651">
        <v>12</v>
      </c>
      <c r="F3651">
        <v>1012</v>
      </c>
      <c r="G3651" t="s">
        <v>675</v>
      </c>
      <c r="J3651" t="s">
        <v>125</v>
      </c>
      <c r="K3651">
        <v>0</v>
      </c>
      <c r="L3651">
        <v>3</v>
      </c>
      <c r="M3651">
        <v>0</v>
      </c>
      <c r="N3651">
        <v>2</v>
      </c>
      <c r="O3651">
        <v>1</v>
      </c>
      <c r="P3651">
        <v>0</v>
      </c>
      <c r="Q3651">
        <v>0</v>
      </c>
      <c r="S3651" t="str">
        <f>"20:34:42.227"</f>
        <v>20:34:42.227</v>
      </c>
      <c r="T3651" t="str">
        <f>"20:34:41.827"</f>
        <v>20:34:41.827</v>
      </c>
      <c r="U3651" t="str">
        <f t="shared" si="184"/>
        <v>AB01F4</v>
      </c>
      <c r="V3651">
        <v>0</v>
      </c>
      <c r="W3651">
        <v>0</v>
      </c>
      <c r="X3651">
        <v>2</v>
      </c>
      <c r="Z3651">
        <v>0</v>
      </c>
      <c r="AA3651">
        <v>9</v>
      </c>
      <c r="AB3651">
        <v>3</v>
      </c>
      <c r="AC3651">
        <v>0</v>
      </c>
      <c r="AD3651">
        <v>10</v>
      </c>
      <c r="AE3651">
        <v>0</v>
      </c>
      <c r="AF3651">
        <v>3</v>
      </c>
      <c r="AG3651">
        <v>2</v>
      </c>
      <c r="AH3651">
        <v>0</v>
      </c>
      <c r="AI3651" t="s">
        <v>2075</v>
      </c>
      <c r="AJ3651">
        <v>40.109603</v>
      </c>
      <c r="AK3651" t="s">
        <v>2076</v>
      </c>
      <c r="AL3651">
        <v>-93.023664999999994</v>
      </c>
      <c r="AM3651">
        <v>100</v>
      </c>
      <c r="AN3651">
        <v>1300</v>
      </c>
      <c r="AO3651" t="s">
        <v>118</v>
      </c>
      <c r="AP3651">
        <v>-113</v>
      </c>
      <c r="AQ3651">
        <v>62</v>
      </c>
      <c r="AR3651">
        <v>64</v>
      </c>
      <c r="AZ3651">
        <v>1200</v>
      </c>
      <c r="BA3651">
        <v>1</v>
      </c>
      <c r="BB3651" t="str">
        <f t="shared" si="183"/>
        <v xml:space="preserve">N8080G  </v>
      </c>
      <c r="BC3651">
        <v>1</v>
      </c>
      <c r="BE3651">
        <v>0</v>
      </c>
      <c r="BF3651">
        <v>0</v>
      </c>
      <c r="BG3651">
        <v>0</v>
      </c>
      <c r="BH3651">
        <v>1350</v>
      </c>
      <c r="BI3651">
        <v>1</v>
      </c>
      <c r="BJ3651">
        <v>1</v>
      </c>
      <c r="BK3651">
        <v>1</v>
      </c>
      <c r="BL3651">
        <v>0</v>
      </c>
      <c r="BO3651">
        <v>0</v>
      </c>
      <c r="BP3651">
        <v>0</v>
      </c>
      <c r="BW3651" t="str">
        <f>"20:34:42.231"</f>
        <v>20:34:42.231</v>
      </c>
      <c r="BZ3651">
        <v>0</v>
      </c>
      <c r="CA3651">
        <v>1600</v>
      </c>
      <c r="CB3651">
        <v>224</v>
      </c>
      <c r="CD3651">
        <v>1</v>
      </c>
      <c r="CE3651">
        <v>0</v>
      </c>
      <c r="CF3651">
        <v>0</v>
      </c>
      <c r="CG3651">
        <v>1</v>
      </c>
      <c r="CH3651">
        <v>0</v>
      </c>
      <c r="CI3651">
        <v>0</v>
      </c>
      <c r="CJ3651">
        <v>0</v>
      </c>
      <c r="CK3651">
        <v>2</v>
      </c>
      <c r="CL3651">
        <v>0</v>
      </c>
      <c r="CM3651">
        <v>2</v>
      </c>
      <c r="CN3651">
        <v>0</v>
      </c>
      <c r="CO3651">
        <v>1</v>
      </c>
      <c r="CP3651" t="s">
        <v>119</v>
      </c>
      <c r="CQ3651">
        <v>179</v>
      </c>
      <c r="CR3651">
        <v>1</v>
      </c>
      <c r="CW3651">
        <v>9367962</v>
      </c>
      <c r="CY3651">
        <v>1</v>
      </c>
      <c r="CZ3651">
        <v>0</v>
      </c>
      <c r="DA3651">
        <v>0</v>
      </c>
      <c r="DB3651">
        <v>0</v>
      </c>
      <c r="DC3651">
        <v>0</v>
      </c>
      <c r="DD3651">
        <v>0</v>
      </c>
      <c r="DE3651">
        <v>0</v>
      </c>
      <c r="DF3651">
        <v>0</v>
      </c>
      <c r="DG3651">
        <v>0</v>
      </c>
      <c r="DH3651">
        <v>0</v>
      </c>
      <c r="DI3651">
        <v>0</v>
      </c>
    </row>
    <row r="3652" spans="1:113" x14ac:dyDescent="0.3">
      <c r="A3652" t="str">
        <f>"02/08/2021 20:34:39.880"</f>
        <v>02/08/2021 20:34:39.880</v>
      </c>
      <c r="C3652" t="str">
        <f t="shared" si="182"/>
        <v>FFDFD7C0</v>
      </c>
      <c r="D3652" t="s">
        <v>124</v>
      </c>
      <c r="E3652">
        <v>11</v>
      </c>
      <c r="F3652">
        <v>1011</v>
      </c>
      <c r="G3652" t="s">
        <v>590</v>
      </c>
      <c r="J3652" t="s">
        <v>125</v>
      </c>
      <c r="K3652">
        <v>0</v>
      </c>
      <c r="L3652">
        <v>3</v>
      </c>
      <c r="M3652">
        <v>0</v>
      </c>
      <c r="N3652">
        <v>2</v>
      </c>
      <c r="O3652">
        <v>1</v>
      </c>
      <c r="P3652">
        <v>0</v>
      </c>
      <c r="Q3652">
        <v>0</v>
      </c>
      <c r="S3652" t="str">
        <f>"20:34:42.227"</f>
        <v>20:34:42.227</v>
      </c>
      <c r="T3652" t="str">
        <f>"20:34:41.827"</f>
        <v>20:34:41.827</v>
      </c>
      <c r="U3652" t="str">
        <f t="shared" si="184"/>
        <v>AB01F4</v>
      </c>
      <c r="V3652">
        <v>0</v>
      </c>
      <c r="W3652">
        <v>0</v>
      </c>
      <c r="X3652">
        <v>2</v>
      </c>
      <c r="Z3652">
        <v>0</v>
      </c>
      <c r="AA3652">
        <v>9</v>
      </c>
      <c r="AB3652">
        <v>3</v>
      </c>
      <c r="AC3652">
        <v>0</v>
      </c>
      <c r="AD3652">
        <v>10</v>
      </c>
      <c r="AE3652">
        <v>0</v>
      </c>
      <c r="AF3652">
        <v>3</v>
      </c>
      <c r="AG3652">
        <v>2</v>
      </c>
      <c r="AH3652">
        <v>0</v>
      </c>
      <c r="AI3652" t="s">
        <v>2075</v>
      </c>
      <c r="AJ3652">
        <v>40.109603</v>
      </c>
      <c r="AK3652" t="s">
        <v>2076</v>
      </c>
      <c r="AL3652">
        <v>-93.023664999999994</v>
      </c>
      <c r="AM3652">
        <v>100</v>
      </c>
      <c r="AN3652">
        <v>1300</v>
      </c>
      <c r="AO3652" t="s">
        <v>118</v>
      </c>
      <c r="AP3652">
        <v>-113</v>
      </c>
      <c r="AQ3652">
        <v>62</v>
      </c>
      <c r="AR3652">
        <v>64</v>
      </c>
      <c r="AZ3652">
        <v>1200</v>
      </c>
      <c r="BA3652">
        <v>1</v>
      </c>
      <c r="BB3652" t="str">
        <f t="shared" si="183"/>
        <v xml:space="preserve">N8080G  </v>
      </c>
      <c r="BC3652">
        <v>1</v>
      </c>
      <c r="BE3652">
        <v>0</v>
      </c>
      <c r="BF3652">
        <v>0</v>
      </c>
      <c r="BG3652">
        <v>0</v>
      </c>
      <c r="BH3652">
        <v>1350</v>
      </c>
      <c r="BI3652">
        <v>1</v>
      </c>
      <c r="BJ3652">
        <v>1</v>
      </c>
      <c r="BK3652">
        <v>1</v>
      </c>
      <c r="BL3652">
        <v>0</v>
      </c>
      <c r="BO3652">
        <v>0</v>
      </c>
      <c r="BP3652">
        <v>0</v>
      </c>
      <c r="BW3652" t="str">
        <f>"20:34:42.231"</f>
        <v>20:34:42.231</v>
      </c>
      <c r="BZ3652">
        <v>0</v>
      </c>
      <c r="CA3652">
        <v>1600</v>
      </c>
      <c r="CB3652">
        <v>224</v>
      </c>
      <c r="CD3652">
        <v>1</v>
      </c>
      <c r="CE3652">
        <v>0</v>
      </c>
      <c r="CF3652">
        <v>0</v>
      </c>
      <c r="CG3652">
        <v>1</v>
      </c>
      <c r="CH3652">
        <v>0</v>
      </c>
      <c r="CI3652">
        <v>0</v>
      </c>
      <c r="CJ3652">
        <v>0</v>
      </c>
      <c r="CK3652">
        <v>2</v>
      </c>
      <c r="CL3652">
        <v>0</v>
      </c>
      <c r="CM3652">
        <v>2</v>
      </c>
      <c r="CN3652">
        <v>0</v>
      </c>
      <c r="CO3652">
        <v>1</v>
      </c>
      <c r="CP3652" t="s">
        <v>119</v>
      </c>
      <c r="CQ3652">
        <v>179</v>
      </c>
      <c r="CR3652">
        <v>1</v>
      </c>
      <c r="CW3652">
        <v>9367962</v>
      </c>
      <c r="CY3652">
        <v>1</v>
      </c>
      <c r="CZ3652">
        <v>0</v>
      </c>
      <c r="DA3652">
        <v>1</v>
      </c>
      <c r="DB3652">
        <v>0</v>
      </c>
      <c r="DC3652">
        <v>0</v>
      </c>
      <c r="DD3652">
        <v>0</v>
      </c>
      <c r="DE3652">
        <v>0</v>
      </c>
      <c r="DF3652">
        <v>0</v>
      </c>
      <c r="DG3652">
        <v>0</v>
      </c>
      <c r="DH3652">
        <v>0</v>
      </c>
      <c r="DI3652">
        <v>0</v>
      </c>
    </row>
    <row r="3653" spans="1:113" x14ac:dyDescent="0.3">
      <c r="A3653" t="str">
        <f>"02/08/2021 20:34:39.880"</f>
        <v>02/08/2021 20:34:39.880</v>
      </c>
      <c r="C3653" t="str">
        <f t="shared" si="182"/>
        <v>FFDFD7C0</v>
      </c>
      <c r="D3653" t="s">
        <v>124</v>
      </c>
      <c r="E3653">
        <v>13</v>
      </c>
      <c r="F3653">
        <v>1013</v>
      </c>
      <c r="G3653" t="s">
        <v>114</v>
      </c>
      <c r="J3653" t="s">
        <v>125</v>
      </c>
      <c r="K3653">
        <v>0</v>
      </c>
      <c r="L3653">
        <v>3</v>
      </c>
      <c r="M3653">
        <v>0</v>
      </c>
      <c r="N3653">
        <v>2</v>
      </c>
      <c r="O3653">
        <v>1</v>
      </c>
      <c r="P3653">
        <v>0</v>
      </c>
      <c r="Q3653">
        <v>0</v>
      </c>
      <c r="S3653" t="str">
        <f>"20:34:42.227"</f>
        <v>20:34:42.227</v>
      </c>
      <c r="T3653" t="str">
        <f>"20:34:41.827"</f>
        <v>20:34:41.827</v>
      </c>
      <c r="U3653" t="str">
        <f t="shared" si="184"/>
        <v>AB01F4</v>
      </c>
      <c r="V3653">
        <v>0</v>
      </c>
      <c r="W3653">
        <v>0</v>
      </c>
      <c r="X3653">
        <v>2</v>
      </c>
      <c r="Z3653">
        <v>0</v>
      </c>
      <c r="AA3653">
        <v>9</v>
      </c>
      <c r="AB3653">
        <v>3</v>
      </c>
      <c r="AC3653">
        <v>0</v>
      </c>
      <c r="AD3653">
        <v>10</v>
      </c>
      <c r="AE3653">
        <v>0</v>
      </c>
      <c r="AF3653">
        <v>3</v>
      </c>
      <c r="AG3653">
        <v>2</v>
      </c>
      <c r="AH3653">
        <v>0</v>
      </c>
      <c r="AI3653" t="s">
        <v>2075</v>
      </c>
      <c r="AJ3653">
        <v>40.109603</v>
      </c>
      <c r="AK3653" t="s">
        <v>2076</v>
      </c>
      <c r="AL3653">
        <v>-93.023664999999994</v>
      </c>
      <c r="AM3653">
        <v>100</v>
      </c>
      <c r="AN3653">
        <v>1300</v>
      </c>
      <c r="AO3653" t="s">
        <v>118</v>
      </c>
      <c r="AP3653">
        <v>-113</v>
      </c>
      <c r="AQ3653">
        <v>62</v>
      </c>
      <c r="AR3653">
        <v>64</v>
      </c>
      <c r="AZ3653">
        <v>1200</v>
      </c>
      <c r="BA3653">
        <v>1</v>
      </c>
      <c r="BB3653" t="str">
        <f t="shared" si="183"/>
        <v xml:space="preserve">N8080G  </v>
      </c>
      <c r="BC3653">
        <v>1</v>
      </c>
      <c r="BE3653">
        <v>0</v>
      </c>
      <c r="BF3653">
        <v>0</v>
      </c>
      <c r="BG3653">
        <v>0</v>
      </c>
      <c r="BH3653">
        <v>1350</v>
      </c>
      <c r="BI3653">
        <v>1</v>
      </c>
      <c r="BJ3653">
        <v>1</v>
      </c>
      <c r="BK3653">
        <v>1</v>
      </c>
      <c r="BL3653">
        <v>0</v>
      </c>
      <c r="BO3653">
        <v>0</v>
      </c>
      <c r="BP3653">
        <v>0</v>
      </c>
      <c r="BW3653" t="str">
        <f>"20:34:42.231"</f>
        <v>20:34:42.231</v>
      </c>
      <c r="BZ3653">
        <v>0</v>
      </c>
      <c r="CA3653">
        <v>1600</v>
      </c>
      <c r="CB3653">
        <v>224</v>
      </c>
      <c r="CD3653">
        <v>1</v>
      </c>
      <c r="CE3653">
        <v>0</v>
      </c>
      <c r="CF3653">
        <v>0</v>
      </c>
      <c r="CG3653">
        <v>1</v>
      </c>
      <c r="CH3653">
        <v>0</v>
      </c>
      <c r="CI3653">
        <v>0</v>
      </c>
      <c r="CJ3653">
        <v>0</v>
      </c>
      <c r="CK3653">
        <v>2</v>
      </c>
      <c r="CL3653">
        <v>0</v>
      </c>
      <c r="CM3653">
        <v>2</v>
      </c>
      <c r="CN3653">
        <v>0</v>
      </c>
      <c r="CO3653">
        <v>1</v>
      </c>
      <c r="CP3653" t="s">
        <v>119</v>
      </c>
      <c r="CQ3653">
        <v>179</v>
      </c>
      <c r="CR3653">
        <v>1</v>
      </c>
      <c r="CW3653">
        <v>9367962</v>
      </c>
      <c r="CY3653">
        <v>1</v>
      </c>
      <c r="CZ3653">
        <v>0</v>
      </c>
      <c r="DA3653">
        <v>1</v>
      </c>
      <c r="DB3653">
        <v>0</v>
      </c>
      <c r="DC3653">
        <v>0</v>
      </c>
      <c r="DD3653">
        <v>0</v>
      </c>
      <c r="DE3653">
        <v>0</v>
      </c>
      <c r="DF3653">
        <v>0</v>
      </c>
      <c r="DG3653">
        <v>0</v>
      </c>
      <c r="DH3653">
        <v>0</v>
      </c>
      <c r="DI3653">
        <v>0</v>
      </c>
    </row>
    <row r="3654" spans="1:113" x14ac:dyDescent="0.3">
      <c r="A3654" t="str">
        <f>"02/08/2021 20:34:39.880"</f>
        <v>02/08/2021 20:34:39.880</v>
      </c>
      <c r="C3654" t="str">
        <f t="shared" si="182"/>
        <v>FFDFD7C0</v>
      </c>
      <c r="D3654" t="s">
        <v>113</v>
      </c>
      <c r="E3654">
        <v>6</v>
      </c>
      <c r="H3654">
        <v>165</v>
      </c>
      <c r="I3654" t="s">
        <v>114</v>
      </c>
      <c r="J3654" t="s">
        <v>115</v>
      </c>
      <c r="K3654">
        <v>0</v>
      </c>
      <c r="L3654">
        <v>3</v>
      </c>
      <c r="M3654">
        <v>0</v>
      </c>
      <c r="N3654">
        <v>2</v>
      </c>
      <c r="O3654">
        <v>1</v>
      </c>
      <c r="P3654">
        <v>0</v>
      </c>
      <c r="Q3654">
        <v>0</v>
      </c>
      <c r="S3654" t="str">
        <f>"20:34:42.227"</f>
        <v>20:34:42.227</v>
      </c>
      <c r="T3654" t="str">
        <f>"20:34:41.827"</f>
        <v>20:34:41.827</v>
      </c>
      <c r="U3654" t="str">
        <f t="shared" si="184"/>
        <v>AB01F4</v>
      </c>
      <c r="V3654">
        <v>0</v>
      </c>
      <c r="W3654">
        <v>0</v>
      </c>
      <c r="X3654">
        <v>2</v>
      </c>
      <c r="Z3654">
        <v>0</v>
      </c>
      <c r="AA3654">
        <v>9</v>
      </c>
      <c r="AB3654">
        <v>3</v>
      </c>
      <c r="AC3654">
        <v>0</v>
      </c>
      <c r="AD3654">
        <v>10</v>
      </c>
      <c r="AE3654">
        <v>0</v>
      </c>
      <c r="AF3654">
        <v>3</v>
      </c>
      <c r="AG3654">
        <v>2</v>
      </c>
      <c r="AH3654">
        <v>0</v>
      </c>
      <c r="AI3654" t="s">
        <v>2075</v>
      </c>
      <c r="AJ3654">
        <v>40.109603</v>
      </c>
      <c r="AK3654" t="s">
        <v>2076</v>
      </c>
      <c r="AL3654">
        <v>-93.023664999999994</v>
      </c>
      <c r="AM3654">
        <v>100</v>
      </c>
      <c r="AN3654">
        <v>1300</v>
      </c>
      <c r="AO3654" t="s">
        <v>118</v>
      </c>
      <c r="AP3654">
        <v>-113</v>
      </c>
      <c r="AQ3654">
        <v>62</v>
      </c>
      <c r="AR3654">
        <v>64</v>
      </c>
      <c r="AZ3654">
        <v>1200</v>
      </c>
      <c r="BA3654">
        <v>1</v>
      </c>
      <c r="BB3654" t="str">
        <f t="shared" si="183"/>
        <v xml:space="preserve">N8080G  </v>
      </c>
      <c r="BC3654">
        <v>1</v>
      </c>
      <c r="BE3654">
        <v>0</v>
      </c>
      <c r="BF3654">
        <v>0</v>
      </c>
      <c r="BG3654">
        <v>0</v>
      </c>
      <c r="BH3654">
        <v>1350</v>
      </c>
      <c r="BI3654">
        <v>1</v>
      </c>
      <c r="BJ3654">
        <v>1</v>
      </c>
      <c r="BK3654">
        <v>1</v>
      </c>
      <c r="BL3654">
        <v>0</v>
      </c>
      <c r="BO3654">
        <v>0</v>
      </c>
      <c r="BP3654">
        <v>0</v>
      </c>
      <c r="BW3654" t="str">
        <f>"20:34:42.231"</f>
        <v>20:34:42.231</v>
      </c>
      <c r="BZ3654">
        <v>0</v>
      </c>
      <c r="CA3654">
        <v>1600</v>
      </c>
      <c r="CB3654">
        <v>224</v>
      </c>
      <c r="CD3654">
        <v>1</v>
      </c>
      <c r="CE3654">
        <v>0</v>
      </c>
      <c r="CF3654">
        <v>0</v>
      </c>
      <c r="CG3654">
        <v>1</v>
      </c>
      <c r="CH3654">
        <v>0</v>
      </c>
      <c r="CI3654">
        <v>0</v>
      </c>
      <c r="CJ3654">
        <v>0</v>
      </c>
      <c r="CK3654">
        <v>2</v>
      </c>
      <c r="CL3654">
        <v>0</v>
      </c>
      <c r="CM3654">
        <v>2</v>
      </c>
      <c r="CN3654">
        <v>0</v>
      </c>
      <c r="CO3654">
        <v>1</v>
      </c>
      <c r="CP3654" t="s">
        <v>119</v>
      </c>
      <c r="CQ3654">
        <v>179</v>
      </c>
      <c r="CR3654">
        <v>1</v>
      </c>
      <c r="CW3654">
        <v>9367962</v>
      </c>
      <c r="CY3654">
        <v>1</v>
      </c>
      <c r="CZ3654">
        <v>0</v>
      </c>
      <c r="DA3654">
        <v>1</v>
      </c>
      <c r="DB3654">
        <v>0</v>
      </c>
      <c r="DC3654">
        <v>0</v>
      </c>
      <c r="DD3654">
        <v>0</v>
      </c>
      <c r="DE3654">
        <v>0</v>
      </c>
      <c r="DF3654">
        <v>0</v>
      </c>
      <c r="DG3654">
        <v>0</v>
      </c>
      <c r="DH3654">
        <v>0</v>
      </c>
      <c r="DI3654">
        <v>0</v>
      </c>
    </row>
    <row r="3655" spans="1:113" x14ac:dyDescent="0.3">
      <c r="A3655" t="str">
        <f>"02/08/2021 20:34:41.790"</f>
        <v>02/08/2021 20:34:41.790</v>
      </c>
      <c r="C3655" t="str">
        <f t="shared" si="182"/>
        <v>FFDFD7C0</v>
      </c>
      <c r="D3655" t="s">
        <v>124</v>
      </c>
      <c r="E3655">
        <v>12</v>
      </c>
      <c r="F3655">
        <v>1012</v>
      </c>
      <c r="G3655" t="s">
        <v>675</v>
      </c>
      <c r="J3655" t="s">
        <v>125</v>
      </c>
      <c r="K3655">
        <v>0</v>
      </c>
      <c r="L3655">
        <v>3</v>
      </c>
      <c r="M3655">
        <v>0</v>
      </c>
      <c r="N3655">
        <v>2</v>
      </c>
      <c r="O3655">
        <v>1</v>
      </c>
      <c r="P3655">
        <v>0</v>
      </c>
      <c r="Q3655">
        <v>0</v>
      </c>
      <c r="S3655" t="str">
        <f>"20:34:44.117"</f>
        <v>20:34:44.117</v>
      </c>
      <c r="T3655" t="str">
        <f>"20:34:43.717"</f>
        <v>20:34:43.717</v>
      </c>
      <c r="U3655" t="str">
        <f t="shared" si="184"/>
        <v>AB01F4</v>
      </c>
      <c r="V3655">
        <v>0</v>
      </c>
      <c r="W3655">
        <v>0</v>
      </c>
      <c r="X3655">
        <v>2</v>
      </c>
      <c r="Z3655">
        <v>0</v>
      </c>
      <c r="AA3655">
        <v>9</v>
      </c>
      <c r="AB3655">
        <v>3</v>
      </c>
      <c r="AC3655">
        <v>0</v>
      </c>
      <c r="AD3655">
        <v>10</v>
      </c>
      <c r="AE3655">
        <v>0</v>
      </c>
      <c r="AF3655">
        <v>3</v>
      </c>
      <c r="AG3655">
        <v>2</v>
      </c>
      <c r="AH3655">
        <v>0</v>
      </c>
      <c r="AI3655" t="s">
        <v>2077</v>
      </c>
      <c r="AJ3655">
        <v>40.110097000000003</v>
      </c>
      <c r="AK3655" t="s">
        <v>2078</v>
      </c>
      <c r="AL3655">
        <v>-93.024930999999995</v>
      </c>
      <c r="AM3655">
        <v>100</v>
      </c>
      <c r="AN3655">
        <v>1300</v>
      </c>
      <c r="AO3655" t="s">
        <v>118</v>
      </c>
      <c r="AP3655">
        <v>-113</v>
      </c>
      <c r="AQ3655">
        <v>61</v>
      </c>
      <c r="AR3655">
        <v>0</v>
      </c>
      <c r="AZ3655">
        <v>1200</v>
      </c>
      <c r="BA3655">
        <v>1</v>
      </c>
      <c r="BB3655" t="str">
        <f t="shared" si="183"/>
        <v xml:space="preserve">N8080G  </v>
      </c>
      <c r="BC3655">
        <v>1</v>
      </c>
      <c r="BE3655">
        <v>0</v>
      </c>
      <c r="BF3655">
        <v>0</v>
      </c>
      <c r="BG3655">
        <v>0</v>
      </c>
      <c r="BH3655">
        <v>1350</v>
      </c>
      <c r="BI3655">
        <v>1</v>
      </c>
      <c r="BJ3655">
        <v>1</v>
      </c>
      <c r="BK3655">
        <v>1</v>
      </c>
      <c r="BL3655">
        <v>0</v>
      </c>
      <c r="BO3655">
        <v>0</v>
      </c>
      <c r="BP3655">
        <v>0</v>
      </c>
      <c r="BW3655" t="str">
        <f>"20:34:44.124"</f>
        <v>20:34:44.124</v>
      </c>
      <c r="BZ3655">
        <v>0</v>
      </c>
      <c r="CA3655">
        <v>1600</v>
      </c>
      <c r="CB3655">
        <v>224</v>
      </c>
      <c r="CD3655">
        <v>1</v>
      </c>
      <c r="CE3655">
        <v>0</v>
      </c>
      <c r="CF3655">
        <v>0</v>
      </c>
      <c r="CG3655">
        <v>1</v>
      </c>
      <c r="CH3655">
        <v>0</v>
      </c>
      <c r="CI3655">
        <v>0</v>
      </c>
      <c r="CJ3655">
        <v>0</v>
      </c>
      <c r="CK3655">
        <v>2</v>
      </c>
      <c r="CL3655">
        <v>0</v>
      </c>
      <c r="CM3655">
        <v>2</v>
      </c>
      <c r="CN3655">
        <v>0</v>
      </c>
      <c r="CO3655">
        <v>6</v>
      </c>
      <c r="CP3655" t="s">
        <v>119</v>
      </c>
      <c r="CQ3655">
        <v>180</v>
      </c>
      <c r="CR3655">
        <v>2</v>
      </c>
      <c r="CW3655">
        <v>8895947</v>
      </c>
      <c r="CY3655">
        <v>1</v>
      </c>
      <c r="CZ3655">
        <v>0</v>
      </c>
      <c r="DA3655">
        <v>0</v>
      </c>
      <c r="DB3655">
        <v>0</v>
      </c>
      <c r="DC3655">
        <v>0</v>
      </c>
      <c r="DD3655">
        <v>0</v>
      </c>
      <c r="DE3655">
        <v>0</v>
      </c>
      <c r="DF3655">
        <v>0</v>
      </c>
      <c r="DG3655">
        <v>0</v>
      </c>
      <c r="DH3655">
        <v>0</v>
      </c>
      <c r="DI3655">
        <v>0</v>
      </c>
    </row>
    <row r="3656" spans="1:113" x14ac:dyDescent="0.3">
      <c r="A3656" t="str">
        <f>"02/08/2021 20:34:41.790"</f>
        <v>02/08/2021 20:34:41.790</v>
      </c>
      <c r="C3656" t="str">
        <f t="shared" si="182"/>
        <v>FFDFD7C0</v>
      </c>
      <c r="D3656" t="s">
        <v>113</v>
      </c>
      <c r="E3656">
        <v>6</v>
      </c>
      <c r="H3656">
        <v>165</v>
      </c>
      <c r="I3656" t="s">
        <v>114</v>
      </c>
      <c r="J3656" t="s">
        <v>115</v>
      </c>
      <c r="K3656">
        <v>0</v>
      </c>
      <c r="L3656">
        <v>3</v>
      </c>
      <c r="M3656">
        <v>0</v>
      </c>
      <c r="N3656">
        <v>2</v>
      </c>
      <c r="O3656">
        <v>1</v>
      </c>
      <c r="P3656">
        <v>0</v>
      </c>
      <c r="Q3656">
        <v>0</v>
      </c>
      <c r="S3656" t="str">
        <f>"20:34:44.117"</f>
        <v>20:34:44.117</v>
      </c>
      <c r="T3656" t="str">
        <f>"20:34:43.717"</f>
        <v>20:34:43.717</v>
      </c>
      <c r="U3656" t="str">
        <f t="shared" si="184"/>
        <v>AB01F4</v>
      </c>
      <c r="V3656">
        <v>0</v>
      </c>
      <c r="W3656">
        <v>0</v>
      </c>
      <c r="X3656">
        <v>2</v>
      </c>
      <c r="Z3656">
        <v>0</v>
      </c>
      <c r="AA3656">
        <v>9</v>
      </c>
      <c r="AB3656">
        <v>3</v>
      </c>
      <c r="AC3656">
        <v>0</v>
      </c>
      <c r="AD3656">
        <v>10</v>
      </c>
      <c r="AE3656">
        <v>0</v>
      </c>
      <c r="AF3656">
        <v>3</v>
      </c>
      <c r="AG3656">
        <v>2</v>
      </c>
      <c r="AH3656">
        <v>0</v>
      </c>
      <c r="AI3656" t="s">
        <v>2077</v>
      </c>
      <c r="AJ3656">
        <v>40.110097000000003</v>
      </c>
      <c r="AK3656" t="s">
        <v>2078</v>
      </c>
      <c r="AL3656">
        <v>-93.024930999999995</v>
      </c>
      <c r="AM3656">
        <v>100</v>
      </c>
      <c r="AN3656">
        <v>1300</v>
      </c>
      <c r="AO3656" t="s">
        <v>118</v>
      </c>
      <c r="AP3656">
        <v>-113</v>
      </c>
      <c r="AQ3656">
        <v>61</v>
      </c>
      <c r="AR3656">
        <v>0</v>
      </c>
      <c r="AZ3656">
        <v>1200</v>
      </c>
      <c r="BA3656">
        <v>1</v>
      </c>
      <c r="BB3656" t="str">
        <f t="shared" si="183"/>
        <v xml:space="preserve">N8080G  </v>
      </c>
      <c r="BC3656">
        <v>1</v>
      </c>
      <c r="BE3656">
        <v>0</v>
      </c>
      <c r="BF3656">
        <v>0</v>
      </c>
      <c r="BG3656">
        <v>0</v>
      </c>
      <c r="BH3656">
        <v>1350</v>
      </c>
      <c r="BI3656">
        <v>1</v>
      </c>
      <c r="BJ3656">
        <v>1</v>
      </c>
      <c r="BK3656">
        <v>1</v>
      </c>
      <c r="BL3656">
        <v>0</v>
      </c>
      <c r="BO3656">
        <v>0</v>
      </c>
      <c r="BP3656">
        <v>0</v>
      </c>
      <c r="BW3656" t="str">
        <f>"20:34:44.124"</f>
        <v>20:34:44.124</v>
      </c>
      <c r="BZ3656">
        <v>0</v>
      </c>
      <c r="CA3656">
        <v>1600</v>
      </c>
      <c r="CB3656">
        <v>224</v>
      </c>
      <c r="CD3656">
        <v>1</v>
      </c>
      <c r="CE3656">
        <v>0</v>
      </c>
      <c r="CF3656">
        <v>0</v>
      </c>
      <c r="CG3656">
        <v>1</v>
      </c>
      <c r="CH3656">
        <v>0</v>
      </c>
      <c r="CI3656">
        <v>0</v>
      </c>
      <c r="CJ3656">
        <v>0</v>
      </c>
      <c r="CK3656">
        <v>2</v>
      </c>
      <c r="CL3656">
        <v>0</v>
      </c>
      <c r="CM3656">
        <v>2</v>
      </c>
      <c r="CN3656">
        <v>0</v>
      </c>
      <c r="CO3656">
        <v>6</v>
      </c>
      <c r="CP3656" t="s">
        <v>119</v>
      </c>
      <c r="CQ3656">
        <v>180</v>
      </c>
      <c r="CR3656">
        <v>2</v>
      </c>
      <c r="CW3656">
        <v>8895947</v>
      </c>
      <c r="CY3656">
        <v>1</v>
      </c>
      <c r="CZ3656">
        <v>0</v>
      </c>
      <c r="DA3656">
        <v>1</v>
      </c>
      <c r="DB3656">
        <v>0</v>
      </c>
      <c r="DC3656">
        <v>0</v>
      </c>
      <c r="DD3656">
        <v>0</v>
      </c>
      <c r="DE3656">
        <v>0</v>
      </c>
      <c r="DF3656">
        <v>0</v>
      </c>
      <c r="DG3656">
        <v>0</v>
      </c>
      <c r="DH3656">
        <v>0</v>
      </c>
      <c r="DI3656">
        <v>0</v>
      </c>
    </row>
    <row r="3657" spans="1:113" x14ac:dyDescent="0.3">
      <c r="A3657" t="str">
        <f>"02/08/2021 20:34:41.790"</f>
        <v>02/08/2021 20:34:41.790</v>
      </c>
      <c r="C3657" t="str">
        <f t="shared" si="182"/>
        <v>FFDFD7C0</v>
      </c>
      <c r="D3657" t="s">
        <v>124</v>
      </c>
      <c r="E3657">
        <v>11</v>
      </c>
      <c r="F3657">
        <v>1011</v>
      </c>
      <c r="G3657" t="s">
        <v>590</v>
      </c>
      <c r="J3657" t="s">
        <v>125</v>
      </c>
      <c r="K3657">
        <v>0</v>
      </c>
      <c r="L3657">
        <v>3</v>
      </c>
      <c r="M3657">
        <v>0</v>
      </c>
      <c r="N3657">
        <v>2</v>
      </c>
      <c r="O3657">
        <v>1</v>
      </c>
      <c r="P3657">
        <v>0</v>
      </c>
      <c r="Q3657">
        <v>0</v>
      </c>
      <c r="S3657" t="str">
        <f>"20:34:44.117"</f>
        <v>20:34:44.117</v>
      </c>
      <c r="T3657" t="str">
        <f>"20:34:43.717"</f>
        <v>20:34:43.717</v>
      </c>
      <c r="U3657" t="str">
        <f t="shared" si="184"/>
        <v>AB01F4</v>
      </c>
      <c r="V3657">
        <v>0</v>
      </c>
      <c r="W3657">
        <v>0</v>
      </c>
      <c r="X3657">
        <v>2</v>
      </c>
      <c r="Z3657">
        <v>0</v>
      </c>
      <c r="AA3657">
        <v>9</v>
      </c>
      <c r="AB3657">
        <v>3</v>
      </c>
      <c r="AC3657">
        <v>0</v>
      </c>
      <c r="AD3657">
        <v>10</v>
      </c>
      <c r="AE3657">
        <v>0</v>
      </c>
      <c r="AF3657">
        <v>3</v>
      </c>
      <c r="AG3657">
        <v>2</v>
      </c>
      <c r="AH3657">
        <v>0</v>
      </c>
      <c r="AI3657" t="s">
        <v>2077</v>
      </c>
      <c r="AJ3657">
        <v>40.110097000000003</v>
      </c>
      <c r="AK3657" t="s">
        <v>2078</v>
      </c>
      <c r="AL3657">
        <v>-93.024930999999995</v>
      </c>
      <c r="AM3657">
        <v>100</v>
      </c>
      <c r="AN3657">
        <v>1300</v>
      </c>
      <c r="AO3657" t="s">
        <v>118</v>
      </c>
      <c r="AP3657">
        <v>-113</v>
      </c>
      <c r="AQ3657">
        <v>61</v>
      </c>
      <c r="AR3657">
        <v>0</v>
      </c>
      <c r="AZ3657">
        <v>1200</v>
      </c>
      <c r="BA3657">
        <v>1</v>
      </c>
      <c r="BB3657" t="str">
        <f t="shared" si="183"/>
        <v xml:space="preserve">N8080G  </v>
      </c>
      <c r="BC3657">
        <v>1</v>
      </c>
      <c r="BE3657">
        <v>0</v>
      </c>
      <c r="BF3657">
        <v>0</v>
      </c>
      <c r="BG3657">
        <v>0</v>
      </c>
      <c r="BH3657">
        <v>1350</v>
      </c>
      <c r="BI3657">
        <v>1</v>
      </c>
      <c r="BJ3657">
        <v>1</v>
      </c>
      <c r="BK3657">
        <v>1</v>
      </c>
      <c r="BL3657">
        <v>0</v>
      </c>
      <c r="BO3657">
        <v>0</v>
      </c>
      <c r="BP3657">
        <v>0</v>
      </c>
      <c r="BW3657" t="str">
        <f>"20:34:44.124"</f>
        <v>20:34:44.124</v>
      </c>
      <c r="BZ3657">
        <v>0</v>
      </c>
      <c r="CA3657">
        <v>1600</v>
      </c>
      <c r="CB3657">
        <v>224</v>
      </c>
      <c r="CD3657">
        <v>1</v>
      </c>
      <c r="CE3657">
        <v>0</v>
      </c>
      <c r="CF3657">
        <v>0</v>
      </c>
      <c r="CG3657">
        <v>1</v>
      </c>
      <c r="CH3657">
        <v>0</v>
      </c>
      <c r="CI3657">
        <v>0</v>
      </c>
      <c r="CJ3657">
        <v>0</v>
      </c>
      <c r="CK3657">
        <v>2</v>
      </c>
      <c r="CL3657">
        <v>0</v>
      </c>
      <c r="CM3657">
        <v>2</v>
      </c>
      <c r="CN3657">
        <v>0</v>
      </c>
      <c r="CO3657">
        <v>6</v>
      </c>
      <c r="CP3657" t="s">
        <v>119</v>
      </c>
      <c r="CQ3657">
        <v>180</v>
      </c>
      <c r="CR3657">
        <v>2</v>
      </c>
      <c r="CW3657">
        <v>8895947</v>
      </c>
      <c r="CY3657">
        <v>1</v>
      </c>
      <c r="CZ3657">
        <v>0</v>
      </c>
      <c r="DA3657">
        <v>1</v>
      </c>
      <c r="DB3657">
        <v>0</v>
      </c>
      <c r="DC3657">
        <v>0</v>
      </c>
      <c r="DD3657">
        <v>0</v>
      </c>
      <c r="DE3657">
        <v>0</v>
      </c>
      <c r="DF3657">
        <v>0</v>
      </c>
      <c r="DG3657">
        <v>0</v>
      </c>
      <c r="DH3657">
        <v>0</v>
      </c>
      <c r="DI3657">
        <v>0</v>
      </c>
    </row>
    <row r="3658" spans="1:113" x14ac:dyDescent="0.3">
      <c r="A3658" t="str">
        <f>"02/08/2021 20:34:41.790"</f>
        <v>02/08/2021 20:34:41.790</v>
      </c>
      <c r="C3658" t="str">
        <f t="shared" si="182"/>
        <v>FFDFD7C0</v>
      </c>
      <c r="D3658" t="s">
        <v>124</v>
      </c>
      <c r="E3658">
        <v>13</v>
      </c>
      <c r="F3658">
        <v>1013</v>
      </c>
      <c r="G3658" t="s">
        <v>114</v>
      </c>
      <c r="J3658" t="s">
        <v>125</v>
      </c>
      <c r="K3658">
        <v>0</v>
      </c>
      <c r="L3658">
        <v>3</v>
      </c>
      <c r="M3658">
        <v>0</v>
      </c>
      <c r="N3658">
        <v>2</v>
      </c>
      <c r="O3658">
        <v>1</v>
      </c>
      <c r="P3658">
        <v>0</v>
      </c>
      <c r="Q3658">
        <v>0</v>
      </c>
      <c r="S3658" t="str">
        <f>"20:34:44.117"</f>
        <v>20:34:44.117</v>
      </c>
      <c r="T3658" t="str">
        <f>"20:34:43.717"</f>
        <v>20:34:43.717</v>
      </c>
      <c r="U3658" t="str">
        <f t="shared" si="184"/>
        <v>AB01F4</v>
      </c>
      <c r="V3658">
        <v>0</v>
      </c>
      <c r="W3658">
        <v>0</v>
      </c>
      <c r="X3658">
        <v>2</v>
      </c>
      <c r="Z3658">
        <v>0</v>
      </c>
      <c r="AA3658">
        <v>9</v>
      </c>
      <c r="AB3658">
        <v>3</v>
      </c>
      <c r="AC3658">
        <v>0</v>
      </c>
      <c r="AD3658">
        <v>10</v>
      </c>
      <c r="AE3658">
        <v>0</v>
      </c>
      <c r="AF3658">
        <v>3</v>
      </c>
      <c r="AG3658">
        <v>2</v>
      </c>
      <c r="AH3658">
        <v>0</v>
      </c>
      <c r="AI3658" t="s">
        <v>2077</v>
      </c>
      <c r="AJ3658">
        <v>40.110097000000003</v>
      </c>
      <c r="AK3658" t="s">
        <v>2078</v>
      </c>
      <c r="AL3658">
        <v>-93.024930999999995</v>
      </c>
      <c r="AM3658">
        <v>100</v>
      </c>
      <c r="AN3658">
        <v>1300</v>
      </c>
      <c r="AO3658" t="s">
        <v>118</v>
      </c>
      <c r="AP3658">
        <v>-113</v>
      </c>
      <c r="AQ3658">
        <v>61</v>
      </c>
      <c r="AR3658">
        <v>0</v>
      </c>
      <c r="AZ3658">
        <v>1200</v>
      </c>
      <c r="BA3658">
        <v>1</v>
      </c>
      <c r="BB3658" t="str">
        <f t="shared" si="183"/>
        <v xml:space="preserve">N8080G  </v>
      </c>
      <c r="BC3658">
        <v>1</v>
      </c>
      <c r="BE3658">
        <v>0</v>
      </c>
      <c r="BF3658">
        <v>0</v>
      </c>
      <c r="BG3658">
        <v>0</v>
      </c>
      <c r="BH3658">
        <v>1350</v>
      </c>
      <c r="BI3658">
        <v>1</v>
      </c>
      <c r="BJ3658">
        <v>1</v>
      </c>
      <c r="BK3658">
        <v>1</v>
      </c>
      <c r="BL3658">
        <v>0</v>
      </c>
      <c r="BO3658">
        <v>0</v>
      </c>
      <c r="BP3658">
        <v>0</v>
      </c>
      <c r="BW3658" t="str">
        <f>"20:34:44.124"</f>
        <v>20:34:44.124</v>
      </c>
      <c r="BZ3658">
        <v>0</v>
      </c>
      <c r="CA3658">
        <v>1600</v>
      </c>
      <c r="CB3658">
        <v>224</v>
      </c>
      <c r="CD3658">
        <v>1</v>
      </c>
      <c r="CE3658">
        <v>0</v>
      </c>
      <c r="CF3658">
        <v>0</v>
      </c>
      <c r="CG3658">
        <v>1</v>
      </c>
      <c r="CH3658">
        <v>0</v>
      </c>
      <c r="CI3658">
        <v>0</v>
      </c>
      <c r="CJ3658">
        <v>0</v>
      </c>
      <c r="CK3658">
        <v>2</v>
      </c>
      <c r="CL3658">
        <v>0</v>
      </c>
      <c r="CM3658">
        <v>2</v>
      </c>
      <c r="CN3658">
        <v>0</v>
      </c>
      <c r="CO3658">
        <v>6</v>
      </c>
      <c r="CP3658" t="s">
        <v>119</v>
      </c>
      <c r="CQ3658">
        <v>180</v>
      </c>
      <c r="CR3658">
        <v>2</v>
      </c>
      <c r="CW3658">
        <v>8895947</v>
      </c>
      <c r="CY3658">
        <v>1</v>
      </c>
      <c r="CZ3658">
        <v>0</v>
      </c>
      <c r="DA3658">
        <v>1</v>
      </c>
      <c r="DB3658">
        <v>0</v>
      </c>
      <c r="DC3658">
        <v>0</v>
      </c>
      <c r="DD3658">
        <v>0</v>
      </c>
      <c r="DE3658">
        <v>0</v>
      </c>
      <c r="DF3658">
        <v>0</v>
      </c>
      <c r="DG3658">
        <v>0</v>
      </c>
      <c r="DH3658">
        <v>0</v>
      </c>
      <c r="DI3658">
        <v>0</v>
      </c>
    </row>
    <row r="3659" spans="1:113" x14ac:dyDescent="0.3">
      <c r="A3659" t="str">
        <f>"02/08/2021 20:34:42.843"</f>
        <v>02/08/2021 20:34:42.843</v>
      </c>
      <c r="C3659" t="str">
        <f t="shared" si="182"/>
        <v>FFDFD7C0</v>
      </c>
      <c r="D3659" t="s">
        <v>124</v>
      </c>
      <c r="E3659">
        <v>12</v>
      </c>
      <c r="F3659">
        <v>1012</v>
      </c>
      <c r="G3659" t="s">
        <v>675</v>
      </c>
      <c r="J3659" t="s">
        <v>125</v>
      </c>
      <c r="K3659">
        <v>0</v>
      </c>
      <c r="L3659">
        <v>3</v>
      </c>
      <c r="M3659">
        <v>0</v>
      </c>
      <c r="N3659">
        <v>2</v>
      </c>
      <c r="O3659">
        <v>1</v>
      </c>
      <c r="P3659">
        <v>0</v>
      </c>
      <c r="Q3659">
        <v>0</v>
      </c>
      <c r="S3659" t="str">
        <f>"20:34:45.156"</f>
        <v>20:34:45.156</v>
      </c>
      <c r="T3659" t="str">
        <f>"20:34:43.756"</f>
        <v>20:34:43.756</v>
      </c>
      <c r="U3659" t="str">
        <f t="shared" si="184"/>
        <v>AB01F4</v>
      </c>
      <c r="V3659">
        <v>0</v>
      </c>
      <c r="W3659">
        <v>0</v>
      </c>
      <c r="X3659">
        <v>2</v>
      </c>
      <c r="Z3659">
        <v>0</v>
      </c>
      <c r="AA3659">
        <v>9</v>
      </c>
      <c r="AB3659">
        <v>3</v>
      </c>
      <c r="AC3659">
        <v>0</v>
      </c>
      <c r="AD3659">
        <v>10</v>
      </c>
      <c r="AE3659">
        <v>0</v>
      </c>
      <c r="AF3659">
        <v>3</v>
      </c>
      <c r="AG3659">
        <v>2</v>
      </c>
      <c r="AH3659">
        <v>0</v>
      </c>
      <c r="AI3659" t="s">
        <v>2079</v>
      </c>
      <c r="AJ3659">
        <v>40.110439999999997</v>
      </c>
      <c r="AK3659" t="s">
        <v>2080</v>
      </c>
      <c r="AL3659">
        <v>-93.025702999999993</v>
      </c>
      <c r="AM3659">
        <v>100</v>
      </c>
      <c r="AN3659">
        <v>1300</v>
      </c>
      <c r="AO3659" t="s">
        <v>118</v>
      </c>
      <c r="AP3659">
        <v>-113</v>
      </c>
      <c r="AQ3659">
        <v>61</v>
      </c>
      <c r="AR3659">
        <v>0</v>
      </c>
      <c r="AZ3659">
        <v>1200</v>
      </c>
      <c r="BA3659">
        <v>1</v>
      </c>
      <c r="BB3659" t="str">
        <f t="shared" si="183"/>
        <v xml:space="preserve">N8080G  </v>
      </c>
      <c r="BC3659">
        <v>1</v>
      </c>
      <c r="BE3659">
        <v>0</v>
      </c>
      <c r="BF3659">
        <v>0</v>
      </c>
      <c r="BG3659">
        <v>0</v>
      </c>
      <c r="BH3659">
        <v>1350</v>
      </c>
      <c r="BI3659">
        <v>1</v>
      </c>
      <c r="BJ3659">
        <v>1</v>
      </c>
      <c r="BK3659">
        <v>1</v>
      </c>
      <c r="BL3659">
        <v>0</v>
      </c>
      <c r="BO3659">
        <v>0</v>
      </c>
      <c r="BP3659">
        <v>0</v>
      </c>
      <c r="BW3659" t="str">
        <f>"20:34:45.164"</f>
        <v>20:34:45.164</v>
      </c>
      <c r="BZ3659">
        <v>0</v>
      </c>
      <c r="CA3659">
        <v>1600</v>
      </c>
      <c r="CB3659">
        <v>224</v>
      </c>
      <c r="CD3659">
        <v>1</v>
      </c>
      <c r="CE3659">
        <v>0</v>
      </c>
      <c r="CF3659">
        <v>0</v>
      </c>
      <c r="CG3659">
        <v>1</v>
      </c>
      <c r="CH3659">
        <v>0</v>
      </c>
      <c r="CI3659">
        <v>0</v>
      </c>
      <c r="CJ3659">
        <v>0</v>
      </c>
      <c r="CK3659">
        <v>2</v>
      </c>
      <c r="CL3659">
        <v>0</v>
      </c>
      <c r="CM3659">
        <v>2</v>
      </c>
      <c r="CN3659">
        <v>0</v>
      </c>
      <c r="CO3659">
        <v>1</v>
      </c>
      <c r="CP3659" t="s">
        <v>119</v>
      </c>
      <c r="CQ3659">
        <v>179</v>
      </c>
      <c r="CR3659">
        <v>1</v>
      </c>
      <c r="CW3659">
        <v>9370410</v>
      </c>
      <c r="CY3659">
        <v>1</v>
      </c>
      <c r="CZ3659">
        <v>0</v>
      </c>
      <c r="DA3659">
        <v>0</v>
      </c>
      <c r="DB3659">
        <v>0</v>
      </c>
      <c r="DC3659">
        <v>0</v>
      </c>
      <c r="DD3659">
        <v>0</v>
      </c>
      <c r="DE3659">
        <v>0</v>
      </c>
      <c r="DF3659">
        <v>0</v>
      </c>
      <c r="DG3659">
        <v>0</v>
      </c>
      <c r="DH3659">
        <v>0</v>
      </c>
      <c r="DI3659">
        <v>0</v>
      </c>
    </row>
    <row r="3660" spans="1:113" x14ac:dyDescent="0.3">
      <c r="A3660" t="str">
        <f>"02/08/2021 20:34:42.843"</f>
        <v>02/08/2021 20:34:42.843</v>
      </c>
      <c r="C3660" t="str">
        <f t="shared" si="182"/>
        <v>FFDFD7C0</v>
      </c>
      <c r="D3660" t="s">
        <v>113</v>
      </c>
      <c r="E3660">
        <v>6</v>
      </c>
      <c r="H3660">
        <v>165</v>
      </c>
      <c r="I3660" t="s">
        <v>114</v>
      </c>
      <c r="J3660" t="s">
        <v>115</v>
      </c>
      <c r="K3660">
        <v>0</v>
      </c>
      <c r="L3660">
        <v>3</v>
      </c>
      <c r="M3660">
        <v>0</v>
      </c>
      <c r="N3660">
        <v>2</v>
      </c>
      <c r="O3660">
        <v>1</v>
      </c>
      <c r="P3660">
        <v>0</v>
      </c>
      <c r="Q3660">
        <v>0</v>
      </c>
      <c r="S3660" t="str">
        <f>"20:34:45.156"</f>
        <v>20:34:45.156</v>
      </c>
      <c r="T3660" t="str">
        <f>"20:34:43.756"</f>
        <v>20:34:43.756</v>
      </c>
      <c r="U3660" t="str">
        <f t="shared" si="184"/>
        <v>AB01F4</v>
      </c>
      <c r="V3660">
        <v>0</v>
      </c>
      <c r="W3660">
        <v>0</v>
      </c>
      <c r="X3660">
        <v>2</v>
      </c>
      <c r="Z3660">
        <v>0</v>
      </c>
      <c r="AA3660">
        <v>9</v>
      </c>
      <c r="AB3660">
        <v>3</v>
      </c>
      <c r="AC3660">
        <v>0</v>
      </c>
      <c r="AD3660">
        <v>10</v>
      </c>
      <c r="AE3660">
        <v>0</v>
      </c>
      <c r="AF3660">
        <v>3</v>
      </c>
      <c r="AG3660">
        <v>2</v>
      </c>
      <c r="AH3660">
        <v>0</v>
      </c>
      <c r="AI3660" t="s">
        <v>2079</v>
      </c>
      <c r="AJ3660">
        <v>40.110439999999997</v>
      </c>
      <c r="AK3660" t="s">
        <v>2080</v>
      </c>
      <c r="AL3660">
        <v>-93.025702999999993</v>
      </c>
      <c r="AM3660">
        <v>100</v>
      </c>
      <c r="AN3660">
        <v>1300</v>
      </c>
      <c r="AO3660" t="s">
        <v>118</v>
      </c>
      <c r="AP3660">
        <v>-113</v>
      </c>
      <c r="AQ3660">
        <v>61</v>
      </c>
      <c r="AR3660">
        <v>0</v>
      </c>
      <c r="AZ3660">
        <v>1200</v>
      </c>
      <c r="BA3660">
        <v>1</v>
      </c>
      <c r="BB3660" t="str">
        <f t="shared" si="183"/>
        <v xml:space="preserve">N8080G  </v>
      </c>
      <c r="BC3660">
        <v>1</v>
      </c>
      <c r="BE3660">
        <v>0</v>
      </c>
      <c r="BF3660">
        <v>0</v>
      </c>
      <c r="BG3660">
        <v>0</v>
      </c>
      <c r="BH3660">
        <v>1350</v>
      </c>
      <c r="BI3660">
        <v>1</v>
      </c>
      <c r="BJ3660">
        <v>1</v>
      </c>
      <c r="BK3660">
        <v>1</v>
      </c>
      <c r="BL3660">
        <v>0</v>
      </c>
      <c r="BO3660">
        <v>0</v>
      </c>
      <c r="BP3660">
        <v>0</v>
      </c>
      <c r="BW3660" t="str">
        <f>"20:34:45.164"</f>
        <v>20:34:45.164</v>
      </c>
      <c r="BZ3660">
        <v>0</v>
      </c>
      <c r="CA3660">
        <v>1600</v>
      </c>
      <c r="CB3660">
        <v>224</v>
      </c>
      <c r="CD3660">
        <v>1</v>
      </c>
      <c r="CE3660">
        <v>0</v>
      </c>
      <c r="CF3660">
        <v>0</v>
      </c>
      <c r="CG3660">
        <v>1</v>
      </c>
      <c r="CH3660">
        <v>0</v>
      </c>
      <c r="CI3660">
        <v>0</v>
      </c>
      <c r="CJ3660">
        <v>0</v>
      </c>
      <c r="CK3660">
        <v>2</v>
      </c>
      <c r="CL3660">
        <v>0</v>
      </c>
      <c r="CM3660">
        <v>2</v>
      </c>
      <c r="CN3660">
        <v>0</v>
      </c>
      <c r="CO3660">
        <v>1</v>
      </c>
      <c r="CP3660" t="s">
        <v>119</v>
      </c>
      <c r="CQ3660">
        <v>179</v>
      </c>
      <c r="CR3660">
        <v>1</v>
      </c>
      <c r="CW3660">
        <v>9370410</v>
      </c>
      <c r="CY3660">
        <v>1</v>
      </c>
      <c r="CZ3660">
        <v>0</v>
      </c>
      <c r="DA3660">
        <v>1</v>
      </c>
      <c r="DB3660">
        <v>0</v>
      </c>
      <c r="DC3660">
        <v>0</v>
      </c>
      <c r="DD3660">
        <v>0</v>
      </c>
      <c r="DE3660">
        <v>0</v>
      </c>
      <c r="DF3660">
        <v>0</v>
      </c>
      <c r="DG3660">
        <v>0</v>
      </c>
      <c r="DH3660">
        <v>0</v>
      </c>
      <c r="DI3660">
        <v>0</v>
      </c>
    </row>
    <row r="3661" spans="1:113" x14ac:dyDescent="0.3">
      <c r="A3661" t="str">
        <f>"02/08/2021 20:34:42.843"</f>
        <v>02/08/2021 20:34:42.843</v>
      </c>
      <c r="C3661" t="str">
        <f t="shared" si="182"/>
        <v>FFDFD7C0</v>
      </c>
      <c r="D3661" t="s">
        <v>124</v>
      </c>
      <c r="E3661">
        <v>13</v>
      </c>
      <c r="F3661">
        <v>1013</v>
      </c>
      <c r="G3661" t="s">
        <v>114</v>
      </c>
      <c r="J3661" t="s">
        <v>125</v>
      </c>
      <c r="K3661">
        <v>0</v>
      </c>
      <c r="L3661">
        <v>3</v>
      </c>
      <c r="M3661">
        <v>0</v>
      </c>
      <c r="N3661">
        <v>2</v>
      </c>
      <c r="O3661">
        <v>1</v>
      </c>
      <c r="P3661">
        <v>0</v>
      </c>
      <c r="Q3661">
        <v>0</v>
      </c>
      <c r="S3661" t="str">
        <f>"20:34:45.156"</f>
        <v>20:34:45.156</v>
      </c>
      <c r="T3661" t="str">
        <f>"20:34:43.756"</f>
        <v>20:34:43.756</v>
      </c>
      <c r="U3661" t="str">
        <f t="shared" si="184"/>
        <v>AB01F4</v>
      </c>
      <c r="V3661">
        <v>0</v>
      </c>
      <c r="W3661">
        <v>0</v>
      </c>
      <c r="X3661">
        <v>2</v>
      </c>
      <c r="Z3661">
        <v>0</v>
      </c>
      <c r="AA3661">
        <v>9</v>
      </c>
      <c r="AB3661">
        <v>3</v>
      </c>
      <c r="AC3661">
        <v>0</v>
      </c>
      <c r="AD3661">
        <v>10</v>
      </c>
      <c r="AE3661">
        <v>0</v>
      </c>
      <c r="AF3661">
        <v>3</v>
      </c>
      <c r="AG3661">
        <v>2</v>
      </c>
      <c r="AH3661">
        <v>0</v>
      </c>
      <c r="AI3661" t="s">
        <v>2079</v>
      </c>
      <c r="AJ3661">
        <v>40.110439999999997</v>
      </c>
      <c r="AK3661" t="s">
        <v>2080</v>
      </c>
      <c r="AL3661">
        <v>-93.025702999999993</v>
      </c>
      <c r="AM3661">
        <v>100</v>
      </c>
      <c r="AN3661">
        <v>1300</v>
      </c>
      <c r="AO3661" t="s">
        <v>118</v>
      </c>
      <c r="AP3661">
        <v>-113</v>
      </c>
      <c r="AQ3661">
        <v>61</v>
      </c>
      <c r="AR3661">
        <v>0</v>
      </c>
      <c r="AZ3661">
        <v>1200</v>
      </c>
      <c r="BA3661">
        <v>1</v>
      </c>
      <c r="BB3661" t="str">
        <f t="shared" si="183"/>
        <v xml:space="preserve">N8080G  </v>
      </c>
      <c r="BC3661">
        <v>1</v>
      </c>
      <c r="BE3661">
        <v>0</v>
      </c>
      <c r="BF3661">
        <v>0</v>
      </c>
      <c r="BG3661">
        <v>0</v>
      </c>
      <c r="BH3661">
        <v>1350</v>
      </c>
      <c r="BI3661">
        <v>1</v>
      </c>
      <c r="BJ3661">
        <v>1</v>
      </c>
      <c r="BK3661">
        <v>1</v>
      </c>
      <c r="BL3661">
        <v>0</v>
      </c>
      <c r="BO3661">
        <v>0</v>
      </c>
      <c r="BP3661">
        <v>0</v>
      </c>
      <c r="BW3661" t="str">
        <f>"20:34:45.164"</f>
        <v>20:34:45.164</v>
      </c>
      <c r="BZ3661">
        <v>0</v>
      </c>
      <c r="CA3661">
        <v>1600</v>
      </c>
      <c r="CB3661">
        <v>224</v>
      </c>
      <c r="CD3661">
        <v>1</v>
      </c>
      <c r="CE3661">
        <v>0</v>
      </c>
      <c r="CF3661">
        <v>0</v>
      </c>
      <c r="CG3661">
        <v>1</v>
      </c>
      <c r="CH3661">
        <v>0</v>
      </c>
      <c r="CI3661">
        <v>0</v>
      </c>
      <c r="CJ3661">
        <v>0</v>
      </c>
      <c r="CK3661">
        <v>2</v>
      </c>
      <c r="CL3661">
        <v>0</v>
      </c>
      <c r="CM3661">
        <v>2</v>
      </c>
      <c r="CN3661">
        <v>0</v>
      </c>
      <c r="CO3661">
        <v>1</v>
      </c>
      <c r="CP3661" t="s">
        <v>119</v>
      </c>
      <c r="CQ3661">
        <v>179</v>
      </c>
      <c r="CR3661">
        <v>1</v>
      </c>
      <c r="CW3661">
        <v>9370410</v>
      </c>
      <c r="CY3661">
        <v>1</v>
      </c>
      <c r="CZ3661">
        <v>0</v>
      </c>
      <c r="DA3661">
        <v>1</v>
      </c>
      <c r="DB3661">
        <v>0</v>
      </c>
      <c r="DC3661">
        <v>0</v>
      </c>
      <c r="DD3661">
        <v>0</v>
      </c>
      <c r="DE3661">
        <v>0</v>
      </c>
      <c r="DF3661">
        <v>0</v>
      </c>
      <c r="DG3661">
        <v>0</v>
      </c>
      <c r="DH3661">
        <v>0</v>
      </c>
      <c r="DI3661">
        <v>0</v>
      </c>
    </row>
    <row r="3662" spans="1:113" x14ac:dyDescent="0.3">
      <c r="A3662" t="str">
        <f>"02/08/2021 20:34:42.843"</f>
        <v>02/08/2021 20:34:42.843</v>
      </c>
      <c r="C3662" t="str">
        <f t="shared" si="182"/>
        <v>FFDFD7C0</v>
      </c>
      <c r="D3662" t="s">
        <v>124</v>
      </c>
      <c r="E3662">
        <v>11</v>
      </c>
      <c r="F3662">
        <v>1011</v>
      </c>
      <c r="G3662" t="s">
        <v>590</v>
      </c>
      <c r="J3662" t="s">
        <v>125</v>
      </c>
      <c r="K3662">
        <v>0</v>
      </c>
      <c r="L3662">
        <v>3</v>
      </c>
      <c r="M3662">
        <v>0</v>
      </c>
      <c r="N3662">
        <v>2</v>
      </c>
      <c r="O3662">
        <v>1</v>
      </c>
      <c r="P3662">
        <v>0</v>
      </c>
      <c r="Q3662">
        <v>0</v>
      </c>
      <c r="S3662" t="str">
        <f>"20:34:45.156"</f>
        <v>20:34:45.156</v>
      </c>
      <c r="T3662" t="str">
        <f>"20:34:43.756"</f>
        <v>20:34:43.756</v>
      </c>
      <c r="U3662" t="str">
        <f t="shared" si="184"/>
        <v>AB01F4</v>
      </c>
      <c r="V3662">
        <v>0</v>
      </c>
      <c r="W3662">
        <v>0</v>
      </c>
      <c r="X3662">
        <v>2</v>
      </c>
      <c r="Z3662">
        <v>0</v>
      </c>
      <c r="AA3662">
        <v>9</v>
      </c>
      <c r="AB3662">
        <v>3</v>
      </c>
      <c r="AC3662">
        <v>0</v>
      </c>
      <c r="AD3662">
        <v>10</v>
      </c>
      <c r="AE3662">
        <v>0</v>
      </c>
      <c r="AF3662">
        <v>3</v>
      </c>
      <c r="AG3662">
        <v>2</v>
      </c>
      <c r="AH3662">
        <v>0</v>
      </c>
      <c r="AI3662" t="s">
        <v>2079</v>
      </c>
      <c r="AJ3662">
        <v>40.110439999999997</v>
      </c>
      <c r="AK3662" t="s">
        <v>2080</v>
      </c>
      <c r="AL3662">
        <v>-93.025702999999993</v>
      </c>
      <c r="AM3662">
        <v>100</v>
      </c>
      <c r="AN3662">
        <v>1300</v>
      </c>
      <c r="AO3662" t="s">
        <v>118</v>
      </c>
      <c r="AP3662">
        <v>-113</v>
      </c>
      <c r="AQ3662">
        <v>61</v>
      </c>
      <c r="AR3662">
        <v>0</v>
      </c>
      <c r="AZ3662">
        <v>1200</v>
      </c>
      <c r="BA3662">
        <v>1</v>
      </c>
      <c r="BB3662" t="str">
        <f t="shared" si="183"/>
        <v xml:space="preserve">N8080G  </v>
      </c>
      <c r="BC3662">
        <v>1</v>
      </c>
      <c r="BE3662">
        <v>0</v>
      </c>
      <c r="BF3662">
        <v>0</v>
      </c>
      <c r="BG3662">
        <v>0</v>
      </c>
      <c r="BH3662">
        <v>1350</v>
      </c>
      <c r="BI3662">
        <v>1</v>
      </c>
      <c r="BJ3662">
        <v>1</v>
      </c>
      <c r="BK3662">
        <v>1</v>
      </c>
      <c r="BL3662">
        <v>0</v>
      </c>
      <c r="BO3662">
        <v>0</v>
      </c>
      <c r="BP3662">
        <v>0</v>
      </c>
      <c r="BW3662" t="str">
        <f>"20:34:45.164"</f>
        <v>20:34:45.164</v>
      </c>
      <c r="BZ3662">
        <v>0</v>
      </c>
      <c r="CA3662">
        <v>1600</v>
      </c>
      <c r="CB3662">
        <v>224</v>
      </c>
      <c r="CD3662">
        <v>1</v>
      </c>
      <c r="CE3662">
        <v>0</v>
      </c>
      <c r="CF3662">
        <v>0</v>
      </c>
      <c r="CG3662">
        <v>1</v>
      </c>
      <c r="CH3662">
        <v>0</v>
      </c>
      <c r="CI3662">
        <v>0</v>
      </c>
      <c r="CJ3662">
        <v>0</v>
      </c>
      <c r="CK3662">
        <v>2</v>
      </c>
      <c r="CL3662">
        <v>0</v>
      </c>
      <c r="CM3662">
        <v>2</v>
      </c>
      <c r="CN3662">
        <v>0</v>
      </c>
      <c r="CO3662">
        <v>1</v>
      </c>
      <c r="CP3662" t="s">
        <v>119</v>
      </c>
      <c r="CQ3662">
        <v>179</v>
      </c>
      <c r="CR3662">
        <v>1</v>
      </c>
      <c r="CW3662">
        <v>9370410</v>
      </c>
      <c r="CY3662">
        <v>1</v>
      </c>
      <c r="CZ3662">
        <v>0</v>
      </c>
      <c r="DA3662">
        <v>1</v>
      </c>
      <c r="DB3662">
        <v>0</v>
      </c>
      <c r="DC3662">
        <v>0</v>
      </c>
      <c r="DD3662">
        <v>0</v>
      </c>
      <c r="DE3662">
        <v>0</v>
      </c>
      <c r="DF3662">
        <v>0</v>
      </c>
      <c r="DG3662">
        <v>0</v>
      </c>
      <c r="DH3662">
        <v>0</v>
      </c>
      <c r="DI3662">
        <v>0</v>
      </c>
    </row>
    <row r="3663" spans="1:113" x14ac:dyDescent="0.3">
      <c r="A3663" t="str">
        <f>"02/08/2021 20:34:43.821"</f>
        <v>02/08/2021 20:34:43.821</v>
      </c>
      <c r="C3663" t="str">
        <f t="shared" si="182"/>
        <v>FFDFD7C0</v>
      </c>
      <c r="D3663" t="s">
        <v>124</v>
      </c>
      <c r="E3663">
        <v>13</v>
      </c>
      <c r="F3663">
        <v>1013</v>
      </c>
      <c r="G3663" t="s">
        <v>114</v>
      </c>
      <c r="J3663" t="s">
        <v>125</v>
      </c>
      <c r="K3663">
        <v>0</v>
      </c>
      <c r="L3663">
        <v>3</v>
      </c>
      <c r="M3663">
        <v>0</v>
      </c>
      <c r="N3663">
        <v>2</v>
      </c>
      <c r="O3663">
        <v>1</v>
      </c>
      <c r="P3663">
        <v>0</v>
      </c>
      <c r="Q3663">
        <v>0</v>
      </c>
      <c r="S3663" t="str">
        <f>"20:34:46.141"</f>
        <v>20:34:46.141</v>
      </c>
      <c r="T3663" t="str">
        <f>"20:34:43.741"</f>
        <v>20:34:43.741</v>
      </c>
      <c r="U3663" t="str">
        <f t="shared" si="184"/>
        <v>AB01F4</v>
      </c>
      <c r="V3663">
        <v>0</v>
      </c>
      <c r="W3663">
        <v>0</v>
      </c>
      <c r="X3663">
        <v>2</v>
      </c>
      <c r="Z3663">
        <v>0</v>
      </c>
      <c r="AA3663">
        <v>9</v>
      </c>
      <c r="AB3663">
        <v>3</v>
      </c>
      <c r="AC3663">
        <v>0</v>
      </c>
      <c r="AD3663">
        <v>10</v>
      </c>
      <c r="AE3663">
        <v>0</v>
      </c>
      <c r="AF3663">
        <v>3</v>
      </c>
      <c r="AG3663">
        <v>2</v>
      </c>
      <c r="AH3663">
        <v>0</v>
      </c>
      <c r="AI3663" t="s">
        <v>2081</v>
      </c>
      <c r="AJ3663">
        <v>40.110719000000003</v>
      </c>
      <c r="AK3663" t="s">
        <v>2082</v>
      </c>
      <c r="AL3663">
        <v>-93.026369000000003</v>
      </c>
      <c r="AM3663">
        <v>100</v>
      </c>
      <c r="AN3663">
        <v>1300</v>
      </c>
      <c r="AO3663" t="s">
        <v>118</v>
      </c>
      <c r="AP3663">
        <v>-113</v>
      </c>
      <c r="AQ3663">
        <v>61</v>
      </c>
      <c r="AR3663">
        <v>0</v>
      </c>
      <c r="AZ3663">
        <v>1200</v>
      </c>
      <c r="BA3663">
        <v>1</v>
      </c>
      <c r="BB3663" t="str">
        <f t="shared" si="183"/>
        <v xml:space="preserve">N8080G  </v>
      </c>
      <c r="BC3663">
        <v>1</v>
      </c>
      <c r="BE3663">
        <v>0</v>
      </c>
      <c r="BF3663">
        <v>0</v>
      </c>
      <c r="BG3663">
        <v>0</v>
      </c>
      <c r="BH3663">
        <v>1350</v>
      </c>
      <c r="BI3663">
        <v>1</v>
      </c>
      <c r="BJ3663">
        <v>1</v>
      </c>
      <c r="BK3663">
        <v>1</v>
      </c>
      <c r="BL3663">
        <v>0</v>
      </c>
      <c r="BO3663">
        <v>0</v>
      </c>
      <c r="BP3663">
        <v>0</v>
      </c>
      <c r="BW3663" t="str">
        <f>"20:34:46.147"</f>
        <v>20:34:46.147</v>
      </c>
      <c r="BZ3663">
        <v>0</v>
      </c>
      <c r="CA3663">
        <v>1600</v>
      </c>
      <c r="CB3663">
        <v>224</v>
      </c>
      <c r="CD3663">
        <v>1</v>
      </c>
      <c r="CE3663">
        <v>0</v>
      </c>
      <c r="CF3663">
        <v>0</v>
      </c>
      <c r="CG3663">
        <v>1</v>
      </c>
      <c r="CH3663">
        <v>0</v>
      </c>
      <c r="CI3663">
        <v>0</v>
      </c>
      <c r="CJ3663">
        <v>0</v>
      </c>
      <c r="CK3663">
        <v>2</v>
      </c>
      <c r="CL3663">
        <v>0</v>
      </c>
      <c r="CM3663">
        <v>2</v>
      </c>
      <c r="CN3663">
        <v>0</v>
      </c>
      <c r="CO3663">
        <v>1</v>
      </c>
      <c r="CP3663" t="s">
        <v>119</v>
      </c>
      <c r="CQ3663">
        <v>179</v>
      </c>
      <c r="CR3663">
        <v>1</v>
      </c>
      <c r="CW3663">
        <v>9371262</v>
      </c>
      <c r="CY3663">
        <v>1</v>
      </c>
      <c r="CZ3663">
        <v>0</v>
      </c>
      <c r="DA3663">
        <v>0</v>
      </c>
      <c r="DB3663">
        <v>0</v>
      </c>
      <c r="DC3663">
        <v>0</v>
      </c>
      <c r="DD3663">
        <v>0</v>
      </c>
      <c r="DE3663">
        <v>0</v>
      </c>
      <c r="DF3663">
        <v>0</v>
      </c>
      <c r="DG3663">
        <v>0</v>
      </c>
      <c r="DH3663">
        <v>0</v>
      </c>
      <c r="DI3663">
        <v>0</v>
      </c>
    </row>
    <row r="3664" spans="1:113" x14ac:dyDescent="0.3">
      <c r="A3664" t="str">
        <f>"02/08/2021 20:34:43.821"</f>
        <v>02/08/2021 20:34:43.821</v>
      </c>
      <c r="C3664" t="str">
        <f t="shared" si="182"/>
        <v>FFDFD7C0</v>
      </c>
      <c r="D3664" t="s">
        <v>124</v>
      </c>
      <c r="E3664">
        <v>11</v>
      </c>
      <c r="F3664">
        <v>1011</v>
      </c>
      <c r="G3664" t="s">
        <v>590</v>
      </c>
      <c r="J3664" t="s">
        <v>125</v>
      </c>
      <c r="K3664">
        <v>0</v>
      </c>
      <c r="L3664">
        <v>3</v>
      </c>
      <c r="M3664">
        <v>0</v>
      </c>
      <c r="N3664">
        <v>2</v>
      </c>
      <c r="O3664">
        <v>1</v>
      </c>
      <c r="P3664">
        <v>0</v>
      </c>
      <c r="Q3664">
        <v>0</v>
      </c>
      <c r="S3664" t="str">
        <f>"20:34:46.141"</f>
        <v>20:34:46.141</v>
      </c>
      <c r="T3664" t="str">
        <f>"20:34:43.741"</f>
        <v>20:34:43.741</v>
      </c>
      <c r="U3664" t="str">
        <f t="shared" si="184"/>
        <v>AB01F4</v>
      </c>
      <c r="V3664">
        <v>0</v>
      </c>
      <c r="W3664">
        <v>0</v>
      </c>
      <c r="X3664">
        <v>2</v>
      </c>
      <c r="Z3664">
        <v>0</v>
      </c>
      <c r="AA3664">
        <v>9</v>
      </c>
      <c r="AB3664">
        <v>3</v>
      </c>
      <c r="AC3664">
        <v>0</v>
      </c>
      <c r="AD3664">
        <v>10</v>
      </c>
      <c r="AE3664">
        <v>0</v>
      </c>
      <c r="AF3664">
        <v>3</v>
      </c>
      <c r="AG3664">
        <v>2</v>
      </c>
      <c r="AH3664">
        <v>0</v>
      </c>
      <c r="AI3664" t="s">
        <v>2081</v>
      </c>
      <c r="AJ3664">
        <v>40.110719000000003</v>
      </c>
      <c r="AK3664" t="s">
        <v>2082</v>
      </c>
      <c r="AL3664">
        <v>-93.026369000000003</v>
      </c>
      <c r="AM3664">
        <v>100</v>
      </c>
      <c r="AN3664">
        <v>1300</v>
      </c>
      <c r="AO3664" t="s">
        <v>118</v>
      </c>
      <c r="AP3664">
        <v>-113</v>
      </c>
      <c r="AQ3664">
        <v>61</v>
      </c>
      <c r="AR3664">
        <v>0</v>
      </c>
      <c r="AZ3664">
        <v>1200</v>
      </c>
      <c r="BA3664">
        <v>1</v>
      </c>
      <c r="BB3664" t="str">
        <f t="shared" si="183"/>
        <v xml:space="preserve">N8080G  </v>
      </c>
      <c r="BC3664">
        <v>1</v>
      </c>
      <c r="BE3664">
        <v>0</v>
      </c>
      <c r="BF3664">
        <v>0</v>
      </c>
      <c r="BG3664">
        <v>0</v>
      </c>
      <c r="BH3664">
        <v>1350</v>
      </c>
      <c r="BI3664">
        <v>1</v>
      </c>
      <c r="BJ3664">
        <v>1</v>
      </c>
      <c r="BK3664">
        <v>1</v>
      </c>
      <c r="BL3664">
        <v>0</v>
      </c>
      <c r="BO3664">
        <v>0</v>
      </c>
      <c r="BP3664">
        <v>0</v>
      </c>
      <c r="BW3664" t="str">
        <f>"20:34:46.147"</f>
        <v>20:34:46.147</v>
      </c>
      <c r="BZ3664">
        <v>0</v>
      </c>
      <c r="CA3664">
        <v>1600</v>
      </c>
      <c r="CB3664">
        <v>224</v>
      </c>
      <c r="CD3664">
        <v>1</v>
      </c>
      <c r="CE3664">
        <v>0</v>
      </c>
      <c r="CF3664">
        <v>0</v>
      </c>
      <c r="CG3664">
        <v>1</v>
      </c>
      <c r="CH3664">
        <v>0</v>
      </c>
      <c r="CI3664">
        <v>0</v>
      </c>
      <c r="CJ3664">
        <v>0</v>
      </c>
      <c r="CK3664">
        <v>2</v>
      </c>
      <c r="CL3664">
        <v>0</v>
      </c>
      <c r="CM3664">
        <v>2</v>
      </c>
      <c r="CN3664">
        <v>0</v>
      </c>
      <c r="CO3664">
        <v>1</v>
      </c>
      <c r="CP3664" t="s">
        <v>119</v>
      </c>
      <c r="CQ3664">
        <v>179</v>
      </c>
      <c r="CR3664">
        <v>1</v>
      </c>
      <c r="CW3664">
        <v>9371262</v>
      </c>
      <c r="CY3664">
        <v>1</v>
      </c>
      <c r="CZ3664">
        <v>0</v>
      </c>
      <c r="DA3664">
        <v>1</v>
      </c>
      <c r="DB3664">
        <v>0</v>
      </c>
      <c r="DC3664">
        <v>0</v>
      </c>
      <c r="DD3664">
        <v>0</v>
      </c>
      <c r="DE3664">
        <v>0</v>
      </c>
      <c r="DF3664">
        <v>0</v>
      </c>
      <c r="DG3664">
        <v>0</v>
      </c>
      <c r="DH3664">
        <v>0</v>
      </c>
      <c r="DI3664">
        <v>0</v>
      </c>
    </row>
    <row r="3665" spans="1:113" x14ac:dyDescent="0.3">
      <c r="A3665" t="str">
        <f>"02/08/2021 20:34:43.821"</f>
        <v>02/08/2021 20:34:43.821</v>
      </c>
      <c r="C3665" t="str">
        <f t="shared" si="182"/>
        <v>FFDFD7C0</v>
      </c>
      <c r="D3665" t="s">
        <v>124</v>
      </c>
      <c r="E3665">
        <v>12</v>
      </c>
      <c r="F3665">
        <v>1012</v>
      </c>
      <c r="G3665" t="s">
        <v>675</v>
      </c>
      <c r="J3665" t="s">
        <v>125</v>
      </c>
      <c r="K3665">
        <v>0</v>
      </c>
      <c r="L3665">
        <v>3</v>
      </c>
      <c r="M3665">
        <v>0</v>
      </c>
      <c r="N3665">
        <v>2</v>
      </c>
      <c r="O3665">
        <v>1</v>
      </c>
      <c r="P3665">
        <v>0</v>
      </c>
      <c r="Q3665">
        <v>0</v>
      </c>
      <c r="S3665" t="str">
        <f>"20:34:46.141"</f>
        <v>20:34:46.141</v>
      </c>
      <c r="T3665" t="str">
        <f>"20:34:43.741"</f>
        <v>20:34:43.741</v>
      </c>
      <c r="U3665" t="str">
        <f t="shared" si="184"/>
        <v>AB01F4</v>
      </c>
      <c r="V3665">
        <v>0</v>
      </c>
      <c r="W3665">
        <v>0</v>
      </c>
      <c r="X3665">
        <v>2</v>
      </c>
      <c r="Z3665">
        <v>0</v>
      </c>
      <c r="AA3665">
        <v>9</v>
      </c>
      <c r="AB3665">
        <v>3</v>
      </c>
      <c r="AC3665">
        <v>0</v>
      </c>
      <c r="AD3665">
        <v>10</v>
      </c>
      <c r="AE3665">
        <v>0</v>
      </c>
      <c r="AF3665">
        <v>3</v>
      </c>
      <c r="AG3665">
        <v>2</v>
      </c>
      <c r="AH3665">
        <v>0</v>
      </c>
      <c r="AI3665" t="s">
        <v>2081</v>
      </c>
      <c r="AJ3665">
        <v>40.110719000000003</v>
      </c>
      <c r="AK3665" t="s">
        <v>2082</v>
      </c>
      <c r="AL3665">
        <v>-93.026369000000003</v>
      </c>
      <c r="AM3665">
        <v>100</v>
      </c>
      <c r="AN3665">
        <v>1300</v>
      </c>
      <c r="AO3665" t="s">
        <v>118</v>
      </c>
      <c r="AP3665">
        <v>-113</v>
      </c>
      <c r="AQ3665">
        <v>61</v>
      </c>
      <c r="AR3665">
        <v>0</v>
      </c>
      <c r="AZ3665">
        <v>1200</v>
      </c>
      <c r="BA3665">
        <v>1</v>
      </c>
      <c r="BB3665" t="str">
        <f t="shared" si="183"/>
        <v xml:space="preserve">N8080G  </v>
      </c>
      <c r="BC3665">
        <v>1</v>
      </c>
      <c r="BE3665">
        <v>0</v>
      </c>
      <c r="BF3665">
        <v>0</v>
      </c>
      <c r="BG3665">
        <v>0</v>
      </c>
      <c r="BH3665">
        <v>1350</v>
      </c>
      <c r="BI3665">
        <v>1</v>
      </c>
      <c r="BJ3665">
        <v>1</v>
      </c>
      <c r="BK3665">
        <v>1</v>
      </c>
      <c r="BL3665">
        <v>0</v>
      </c>
      <c r="BO3665">
        <v>0</v>
      </c>
      <c r="BP3665">
        <v>0</v>
      </c>
      <c r="BW3665" t="str">
        <f>"20:34:46.147"</f>
        <v>20:34:46.147</v>
      </c>
      <c r="BZ3665">
        <v>0</v>
      </c>
      <c r="CA3665">
        <v>1600</v>
      </c>
      <c r="CB3665">
        <v>224</v>
      </c>
      <c r="CD3665">
        <v>1</v>
      </c>
      <c r="CE3665">
        <v>0</v>
      </c>
      <c r="CF3665">
        <v>0</v>
      </c>
      <c r="CG3665">
        <v>1</v>
      </c>
      <c r="CH3665">
        <v>0</v>
      </c>
      <c r="CI3665">
        <v>0</v>
      </c>
      <c r="CJ3665">
        <v>0</v>
      </c>
      <c r="CK3665">
        <v>2</v>
      </c>
      <c r="CL3665">
        <v>0</v>
      </c>
      <c r="CM3665">
        <v>2</v>
      </c>
      <c r="CN3665">
        <v>0</v>
      </c>
      <c r="CO3665">
        <v>1</v>
      </c>
      <c r="CP3665" t="s">
        <v>119</v>
      </c>
      <c r="CQ3665">
        <v>179</v>
      </c>
      <c r="CR3665">
        <v>1</v>
      </c>
      <c r="CW3665">
        <v>9371262</v>
      </c>
      <c r="CY3665">
        <v>1</v>
      </c>
      <c r="CZ3665">
        <v>0</v>
      </c>
      <c r="DA3665">
        <v>1</v>
      </c>
      <c r="DB3665">
        <v>0</v>
      </c>
      <c r="DC3665">
        <v>0</v>
      </c>
      <c r="DD3665">
        <v>0</v>
      </c>
      <c r="DE3665">
        <v>0</v>
      </c>
      <c r="DF3665">
        <v>0</v>
      </c>
      <c r="DG3665">
        <v>0</v>
      </c>
      <c r="DH3665">
        <v>0</v>
      </c>
      <c r="DI3665">
        <v>0</v>
      </c>
    </row>
    <row r="3666" spans="1:113" x14ac:dyDescent="0.3">
      <c r="A3666" t="str">
        <f>"02/08/2021 20:34:43.821"</f>
        <v>02/08/2021 20:34:43.821</v>
      </c>
      <c r="C3666" t="str">
        <f t="shared" si="182"/>
        <v>FFDFD7C0</v>
      </c>
      <c r="D3666" t="s">
        <v>113</v>
      </c>
      <c r="E3666">
        <v>6</v>
      </c>
      <c r="H3666">
        <v>165</v>
      </c>
      <c r="I3666" t="s">
        <v>114</v>
      </c>
      <c r="J3666" t="s">
        <v>115</v>
      </c>
      <c r="K3666">
        <v>0</v>
      </c>
      <c r="L3666">
        <v>3</v>
      </c>
      <c r="M3666">
        <v>0</v>
      </c>
      <c r="N3666">
        <v>2</v>
      </c>
      <c r="O3666">
        <v>1</v>
      </c>
      <c r="P3666">
        <v>0</v>
      </c>
      <c r="Q3666">
        <v>0</v>
      </c>
      <c r="S3666" t="str">
        <f>"20:34:46.141"</f>
        <v>20:34:46.141</v>
      </c>
      <c r="T3666" t="str">
        <f>"20:34:43.741"</f>
        <v>20:34:43.741</v>
      </c>
      <c r="U3666" t="str">
        <f t="shared" si="184"/>
        <v>AB01F4</v>
      </c>
      <c r="V3666">
        <v>0</v>
      </c>
      <c r="W3666">
        <v>0</v>
      </c>
      <c r="X3666">
        <v>2</v>
      </c>
      <c r="Z3666">
        <v>0</v>
      </c>
      <c r="AA3666">
        <v>9</v>
      </c>
      <c r="AB3666">
        <v>3</v>
      </c>
      <c r="AC3666">
        <v>0</v>
      </c>
      <c r="AD3666">
        <v>10</v>
      </c>
      <c r="AE3666">
        <v>0</v>
      </c>
      <c r="AF3666">
        <v>3</v>
      </c>
      <c r="AG3666">
        <v>2</v>
      </c>
      <c r="AH3666">
        <v>0</v>
      </c>
      <c r="AI3666" t="s">
        <v>2081</v>
      </c>
      <c r="AJ3666">
        <v>40.110719000000003</v>
      </c>
      <c r="AK3666" t="s">
        <v>2082</v>
      </c>
      <c r="AL3666">
        <v>-93.026369000000003</v>
      </c>
      <c r="AM3666">
        <v>100</v>
      </c>
      <c r="AN3666">
        <v>1300</v>
      </c>
      <c r="AO3666" t="s">
        <v>118</v>
      </c>
      <c r="AP3666">
        <v>-113</v>
      </c>
      <c r="AQ3666">
        <v>61</v>
      </c>
      <c r="AR3666">
        <v>0</v>
      </c>
      <c r="AZ3666">
        <v>1200</v>
      </c>
      <c r="BA3666">
        <v>1</v>
      </c>
      <c r="BB3666" t="str">
        <f t="shared" si="183"/>
        <v xml:space="preserve">N8080G  </v>
      </c>
      <c r="BC3666">
        <v>1</v>
      </c>
      <c r="BE3666">
        <v>0</v>
      </c>
      <c r="BF3666">
        <v>0</v>
      </c>
      <c r="BG3666">
        <v>0</v>
      </c>
      <c r="BH3666">
        <v>1350</v>
      </c>
      <c r="BI3666">
        <v>1</v>
      </c>
      <c r="BJ3666">
        <v>1</v>
      </c>
      <c r="BK3666">
        <v>1</v>
      </c>
      <c r="BL3666">
        <v>0</v>
      </c>
      <c r="BO3666">
        <v>0</v>
      </c>
      <c r="BP3666">
        <v>0</v>
      </c>
      <c r="BW3666" t="str">
        <f>"20:34:46.147"</f>
        <v>20:34:46.147</v>
      </c>
      <c r="BZ3666">
        <v>0</v>
      </c>
      <c r="CA3666">
        <v>1600</v>
      </c>
      <c r="CB3666">
        <v>224</v>
      </c>
      <c r="CD3666">
        <v>1</v>
      </c>
      <c r="CE3666">
        <v>0</v>
      </c>
      <c r="CF3666">
        <v>0</v>
      </c>
      <c r="CG3666">
        <v>1</v>
      </c>
      <c r="CH3666">
        <v>0</v>
      </c>
      <c r="CI3666">
        <v>0</v>
      </c>
      <c r="CJ3666">
        <v>0</v>
      </c>
      <c r="CK3666">
        <v>2</v>
      </c>
      <c r="CL3666">
        <v>0</v>
      </c>
      <c r="CM3666">
        <v>2</v>
      </c>
      <c r="CN3666">
        <v>0</v>
      </c>
      <c r="CO3666">
        <v>1</v>
      </c>
      <c r="CP3666" t="s">
        <v>119</v>
      </c>
      <c r="CQ3666">
        <v>179</v>
      </c>
      <c r="CR3666">
        <v>1</v>
      </c>
      <c r="CW3666">
        <v>9371262</v>
      </c>
      <c r="CY3666">
        <v>1</v>
      </c>
      <c r="CZ3666">
        <v>0</v>
      </c>
      <c r="DA3666">
        <v>1</v>
      </c>
      <c r="DB3666">
        <v>0</v>
      </c>
      <c r="DC3666">
        <v>0</v>
      </c>
      <c r="DD3666">
        <v>0</v>
      </c>
      <c r="DE3666">
        <v>0</v>
      </c>
      <c r="DF3666">
        <v>0</v>
      </c>
      <c r="DG3666">
        <v>0</v>
      </c>
      <c r="DH3666">
        <v>0</v>
      </c>
      <c r="DI3666">
        <v>0</v>
      </c>
    </row>
    <row r="3667" spans="1:113" x14ac:dyDescent="0.3">
      <c r="A3667" t="str">
        <f>"02/08/2021 20:34:44.975"</f>
        <v>02/08/2021 20:34:44.975</v>
      </c>
      <c r="C3667" t="str">
        <f t="shared" si="182"/>
        <v>FFDFD7C0</v>
      </c>
      <c r="D3667" t="s">
        <v>124</v>
      </c>
      <c r="E3667">
        <v>13</v>
      </c>
      <c r="F3667">
        <v>1013</v>
      </c>
      <c r="G3667" t="s">
        <v>114</v>
      </c>
      <c r="J3667" t="s">
        <v>125</v>
      </c>
      <c r="K3667">
        <v>0</v>
      </c>
      <c r="L3667">
        <v>3</v>
      </c>
      <c r="M3667">
        <v>0</v>
      </c>
      <c r="N3667">
        <v>2</v>
      </c>
      <c r="O3667">
        <v>1</v>
      </c>
      <c r="P3667">
        <v>0</v>
      </c>
      <c r="Q3667">
        <v>0</v>
      </c>
      <c r="S3667" t="str">
        <f>"20:34:47.289"</f>
        <v>20:34:47.289</v>
      </c>
      <c r="T3667" t="str">
        <f>"20:34:46.789"</f>
        <v>20:34:46.789</v>
      </c>
      <c r="U3667" t="str">
        <f t="shared" si="184"/>
        <v>AB01F4</v>
      </c>
      <c r="V3667">
        <v>0</v>
      </c>
      <c r="W3667">
        <v>0</v>
      </c>
      <c r="X3667">
        <v>2</v>
      </c>
      <c r="Z3667">
        <v>0</v>
      </c>
      <c r="AA3667">
        <v>9</v>
      </c>
      <c r="AB3667">
        <v>3</v>
      </c>
      <c r="AC3667">
        <v>0</v>
      </c>
      <c r="AD3667">
        <v>10</v>
      </c>
      <c r="AE3667">
        <v>0</v>
      </c>
      <c r="AF3667">
        <v>3</v>
      </c>
      <c r="AG3667">
        <v>2</v>
      </c>
      <c r="AH3667">
        <v>0</v>
      </c>
      <c r="AI3667" t="s">
        <v>2083</v>
      </c>
      <c r="AJ3667">
        <v>40.111041</v>
      </c>
      <c r="AK3667" t="s">
        <v>2084</v>
      </c>
      <c r="AL3667">
        <v>-93.027097999999995</v>
      </c>
      <c r="AM3667">
        <v>100</v>
      </c>
      <c r="AN3667">
        <v>1300</v>
      </c>
      <c r="AO3667" t="s">
        <v>118</v>
      </c>
      <c r="AP3667">
        <v>-113</v>
      </c>
      <c r="AQ3667">
        <v>62</v>
      </c>
      <c r="AR3667">
        <v>-64</v>
      </c>
      <c r="AZ3667">
        <v>1200</v>
      </c>
      <c r="BA3667">
        <v>1</v>
      </c>
      <c r="BB3667" t="str">
        <f t="shared" si="183"/>
        <v xml:space="preserve">N8080G  </v>
      </c>
      <c r="BC3667">
        <v>1</v>
      </c>
      <c r="BE3667">
        <v>0</v>
      </c>
      <c r="BF3667">
        <v>0</v>
      </c>
      <c r="BG3667">
        <v>0</v>
      </c>
      <c r="BH3667">
        <v>1350</v>
      </c>
      <c r="BI3667">
        <v>1</v>
      </c>
      <c r="BJ3667">
        <v>1</v>
      </c>
      <c r="BK3667">
        <v>1</v>
      </c>
      <c r="BL3667">
        <v>0</v>
      </c>
      <c r="BO3667">
        <v>0</v>
      </c>
      <c r="BP3667">
        <v>0</v>
      </c>
      <c r="BW3667" t="str">
        <f>"20:34:47.296"</f>
        <v>20:34:47.296</v>
      </c>
      <c r="BZ3667">
        <v>0</v>
      </c>
      <c r="CA3667">
        <v>1600</v>
      </c>
      <c r="CB3667">
        <v>224</v>
      </c>
      <c r="CD3667">
        <v>1</v>
      </c>
      <c r="CE3667">
        <v>0</v>
      </c>
      <c r="CF3667">
        <v>0</v>
      </c>
      <c r="CG3667">
        <v>1</v>
      </c>
      <c r="CH3667">
        <v>0</v>
      </c>
      <c r="CI3667">
        <v>0</v>
      </c>
      <c r="CJ3667">
        <v>0</v>
      </c>
      <c r="CK3667">
        <v>2</v>
      </c>
      <c r="CL3667">
        <v>0</v>
      </c>
      <c r="CM3667">
        <v>2</v>
      </c>
      <c r="CN3667">
        <v>0</v>
      </c>
      <c r="CO3667">
        <v>6</v>
      </c>
      <c r="CP3667" t="s">
        <v>119</v>
      </c>
      <c r="CQ3667">
        <v>180</v>
      </c>
      <c r="CR3667">
        <v>3</v>
      </c>
      <c r="CW3667">
        <v>1231592</v>
      </c>
      <c r="CY3667">
        <v>1</v>
      </c>
      <c r="CZ3667">
        <v>0</v>
      </c>
      <c r="DA3667">
        <v>0</v>
      </c>
      <c r="DB3667">
        <v>0</v>
      </c>
      <c r="DC3667">
        <v>0</v>
      </c>
      <c r="DD3667">
        <v>0</v>
      </c>
      <c r="DE3667">
        <v>0</v>
      </c>
      <c r="DF3667">
        <v>0</v>
      </c>
      <c r="DG3667">
        <v>0</v>
      </c>
      <c r="DH3667">
        <v>0</v>
      </c>
      <c r="DI3667">
        <v>0</v>
      </c>
    </row>
    <row r="3668" spans="1:113" x14ac:dyDescent="0.3">
      <c r="A3668" t="str">
        <f>"02/08/2021 20:34:44.975"</f>
        <v>02/08/2021 20:34:44.975</v>
      </c>
      <c r="C3668" t="str">
        <f t="shared" si="182"/>
        <v>FFDFD7C0</v>
      </c>
      <c r="D3668" t="s">
        <v>113</v>
      </c>
      <c r="E3668">
        <v>6</v>
      </c>
      <c r="H3668">
        <v>165</v>
      </c>
      <c r="I3668" t="s">
        <v>114</v>
      </c>
      <c r="J3668" t="s">
        <v>115</v>
      </c>
      <c r="K3668">
        <v>0</v>
      </c>
      <c r="L3668">
        <v>3</v>
      </c>
      <c r="M3668">
        <v>0</v>
      </c>
      <c r="N3668">
        <v>2</v>
      </c>
      <c r="O3668">
        <v>1</v>
      </c>
      <c r="P3668">
        <v>0</v>
      </c>
      <c r="Q3668">
        <v>0</v>
      </c>
      <c r="S3668" t="str">
        <f>"20:34:47.289"</f>
        <v>20:34:47.289</v>
      </c>
      <c r="T3668" t="str">
        <f>"20:34:46.789"</f>
        <v>20:34:46.789</v>
      </c>
      <c r="U3668" t="str">
        <f t="shared" si="184"/>
        <v>AB01F4</v>
      </c>
      <c r="V3668">
        <v>0</v>
      </c>
      <c r="W3668">
        <v>0</v>
      </c>
      <c r="X3668">
        <v>2</v>
      </c>
      <c r="Z3668">
        <v>0</v>
      </c>
      <c r="AA3668">
        <v>9</v>
      </c>
      <c r="AB3668">
        <v>3</v>
      </c>
      <c r="AC3668">
        <v>0</v>
      </c>
      <c r="AD3668">
        <v>10</v>
      </c>
      <c r="AE3668">
        <v>0</v>
      </c>
      <c r="AF3668">
        <v>3</v>
      </c>
      <c r="AG3668">
        <v>2</v>
      </c>
      <c r="AH3668">
        <v>0</v>
      </c>
      <c r="AI3668" t="s">
        <v>2083</v>
      </c>
      <c r="AJ3668">
        <v>40.111041</v>
      </c>
      <c r="AK3668" t="s">
        <v>2084</v>
      </c>
      <c r="AL3668">
        <v>-93.027097999999995</v>
      </c>
      <c r="AM3668">
        <v>100</v>
      </c>
      <c r="AN3668">
        <v>1300</v>
      </c>
      <c r="AO3668" t="s">
        <v>118</v>
      </c>
      <c r="AP3668">
        <v>-113</v>
      </c>
      <c r="AQ3668">
        <v>62</v>
      </c>
      <c r="AR3668">
        <v>-64</v>
      </c>
      <c r="AZ3668">
        <v>1200</v>
      </c>
      <c r="BA3668">
        <v>1</v>
      </c>
      <c r="BB3668" t="str">
        <f t="shared" si="183"/>
        <v xml:space="preserve">N8080G  </v>
      </c>
      <c r="BC3668">
        <v>1</v>
      </c>
      <c r="BE3668">
        <v>0</v>
      </c>
      <c r="BF3668">
        <v>0</v>
      </c>
      <c r="BG3668">
        <v>0</v>
      </c>
      <c r="BH3668">
        <v>1350</v>
      </c>
      <c r="BI3668">
        <v>1</v>
      </c>
      <c r="BJ3668">
        <v>1</v>
      </c>
      <c r="BK3668">
        <v>1</v>
      </c>
      <c r="BL3668">
        <v>0</v>
      </c>
      <c r="BO3668">
        <v>0</v>
      </c>
      <c r="BP3668">
        <v>0</v>
      </c>
      <c r="BW3668" t="str">
        <f>"20:34:47.296"</f>
        <v>20:34:47.296</v>
      </c>
      <c r="BZ3668">
        <v>0</v>
      </c>
      <c r="CA3668">
        <v>1600</v>
      </c>
      <c r="CB3668">
        <v>224</v>
      </c>
      <c r="CD3668">
        <v>1</v>
      </c>
      <c r="CE3668">
        <v>0</v>
      </c>
      <c r="CF3668">
        <v>0</v>
      </c>
      <c r="CG3668">
        <v>1</v>
      </c>
      <c r="CH3668">
        <v>0</v>
      </c>
      <c r="CI3668">
        <v>0</v>
      </c>
      <c r="CJ3668">
        <v>0</v>
      </c>
      <c r="CK3668">
        <v>2</v>
      </c>
      <c r="CL3668">
        <v>0</v>
      </c>
      <c r="CM3668">
        <v>2</v>
      </c>
      <c r="CN3668">
        <v>0</v>
      </c>
      <c r="CO3668">
        <v>6</v>
      </c>
      <c r="CP3668" t="s">
        <v>119</v>
      </c>
      <c r="CQ3668">
        <v>180</v>
      </c>
      <c r="CR3668">
        <v>3</v>
      </c>
      <c r="CW3668">
        <v>1231592</v>
      </c>
      <c r="CY3668">
        <v>1</v>
      </c>
      <c r="CZ3668">
        <v>0</v>
      </c>
      <c r="DA3668">
        <v>1</v>
      </c>
      <c r="DB3668">
        <v>0</v>
      </c>
      <c r="DC3668">
        <v>0</v>
      </c>
      <c r="DD3668">
        <v>0</v>
      </c>
      <c r="DE3668">
        <v>0</v>
      </c>
      <c r="DF3668">
        <v>0</v>
      </c>
      <c r="DG3668">
        <v>0</v>
      </c>
      <c r="DH3668">
        <v>0</v>
      </c>
      <c r="DI3668">
        <v>0</v>
      </c>
    </row>
    <row r="3669" spans="1:113" x14ac:dyDescent="0.3">
      <c r="A3669" t="str">
        <f>"02/08/2021 20:34:44.975"</f>
        <v>02/08/2021 20:34:44.975</v>
      </c>
      <c r="C3669" t="str">
        <f t="shared" si="182"/>
        <v>FFDFD7C0</v>
      </c>
      <c r="D3669" t="s">
        <v>124</v>
      </c>
      <c r="E3669">
        <v>11</v>
      </c>
      <c r="F3669">
        <v>1011</v>
      </c>
      <c r="G3669" t="s">
        <v>590</v>
      </c>
      <c r="J3669" t="s">
        <v>125</v>
      </c>
      <c r="K3669">
        <v>0</v>
      </c>
      <c r="L3669">
        <v>3</v>
      </c>
      <c r="M3669">
        <v>0</v>
      </c>
      <c r="N3669">
        <v>2</v>
      </c>
      <c r="O3669">
        <v>1</v>
      </c>
      <c r="P3669">
        <v>0</v>
      </c>
      <c r="Q3669">
        <v>0</v>
      </c>
      <c r="S3669" t="str">
        <f>"20:34:47.289"</f>
        <v>20:34:47.289</v>
      </c>
      <c r="T3669" t="str">
        <f>"20:34:46.789"</f>
        <v>20:34:46.789</v>
      </c>
      <c r="U3669" t="str">
        <f t="shared" si="184"/>
        <v>AB01F4</v>
      </c>
      <c r="V3669">
        <v>0</v>
      </c>
      <c r="W3669">
        <v>0</v>
      </c>
      <c r="X3669">
        <v>2</v>
      </c>
      <c r="Z3669">
        <v>0</v>
      </c>
      <c r="AA3669">
        <v>9</v>
      </c>
      <c r="AB3669">
        <v>3</v>
      </c>
      <c r="AC3669">
        <v>0</v>
      </c>
      <c r="AD3669">
        <v>10</v>
      </c>
      <c r="AE3669">
        <v>0</v>
      </c>
      <c r="AF3669">
        <v>3</v>
      </c>
      <c r="AG3669">
        <v>2</v>
      </c>
      <c r="AH3669">
        <v>0</v>
      </c>
      <c r="AI3669" t="s">
        <v>2083</v>
      </c>
      <c r="AJ3669">
        <v>40.111041</v>
      </c>
      <c r="AK3669" t="s">
        <v>2084</v>
      </c>
      <c r="AL3669">
        <v>-93.027097999999995</v>
      </c>
      <c r="AM3669">
        <v>100</v>
      </c>
      <c r="AN3669">
        <v>1300</v>
      </c>
      <c r="AO3669" t="s">
        <v>118</v>
      </c>
      <c r="AP3669">
        <v>-113</v>
      </c>
      <c r="AQ3669">
        <v>62</v>
      </c>
      <c r="AR3669">
        <v>-64</v>
      </c>
      <c r="AZ3669">
        <v>1200</v>
      </c>
      <c r="BA3669">
        <v>1</v>
      </c>
      <c r="BB3669" t="str">
        <f t="shared" si="183"/>
        <v xml:space="preserve">N8080G  </v>
      </c>
      <c r="BC3669">
        <v>1</v>
      </c>
      <c r="BE3669">
        <v>0</v>
      </c>
      <c r="BF3669">
        <v>0</v>
      </c>
      <c r="BG3669">
        <v>0</v>
      </c>
      <c r="BH3669">
        <v>1350</v>
      </c>
      <c r="BI3669">
        <v>1</v>
      </c>
      <c r="BJ3669">
        <v>1</v>
      </c>
      <c r="BK3669">
        <v>1</v>
      </c>
      <c r="BL3669">
        <v>0</v>
      </c>
      <c r="BO3669">
        <v>0</v>
      </c>
      <c r="BP3669">
        <v>0</v>
      </c>
      <c r="BW3669" t="str">
        <f>"20:34:47.296"</f>
        <v>20:34:47.296</v>
      </c>
      <c r="BZ3669">
        <v>0</v>
      </c>
      <c r="CA3669">
        <v>1600</v>
      </c>
      <c r="CB3669">
        <v>224</v>
      </c>
      <c r="CD3669">
        <v>1</v>
      </c>
      <c r="CE3669">
        <v>0</v>
      </c>
      <c r="CF3669">
        <v>0</v>
      </c>
      <c r="CG3669">
        <v>1</v>
      </c>
      <c r="CH3669">
        <v>0</v>
      </c>
      <c r="CI3669">
        <v>0</v>
      </c>
      <c r="CJ3669">
        <v>0</v>
      </c>
      <c r="CK3669">
        <v>2</v>
      </c>
      <c r="CL3669">
        <v>0</v>
      </c>
      <c r="CM3669">
        <v>2</v>
      </c>
      <c r="CN3669">
        <v>0</v>
      </c>
      <c r="CO3669">
        <v>6</v>
      </c>
      <c r="CP3669" t="s">
        <v>119</v>
      </c>
      <c r="CQ3669">
        <v>180</v>
      </c>
      <c r="CR3669">
        <v>3</v>
      </c>
      <c r="CW3669">
        <v>1231592</v>
      </c>
      <c r="CY3669">
        <v>1</v>
      </c>
      <c r="CZ3669">
        <v>0</v>
      </c>
      <c r="DA3669">
        <v>1</v>
      </c>
      <c r="DB3669">
        <v>0</v>
      </c>
      <c r="DC3669">
        <v>0</v>
      </c>
      <c r="DD3669">
        <v>0</v>
      </c>
      <c r="DE3669">
        <v>0</v>
      </c>
      <c r="DF3669">
        <v>0</v>
      </c>
      <c r="DG3669">
        <v>0</v>
      </c>
      <c r="DH3669">
        <v>0</v>
      </c>
      <c r="DI3669">
        <v>0</v>
      </c>
    </row>
    <row r="3670" spans="1:113" x14ac:dyDescent="0.3">
      <c r="A3670" t="str">
        <f>"02/08/2021 20:34:44.975"</f>
        <v>02/08/2021 20:34:44.975</v>
      </c>
      <c r="C3670" t="str">
        <f t="shared" si="182"/>
        <v>FFDFD7C0</v>
      </c>
      <c r="D3670" t="s">
        <v>124</v>
      </c>
      <c r="E3670">
        <v>12</v>
      </c>
      <c r="F3670">
        <v>1012</v>
      </c>
      <c r="G3670" t="s">
        <v>675</v>
      </c>
      <c r="J3670" t="s">
        <v>125</v>
      </c>
      <c r="K3670">
        <v>0</v>
      </c>
      <c r="L3670">
        <v>3</v>
      </c>
      <c r="M3670">
        <v>0</v>
      </c>
      <c r="N3670">
        <v>2</v>
      </c>
      <c r="O3670">
        <v>1</v>
      </c>
      <c r="P3670">
        <v>0</v>
      </c>
      <c r="Q3670">
        <v>0</v>
      </c>
      <c r="S3670" t="str">
        <f>"20:34:47.289"</f>
        <v>20:34:47.289</v>
      </c>
      <c r="T3670" t="str">
        <f>"20:34:46.789"</f>
        <v>20:34:46.789</v>
      </c>
      <c r="U3670" t="str">
        <f t="shared" si="184"/>
        <v>AB01F4</v>
      </c>
      <c r="V3670">
        <v>0</v>
      </c>
      <c r="W3670">
        <v>0</v>
      </c>
      <c r="X3670">
        <v>2</v>
      </c>
      <c r="Z3670">
        <v>0</v>
      </c>
      <c r="AA3670">
        <v>9</v>
      </c>
      <c r="AB3670">
        <v>3</v>
      </c>
      <c r="AC3670">
        <v>0</v>
      </c>
      <c r="AD3670">
        <v>10</v>
      </c>
      <c r="AE3670">
        <v>0</v>
      </c>
      <c r="AF3670">
        <v>3</v>
      </c>
      <c r="AG3670">
        <v>2</v>
      </c>
      <c r="AH3670">
        <v>0</v>
      </c>
      <c r="AI3670" t="s">
        <v>2083</v>
      </c>
      <c r="AJ3670">
        <v>40.111041</v>
      </c>
      <c r="AK3670" t="s">
        <v>2084</v>
      </c>
      <c r="AL3670">
        <v>-93.027097999999995</v>
      </c>
      <c r="AM3670">
        <v>100</v>
      </c>
      <c r="AN3670">
        <v>1300</v>
      </c>
      <c r="AO3670" t="s">
        <v>118</v>
      </c>
      <c r="AP3670">
        <v>-113</v>
      </c>
      <c r="AQ3670">
        <v>62</v>
      </c>
      <c r="AR3670">
        <v>-64</v>
      </c>
      <c r="AZ3670">
        <v>1200</v>
      </c>
      <c r="BA3670">
        <v>1</v>
      </c>
      <c r="BB3670" t="str">
        <f t="shared" si="183"/>
        <v xml:space="preserve">N8080G  </v>
      </c>
      <c r="BC3670">
        <v>1</v>
      </c>
      <c r="BE3670">
        <v>0</v>
      </c>
      <c r="BF3670">
        <v>0</v>
      </c>
      <c r="BG3670">
        <v>0</v>
      </c>
      <c r="BH3670">
        <v>1350</v>
      </c>
      <c r="BI3670">
        <v>1</v>
      </c>
      <c r="BJ3670">
        <v>1</v>
      </c>
      <c r="BK3670">
        <v>1</v>
      </c>
      <c r="BL3670">
        <v>0</v>
      </c>
      <c r="BO3670">
        <v>0</v>
      </c>
      <c r="BP3670">
        <v>0</v>
      </c>
      <c r="BW3670" t="str">
        <f>"20:34:47.296"</f>
        <v>20:34:47.296</v>
      </c>
      <c r="BZ3670">
        <v>0</v>
      </c>
      <c r="CA3670">
        <v>1600</v>
      </c>
      <c r="CB3670">
        <v>224</v>
      </c>
      <c r="CD3670">
        <v>1</v>
      </c>
      <c r="CE3670">
        <v>0</v>
      </c>
      <c r="CF3670">
        <v>0</v>
      </c>
      <c r="CG3670">
        <v>1</v>
      </c>
      <c r="CH3670">
        <v>0</v>
      </c>
      <c r="CI3670">
        <v>0</v>
      </c>
      <c r="CJ3670">
        <v>0</v>
      </c>
      <c r="CK3670">
        <v>2</v>
      </c>
      <c r="CL3670">
        <v>0</v>
      </c>
      <c r="CM3670">
        <v>2</v>
      </c>
      <c r="CN3670">
        <v>0</v>
      </c>
      <c r="CO3670">
        <v>6</v>
      </c>
      <c r="CP3670" t="s">
        <v>119</v>
      </c>
      <c r="CQ3670">
        <v>180</v>
      </c>
      <c r="CR3670">
        <v>3</v>
      </c>
      <c r="CW3670">
        <v>1231592</v>
      </c>
      <c r="CY3670">
        <v>1</v>
      </c>
      <c r="CZ3670">
        <v>0</v>
      </c>
      <c r="DA3670">
        <v>1</v>
      </c>
      <c r="DB3670">
        <v>0</v>
      </c>
      <c r="DC3670">
        <v>0</v>
      </c>
      <c r="DD3670">
        <v>0</v>
      </c>
      <c r="DE3670">
        <v>0</v>
      </c>
      <c r="DF3670">
        <v>0</v>
      </c>
      <c r="DG3670">
        <v>0</v>
      </c>
      <c r="DH3670">
        <v>0</v>
      </c>
      <c r="DI3670">
        <v>0</v>
      </c>
    </row>
    <row r="3671" spans="1:113" x14ac:dyDescent="0.3">
      <c r="A3671" t="str">
        <f>"02/08/2021 20:34:46.391"</f>
        <v>02/08/2021 20:34:46.391</v>
      </c>
      <c r="C3671" t="str">
        <f t="shared" si="182"/>
        <v>FFDFD7C0</v>
      </c>
      <c r="D3671" t="s">
        <v>124</v>
      </c>
      <c r="E3671">
        <v>11</v>
      </c>
      <c r="F3671">
        <v>1011</v>
      </c>
      <c r="G3671" t="s">
        <v>590</v>
      </c>
      <c r="J3671" t="s">
        <v>125</v>
      </c>
      <c r="K3671">
        <v>0</v>
      </c>
      <c r="L3671">
        <v>3</v>
      </c>
      <c r="M3671">
        <v>0</v>
      </c>
      <c r="N3671">
        <v>2</v>
      </c>
      <c r="O3671">
        <v>1</v>
      </c>
      <c r="P3671">
        <v>0</v>
      </c>
      <c r="Q3671">
        <v>0</v>
      </c>
      <c r="S3671" t="str">
        <f>"20:34:48.734"</f>
        <v>20:34:48.734</v>
      </c>
      <c r="T3671" t="str">
        <f>"20:34:48.334"</f>
        <v>20:34:48.334</v>
      </c>
      <c r="U3671" t="str">
        <f t="shared" si="184"/>
        <v>AB01F4</v>
      </c>
      <c r="V3671">
        <v>0</v>
      </c>
      <c r="W3671">
        <v>0</v>
      </c>
      <c r="X3671">
        <v>2</v>
      </c>
      <c r="Z3671">
        <v>0</v>
      </c>
      <c r="AA3671">
        <v>9</v>
      </c>
      <c r="AB3671">
        <v>3</v>
      </c>
      <c r="AC3671">
        <v>0</v>
      </c>
      <c r="AD3671">
        <v>10</v>
      </c>
      <c r="AE3671">
        <v>0</v>
      </c>
      <c r="AF3671">
        <v>3</v>
      </c>
      <c r="AG3671">
        <v>2</v>
      </c>
      <c r="AH3671">
        <v>0</v>
      </c>
      <c r="AI3671" t="s">
        <v>2085</v>
      </c>
      <c r="AJ3671">
        <v>40.111449</v>
      </c>
      <c r="AK3671" t="s">
        <v>2086</v>
      </c>
      <c r="AL3671">
        <v>-93.028127999999995</v>
      </c>
      <c r="AM3671">
        <v>100</v>
      </c>
      <c r="AN3671">
        <v>1300</v>
      </c>
      <c r="AO3671" t="s">
        <v>118</v>
      </c>
      <c r="AP3671">
        <v>-113</v>
      </c>
      <c r="AQ3671">
        <v>62</v>
      </c>
      <c r="AR3671">
        <v>-64</v>
      </c>
      <c r="AZ3671">
        <v>1200</v>
      </c>
      <c r="BA3671">
        <v>1</v>
      </c>
      <c r="BB3671" t="str">
        <f t="shared" si="183"/>
        <v xml:space="preserve">N8080G  </v>
      </c>
      <c r="BC3671">
        <v>1</v>
      </c>
      <c r="BE3671">
        <v>0</v>
      </c>
      <c r="BF3671">
        <v>0</v>
      </c>
      <c r="BG3671">
        <v>0</v>
      </c>
      <c r="BH3671">
        <v>1350</v>
      </c>
      <c r="BI3671">
        <v>1</v>
      </c>
      <c r="BJ3671">
        <v>1</v>
      </c>
      <c r="BK3671">
        <v>1</v>
      </c>
      <c r="BL3671">
        <v>0</v>
      </c>
      <c r="BO3671">
        <v>0</v>
      </c>
      <c r="BP3671">
        <v>0</v>
      </c>
      <c r="BW3671" t="str">
        <f>"20:34:48.739"</f>
        <v>20:34:48.739</v>
      </c>
      <c r="BZ3671">
        <v>0</v>
      </c>
      <c r="CA3671">
        <v>1600</v>
      </c>
      <c r="CB3671">
        <v>224</v>
      </c>
      <c r="CD3671">
        <v>1</v>
      </c>
      <c r="CE3671">
        <v>0</v>
      </c>
      <c r="CF3671">
        <v>0</v>
      </c>
      <c r="CG3671">
        <v>1</v>
      </c>
      <c r="CH3671">
        <v>0</v>
      </c>
      <c r="CI3671">
        <v>0</v>
      </c>
      <c r="CJ3671">
        <v>0</v>
      </c>
      <c r="CK3671">
        <v>2</v>
      </c>
      <c r="CL3671">
        <v>0</v>
      </c>
      <c r="CM3671">
        <v>2</v>
      </c>
      <c r="CN3671">
        <v>0</v>
      </c>
      <c r="CO3671">
        <v>6</v>
      </c>
      <c r="CP3671" t="s">
        <v>119</v>
      </c>
      <c r="CQ3671">
        <v>180</v>
      </c>
      <c r="CR3671">
        <v>2</v>
      </c>
      <c r="CW3671">
        <v>8899735</v>
      </c>
      <c r="CY3671">
        <v>1</v>
      </c>
      <c r="CZ3671">
        <v>0</v>
      </c>
      <c r="DA3671">
        <v>0</v>
      </c>
      <c r="DB3671">
        <v>0</v>
      </c>
      <c r="DC3671">
        <v>0</v>
      </c>
      <c r="DD3671">
        <v>0</v>
      </c>
      <c r="DE3671">
        <v>0</v>
      </c>
      <c r="DF3671">
        <v>0</v>
      </c>
      <c r="DG3671">
        <v>0</v>
      </c>
      <c r="DH3671">
        <v>0</v>
      </c>
      <c r="DI3671">
        <v>0</v>
      </c>
    </row>
    <row r="3672" spans="1:113" x14ac:dyDescent="0.3">
      <c r="A3672" t="str">
        <f>"02/08/2021 20:34:46.391"</f>
        <v>02/08/2021 20:34:46.391</v>
      </c>
      <c r="C3672" t="str">
        <f t="shared" si="182"/>
        <v>FFDFD7C0</v>
      </c>
      <c r="D3672" t="s">
        <v>113</v>
      </c>
      <c r="E3672">
        <v>6</v>
      </c>
      <c r="H3672">
        <v>165</v>
      </c>
      <c r="I3672" t="s">
        <v>114</v>
      </c>
      <c r="J3672" t="s">
        <v>115</v>
      </c>
      <c r="K3672">
        <v>0</v>
      </c>
      <c r="L3672">
        <v>3</v>
      </c>
      <c r="M3672">
        <v>0</v>
      </c>
      <c r="N3672">
        <v>2</v>
      </c>
      <c r="O3672">
        <v>1</v>
      </c>
      <c r="P3672">
        <v>0</v>
      </c>
      <c r="Q3672">
        <v>0</v>
      </c>
      <c r="S3672" t="str">
        <f>"20:34:48.734"</f>
        <v>20:34:48.734</v>
      </c>
      <c r="T3672" t="str">
        <f>"20:34:48.334"</f>
        <v>20:34:48.334</v>
      </c>
      <c r="U3672" t="str">
        <f t="shared" si="184"/>
        <v>AB01F4</v>
      </c>
      <c r="V3672">
        <v>0</v>
      </c>
      <c r="W3672">
        <v>0</v>
      </c>
      <c r="X3672">
        <v>2</v>
      </c>
      <c r="Z3672">
        <v>0</v>
      </c>
      <c r="AA3672">
        <v>9</v>
      </c>
      <c r="AB3672">
        <v>3</v>
      </c>
      <c r="AC3672">
        <v>0</v>
      </c>
      <c r="AD3672">
        <v>10</v>
      </c>
      <c r="AE3672">
        <v>0</v>
      </c>
      <c r="AF3672">
        <v>3</v>
      </c>
      <c r="AG3672">
        <v>2</v>
      </c>
      <c r="AH3672">
        <v>0</v>
      </c>
      <c r="AI3672" t="s">
        <v>2085</v>
      </c>
      <c r="AJ3672">
        <v>40.111449</v>
      </c>
      <c r="AK3672" t="s">
        <v>2086</v>
      </c>
      <c r="AL3672">
        <v>-93.028127999999995</v>
      </c>
      <c r="AM3672">
        <v>100</v>
      </c>
      <c r="AN3672">
        <v>1300</v>
      </c>
      <c r="AO3672" t="s">
        <v>118</v>
      </c>
      <c r="AP3672">
        <v>-113</v>
      </c>
      <c r="AQ3672">
        <v>62</v>
      </c>
      <c r="AR3672">
        <v>-64</v>
      </c>
      <c r="AZ3672">
        <v>1200</v>
      </c>
      <c r="BA3672">
        <v>1</v>
      </c>
      <c r="BB3672" t="str">
        <f t="shared" si="183"/>
        <v xml:space="preserve">N8080G  </v>
      </c>
      <c r="BC3672">
        <v>1</v>
      </c>
      <c r="BE3672">
        <v>0</v>
      </c>
      <c r="BF3672">
        <v>0</v>
      </c>
      <c r="BG3672">
        <v>0</v>
      </c>
      <c r="BH3672">
        <v>1350</v>
      </c>
      <c r="BI3672">
        <v>1</v>
      </c>
      <c r="BJ3672">
        <v>1</v>
      </c>
      <c r="BK3672">
        <v>1</v>
      </c>
      <c r="BL3672">
        <v>0</v>
      </c>
      <c r="BO3672">
        <v>0</v>
      </c>
      <c r="BP3672">
        <v>0</v>
      </c>
      <c r="BW3672" t="str">
        <f>"20:34:48.739"</f>
        <v>20:34:48.739</v>
      </c>
      <c r="BZ3672">
        <v>0</v>
      </c>
      <c r="CA3672">
        <v>1600</v>
      </c>
      <c r="CB3672">
        <v>224</v>
      </c>
      <c r="CD3672">
        <v>1</v>
      </c>
      <c r="CE3672">
        <v>0</v>
      </c>
      <c r="CF3672">
        <v>0</v>
      </c>
      <c r="CG3672">
        <v>1</v>
      </c>
      <c r="CH3672">
        <v>0</v>
      </c>
      <c r="CI3672">
        <v>0</v>
      </c>
      <c r="CJ3672">
        <v>0</v>
      </c>
      <c r="CK3672">
        <v>2</v>
      </c>
      <c r="CL3672">
        <v>0</v>
      </c>
      <c r="CM3672">
        <v>2</v>
      </c>
      <c r="CN3672">
        <v>0</v>
      </c>
      <c r="CO3672">
        <v>6</v>
      </c>
      <c r="CP3672" t="s">
        <v>119</v>
      </c>
      <c r="CQ3672">
        <v>180</v>
      </c>
      <c r="CR3672">
        <v>2</v>
      </c>
      <c r="CW3672">
        <v>8899735</v>
      </c>
      <c r="CY3672">
        <v>1</v>
      </c>
      <c r="CZ3672">
        <v>0</v>
      </c>
      <c r="DA3672">
        <v>1</v>
      </c>
      <c r="DB3672">
        <v>0</v>
      </c>
      <c r="DC3672">
        <v>0</v>
      </c>
      <c r="DD3672">
        <v>0</v>
      </c>
      <c r="DE3672">
        <v>0</v>
      </c>
      <c r="DF3672">
        <v>0</v>
      </c>
      <c r="DG3672">
        <v>0</v>
      </c>
      <c r="DH3672">
        <v>0</v>
      </c>
      <c r="DI3672">
        <v>0</v>
      </c>
    </row>
    <row r="3673" spans="1:113" x14ac:dyDescent="0.3">
      <c r="A3673" t="str">
        <f>"02/08/2021 20:34:46.391"</f>
        <v>02/08/2021 20:34:46.391</v>
      </c>
      <c r="C3673" t="str">
        <f t="shared" si="182"/>
        <v>FFDFD7C0</v>
      </c>
      <c r="D3673" t="s">
        <v>124</v>
      </c>
      <c r="E3673">
        <v>12</v>
      </c>
      <c r="F3673">
        <v>1012</v>
      </c>
      <c r="G3673" t="s">
        <v>675</v>
      </c>
      <c r="J3673" t="s">
        <v>125</v>
      </c>
      <c r="K3673">
        <v>0</v>
      </c>
      <c r="L3673">
        <v>3</v>
      </c>
      <c r="M3673">
        <v>0</v>
      </c>
      <c r="N3673">
        <v>2</v>
      </c>
      <c r="O3673">
        <v>1</v>
      </c>
      <c r="P3673">
        <v>0</v>
      </c>
      <c r="Q3673">
        <v>0</v>
      </c>
      <c r="S3673" t="str">
        <f>"20:34:48.734"</f>
        <v>20:34:48.734</v>
      </c>
      <c r="T3673" t="str">
        <f>"20:34:48.334"</f>
        <v>20:34:48.334</v>
      </c>
      <c r="U3673" t="str">
        <f t="shared" si="184"/>
        <v>AB01F4</v>
      </c>
      <c r="V3673">
        <v>0</v>
      </c>
      <c r="W3673">
        <v>0</v>
      </c>
      <c r="X3673">
        <v>2</v>
      </c>
      <c r="Z3673">
        <v>0</v>
      </c>
      <c r="AA3673">
        <v>9</v>
      </c>
      <c r="AB3673">
        <v>3</v>
      </c>
      <c r="AC3673">
        <v>0</v>
      </c>
      <c r="AD3673">
        <v>10</v>
      </c>
      <c r="AE3673">
        <v>0</v>
      </c>
      <c r="AF3673">
        <v>3</v>
      </c>
      <c r="AG3673">
        <v>2</v>
      </c>
      <c r="AH3673">
        <v>0</v>
      </c>
      <c r="AI3673" t="s">
        <v>2085</v>
      </c>
      <c r="AJ3673">
        <v>40.111449</v>
      </c>
      <c r="AK3673" t="s">
        <v>2086</v>
      </c>
      <c r="AL3673">
        <v>-93.028127999999995</v>
      </c>
      <c r="AM3673">
        <v>100</v>
      </c>
      <c r="AN3673">
        <v>1300</v>
      </c>
      <c r="AO3673" t="s">
        <v>118</v>
      </c>
      <c r="AP3673">
        <v>-113</v>
      </c>
      <c r="AQ3673">
        <v>62</v>
      </c>
      <c r="AR3673">
        <v>-64</v>
      </c>
      <c r="AZ3673">
        <v>1200</v>
      </c>
      <c r="BA3673">
        <v>1</v>
      </c>
      <c r="BB3673" t="str">
        <f t="shared" si="183"/>
        <v xml:space="preserve">N8080G  </v>
      </c>
      <c r="BC3673">
        <v>1</v>
      </c>
      <c r="BE3673">
        <v>0</v>
      </c>
      <c r="BF3673">
        <v>0</v>
      </c>
      <c r="BG3673">
        <v>0</v>
      </c>
      <c r="BH3673">
        <v>1350</v>
      </c>
      <c r="BI3673">
        <v>1</v>
      </c>
      <c r="BJ3673">
        <v>1</v>
      </c>
      <c r="BK3673">
        <v>1</v>
      </c>
      <c r="BL3673">
        <v>0</v>
      </c>
      <c r="BO3673">
        <v>0</v>
      </c>
      <c r="BP3673">
        <v>0</v>
      </c>
      <c r="BW3673" t="str">
        <f>"20:34:48.739"</f>
        <v>20:34:48.739</v>
      </c>
      <c r="BZ3673">
        <v>0</v>
      </c>
      <c r="CA3673">
        <v>1600</v>
      </c>
      <c r="CB3673">
        <v>224</v>
      </c>
      <c r="CD3673">
        <v>1</v>
      </c>
      <c r="CE3673">
        <v>0</v>
      </c>
      <c r="CF3673">
        <v>0</v>
      </c>
      <c r="CG3673">
        <v>1</v>
      </c>
      <c r="CH3673">
        <v>0</v>
      </c>
      <c r="CI3673">
        <v>0</v>
      </c>
      <c r="CJ3673">
        <v>0</v>
      </c>
      <c r="CK3673">
        <v>2</v>
      </c>
      <c r="CL3673">
        <v>0</v>
      </c>
      <c r="CM3673">
        <v>2</v>
      </c>
      <c r="CN3673">
        <v>0</v>
      </c>
      <c r="CO3673">
        <v>6</v>
      </c>
      <c r="CP3673" t="s">
        <v>119</v>
      </c>
      <c r="CQ3673">
        <v>180</v>
      </c>
      <c r="CR3673">
        <v>2</v>
      </c>
      <c r="CW3673">
        <v>8899735</v>
      </c>
      <c r="CY3673">
        <v>1</v>
      </c>
      <c r="CZ3673">
        <v>0</v>
      </c>
      <c r="DA3673">
        <v>1</v>
      </c>
      <c r="DB3673">
        <v>0</v>
      </c>
      <c r="DC3673">
        <v>0</v>
      </c>
      <c r="DD3673">
        <v>0</v>
      </c>
      <c r="DE3673">
        <v>0</v>
      </c>
      <c r="DF3673">
        <v>0</v>
      </c>
      <c r="DG3673">
        <v>0</v>
      </c>
      <c r="DH3673">
        <v>0</v>
      </c>
      <c r="DI3673">
        <v>0</v>
      </c>
    </row>
    <row r="3674" spans="1:113" x14ac:dyDescent="0.3">
      <c r="A3674" t="str">
        <f>"02/08/2021 20:34:46.391"</f>
        <v>02/08/2021 20:34:46.391</v>
      </c>
      <c r="C3674" t="str">
        <f t="shared" si="182"/>
        <v>FFDFD7C0</v>
      </c>
      <c r="D3674" t="s">
        <v>124</v>
      </c>
      <c r="E3674">
        <v>13</v>
      </c>
      <c r="F3674">
        <v>1013</v>
      </c>
      <c r="G3674" t="s">
        <v>114</v>
      </c>
      <c r="J3674" t="s">
        <v>125</v>
      </c>
      <c r="K3674">
        <v>0</v>
      </c>
      <c r="L3674">
        <v>3</v>
      </c>
      <c r="M3674">
        <v>0</v>
      </c>
      <c r="N3674">
        <v>2</v>
      </c>
      <c r="O3674">
        <v>1</v>
      </c>
      <c r="P3674">
        <v>0</v>
      </c>
      <c r="Q3674">
        <v>0</v>
      </c>
      <c r="S3674" t="str">
        <f>"20:34:48.734"</f>
        <v>20:34:48.734</v>
      </c>
      <c r="T3674" t="str">
        <f>"20:34:48.334"</f>
        <v>20:34:48.334</v>
      </c>
      <c r="U3674" t="str">
        <f t="shared" si="184"/>
        <v>AB01F4</v>
      </c>
      <c r="V3674">
        <v>0</v>
      </c>
      <c r="W3674">
        <v>0</v>
      </c>
      <c r="X3674">
        <v>2</v>
      </c>
      <c r="Z3674">
        <v>0</v>
      </c>
      <c r="AA3674">
        <v>9</v>
      </c>
      <c r="AB3674">
        <v>3</v>
      </c>
      <c r="AC3674">
        <v>0</v>
      </c>
      <c r="AD3674">
        <v>10</v>
      </c>
      <c r="AE3674">
        <v>0</v>
      </c>
      <c r="AF3674">
        <v>3</v>
      </c>
      <c r="AG3674">
        <v>2</v>
      </c>
      <c r="AH3674">
        <v>0</v>
      </c>
      <c r="AI3674" t="s">
        <v>2085</v>
      </c>
      <c r="AJ3674">
        <v>40.111449</v>
      </c>
      <c r="AK3674" t="s">
        <v>2086</v>
      </c>
      <c r="AL3674">
        <v>-93.028127999999995</v>
      </c>
      <c r="AM3674">
        <v>100</v>
      </c>
      <c r="AN3674">
        <v>1300</v>
      </c>
      <c r="AO3674" t="s">
        <v>118</v>
      </c>
      <c r="AP3674">
        <v>-113</v>
      </c>
      <c r="AQ3674">
        <v>62</v>
      </c>
      <c r="AR3674">
        <v>-64</v>
      </c>
      <c r="AZ3674">
        <v>1200</v>
      </c>
      <c r="BA3674">
        <v>1</v>
      </c>
      <c r="BB3674" t="str">
        <f t="shared" si="183"/>
        <v xml:space="preserve">N8080G  </v>
      </c>
      <c r="BC3674">
        <v>1</v>
      </c>
      <c r="BE3674">
        <v>0</v>
      </c>
      <c r="BF3674">
        <v>0</v>
      </c>
      <c r="BG3674">
        <v>0</v>
      </c>
      <c r="BH3674">
        <v>1350</v>
      </c>
      <c r="BI3674">
        <v>1</v>
      </c>
      <c r="BJ3674">
        <v>1</v>
      </c>
      <c r="BK3674">
        <v>1</v>
      </c>
      <c r="BL3674">
        <v>0</v>
      </c>
      <c r="BO3674">
        <v>0</v>
      </c>
      <c r="BP3674">
        <v>0</v>
      </c>
      <c r="BW3674" t="str">
        <f>"20:34:48.739"</f>
        <v>20:34:48.739</v>
      </c>
      <c r="BZ3674">
        <v>0</v>
      </c>
      <c r="CA3674">
        <v>1600</v>
      </c>
      <c r="CB3674">
        <v>224</v>
      </c>
      <c r="CD3674">
        <v>1</v>
      </c>
      <c r="CE3674">
        <v>0</v>
      </c>
      <c r="CF3674">
        <v>0</v>
      </c>
      <c r="CG3674">
        <v>1</v>
      </c>
      <c r="CH3674">
        <v>0</v>
      </c>
      <c r="CI3674">
        <v>0</v>
      </c>
      <c r="CJ3674">
        <v>0</v>
      </c>
      <c r="CK3674">
        <v>2</v>
      </c>
      <c r="CL3674">
        <v>0</v>
      </c>
      <c r="CM3674">
        <v>2</v>
      </c>
      <c r="CN3674">
        <v>0</v>
      </c>
      <c r="CO3674">
        <v>6</v>
      </c>
      <c r="CP3674" t="s">
        <v>119</v>
      </c>
      <c r="CQ3674">
        <v>180</v>
      </c>
      <c r="CR3674">
        <v>2</v>
      </c>
      <c r="CW3674">
        <v>8899735</v>
      </c>
      <c r="CY3674">
        <v>1</v>
      </c>
      <c r="CZ3674">
        <v>0</v>
      </c>
      <c r="DA3674">
        <v>1</v>
      </c>
      <c r="DB3674">
        <v>0</v>
      </c>
      <c r="DC3674">
        <v>0</v>
      </c>
      <c r="DD3674">
        <v>0</v>
      </c>
      <c r="DE3674">
        <v>0</v>
      </c>
      <c r="DF3674">
        <v>0</v>
      </c>
      <c r="DG3674">
        <v>0</v>
      </c>
      <c r="DH3674">
        <v>0</v>
      </c>
      <c r="DI3674">
        <v>0</v>
      </c>
    </row>
    <row r="3675" spans="1:113" x14ac:dyDescent="0.3">
      <c r="A3675" t="str">
        <f>"02/08/2021 20:34:47.318"</f>
        <v>02/08/2021 20:34:47.318</v>
      </c>
      <c r="C3675" t="str">
        <f t="shared" si="182"/>
        <v>FFDFD7C0</v>
      </c>
      <c r="D3675" t="s">
        <v>124</v>
      </c>
      <c r="E3675">
        <v>12</v>
      </c>
      <c r="F3675">
        <v>1012</v>
      </c>
      <c r="G3675" t="s">
        <v>675</v>
      </c>
      <c r="J3675" t="s">
        <v>125</v>
      </c>
      <c r="K3675">
        <v>0</v>
      </c>
      <c r="L3675">
        <v>3</v>
      </c>
      <c r="M3675">
        <v>0</v>
      </c>
      <c r="N3675">
        <v>2</v>
      </c>
      <c r="O3675">
        <v>1</v>
      </c>
      <c r="P3675">
        <v>0</v>
      </c>
      <c r="Q3675">
        <v>0</v>
      </c>
      <c r="S3675" t="str">
        <f>"20:34:49.656"</f>
        <v>20:34:49.656</v>
      </c>
      <c r="T3675" t="str">
        <f>"20:34:47.356"</f>
        <v>20:34:47.356</v>
      </c>
      <c r="U3675" t="str">
        <f t="shared" si="184"/>
        <v>AB01F4</v>
      </c>
      <c r="V3675">
        <v>0</v>
      </c>
      <c r="W3675">
        <v>0</v>
      </c>
      <c r="X3675">
        <v>2</v>
      </c>
      <c r="Z3675">
        <v>0</v>
      </c>
      <c r="AA3675">
        <v>9</v>
      </c>
      <c r="AB3675">
        <v>3</v>
      </c>
      <c r="AC3675">
        <v>0</v>
      </c>
      <c r="AD3675">
        <v>10</v>
      </c>
      <c r="AE3675">
        <v>0</v>
      </c>
      <c r="AF3675">
        <v>3</v>
      </c>
      <c r="AG3675">
        <v>2</v>
      </c>
      <c r="AH3675">
        <v>0</v>
      </c>
      <c r="AI3675" t="s">
        <v>2087</v>
      </c>
      <c r="AJ3675">
        <v>40.111727999999999</v>
      </c>
      <c r="AK3675" t="s">
        <v>2088</v>
      </c>
      <c r="AL3675">
        <v>-93.028728999999998</v>
      </c>
      <c r="AM3675">
        <v>100</v>
      </c>
      <c r="AN3675">
        <v>1300</v>
      </c>
      <c r="AO3675" t="s">
        <v>118</v>
      </c>
      <c r="AP3675">
        <v>-113</v>
      </c>
      <c r="AQ3675">
        <v>62</v>
      </c>
      <c r="AR3675">
        <v>-64</v>
      </c>
      <c r="AZ3675">
        <v>1200</v>
      </c>
      <c r="BA3675">
        <v>1</v>
      </c>
      <c r="BB3675" t="str">
        <f t="shared" si="183"/>
        <v xml:space="preserve">N8080G  </v>
      </c>
      <c r="BC3675">
        <v>1</v>
      </c>
      <c r="BE3675">
        <v>0</v>
      </c>
      <c r="BF3675">
        <v>0</v>
      </c>
      <c r="BG3675">
        <v>0</v>
      </c>
      <c r="BH3675">
        <v>1350</v>
      </c>
      <c r="BI3675">
        <v>1</v>
      </c>
      <c r="BJ3675">
        <v>1</v>
      </c>
      <c r="BK3675">
        <v>1</v>
      </c>
      <c r="BL3675">
        <v>0</v>
      </c>
      <c r="BO3675">
        <v>0</v>
      </c>
      <c r="BP3675">
        <v>0</v>
      </c>
      <c r="BW3675" t="str">
        <f>"20:34:49.663"</f>
        <v>20:34:49.663</v>
      </c>
      <c r="BZ3675">
        <v>0</v>
      </c>
      <c r="CA3675">
        <v>1600</v>
      </c>
      <c r="CB3675">
        <v>224</v>
      </c>
      <c r="CD3675">
        <v>1</v>
      </c>
      <c r="CE3675">
        <v>0</v>
      </c>
      <c r="CF3675">
        <v>0</v>
      </c>
      <c r="CG3675">
        <v>1</v>
      </c>
      <c r="CH3675">
        <v>0</v>
      </c>
      <c r="CI3675">
        <v>0</v>
      </c>
      <c r="CJ3675">
        <v>0</v>
      </c>
      <c r="CK3675">
        <v>2</v>
      </c>
      <c r="CL3675">
        <v>0</v>
      </c>
      <c r="CM3675">
        <v>2</v>
      </c>
      <c r="CN3675">
        <v>0</v>
      </c>
      <c r="CO3675">
        <v>1</v>
      </c>
      <c r="CP3675" t="s">
        <v>119</v>
      </c>
      <c r="CQ3675">
        <v>179</v>
      </c>
      <c r="CR3675">
        <v>1</v>
      </c>
      <c r="CW3675">
        <v>9374356</v>
      </c>
      <c r="CY3675">
        <v>1</v>
      </c>
      <c r="CZ3675">
        <v>0</v>
      </c>
      <c r="DA3675">
        <v>0</v>
      </c>
      <c r="DB3675">
        <v>0</v>
      </c>
      <c r="DC3675">
        <v>0</v>
      </c>
      <c r="DD3675">
        <v>0</v>
      </c>
      <c r="DE3675">
        <v>0</v>
      </c>
      <c r="DF3675">
        <v>0</v>
      </c>
      <c r="DG3675">
        <v>0</v>
      </c>
      <c r="DH3675">
        <v>0</v>
      </c>
      <c r="DI3675">
        <v>0</v>
      </c>
    </row>
    <row r="3676" spans="1:113" x14ac:dyDescent="0.3">
      <c r="A3676" t="str">
        <f>"02/08/2021 20:34:47.318"</f>
        <v>02/08/2021 20:34:47.318</v>
      </c>
      <c r="C3676" t="str">
        <f t="shared" si="182"/>
        <v>FFDFD7C0</v>
      </c>
      <c r="D3676" t="s">
        <v>124</v>
      </c>
      <c r="E3676">
        <v>13</v>
      </c>
      <c r="F3676">
        <v>1013</v>
      </c>
      <c r="G3676" t="s">
        <v>114</v>
      </c>
      <c r="J3676" t="s">
        <v>125</v>
      </c>
      <c r="K3676">
        <v>0</v>
      </c>
      <c r="L3676">
        <v>3</v>
      </c>
      <c r="M3676">
        <v>0</v>
      </c>
      <c r="N3676">
        <v>2</v>
      </c>
      <c r="O3676">
        <v>1</v>
      </c>
      <c r="P3676">
        <v>0</v>
      </c>
      <c r="Q3676">
        <v>0</v>
      </c>
      <c r="S3676" t="str">
        <f>"20:34:49.656"</f>
        <v>20:34:49.656</v>
      </c>
      <c r="T3676" t="str">
        <f>"20:34:47.356"</f>
        <v>20:34:47.356</v>
      </c>
      <c r="U3676" t="str">
        <f t="shared" si="184"/>
        <v>AB01F4</v>
      </c>
      <c r="V3676">
        <v>0</v>
      </c>
      <c r="W3676">
        <v>0</v>
      </c>
      <c r="X3676">
        <v>2</v>
      </c>
      <c r="Z3676">
        <v>0</v>
      </c>
      <c r="AA3676">
        <v>9</v>
      </c>
      <c r="AB3676">
        <v>3</v>
      </c>
      <c r="AC3676">
        <v>0</v>
      </c>
      <c r="AD3676">
        <v>10</v>
      </c>
      <c r="AE3676">
        <v>0</v>
      </c>
      <c r="AF3676">
        <v>3</v>
      </c>
      <c r="AG3676">
        <v>2</v>
      </c>
      <c r="AH3676">
        <v>0</v>
      </c>
      <c r="AI3676" t="s">
        <v>2087</v>
      </c>
      <c r="AJ3676">
        <v>40.111727999999999</v>
      </c>
      <c r="AK3676" t="s">
        <v>2088</v>
      </c>
      <c r="AL3676">
        <v>-93.028728999999998</v>
      </c>
      <c r="AM3676">
        <v>100</v>
      </c>
      <c r="AN3676">
        <v>1300</v>
      </c>
      <c r="AO3676" t="s">
        <v>118</v>
      </c>
      <c r="AP3676">
        <v>-113</v>
      </c>
      <c r="AQ3676">
        <v>62</v>
      </c>
      <c r="AR3676">
        <v>-64</v>
      </c>
      <c r="AZ3676">
        <v>1200</v>
      </c>
      <c r="BA3676">
        <v>1</v>
      </c>
      <c r="BB3676" t="str">
        <f t="shared" si="183"/>
        <v xml:space="preserve">N8080G  </v>
      </c>
      <c r="BC3676">
        <v>1</v>
      </c>
      <c r="BE3676">
        <v>0</v>
      </c>
      <c r="BF3676">
        <v>0</v>
      </c>
      <c r="BG3676">
        <v>0</v>
      </c>
      <c r="BH3676">
        <v>1350</v>
      </c>
      <c r="BI3676">
        <v>1</v>
      </c>
      <c r="BJ3676">
        <v>1</v>
      </c>
      <c r="BK3676">
        <v>1</v>
      </c>
      <c r="BL3676">
        <v>0</v>
      </c>
      <c r="BO3676">
        <v>0</v>
      </c>
      <c r="BP3676">
        <v>0</v>
      </c>
      <c r="BW3676" t="str">
        <f>"20:34:49.663"</f>
        <v>20:34:49.663</v>
      </c>
      <c r="BZ3676">
        <v>0</v>
      </c>
      <c r="CA3676">
        <v>1600</v>
      </c>
      <c r="CB3676">
        <v>224</v>
      </c>
      <c r="CD3676">
        <v>1</v>
      </c>
      <c r="CE3676">
        <v>0</v>
      </c>
      <c r="CF3676">
        <v>0</v>
      </c>
      <c r="CG3676">
        <v>1</v>
      </c>
      <c r="CH3676">
        <v>0</v>
      </c>
      <c r="CI3676">
        <v>0</v>
      </c>
      <c r="CJ3676">
        <v>0</v>
      </c>
      <c r="CK3676">
        <v>2</v>
      </c>
      <c r="CL3676">
        <v>0</v>
      </c>
      <c r="CM3676">
        <v>2</v>
      </c>
      <c r="CN3676">
        <v>0</v>
      </c>
      <c r="CO3676">
        <v>1</v>
      </c>
      <c r="CP3676" t="s">
        <v>119</v>
      </c>
      <c r="CQ3676">
        <v>179</v>
      </c>
      <c r="CR3676">
        <v>1</v>
      </c>
      <c r="CW3676">
        <v>9374356</v>
      </c>
      <c r="CY3676">
        <v>1</v>
      </c>
      <c r="CZ3676">
        <v>0</v>
      </c>
      <c r="DA3676">
        <v>1</v>
      </c>
      <c r="DB3676">
        <v>0</v>
      </c>
      <c r="DC3676">
        <v>0</v>
      </c>
      <c r="DD3676">
        <v>0</v>
      </c>
      <c r="DE3676">
        <v>0</v>
      </c>
      <c r="DF3676">
        <v>0</v>
      </c>
      <c r="DG3676">
        <v>0</v>
      </c>
      <c r="DH3676">
        <v>0</v>
      </c>
      <c r="DI3676">
        <v>0</v>
      </c>
    </row>
    <row r="3677" spans="1:113" x14ac:dyDescent="0.3">
      <c r="A3677" t="str">
        <f>"02/08/2021 20:34:47.318"</f>
        <v>02/08/2021 20:34:47.318</v>
      </c>
      <c r="C3677" t="str">
        <f t="shared" si="182"/>
        <v>FFDFD7C0</v>
      </c>
      <c r="D3677" t="s">
        <v>124</v>
      </c>
      <c r="E3677">
        <v>11</v>
      </c>
      <c r="F3677">
        <v>1011</v>
      </c>
      <c r="G3677" t="s">
        <v>590</v>
      </c>
      <c r="J3677" t="s">
        <v>125</v>
      </c>
      <c r="K3677">
        <v>0</v>
      </c>
      <c r="L3677">
        <v>3</v>
      </c>
      <c r="M3677">
        <v>0</v>
      </c>
      <c r="N3677">
        <v>2</v>
      </c>
      <c r="O3677">
        <v>1</v>
      </c>
      <c r="P3677">
        <v>0</v>
      </c>
      <c r="Q3677">
        <v>0</v>
      </c>
      <c r="S3677" t="str">
        <f>"20:34:49.656"</f>
        <v>20:34:49.656</v>
      </c>
      <c r="T3677" t="str">
        <f>"20:34:47.356"</f>
        <v>20:34:47.356</v>
      </c>
      <c r="U3677" t="str">
        <f t="shared" si="184"/>
        <v>AB01F4</v>
      </c>
      <c r="V3677">
        <v>0</v>
      </c>
      <c r="W3677">
        <v>0</v>
      </c>
      <c r="X3677">
        <v>2</v>
      </c>
      <c r="Z3677">
        <v>0</v>
      </c>
      <c r="AA3677">
        <v>9</v>
      </c>
      <c r="AB3677">
        <v>3</v>
      </c>
      <c r="AC3677">
        <v>0</v>
      </c>
      <c r="AD3677">
        <v>10</v>
      </c>
      <c r="AE3677">
        <v>0</v>
      </c>
      <c r="AF3677">
        <v>3</v>
      </c>
      <c r="AG3677">
        <v>2</v>
      </c>
      <c r="AH3677">
        <v>0</v>
      </c>
      <c r="AI3677" t="s">
        <v>2087</v>
      </c>
      <c r="AJ3677">
        <v>40.111727999999999</v>
      </c>
      <c r="AK3677" t="s">
        <v>2088</v>
      </c>
      <c r="AL3677">
        <v>-93.028728999999998</v>
      </c>
      <c r="AM3677">
        <v>100</v>
      </c>
      <c r="AN3677">
        <v>1300</v>
      </c>
      <c r="AO3677" t="s">
        <v>118</v>
      </c>
      <c r="AP3677">
        <v>-113</v>
      </c>
      <c r="AQ3677">
        <v>62</v>
      </c>
      <c r="AR3677">
        <v>-64</v>
      </c>
      <c r="AZ3677">
        <v>1200</v>
      </c>
      <c r="BA3677">
        <v>1</v>
      </c>
      <c r="BB3677" t="str">
        <f t="shared" si="183"/>
        <v xml:space="preserve">N8080G  </v>
      </c>
      <c r="BC3677">
        <v>1</v>
      </c>
      <c r="BE3677">
        <v>0</v>
      </c>
      <c r="BF3677">
        <v>0</v>
      </c>
      <c r="BG3677">
        <v>0</v>
      </c>
      <c r="BH3677">
        <v>1350</v>
      </c>
      <c r="BI3677">
        <v>1</v>
      </c>
      <c r="BJ3677">
        <v>1</v>
      </c>
      <c r="BK3677">
        <v>1</v>
      </c>
      <c r="BL3677">
        <v>0</v>
      </c>
      <c r="BO3677">
        <v>0</v>
      </c>
      <c r="BP3677">
        <v>0</v>
      </c>
      <c r="BW3677" t="str">
        <f>"20:34:49.663"</f>
        <v>20:34:49.663</v>
      </c>
      <c r="BZ3677">
        <v>0</v>
      </c>
      <c r="CA3677">
        <v>1600</v>
      </c>
      <c r="CB3677">
        <v>224</v>
      </c>
      <c r="CD3677">
        <v>1</v>
      </c>
      <c r="CE3677">
        <v>0</v>
      </c>
      <c r="CF3677">
        <v>0</v>
      </c>
      <c r="CG3677">
        <v>1</v>
      </c>
      <c r="CH3677">
        <v>0</v>
      </c>
      <c r="CI3677">
        <v>0</v>
      </c>
      <c r="CJ3677">
        <v>0</v>
      </c>
      <c r="CK3677">
        <v>2</v>
      </c>
      <c r="CL3677">
        <v>0</v>
      </c>
      <c r="CM3677">
        <v>2</v>
      </c>
      <c r="CN3677">
        <v>0</v>
      </c>
      <c r="CO3677">
        <v>1</v>
      </c>
      <c r="CP3677" t="s">
        <v>119</v>
      </c>
      <c r="CQ3677">
        <v>179</v>
      </c>
      <c r="CR3677">
        <v>1</v>
      </c>
      <c r="CW3677">
        <v>9374356</v>
      </c>
      <c r="CY3677">
        <v>1</v>
      </c>
      <c r="CZ3677">
        <v>0</v>
      </c>
      <c r="DA3677">
        <v>1</v>
      </c>
      <c r="DB3677">
        <v>0</v>
      </c>
      <c r="DC3677">
        <v>0</v>
      </c>
      <c r="DD3677">
        <v>0</v>
      </c>
      <c r="DE3677">
        <v>0</v>
      </c>
      <c r="DF3677">
        <v>0</v>
      </c>
      <c r="DG3677">
        <v>0</v>
      </c>
      <c r="DH3677">
        <v>0</v>
      </c>
      <c r="DI3677">
        <v>0</v>
      </c>
    </row>
    <row r="3678" spans="1:113" x14ac:dyDescent="0.3">
      <c r="A3678" t="str">
        <f>"02/08/2021 20:34:47.318"</f>
        <v>02/08/2021 20:34:47.318</v>
      </c>
      <c r="C3678" t="str">
        <f t="shared" si="182"/>
        <v>FFDFD7C0</v>
      </c>
      <c r="D3678" t="s">
        <v>113</v>
      </c>
      <c r="E3678">
        <v>6</v>
      </c>
      <c r="H3678">
        <v>165</v>
      </c>
      <c r="I3678" t="s">
        <v>114</v>
      </c>
      <c r="J3678" t="s">
        <v>115</v>
      </c>
      <c r="K3678">
        <v>0</v>
      </c>
      <c r="L3678">
        <v>3</v>
      </c>
      <c r="M3678">
        <v>0</v>
      </c>
      <c r="N3678">
        <v>2</v>
      </c>
      <c r="O3678">
        <v>1</v>
      </c>
      <c r="P3678">
        <v>0</v>
      </c>
      <c r="Q3678">
        <v>0</v>
      </c>
      <c r="S3678" t="str">
        <f>"20:34:49.656"</f>
        <v>20:34:49.656</v>
      </c>
      <c r="T3678" t="str">
        <f>"20:34:47.356"</f>
        <v>20:34:47.356</v>
      </c>
      <c r="U3678" t="str">
        <f t="shared" si="184"/>
        <v>AB01F4</v>
      </c>
      <c r="V3678">
        <v>0</v>
      </c>
      <c r="W3678">
        <v>0</v>
      </c>
      <c r="X3678">
        <v>2</v>
      </c>
      <c r="Z3678">
        <v>0</v>
      </c>
      <c r="AA3678">
        <v>9</v>
      </c>
      <c r="AB3678">
        <v>3</v>
      </c>
      <c r="AC3678">
        <v>0</v>
      </c>
      <c r="AD3678">
        <v>10</v>
      </c>
      <c r="AE3678">
        <v>0</v>
      </c>
      <c r="AF3678">
        <v>3</v>
      </c>
      <c r="AG3678">
        <v>2</v>
      </c>
      <c r="AH3678">
        <v>0</v>
      </c>
      <c r="AI3678" t="s">
        <v>2087</v>
      </c>
      <c r="AJ3678">
        <v>40.111727999999999</v>
      </c>
      <c r="AK3678" t="s">
        <v>2088</v>
      </c>
      <c r="AL3678">
        <v>-93.028728999999998</v>
      </c>
      <c r="AM3678">
        <v>100</v>
      </c>
      <c r="AN3678">
        <v>1300</v>
      </c>
      <c r="AO3678" t="s">
        <v>118</v>
      </c>
      <c r="AP3678">
        <v>-113</v>
      </c>
      <c r="AQ3678">
        <v>62</v>
      </c>
      <c r="AR3678">
        <v>-64</v>
      </c>
      <c r="AZ3678">
        <v>1200</v>
      </c>
      <c r="BA3678">
        <v>1</v>
      </c>
      <c r="BB3678" t="str">
        <f t="shared" si="183"/>
        <v xml:space="preserve">N8080G  </v>
      </c>
      <c r="BC3678">
        <v>1</v>
      </c>
      <c r="BE3678">
        <v>0</v>
      </c>
      <c r="BF3678">
        <v>0</v>
      </c>
      <c r="BG3678">
        <v>0</v>
      </c>
      <c r="BH3678">
        <v>1350</v>
      </c>
      <c r="BI3678">
        <v>1</v>
      </c>
      <c r="BJ3678">
        <v>1</v>
      </c>
      <c r="BK3678">
        <v>1</v>
      </c>
      <c r="BL3678">
        <v>0</v>
      </c>
      <c r="BO3678">
        <v>0</v>
      </c>
      <c r="BP3678">
        <v>0</v>
      </c>
      <c r="BW3678" t="str">
        <f>"20:34:49.663"</f>
        <v>20:34:49.663</v>
      </c>
      <c r="BZ3678">
        <v>0</v>
      </c>
      <c r="CA3678">
        <v>1600</v>
      </c>
      <c r="CB3678">
        <v>224</v>
      </c>
      <c r="CD3678">
        <v>1</v>
      </c>
      <c r="CE3678">
        <v>0</v>
      </c>
      <c r="CF3678">
        <v>0</v>
      </c>
      <c r="CG3678">
        <v>1</v>
      </c>
      <c r="CH3678">
        <v>0</v>
      </c>
      <c r="CI3678">
        <v>0</v>
      </c>
      <c r="CJ3678">
        <v>0</v>
      </c>
      <c r="CK3678">
        <v>2</v>
      </c>
      <c r="CL3678">
        <v>0</v>
      </c>
      <c r="CM3678">
        <v>2</v>
      </c>
      <c r="CN3678">
        <v>0</v>
      </c>
      <c r="CO3678">
        <v>1</v>
      </c>
      <c r="CP3678" t="s">
        <v>119</v>
      </c>
      <c r="CQ3678">
        <v>179</v>
      </c>
      <c r="CR3678">
        <v>1</v>
      </c>
      <c r="CW3678">
        <v>9374356</v>
      </c>
      <c r="CY3678">
        <v>1</v>
      </c>
      <c r="CZ3678">
        <v>0</v>
      </c>
      <c r="DA3678">
        <v>1</v>
      </c>
      <c r="DB3678">
        <v>0</v>
      </c>
      <c r="DC3678">
        <v>0</v>
      </c>
      <c r="DD3678">
        <v>0</v>
      </c>
      <c r="DE3678">
        <v>0</v>
      </c>
      <c r="DF3678">
        <v>0</v>
      </c>
      <c r="DG3678">
        <v>0</v>
      </c>
      <c r="DH3678">
        <v>0</v>
      </c>
      <c r="DI3678">
        <v>0</v>
      </c>
    </row>
    <row r="3679" spans="1:113" x14ac:dyDescent="0.3">
      <c r="A3679" t="str">
        <f>"02/08/2021 20:34:50.072"</f>
        <v>02/08/2021 20:34:50.072</v>
      </c>
      <c r="C3679" t="str">
        <f t="shared" si="182"/>
        <v>FFDFD7C0</v>
      </c>
      <c r="D3679" t="s">
        <v>124</v>
      </c>
      <c r="E3679">
        <v>11</v>
      </c>
      <c r="F3679">
        <v>1011</v>
      </c>
      <c r="G3679" t="s">
        <v>590</v>
      </c>
      <c r="J3679" t="s">
        <v>125</v>
      </c>
      <c r="K3679">
        <v>0</v>
      </c>
      <c r="L3679">
        <v>3</v>
      </c>
      <c r="M3679">
        <v>0</v>
      </c>
      <c r="N3679">
        <v>2</v>
      </c>
      <c r="O3679">
        <v>1</v>
      </c>
      <c r="P3679">
        <v>0</v>
      </c>
      <c r="Q3679">
        <v>0</v>
      </c>
      <c r="S3679" t="str">
        <f>"20:34:52.414"</f>
        <v>20:34:52.414</v>
      </c>
      <c r="T3679" t="str">
        <f>"20:34:51.914"</f>
        <v>20:34:51.914</v>
      </c>
      <c r="U3679" t="str">
        <f t="shared" si="184"/>
        <v>AB01F4</v>
      </c>
      <c r="V3679">
        <v>0</v>
      </c>
      <c r="W3679">
        <v>0</v>
      </c>
      <c r="X3679">
        <v>2</v>
      </c>
      <c r="Z3679">
        <v>0</v>
      </c>
      <c r="AA3679">
        <v>9</v>
      </c>
      <c r="AB3679">
        <v>3</v>
      </c>
      <c r="AC3679">
        <v>0</v>
      </c>
      <c r="AD3679">
        <v>10</v>
      </c>
      <c r="AE3679">
        <v>0</v>
      </c>
      <c r="AF3679">
        <v>3</v>
      </c>
      <c r="AG3679">
        <v>2</v>
      </c>
      <c r="AH3679">
        <v>0</v>
      </c>
      <c r="AI3679" t="s">
        <v>2089</v>
      </c>
      <c r="AJ3679">
        <v>40.112499999999997</v>
      </c>
      <c r="AK3679" t="s">
        <v>2090</v>
      </c>
      <c r="AL3679">
        <v>-93.030574000000001</v>
      </c>
      <c r="AM3679">
        <v>100</v>
      </c>
      <c r="AN3679">
        <v>1300</v>
      </c>
      <c r="AO3679" t="s">
        <v>118</v>
      </c>
      <c r="AP3679">
        <v>-113</v>
      </c>
      <c r="AQ3679">
        <v>62</v>
      </c>
      <c r="AR3679">
        <v>64</v>
      </c>
      <c r="AZ3679">
        <v>1200</v>
      </c>
      <c r="BA3679">
        <v>1</v>
      </c>
      <c r="BB3679" t="str">
        <f t="shared" si="183"/>
        <v xml:space="preserve">N8080G  </v>
      </c>
      <c r="BC3679">
        <v>1</v>
      </c>
      <c r="BE3679">
        <v>0</v>
      </c>
      <c r="BF3679">
        <v>0</v>
      </c>
      <c r="BG3679">
        <v>0</v>
      </c>
      <c r="BH3679">
        <v>1350</v>
      </c>
      <c r="BI3679">
        <v>1</v>
      </c>
      <c r="BJ3679">
        <v>1</v>
      </c>
      <c r="BK3679">
        <v>1</v>
      </c>
      <c r="BL3679">
        <v>0</v>
      </c>
      <c r="BO3679">
        <v>0</v>
      </c>
      <c r="BP3679">
        <v>0</v>
      </c>
      <c r="BW3679" t="str">
        <f>"20:34:52.416"</f>
        <v>20:34:52.416</v>
      </c>
      <c r="BZ3679">
        <v>0</v>
      </c>
      <c r="CA3679">
        <v>1600</v>
      </c>
      <c r="CB3679">
        <v>224</v>
      </c>
      <c r="CD3679">
        <v>1</v>
      </c>
      <c r="CE3679">
        <v>0</v>
      </c>
      <c r="CF3679">
        <v>0</v>
      </c>
      <c r="CG3679">
        <v>1</v>
      </c>
      <c r="CH3679">
        <v>0</v>
      </c>
      <c r="CI3679">
        <v>0</v>
      </c>
      <c r="CJ3679">
        <v>0</v>
      </c>
      <c r="CK3679">
        <v>2</v>
      </c>
      <c r="CL3679">
        <v>0</v>
      </c>
      <c r="CM3679">
        <v>2</v>
      </c>
      <c r="CN3679">
        <v>0</v>
      </c>
      <c r="CO3679">
        <v>6</v>
      </c>
      <c r="CP3679" t="s">
        <v>119</v>
      </c>
      <c r="CQ3679">
        <v>180</v>
      </c>
      <c r="CR3679">
        <v>2</v>
      </c>
      <c r="CW3679">
        <v>8902738</v>
      </c>
      <c r="CY3679">
        <v>1</v>
      </c>
      <c r="CZ3679">
        <v>0</v>
      </c>
      <c r="DA3679">
        <v>0</v>
      </c>
      <c r="DB3679">
        <v>0</v>
      </c>
      <c r="DC3679">
        <v>0</v>
      </c>
      <c r="DD3679">
        <v>0</v>
      </c>
      <c r="DE3679">
        <v>0</v>
      </c>
      <c r="DF3679">
        <v>0</v>
      </c>
      <c r="DG3679">
        <v>0</v>
      </c>
      <c r="DH3679">
        <v>0</v>
      </c>
      <c r="DI3679">
        <v>0</v>
      </c>
    </row>
    <row r="3680" spans="1:113" x14ac:dyDescent="0.3">
      <c r="A3680" t="str">
        <f>"02/08/2021 20:34:50.072"</f>
        <v>02/08/2021 20:34:50.072</v>
      </c>
      <c r="C3680" t="str">
        <f t="shared" si="182"/>
        <v>FFDFD7C0</v>
      </c>
      <c r="D3680" t="s">
        <v>124</v>
      </c>
      <c r="E3680">
        <v>12</v>
      </c>
      <c r="F3680">
        <v>1012</v>
      </c>
      <c r="G3680" t="s">
        <v>675</v>
      </c>
      <c r="J3680" t="s">
        <v>125</v>
      </c>
      <c r="K3680">
        <v>0</v>
      </c>
      <c r="L3680">
        <v>3</v>
      </c>
      <c r="M3680">
        <v>0</v>
      </c>
      <c r="N3680">
        <v>2</v>
      </c>
      <c r="O3680">
        <v>1</v>
      </c>
      <c r="P3680">
        <v>0</v>
      </c>
      <c r="Q3680">
        <v>0</v>
      </c>
      <c r="S3680" t="str">
        <f>"20:34:52.414"</f>
        <v>20:34:52.414</v>
      </c>
      <c r="T3680" t="str">
        <f>"20:34:51.914"</f>
        <v>20:34:51.914</v>
      </c>
      <c r="U3680" t="str">
        <f t="shared" si="184"/>
        <v>AB01F4</v>
      </c>
      <c r="V3680">
        <v>0</v>
      </c>
      <c r="W3680">
        <v>0</v>
      </c>
      <c r="X3680">
        <v>2</v>
      </c>
      <c r="Z3680">
        <v>0</v>
      </c>
      <c r="AA3680">
        <v>9</v>
      </c>
      <c r="AB3680">
        <v>3</v>
      </c>
      <c r="AC3680">
        <v>0</v>
      </c>
      <c r="AD3680">
        <v>10</v>
      </c>
      <c r="AE3680">
        <v>0</v>
      </c>
      <c r="AF3680">
        <v>3</v>
      </c>
      <c r="AG3680">
        <v>2</v>
      </c>
      <c r="AH3680">
        <v>0</v>
      </c>
      <c r="AI3680" t="s">
        <v>2089</v>
      </c>
      <c r="AJ3680">
        <v>40.112499999999997</v>
      </c>
      <c r="AK3680" t="s">
        <v>2090</v>
      </c>
      <c r="AL3680">
        <v>-93.030574000000001</v>
      </c>
      <c r="AM3680">
        <v>100</v>
      </c>
      <c r="AN3680">
        <v>1300</v>
      </c>
      <c r="AO3680" t="s">
        <v>118</v>
      </c>
      <c r="AP3680">
        <v>-113</v>
      </c>
      <c r="AQ3680">
        <v>62</v>
      </c>
      <c r="AR3680">
        <v>64</v>
      </c>
      <c r="AZ3680">
        <v>1200</v>
      </c>
      <c r="BA3680">
        <v>1</v>
      </c>
      <c r="BB3680" t="str">
        <f t="shared" si="183"/>
        <v xml:space="preserve">N8080G  </v>
      </c>
      <c r="BC3680">
        <v>1</v>
      </c>
      <c r="BE3680">
        <v>0</v>
      </c>
      <c r="BF3680">
        <v>0</v>
      </c>
      <c r="BG3680">
        <v>0</v>
      </c>
      <c r="BH3680">
        <v>1350</v>
      </c>
      <c r="BI3680">
        <v>1</v>
      </c>
      <c r="BJ3680">
        <v>1</v>
      </c>
      <c r="BK3680">
        <v>1</v>
      </c>
      <c r="BL3680">
        <v>0</v>
      </c>
      <c r="BO3680">
        <v>0</v>
      </c>
      <c r="BP3680">
        <v>0</v>
      </c>
      <c r="BW3680" t="str">
        <f>"20:34:52.416"</f>
        <v>20:34:52.416</v>
      </c>
      <c r="BZ3680">
        <v>0</v>
      </c>
      <c r="CA3680">
        <v>1600</v>
      </c>
      <c r="CB3680">
        <v>224</v>
      </c>
      <c r="CD3680">
        <v>1</v>
      </c>
      <c r="CE3680">
        <v>0</v>
      </c>
      <c r="CF3680">
        <v>0</v>
      </c>
      <c r="CG3680">
        <v>1</v>
      </c>
      <c r="CH3680">
        <v>0</v>
      </c>
      <c r="CI3680">
        <v>0</v>
      </c>
      <c r="CJ3680">
        <v>0</v>
      </c>
      <c r="CK3680">
        <v>2</v>
      </c>
      <c r="CL3680">
        <v>0</v>
      </c>
      <c r="CM3680">
        <v>2</v>
      </c>
      <c r="CN3680">
        <v>0</v>
      </c>
      <c r="CO3680">
        <v>6</v>
      </c>
      <c r="CP3680" t="s">
        <v>119</v>
      </c>
      <c r="CQ3680">
        <v>180</v>
      </c>
      <c r="CR3680">
        <v>2</v>
      </c>
      <c r="CW3680">
        <v>8902738</v>
      </c>
      <c r="CY3680">
        <v>1</v>
      </c>
      <c r="CZ3680">
        <v>0</v>
      </c>
      <c r="DA3680">
        <v>1</v>
      </c>
      <c r="DB3680">
        <v>0</v>
      </c>
      <c r="DC3680">
        <v>0</v>
      </c>
      <c r="DD3680">
        <v>0</v>
      </c>
      <c r="DE3680">
        <v>0</v>
      </c>
      <c r="DF3680">
        <v>0</v>
      </c>
      <c r="DG3680">
        <v>0</v>
      </c>
      <c r="DH3680">
        <v>0</v>
      </c>
      <c r="DI3680">
        <v>0</v>
      </c>
    </row>
    <row r="3681" spans="1:113" x14ac:dyDescent="0.3">
      <c r="A3681" t="str">
        <f>"02/08/2021 20:34:50.072"</f>
        <v>02/08/2021 20:34:50.072</v>
      </c>
      <c r="C3681" t="str">
        <f t="shared" si="182"/>
        <v>FFDFD7C0</v>
      </c>
      <c r="D3681" t="s">
        <v>113</v>
      </c>
      <c r="E3681">
        <v>6</v>
      </c>
      <c r="H3681">
        <v>165</v>
      </c>
      <c r="I3681" t="s">
        <v>114</v>
      </c>
      <c r="J3681" t="s">
        <v>115</v>
      </c>
      <c r="K3681">
        <v>0</v>
      </c>
      <c r="L3681">
        <v>3</v>
      </c>
      <c r="M3681">
        <v>0</v>
      </c>
      <c r="N3681">
        <v>2</v>
      </c>
      <c r="O3681">
        <v>1</v>
      </c>
      <c r="P3681">
        <v>0</v>
      </c>
      <c r="Q3681">
        <v>0</v>
      </c>
      <c r="S3681" t="str">
        <f>"20:34:52.414"</f>
        <v>20:34:52.414</v>
      </c>
      <c r="T3681" t="str">
        <f>"20:34:51.914"</f>
        <v>20:34:51.914</v>
      </c>
      <c r="U3681" t="str">
        <f t="shared" si="184"/>
        <v>AB01F4</v>
      </c>
      <c r="V3681">
        <v>0</v>
      </c>
      <c r="W3681">
        <v>0</v>
      </c>
      <c r="X3681">
        <v>2</v>
      </c>
      <c r="Z3681">
        <v>0</v>
      </c>
      <c r="AA3681">
        <v>9</v>
      </c>
      <c r="AB3681">
        <v>3</v>
      </c>
      <c r="AC3681">
        <v>0</v>
      </c>
      <c r="AD3681">
        <v>10</v>
      </c>
      <c r="AE3681">
        <v>0</v>
      </c>
      <c r="AF3681">
        <v>3</v>
      </c>
      <c r="AG3681">
        <v>2</v>
      </c>
      <c r="AH3681">
        <v>0</v>
      </c>
      <c r="AI3681" t="s">
        <v>2089</v>
      </c>
      <c r="AJ3681">
        <v>40.112499999999997</v>
      </c>
      <c r="AK3681" t="s">
        <v>2090</v>
      </c>
      <c r="AL3681">
        <v>-93.030574000000001</v>
      </c>
      <c r="AM3681">
        <v>100</v>
      </c>
      <c r="AN3681">
        <v>1300</v>
      </c>
      <c r="AO3681" t="s">
        <v>118</v>
      </c>
      <c r="AP3681">
        <v>-113</v>
      </c>
      <c r="AQ3681">
        <v>62</v>
      </c>
      <c r="AR3681">
        <v>64</v>
      </c>
      <c r="AZ3681">
        <v>1200</v>
      </c>
      <c r="BA3681">
        <v>1</v>
      </c>
      <c r="BB3681" t="str">
        <f t="shared" si="183"/>
        <v xml:space="preserve">N8080G  </v>
      </c>
      <c r="BC3681">
        <v>1</v>
      </c>
      <c r="BE3681">
        <v>0</v>
      </c>
      <c r="BF3681">
        <v>0</v>
      </c>
      <c r="BG3681">
        <v>0</v>
      </c>
      <c r="BH3681">
        <v>1350</v>
      </c>
      <c r="BI3681">
        <v>1</v>
      </c>
      <c r="BJ3681">
        <v>1</v>
      </c>
      <c r="BK3681">
        <v>1</v>
      </c>
      <c r="BL3681">
        <v>0</v>
      </c>
      <c r="BO3681">
        <v>0</v>
      </c>
      <c r="BP3681">
        <v>0</v>
      </c>
      <c r="BW3681" t="str">
        <f>"20:34:52.416"</f>
        <v>20:34:52.416</v>
      </c>
      <c r="BZ3681">
        <v>0</v>
      </c>
      <c r="CA3681">
        <v>1600</v>
      </c>
      <c r="CB3681">
        <v>224</v>
      </c>
      <c r="CD3681">
        <v>1</v>
      </c>
      <c r="CE3681">
        <v>0</v>
      </c>
      <c r="CF3681">
        <v>0</v>
      </c>
      <c r="CG3681">
        <v>1</v>
      </c>
      <c r="CH3681">
        <v>0</v>
      </c>
      <c r="CI3681">
        <v>0</v>
      </c>
      <c r="CJ3681">
        <v>0</v>
      </c>
      <c r="CK3681">
        <v>2</v>
      </c>
      <c r="CL3681">
        <v>0</v>
      </c>
      <c r="CM3681">
        <v>2</v>
      </c>
      <c r="CN3681">
        <v>0</v>
      </c>
      <c r="CO3681">
        <v>6</v>
      </c>
      <c r="CP3681" t="s">
        <v>119</v>
      </c>
      <c r="CQ3681">
        <v>180</v>
      </c>
      <c r="CR3681">
        <v>2</v>
      </c>
      <c r="CW3681">
        <v>8902738</v>
      </c>
      <c r="CY3681">
        <v>1</v>
      </c>
      <c r="CZ3681">
        <v>0</v>
      </c>
      <c r="DA3681">
        <v>1</v>
      </c>
      <c r="DB3681">
        <v>0</v>
      </c>
      <c r="DC3681">
        <v>0</v>
      </c>
      <c r="DD3681">
        <v>0</v>
      </c>
      <c r="DE3681">
        <v>0</v>
      </c>
      <c r="DF3681">
        <v>0</v>
      </c>
      <c r="DG3681">
        <v>0</v>
      </c>
      <c r="DH3681">
        <v>0</v>
      </c>
      <c r="DI3681">
        <v>0</v>
      </c>
    </row>
    <row r="3682" spans="1:113" x14ac:dyDescent="0.3">
      <c r="A3682" t="str">
        <f>"02/08/2021 20:34:50.072"</f>
        <v>02/08/2021 20:34:50.072</v>
      </c>
      <c r="C3682" t="str">
        <f t="shared" si="182"/>
        <v>FFDFD7C0</v>
      </c>
      <c r="D3682" t="s">
        <v>124</v>
      </c>
      <c r="E3682">
        <v>13</v>
      </c>
      <c r="F3682">
        <v>1013</v>
      </c>
      <c r="G3682" t="s">
        <v>114</v>
      </c>
      <c r="J3682" t="s">
        <v>125</v>
      </c>
      <c r="K3682">
        <v>0</v>
      </c>
      <c r="L3682">
        <v>3</v>
      </c>
      <c r="M3682">
        <v>0</v>
      </c>
      <c r="N3682">
        <v>2</v>
      </c>
      <c r="O3682">
        <v>1</v>
      </c>
      <c r="P3682">
        <v>0</v>
      </c>
      <c r="Q3682">
        <v>0</v>
      </c>
      <c r="S3682" t="str">
        <f>"20:34:52.414"</f>
        <v>20:34:52.414</v>
      </c>
      <c r="T3682" t="str">
        <f>"20:34:51.914"</f>
        <v>20:34:51.914</v>
      </c>
      <c r="U3682" t="str">
        <f t="shared" si="184"/>
        <v>AB01F4</v>
      </c>
      <c r="V3682">
        <v>0</v>
      </c>
      <c r="W3682">
        <v>0</v>
      </c>
      <c r="X3682">
        <v>2</v>
      </c>
      <c r="Z3682">
        <v>0</v>
      </c>
      <c r="AA3682">
        <v>9</v>
      </c>
      <c r="AB3682">
        <v>3</v>
      </c>
      <c r="AC3682">
        <v>0</v>
      </c>
      <c r="AD3682">
        <v>10</v>
      </c>
      <c r="AE3682">
        <v>0</v>
      </c>
      <c r="AF3682">
        <v>3</v>
      </c>
      <c r="AG3682">
        <v>2</v>
      </c>
      <c r="AH3682">
        <v>0</v>
      </c>
      <c r="AI3682" t="s">
        <v>2089</v>
      </c>
      <c r="AJ3682">
        <v>40.112499999999997</v>
      </c>
      <c r="AK3682" t="s">
        <v>2090</v>
      </c>
      <c r="AL3682">
        <v>-93.030574000000001</v>
      </c>
      <c r="AM3682">
        <v>100</v>
      </c>
      <c r="AN3682">
        <v>1300</v>
      </c>
      <c r="AO3682" t="s">
        <v>118</v>
      </c>
      <c r="AP3682">
        <v>-113</v>
      </c>
      <c r="AQ3682">
        <v>62</v>
      </c>
      <c r="AR3682">
        <v>64</v>
      </c>
      <c r="AZ3682">
        <v>1200</v>
      </c>
      <c r="BA3682">
        <v>1</v>
      </c>
      <c r="BB3682" t="str">
        <f t="shared" si="183"/>
        <v xml:space="preserve">N8080G  </v>
      </c>
      <c r="BC3682">
        <v>1</v>
      </c>
      <c r="BE3682">
        <v>0</v>
      </c>
      <c r="BF3682">
        <v>0</v>
      </c>
      <c r="BG3682">
        <v>0</v>
      </c>
      <c r="BH3682">
        <v>1350</v>
      </c>
      <c r="BI3682">
        <v>1</v>
      </c>
      <c r="BJ3682">
        <v>1</v>
      </c>
      <c r="BK3682">
        <v>1</v>
      </c>
      <c r="BL3682">
        <v>0</v>
      </c>
      <c r="BO3682">
        <v>0</v>
      </c>
      <c r="BP3682">
        <v>0</v>
      </c>
      <c r="BW3682" t="str">
        <f>"20:34:52.416"</f>
        <v>20:34:52.416</v>
      </c>
      <c r="BZ3682">
        <v>0</v>
      </c>
      <c r="CA3682">
        <v>1600</v>
      </c>
      <c r="CB3682">
        <v>224</v>
      </c>
      <c r="CD3682">
        <v>1</v>
      </c>
      <c r="CE3682">
        <v>0</v>
      </c>
      <c r="CF3682">
        <v>0</v>
      </c>
      <c r="CG3682">
        <v>1</v>
      </c>
      <c r="CH3682">
        <v>0</v>
      </c>
      <c r="CI3682">
        <v>0</v>
      </c>
      <c r="CJ3682">
        <v>0</v>
      </c>
      <c r="CK3682">
        <v>2</v>
      </c>
      <c r="CL3682">
        <v>0</v>
      </c>
      <c r="CM3682">
        <v>2</v>
      </c>
      <c r="CN3682">
        <v>0</v>
      </c>
      <c r="CO3682">
        <v>6</v>
      </c>
      <c r="CP3682" t="s">
        <v>119</v>
      </c>
      <c r="CQ3682">
        <v>180</v>
      </c>
      <c r="CR3682">
        <v>2</v>
      </c>
      <c r="CW3682">
        <v>8902738</v>
      </c>
      <c r="CY3682">
        <v>1</v>
      </c>
      <c r="CZ3682">
        <v>0</v>
      </c>
      <c r="DA3682">
        <v>1</v>
      </c>
      <c r="DB3682">
        <v>0</v>
      </c>
      <c r="DC3682">
        <v>0</v>
      </c>
      <c r="DD3682">
        <v>0</v>
      </c>
      <c r="DE3682">
        <v>0</v>
      </c>
      <c r="DF3682">
        <v>0</v>
      </c>
      <c r="DG3682">
        <v>0</v>
      </c>
      <c r="DH3682">
        <v>0</v>
      </c>
      <c r="DI3682">
        <v>0</v>
      </c>
    </row>
    <row r="3683" spans="1:113" x14ac:dyDescent="0.3">
      <c r="A3683" t="str">
        <f>"02/08/2021 20:34:51.583"</f>
        <v>02/08/2021 20:34:51.583</v>
      </c>
      <c r="C3683" t="str">
        <f t="shared" si="182"/>
        <v>FFDFD7C0</v>
      </c>
      <c r="D3683" t="s">
        <v>124</v>
      </c>
      <c r="E3683">
        <v>11</v>
      </c>
      <c r="F3683">
        <v>1011</v>
      </c>
      <c r="G3683" t="s">
        <v>590</v>
      </c>
      <c r="J3683" t="s">
        <v>125</v>
      </c>
      <c r="K3683">
        <v>0</v>
      </c>
      <c r="L3683">
        <v>3</v>
      </c>
      <c r="M3683">
        <v>0</v>
      </c>
      <c r="N3683">
        <v>2</v>
      </c>
      <c r="O3683">
        <v>1</v>
      </c>
      <c r="P3683">
        <v>0</v>
      </c>
      <c r="Q3683">
        <v>0</v>
      </c>
      <c r="S3683" t="str">
        <f>"20:34:53.922"</f>
        <v>20:34:53.922</v>
      </c>
      <c r="T3683" t="str">
        <f>"20:34:53.422"</f>
        <v>20:34:53.422</v>
      </c>
      <c r="U3683" t="str">
        <f t="shared" si="184"/>
        <v>AB01F4</v>
      </c>
      <c r="V3683">
        <v>0</v>
      </c>
      <c r="W3683">
        <v>0</v>
      </c>
      <c r="X3683">
        <v>2</v>
      </c>
      <c r="Z3683">
        <v>0</v>
      </c>
      <c r="AA3683">
        <v>9</v>
      </c>
      <c r="AB3683">
        <v>3</v>
      </c>
      <c r="AC3683">
        <v>0</v>
      </c>
      <c r="AD3683">
        <v>10</v>
      </c>
      <c r="AE3683">
        <v>0</v>
      </c>
      <c r="AF3683">
        <v>3</v>
      </c>
      <c r="AG3683">
        <v>2</v>
      </c>
      <c r="AH3683">
        <v>0</v>
      </c>
      <c r="AI3683" t="s">
        <v>2091</v>
      </c>
      <c r="AJ3683">
        <v>40.112951000000002</v>
      </c>
      <c r="AK3683" t="s">
        <v>2092</v>
      </c>
      <c r="AL3683">
        <v>-93.031668999999994</v>
      </c>
      <c r="AM3683">
        <v>100</v>
      </c>
      <c r="AN3683">
        <v>1300</v>
      </c>
      <c r="AO3683" t="s">
        <v>118</v>
      </c>
      <c r="AP3683">
        <v>-113</v>
      </c>
      <c r="AQ3683">
        <v>62</v>
      </c>
      <c r="AR3683">
        <v>128</v>
      </c>
      <c r="AZ3683">
        <v>1200</v>
      </c>
      <c r="BA3683">
        <v>1</v>
      </c>
      <c r="BB3683" t="str">
        <f t="shared" si="183"/>
        <v xml:space="preserve">N8080G  </v>
      </c>
      <c r="BC3683">
        <v>1</v>
      </c>
      <c r="BE3683">
        <v>0</v>
      </c>
      <c r="BF3683">
        <v>0</v>
      </c>
      <c r="BG3683">
        <v>0</v>
      </c>
      <c r="BH3683">
        <v>1350</v>
      </c>
      <c r="BI3683">
        <v>1</v>
      </c>
      <c r="BJ3683">
        <v>1</v>
      </c>
      <c r="BK3683">
        <v>1</v>
      </c>
      <c r="BL3683">
        <v>0</v>
      </c>
      <c r="BO3683">
        <v>0</v>
      </c>
      <c r="BP3683">
        <v>0</v>
      </c>
      <c r="BW3683" t="str">
        <f>"20:34:53.926"</f>
        <v>20:34:53.926</v>
      </c>
      <c r="BZ3683">
        <v>0</v>
      </c>
      <c r="CA3683">
        <v>1600</v>
      </c>
      <c r="CB3683">
        <v>224</v>
      </c>
      <c r="CD3683">
        <v>1</v>
      </c>
      <c r="CE3683">
        <v>0</v>
      </c>
      <c r="CF3683">
        <v>0</v>
      </c>
      <c r="CG3683">
        <v>1</v>
      </c>
      <c r="CH3683">
        <v>0</v>
      </c>
      <c r="CI3683">
        <v>0</v>
      </c>
      <c r="CJ3683">
        <v>0</v>
      </c>
      <c r="CK3683">
        <v>2</v>
      </c>
      <c r="CL3683">
        <v>0</v>
      </c>
      <c r="CM3683">
        <v>2</v>
      </c>
      <c r="CN3683">
        <v>0</v>
      </c>
      <c r="CO3683">
        <v>6</v>
      </c>
      <c r="CP3683" t="s">
        <v>119</v>
      </c>
      <c r="CQ3683">
        <v>180</v>
      </c>
      <c r="CR3683">
        <v>2</v>
      </c>
      <c r="CW3683">
        <v>8903997</v>
      </c>
      <c r="CY3683">
        <v>1</v>
      </c>
      <c r="CZ3683">
        <v>0</v>
      </c>
      <c r="DA3683">
        <v>0</v>
      </c>
      <c r="DB3683">
        <v>0</v>
      </c>
      <c r="DC3683">
        <v>0</v>
      </c>
      <c r="DD3683">
        <v>0</v>
      </c>
      <c r="DE3683">
        <v>0</v>
      </c>
      <c r="DF3683">
        <v>0</v>
      </c>
      <c r="DG3683">
        <v>0</v>
      </c>
      <c r="DH3683">
        <v>0</v>
      </c>
      <c r="DI3683">
        <v>0</v>
      </c>
    </row>
    <row r="3684" spans="1:113" x14ac:dyDescent="0.3">
      <c r="A3684" t="str">
        <f>"02/08/2021 20:34:51.583"</f>
        <v>02/08/2021 20:34:51.583</v>
      </c>
      <c r="C3684" t="str">
        <f t="shared" si="182"/>
        <v>FFDFD7C0</v>
      </c>
      <c r="D3684" t="s">
        <v>124</v>
      </c>
      <c r="E3684">
        <v>12</v>
      </c>
      <c r="F3684">
        <v>1012</v>
      </c>
      <c r="G3684" t="s">
        <v>675</v>
      </c>
      <c r="J3684" t="s">
        <v>125</v>
      </c>
      <c r="K3684">
        <v>0</v>
      </c>
      <c r="L3684">
        <v>3</v>
      </c>
      <c r="M3684">
        <v>0</v>
      </c>
      <c r="N3684">
        <v>2</v>
      </c>
      <c r="O3684">
        <v>1</v>
      </c>
      <c r="P3684">
        <v>0</v>
      </c>
      <c r="Q3684">
        <v>0</v>
      </c>
      <c r="S3684" t="str">
        <f>"20:34:53.922"</f>
        <v>20:34:53.922</v>
      </c>
      <c r="T3684" t="str">
        <f>"20:34:53.422"</f>
        <v>20:34:53.422</v>
      </c>
      <c r="U3684" t="str">
        <f t="shared" si="184"/>
        <v>AB01F4</v>
      </c>
      <c r="V3684">
        <v>0</v>
      </c>
      <c r="W3684">
        <v>0</v>
      </c>
      <c r="X3684">
        <v>2</v>
      </c>
      <c r="Z3684">
        <v>0</v>
      </c>
      <c r="AA3684">
        <v>9</v>
      </c>
      <c r="AB3684">
        <v>3</v>
      </c>
      <c r="AC3684">
        <v>0</v>
      </c>
      <c r="AD3684">
        <v>10</v>
      </c>
      <c r="AE3684">
        <v>0</v>
      </c>
      <c r="AF3684">
        <v>3</v>
      </c>
      <c r="AG3684">
        <v>2</v>
      </c>
      <c r="AH3684">
        <v>0</v>
      </c>
      <c r="AI3684" t="s">
        <v>2091</v>
      </c>
      <c r="AJ3684">
        <v>40.112951000000002</v>
      </c>
      <c r="AK3684" t="s">
        <v>2092</v>
      </c>
      <c r="AL3684">
        <v>-93.031668999999994</v>
      </c>
      <c r="AM3684">
        <v>100</v>
      </c>
      <c r="AN3684">
        <v>1300</v>
      </c>
      <c r="AO3684" t="s">
        <v>118</v>
      </c>
      <c r="AP3684">
        <v>-113</v>
      </c>
      <c r="AQ3684">
        <v>62</v>
      </c>
      <c r="AR3684">
        <v>128</v>
      </c>
      <c r="AZ3684">
        <v>1200</v>
      </c>
      <c r="BA3684">
        <v>1</v>
      </c>
      <c r="BB3684" t="str">
        <f t="shared" si="183"/>
        <v xml:space="preserve">N8080G  </v>
      </c>
      <c r="BC3684">
        <v>1</v>
      </c>
      <c r="BE3684">
        <v>0</v>
      </c>
      <c r="BF3684">
        <v>0</v>
      </c>
      <c r="BG3684">
        <v>0</v>
      </c>
      <c r="BH3684">
        <v>1350</v>
      </c>
      <c r="BI3684">
        <v>1</v>
      </c>
      <c r="BJ3684">
        <v>1</v>
      </c>
      <c r="BK3684">
        <v>1</v>
      </c>
      <c r="BL3684">
        <v>0</v>
      </c>
      <c r="BO3684">
        <v>0</v>
      </c>
      <c r="BP3684">
        <v>0</v>
      </c>
      <c r="BW3684" t="str">
        <f>"20:34:53.926"</f>
        <v>20:34:53.926</v>
      </c>
      <c r="BZ3684">
        <v>0</v>
      </c>
      <c r="CA3684">
        <v>1600</v>
      </c>
      <c r="CB3684">
        <v>224</v>
      </c>
      <c r="CD3684">
        <v>1</v>
      </c>
      <c r="CE3684">
        <v>0</v>
      </c>
      <c r="CF3684">
        <v>0</v>
      </c>
      <c r="CG3684">
        <v>1</v>
      </c>
      <c r="CH3684">
        <v>0</v>
      </c>
      <c r="CI3684">
        <v>0</v>
      </c>
      <c r="CJ3684">
        <v>0</v>
      </c>
      <c r="CK3684">
        <v>2</v>
      </c>
      <c r="CL3684">
        <v>0</v>
      </c>
      <c r="CM3684">
        <v>2</v>
      </c>
      <c r="CN3684">
        <v>0</v>
      </c>
      <c r="CO3684">
        <v>6</v>
      </c>
      <c r="CP3684" t="s">
        <v>119</v>
      </c>
      <c r="CQ3684">
        <v>180</v>
      </c>
      <c r="CR3684">
        <v>2</v>
      </c>
      <c r="CW3684">
        <v>8903997</v>
      </c>
      <c r="CY3684">
        <v>1</v>
      </c>
      <c r="CZ3684">
        <v>0</v>
      </c>
      <c r="DA3684">
        <v>1</v>
      </c>
      <c r="DB3684">
        <v>0</v>
      </c>
      <c r="DC3684">
        <v>0</v>
      </c>
      <c r="DD3684">
        <v>0</v>
      </c>
      <c r="DE3684">
        <v>0</v>
      </c>
      <c r="DF3684">
        <v>0</v>
      </c>
      <c r="DG3684">
        <v>0</v>
      </c>
      <c r="DH3684">
        <v>0</v>
      </c>
      <c r="DI3684">
        <v>0</v>
      </c>
    </row>
    <row r="3685" spans="1:113" x14ac:dyDescent="0.3">
      <c r="A3685" t="str">
        <f>"02/08/2021 20:34:51.583"</f>
        <v>02/08/2021 20:34:51.583</v>
      </c>
      <c r="C3685" t="str">
        <f t="shared" si="182"/>
        <v>FFDFD7C0</v>
      </c>
      <c r="D3685" t="s">
        <v>113</v>
      </c>
      <c r="E3685">
        <v>6</v>
      </c>
      <c r="H3685">
        <v>165</v>
      </c>
      <c r="I3685" t="s">
        <v>114</v>
      </c>
      <c r="J3685" t="s">
        <v>115</v>
      </c>
      <c r="K3685">
        <v>0</v>
      </c>
      <c r="L3685">
        <v>3</v>
      </c>
      <c r="M3685">
        <v>0</v>
      </c>
      <c r="N3685">
        <v>2</v>
      </c>
      <c r="O3685">
        <v>1</v>
      </c>
      <c r="P3685">
        <v>0</v>
      </c>
      <c r="Q3685">
        <v>0</v>
      </c>
      <c r="S3685" t="str">
        <f>"20:34:53.922"</f>
        <v>20:34:53.922</v>
      </c>
      <c r="T3685" t="str">
        <f>"20:34:53.422"</f>
        <v>20:34:53.422</v>
      </c>
      <c r="U3685" t="str">
        <f t="shared" si="184"/>
        <v>AB01F4</v>
      </c>
      <c r="V3685">
        <v>0</v>
      </c>
      <c r="W3685">
        <v>0</v>
      </c>
      <c r="X3685">
        <v>2</v>
      </c>
      <c r="Z3685">
        <v>0</v>
      </c>
      <c r="AA3685">
        <v>9</v>
      </c>
      <c r="AB3685">
        <v>3</v>
      </c>
      <c r="AC3685">
        <v>0</v>
      </c>
      <c r="AD3685">
        <v>10</v>
      </c>
      <c r="AE3685">
        <v>0</v>
      </c>
      <c r="AF3685">
        <v>3</v>
      </c>
      <c r="AG3685">
        <v>2</v>
      </c>
      <c r="AH3685">
        <v>0</v>
      </c>
      <c r="AI3685" t="s">
        <v>2091</v>
      </c>
      <c r="AJ3685">
        <v>40.112951000000002</v>
      </c>
      <c r="AK3685" t="s">
        <v>2092</v>
      </c>
      <c r="AL3685">
        <v>-93.031668999999994</v>
      </c>
      <c r="AM3685">
        <v>100</v>
      </c>
      <c r="AN3685">
        <v>1300</v>
      </c>
      <c r="AO3685" t="s">
        <v>118</v>
      </c>
      <c r="AP3685">
        <v>-113</v>
      </c>
      <c r="AQ3685">
        <v>62</v>
      </c>
      <c r="AR3685">
        <v>128</v>
      </c>
      <c r="AZ3685">
        <v>1200</v>
      </c>
      <c r="BA3685">
        <v>1</v>
      </c>
      <c r="BB3685" t="str">
        <f t="shared" si="183"/>
        <v xml:space="preserve">N8080G  </v>
      </c>
      <c r="BC3685">
        <v>1</v>
      </c>
      <c r="BE3685">
        <v>0</v>
      </c>
      <c r="BF3685">
        <v>0</v>
      </c>
      <c r="BG3685">
        <v>0</v>
      </c>
      <c r="BH3685">
        <v>1350</v>
      </c>
      <c r="BI3685">
        <v>1</v>
      </c>
      <c r="BJ3685">
        <v>1</v>
      </c>
      <c r="BK3685">
        <v>1</v>
      </c>
      <c r="BL3685">
        <v>0</v>
      </c>
      <c r="BO3685">
        <v>0</v>
      </c>
      <c r="BP3685">
        <v>0</v>
      </c>
      <c r="BW3685" t="str">
        <f>"20:34:53.926"</f>
        <v>20:34:53.926</v>
      </c>
      <c r="BZ3685">
        <v>0</v>
      </c>
      <c r="CA3685">
        <v>1600</v>
      </c>
      <c r="CB3685">
        <v>224</v>
      </c>
      <c r="CD3685">
        <v>1</v>
      </c>
      <c r="CE3685">
        <v>0</v>
      </c>
      <c r="CF3685">
        <v>0</v>
      </c>
      <c r="CG3685">
        <v>1</v>
      </c>
      <c r="CH3685">
        <v>0</v>
      </c>
      <c r="CI3685">
        <v>0</v>
      </c>
      <c r="CJ3685">
        <v>0</v>
      </c>
      <c r="CK3685">
        <v>2</v>
      </c>
      <c r="CL3685">
        <v>0</v>
      </c>
      <c r="CM3685">
        <v>2</v>
      </c>
      <c r="CN3685">
        <v>0</v>
      </c>
      <c r="CO3685">
        <v>6</v>
      </c>
      <c r="CP3685" t="s">
        <v>119</v>
      </c>
      <c r="CQ3685">
        <v>180</v>
      </c>
      <c r="CR3685">
        <v>2</v>
      </c>
      <c r="CW3685">
        <v>8903997</v>
      </c>
      <c r="CY3685">
        <v>1</v>
      </c>
      <c r="CZ3685">
        <v>0</v>
      </c>
      <c r="DA3685">
        <v>1</v>
      </c>
      <c r="DB3685">
        <v>0</v>
      </c>
      <c r="DC3685">
        <v>0</v>
      </c>
      <c r="DD3685">
        <v>0</v>
      </c>
      <c r="DE3685">
        <v>0</v>
      </c>
      <c r="DF3685">
        <v>0</v>
      </c>
      <c r="DG3685">
        <v>0</v>
      </c>
      <c r="DH3685">
        <v>0</v>
      </c>
      <c r="DI3685">
        <v>0</v>
      </c>
    </row>
    <row r="3686" spans="1:113" x14ac:dyDescent="0.3">
      <c r="A3686" t="str">
        <f>"02/08/2021 20:34:51.583"</f>
        <v>02/08/2021 20:34:51.583</v>
      </c>
      <c r="C3686" t="str">
        <f t="shared" si="182"/>
        <v>FFDFD7C0</v>
      </c>
      <c r="D3686" t="s">
        <v>124</v>
      </c>
      <c r="E3686">
        <v>13</v>
      </c>
      <c r="F3686">
        <v>1013</v>
      </c>
      <c r="G3686" t="s">
        <v>114</v>
      </c>
      <c r="J3686" t="s">
        <v>125</v>
      </c>
      <c r="K3686">
        <v>0</v>
      </c>
      <c r="L3686">
        <v>3</v>
      </c>
      <c r="M3686">
        <v>0</v>
      </c>
      <c r="N3686">
        <v>2</v>
      </c>
      <c r="O3686">
        <v>1</v>
      </c>
      <c r="P3686">
        <v>0</v>
      </c>
      <c r="Q3686">
        <v>0</v>
      </c>
      <c r="S3686" t="str">
        <f>"20:34:53.922"</f>
        <v>20:34:53.922</v>
      </c>
      <c r="T3686" t="str">
        <f>"20:34:53.422"</f>
        <v>20:34:53.422</v>
      </c>
      <c r="U3686" t="str">
        <f t="shared" si="184"/>
        <v>AB01F4</v>
      </c>
      <c r="V3686">
        <v>0</v>
      </c>
      <c r="W3686">
        <v>0</v>
      </c>
      <c r="X3686">
        <v>2</v>
      </c>
      <c r="Z3686">
        <v>0</v>
      </c>
      <c r="AA3686">
        <v>9</v>
      </c>
      <c r="AB3686">
        <v>3</v>
      </c>
      <c r="AC3686">
        <v>0</v>
      </c>
      <c r="AD3686">
        <v>10</v>
      </c>
      <c r="AE3686">
        <v>0</v>
      </c>
      <c r="AF3686">
        <v>3</v>
      </c>
      <c r="AG3686">
        <v>2</v>
      </c>
      <c r="AH3686">
        <v>0</v>
      </c>
      <c r="AI3686" t="s">
        <v>2091</v>
      </c>
      <c r="AJ3686">
        <v>40.112951000000002</v>
      </c>
      <c r="AK3686" t="s">
        <v>2092</v>
      </c>
      <c r="AL3686">
        <v>-93.031668999999994</v>
      </c>
      <c r="AM3686">
        <v>100</v>
      </c>
      <c r="AN3686">
        <v>1300</v>
      </c>
      <c r="AO3686" t="s">
        <v>118</v>
      </c>
      <c r="AP3686">
        <v>-113</v>
      </c>
      <c r="AQ3686">
        <v>62</v>
      </c>
      <c r="AR3686">
        <v>128</v>
      </c>
      <c r="AZ3686">
        <v>1200</v>
      </c>
      <c r="BA3686">
        <v>1</v>
      </c>
      <c r="BB3686" t="str">
        <f t="shared" si="183"/>
        <v xml:space="preserve">N8080G  </v>
      </c>
      <c r="BC3686">
        <v>1</v>
      </c>
      <c r="BE3686">
        <v>0</v>
      </c>
      <c r="BF3686">
        <v>0</v>
      </c>
      <c r="BG3686">
        <v>0</v>
      </c>
      <c r="BH3686">
        <v>1350</v>
      </c>
      <c r="BI3686">
        <v>1</v>
      </c>
      <c r="BJ3686">
        <v>1</v>
      </c>
      <c r="BK3686">
        <v>1</v>
      </c>
      <c r="BL3686">
        <v>0</v>
      </c>
      <c r="BO3686">
        <v>0</v>
      </c>
      <c r="BP3686">
        <v>0</v>
      </c>
      <c r="BW3686" t="str">
        <f>"20:34:53.926"</f>
        <v>20:34:53.926</v>
      </c>
      <c r="BZ3686">
        <v>0</v>
      </c>
      <c r="CA3686">
        <v>1600</v>
      </c>
      <c r="CB3686">
        <v>224</v>
      </c>
      <c r="CD3686">
        <v>1</v>
      </c>
      <c r="CE3686">
        <v>0</v>
      </c>
      <c r="CF3686">
        <v>0</v>
      </c>
      <c r="CG3686">
        <v>1</v>
      </c>
      <c r="CH3686">
        <v>0</v>
      </c>
      <c r="CI3686">
        <v>0</v>
      </c>
      <c r="CJ3686">
        <v>0</v>
      </c>
      <c r="CK3686">
        <v>2</v>
      </c>
      <c r="CL3686">
        <v>0</v>
      </c>
      <c r="CM3686">
        <v>2</v>
      </c>
      <c r="CN3686">
        <v>0</v>
      </c>
      <c r="CO3686">
        <v>6</v>
      </c>
      <c r="CP3686" t="s">
        <v>119</v>
      </c>
      <c r="CQ3686">
        <v>180</v>
      </c>
      <c r="CR3686">
        <v>2</v>
      </c>
      <c r="CW3686">
        <v>8903997</v>
      </c>
      <c r="CY3686">
        <v>1</v>
      </c>
      <c r="CZ3686">
        <v>0</v>
      </c>
      <c r="DA3686">
        <v>1</v>
      </c>
      <c r="DB3686">
        <v>0</v>
      </c>
      <c r="DC3686">
        <v>0</v>
      </c>
      <c r="DD3686">
        <v>0</v>
      </c>
      <c r="DE3686">
        <v>0</v>
      </c>
      <c r="DF3686">
        <v>0</v>
      </c>
      <c r="DG3686">
        <v>0</v>
      </c>
      <c r="DH3686">
        <v>0</v>
      </c>
      <c r="DI3686">
        <v>0</v>
      </c>
    </row>
    <row r="3687" spans="1:113" x14ac:dyDescent="0.3">
      <c r="A3687" t="str">
        <f>"02/08/2021 20:34:52.692"</f>
        <v>02/08/2021 20:34:52.692</v>
      </c>
      <c r="C3687" t="str">
        <f t="shared" ref="C3687:C3750" si="185">"FFDFD7C0"</f>
        <v>FFDFD7C0</v>
      </c>
      <c r="D3687" t="s">
        <v>124</v>
      </c>
      <c r="E3687">
        <v>11</v>
      </c>
      <c r="F3687">
        <v>1011</v>
      </c>
      <c r="G3687" t="s">
        <v>590</v>
      </c>
      <c r="J3687" t="s">
        <v>125</v>
      </c>
      <c r="K3687">
        <v>0</v>
      </c>
      <c r="L3687">
        <v>3</v>
      </c>
      <c r="M3687">
        <v>0</v>
      </c>
      <c r="N3687">
        <v>2</v>
      </c>
      <c r="O3687">
        <v>1</v>
      </c>
      <c r="P3687">
        <v>0</v>
      </c>
      <c r="Q3687">
        <v>0</v>
      </c>
      <c r="S3687" t="str">
        <f>"20:34:55.008"</f>
        <v>20:34:55.008</v>
      </c>
      <c r="T3687" t="str">
        <f>"20:34:54.508"</f>
        <v>20:34:54.508</v>
      </c>
      <c r="U3687" t="str">
        <f t="shared" si="184"/>
        <v>AB01F4</v>
      </c>
      <c r="V3687">
        <v>0</v>
      </c>
      <c r="W3687">
        <v>0</v>
      </c>
      <c r="X3687">
        <v>2</v>
      </c>
      <c r="Z3687">
        <v>0</v>
      </c>
      <c r="AA3687">
        <v>9</v>
      </c>
      <c r="AB3687">
        <v>3</v>
      </c>
      <c r="AC3687">
        <v>0</v>
      </c>
      <c r="AD3687">
        <v>10</v>
      </c>
      <c r="AE3687">
        <v>0</v>
      </c>
      <c r="AF3687">
        <v>3</v>
      </c>
      <c r="AG3687">
        <v>2</v>
      </c>
      <c r="AH3687">
        <v>0</v>
      </c>
      <c r="AI3687" t="s">
        <v>2093</v>
      </c>
      <c r="AJ3687">
        <v>40.113230000000001</v>
      </c>
      <c r="AK3687" t="s">
        <v>2094</v>
      </c>
      <c r="AL3687">
        <v>-93.032354999999995</v>
      </c>
      <c r="AM3687">
        <v>100</v>
      </c>
      <c r="AN3687">
        <v>1300</v>
      </c>
      <c r="AO3687" t="s">
        <v>118</v>
      </c>
      <c r="AP3687">
        <v>-113</v>
      </c>
      <c r="AQ3687">
        <v>62</v>
      </c>
      <c r="AR3687">
        <v>64</v>
      </c>
      <c r="AZ3687">
        <v>1200</v>
      </c>
      <c r="BA3687">
        <v>1</v>
      </c>
      <c r="BB3687" t="str">
        <f t="shared" si="183"/>
        <v xml:space="preserve">N8080G  </v>
      </c>
      <c r="BC3687">
        <v>1</v>
      </c>
      <c r="BE3687">
        <v>0</v>
      </c>
      <c r="BF3687">
        <v>0</v>
      </c>
      <c r="BG3687">
        <v>0</v>
      </c>
      <c r="BH3687">
        <v>1350</v>
      </c>
      <c r="BI3687">
        <v>1</v>
      </c>
      <c r="BJ3687">
        <v>1</v>
      </c>
      <c r="BK3687">
        <v>1</v>
      </c>
      <c r="BL3687">
        <v>0</v>
      </c>
      <c r="BO3687">
        <v>0</v>
      </c>
      <c r="BP3687">
        <v>0</v>
      </c>
      <c r="BW3687" t="str">
        <f>"20:34:55.013"</f>
        <v>20:34:55.013</v>
      </c>
      <c r="BZ3687">
        <v>0</v>
      </c>
      <c r="CA3687">
        <v>1600</v>
      </c>
      <c r="CB3687">
        <v>224</v>
      </c>
      <c r="CD3687">
        <v>1</v>
      </c>
      <c r="CE3687">
        <v>0</v>
      </c>
      <c r="CF3687">
        <v>0</v>
      </c>
      <c r="CG3687">
        <v>1</v>
      </c>
      <c r="CH3687">
        <v>0</v>
      </c>
      <c r="CI3687">
        <v>0</v>
      </c>
      <c r="CJ3687">
        <v>0</v>
      </c>
      <c r="CK3687">
        <v>2</v>
      </c>
      <c r="CL3687">
        <v>0</v>
      </c>
      <c r="CM3687">
        <v>2</v>
      </c>
      <c r="CN3687">
        <v>0</v>
      </c>
      <c r="CO3687">
        <v>1</v>
      </c>
      <c r="CP3687" t="s">
        <v>119</v>
      </c>
      <c r="CQ3687">
        <v>179</v>
      </c>
      <c r="CR3687">
        <v>2</v>
      </c>
      <c r="CW3687">
        <v>12503185</v>
      </c>
      <c r="CY3687">
        <v>1</v>
      </c>
      <c r="CZ3687">
        <v>0</v>
      </c>
      <c r="DA3687">
        <v>0</v>
      </c>
      <c r="DB3687">
        <v>0</v>
      </c>
      <c r="DC3687">
        <v>0</v>
      </c>
      <c r="DD3687">
        <v>0</v>
      </c>
      <c r="DE3687">
        <v>0</v>
      </c>
      <c r="DF3687">
        <v>0</v>
      </c>
      <c r="DG3687">
        <v>0</v>
      </c>
      <c r="DH3687">
        <v>0</v>
      </c>
      <c r="DI3687">
        <v>0</v>
      </c>
    </row>
    <row r="3688" spans="1:113" x14ac:dyDescent="0.3">
      <c r="A3688" t="str">
        <f>"02/08/2021 20:34:52.692"</f>
        <v>02/08/2021 20:34:52.692</v>
      </c>
      <c r="C3688" t="str">
        <f t="shared" si="185"/>
        <v>FFDFD7C0</v>
      </c>
      <c r="D3688" t="s">
        <v>124</v>
      </c>
      <c r="E3688">
        <v>12</v>
      </c>
      <c r="F3688">
        <v>1012</v>
      </c>
      <c r="G3688" t="s">
        <v>675</v>
      </c>
      <c r="J3688" t="s">
        <v>125</v>
      </c>
      <c r="K3688">
        <v>0</v>
      </c>
      <c r="L3688">
        <v>3</v>
      </c>
      <c r="M3688">
        <v>0</v>
      </c>
      <c r="N3688">
        <v>2</v>
      </c>
      <c r="O3688">
        <v>1</v>
      </c>
      <c r="P3688">
        <v>0</v>
      </c>
      <c r="Q3688">
        <v>0</v>
      </c>
      <c r="S3688" t="str">
        <f>"20:34:55.008"</f>
        <v>20:34:55.008</v>
      </c>
      <c r="T3688" t="str">
        <f>"20:34:54.508"</f>
        <v>20:34:54.508</v>
      </c>
      <c r="U3688" t="str">
        <f t="shared" si="184"/>
        <v>AB01F4</v>
      </c>
      <c r="V3688">
        <v>0</v>
      </c>
      <c r="W3688">
        <v>0</v>
      </c>
      <c r="X3688">
        <v>2</v>
      </c>
      <c r="Z3688">
        <v>0</v>
      </c>
      <c r="AA3688">
        <v>9</v>
      </c>
      <c r="AB3688">
        <v>3</v>
      </c>
      <c r="AC3688">
        <v>0</v>
      </c>
      <c r="AD3688">
        <v>10</v>
      </c>
      <c r="AE3688">
        <v>0</v>
      </c>
      <c r="AF3688">
        <v>3</v>
      </c>
      <c r="AG3688">
        <v>2</v>
      </c>
      <c r="AH3688">
        <v>0</v>
      </c>
      <c r="AI3688" t="s">
        <v>2093</v>
      </c>
      <c r="AJ3688">
        <v>40.113230000000001</v>
      </c>
      <c r="AK3688" t="s">
        <v>2094</v>
      </c>
      <c r="AL3688">
        <v>-93.032354999999995</v>
      </c>
      <c r="AM3688">
        <v>100</v>
      </c>
      <c r="AN3688">
        <v>1300</v>
      </c>
      <c r="AO3688" t="s">
        <v>118</v>
      </c>
      <c r="AP3688">
        <v>-113</v>
      </c>
      <c r="AQ3688">
        <v>62</v>
      </c>
      <c r="AR3688">
        <v>64</v>
      </c>
      <c r="AZ3688">
        <v>1200</v>
      </c>
      <c r="BA3688">
        <v>1</v>
      </c>
      <c r="BB3688" t="str">
        <f t="shared" si="183"/>
        <v xml:space="preserve">N8080G  </v>
      </c>
      <c r="BC3688">
        <v>1</v>
      </c>
      <c r="BE3688">
        <v>0</v>
      </c>
      <c r="BF3688">
        <v>0</v>
      </c>
      <c r="BG3688">
        <v>0</v>
      </c>
      <c r="BH3688">
        <v>1350</v>
      </c>
      <c r="BI3688">
        <v>1</v>
      </c>
      <c r="BJ3688">
        <v>1</v>
      </c>
      <c r="BK3688">
        <v>1</v>
      </c>
      <c r="BL3688">
        <v>0</v>
      </c>
      <c r="BO3688">
        <v>0</v>
      </c>
      <c r="BP3688">
        <v>0</v>
      </c>
      <c r="BW3688" t="str">
        <f>"20:34:55.013"</f>
        <v>20:34:55.013</v>
      </c>
      <c r="BZ3688">
        <v>0</v>
      </c>
      <c r="CA3688">
        <v>1600</v>
      </c>
      <c r="CB3688">
        <v>224</v>
      </c>
      <c r="CD3688">
        <v>1</v>
      </c>
      <c r="CE3688">
        <v>0</v>
      </c>
      <c r="CF3688">
        <v>0</v>
      </c>
      <c r="CG3688">
        <v>1</v>
      </c>
      <c r="CH3688">
        <v>0</v>
      </c>
      <c r="CI3688">
        <v>0</v>
      </c>
      <c r="CJ3688">
        <v>0</v>
      </c>
      <c r="CK3688">
        <v>2</v>
      </c>
      <c r="CL3688">
        <v>0</v>
      </c>
      <c r="CM3688">
        <v>2</v>
      </c>
      <c r="CN3688">
        <v>0</v>
      </c>
      <c r="CO3688">
        <v>1</v>
      </c>
      <c r="CP3688" t="s">
        <v>119</v>
      </c>
      <c r="CQ3688">
        <v>179</v>
      </c>
      <c r="CR3688">
        <v>2</v>
      </c>
      <c r="CW3688">
        <v>12503185</v>
      </c>
      <c r="CY3688">
        <v>1</v>
      </c>
      <c r="CZ3688">
        <v>0</v>
      </c>
      <c r="DA3688">
        <v>1</v>
      </c>
      <c r="DB3688">
        <v>0</v>
      </c>
      <c r="DC3688">
        <v>0</v>
      </c>
      <c r="DD3688">
        <v>0</v>
      </c>
      <c r="DE3688">
        <v>0</v>
      </c>
      <c r="DF3688">
        <v>0</v>
      </c>
      <c r="DG3688">
        <v>0</v>
      </c>
      <c r="DH3688">
        <v>0</v>
      </c>
      <c r="DI3688">
        <v>0</v>
      </c>
    </row>
    <row r="3689" spans="1:113" x14ac:dyDescent="0.3">
      <c r="A3689" t="str">
        <f>"02/08/2021 20:34:52.692"</f>
        <v>02/08/2021 20:34:52.692</v>
      </c>
      <c r="C3689" t="str">
        <f t="shared" si="185"/>
        <v>FFDFD7C0</v>
      </c>
      <c r="D3689" t="s">
        <v>113</v>
      </c>
      <c r="E3689">
        <v>6</v>
      </c>
      <c r="H3689">
        <v>165</v>
      </c>
      <c r="I3689" t="s">
        <v>114</v>
      </c>
      <c r="J3689" t="s">
        <v>115</v>
      </c>
      <c r="K3689">
        <v>0</v>
      </c>
      <c r="L3689">
        <v>3</v>
      </c>
      <c r="M3689">
        <v>0</v>
      </c>
      <c r="N3689">
        <v>2</v>
      </c>
      <c r="O3689">
        <v>1</v>
      </c>
      <c r="P3689">
        <v>0</v>
      </c>
      <c r="Q3689">
        <v>0</v>
      </c>
      <c r="S3689" t="str">
        <f>"20:34:55.008"</f>
        <v>20:34:55.008</v>
      </c>
      <c r="T3689" t="str">
        <f>"20:34:54.508"</f>
        <v>20:34:54.508</v>
      </c>
      <c r="U3689" t="str">
        <f t="shared" si="184"/>
        <v>AB01F4</v>
      </c>
      <c r="V3689">
        <v>0</v>
      </c>
      <c r="W3689">
        <v>0</v>
      </c>
      <c r="X3689">
        <v>2</v>
      </c>
      <c r="Z3689">
        <v>0</v>
      </c>
      <c r="AA3689">
        <v>9</v>
      </c>
      <c r="AB3689">
        <v>3</v>
      </c>
      <c r="AC3689">
        <v>0</v>
      </c>
      <c r="AD3689">
        <v>10</v>
      </c>
      <c r="AE3689">
        <v>0</v>
      </c>
      <c r="AF3689">
        <v>3</v>
      </c>
      <c r="AG3689">
        <v>2</v>
      </c>
      <c r="AH3689">
        <v>0</v>
      </c>
      <c r="AI3689" t="s">
        <v>2093</v>
      </c>
      <c r="AJ3689">
        <v>40.113230000000001</v>
      </c>
      <c r="AK3689" t="s">
        <v>2094</v>
      </c>
      <c r="AL3689">
        <v>-93.032354999999995</v>
      </c>
      <c r="AM3689">
        <v>100</v>
      </c>
      <c r="AN3689">
        <v>1300</v>
      </c>
      <c r="AO3689" t="s">
        <v>118</v>
      </c>
      <c r="AP3689">
        <v>-113</v>
      </c>
      <c r="AQ3689">
        <v>62</v>
      </c>
      <c r="AR3689">
        <v>64</v>
      </c>
      <c r="AZ3689">
        <v>1200</v>
      </c>
      <c r="BA3689">
        <v>1</v>
      </c>
      <c r="BB3689" t="str">
        <f t="shared" si="183"/>
        <v xml:space="preserve">N8080G  </v>
      </c>
      <c r="BC3689">
        <v>1</v>
      </c>
      <c r="BE3689">
        <v>0</v>
      </c>
      <c r="BF3689">
        <v>0</v>
      </c>
      <c r="BG3689">
        <v>0</v>
      </c>
      <c r="BH3689">
        <v>1350</v>
      </c>
      <c r="BI3689">
        <v>1</v>
      </c>
      <c r="BJ3689">
        <v>1</v>
      </c>
      <c r="BK3689">
        <v>1</v>
      </c>
      <c r="BL3689">
        <v>0</v>
      </c>
      <c r="BO3689">
        <v>0</v>
      </c>
      <c r="BP3689">
        <v>0</v>
      </c>
      <c r="BW3689" t="str">
        <f>"20:34:55.013"</f>
        <v>20:34:55.013</v>
      </c>
      <c r="BZ3689">
        <v>0</v>
      </c>
      <c r="CA3689">
        <v>1600</v>
      </c>
      <c r="CB3689">
        <v>224</v>
      </c>
      <c r="CD3689">
        <v>1</v>
      </c>
      <c r="CE3689">
        <v>0</v>
      </c>
      <c r="CF3689">
        <v>0</v>
      </c>
      <c r="CG3689">
        <v>1</v>
      </c>
      <c r="CH3689">
        <v>0</v>
      </c>
      <c r="CI3689">
        <v>0</v>
      </c>
      <c r="CJ3689">
        <v>0</v>
      </c>
      <c r="CK3689">
        <v>2</v>
      </c>
      <c r="CL3689">
        <v>0</v>
      </c>
      <c r="CM3689">
        <v>2</v>
      </c>
      <c r="CN3689">
        <v>0</v>
      </c>
      <c r="CO3689">
        <v>1</v>
      </c>
      <c r="CP3689" t="s">
        <v>119</v>
      </c>
      <c r="CQ3689">
        <v>179</v>
      </c>
      <c r="CR3689">
        <v>2</v>
      </c>
      <c r="CW3689">
        <v>12503185</v>
      </c>
      <c r="CY3689">
        <v>1</v>
      </c>
      <c r="CZ3689">
        <v>0</v>
      </c>
      <c r="DA3689">
        <v>1</v>
      </c>
      <c r="DB3689">
        <v>0</v>
      </c>
      <c r="DC3689">
        <v>0</v>
      </c>
      <c r="DD3689">
        <v>0</v>
      </c>
      <c r="DE3689">
        <v>0</v>
      </c>
      <c r="DF3689">
        <v>0</v>
      </c>
      <c r="DG3689">
        <v>0</v>
      </c>
      <c r="DH3689">
        <v>0</v>
      </c>
      <c r="DI3689">
        <v>0</v>
      </c>
    </row>
    <row r="3690" spans="1:113" x14ac:dyDescent="0.3">
      <c r="A3690" t="str">
        <f>"02/08/2021 20:34:52.692"</f>
        <v>02/08/2021 20:34:52.692</v>
      </c>
      <c r="C3690" t="str">
        <f t="shared" si="185"/>
        <v>FFDFD7C0</v>
      </c>
      <c r="D3690" t="s">
        <v>124</v>
      </c>
      <c r="E3690">
        <v>13</v>
      </c>
      <c r="F3690">
        <v>1013</v>
      </c>
      <c r="G3690" t="s">
        <v>114</v>
      </c>
      <c r="J3690" t="s">
        <v>125</v>
      </c>
      <c r="K3690">
        <v>0</v>
      </c>
      <c r="L3690">
        <v>3</v>
      </c>
      <c r="M3690">
        <v>0</v>
      </c>
      <c r="N3690">
        <v>2</v>
      </c>
      <c r="O3690">
        <v>1</v>
      </c>
      <c r="P3690">
        <v>0</v>
      </c>
      <c r="Q3690">
        <v>0</v>
      </c>
      <c r="S3690" t="str">
        <f>"20:34:55.008"</f>
        <v>20:34:55.008</v>
      </c>
      <c r="T3690" t="str">
        <f>"20:34:54.508"</f>
        <v>20:34:54.508</v>
      </c>
      <c r="U3690" t="str">
        <f t="shared" si="184"/>
        <v>AB01F4</v>
      </c>
      <c r="V3690">
        <v>0</v>
      </c>
      <c r="W3690">
        <v>0</v>
      </c>
      <c r="X3690">
        <v>2</v>
      </c>
      <c r="Z3690">
        <v>0</v>
      </c>
      <c r="AA3690">
        <v>9</v>
      </c>
      <c r="AB3690">
        <v>3</v>
      </c>
      <c r="AC3690">
        <v>0</v>
      </c>
      <c r="AD3690">
        <v>10</v>
      </c>
      <c r="AE3690">
        <v>0</v>
      </c>
      <c r="AF3690">
        <v>3</v>
      </c>
      <c r="AG3690">
        <v>2</v>
      </c>
      <c r="AH3690">
        <v>0</v>
      </c>
      <c r="AI3690" t="s">
        <v>2093</v>
      </c>
      <c r="AJ3690">
        <v>40.113230000000001</v>
      </c>
      <c r="AK3690" t="s">
        <v>2094</v>
      </c>
      <c r="AL3690">
        <v>-93.032354999999995</v>
      </c>
      <c r="AM3690">
        <v>100</v>
      </c>
      <c r="AN3690">
        <v>1300</v>
      </c>
      <c r="AO3690" t="s">
        <v>118</v>
      </c>
      <c r="AP3690">
        <v>-113</v>
      </c>
      <c r="AQ3690">
        <v>62</v>
      </c>
      <c r="AR3690">
        <v>64</v>
      </c>
      <c r="AZ3690">
        <v>1200</v>
      </c>
      <c r="BA3690">
        <v>1</v>
      </c>
      <c r="BB3690" t="str">
        <f t="shared" si="183"/>
        <v xml:space="preserve">N8080G  </v>
      </c>
      <c r="BC3690">
        <v>1</v>
      </c>
      <c r="BE3690">
        <v>0</v>
      </c>
      <c r="BF3690">
        <v>0</v>
      </c>
      <c r="BG3690">
        <v>0</v>
      </c>
      <c r="BH3690">
        <v>1350</v>
      </c>
      <c r="BI3690">
        <v>1</v>
      </c>
      <c r="BJ3690">
        <v>1</v>
      </c>
      <c r="BK3690">
        <v>1</v>
      </c>
      <c r="BL3690">
        <v>0</v>
      </c>
      <c r="BO3690">
        <v>0</v>
      </c>
      <c r="BP3690">
        <v>0</v>
      </c>
      <c r="BW3690" t="str">
        <f>"20:34:55.013"</f>
        <v>20:34:55.013</v>
      </c>
      <c r="BZ3690">
        <v>0</v>
      </c>
      <c r="CA3690">
        <v>1600</v>
      </c>
      <c r="CB3690">
        <v>224</v>
      </c>
      <c r="CD3690">
        <v>1</v>
      </c>
      <c r="CE3690">
        <v>0</v>
      </c>
      <c r="CF3690">
        <v>0</v>
      </c>
      <c r="CG3690">
        <v>1</v>
      </c>
      <c r="CH3690">
        <v>0</v>
      </c>
      <c r="CI3690">
        <v>0</v>
      </c>
      <c r="CJ3690">
        <v>0</v>
      </c>
      <c r="CK3690">
        <v>2</v>
      </c>
      <c r="CL3690">
        <v>0</v>
      </c>
      <c r="CM3690">
        <v>2</v>
      </c>
      <c r="CN3690">
        <v>0</v>
      </c>
      <c r="CO3690">
        <v>1</v>
      </c>
      <c r="CP3690" t="s">
        <v>119</v>
      </c>
      <c r="CQ3690">
        <v>179</v>
      </c>
      <c r="CR3690">
        <v>2</v>
      </c>
      <c r="CW3690">
        <v>12503185</v>
      </c>
      <c r="CY3690">
        <v>1</v>
      </c>
      <c r="CZ3690">
        <v>0</v>
      </c>
      <c r="DA3690">
        <v>1</v>
      </c>
      <c r="DB3690">
        <v>0</v>
      </c>
      <c r="DC3690">
        <v>0</v>
      </c>
      <c r="DD3690">
        <v>0</v>
      </c>
      <c r="DE3690">
        <v>0</v>
      </c>
      <c r="DF3690">
        <v>0</v>
      </c>
      <c r="DG3690">
        <v>0</v>
      </c>
      <c r="DH3690">
        <v>0</v>
      </c>
      <c r="DI3690">
        <v>0</v>
      </c>
    </row>
    <row r="3691" spans="1:113" x14ac:dyDescent="0.3">
      <c r="A3691" t="str">
        <f>"02/08/2021 20:34:53.771"</f>
        <v>02/08/2021 20:34:53.771</v>
      </c>
      <c r="C3691" t="str">
        <f t="shared" si="185"/>
        <v>FFDFD7C0</v>
      </c>
      <c r="D3691" t="s">
        <v>124</v>
      </c>
      <c r="E3691">
        <v>13</v>
      </c>
      <c r="F3691">
        <v>1013</v>
      </c>
      <c r="G3691" t="s">
        <v>114</v>
      </c>
      <c r="J3691" t="s">
        <v>125</v>
      </c>
      <c r="K3691">
        <v>0</v>
      </c>
      <c r="L3691">
        <v>3</v>
      </c>
      <c r="M3691">
        <v>0</v>
      </c>
      <c r="N3691">
        <v>2</v>
      </c>
      <c r="O3691">
        <v>1</v>
      </c>
      <c r="P3691">
        <v>0</v>
      </c>
      <c r="Q3691">
        <v>0</v>
      </c>
      <c r="S3691" t="str">
        <f>"20:34:56.086"</f>
        <v>20:34:56.086</v>
      </c>
      <c r="T3691" t="str">
        <f>"20:34:51.886"</f>
        <v>20:34:51.886</v>
      </c>
      <c r="U3691" t="str">
        <f t="shared" si="184"/>
        <v>AB01F4</v>
      </c>
      <c r="V3691">
        <v>0</v>
      </c>
      <c r="W3691">
        <v>0</v>
      </c>
      <c r="X3691">
        <v>2</v>
      </c>
      <c r="Z3691">
        <v>0</v>
      </c>
      <c r="AA3691">
        <v>9</v>
      </c>
      <c r="AB3691">
        <v>3</v>
      </c>
      <c r="AC3691">
        <v>0</v>
      </c>
      <c r="AD3691">
        <v>10</v>
      </c>
      <c r="AE3691">
        <v>0</v>
      </c>
      <c r="AF3691">
        <v>3</v>
      </c>
      <c r="AG3691">
        <v>2</v>
      </c>
      <c r="AH3691">
        <v>0</v>
      </c>
      <c r="AI3691" t="s">
        <v>2095</v>
      </c>
      <c r="AJ3691">
        <v>40.113551999999999</v>
      </c>
      <c r="AK3691" t="s">
        <v>2096</v>
      </c>
      <c r="AL3691">
        <v>-93.033106000000004</v>
      </c>
      <c r="AM3691">
        <v>100</v>
      </c>
      <c r="AN3691">
        <v>1300</v>
      </c>
      <c r="AO3691" t="s">
        <v>118</v>
      </c>
      <c r="AP3691">
        <v>-113</v>
      </c>
      <c r="AQ3691">
        <v>62</v>
      </c>
      <c r="AR3691">
        <v>64</v>
      </c>
      <c r="AZ3691">
        <v>1200</v>
      </c>
      <c r="BA3691">
        <v>1</v>
      </c>
      <c r="BB3691" t="str">
        <f t="shared" si="183"/>
        <v xml:space="preserve">N8080G  </v>
      </c>
      <c r="BC3691">
        <v>1</v>
      </c>
      <c r="BE3691">
        <v>0</v>
      </c>
      <c r="BF3691">
        <v>0</v>
      </c>
      <c r="BG3691">
        <v>0</v>
      </c>
      <c r="BH3691">
        <v>1350</v>
      </c>
      <c r="BI3691">
        <v>1</v>
      </c>
      <c r="BJ3691">
        <v>1</v>
      </c>
      <c r="BK3691">
        <v>1</v>
      </c>
      <c r="BL3691">
        <v>0</v>
      </c>
      <c r="BO3691">
        <v>0</v>
      </c>
      <c r="BP3691">
        <v>0</v>
      </c>
      <c r="BW3691" t="str">
        <f>"20:34:56.087"</f>
        <v>20:34:56.087</v>
      </c>
      <c r="BZ3691">
        <v>0</v>
      </c>
      <c r="CA3691">
        <v>1600</v>
      </c>
      <c r="CB3691">
        <v>224</v>
      </c>
      <c r="CD3691">
        <v>1</v>
      </c>
      <c r="CE3691">
        <v>0</v>
      </c>
      <c r="CF3691">
        <v>0</v>
      </c>
      <c r="CG3691">
        <v>1</v>
      </c>
      <c r="CH3691">
        <v>0</v>
      </c>
      <c r="CI3691">
        <v>0</v>
      </c>
      <c r="CJ3691">
        <v>0</v>
      </c>
      <c r="CK3691">
        <v>2</v>
      </c>
      <c r="CL3691">
        <v>0</v>
      </c>
      <c r="CM3691">
        <v>2</v>
      </c>
      <c r="CN3691">
        <v>0</v>
      </c>
      <c r="CO3691">
        <v>1</v>
      </c>
      <c r="CP3691" t="s">
        <v>119</v>
      </c>
      <c r="CQ3691">
        <v>179</v>
      </c>
      <c r="CR3691">
        <v>1</v>
      </c>
      <c r="CW3691">
        <v>9379908</v>
      </c>
      <c r="CY3691">
        <v>1</v>
      </c>
      <c r="CZ3691">
        <v>0</v>
      </c>
      <c r="DA3691">
        <v>0</v>
      </c>
      <c r="DB3691">
        <v>0</v>
      </c>
      <c r="DC3691">
        <v>0</v>
      </c>
      <c r="DD3691">
        <v>0</v>
      </c>
      <c r="DE3691">
        <v>0</v>
      </c>
      <c r="DF3691">
        <v>0</v>
      </c>
      <c r="DG3691">
        <v>0</v>
      </c>
      <c r="DH3691">
        <v>0</v>
      </c>
      <c r="DI3691">
        <v>0</v>
      </c>
    </row>
    <row r="3692" spans="1:113" x14ac:dyDescent="0.3">
      <c r="A3692" t="str">
        <f>"02/08/2021 20:34:53.771"</f>
        <v>02/08/2021 20:34:53.771</v>
      </c>
      <c r="C3692" t="str">
        <f t="shared" si="185"/>
        <v>FFDFD7C0</v>
      </c>
      <c r="D3692" t="s">
        <v>113</v>
      </c>
      <c r="E3692">
        <v>6</v>
      </c>
      <c r="H3692">
        <v>165</v>
      </c>
      <c r="I3692" t="s">
        <v>114</v>
      </c>
      <c r="J3692" t="s">
        <v>115</v>
      </c>
      <c r="K3692">
        <v>0</v>
      </c>
      <c r="L3692">
        <v>3</v>
      </c>
      <c r="M3692">
        <v>0</v>
      </c>
      <c r="N3692">
        <v>2</v>
      </c>
      <c r="O3692">
        <v>1</v>
      </c>
      <c r="P3692">
        <v>0</v>
      </c>
      <c r="Q3692">
        <v>0</v>
      </c>
      <c r="S3692" t="str">
        <f>"20:34:56.086"</f>
        <v>20:34:56.086</v>
      </c>
      <c r="T3692" t="str">
        <f>"20:34:51.886"</f>
        <v>20:34:51.886</v>
      </c>
      <c r="U3692" t="str">
        <f t="shared" si="184"/>
        <v>AB01F4</v>
      </c>
      <c r="V3692">
        <v>0</v>
      </c>
      <c r="W3692">
        <v>0</v>
      </c>
      <c r="X3692">
        <v>2</v>
      </c>
      <c r="Z3692">
        <v>0</v>
      </c>
      <c r="AA3692">
        <v>9</v>
      </c>
      <c r="AB3692">
        <v>3</v>
      </c>
      <c r="AC3692">
        <v>0</v>
      </c>
      <c r="AD3692">
        <v>10</v>
      </c>
      <c r="AE3692">
        <v>0</v>
      </c>
      <c r="AF3692">
        <v>3</v>
      </c>
      <c r="AG3692">
        <v>2</v>
      </c>
      <c r="AH3692">
        <v>0</v>
      </c>
      <c r="AI3692" t="s">
        <v>2095</v>
      </c>
      <c r="AJ3692">
        <v>40.113551999999999</v>
      </c>
      <c r="AK3692" t="s">
        <v>2096</v>
      </c>
      <c r="AL3692">
        <v>-93.033106000000004</v>
      </c>
      <c r="AM3692">
        <v>100</v>
      </c>
      <c r="AN3692">
        <v>1300</v>
      </c>
      <c r="AO3692" t="s">
        <v>118</v>
      </c>
      <c r="AP3692">
        <v>-113</v>
      </c>
      <c r="AQ3692">
        <v>62</v>
      </c>
      <c r="AR3692">
        <v>64</v>
      </c>
      <c r="AZ3692">
        <v>1200</v>
      </c>
      <c r="BA3692">
        <v>1</v>
      </c>
      <c r="BB3692" t="str">
        <f t="shared" si="183"/>
        <v xml:space="preserve">N8080G  </v>
      </c>
      <c r="BC3692">
        <v>1</v>
      </c>
      <c r="BE3692">
        <v>0</v>
      </c>
      <c r="BF3692">
        <v>0</v>
      </c>
      <c r="BG3692">
        <v>0</v>
      </c>
      <c r="BH3692">
        <v>1350</v>
      </c>
      <c r="BI3692">
        <v>1</v>
      </c>
      <c r="BJ3692">
        <v>1</v>
      </c>
      <c r="BK3692">
        <v>1</v>
      </c>
      <c r="BL3692">
        <v>0</v>
      </c>
      <c r="BO3692">
        <v>0</v>
      </c>
      <c r="BP3692">
        <v>0</v>
      </c>
      <c r="BW3692" t="str">
        <f>"20:34:56.087"</f>
        <v>20:34:56.087</v>
      </c>
      <c r="BZ3692">
        <v>0</v>
      </c>
      <c r="CA3692">
        <v>1600</v>
      </c>
      <c r="CB3692">
        <v>224</v>
      </c>
      <c r="CD3692">
        <v>1</v>
      </c>
      <c r="CE3692">
        <v>0</v>
      </c>
      <c r="CF3692">
        <v>0</v>
      </c>
      <c r="CG3692">
        <v>1</v>
      </c>
      <c r="CH3692">
        <v>0</v>
      </c>
      <c r="CI3692">
        <v>0</v>
      </c>
      <c r="CJ3692">
        <v>0</v>
      </c>
      <c r="CK3692">
        <v>2</v>
      </c>
      <c r="CL3692">
        <v>0</v>
      </c>
      <c r="CM3692">
        <v>2</v>
      </c>
      <c r="CN3692">
        <v>0</v>
      </c>
      <c r="CO3692">
        <v>1</v>
      </c>
      <c r="CP3692" t="s">
        <v>119</v>
      </c>
      <c r="CQ3692">
        <v>179</v>
      </c>
      <c r="CR3692">
        <v>1</v>
      </c>
      <c r="CW3692">
        <v>9379908</v>
      </c>
      <c r="CY3692">
        <v>1</v>
      </c>
      <c r="CZ3692">
        <v>0</v>
      </c>
      <c r="DA3692">
        <v>1</v>
      </c>
      <c r="DB3692">
        <v>0</v>
      </c>
      <c r="DC3692">
        <v>0</v>
      </c>
      <c r="DD3692">
        <v>0</v>
      </c>
      <c r="DE3692">
        <v>0</v>
      </c>
      <c r="DF3692">
        <v>0</v>
      </c>
      <c r="DG3692">
        <v>0</v>
      </c>
      <c r="DH3692">
        <v>0</v>
      </c>
      <c r="DI3692">
        <v>0</v>
      </c>
    </row>
    <row r="3693" spans="1:113" x14ac:dyDescent="0.3">
      <c r="A3693" t="str">
        <f>"02/08/2021 20:34:53.771"</f>
        <v>02/08/2021 20:34:53.771</v>
      </c>
      <c r="C3693" t="str">
        <f t="shared" si="185"/>
        <v>FFDFD7C0</v>
      </c>
      <c r="D3693" t="s">
        <v>124</v>
      </c>
      <c r="E3693">
        <v>11</v>
      </c>
      <c r="F3693">
        <v>1011</v>
      </c>
      <c r="G3693" t="s">
        <v>590</v>
      </c>
      <c r="J3693" t="s">
        <v>125</v>
      </c>
      <c r="K3693">
        <v>0</v>
      </c>
      <c r="L3693">
        <v>3</v>
      </c>
      <c r="M3693">
        <v>0</v>
      </c>
      <c r="N3693">
        <v>2</v>
      </c>
      <c r="O3693">
        <v>1</v>
      </c>
      <c r="P3693">
        <v>0</v>
      </c>
      <c r="Q3693">
        <v>0</v>
      </c>
      <c r="S3693" t="str">
        <f>"20:34:56.086"</f>
        <v>20:34:56.086</v>
      </c>
      <c r="T3693" t="str">
        <f>"20:34:51.886"</f>
        <v>20:34:51.886</v>
      </c>
      <c r="U3693" t="str">
        <f t="shared" si="184"/>
        <v>AB01F4</v>
      </c>
      <c r="V3693">
        <v>0</v>
      </c>
      <c r="W3693">
        <v>0</v>
      </c>
      <c r="X3693">
        <v>2</v>
      </c>
      <c r="Z3693">
        <v>0</v>
      </c>
      <c r="AA3693">
        <v>9</v>
      </c>
      <c r="AB3693">
        <v>3</v>
      </c>
      <c r="AC3693">
        <v>0</v>
      </c>
      <c r="AD3693">
        <v>10</v>
      </c>
      <c r="AE3693">
        <v>0</v>
      </c>
      <c r="AF3693">
        <v>3</v>
      </c>
      <c r="AG3693">
        <v>2</v>
      </c>
      <c r="AH3693">
        <v>0</v>
      </c>
      <c r="AI3693" t="s">
        <v>2095</v>
      </c>
      <c r="AJ3693">
        <v>40.113551999999999</v>
      </c>
      <c r="AK3693" t="s">
        <v>2096</v>
      </c>
      <c r="AL3693">
        <v>-93.033106000000004</v>
      </c>
      <c r="AM3693">
        <v>100</v>
      </c>
      <c r="AN3693">
        <v>1300</v>
      </c>
      <c r="AO3693" t="s">
        <v>118</v>
      </c>
      <c r="AP3693">
        <v>-113</v>
      </c>
      <c r="AQ3693">
        <v>62</v>
      </c>
      <c r="AR3693">
        <v>64</v>
      </c>
      <c r="AZ3693">
        <v>1200</v>
      </c>
      <c r="BA3693">
        <v>1</v>
      </c>
      <c r="BB3693" t="str">
        <f t="shared" si="183"/>
        <v xml:space="preserve">N8080G  </v>
      </c>
      <c r="BC3693">
        <v>1</v>
      </c>
      <c r="BE3693">
        <v>0</v>
      </c>
      <c r="BF3693">
        <v>0</v>
      </c>
      <c r="BG3693">
        <v>0</v>
      </c>
      <c r="BH3693">
        <v>1350</v>
      </c>
      <c r="BI3693">
        <v>1</v>
      </c>
      <c r="BJ3693">
        <v>1</v>
      </c>
      <c r="BK3693">
        <v>1</v>
      </c>
      <c r="BL3693">
        <v>0</v>
      </c>
      <c r="BO3693">
        <v>0</v>
      </c>
      <c r="BP3693">
        <v>0</v>
      </c>
      <c r="BW3693" t="str">
        <f>"20:34:56.087"</f>
        <v>20:34:56.087</v>
      </c>
      <c r="BZ3693">
        <v>0</v>
      </c>
      <c r="CA3693">
        <v>1600</v>
      </c>
      <c r="CB3693">
        <v>224</v>
      </c>
      <c r="CD3693">
        <v>1</v>
      </c>
      <c r="CE3693">
        <v>0</v>
      </c>
      <c r="CF3693">
        <v>0</v>
      </c>
      <c r="CG3693">
        <v>1</v>
      </c>
      <c r="CH3693">
        <v>0</v>
      </c>
      <c r="CI3693">
        <v>0</v>
      </c>
      <c r="CJ3693">
        <v>0</v>
      </c>
      <c r="CK3693">
        <v>2</v>
      </c>
      <c r="CL3693">
        <v>0</v>
      </c>
      <c r="CM3693">
        <v>2</v>
      </c>
      <c r="CN3693">
        <v>0</v>
      </c>
      <c r="CO3693">
        <v>1</v>
      </c>
      <c r="CP3693" t="s">
        <v>119</v>
      </c>
      <c r="CQ3693">
        <v>179</v>
      </c>
      <c r="CR3693">
        <v>1</v>
      </c>
      <c r="CW3693">
        <v>9379908</v>
      </c>
      <c r="CY3693">
        <v>1</v>
      </c>
      <c r="CZ3693">
        <v>0</v>
      </c>
      <c r="DA3693">
        <v>1</v>
      </c>
      <c r="DB3693">
        <v>0</v>
      </c>
      <c r="DC3693">
        <v>0</v>
      </c>
      <c r="DD3693">
        <v>0</v>
      </c>
      <c r="DE3693">
        <v>0</v>
      </c>
      <c r="DF3693">
        <v>0</v>
      </c>
      <c r="DG3693">
        <v>0</v>
      </c>
      <c r="DH3693">
        <v>0</v>
      </c>
      <c r="DI3693">
        <v>0</v>
      </c>
    </row>
    <row r="3694" spans="1:113" x14ac:dyDescent="0.3">
      <c r="A3694" t="str">
        <f>"02/08/2021 20:34:53.771"</f>
        <v>02/08/2021 20:34:53.771</v>
      </c>
      <c r="C3694" t="str">
        <f t="shared" si="185"/>
        <v>FFDFD7C0</v>
      </c>
      <c r="D3694" t="s">
        <v>124</v>
      </c>
      <c r="E3694">
        <v>12</v>
      </c>
      <c r="F3694">
        <v>1012</v>
      </c>
      <c r="G3694" t="s">
        <v>675</v>
      </c>
      <c r="J3694" t="s">
        <v>125</v>
      </c>
      <c r="K3694">
        <v>0</v>
      </c>
      <c r="L3694">
        <v>3</v>
      </c>
      <c r="M3694">
        <v>0</v>
      </c>
      <c r="N3694">
        <v>2</v>
      </c>
      <c r="O3694">
        <v>1</v>
      </c>
      <c r="P3694">
        <v>0</v>
      </c>
      <c r="Q3694">
        <v>0</v>
      </c>
      <c r="S3694" t="str">
        <f>"20:34:56.086"</f>
        <v>20:34:56.086</v>
      </c>
      <c r="T3694" t="str">
        <f>"20:34:51.886"</f>
        <v>20:34:51.886</v>
      </c>
      <c r="U3694" t="str">
        <f t="shared" si="184"/>
        <v>AB01F4</v>
      </c>
      <c r="V3694">
        <v>0</v>
      </c>
      <c r="W3694">
        <v>0</v>
      </c>
      <c r="X3694">
        <v>2</v>
      </c>
      <c r="Z3694">
        <v>0</v>
      </c>
      <c r="AA3694">
        <v>9</v>
      </c>
      <c r="AB3694">
        <v>3</v>
      </c>
      <c r="AC3694">
        <v>0</v>
      </c>
      <c r="AD3694">
        <v>10</v>
      </c>
      <c r="AE3694">
        <v>0</v>
      </c>
      <c r="AF3694">
        <v>3</v>
      </c>
      <c r="AG3694">
        <v>2</v>
      </c>
      <c r="AH3694">
        <v>0</v>
      </c>
      <c r="AI3694" t="s">
        <v>2095</v>
      </c>
      <c r="AJ3694">
        <v>40.113551999999999</v>
      </c>
      <c r="AK3694" t="s">
        <v>2096</v>
      </c>
      <c r="AL3694">
        <v>-93.033106000000004</v>
      </c>
      <c r="AM3694">
        <v>100</v>
      </c>
      <c r="AN3694">
        <v>1300</v>
      </c>
      <c r="AO3694" t="s">
        <v>118</v>
      </c>
      <c r="AP3694">
        <v>-113</v>
      </c>
      <c r="AQ3694">
        <v>62</v>
      </c>
      <c r="AR3694">
        <v>64</v>
      </c>
      <c r="AZ3694">
        <v>1200</v>
      </c>
      <c r="BA3694">
        <v>1</v>
      </c>
      <c r="BB3694" t="str">
        <f t="shared" si="183"/>
        <v xml:space="preserve">N8080G  </v>
      </c>
      <c r="BC3694">
        <v>1</v>
      </c>
      <c r="BE3694">
        <v>0</v>
      </c>
      <c r="BF3694">
        <v>0</v>
      </c>
      <c r="BG3694">
        <v>0</v>
      </c>
      <c r="BH3694">
        <v>1350</v>
      </c>
      <c r="BI3694">
        <v>1</v>
      </c>
      <c r="BJ3694">
        <v>1</v>
      </c>
      <c r="BK3694">
        <v>1</v>
      </c>
      <c r="BL3694">
        <v>0</v>
      </c>
      <c r="BO3694">
        <v>0</v>
      </c>
      <c r="BP3694">
        <v>0</v>
      </c>
      <c r="BW3694" t="str">
        <f>"20:34:56.087"</f>
        <v>20:34:56.087</v>
      </c>
      <c r="BZ3694">
        <v>0</v>
      </c>
      <c r="CA3694">
        <v>1600</v>
      </c>
      <c r="CB3694">
        <v>224</v>
      </c>
      <c r="CD3694">
        <v>1</v>
      </c>
      <c r="CE3694">
        <v>0</v>
      </c>
      <c r="CF3694">
        <v>0</v>
      </c>
      <c r="CG3694">
        <v>1</v>
      </c>
      <c r="CH3694">
        <v>0</v>
      </c>
      <c r="CI3694">
        <v>0</v>
      </c>
      <c r="CJ3694">
        <v>0</v>
      </c>
      <c r="CK3694">
        <v>2</v>
      </c>
      <c r="CL3694">
        <v>0</v>
      </c>
      <c r="CM3694">
        <v>2</v>
      </c>
      <c r="CN3694">
        <v>0</v>
      </c>
      <c r="CO3694">
        <v>1</v>
      </c>
      <c r="CP3694" t="s">
        <v>119</v>
      </c>
      <c r="CQ3694">
        <v>179</v>
      </c>
      <c r="CR3694">
        <v>1</v>
      </c>
      <c r="CW3694">
        <v>9379908</v>
      </c>
      <c r="CY3694">
        <v>1</v>
      </c>
      <c r="CZ3694">
        <v>0</v>
      </c>
      <c r="DA3694">
        <v>1</v>
      </c>
      <c r="DB3694">
        <v>0</v>
      </c>
      <c r="DC3694">
        <v>0</v>
      </c>
      <c r="DD3694">
        <v>0</v>
      </c>
      <c r="DE3694">
        <v>0</v>
      </c>
      <c r="DF3694">
        <v>0</v>
      </c>
      <c r="DG3694">
        <v>0</v>
      </c>
      <c r="DH3694">
        <v>0</v>
      </c>
      <c r="DI3694">
        <v>0</v>
      </c>
    </row>
    <row r="3695" spans="1:113" x14ac:dyDescent="0.3">
      <c r="A3695" t="str">
        <f>"02/08/2021 20:34:54.909"</f>
        <v>02/08/2021 20:34:54.909</v>
      </c>
      <c r="C3695" t="str">
        <f t="shared" si="185"/>
        <v>FFDFD7C0</v>
      </c>
      <c r="D3695" t="s">
        <v>124</v>
      </c>
      <c r="E3695">
        <v>11</v>
      </c>
      <c r="F3695">
        <v>1011</v>
      </c>
      <c r="G3695" t="s">
        <v>590</v>
      </c>
      <c r="J3695" t="s">
        <v>125</v>
      </c>
      <c r="K3695">
        <v>0</v>
      </c>
      <c r="L3695">
        <v>3</v>
      </c>
      <c r="M3695">
        <v>0</v>
      </c>
      <c r="N3695">
        <v>2</v>
      </c>
      <c r="O3695">
        <v>1</v>
      </c>
      <c r="P3695">
        <v>0</v>
      </c>
      <c r="Q3695">
        <v>0</v>
      </c>
      <c r="S3695" t="str">
        <f>"20:34:57.211"</f>
        <v>20:34:57.211</v>
      </c>
      <c r="T3695" t="str">
        <f>"20:34:56.711"</f>
        <v>20:34:56.711</v>
      </c>
      <c r="U3695" t="str">
        <f t="shared" si="184"/>
        <v>AB01F4</v>
      </c>
      <c r="V3695">
        <v>0</v>
      </c>
      <c r="W3695">
        <v>0</v>
      </c>
      <c r="X3695">
        <v>2</v>
      </c>
      <c r="Z3695">
        <v>0</v>
      </c>
      <c r="AA3695">
        <v>9</v>
      </c>
      <c r="AB3695">
        <v>3</v>
      </c>
      <c r="AC3695">
        <v>0</v>
      </c>
      <c r="AD3695">
        <v>10</v>
      </c>
      <c r="AE3695">
        <v>0</v>
      </c>
      <c r="AF3695">
        <v>3</v>
      </c>
      <c r="AG3695">
        <v>2</v>
      </c>
      <c r="AH3695">
        <v>0</v>
      </c>
      <c r="AI3695" t="s">
        <v>2097</v>
      </c>
      <c r="AJ3695">
        <v>40.113872999999998</v>
      </c>
      <c r="AK3695" t="s">
        <v>2098</v>
      </c>
      <c r="AL3695">
        <v>-93.033878999999999</v>
      </c>
      <c r="AM3695">
        <v>100</v>
      </c>
      <c r="AN3695">
        <v>1300</v>
      </c>
      <c r="AO3695" t="s">
        <v>118</v>
      </c>
      <c r="AP3695">
        <v>-113</v>
      </c>
      <c r="AQ3695">
        <v>62</v>
      </c>
      <c r="AR3695">
        <v>0</v>
      </c>
      <c r="AZ3695">
        <v>1200</v>
      </c>
      <c r="BA3695">
        <v>1</v>
      </c>
      <c r="BB3695" t="str">
        <f t="shared" ref="BB3695:BB3758" si="186">"N8080G  "</f>
        <v xml:space="preserve">N8080G  </v>
      </c>
      <c r="BC3695">
        <v>1</v>
      </c>
      <c r="BE3695">
        <v>0</v>
      </c>
      <c r="BF3695">
        <v>0</v>
      </c>
      <c r="BG3695">
        <v>0</v>
      </c>
      <c r="BH3695">
        <v>1350</v>
      </c>
      <c r="BI3695">
        <v>1</v>
      </c>
      <c r="BJ3695">
        <v>1</v>
      </c>
      <c r="BK3695">
        <v>1</v>
      </c>
      <c r="BL3695">
        <v>0</v>
      </c>
      <c r="BO3695">
        <v>0</v>
      </c>
      <c r="BP3695">
        <v>0</v>
      </c>
      <c r="BW3695" t="str">
        <f>"20:34:57.213"</f>
        <v>20:34:57.213</v>
      </c>
      <c r="BZ3695">
        <v>0</v>
      </c>
      <c r="CA3695">
        <v>1600</v>
      </c>
      <c r="CB3695">
        <v>224</v>
      </c>
      <c r="CD3695">
        <v>1</v>
      </c>
      <c r="CE3695">
        <v>0</v>
      </c>
      <c r="CF3695">
        <v>0</v>
      </c>
      <c r="CG3695">
        <v>1</v>
      </c>
      <c r="CH3695">
        <v>0</v>
      </c>
      <c r="CI3695">
        <v>0</v>
      </c>
      <c r="CJ3695">
        <v>0</v>
      </c>
      <c r="CK3695">
        <v>2</v>
      </c>
      <c r="CL3695">
        <v>0</v>
      </c>
      <c r="CM3695">
        <v>2</v>
      </c>
      <c r="CN3695">
        <v>0</v>
      </c>
      <c r="CO3695">
        <v>6</v>
      </c>
      <c r="CP3695" t="s">
        <v>119</v>
      </c>
      <c r="CQ3695">
        <v>180</v>
      </c>
      <c r="CR3695">
        <v>3</v>
      </c>
      <c r="CW3695">
        <v>1239388</v>
      </c>
      <c r="CY3695">
        <v>1</v>
      </c>
      <c r="CZ3695">
        <v>0</v>
      </c>
      <c r="DA3695">
        <v>0</v>
      </c>
      <c r="DB3695">
        <v>0</v>
      </c>
      <c r="DC3695">
        <v>0</v>
      </c>
      <c r="DD3695">
        <v>0</v>
      </c>
      <c r="DE3695">
        <v>0</v>
      </c>
      <c r="DF3695">
        <v>0</v>
      </c>
      <c r="DG3695">
        <v>0</v>
      </c>
      <c r="DH3695">
        <v>0</v>
      </c>
      <c r="DI3695">
        <v>0</v>
      </c>
    </row>
    <row r="3696" spans="1:113" x14ac:dyDescent="0.3">
      <c r="A3696" t="str">
        <f>"02/08/2021 20:34:54.909"</f>
        <v>02/08/2021 20:34:54.909</v>
      </c>
      <c r="C3696" t="str">
        <f t="shared" si="185"/>
        <v>FFDFD7C0</v>
      </c>
      <c r="D3696" t="s">
        <v>124</v>
      </c>
      <c r="E3696">
        <v>12</v>
      </c>
      <c r="F3696">
        <v>1012</v>
      </c>
      <c r="G3696" t="s">
        <v>675</v>
      </c>
      <c r="J3696" t="s">
        <v>125</v>
      </c>
      <c r="K3696">
        <v>0</v>
      </c>
      <c r="L3696">
        <v>3</v>
      </c>
      <c r="M3696">
        <v>0</v>
      </c>
      <c r="N3696">
        <v>2</v>
      </c>
      <c r="O3696">
        <v>1</v>
      </c>
      <c r="P3696">
        <v>0</v>
      </c>
      <c r="Q3696">
        <v>0</v>
      </c>
      <c r="S3696" t="str">
        <f>"20:34:57.211"</f>
        <v>20:34:57.211</v>
      </c>
      <c r="T3696" t="str">
        <f>"20:34:56.711"</f>
        <v>20:34:56.711</v>
      </c>
      <c r="U3696" t="str">
        <f t="shared" si="184"/>
        <v>AB01F4</v>
      </c>
      <c r="V3696">
        <v>0</v>
      </c>
      <c r="W3696">
        <v>0</v>
      </c>
      <c r="X3696">
        <v>2</v>
      </c>
      <c r="Z3696">
        <v>0</v>
      </c>
      <c r="AA3696">
        <v>9</v>
      </c>
      <c r="AB3696">
        <v>3</v>
      </c>
      <c r="AC3696">
        <v>0</v>
      </c>
      <c r="AD3696">
        <v>10</v>
      </c>
      <c r="AE3696">
        <v>0</v>
      </c>
      <c r="AF3696">
        <v>3</v>
      </c>
      <c r="AG3696">
        <v>2</v>
      </c>
      <c r="AH3696">
        <v>0</v>
      </c>
      <c r="AI3696" t="s">
        <v>2097</v>
      </c>
      <c r="AJ3696">
        <v>40.113872999999998</v>
      </c>
      <c r="AK3696" t="s">
        <v>2098</v>
      </c>
      <c r="AL3696">
        <v>-93.033878999999999</v>
      </c>
      <c r="AM3696">
        <v>100</v>
      </c>
      <c r="AN3696">
        <v>1300</v>
      </c>
      <c r="AO3696" t="s">
        <v>118</v>
      </c>
      <c r="AP3696">
        <v>-113</v>
      </c>
      <c r="AQ3696">
        <v>62</v>
      </c>
      <c r="AR3696">
        <v>0</v>
      </c>
      <c r="AZ3696">
        <v>1200</v>
      </c>
      <c r="BA3696">
        <v>1</v>
      </c>
      <c r="BB3696" t="str">
        <f t="shared" si="186"/>
        <v xml:space="preserve">N8080G  </v>
      </c>
      <c r="BC3696">
        <v>1</v>
      </c>
      <c r="BE3696">
        <v>0</v>
      </c>
      <c r="BF3696">
        <v>0</v>
      </c>
      <c r="BG3696">
        <v>0</v>
      </c>
      <c r="BH3696">
        <v>1350</v>
      </c>
      <c r="BI3696">
        <v>1</v>
      </c>
      <c r="BJ3696">
        <v>1</v>
      </c>
      <c r="BK3696">
        <v>1</v>
      </c>
      <c r="BL3696">
        <v>0</v>
      </c>
      <c r="BO3696">
        <v>0</v>
      </c>
      <c r="BP3696">
        <v>0</v>
      </c>
      <c r="BW3696" t="str">
        <f>"20:34:57.213"</f>
        <v>20:34:57.213</v>
      </c>
      <c r="BZ3696">
        <v>0</v>
      </c>
      <c r="CA3696">
        <v>1600</v>
      </c>
      <c r="CB3696">
        <v>224</v>
      </c>
      <c r="CD3696">
        <v>1</v>
      </c>
      <c r="CE3696">
        <v>0</v>
      </c>
      <c r="CF3696">
        <v>0</v>
      </c>
      <c r="CG3696">
        <v>1</v>
      </c>
      <c r="CH3696">
        <v>0</v>
      </c>
      <c r="CI3696">
        <v>0</v>
      </c>
      <c r="CJ3696">
        <v>0</v>
      </c>
      <c r="CK3696">
        <v>2</v>
      </c>
      <c r="CL3696">
        <v>0</v>
      </c>
      <c r="CM3696">
        <v>2</v>
      </c>
      <c r="CN3696">
        <v>0</v>
      </c>
      <c r="CO3696">
        <v>6</v>
      </c>
      <c r="CP3696" t="s">
        <v>119</v>
      </c>
      <c r="CQ3696">
        <v>180</v>
      </c>
      <c r="CR3696">
        <v>3</v>
      </c>
      <c r="CW3696">
        <v>1239388</v>
      </c>
      <c r="CY3696">
        <v>1</v>
      </c>
      <c r="CZ3696">
        <v>0</v>
      </c>
      <c r="DA3696">
        <v>1</v>
      </c>
      <c r="DB3696">
        <v>0</v>
      </c>
      <c r="DC3696">
        <v>0</v>
      </c>
      <c r="DD3696">
        <v>0</v>
      </c>
      <c r="DE3696">
        <v>0</v>
      </c>
      <c r="DF3696">
        <v>0</v>
      </c>
      <c r="DG3696">
        <v>0</v>
      </c>
      <c r="DH3696">
        <v>0</v>
      </c>
      <c r="DI3696">
        <v>0</v>
      </c>
    </row>
    <row r="3697" spans="1:113" x14ac:dyDescent="0.3">
      <c r="A3697" t="str">
        <f>"02/08/2021 20:34:54.909"</f>
        <v>02/08/2021 20:34:54.909</v>
      </c>
      <c r="C3697" t="str">
        <f t="shared" si="185"/>
        <v>FFDFD7C0</v>
      </c>
      <c r="D3697" t="s">
        <v>124</v>
      </c>
      <c r="E3697">
        <v>13</v>
      </c>
      <c r="F3697">
        <v>1013</v>
      </c>
      <c r="G3697" t="s">
        <v>114</v>
      </c>
      <c r="J3697" t="s">
        <v>125</v>
      </c>
      <c r="K3697">
        <v>0</v>
      </c>
      <c r="L3697">
        <v>3</v>
      </c>
      <c r="M3697">
        <v>0</v>
      </c>
      <c r="N3697">
        <v>2</v>
      </c>
      <c r="O3697">
        <v>1</v>
      </c>
      <c r="P3697">
        <v>0</v>
      </c>
      <c r="Q3697">
        <v>0</v>
      </c>
      <c r="S3697" t="str">
        <f>"20:34:57.211"</f>
        <v>20:34:57.211</v>
      </c>
      <c r="T3697" t="str">
        <f>"20:34:56.711"</f>
        <v>20:34:56.711</v>
      </c>
      <c r="U3697" t="str">
        <f t="shared" si="184"/>
        <v>AB01F4</v>
      </c>
      <c r="V3697">
        <v>0</v>
      </c>
      <c r="W3697">
        <v>0</v>
      </c>
      <c r="X3697">
        <v>2</v>
      </c>
      <c r="Z3697">
        <v>0</v>
      </c>
      <c r="AA3697">
        <v>9</v>
      </c>
      <c r="AB3697">
        <v>3</v>
      </c>
      <c r="AC3697">
        <v>0</v>
      </c>
      <c r="AD3697">
        <v>10</v>
      </c>
      <c r="AE3697">
        <v>0</v>
      </c>
      <c r="AF3697">
        <v>3</v>
      </c>
      <c r="AG3697">
        <v>2</v>
      </c>
      <c r="AH3697">
        <v>0</v>
      </c>
      <c r="AI3697" t="s">
        <v>2097</v>
      </c>
      <c r="AJ3697">
        <v>40.113872999999998</v>
      </c>
      <c r="AK3697" t="s">
        <v>2098</v>
      </c>
      <c r="AL3697">
        <v>-93.033878999999999</v>
      </c>
      <c r="AM3697">
        <v>100</v>
      </c>
      <c r="AN3697">
        <v>1300</v>
      </c>
      <c r="AO3697" t="s">
        <v>118</v>
      </c>
      <c r="AP3697">
        <v>-113</v>
      </c>
      <c r="AQ3697">
        <v>62</v>
      </c>
      <c r="AR3697">
        <v>0</v>
      </c>
      <c r="AZ3697">
        <v>1200</v>
      </c>
      <c r="BA3697">
        <v>1</v>
      </c>
      <c r="BB3697" t="str">
        <f t="shared" si="186"/>
        <v xml:space="preserve">N8080G  </v>
      </c>
      <c r="BC3697">
        <v>1</v>
      </c>
      <c r="BE3697">
        <v>0</v>
      </c>
      <c r="BF3697">
        <v>0</v>
      </c>
      <c r="BG3697">
        <v>0</v>
      </c>
      <c r="BH3697">
        <v>1350</v>
      </c>
      <c r="BI3697">
        <v>1</v>
      </c>
      <c r="BJ3697">
        <v>1</v>
      </c>
      <c r="BK3697">
        <v>1</v>
      </c>
      <c r="BL3697">
        <v>0</v>
      </c>
      <c r="BO3697">
        <v>0</v>
      </c>
      <c r="BP3697">
        <v>0</v>
      </c>
      <c r="BW3697" t="str">
        <f>"20:34:57.213"</f>
        <v>20:34:57.213</v>
      </c>
      <c r="BZ3697">
        <v>0</v>
      </c>
      <c r="CA3697">
        <v>1600</v>
      </c>
      <c r="CB3697">
        <v>224</v>
      </c>
      <c r="CD3697">
        <v>1</v>
      </c>
      <c r="CE3697">
        <v>0</v>
      </c>
      <c r="CF3697">
        <v>0</v>
      </c>
      <c r="CG3697">
        <v>1</v>
      </c>
      <c r="CH3697">
        <v>0</v>
      </c>
      <c r="CI3697">
        <v>0</v>
      </c>
      <c r="CJ3697">
        <v>0</v>
      </c>
      <c r="CK3697">
        <v>2</v>
      </c>
      <c r="CL3697">
        <v>0</v>
      </c>
      <c r="CM3697">
        <v>2</v>
      </c>
      <c r="CN3697">
        <v>0</v>
      </c>
      <c r="CO3697">
        <v>6</v>
      </c>
      <c r="CP3697" t="s">
        <v>119</v>
      </c>
      <c r="CQ3697">
        <v>180</v>
      </c>
      <c r="CR3697">
        <v>3</v>
      </c>
      <c r="CW3697">
        <v>1239388</v>
      </c>
      <c r="CY3697">
        <v>1</v>
      </c>
      <c r="CZ3697">
        <v>0</v>
      </c>
      <c r="DA3697">
        <v>1</v>
      </c>
      <c r="DB3697">
        <v>0</v>
      </c>
      <c r="DC3697">
        <v>0</v>
      </c>
      <c r="DD3697">
        <v>0</v>
      </c>
      <c r="DE3697">
        <v>0</v>
      </c>
      <c r="DF3697">
        <v>0</v>
      </c>
      <c r="DG3697">
        <v>0</v>
      </c>
      <c r="DH3697">
        <v>0</v>
      </c>
      <c r="DI3697">
        <v>0</v>
      </c>
    </row>
    <row r="3698" spans="1:113" x14ac:dyDescent="0.3">
      <c r="A3698" t="str">
        <f>"02/08/2021 20:34:54.909"</f>
        <v>02/08/2021 20:34:54.909</v>
      </c>
      <c r="C3698" t="str">
        <f t="shared" si="185"/>
        <v>FFDFD7C0</v>
      </c>
      <c r="D3698" t="s">
        <v>113</v>
      </c>
      <c r="E3698">
        <v>6</v>
      </c>
      <c r="H3698">
        <v>165</v>
      </c>
      <c r="I3698" t="s">
        <v>114</v>
      </c>
      <c r="J3698" t="s">
        <v>115</v>
      </c>
      <c r="K3698">
        <v>0</v>
      </c>
      <c r="L3698">
        <v>3</v>
      </c>
      <c r="M3698">
        <v>0</v>
      </c>
      <c r="N3698">
        <v>2</v>
      </c>
      <c r="O3698">
        <v>1</v>
      </c>
      <c r="P3698">
        <v>0</v>
      </c>
      <c r="Q3698">
        <v>0</v>
      </c>
      <c r="S3698" t="str">
        <f>"20:34:57.211"</f>
        <v>20:34:57.211</v>
      </c>
      <c r="T3698" t="str">
        <f>"20:34:56.711"</f>
        <v>20:34:56.711</v>
      </c>
      <c r="U3698" t="str">
        <f t="shared" si="184"/>
        <v>AB01F4</v>
      </c>
      <c r="V3698">
        <v>0</v>
      </c>
      <c r="W3698">
        <v>0</v>
      </c>
      <c r="X3698">
        <v>2</v>
      </c>
      <c r="Z3698">
        <v>0</v>
      </c>
      <c r="AA3698">
        <v>9</v>
      </c>
      <c r="AB3698">
        <v>3</v>
      </c>
      <c r="AC3698">
        <v>0</v>
      </c>
      <c r="AD3698">
        <v>10</v>
      </c>
      <c r="AE3698">
        <v>0</v>
      </c>
      <c r="AF3698">
        <v>3</v>
      </c>
      <c r="AG3698">
        <v>2</v>
      </c>
      <c r="AH3698">
        <v>0</v>
      </c>
      <c r="AI3698" t="s">
        <v>2097</v>
      </c>
      <c r="AJ3698">
        <v>40.113872999999998</v>
      </c>
      <c r="AK3698" t="s">
        <v>2098</v>
      </c>
      <c r="AL3698">
        <v>-93.033878999999999</v>
      </c>
      <c r="AM3698">
        <v>100</v>
      </c>
      <c r="AN3698">
        <v>1300</v>
      </c>
      <c r="AO3698" t="s">
        <v>118</v>
      </c>
      <c r="AP3698">
        <v>-113</v>
      </c>
      <c r="AQ3698">
        <v>62</v>
      </c>
      <c r="AR3698">
        <v>0</v>
      </c>
      <c r="AZ3698">
        <v>1200</v>
      </c>
      <c r="BA3698">
        <v>1</v>
      </c>
      <c r="BB3698" t="str">
        <f t="shared" si="186"/>
        <v xml:space="preserve">N8080G  </v>
      </c>
      <c r="BC3698">
        <v>1</v>
      </c>
      <c r="BE3698">
        <v>0</v>
      </c>
      <c r="BF3698">
        <v>0</v>
      </c>
      <c r="BG3698">
        <v>0</v>
      </c>
      <c r="BH3698">
        <v>1350</v>
      </c>
      <c r="BI3698">
        <v>1</v>
      </c>
      <c r="BJ3698">
        <v>1</v>
      </c>
      <c r="BK3698">
        <v>1</v>
      </c>
      <c r="BL3698">
        <v>0</v>
      </c>
      <c r="BO3698">
        <v>0</v>
      </c>
      <c r="BP3698">
        <v>0</v>
      </c>
      <c r="BW3698" t="str">
        <f>"20:34:57.213"</f>
        <v>20:34:57.213</v>
      </c>
      <c r="BZ3698">
        <v>0</v>
      </c>
      <c r="CA3698">
        <v>1600</v>
      </c>
      <c r="CB3698">
        <v>224</v>
      </c>
      <c r="CD3698">
        <v>1</v>
      </c>
      <c r="CE3698">
        <v>0</v>
      </c>
      <c r="CF3698">
        <v>0</v>
      </c>
      <c r="CG3698">
        <v>1</v>
      </c>
      <c r="CH3698">
        <v>0</v>
      </c>
      <c r="CI3698">
        <v>0</v>
      </c>
      <c r="CJ3698">
        <v>0</v>
      </c>
      <c r="CK3698">
        <v>2</v>
      </c>
      <c r="CL3698">
        <v>0</v>
      </c>
      <c r="CM3698">
        <v>2</v>
      </c>
      <c r="CN3698">
        <v>0</v>
      </c>
      <c r="CO3698">
        <v>6</v>
      </c>
      <c r="CP3698" t="s">
        <v>119</v>
      </c>
      <c r="CQ3698">
        <v>180</v>
      </c>
      <c r="CR3698">
        <v>3</v>
      </c>
      <c r="CW3698">
        <v>1239388</v>
      </c>
      <c r="CY3698">
        <v>1</v>
      </c>
      <c r="CZ3698">
        <v>0</v>
      </c>
      <c r="DA3698">
        <v>1</v>
      </c>
      <c r="DB3698">
        <v>0</v>
      </c>
      <c r="DC3698">
        <v>0</v>
      </c>
      <c r="DD3698">
        <v>0</v>
      </c>
      <c r="DE3698">
        <v>0</v>
      </c>
      <c r="DF3698">
        <v>0</v>
      </c>
      <c r="DG3698">
        <v>0</v>
      </c>
      <c r="DH3698">
        <v>0</v>
      </c>
      <c r="DI3698">
        <v>0</v>
      </c>
    </row>
    <row r="3699" spans="1:113" x14ac:dyDescent="0.3">
      <c r="A3699" t="str">
        <f>"02/08/2021 20:34:55.833"</f>
        <v>02/08/2021 20:34:55.833</v>
      </c>
      <c r="C3699" t="str">
        <f t="shared" si="185"/>
        <v>FFDFD7C0</v>
      </c>
      <c r="D3699" t="s">
        <v>124</v>
      </c>
      <c r="E3699">
        <v>13</v>
      </c>
      <c r="F3699">
        <v>1013</v>
      </c>
      <c r="G3699" t="s">
        <v>114</v>
      </c>
      <c r="J3699" t="s">
        <v>125</v>
      </c>
      <c r="K3699">
        <v>0</v>
      </c>
      <c r="L3699">
        <v>3</v>
      </c>
      <c r="M3699">
        <v>0</v>
      </c>
      <c r="N3699">
        <v>2</v>
      </c>
      <c r="O3699">
        <v>1</v>
      </c>
      <c r="P3699">
        <v>0</v>
      </c>
      <c r="Q3699">
        <v>0</v>
      </c>
      <c r="S3699" t="str">
        <f>"20:34:58.180"</f>
        <v>20:34:58.180</v>
      </c>
      <c r="T3699" t="str">
        <f>"20:34:56.680"</f>
        <v>20:34:56.680</v>
      </c>
      <c r="U3699" t="str">
        <f t="shared" si="184"/>
        <v>AB01F4</v>
      </c>
      <c r="V3699">
        <v>0</v>
      </c>
      <c r="W3699">
        <v>0</v>
      </c>
      <c r="X3699">
        <v>2</v>
      </c>
      <c r="Z3699">
        <v>0</v>
      </c>
      <c r="AA3699">
        <v>9</v>
      </c>
      <c r="AB3699">
        <v>3</v>
      </c>
      <c r="AC3699">
        <v>0</v>
      </c>
      <c r="AD3699">
        <v>10</v>
      </c>
      <c r="AE3699">
        <v>0</v>
      </c>
      <c r="AF3699">
        <v>3</v>
      </c>
      <c r="AG3699">
        <v>2</v>
      </c>
      <c r="AH3699">
        <v>0</v>
      </c>
      <c r="AI3699" t="s">
        <v>2099</v>
      </c>
      <c r="AJ3699">
        <v>40.114151999999997</v>
      </c>
      <c r="AK3699" t="s">
        <v>2100</v>
      </c>
      <c r="AL3699">
        <v>-93.034543999999997</v>
      </c>
      <c r="AM3699">
        <v>100</v>
      </c>
      <c r="AN3699">
        <v>1300</v>
      </c>
      <c r="AO3699" t="s">
        <v>118</v>
      </c>
      <c r="AP3699">
        <v>-113</v>
      </c>
      <c r="AQ3699">
        <v>62</v>
      </c>
      <c r="AR3699">
        <v>0</v>
      </c>
      <c r="AZ3699">
        <v>1200</v>
      </c>
      <c r="BA3699">
        <v>1</v>
      </c>
      <c r="BB3699" t="str">
        <f t="shared" si="186"/>
        <v xml:space="preserve">N8080G  </v>
      </c>
      <c r="BC3699">
        <v>1</v>
      </c>
      <c r="BE3699">
        <v>0</v>
      </c>
      <c r="BF3699">
        <v>0</v>
      </c>
      <c r="BG3699">
        <v>0</v>
      </c>
      <c r="BH3699">
        <v>1350</v>
      </c>
      <c r="BI3699">
        <v>1</v>
      </c>
      <c r="BJ3699">
        <v>1</v>
      </c>
      <c r="BK3699">
        <v>1</v>
      </c>
      <c r="BL3699">
        <v>0</v>
      </c>
      <c r="BO3699">
        <v>0</v>
      </c>
      <c r="BP3699">
        <v>0</v>
      </c>
      <c r="BW3699" t="str">
        <f>"20:34:58.181"</f>
        <v>20:34:58.181</v>
      </c>
      <c r="BZ3699">
        <v>0</v>
      </c>
      <c r="CA3699">
        <v>1600</v>
      </c>
      <c r="CB3699">
        <v>224</v>
      </c>
      <c r="CD3699">
        <v>1</v>
      </c>
      <c r="CE3699">
        <v>0</v>
      </c>
      <c r="CF3699">
        <v>0</v>
      </c>
      <c r="CG3699">
        <v>1</v>
      </c>
      <c r="CH3699">
        <v>0</v>
      </c>
      <c r="CI3699">
        <v>0</v>
      </c>
      <c r="CJ3699">
        <v>0</v>
      </c>
      <c r="CK3699">
        <v>2</v>
      </c>
      <c r="CL3699">
        <v>0</v>
      </c>
      <c r="CM3699">
        <v>2</v>
      </c>
      <c r="CN3699">
        <v>0</v>
      </c>
      <c r="CO3699">
        <v>1</v>
      </c>
      <c r="CP3699" t="s">
        <v>119</v>
      </c>
      <c r="CQ3699">
        <v>179</v>
      </c>
      <c r="CR3699">
        <v>1</v>
      </c>
      <c r="CW3699">
        <v>9381609</v>
      </c>
      <c r="CY3699">
        <v>1</v>
      </c>
      <c r="CZ3699">
        <v>0</v>
      </c>
      <c r="DA3699">
        <v>0</v>
      </c>
      <c r="DB3699">
        <v>0</v>
      </c>
      <c r="DC3699">
        <v>0</v>
      </c>
      <c r="DD3699">
        <v>0</v>
      </c>
      <c r="DE3699">
        <v>0</v>
      </c>
      <c r="DF3699">
        <v>0</v>
      </c>
      <c r="DG3699">
        <v>0</v>
      </c>
      <c r="DH3699">
        <v>0</v>
      </c>
      <c r="DI3699">
        <v>0</v>
      </c>
    </row>
    <row r="3700" spans="1:113" x14ac:dyDescent="0.3">
      <c r="A3700" t="str">
        <f>"02/08/2021 20:34:55.833"</f>
        <v>02/08/2021 20:34:55.833</v>
      </c>
      <c r="C3700" t="str">
        <f t="shared" si="185"/>
        <v>FFDFD7C0</v>
      </c>
      <c r="D3700" t="s">
        <v>113</v>
      </c>
      <c r="E3700">
        <v>6</v>
      </c>
      <c r="H3700">
        <v>165</v>
      </c>
      <c r="I3700" t="s">
        <v>114</v>
      </c>
      <c r="J3700" t="s">
        <v>115</v>
      </c>
      <c r="K3700">
        <v>0</v>
      </c>
      <c r="L3700">
        <v>3</v>
      </c>
      <c r="M3700">
        <v>0</v>
      </c>
      <c r="N3700">
        <v>2</v>
      </c>
      <c r="O3700">
        <v>1</v>
      </c>
      <c r="P3700">
        <v>0</v>
      </c>
      <c r="Q3700">
        <v>0</v>
      </c>
      <c r="S3700" t="str">
        <f>"20:34:58.180"</f>
        <v>20:34:58.180</v>
      </c>
      <c r="T3700" t="str">
        <f>"20:34:56.680"</f>
        <v>20:34:56.680</v>
      </c>
      <c r="U3700" t="str">
        <f t="shared" si="184"/>
        <v>AB01F4</v>
      </c>
      <c r="V3700">
        <v>0</v>
      </c>
      <c r="W3700">
        <v>0</v>
      </c>
      <c r="X3700">
        <v>2</v>
      </c>
      <c r="Z3700">
        <v>0</v>
      </c>
      <c r="AA3700">
        <v>9</v>
      </c>
      <c r="AB3700">
        <v>3</v>
      </c>
      <c r="AC3700">
        <v>0</v>
      </c>
      <c r="AD3700">
        <v>10</v>
      </c>
      <c r="AE3700">
        <v>0</v>
      </c>
      <c r="AF3700">
        <v>3</v>
      </c>
      <c r="AG3700">
        <v>2</v>
      </c>
      <c r="AH3700">
        <v>0</v>
      </c>
      <c r="AI3700" t="s">
        <v>2099</v>
      </c>
      <c r="AJ3700">
        <v>40.114151999999997</v>
      </c>
      <c r="AK3700" t="s">
        <v>2100</v>
      </c>
      <c r="AL3700">
        <v>-93.034543999999997</v>
      </c>
      <c r="AM3700">
        <v>100</v>
      </c>
      <c r="AN3700">
        <v>1300</v>
      </c>
      <c r="AO3700" t="s">
        <v>118</v>
      </c>
      <c r="AP3700">
        <v>-113</v>
      </c>
      <c r="AQ3700">
        <v>62</v>
      </c>
      <c r="AR3700">
        <v>0</v>
      </c>
      <c r="AZ3700">
        <v>1200</v>
      </c>
      <c r="BA3700">
        <v>1</v>
      </c>
      <c r="BB3700" t="str">
        <f t="shared" si="186"/>
        <v xml:space="preserve">N8080G  </v>
      </c>
      <c r="BC3700">
        <v>1</v>
      </c>
      <c r="BE3700">
        <v>0</v>
      </c>
      <c r="BF3700">
        <v>0</v>
      </c>
      <c r="BG3700">
        <v>0</v>
      </c>
      <c r="BH3700">
        <v>1350</v>
      </c>
      <c r="BI3700">
        <v>1</v>
      </c>
      <c r="BJ3700">
        <v>1</v>
      </c>
      <c r="BK3700">
        <v>1</v>
      </c>
      <c r="BL3700">
        <v>0</v>
      </c>
      <c r="BO3700">
        <v>0</v>
      </c>
      <c r="BP3700">
        <v>0</v>
      </c>
      <c r="BW3700" t="str">
        <f>"20:34:58.181"</f>
        <v>20:34:58.181</v>
      </c>
      <c r="BZ3700">
        <v>0</v>
      </c>
      <c r="CA3700">
        <v>1600</v>
      </c>
      <c r="CB3700">
        <v>224</v>
      </c>
      <c r="CD3700">
        <v>1</v>
      </c>
      <c r="CE3700">
        <v>0</v>
      </c>
      <c r="CF3700">
        <v>0</v>
      </c>
      <c r="CG3700">
        <v>1</v>
      </c>
      <c r="CH3700">
        <v>0</v>
      </c>
      <c r="CI3700">
        <v>0</v>
      </c>
      <c r="CJ3700">
        <v>0</v>
      </c>
      <c r="CK3700">
        <v>2</v>
      </c>
      <c r="CL3700">
        <v>0</v>
      </c>
      <c r="CM3700">
        <v>2</v>
      </c>
      <c r="CN3700">
        <v>0</v>
      </c>
      <c r="CO3700">
        <v>1</v>
      </c>
      <c r="CP3700" t="s">
        <v>119</v>
      </c>
      <c r="CQ3700">
        <v>179</v>
      </c>
      <c r="CR3700">
        <v>1</v>
      </c>
      <c r="CW3700">
        <v>9381609</v>
      </c>
      <c r="CY3700">
        <v>1</v>
      </c>
      <c r="CZ3700">
        <v>0</v>
      </c>
      <c r="DA3700">
        <v>1</v>
      </c>
      <c r="DB3700">
        <v>0</v>
      </c>
      <c r="DC3700">
        <v>0</v>
      </c>
      <c r="DD3700">
        <v>0</v>
      </c>
      <c r="DE3700">
        <v>0</v>
      </c>
      <c r="DF3700">
        <v>0</v>
      </c>
      <c r="DG3700">
        <v>0</v>
      </c>
      <c r="DH3700">
        <v>0</v>
      </c>
      <c r="DI3700">
        <v>0</v>
      </c>
    </row>
    <row r="3701" spans="1:113" x14ac:dyDescent="0.3">
      <c r="A3701" t="str">
        <f>"02/08/2021 20:34:55.833"</f>
        <v>02/08/2021 20:34:55.833</v>
      </c>
      <c r="C3701" t="str">
        <f t="shared" si="185"/>
        <v>FFDFD7C0</v>
      </c>
      <c r="D3701" t="s">
        <v>124</v>
      </c>
      <c r="E3701">
        <v>12</v>
      </c>
      <c r="F3701">
        <v>1012</v>
      </c>
      <c r="G3701" t="s">
        <v>675</v>
      </c>
      <c r="J3701" t="s">
        <v>125</v>
      </c>
      <c r="K3701">
        <v>0</v>
      </c>
      <c r="L3701">
        <v>3</v>
      </c>
      <c r="M3701">
        <v>0</v>
      </c>
      <c r="N3701">
        <v>2</v>
      </c>
      <c r="O3701">
        <v>1</v>
      </c>
      <c r="P3701">
        <v>0</v>
      </c>
      <c r="Q3701">
        <v>0</v>
      </c>
      <c r="S3701" t="str">
        <f>"20:34:58.180"</f>
        <v>20:34:58.180</v>
      </c>
      <c r="T3701" t="str">
        <f>"20:34:56.680"</f>
        <v>20:34:56.680</v>
      </c>
      <c r="U3701" t="str">
        <f t="shared" si="184"/>
        <v>AB01F4</v>
      </c>
      <c r="V3701">
        <v>0</v>
      </c>
      <c r="W3701">
        <v>0</v>
      </c>
      <c r="X3701">
        <v>2</v>
      </c>
      <c r="Z3701">
        <v>0</v>
      </c>
      <c r="AA3701">
        <v>9</v>
      </c>
      <c r="AB3701">
        <v>3</v>
      </c>
      <c r="AC3701">
        <v>0</v>
      </c>
      <c r="AD3701">
        <v>10</v>
      </c>
      <c r="AE3701">
        <v>0</v>
      </c>
      <c r="AF3701">
        <v>3</v>
      </c>
      <c r="AG3701">
        <v>2</v>
      </c>
      <c r="AH3701">
        <v>0</v>
      </c>
      <c r="AI3701" t="s">
        <v>2099</v>
      </c>
      <c r="AJ3701">
        <v>40.114151999999997</v>
      </c>
      <c r="AK3701" t="s">
        <v>2100</v>
      </c>
      <c r="AL3701">
        <v>-93.034543999999997</v>
      </c>
      <c r="AM3701">
        <v>100</v>
      </c>
      <c r="AN3701">
        <v>1300</v>
      </c>
      <c r="AO3701" t="s">
        <v>118</v>
      </c>
      <c r="AP3701">
        <v>-113</v>
      </c>
      <c r="AQ3701">
        <v>62</v>
      </c>
      <c r="AR3701">
        <v>0</v>
      </c>
      <c r="AZ3701">
        <v>1200</v>
      </c>
      <c r="BA3701">
        <v>1</v>
      </c>
      <c r="BB3701" t="str">
        <f t="shared" si="186"/>
        <v xml:space="preserve">N8080G  </v>
      </c>
      <c r="BC3701">
        <v>1</v>
      </c>
      <c r="BE3701">
        <v>0</v>
      </c>
      <c r="BF3701">
        <v>0</v>
      </c>
      <c r="BG3701">
        <v>0</v>
      </c>
      <c r="BH3701">
        <v>1350</v>
      </c>
      <c r="BI3701">
        <v>1</v>
      </c>
      <c r="BJ3701">
        <v>1</v>
      </c>
      <c r="BK3701">
        <v>1</v>
      </c>
      <c r="BL3701">
        <v>0</v>
      </c>
      <c r="BO3701">
        <v>0</v>
      </c>
      <c r="BP3701">
        <v>0</v>
      </c>
      <c r="BW3701" t="str">
        <f>"20:34:58.181"</f>
        <v>20:34:58.181</v>
      </c>
      <c r="BZ3701">
        <v>0</v>
      </c>
      <c r="CA3701">
        <v>1600</v>
      </c>
      <c r="CB3701">
        <v>224</v>
      </c>
      <c r="CD3701">
        <v>1</v>
      </c>
      <c r="CE3701">
        <v>0</v>
      </c>
      <c r="CF3701">
        <v>0</v>
      </c>
      <c r="CG3701">
        <v>1</v>
      </c>
      <c r="CH3701">
        <v>0</v>
      </c>
      <c r="CI3701">
        <v>0</v>
      </c>
      <c r="CJ3701">
        <v>0</v>
      </c>
      <c r="CK3701">
        <v>2</v>
      </c>
      <c r="CL3701">
        <v>0</v>
      </c>
      <c r="CM3701">
        <v>2</v>
      </c>
      <c r="CN3701">
        <v>0</v>
      </c>
      <c r="CO3701">
        <v>1</v>
      </c>
      <c r="CP3701" t="s">
        <v>119</v>
      </c>
      <c r="CQ3701">
        <v>179</v>
      </c>
      <c r="CR3701">
        <v>1</v>
      </c>
      <c r="CW3701">
        <v>9381609</v>
      </c>
      <c r="CY3701">
        <v>1</v>
      </c>
      <c r="CZ3701">
        <v>0</v>
      </c>
      <c r="DA3701">
        <v>1</v>
      </c>
      <c r="DB3701">
        <v>0</v>
      </c>
      <c r="DC3701">
        <v>0</v>
      </c>
      <c r="DD3701">
        <v>0</v>
      </c>
      <c r="DE3701">
        <v>0</v>
      </c>
      <c r="DF3701">
        <v>0</v>
      </c>
      <c r="DG3701">
        <v>0</v>
      </c>
      <c r="DH3701">
        <v>0</v>
      </c>
      <c r="DI3701">
        <v>0</v>
      </c>
    </row>
    <row r="3702" spans="1:113" x14ac:dyDescent="0.3">
      <c r="A3702" t="str">
        <f>"02/08/2021 20:34:55.833"</f>
        <v>02/08/2021 20:34:55.833</v>
      </c>
      <c r="C3702" t="str">
        <f t="shared" si="185"/>
        <v>FFDFD7C0</v>
      </c>
      <c r="D3702" t="s">
        <v>124</v>
      </c>
      <c r="E3702">
        <v>11</v>
      </c>
      <c r="F3702">
        <v>1011</v>
      </c>
      <c r="G3702" t="s">
        <v>590</v>
      </c>
      <c r="J3702" t="s">
        <v>125</v>
      </c>
      <c r="K3702">
        <v>0</v>
      </c>
      <c r="L3702">
        <v>3</v>
      </c>
      <c r="M3702">
        <v>0</v>
      </c>
      <c r="N3702">
        <v>2</v>
      </c>
      <c r="O3702">
        <v>1</v>
      </c>
      <c r="P3702">
        <v>0</v>
      </c>
      <c r="Q3702">
        <v>0</v>
      </c>
      <c r="S3702" t="str">
        <f>"20:34:58.180"</f>
        <v>20:34:58.180</v>
      </c>
      <c r="T3702" t="str">
        <f>"20:34:56.680"</f>
        <v>20:34:56.680</v>
      </c>
      <c r="U3702" t="str">
        <f t="shared" si="184"/>
        <v>AB01F4</v>
      </c>
      <c r="V3702">
        <v>0</v>
      </c>
      <c r="W3702">
        <v>0</v>
      </c>
      <c r="X3702">
        <v>2</v>
      </c>
      <c r="Z3702">
        <v>0</v>
      </c>
      <c r="AA3702">
        <v>9</v>
      </c>
      <c r="AB3702">
        <v>3</v>
      </c>
      <c r="AC3702">
        <v>0</v>
      </c>
      <c r="AD3702">
        <v>10</v>
      </c>
      <c r="AE3702">
        <v>0</v>
      </c>
      <c r="AF3702">
        <v>3</v>
      </c>
      <c r="AG3702">
        <v>2</v>
      </c>
      <c r="AH3702">
        <v>0</v>
      </c>
      <c r="AI3702" t="s">
        <v>2099</v>
      </c>
      <c r="AJ3702">
        <v>40.114151999999997</v>
      </c>
      <c r="AK3702" t="s">
        <v>2100</v>
      </c>
      <c r="AL3702">
        <v>-93.034543999999997</v>
      </c>
      <c r="AM3702">
        <v>100</v>
      </c>
      <c r="AN3702">
        <v>1300</v>
      </c>
      <c r="AO3702" t="s">
        <v>118</v>
      </c>
      <c r="AP3702">
        <v>-113</v>
      </c>
      <c r="AQ3702">
        <v>62</v>
      </c>
      <c r="AR3702">
        <v>0</v>
      </c>
      <c r="AZ3702">
        <v>1200</v>
      </c>
      <c r="BA3702">
        <v>1</v>
      </c>
      <c r="BB3702" t="str">
        <f t="shared" si="186"/>
        <v xml:space="preserve">N8080G  </v>
      </c>
      <c r="BC3702">
        <v>1</v>
      </c>
      <c r="BE3702">
        <v>0</v>
      </c>
      <c r="BF3702">
        <v>0</v>
      </c>
      <c r="BG3702">
        <v>0</v>
      </c>
      <c r="BH3702">
        <v>1350</v>
      </c>
      <c r="BI3702">
        <v>1</v>
      </c>
      <c r="BJ3702">
        <v>1</v>
      </c>
      <c r="BK3702">
        <v>1</v>
      </c>
      <c r="BL3702">
        <v>0</v>
      </c>
      <c r="BO3702">
        <v>0</v>
      </c>
      <c r="BP3702">
        <v>0</v>
      </c>
      <c r="BW3702" t="str">
        <f>"20:34:58.181"</f>
        <v>20:34:58.181</v>
      </c>
      <c r="BZ3702">
        <v>0</v>
      </c>
      <c r="CA3702">
        <v>1600</v>
      </c>
      <c r="CB3702">
        <v>224</v>
      </c>
      <c r="CD3702">
        <v>1</v>
      </c>
      <c r="CE3702">
        <v>0</v>
      </c>
      <c r="CF3702">
        <v>0</v>
      </c>
      <c r="CG3702">
        <v>1</v>
      </c>
      <c r="CH3702">
        <v>0</v>
      </c>
      <c r="CI3702">
        <v>0</v>
      </c>
      <c r="CJ3702">
        <v>0</v>
      </c>
      <c r="CK3702">
        <v>2</v>
      </c>
      <c r="CL3702">
        <v>0</v>
      </c>
      <c r="CM3702">
        <v>2</v>
      </c>
      <c r="CN3702">
        <v>0</v>
      </c>
      <c r="CO3702">
        <v>1</v>
      </c>
      <c r="CP3702" t="s">
        <v>119</v>
      </c>
      <c r="CQ3702">
        <v>179</v>
      </c>
      <c r="CR3702">
        <v>1</v>
      </c>
      <c r="CW3702">
        <v>9381609</v>
      </c>
      <c r="CY3702">
        <v>1</v>
      </c>
      <c r="CZ3702">
        <v>0</v>
      </c>
      <c r="DA3702">
        <v>1</v>
      </c>
      <c r="DB3702">
        <v>0</v>
      </c>
      <c r="DC3702">
        <v>0</v>
      </c>
      <c r="DD3702">
        <v>0</v>
      </c>
      <c r="DE3702">
        <v>0</v>
      </c>
      <c r="DF3702">
        <v>0</v>
      </c>
      <c r="DG3702">
        <v>0</v>
      </c>
      <c r="DH3702">
        <v>0</v>
      </c>
      <c r="DI3702">
        <v>0</v>
      </c>
    </row>
    <row r="3703" spans="1:113" x14ac:dyDescent="0.3">
      <c r="A3703" t="str">
        <f>"02/08/2021 20:34:58.398"</f>
        <v>02/08/2021 20:34:58.398</v>
      </c>
      <c r="C3703" t="str">
        <f t="shared" si="185"/>
        <v>FFDFD7C0</v>
      </c>
      <c r="D3703" t="s">
        <v>124</v>
      </c>
      <c r="E3703">
        <v>13</v>
      </c>
      <c r="F3703">
        <v>1013</v>
      </c>
      <c r="G3703" t="s">
        <v>114</v>
      </c>
      <c r="J3703" t="s">
        <v>125</v>
      </c>
      <c r="K3703">
        <v>0</v>
      </c>
      <c r="L3703">
        <v>3</v>
      </c>
      <c r="M3703">
        <v>0</v>
      </c>
      <c r="N3703">
        <v>2</v>
      </c>
      <c r="O3703">
        <v>1</v>
      </c>
      <c r="P3703">
        <v>0</v>
      </c>
      <c r="Q3703">
        <v>0</v>
      </c>
      <c r="S3703" t="str">
        <f>"20:35:00.719"</f>
        <v>20:35:00.719</v>
      </c>
      <c r="T3703" t="str">
        <f>"20:34:59.219"</f>
        <v>20:34:59.219</v>
      </c>
      <c r="U3703" t="str">
        <f t="shared" si="184"/>
        <v>AB01F4</v>
      </c>
      <c r="V3703">
        <v>0</v>
      </c>
      <c r="W3703">
        <v>0</v>
      </c>
      <c r="X3703">
        <v>2</v>
      </c>
      <c r="Z3703">
        <v>0</v>
      </c>
      <c r="AA3703">
        <v>9</v>
      </c>
      <c r="AB3703">
        <v>3</v>
      </c>
      <c r="AC3703">
        <v>0</v>
      </c>
      <c r="AD3703">
        <v>10</v>
      </c>
      <c r="AE3703">
        <v>0</v>
      </c>
      <c r="AF3703">
        <v>3</v>
      </c>
      <c r="AG3703">
        <v>2</v>
      </c>
      <c r="AH3703">
        <v>0</v>
      </c>
      <c r="AI3703" t="s">
        <v>2101</v>
      </c>
      <c r="AJ3703">
        <v>40.114882000000001</v>
      </c>
      <c r="AK3703" t="s">
        <v>2102</v>
      </c>
      <c r="AL3703">
        <v>-93.036325000000005</v>
      </c>
      <c r="AM3703">
        <v>100</v>
      </c>
      <c r="AN3703">
        <v>1300</v>
      </c>
      <c r="AO3703" t="s">
        <v>118</v>
      </c>
      <c r="AP3703">
        <v>-113</v>
      </c>
      <c r="AQ3703">
        <v>61</v>
      </c>
      <c r="AR3703">
        <v>0</v>
      </c>
      <c r="AZ3703">
        <v>1200</v>
      </c>
      <c r="BA3703">
        <v>1</v>
      </c>
      <c r="BB3703" t="str">
        <f t="shared" si="186"/>
        <v xml:space="preserve">N8080G  </v>
      </c>
      <c r="BC3703">
        <v>1</v>
      </c>
      <c r="BE3703">
        <v>0</v>
      </c>
      <c r="BF3703">
        <v>0</v>
      </c>
      <c r="BG3703">
        <v>0</v>
      </c>
      <c r="BH3703">
        <v>1350</v>
      </c>
      <c r="BI3703">
        <v>1</v>
      </c>
      <c r="BJ3703">
        <v>1</v>
      </c>
      <c r="BK3703">
        <v>1</v>
      </c>
      <c r="BL3703">
        <v>0</v>
      </c>
      <c r="BO3703">
        <v>0</v>
      </c>
      <c r="BP3703">
        <v>0</v>
      </c>
      <c r="BW3703" t="str">
        <f>"20:35:00.726"</f>
        <v>20:35:00.726</v>
      </c>
      <c r="BZ3703">
        <v>0</v>
      </c>
      <c r="CA3703">
        <v>1600</v>
      </c>
      <c r="CB3703">
        <v>224</v>
      </c>
      <c r="CD3703">
        <v>1</v>
      </c>
      <c r="CE3703">
        <v>0</v>
      </c>
      <c r="CF3703">
        <v>0</v>
      </c>
      <c r="CG3703">
        <v>1</v>
      </c>
      <c r="CH3703">
        <v>0</v>
      </c>
      <c r="CI3703">
        <v>0</v>
      </c>
      <c r="CJ3703">
        <v>0</v>
      </c>
      <c r="CK3703">
        <v>2</v>
      </c>
      <c r="CL3703">
        <v>0</v>
      </c>
      <c r="CM3703">
        <v>2</v>
      </c>
      <c r="CN3703">
        <v>0</v>
      </c>
      <c r="CO3703">
        <v>1</v>
      </c>
      <c r="CP3703" t="s">
        <v>119</v>
      </c>
      <c r="CQ3703">
        <v>179</v>
      </c>
      <c r="CR3703">
        <v>2</v>
      </c>
      <c r="CW3703">
        <v>12507846</v>
      </c>
      <c r="CY3703">
        <v>1</v>
      </c>
      <c r="CZ3703">
        <v>0</v>
      </c>
      <c r="DA3703">
        <v>0</v>
      </c>
      <c r="DB3703">
        <v>0</v>
      </c>
      <c r="DC3703">
        <v>0</v>
      </c>
      <c r="DD3703">
        <v>0</v>
      </c>
      <c r="DE3703">
        <v>0</v>
      </c>
      <c r="DF3703">
        <v>0</v>
      </c>
      <c r="DG3703">
        <v>0</v>
      </c>
      <c r="DH3703">
        <v>0</v>
      </c>
      <c r="DI3703">
        <v>0</v>
      </c>
    </row>
    <row r="3704" spans="1:113" x14ac:dyDescent="0.3">
      <c r="A3704" t="str">
        <f>"02/08/2021 20:34:58.398"</f>
        <v>02/08/2021 20:34:58.398</v>
      </c>
      <c r="C3704" t="str">
        <f t="shared" si="185"/>
        <v>FFDFD7C0</v>
      </c>
      <c r="D3704" t="s">
        <v>124</v>
      </c>
      <c r="E3704">
        <v>12</v>
      </c>
      <c r="F3704">
        <v>1012</v>
      </c>
      <c r="G3704" t="s">
        <v>675</v>
      </c>
      <c r="J3704" t="s">
        <v>125</v>
      </c>
      <c r="K3704">
        <v>0</v>
      </c>
      <c r="L3704">
        <v>3</v>
      </c>
      <c r="M3704">
        <v>0</v>
      </c>
      <c r="N3704">
        <v>2</v>
      </c>
      <c r="O3704">
        <v>1</v>
      </c>
      <c r="P3704">
        <v>0</v>
      </c>
      <c r="Q3704">
        <v>0</v>
      </c>
      <c r="S3704" t="str">
        <f>"20:35:00.719"</f>
        <v>20:35:00.719</v>
      </c>
      <c r="T3704" t="str">
        <f>"20:34:59.219"</f>
        <v>20:34:59.219</v>
      </c>
      <c r="U3704" t="str">
        <f t="shared" si="184"/>
        <v>AB01F4</v>
      </c>
      <c r="V3704">
        <v>0</v>
      </c>
      <c r="W3704">
        <v>0</v>
      </c>
      <c r="X3704">
        <v>2</v>
      </c>
      <c r="Z3704">
        <v>0</v>
      </c>
      <c r="AA3704">
        <v>9</v>
      </c>
      <c r="AB3704">
        <v>3</v>
      </c>
      <c r="AC3704">
        <v>0</v>
      </c>
      <c r="AD3704">
        <v>10</v>
      </c>
      <c r="AE3704">
        <v>0</v>
      </c>
      <c r="AF3704">
        <v>3</v>
      </c>
      <c r="AG3704">
        <v>2</v>
      </c>
      <c r="AH3704">
        <v>0</v>
      </c>
      <c r="AI3704" t="s">
        <v>2101</v>
      </c>
      <c r="AJ3704">
        <v>40.114882000000001</v>
      </c>
      <c r="AK3704" t="s">
        <v>2102</v>
      </c>
      <c r="AL3704">
        <v>-93.036325000000005</v>
      </c>
      <c r="AM3704">
        <v>100</v>
      </c>
      <c r="AN3704">
        <v>1300</v>
      </c>
      <c r="AO3704" t="s">
        <v>118</v>
      </c>
      <c r="AP3704">
        <v>-113</v>
      </c>
      <c r="AQ3704">
        <v>61</v>
      </c>
      <c r="AR3704">
        <v>0</v>
      </c>
      <c r="AZ3704">
        <v>1200</v>
      </c>
      <c r="BA3704">
        <v>1</v>
      </c>
      <c r="BB3704" t="str">
        <f t="shared" si="186"/>
        <v xml:space="preserve">N8080G  </v>
      </c>
      <c r="BC3704">
        <v>1</v>
      </c>
      <c r="BE3704">
        <v>0</v>
      </c>
      <c r="BF3704">
        <v>0</v>
      </c>
      <c r="BG3704">
        <v>0</v>
      </c>
      <c r="BH3704">
        <v>1350</v>
      </c>
      <c r="BI3704">
        <v>1</v>
      </c>
      <c r="BJ3704">
        <v>1</v>
      </c>
      <c r="BK3704">
        <v>1</v>
      </c>
      <c r="BL3704">
        <v>0</v>
      </c>
      <c r="BO3704">
        <v>0</v>
      </c>
      <c r="BP3704">
        <v>0</v>
      </c>
      <c r="BW3704" t="str">
        <f>"20:35:00.726"</f>
        <v>20:35:00.726</v>
      </c>
      <c r="BZ3704">
        <v>0</v>
      </c>
      <c r="CA3704">
        <v>1600</v>
      </c>
      <c r="CB3704">
        <v>224</v>
      </c>
      <c r="CD3704">
        <v>1</v>
      </c>
      <c r="CE3704">
        <v>0</v>
      </c>
      <c r="CF3704">
        <v>0</v>
      </c>
      <c r="CG3704">
        <v>1</v>
      </c>
      <c r="CH3704">
        <v>0</v>
      </c>
      <c r="CI3704">
        <v>0</v>
      </c>
      <c r="CJ3704">
        <v>0</v>
      </c>
      <c r="CK3704">
        <v>2</v>
      </c>
      <c r="CL3704">
        <v>0</v>
      </c>
      <c r="CM3704">
        <v>2</v>
      </c>
      <c r="CN3704">
        <v>0</v>
      </c>
      <c r="CO3704">
        <v>1</v>
      </c>
      <c r="CP3704" t="s">
        <v>119</v>
      </c>
      <c r="CQ3704">
        <v>179</v>
      </c>
      <c r="CR3704">
        <v>2</v>
      </c>
      <c r="CW3704">
        <v>12507846</v>
      </c>
      <c r="CY3704">
        <v>1</v>
      </c>
      <c r="CZ3704">
        <v>0</v>
      </c>
      <c r="DA3704">
        <v>1</v>
      </c>
      <c r="DB3704">
        <v>0</v>
      </c>
      <c r="DC3704">
        <v>0</v>
      </c>
      <c r="DD3704">
        <v>0</v>
      </c>
      <c r="DE3704">
        <v>0</v>
      </c>
      <c r="DF3704">
        <v>0</v>
      </c>
      <c r="DG3704">
        <v>0</v>
      </c>
      <c r="DH3704">
        <v>0</v>
      </c>
      <c r="DI3704">
        <v>0</v>
      </c>
    </row>
    <row r="3705" spans="1:113" x14ac:dyDescent="0.3">
      <c r="A3705" t="str">
        <f>"02/08/2021 20:34:58.398"</f>
        <v>02/08/2021 20:34:58.398</v>
      </c>
      <c r="C3705" t="str">
        <f t="shared" si="185"/>
        <v>FFDFD7C0</v>
      </c>
      <c r="D3705" t="s">
        <v>113</v>
      </c>
      <c r="E3705">
        <v>6</v>
      </c>
      <c r="H3705">
        <v>165</v>
      </c>
      <c r="I3705" t="s">
        <v>114</v>
      </c>
      <c r="J3705" t="s">
        <v>115</v>
      </c>
      <c r="K3705">
        <v>0</v>
      </c>
      <c r="L3705">
        <v>3</v>
      </c>
      <c r="M3705">
        <v>0</v>
      </c>
      <c r="N3705">
        <v>2</v>
      </c>
      <c r="O3705">
        <v>1</v>
      </c>
      <c r="P3705">
        <v>0</v>
      </c>
      <c r="Q3705">
        <v>0</v>
      </c>
      <c r="S3705" t="str">
        <f>"20:35:00.719"</f>
        <v>20:35:00.719</v>
      </c>
      <c r="T3705" t="str">
        <f>"20:34:59.219"</f>
        <v>20:34:59.219</v>
      </c>
      <c r="U3705" t="str">
        <f t="shared" si="184"/>
        <v>AB01F4</v>
      </c>
      <c r="V3705">
        <v>0</v>
      </c>
      <c r="W3705">
        <v>0</v>
      </c>
      <c r="X3705">
        <v>2</v>
      </c>
      <c r="Z3705">
        <v>0</v>
      </c>
      <c r="AA3705">
        <v>9</v>
      </c>
      <c r="AB3705">
        <v>3</v>
      </c>
      <c r="AC3705">
        <v>0</v>
      </c>
      <c r="AD3705">
        <v>10</v>
      </c>
      <c r="AE3705">
        <v>0</v>
      </c>
      <c r="AF3705">
        <v>3</v>
      </c>
      <c r="AG3705">
        <v>2</v>
      </c>
      <c r="AH3705">
        <v>0</v>
      </c>
      <c r="AI3705" t="s">
        <v>2101</v>
      </c>
      <c r="AJ3705">
        <v>40.114882000000001</v>
      </c>
      <c r="AK3705" t="s">
        <v>2102</v>
      </c>
      <c r="AL3705">
        <v>-93.036325000000005</v>
      </c>
      <c r="AM3705">
        <v>100</v>
      </c>
      <c r="AN3705">
        <v>1300</v>
      </c>
      <c r="AO3705" t="s">
        <v>118</v>
      </c>
      <c r="AP3705">
        <v>-113</v>
      </c>
      <c r="AQ3705">
        <v>61</v>
      </c>
      <c r="AR3705">
        <v>0</v>
      </c>
      <c r="AZ3705">
        <v>1200</v>
      </c>
      <c r="BA3705">
        <v>1</v>
      </c>
      <c r="BB3705" t="str">
        <f t="shared" si="186"/>
        <v xml:space="preserve">N8080G  </v>
      </c>
      <c r="BC3705">
        <v>1</v>
      </c>
      <c r="BE3705">
        <v>0</v>
      </c>
      <c r="BF3705">
        <v>0</v>
      </c>
      <c r="BG3705">
        <v>0</v>
      </c>
      <c r="BH3705">
        <v>1350</v>
      </c>
      <c r="BI3705">
        <v>1</v>
      </c>
      <c r="BJ3705">
        <v>1</v>
      </c>
      <c r="BK3705">
        <v>1</v>
      </c>
      <c r="BL3705">
        <v>0</v>
      </c>
      <c r="BO3705">
        <v>0</v>
      </c>
      <c r="BP3705">
        <v>0</v>
      </c>
      <c r="BW3705" t="str">
        <f>"20:35:00.726"</f>
        <v>20:35:00.726</v>
      </c>
      <c r="BZ3705">
        <v>0</v>
      </c>
      <c r="CA3705">
        <v>1600</v>
      </c>
      <c r="CB3705">
        <v>224</v>
      </c>
      <c r="CD3705">
        <v>1</v>
      </c>
      <c r="CE3705">
        <v>0</v>
      </c>
      <c r="CF3705">
        <v>0</v>
      </c>
      <c r="CG3705">
        <v>1</v>
      </c>
      <c r="CH3705">
        <v>0</v>
      </c>
      <c r="CI3705">
        <v>0</v>
      </c>
      <c r="CJ3705">
        <v>0</v>
      </c>
      <c r="CK3705">
        <v>2</v>
      </c>
      <c r="CL3705">
        <v>0</v>
      </c>
      <c r="CM3705">
        <v>2</v>
      </c>
      <c r="CN3705">
        <v>0</v>
      </c>
      <c r="CO3705">
        <v>1</v>
      </c>
      <c r="CP3705" t="s">
        <v>119</v>
      </c>
      <c r="CQ3705">
        <v>179</v>
      </c>
      <c r="CR3705">
        <v>2</v>
      </c>
      <c r="CW3705">
        <v>12507846</v>
      </c>
      <c r="CY3705">
        <v>1</v>
      </c>
      <c r="CZ3705">
        <v>0</v>
      </c>
      <c r="DA3705">
        <v>1</v>
      </c>
      <c r="DB3705">
        <v>0</v>
      </c>
      <c r="DC3705">
        <v>0</v>
      </c>
      <c r="DD3705">
        <v>0</v>
      </c>
      <c r="DE3705">
        <v>0</v>
      </c>
      <c r="DF3705">
        <v>0</v>
      </c>
      <c r="DG3705">
        <v>0</v>
      </c>
      <c r="DH3705">
        <v>0</v>
      </c>
      <c r="DI3705">
        <v>0</v>
      </c>
    </row>
    <row r="3706" spans="1:113" x14ac:dyDescent="0.3">
      <c r="A3706" t="str">
        <f>"02/08/2021 20:34:58.398"</f>
        <v>02/08/2021 20:34:58.398</v>
      </c>
      <c r="C3706" t="str">
        <f t="shared" si="185"/>
        <v>FFDFD7C0</v>
      </c>
      <c r="D3706" t="s">
        <v>124</v>
      </c>
      <c r="E3706">
        <v>11</v>
      </c>
      <c r="F3706">
        <v>1011</v>
      </c>
      <c r="G3706" t="s">
        <v>590</v>
      </c>
      <c r="J3706" t="s">
        <v>125</v>
      </c>
      <c r="K3706">
        <v>0</v>
      </c>
      <c r="L3706">
        <v>3</v>
      </c>
      <c r="M3706">
        <v>0</v>
      </c>
      <c r="N3706">
        <v>2</v>
      </c>
      <c r="O3706">
        <v>1</v>
      </c>
      <c r="P3706">
        <v>0</v>
      </c>
      <c r="Q3706">
        <v>0</v>
      </c>
      <c r="S3706" t="str">
        <f>"20:35:00.719"</f>
        <v>20:35:00.719</v>
      </c>
      <c r="T3706" t="str">
        <f>"20:34:59.219"</f>
        <v>20:34:59.219</v>
      </c>
      <c r="U3706" t="str">
        <f t="shared" si="184"/>
        <v>AB01F4</v>
      </c>
      <c r="V3706">
        <v>0</v>
      </c>
      <c r="W3706">
        <v>0</v>
      </c>
      <c r="X3706">
        <v>2</v>
      </c>
      <c r="Z3706">
        <v>0</v>
      </c>
      <c r="AA3706">
        <v>9</v>
      </c>
      <c r="AB3706">
        <v>3</v>
      </c>
      <c r="AC3706">
        <v>0</v>
      </c>
      <c r="AD3706">
        <v>10</v>
      </c>
      <c r="AE3706">
        <v>0</v>
      </c>
      <c r="AF3706">
        <v>3</v>
      </c>
      <c r="AG3706">
        <v>2</v>
      </c>
      <c r="AH3706">
        <v>0</v>
      </c>
      <c r="AI3706" t="s">
        <v>2101</v>
      </c>
      <c r="AJ3706">
        <v>40.114882000000001</v>
      </c>
      <c r="AK3706" t="s">
        <v>2102</v>
      </c>
      <c r="AL3706">
        <v>-93.036325000000005</v>
      </c>
      <c r="AM3706">
        <v>100</v>
      </c>
      <c r="AN3706">
        <v>1300</v>
      </c>
      <c r="AO3706" t="s">
        <v>118</v>
      </c>
      <c r="AP3706">
        <v>-113</v>
      </c>
      <c r="AQ3706">
        <v>61</v>
      </c>
      <c r="AR3706">
        <v>0</v>
      </c>
      <c r="AZ3706">
        <v>1200</v>
      </c>
      <c r="BA3706">
        <v>1</v>
      </c>
      <c r="BB3706" t="str">
        <f t="shared" si="186"/>
        <v xml:space="preserve">N8080G  </v>
      </c>
      <c r="BC3706">
        <v>1</v>
      </c>
      <c r="BE3706">
        <v>0</v>
      </c>
      <c r="BF3706">
        <v>0</v>
      </c>
      <c r="BG3706">
        <v>0</v>
      </c>
      <c r="BH3706">
        <v>1350</v>
      </c>
      <c r="BI3706">
        <v>1</v>
      </c>
      <c r="BJ3706">
        <v>1</v>
      </c>
      <c r="BK3706">
        <v>1</v>
      </c>
      <c r="BL3706">
        <v>0</v>
      </c>
      <c r="BO3706">
        <v>0</v>
      </c>
      <c r="BP3706">
        <v>0</v>
      </c>
      <c r="BW3706" t="str">
        <f>"20:35:00.726"</f>
        <v>20:35:00.726</v>
      </c>
      <c r="BZ3706">
        <v>0</v>
      </c>
      <c r="CA3706">
        <v>1600</v>
      </c>
      <c r="CB3706">
        <v>224</v>
      </c>
      <c r="CD3706">
        <v>1</v>
      </c>
      <c r="CE3706">
        <v>0</v>
      </c>
      <c r="CF3706">
        <v>0</v>
      </c>
      <c r="CG3706">
        <v>1</v>
      </c>
      <c r="CH3706">
        <v>0</v>
      </c>
      <c r="CI3706">
        <v>0</v>
      </c>
      <c r="CJ3706">
        <v>0</v>
      </c>
      <c r="CK3706">
        <v>2</v>
      </c>
      <c r="CL3706">
        <v>0</v>
      </c>
      <c r="CM3706">
        <v>2</v>
      </c>
      <c r="CN3706">
        <v>0</v>
      </c>
      <c r="CO3706">
        <v>1</v>
      </c>
      <c r="CP3706" t="s">
        <v>119</v>
      </c>
      <c r="CQ3706">
        <v>179</v>
      </c>
      <c r="CR3706">
        <v>2</v>
      </c>
      <c r="CW3706">
        <v>12507846</v>
      </c>
      <c r="CY3706">
        <v>1</v>
      </c>
      <c r="CZ3706">
        <v>0</v>
      </c>
      <c r="DA3706">
        <v>1</v>
      </c>
      <c r="DB3706">
        <v>0</v>
      </c>
      <c r="DC3706">
        <v>0</v>
      </c>
      <c r="DD3706">
        <v>0</v>
      </c>
      <c r="DE3706">
        <v>0</v>
      </c>
      <c r="DF3706">
        <v>0</v>
      </c>
      <c r="DG3706">
        <v>0</v>
      </c>
      <c r="DH3706">
        <v>0</v>
      </c>
      <c r="DI3706">
        <v>0</v>
      </c>
    </row>
    <row r="3707" spans="1:113" x14ac:dyDescent="0.3">
      <c r="A3707" t="str">
        <f>"02/08/2021 20:34:59.383"</f>
        <v>02/08/2021 20:34:59.383</v>
      </c>
      <c r="C3707" t="str">
        <f t="shared" si="185"/>
        <v>FFDFD7C0</v>
      </c>
      <c r="D3707" t="s">
        <v>124</v>
      </c>
      <c r="E3707">
        <v>12</v>
      </c>
      <c r="F3707">
        <v>1012</v>
      </c>
      <c r="G3707" t="s">
        <v>675</v>
      </c>
      <c r="J3707" t="s">
        <v>125</v>
      </c>
      <c r="K3707">
        <v>0</v>
      </c>
      <c r="L3707">
        <v>3</v>
      </c>
      <c r="M3707">
        <v>0</v>
      </c>
      <c r="N3707">
        <v>2</v>
      </c>
      <c r="O3707">
        <v>1</v>
      </c>
      <c r="P3707">
        <v>0</v>
      </c>
      <c r="Q3707">
        <v>0</v>
      </c>
      <c r="S3707" t="str">
        <f>"20:35:01.703"</f>
        <v>20:35:01.703</v>
      </c>
      <c r="T3707" t="str">
        <f>"20:35:01.303"</f>
        <v>20:35:01.303</v>
      </c>
      <c r="U3707" t="str">
        <f t="shared" si="184"/>
        <v>AB01F4</v>
      </c>
      <c r="V3707">
        <v>0</v>
      </c>
      <c r="W3707">
        <v>0</v>
      </c>
      <c r="X3707">
        <v>2</v>
      </c>
      <c r="Z3707">
        <v>0</v>
      </c>
      <c r="AA3707">
        <v>9</v>
      </c>
      <c r="AB3707">
        <v>3</v>
      </c>
      <c r="AC3707">
        <v>0</v>
      </c>
      <c r="AD3707">
        <v>10</v>
      </c>
      <c r="AE3707">
        <v>0</v>
      </c>
      <c r="AF3707">
        <v>3</v>
      </c>
      <c r="AG3707">
        <v>2</v>
      </c>
      <c r="AH3707">
        <v>0</v>
      </c>
      <c r="AI3707" t="s">
        <v>2103</v>
      </c>
      <c r="AJ3707">
        <v>40.115138999999999</v>
      </c>
      <c r="AK3707" t="s">
        <v>2104</v>
      </c>
      <c r="AL3707">
        <v>-93.036968999999999</v>
      </c>
      <c r="AM3707">
        <v>100</v>
      </c>
      <c r="AN3707">
        <v>1300</v>
      </c>
      <c r="AO3707" t="s">
        <v>118</v>
      </c>
      <c r="AP3707">
        <v>-114</v>
      </c>
      <c r="AQ3707">
        <v>61</v>
      </c>
      <c r="AR3707">
        <v>0</v>
      </c>
      <c r="AZ3707">
        <v>1200</v>
      </c>
      <c r="BA3707">
        <v>1</v>
      </c>
      <c r="BB3707" t="str">
        <f t="shared" si="186"/>
        <v xml:space="preserve">N8080G  </v>
      </c>
      <c r="BC3707">
        <v>1</v>
      </c>
      <c r="BE3707">
        <v>0</v>
      </c>
      <c r="BF3707">
        <v>0</v>
      </c>
      <c r="BG3707">
        <v>0</v>
      </c>
      <c r="BH3707">
        <v>1350</v>
      </c>
      <c r="BI3707">
        <v>1</v>
      </c>
      <c r="BJ3707">
        <v>1</v>
      </c>
      <c r="BK3707">
        <v>1</v>
      </c>
      <c r="BL3707">
        <v>0</v>
      </c>
      <c r="BO3707">
        <v>0</v>
      </c>
      <c r="BP3707">
        <v>0</v>
      </c>
      <c r="BW3707" t="str">
        <f>"20:35:01.710"</f>
        <v>20:35:01.710</v>
      </c>
      <c r="BZ3707">
        <v>0</v>
      </c>
      <c r="CA3707">
        <v>1600</v>
      </c>
      <c r="CB3707">
        <v>224</v>
      </c>
      <c r="CD3707">
        <v>1</v>
      </c>
      <c r="CE3707">
        <v>0</v>
      </c>
      <c r="CF3707">
        <v>0</v>
      </c>
      <c r="CG3707">
        <v>1</v>
      </c>
      <c r="CH3707">
        <v>0</v>
      </c>
      <c r="CI3707">
        <v>0</v>
      </c>
      <c r="CJ3707">
        <v>0</v>
      </c>
      <c r="CK3707">
        <v>2</v>
      </c>
      <c r="CL3707">
        <v>0</v>
      </c>
      <c r="CM3707">
        <v>2</v>
      </c>
      <c r="CN3707">
        <v>0</v>
      </c>
      <c r="CO3707">
        <v>6</v>
      </c>
      <c r="CP3707" t="s">
        <v>119</v>
      </c>
      <c r="CQ3707">
        <v>180</v>
      </c>
      <c r="CR3707">
        <v>2</v>
      </c>
      <c r="CW3707">
        <v>8910340</v>
      </c>
      <c r="CY3707">
        <v>1</v>
      </c>
      <c r="CZ3707">
        <v>0</v>
      </c>
      <c r="DA3707">
        <v>0</v>
      </c>
      <c r="DB3707">
        <v>0</v>
      </c>
      <c r="DC3707">
        <v>0</v>
      </c>
      <c r="DD3707">
        <v>0</v>
      </c>
      <c r="DE3707">
        <v>0</v>
      </c>
      <c r="DF3707">
        <v>0</v>
      </c>
      <c r="DG3707">
        <v>0</v>
      </c>
      <c r="DH3707">
        <v>0</v>
      </c>
      <c r="DI3707">
        <v>0</v>
      </c>
    </row>
    <row r="3708" spans="1:113" x14ac:dyDescent="0.3">
      <c r="A3708" t="str">
        <f>"02/08/2021 20:34:59.383"</f>
        <v>02/08/2021 20:34:59.383</v>
      </c>
      <c r="C3708" t="str">
        <f t="shared" si="185"/>
        <v>FFDFD7C0</v>
      </c>
      <c r="D3708" t="s">
        <v>113</v>
      </c>
      <c r="E3708">
        <v>6</v>
      </c>
      <c r="H3708">
        <v>165</v>
      </c>
      <c r="I3708" t="s">
        <v>114</v>
      </c>
      <c r="J3708" t="s">
        <v>115</v>
      </c>
      <c r="K3708">
        <v>0</v>
      </c>
      <c r="L3708">
        <v>3</v>
      </c>
      <c r="M3708">
        <v>0</v>
      </c>
      <c r="N3708">
        <v>2</v>
      </c>
      <c r="O3708">
        <v>1</v>
      </c>
      <c r="P3708">
        <v>0</v>
      </c>
      <c r="Q3708">
        <v>0</v>
      </c>
      <c r="S3708" t="str">
        <f>"20:35:01.703"</f>
        <v>20:35:01.703</v>
      </c>
      <c r="T3708" t="str">
        <f>"20:35:01.303"</f>
        <v>20:35:01.303</v>
      </c>
      <c r="U3708" t="str">
        <f t="shared" si="184"/>
        <v>AB01F4</v>
      </c>
      <c r="V3708">
        <v>0</v>
      </c>
      <c r="W3708">
        <v>0</v>
      </c>
      <c r="X3708">
        <v>2</v>
      </c>
      <c r="Z3708">
        <v>0</v>
      </c>
      <c r="AA3708">
        <v>9</v>
      </c>
      <c r="AB3708">
        <v>3</v>
      </c>
      <c r="AC3708">
        <v>0</v>
      </c>
      <c r="AD3708">
        <v>10</v>
      </c>
      <c r="AE3708">
        <v>0</v>
      </c>
      <c r="AF3708">
        <v>3</v>
      </c>
      <c r="AG3708">
        <v>2</v>
      </c>
      <c r="AH3708">
        <v>0</v>
      </c>
      <c r="AI3708" t="s">
        <v>2103</v>
      </c>
      <c r="AJ3708">
        <v>40.115138999999999</v>
      </c>
      <c r="AK3708" t="s">
        <v>2104</v>
      </c>
      <c r="AL3708">
        <v>-93.036968999999999</v>
      </c>
      <c r="AM3708">
        <v>100</v>
      </c>
      <c r="AN3708">
        <v>1300</v>
      </c>
      <c r="AO3708" t="s">
        <v>118</v>
      </c>
      <c r="AP3708">
        <v>-114</v>
      </c>
      <c r="AQ3708">
        <v>61</v>
      </c>
      <c r="AR3708">
        <v>0</v>
      </c>
      <c r="AZ3708">
        <v>1200</v>
      </c>
      <c r="BA3708">
        <v>1</v>
      </c>
      <c r="BB3708" t="str">
        <f t="shared" si="186"/>
        <v xml:space="preserve">N8080G  </v>
      </c>
      <c r="BC3708">
        <v>1</v>
      </c>
      <c r="BE3708">
        <v>0</v>
      </c>
      <c r="BF3708">
        <v>0</v>
      </c>
      <c r="BG3708">
        <v>0</v>
      </c>
      <c r="BH3708">
        <v>1350</v>
      </c>
      <c r="BI3708">
        <v>1</v>
      </c>
      <c r="BJ3708">
        <v>1</v>
      </c>
      <c r="BK3708">
        <v>1</v>
      </c>
      <c r="BL3708">
        <v>0</v>
      </c>
      <c r="BO3708">
        <v>0</v>
      </c>
      <c r="BP3708">
        <v>0</v>
      </c>
      <c r="BW3708" t="str">
        <f>"20:35:01.710"</f>
        <v>20:35:01.710</v>
      </c>
      <c r="BZ3708">
        <v>0</v>
      </c>
      <c r="CA3708">
        <v>1600</v>
      </c>
      <c r="CB3708">
        <v>224</v>
      </c>
      <c r="CD3708">
        <v>1</v>
      </c>
      <c r="CE3708">
        <v>0</v>
      </c>
      <c r="CF3708">
        <v>0</v>
      </c>
      <c r="CG3708">
        <v>1</v>
      </c>
      <c r="CH3708">
        <v>0</v>
      </c>
      <c r="CI3708">
        <v>0</v>
      </c>
      <c r="CJ3708">
        <v>0</v>
      </c>
      <c r="CK3708">
        <v>2</v>
      </c>
      <c r="CL3708">
        <v>0</v>
      </c>
      <c r="CM3708">
        <v>2</v>
      </c>
      <c r="CN3708">
        <v>0</v>
      </c>
      <c r="CO3708">
        <v>6</v>
      </c>
      <c r="CP3708" t="s">
        <v>119</v>
      </c>
      <c r="CQ3708">
        <v>180</v>
      </c>
      <c r="CR3708">
        <v>2</v>
      </c>
      <c r="CW3708">
        <v>8910340</v>
      </c>
      <c r="CY3708">
        <v>1</v>
      </c>
      <c r="CZ3708">
        <v>0</v>
      </c>
      <c r="DA3708">
        <v>1</v>
      </c>
      <c r="DB3708">
        <v>0</v>
      </c>
      <c r="DC3708">
        <v>0</v>
      </c>
      <c r="DD3708">
        <v>0</v>
      </c>
      <c r="DE3708">
        <v>0</v>
      </c>
      <c r="DF3708">
        <v>0</v>
      </c>
      <c r="DG3708">
        <v>0</v>
      </c>
      <c r="DH3708">
        <v>0</v>
      </c>
      <c r="DI3708">
        <v>0</v>
      </c>
    </row>
    <row r="3709" spans="1:113" x14ac:dyDescent="0.3">
      <c r="A3709" t="str">
        <f>"02/08/2021 20:34:59.383"</f>
        <v>02/08/2021 20:34:59.383</v>
      </c>
      <c r="C3709" t="str">
        <f t="shared" si="185"/>
        <v>FFDFD7C0</v>
      </c>
      <c r="D3709" t="s">
        <v>124</v>
      </c>
      <c r="E3709">
        <v>11</v>
      </c>
      <c r="F3709">
        <v>1011</v>
      </c>
      <c r="G3709" t="s">
        <v>590</v>
      </c>
      <c r="J3709" t="s">
        <v>125</v>
      </c>
      <c r="K3709">
        <v>0</v>
      </c>
      <c r="L3709">
        <v>3</v>
      </c>
      <c r="M3709">
        <v>0</v>
      </c>
      <c r="N3709">
        <v>2</v>
      </c>
      <c r="O3709">
        <v>1</v>
      </c>
      <c r="P3709">
        <v>0</v>
      </c>
      <c r="Q3709">
        <v>0</v>
      </c>
      <c r="S3709" t="str">
        <f>"20:35:01.703"</f>
        <v>20:35:01.703</v>
      </c>
      <c r="T3709" t="str">
        <f>"20:35:01.303"</f>
        <v>20:35:01.303</v>
      </c>
      <c r="U3709" t="str">
        <f t="shared" si="184"/>
        <v>AB01F4</v>
      </c>
      <c r="V3709">
        <v>0</v>
      </c>
      <c r="W3709">
        <v>0</v>
      </c>
      <c r="X3709">
        <v>2</v>
      </c>
      <c r="Z3709">
        <v>0</v>
      </c>
      <c r="AA3709">
        <v>9</v>
      </c>
      <c r="AB3709">
        <v>3</v>
      </c>
      <c r="AC3709">
        <v>0</v>
      </c>
      <c r="AD3709">
        <v>10</v>
      </c>
      <c r="AE3709">
        <v>0</v>
      </c>
      <c r="AF3709">
        <v>3</v>
      </c>
      <c r="AG3709">
        <v>2</v>
      </c>
      <c r="AH3709">
        <v>0</v>
      </c>
      <c r="AI3709" t="s">
        <v>2103</v>
      </c>
      <c r="AJ3709">
        <v>40.115138999999999</v>
      </c>
      <c r="AK3709" t="s">
        <v>2104</v>
      </c>
      <c r="AL3709">
        <v>-93.036968999999999</v>
      </c>
      <c r="AM3709">
        <v>100</v>
      </c>
      <c r="AN3709">
        <v>1300</v>
      </c>
      <c r="AO3709" t="s">
        <v>118</v>
      </c>
      <c r="AP3709">
        <v>-114</v>
      </c>
      <c r="AQ3709">
        <v>61</v>
      </c>
      <c r="AR3709">
        <v>0</v>
      </c>
      <c r="AZ3709">
        <v>1200</v>
      </c>
      <c r="BA3709">
        <v>1</v>
      </c>
      <c r="BB3709" t="str">
        <f t="shared" si="186"/>
        <v xml:space="preserve">N8080G  </v>
      </c>
      <c r="BC3709">
        <v>1</v>
      </c>
      <c r="BE3709">
        <v>0</v>
      </c>
      <c r="BF3709">
        <v>0</v>
      </c>
      <c r="BG3709">
        <v>0</v>
      </c>
      <c r="BH3709">
        <v>1350</v>
      </c>
      <c r="BI3709">
        <v>1</v>
      </c>
      <c r="BJ3709">
        <v>1</v>
      </c>
      <c r="BK3709">
        <v>1</v>
      </c>
      <c r="BL3709">
        <v>0</v>
      </c>
      <c r="BO3709">
        <v>0</v>
      </c>
      <c r="BP3709">
        <v>0</v>
      </c>
      <c r="BW3709" t="str">
        <f>"20:35:01.710"</f>
        <v>20:35:01.710</v>
      </c>
      <c r="BZ3709">
        <v>0</v>
      </c>
      <c r="CA3709">
        <v>1600</v>
      </c>
      <c r="CB3709">
        <v>224</v>
      </c>
      <c r="CD3709">
        <v>1</v>
      </c>
      <c r="CE3709">
        <v>0</v>
      </c>
      <c r="CF3709">
        <v>0</v>
      </c>
      <c r="CG3709">
        <v>1</v>
      </c>
      <c r="CH3709">
        <v>0</v>
      </c>
      <c r="CI3709">
        <v>0</v>
      </c>
      <c r="CJ3709">
        <v>0</v>
      </c>
      <c r="CK3709">
        <v>2</v>
      </c>
      <c r="CL3709">
        <v>0</v>
      </c>
      <c r="CM3709">
        <v>2</v>
      </c>
      <c r="CN3709">
        <v>0</v>
      </c>
      <c r="CO3709">
        <v>6</v>
      </c>
      <c r="CP3709" t="s">
        <v>119</v>
      </c>
      <c r="CQ3709">
        <v>180</v>
      </c>
      <c r="CR3709">
        <v>2</v>
      </c>
      <c r="CW3709">
        <v>8910340</v>
      </c>
      <c r="CY3709">
        <v>1</v>
      </c>
      <c r="CZ3709">
        <v>0</v>
      </c>
      <c r="DA3709">
        <v>1</v>
      </c>
      <c r="DB3709">
        <v>0</v>
      </c>
      <c r="DC3709">
        <v>0</v>
      </c>
      <c r="DD3709">
        <v>0</v>
      </c>
      <c r="DE3709">
        <v>0</v>
      </c>
      <c r="DF3709">
        <v>0</v>
      </c>
      <c r="DG3709">
        <v>0</v>
      </c>
      <c r="DH3709">
        <v>0</v>
      </c>
      <c r="DI3709">
        <v>0</v>
      </c>
    </row>
    <row r="3710" spans="1:113" x14ac:dyDescent="0.3">
      <c r="A3710" t="str">
        <f>"02/08/2021 20:34:59.383"</f>
        <v>02/08/2021 20:34:59.383</v>
      </c>
      <c r="C3710" t="str">
        <f t="shared" si="185"/>
        <v>FFDFD7C0</v>
      </c>
      <c r="D3710" t="s">
        <v>124</v>
      </c>
      <c r="E3710">
        <v>13</v>
      </c>
      <c r="F3710">
        <v>1013</v>
      </c>
      <c r="G3710" t="s">
        <v>114</v>
      </c>
      <c r="J3710" t="s">
        <v>125</v>
      </c>
      <c r="K3710">
        <v>0</v>
      </c>
      <c r="L3710">
        <v>3</v>
      </c>
      <c r="M3710">
        <v>0</v>
      </c>
      <c r="N3710">
        <v>2</v>
      </c>
      <c r="O3710">
        <v>1</v>
      </c>
      <c r="P3710">
        <v>0</v>
      </c>
      <c r="Q3710">
        <v>0</v>
      </c>
      <c r="S3710" t="str">
        <f>"20:35:01.703"</f>
        <v>20:35:01.703</v>
      </c>
      <c r="T3710" t="str">
        <f>"20:35:01.303"</f>
        <v>20:35:01.303</v>
      </c>
      <c r="U3710" t="str">
        <f t="shared" si="184"/>
        <v>AB01F4</v>
      </c>
      <c r="V3710">
        <v>0</v>
      </c>
      <c r="W3710">
        <v>0</v>
      </c>
      <c r="X3710">
        <v>2</v>
      </c>
      <c r="Z3710">
        <v>0</v>
      </c>
      <c r="AA3710">
        <v>9</v>
      </c>
      <c r="AB3710">
        <v>3</v>
      </c>
      <c r="AC3710">
        <v>0</v>
      </c>
      <c r="AD3710">
        <v>10</v>
      </c>
      <c r="AE3710">
        <v>0</v>
      </c>
      <c r="AF3710">
        <v>3</v>
      </c>
      <c r="AG3710">
        <v>2</v>
      </c>
      <c r="AH3710">
        <v>0</v>
      </c>
      <c r="AI3710" t="s">
        <v>2103</v>
      </c>
      <c r="AJ3710">
        <v>40.115138999999999</v>
      </c>
      <c r="AK3710" t="s">
        <v>2104</v>
      </c>
      <c r="AL3710">
        <v>-93.036968999999999</v>
      </c>
      <c r="AM3710">
        <v>100</v>
      </c>
      <c r="AN3710">
        <v>1300</v>
      </c>
      <c r="AO3710" t="s">
        <v>118</v>
      </c>
      <c r="AP3710">
        <v>-114</v>
      </c>
      <c r="AQ3710">
        <v>61</v>
      </c>
      <c r="AR3710">
        <v>0</v>
      </c>
      <c r="AZ3710">
        <v>1200</v>
      </c>
      <c r="BA3710">
        <v>1</v>
      </c>
      <c r="BB3710" t="str">
        <f t="shared" si="186"/>
        <v xml:space="preserve">N8080G  </v>
      </c>
      <c r="BC3710">
        <v>1</v>
      </c>
      <c r="BE3710">
        <v>0</v>
      </c>
      <c r="BF3710">
        <v>0</v>
      </c>
      <c r="BG3710">
        <v>0</v>
      </c>
      <c r="BH3710">
        <v>1350</v>
      </c>
      <c r="BI3710">
        <v>1</v>
      </c>
      <c r="BJ3710">
        <v>1</v>
      </c>
      <c r="BK3710">
        <v>1</v>
      </c>
      <c r="BL3710">
        <v>0</v>
      </c>
      <c r="BO3710">
        <v>0</v>
      </c>
      <c r="BP3710">
        <v>0</v>
      </c>
      <c r="BW3710" t="str">
        <f>"20:35:01.710"</f>
        <v>20:35:01.710</v>
      </c>
      <c r="BZ3710">
        <v>0</v>
      </c>
      <c r="CA3710">
        <v>1600</v>
      </c>
      <c r="CB3710">
        <v>224</v>
      </c>
      <c r="CD3710">
        <v>1</v>
      </c>
      <c r="CE3710">
        <v>0</v>
      </c>
      <c r="CF3710">
        <v>0</v>
      </c>
      <c r="CG3710">
        <v>1</v>
      </c>
      <c r="CH3710">
        <v>0</v>
      </c>
      <c r="CI3710">
        <v>0</v>
      </c>
      <c r="CJ3710">
        <v>0</v>
      </c>
      <c r="CK3710">
        <v>2</v>
      </c>
      <c r="CL3710">
        <v>0</v>
      </c>
      <c r="CM3710">
        <v>2</v>
      </c>
      <c r="CN3710">
        <v>0</v>
      </c>
      <c r="CO3710">
        <v>6</v>
      </c>
      <c r="CP3710" t="s">
        <v>119</v>
      </c>
      <c r="CQ3710">
        <v>180</v>
      </c>
      <c r="CR3710">
        <v>2</v>
      </c>
      <c r="CW3710">
        <v>8910340</v>
      </c>
      <c r="CY3710">
        <v>1</v>
      </c>
      <c r="CZ3710">
        <v>0</v>
      </c>
      <c r="DA3710">
        <v>1</v>
      </c>
      <c r="DB3710">
        <v>0</v>
      </c>
      <c r="DC3710">
        <v>0</v>
      </c>
      <c r="DD3710">
        <v>0</v>
      </c>
      <c r="DE3710">
        <v>0</v>
      </c>
      <c r="DF3710">
        <v>0</v>
      </c>
      <c r="DG3710">
        <v>0</v>
      </c>
      <c r="DH3710">
        <v>0</v>
      </c>
      <c r="DI3710">
        <v>0</v>
      </c>
    </row>
    <row r="3711" spans="1:113" x14ac:dyDescent="0.3">
      <c r="A3711" t="str">
        <f>"02/08/2021 20:35:00.855"</f>
        <v>02/08/2021 20:35:00.855</v>
      </c>
      <c r="C3711" t="str">
        <f t="shared" si="185"/>
        <v>FFDFD7C0</v>
      </c>
      <c r="D3711" t="s">
        <v>113</v>
      </c>
      <c r="E3711">
        <v>6</v>
      </c>
      <c r="H3711">
        <v>165</v>
      </c>
      <c r="I3711" t="s">
        <v>114</v>
      </c>
      <c r="J3711" t="s">
        <v>115</v>
      </c>
      <c r="K3711">
        <v>0</v>
      </c>
      <c r="L3711">
        <v>3</v>
      </c>
      <c r="M3711">
        <v>0</v>
      </c>
      <c r="N3711">
        <v>2</v>
      </c>
      <c r="O3711">
        <v>1</v>
      </c>
      <c r="P3711">
        <v>0</v>
      </c>
      <c r="Q3711">
        <v>0</v>
      </c>
      <c r="S3711" t="str">
        <f>"20:35:03.195"</f>
        <v>20:35:03.195</v>
      </c>
      <c r="T3711" t="str">
        <f>"20:35:02.795"</f>
        <v>20:35:02.795</v>
      </c>
      <c r="U3711" t="str">
        <f t="shared" si="184"/>
        <v>AB01F4</v>
      </c>
      <c r="V3711">
        <v>0</v>
      </c>
      <c r="W3711">
        <v>0</v>
      </c>
      <c r="X3711">
        <v>2</v>
      </c>
      <c r="Z3711">
        <v>0</v>
      </c>
      <c r="AA3711">
        <v>9</v>
      </c>
      <c r="AB3711">
        <v>3</v>
      </c>
      <c r="AC3711">
        <v>0</v>
      </c>
      <c r="AD3711">
        <v>10</v>
      </c>
      <c r="AE3711">
        <v>0</v>
      </c>
      <c r="AF3711">
        <v>3</v>
      </c>
      <c r="AG3711">
        <v>2</v>
      </c>
      <c r="AH3711">
        <v>0</v>
      </c>
      <c r="AI3711" t="s">
        <v>2105</v>
      </c>
      <c r="AJ3711">
        <v>40.115569000000001</v>
      </c>
      <c r="AK3711" t="s">
        <v>2106</v>
      </c>
      <c r="AL3711">
        <v>-93.037955999999994</v>
      </c>
      <c r="AM3711">
        <v>100</v>
      </c>
      <c r="AN3711">
        <v>1300</v>
      </c>
      <c r="AO3711" t="s">
        <v>118</v>
      </c>
      <c r="AP3711">
        <v>-114</v>
      </c>
      <c r="AQ3711">
        <v>61</v>
      </c>
      <c r="AR3711">
        <v>64</v>
      </c>
      <c r="AZ3711">
        <v>1200</v>
      </c>
      <c r="BA3711">
        <v>1</v>
      </c>
      <c r="BB3711" t="str">
        <f t="shared" si="186"/>
        <v xml:space="preserve">N8080G  </v>
      </c>
      <c r="BC3711">
        <v>1</v>
      </c>
      <c r="BE3711">
        <v>0</v>
      </c>
      <c r="BF3711">
        <v>0</v>
      </c>
      <c r="BG3711">
        <v>0</v>
      </c>
      <c r="BH3711">
        <v>1350</v>
      </c>
      <c r="BI3711">
        <v>1</v>
      </c>
      <c r="BJ3711">
        <v>1</v>
      </c>
      <c r="BK3711">
        <v>1</v>
      </c>
      <c r="BL3711">
        <v>0</v>
      </c>
      <c r="BO3711">
        <v>0</v>
      </c>
      <c r="BP3711">
        <v>0</v>
      </c>
      <c r="BW3711" t="str">
        <f>"20:35:03.203"</f>
        <v>20:35:03.203</v>
      </c>
      <c r="BZ3711">
        <v>0</v>
      </c>
      <c r="CA3711">
        <v>1600</v>
      </c>
      <c r="CB3711">
        <v>224</v>
      </c>
      <c r="CD3711">
        <v>1</v>
      </c>
      <c r="CE3711">
        <v>0</v>
      </c>
      <c r="CF3711">
        <v>0</v>
      </c>
      <c r="CG3711">
        <v>1</v>
      </c>
      <c r="CH3711">
        <v>0</v>
      </c>
      <c r="CI3711">
        <v>0</v>
      </c>
      <c r="CJ3711">
        <v>0</v>
      </c>
      <c r="CK3711">
        <v>2</v>
      </c>
      <c r="CL3711">
        <v>0</v>
      </c>
      <c r="CM3711">
        <v>2</v>
      </c>
      <c r="CN3711">
        <v>0</v>
      </c>
      <c r="CO3711">
        <v>6</v>
      </c>
      <c r="CP3711" t="s">
        <v>119</v>
      </c>
      <c r="CQ3711">
        <v>180</v>
      </c>
      <c r="CR3711">
        <v>3</v>
      </c>
      <c r="CW3711">
        <v>1243930</v>
      </c>
      <c r="CY3711">
        <v>1</v>
      </c>
      <c r="CZ3711">
        <v>0</v>
      </c>
      <c r="DA3711">
        <v>0</v>
      </c>
      <c r="DB3711">
        <v>0</v>
      </c>
      <c r="DC3711">
        <v>0</v>
      </c>
      <c r="DD3711">
        <v>0</v>
      </c>
      <c r="DE3711">
        <v>0</v>
      </c>
      <c r="DF3711">
        <v>0</v>
      </c>
      <c r="DG3711">
        <v>0</v>
      </c>
      <c r="DH3711">
        <v>0</v>
      </c>
      <c r="DI3711">
        <v>0</v>
      </c>
    </row>
    <row r="3712" spans="1:113" x14ac:dyDescent="0.3">
      <c r="A3712" t="str">
        <f>"02/08/2021 20:35:00.855"</f>
        <v>02/08/2021 20:35:00.855</v>
      </c>
      <c r="C3712" t="str">
        <f t="shared" si="185"/>
        <v>FFDFD7C0</v>
      </c>
      <c r="D3712" t="s">
        <v>124</v>
      </c>
      <c r="E3712">
        <v>13</v>
      </c>
      <c r="F3712">
        <v>1013</v>
      </c>
      <c r="G3712" t="s">
        <v>114</v>
      </c>
      <c r="J3712" t="s">
        <v>125</v>
      </c>
      <c r="K3712">
        <v>0</v>
      </c>
      <c r="L3712">
        <v>3</v>
      </c>
      <c r="M3712">
        <v>0</v>
      </c>
      <c r="N3712">
        <v>2</v>
      </c>
      <c r="O3712">
        <v>1</v>
      </c>
      <c r="P3712">
        <v>0</v>
      </c>
      <c r="Q3712">
        <v>0</v>
      </c>
      <c r="S3712" t="str">
        <f>"20:35:03.195"</f>
        <v>20:35:03.195</v>
      </c>
      <c r="T3712" t="str">
        <f>"20:35:02.795"</f>
        <v>20:35:02.795</v>
      </c>
      <c r="U3712" t="str">
        <f t="shared" si="184"/>
        <v>AB01F4</v>
      </c>
      <c r="V3712">
        <v>0</v>
      </c>
      <c r="W3712">
        <v>0</v>
      </c>
      <c r="X3712">
        <v>2</v>
      </c>
      <c r="Z3712">
        <v>0</v>
      </c>
      <c r="AA3712">
        <v>9</v>
      </c>
      <c r="AB3712">
        <v>3</v>
      </c>
      <c r="AC3712">
        <v>0</v>
      </c>
      <c r="AD3712">
        <v>10</v>
      </c>
      <c r="AE3712">
        <v>0</v>
      </c>
      <c r="AF3712">
        <v>3</v>
      </c>
      <c r="AG3712">
        <v>2</v>
      </c>
      <c r="AH3712">
        <v>0</v>
      </c>
      <c r="AI3712" t="s">
        <v>2105</v>
      </c>
      <c r="AJ3712">
        <v>40.115569000000001</v>
      </c>
      <c r="AK3712" t="s">
        <v>2106</v>
      </c>
      <c r="AL3712">
        <v>-93.037955999999994</v>
      </c>
      <c r="AM3712">
        <v>100</v>
      </c>
      <c r="AN3712">
        <v>1300</v>
      </c>
      <c r="AO3712" t="s">
        <v>118</v>
      </c>
      <c r="AP3712">
        <v>-114</v>
      </c>
      <c r="AQ3712">
        <v>61</v>
      </c>
      <c r="AR3712">
        <v>64</v>
      </c>
      <c r="AZ3712">
        <v>1200</v>
      </c>
      <c r="BA3712">
        <v>1</v>
      </c>
      <c r="BB3712" t="str">
        <f t="shared" si="186"/>
        <v xml:space="preserve">N8080G  </v>
      </c>
      <c r="BC3712">
        <v>1</v>
      </c>
      <c r="BE3712">
        <v>0</v>
      </c>
      <c r="BF3712">
        <v>0</v>
      </c>
      <c r="BG3712">
        <v>0</v>
      </c>
      <c r="BH3712">
        <v>1350</v>
      </c>
      <c r="BI3712">
        <v>1</v>
      </c>
      <c r="BJ3712">
        <v>1</v>
      </c>
      <c r="BK3712">
        <v>1</v>
      </c>
      <c r="BL3712">
        <v>0</v>
      </c>
      <c r="BO3712">
        <v>0</v>
      </c>
      <c r="BP3712">
        <v>0</v>
      </c>
      <c r="BW3712" t="str">
        <f>"20:35:03.203"</f>
        <v>20:35:03.203</v>
      </c>
      <c r="BZ3712">
        <v>0</v>
      </c>
      <c r="CA3712">
        <v>1600</v>
      </c>
      <c r="CB3712">
        <v>224</v>
      </c>
      <c r="CD3712">
        <v>1</v>
      </c>
      <c r="CE3712">
        <v>0</v>
      </c>
      <c r="CF3712">
        <v>0</v>
      </c>
      <c r="CG3712">
        <v>1</v>
      </c>
      <c r="CH3712">
        <v>0</v>
      </c>
      <c r="CI3712">
        <v>0</v>
      </c>
      <c r="CJ3712">
        <v>0</v>
      </c>
      <c r="CK3712">
        <v>2</v>
      </c>
      <c r="CL3712">
        <v>0</v>
      </c>
      <c r="CM3712">
        <v>2</v>
      </c>
      <c r="CN3712">
        <v>0</v>
      </c>
      <c r="CO3712">
        <v>6</v>
      </c>
      <c r="CP3712" t="s">
        <v>119</v>
      </c>
      <c r="CQ3712">
        <v>180</v>
      </c>
      <c r="CR3712">
        <v>3</v>
      </c>
      <c r="CW3712">
        <v>1243930</v>
      </c>
      <c r="CY3712">
        <v>1</v>
      </c>
      <c r="CZ3712">
        <v>0</v>
      </c>
      <c r="DA3712">
        <v>1</v>
      </c>
      <c r="DB3712">
        <v>0</v>
      </c>
      <c r="DC3712">
        <v>0</v>
      </c>
      <c r="DD3712">
        <v>0</v>
      </c>
      <c r="DE3712">
        <v>0</v>
      </c>
      <c r="DF3712">
        <v>0</v>
      </c>
      <c r="DG3712">
        <v>0</v>
      </c>
      <c r="DH3712">
        <v>0</v>
      </c>
      <c r="DI3712">
        <v>0</v>
      </c>
    </row>
    <row r="3713" spans="1:113" x14ac:dyDescent="0.3">
      <c r="A3713" t="str">
        <f>"02/08/2021 20:35:00.855"</f>
        <v>02/08/2021 20:35:00.855</v>
      </c>
      <c r="C3713" t="str">
        <f t="shared" si="185"/>
        <v>FFDFD7C0</v>
      </c>
      <c r="D3713" t="s">
        <v>124</v>
      </c>
      <c r="E3713">
        <v>11</v>
      </c>
      <c r="F3713">
        <v>1011</v>
      </c>
      <c r="G3713" t="s">
        <v>590</v>
      </c>
      <c r="J3713" t="s">
        <v>125</v>
      </c>
      <c r="K3713">
        <v>0</v>
      </c>
      <c r="L3713">
        <v>3</v>
      </c>
      <c r="M3713">
        <v>0</v>
      </c>
      <c r="N3713">
        <v>2</v>
      </c>
      <c r="O3713">
        <v>1</v>
      </c>
      <c r="P3713">
        <v>0</v>
      </c>
      <c r="Q3713">
        <v>0</v>
      </c>
      <c r="S3713" t="str">
        <f>"20:35:03.195"</f>
        <v>20:35:03.195</v>
      </c>
      <c r="T3713" t="str">
        <f>"20:35:02.795"</f>
        <v>20:35:02.795</v>
      </c>
      <c r="U3713" t="str">
        <f t="shared" si="184"/>
        <v>AB01F4</v>
      </c>
      <c r="V3713">
        <v>0</v>
      </c>
      <c r="W3713">
        <v>0</v>
      </c>
      <c r="X3713">
        <v>2</v>
      </c>
      <c r="Z3713">
        <v>0</v>
      </c>
      <c r="AA3713">
        <v>9</v>
      </c>
      <c r="AB3713">
        <v>3</v>
      </c>
      <c r="AC3713">
        <v>0</v>
      </c>
      <c r="AD3713">
        <v>10</v>
      </c>
      <c r="AE3713">
        <v>0</v>
      </c>
      <c r="AF3713">
        <v>3</v>
      </c>
      <c r="AG3713">
        <v>2</v>
      </c>
      <c r="AH3713">
        <v>0</v>
      </c>
      <c r="AI3713" t="s">
        <v>2105</v>
      </c>
      <c r="AJ3713">
        <v>40.115569000000001</v>
      </c>
      <c r="AK3713" t="s">
        <v>2106</v>
      </c>
      <c r="AL3713">
        <v>-93.037955999999994</v>
      </c>
      <c r="AM3713">
        <v>100</v>
      </c>
      <c r="AN3713">
        <v>1300</v>
      </c>
      <c r="AO3713" t="s">
        <v>118</v>
      </c>
      <c r="AP3713">
        <v>-114</v>
      </c>
      <c r="AQ3713">
        <v>61</v>
      </c>
      <c r="AR3713">
        <v>64</v>
      </c>
      <c r="AZ3713">
        <v>1200</v>
      </c>
      <c r="BA3713">
        <v>1</v>
      </c>
      <c r="BB3713" t="str">
        <f t="shared" si="186"/>
        <v xml:space="preserve">N8080G  </v>
      </c>
      <c r="BC3713">
        <v>1</v>
      </c>
      <c r="BE3713">
        <v>0</v>
      </c>
      <c r="BF3713">
        <v>0</v>
      </c>
      <c r="BG3713">
        <v>0</v>
      </c>
      <c r="BH3713">
        <v>1350</v>
      </c>
      <c r="BI3713">
        <v>1</v>
      </c>
      <c r="BJ3713">
        <v>1</v>
      </c>
      <c r="BK3713">
        <v>1</v>
      </c>
      <c r="BL3713">
        <v>0</v>
      </c>
      <c r="BO3713">
        <v>0</v>
      </c>
      <c r="BP3713">
        <v>0</v>
      </c>
      <c r="BW3713" t="str">
        <f>"20:35:03.203"</f>
        <v>20:35:03.203</v>
      </c>
      <c r="BZ3713">
        <v>0</v>
      </c>
      <c r="CA3713">
        <v>1600</v>
      </c>
      <c r="CB3713">
        <v>224</v>
      </c>
      <c r="CD3713">
        <v>1</v>
      </c>
      <c r="CE3713">
        <v>0</v>
      </c>
      <c r="CF3713">
        <v>0</v>
      </c>
      <c r="CG3713">
        <v>1</v>
      </c>
      <c r="CH3713">
        <v>0</v>
      </c>
      <c r="CI3713">
        <v>0</v>
      </c>
      <c r="CJ3713">
        <v>0</v>
      </c>
      <c r="CK3713">
        <v>2</v>
      </c>
      <c r="CL3713">
        <v>0</v>
      </c>
      <c r="CM3713">
        <v>2</v>
      </c>
      <c r="CN3713">
        <v>0</v>
      </c>
      <c r="CO3713">
        <v>6</v>
      </c>
      <c r="CP3713" t="s">
        <v>119</v>
      </c>
      <c r="CQ3713">
        <v>180</v>
      </c>
      <c r="CR3713">
        <v>3</v>
      </c>
      <c r="CW3713">
        <v>1243930</v>
      </c>
      <c r="CY3713">
        <v>1</v>
      </c>
      <c r="CZ3713">
        <v>0</v>
      </c>
      <c r="DA3713">
        <v>1</v>
      </c>
      <c r="DB3713">
        <v>0</v>
      </c>
      <c r="DC3713">
        <v>0</v>
      </c>
      <c r="DD3713">
        <v>0</v>
      </c>
      <c r="DE3713">
        <v>0</v>
      </c>
      <c r="DF3713">
        <v>0</v>
      </c>
      <c r="DG3713">
        <v>0</v>
      </c>
      <c r="DH3713">
        <v>0</v>
      </c>
      <c r="DI3713">
        <v>0</v>
      </c>
    </row>
    <row r="3714" spans="1:113" x14ac:dyDescent="0.3">
      <c r="A3714" t="str">
        <f>"02/08/2021 20:35:00.855"</f>
        <v>02/08/2021 20:35:00.855</v>
      </c>
      <c r="C3714" t="str">
        <f t="shared" si="185"/>
        <v>FFDFD7C0</v>
      </c>
      <c r="D3714" t="s">
        <v>124</v>
      </c>
      <c r="E3714">
        <v>12</v>
      </c>
      <c r="F3714">
        <v>1012</v>
      </c>
      <c r="G3714" t="s">
        <v>675</v>
      </c>
      <c r="J3714" t="s">
        <v>125</v>
      </c>
      <c r="K3714">
        <v>0</v>
      </c>
      <c r="L3714">
        <v>3</v>
      </c>
      <c r="M3714">
        <v>0</v>
      </c>
      <c r="N3714">
        <v>2</v>
      </c>
      <c r="O3714">
        <v>1</v>
      </c>
      <c r="P3714">
        <v>0</v>
      </c>
      <c r="Q3714">
        <v>0</v>
      </c>
      <c r="S3714" t="str">
        <f>"20:35:03.195"</f>
        <v>20:35:03.195</v>
      </c>
      <c r="T3714" t="str">
        <f>"20:35:02.795"</f>
        <v>20:35:02.795</v>
      </c>
      <c r="U3714" t="str">
        <f t="shared" ref="U3714:U3777" si="187">"AB01F4"</f>
        <v>AB01F4</v>
      </c>
      <c r="V3714">
        <v>0</v>
      </c>
      <c r="W3714">
        <v>0</v>
      </c>
      <c r="X3714">
        <v>2</v>
      </c>
      <c r="Z3714">
        <v>0</v>
      </c>
      <c r="AA3714">
        <v>9</v>
      </c>
      <c r="AB3714">
        <v>3</v>
      </c>
      <c r="AC3714">
        <v>0</v>
      </c>
      <c r="AD3714">
        <v>10</v>
      </c>
      <c r="AE3714">
        <v>0</v>
      </c>
      <c r="AF3714">
        <v>3</v>
      </c>
      <c r="AG3714">
        <v>2</v>
      </c>
      <c r="AH3714">
        <v>0</v>
      </c>
      <c r="AI3714" t="s">
        <v>2105</v>
      </c>
      <c r="AJ3714">
        <v>40.115569000000001</v>
      </c>
      <c r="AK3714" t="s">
        <v>2106</v>
      </c>
      <c r="AL3714">
        <v>-93.037955999999994</v>
      </c>
      <c r="AM3714">
        <v>100</v>
      </c>
      <c r="AN3714">
        <v>1300</v>
      </c>
      <c r="AO3714" t="s">
        <v>118</v>
      </c>
      <c r="AP3714">
        <v>-114</v>
      </c>
      <c r="AQ3714">
        <v>61</v>
      </c>
      <c r="AR3714">
        <v>64</v>
      </c>
      <c r="AZ3714">
        <v>1200</v>
      </c>
      <c r="BA3714">
        <v>1</v>
      </c>
      <c r="BB3714" t="str">
        <f t="shared" si="186"/>
        <v xml:space="preserve">N8080G  </v>
      </c>
      <c r="BC3714">
        <v>1</v>
      </c>
      <c r="BE3714">
        <v>0</v>
      </c>
      <c r="BF3714">
        <v>0</v>
      </c>
      <c r="BG3714">
        <v>0</v>
      </c>
      <c r="BH3714">
        <v>1350</v>
      </c>
      <c r="BI3714">
        <v>1</v>
      </c>
      <c r="BJ3714">
        <v>1</v>
      </c>
      <c r="BK3714">
        <v>1</v>
      </c>
      <c r="BL3714">
        <v>0</v>
      </c>
      <c r="BO3714">
        <v>0</v>
      </c>
      <c r="BP3714">
        <v>0</v>
      </c>
      <c r="BW3714" t="str">
        <f>"20:35:03.203"</f>
        <v>20:35:03.203</v>
      </c>
      <c r="BZ3714">
        <v>0</v>
      </c>
      <c r="CA3714">
        <v>1600</v>
      </c>
      <c r="CB3714">
        <v>224</v>
      </c>
      <c r="CD3714">
        <v>1</v>
      </c>
      <c r="CE3714">
        <v>0</v>
      </c>
      <c r="CF3714">
        <v>0</v>
      </c>
      <c r="CG3714">
        <v>1</v>
      </c>
      <c r="CH3714">
        <v>0</v>
      </c>
      <c r="CI3714">
        <v>0</v>
      </c>
      <c r="CJ3714">
        <v>0</v>
      </c>
      <c r="CK3714">
        <v>2</v>
      </c>
      <c r="CL3714">
        <v>0</v>
      </c>
      <c r="CM3714">
        <v>2</v>
      </c>
      <c r="CN3714">
        <v>0</v>
      </c>
      <c r="CO3714">
        <v>6</v>
      </c>
      <c r="CP3714" t="s">
        <v>119</v>
      </c>
      <c r="CQ3714">
        <v>180</v>
      </c>
      <c r="CR3714">
        <v>3</v>
      </c>
      <c r="CW3714">
        <v>1243930</v>
      </c>
      <c r="CY3714">
        <v>1</v>
      </c>
      <c r="CZ3714">
        <v>0</v>
      </c>
      <c r="DA3714">
        <v>1</v>
      </c>
      <c r="DB3714">
        <v>0</v>
      </c>
      <c r="DC3714">
        <v>0</v>
      </c>
      <c r="DD3714">
        <v>0</v>
      </c>
      <c r="DE3714">
        <v>0</v>
      </c>
      <c r="DF3714">
        <v>0</v>
      </c>
      <c r="DG3714">
        <v>0</v>
      </c>
      <c r="DH3714">
        <v>0</v>
      </c>
      <c r="DI3714">
        <v>0</v>
      </c>
    </row>
    <row r="3715" spans="1:113" x14ac:dyDescent="0.3">
      <c r="A3715" t="str">
        <f>"02/08/2021 20:35:02.018"</f>
        <v>02/08/2021 20:35:02.018</v>
      </c>
      <c r="C3715" t="str">
        <f t="shared" si="185"/>
        <v>FFDFD7C0</v>
      </c>
      <c r="D3715" t="s">
        <v>113</v>
      </c>
      <c r="E3715">
        <v>6</v>
      </c>
      <c r="H3715">
        <v>165</v>
      </c>
      <c r="I3715" t="s">
        <v>114</v>
      </c>
      <c r="J3715" t="s">
        <v>115</v>
      </c>
      <c r="K3715">
        <v>0</v>
      </c>
      <c r="L3715">
        <v>3</v>
      </c>
      <c r="M3715">
        <v>0</v>
      </c>
      <c r="N3715">
        <v>2</v>
      </c>
      <c r="O3715">
        <v>1</v>
      </c>
      <c r="P3715">
        <v>0</v>
      </c>
      <c r="Q3715">
        <v>0</v>
      </c>
      <c r="S3715" t="str">
        <f>"20:35:04.320"</f>
        <v>20:35:04.320</v>
      </c>
      <c r="T3715" t="str">
        <f>"20:35:03.820"</f>
        <v>20:35:03.820</v>
      </c>
      <c r="U3715" t="str">
        <f t="shared" si="187"/>
        <v>AB01F4</v>
      </c>
      <c r="V3715">
        <v>0</v>
      </c>
      <c r="W3715">
        <v>0</v>
      </c>
      <c r="X3715">
        <v>2</v>
      </c>
      <c r="Z3715">
        <v>0</v>
      </c>
      <c r="AA3715">
        <v>9</v>
      </c>
      <c r="AB3715">
        <v>3</v>
      </c>
      <c r="AC3715">
        <v>0</v>
      </c>
      <c r="AD3715">
        <v>10</v>
      </c>
      <c r="AE3715">
        <v>0</v>
      </c>
      <c r="AF3715">
        <v>3</v>
      </c>
      <c r="AG3715">
        <v>2</v>
      </c>
      <c r="AH3715">
        <v>0</v>
      </c>
      <c r="AI3715" t="s">
        <v>2107</v>
      </c>
      <c r="AJ3715">
        <v>40.115869000000004</v>
      </c>
      <c r="AK3715" t="s">
        <v>2108</v>
      </c>
      <c r="AL3715">
        <v>-93.038728000000006</v>
      </c>
      <c r="AM3715">
        <v>100</v>
      </c>
      <c r="AN3715">
        <v>1300</v>
      </c>
      <c r="AO3715" t="s">
        <v>118</v>
      </c>
      <c r="AP3715">
        <v>-114</v>
      </c>
      <c r="AQ3715">
        <v>61</v>
      </c>
      <c r="AR3715">
        <v>0</v>
      </c>
      <c r="AZ3715">
        <v>1200</v>
      </c>
      <c r="BA3715">
        <v>1</v>
      </c>
      <c r="BB3715" t="str">
        <f t="shared" si="186"/>
        <v xml:space="preserve">N8080G  </v>
      </c>
      <c r="BC3715">
        <v>1</v>
      </c>
      <c r="BE3715">
        <v>0</v>
      </c>
      <c r="BF3715">
        <v>0</v>
      </c>
      <c r="BG3715">
        <v>0</v>
      </c>
      <c r="BH3715">
        <v>1350</v>
      </c>
      <c r="BI3715">
        <v>1</v>
      </c>
      <c r="BJ3715">
        <v>1</v>
      </c>
      <c r="BK3715">
        <v>1</v>
      </c>
      <c r="BL3715">
        <v>0</v>
      </c>
      <c r="BO3715">
        <v>0</v>
      </c>
      <c r="BP3715">
        <v>0</v>
      </c>
      <c r="BW3715" t="str">
        <f>"20:35:04.325"</f>
        <v>20:35:04.325</v>
      </c>
      <c r="BZ3715">
        <v>0</v>
      </c>
      <c r="CA3715">
        <v>1600</v>
      </c>
      <c r="CB3715">
        <v>224</v>
      </c>
      <c r="CD3715">
        <v>1</v>
      </c>
      <c r="CE3715">
        <v>0</v>
      </c>
      <c r="CF3715">
        <v>0</v>
      </c>
      <c r="CG3715">
        <v>1</v>
      </c>
      <c r="CH3715">
        <v>0</v>
      </c>
      <c r="CI3715">
        <v>0</v>
      </c>
      <c r="CJ3715">
        <v>0</v>
      </c>
      <c r="CK3715">
        <v>2</v>
      </c>
      <c r="CL3715">
        <v>0</v>
      </c>
      <c r="CM3715">
        <v>2</v>
      </c>
      <c r="CN3715">
        <v>0</v>
      </c>
      <c r="CO3715">
        <v>1</v>
      </c>
      <c r="CP3715" t="s">
        <v>119</v>
      </c>
      <c r="CQ3715">
        <v>179</v>
      </c>
      <c r="CR3715">
        <v>1</v>
      </c>
      <c r="CW3715">
        <v>9386771</v>
      </c>
      <c r="CY3715">
        <v>1</v>
      </c>
      <c r="CZ3715">
        <v>0</v>
      </c>
      <c r="DA3715">
        <v>0</v>
      </c>
      <c r="DB3715">
        <v>0</v>
      </c>
      <c r="DC3715">
        <v>0</v>
      </c>
      <c r="DD3715">
        <v>0</v>
      </c>
      <c r="DE3715">
        <v>0</v>
      </c>
      <c r="DF3715">
        <v>0</v>
      </c>
      <c r="DG3715">
        <v>0</v>
      </c>
      <c r="DH3715">
        <v>0</v>
      </c>
      <c r="DI3715">
        <v>0</v>
      </c>
    </row>
    <row r="3716" spans="1:113" x14ac:dyDescent="0.3">
      <c r="A3716" t="str">
        <f>"02/08/2021 20:35:02.018"</f>
        <v>02/08/2021 20:35:02.018</v>
      </c>
      <c r="C3716" t="str">
        <f t="shared" si="185"/>
        <v>FFDFD7C0</v>
      </c>
      <c r="D3716" t="s">
        <v>124</v>
      </c>
      <c r="E3716">
        <v>13</v>
      </c>
      <c r="F3716">
        <v>1013</v>
      </c>
      <c r="G3716" t="s">
        <v>114</v>
      </c>
      <c r="J3716" t="s">
        <v>125</v>
      </c>
      <c r="K3716">
        <v>0</v>
      </c>
      <c r="L3716">
        <v>3</v>
      </c>
      <c r="M3716">
        <v>0</v>
      </c>
      <c r="N3716">
        <v>2</v>
      </c>
      <c r="O3716">
        <v>1</v>
      </c>
      <c r="P3716">
        <v>0</v>
      </c>
      <c r="Q3716">
        <v>0</v>
      </c>
      <c r="S3716" t="str">
        <f>"20:35:04.320"</f>
        <v>20:35:04.320</v>
      </c>
      <c r="T3716" t="str">
        <f>"20:35:03.820"</f>
        <v>20:35:03.820</v>
      </c>
      <c r="U3716" t="str">
        <f t="shared" si="187"/>
        <v>AB01F4</v>
      </c>
      <c r="V3716">
        <v>0</v>
      </c>
      <c r="W3716">
        <v>0</v>
      </c>
      <c r="X3716">
        <v>2</v>
      </c>
      <c r="Z3716">
        <v>0</v>
      </c>
      <c r="AA3716">
        <v>9</v>
      </c>
      <c r="AB3716">
        <v>3</v>
      </c>
      <c r="AC3716">
        <v>0</v>
      </c>
      <c r="AD3716">
        <v>10</v>
      </c>
      <c r="AE3716">
        <v>0</v>
      </c>
      <c r="AF3716">
        <v>3</v>
      </c>
      <c r="AG3716">
        <v>2</v>
      </c>
      <c r="AH3716">
        <v>0</v>
      </c>
      <c r="AI3716" t="s">
        <v>2107</v>
      </c>
      <c r="AJ3716">
        <v>40.115869000000004</v>
      </c>
      <c r="AK3716" t="s">
        <v>2108</v>
      </c>
      <c r="AL3716">
        <v>-93.038728000000006</v>
      </c>
      <c r="AM3716">
        <v>100</v>
      </c>
      <c r="AN3716">
        <v>1300</v>
      </c>
      <c r="AO3716" t="s">
        <v>118</v>
      </c>
      <c r="AP3716">
        <v>-114</v>
      </c>
      <c r="AQ3716">
        <v>61</v>
      </c>
      <c r="AR3716">
        <v>0</v>
      </c>
      <c r="AZ3716">
        <v>1200</v>
      </c>
      <c r="BA3716">
        <v>1</v>
      </c>
      <c r="BB3716" t="str">
        <f t="shared" si="186"/>
        <v xml:space="preserve">N8080G  </v>
      </c>
      <c r="BC3716">
        <v>1</v>
      </c>
      <c r="BE3716">
        <v>0</v>
      </c>
      <c r="BF3716">
        <v>0</v>
      </c>
      <c r="BG3716">
        <v>0</v>
      </c>
      <c r="BH3716">
        <v>1350</v>
      </c>
      <c r="BI3716">
        <v>1</v>
      </c>
      <c r="BJ3716">
        <v>1</v>
      </c>
      <c r="BK3716">
        <v>1</v>
      </c>
      <c r="BL3716">
        <v>0</v>
      </c>
      <c r="BO3716">
        <v>0</v>
      </c>
      <c r="BP3716">
        <v>0</v>
      </c>
      <c r="BW3716" t="str">
        <f>"20:35:04.325"</f>
        <v>20:35:04.325</v>
      </c>
      <c r="BZ3716">
        <v>0</v>
      </c>
      <c r="CA3716">
        <v>1600</v>
      </c>
      <c r="CB3716">
        <v>224</v>
      </c>
      <c r="CD3716">
        <v>1</v>
      </c>
      <c r="CE3716">
        <v>0</v>
      </c>
      <c r="CF3716">
        <v>0</v>
      </c>
      <c r="CG3716">
        <v>1</v>
      </c>
      <c r="CH3716">
        <v>0</v>
      </c>
      <c r="CI3716">
        <v>0</v>
      </c>
      <c r="CJ3716">
        <v>0</v>
      </c>
      <c r="CK3716">
        <v>2</v>
      </c>
      <c r="CL3716">
        <v>0</v>
      </c>
      <c r="CM3716">
        <v>2</v>
      </c>
      <c r="CN3716">
        <v>0</v>
      </c>
      <c r="CO3716">
        <v>1</v>
      </c>
      <c r="CP3716" t="s">
        <v>119</v>
      </c>
      <c r="CQ3716">
        <v>179</v>
      </c>
      <c r="CR3716">
        <v>1</v>
      </c>
      <c r="CW3716">
        <v>9386771</v>
      </c>
      <c r="CY3716">
        <v>1</v>
      </c>
      <c r="CZ3716">
        <v>0</v>
      </c>
      <c r="DA3716">
        <v>1</v>
      </c>
      <c r="DB3716">
        <v>0</v>
      </c>
      <c r="DC3716">
        <v>0</v>
      </c>
      <c r="DD3716">
        <v>0</v>
      </c>
      <c r="DE3716">
        <v>0</v>
      </c>
      <c r="DF3716">
        <v>0</v>
      </c>
      <c r="DG3716">
        <v>0</v>
      </c>
      <c r="DH3716">
        <v>0</v>
      </c>
      <c r="DI3716">
        <v>0</v>
      </c>
    </row>
    <row r="3717" spans="1:113" x14ac:dyDescent="0.3">
      <c r="A3717" t="str">
        <f>"02/08/2021 20:35:02.018"</f>
        <v>02/08/2021 20:35:02.018</v>
      </c>
      <c r="C3717" t="str">
        <f t="shared" si="185"/>
        <v>FFDFD7C0</v>
      </c>
      <c r="D3717" t="s">
        <v>124</v>
      </c>
      <c r="E3717">
        <v>11</v>
      </c>
      <c r="F3717">
        <v>1011</v>
      </c>
      <c r="G3717" t="s">
        <v>590</v>
      </c>
      <c r="J3717" t="s">
        <v>125</v>
      </c>
      <c r="K3717">
        <v>0</v>
      </c>
      <c r="L3717">
        <v>3</v>
      </c>
      <c r="M3717">
        <v>0</v>
      </c>
      <c r="N3717">
        <v>2</v>
      </c>
      <c r="O3717">
        <v>1</v>
      </c>
      <c r="P3717">
        <v>0</v>
      </c>
      <c r="Q3717">
        <v>0</v>
      </c>
      <c r="S3717" t="str">
        <f>"20:35:04.320"</f>
        <v>20:35:04.320</v>
      </c>
      <c r="T3717" t="str">
        <f>"20:35:03.820"</f>
        <v>20:35:03.820</v>
      </c>
      <c r="U3717" t="str">
        <f t="shared" si="187"/>
        <v>AB01F4</v>
      </c>
      <c r="V3717">
        <v>0</v>
      </c>
      <c r="W3717">
        <v>0</v>
      </c>
      <c r="X3717">
        <v>2</v>
      </c>
      <c r="Z3717">
        <v>0</v>
      </c>
      <c r="AA3717">
        <v>9</v>
      </c>
      <c r="AB3717">
        <v>3</v>
      </c>
      <c r="AC3717">
        <v>0</v>
      </c>
      <c r="AD3717">
        <v>10</v>
      </c>
      <c r="AE3717">
        <v>0</v>
      </c>
      <c r="AF3717">
        <v>3</v>
      </c>
      <c r="AG3717">
        <v>2</v>
      </c>
      <c r="AH3717">
        <v>0</v>
      </c>
      <c r="AI3717" t="s">
        <v>2107</v>
      </c>
      <c r="AJ3717">
        <v>40.115869000000004</v>
      </c>
      <c r="AK3717" t="s">
        <v>2108</v>
      </c>
      <c r="AL3717">
        <v>-93.038728000000006</v>
      </c>
      <c r="AM3717">
        <v>100</v>
      </c>
      <c r="AN3717">
        <v>1300</v>
      </c>
      <c r="AO3717" t="s">
        <v>118</v>
      </c>
      <c r="AP3717">
        <v>-114</v>
      </c>
      <c r="AQ3717">
        <v>61</v>
      </c>
      <c r="AR3717">
        <v>0</v>
      </c>
      <c r="AZ3717">
        <v>1200</v>
      </c>
      <c r="BA3717">
        <v>1</v>
      </c>
      <c r="BB3717" t="str">
        <f t="shared" si="186"/>
        <v xml:space="preserve">N8080G  </v>
      </c>
      <c r="BC3717">
        <v>1</v>
      </c>
      <c r="BE3717">
        <v>0</v>
      </c>
      <c r="BF3717">
        <v>0</v>
      </c>
      <c r="BG3717">
        <v>0</v>
      </c>
      <c r="BH3717">
        <v>1350</v>
      </c>
      <c r="BI3717">
        <v>1</v>
      </c>
      <c r="BJ3717">
        <v>1</v>
      </c>
      <c r="BK3717">
        <v>1</v>
      </c>
      <c r="BL3717">
        <v>0</v>
      </c>
      <c r="BO3717">
        <v>0</v>
      </c>
      <c r="BP3717">
        <v>0</v>
      </c>
      <c r="BW3717" t="str">
        <f>"20:35:04.325"</f>
        <v>20:35:04.325</v>
      </c>
      <c r="BZ3717">
        <v>0</v>
      </c>
      <c r="CA3717">
        <v>1600</v>
      </c>
      <c r="CB3717">
        <v>224</v>
      </c>
      <c r="CD3717">
        <v>1</v>
      </c>
      <c r="CE3717">
        <v>0</v>
      </c>
      <c r="CF3717">
        <v>0</v>
      </c>
      <c r="CG3717">
        <v>1</v>
      </c>
      <c r="CH3717">
        <v>0</v>
      </c>
      <c r="CI3717">
        <v>0</v>
      </c>
      <c r="CJ3717">
        <v>0</v>
      </c>
      <c r="CK3717">
        <v>2</v>
      </c>
      <c r="CL3717">
        <v>0</v>
      </c>
      <c r="CM3717">
        <v>2</v>
      </c>
      <c r="CN3717">
        <v>0</v>
      </c>
      <c r="CO3717">
        <v>1</v>
      </c>
      <c r="CP3717" t="s">
        <v>119</v>
      </c>
      <c r="CQ3717">
        <v>179</v>
      </c>
      <c r="CR3717">
        <v>1</v>
      </c>
      <c r="CW3717">
        <v>9386771</v>
      </c>
      <c r="CY3717">
        <v>1</v>
      </c>
      <c r="CZ3717">
        <v>0</v>
      </c>
      <c r="DA3717">
        <v>1</v>
      </c>
      <c r="DB3717">
        <v>0</v>
      </c>
      <c r="DC3717">
        <v>0</v>
      </c>
      <c r="DD3717">
        <v>0</v>
      </c>
      <c r="DE3717">
        <v>0</v>
      </c>
      <c r="DF3717">
        <v>0</v>
      </c>
      <c r="DG3717">
        <v>0</v>
      </c>
      <c r="DH3717">
        <v>0</v>
      </c>
      <c r="DI3717">
        <v>0</v>
      </c>
    </row>
    <row r="3718" spans="1:113" x14ac:dyDescent="0.3">
      <c r="A3718" t="str">
        <f>"02/08/2021 20:35:02.018"</f>
        <v>02/08/2021 20:35:02.018</v>
      </c>
      <c r="C3718" t="str">
        <f t="shared" si="185"/>
        <v>FFDFD7C0</v>
      </c>
      <c r="D3718" t="s">
        <v>124</v>
      </c>
      <c r="E3718">
        <v>12</v>
      </c>
      <c r="F3718">
        <v>1012</v>
      </c>
      <c r="G3718" t="s">
        <v>675</v>
      </c>
      <c r="J3718" t="s">
        <v>125</v>
      </c>
      <c r="K3718">
        <v>0</v>
      </c>
      <c r="L3718">
        <v>3</v>
      </c>
      <c r="M3718">
        <v>0</v>
      </c>
      <c r="N3718">
        <v>2</v>
      </c>
      <c r="O3718">
        <v>1</v>
      </c>
      <c r="P3718">
        <v>0</v>
      </c>
      <c r="Q3718">
        <v>0</v>
      </c>
      <c r="S3718" t="str">
        <f>"20:35:04.320"</f>
        <v>20:35:04.320</v>
      </c>
      <c r="T3718" t="str">
        <f>"20:35:03.820"</f>
        <v>20:35:03.820</v>
      </c>
      <c r="U3718" t="str">
        <f t="shared" si="187"/>
        <v>AB01F4</v>
      </c>
      <c r="V3718">
        <v>0</v>
      </c>
      <c r="W3718">
        <v>0</v>
      </c>
      <c r="X3718">
        <v>2</v>
      </c>
      <c r="Z3718">
        <v>0</v>
      </c>
      <c r="AA3718">
        <v>9</v>
      </c>
      <c r="AB3718">
        <v>3</v>
      </c>
      <c r="AC3718">
        <v>0</v>
      </c>
      <c r="AD3718">
        <v>10</v>
      </c>
      <c r="AE3718">
        <v>0</v>
      </c>
      <c r="AF3718">
        <v>3</v>
      </c>
      <c r="AG3718">
        <v>2</v>
      </c>
      <c r="AH3718">
        <v>0</v>
      </c>
      <c r="AI3718" t="s">
        <v>2107</v>
      </c>
      <c r="AJ3718">
        <v>40.115869000000004</v>
      </c>
      <c r="AK3718" t="s">
        <v>2108</v>
      </c>
      <c r="AL3718">
        <v>-93.038728000000006</v>
      </c>
      <c r="AM3718">
        <v>100</v>
      </c>
      <c r="AN3718">
        <v>1300</v>
      </c>
      <c r="AO3718" t="s">
        <v>118</v>
      </c>
      <c r="AP3718">
        <v>-114</v>
      </c>
      <c r="AQ3718">
        <v>61</v>
      </c>
      <c r="AR3718">
        <v>0</v>
      </c>
      <c r="AZ3718">
        <v>1200</v>
      </c>
      <c r="BA3718">
        <v>1</v>
      </c>
      <c r="BB3718" t="str">
        <f t="shared" si="186"/>
        <v xml:space="preserve">N8080G  </v>
      </c>
      <c r="BC3718">
        <v>1</v>
      </c>
      <c r="BE3718">
        <v>0</v>
      </c>
      <c r="BF3718">
        <v>0</v>
      </c>
      <c r="BG3718">
        <v>0</v>
      </c>
      <c r="BH3718">
        <v>1350</v>
      </c>
      <c r="BI3718">
        <v>1</v>
      </c>
      <c r="BJ3718">
        <v>1</v>
      </c>
      <c r="BK3718">
        <v>1</v>
      </c>
      <c r="BL3718">
        <v>0</v>
      </c>
      <c r="BO3718">
        <v>0</v>
      </c>
      <c r="BP3718">
        <v>0</v>
      </c>
      <c r="BW3718" t="str">
        <f>"20:35:04.325"</f>
        <v>20:35:04.325</v>
      </c>
      <c r="BZ3718">
        <v>0</v>
      </c>
      <c r="CA3718">
        <v>1600</v>
      </c>
      <c r="CB3718">
        <v>224</v>
      </c>
      <c r="CD3718">
        <v>1</v>
      </c>
      <c r="CE3718">
        <v>0</v>
      </c>
      <c r="CF3718">
        <v>0</v>
      </c>
      <c r="CG3718">
        <v>1</v>
      </c>
      <c r="CH3718">
        <v>0</v>
      </c>
      <c r="CI3718">
        <v>0</v>
      </c>
      <c r="CJ3718">
        <v>0</v>
      </c>
      <c r="CK3718">
        <v>2</v>
      </c>
      <c r="CL3718">
        <v>0</v>
      </c>
      <c r="CM3718">
        <v>2</v>
      </c>
      <c r="CN3718">
        <v>0</v>
      </c>
      <c r="CO3718">
        <v>1</v>
      </c>
      <c r="CP3718" t="s">
        <v>119</v>
      </c>
      <c r="CQ3718">
        <v>179</v>
      </c>
      <c r="CR3718">
        <v>1</v>
      </c>
      <c r="CW3718">
        <v>9386771</v>
      </c>
      <c r="CY3718">
        <v>1</v>
      </c>
      <c r="CZ3718">
        <v>0</v>
      </c>
      <c r="DA3718">
        <v>1</v>
      </c>
      <c r="DB3718">
        <v>0</v>
      </c>
      <c r="DC3718">
        <v>0</v>
      </c>
      <c r="DD3718">
        <v>0</v>
      </c>
      <c r="DE3718">
        <v>0</v>
      </c>
      <c r="DF3718">
        <v>0</v>
      </c>
      <c r="DG3718">
        <v>0</v>
      </c>
      <c r="DH3718">
        <v>0</v>
      </c>
      <c r="DI3718">
        <v>0</v>
      </c>
    </row>
    <row r="3719" spans="1:113" x14ac:dyDescent="0.3">
      <c r="A3719" t="str">
        <f>"02/08/2021 20:35:02.952"</f>
        <v>02/08/2021 20:35:02.952</v>
      </c>
      <c r="C3719" t="str">
        <f t="shared" si="185"/>
        <v>FFDFD7C0</v>
      </c>
      <c r="D3719" t="s">
        <v>124</v>
      </c>
      <c r="E3719">
        <v>12</v>
      </c>
      <c r="F3719">
        <v>1012</v>
      </c>
      <c r="G3719" t="s">
        <v>675</v>
      </c>
      <c r="J3719" t="s">
        <v>125</v>
      </c>
      <c r="K3719">
        <v>0</v>
      </c>
      <c r="L3719">
        <v>3</v>
      </c>
      <c r="M3719">
        <v>0</v>
      </c>
      <c r="N3719">
        <v>2</v>
      </c>
      <c r="O3719">
        <v>1</v>
      </c>
      <c r="P3719">
        <v>0</v>
      </c>
      <c r="Q3719">
        <v>0</v>
      </c>
      <c r="S3719" t="str">
        <f>"20:35:05.289"</f>
        <v>20:35:05.289</v>
      </c>
      <c r="T3719" t="str">
        <f>"20:35:04.789"</f>
        <v>20:35:04.789</v>
      </c>
      <c r="U3719" t="str">
        <f t="shared" si="187"/>
        <v>AB01F4</v>
      </c>
      <c r="V3719">
        <v>0</v>
      </c>
      <c r="W3719">
        <v>0</v>
      </c>
      <c r="X3719">
        <v>2</v>
      </c>
      <c r="Z3719">
        <v>0</v>
      </c>
      <c r="AA3719">
        <v>9</v>
      </c>
      <c r="AB3719">
        <v>3</v>
      </c>
      <c r="AC3719">
        <v>0</v>
      </c>
      <c r="AD3719">
        <v>10</v>
      </c>
      <c r="AE3719">
        <v>0</v>
      </c>
      <c r="AF3719">
        <v>3</v>
      </c>
      <c r="AG3719">
        <v>2</v>
      </c>
      <c r="AH3719">
        <v>0</v>
      </c>
      <c r="AI3719" t="s">
        <v>2109</v>
      </c>
      <c r="AJ3719">
        <v>40.116148000000003</v>
      </c>
      <c r="AK3719" t="s">
        <v>2110</v>
      </c>
      <c r="AL3719">
        <v>-93.039415000000005</v>
      </c>
      <c r="AM3719">
        <v>100</v>
      </c>
      <c r="AN3719">
        <v>1300</v>
      </c>
      <c r="AO3719" t="s">
        <v>118</v>
      </c>
      <c r="AP3719">
        <v>-114</v>
      </c>
      <c r="AQ3719">
        <v>61</v>
      </c>
      <c r="AR3719">
        <v>-64</v>
      </c>
      <c r="AZ3719">
        <v>1200</v>
      </c>
      <c r="BA3719">
        <v>1</v>
      </c>
      <c r="BB3719" t="str">
        <f t="shared" si="186"/>
        <v xml:space="preserve">N8080G  </v>
      </c>
      <c r="BC3719">
        <v>1</v>
      </c>
      <c r="BE3719">
        <v>0</v>
      </c>
      <c r="BF3719">
        <v>0</v>
      </c>
      <c r="BG3719">
        <v>0</v>
      </c>
      <c r="BH3719">
        <v>1350</v>
      </c>
      <c r="BI3719">
        <v>1</v>
      </c>
      <c r="BJ3719">
        <v>1</v>
      </c>
      <c r="BK3719">
        <v>1</v>
      </c>
      <c r="BL3719">
        <v>0</v>
      </c>
      <c r="BO3719">
        <v>0</v>
      </c>
      <c r="BP3719">
        <v>0</v>
      </c>
      <c r="BW3719" t="str">
        <f>"20:35:05.292"</f>
        <v>20:35:05.292</v>
      </c>
      <c r="BZ3719">
        <v>0</v>
      </c>
      <c r="CA3719">
        <v>1600</v>
      </c>
      <c r="CB3719">
        <v>224</v>
      </c>
      <c r="CD3719">
        <v>1</v>
      </c>
      <c r="CE3719">
        <v>0</v>
      </c>
      <c r="CF3719">
        <v>0</v>
      </c>
      <c r="CG3719">
        <v>1</v>
      </c>
      <c r="CH3719">
        <v>0</v>
      </c>
      <c r="CI3719">
        <v>0</v>
      </c>
      <c r="CJ3719">
        <v>0</v>
      </c>
      <c r="CK3719">
        <v>2</v>
      </c>
      <c r="CL3719">
        <v>0</v>
      </c>
      <c r="CM3719">
        <v>2</v>
      </c>
      <c r="CN3719">
        <v>0</v>
      </c>
      <c r="CO3719">
        <v>2</v>
      </c>
      <c r="CP3719" t="s">
        <v>119</v>
      </c>
      <c r="CQ3719">
        <v>179</v>
      </c>
      <c r="CR3719">
        <v>1</v>
      </c>
      <c r="CW3719">
        <v>9387658</v>
      </c>
      <c r="CY3719">
        <v>1</v>
      </c>
      <c r="CZ3719">
        <v>0</v>
      </c>
      <c r="DA3719">
        <v>0</v>
      </c>
      <c r="DB3719">
        <v>0</v>
      </c>
      <c r="DC3719">
        <v>0</v>
      </c>
      <c r="DD3719">
        <v>0</v>
      </c>
      <c r="DE3719">
        <v>0</v>
      </c>
      <c r="DF3719">
        <v>0</v>
      </c>
      <c r="DG3719">
        <v>0</v>
      </c>
      <c r="DH3719">
        <v>0</v>
      </c>
      <c r="DI3719">
        <v>0</v>
      </c>
    </row>
    <row r="3720" spans="1:113" x14ac:dyDescent="0.3">
      <c r="A3720" t="str">
        <f>"02/08/2021 20:35:02.952"</f>
        <v>02/08/2021 20:35:02.952</v>
      </c>
      <c r="C3720" t="str">
        <f t="shared" si="185"/>
        <v>FFDFD7C0</v>
      </c>
      <c r="D3720" t="s">
        <v>124</v>
      </c>
      <c r="E3720">
        <v>13</v>
      </c>
      <c r="F3720">
        <v>1013</v>
      </c>
      <c r="G3720" t="s">
        <v>114</v>
      </c>
      <c r="J3720" t="s">
        <v>125</v>
      </c>
      <c r="K3720">
        <v>0</v>
      </c>
      <c r="L3720">
        <v>3</v>
      </c>
      <c r="M3720">
        <v>0</v>
      </c>
      <c r="N3720">
        <v>2</v>
      </c>
      <c r="O3720">
        <v>1</v>
      </c>
      <c r="P3720">
        <v>0</v>
      </c>
      <c r="Q3720">
        <v>0</v>
      </c>
      <c r="S3720" t="str">
        <f>"20:35:05.289"</f>
        <v>20:35:05.289</v>
      </c>
      <c r="T3720" t="str">
        <f>"20:35:04.789"</f>
        <v>20:35:04.789</v>
      </c>
      <c r="U3720" t="str">
        <f t="shared" si="187"/>
        <v>AB01F4</v>
      </c>
      <c r="V3720">
        <v>0</v>
      </c>
      <c r="W3720">
        <v>0</v>
      </c>
      <c r="X3720">
        <v>2</v>
      </c>
      <c r="Z3720">
        <v>0</v>
      </c>
      <c r="AA3720">
        <v>9</v>
      </c>
      <c r="AB3720">
        <v>3</v>
      </c>
      <c r="AC3720">
        <v>0</v>
      </c>
      <c r="AD3720">
        <v>10</v>
      </c>
      <c r="AE3720">
        <v>0</v>
      </c>
      <c r="AF3720">
        <v>3</v>
      </c>
      <c r="AG3720">
        <v>2</v>
      </c>
      <c r="AH3720">
        <v>0</v>
      </c>
      <c r="AI3720" t="s">
        <v>2109</v>
      </c>
      <c r="AJ3720">
        <v>40.116148000000003</v>
      </c>
      <c r="AK3720" t="s">
        <v>2110</v>
      </c>
      <c r="AL3720">
        <v>-93.039415000000005</v>
      </c>
      <c r="AM3720">
        <v>100</v>
      </c>
      <c r="AN3720">
        <v>1300</v>
      </c>
      <c r="AO3720" t="s">
        <v>118</v>
      </c>
      <c r="AP3720">
        <v>-114</v>
      </c>
      <c r="AQ3720">
        <v>61</v>
      </c>
      <c r="AR3720">
        <v>-64</v>
      </c>
      <c r="AZ3720">
        <v>1200</v>
      </c>
      <c r="BA3720">
        <v>1</v>
      </c>
      <c r="BB3720" t="str">
        <f t="shared" si="186"/>
        <v xml:space="preserve">N8080G  </v>
      </c>
      <c r="BC3720">
        <v>1</v>
      </c>
      <c r="BE3720">
        <v>0</v>
      </c>
      <c r="BF3720">
        <v>0</v>
      </c>
      <c r="BG3720">
        <v>0</v>
      </c>
      <c r="BH3720">
        <v>1350</v>
      </c>
      <c r="BI3720">
        <v>1</v>
      </c>
      <c r="BJ3720">
        <v>1</v>
      </c>
      <c r="BK3720">
        <v>1</v>
      </c>
      <c r="BL3720">
        <v>0</v>
      </c>
      <c r="BO3720">
        <v>0</v>
      </c>
      <c r="BP3720">
        <v>0</v>
      </c>
      <c r="BW3720" t="str">
        <f>"20:35:05.292"</f>
        <v>20:35:05.292</v>
      </c>
      <c r="BZ3720">
        <v>0</v>
      </c>
      <c r="CA3720">
        <v>1600</v>
      </c>
      <c r="CB3720">
        <v>224</v>
      </c>
      <c r="CD3720">
        <v>1</v>
      </c>
      <c r="CE3720">
        <v>0</v>
      </c>
      <c r="CF3720">
        <v>0</v>
      </c>
      <c r="CG3720">
        <v>1</v>
      </c>
      <c r="CH3720">
        <v>0</v>
      </c>
      <c r="CI3720">
        <v>0</v>
      </c>
      <c r="CJ3720">
        <v>0</v>
      </c>
      <c r="CK3720">
        <v>2</v>
      </c>
      <c r="CL3720">
        <v>0</v>
      </c>
      <c r="CM3720">
        <v>2</v>
      </c>
      <c r="CN3720">
        <v>0</v>
      </c>
      <c r="CO3720">
        <v>2</v>
      </c>
      <c r="CP3720" t="s">
        <v>119</v>
      </c>
      <c r="CQ3720">
        <v>179</v>
      </c>
      <c r="CR3720">
        <v>1</v>
      </c>
      <c r="CW3720">
        <v>9387658</v>
      </c>
      <c r="CY3720">
        <v>1</v>
      </c>
      <c r="CZ3720">
        <v>0</v>
      </c>
      <c r="DA3720">
        <v>1</v>
      </c>
      <c r="DB3720">
        <v>0</v>
      </c>
      <c r="DC3720">
        <v>0</v>
      </c>
      <c r="DD3720">
        <v>0</v>
      </c>
      <c r="DE3720">
        <v>0</v>
      </c>
      <c r="DF3720">
        <v>0</v>
      </c>
      <c r="DG3720">
        <v>0</v>
      </c>
      <c r="DH3720">
        <v>0</v>
      </c>
      <c r="DI3720">
        <v>0</v>
      </c>
    </row>
    <row r="3721" spans="1:113" x14ac:dyDescent="0.3">
      <c r="A3721" t="str">
        <f>"02/08/2021 20:35:02.952"</f>
        <v>02/08/2021 20:35:02.952</v>
      </c>
      <c r="C3721" t="str">
        <f t="shared" si="185"/>
        <v>FFDFD7C0</v>
      </c>
      <c r="D3721" t="s">
        <v>113</v>
      </c>
      <c r="E3721">
        <v>6</v>
      </c>
      <c r="H3721">
        <v>165</v>
      </c>
      <c r="I3721" t="s">
        <v>114</v>
      </c>
      <c r="J3721" t="s">
        <v>115</v>
      </c>
      <c r="K3721">
        <v>0</v>
      </c>
      <c r="L3721">
        <v>3</v>
      </c>
      <c r="M3721">
        <v>0</v>
      </c>
      <c r="N3721">
        <v>2</v>
      </c>
      <c r="O3721">
        <v>1</v>
      </c>
      <c r="P3721">
        <v>0</v>
      </c>
      <c r="Q3721">
        <v>0</v>
      </c>
      <c r="S3721" t="str">
        <f>"20:35:05.289"</f>
        <v>20:35:05.289</v>
      </c>
      <c r="T3721" t="str">
        <f>"20:35:04.789"</f>
        <v>20:35:04.789</v>
      </c>
      <c r="U3721" t="str">
        <f t="shared" si="187"/>
        <v>AB01F4</v>
      </c>
      <c r="V3721">
        <v>0</v>
      </c>
      <c r="W3721">
        <v>0</v>
      </c>
      <c r="X3721">
        <v>2</v>
      </c>
      <c r="Z3721">
        <v>0</v>
      </c>
      <c r="AA3721">
        <v>9</v>
      </c>
      <c r="AB3721">
        <v>3</v>
      </c>
      <c r="AC3721">
        <v>0</v>
      </c>
      <c r="AD3721">
        <v>10</v>
      </c>
      <c r="AE3721">
        <v>0</v>
      </c>
      <c r="AF3721">
        <v>3</v>
      </c>
      <c r="AG3721">
        <v>2</v>
      </c>
      <c r="AH3721">
        <v>0</v>
      </c>
      <c r="AI3721" t="s">
        <v>2109</v>
      </c>
      <c r="AJ3721">
        <v>40.116148000000003</v>
      </c>
      <c r="AK3721" t="s">
        <v>2110</v>
      </c>
      <c r="AL3721">
        <v>-93.039415000000005</v>
      </c>
      <c r="AM3721">
        <v>100</v>
      </c>
      <c r="AN3721">
        <v>1300</v>
      </c>
      <c r="AO3721" t="s">
        <v>118</v>
      </c>
      <c r="AP3721">
        <v>-114</v>
      </c>
      <c r="AQ3721">
        <v>61</v>
      </c>
      <c r="AR3721">
        <v>-64</v>
      </c>
      <c r="AZ3721">
        <v>1200</v>
      </c>
      <c r="BA3721">
        <v>1</v>
      </c>
      <c r="BB3721" t="str">
        <f t="shared" si="186"/>
        <v xml:space="preserve">N8080G  </v>
      </c>
      <c r="BC3721">
        <v>1</v>
      </c>
      <c r="BE3721">
        <v>0</v>
      </c>
      <c r="BF3721">
        <v>0</v>
      </c>
      <c r="BG3721">
        <v>0</v>
      </c>
      <c r="BH3721">
        <v>1350</v>
      </c>
      <c r="BI3721">
        <v>1</v>
      </c>
      <c r="BJ3721">
        <v>1</v>
      </c>
      <c r="BK3721">
        <v>1</v>
      </c>
      <c r="BL3721">
        <v>0</v>
      </c>
      <c r="BO3721">
        <v>0</v>
      </c>
      <c r="BP3721">
        <v>0</v>
      </c>
      <c r="BW3721" t="str">
        <f>"20:35:05.292"</f>
        <v>20:35:05.292</v>
      </c>
      <c r="BZ3721">
        <v>0</v>
      </c>
      <c r="CA3721">
        <v>1600</v>
      </c>
      <c r="CB3721">
        <v>224</v>
      </c>
      <c r="CD3721">
        <v>1</v>
      </c>
      <c r="CE3721">
        <v>0</v>
      </c>
      <c r="CF3721">
        <v>0</v>
      </c>
      <c r="CG3721">
        <v>1</v>
      </c>
      <c r="CH3721">
        <v>0</v>
      </c>
      <c r="CI3721">
        <v>0</v>
      </c>
      <c r="CJ3721">
        <v>0</v>
      </c>
      <c r="CK3721">
        <v>2</v>
      </c>
      <c r="CL3721">
        <v>0</v>
      </c>
      <c r="CM3721">
        <v>2</v>
      </c>
      <c r="CN3721">
        <v>0</v>
      </c>
      <c r="CO3721">
        <v>2</v>
      </c>
      <c r="CP3721" t="s">
        <v>119</v>
      </c>
      <c r="CQ3721">
        <v>179</v>
      </c>
      <c r="CR3721">
        <v>1</v>
      </c>
      <c r="CW3721">
        <v>9387658</v>
      </c>
      <c r="CY3721">
        <v>1</v>
      </c>
      <c r="CZ3721">
        <v>0</v>
      </c>
      <c r="DA3721">
        <v>1</v>
      </c>
      <c r="DB3721">
        <v>0</v>
      </c>
      <c r="DC3721">
        <v>0</v>
      </c>
      <c r="DD3721">
        <v>0</v>
      </c>
      <c r="DE3721">
        <v>0</v>
      </c>
      <c r="DF3721">
        <v>0</v>
      </c>
      <c r="DG3721">
        <v>0</v>
      </c>
      <c r="DH3721">
        <v>0</v>
      </c>
      <c r="DI3721">
        <v>0</v>
      </c>
    </row>
    <row r="3722" spans="1:113" x14ac:dyDescent="0.3">
      <c r="A3722" t="str">
        <f>"02/08/2021 20:35:02.952"</f>
        <v>02/08/2021 20:35:02.952</v>
      </c>
      <c r="C3722" t="str">
        <f t="shared" si="185"/>
        <v>FFDFD7C0</v>
      </c>
      <c r="D3722" t="s">
        <v>124</v>
      </c>
      <c r="E3722">
        <v>11</v>
      </c>
      <c r="F3722">
        <v>1011</v>
      </c>
      <c r="G3722" t="s">
        <v>590</v>
      </c>
      <c r="J3722" t="s">
        <v>125</v>
      </c>
      <c r="K3722">
        <v>0</v>
      </c>
      <c r="L3722">
        <v>3</v>
      </c>
      <c r="M3722">
        <v>0</v>
      </c>
      <c r="N3722">
        <v>2</v>
      </c>
      <c r="O3722">
        <v>1</v>
      </c>
      <c r="P3722">
        <v>0</v>
      </c>
      <c r="Q3722">
        <v>0</v>
      </c>
      <c r="S3722" t="str">
        <f>"20:35:05.289"</f>
        <v>20:35:05.289</v>
      </c>
      <c r="T3722" t="str">
        <f>"20:35:04.789"</f>
        <v>20:35:04.789</v>
      </c>
      <c r="U3722" t="str">
        <f t="shared" si="187"/>
        <v>AB01F4</v>
      </c>
      <c r="V3722">
        <v>0</v>
      </c>
      <c r="W3722">
        <v>0</v>
      </c>
      <c r="X3722">
        <v>2</v>
      </c>
      <c r="Z3722">
        <v>0</v>
      </c>
      <c r="AA3722">
        <v>9</v>
      </c>
      <c r="AB3722">
        <v>3</v>
      </c>
      <c r="AC3722">
        <v>0</v>
      </c>
      <c r="AD3722">
        <v>10</v>
      </c>
      <c r="AE3722">
        <v>0</v>
      </c>
      <c r="AF3722">
        <v>3</v>
      </c>
      <c r="AG3722">
        <v>2</v>
      </c>
      <c r="AH3722">
        <v>0</v>
      </c>
      <c r="AI3722" t="s">
        <v>2109</v>
      </c>
      <c r="AJ3722">
        <v>40.116148000000003</v>
      </c>
      <c r="AK3722" t="s">
        <v>2110</v>
      </c>
      <c r="AL3722">
        <v>-93.039415000000005</v>
      </c>
      <c r="AM3722">
        <v>100</v>
      </c>
      <c r="AN3722">
        <v>1300</v>
      </c>
      <c r="AO3722" t="s">
        <v>118</v>
      </c>
      <c r="AP3722">
        <v>-114</v>
      </c>
      <c r="AQ3722">
        <v>61</v>
      </c>
      <c r="AR3722">
        <v>-64</v>
      </c>
      <c r="AZ3722">
        <v>1200</v>
      </c>
      <c r="BA3722">
        <v>1</v>
      </c>
      <c r="BB3722" t="str">
        <f t="shared" si="186"/>
        <v xml:space="preserve">N8080G  </v>
      </c>
      <c r="BC3722">
        <v>1</v>
      </c>
      <c r="BE3722">
        <v>0</v>
      </c>
      <c r="BF3722">
        <v>0</v>
      </c>
      <c r="BG3722">
        <v>0</v>
      </c>
      <c r="BH3722">
        <v>1350</v>
      </c>
      <c r="BI3722">
        <v>1</v>
      </c>
      <c r="BJ3722">
        <v>1</v>
      </c>
      <c r="BK3722">
        <v>1</v>
      </c>
      <c r="BL3722">
        <v>0</v>
      </c>
      <c r="BO3722">
        <v>0</v>
      </c>
      <c r="BP3722">
        <v>0</v>
      </c>
      <c r="BW3722" t="str">
        <f>"20:35:05.292"</f>
        <v>20:35:05.292</v>
      </c>
      <c r="BZ3722">
        <v>0</v>
      </c>
      <c r="CA3722">
        <v>1600</v>
      </c>
      <c r="CB3722">
        <v>224</v>
      </c>
      <c r="CD3722">
        <v>1</v>
      </c>
      <c r="CE3722">
        <v>0</v>
      </c>
      <c r="CF3722">
        <v>0</v>
      </c>
      <c r="CG3722">
        <v>1</v>
      </c>
      <c r="CH3722">
        <v>0</v>
      </c>
      <c r="CI3722">
        <v>0</v>
      </c>
      <c r="CJ3722">
        <v>0</v>
      </c>
      <c r="CK3722">
        <v>2</v>
      </c>
      <c r="CL3722">
        <v>0</v>
      </c>
      <c r="CM3722">
        <v>2</v>
      </c>
      <c r="CN3722">
        <v>0</v>
      </c>
      <c r="CO3722">
        <v>2</v>
      </c>
      <c r="CP3722" t="s">
        <v>119</v>
      </c>
      <c r="CQ3722">
        <v>179</v>
      </c>
      <c r="CR3722">
        <v>1</v>
      </c>
      <c r="CW3722">
        <v>9387658</v>
      </c>
      <c r="CY3722">
        <v>1</v>
      </c>
      <c r="CZ3722">
        <v>0</v>
      </c>
      <c r="DA3722">
        <v>1</v>
      </c>
      <c r="DB3722">
        <v>0</v>
      </c>
      <c r="DC3722">
        <v>0</v>
      </c>
      <c r="DD3722">
        <v>0</v>
      </c>
      <c r="DE3722">
        <v>0</v>
      </c>
      <c r="DF3722">
        <v>0</v>
      </c>
      <c r="DG3722">
        <v>0</v>
      </c>
      <c r="DH3722">
        <v>0</v>
      </c>
      <c r="DI3722">
        <v>0</v>
      </c>
    </row>
    <row r="3723" spans="1:113" x14ac:dyDescent="0.3">
      <c r="A3723" t="str">
        <f>"02/08/2021 20:35:04.029"</f>
        <v>02/08/2021 20:35:04.029</v>
      </c>
      <c r="C3723" t="str">
        <f t="shared" si="185"/>
        <v>FFDFD7C0</v>
      </c>
      <c r="D3723" t="s">
        <v>124</v>
      </c>
      <c r="E3723">
        <v>13</v>
      </c>
      <c r="F3723">
        <v>1013</v>
      </c>
      <c r="G3723" t="s">
        <v>114</v>
      </c>
      <c r="J3723" t="s">
        <v>125</v>
      </c>
      <c r="K3723">
        <v>0</v>
      </c>
      <c r="L3723">
        <v>3</v>
      </c>
      <c r="M3723">
        <v>0</v>
      </c>
      <c r="N3723">
        <v>2</v>
      </c>
      <c r="O3723">
        <v>1</v>
      </c>
      <c r="P3723">
        <v>0</v>
      </c>
      <c r="Q3723">
        <v>0</v>
      </c>
      <c r="S3723" t="str">
        <f>"20:35:06.328"</f>
        <v>20:35:06.328</v>
      </c>
      <c r="T3723" t="str">
        <f>"20:35:05.828"</f>
        <v>20:35:05.828</v>
      </c>
      <c r="U3723" t="str">
        <f t="shared" si="187"/>
        <v>AB01F4</v>
      </c>
      <c r="V3723">
        <v>0</v>
      </c>
      <c r="W3723">
        <v>0</v>
      </c>
      <c r="X3723">
        <v>2</v>
      </c>
      <c r="Z3723">
        <v>0</v>
      </c>
      <c r="AA3723">
        <v>9</v>
      </c>
      <c r="AB3723">
        <v>3</v>
      </c>
      <c r="AC3723">
        <v>0</v>
      </c>
      <c r="AD3723">
        <v>10</v>
      </c>
      <c r="AE3723">
        <v>0</v>
      </c>
      <c r="AF3723">
        <v>3</v>
      </c>
      <c r="AG3723">
        <v>2</v>
      </c>
      <c r="AH3723">
        <v>0</v>
      </c>
      <c r="AI3723" t="s">
        <v>2111</v>
      </c>
      <c r="AJ3723">
        <v>40.116491000000003</v>
      </c>
      <c r="AK3723" t="s">
        <v>2112</v>
      </c>
      <c r="AL3723">
        <v>-93.040165999999999</v>
      </c>
      <c r="AM3723">
        <v>100</v>
      </c>
      <c r="AN3723">
        <v>1300</v>
      </c>
      <c r="AO3723" t="s">
        <v>118</v>
      </c>
      <c r="AP3723">
        <v>-114</v>
      </c>
      <c r="AQ3723">
        <v>61</v>
      </c>
      <c r="AR3723">
        <v>0</v>
      </c>
      <c r="AZ3723">
        <v>1200</v>
      </c>
      <c r="BA3723">
        <v>1</v>
      </c>
      <c r="BB3723" t="str">
        <f t="shared" si="186"/>
        <v xml:space="preserve">N8080G  </v>
      </c>
      <c r="BC3723">
        <v>1</v>
      </c>
      <c r="BE3723">
        <v>0</v>
      </c>
      <c r="BF3723">
        <v>0</v>
      </c>
      <c r="BG3723">
        <v>0</v>
      </c>
      <c r="BH3723">
        <v>1350</v>
      </c>
      <c r="BI3723">
        <v>1</v>
      </c>
      <c r="BJ3723">
        <v>1</v>
      </c>
      <c r="BK3723">
        <v>1</v>
      </c>
      <c r="BL3723">
        <v>0</v>
      </c>
      <c r="BO3723">
        <v>0</v>
      </c>
      <c r="BP3723">
        <v>0</v>
      </c>
      <c r="BW3723" t="str">
        <f>"20:35:06.329"</f>
        <v>20:35:06.329</v>
      </c>
      <c r="BZ3723">
        <v>0</v>
      </c>
      <c r="CA3723">
        <v>1600</v>
      </c>
      <c r="CB3723">
        <v>224</v>
      </c>
      <c r="CD3723">
        <v>1</v>
      </c>
      <c r="CE3723">
        <v>0</v>
      </c>
      <c r="CF3723">
        <v>0</v>
      </c>
      <c r="CG3723">
        <v>1</v>
      </c>
      <c r="CH3723">
        <v>0</v>
      </c>
      <c r="CI3723">
        <v>0</v>
      </c>
      <c r="CJ3723">
        <v>0</v>
      </c>
      <c r="CK3723">
        <v>2</v>
      </c>
      <c r="CL3723">
        <v>0</v>
      </c>
      <c r="CM3723">
        <v>2</v>
      </c>
      <c r="CN3723">
        <v>0</v>
      </c>
      <c r="CO3723">
        <v>6</v>
      </c>
      <c r="CP3723" t="s">
        <v>119</v>
      </c>
      <c r="CQ3723">
        <v>180</v>
      </c>
      <c r="CR3723">
        <v>3</v>
      </c>
      <c r="CW3723">
        <v>1246422</v>
      </c>
      <c r="CY3723">
        <v>1</v>
      </c>
      <c r="CZ3723">
        <v>0</v>
      </c>
      <c r="DA3723">
        <v>0</v>
      </c>
      <c r="DB3723">
        <v>0</v>
      </c>
      <c r="DC3723">
        <v>0</v>
      </c>
      <c r="DD3723">
        <v>0</v>
      </c>
      <c r="DE3723">
        <v>0</v>
      </c>
      <c r="DF3723">
        <v>0</v>
      </c>
      <c r="DG3723">
        <v>0</v>
      </c>
      <c r="DH3723">
        <v>0</v>
      </c>
      <c r="DI3723">
        <v>0</v>
      </c>
    </row>
    <row r="3724" spans="1:113" x14ac:dyDescent="0.3">
      <c r="A3724" t="str">
        <f>"02/08/2021 20:35:04.029"</f>
        <v>02/08/2021 20:35:04.029</v>
      </c>
      <c r="C3724" t="str">
        <f t="shared" si="185"/>
        <v>FFDFD7C0</v>
      </c>
      <c r="D3724" t="s">
        <v>124</v>
      </c>
      <c r="E3724">
        <v>11</v>
      </c>
      <c r="F3724">
        <v>1011</v>
      </c>
      <c r="G3724" t="s">
        <v>590</v>
      </c>
      <c r="J3724" t="s">
        <v>125</v>
      </c>
      <c r="K3724">
        <v>0</v>
      </c>
      <c r="L3724">
        <v>3</v>
      </c>
      <c r="M3724">
        <v>0</v>
      </c>
      <c r="N3724">
        <v>2</v>
      </c>
      <c r="O3724">
        <v>1</v>
      </c>
      <c r="P3724">
        <v>0</v>
      </c>
      <c r="Q3724">
        <v>0</v>
      </c>
      <c r="S3724" t="str">
        <f>"20:35:06.328"</f>
        <v>20:35:06.328</v>
      </c>
      <c r="T3724" t="str">
        <f>"20:35:05.828"</f>
        <v>20:35:05.828</v>
      </c>
      <c r="U3724" t="str">
        <f t="shared" si="187"/>
        <v>AB01F4</v>
      </c>
      <c r="V3724">
        <v>0</v>
      </c>
      <c r="W3724">
        <v>0</v>
      </c>
      <c r="X3724">
        <v>2</v>
      </c>
      <c r="Z3724">
        <v>0</v>
      </c>
      <c r="AA3724">
        <v>9</v>
      </c>
      <c r="AB3724">
        <v>3</v>
      </c>
      <c r="AC3724">
        <v>0</v>
      </c>
      <c r="AD3724">
        <v>10</v>
      </c>
      <c r="AE3724">
        <v>0</v>
      </c>
      <c r="AF3724">
        <v>3</v>
      </c>
      <c r="AG3724">
        <v>2</v>
      </c>
      <c r="AH3724">
        <v>0</v>
      </c>
      <c r="AI3724" t="s">
        <v>2111</v>
      </c>
      <c r="AJ3724">
        <v>40.116491000000003</v>
      </c>
      <c r="AK3724" t="s">
        <v>2112</v>
      </c>
      <c r="AL3724">
        <v>-93.040165999999999</v>
      </c>
      <c r="AM3724">
        <v>100</v>
      </c>
      <c r="AN3724">
        <v>1300</v>
      </c>
      <c r="AO3724" t="s">
        <v>118</v>
      </c>
      <c r="AP3724">
        <v>-114</v>
      </c>
      <c r="AQ3724">
        <v>61</v>
      </c>
      <c r="AR3724">
        <v>0</v>
      </c>
      <c r="AZ3724">
        <v>1200</v>
      </c>
      <c r="BA3724">
        <v>1</v>
      </c>
      <c r="BB3724" t="str">
        <f t="shared" si="186"/>
        <v xml:space="preserve">N8080G  </v>
      </c>
      <c r="BC3724">
        <v>1</v>
      </c>
      <c r="BE3724">
        <v>0</v>
      </c>
      <c r="BF3724">
        <v>0</v>
      </c>
      <c r="BG3724">
        <v>0</v>
      </c>
      <c r="BH3724">
        <v>1350</v>
      </c>
      <c r="BI3724">
        <v>1</v>
      </c>
      <c r="BJ3724">
        <v>1</v>
      </c>
      <c r="BK3724">
        <v>1</v>
      </c>
      <c r="BL3724">
        <v>0</v>
      </c>
      <c r="BO3724">
        <v>0</v>
      </c>
      <c r="BP3724">
        <v>0</v>
      </c>
      <c r="BW3724" t="str">
        <f>"20:35:06.329"</f>
        <v>20:35:06.329</v>
      </c>
      <c r="BZ3724">
        <v>0</v>
      </c>
      <c r="CA3724">
        <v>1600</v>
      </c>
      <c r="CB3724">
        <v>224</v>
      </c>
      <c r="CD3724">
        <v>1</v>
      </c>
      <c r="CE3724">
        <v>0</v>
      </c>
      <c r="CF3724">
        <v>0</v>
      </c>
      <c r="CG3724">
        <v>1</v>
      </c>
      <c r="CH3724">
        <v>0</v>
      </c>
      <c r="CI3724">
        <v>0</v>
      </c>
      <c r="CJ3724">
        <v>0</v>
      </c>
      <c r="CK3724">
        <v>2</v>
      </c>
      <c r="CL3724">
        <v>0</v>
      </c>
      <c r="CM3724">
        <v>2</v>
      </c>
      <c r="CN3724">
        <v>0</v>
      </c>
      <c r="CO3724">
        <v>6</v>
      </c>
      <c r="CP3724" t="s">
        <v>119</v>
      </c>
      <c r="CQ3724">
        <v>180</v>
      </c>
      <c r="CR3724">
        <v>3</v>
      </c>
      <c r="CW3724">
        <v>1246422</v>
      </c>
      <c r="CY3724">
        <v>1</v>
      </c>
      <c r="CZ3724">
        <v>0</v>
      </c>
      <c r="DA3724">
        <v>1</v>
      </c>
      <c r="DB3724">
        <v>0</v>
      </c>
      <c r="DC3724">
        <v>0</v>
      </c>
      <c r="DD3724">
        <v>0</v>
      </c>
      <c r="DE3724">
        <v>0</v>
      </c>
      <c r="DF3724">
        <v>0</v>
      </c>
      <c r="DG3724">
        <v>0</v>
      </c>
      <c r="DH3724">
        <v>0</v>
      </c>
      <c r="DI3724">
        <v>0</v>
      </c>
    </row>
    <row r="3725" spans="1:113" x14ac:dyDescent="0.3">
      <c r="A3725" t="str">
        <f>"02/08/2021 20:35:04.029"</f>
        <v>02/08/2021 20:35:04.029</v>
      </c>
      <c r="C3725" t="str">
        <f t="shared" si="185"/>
        <v>FFDFD7C0</v>
      </c>
      <c r="D3725" t="s">
        <v>113</v>
      </c>
      <c r="E3725">
        <v>6</v>
      </c>
      <c r="H3725">
        <v>165</v>
      </c>
      <c r="I3725" t="s">
        <v>114</v>
      </c>
      <c r="J3725" t="s">
        <v>115</v>
      </c>
      <c r="K3725">
        <v>0</v>
      </c>
      <c r="L3725">
        <v>3</v>
      </c>
      <c r="M3725">
        <v>0</v>
      </c>
      <c r="N3725">
        <v>2</v>
      </c>
      <c r="O3725">
        <v>1</v>
      </c>
      <c r="P3725">
        <v>0</v>
      </c>
      <c r="Q3725">
        <v>0</v>
      </c>
      <c r="S3725" t="str">
        <f>"20:35:06.328"</f>
        <v>20:35:06.328</v>
      </c>
      <c r="T3725" t="str">
        <f>"20:35:05.828"</f>
        <v>20:35:05.828</v>
      </c>
      <c r="U3725" t="str">
        <f t="shared" si="187"/>
        <v>AB01F4</v>
      </c>
      <c r="V3725">
        <v>0</v>
      </c>
      <c r="W3725">
        <v>0</v>
      </c>
      <c r="X3725">
        <v>2</v>
      </c>
      <c r="Z3725">
        <v>0</v>
      </c>
      <c r="AA3725">
        <v>9</v>
      </c>
      <c r="AB3725">
        <v>3</v>
      </c>
      <c r="AC3725">
        <v>0</v>
      </c>
      <c r="AD3725">
        <v>10</v>
      </c>
      <c r="AE3725">
        <v>0</v>
      </c>
      <c r="AF3725">
        <v>3</v>
      </c>
      <c r="AG3725">
        <v>2</v>
      </c>
      <c r="AH3725">
        <v>0</v>
      </c>
      <c r="AI3725" t="s">
        <v>2111</v>
      </c>
      <c r="AJ3725">
        <v>40.116491000000003</v>
      </c>
      <c r="AK3725" t="s">
        <v>2112</v>
      </c>
      <c r="AL3725">
        <v>-93.040165999999999</v>
      </c>
      <c r="AM3725">
        <v>100</v>
      </c>
      <c r="AN3725">
        <v>1300</v>
      </c>
      <c r="AO3725" t="s">
        <v>118</v>
      </c>
      <c r="AP3725">
        <v>-114</v>
      </c>
      <c r="AQ3725">
        <v>61</v>
      </c>
      <c r="AR3725">
        <v>0</v>
      </c>
      <c r="AZ3725">
        <v>1200</v>
      </c>
      <c r="BA3725">
        <v>1</v>
      </c>
      <c r="BB3725" t="str">
        <f t="shared" si="186"/>
        <v xml:space="preserve">N8080G  </v>
      </c>
      <c r="BC3725">
        <v>1</v>
      </c>
      <c r="BE3725">
        <v>0</v>
      </c>
      <c r="BF3725">
        <v>0</v>
      </c>
      <c r="BG3725">
        <v>0</v>
      </c>
      <c r="BH3725">
        <v>1350</v>
      </c>
      <c r="BI3725">
        <v>1</v>
      </c>
      <c r="BJ3725">
        <v>1</v>
      </c>
      <c r="BK3725">
        <v>1</v>
      </c>
      <c r="BL3725">
        <v>0</v>
      </c>
      <c r="BO3725">
        <v>0</v>
      </c>
      <c r="BP3725">
        <v>0</v>
      </c>
      <c r="BW3725" t="str">
        <f>"20:35:06.329"</f>
        <v>20:35:06.329</v>
      </c>
      <c r="BZ3725">
        <v>0</v>
      </c>
      <c r="CA3725">
        <v>1600</v>
      </c>
      <c r="CB3725">
        <v>224</v>
      </c>
      <c r="CD3725">
        <v>1</v>
      </c>
      <c r="CE3725">
        <v>0</v>
      </c>
      <c r="CF3725">
        <v>0</v>
      </c>
      <c r="CG3725">
        <v>1</v>
      </c>
      <c r="CH3725">
        <v>0</v>
      </c>
      <c r="CI3725">
        <v>0</v>
      </c>
      <c r="CJ3725">
        <v>0</v>
      </c>
      <c r="CK3725">
        <v>2</v>
      </c>
      <c r="CL3725">
        <v>0</v>
      </c>
      <c r="CM3725">
        <v>2</v>
      </c>
      <c r="CN3725">
        <v>0</v>
      </c>
      <c r="CO3725">
        <v>6</v>
      </c>
      <c r="CP3725" t="s">
        <v>119</v>
      </c>
      <c r="CQ3725">
        <v>180</v>
      </c>
      <c r="CR3725">
        <v>3</v>
      </c>
      <c r="CW3725">
        <v>1246422</v>
      </c>
      <c r="CY3725">
        <v>1</v>
      </c>
      <c r="CZ3725">
        <v>0</v>
      </c>
      <c r="DA3725">
        <v>1</v>
      </c>
      <c r="DB3725">
        <v>0</v>
      </c>
      <c r="DC3725">
        <v>0</v>
      </c>
      <c r="DD3725">
        <v>0</v>
      </c>
      <c r="DE3725">
        <v>0</v>
      </c>
      <c r="DF3725">
        <v>0</v>
      </c>
      <c r="DG3725">
        <v>0</v>
      </c>
      <c r="DH3725">
        <v>0</v>
      </c>
      <c r="DI3725">
        <v>0</v>
      </c>
    </row>
    <row r="3726" spans="1:113" x14ac:dyDescent="0.3">
      <c r="A3726" t="str">
        <f>"02/08/2021 20:35:04.029"</f>
        <v>02/08/2021 20:35:04.029</v>
      </c>
      <c r="C3726" t="str">
        <f t="shared" si="185"/>
        <v>FFDFD7C0</v>
      </c>
      <c r="D3726" t="s">
        <v>124</v>
      </c>
      <c r="E3726">
        <v>12</v>
      </c>
      <c r="F3726">
        <v>1012</v>
      </c>
      <c r="G3726" t="s">
        <v>675</v>
      </c>
      <c r="J3726" t="s">
        <v>125</v>
      </c>
      <c r="K3726">
        <v>0</v>
      </c>
      <c r="L3726">
        <v>3</v>
      </c>
      <c r="M3726">
        <v>0</v>
      </c>
      <c r="N3726">
        <v>2</v>
      </c>
      <c r="O3726">
        <v>1</v>
      </c>
      <c r="P3726">
        <v>0</v>
      </c>
      <c r="Q3726">
        <v>0</v>
      </c>
      <c r="S3726" t="str">
        <f>"20:35:06.328"</f>
        <v>20:35:06.328</v>
      </c>
      <c r="T3726" t="str">
        <f>"20:35:05.828"</f>
        <v>20:35:05.828</v>
      </c>
      <c r="U3726" t="str">
        <f t="shared" si="187"/>
        <v>AB01F4</v>
      </c>
      <c r="V3726">
        <v>0</v>
      </c>
      <c r="W3726">
        <v>0</v>
      </c>
      <c r="X3726">
        <v>2</v>
      </c>
      <c r="Z3726">
        <v>0</v>
      </c>
      <c r="AA3726">
        <v>9</v>
      </c>
      <c r="AB3726">
        <v>3</v>
      </c>
      <c r="AC3726">
        <v>0</v>
      </c>
      <c r="AD3726">
        <v>10</v>
      </c>
      <c r="AE3726">
        <v>0</v>
      </c>
      <c r="AF3726">
        <v>3</v>
      </c>
      <c r="AG3726">
        <v>2</v>
      </c>
      <c r="AH3726">
        <v>0</v>
      </c>
      <c r="AI3726" t="s">
        <v>2111</v>
      </c>
      <c r="AJ3726">
        <v>40.116491000000003</v>
      </c>
      <c r="AK3726" t="s">
        <v>2112</v>
      </c>
      <c r="AL3726">
        <v>-93.040165999999999</v>
      </c>
      <c r="AM3726">
        <v>100</v>
      </c>
      <c r="AN3726">
        <v>1300</v>
      </c>
      <c r="AO3726" t="s">
        <v>118</v>
      </c>
      <c r="AP3726">
        <v>-114</v>
      </c>
      <c r="AQ3726">
        <v>61</v>
      </c>
      <c r="AR3726">
        <v>0</v>
      </c>
      <c r="AZ3726">
        <v>1200</v>
      </c>
      <c r="BA3726">
        <v>1</v>
      </c>
      <c r="BB3726" t="str">
        <f t="shared" si="186"/>
        <v xml:space="preserve">N8080G  </v>
      </c>
      <c r="BC3726">
        <v>1</v>
      </c>
      <c r="BE3726">
        <v>0</v>
      </c>
      <c r="BF3726">
        <v>0</v>
      </c>
      <c r="BG3726">
        <v>0</v>
      </c>
      <c r="BH3726">
        <v>1350</v>
      </c>
      <c r="BI3726">
        <v>1</v>
      </c>
      <c r="BJ3726">
        <v>1</v>
      </c>
      <c r="BK3726">
        <v>1</v>
      </c>
      <c r="BL3726">
        <v>0</v>
      </c>
      <c r="BO3726">
        <v>0</v>
      </c>
      <c r="BP3726">
        <v>0</v>
      </c>
      <c r="BW3726" t="str">
        <f>"20:35:06.329"</f>
        <v>20:35:06.329</v>
      </c>
      <c r="BZ3726">
        <v>0</v>
      </c>
      <c r="CA3726">
        <v>1600</v>
      </c>
      <c r="CB3726">
        <v>224</v>
      </c>
      <c r="CD3726">
        <v>1</v>
      </c>
      <c r="CE3726">
        <v>0</v>
      </c>
      <c r="CF3726">
        <v>0</v>
      </c>
      <c r="CG3726">
        <v>1</v>
      </c>
      <c r="CH3726">
        <v>0</v>
      </c>
      <c r="CI3726">
        <v>0</v>
      </c>
      <c r="CJ3726">
        <v>0</v>
      </c>
      <c r="CK3726">
        <v>2</v>
      </c>
      <c r="CL3726">
        <v>0</v>
      </c>
      <c r="CM3726">
        <v>2</v>
      </c>
      <c r="CN3726">
        <v>0</v>
      </c>
      <c r="CO3726">
        <v>6</v>
      </c>
      <c r="CP3726" t="s">
        <v>119</v>
      </c>
      <c r="CQ3726">
        <v>180</v>
      </c>
      <c r="CR3726">
        <v>3</v>
      </c>
      <c r="CW3726">
        <v>1246422</v>
      </c>
      <c r="CY3726">
        <v>1</v>
      </c>
      <c r="CZ3726">
        <v>0</v>
      </c>
      <c r="DA3726">
        <v>1</v>
      </c>
      <c r="DB3726">
        <v>0</v>
      </c>
      <c r="DC3726">
        <v>0</v>
      </c>
      <c r="DD3726">
        <v>0</v>
      </c>
      <c r="DE3726">
        <v>0</v>
      </c>
      <c r="DF3726">
        <v>0</v>
      </c>
      <c r="DG3726">
        <v>0</v>
      </c>
      <c r="DH3726">
        <v>0</v>
      </c>
      <c r="DI3726">
        <v>0</v>
      </c>
    </row>
    <row r="3727" spans="1:113" x14ac:dyDescent="0.3">
      <c r="A3727" t="str">
        <f>"02/08/2021 20:35:05.013"</f>
        <v>02/08/2021 20:35:05.013</v>
      </c>
      <c r="C3727" t="str">
        <f t="shared" si="185"/>
        <v>FFDFD7C0</v>
      </c>
      <c r="D3727" t="s">
        <v>124</v>
      </c>
      <c r="E3727">
        <v>12</v>
      </c>
      <c r="F3727">
        <v>1012</v>
      </c>
      <c r="G3727" t="s">
        <v>675</v>
      </c>
      <c r="J3727" t="s">
        <v>125</v>
      </c>
      <c r="K3727">
        <v>0</v>
      </c>
      <c r="L3727">
        <v>3</v>
      </c>
      <c r="M3727">
        <v>0</v>
      </c>
      <c r="N3727">
        <v>2</v>
      </c>
      <c r="O3727">
        <v>1</v>
      </c>
      <c r="P3727">
        <v>0</v>
      </c>
      <c r="Q3727">
        <v>0</v>
      </c>
      <c r="S3727" t="str">
        <f>"20:35:07.359"</f>
        <v>20:35:07.359</v>
      </c>
      <c r="T3727" t="str">
        <f>"20:35:06.959"</f>
        <v>20:35:06.959</v>
      </c>
      <c r="U3727" t="str">
        <f t="shared" si="187"/>
        <v>AB01F4</v>
      </c>
      <c r="V3727">
        <v>0</v>
      </c>
      <c r="W3727">
        <v>0</v>
      </c>
      <c r="X3727">
        <v>2</v>
      </c>
      <c r="Z3727">
        <v>0</v>
      </c>
      <c r="AA3727">
        <v>9</v>
      </c>
      <c r="AB3727">
        <v>3</v>
      </c>
      <c r="AC3727">
        <v>0</v>
      </c>
      <c r="AD3727">
        <v>10</v>
      </c>
      <c r="AE3727">
        <v>0</v>
      </c>
      <c r="AF3727">
        <v>3</v>
      </c>
      <c r="AG3727">
        <v>2</v>
      </c>
      <c r="AH3727">
        <v>0</v>
      </c>
      <c r="AI3727" t="s">
        <v>2113</v>
      </c>
      <c r="AJ3727">
        <v>40.116770000000002</v>
      </c>
      <c r="AK3727" t="s">
        <v>2114</v>
      </c>
      <c r="AL3727">
        <v>-93.040895000000006</v>
      </c>
      <c r="AM3727">
        <v>100</v>
      </c>
      <c r="AN3727">
        <v>1300</v>
      </c>
      <c r="AO3727" t="s">
        <v>118</v>
      </c>
      <c r="AP3727">
        <v>-114</v>
      </c>
      <c r="AQ3727">
        <v>61</v>
      </c>
      <c r="AR3727">
        <v>0</v>
      </c>
      <c r="AZ3727">
        <v>1200</v>
      </c>
      <c r="BA3727">
        <v>1</v>
      </c>
      <c r="BB3727" t="str">
        <f t="shared" si="186"/>
        <v xml:space="preserve">N8080G  </v>
      </c>
      <c r="BC3727">
        <v>1</v>
      </c>
      <c r="BE3727">
        <v>0</v>
      </c>
      <c r="BF3727">
        <v>0</v>
      </c>
      <c r="BG3727">
        <v>0</v>
      </c>
      <c r="BH3727">
        <v>1350</v>
      </c>
      <c r="BI3727">
        <v>1</v>
      </c>
      <c r="BJ3727">
        <v>1</v>
      </c>
      <c r="BK3727">
        <v>1</v>
      </c>
      <c r="BL3727">
        <v>0</v>
      </c>
      <c r="BO3727">
        <v>0</v>
      </c>
      <c r="BP3727">
        <v>0</v>
      </c>
      <c r="BW3727" t="str">
        <f>"20:35:07.361"</f>
        <v>20:35:07.361</v>
      </c>
      <c r="BZ3727">
        <v>0</v>
      </c>
      <c r="CA3727">
        <v>1600</v>
      </c>
      <c r="CB3727">
        <v>224</v>
      </c>
      <c r="CD3727">
        <v>1</v>
      </c>
      <c r="CE3727">
        <v>0</v>
      </c>
      <c r="CF3727">
        <v>0</v>
      </c>
      <c r="CG3727">
        <v>1</v>
      </c>
      <c r="CH3727">
        <v>0</v>
      </c>
      <c r="CI3727">
        <v>0</v>
      </c>
      <c r="CJ3727">
        <v>0</v>
      </c>
      <c r="CK3727">
        <v>2</v>
      </c>
      <c r="CL3727">
        <v>0</v>
      </c>
      <c r="CM3727">
        <v>2</v>
      </c>
      <c r="CN3727">
        <v>0</v>
      </c>
      <c r="CO3727">
        <v>1</v>
      </c>
      <c r="CP3727" t="s">
        <v>119</v>
      </c>
      <c r="CQ3727">
        <v>179</v>
      </c>
      <c r="CR3727">
        <v>2</v>
      </c>
      <c r="CW3727">
        <v>12513396</v>
      </c>
      <c r="CY3727">
        <v>1</v>
      </c>
      <c r="CZ3727">
        <v>0</v>
      </c>
      <c r="DA3727">
        <v>0</v>
      </c>
      <c r="DB3727">
        <v>0</v>
      </c>
      <c r="DC3727">
        <v>0</v>
      </c>
      <c r="DD3727">
        <v>0</v>
      </c>
      <c r="DE3727">
        <v>0</v>
      </c>
      <c r="DF3727">
        <v>0</v>
      </c>
      <c r="DG3727">
        <v>0</v>
      </c>
      <c r="DH3727">
        <v>0</v>
      </c>
      <c r="DI3727">
        <v>0</v>
      </c>
    </row>
    <row r="3728" spans="1:113" x14ac:dyDescent="0.3">
      <c r="A3728" t="str">
        <f>"02/08/2021 20:35:05.013"</f>
        <v>02/08/2021 20:35:05.013</v>
      </c>
      <c r="C3728" t="str">
        <f t="shared" si="185"/>
        <v>FFDFD7C0</v>
      </c>
      <c r="D3728" t="s">
        <v>124</v>
      </c>
      <c r="E3728">
        <v>13</v>
      </c>
      <c r="F3728">
        <v>1013</v>
      </c>
      <c r="G3728" t="s">
        <v>114</v>
      </c>
      <c r="J3728" t="s">
        <v>125</v>
      </c>
      <c r="K3728">
        <v>0</v>
      </c>
      <c r="L3728">
        <v>3</v>
      </c>
      <c r="M3728">
        <v>0</v>
      </c>
      <c r="N3728">
        <v>2</v>
      </c>
      <c r="O3728">
        <v>1</v>
      </c>
      <c r="P3728">
        <v>0</v>
      </c>
      <c r="Q3728">
        <v>0</v>
      </c>
      <c r="S3728" t="str">
        <f>"20:35:07.359"</f>
        <v>20:35:07.359</v>
      </c>
      <c r="T3728" t="str">
        <f>"20:35:06.959"</f>
        <v>20:35:06.959</v>
      </c>
      <c r="U3728" t="str">
        <f t="shared" si="187"/>
        <v>AB01F4</v>
      </c>
      <c r="V3728">
        <v>0</v>
      </c>
      <c r="W3728">
        <v>0</v>
      </c>
      <c r="X3728">
        <v>2</v>
      </c>
      <c r="Z3728">
        <v>0</v>
      </c>
      <c r="AA3728">
        <v>9</v>
      </c>
      <c r="AB3728">
        <v>3</v>
      </c>
      <c r="AC3728">
        <v>0</v>
      </c>
      <c r="AD3728">
        <v>10</v>
      </c>
      <c r="AE3728">
        <v>0</v>
      </c>
      <c r="AF3728">
        <v>3</v>
      </c>
      <c r="AG3728">
        <v>2</v>
      </c>
      <c r="AH3728">
        <v>0</v>
      </c>
      <c r="AI3728" t="s">
        <v>2113</v>
      </c>
      <c r="AJ3728">
        <v>40.116770000000002</v>
      </c>
      <c r="AK3728" t="s">
        <v>2114</v>
      </c>
      <c r="AL3728">
        <v>-93.040895000000006</v>
      </c>
      <c r="AM3728">
        <v>100</v>
      </c>
      <c r="AN3728">
        <v>1300</v>
      </c>
      <c r="AO3728" t="s">
        <v>118</v>
      </c>
      <c r="AP3728">
        <v>-114</v>
      </c>
      <c r="AQ3728">
        <v>61</v>
      </c>
      <c r="AR3728">
        <v>0</v>
      </c>
      <c r="AZ3728">
        <v>1200</v>
      </c>
      <c r="BA3728">
        <v>1</v>
      </c>
      <c r="BB3728" t="str">
        <f t="shared" si="186"/>
        <v xml:space="preserve">N8080G  </v>
      </c>
      <c r="BC3728">
        <v>1</v>
      </c>
      <c r="BE3728">
        <v>0</v>
      </c>
      <c r="BF3728">
        <v>0</v>
      </c>
      <c r="BG3728">
        <v>0</v>
      </c>
      <c r="BH3728">
        <v>1350</v>
      </c>
      <c r="BI3728">
        <v>1</v>
      </c>
      <c r="BJ3728">
        <v>1</v>
      </c>
      <c r="BK3728">
        <v>1</v>
      </c>
      <c r="BL3728">
        <v>0</v>
      </c>
      <c r="BO3728">
        <v>0</v>
      </c>
      <c r="BP3728">
        <v>0</v>
      </c>
      <c r="BW3728" t="str">
        <f>"20:35:07.361"</f>
        <v>20:35:07.361</v>
      </c>
      <c r="BZ3728">
        <v>0</v>
      </c>
      <c r="CA3728">
        <v>1600</v>
      </c>
      <c r="CB3728">
        <v>224</v>
      </c>
      <c r="CD3728">
        <v>1</v>
      </c>
      <c r="CE3728">
        <v>0</v>
      </c>
      <c r="CF3728">
        <v>0</v>
      </c>
      <c r="CG3728">
        <v>1</v>
      </c>
      <c r="CH3728">
        <v>0</v>
      </c>
      <c r="CI3728">
        <v>0</v>
      </c>
      <c r="CJ3728">
        <v>0</v>
      </c>
      <c r="CK3728">
        <v>2</v>
      </c>
      <c r="CL3728">
        <v>0</v>
      </c>
      <c r="CM3728">
        <v>2</v>
      </c>
      <c r="CN3728">
        <v>0</v>
      </c>
      <c r="CO3728">
        <v>1</v>
      </c>
      <c r="CP3728" t="s">
        <v>119</v>
      </c>
      <c r="CQ3728">
        <v>179</v>
      </c>
      <c r="CR3728">
        <v>2</v>
      </c>
      <c r="CW3728">
        <v>12513396</v>
      </c>
      <c r="CY3728">
        <v>1</v>
      </c>
      <c r="CZ3728">
        <v>0</v>
      </c>
      <c r="DA3728">
        <v>1</v>
      </c>
      <c r="DB3728">
        <v>0</v>
      </c>
      <c r="DC3728">
        <v>0</v>
      </c>
      <c r="DD3728">
        <v>0</v>
      </c>
      <c r="DE3728">
        <v>0</v>
      </c>
      <c r="DF3728">
        <v>0</v>
      </c>
      <c r="DG3728">
        <v>0</v>
      </c>
      <c r="DH3728">
        <v>0</v>
      </c>
      <c r="DI3728">
        <v>0</v>
      </c>
    </row>
    <row r="3729" spans="1:113" x14ac:dyDescent="0.3">
      <c r="A3729" t="str">
        <f>"02/08/2021 20:35:05.013"</f>
        <v>02/08/2021 20:35:05.013</v>
      </c>
      <c r="C3729" t="str">
        <f t="shared" si="185"/>
        <v>FFDFD7C0</v>
      </c>
      <c r="D3729" t="s">
        <v>124</v>
      </c>
      <c r="E3729">
        <v>11</v>
      </c>
      <c r="F3729">
        <v>1011</v>
      </c>
      <c r="G3729" t="s">
        <v>590</v>
      </c>
      <c r="J3729" t="s">
        <v>125</v>
      </c>
      <c r="K3729">
        <v>0</v>
      </c>
      <c r="L3729">
        <v>3</v>
      </c>
      <c r="M3729">
        <v>0</v>
      </c>
      <c r="N3729">
        <v>2</v>
      </c>
      <c r="O3729">
        <v>1</v>
      </c>
      <c r="P3729">
        <v>0</v>
      </c>
      <c r="Q3729">
        <v>0</v>
      </c>
      <c r="S3729" t="str">
        <f>"20:35:07.359"</f>
        <v>20:35:07.359</v>
      </c>
      <c r="T3729" t="str">
        <f>"20:35:06.959"</f>
        <v>20:35:06.959</v>
      </c>
      <c r="U3729" t="str">
        <f t="shared" si="187"/>
        <v>AB01F4</v>
      </c>
      <c r="V3729">
        <v>0</v>
      </c>
      <c r="W3729">
        <v>0</v>
      </c>
      <c r="X3729">
        <v>2</v>
      </c>
      <c r="Z3729">
        <v>0</v>
      </c>
      <c r="AA3729">
        <v>9</v>
      </c>
      <c r="AB3729">
        <v>3</v>
      </c>
      <c r="AC3729">
        <v>0</v>
      </c>
      <c r="AD3729">
        <v>10</v>
      </c>
      <c r="AE3729">
        <v>0</v>
      </c>
      <c r="AF3729">
        <v>3</v>
      </c>
      <c r="AG3729">
        <v>2</v>
      </c>
      <c r="AH3729">
        <v>0</v>
      </c>
      <c r="AI3729" t="s">
        <v>2113</v>
      </c>
      <c r="AJ3729">
        <v>40.116770000000002</v>
      </c>
      <c r="AK3729" t="s">
        <v>2114</v>
      </c>
      <c r="AL3729">
        <v>-93.040895000000006</v>
      </c>
      <c r="AM3729">
        <v>100</v>
      </c>
      <c r="AN3729">
        <v>1300</v>
      </c>
      <c r="AO3729" t="s">
        <v>118</v>
      </c>
      <c r="AP3729">
        <v>-114</v>
      </c>
      <c r="AQ3729">
        <v>61</v>
      </c>
      <c r="AR3729">
        <v>0</v>
      </c>
      <c r="AZ3729">
        <v>1200</v>
      </c>
      <c r="BA3729">
        <v>1</v>
      </c>
      <c r="BB3729" t="str">
        <f t="shared" si="186"/>
        <v xml:space="preserve">N8080G  </v>
      </c>
      <c r="BC3729">
        <v>1</v>
      </c>
      <c r="BE3729">
        <v>0</v>
      </c>
      <c r="BF3729">
        <v>0</v>
      </c>
      <c r="BG3729">
        <v>0</v>
      </c>
      <c r="BH3729">
        <v>1350</v>
      </c>
      <c r="BI3729">
        <v>1</v>
      </c>
      <c r="BJ3729">
        <v>1</v>
      </c>
      <c r="BK3729">
        <v>1</v>
      </c>
      <c r="BL3729">
        <v>0</v>
      </c>
      <c r="BO3729">
        <v>0</v>
      </c>
      <c r="BP3729">
        <v>0</v>
      </c>
      <c r="BW3729" t="str">
        <f>"20:35:07.361"</f>
        <v>20:35:07.361</v>
      </c>
      <c r="BZ3729">
        <v>0</v>
      </c>
      <c r="CA3729">
        <v>1600</v>
      </c>
      <c r="CB3729">
        <v>224</v>
      </c>
      <c r="CD3729">
        <v>1</v>
      </c>
      <c r="CE3729">
        <v>0</v>
      </c>
      <c r="CF3729">
        <v>0</v>
      </c>
      <c r="CG3729">
        <v>1</v>
      </c>
      <c r="CH3729">
        <v>0</v>
      </c>
      <c r="CI3729">
        <v>0</v>
      </c>
      <c r="CJ3729">
        <v>0</v>
      </c>
      <c r="CK3729">
        <v>2</v>
      </c>
      <c r="CL3729">
        <v>0</v>
      </c>
      <c r="CM3729">
        <v>2</v>
      </c>
      <c r="CN3729">
        <v>0</v>
      </c>
      <c r="CO3729">
        <v>1</v>
      </c>
      <c r="CP3729" t="s">
        <v>119</v>
      </c>
      <c r="CQ3729">
        <v>179</v>
      </c>
      <c r="CR3729">
        <v>2</v>
      </c>
      <c r="CW3729">
        <v>12513396</v>
      </c>
      <c r="CY3729">
        <v>1</v>
      </c>
      <c r="CZ3729">
        <v>0</v>
      </c>
      <c r="DA3729">
        <v>1</v>
      </c>
      <c r="DB3729">
        <v>0</v>
      </c>
      <c r="DC3729">
        <v>0</v>
      </c>
      <c r="DD3729">
        <v>0</v>
      </c>
      <c r="DE3729">
        <v>0</v>
      </c>
      <c r="DF3729">
        <v>0</v>
      </c>
      <c r="DG3729">
        <v>0</v>
      </c>
      <c r="DH3729">
        <v>0</v>
      </c>
      <c r="DI3729">
        <v>0</v>
      </c>
    </row>
    <row r="3730" spans="1:113" x14ac:dyDescent="0.3">
      <c r="A3730" t="str">
        <f>"02/08/2021 20:35:05.013"</f>
        <v>02/08/2021 20:35:05.013</v>
      </c>
      <c r="C3730" t="str">
        <f t="shared" si="185"/>
        <v>FFDFD7C0</v>
      </c>
      <c r="D3730" t="s">
        <v>113</v>
      </c>
      <c r="E3730">
        <v>6</v>
      </c>
      <c r="H3730">
        <v>165</v>
      </c>
      <c r="I3730" t="s">
        <v>114</v>
      </c>
      <c r="J3730" t="s">
        <v>115</v>
      </c>
      <c r="K3730">
        <v>0</v>
      </c>
      <c r="L3730">
        <v>3</v>
      </c>
      <c r="M3730">
        <v>0</v>
      </c>
      <c r="N3730">
        <v>2</v>
      </c>
      <c r="O3730">
        <v>1</v>
      </c>
      <c r="P3730">
        <v>0</v>
      </c>
      <c r="Q3730">
        <v>0</v>
      </c>
      <c r="S3730" t="str">
        <f>"20:35:07.359"</f>
        <v>20:35:07.359</v>
      </c>
      <c r="T3730" t="str">
        <f>"20:35:06.959"</f>
        <v>20:35:06.959</v>
      </c>
      <c r="U3730" t="str">
        <f t="shared" si="187"/>
        <v>AB01F4</v>
      </c>
      <c r="V3730">
        <v>0</v>
      </c>
      <c r="W3730">
        <v>0</v>
      </c>
      <c r="X3730">
        <v>2</v>
      </c>
      <c r="Z3730">
        <v>0</v>
      </c>
      <c r="AA3730">
        <v>9</v>
      </c>
      <c r="AB3730">
        <v>3</v>
      </c>
      <c r="AC3730">
        <v>0</v>
      </c>
      <c r="AD3730">
        <v>10</v>
      </c>
      <c r="AE3730">
        <v>0</v>
      </c>
      <c r="AF3730">
        <v>3</v>
      </c>
      <c r="AG3730">
        <v>2</v>
      </c>
      <c r="AH3730">
        <v>0</v>
      </c>
      <c r="AI3730" t="s">
        <v>2113</v>
      </c>
      <c r="AJ3730">
        <v>40.116770000000002</v>
      </c>
      <c r="AK3730" t="s">
        <v>2114</v>
      </c>
      <c r="AL3730">
        <v>-93.040895000000006</v>
      </c>
      <c r="AM3730">
        <v>100</v>
      </c>
      <c r="AN3730">
        <v>1300</v>
      </c>
      <c r="AO3730" t="s">
        <v>118</v>
      </c>
      <c r="AP3730">
        <v>-114</v>
      </c>
      <c r="AQ3730">
        <v>61</v>
      </c>
      <c r="AR3730">
        <v>0</v>
      </c>
      <c r="AZ3730">
        <v>1200</v>
      </c>
      <c r="BA3730">
        <v>1</v>
      </c>
      <c r="BB3730" t="str">
        <f t="shared" si="186"/>
        <v xml:space="preserve">N8080G  </v>
      </c>
      <c r="BC3730">
        <v>1</v>
      </c>
      <c r="BE3730">
        <v>0</v>
      </c>
      <c r="BF3730">
        <v>0</v>
      </c>
      <c r="BG3730">
        <v>0</v>
      </c>
      <c r="BH3730">
        <v>1350</v>
      </c>
      <c r="BI3730">
        <v>1</v>
      </c>
      <c r="BJ3730">
        <v>1</v>
      </c>
      <c r="BK3730">
        <v>1</v>
      </c>
      <c r="BL3730">
        <v>0</v>
      </c>
      <c r="BO3730">
        <v>0</v>
      </c>
      <c r="BP3730">
        <v>0</v>
      </c>
      <c r="BW3730" t="str">
        <f>"20:35:07.361"</f>
        <v>20:35:07.361</v>
      </c>
      <c r="BZ3730">
        <v>0</v>
      </c>
      <c r="CA3730">
        <v>1600</v>
      </c>
      <c r="CB3730">
        <v>224</v>
      </c>
      <c r="CD3730">
        <v>1</v>
      </c>
      <c r="CE3730">
        <v>0</v>
      </c>
      <c r="CF3730">
        <v>0</v>
      </c>
      <c r="CG3730">
        <v>1</v>
      </c>
      <c r="CH3730">
        <v>0</v>
      </c>
      <c r="CI3730">
        <v>0</v>
      </c>
      <c r="CJ3730">
        <v>0</v>
      </c>
      <c r="CK3730">
        <v>2</v>
      </c>
      <c r="CL3730">
        <v>0</v>
      </c>
      <c r="CM3730">
        <v>2</v>
      </c>
      <c r="CN3730">
        <v>0</v>
      </c>
      <c r="CO3730">
        <v>1</v>
      </c>
      <c r="CP3730" t="s">
        <v>119</v>
      </c>
      <c r="CQ3730">
        <v>179</v>
      </c>
      <c r="CR3730">
        <v>2</v>
      </c>
      <c r="CW3730">
        <v>12513396</v>
      </c>
      <c r="CY3730">
        <v>1</v>
      </c>
      <c r="CZ3730">
        <v>0</v>
      </c>
      <c r="DA3730">
        <v>1</v>
      </c>
      <c r="DB3730">
        <v>0</v>
      </c>
      <c r="DC3730">
        <v>0</v>
      </c>
      <c r="DD3730">
        <v>0</v>
      </c>
      <c r="DE3730">
        <v>0</v>
      </c>
      <c r="DF3730">
        <v>0</v>
      </c>
      <c r="DG3730">
        <v>0</v>
      </c>
      <c r="DH3730">
        <v>0</v>
      </c>
      <c r="DI3730">
        <v>0</v>
      </c>
    </row>
    <row r="3731" spans="1:113" x14ac:dyDescent="0.3">
      <c r="A3731" t="str">
        <f>"02/08/2021 20:35:07.899"</f>
        <v>02/08/2021 20:35:07.899</v>
      </c>
      <c r="C3731" t="str">
        <f t="shared" si="185"/>
        <v>FFDFD7C0</v>
      </c>
      <c r="D3731" t="s">
        <v>124</v>
      </c>
      <c r="E3731">
        <v>13</v>
      </c>
      <c r="F3731">
        <v>1013</v>
      </c>
      <c r="G3731" t="s">
        <v>114</v>
      </c>
      <c r="J3731" t="s">
        <v>125</v>
      </c>
      <c r="K3731">
        <v>0</v>
      </c>
      <c r="L3731">
        <v>3</v>
      </c>
      <c r="M3731">
        <v>0</v>
      </c>
      <c r="N3731">
        <v>2</v>
      </c>
      <c r="O3731">
        <v>1</v>
      </c>
      <c r="P3731">
        <v>0</v>
      </c>
      <c r="Q3731">
        <v>0</v>
      </c>
      <c r="S3731" t="str">
        <f>"20:35:10.219"</f>
        <v>20:35:10.219</v>
      </c>
      <c r="T3731" t="str">
        <f>"20:35:09.819"</f>
        <v>20:35:09.819</v>
      </c>
      <c r="U3731" t="str">
        <f t="shared" si="187"/>
        <v>AB01F4</v>
      </c>
      <c r="V3731">
        <v>0</v>
      </c>
      <c r="W3731">
        <v>0</v>
      </c>
      <c r="X3731">
        <v>2</v>
      </c>
      <c r="Z3731">
        <v>0</v>
      </c>
      <c r="AA3731">
        <v>9</v>
      </c>
      <c r="AB3731">
        <v>3</v>
      </c>
      <c r="AC3731">
        <v>0</v>
      </c>
      <c r="AD3731">
        <v>10</v>
      </c>
      <c r="AE3731">
        <v>0</v>
      </c>
      <c r="AF3731">
        <v>3</v>
      </c>
      <c r="AG3731">
        <v>2</v>
      </c>
      <c r="AH3731">
        <v>0</v>
      </c>
      <c r="AI3731" t="s">
        <v>2115</v>
      </c>
      <c r="AJ3731">
        <v>40.117542999999998</v>
      </c>
      <c r="AK3731" t="s">
        <v>2116</v>
      </c>
      <c r="AL3731">
        <v>-93.042783999999997</v>
      </c>
      <c r="AM3731">
        <v>100</v>
      </c>
      <c r="AN3731">
        <v>1300</v>
      </c>
      <c r="AO3731" t="s">
        <v>118</v>
      </c>
      <c r="AP3731">
        <v>-114</v>
      </c>
      <c r="AQ3731">
        <v>61</v>
      </c>
      <c r="AR3731">
        <v>128</v>
      </c>
      <c r="AZ3731">
        <v>1200</v>
      </c>
      <c r="BA3731">
        <v>1</v>
      </c>
      <c r="BB3731" t="str">
        <f t="shared" si="186"/>
        <v xml:space="preserve">N8080G  </v>
      </c>
      <c r="BC3731">
        <v>1</v>
      </c>
      <c r="BE3731">
        <v>0</v>
      </c>
      <c r="BF3731">
        <v>0</v>
      </c>
      <c r="BG3731">
        <v>0</v>
      </c>
      <c r="BH3731">
        <v>1350</v>
      </c>
      <c r="BI3731">
        <v>1</v>
      </c>
      <c r="BJ3731">
        <v>1</v>
      </c>
      <c r="BK3731">
        <v>1</v>
      </c>
      <c r="BL3731">
        <v>0</v>
      </c>
      <c r="BO3731">
        <v>0</v>
      </c>
      <c r="BP3731">
        <v>0</v>
      </c>
      <c r="BW3731" t="str">
        <f>"20:35:10.225"</f>
        <v>20:35:10.225</v>
      </c>
      <c r="BZ3731">
        <v>0</v>
      </c>
      <c r="CA3731">
        <v>1600</v>
      </c>
      <c r="CB3731">
        <v>224</v>
      </c>
      <c r="CD3731">
        <v>1</v>
      </c>
      <c r="CE3731">
        <v>0</v>
      </c>
      <c r="CF3731">
        <v>0</v>
      </c>
      <c r="CG3731">
        <v>1</v>
      </c>
      <c r="CH3731">
        <v>0</v>
      </c>
      <c r="CI3731">
        <v>0</v>
      </c>
      <c r="CJ3731">
        <v>0</v>
      </c>
      <c r="CK3731">
        <v>2</v>
      </c>
      <c r="CL3731">
        <v>0</v>
      </c>
      <c r="CM3731">
        <v>2</v>
      </c>
      <c r="CN3731">
        <v>0</v>
      </c>
      <c r="CO3731">
        <v>1</v>
      </c>
      <c r="CP3731" t="s">
        <v>119</v>
      </c>
      <c r="CQ3731">
        <v>179</v>
      </c>
      <c r="CR3731">
        <v>1</v>
      </c>
      <c r="CW3731">
        <v>9391920</v>
      </c>
      <c r="CY3731">
        <v>1</v>
      </c>
      <c r="CZ3731">
        <v>0</v>
      </c>
      <c r="DA3731">
        <v>0</v>
      </c>
      <c r="DB3731">
        <v>0</v>
      </c>
      <c r="DC3731">
        <v>0</v>
      </c>
      <c r="DD3731">
        <v>0</v>
      </c>
      <c r="DE3731">
        <v>0</v>
      </c>
      <c r="DF3731">
        <v>0</v>
      </c>
      <c r="DG3731">
        <v>0</v>
      </c>
      <c r="DH3731">
        <v>0</v>
      </c>
      <c r="DI3731">
        <v>0</v>
      </c>
    </row>
    <row r="3732" spans="1:113" x14ac:dyDescent="0.3">
      <c r="A3732" t="str">
        <f>"02/08/2021 20:35:07.899"</f>
        <v>02/08/2021 20:35:07.899</v>
      </c>
      <c r="C3732" t="str">
        <f t="shared" si="185"/>
        <v>FFDFD7C0</v>
      </c>
      <c r="D3732" t="s">
        <v>124</v>
      </c>
      <c r="E3732">
        <v>11</v>
      </c>
      <c r="F3732">
        <v>1011</v>
      </c>
      <c r="G3732" t="s">
        <v>590</v>
      </c>
      <c r="J3732" t="s">
        <v>125</v>
      </c>
      <c r="K3732">
        <v>0</v>
      </c>
      <c r="L3732">
        <v>3</v>
      </c>
      <c r="M3732">
        <v>0</v>
      </c>
      <c r="N3732">
        <v>2</v>
      </c>
      <c r="O3732">
        <v>1</v>
      </c>
      <c r="P3732">
        <v>0</v>
      </c>
      <c r="Q3732">
        <v>0</v>
      </c>
      <c r="S3732" t="str">
        <f>"20:35:10.219"</f>
        <v>20:35:10.219</v>
      </c>
      <c r="T3732" t="str">
        <f>"20:35:09.819"</f>
        <v>20:35:09.819</v>
      </c>
      <c r="U3732" t="str">
        <f t="shared" si="187"/>
        <v>AB01F4</v>
      </c>
      <c r="V3732">
        <v>0</v>
      </c>
      <c r="W3732">
        <v>0</v>
      </c>
      <c r="X3732">
        <v>2</v>
      </c>
      <c r="Z3732">
        <v>0</v>
      </c>
      <c r="AA3732">
        <v>9</v>
      </c>
      <c r="AB3732">
        <v>3</v>
      </c>
      <c r="AC3732">
        <v>0</v>
      </c>
      <c r="AD3732">
        <v>10</v>
      </c>
      <c r="AE3732">
        <v>0</v>
      </c>
      <c r="AF3732">
        <v>3</v>
      </c>
      <c r="AG3732">
        <v>2</v>
      </c>
      <c r="AH3732">
        <v>0</v>
      </c>
      <c r="AI3732" t="s">
        <v>2115</v>
      </c>
      <c r="AJ3732">
        <v>40.117542999999998</v>
      </c>
      <c r="AK3732" t="s">
        <v>2116</v>
      </c>
      <c r="AL3732">
        <v>-93.042783999999997</v>
      </c>
      <c r="AM3732">
        <v>100</v>
      </c>
      <c r="AN3732">
        <v>1300</v>
      </c>
      <c r="AO3732" t="s">
        <v>118</v>
      </c>
      <c r="AP3732">
        <v>-114</v>
      </c>
      <c r="AQ3732">
        <v>61</v>
      </c>
      <c r="AR3732">
        <v>128</v>
      </c>
      <c r="AZ3732">
        <v>1200</v>
      </c>
      <c r="BA3732">
        <v>1</v>
      </c>
      <c r="BB3732" t="str">
        <f t="shared" si="186"/>
        <v xml:space="preserve">N8080G  </v>
      </c>
      <c r="BC3732">
        <v>1</v>
      </c>
      <c r="BE3732">
        <v>0</v>
      </c>
      <c r="BF3732">
        <v>0</v>
      </c>
      <c r="BG3732">
        <v>0</v>
      </c>
      <c r="BH3732">
        <v>1350</v>
      </c>
      <c r="BI3732">
        <v>1</v>
      </c>
      <c r="BJ3732">
        <v>1</v>
      </c>
      <c r="BK3732">
        <v>1</v>
      </c>
      <c r="BL3732">
        <v>0</v>
      </c>
      <c r="BO3732">
        <v>0</v>
      </c>
      <c r="BP3732">
        <v>0</v>
      </c>
      <c r="BW3732" t="str">
        <f>"20:35:10.225"</f>
        <v>20:35:10.225</v>
      </c>
      <c r="BZ3732">
        <v>0</v>
      </c>
      <c r="CA3732">
        <v>1600</v>
      </c>
      <c r="CB3732">
        <v>224</v>
      </c>
      <c r="CD3732">
        <v>1</v>
      </c>
      <c r="CE3732">
        <v>0</v>
      </c>
      <c r="CF3732">
        <v>0</v>
      </c>
      <c r="CG3732">
        <v>1</v>
      </c>
      <c r="CH3732">
        <v>0</v>
      </c>
      <c r="CI3732">
        <v>0</v>
      </c>
      <c r="CJ3732">
        <v>0</v>
      </c>
      <c r="CK3732">
        <v>2</v>
      </c>
      <c r="CL3732">
        <v>0</v>
      </c>
      <c r="CM3732">
        <v>2</v>
      </c>
      <c r="CN3732">
        <v>0</v>
      </c>
      <c r="CO3732">
        <v>1</v>
      </c>
      <c r="CP3732" t="s">
        <v>119</v>
      </c>
      <c r="CQ3732">
        <v>179</v>
      </c>
      <c r="CR3732">
        <v>1</v>
      </c>
      <c r="CW3732">
        <v>9391920</v>
      </c>
      <c r="CY3732">
        <v>1</v>
      </c>
      <c r="CZ3732">
        <v>0</v>
      </c>
      <c r="DA3732">
        <v>1</v>
      </c>
      <c r="DB3732">
        <v>0</v>
      </c>
      <c r="DC3732">
        <v>0</v>
      </c>
      <c r="DD3732">
        <v>0</v>
      </c>
      <c r="DE3732">
        <v>0</v>
      </c>
      <c r="DF3732">
        <v>0</v>
      </c>
      <c r="DG3732">
        <v>0</v>
      </c>
      <c r="DH3732">
        <v>0</v>
      </c>
      <c r="DI3732">
        <v>0</v>
      </c>
    </row>
    <row r="3733" spans="1:113" x14ac:dyDescent="0.3">
      <c r="A3733" t="str">
        <f>"02/08/2021 20:35:07.899"</f>
        <v>02/08/2021 20:35:07.899</v>
      </c>
      <c r="C3733" t="str">
        <f t="shared" si="185"/>
        <v>FFDFD7C0</v>
      </c>
      <c r="D3733" t="s">
        <v>124</v>
      </c>
      <c r="E3733">
        <v>12</v>
      </c>
      <c r="F3733">
        <v>1012</v>
      </c>
      <c r="G3733" t="s">
        <v>675</v>
      </c>
      <c r="J3733" t="s">
        <v>125</v>
      </c>
      <c r="K3733">
        <v>0</v>
      </c>
      <c r="L3733">
        <v>3</v>
      </c>
      <c r="M3733">
        <v>0</v>
      </c>
      <c r="N3733">
        <v>2</v>
      </c>
      <c r="O3733">
        <v>1</v>
      </c>
      <c r="P3733">
        <v>0</v>
      </c>
      <c r="Q3733">
        <v>0</v>
      </c>
      <c r="S3733" t="str">
        <f>"20:35:10.219"</f>
        <v>20:35:10.219</v>
      </c>
      <c r="T3733" t="str">
        <f>"20:35:09.819"</f>
        <v>20:35:09.819</v>
      </c>
      <c r="U3733" t="str">
        <f t="shared" si="187"/>
        <v>AB01F4</v>
      </c>
      <c r="V3733">
        <v>0</v>
      </c>
      <c r="W3733">
        <v>0</v>
      </c>
      <c r="X3733">
        <v>2</v>
      </c>
      <c r="Z3733">
        <v>0</v>
      </c>
      <c r="AA3733">
        <v>9</v>
      </c>
      <c r="AB3733">
        <v>3</v>
      </c>
      <c r="AC3733">
        <v>0</v>
      </c>
      <c r="AD3733">
        <v>10</v>
      </c>
      <c r="AE3733">
        <v>0</v>
      </c>
      <c r="AF3733">
        <v>3</v>
      </c>
      <c r="AG3733">
        <v>2</v>
      </c>
      <c r="AH3733">
        <v>0</v>
      </c>
      <c r="AI3733" t="s">
        <v>2115</v>
      </c>
      <c r="AJ3733">
        <v>40.117542999999998</v>
      </c>
      <c r="AK3733" t="s">
        <v>2116</v>
      </c>
      <c r="AL3733">
        <v>-93.042783999999997</v>
      </c>
      <c r="AM3733">
        <v>100</v>
      </c>
      <c r="AN3733">
        <v>1300</v>
      </c>
      <c r="AO3733" t="s">
        <v>118</v>
      </c>
      <c r="AP3733">
        <v>-114</v>
      </c>
      <c r="AQ3733">
        <v>61</v>
      </c>
      <c r="AR3733">
        <v>128</v>
      </c>
      <c r="AZ3733">
        <v>1200</v>
      </c>
      <c r="BA3733">
        <v>1</v>
      </c>
      <c r="BB3733" t="str">
        <f t="shared" si="186"/>
        <v xml:space="preserve">N8080G  </v>
      </c>
      <c r="BC3733">
        <v>1</v>
      </c>
      <c r="BE3733">
        <v>0</v>
      </c>
      <c r="BF3733">
        <v>0</v>
      </c>
      <c r="BG3733">
        <v>0</v>
      </c>
      <c r="BH3733">
        <v>1350</v>
      </c>
      <c r="BI3733">
        <v>1</v>
      </c>
      <c r="BJ3733">
        <v>1</v>
      </c>
      <c r="BK3733">
        <v>1</v>
      </c>
      <c r="BL3733">
        <v>0</v>
      </c>
      <c r="BO3733">
        <v>0</v>
      </c>
      <c r="BP3733">
        <v>0</v>
      </c>
      <c r="BW3733" t="str">
        <f>"20:35:10.225"</f>
        <v>20:35:10.225</v>
      </c>
      <c r="BZ3733">
        <v>0</v>
      </c>
      <c r="CA3733">
        <v>1600</v>
      </c>
      <c r="CB3733">
        <v>224</v>
      </c>
      <c r="CD3733">
        <v>1</v>
      </c>
      <c r="CE3733">
        <v>0</v>
      </c>
      <c r="CF3733">
        <v>0</v>
      </c>
      <c r="CG3733">
        <v>1</v>
      </c>
      <c r="CH3733">
        <v>0</v>
      </c>
      <c r="CI3733">
        <v>0</v>
      </c>
      <c r="CJ3733">
        <v>0</v>
      </c>
      <c r="CK3733">
        <v>2</v>
      </c>
      <c r="CL3733">
        <v>0</v>
      </c>
      <c r="CM3733">
        <v>2</v>
      </c>
      <c r="CN3733">
        <v>0</v>
      </c>
      <c r="CO3733">
        <v>1</v>
      </c>
      <c r="CP3733" t="s">
        <v>119</v>
      </c>
      <c r="CQ3733">
        <v>179</v>
      </c>
      <c r="CR3733">
        <v>1</v>
      </c>
      <c r="CW3733">
        <v>9391920</v>
      </c>
      <c r="CY3733">
        <v>1</v>
      </c>
      <c r="CZ3733">
        <v>0</v>
      </c>
      <c r="DA3733">
        <v>1</v>
      </c>
      <c r="DB3733">
        <v>0</v>
      </c>
      <c r="DC3733">
        <v>0</v>
      </c>
      <c r="DD3733">
        <v>0</v>
      </c>
      <c r="DE3733">
        <v>0</v>
      </c>
      <c r="DF3733">
        <v>0</v>
      </c>
      <c r="DG3733">
        <v>0</v>
      </c>
      <c r="DH3733">
        <v>0</v>
      </c>
      <c r="DI3733">
        <v>0</v>
      </c>
    </row>
    <row r="3734" spans="1:113" x14ac:dyDescent="0.3">
      <c r="A3734" t="str">
        <f>"02/08/2021 20:35:07.899"</f>
        <v>02/08/2021 20:35:07.899</v>
      </c>
      <c r="C3734" t="str">
        <f t="shared" si="185"/>
        <v>FFDFD7C0</v>
      </c>
      <c r="D3734" t="s">
        <v>113</v>
      </c>
      <c r="E3734">
        <v>6</v>
      </c>
      <c r="H3734">
        <v>165</v>
      </c>
      <c r="I3734" t="s">
        <v>114</v>
      </c>
      <c r="J3734" t="s">
        <v>115</v>
      </c>
      <c r="K3734">
        <v>0</v>
      </c>
      <c r="L3734">
        <v>3</v>
      </c>
      <c r="M3734">
        <v>0</v>
      </c>
      <c r="N3734">
        <v>2</v>
      </c>
      <c r="O3734">
        <v>1</v>
      </c>
      <c r="P3734">
        <v>0</v>
      </c>
      <c r="Q3734">
        <v>0</v>
      </c>
      <c r="S3734" t="str">
        <f>"20:35:10.219"</f>
        <v>20:35:10.219</v>
      </c>
      <c r="T3734" t="str">
        <f>"20:35:09.819"</f>
        <v>20:35:09.819</v>
      </c>
      <c r="U3734" t="str">
        <f t="shared" si="187"/>
        <v>AB01F4</v>
      </c>
      <c r="V3734">
        <v>0</v>
      </c>
      <c r="W3734">
        <v>0</v>
      </c>
      <c r="X3734">
        <v>2</v>
      </c>
      <c r="Z3734">
        <v>0</v>
      </c>
      <c r="AA3734">
        <v>9</v>
      </c>
      <c r="AB3734">
        <v>3</v>
      </c>
      <c r="AC3734">
        <v>0</v>
      </c>
      <c r="AD3734">
        <v>10</v>
      </c>
      <c r="AE3734">
        <v>0</v>
      </c>
      <c r="AF3734">
        <v>3</v>
      </c>
      <c r="AG3734">
        <v>2</v>
      </c>
      <c r="AH3734">
        <v>0</v>
      </c>
      <c r="AI3734" t="s">
        <v>2115</v>
      </c>
      <c r="AJ3734">
        <v>40.117542999999998</v>
      </c>
      <c r="AK3734" t="s">
        <v>2116</v>
      </c>
      <c r="AL3734">
        <v>-93.042783999999997</v>
      </c>
      <c r="AM3734">
        <v>100</v>
      </c>
      <c r="AN3734">
        <v>1300</v>
      </c>
      <c r="AO3734" t="s">
        <v>118</v>
      </c>
      <c r="AP3734">
        <v>-114</v>
      </c>
      <c r="AQ3734">
        <v>61</v>
      </c>
      <c r="AR3734">
        <v>128</v>
      </c>
      <c r="AZ3734">
        <v>1200</v>
      </c>
      <c r="BA3734">
        <v>1</v>
      </c>
      <c r="BB3734" t="str">
        <f t="shared" si="186"/>
        <v xml:space="preserve">N8080G  </v>
      </c>
      <c r="BC3734">
        <v>1</v>
      </c>
      <c r="BE3734">
        <v>0</v>
      </c>
      <c r="BF3734">
        <v>0</v>
      </c>
      <c r="BG3734">
        <v>0</v>
      </c>
      <c r="BH3734">
        <v>1350</v>
      </c>
      <c r="BI3734">
        <v>1</v>
      </c>
      <c r="BJ3734">
        <v>1</v>
      </c>
      <c r="BK3734">
        <v>1</v>
      </c>
      <c r="BL3734">
        <v>0</v>
      </c>
      <c r="BO3734">
        <v>0</v>
      </c>
      <c r="BP3734">
        <v>0</v>
      </c>
      <c r="BW3734" t="str">
        <f>"20:35:10.225"</f>
        <v>20:35:10.225</v>
      </c>
      <c r="BZ3734">
        <v>0</v>
      </c>
      <c r="CA3734">
        <v>1600</v>
      </c>
      <c r="CB3734">
        <v>224</v>
      </c>
      <c r="CD3734">
        <v>1</v>
      </c>
      <c r="CE3734">
        <v>0</v>
      </c>
      <c r="CF3734">
        <v>0</v>
      </c>
      <c r="CG3734">
        <v>1</v>
      </c>
      <c r="CH3734">
        <v>0</v>
      </c>
      <c r="CI3734">
        <v>0</v>
      </c>
      <c r="CJ3734">
        <v>0</v>
      </c>
      <c r="CK3734">
        <v>2</v>
      </c>
      <c r="CL3734">
        <v>0</v>
      </c>
      <c r="CM3734">
        <v>2</v>
      </c>
      <c r="CN3734">
        <v>0</v>
      </c>
      <c r="CO3734">
        <v>1</v>
      </c>
      <c r="CP3734" t="s">
        <v>119</v>
      </c>
      <c r="CQ3734">
        <v>179</v>
      </c>
      <c r="CR3734">
        <v>1</v>
      </c>
      <c r="CW3734">
        <v>9391920</v>
      </c>
      <c r="CY3734">
        <v>1</v>
      </c>
      <c r="CZ3734">
        <v>0</v>
      </c>
      <c r="DA3734">
        <v>1</v>
      </c>
      <c r="DB3734">
        <v>0</v>
      </c>
      <c r="DC3734">
        <v>0</v>
      </c>
      <c r="DD3734">
        <v>0</v>
      </c>
      <c r="DE3734">
        <v>0</v>
      </c>
      <c r="DF3734">
        <v>0</v>
      </c>
      <c r="DG3734">
        <v>0</v>
      </c>
      <c r="DH3734">
        <v>0</v>
      </c>
      <c r="DI3734">
        <v>0</v>
      </c>
    </row>
    <row r="3735" spans="1:113" x14ac:dyDescent="0.3">
      <c r="A3735" t="str">
        <f>"02/08/2021 20:35:08.935"</f>
        <v>02/08/2021 20:35:08.935</v>
      </c>
      <c r="C3735" t="str">
        <f t="shared" si="185"/>
        <v>FFDFD7C0</v>
      </c>
      <c r="D3735" t="s">
        <v>124</v>
      </c>
      <c r="E3735">
        <v>12</v>
      </c>
      <c r="F3735">
        <v>1012</v>
      </c>
      <c r="G3735" t="s">
        <v>675</v>
      </c>
      <c r="J3735" t="s">
        <v>125</v>
      </c>
      <c r="K3735">
        <v>0</v>
      </c>
      <c r="L3735">
        <v>3</v>
      </c>
      <c r="M3735">
        <v>0</v>
      </c>
      <c r="N3735">
        <v>2</v>
      </c>
      <c r="O3735">
        <v>1</v>
      </c>
      <c r="P3735">
        <v>0</v>
      </c>
      <c r="Q3735">
        <v>0</v>
      </c>
      <c r="S3735" t="str">
        <f>"20:35:11.266"</f>
        <v>20:35:11.266</v>
      </c>
      <c r="T3735" t="str">
        <f>"20:35:09.366"</f>
        <v>20:35:09.366</v>
      </c>
      <c r="U3735" t="str">
        <f t="shared" si="187"/>
        <v>AB01F4</v>
      </c>
      <c r="V3735">
        <v>0</v>
      </c>
      <c r="W3735">
        <v>0</v>
      </c>
      <c r="X3735">
        <v>2</v>
      </c>
      <c r="Z3735">
        <v>0</v>
      </c>
      <c r="AA3735">
        <v>9</v>
      </c>
      <c r="AB3735">
        <v>3</v>
      </c>
      <c r="AC3735">
        <v>0</v>
      </c>
      <c r="AD3735">
        <v>10</v>
      </c>
      <c r="AE3735">
        <v>0</v>
      </c>
      <c r="AF3735">
        <v>3</v>
      </c>
      <c r="AG3735">
        <v>2</v>
      </c>
      <c r="AH3735">
        <v>0</v>
      </c>
      <c r="AI3735" t="s">
        <v>2117</v>
      </c>
      <c r="AJ3735">
        <v>40.117843000000001</v>
      </c>
      <c r="AK3735" t="s">
        <v>2118</v>
      </c>
      <c r="AL3735">
        <v>-93.043577999999997</v>
      </c>
      <c r="AM3735">
        <v>100</v>
      </c>
      <c r="AN3735">
        <v>1300</v>
      </c>
      <c r="AO3735" t="s">
        <v>118</v>
      </c>
      <c r="AP3735">
        <v>-114</v>
      </c>
      <c r="AQ3735">
        <v>61</v>
      </c>
      <c r="AR3735">
        <v>64</v>
      </c>
      <c r="AZ3735">
        <v>1200</v>
      </c>
      <c r="BA3735">
        <v>1</v>
      </c>
      <c r="BB3735" t="str">
        <f t="shared" si="186"/>
        <v xml:space="preserve">N8080G  </v>
      </c>
      <c r="BC3735">
        <v>1</v>
      </c>
      <c r="BE3735">
        <v>0</v>
      </c>
      <c r="BF3735">
        <v>0</v>
      </c>
      <c r="BG3735">
        <v>0</v>
      </c>
      <c r="BH3735">
        <v>1350</v>
      </c>
      <c r="BI3735">
        <v>1</v>
      </c>
      <c r="BJ3735">
        <v>1</v>
      </c>
      <c r="BK3735">
        <v>1</v>
      </c>
      <c r="BL3735">
        <v>0</v>
      </c>
      <c r="BO3735">
        <v>0</v>
      </c>
      <c r="BP3735">
        <v>0</v>
      </c>
      <c r="BW3735" t="str">
        <f>"20:35:11.269"</f>
        <v>20:35:11.269</v>
      </c>
      <c r="BZ3735">
        <v>0</v>
      </c>
      <c r="CA3735">
        <v>1600</v>
      </c>
      <c r="CB3735">
        <v>224</v>
      </c>
      <c r="CD3735">
        <v>1</v>
      </c>
      <c r="CE3735">
        <v>0</v>
      </c>
      <c r="CF3735">
        <v>0</v>
      </c>
      <c r="CG3735">
        <v>1</v>
      </c>
      <c r="CH3735">
        <v>0</v>
      </c>
      <c r="CI3735">
        <v>0</v>
      </c>
      <c r="CJ3735">
        <v>0</v>
      </c>
      <c r="CK3735">
        <v>2</v>
      </c>
      <c r="CL3735">
        <v>0</v>
      </c>
      <c r="CM3735">
        <v>2</v>
      </c>
      <c r="CN3735">
        <v>0</v>
      </c>
      <c r="CO3735">
        <v>1</v>
      </c>
      <c r="CP3735" t="s">
        <v>119</v>
      </c>
      <c r="CQ3735">
        <v>179</v>
      </c>
      <c r="CR3735">
        <v>2</v>
      </c>
      <c r="CW3735">
        <v>12516606</v>
      </c>
      <c r="CY3735">
        <v>1</v>
      </c>
      <c r="CZ3735">
        <v>0</v>
      </c>
      <c r="DA3735">
        <v>0</v>
      </c>
      <c r="DB3735">
        <v>0</v>
      </c>
      <c r="DC3735">
        <v>0</v>
      </c>
      <c r="DD3735">
        <v>0</v>
      </c>
      <c r="DE3735">
        <v>0</v>
      </c>
      <c r="DF3735">
        <v>0</v>
      </c>
      <c r="DG3735">
        <v>0</v>
      </c>
      <c r="DH3735">
        <v>0</v>
      </c>
      <c r="DI3735">
        <v>0</v>
      </c>
    </row>
    <row r="3736" spans="1:113" x14ac:dyDescent="0.3">
      <c r="A3736" t="str">
        <f>"02/08/2021 20:35:08.935"</f>
        <v>02/08/2021 20:35:08.935</v>
      </c>
      <c r="C3736" t="str">
        <f t="shared" si="185"/>
        <v>FFDFD7C0</v>
      </c>
      <c r="D3736" t="s">
        <v>113</v>
      </c>
      <c r="E3736">
        <v>6</v>
      </c>
      <c r="H3736">
        <v>165</v>
      </c>
      <c r="I3736" t="s">
        <v>114</v>
      </c>
      <c r="J3736" t="s">
        <v>115</v>
      </c>
      <c r="K3736">
        <v>0</v>
      </c>
      <c r="L3736">
        <v>3</v>
      </c>
      <c r="M3736">
        <v>0</v>
      </c>
      <c r="N3736">
        <v>2</v>
      </c>
      <c r="O3736">
        <v>1</v>
      </c>
      <c r="P3736">
        <v>0</v>
      </c>
      <c r="Q3736">
        <v>0</v>
      </c>
      <c r="S3736" t="str">
        <f>"20:35:11.266"</f>
        <v>20:35:11.266</v>
      </c>
      <c r="T3736" t="str">
        <f>"20:35:09.366"</f>
        <v>20:35:09.366</v>
      </c>
      <c r="U3736" t="str">
        <f t="shared" si="187"/>
        <v>AB01F4</v>
      </c>
      <c r="V3736">
        <v>0</v>
      </c>
      <c r="W3736">
        <v>0</v>
      </c>
      <c r="X3736">
        <v>2</v>
      </c>
      <c r="Z3736">
        <v>0</v>
      </c>
      <c r="AA3736">
        <v>9</v>
      </c>
      <c r="AB3736">
        <v>3</v>
      </c>
      <c r="AC3736">
        <v>0</v>
      </c>
      <c r="AD3736">
        <v>10</v>
      </c>
      <c r="AE3736">
        <v>0</v>
      </c>
      <c r="AF3736">
        <v>3</v>
      </c>
      <c r="AG3736">
        <v>2</v>
      </c>
      <c r="AH3736">
        <v>0</v>
      </c>
      <c r="AI3736" t="s">
        <v>2117</v>
      </c>
      <c r="AJ3736">
        <v>40.117843000000001</v>
      </c>
      <c r="AK3736" t="s">
        <v>2118</v>
      </c>
      <c r="AL3736">
        <v>-93.043577999999997</v>
      </c>
      <c r="AM3736">
        <v>100</v>
      </c>
      <c r="AN3736">
        <v>1300</v>
      </c>
      <c r="AO3736" t="s">
        <v>118</v>
      </c>
      <c r="AP3736">
        <v>-114</v>
      </c>
      <c r="AQ3736">
        <v>61</v>
      </c>
      <c r="AR3736">
        <v>64</v>
      </c>
      <c r="AZ3736">
        <v>1200</v>
      </c>
      <c r="BA3736">
        <v>1</v>
      </c>
      <c r="BB3736" t="str">
        <f t="shared" si="186"/>
        <v xml:space="preserve">N8080G  </v>
      </c>
      <c r="BC3736">
        <v>1</v>
      </c>
      <c r="BE3736">
        <v>0</v>
      </c>
      <c r="BF3736">
        <v>0</v>
      </c>
      <c r="BG3736">
        <v>0</v>
      </c>
      <c r="BH3736">
        <v>1350</v>
      </c>
      <c r="BI3736">
        <v>1</v>
      </c>
      <c r="BJ3736">
        <v>1</v>
      </c>
      <c r="BK3736">
        <v>1</v>
      </c>
      <c r="BL3736">
        <v>0</v>
      </c>
      <c r="BO3736">
        <v>0</v>
      </c>
      <c r="BP3736">
        <v>0</v>
      </c>
      <c r="BW3736" t="str">
        <f>"20:35:11.269"</f>
        <v>20:35:11.269</v>
      </c>
      <c r="BZ3736">
        <v>0</v>
      </c>
      <c r="CA3736">
        <v>1600</v>
      </c>
      <c r="CB3736">
        <v>224</v>
      </c>
      <c r="CD3736">
        <v>1</v>
      </c>
      <c r="CE3736">
        <v>0</v>
      </c>
      <c r="CF3736">
        <v>0</v>
      </c>
      <c r="CG3736">
        <v>1</v>
      </c>
      <c r="CH3736">
        <v>0</v>
      </c>
      <c r="CI3736">
        <v>0</v>
      </c>
      <c r="CJ3736">
        <v>0</v>
      </c>
      <c r="CK3736">
        <v>2</v>
      </c>
      <c r="CL3736">
        <v>0</v>
      </c>
      <c r="CM3736">
        <v>2</v>
      </c>
      <c r="CN3736">
        <v>0</v>
      </c>
      <c r="CO3736">
        <v>1</v>
      </c>
      <c r="CP3736" t="s">
        <v>119</v>
      </c>
      <c r="CQ3736">
        <v>179</v>
      </c>
      <c r="CR3736">
        <v>2</v>
      </c>
      <c r="CW3736">
        <v>12516606</v>
      </c>
      <c r="CY3736">
        <v>1</v>
      </c>
      <c r="CZ3736">
        <v>0</v>
      </c>
      <c r="DA3736">
        <v>1</v>
      </c>
      <c r="DB3736">
        <v>0</v>
      </c>
      <c r="DC3736">
        <v>0</v>
      </c>
      <c r="DD3736">
        <v>0</v>
      </c>
      <c r="DE3736">
        <v>0</v>
      </c>
      <c r="DF3736">
        <v>0</v>
      </c>
      <c r="DG3736">
        <v>0</v>
      </c>
      <c r="DH3736">
        <v>0</v>
      </c>
      <c r="DI3736">
        <v>0</v>
      </c>
    </row>
    <row r="3737" spans="1:113" x14ac:dyDescent="0.3">
      <c r="A3737" t="str">
        <f>"02/08/2021 20:35:08.935"</f>
        <v>02/08/2021 20:35:08.935</v>
      </c>
      <c r="C3737" t="str">
        <f t="shared" si="185"/>
        <v>FFDFD7C0</v>
      </c>
      <c r="D3737" t="s">
        <v>124</v>
      </c>
      <c r="E3737">
        <v>13</v>
      </c>
      <c r="F3737">
        <v>1013</v>
      </c>
      <c r="G3737" t="s">
        <v>114</v>
      </c>
      <c r="J3737" t="s">
        <v>125</v>
      </c>
      <c r="K3737">
        <v>0</v>
      </c>
      <c r="L3737">
        <v>3</v>
      </c>
      <c r="M3737">
        <v>0</v>
      </c>
      <c r="N3737">
        <v>2</v>
      </c>
      <c r="O3737">
        <v>1</v>
      </c>
      <c r="P3737">
        <v>0</v>
      </c>
      <c r="Q3737">
        <v>0</v>
      </c>
      <c r="S3737" t="str">
        <f>"20:35:11.266"</f>
        <v>20:35:11.266</v>
      </c>
      <c r="T3737" t="str">
        <f>"20:35:09.366"</f>
        <v>20:35:09.366</v>
      </c>
      <c r="U3737" t="str">
        <f t="shared" si="187"/>
        <v>AB01F4</v>
      </c>
      <c r="V3737">
        <v>0</v>
      </c>
      <c r="W3737">
        <v>0</v>
      </c>
      <c r="X3737">
        <v>2</v>
      </c>
      <c r="Z3737">
        <v>0</v>
      </c>
      <c r="AA3737">
        <v>9</v>
      </c>
      <c r="AB3737">
        <v>3</v>
      </c>
      <c r="AC3737">
        <v>0</v>
      </c>
      <c r="AD3737">
        <v>10</v>
      </c>
      <c r="AE3737">
        <v>0</v>
      </c>
      <c r="AF3737">
        <v>3</v>
      </c>
      <c r="AG3737">
        <v>2</v>
      </c>
      <c r="AH3737">
        <v>0</v>
      </c>
      <c r="AI3737" t="s">
        <v>2117</v>
      </c>
      <c r="AJ3737">
        <v>40.117843000000001</v>
      </c>
      <c r="AK3737" t="s">
        <v>2118</v>
      </c>
      <c r="AL3737">
        <v>-93.043577999999997</v>
      </c>
      <c r="AM3737">
        <v>100</v>
      </c>
      <c r="AN3737">
        <v>1300</v>
      </c>
      <c r="AO3737" t="s">
        <v>118</v>
      </c>
      <c r="AP3737">
        <v>-114</v>
      </c>
      <c r="AQ3737">
        <v>61</v>
      </c>
      <c r="AR3737">
        <v>64</v>
      </c>
      <c r="AZ3737">
        <v>1200</v>
      </c>
      <c r="BA3737">
        <v>1</v>
      </c>
      <c r="BB3737" t="str">
        <f t="shared" si="186"/>
        <v xml:space="preserve">N8080G  </v>
      </c>
      <c r="BC3737">
        <v>1</v>
      </c>
      <c r="BE3737">
        <v>0</v>
      </c>
      <c r="BF3737">
        <v>0</v>
      </c>
      <c r="BG3737">
        <v>0</v>
      </c>
      <c r="BH3737">
        <v>1350</v>
      </c>
      <c r="BI3737">
        <v>1</v>
      </c>
      <c r="BJ3737">
        <v>1</v>
      </c>
      <c r="BK3737">
        <v>1</v>
      </c>
      <c r="BL3737">
        <v>0</v>
      </c>
      <c r="BO3737">
        <v>0</v>
      </c>
      <c r="BP3737">
        <v>0</v>
      </c>
      <c r="BW3737" t="str">
        <f>"20:35:11.269"</f>
        <v>20:35:11.269</v>
      </c>
      <c r="BZ3737">
        <v>0</v>
      </c>
      <c r="CA3737">
        <v>1600</v>
      </c>
      <c r="CB3737">
        <v>224</v>
      </c>
      <c r="CD3737">
        <v>1</v>
      </c>
      <c r="CE3737">
        <v>0</v>
      </c>
      <c r="CF3737">
        <v>0</v>
      </c>
      <c r="CG3737">
        <v>1</v>
      </c>
      <c r="CH3737">
        <v>0</v>
      </c>
      <c r="CI3737">
        <v>0</v>
      </c>
      <c r="CJ3737">
        <v>0</v>
      </c>
      <c r="CK3737">
        <v>2</v>
      </c>
      <c r="CL3737">
        <v>0</v>
      </c>
      <c r="CM3737">
        <v>2</v>
      </c>
      <c r="CN3737">
        <v>0</v>
      </c>
      <c r="CO3737">
        <v>1</v>
      </c>
      <c r="CP3737" t="s">
        <v>119</v>
      </c>
      <c r="CQ3737">
        <v>179</v>
      </c>
      <c r="CR3737">
        <v>2</v>
      </c>
      <c r="CW3737">
        <v>12516606</v>
      </c>
      <c r="CY3737">
        <v>1</v>
      </c>
      <c r="CZ3737">
        <v>0</v>
      </c>
      <c r="DA3737">
        <v>1</v>
      </c>
      <c r="DB3737">
        <v>0</v>
      </c>
      <c r="DC3737">
        <v>0</v>
      </c>
      <c r="DD3737">
        <v>0</v>
      </c>
      <c r="DE3737">
        <v>0</v>
      </c>
      <c r="DF3737">
        <v>0</v>
      </c>
      <c r="DG3737">
        <v>0</v>
      </c>
      <c r="DH3737">
        <v>0</v>
      </c>
      <c r="DI3737">
        <v>0</v>
      </c>
    </row>
    <row r="3738" spans="1:113" x14ac:dyDescent="0.3">
      <c r="A3738" t="str">
        <f>"02/08/2021 20:35:08.935"</f>
        <v>02/08/2021 20:35:08.935</v>
      </c>
      <c r="C3738" t="str">
        <f t="shared" si="185"/>
        <v>FFDFD7C0</v>
      </c>
      <c r="D3738" t="s">
        <v>124</v>
      </c>
      <c r="E3738">
        <v>11</v>
      </c>
      <c r="F3738">
        <v>1011</v>
      </c>
      <c r="G3738" t="s">
        <v>590</v>
      </c>
      <c r="J3738" t="s">
        <v>125</v>
      </c>
      <c r="K3738">
        <v>0</v>
      </c>
      <c r="L3738">
        <v>3</v>
      </c>
      <c r="M3738">
        <v>0</v>
      </c>
      <c r="N3738">
        <v>2</v>
      </c>
      <c r="O3738">
        <v>1</v>
      </c>
      <c r="P3738">
        <v>0</v>
      </c>
      <c r="Q3738">
        <v>0</v>
      </c>
      <c r="S3738" t="str">
        <f>"20:35:11.266"</f>
        <v>20:35:11.266</v>
      </c>
      <c r="T3738" t="str">
        <f>"20:35:09.366"</f>
        <v>20:35:09.366</v>
      </c>
      <c r="U3738" t="str">
        <f t="shared" si="187"/>
        <v>AB01F4</v>
      </c>
      <c r="V3738">
        <v>0</v>
      </c>
      <c r="W3738">
        <v>0</v>
      </c>
      <c r="X3738">
        <v>2</v>
      </c>
      <c r="Z3738">
        <v>0</v>
      </c>
      <c r="AA3738">
        <v>9</v>
      </c>
      <c r="AB3738">
        <v>3</v>
      </c>
      <c r="AC3738">
        <v>0</v>
      </c>
      <c r="AD3738">
        <v>10</v>
      </c>
      <c r="AE3738">
        <v>0</v>
      </c>
      <c r="AF3738">
        <v>3</v>
      </c>
      <c r="AG3738">
        <v>2</v>
      </c>
      <c r="AH3738">
        <v>0</v>
      </c>
      <c r="AI3738" t="s">
        <v>2117</v>
      </c>
      <c r="AJ3738">
        <v>40.117843000000001</v>
      </c>
      <c r="AK3738" t="s">
        <v>2118</v>
      </c>
      <c r="AL3738">
        <v>-93.043577999999997</v>
      </c>
      <c r="AM3738">
        <v>100</v>
      </c>
      <c r="AN3738">
        <v>1300</v>
      </c>
      <c r="AO3738" t="s">
        <v>118</v>
      </c>
      <c r="AP3738">
        <v>-114</v>
      </c>
      <c r="AQ3738">
        <v>61</v>
      </c>
      <c r="AR3738">
        <v>64</v>
      </c>
      <c r="AZ3738">
        <v>1200</v>
      </c>
      <c r="BA3738">
        <v>1</v>
      </c>
      <c r="BB3738" t="str">
        <f t="shared" si="186"/>
        <v xml:space="preserve">N8080G  </v>
      </c>
      <c r="BC3738">
        <v>1</v>
      </c>
      <c r="BE3738">
        <v>0</v>
      </c>
      <c r="BF3738">
        <v>0</v>
      </c>
      <c r="BG3738">
        <v>0</v>
      </c>
      <c r="BH3738">
        <v>1350</v>
      </c>
      <c r="BI3738">
        <v>1</v>
      </c>
      <c r="BJ3738">
        <v>1</v>
      </c>
      <c r="BK3738">
        <v>1</v>
      </c>
      <c r="BL3738">
        <v>0</v>
      </c>
      <c r="BO3738">
        <v>0</v>
      </c>
      <c r="BP3738">
        <v>0</v>
      </c>
      <c r="BW3738" t="str">
        <f>"20:35:11.269"</f>
        <v>20:35:11.269</v>
      </c>
      <c r="BZ3738">
        <v>0</v>
      </c>
      <c r="CA3738">
        <v>1600</v>
      </c>
      <c r="CB3738">
        <v>224</v>
      </c>
      <c r="CD3738">
        <v>1</v>
      </c>
      <c r="CE3738">
        <v>0</v>
      </c>
      <c r="CF3738">
        <v>0</v>
      </c>
      <c r="CG3738">
        <v>1</v>
      </c>
      <c r="CH3738">
        <v>0</v>
      </c>
      <c r="CI3738">
        <v>0</v>
      </c>
      <c r="CJ3738">
        <v>0</v>
      </c>
      <c r="CK3738">
        <v>2</v>
      </c>
      <c r="CL3738">
        <v>0</v>
      </c>
      <c r="CM3738">
        <v>2</v>
      </c>
      <c r="CN3738">
        <v>0</v>
      </c>
      <c r="CO3738">
        <v>1</v>
      </c>
      <c r="CP3738" t="s">
        <v>119</v>
      </c>
      <c r="CQ3738">
        <v>179</v>
      </c>
      <c r="CR3738">
        <v>2</v>
      </c>
      <c r="CW3738">
        <v>12516606</v>
      </c>
      <c r="CY3738">
        <v>1</v>
      </c>
      <c r="CZ3738">
        <v>0</v>
      </c>
      <c r="DA3738">
        <v>1</v>
      </c>
      <c r="DB3738">
        <v>0</v>
      </c>
      <c r="DC3738">
        <v>0</v>
      </c>
      <c r="DD3738">
        <v>0</v>
      </c>
      <c r="DE3738">
        <v>0</v>
      </c>
      <c r="DF3738">
        <v>0</v>
      </c>
      <c r="DG3738">
        <v>0</v>
      </c>
      <c r="DH3738">
        <v>0</v>
      </c>
      <c r="DI3738">
        <v>0</v>
      </c>
    </row>
    <row r="3739" spans="1:113" x14ac:dyDescent="0.3">
      <c r="A3739" t="str">
        <f>"02/08/2021 20:35:09.940"</f>
        <v>02/08/2021 20:35:09.940</v>
      </c>
      <c r="C3739" t="str">
        <f t="shared" si="185"/>
        <v>FFDFD7C0</v>
      </c>
      <c r="D3739" t="s">
        <v>124</v>
      </c>
      <c r="E3739">
        <v>12</v>
      </c>
      <c r="F3739">
        <v>1012</v>
      </c>
      <c r="G3739" t="s">
        <v>675</v>
      </c>
      <c r="J3739" t="s">
        <v>125</v>
      </c>
      <c r="K3739">
        <v>0</v>
      </c>
      <c r="L3739">
        <v>3</v>
      </c>
      <c r="M3739">
        <v>0</v>
      </c>
      <c r="N3739">
        <v>2</v>
      </c>
      <c r="O3739">
        <v>1</v>
      </c>
      <c r="P3739">
        <v>0</v>
      </c>
      <c r="Q3739">
        <v>0</v>
      </c>
      <c r="S3739" t="str">
        <f>"20:35:12.273"</f>
        <v>20:35:12.273</v>
      </c>
      <c r="T3739" t="str">
        <f>"20:35:11.773"</f>
        <v>20:35:11.773</v>
      </c>
      <c r="U3739" t="str">
        <f t="shared" si="187"/>
        <v>AB01F4</v>
      </c>
      <c r="V3739">
        <v>0</v>
      </c>
      <c r="W3739">
        <v>0</v>
      </c>
      <c r="X3739">
        <v>2</v>
      </c>
      <c r="Z3739">
        <v>0</v>
      </c>
      <c r="AA3739">
        <v>9</v>
      </c>
      <c r="AB3739">
        <v>3</v>
      </c>
      <c r="AC3739">
        <v>0</v>
      </c>
      <c r="AD3739">
        <v>10</v>
      </c>
      <c r="AE3739">
        <v>0</v>
      </c>
      <c r="AF3739">
        <v>3</v>
      </c>
      <c r="AG3739">
        <v>2</v>
      </c>
      <c r="AH3739">
        <v>0</v>
      </c>
      <c r="AI3739" t="s">
        <v>2119</v>
      </c>
      <c r="AJ3739">
        <v>40.118164999999998</v>
      </c>
      <c r="AK3739" t="s">
        <v>2120</v>
      </c>
      <c r="AL3739">
        <v>-93.044263999999998</v>
      </c>
      <c r="AM3739">
        <v>100</v>
      </c>
      <c r="AN3739">
        <v>1300</v>
      </c>
      <c r="AO3739" t="s">
        <v>118</v>
      </c>
      <c r="AP3739">
        <v>-114</v>
      </c>
      <c r="AQ3739">
        <v>61</v>
      </c>
      <c r="AR3739">
        <v>0</v>
      </c>
      <c r="AZ3739">
        <v>1200</v>
      </c>
      <c r="BA3739">
        <v>1</v>
      </c>
      <c r="BB3739" t="str">
        <f t="shared" si="186"/>
        <v xml:space="preserve">N8080G  </v>
      </c>
      <c r="BC3739">
        <v>1</v>
      </c>
      <c r="BE3739">
        <v>0</v>
      </c>
      <c r="BF3739">
        <v>0</v>
      </c>
      <c r="BG3739">
        <v>0</v>
      </c>
      <c r="BH3739">
        <v>1350</v>
      </c>
      <c r="BI3739">
        <v>1</v>
      </c>
      <c r="BJ3739">
        <v>1</v>
      </c>
      <c r="BK3739">
        <v>1</v>
      </c>
      <c r="BL3739">
        <v>0</v>
      </c>
      <c r="BO3739">
        <v>0</v>
      </c>
      <c r="BP3739">
        <v>0</v>
      </c>
      <c r="BW3739" t="str">
        <f>"20:35:12.280"</f>
        <v>20:35:12.280</v>
      </c>
      <c r="BZ3739">
        <v>0</v>
      </c>
      <c r="CA3739">
        <v>1600</v>
      </c>
      <c r="CB3739">
        <v>224</v>
      </c>
      <c r="CD3739">
        <v>1</v>
      </c>
      <c r="CE3739">
        <v>0</v>
      </c>
      <c r="CF3739">
        <v>0</v>
      </c>
      <c r="CG3739">
        <v>1</v>
      </c>
      <c r="CH3739">
        <v>0</v>
      </c>
      <c r="CI3739">
        <v>0</v>
      </c>
      <c r="CJ3739">
        <v>0</v>
      </c>
      <c r="CK3739">
        <v>2</v>
      </c>
      <c r="CL3739">
        <v>0</v>
      </c>
      <c r="CM3739">
        <v>2</v>
      </c>
      <c r="CN3739">
        <v>0</v>
      </c>
      <c r="CO3739">
        <v>6</v>
      </c>
      <c r="CP3739" t="s">
        <v>119</v>
      </c>
      <c r="CQ3739">
        <v>180</v>
      </c>
      <c r="CR3739">
        <v>2</v>
      </c>
      <c r="CW3739">
        <v>8918989</v>
      </c>
      <c r="CY3739">
        <v>1</v>
      </c>
      <c r="CZ3739">
        <v>0</v>
      </c>
      <c r="DA3739">
        <v>0</v>
      </c>
      <c r="DB3739">
        <v>0</v>
      </c>
      <c r="DC3739">
        <v>0</v>
      </c>
      <c r="DD3739">
        <v>0</v>
      </c>
      <c r="DE3739">
        <v>0</v>
      </c>
      <c r="DF3739">
        <v>0</v>
      </c>
      <c r="DG3739">
        <v>0</v>
      </c>
      <c r="DH3739">
        <v>0</v>
      </c>
      <c r="DI3739">
        <v>0</v>
      </c>
    </row>
    <row r="3740" spans="1:113" x14ac:dyDescent="0.3">
      <c r="A3740" t="str">
        <f>"02/08/2021 20:35:09.940"</f>
        <v>02/08/2021 20:35:09.940</v>
      </c>
      <c r="C3740" t="str">
        <f t="shared" si="185"/>
        <v>FFDFD7C0</v>
      </c>
      <c r="D3740" t="s">
        <v>124</v>
      </c>
      <c r="E3740">
        <v>11</v>
      </c>
      <c r="F3740">
        <v>1011</v>
      </c>
      <c r="G3740" t="s">
        <v>590</v>
      </c>
      <c r="J3740" t="s">
        <v>125</v>
      </c>
      <c r="K3740">
        <v>0</v>
      </c>
      <c r="L3740">
        <v>3</v>
      </c>
      <c r="M3740">
        <v>0</v>
      </c>
      <c r="N3740">
        <v>2</v>
      </c>
      <c r="O3740">
        <v>1</v>
      </c>
      <c r="P3740">
        <v>0</v>
      </c>
      <c r="Q3740">
        <v>0</v>
      </c>
      <c r="S3740" t="str">
        <f>"20:35:12.273"</f>
        <v>20:35:12.273</v>
      </c>
      <c r="T3740" t="str">
        <f>"20:35:11.773"</f>
        <v>20:35:11.773</v>
      </c>
      <c r="U3740" t="str">
        <f t="shared" si="187"/>
        <v>AB01F4</v>
      </c>
      <c r="V3740">
        <v>0</v>
      </c>
      <c r="W3740">
        <v>0</v>
      </c>
      <c r="X3740">
        <v>2</v>
      </c>
      <c r="Z3740">
        <v>0</v>
      </c>
      <c r="AA3740">
        <v>9</v>
      </c>
      <c r="AB3740">
        <v>3</v>
      </c>
      <c r="AC3740">
        <v>0</v>
      </c>
      <c r="AD3740">
        <v>10</v>
      </c>
      <c r="AE3740">
        <v>0</v>
      </c>
      <c r="AF3740">
        <v>3</v>
      </c>
      <c r="AG3740">
        <v>2</v>
      </c>
      <c r="AH3740">
        <v>0</v>
      </c>
      <c r="AI3740" t="s">
        <v>2119</v>
      </c>
      <c r="AJ3740">
        <v>40.118164999999998</v>
      </c>
      <c r="AK3740" t="s">
        <v>2120</v>
      </c>
      <c r="AL3740">
        <v>-93.044263999999998</v>
      </c>
      <c r="AM3740">
        <v>100</v>
      </c>
      <c r="AN3740">
        <v>1300</v>
      </c>
      <c r="AO3740" t="s">
        <v>118</v>
      </c>
      <c r="AP3740">
        <v>-114</v>
      </c>
      <c r="AQ3740">
        <v>61</v>
      </c>
      <c r="AR3740">
        <v>0</v>
      </c>
      <c r="AZ3740">
        <v>1200</v>
      </c>
      <c r="BA3740">
        <v>1</v>
      </c>
      <c r="BB3740" t="str">
        <f t="shared" si="186"/>
        <v xml:space="preserve">N8080G  </v>
      </c>
      <c r="BC3740">
        <v>1</v>
      </c>
      <c r="BE3740">
        <v>0</v>
      </c>
      <c r="BF3740">
        <v>0</v>
      </c>
      <c r="BG3740">
        <v>0</v>
      </c>
      <c r="BH3740">
        <v>1350</v>
      </c>
      <c r="BI3740">
        <v>1</v>
      </c>
      <c r="BJ3740">
        <v>1</v>
      </c>
      <c r="BK3740">
        <v>1</v>
      </c>
      <c r="BL3740">
        <v>0</v>
      </c>
      <c r="BO3740">
        <v>0</v>
      </c>
      <c r="BP3740">
        <v>0</v>
      </c>
      <c r="BW3740" t="str">
        <f>"20:35:12.280"</f>
        <v>20:35:12.280</v>
      </c>
      <c r="BZ3740">
        <v>0</v>
      </c>
      <c r="CA3740">
        <v>1600</v>
      </c>
      <c r="CB3740">
        <v>224</v>
      </c>
      <c r="CD3740">
        <v>1</v>
      </c>
      <c r="CE3740">
        <v>0</v>
      </c>
      <c r="CF3740">
        <v>0</v>
      </c>
      <c r="CG3740">
        <v>1</v>
      </c>
      <c r="CH3740">
        <v>0</v>
      </c>
      <c r="CI3740">
        <v>0</v>
      </c>
      <c r="CJ3740">
        <v>0</v>
      </c>
      <c r="CK3740">
        <v>2</v>
      </c>
      <c r="CL3740">
        <v>0</v>
      </c>
      <c r="CM3740">
        <v>2</v>
      </c>
      <c r="CN3740">
        <v>0</v>
      </c>
      <c r="CO3740">
        <v>6</v>
      </c>
      <c r="CP3740" t="s">
        <v>119</v>
      </c>
      <c r="CQ3740">
        <v>180</v>
      </c>
      <c r="CR3740">
        <v>2</v>
      </c>
      <c r="CW3740">
        <v>8918989</v>
      </c>
      <c r="CY3740">
        <v>1</v>
      </c>
      <c r="CZ3740">
        <v>0</v>
      </c>
      <c r="DA3740">
        <v>1</v>
      </c>
      <c r="DB3740">
        <v>0</v>
      </c>
      <c r="DC3740">
        <v>0</v>
      </c>
      <c r="DD3740">
        <v>0</v>
      </c>
      <c r="DE3740">
        <v>0</v>
      </c>
      <c r="DF3740">
        <v>0</v>
      </c>
      <c r="DG3740">
        <v>0</v>
      </c>
      <c r="DH3740">
        <v>0</v>
      </c>
      <c r="DI3740">
        <v>0</v>
      </c>
    </row>
    <row r="3741" spans="1:113" x14ac:dyDescent="0.3">
      <c r="A3741" t="str">
        <f>"02/08/2021 20:35:09.940"</f>
        <v>02/08/2021 20:35:09.940</v>
      </c>
      <c r="C3741" t="str">
        <f t="shared" si="185"/>
        <v>FFDFD7C0</v>
      </c>
      <c r="D3741" t="s">
        <v>113</v>
      </c>
      <c r="E3741">
        <v>6</v>
      </c>
      <c r="H3741">
        <v>165</v>
      </c>
      <c r="I3741" t="s">
        <v>114</v>
      </c>
      <c r="J3741" t="s">
        <v>115</v>
      </c>
      <c r="K3741">
        <v>0</v>
      </c>
      <c r="L3741">
        <v>3</v>
      </c>
      <c r="M3741">
        <v>0</v>
      </c>
      <c r="N3741">
        <v>2</v>
      </c>
      <c r="O3741">
        <v>1</v>
      </c>
      <c r="P3741">
        <v>0</v>
      </c>
      <c r="Q3741">
        <v>0</v>
      </c>
      <c r="S3741" t="str">
        <f>"20:35:12.273"</f>
        <v>20:35:12.273</v>
      </c>
      <c r="T3741" t="str">
        <f>"20:35:11.773"</f>
        <v>20:35:11.773</v>
      </c>
      <c r="U3741" t="str">
        <f t="shared" si="187"/>
        <v>AB01F4</v>
      </c>
      <c r="V3741">
        <v>0</v>
      </c>
      <c r="W3741">
        <v>0</v>
      </c>
      <c r="X3741">
        <v>2</v>
      </c>
      <c r="Z3741">
        <v>0</v>
      </c>
      <c r="AA3741">
        <v>9</v>
      </c>
      <c r="AB3741">
        <v>3</v>
      </c>
      <c r="AC3741">
        <v>0</v>
      </c>
      <c r="AD3741">
        <v>10</v>
      </c>
      <c r="AE3741">
        <v>0</v>
      </c>
      <c r="AF3741">
        <v>3</v>
      </c>
      <c r="AG3741">
        <v>2</v>
      </c>
      <c r="AH3741">
        <v>0</v>
      </c>
      <c r="AI3741" t="s">
        <v>2119</v>
      </c>
      <c r="AJ3741">
        <v>40.118164999999998</v>
      </c>
      <c r="AK3741" t="s">
        <v>2120</v>
      </c>
      <c r="AL3741">
        <v>-93.044263999999998</v>
      </c>
      <c r="AM3741">
        <v>100</v>
      </c>
      <c r="AN3741">
        <v>1300</v>
      </c>
      <c r="AO3741" t="s">
        <v>118</v>
      </c>
      <c r="AP3741">
        <v>-114</v>
      </c>
      <c r="AQ3741">
        <v>61</v>
      </c>
      <c r="AR3741">
        <v>0</v>
      </c>
      <c r="AZ3741">
        <v>1200</v>
      </c>
      <c r="BA3741">
        <v>1</v>
      </c>
      <c r="BB3741" t="str">
        <f t="shared" si="186"/>
        <v xml:space="preserve">N8080G  </v>
      </c>
      <c r="BC3741">
        <v>1</v>
      </c>
      <c r="BE3741">
        <v>0</v>
      </c>
      <c r="BF3741">
        <v>0</v>
      </c>
      <c r="BG3741">
        <v>0</v>
      </c>
      <c r="BH3741">
        <v>1350</v>
      </c>
      <c r="BI3741">
        <v>1</v>
      </c>
      <c r="BJ3741">
        <v>1</v>
      </c>
      <c r="BK3741">
        <v>1</v>
      </c>
      <c r="BL3741">
        <v>0</v>
      </c>
      <c r="BO3741">
        <v>0</v>
      </c>
      <c r="BP3741">
        <v>0</v>
      </c>
      <c r="BW3741" t="str">
        <f>"20:35:12.280"</f>
        <v>20:35:12.280</v>
      </c>
      <c r="BZ3741">
        <v>0</v>
      </c>
      <c r="CA3741">
        <v>1600</v>
      </c>
      <c r="CB3741">
        <v>224</v>
      </c>
      <c r="CD3741">
        <v>1</v>
      </c>
      <c r="CE3741">
        <v>0</v>
      </c>
      <c r="CF3741">
        <v>0</v>
      </c>
      <c r="CG3741">
        <v>1</v>
      </c>
      <c r="CH3741">
        <v>0</v>
      </c>
      <c r="CI3741">
        <v>0</v>
      </c>
      <c r="CJ3741">
        <v>0</v>
      </c>
      <c r="CK3741">
        <v>2</v>
      </c>
      <c r="CL3741">
        <v>0</v>
      </c>
      <c r="CM3741">
        <v>2</v>
      </c>
      <c r="CN3741">
        <v>0</v>
      </c>
      <c r="CO3741">
        <v>6</v>
      </c>
      <c r="CP3741" t="s">
        <v>119</v>
      </c>
      <c r="CQ3741">
        <v>180</v>
      </c>
      <c r="CR3741">
        <v>2</v>
      </c>
      <c r="CW3741">
        <v>8918989</v>
      </c>
      <c r="CY3741">
        <v>1</v>
      </c>
      <c r="CZ3741">
        <v>0</v>
      </c>
      <c r="DA3741">
        <v>1</v>
      </c>
      <c r="DB3741">
        <v>0</v>
      </c>
      <c r="DC3741">
        <v>0</v>
      </c>
      <c r="DD3741">
        <v>0</v>
      </c>
      <c r="DE3741">
        <v>0</v>
      </c>
      <c r="DF3741">
        <v>0</v>
      </c>
      <c r="DG3741">
        <v>0</v>
      </c>
      <c r="DH3741">
        <v>0</v>
      </c>
      <c r="DI3741">
        <v>0</v>
      </c>
    </row>
    <row r="3742" spans="1:113" x14ac:dyDescent="0.3">
      <c r="A3742" t="str">
        <f>"02/08/2021 20:35:09.940"</f>
        <v>02/08/2021 20:35:09.940</v>
      </c>
      <c r="C3742" t="str">
        <f t="shared" si="185"/>
        <v>FFDFD7C0</v>
      </c>
      <c r="D3742" t="s">
        <v>124</v>
      </c>
      <c r="E3742">
        <v>13</v>
      </c>
      <c r="F3742">
        <v>1013</v>
      </c>
      <c r="G3742" t="s">
        <v>114</v>
      </c>
      <c r="J3742" t="s">
        <v>125</v>
      </c>
      <c r="K3742">
        <v>0</v>
      </c>
      <c r="L3742">
        <v>3</v>
      </c>
      <c r="M3742">
        <v>0</v>
      </c>
      <c r="N3742">
        <v>2</v>
      </c>
      <c r="O3742">
        <v>1</v>
      </c>
      <c r="P3742">
        <v>0</v>
      </c>
      <c r="Q3742">
        <v>0</v>
      </c>
      <c r="S3742" t="str">
        <f>"20:35:12.273"</f>
        <v>20:35:12.273</v>
      </c>
      <c r="T3742" t="str">
        <f>"20:35:11.773"</f>
        <v>20:35:11.773</v>
      </c>
      <c r="U3742" t="str">
        <f t="shared" si="187"/>
        <v>AB01F4</v>
      </c>
      <c r="V3742">
        <v>0</v>
      </c>
      <c r="W3742">
        <v>0</v>
      </c>
      <c r="X3742">
        <v>2</v>
      </c>
      <c r="Z3742">
        <v>0</v>
      </c>
      <c r="AA3742">
        <v>9</v>
      </c>
      <c r="AB3742">
        <v>3</v>
      </c>
      <c r="AC3742">
        <v>0</v>
      </c>
      <c r="AD3742">
        <v>10</v>
      </c>
      <c r="AE3742">
        <v>0</v>
      </c>
      <c r="AF3742">
        <v>3</v>
      </c>
      <c r="AG3742">
        <v>2</v>
      </c>
      <c r="AH3742">
        <v>0</v>
      </c>
      <c r="AI3742" t="s">
        <v>2119</v>
      </c>
      <c r="AJ3742">
        <v>40.118164999999998</v>
      </c>
      <c r="AK3742" t="s">
        <v>2120</v>
      </c>
      <c r="AL3742">
        <v>-93.044263999999998</v>
      </c>
      <c r="AM3742">
        <v>100</v>
      </c>
      <c r="AN3742">
        <v>1300</v>
      </c>
      <c r="AO3742" t="s">
        <v>118</v>
      </c>
      <c r="AP3742">
        <v>-114</v>
      </c>
      <c r="AQ3742">
        <v>61</v>
      </c>
      <c r="AR3742">
        <v>0</v>
      </c>
      <c r="AZ3742">
        <v>1200</v>
      </c>
      <c r="BA3742">
        <v>1</v>
      </c>
      <c r="BB3742" t="str">
        <f t="shared" si="186"/>
        <v xml:space="preserve">N8080G  </v>
      </c>
      <c r="BC3742">
        <v>1</v>
      </c>
      <c r="BE3742">
        <v>0</v>
      </c>
      <c r="BF3742">
        <v>0</v>
      </c>
      <c r="BG3742">
        <v>0</v>
      </c>
      <c r="BH3742">
        <v>1350</v>
      </c>
      <c r="BI3742">
        <v>1</v>
      </c>
      <c r="BJ3742">
        <v>1</v>
      </c>
      <c r="BK3742">
        <v>1</v>
      </c>
      <c r="BL3742">
        <v>0</v>
      </c>
      <c r="BO3742">
        <v>0</v>
      </c>
      <c r="BP3742">
        <v>0</v>
      </c>
      <c r="BW3742" t="str">
        <f>"20:35:12.280"</f>
        <v>20:35:12.280</v>
      </c>
      <c r="BZ3742">
        <v>0</v>
      </c>
      <c r="CA3742">
        <v>1600</v>
      </c>
      <c r="CB3742">
        <v>224</v>
      </c>
      <c r="CD3742">
        <v>1</v>
      </c>
      <c r="CE3742">
        <v>0</v>
      </c>
      <c r="CF3742">
        <v>0</v>
      </c>
      <c r="CG3742">
        <v>1</v>
      </c>
      <c r="CH3742">
        <v>0</v>
      </c>
      <c r="CI3742">
        <v>0</v>
      </c>
      <c r="CJ3742">
        <v>0</v>
      </c>
      <c r="CK3742">
        <v>2</v>
      </c>
      <c r="CL3742">
        <v>0</v>
      </c>
      <c r="CM3742">
        <v>2</v>
      </c>
      <c r="CN3742">
        <v>0</v>
      </c>
      <c r="CO3742">
        <v>6</v>
      </c>
      <c r="CP3742" t="s">
        <v>119</v>
      </c>
      <c r="CQ3742">
        <v>180</v>
      </c>
      <c r="CR3742">
        <v>2</v>
      </c>
      <c r="CW3742">
        <v>8918989</v>
      </c>
      <c r="CY3742">
        <v>1</v>
      </c>
      <c r="CZ3742">
        <v>0</v>
      </c>
      <c r="DA3742">
        <v>1</v>
      </c>
      <c r="DB3742">
        <v>0</v>
      </c>
      <c r="DC3742">
        <v>0</v>
      </c>
      <c r="DD3742">
        <v>0</v>
      </c>
      <c r="DE3742">
        <v>0</v>
      </c>
      <c r="DF3742">
        <v>0</v>
      </c>
      <c r="DG3742">
        <v>0</v>
      </c>
      <c r="DH3742">
        <v>0</v>
      </c>
      <c r="DI3742">
        <v>0</v>
      </c>
    </row>
    <row r="3743" spans="1:113" x14ac:dyDescent="0.3">
      <c r="A3743" t="str">
        <f>"02/08/2021 20:35:10.963"</f>
        <v>02/08/2021 20:35:10.963</v>
      </c>
      <c r="C3743" t="str">
        <f t="shared" si="185"/>
        <v>FFDFD7C0</v>
      </c>
      <c r="D3743" t="s">
        <v>124</v>
      </c>
      <c r="E3743">
        <v>13</v>
      </c>
      <c r="F3743">
        <v>1013</v>
      </c>
      <c r="G3743" t="s">
        <v>114</v>
      </c>
      <c r="J3743" t="s">
        <v>125</v>
      </c>
      <c r="K3743">
        <v>0</v>
      </c>
      <c r="L3743">
        <v>3</v>
      </c>
      <c r="M3743">
        <v>0</v>
      </c>
      <c r="N3743">
        <v>2</v>
      </c>
      <c r="O3743">
        <v>1</v>
      </c>
      <c r="P3743">
        <v>0</v>
      </c>
      <c r="Q3743">
        <v>0</v>
      </c>
      <c r="S3743" t="str">
        <f>"20:35:13.266"</f>
        <v>20:35:13.266</v>
      </c>
      <c r="T3743" t="str">
        <f>"20:35:12.866"</f>
        <v>20:35:12.866</v>
      </c>
      <c r="U3743" t="str">
        <f t="shared" si="187"/>
        <v>AB01F4</v>
      </c>
      <c r="V3743">
        <v>0</v>
      </c>
      <c r="W3743">
        <v>0</v>
      </c>
      <c r="X3743">
        <v>2</v>
      </c>
      <c r="Z3743">
        <v>0</v>
      </c>
      <c r="AA3743">
        <v>9</v>
      </c>
      <c r="AB3743">
        <v>3</v>
      </c>
      <c r="AC3743">
        <v>0</v>
      </c>
      <c r="AD3743">
        <v>10</v>
      </c>
      <c r="AE3743">
        <v>0</v>
      </c>
      <c r="AF3743">
        <v>3</v>
      </c>
      <c r="AG3743">
        <v>2</v>
      </c>
      <c r="AH3743">
        <v>0</v>
      </c>
      <c r="AI3743" t="s">
        <v>2121</v>
      </c>
      <c r="AJ3743">
        <v>40.118443999999997</v>
      </c>
      <c r="AK3743" t="s">
        <v>2122</v>
      </c>
      <c r="AL3743">
        <v>-93.044950999999998</v>
      </c>
      <c r="AM3743">
        <v>100</v>
      </c>
      <c r="AN3743">
        <v>1300</v>
      </c>
      <c r="AO3743" t="s">
        <v>118</v>
      </c>
      <c r="AP3743">
        <v>-114</v>
      </c>
      <c r="AQ3743">
        <v>61</v>
      </c>
      <c r="AR3743">
        <v>-64</v>
      </c>
      <c r="AZ3743">
        <v>1200</v>
      </c>
      <c r="BA3743">
        <v>1</v>
      </c>
      <c r="BB3743" t="str">
        <f t="shared" si="186"/>
        <v xml:space="preserve">N8080G  </v>
      </c>
      <c r="BC3743">
        <v>1</v>
      </c>
      <c r="BE3743">
        <v>0</v>
      </c>
      <c r="BF3743">
        <v>0</v>
      </c>
      <c r="BG3743">
        <v>0</v>
      </c>
      <c r="BH3743">
        <v>1350</v>
      </c>
      <c r="BI3743">
        <v>1</v>
      </c>
      <c r="BJ3743">
        <v>1</v>
      </c>
      <c r="BK3743">
        <v>1</v>
      </c>
      <c r="BL3743">
        <v>0</v>
      </c>
      <c r="BO3743">
        <v>0</v>
      </c>
      <c r="BP3743">
        <v>0</v>
      </c>
      <c r="BW3743" t="str">
        <f>"20:35:13.270"</f>
        <v>20:35:13.270</v>
      </c>
      <c r="BZ3743">
        <v>0</v>
      </c>
      <c r="CA3743">
        <v>1600</v>
      </c>
      <c r="CB3743">
        <v>224</v>
      </c>
      <c r="CD3743">
        <v>1</v>
      </c>
      <c r="CE3743">
        <v>0</v>
      </c>
      <c r="CF3743">
        <v>0</v>
      </c>
      <c r="CG3743">
        <v>1</v>
      </c>
      <c r="CH3743">
        <v>0</v>
      </c>
      <c r="CI3743">
        <v>0</v>
      </c>
      <c r="CJ3743">
        <v>0</v>
      </c>
      <c r="CK3743">
        <v>2</v>
      </c>
      <c r="CL3743">
        <v>0</v>
      </c>
      <c r="CM3743">
        <v>2</v>
      </c>
      <c r="CN3743">
        <v>0</v>
      </c>
      <c r="CO3743">
        <v>1</v>
      </c>
      <c r="CP3743" t="s">
        <v>119</v>
      </c>
      <c r="CQ3743">
        <v>179</v>
      </c>
      <c r="CR3743">
        <v>2</v>
      </c>
      <c r="CW3743">
        <v>12518206</v>
      </c>
      <c r="CY3743">
        <v>1</v>
      </c>
      <c r="CZ3743">
        <v>0</v>
      </c>
      <c r="DA3743">
        <v>0</v>
      </c>
      <c r="DB3743">
        <v>0</v>
      </c>
      <c r="DC3743">
        <v>0</v>
      </c>
      <c r="DD3743">
        <v>0</v>
      </c>
      <c r="DE3743">
        <v>0</v>
      </c>
      <c r="DF3743">
        <v>0</v>
      </c>
      <c r="DG3743">
        <v>0</v>
      </c>
      <c r="DH3743">
        <v>0</v>
      </c>
      <c r="DI3743">
        <v>0</v>
      </c>
    </row>
    <row r="3744" spans="1:113" x14ac:dyDescent="0.3">
      <c r="A3744" t="str">
        <f>"02/08/2021 20:35:10.963"</f>
        <v>02/08/2021 20:35:10.963</v>
      </c>
      <c r="C3744" t="str">
        <f t="shared" si="185"/>
        <v>FFDFD7C0</v>
      </c>
      <c r="D3744" t="s">
        <v>113</v>
      </c>
      <c r="E3744">
        <v>6</v>
      </c>
      <c r="H3744">
        <v>165</v>
      </c>
      <c r="I3744" t="s">
        <v>114</v>
      </c>
      <c r="J3744" t="s">
        <v>115</v>
      </c>
      <c r="K3744">
        <v>0</v>
      </c>
      <c r="L3744">
        <v>3</v>
      </c>
      <c r="M3744">
        <v>0</v>
      </c>
      <c r="N3744">
        <v>2</v>
      </c>
      <c r="O3744">
        <v>1</v>
      </c>
      <c r="P3744">
        <v>0</v>
      </c>
      <c r="Q3744">
        <v>0</v>
      </c>
      <c r="S3744" t="str">
        <f>"20:35:13.266"</f>
        <v>20:35:13.266</v>
      </c>
      <c r="T3744" t="str">
        <f>"20:35:12.866"</f>
        <v>20:35:12.866</v>
      </c>
      <c r="U3744" t="str">
        <f t="shared" si="187"/>
        <v>AB01F4</v>
      </c>
      <c r="V3744">
        <v>0</v>
      </c>
      <c r="W3744">
        <v>0</v>
      </c>
      <c r="X3744">
        <v>2</v>
      </c>
      <c r="Z3744">
        <v>0</v>
      </c>
      <c r="AA3744">
        <v>9</v>
      </c>
      <c r="AB3744">
        <v>3</v>
      </c>
      <c r="AC3744">
        <v>0</v>
      </c>
      <c r="AD3744">
        <v>10</v>
      </c>
      <c r="AE3744">
        <v>0</v>
      </c>
      <c r="AF3744">
        <v>3</v>
      </c>
      <c r="AG3744">
        <v>2</v>
      </c>
      <c r="AH3744">
        <v>0</v>
      </c>
      <c r="AI3744" t="s">
        <v>2121</v>
      </c>
      <c r="AJ3744">
        <v>40.118443999999997</v>
      </c>
      <c r="AK3744" t="s">
        <v>2122</v>
      </c>
      <c r="AL3744">
        <v>-93.044950999999998</v>
      </c>
      <c r="AM3744">
        <v>100</v>
      </c>
      <c r="AN3744">
        <v>1300</v>
      </c>
      <c r="AO3744" t="s">
        <v>118</v>
      </c>
      <c r="AP3744">
        <v>-114</v>
      </c>
      <c r="AQ3744">
        <v>61</v>
      </c>
      <c r="AR3744">
        <v>-64</v>
      </c>
      <c r="AZ3744">
        <v>1200</v>
      </c>
      <c r="BA3744">
        <v>1</v>
      </c>
      <c r="BB3744" t="str">
        <f t="shared" si="186"/>
        <v xml:space="preserve">N8080G  </v>
      </c>
      <c r="BC3744">
        <v>1</v>
      </c>
      <c r="BE3744">
        <v>0</v>
      </c>
      <c r="BF3744">
        <v>0</v>
      </c>
      <c r="BG3744">
        <v>0</v>
      </c>
      <c r="BH3744">
        <v>1350</v>
      </c>
      <c r="BI3744">
        <v>1</v>
      </c>
      <c r="BJ3744">
        <v>1</v>
      </c>
      <c r="BK3744">
        <v>1</v>
      </c>
      <c r="BL3744">
        <v>0</v>
      </c>
      <c r="BO3744">
        <v>0</v>
      </c>
      <c r="BP3744">
        <v>0</v>
      </c>
      <c r="BW3744" t="str">
        <f>"20:35:13.270"</f>
        <v>20:35:13.270</v>
      </c>
      <c r="BZ3744">
        <v>0</v>
      </c>
      <c r="CA3744">
        <v>1600</v>
      </c>
      <c r="CB3744">
        <v>224</v>
      </c>
      <c r="CD3744">
        <v>1</v>
      </c>
      <c r="CE3744">
        <v>0</v>
      </c>
      <c r="CF3744">
        <v>0</v>
      </c>
      <c r="CG3744">
        <v>1</v>
      </c>
      <c r="CH3744">
        <v>0</v>
      </c>
      <c r="CI3744">
        <v>0</v>
      </c>
      <c r="CJ3744">
        <v>0</v>
      </c>
      <c r="CK3744">
        <v>2</v>
      </c>
      <c r="CL3744">
        <v>0</v>
      </c>
      <c r="CM3744">
        <v>2</v>
      </c>
      <c r="CN3744">
        <v>0</v>
      </c>
      <c r="CO3744">
        <v>1</v>
      </c>
      <c r="CP3744" t="s">
        <v>119</v>
      </c>
      <c r="CQ3744">
        <v>179</v>
      </c>
      <c r="CR3744">
        <v>2</v>
      </c>
      <c r="CW3744">
        <v>12518206</v>
      </c>
      <c r="CY3744">
        <v>1</v>
      </c>
      <c r="CZ3744">
        <v>0</v>
      </c>
      <c r="DA3744">
        <v>1</v>
      </c>
      <c r="DB3744">
        <v>0</v>
      </c>
      <c r="DC3744">
        <v>0</v>
      </c>
      <c r="DD3744">
        <v>0</v>
      </c>
      <c r="DE3744">
        <v>0</v>
      </c>
      <c r="DF3744">
        <v>0</v>
      </c>
      <c r="DG3744">
        <v>0</v>
      </c>
      <c r="DH3744">
        <v>0</v>
      </c>
      <c r="DI3744">
        <v>0</v>
      </c>
    </row>
    <row r="3745" spans="1:113" x14ac:dyDescent="0.3">
      <c r="A3745" t="str">
        <f>"02/08/2021 20:35:10.963"</f>
        <v>02/08/2021 20:35:10.963</v>
      </c>
      <c r="C3745" t="str">
        <f t="shared" si="185"/>
        <v>FFDFD7C0</v>
      </c>
      <c r="D3745" t="s">
        <v>124</v>
      </c>
      <c r="E3745">
        <v>12</v>
      </c>
      <c r="F3745">
        <v>1012</v>
      </c>
      <c r="G3745" t="s">
        <v>675</v>
      </c>
      <c r="J3745" t="s">
        <v>125</v>
      </c>
      <c r="K3745">
        <v>0</v>
      </c>
      <c r="L3745">
        <v>3</v>
      </c>
      <c r="M3745">
        <v>0</v>
      </c>
      <c r="N3745">
        <v>2</v>
      </c>
      <c r="O3745">
        <v>1</v>
      </c>
      <c r="P3745">
        <v>0</v>
      </c>
      <c r="Q3745">
        <v>0</v>
      </c>
      <c r="S3745" t="str">
        <f>"20:35:13.266"</f>
        <v>20:35:13.266</v>
      </c>
      <c r="T3745" t="str">
        <f>"20:35:12.866"</f>
        <v>20:35:12.866</v>
      </c>
      <c r="U3745" t="str">
        <f t="shared" si="187"/>
        <v>AB01F4</v>
      </c>
      <c r="V3745">
        <v>0</v>
      </c>
      <c r="W3745">
        <v>0</v>
      </c>
      <c r="X3745">
        <v>2</v>
      </c>
      <c r="Z3745">
        <v>0</v>
      </c>
      <c r="AA3745">
        <v>9</v>
      </c>
      <c r="AB3745">
        <v>3</v>
      </c>
      <c r="AC3745">
        <v>0</v>
      </c>
      <c r="AD3745">
        <v>10</v>
      </c>
      <c r="AE3745">
        <v>0</v>
      </c>
      <c r="AF3745">
        <v>3</v>
      </c>
      <c r="AG3745">
        <v>2</v>
      </c>
      <c r="AH3745">
        <v>0</v>
      </c>
      <c r="AI3745" t="s">
        <v>2121</v>
      </c>
      <c r="AJ3745">
        <v>40.118443999999997</v>
      </c>
      <c r="AK3745" t="s">
        <v>2122</v>
      </c>
      <c r="AL3745">
        <v>-93.044950999999998</v>
      </c>
      <c r="AM3745">
        <v>100</v>
      </c>
      <c r="AN3745">
        <v>1300</v>
      </c>
      <c r="AO3745" t="s">
        <v>118</v>
      </c>
      <c r="AP3745">
        <v>-114</v>
      </c>
      <c r="AQ3745">
        <v>61</v>
      </c>
      <c r="AR3745">
        <v>-64</v>
      </c>
      <c r="AZ3745">
        <v>1200</v>
      </c>
      <c r="BA3745">
        <v>1</v>
      </c>
      <c r="BB3745" t="str">
        <f t="shared" si="186"/>
        <v xml:space="preserve">N8080G  </v>
      </c>
      <c r="BC3745">
        <v>1</v>
      </c>
      <c r="BE3745">
        <v>0</v>
      </c>
      <c r="BF3745">
        <v>0</v>
      </c>
      <c r="BG3745">
        <v>0</v>
      </c>
      <c r="BH3745">
        <v>1350</v>
      </c>
      <c r="BI3745">
        <v>1</v>
      </c>
      <c r="BJ3745">
        <v>1</v>
      </c>
      <c r="BK3745">
        <v>1</v>
      </c>
      <c r="BL3745">
        <v>0</v>
      </c>
      <c r="BO3745">
        <v>0</v>
      </c>
      <c r="BP3745">
        <v>0</v>
      </c>
      <c r="BW3745" t="str">
        <f>"20:35:13.270"</f>
        <v>20:35:13.270</v>
      </c>
      <c r="BZ3745">
        <v>0</v>
      </c>
      <c r="CA3745">
        <v>1600</v>
      </c>
      <c r="CB3745">
        <v>224</v>
      </c>
      <c r="CD3745">
        <v>1</v>
      </c>
      <c r="CE3745">
        <v>0</v>
      </c>
      <c r="CF3745">
        <v>0</v>
      </c>
      <c r="CG3745">
        <v>1</v>
      </c>
      <c r="CH3745">
        <v>0</v>
      </c>
      <c r="CI3745">
        <v>0</v>
      </c>
      <c r="CJ3745">
        <v>0</v>
      </c>
      <c r="CK3745">
        <v>2</v>
      </c>
      <c r="CL3745">
        <v>0</v>
      </c>
      <c r="CM3745">
        <v>2</v>
      </c>
      <c r="CN3745">
        <v>0</v>
      </c>
      <c r="CO3745">
        <v>1</v>
      </c>
      <c r="CP3745" t="s">
        <v>119</v>
      </c>
      <c r="CQ3745">
        <v>179</v>
      </c>
      <c r="CR3745">
        <v>2</v>
      </c>
      <c r="CW3745">
        <v>12518206</v>
      </c>
      <c r="CY3745">
        <v>1</v>
      </c>
      <c r="CZ3745">
        <v>0</v>
      </c>
      <c r="DA3745">
        <v>1</v>
      </c>
      <c r="DB3745">
        <v>0</v>
      </c>
      <c r="DC3745">
        <v>0</v>
      </c>
      <c r="DD3745">
        <v>0</v>
      </c>
      <c r="DE3745">
        <v>0</v>
      </c>
      <c r="DF3745">
        <v>0</v>
      </c>
      <c r="DG3745">
        <v>0</v>
      </c>
      <c r="DH3745">
        <v>0</v>
      </c>
      <c r="DI3745">
        <v>0</v>
      </c>
    </row>
    <row r="3746" spans="1:113" x14ac:dyDescent="0.3">
      <c r="A3746" t="str">
        <f>"02/08/2021 20:35:10.963"</f>
        <v>02/08/2021 20:35:10.963</v>
      </c>
      <c r="C3746" t="str">
        <f t="shared" si="185"/>
        <v>FFDFD7C0</v>
      </c>
      <c r="D3746" t="s">
        <v>124</v>
      </c>
      <c r="E3746">
        <v>11</v>
      </c>
      <c r="F3746">
        <v>1011</v>
      </c>
      <c r="G3746" t="s">
        <v>590</v>
      </c>
      <c r="J3746" t="s">
        <v>125</v>
      </c>
      <c r="K3746">
        <v>0</v>
      </c>
      <c r="L3746">
        <v>3</v>
      </c>
      <c r="M3746">
        <v>0</v>
      </c>
      <c r="N3746">
        <v>2</v>
      </c>
      <c r="O3746">
        <v>1</v>
      </c>
      <c r="P3746">
        <v>0</v>
      </c>
      <c r="Q3746">
        <v>0</v>
      </c>
      <c r="S3746" t="str">
        <f>"20:35:13.266"</f>
        <v>20:35:13.266</v>
      </c>
      <c r="T3746" t="str">
        <f>"20:35:12.866"</f>
        <v>20:35:12.866</v>
      </c>
      <c r="U3746" t="str">
        <f t="shared" si="187"/>
        <v>AB01F4</v>
      </c>
      <c r="V3746">
        <v>0</v>
      </c>
      <c r="W3746">
        <v>0</v>
      </c>
      <c r="X3746">
        <v>2</v>
      </c>
      <c r="Z3746">
        <v>0</v>
      </c>
      <c r="AA3746">
        <v>9</v>
      </c>
      <c r="AB3746">
        <v>3</v>
      </c>
      <c r="AC3746">
        <v>0</v>
      </c>
      <c r="AD3746">
        <v>10</v>
      </c>
      <c r="AE3746">
        <v>0</v>
      </c>
      <c r="AF3746">
        <v>3</v>
      </c>
      <c r="AG3746">
        <v>2</v>
      </c>
      <c r="AH3746">
        <v>0</v>
      </c>
      <c r="AI3746" t="s">
        <v>2121</v>
      </c>
      <c r="AJ3746">
        <v>40.118443999999997</v>
      </c>
      <c r="AK3746" t="s">
        <v>2122</v>
      </c>
      <c r="AL3746">
        <v>-93.044950999999998</v>
      </c>
      <c r="AM3746">
        <v>100</v>
      </c>
      <c r="AN3746">
        <v>1300</v>
      </c>
      <c r="AO3746" t="s">
        <v>118</v>
      </c>
      <c r="AP3746">
        <v>-114</v>
      </c>
      <c r="AQ3746">
        <v>61</v>
      </c>
      <c r="AR3746">
        <v>-64</v>
      </c>
      <c r="AZ3746">
        <v>1200</v>
      </c>
      <c r="BA3746">
        <v>1</v>
      </c>
      <c r="BB3746" t="str">
        <f t="shared" si="186"/>
        <v xml:space="preserve">N8080G  </v>
      </c>
      <c r="BC3746">
        <v>1</v>
      </c>
      <c r="BE3746">
        <v>0</v>
      </c>
      <c r="BF3746">
        <v>0</v>
      </c>
      <c r="BG3746">
        <v>0</v>
      </c>
      <c r="BH3746">
        <v>1350</v>
      </c>
      <c r="BI3746">
        <v>1</v>
      </c>
      <c r="BJ3746">
        <v>1</v>
      </c>
      <c r="BK3746">
        <v>1</v>
      </c>
      <c r="BL3746">
        <v>0</v>
      </c>
      <c r="BO3746">
        <v>0</v>
      </c>
      <c r="BP3746">
        <v>0</v>
      </c>
      <c r="BW3746" t="str">
        <f>"20:35:13.270"</f>
        <v>20:35:13.270</v>
      </c>
      <c r="BZ3746">
        <v>0</v>
      </c>
      <c r="CA3746">
        <v>1600</v>
      </c>
      <c r="CB3746">
        <v>224</v>
      </c>
      <c r="CD3746">
        <v>1</v>
      </c>
      <c r="CE3746">
        <v>0</v>
      </c>
      <c r="CF3746">
        <v>0</v>
      </c>
      <c r="CG3746">
        <v>1</v>
      </c>
      <c r="CH3746">
        <v>0</v>
      </c>
      <c r="CI3746">
        <v>0</v>
      </c>
      <c r="CJ3746">
        <v>0</v>
      </c>
      <c r="CK3746">
        <v>2</v>
      </c>
      <c r="CL3746">
        <v>0</v>
      </c>
      <c r="CM3746">
        <v>2</v>
      </c>
      <c r="CN3746">
        <v>0</v>
      </c>
      <c r="CO3746">
        <v>1</v>
      </c>
      <c r="CP3746" t="s">
        <v>119</v>
      </c>
      <c r="CQ3746">
        <v>179</v>
      </c>
      <c r="CR3746">
        <v>2</v>
      </c>
      <c r="CW3746">
        <v>12518206</v>
      </c>
      <c r="CY3746">
        <v>1</v>
      </c>
      <c r="CZ3746">
        <v>0</v>
      </c>
      <c r="DA3746">
        <v>1</v>
      </c>
      <c r="DB3746">
        <v>0</v>
      </c>
      <c r="DC3746">
        <v>0</v>
      </c>
      <c r="DD3746">
        <v>0</v>
      </c>
      <c r="DE3746">
        <v>0</v>
      </c>
      <c r="DF3746">
        <v>0</v>
      </c>
      <c r="DG3746">
        <v>0</v>
      </c>
      <c r="DH3746">
        <v>0</v>
      </c>
      <c r="DI3746">
        <v>0</v>
      </c>
    </row>
    <row r="3747" spans="1:113" x14ac:dyDescent="0.3">
      <c r="A3747" t="str">
        <f>"02/08/2021 20:35:11.902"</f>
        <v>02/08/2021 20:35:11.902</v>
      </c>
      <c r="C3747" t="str">
        <f t="shared" si="185"/>
        <v>FFDFD7C0</v>
      </c>
      <c r="D3747" t="s">
        <v>124</v>
      </c>
      <c r="E3747">
        <v>12</v>
      </c>
      <c r="F3747">
        <v>1012</v>
      </c>
      <c r="G3747" t="s">
        <v>675</v>
      </c>
      <c r="J3747" t="s">
        <v>125</v>
      </c>
      <c r="K3747">
        <v>0</v>
      </c>
      <c r="L3747">
        <v>3</v>
      </c>
      <c r="M3747">
        <v>0</v>
      </c>
      <c r="N3747">
        <v>2</v>
      </c>
      <c r="O3747">
        <v>1</v>
      </c>
      <c r="P3747">
        <v>0</v>
      </c>
      <c r="Q3747">
        <v>0</v>
      </c>
      <c r="S3747" t="str">
        <f>"20:35:14.203"</f>
        <v>20:35:14.203</v>
      </c>
      <c r="T3747" t="str">
        <f>"20:35:13.803"</f>
        <v>20:35:13.803</v>
      </c>
      <c r="U3747" t="str">
        <f t="shared" si="187"/>
        <v>AB01F4</v>
      </c>
      <c r="V3747">
        <v>0</v>
      </c>
      <c r="W3747">
        <v>0</v>
      </c>
      <c r="X3747">
        <v>2</v>
      </c>
      <c r="Z3747">
        <v>0</v>
      </c>
      <c r="AA3747">
        <v>9</v>
      </c>
      <c r="AB3747">
        <v>3</v>
      </c>
      <c r="AC3747">
        <v>0</v>
      </c>
      <c r="AD3747">
        <v>10</v>
      </c>
      <c r="AE3747">
        <v>0</v>
      </c>
      <c r="AF3747">
        <v>3</v>
      </c>
      <c r="AG3747">
        <v>2</v>
      </c>
      <c r="AH3747">
        <v>0</v>
      </c>
      <c r="AI3747" t="s">
        <v>2123</v>
      </c>
      <c r="AJ3747">
        <v>40.118679999999998</v>
      </c>
      <c r="AK3747" t="s">
        <v>2124</v>
      </c>
      <c r="AL3747">
        <v>-93.045595000000006</v>
      </c>
      <c r="AM3747">
        <v>100</v>
      </c>
      <c r="AN3747">
        <v>1300</v>
      </c>
      <c r="AO3747" t="s">
        <v>118</v>
      </c>
      <c r="AP3747">
        <v>-114</v>
      </c>
      <c r="AQ3747">
        <v>61</v>
      </c>
      <c r="AR3747">
        <v>0</v>
      </c>
      <c r="AZ3747">
        <v>1200</v>
      </c>
      <c r="BA3747">
        <v>1</v>
      </c>
      <c r="BB3747" t="str">
        <f t="shared" si="186"/>
        <v xml:space="preserve">N8080G  </v>
      </c>
      <c r="BC3747">
        <v>1</v>
      </c>
      <c r="BE3747">
        <v>0</v>
      </c>
      <c r="BF3747">
        <v>0</v>
      </c>
      <c r="BG3747">
        <v>0</v>
      </c>
      <c r="BH3747">
        <v>1350</v>
      </c>
      <c r="BI3747">
        <v>1</v>
      </c>
      <c r="BJ3747">
        <v>1</v>
      </c>
      <c r="BK3747">
        <v>1</v>
      </c>
      <c r="BL3747">
        <v>0</v>
      </c>
      <c r="BO3747">
        <v>0</v>
      </c>
      <c r="BP3747">
        <v>0</v>
      </c>
      <c r="BW3747" t="str">
        <f>"20:35:14.203"</f>
        <v>20:35:14.203</v>
      </c>
      <c r="BZ3747">
        <v>0</v>
      </c>
      <c r="CA3747">
        <v>1600</v>
      </c>
      <c r="CB3747">
        <v>224</v>
      </c>
      <c r="CD3747">
        <v>1</v>
      </c>
      <c r="CE3747">
        <v>0</v>
      </c>
      <c r="CF3747">
        <v>0</v>
      </c>
      <c r="CG3747">
        <v>1</v>
      </c>
      <c r="CH3747">
        <v>0</v>
      </c>
      <c r="CI3747">
        <v>0</v>
      </c>
      <c r="CJ3747">
        <v>0</v>
      </c>
      <c r="CK3747">
        <v>2</v>
      </c>
      <c r="CL3747">
        <v>0</v>
      </c>
      <c r="CM3747">
        <v>2</v>
      </c>
      <c r="CN3747">
        <v>0</v>
      </c>
      <c r="CO3747">
        <v>1</v>
      </c>
      <c r="CP3747" t="s">
        <v>119</v>
      </c>
      <c r="CQ3747">
        <v>179</v>
      </c>
      <c r="CR3747">
        <v>2</v>
      </c>
      <c r="CW3747">
        <v>12518946</v>
      </c>
      <c r="CY3747">
        <v>1</v>
      </c>
      <c r="CZ3747">
        <v>0</v>
      </c>
      <c r="DA3747">
        <v>0</v>
      </c>
      <c r="DB3747">
        <v>0</v>
      </c>
      <c r="DC3747">
        <v>0</v>
      </c>
      <c r="DD3747">
        <v>0</v>
      </c>
      <c r="DE3747">
        <v>0</v>
      </c>
      <c r="DF3747">
        <v>0</v>
      </c>
      <c r="DG3747">
        <v>0</v>
      </c>
      <c r="DH3747">
        <v>0</v>
      </c>
      <c r="DI3747">
        <v>0</v>
      </c>
    </row>
    <row r="3748" spans="1:113" x14ac:dyDescent="0.3">
      <c r="A3748" t="str">
        <f>"02/08/2021 20:35:11.902"</f>
        <v>02/08/2021 20:35:11.902</v>
      </c>
      <c r="C3748" t="str">
        <f t="shared" si="185"/>
        <v>FFDFD7C0</v>
      </c>
      <c r="D3748" t="s">
        <v>124</v>
      </c>
      <c r="E3748">
        <v>11</v>
      </c>
      <c r="F3748">
        <v>1011</v>
      </c>
      <c r="G3748" t="s">
        <v>590</v>
      </c>
      <c r="J3748" t="s">
        <v>125</v>
      </c>
      <c r="K3748">
        <v>0</v>
      </c>
      <c r="L3748">
        <v>3</v>
      </c>
      <c r="M3748">
        <v>0</v>
      </c>
      <c r="N3748">
        <v>2</v>
      </c>
      <c r="O3748">
        <v>1</v>
      </c>
      <c r="P3748">
        <v>0</v>
      </c>
      <c r="Q3748">
        <v>0</v>
      </c>
      <c r="S3748" t="str">
        <f>"20:35:14.203"</f>
        <v>20:35:14.203</v>
      </c>
      <c r="T3748" t="str">
        <f>"20:35:13.803"</f>
        <v>20:35:13.803</v>
      </c>
      <c r="U3748" t="str">
        <f t="shared" si="187"/>
        <v>AB01F4</v>
      </c>
      <c r="V3748">
        <v>0</v>
      </c>
      <c r="W3748">
        <v>0</v>
      </c>
      <c r="X3748">
        <v>2</v>
      </c>
      <c r="Z3748">
        <v>0</v>
      </c>
      <c r="AA3748">
        <v>9</v>
      </c>
      <c r="AB3748">
        <v>3</v>
      </c>
      <c r="AC3748">
        <v>0</v>
      </c>
      <c r="AD3748">
        <v>10</v>
      </c>
      <c r="AE3748">
        <v>0</v>
      </c>
      <c r="AF3748">
        <v>3</v>
      </c>
      <c r="AG3748">
        <v>2</v>
      </c>
      <c r="AH3748">
        <v>0</v>
      </c>
      <c r="AI3748" t="s">
        <v>2123</v>
      </c>
      <c r="AJ3748">
        <v>40.118679999999998</v>
      </c>
      <c r="AK3748" t="s">
        <v>2124</v>
      </c>
      <c r="AL3748">
        <v>-93.045595000000006</v>
      </c>
      <c r="AM3748">
        <v>100</v>
      </c>
      <c r="AN3748">
        <v>1300</v>
      </c>
      <c r="AO3748" t="s">
        <v>118</v>
      </c>
      <c r="AP3748">
        <v>-114</v>
      </c>
      <c r="AQ3748">
        <v>61</v>
      </c>
      <c r="AR3748">
        <v>0</v>
      </c>
      <c r="AZ3748">
        <v>1200</v>
      </c>
      <c r="BA3748">
        <v>1</v>
      </c>
      <c r="BB3748" t="str">
        <f t="shared" si="186"/>
        <v xml:space="preserve">N8080G  </v>
      </c>
      <c r="BC3748">
        <v>1</v>
      </c>
      <c r="BE3748">
        <v>0</v>
      </c>
      <c r="BF3748">
        <v>0</v>
      </c>
      <c r="BG3748">
        <v>0</v>
      </c>
      <c r="BH3748">
        <v>1350</v>
      </c>
      <c r="BI3748">
        <v>1</v>
      </c>
      <c r="BJ3748">
        <v>1</v>
      </c>
      <c r="BK3748">
        <v>1</v>
      </c>
      <c r="BL3748">
        <v>0</v>
      </c>
      <c r="BO3748">
        <v>0</v>
      </c>
      <c r="BP3748">
        <v>0</v>
      </c>
      <c r="BW3748" t="str">
        <f>"20:35:14.203"</f>
        <v>20:35:14.203</v>
      </c>
      <c r="BZ3748">
        <v>0</v>
      </c>
      <c r="CA3748">
        <v>1600</v>
      </c>
      <c r="CB3748">
        <v>224</v>
      </c>
      <c r="CD3748">
        <v>1</v>
      </c>
      <c r="CE3748">
        <v>0</v>
      </c>
      <c r="CF3748">
        <v>0</v>
      </c>
      <c r="CG3748">
        <v>1</v>
      </c>
      <c r="CH3748">
        <v>0</v>
      </c>
      <c r="CI3748">
        <v>0</v>
      </c>
      <c r="CJ3748">
        <v>0</v>
      </c>
      <c r="CK3748">
        <v>2</v>
      </c>
      <c r="CL3748">
        <v>0</v>
      </c>
      <c r="CM3748">
        <v>2</v>
      </c>
      <c r="CN3748">
        <v>0</v>
      </c>
      <c r="CO3748">
        <v>1</v>
      </c>
      <c r="CP3748" t="s">
        <v>119</v>
      </c>
      <c r="CQ3748">
        <v>179</v>
      </c>
      <c r="CR3748">
        <v>2</v>
      </c>
      <c r="CW3748">
        <v>12518946</v>
      </c>
      <c r="CY3748">
        <v>1</v>
      </c>
      <c r="CZ3748">
        <v>0</v>
      </c>
      <c r="DA3748">
        <v>1</v>
      </c>
      <c r="DB3748">
        <v>0</v>
      </c>
      <c r="DC3748">
        <v>0</v>
      </c>
      <c r="DD3748">
        <v>0</v>
      </c>
      <c r="DE3748">
        <v>0</v>
      </c>
      <c r="DF3748">
        <v>0</v>
      </c>
      <c r="DG3748">
        <v>0</v>
      </c>
      <c r="DH3748">
        <v>0</v>
      </c>
      <c r="DI3748">
        <v>0</v>
      </c>
    </row>
    <row r="3749" spans="1:113" x14ac:dyDescent="0.3">
      <c r="A3749" t="str">
        <f>"02/08/2021 20:35:11.902"</f>
        <v>02/08/2021 20:35:11.902</v>
      </c>
      <c r="C3749" t="str">
        <f t="shared" si="185"/>
        <v>FFDFD7C0</v>
      </c>
      <c r="D3749" t="s">
        <v>124</v>
      </c>
      <c r="E3749">
        <v>13</v>
      </c>
      <c r="F3749">
        <v>1013</v>
      </c>
      <c r="G3749" t="s">
        <v>114</v>
      </c>
      <c r="J3749" t="s">
        <v>125</v>
      </c>
      <c r="K3749">
        <v>0</v>
      </c>
      <c r="L3749">
        <v>3</v>
      </c>
      <c r="M3749">
        <v>0</v>
      </c>
      <c r="N3749">
        <v>2</v>
      </c>
      <c r="O3749">
        <v>1</v>
      </c>
      <c r="P3749">
        <v>0</v>
      </c>
      <c r="Q3749">
        <v>0</v>
      </c>
      <c r="S3749" t="str">
        <f>"20:35:14.203"</f>
        <v>20:35:14.203</v>
      </c>
      <c r="T3749" t="str">
        <f>"20:35:13.803"</f>
        <v>20:35:13.803</v>
      </c>
      <c r="U3749" t="str">
        <f t="shared" si="187"/>
        <v>AB01F4</v>
      </c>
      <c r="V3749">
        <v>0</v>
      </c>
      <c r="W3749">
        <v>0</v>
      </c>
      <c r="X3749">
        <v>2</v>
      </c>
      <c r="Z3749">
        <v>0</v>
      </c>
      <c r="AA3749">
        <v>9</v>
      </c>
      <c r="AB3749">
        <v>3</v>
      </c>
      <c r="AC3749">
        <v>0</v>
      </c>
      <c r="AD3749">
        <v>10</v>
      </c>
      <c r="AE3749">
        <v>0</v>
      </c>
      <c r="AF3749">
        <v>3</v>
      </c>
      <c r="AG3749">
        <v>2</v>
      </c>
      <c r="AH3749">
        <v>0</v>
      </c>
      <c r="AI3749" t="s">
        <v>2123</v>
      </c>
      <c r="AJ3749">
        <v>40.118679999999998</v>
      </c>
      <c r="AK3749" t="s">
        <v>2124</v>
      </c>
      <c r="AL3749">
        <v>-93.045595000000006</v>
      </c>
      <c r="AM3749">
        <v>100</v>
      </c>
      <c r="AN3749">
        <v>1300</v>
      </c>
      <c r="AO3749" t="s">
        <v>118</v>
      </c>
      <c r="AP3749">
        <v>-114</v>
      </c>
      <c r="AQ3749">
        <v>61</v>
      </c>
      <c r="AR3749">
        <v>0</v>
      </c>
      <c r="AZ3749">
        <v>1200</v>
      </c>
      <c r="BA3749">
        <v>1</v>
      </c>
      <c r="BB3749" t="str">
        <f t="shared" si="186"/>
        <v xml:space="preserve">N8080G  </v>
      </c>
      <c r="BC3749">
        <v>1</v>
      </c>
      <c r="BE3749">
        <v>0</v>
      </c>
      <c r="BF3749">
        <v>0</v>
      </c>
      <c r="BG3749">
        <v>0</v>
      </c>
      <c r="BH3749">
        <v>1350</v>
      </c>
      <c r="BI3749">
        <v>1</v>
      </c>
      <c r="BJ3749">
        <v>1</v>
      </c>
      <c r="BK3749">
        <v>1</v>
      </c>
      <c r="BL3749">
        <v>0</v>
      </c>
      <c r="BO3749">
        <v>0</v>
      </c>
      <c r="BP3749">
        <v>0</v>
      </c>
      <c r="BW3749" t="str">
        <f>"20:35:14.203"</f>
        <v>20:35:14.203</v>
      </c>
      <c r="BZ3749">
        <v>0</v>
      </c>
      <c r="CA3749">
        <v>1600</v>
      </c>
      <c r="CB3749">
        <v>224</v>
      </c>
      <c r="CD3749">
        <v>1</v>
      </c>
      <c r="CE3749">
        <v>0</v>
      </c>
      <c r="CF3749">
        <v>0</v>
      </c>
      <c r="CG3749">
        <v>1</v>
      </c>
      <c r="CH3749">
        <v>0</v>
      </c>
      <c r="CI3749">
        <v>0</v>
      </c>
      <c r="CJ3749">
        <v>0</v>
      </c>
      <c r="CK3749">
        <v>2</v>
      </c>
      <c r="CL3749">
        <v>0</v>
      </c>
      <c r="CM3749">
        <v>2</v>
      </c>
      <c r="CN3749">
        <v>0</v>
      </c>
      <c r="CO3749">
        <v>1</v>
      </c>
      <c r="CP3749" t="s">
        <v>119</v>
      </c>
      <c r="CQ3749">
        <v>179</v>
      </c>
      <c r="CR3749">
        <v>2</v>
      </c>
      <c r="CW3749">
        <v>12518946</v>
      </c>
      <c r="CY3749">
        <v>1</v>
      </c>
      <c r="CZ3749">
        <v>0</v>
      </c>
      <c r="DA3749">
        <v>1</v>
      </c>
      <c r="DB3749">
        <v>0</v>
      </c>
      <c r="DC3749">
        <v>0</v>
      </c>
      <c r="DD3749">
        <v>0</v>
      </c>
      <c r="DE3749">
        <v>0</v>
      </c>
      <c r="DF3749">
        <v>0</v>
      </c>
      <c r="DG3749">
        <v>0</v>
      </c>
      <c r="DH3749">
        <v>0</v>
      </c>
      <c r="DI3749">
        <v>0</v>
      </c>
    </row>
    <row r="3750" spans="1:113" x14ac:dyDescent="0.3">
      <c r="A3750" t="str">
        <f>"02/08/2021 20:35:11.902"</f>
        <v>02/08/2021 20:35:11.902</v>
      </c>
      <c r="C3750" t="str">
        <f t="shared" si="185"/>
        <v>FFDFD7C0</v>
      </c>
      <c r="D3750" t="s">
        <v>113</v>
      </c>
      <c r="E3750">
        <v>6</v>
      </c>
      <c r="H3750">
        <v>165</v>
      </c>
      <c r="I3750" t="s">
        <v>114</v>
      </c>
      <c r="J3750" t="s">
        <v>115</v>
      </c>
      <c r="K3750">
        <v>0</v>
      </c>
      <c r="L3750">
        <v>3</v>
      </c>
      <c r="M3750">
        <v>0</v>
      </c>
      <c r="N3750">
        <v>2</v>
      </c>
      <c r="O3750">
        <v>1</v>
      </c>
      <c r="P3750">
        <v>0</v>
      </c>
      <c r="Q3750">
        <v>0</v>
      </c>
      <c r="S3750" t="str">
        <f>"20:35:14.203"</f>
        <v>20:35:14.203</v>
      </c>
      <c r="T3750" t="str">
        <f>"20:35:13.803"</f>
        <v>20:35:13.803</v>
      </c>
      <c r="U3750" t="str">
        <f t="shared" si="187"/>
        <v>AB01F4</v>
      </c>
      <c r="V3750">
        <v>0</v>
      </c>
      <c r="W3750">
        <v>0</v>
      </c>
      <c r="X3750">
        <v>2</v>
      </c>
      <c r="Z3750">
        <v>0</v>
      </c>
      <c r="AA3750">
        <v>9</v>
      </c>
      <c r="AB3750">
        <v>3</v>
      </c>
      <c r="AC3750">
        <v>0</v>
      </c>
      <c r="AD3750">
        <v>10</v>
      </c>
      <c r="AE3750">
        <v>0</v>
      </c>
      <c r="AF3750">
        <v>3</v>
      </c>
      <c r="AG3750">
        <v>2</v>
      </c>
      <c r="AH3750">
        <v>0</v>
      </c>
      <c r="AI3750" t="s">
        <v>2123</v>
      </c>
      <c r="AJ3750">
        <v>40.118679999999998</v>
      </c>
      <c r="AK3750" t="s">
        <v>2124</v>
      </c>
      <c r="AL3750">
        <v>-93.045595000000006</v>
      </c>
      <c r="AM3750">
        <v>100</v>
      </c>
      <c r="AN3750">
        <v>1300</v>
      </c>
      <c r="AO3750" t="s">
        <v>118</v>
      </c>
      <c r="AP3750">
        <v>-114</v>
      </c>
      <c r="AQ3750">
        <v>61</v>
      </c>
      <c r="AR3750">
        <v>0</v>
      </c>
      <c r="AZ3750">
        <v>1200</v>
      </c>
      <c r="BA3750">
        <v>1</v>
      </c>
      <c r="BB3750" t="str">
        <f t="shared" si="186"/>
        <v xml:space="preserve">N8080G  </v>
      </c>
      <c r="BC3750">
        <v>1</v>
      </c>
      <c r="BE3750">
        <v>0</v>
      </c>
      <c r="BF3750">
        <v>0</v>
      </c>
      <c r="BG3750">
        <v>0</v>
      </c>
      <c r="BH3750">
        <v>1350</v>
      </c>
      <c r="BI3750">
        <v>1</v>
      </c>
      <c r="BJ3750">
        <v>1</v>
      </c>
      <c r="BK3750">
        <v>1</v>
      </c>
      <c r="BL3750">
        <v>0</v>
      </c>
      <c r="BO3750">
        <v>0</v>
      </c>
      <c r="BP3750">
        <v>0</v>
      </c>
      <c r="BW3750" t="str">
        <f>"20:35:14.203"</f>
        <v>20:35:14.203</v>
      </c>
      <c r="BZ3750">
        <v>0</v>
      </c>
      <c r="CA3750">
        <v>1600</v>
      </c>
      <c r="CB3750">
        <v>224</v>
      </c>
      <c r="CD3750">
        <v>1</v>
      </c>
      <c r="CE3750">
        <v>0</v>
      </c>
      <c r="CF3750">
        <v>0</v>
      </c>
      <c r="CG3750">
        <v>1</v>
      </c>
      <c r="CH3750">
        <v>0</v>
      </c>
      <c r="CI3750">
        <v>0</v>
      </c>
      <c r="CJ3750">
        <v>0</v>
      </c>
      <c r="CK3750">
        <v>2</v>
      </c>
      <c r="CL3750">
        <v>0</v>
      </c>
      <c r="CM3750">
        <v>2</v>
      </c>
      <c r="CN3750">
        <v>0</v>
      </c>
      <c r="CO3750">
        <v>1</v>
      </c>
      <c r="CP3750" t="s">
        <v>119</v>
      </c>
      <c r="CQ3750">
        <v>179</v>
      </c>
      <c r="CR3750">
        <v>2</v>
      </c>
      <c r="CW3750">
        <v>12518946</v>
      </c>
      <c r="CY3750">
        <v>1</v>
      </c>
      <c r="CZ3750">
        <v>0</v>
      </c>
      <c r="DA3750">
        <v>1</v>
      </c>
      <c r="DB3750">
        <v>0</v>
      </c>
      <c r="DC3750">
        <v>0</v>
      </c>
      <c r="DD3750">
        <v>0</v>
      </c>
      <c r="DE3750">
        <v>0</v>
      </c>
      <c r="DF3750">
        <v>0</v>
      </c>
      <c r="DG3750">
        <v>0</v>
      </c>
      <c r="DH3750">
        <v>0</v>
      </c>
      <c r="DI3750">
        <v>0</v>
      </c>
    </row>
    <row r="3751" spans="1:113" x14ac:dyDescent="0.3">
      <c r="A3751" t="str">
        <f>"02/08/2021 20:35:12.955"</f>
        <v>02/08/2021 20:35:12.955</v>
      </c>
      <c r="C3751" t="str">
        <f t="shared" ref="C3751:C3814" si="188">"FFDFD7C0"</f>
        <v>FFDFD7C0</v>
      </c>
      <c r="D3751" t="s">
        <v>124</v>
      </c>
      <c r="E3751">
        <v>12</v>
      </c>
      <c r="F3751">
        <v>1012</v>
      </c>
      <c r="G3751" t="s">
        <v>675</v>
      </c>
      <c r="J3751" t="s">
        <v>125</v>
      </c>
      <c r="K3751">
        <v>0</v>
      </c>
      <c r="L3751">
        <v>3</v>
      </c>
      <c r="M3751">
        <v>0</v>
      </c>
      <c r="N3751">
        <v>2</v>
      </c>
      <c r="O3751">
        <v>1</v>
      </c>
      <c r="P3751">
        <v>0</v>
      </c>
      <c r="Q3751">
        <v>0</v>
      </c>
      <c r="S3751" t="str">
        <f>"20:35:15.281"</f>
        <v>20:35:15.281</v>
      </c>
      <c r="T3751" t="str">
        <f>"20:35:14.881"</f>
        <v>20:35:14.881</v>
      </c>
      <c r="U3751" t="str">
        <f t="shared" si="187"/>
        <v>AB01F4</v>
      </c>
      <c r="V3751">
        <v>0</v>
      </c>
      <c r="W3751">
        <v>0</v>
      </c>
      <c r="X3751">
        <v>2</v>
      </c>
      <c r="Z3751">
        <v>0</v>
      </c>
      <c r="AA3751">
        <v>9</v>
      </c>
      <c r="AB3751">
        <v>3</v>
      </c>
      <c r="AC3751">
        <v>0</v>
      </c>
      <c r="AD3751">
        <v>10</v>
      </c>
      <c r="AE3751">
        <v>0</v>
      </c>
      <c r="AF3751">
        <v>3</v>
      </c>
      <c r="AG3751">
        <v>2</v>
      </c>
      <c r="AH3751">
        <v>0</v>
      </c>
      <c r="AI3751" t="s">
        <v>2125</v>
      </c>
      <c r="AJ3751">
        <v>40.119002000000002</v>
      </c>
      <c r="AK3751" t="s">
        <v>2126</v>
      </c>
      <c r="AL3751">
        <v>-93.046323999999998</v>
      </c>
      <c r="AM3751">
        <v>100</v>
      </c>
      <c r="AN3751">
        <v>1300</v>
      </c>
      <c r="AO3751" t="s">
        <v>118</v>
      </c>
      <c r="AP3751">
        <v>-115</v>
      </c>
      <c r="AQ3751">
        <v>60</v>
      </c>
      <c r="AR3751">
        <v>0</v>
      </c>
      <c r="AZ3751">
        <v>1200</v>
      </c>
      <c r="BA3751">
        <v>1</v>
      </c>
      <c r="BB3751" t="str">
        <f t="shared" si="186"/>
        <v xml:space="preserve">N8080G  </v>
      </c>
      <c r="BC3751">
        <v>1</v>
      </c>
      <c r="BE3751">
        <v>0</v>
      </c>
      <c r="BF3751">
        <v>0</v>
      </c>
      <c r="BG3751">
        <v>0</v>
      </c>
      <c r="BH3751">
        <v>1350</v>
      </c>
      <c r="BI3751">
        <v>1</v>
      </c>
      <c r="BJ3751">
        <v>1</v>
      </c>
      <c r="BK3751">
        <v>1</v>
      </c>
      <c r="BL3751">
        <v>0</v>
      </c>
      <c r="BO3751">
        <v>0</v>
      </c>
      <c r="BP3751">
        <v>0</v>
      </c>
      <c r="BW3751" t="str">
        <f>"20:35:15.283"</f>
        <v>20:35:15.283</v>
      </c>
      <c r="BZ3751">
        <v>0</v>
      </c>
      <c r="CA3751">
        <v>1600</v>
      </c>
      <c r="CB3751">
        <v>224</v>
      </c>
      <c r="CD3751">
        <v>1</v>
      </c>
      <c r="CE3751">
        <v>0</v>
      </c>
      <c r="CF3751">
        <v>0</v>
      </c>
      <c r="CG3751">
        <v>1</v>
      </c>
      <c r="CH3751">
        <v>0</v>
      </c>
      <c r="CI3751">
        <v>0</v>
      </c>
      <c r="CJ3751">
        <v>0</v>
      </c>
      <c r="CK3751">
        <v>2</v>
      </c>
      <c r="CL3751">
        <v>0</v>
      </c>
      <c r="CM3751">
        <v>2</v>
      </c>
      <c r="CN3751">
        <v>0</v>
      </c>
      <c r="CO3751">
        <v>6</v>
      </c>
      <c r="CP3751" t="s">
        <v>119</v>
      </c>
      <c r="CQ3751">
        <v>180</v>
      </c>
      <c r="CR3751">
        <v>3</v>
      </c>
      <c r="CW3751">
        <v>1253415</v>
      </c>
      <c r="CY3751">
        <v>1</v>
      </c>
      <c r="CZ3751">
        <v>0</v>
      </c>
      <c r="DA3751">
        <v>0</v>
      </c>
      <c r="DB3751">
        <v>0</v>
      </c>
      <c r="DC3751">
        <v>0</v>
      </c>
      <c r="DD3751">
        <v>0</v>
      </c>
      <c r="DE3751">
        <v>0</v>
      </c>
      <c r="DF3751">
        <v>0</v>
      </c>
      <c r="DG3751">
        <v>0</v>
      </c>
      <c r="DH3751">
        <v>0</v>
      </c>
      <c r="DI3751">
        <v>0</v>
      </c>
    </row>
    <row r="3752" spans="1:113" x14ac:dyDescent="0.3">
      <c r="A3752" t="str">
        <f>"02/08/2021 20:35:12.955"</f>
        <v>02/08/2021 20:35:12.955</v>
      </c>
      <c r="C3752" t="str">
        <f t="shared" si="188"/>
        <v>FFDFD7C0</v>
      </c>
      <c r="D3752" t="s">
        <v>124</v>
      </c>
      <c r="E3752">
        <v>11</v>
      </c>
      <c r="F3752">
        <v>1011</v>
      </c>
      <c r="G3752" t="s">
        <v>590</v>
      </c>
      <c r="J3752" t="s">
        <v>125</v>
      </c>
      <c r="K3752">
        <v>0</v>
      </c>
      <c r="L3752">
        <v>3</v>
      </c>
      <c r="M3752">
        <v>0</v>
      </c>
      <c r="N3752">
        <v>2</v>
      </c>
      <c r="O3752">
        <v>1</v>
      </c>
      <c r="P3752">
        <v>0</v>
      </c>
      <c r="Q3752">
        <v>0</v>
      </c>
      <c r="S3752" t="str">
        <f>"20:35:15.281"</f>
        <v>20:35:15.281</v>
      </c>
      <c r="T3752" t="str">
        <f>"20:35:14.881"</f>
        <v>20:35:14.881</v>
      </c>
      <c r="U3752" t="str">
        <f t="shared" si="187"/>
        <v>AB01F4</v>
      </c>
      <c r="V3752">
        <v>0</v>
      </c>
      <c r="W3752">
        <v>0</v>
      </c>
      <c r="X3752">
        <v>2</v>
      </c>
      <c r="Z3752">
        <v>0</v>
      </c>
      <c r="AA3752">
        <v>9</v>
      </c>
      <c r="AB3752">
        <v>3</v>
      </c>
      <c r="AC3752">
        <v>0</v>
      </c>
      <c r="AD3752">
        <v>10</v>
      </c>
      <c r="AE3752">
        <v>0</v>
      </c>
      <c r="AF3752">
        <v>3</v>
      </c>
      <c r="AG3752">
        <v>2</v>
      </c>
      <c r="AH3752">
        <v>0</v>
      </c>
      <c r="AI3752" t="s">
        <v>2125</v>
      </c>
      <c r="AJ3752">
        <v>40.119002000000002</v>
      </c>
      <c r="AK3752" t="s">
        <v>2126</v>
      </c>
      <c r="AL3752">
        <v>-93.046323999999998</v>
      </c>
      <c r="AM3752">
        <v>100</v>
      </c>
      <c r="AN3752">
        <v>1300</v>
      </c>
      <c r="AO3752" t="s">
        <v>118</v>
      </c>
      <c r="AP3752">
        <v>-115</v>
      </c>
      <c r="AQ3752">
        <v>60</v>
      </c>
      <c r="AR3752">
        <v>0</v>
      </c>
      <c r="AZ3752">
        <v>1200</v>
      </c>
      <c r="BA3752">
        <v>1</v>
      </c>
      <c r="BB3752" t="str">
        <f t="shared" si="186"/>
        <v xml:space="preserve">N8080G  </v>
      </c>
      <c r="BC3752">
        <v>1</v>
      </c>
      <c r="BE3752">
        <v>0</v>
      </c>
      <c r="BF3752">
        <v>0</v>
      </c>
      <c r="BG3752">
        <v>0</v>
      </c>
      <c r="BH3752">
        <v>1350</v>
      </c>
      <c r="BI3752">
        <v>1</v>
      </c>
      <c r="BJ3752">
        <v>1</v>
      </c>
      <c r="BK3752">
        <v>1</v>
      </c>
      <c r="BL3752">
        <v>0</v>
      </c>
      <c r="BO3752">
        <v>0</v>
      </c>
      <c r="BP3752">
        <v>0</v>
      </c>
      <c r="BW3752" t="str">
        <f>"20:35:15.283"</f>
        <v>20:35:15.283</v>
      </c>
      <c r="BZ3752">
        <v>0</v>
      </c>
      <c r="CA3752">
        <v>1600</v>
      </c>
      <c r="CB3752">
        <v>224</v>
      </c>
      <c r="CD3752">
        <v>1</v>
      </c>
      <c r="CE3752">
        <v>0</v>
      </c>
      <c r="CF3752">
        <v>0</v>
      </c>
      <c r="CG3752">
        <v>1</v>
      </c>
      <c r="CH3752">
        <v>0</v>
      </c>
      <c r="CI3752">
        <v>0</v>
      </c>
      <c r="CJ3752">
        <v>0</v>
      </c>
      <c r="CK3752">
        <v>2</v>
      </c>
      <c r="CL3752">
        <v>0</v>
      </c>
      <c r="CM3752">
        <v>2</v>
      </c>
      <c r="CN3752">
        <v>0</v>
      </c>
      <c r="CO3752">
        <v>6</v>
      </c>
      <c r="CP3752" t="s">
        <v>119</v>
      </c>
      <c r="CQ3752">
        <v>180</v>
      </c>
      <c r="CR3752">
        <v>3</v>
      </c>
      <c r="CW3752">
        <v>1253415</v>
      </c>
      <c r="CY3752">
        <v>1</v>
      </c>
      <c r="CZ3752">
        <v>0</v>
      </c>
      <c r="DA3752">
        <v>1</v>
      </c>
      <c r="DB3752">
        <v>0</v>
      </c>
      <c r="DC3752">
        <v>0</v>
      </c>
      <c r="DD3752">
        <v>0</v>
      </c>
      <c r="DE3752">
        <v>0</v>
      </c>
      <c r="DF3752">
        <v>0</v>
      </c>
      <c r="DG3752">
        <v>0</v>
      </c>
      <c r="DH3752">
        <v>0</v>
      </c>
      <c r="DI3752">
        <v>0</v>
      </c>
    </row>
    <row r="3753" spans="1:113" x14ac:dyDescent="0.3">
      <c r="A3753" t="str">
        <f>"02/08/2021 20:35:12.955"</f>
        <v>02/08/2021 20:35:12.955</v>
      </c>
      <c r="C3753" t="str">
        <f t="shared" si="188"/>
        <v>FFDFD7C0</v>
      </c>
      <c r="D3753" t="s">
        <v>124</v>
      </c>
      <c r="E3753">
        <v>13</v>
      </c>
      <c r="F3753">
        <v>1013</v>
      </c>
      <c r="G3753" t="s">
        <v>114</v>
      </c>
      <c r="J3753" t="s">
        <v>125</v>
      </c>
      <c r="K3753">
        <v>0</v>
      </c>
      <c r="L3753">
        <v>3</v>
      </c>
      <c r="M3753">
        <v>0</v>
      </c>
      <c r="N3753">
        <v>2</v>
      </c>
      <c r="O3753">
        <v>1</v>
      </c>
      <c r="P3753">
        <v>0</v>
      </c>
      <c r="Q3753">
        <v>0</v>
      </c>
      <c r="S3753" t="str">
        <f>"20:35:15.281"</f>
        <v>20:35:15.281</v>
      </c>
      <c r="T3753" t="str">
        <f>"20:35:14.881"</f>
        <v>20:35:14.881</v>
      </c>
      <c r="U3753" t="str">
        <f t="shared" si="187"/>
        <v>AB01F4</v>
      </c>
      <c r="V3753">
        <v>0</v>
      </c>
      <c r="W3753">
        <v>0</v>
      </c>
      <c r="X3753">
        <v>2</v>
      </c>
      <c r="Z3753">
        <v>0</v>
      </c>
      <c r="AA3753">
        <v>9</v>
      </c>
      <c r="AB3753">
        <v>3</v>
      </c>
      <c r="AC3753">
        <v>0</v>
      </c>
      <c r="AD3753">
        <v>10</v>
      </c>
      <c r="AE3753">
        <v>0</v>
      </c>
      <c r="AF3753">
        <v>3</v>
      </c>
      <c r="AG3753">
        <v>2</v>
      </c>
      <c r="AH3753">
        <v>0</v>
      </c>
      <c r="AI3753" t="s">
        <v>2125</v>
      </c>
      <c r="AJ3753">
        <v>40.119002000000002</v>
      </c>
      <c r="AK3753" t="s">
        <v>2126</v>
      </c>
      <c r="AL3753">
        <v>-93.046323999999998</v>
      </c>
      <c r="AM3753">
        <v>100</v>
      </c>
      <c r="AN3753">
        <v>1300</v>
      </c>
      <c r="AO3753" t="s">
        <v>118</v>
      </c>
      <c r="AP3753">
        <v>-115</v>
      </c>
      <c r="AQ3753">
        <v>60</v>
      </c>
      <c r="AR3753">
        <v>0</v>
      </c>
      <c r="AZ3753">
        <v>1200</v>
      </c>
      <c r="BA3753">
        <v>1</v>
      </c>
      <c r="BB3753" t="str">
        <f t="shared" si="186"/>
        <v xml:space="preserve">N8080G  </v>
      </c>
      <c r="BC3753">
        <v>1</v>
      </c>
      <c r="BE3753">
        <v>0</v>
      </c>
      <c r="BF3753">
        <v>0</v>
      </c>
      <c r="BG3753">
        <v>0</v>
      </c>
      <c r="BH3753">
        <v>1350</v>
      </c>
      <c r="BI3753">
        <v>1</v>
      </c>
      <c r="BJ3753">
        <v>1</v>
      </c>
      <c r="BK3753">
        <v>1</v>
      </c>
      <c r="BL3753">
        <v>0</v>
      </c>
      <c r="BO3753">
        <v>0</v>
      </c>
      <c r="BP3753">
        <v>0</v>
      </c>
      <c r="BW3753" t="str">
        <f>"20:35:15.283"</f>
        <v>20:35:15.283</v>
      </c>
      <c r="BZ3753">
        <v>0</v>
      </c>
      <c r="CA3753">
        <v>1600</v>
      </c>
      <c r="CB3753">
        <v>224</v>
      </c>
      <c r="CD3753">
        <v>1</v>
      </c>
      <c r="CE3753">
        <v>0</v>
      </c>
      <c r="CF3753">
        <v>0</v>
      </c>
      <c r="CG3753">
        <v>1</v>
      </c>
      <c r="CH3753">
        <v>0</v>
      </c>
      <c r="CI3753">
        <v>0</v>
      </c>
      <c r="CJ3753">
        <v>0</v>
      </c>
      <c r="CK3753">
        <v>2</v>
      </c>
      <c r="CL3753">
        <v>0</v>
      </c>
      <c r="CM3753">
        <v>2</v>
      </c>
      <c r="CN3753">
        <v>0</v>
      </c>
      <c r="CO3753">
        <v>6</v>
      </c>
      <c r="CP3753" t="s">
        <v>119</v>
      </c>
      <c r="CQ3753">
        <v>180</v>
      </c>
      <c r="CR3753">
        <v>3</v>
      </c>
      <c r="CW3753">
        <v>1253415</v>
      </c>
      <c r="CY3753">
        <v>1</v>
      </c>
      <c r="CZ3753">
        <v>0</v>
      </c>
      <c r="DA3753">
        <v>1</v>
      </c>
      <c r="DB3753">
        <v>0</v>
      </c>
      <c r="DC3753">
        <v>0</v>
      </c>
      <c r="DD3753">
        <v>0</v>
      </c>
      <c r="DE3753">
        <v>0</v>
      </c>
      <c r="DF3753">
        <v>0</v>
      </c>
      <c r="DG3753">
        <v>0</v>
      </c>
      <c r="DH3753">
        <v>0</v>
      </c>
      <c r="DI3753">
        <v>0</v>
      </c>
    </row>
    <row r="3754" spans="1:113" x14ac:dyDescent="0.3">
      <c r="A3754" t="str">
        <f>"02/08/2021 20:35:12.955"</f>
        <v>02/08/2021 20:35:12.955</v>
      </c>
      <c r="C3754" t="str">
        <f t="shared" si="188"/>
        <v>FFDFD7C0</v>
      </c>
      <c r="D3754" t="s">
        <v>113</v>
      </c>
      <c r="E3754">
        <v>6</v>
      </c>
      <c r="H3754">
        <v>165</v>
      </c>
      <c r="I3754" t="s">
        <v>114</v>
      </c>
      <c r="J3754" t="s">
        <v>115</v>
      </c>
      <c r="K3754">
        <v>0</v>
      </c>
      <c r="L3754">
        <v>3</v>
      </c>
      <c r="M3754">
        <v>0</v>
      </c>
      <c r="N3754">
        <v>2</v>
      </c>
      <c r="O3754">
        <v>1</v>
      </c>
      <c r="P3754">
        <v>0</v>
      </c>
      <c r="Q3754">
        <v>0</v>
      </c>
      <c r="S3754" t="str">
        <f>"20:35:15.281"</f>
        <v>20:35:15.281</v>
      </c>
      <c r="T3754" t="str">
        <f>"20:35:14.881"</f>
        <v>20:35:14.881</v>
      </c>
      <c r="U3754" t="str">
        <f t="shared" si="187"/>
        <v>AB01F4</v>
      </c>
      <c r="V3754">
        <v>0</v>
      </c>
      <c r="W3754">
        <v>0</v>
      </c>
      <c r="X3754">
        <v>2</v>
      </c>
      <c r="Z3754">
        <v>0</v>
      </c>
      <c r="AA3754">
        <v>9</v>
      </c>
      <c r="AB3754">
        <v>3</v>
      </c>
      <c r="AC3754">
        <v>0</v>
      </c>
      <c r="AD3754">
        <v>10</v>
      </c>
      <c r="AE3754">
        <v>0</v>
      </c>
      <c r="AF3754">
        <v>3</v>
      </c>
      <c r="AG3754">
        <v>2</v>
      </c>
      <c r="AH3754">
        <v>0</v>
      </c>
      <c r="AI3754" t="s">
        <v>2125</v>
      </c>
      <c r="AJ3754">
        <v>40.119002000000002</v>
      </c>
      <c r="AK3754" t="s">
        <v>2126</v>
      </c>
      <c r="AL3754">
        <v>-93.046323999999998</v>
      </c>
      <c r="AM3754">
        <v>100</v>
      </c>
      <c r="AN3754">
        <v>1300</v>
      </c>
      <c r="AO3754" t="s">
        <v>118</v>
      </c>
      <c r="AP3754">
        <v>-115</v>
      </c>
      <c r="AQ3754">
        <v>60</v>
      </c>
      <c r="AR3754">
        <v>0</v>
      </c>
      <c r="AZ3754">
        <v>1200</v>
      </c>
      <c r="BA3754">
        <v>1</v>
      </c>
      <c r="BB3754" t="str">
        <f t="shared" si="186"/>
        <v xml:space="preserve">N8080G  </v>
      </c>
      <c r="BC3754">
        <v>1</v>
      </c>
      <c r="BE3754">
        <v>0</v>
      </c>
      <c r="BF3754">
        <v>0</v>
      </c>
      <c r="BG3754">
        <v>0</v>
      </c>
      <c r="BH3754">
        <v>1350</v>
      </c>
      <c r="BI3754">
        <v>1</v>
      </c>
      <c r="BJ3754">
        <v>1</v>
      </c>
      <c r="BK3754">
        <v>1</v>
      </c>
      <c r="BL3754">
        <v>0</v>
      </c>
      <c r="BO3754">
        <v>0</v>
      </c>
      <c r="BP3754">
        <v>0</v>
      </c>
      <c r="BW3754" t="str">
        <f>"20:35:15.283"</f>
        <v>20:35:15.283</v>
      </c>
      <c r="BZ3754">
        <v>0</v>
      </c>
      <c r="CA3754">
        <v>1600</v>
      </c>
      <c r="CB3754">
        <v>224</v>
      </c>
      <c r="CD3754">
        <v>1</v>
      </c>
      <c r="CE3754">
        <v>0</v>
      </c>
      <c r="CF3754">
        <v>0</v>
      </c>
      <c r="CG3754">
        <v>1</v>
      </c>
      <c r="CH3754">
        <v>0</v>
      </c>
      <c r="CI3754">
        <v>0</v>
      </c>
      <c r="CJ3754">
        <v>0</v>
      </c>
      <c r="CK3754">
        <v>2</v>
      </c>
      <c r="CL3754">
        <v>0</v>
      </c>
      <c r="CM3754">
        <v>2</v>
      </c>
      <c r="CN3754">
        <v>0</v>
      </c>
      <c r="CO3754">
        <v>6</v>
      </c>
      <c r="CP3754" t="s">
        <v>119</v>
      </c>
      <c r="CQ3754">
        <v>180</v>
      </c>
      <c r="CR3754">
        <v>3</v>
      </c>
      <c r="CW3754">
        <v>1253415</v>
      </c>
      <c r="CY3754">
        <v>1</v>
      </c>
      <c r="CZ3754">
        <v>0</v>
      </c>
      <c r="DA3754">
        <v>1</v>
      </c>
      <c r="DB3754">
        <v>0</v>
      </c>
      <c r="DC3754">
        <v>0</v>
      </c>
      <c r="DD3754">
        <v>0</v>
      </c>
      <c r="DE3754">
        <v>0</v>
      </c>
      <c r="DF3754">
        <v>0</v>
      </c>
      <c r="DG3754">
        <v>0</v>
      </c>
      <c r="DH3754">
        <v>0</v>
      </c>
      <c r="DI3754">
        <v>0</v>
      </c>
    </row>
    <row r="3755" spans="1:113" x14ac:dyDescent="0.3">
      <c r="A3755" t="str">
        <f>"02/08/2021 20:35:16.341"</f>
        <v>02/08/2021 20:35:16.341</v>
      </c>
      <c r="C3755" t="str">
        <f t="shared" si="188"/>
        <v>FFDFD7C0</v>
      </c>
      <c r="D3755" t="s">
        <v>124</v>
      </c>
      <c r="E3755">
        <v>13</v>
      </c>
      <c r="F3755">
        <v>1013</v>
      </c>
      <c r="G3755" t="s">
        <v>114</v>
      </c>
      <c r="J3755" t="s">
        <v>125</v>
      </c>
      <c r="K3755">
        <v>0</v>
      </c>
      <c r="L3755">
        <v>3</v>
      </c>
      <c r="M3755">
        <v>0</v>
      </c>
      <c r="N3755">
        <v>2</v>
      </c>
      <c r="O3755">
        <v>1</v>
      </c>
      <c r="P3755">
        <v>0</v>
      </c>
      <c r="Q3755">
        <v>0</v>
      </c>
      <c r="S3755" t="str">
        <f>"20:35:18.688"</f>
        <v>20:35:18.688</v>
      </c>
      <c r="T3755" t="str">
        <f>"20:35:18.188"</f>
        <v>20:35:18.188</v>
      </c>
      <c r="U3755" t="str">
        <f t="shared" si="187"/>
        <v>AB01F4</v>
      </c>
      <c r="V3755">
        <v>0</v>
      </c>
      <c r="W3755">
        <v>0</v>
      </c>
      <c r="X3755">
        <v>2</v>
      </c>
      <c r="Z3755">
        <v>0</v>
      </c>
      <c r="AA3755">
        <v>9</v>
      </c>
      <c r="AB3755">
        <v>3</v>
      </c>
      <c r="AC3755">
        <v>0</v>
      </c>
      <c r="AD3755">
        <v>10</v>
      </c>
      <c r="AE3755">
        <v>0</v>
      </c>
      <c r="AF3755">
        <v>3</v>
      </c>
      <c r="AG3755">
        <v>2</v>
      </c>
      <c r="AH3755">
        <v>0</v>
      </c>
      <c r="AI3755" t="s">
        <v>2127</v>
      </c>
      <c r="AJ3755">
        <v>40.119925000000002</v>
      </c>
      <c r="AK3755" t="s">
        <v>2128</v>
      </c>
      <c r="AL3755">
        <v>-93.048642000000001</v>
      </c>
      <c r="AM3755">
        <v>100</v>
      </c>
      <c r="AN3755">
        <v>1300</v>
      </c>
      <c r="AO3755" t="s">
        <v>118</v>
      </c>
      <c r="AP3755">
        <v>-114</v>
      </c>
      <c r="AQ3755">
        <v>60</v>
      </c>
      <c r="AR3755">
        <v>64</v>
      </c>
      <c r="AZ3755">
        <v>1200</v>
      </c>
      <c r="BA3755">
        <v>1</v>
      </c>
      <c r="BB3755" t="str">
        <f t="shared" si="186"/>
        <v xml:space="preserve">N8080G  </v>
      </c>
      <c r="BC3755">
        <v>1</v>
      </c>
      <c r="BE3755">
        <v>0</v>
      </c>
      <c r="BF3755">
        <v>0</v>
      </c>
      <c r="BG3755">
        <v>0</v>
      </c>
      <c r="BH3755">
        <v>1350</v>
      </c>
      <c r="BI3755">
        <v>1</v>
      </c>
      <c r="BJ3755">
        <v>1</v>
      </c>
      <c r="BK3755">
        <v>1</v>
      </c>
      <c r="BL3755">
        <v>0</v>
      </c>
      <c r="BO3755">
        <v>0</v>
      </c>
      <c r="BP3755">
        <v>0</v>
      </c>
      <c r="BW3755" t="str">
        <f>"20:35:18.691"</f>
        <v>20:35:18.691</v>
      </c>
      <c r="BZ3755">
        <v>0</v>
      </c>
      <c r="CA3755">
        <v>1600</v>
      </c>
      <c r="CB3755">
        <v>224</v>
      </c>
      <c r="CD3755">
        <v>1</v>
      </c>
      <c r="CE3755">
        <v>0</v>
      </c>
      <c r="CF3755">
        <v>0</v>
      </c>
      <c r="CG3755">
        <v>1</v>
      </c>
      <c r="CH3755">
        <v>0</v>
      </c>
      <c r="CI3755">
        <v>0</v>
      </c>
      <c r="CJ3755">
        <v>0</v>
      </c>
      <c r="CK3755">
        <v>2</v>
      </c>
      <c r="CL3755">
        <v>0</v>
      </c>
      <c r="CM3755">
        <v>2</v>
      </c>
      <c r="CN3755">
        <v>0</v>
      </c>
      <c r="CO3755">
        <v>1</v>
      </c>
      <c r="CP3755" t="s">
        <v>119</v>
      </c>
      <c r="CQ3755">
        <v>179</v>
      </c>
      <c r="CR3755">
        <v>1</v>
      </c>
      <c r="CW3755">
        <v>9399077</v>
      </c>
      <c r="CY3755">
        <v>1</v>
      </c>
      <c r="CZ3755">
        <v>0</v>
      </c>
      <c r="DA3755">
        <v>0</v>
      </c>
      <c r="DB3755">
        <v>0</v>
      </c>
      <c r="DC3755">
        <v>0</v>
      </c>
      <c r="DD3755">
        <v>0</v>
      </c>
      <c r="DE3755">
        <v>0</v>
      </c>
      <c r="DF3755">
        <v>0</v>
      </c>
      <c r="DG3755">
        <v>0</v>
      </c>
      <c r="DH3755">
        <v>0</v>
      </c>
      <c r="DI3755">
        <v>0</v>
      </c>
    </row>
    <row r="3756" spans="1:113" x14ac:dyDescent="0.3">
      <c r="A3756" t="str">
        <f>"02/08/2021 20:35:16.341"</f>
        <v>02/08/2021 20:35:16.341</v>
      </c>
      <c r="C3756" t="str">
        <f t="shared" si="188"/>
        <v>FFDFD7C0</v>
      </c>
      <c r="D3756" t="s">
        <v>124</v>
      </c>
      <c r="E3756">
        <v>11</v>
      </c>
      <c r="F3756">
        <v>1011</v>
      </c>
      <c r="G3756" t="s">
        <v>590</v>
      </c>
      <c r="J3756" t="s">
        <v>125</v>
      </c>
      <c r="K3756">
        <v>0</v>
      </c>
      <c r="L3756">
        <v>3</v>
      </c>
      <c r="M3756">
        <v>0</v>
      </c>
      <c r="N3756">
        <v>2</v>
      </c>
      <c r="O3756">
        <v>1</v>
      </c>
      <c r="P3756">
        <v>0</v>
      </c>
      <c r="Q3756">
        <v>0</v>
      </c>
      <c r="S3756" t="str">
        <f>"20:35:18.688"</f>
        <v>20:35:18.688</v>
      </c>
      <c r="T3756" t="str">
        <f>"20:35:18.188"</f>
        <v>20:35:18.188</v>
      </c>
      <c r="U3756" t="str">
        <f t="shared" si="187"/>
        <v>AB01F4</v>
      </c>
      <c r="V3756">
        <v>0</v>
      </c>
      <c r="W3756">
        <v>0</v>
      </c>
      <c r="X3756">
        <v>2</v>
      </c>
      <c r="Z3756">
        <v>0</v>
      </c>
      <c r="AA3756">
        <v>9</v>
      </c>
      <c r="AB3756">
        <v>3</v>
      </c>
      <c r="AC3756">
        <v>0</v>
      </c>
      <c r="AD3756">
        <v>10</v>
      </c>
      <c r="AE3756">
        <v>0</v>
      </c>
      <c r="AF3756">
        <v>3</v>
      </c>
      <c r="AG3756">
        <v>2</v>
      </c>
      <c r="AH3756">
        <v>0</v>
      </c>
      <c r="AI3756" t="s">
        <v>2127</v>
      </c>
      <c r="AJ3756">
        <v>40.119925000000002</v>
      </c>
      <c r="AK3756" t="s">
        <v>2128</v>
      </c>
      <c r="AL3756">
        <v>-93.048642000000001</v>
      </c>
      <c r="AM3756">
        <v>100</v>
      </c>
      <c r="AN3756">
        <v>1300</v>
      </c>
      <c r="AO3756" t="s">
        <v>118</v>
      </c>
      <c r="AP3756">
        <v>-114</v>
      </c>
      <c r="AQ3756">
        <v>60</v>
      </c>
      <c r="AR3756">
        <v>64</v>
      </c>
      <c r="AZ3756">
        <v>1200</v>
      </c>
      <c r="BA3756">
        <v>1</v>
      </c>
      <c r="BB3756" t="str">
        <f t="shared" si="186"/>
        <v xml:space="preserve">N8080G  </v>
      </c>
      <c r="BC3756">
        <v>1</v>
      </c>
      <c r="BE3756">
        <v>0</v>
      </c>
      <c r="BF3756">
        <v>0</v>
      </c>
      <c r="BG3756">
        <v>0</v>
      </c>
      <c r="BH3756">
        <v>1350</v>
      </c>
      <c r="BI3756">
        <v>1</v>
      </c>
      <c r="BJ3756">
        <v>1</v>
      </c>
      <c r="BK3756">
        <v>1</v>
      </c>
      <c r="BL3756">
        <v>0</v>
      </c>
      <c r="BO3756">
        <v>0</v>
      </c>
      <c r="BP3756">
        <v>0</v>
      </c>
      <c r="BW3756" t="str">
        <f>"20:35:18.691"</f>
        <v>20:35:18.691</v>
      </c>
      <c r="BZ3756">
        <v>0</v>
      </c>
      <c r="CA3756">
        <v>1600</v>
      </c>
      <c r="CB3756">
        <v>224</v>
      </c>
      <c r="CD3756">
        <v>1</v>
      </c>
      <c r="CE3756">
        <v>0</v>
      </c>
      <c r="CF3756">
        <v>0</v>
      </c>
      <c r="CG3756">
        <v>1</v>
      </c>
      <c r="CH3756">
        <v>0</v>
      </c>
      <c r="CI3756">
        <v>0</v>
      </c>
      <c r="CJ3756">
        <v>0</v>
      </c>
      <c r="CK3756">
        <v>2</v>
      </c>
      <c r="CL3756">
        <v>0</v>
      </c>
      <c r="CM3756">
        <v>2</v>
      </c>
      <c r="CN3756">
        <v>0</v>
      </c>
      <c r="CO3756">
        <v>1</v>
      </c>
      <c r="CP3756" t="s">
        <v>119</v>
      </c>
      <c r="CQ3756">
        <v>179</v>
      </c>
      <c r="CR3756">
        <v>1</v>
      </c>
      <c r="CW3756">
        <v>9399077</v>
      </c>
      <c r="CY3756">
        <v>1</v>
      </c>
      <c r="CZ3756">
        <v>0</v>
      </c>
      <c r="DA3756">
        <v>1</v>
      </c>
      <c r="DB3756">
        <v>0</v>
      </c>
      <c r="DC3756">
        <v>0</v>
      </c>
      <c r="DD3756">
        <v>0</v>
      </c>
      <c r="DE3756">
        <v>0</v>
      </c>
      <c r="DF3756">
        <v>0</v>
      </c>
      <c r="DG3756">
        <v>0</v>
      </c>
      <c r="DH3756">
        <v>0</v>
      </c>
      <c r="DI3756">
        <v>0</v>
      </c>
    </row>
    <row r="3757" spans="1:113" x14ac:dyDescent="0.3">
      <c r="A3757" t="str">
        <f>"02/08/2021 20:35:16.341"</f>
        <v>02/08/2021 20:35:16.341</v>
      </c>
      <c r="C3757" t="str">
        <f t="shared" si="188"/>
        <v>FFDFD7C0</v>
      </c>
      <c r="D3757" t="s">
        <v>124</v>
      </c>
      <c r="E3757">
        <v>12</v>
      </c>
      <c r="F3757">
        <v>1012</v>
      </c>
      <c r="G3757" t="s">
        <v>675</v>
      </c>
      <c r="J3757" t="s">
        <v>125</v>
      </c>
      <c r="K3757">
        <v>0</v>
      </c>
      <c r="L3757">
        <v>3</v>
      </c>
      <c r="M3757">
        <v>0</v>
      </c>
      <c r="N3757">
        <v>2</v>
      </c>
      <c r="O3757">
        <v>1</v>
      </c>
      <c r="P3757">
        <v>0</v>
      </c>
      <c r="Q3757">
        <v>0</v>
      </c>
      <c r="S3757" t="str">
        <f>"20:35:18.688"</f>
        <v>20:35:18.688</v>
      </c>
      <c r="T3757" t="str">
        <f>"20:35:18.188"</f>
        <v>20:35:18.188</v>
      </c>
      <c r="U3757" t="str">
        <f t="shared" si="187"/>
        <v>AB01F4</v>
      </c>
      <c r="V3757">
        <v>0</v>
      </c>
      <c r="W3757">
        <v>0</v>
      </c>
      <c r="X3757">
        <v>2</v>
      </c>
      <c r="Z3757">
        <v>0</v>
      </c>
      <c r="AA3757">
        <v>9</v>
      </c>
      <c r="AB3757">
        <v>3</v>
      </c>
      <c r="AC3757">
        <v>0</v>
      </c>
      <c r="AD3757">
        <v>10</v>
      </c>
      <c r="AE3757">
        <v>0</v>
      </c>
      <c r="AF3757">
        <v>3</v>
      </c>
      <c r="AG3757">
        <v>2</v>
      </c>
      <c r="AH3757">
        <v>0</v>
      </c>
      <c r="AI3757" t="s">
        <v>2127</v>
      </c>
      <c r="AJ3757">
        <v>40.119925000000002</v>
      </c>
      <c r="AK3757" t="s">
        <v>2128</v>
      </c>
      <c r="AL3757">
        <v>-93.048642000000001</v>
      </c>
      <c r="AM3757">
        <v>100</v>
      </c>
      <c r="AN3757">
        <v>1300</v>
      </c>
      <c r="AO3757" t="s">
        <v>118</v>
      </c>
      <c r="AP3757">
        <v>-114</v>
      </c>
      <c r="AQ3757">
        <v>60</v>
      </c>
      <c r="AR3757">
        <v>64</v>
      </c>
      <c r="AZ3757">
        <v>1200</v>
      </c>
      <c r="BA3757">
        <v>1</v>
      </c>
      <c r="BB3757" t="str">
        <f t="shared" si="186"/>
        <v xml:space="preserve">N8080G  </v>
      </c>
      <c r="BC3757">
        <v>1</v>
      </c>
      <c r="BE3757">
        <v>0</v>
      </c>
      <c r="BF3757">
        <v>0</v>
      </c>
      <c r="BG3757">
        <v>0</v>
      </c>
      <c r="BH3757">
        <v>1350</v>
      </c>
      <c r="BI3757">
        <v>1</v>
      </c>
      <c r="BJ3757">
        <v>1</v>
      </c>
      <c r="BK3757">
        <v>1</v>
      </c>
      <c r="BL3757">
        <v>0</v>
      </c>
      <c r="BO3757">
        <v>0</v>
      </c>
      <c r="BP3757">
        <v>0</v>
      </c>
      <c r="BW3757" t="str">
        <f>"20:35:18.691"</f>
        <v>20:35:18.691</v>
      </c>
      <c r="BZ3757">
        <v>0</v>
      </c>
      <c r="CA3757">
        <v>1600</v>
      </c>
      <c r="CB3757">
        <v>224</v>
      </c>
      <c r="CD3757">
        <v>1</v>
      </c>
      <c r="CE3757">
        <v>0</v>
      </c>
      <c r="CF3757">
        <v>0</v>
      </c>
      <c r="CG3757">
        <v>1</v>
      </c>
      <c r="CH3757">
        <v>0</v>
      </c>
      <c r="CI3757">
        <v>0</v>
      </c>
      <c r="CJ3757">
        <v>0</v>
      </c>
      <c r="CK3757">
        <v>2</v>
      </c>
      <c r="CL3757">
        <v>0</v>
      </c>
      <c r="CM3757">
        <v>2</v>
      </c>
      <c r="CN3757">
        <v>0</v>
      </c>
      <c r="CO3757">
        <v>1</v>
      </c>
      <c r="CP3757" t="s">
        <v>119</v>
      </c>
      <c r="CQ3757">
        <v>179</v>
      </c>
      <c r="CR3757">
        <v>1</v>
      </c>
      <c r="CW3757">
        <v>9399077</v>
      </c>
      <c r="CY3757">
        <v>1</v>
      </c>
      <c r="CZ3757">
        <v>0</v>
      </c>
      <c r="DA3757">
        <v>1</v>
      </c>
      <c r="DB3757">
        <v>0</v>
      </c>
      <c r="DC3757">
        <v>0</v>
      </c>
      <c r="DD3757">
        <v>0</v>
      </c>
      <c r="DE3757">
        <v>0</v>
      </c>
      <c r="DF3757">
        <v>0</v>
      </c>
      <c r="DG3757">
        <v>0</v>
      </c>
      <c r="DH3757">
        <v>0</v>
      </c>
      <c r="DI3757">
        <v>0</v>
      </c>
    </row>
    <row r="3758" spans="1:113" x14ac:dyDescent="0.3">
      <c r="A3758" t="str">
        <f>"02/08/2021 20:35:16.341"</f>
        <v>02/08/2021 20:35:16.341</v>
      </c>
      <c r="C3758" t="str">
        <f t="shared" si="188"/>
        <v>FFDFD7C0</v>
      </c>
      <c r="D3758" t="s">
        <v>113</v>
      </c>
      <c r="E3758">
        <v>6</v>
      </c>
      <c r="H3758">
        <v>165</v>
      </c>
      <c r="I3758" t="s">
        <v>114</v>
      </c>
      <c r="J3758" t="s">
        <v>115</v>
      </c>
      <c r="K3758">
        <v>0</v>
      </c>
      <c r="L3758">
        <v>3</v>
      </c>
      <c r="M3758">
        <v>0</v>
      </c>
      <c r="N3758">
        <v>2</v>
      </c>
      <c r="O3758">
        <v>1</v>
      </c>
      <c r="P3758">
        <v>0</v>
      </c>
      <c r="Q3758">
        <v>0</v>
      </c>
      <c r="S3758" t="str">
        <f>"20:35:18.688"</f>
        <v>20:35:18.688</v>
      </c>
      <c r="T3758" t="str">
        <f>"20:35:18.188"</f>
        <v>20:35:18.188</v>
      </c>
      <c r="U3758" t="str">
        <f t="shared" si="187"/>
        <v>AB01F4</v>
      </c>
      <c r="V3758">
        <v>0</v>
      </c>
      <c r="W3758">
        <v>0</v>
      </c>
      <c r="X3758">
        <v>2</v>
      </c>
      <c r="Z3758">
        <v>0</v>
      </c>
      <c r="AA3758">
        <v>9</v>
      </c>
      <c r="AB3758">
        <v>3</v>
      </c>
      <c r="AC3758">
        <v>0</v>
      </c>
      <c r="AD3758">
        <v>10</v>
      </c>
      <c r="AE3758">
        <v>0</v>
      </c>
      <c r="AF3758">
        <v>3</v>
      </c>
      <c r="AG3758">
        <v>2</v>
      </c>
      <c r="AH3758">
        <v>0</v>
      </c>
      <c r="AI3758" t="s">
        <v>2127</v>
      </c>
      <c r="AJ3758">
        <v>40.119925000000002</v>
      </c>
      <c r="AK3758" t="s">
        <v>2128</v>
      </c>
      <c r="AL3758">
        <v>-93.048642000000001</v>
      </c>
      <c r="AM3758">
        <v>100</v>
      </c>
      <c r="AN3758">
        <v>1300</v>
      </c>
      <c r="AO3758" t="s">
        <v>118</v>
      </c>
      <c r="AP3758">
        <v>-114</v>
      </c>
      <c r="AQ3758">
        <v>60</v>
      </c>
      <c r="AR3758">
        <v>64</v>
      </c>
      <c r="AZ3758">
        <v>1200</v>
      </c>
      <c r="BA3758">
        <v>1</v>
      </c>
      <c r="BB3758" t="str">
        <f t="shared" si="186"/>
        <v xml:space="preserve">N8080G  </v>
      </c>
      <c r="BC3758">
        <v>1</v>
      </c>
      <c r="BE3758">
        <v>0</v>
      </c>
      <c r="BF3758">
        <v>0</v>
      </c>
      <c r="BG3758">
        <v>0</v>
      </c>
      <c r="BH3758">
        <v>1350</v>
      </c>
      <c r="BI3758">
        <v>1</v>
      </c>
      <c r="BJ3758">
        <v>1</v>
      </c>
      <c r="BK3758">
        <v>1</v>
      </c>
      <c r="BL3758">
        <v>0</v>
      </c>
      <c r="BO3758">
        <v>0</v>
      </c>
      <c r="BP3758">
        <v>0</v>
      </c>
      <c r="BW3758" t="str">
        <f>"20:35:18.691"</f>
        <v>20:35:18.691</v>
      </c>
      <c r="BZ3758">
        <v>0</v>
      </c>
      <c r="CA3758">
        <v>1600</v>
      </c>
      <c r="CB3758">
        <v>224</v>
      </c>
      <c r="CD3758">
        <v>1</v>
      </c>
      <c r="CE3758">
        <v>0</v>
      </c>
      <c r="CF3758">
        <v>0</v>
      </c>
      <c r="CG3758">
        <v>1</v>
      </c>
      <c r="CH3758">
        <v>0</v>
      </c>
      <c r="CI3758">
        <v>0</v>
      </c>
      <c r="CJ3758">
        <v>0</v>
      </c>
      <c r="CK3758">
        <v>2</v>
      </c>
      <c r="CL3758">
        <v>0</v>
      </c>
      <c r="CM3758">
        <v>2</v>
      </c>
      <c r="CN3758">
        <v>0</v>
      </c>
      <c r="CO3758">
        <v>1</v>
      </c>
      <c r="CP3758" t="s">
        <v>119</v>
      </c>
      <c r="CQ3758">
        <v>179</v>
      </c>
      <c r="CR3758">
        <v>1</v>
      </c>
      <c r="CW3758">
        <v>9399077</v>
      </c>
      <c r="CY3758">
        <v>1</v>
      </c>
      <c r="CZ3758">
        <v>0</v>
      </c>
      <c r="DA3758">
        <v>1</v>
      </c>
      <c r="DB3758">
        <v>0</v>
      </c>
      <c r="DC3758">
        <v>0</v>
      </c>
      <c r="DD3758">
        <v>0</v>
      </c>
      <c r="DE3758">
        <v>0</v>
      </c>
      <c r="DF3758">
        <v>0</v>
      </c>
      <c r="DG3758">
        <v>0</v>
      </c>
      <c r="DH3758">
        <v>0</v>
      </c>
      <c r="DI3758">
        <v>0</v>
      </c>
    </row>
    <row r="3759" spans="1:113" x14ac:dyDescent="0.3">
      <c r="A3759" t="str">
        <f>"02/08/2021 20:35:17.235"</f>
        <v>02/08/2021 20:35:17.235</v>
      </c>
      <c r="C3759" t="str">
        <f t="shared" si="188"/>
        <v>FFDFD7C0</v>
      </c>
      <c r="D3759" t="s">
        <v>113</v>
      </c>
      <c r="E3759">
        <v>6</v>
      </c>
      <c r="H3759">
        <v>165</v>
      </c>
      <c r="I3759" t="s">
        <v>114</v>
      </c>
      <c r="J3759" t="s">
        <v>115</v>
      </c>
      <c r="K3759">
        <v>0</v>
      </c>
      <c r="L3759">
        <v>3</v>
      </c>
      <c r="M3759">
        <v>0</v>
      </c>
      <c r="N3759">
        <v>2</v>
      </c>
      <c r="O3759">
        <v>1</v>
      </c>
      <c r="P3759">
        <v>0</v>
      </c>
      <c r="Q3759">
        <v>0</v>
      </c>
      <c r="S3759" t="str">
        <f>"20:35:19.563"</f>
        <v>20:35:19.563</v>
      </c>
      <c r="T3759" t="str">
        <f>"20:35:19.163"</f>
        <v>20:35:19.163</v>
      </c>
      <c r="U3759" t="str">
        <f t="shared" si="187"/>
        <v>AB01F4</v>
      </c>
      <c r="V3759">
        <v>0</v>
      </c>
      <c r="W3759">
        <v>0</v>
      </c>
      <c r="X3759">
        <v>2</v>
      </c>
      <c r="Z3759">
        <v>0</v>
      </c>
      <c r="AA3759">
        <v>9</v>
      </c>
      <c r="AB3759">
        <v>3</v>
      </c>
      <c r="AC3759">
        <v>0</v>
      </c>
      <c r="AD3759">
        <v>10</v>
      </c>
      <c r="AE3759">
        <v>0</v>
      </c>
      <c r="AF3759">
        <v>3</v>
      </c>
      <c r="AG3759">
        <v>2</v>
      </c>
      <c r="AH3759">
        <v>0</v>
      </c>
      <c r="AI3759" t="s">
        <v>2129</v>
      </c>
      <c r="AJ3759">
        <v>40.120202999999997</v>
      </c>
      <c r="AK3759" t="s">
        <v>2130</v>
      </c>
      <c r="AL3759">
        <v>-93.049306999999999</v>
      </c>
      <c r="AM3759">
        <v>100</v>
      </c>
      <c r="AN3759">
        <v>1300</v>
      </c>
      <c r="AO3759" t="s">
        <v>118</v>
      </c>
      <c r="AP3759">
        <v>-114</v>
      </c>
      <c r="AQ3759">
        <v>60</v>
      </c>
      <c r="AR3759">
        <v>0</v>
      </c>
      <c r="AZ3759">
        <v>1200</v>
      </c>
      <c r="BA3759">
        <v>1</v>
      </c>
      <c r="BB3759" t="str">
        <f t="shared" ref="BB3759:BB3822" si="189">"N8080G  "</f>
        <v xml:space="preserve">N8080G  </v>
      </c>
      <c r="BC3759">
        <v>1</v>
      </c>
      <c r="BE3759">
        <v>0</v>
      </c>
      <c r="BF3759">
        <v>0</v>
      </c>
      <c r="BG3759">
        <v>0</v>
      </c>
      <c r="BH3759">
        <v>1350</v>
      </c>
      <c r="BI3759">
        <v>1</v>
      </c>
      <c r="BJ3759">
        <v>1</v>
      </c>
      <c r="BK3759">
        <v>1</v>
      </c>
      <c r="BL3759">
        <v>0</v>
      </c>
      <c r="BO3759">
        <v>0</v>
      </c>
      <c r="BP3759">
        <v>0</v>
      </c>
      <c r="BW3759" t="str">
        <f>"20:35:19.568"</f>
        <v>20:35:19.568</v>
      </c>
      <c r="BZ3759">
        <v>0</v>
      </c>
      <c r="CA3759">
        <v>1600</v>
      </c>
      <c r="CB3759">
        <v>224</v>
      </c>
      <c r="CD3759">
        <v>1</v>
      </c>
      <c r="CE3759">
        <v>0</v>
      </c>
      <c r="CF3759">
        <v>0</v>
      </c>
      <c r="CG3759">
        <v>1</v>
      </c>
      <c r="CH3759">
        <v>0</v>
      </c>
      <c r="CI3759">
        <v>0</v>
      </c>
      <c r="CJ3759">
        <v>0</v>
      </c>
      <c r="CK3759">
        <v>2</v>
      </c>
      <c r="CL3759">
        <v>0</v>
      </c>
      <c r="CM3759">
        <v>2</v>
      </c>
      <c r="CN3759">
        <v>0</v>
      </c>
      <c r="CO3759">
        <v>6</v>
      </c>
      <c r="CP3759" t="s">
        <v>119</v>
      </c>
      <c r="CQ3759">
        <v>180</v>
      </c>
      <c r="CR3759">
        <v>3</v>
      </c>
      <c r="CW3759">
        <v>1256803</v>
      </c>
      <c r="CY3759">
        <v>1</v>
      </c>
      <c r="CZ3759">
        <v>0</v>
      </c>
      <c r="DA3759">
        <v>0</v>
      </c>
      <c r="DB3759">
        <v>0</v>
      </c>
      <c r="DC3759">
        <v>0</v>
      </c>
      <c r="DD3759">
        <v>0</v>
      </c>
      <c r="DE3759">
        <v>0</v>
      </c>
      <c r="DF3759">
        <v>0</v>
      </c>
      <c r="DG3759">
        <v>0</v>
      </c>
      <c r="DH3759">
        <v>0</v>
      </c>
      <c r="DI3759">
        <v>0</v>
      </c>
    </row>
    <row r="3760" spans="1:113" x14ac:dyDescent="0.3">
      <c r="A3760" t="str">
        <f>"02/08/2021 20:35:17.235"</f>
        <v>02/08/2021 20:35:17.235</v>
      </c>
      <c r="C3760" t="str">
        <f t="shared" si="188"/>
        <v>FFDFD7C0</v>
      </c>
      <c r="D3760" t="s">
        <v>124</v>
      </c>
      <c r="E3760">
        <v>12</v>
      </c>
      <c r="F3760">
        <v>1012</v>
      </c>
      <c r="G3760" t="s">
        <v>675</v>
      </c>
      <c r="J3760" t="s">
        <v>125</v>
      </c>
      <c r="K3760">
        <v>0</v>
      </c>
      <c r="L3760">
        <v>3</v>
      </c>
      <c r="M3760">
        <v>0</v>
      </c>
      <c r="N3760">
        <v>2</v>
      </c>
      <c r="O3760">
        <v>1</v>
      </c>
      <c r="P3760">
        <v>0</v>
      </c>
      <c r="Q3760">
        <v>0</v>
      </c>
      <c r="S3760" t="str">
        <f>"20:35:19.563"</f>
        <v>20:35:19.563</v>
      </c>
      <c r="T3760" t="str">
        <f>"20:35:19.163"</f>
        <v>20:35:19.163</v>
      </c>
      <c r="U3760" t="str">
        <f t="shared" si="187"/>
        <v>AB01F4</v>
      </c>
      <c r="V3760">
        <v>0</v>
      </c>
      <c r="W3760">
        <v>0</v>
      </c>
      <c r="X3760">
        <v>2</v>
      </c>
      <c r="Z3760">
        <v>0</v>
      </c>
      <c r="AA3760">
        <v>9</v>
      </c>
      <c r="AB3760">
        <v>3</v>
      </c>
      <c r="AC3760">
        <v>0</v>
      </c>
      <c r="AD3760">
        <v>10</v>
      </c>
      <c r="AE3760">
        <v>0</v>
      </c>
      <c r="AF3760">
        <v>3</v>
      </c>
      <c r="AG3760">
        <v>2</v>
      </c>
      <c r="AH3760">
        <v>0</v>
      </c>
      <c r="AI3760" t="s">
        <v>2129</v>
      </c>
      <c r="AJ3760">
        <v>40.120202999999997</v>
      </c>
      <c r="AK3760" t="s">
        <v>2130</v>
      </c>
      <c r="AL3760">
        <v>-93.049306999999999</v>
      </c>
      <c r="AM3760">
        <v>100</v>
      </c>
      <c r="AN3760">
        <v>1300</v>
      </c>
      <c r="AO3760" t="s">
        <v>118</v>
      </c>
      <c r="AP3760">
        <v>-114</v>
      </c>
      <c r="AQ3760">
        <v>60</v>
      </c>
      <c r="AR3760">
        <v>0</v>
      </c>
      <c r="AZ3760">
        <v>1200</v>
      </c>
      <c r="BA3760">
        <v>1</v>
      </c>
      <c r="BB3760" t="str">
        <f t="shared" si="189"/>
        <v xml:space="preserve">N8080G  </v>
      </c>
      <c r="BC3760">
        <v>1</v>
      </c>
      <c r="BE3760">
        <v>0</v>
      </c>
      <c r="BF3760">
        <v>0</v>
      </c>
      <c r="BG3760">
        <v>0</v>
      </c>
      <c r="BH3760">
        <v>1350</v>
      </c>
      <c r="BI3760">
        <v>1</v>
      </c>
      <c r="BJ3760">
        <v>1</v>
      </c>
      <c r="BK3760">
        <v>1</v>
      </c>
      <c r="BL3760">
        <v>0</v>
      </c>
      <c r="BO3760">
        <v>0</v>
      </c>
      <c r="BP3760">
        <v>0</v>
      </c>
      <c r="BW3760" t="str">
        <f>"20:35:19.568"</f>
        <v>20:35:19.568</v>
      </c>
      <c r="BZ3760">
        <v>0</v>
      </c>
      <c r="CA3760">
        <v>1600</v>
      </c>
      <c r="CB3760">
        <v>224</v>
      </c>
      <c r="CD3760">
        <v>1</v>
      </c>
      <c r="CE3760">
        <v>0</v>
      </c>
      <c r="CF3760">
        <v>0</v>
      </c>
      <c r="CG3760">
        <v>1</v>
      </c>
      <c r="CH3760">
        <v>0</v>
      </c>
      <c r="CI3760">
        <v>0</v>
      </c>
      <c r="CJ3760">
        <v>0</v>
      </c>
      <c r="CK3760">
        <v>2</v>
      </c>
      <c r="CL3760">
        <v>0</v>
      </c>
      <c r="CM3760">
        <v>2</v>
      </c>
      <c r="CN3760">
        <v>0</v>
      </c>
      <c r="CO3760">
        <v>6</v>
      </c>
      <c r="CP3760" t="s">
        <v>119</v>
      </c>
      <c r="CQ3760">
        <v>180</v>
      </c>
      <c r="CR3760">
        <v>3</v>
      </c>
      <c r="CW3760">
        <v>1256803</v>
      </c>
      <c r="CY3760">
        <v>1</v>
      </c>
      <c r="CZ3760">
        <v>0</v>
      </c>
      <c r="DA3760">
        <v>1</v>
      </c>
      <c r="DB3760">
        <v>0</v>
      </c>
      <c r="DC3760">
        <v>0</v>
      </c>
      <c r="DD3760">
        <v>0</v>
      </c>
      <c r="DE3760">
        <v>0</v>
      </c>
      <c r="DF3760">
        <v>0</v>
      </c>
      <c r="DG3760">
        <v>0</v>
      </c>
      <c r="DH3760">
        <v>0</v>
      </c>
      <c r="DI3760">
        <v>0</v>
      </c>
    </row>
    <row r="3761" spans="1:113" x14ac:dyDescent="0.3">
      <c r="A3761" t="str">
        <f>"02/08/2021 20:35:17.235"</f>
        <v>02/08/2021 20:35:17.235</v>
      </c>
      <c r="C3761" t="str">
        <f t="shared" si="188"/>
        <v>FFDFD7C0</v>
      </c>
      <c r="D3761" t="s">
        <v>124</v>
      </c>
      <c r="E3761">
        <v>13</v>
      </c>
      <c r="F3761">
        <v>1013</v>
      </c>
      <c r="G3761" t="s">
        <v>114</v>
      </c>
      <c r="J3761" t="s">
        <v>125</v>
      </c>
      <c r="K3761">
        <v>0</v>
      </c>
      <c r="L3761">
        <v>3</v>
      </c>
      <c r="M3761">
        <v>0</v>
      </c>
      <c r="N3761">
        <v>2</v>
      </c>
      <c r="O3761">
        <v>1</v>
      </c>
      <c r="P3761">
        <v>0</v>
      </c>
      <c r="Q3761">
        <v>0</v>
      </c>
      <c r="S3761" t="str">
        <f>"20:35:19.563"</f>
        <v>20:35:19.563</v>
      </c>
      <c r="T3761" t="str">
        <f>"20:35:19.163"</f>
        <v>20:35:19.163</v>
      </c>
      <c r="U3761" t="str">
        <f t="shared" si="187"/>
        <v>AB01F4</v>
      </c>
      <c r="V3761">
        <v>0</v>
      </c>
      <c r="W3761">
        <v>0</v>
      </c>
      <c r="X3761">
        <v>2</v>
      </c>
      <c r="Z3761">
        <v>0</v>
      </c>
      <c r="AA3761">
        <v>9</v>
      </c>
      <c r="AB3761">
        <v>3</v>
      </c>
      <c r="AC3761">
        <v>0</v>
      </c>
      <c r="AD3761">
        <v>10</v>
      </c>
      <c r="AE3761">
        <v>0</v>
      </c>
      <c r="AF3761">
        <v>3</v>
      </c>
      <c r="AG3761">
        <v>2</v>
      </c>
      <c r="AH3761">
        <v>0</v>
      </c>
      <c r="AI3761" t="s">
        <v>2129</v>
      </c>
      <c r="AJ3761">
        <v>40.120202999999997</v>
      </c>
      <c r="AK3761" t="s">
        <v>2130</v>
      </c>
      <c r="AL3761">
        <v>-93.049306999999999</v>
      </c>
      <c r="AM3761">
        <v>100</v>
      </c>
      <c r="AN3761">
        <v>1300</v>
      </c>
      <c r="AO3761" t="s">
        <v>118</v>
      </c>
      <c r="AP3761">
        <v>-114</v>
      </c>
      <c r="AQ3761">
        <v>60</v>
      </c>
      <c r="AR3761">
        <v>0</v>
      </c>
      <c r="AZ3761">
        <v>1200</v>
      </c>
      <c r="BA3761">
        <v>1</v>
      </c>
      <c r="BB3761" t="str">
        <f t="shared" si="189"/>
        <v xml:space="preserve">N8080G  </v>
      </c>
      <c r="BC3761">
        <v>1</v>
      </c>
      <c r="BE3761">
        <v>0</v>
      </c>
      <c r="BF3761">
        <v>0</v>
      </c>
      <c r="BG3761">
        <v>0</v>
      </c>
      <c r="BH3761">
        <v>1350</v>
      </c>
      <c r="BI3761">
        <v>1</v>
      </c>
      <c r="BJ3761">
        <v>1</v>
      </c>
      <c r="BK3761">
        <v>1</v>
      </c>
      <c r="BL3761">
        <v>0</v>
      </c>
      <c r="BO3761">
        <v>0</v>
      </c>
      <c r="BP3761">
        <v>0</v>
      </c>
      <c r="BW3761" t="str">
        <f>"20:35:19.568"</f>
        <v>20:35:19.568</v>
      </c>
      <c r="BZ3761">
        <v>0</v>
      </c>
      <c r="CA3761">
        <v>1600</v>
      </c>
      <c r="CB3761">
        <v>224</v>
      </c>
      <c r="CD3761">
        <v>1</v>
      </c>
      <c r="CE3761">
        <v>0</v>
      </c>
      <c r="CF3761">
        <v>0</v>
      </c>
      <c r="CG3761">
        <v>1</v>
      </c>
      <c r="CH3761">
        <v>0</v>
      </c>
      <c r="CI3761">
        <v>0</v>
      </c>
      <c r="CJ3761">
        <v>0</v>
      </c>
      <c r="CK3761">
        <v>2</v>
      </c>
      <c r="CL3761">
        <v>0</v>
      </c>
      <c r="CM3761">
        <v>2</v>
      </c>
      <c r="CN3761">
        <v>0</v>
      </c>
      <c r="CO3761">
        <v>6</v>
      </c>
      <c r="CP3761" t="s">
        <v>119</v>
      </c>
      <c r="CQ3761">
        <v>180</v>
      </c>
      <c r="CR3761">
        <v>3</v>
      </c>
      <c r="CW3761">
        <v>1256803</v>
      </c>
      <c r="CY3761">
        <v>1</v>
      </c>
      <c r="CZ3761">
        <v>0</v>
      </c>
      <c r="DA3761">
        <v>1</v>
      </c>
      <c r="DB3761">
        <v>0</v>
      </c>
      <c r="DC3761">
        <v>0</v>
      </c>
      <c r="DD3761">
        <v>0</v>
      </c>
      <c r="DE3761">
        <v>0</v>
      </c>
      <c r="DF3761">
        <v>0</v>
      </c>
      <c r="DG3761">
        <v>0</v>
      </c>
      <c r="DH3761">
        <v>0</v>
      </c>
      <c r="DI3761">
        <v>0</v>
      </c>
    </row>
    <row r="3762" spans="1:113" x14ac:dyDescent="0.3">
      <c r="A3762" t="str">
        <f>"02/08/2021 20:35:17.235"</f>
        <v>02/08/2021 20:35:17.235</v>
      </c>
      <c r="C3762" t="str">
        <f t="shared" si="188"/>
        <v>FFDFD7C0</v>
      </c>
      <c r="D3762" t="s">
        <v>124</v>
      </c>
      <c r="E3762">
        <v>11</v>
      </c>
      <c r="F3762">
        <v>1011</v>
      </c>
      <c r="G3762" t="s">
        <v>590</v>
      </c>
      <c r="J3762" t="s">
        <v>125</v>
      </c>
      <c r="K3762">
        <v>0</v>
      </c>
      <c r="L3762">
        <v>3</v>
      </c>
      <c r="M3762">
        <v>0</v>
      </c>
      <c r="N3762">
        <v>2</v>
      </c>
      <c r="O3762">
        <v>1</v>
      </c>
      <c r="P3762">
        <v>0</v>
      </c>
      <c r="Q3762">
        <v>0</v>
      </c>
      <c r="S3762" t="str">
        <f>"20:35:19.563"</f>
        <v>20:35:19.563</v>
      </c>
      <c r="T3762" t="str">
        <f>"20:35:19.163"</f>
        <v>20:35:19.163</v>
      </c>
      <c r="U3762" t="str">
        <f t="shared" si="187"/>
        <v>AB01F4</v>
      </c>
      <c r="V3762">
        <v>0</v>
      </c>
      <c r="W3762">
        <v>0</v>
      </c>
      <c r="X3762">
        <v>2</v>
      </c>
      <c r="Z3762">
        <v>0</v>
      </c>
      <c r="AA3762">
        <v>9</v>
      </c>
      <c r="AB3762">
        <v>3</v>
      </c>
      <c r="AC3762">
        <v>0</v>
      </c>
      <c r="AD3762">
        <v>10</v>
      </c>
      <c r="AE3762">
        <v>0</v>
      </c>
      <c r="AF3762">
        <v>3</v>
      </c>
      <c r="AG3762">
        <v>2</v>
      </c>
      <c r="AH3762">
        <v>0</v>
      </c>
      <c r="AI3762" t="s">
        <v>2129</v>
      </c>
      <c r="AJ3762">
        <v>40.120202999999997</v>
      </c>
      <c r="AK3762" t="s">
        <v>2130</v>
      </c>
      <c r="AL3762">
        <v>-93.049306999999999</v>
      </c>
      <c r="AM3762">
        <v>100</v>
      </c>
      <c r="AN3762">
        <v>1300</v>
      </c>
      <c r="AO3762" t="s">
        <v>118</v>
      </c>
      <c r="AP3762">
        <v>-114</v>
      </c>
      <c r="AQ3762">
        <v>60</v>
      </c>
      <c r="AR3762">
        <v>0</v>
      </c>
      <c r="AZ3762">
        <v>1200</v>
      </c>
      <c r="BA3762">
        <v>1</v>
      </c>
      <c r="BB3762" t="str">
        <f t="shared" si="189"/>
        <v xml:space="preserve">N8080G  </v>
      </c>
      <c r="BC3762">
        <v>1</v>
      </c>
      <c r="BE3762">
        <v>0</v>
      </c>
      <c r="BF3762">
        <v>0</v>
      </c>
      <c r="BG3762">
        <v>0</v>
      </c>
      <c r="BH3762">
        <v>1350</v>
      </c>
      <c r="BI3762">
        <v>1</v>
      </c>
      <c r="BJ3762">
        <v>1</v>
      </c>
      <c r="BK3762">
        <v>1</v>
      </c>
      <c r="BL3762">
        <v>0</v>
      </c>
      <c r="BO3762">
        <v>0</v>
      </c>
      <c r="BP3762">
        <v>0</v>
      </c>
      <c r="BW3762" t="str">
        <f>"20:35:19.568"</f>
        <v>20:35:19.568</v>
      </c>
      <c r="BZ3762">
        <v>0</v>
      </c>
      <c r="CA3762">
        <v>1600</v>
      </c>
      <c r="CB3762">
        <v>224</v>
      </c>
      <c r="CD3762">
        <v>1</v>
      </c>
      <c r="CE3762">
        <v>0</v>
      </c>
      <c r="CF3762">
        <v>0</v>
      </c>
      <c r="CG3762">
        <v>1</v>
      </c>
      <c r="CH3762">
        <v>0</v>
      </c>
      <c r="CI3762">
        <v>0</v>
      </c>
      <c r="CJ3762">
        <v>0</v>
      </c>
      <c r="CK3762">
        <v>2</v>
      </c>
      <c r="CL3762">
        <v>0</v>
      </c>
      <c r="CM3762">
        <v>2</v>
      </c>
      <c r="CN3762">
        <v>0</v>
      </c>
      <c r="CO3762">
        <v>6</v>
      </c>
      <c r="CP3762" t="s">
        <v>119</v>
      </c>
      <c r="CQ3762">
        <v>180</v>
      </c>
      <c r="CR3762">
        <v>3</v>
      </c>
      <c r="CW3762">
        <v>1256803</v>
      </c>
      <c r="CY3762">
        <v>1</v>
      </c>
      <c r="CZ3762">
        <v>0</v>
      </c>
      <c r="DA3762">
        <v>1</v>
      </c>
      <c r="DB3762">
        <v>0</v>
      </c>
      <c r="DC3762">
        <v>0</v>
      </c>
      <c r="DD3762">
        <v>0</v>
      </c>
      <c r="DE3762">
        <v>0</v>
      </c>
      <c r="DF3762">
        <v>0</v>
      </c>
      <c r="DG3762">
        <v>0</v>
      </c>
      <c r="DH3762">
        <v>0</v>
      </c>
      <c r="DI3762">
        <v>0</v>
      </c>
    </row>
    <row r="3763" spans="1:113" x14ac:dyDescent="0.3">
      <c r="A3763" t="str">
        <f>"02/08/2021 20:35:18.184"</f>
        <v>02/08/2021 20:35:18.184</v>
      </c>
      <c r="C3763" t="str">
        <f t="shared" si="188"/>
        <v>FFDFD7C0</v>
      </c>
      <c r="D3763" t="s">
        <v>124</v>
      </c>
      <c r="E3763">
        <v>12</v>
      </c>
      <c r="F3763">
        <v>1012</v>
      </c>
      <c r="G3763" t="s">
        <v>675</v>
      </c>
      <c r="J3763" t="s">
        <v>125</v>
      </c>
      <c r="K3763">
        <v>0</v>
      </c>
      <c r="L3763">
        <v>3</v>
      </c>
      <c r="M3763">
        <v>0</v>
      </c>
      <c r="N3763">
        <v>2</v>
      </c>
      <c r="O3763">
        <v>1</v>
      </c>
      <c r="P3763">
        <v>0</v>
      </c>
      <c r="Q3763">
        <v>0</v>
      </c>
      <c r="S3763" t="str">
        <f>"20:35:20.516"</f>
        <v>20:35:20.516</v>
      </c>
      <c r="T3763" t="str">
        <f>"20:35:18.116"</f>
        <v>20:35:18.116</v>
      </c>
      <c r="U3763" t="str">
        <f t="shared" si="187"/>
        <v>AB01F4</v>
      </c>
      <c r="V3763">
        <v>0</v>
      </c>
      <c r="W3763">
        <v>0</v>
      </c>
      <c r="X3763">
        <v>2</v>
      </c>
      <c r="Z3763">
        <v>0</v>
      </c>
      <c r="AA3763">
        <v>9</v>
      </c>
      <c r="AB3763">
        <v>3</v>
      </c>
      <c r="AC3763">
        <v>0</v>
      </c>
      <c r="AD3763">
        <v>10</v>
      </c>
      <c r="AE3763">
        <v>0</v>
      </c>
      <c r="AF3763">
        <v>3</v>
      </c>
      <c r="AG3763">
        <v>2</v>
      </c>
      <c r="AH3763">
        <v>0</v>
      </c>
      <c r="AI3763" t="s">
        <v>2131</v>
      </c>
      <c r="AJ3763">
        <v>40.120440000000002</v>
      </c>
      <c r="AK3763" t="s">
        <v>2132</v>
      </c>
      <c r="AL3763">
        <v>-93.049886000000001</v>
      </c>
      <c r="AM3763">
        <v>100</v>
      </c>
      <c r="AN3763">
        <v>1300</v>
      </c>
      <c r="AO3763" t="s">
        <v>118</v>
      </c>
      <c r="AP3763">
        <v>-114</v>
      </c>
      <c r="AQ3763">
        <v>60</v>
      </c>
      <c r="AR3763">
        <v>64</v>
      </c>
      <c r="AZ3763">
        <v>1200</v>
      </c>
      <c r="BA3763">
        <v>1</v>
      </c>
      <c r="BB3763" t="str">
        <f t="shared" si="189"/>
        <v xml:space="preserve">N8080G  </v>
      </c>
      <c r="BC3763">
        <v>1</v>
      </c>
      <c r="BE3763">
        <v>0</v>
      </c>
      <c r="BF3763">
        <v>0</v>
      </c>
      <c r="BG3763">
        <v>0</v>
      </c>
      <c r="BH3763">
        <v>1350</v>
      </c>
      <c r="BI3763">
        <v>1</v>
      </c>
      <c r="BJ3763">
        <v>1</v>
      </c>
      <c r="BK3763">
        <v>1</v>
      </c>
      <c r="BL3763">
        <v>0</v>
      </c>
      <c r="BO3763">
        <v>0</v>
      </c>
      <c r="BP3763">
        <v>0</v>
      </c>
      <c r="BW3763" t="str">
        <f>"20:35:20.518"</f>
        <v>20:35:20.518</v>
      </c>
      <c r="BZ3763">
        <v>0</v>
      </c>
      <c r="CA3763">
        <v>1600</v>
      </c>
      <c r="CB3763">
        <v>224</v>
      </c>
      <c r="CD3763">
        <v>1</v>
      </c>
      <c r="CE3763">
        <v>0</v>
      </c>
      <c r="CF3763">
        <v>0</v>
      </c>
      <c r="CG3763">
        <v>1</v>
      </c>
      <c r="CH3763">
        <v>0</v>
      </c>
      <c r="CI3763">
        <v>0</v>
      </c>
      <c r="CJ3763">
        <v>0</v>
      </c>
      <c r="CK3763">
        <v>2</v>
      </c>
      <c r="CL3763">
        <v>0</v>
      </c>
      <c r="CM3763">
        <v>2</v>
      </c>
      <c r="CN3763">
        <v>0</v>
      </c>
      <c r="CO3763">
        <v>1</v>
      </c>
      <c r="CP3763" t="s">
        <v>119</v>
      </c>
      <c r="CQ3763">
        <v>179</v>
      </c>
      <c r="CR3763">
        <v>1</v>
      </c>
      <c r="CW3763">
        <v>9400696</v>
      </c>
      <c r="CY3763">
        <v>1</v>
      </c>
      <c r="CZ3763">
        <v>0</v>
      </c>
      <c r="DA3763">
        <v>0</v>
      </c>
      <c r="DB3763">
        <v>0</v>
      </c>
      <c r="DC3763">
        <v>0</v>
      </c>
      <c r="DD3763">
        <v>0</v>
      </c>
      <c r="DE3763">
        <v>0</v>
      </c>
      <c r="DF3763">
        <v>0</v>
      </c>
      <c r="DG3763">
        <v>0</v>
      </c>
      <c r="DH3763">
        <v>0</v>
      </c>
      <c r="DI3763">
        <v>0</v>
      </c>
    </row>
    <row r="3764" spans="1:113" x14ac:dyDescent="0.3">
      <c r="A3764" t="str">
        <f>"02/08/2021 20:35:18.184"</f>
        <v>02/08/2021 20:35:18.184</v>
      </c>
      <c r="C3764" t="str">
        <f t="shared" si="188"/>
        <v>FFDFD7C0</v>
      </c>
      <c r="D3764" t="s">
        <v>113</v>
      </c>
      <c r="E3764">
        <v>6</v>
      </c>
      <c r="H3764">
        <v>165</v>
      </c>
      <c r="I3764" t="s">
        <v>114</v>
      </c>
      <c r="J3764" t="s">
        <v>115</v>
      </c>
      <c r="K3764">
        <v>0</v>
      </c>
      <c r="L3764">
        <v>3</v>
      </c>
      <c r="M3764">
        <v>0</v>
      </c>
      <c r="N3764">
        <v>2</v>
      </c>
      <c r="O3764">
        <v>1</v>
      </c>
      <c r="P3764">
        <v>0</v>
      </c>
      <c r="Q3764">
        <v>0</v>
      </c>
      <c r="S3764" t="str">
        <f>"20:35:20.516"</f>
        <v>20:35:20.516</v>
      </c>
      <c r="T3764" t="str">
        <f>"20:35:18.116"</f>
        <v>20:35:18.116</v>
      </c>
      <c r="U3764" t="str">
        <f t="shared" si="187"/>
        <v>AB01F4</v>
      </c>
      <c r="V3764">
        <v>0</v>
      </c>
      <c r="W3764">
        <v>0</v>
      </c>
      <c r="X3764">
        <v>2</v>
      </c>
      <c r="Z3764">
        <v>0</v>
      </c>
      <c r="AA3764">
        <v>9</v>
      </c>
      <c r="AB3764">
        <v>3</v>
      </c>
      <c r="AC3764">
        <v>0</v>
      </c>
      <c r="AD3764">
        <v>10</v>
      </c>
      <c r="AE3764">
        <v>0</v>
      </c>
      <c r="AF3764">
        <v>3</v>
      </c>
      <c r="AG3764">
        <v>2</v>
      </c>
      <c r="AH3764">
        <v>0</v>
      </c>
      <c r="AI3764" t="s">
        <v>2131</v>
      </c>
      <c r="AJ3764">
        <v>40.120440000000002</v>
      </c>
      <c r="AK3764" t="s">
        <v>2132</v>
      </c>
      <c r="AL3764">
        <v>-93.049886000000001</v>
      </c>
      <c r="AM3764">
        <v>100</v>
      </c>
      <c r="AN3764">
        <v>1300</v>
      </c>
      <c r="AO3764" t="s">
        <v>118</v>
      </c>
      <c r="AP3764">
        <v>-114</v>
      </c>
      <c r="AQ3764">
        <v>60</v>
      </c>
      <c r="AR3764">
        <v>64</v>
      </c>
      <c r="AZ3764">
        <v>1200</v>
      </c>
      <c r="BA3764">
        <v>1</v>
      </c>
      <c r="BB3764" t="str">
        <f t="shared" si="189"/>
        <v xml:space="preserve">N8080G  </v>
      </c>
      <c r="BC3764">
        <v>1</v>
      </c>
      <c r="BE3764">
        <v>0</v>
      </c>
      <c r="BF3764">
        <v>0</v>
      </c>
      <c r="BG3764">
        <v>0</v>
      </c>
      <c r="BH3764">
        <v>1350</v>
      </c>
      <c r="BI3764">
        <v>1</v>
      </c>
      <c r="BJ3764">
        <v>1</v>
      </c>
      <c r="BK3764">
        <v>1</v>
      </c>
      <c r="BL3764">
        <v>0</v>
      </c>
      <c r="BO3764">
        <v>0</v>
      </c>
      <c r="BP3764">
        <v>0</v>
      </c>
      <c r="BW3764" t="str">
        <f>"20:35:20.518"</f>
        <v>20:35:20.518</v>
      </c>
      <c r="BZ3764">
        <v>0</v>
      </c>
      <c r="CA3764">
        <v>1600</v>
      </c>
      <c r="CB3764">
        <v>224</v>
      </c>
      <c r="CD3764">
        <v>1</v>
      </c>
      <c r="CE3764">
        <v>0</v>
      </c>
      <c r="CF3764">
        <v>0</v>
      </c>
      <c r="CG3764">
        <v>1</v>
      </c>
      <c r="CH3764">
        <v>0</v>
      </c>
      <c r="CI3764">
        <v>0</v>
      </c>
      <c r="CJ3764">
        <v>0</v>
      </c>
      <c r="CK3764">
        <v>2</v>
      </c>
      <c r="CL3764">
        <v>0</v>
      </c>
      <c r="CM3764">
        <v>2</v>
      </c>
      <c r="CN3764">
        <v>0</v>
      </c>
      <c r="CO3764">
        <v>1</v>
      </c>
      <c r="CP3764" t="s">
        <v>119</v>
      </c>
      <c r="CQ3764">
        <v>179</v>
      </c>
      <c r="CR3764">
        <v>1</v>
      </c>
      <c r="CW3764">
        <v>9400696</v>
      </c>
      <c r="CY3764">
        <v>1</v>
      </c>
      <c r="CZ3764">
        <v>0</v>
      </c>
      <c r="DA3764">
        <v>1</v>
      </c>
      <c r="DB3764">
        <v>0</v>
      </c>
      <c r="DC3764">
        <v>0</v>
      </c>
      <c r="DD3764">
        <v>0</v>
      </c>
      <c r="DE3764">
        <v>0</v>
      </c>
      <c r="DF3764">
        <v>0</v>
      </c>
      <c r="DG3764">
        <v>0</v>
      </c>
      <c r="DH3764">
        <v>0</v>
      </c>
      <c r="DI3764">
        <v>0</v>
      </c>
    </row>
    <row r="3765" spans="1:113" x14ac:dyDescent="0.3">
      <c r="A3765" t="str">
        <f>"02/08/2021 20:35:18.184"</f>
        <v>02/08/2021 20:35:18.184</v>
      </c>
      <c r="C3765" t="str">
        <f t="shared" si="188"/>
        <v>FFDFD7C0</v>
      </c>
      <c r="D3765" t="s">
        <v>124</v>
      </c>
      <c r="E3765">
        <v>13</v>
      </c>
      <c r="F3765">
        <v>1013</v>
      </c>
      <c r="G3765" t="s">
        <v>114</v>
      </c>
      <c r="J3765" t="s">
        <v>125</v>
      </c>
      <c r="K3765">
        <v>0</v>
      </c>
      <c r="L3765">
        <v>3</v>
      </c>
      <c r="M3765">
        <v>0</v>
      </c>
      <c r="N3765">
        <v>2</v>
      </c>
      <c r="O3765">
        <v>1</v>
      </c>
      <c r="P3765">
        <v>0</v>
      </c>
      <c r="Q3765">
        <v>0</v>
      </c>
      <c r="S3765" t="str">
        <f>"20:35:20.516"</f>
        <v>20:35:20.516</v>
      </c>
      <c r="T3765" t="str">
        <f>"20:35:18.116"</f>
        <v>20:35:18.116</v>
      </c>
      <c r="U3765" t="str">
        <f t="shared" si="187"/>
        <v>AB01F4</v>
      </c>
      <c r="V3765">
        <v>0</v>
      </c>
      <c r="W3765">
        <v>0</v>
      </c>
      <c r="X3765">
        <v>2</v>
      </c>
      <c r="Z3765">
        <v>0</v>
      </c>
      <c r="AA3765">
        <v>9</v>
      </c>
      <c r="AB3765">
        <v>3</v>
      </c>
      <c r="AC3765">
        <v>0</v>
      </c>
      <c r="AD3765">
        <v>10</v>
      </c>
      <c r="AE3765">
        <v>0</v>
      </c>
      <c r="AF3765">
        <v>3</v>
      </c>
      <c r="AG3765">
        <v>2</v>
      </c>
      <c r="AH3765">
        <v>0</v>
      </c>
      <c r="AI3765" t="s">
        <v>2131</v>
      </c>
      <c r="AJ3765">
        <v>40.120440000000002</v>
      </c>
      <c r="AK3765" t="s">
        <v>2132</v>
      </c>
      <c r="AL3765">
        <v>-93.049886000000001</v>
      </c>
      <c r="AM3765">
        <v>100</v>
      </c>
      <c r="AN3765">
        <v>1300</v>
      </c>
      <c r="AO3765" t="s">
        <v>118</v>
      </c>
      <c r="AP3765">
        <v>-114</v>
      </c>
      <c r="AQ3765">
        <v>60</v>
      </c>
      <c r="AR3765">
        <v>64</v>
      </c>
      <c r="AZ3765">
        <v>1200</v>
      </c>
      <c r="BA3765">
        <v>1</v>
      </c>
      <c r="BB3765" t="str">
        <f t="shared" si="189"/>
        <v xml:space="preserve">N8080G  </v>
      </c>
      <c r="BC3765">
        <v>1</v>
      </c>
      <c r="BE3765">
        <v>0</v>
      </c>
      <c r="BF3765">
        <v>0</v>
      </c>
      <c r="BG3765">
        <v>0</v>
      </c>
      <c r="BH3765">
        <v>1350</v>
      </c>
      <c r="BI3765">
        <v>1</v>
      </c>
      <c r="BJ3765">
        <v>1</v>
      </c>
      <c r="BK3765">
        <v>1</v>
      </c>
      <c r="BL3765">
        <v>0</v>
      </c>
      <c r="BO3765">
        <v>0</v>
      </c>
      <c r="BP3765">
        <v>0</v>
      </c>
      <c r="BW3765" t="str">
        <f>"20:35:20.518"</f>
        <v>20:35:20.518</v>
      </c>
      <c r="BZ3765">
        <v>0</v>
      </c>
      <c r="CA3765">
        <v>1600</v>
      </c>
      <c r="CB3765">
        <v>224</v>
      </c>
      <c r="CD3765">
        <v>1</v>
      </c>
      <c r="CE3765">
        <v>0</v>
      </c>
      <c r="CF3765">
        <v>0</v>
      </c>
      <c r="CG3765">
        <v>1</v>
      </c>
      <c r="CH3765">
        <v>0</v>
      </c>
      <c r="CI3765">
        <v>0</v>
      </c>
      <c r="CJ3765">
        <v>0</v>
      </c>
      <c r="CK3765">
        <v>2</v>
      </c>
      <c r="CL3765">
        <v>0</v>
      </c>
      <c r="CM3765">
        <v>2</v>
      </c>
      <c r="CN3765">
        <v>0</v>
      </c>
      <c r="CO3765">
        <v>1</v>
      </c>
      <c r="CP3765" t="s">
        <v>119</v>
      </c>
      <c r="CQ3765">
        <v>179</v>
      </c>
      <c r="CR3765">
        <v>1</v>
      </c>
      <c r="CW3765">
        <v>9400696</v>
      </c>
      <c r="CY3765">
        <v>1</v>
      </c>
      <c r="CZ3765">
        <v>0</v>
      </c>
      <c r="DA3765">
        <v>1</v>
      </c>
      <c r="DB3765">
        <v>0</v>
      </c>
      <c r="DC3765">
        <v>0</v>
      </c>
      <c r="DD3765">
        <v>0</v>
      </c>
      <c r="DE3765">
        <v>0</v>
      </c>
      <c r="DF3765">
        <v>0</v>
      </c>
      <c r="DG3765">
        <v>0</v>
      </c>
      <c r="DH3765">
        <v>0</v>
      </c>
      <c r="DI3765">
        <v>0</v>
      </c>
    </row>
    <row r="3766" spans="1:113" x14ac:dyDescent="0.3">
      <c r="A3766" t="str">
        <f>"02/08/2021 20:35:18.184"</f>
        <v>02/08/2021 20:35:18.184</v>
      </c>
      <c r="C3766" t="str">
        <f t="shared" si="188"/>
        <v>FFDFD7C0</v>
      </c>
      <c r="D3766" t="s">
        <v>124</v>
      </c>
      <c r="E3766">
        <v>11</v>
      </c>
      <c r="F3766">
        <v>1011</v>
      </c>
      <c r="G3766" t="s">
        <v>590</v>
      </c>
      <c r="J3766" t="s">
        <v>125</v>
      </c>
      <c r="K3766">
        <v>0</v>
      </c>
      <c r="L3766">
        <v>3</v>
      </c>
      <c r="M3766">
        <v>0</v>
      </c>
      <c r="N3766">
        <v>2</v>
      </c>
      <c r="O3766">
        <v>1</v>
      </c>
      <c r="P3766">
        <v>0</v>
      </c>
      <c r="Q3766">
        <v>0</v>
      </c>
      <c r="S3766" t="str">
        <f>"20:35:20.516"</f>
        <v>20:35:20.516</v>
      </c>
      <c r="T3766" t="str">
        <f>"20:35:18.116"</f>
        <v>20:35:18.116</v>
      </c>
      <c r="U3766" t="str">
        <f t="shared" si="187"/>
        <v>AB01F4</v>
      </c>
      <c r="V3766">
        <v>0</v>
      </c>
      <c r="W3766">
        <v>0</v>
      </c>
      <c r="X3766">
        <v>2</v>
      </c>
      <c r="Z3766">
        <v>0</v>
      </c>
      <c r="AA3766">
        <v>9</v>
      </c>
      <c r="AB3766">
        <v>3</v>
      </c>
      <c r="AC3766">
        <v>0</v>
      </c>
      <c r="AD3766">
        <v>10</v>
      </c>
      <c r="AE3766">
        <v>0</v>
      </c>
      <c r="AF3766">
        <v>3</v>
      </c>
      <c r="AG3766">
        <v>2</v>
      </c>
      <c r="AH3766">
        <v>0</v>
      </c>
      <c r="AI3766" t="s">
        <v>2131</v>
      </c>
      <c r="AJ3766">
        <v>40.120440000000002</v>
      </c>
      <c r="AK3766" t="s">
        <v>2132</v>
      </c>
      <c r="AL3766">
        <v>-93.049886000000001</v>
      </c>
      <c r="AM3766">
        <v>100</v>
      </c>
      <c r="AN3766">
        <v>1300</v>
      </c>
      <c r="AO3766" t="s">
        <v>118</v>
      </c>
      <c r="AP3766">
        <v>-114</v>
      </c>
      <c r="AQ3766">
        <v>60</v>
      </c>
      <c r="AR3766">
        <v>64</v>
      </c>
      <c r="AZ3766">
        <v>1200</v>
      </c>
      <c r="BA3766">
        <v>1</v>
      </c>
      <c r="BB3766" t="str">
        <f t="shared" si="189"/>
        <v xml:space="preserve">N8080G  </v>
      </c>
      <c r="BC3766">
        <v>1</v>
      </c>
      <c r="BE3766">
        <v>0</v>
      </c>
      <c r="BF3766">
        <v>0</v>
      </c>
      <c r="BG3766">
        <v>0</v>
      </c>
      <c r="BH3766">
        <v>1350</v>
      </c>
      <c r="BI3766">
        <v>1</v>
      </c>
      <c r="BJ3766">
        <v>1</v>
      </c>
      <c r="BK3766">
        <v>1</v>
      </c>
      <c r="BL3766">
        <v>0</v>
      </c>
      <c r="BO3766">
        <v>0</v>
      </c>
      <c r="BP3766">
        <v>0</v>
      </c>
      <c r="BW3766" t="str">
        <f>"20:35:20.518"</f>
        <v>20:35:20.518</v>
      </c>
      <c r="BZ3766">
        <v>0</v>
      </c>
      <c r="CA3766">
        <v>1600</v>
      </c>
      <c r="CB3766">
        <v>224</v>
      </c>
      <c r="CD3766">
        <v>1</v>
      </c>
      <c r="CE3766">
        <v>0</v>
      </c>
      <c r="CF3766">
        <v>0</v>
      </c>
      <c r="CG3766">
        <v>1</v>
      </c>
      <c r="CH3766">
        <v>0</v>
      </c>
      <c r="CI3766">
        <v>0</v>
      </c>
      <c r="CJ3766">
        <v>0</v>
      </c>
      <c r="CK3766">
        <v>2</v>
      </c>
      <c r="CL3766">
        <v>0</v>
      </c>
      <c r="CM3766">
        <v>2</v>
      </c>
      <c r="CN3766">
        <v>0</v>
      </c>
      <c r="CO3766">
        <v>1</v>
      </c>
      <c r="CP3766" t="s">
        <v>119</v>
      </c>
      <c r="CQ3766">
        <v>179</v>
      </c>
      <c r="CR3766">
        <v>1</v>
      </c>
      <c r="CW3766">
        <v>9400696</v>
      </c>
      <c r="CY3766">
        <v>1</v>
      </c>
      <c r="CZ3766">
        <v>0</v>
      </c>
      <c r="DA3766">
        <v>1</v>
      </c>
      <c r="DB3766">
        <v>0</v>
      </c>
      <c r="DC3766">
        <v>0</v>
      </c>
      <c r="DD3766">
        <v>0</v>
      </c>
      <c r="DE3766">
        <v>0</v>
      </c>
      <c r="DF3766">
        <v>0</v>
      </c>
      <c r="DG3766">
        <v>0</v>
      </c>
      <c r="DH3766">
        <v>0</v>
      </c>
      <c r="DI3766">
        <v>0</v>
      </c>
    </row>
    <row r="3767" spans="1:113" x14ac:dyDescent="0.3">
      <c r="A3767" t="str">
        <f>"02/08/2021 20:35:19.640"</f>
        <v>02/08/2021 20:35:19.640</v>
      </c>
      <c r="C3767" t="str">
        <f t="shared" si="188"/>
        <v>FFDFD7C0</v>
      </c>
      <c r="D3767" t="s">
        <v>124</v>
      </c>
      <c r="E3767">
        <v>12</v>
      </c>
      <c r="F3767">
        <v>1012</v>
      </c>
      <c r="G3767" t="s">
        <v>675</v>
      </c>
      <c r="J3767" t="s">
        <v>125</v>
      </c>
      <c r="K3767">
        <v>0</v>
      </c>
      <c r="L3767">
        <v>3</v>
      </c>
      <c r="M3767">
        <v>0</v>
      </c>
      <c r="N3767">
        <v>2</v>
      </c>
      <c r="O3767">
        <v>1</v>
      </c>
      <c r="P3767">
        <v>0</v>
      </c>
      <c r="Q3767">
        <v>0</v>
      </c>
      <c r="S3767" t="str">
        <f>"20:35:21.969"</f>
        <v>20:35:21.969</v>
      </c>
      <c r="T3767" t="str">
        <f>"20:35:20.569"</f>
        <v>20:35:20.569</v>
      </c>
      <c r="U3767" t="str">
        <f t="shared" si="187"/>
        <v>AB01F4</v>
      </c>
      <c r="V3767">
        <v>0</v>
      </c>
      <c r="W3767">
        <v>0</v>
      </c>
      <c r="X3767">
        <v>2</v>
      </c>
      <c r="Z3767">
        <v>0</v>
      </c>
      <c r="AA3767">
        <v>9</v>
      </c>
      <c r="AB3767">
        <v>3</v>
      </c>
      <c r="AC3767">
        <v>0</v>
      </c>
      <c r="AD3767">
        <v>10</v>
      </c>
      <c r="AE3767">
        <v>0</v>
      </c>
      <c r="AF3767">
        <v>3</v>
      </c>
      <c r="AG3767">
        <v>2</v>
      </c>
      <c r="AH3767">
        <v>0</v>
      </c>
      <c r="AI3767" t="s">
        <v>2133</v>
      </c>
      <c r="AJ3767">
        <v>40.120826000000001</v>
      </c>
      <c r="AK3767" t="s">
        <v>2134</v>
      </c>
      <c r="AL3767">
        <v>-93.050959000000006</v>
      </c>
      <c r="AM3767">
        <v>100</v>
      </c>
      <c r="AN3767">
        <v>1300</v>
      </c>
      <c r="AO3767" t="s">
        <v>118</v>
      </c>
      <c r="AP3767">
        <v>-114</v>
      </c>
      <c r="AQ3767">
        <v>60</v>
      </c>
      <c r="AR3767">
        <v>0</v>
      </c>
      <c r="AZ3767">
        <v>1200</v>
      </c>
      <c r="BA3767">
        <v>1</v>
      </c>
      <c r="BB3767" t="str">
        <f t="shared" si="189"/>
        <v xml:space="preserve">N8080G  </v>
      </c>
      <c r="BC3767">
        <v>1</v>
      </c>
      <c r="BE3767">
        <v>0</v>
      </c>
      <c r="BF3767">
        <v>0</v>
      </c>
      <c r="BG3767">
        <v>0</v>
      </c>
      <c r="BH3767">
        <v>1350</v>
      </c>
      <c r="BI3767">
        <v>1</v>
      </c>
      <c r="BJ3767">
        <v>1</v>
      </c>
      <c r="BK3767">
        <v>1</v>
      </c>
      <c r="BL3767">
        <v>0</v>
      </c>
      <c r="BO3767">
        <v>0</v>
      </c>
      <c r="BP3767">
        <v>0</v>
      </c>
      <c r="BW3767" t="str">
        <f>"20:35:21.970"</f>
        <v>20:35:21.970</v>
      </c>
      <c r="BZ3767">
        <v>0</v>
      </c>
      <c r="CA3767">
        <v>1600</v>
      </c>
      <c r="CB3767">
        <v>224</v>
      </c>
      <c r="CD3767">
        <v>1</v>
      </c>
      <c r="CE3767">
        <v>0</v>
      </c>
      <c r="CF3767">
        <v>0</v>
      </c>
      <c r="CG3767">
        <v>1</v>
      </c>
      <c r="CH3767">
        <v>0</v>
      </c>
      <c r="CI3767">
        <v>0</v>
      </c>
      <c r="CJ3767">
        <v>0</v>
      </c>
      <c r="CK3767">
        <v>2</v>
      </c>
      <c r="CL3767">
        <v>0</v>
      </c>
      <c r="CM3767">
        <v>2</v>
      </c>
      <c r="CN3767">
        <v>0</v>
      </c>
      <c r="CO3767">
        <v>1</v>
      </c>
      <c r="CP3767" t="s">
        <v>119</v>
      </c>
      <c r="CQ3767">
        <v>179</v>
      </c>
      <c r="CR3767">
        <v>2</v>
      </c>
      <c r="CW3767">
        <v>12525509</v>
      </c>
      <c r="CY3767">
        <v>1</v>
      </c>
      <c r="CZ3767">
        <v>0</v>
      </c>
      <c r="DA3767">
        <v>0</v>
      </c>
      <c r="DB3767">
        <v>0</v>
      </c>
      <c r="DC3767">
        <v>0</v>
      </c>
      <c r="DD3767">
        <v>0</v>
      </c>
      <c r="DE3767">
        <v>0</v>
      </c>
      <c r="DF3767">
        <v>0</v>
      </c>
      <c r="DG3767">
        <v>0</v>
      </c>
      <c r="DH3767">
        <v>0</v>
      </c>
      <c r="DI3767">
        <v>0</v>
      </c>
    </row>
    <row r="3768" spans="1:113" x14ac:dyDescent="0.3">
      <c r="A3768" t="str">
        <f>"02/08/2021 20:35:19.640"</f>
        <v>02/08/2021 20:35:19.640</v>
      </c>
      <c r="C3768" t="str">
        <f t="shared" si="188"/>
        <v>FFDFD7C0</v>
      </c>
      <c r="D3768" t="s">
        <v>124</v>
      </c>
      <c r="E3768">
        <v>13</v>
      </c>
      <c r="F3768">
        <v>1013</v>
      </c>
      <c r="G3768" t="s">
        <v>114</v>
      </c>
      <c r="J3768" t="s">
        <v>125</v>
      </c>
      <c r="K3768">
        <v>0</v>
      </c>
      <c r="L3768">
        <v>3</v>
      </c>
      <c r="M3768">
        <v>0</v>
      </c>
      <c r="N3768">
        <v>2</v>
      </c>
      <c r="O3768">
        <v>1</v>
      </c>
      <c r="P3768">
        <v>0</v>
      </c>
      <c r="Q3768">
        <v>0</v>
      </c>
      <c r="S3768" t="str">
        <f>"20:35:21.969"</f>
        <v>20:35:21.969</v>
      </c>
      <c r="T3768" t="str">
        <f>"20:35:20.569"</f>
        <v>20:35:20.569</v>
      </c>
      <c r="U3768" t="str">
        <f t="shared" si="187"/>
        <v>AB01F4</v>
      </c>
      <c r="V3768">
        <v>0</v>
      </c>
      <c r="W3768">
        <v>0</v>
      </c>
      <c r="X3768">
        <v>2</v>
      </c>
      <c r="Z3768">
        <v>0</v>
      </c>
      <c r="AA3768">
        <v>9</v>
      </c>
      <c r="AB3768">
        <v>3</v>
      </c>
      <c r="AC3768">
        <v>0</v>
      </c>
      <c r="AD3768">
        <v>10</v>
      </c>
      <c r="AE3768">
        <v>0</v>
      </c>
      <c r="AF3768">
        <v>3</v>
      </c>
      <c r="AG3768">
        <v>2</v>
      </c>
      <c r="AH3768">
        <v>0</v>
      </c>
      <c r="AI3768" t="s">
        <v>2133</v>
      </c>
      <c r="AJ3768">
        <v>40.120826000000001</v>
      </c>
      <c r="AK3768" t="s">
        <v>2134</v>
      </c>
      <c r="AL3768">
        <v>-93.050959000000006</v>
      </c>
      <c r="AM3768">
        <v>100</v>
      </c>
      <c r="AN3768">
        <v>1300</v>
      </c>
      <c r="AO3768" t="s">
        <v>118</v>
      </c>
      <c r="AP3768">
        <v>-114</v>
      </c>
      <c r="AQ3768">
        <v>60</v>
      </c>
      <c r="AR3768">
        <v>0</v>
      </c>
      <c r="AZ3768">
        <v>1200</v>
      </c>
      <c r="BA3768">
        <v>1</v>
      </c>
      <c r="BB3768" t="str">
        <f t="shared" si="189"/>
        <v xml:space="preserve">N8080G  </v>
      </c>
      <c r="BC3768">
        <v>1</v>
      </c>
      <c r="BE3768">
        <v>0</v>
      </c>
      <c r="BF3768">
        <v>0</v>
      </c>
      <c r="BG3768">
        <v>0</v>
      </c>
      <c r="BH3768">
        <v>1350</v>
      </c>
      <c r="BI3768">
        <v>1</v>
      </c>
      <c r="BJ3768">
        <v>1</v>
      </c>
      <c r="BK3768">
        <v>1</v>
      </c>
      <c r="BL3768">
        <v>0</v>
      </c>
      <c r="BO3768">
        <v>0</v>
      </c>
      <c r="BP3768">
        <v>0</v>
      </c>
      <c r="BW3768" t="str">
        <f>"20:35:21.970"</f>
        <v>20:35:21.970</v>
      </c>
      <c r="BZ3768">
        <v>0</v>
      </c>
      <c r="CA3768">
        <v>1600</v>
      </c>
      <c r="CB3768">
        <v>224</v>
      </c>
      <c r="CD3768">
        <v>1</v>
      </c>
      <c r="CE3768">
        <v>0</v>
      </c>
      <c r="CF3768">
        <v>0</v>
      </c>
      <c r="CG3768">
        <v>1</v>
      </c>
      <c r="CH3768">
        <v>0</v>
      </c>
      <c r="CI3768">
        <v>0</v>
      </c>
      <c r="CJ3768">
        <v>0</v>
      </c>
      <c r="CK3768">
        <v>2</v>
      </c>
      <c r="CL3768">
        <v>0</v>
      </c>
      <c r="CM3768">
        <v>2</v>
      </c>
      <c r="CN3768">
        <v>0</v>
      </c>
      <c r="CO3768">
        <v>1</v>
      </c>
      <c r="CP3768" t="s">
        <v>119</v>
      </c>
      <c r="CQ3768">
        <v>179</v>
      </c>
      <c r="CR3768">
        <v>2</v>
      </c>
      <c r="CW3768">
        <v>12525509</v>
      </c>
      <c r="CY3768">
        <v>1</v>
      </c>
      <c r="CZ3768">
        <v>0</v>
      </c>
      <c r="DA3768">
        <v>1</v>
      </c>
      <c r="DB3768">
        <v>0</v>
      </c>
      <c r="DC3768">
        <v>0</v>
      </c>
      <c r="DD3768">
        <v>0</v>
      </c>
      <c r="DE3768">
        <v>0</v>
      </c>
      <c r="DF3768">
        <v>0</v>
      </c>
      <c r="DG3768">
        <v>0</v>
      </c>
      <c r="DH3768">
        <v>0</v>
      </c>
      <c r="DI3768">
        <v>0</v>
      </c>
    </row>
    <row r="3769" spans="1:113" x14ac:dyDescent="0.3">
      <c r="A3769" t="str">
        <f>"02/08/2021 20:35:19.640"</f>
        <v>02/08/2021 20:35:19.640</v>
      </c>
      <c r="C3769" t="str">
        <f t="shared" si="188"/>
        <v>FFDFD7C0</v>
      </c>
      <c r="D3769" t="s">
        <v>113</v>
      </c>
      <c r="E3769">
        <v>6</v>
      </c>
      <c r="H3769">
        <v>165</v>
      </c>
      <c r="I3769" t="s">
        <v>114</v>
      </c>
      <c r="J3769" t="s">
        <v>115</v>
      </c>
      <c r="K3769">
        <v>0</v>
      </c>
      <c r="L3769">
        <v>3</v>
      </c>
      <c r="M3769">
        <v>0</v>
      </c>
      <c r="N3769">
        <v>2</v>
      </c>
      <c r="O3769">
        <v>1</v>
      </c>
      <c r="P3769">
        <v>0</v>
      </c>
      <c r="Q3769">
        <v>0</v>
      </c>
      <c r="S3769" t="str">
        <f>"20:35:21.969"</f>
        <v>20:35:21.969</v>
      </c>
      <c r="T3769" t="str">
        <f>"20:35:20.569"</f>
        <v>20:35:20.569</v>
      </c>
      <c r="U3769" t="str">
        <f t="shared" si="187"/>
        <v>AB01F4</v>
      </c>
      <c r="V3769">
        <v>0</v>
      </c>
      <c r="W3769">
        <v>0</v>
      </c>
      <c r="X3769">
        <v>2</v>
      </c>
      <c r="Z3769">
        <v>0</v>
      </c>
      <c r="AA3769">
        <v>9</v>
      </c>
      <c r="AB3769">
        <v>3</v>
      </c>
      <c r="AC3769">
        <v>0</v>
      </c>
      <c r="AD3769">
        <v>10</v>
      </c>
      <c r="AE3769">
        <v>0</v>
      </c>
      <c r="AF3769">
        <v>3</v>
      </c>
      <c r="AG3769">
        <v>2</v>
      </c>
      <c r="AH3769">
        <v>0</v>
      </c>
      <c r="AI3769" t="s">
        <v>2133</v>
      </c>
      <c r="AJ3769">
        <v>40.120826000000001</v>
      </c>
      <c r="AK3769" t="s">
        <v>2134</v>
      </c>
      <c r="AL3769">
        <v>-93.050959000000006</v>
      </c>
      <c r="AM3769">
        <v>100</v>
      </c>
      <c r="AN3769">
        <v>1300</v>
      </c>
      <c r="AO3769" t="s">
        <v>118</v>
      </c>
      <c r="AP3769">
        <v>-114</v>
      </c>
      <c r="AQ3769">
        <v>60</v>
      </c>
      <c r="AR3769">
        <v>0</v>
      </c>
      <c r="AZ3769">
        <v>1200</v>
      </c>
      <c r="BA3769">
        <v>1</v>
      </c>
      <c r="BB3769" t="str">
        <f t="shared" si="189"/>
        <v xml:space="preserve">N8080G  </v>
      </c>
      <c r="BC3769">
        <v>1</v>
      </c>
      <c r="BE3769">
        <v>0</v>
      </c>
      <c r="BF3769">
        <v>0</v>
      </c>
      <c r="BG3769">
        <v>0</v>
      </c>
      <c r="BH3769">
        <v>1350</v>
      </c>
      <c r="BI3769">
        <v>1</v>
      </c>
      <c r="BJ3769">
        <v>1</v>
      </c>
      <c r="BK3769">
        <v>1</v>
      </c>
      <c r="BL3769">
        <v>0</v>
      </c>
      <c r="BO3769">
        <v>0</v>
      </c>
      <c r="BP3769">
        <v>0</v>
      </c>
      <c r="BW3769" t="str">
        <f>"20:35:21.970"</f>
        <v>20:35:21.970</v>
      </c>
      <c r="BZ3769">
        <v>0</v>
      </c>
      <c r="CA3769">
        <v>1600</v>
      </c>
      <c r="CB3769">
        <v>224</v>
      </c>
      <c r="CD3769">
        <v>1</v>
      </c>
      <c r="CE3769">
        <v>0</v>
      </c>
      <c r="CF3769">
        <v>0</v>
      </c>
      <c r="CG3769">
        <v>1</v>
      </c>
      <c r="CH3769">
        <v>0</v>
      </c>
      <c r="CI3769">
        <v>0</v>
      </c>
      <c r="CJ3769">
        <v>0</v>
      </c>
      <c r="CK3769">
        <v>2</v>
      </c>
      <c r="CL3769">
        <v>0</v>
      </c>
      <c r="CM3769">
        <v>2</v>
      </c>
      <c r="CN3769">
        <v>0</v>
      </c>
      <c r="CO3769">
        <v>1</v>
      </c>
      <c r="CP3769" t="s">
        <v>119</v>
      </c>
      <c r="CQ3769">
        <v>179</v>
      </c>
      <c r="CR3769">
        <v>2</v>
      </c>
      <c r="CW3769">
        <v>12525509</v>
      </c>
      <c r="CY3769">
        <v>1</v>
      </c>
      <c r="CZ3769">
        <v>0</v>
      </c>
      <c r="DA3769">
        <v>1</v>
      </c>
      <c r="DB3769">
        <v>0</v>
      </c>
      <c r="DC3769">
        <v>0</v>
      </c>
      <c r="DD3769">
        <v>0</v>
      </c>
      <c r="DE3769">
        <v>0</v>
      </c>
      <c r="DF3769">
        <v>0</v>
      </c>
      <c r="DG3769">
        <v>0</v>
      </c>
      <c r="DH3769">
        <v>0</v>
      </c>
      <c r="DI3769">
        <v>0</v>
      </c>
    </row>
    <row r="3770" spans="1:113" x14ac:dyDescent="0.3">
      <c r="A3770" t="str">
        <f>"02/08/2021 20:35:19.640"</f>
        <v>02/08/2021 20:35:19.640</v>
      </c>
      <c r="C3770" t="str">
        <f t="shared" si="188"/>
        <v>FFDFD7C0</v>
      </c>
      <c r="D3770" t="s">
        <v>124</v>
      </c>
      <c r="E3770">
        <v>11</v>
      </c>
      <c r="F3770">
        <v>1011</v>
      </c>
      <c r="G3770" t="s">
        <v>590</v>
      </c>
      <c r="J3770" t="s">
        <v>125</v>
      </c>
      <c r="K3770">
        <v>0</v>
      </c>
      <c r="L3770">
        <v>3</v>
      </c>
      <c r="M3770">
        <v>0</v>
      </c>
      <c r="N3770">
        <v>2</v>
      </c>
      <c r="O3770">
        <v>1</v>
      </c>
      <c r="P3770">
        <v>0</v>
      </c>
      <c r="Q3770">
        <v>0</v>
      </c>
      <c r="S3770" t="str">
        <f>"20:35:21.969"</f>
        <v>20:35:21.969</v>
      </c>
      <c r="T3770" t="str">
        <f>"20:35:20.569"</f>
        <v>20:35:20.569</v>
      </c>
      <c r="U3770" t="str">
        <f t="shared" si="187"/>
        <v>AB01F4</v>
      </c>
      <c r="V3770">
        <v>0</v>
      </c>
      <c r="W3770">
        <v>0</v>
      </c>
      <c r="X3770">
        <v>2</v>
      </c>
      <c r="Z3770">
        <v>0</v>
      </c>
      <c r="AA3770">
        <v>9</v>
      </c>
      <c r="AB3770">
        <v>3</v>
      </c>
      <c r="AC3770">
        <v>0</v>
      </c>
      <c r="AD3770">
        <v>10</v>
      </c>
      <c r="AE3770">
        <v>0</v>
      </c>
      <c r="AF3770">
        <v>3</v>
      </c>
      <c r="AG3770">
        <v>2</v>
      </c>
      <c r="AH3770">
        <v>0</v>
      </c>
      <c r="AI3770" t="s">
        <v>2133</v>
      </c>
      <c r="AJ3770">
        <v>40.120826000000001</v>
      </c>
      <c r="AK3770" t="s">
        <v>2134</v>
      </c>
      <c r="AL3770">
        <v>-93.050959000000006</v>
      </c>
      <c r="AM3770">
        <v>100</v>
      </c>
      <c r="AN3770">
        <v>1300</v>
      </c>
      <c r="AO3770" t="s">
        <v>118</v>
      </c>
      <c r="AP3770">
        <v>-114</v>
      </c>
      <c r="AQ3770">
        <v>60</v>
      </c>
      <c r="AR3770">
        <v>0</v>
      </c>
      <c r="AZ3770">
        <v>1200</v>
      </c>
      <c r="BA3770">
        <v>1</v>
      </c>
      <c r="BB3770" t="str">
        <f t="shared" si="189"/>
        <v xml:space="preserve">N8080G  </v>
      </c>
      <c r="BC3770">
        <v>1</v>
      </c>
      <c r="BE3770">
        <v>0</v>
      </c>
      <c r="BF3770">
        <v>0</v>
      </c>
      <c r="BG3770">
        <v>0</v>
      </c>
      <c r="BH3770">
        <v>1350</v>
      </c>
      <c r="BI3770">
        <v>1</v>
      </c>
      <c r="BJ3770">
        <v>1</v>
      </c>
      <c r="BK3770">
        <v>1</v>
      </c>
      <c r="BL3770">
        <v>0</v>
      </c>
      <c r="BO3770">
        <v>0</v>
      </c>
      <c r="BP3770">
        <v>0</v>
      </c>
      <c r="BW3770" t="str">
        <f>"20:35:21.970"</f>
        <v>20:35:21.970</v>
      </c>
      <c r="BZ3770">
        <v>0</v>
      </c>
      <c r="CA3770">
        <v>1600</v>
      </c>
      <c r="CB3770">
        <v>224</v>
      </c>
      <c r="CD3770">
        <v>1</v>
      </c>
      <c r="CE3770">
        <v>0</v>
      </c>
      <c r="CF3770">
        <v>0</v>
      </c>
      <c r="CG3770">
        <v>1</v>
      </c>
      <c r="CH3770">
        <v>0</v>
      </c>
      <c r="CI3770">
        <v>0</v>
      </c>
      <c r="CJ3770">
        <v>0</v>
      </c>
      <c r="CK3770">
        <v>2</v>
      </c>
      <c r="CL3770">
        <v>0</v>
      </c>
      <c r="CM3770">
        <v>2</v>
      </c>
      <c r="CN3770">
        <v>0</v>
      </c>
      <c r="CO3770">
        <v>1</v>
      </c>
      <c r="CP3770" t="s">
        <v>119</v>
      </c>
      <c r="CQ3770">
        <v>179</v>
      </c>
      <c r="CR3770">
        <v>2</v>
      </c>
      <c r="CW3770">
        <v>12525509</v>
      </c>
      <c r="CY3770">
        <v>1</v>
      </c>
      <c r="CZ3770">
        <v>0</v>
      </c>
      <c r="DA3770">
        <v>1</v>
      </c>
      <c r="DB3770">
        <v>0</v>
      </c>
      <c r="DC3770">
        <v>0</v>
      </c>
      <c r="DD3770">
        <v>0</v>
      </c>
      <c r="DE3770">
        <v>0</v>
      </c>
      <c r="DF3770">
        <v>0</v>
      </c>
      <c r="DG3770">
        <v>0</v>
      </c>
      <c r="DH3770">
        <v>0</v>
      </c>
      <c r="DI3770">
        <v>0</v>
      </c>
    </row>
    <row r="3771" spans="1:113" x14ac:dyDescent="0.3">
      <c r="A3771" t="str">
        <f>"02/08/2021 20:35:20.713"</f>
        <v>02/08/2021 20:35:20.713</v>
      </c>
      <c r="C3771" t="str">
        <f t="shared" si="188"/>
        <v>FFDFD7C0</v>
      </c>
      <c r="D3771" t="s">
        <v>124</v>
      </c>
      <c r="E3771">
        <v>13</v>
      </c>
      <c r="F3771">
        <v>1013</v>
      </c>
      <c r="G3771" t="s">
        <v>114</v>
      </c>
      <c r="J3771" t="s">
        <v>125</v>
      </c>
      <c r="K3771">
        <v>0</v>
      </c>
      <c r="L3771">
        <v>3</v>
      </c>
      <c r="M3771">
        <v>0</v>
      </c>
      <c r="N3771">
        <v>2</v>
      </c>
      <c r="O3771">
        <v>1</v>
      </c>
      <c r="P3771">
        <v>0</v>
      </c>
      <c r="Q3771">
        <v>0</v>
      </c>
      <c r="S3771" t="str">
        <f>"20:35:23.016"</f>
        <v>20:35:23.016</v>
      </c>
      <c r="T3771" t="str">
        <f>"20:35:22.516"</f>
        <v>20:35:22.516</v>
      </c>
      <c r="U3771" t="str">
        <f t="shared" si="187"/>
        <v>AB01F4</v>
      </c>
      <c r="V3771">
        <v>0</v>
      </c>
      <c r="W3771">
        <v>0</v>
      </c>
      <c r="X3771">
        <v>2</v>
      </c>
      <c r="Z3771">
        <v>0</v>
      </c>
      <c r="AA3771">
        <v>9</v>
      </c>
      <c r="AB3771">
        <v>3</v>
      </c>
      <c r="AC3771">
        <v>0</v>
      </c>
      <c r="AD3771">
        <v>10</v>
      </c>
      <c r="AE3771">
        <v>0</v>
      </c>
      <c r="AF3771">
        <v>3</v>
      </c>
      <c r="AG3771">
        <v>2</v>
      </c>
      <c r="AH3771">
        <v>0</v>
      </c>
      <c r="AI3771" t="s">
        <v>2135</v>
      </c>
      <c r="AJ3771">
        <v>40.121105</v>
      </c>
      <c r="AK3771" t="s">
        <v>2136</v>
      </c>
      <c r="AL3771">
        <v>-93.051646000000005</v>
      </c>
      <c r="AM3771">
        <v>100</v>
      </c>
      <c r="AN3771">
        <v>1300</v>
      </c>
      <c r="AO3771" t="s">
        <v>118</v>
      </c>
      <c r="AP3771">
        <v>-114</v>
      </c>
      <c r="AQ3771">
        <v>60</v>
      </c>
      <c r="AR3771">
        <v>0</v>
      </c>
      <c r="AZ3771">
        <v>1200</v>
      </c>
      <c r="BA3771">
        <v>1</v>
      </c>
      <c r="BB3771" t="str">
        <f t="shared" si="189"/>
        <v xml:space="preserve">N8080G  </v>
      </c>
      <c r="BC3771">
        <v>1</v>
      </c>
      <c r="BE3771">
        <v>0</v>
      </c>
      <c r="BF3771">
        <v>0</v>
      </c>
      <c r="BG3771">
        <v>0</v>
      </c>
      <c r="BH3771">
        <v>1350</v>
      </c>
      <c r="BI3771">
        <v>1</v>
      </c>
      <c r="BJ3771">
        <v>1</v>
      </c>
      <c r="BK3771">
        <v>1</v>
      </c>
      <c r="BL3771">
        <v>0</v>
      </c>
      <c r="BO3771">
        <v>0</v>
      </c>
      <c r="BP3771">
        <v>0</v>
      </c>
      <c r="BW3771" t="str">
        <f>"20:35:23.020"</f>
        <v>20:35:23.020</v>
      </c>
      <c r="BZ3771">
        <v>0</v>
      </c>
      <c r="CA3771">
        <v>1600</v>
      </c>
      <c r="CB3771">
        <v>224</v>
      </c>
      <c r="CD3771">
        <v>1</v>
      </c>
      <c r="CE3771">
        <v>0</v>
      </c>
      <c r="CF3771">
        <v>0</v>
      </c>
      <c r="CG3771">
        <v>1</v>
      </c>
      <c r="CH3771">
        <v>0</v>
      </c>
      <c r="CI3771">
        <v>0</v>
      </c>
      <c r="CJ3771">
        <v>0</v>
      </c>
      <c r="CK3771">
        <v>2</v>
      </c>
      <c r="CL3771">
        <v>0</v>
      </c>
      <c r="CM3771">
        <v>2</v>
      </c>
      <c r="CN3771">
        <v>0</v>
      </c>
      <c r="CO3771">
        <v>1</v>
      </c>
      <c r="CP3771" t="s">
        <v>119</v>
      </c>
      <c r="CQ3771">
        <v>179</v>
      </c>
      <c r="CR3771">
        <v>2</v>
      </c>
      <c r="CW3771">
        <v>12526261</v>
      </c>
      <c r="CY3771">
        <v>1</v>
      </c>
      <c r="CZ3771">
        <v>0</v>
      </c>
      <c r="DA3771">
        <v>0</v>
      </c>
      <c r="DB3771">
        <v>0</v>
      </c>
      <c r="DC3771">
        <v>0</v>
      </c>
      <c r="DD3771">
        <v>0</v>
      </c>
      <c r="DE3771">
        <v>0</v>
      </c>
      <c r="DF3771">
        <v>0</v>
      </c>
      <c r="DG3771">
        <v>0</v>
      </c>
      <c r="DH3771">
        <v>0</v>
      </c>
      <c r="DI3771">
        <v>0</v>
      </c>
    </row>
    <row r="3772" spans="1:113" x14ac:dyDescent="0.3">
      <c r="A3772" t="str">
        <f>"02/08/2021 20:35:20.713"</f>
        <v>02/08/2021 20:35:20.713</v>
      </c>
      <c r="C3772" t="str">
        <f t="shared" si="188"/>
        <v>FFDFD7C0</v>
      </c>
      <c r="D3772" t="s">
        <v>124</v>
      </c>
      <c r="E3772">
        <v>11</v>
      </c>
      <c r="F3772">
        <v>1011</v>
      </c>
      <c r="G3772" t="s">
        <v>590</v>
      </c>
      <c r="J3772" t="s">
        <v>125</v>
      </c>
      <c r="K3772">
        <v>0</v>
      </c>
      <c r="L3772">
        <v>3</v>
      </c>
      <c r="M3772">
        <v>0</v>
      </c>
      <c r="N3772">
        <v>2</v>
      </c>
      <c r="O3772">
        <v>1</v>
      </c>
      <c r="P3772">
        <v>0</v>
      </c>
      <c r="Q3772">
        <v>0</v>
      </c>
      <c r="S3772" t="str">
        <f>"20:35:23.016"</f>
        <v>20:35:23.016</v>
      </c>
      <c r="T3772" t="str">
        <f>"20:35:22.516"</f>
        <v>20:35:22.516</v>
      </c>
      <c r="U3772" t="str">
        <f t="shared" si="187"/>
        <v>AB01F4</v>
      </c>
      <c r="V3772">
        <v>0</v>
      </c>
      <c r="W3772">
        <v>0</v>
      </c>
      <c r="X3772">
        <v>2</v>
      </c>
      <c r="Z3772">
        <v>0</v>
      </c>
      <c r="AA3772">
        <v>9</v>
      </c>
      <c r="AB3772">
        <v>3</v>
      </c>
      <c r="AC3772">
        <v>0</v>
      </c>
      <c r="AD3772">
        <v>10</v>
      </c>
      <c r="AE3772">
        <v>0</v>
      </c>
      <c r="AF3772">
        <v>3</v>
      </c>
      <c r="AG3772">
        <v>2</v>
      </c>
      <c r="AH3772">
        <v>0</v>
      </c>
      <c r="AI3772" t="s">
        <v>2135</v>
      </c>
      <c r="AJ3772">
        <v>40.121105</v>
      </c>
      <c r="AK3772" t="s">
        <v>2136</v>
      </c>
      <c r="AL3772">
        <v>-93.051646000000005</v>
      </c>
      <c r="AM3772">
        <v>100</v>
      </c>
      <c r="AN3772">
        <v>1300</v>
      </c>
      <c r="AO3772" t="s">
        <v>118</v>
      </c>
      <c r="AP3772">
        <v>-114</v>
      </c>
      <c r="AQ3772">
        <v>60</v>
      </c>
      <c r="AR3772">
        <v>0</v>
      </c>
      <c r="AZ3772">
        <v>1200</v>
      </c>
      <c r="BA3772">
        <v>1</v>
      </c>
      <c r="BB3772" t="str">
        <f t="shared" si="189"/>
        <v xml:space="preserve">N8080G  </v>
      </c>
      <c r="BC3772">
        <v>1</v>
      </c>
      <c r="BE3772">
        <v>0</v>
      </c>
      <c r="BF3772">
        <v>0</v>
      </c>
      <c r="BG3772">
        <v>0</v>
      </c>
      <c r="BH3772">
        <v>1350</v>
      </c>
      <c r="BI3772">
        <v>1</v>
      </c>
      <c r="BJ3772">
        <v>1</v>
      </c>
      <c r="BK3772">
        <v>1</v>
      </c>
      <c r="BL3772">
        <v>0</v>
      </c>
      <c r="BO3772">
        <v>0</v>
      </c>
      <c r="BP3772">
        <v>0</v>
      </c>
      <c r="BW3772" t="str">
        <f>"20:35:23.020"</f>
        <v>20:35:23.020</v>
      </c>
      <c r="BZ3772">
        <v>0</v>
      </c>
      <c r="CA3772">
        <v>1600</v>
      </c>
      <c r="CB3772">
        <v>224</v>
      </c>
      <c r="CD3772">
        <v>1</v>
      </c>
      <c r="CE3772">
        <v>0</v>
      </c>
      <c r="CF3772">
        <v>0</v>
      </c>
      <c r="CG3772">
        <v>1</v>
      </c>
      <c r="CH3772">
        <v>0</v>
      </c>
      <c r="CI3772">
        <v>0</v>
      </c>
      <c r="CJ3772">
        <v>0</v>
      </c>
      <c r="CK3772">
        <v>2</v>
      </c>
      <c r="CL3772">
        <v>0</v>
      </c>
      <c r="CM3772">
        <v>2</v>
      </c>
      <c r="CN3772">
        <v>0</v>
      </c>
      <c r="CO3772">
        <v>1</v>
      </c>
      <c r="CP3772" t="s">
        <v>119</v>
      </c>
      <c r="CQ3772">
        <v>179</v>
      </c>
      <c r="CR3772">
        <v>2</v>
      </c>
      <c r="CW3772">
        <v>12526261</v>
      </c>
      <c r="CY3772">
        <v>1</v>
      </c>
      <c r="CZ3772">
        <v>0</v>
      </c>
      <c r="DA3772">
        <v>1</v>
      </c>
      <c r="DB3772">
        <v>0</v>
      </c>
      <c r="DC3772">
        <v>0</v>
      </c>
      <c r="DD3772">
        <v>0</v>
      </c>
      <c r="DE3772">
        <v>0</v>
      </c>
      <c r="DF3772">
        <v>0</v>
      </c>
      <c r="DG3772">
        <v>0</v>
      </c>
      <c r="DH3772">
        <v>0</v>
      </c>
      <c r="DI3772">
        <v>0</v>
      </c>
    </row>
    <row r="3773" spans="1:113" x14ac:dyDescent="0.3">
      <c r="A3773" t="str">
        <f>"02/08/2021 20:35:20.713"</f>
        <v>02/08/2021 20:35:20.713</v>
      </c>
      <c r="C3773" t="str">
        <f t="shared" si="188"/>
        <v>FFDFD7C0</v>
      </c>
      <c r="D3773" t="s">
        <v>113</v>
      </c>
      <c r="E3773">
        <v>6</v>
      </c>
      <c r="H3773">
        <v>165</v>
      </c>
      <c r="I3773" t="s">
        <v>114</v>
      </c>
      <c r="J3773" t="s">
        <v>115</v>
      </c>
      <c r="K3773">
        <v>0</v>
      </c>
      <c r="L3773">
        <v>3</v>
      </c>
      <c r="M3773">
        <v>0</v>
      </c>
      <c r="N3773">
        <v>2</v>
      </c>
      <c r="O3773">
        <v>1</v>
      </c>
      <c r="P3773">
        <v>0</v>
      </c>
      <c r="Q3773">
        <v>0</v>
      </c>
      <c r="S3773" t="str">
        <f>"20:35:23.016"</f>
        <v>20:35:23.016</v>
      </c>
      <c r="T3773" t="str">
        <f>"20:35:22.516"</f>
        <v>20:35:22.516</v>
      </c>
      <c r="U3773" t="str">
        <f t="shared" si="187"/>
        <v>AB01F4</v>
      </c>
      <c r="V3773">
        <v>0</v>
      </c>
      <c r="W3773">
        <v>0</v>
      </c>
      <c r="X3773">
        <v>2</v>
      </c>
      <c r="Z3773">
        <v>0</v>
      </c>
      <c r="AA3773">
        <v>9</v>
      </c>
      <c r="AB3773">
        <v>3</v>
      </c>
      <c r="AC3773">
        <v>0</v>
      </c>
      <c r="AD3773">
        <v>10</v>
      </c>
      <c r="AE3773">
        <v>0</v>
      </c>
      <c r="AF3773">
        <v>3</v>
      </c>
      <c r="AG3773">
        <v>2</v>
      </c>
      <c r="AH3773">
        <v>0</v>
      </c>
      <c r="AI3773" t="s">
        <v>2135</v>
      </c>
      <c r="AJ3773">
        <v>40.121105</v>
      </c>
      <c r="AK3773" t="s">
        <v>2136</v>
      </c>
      <c r="AL3773">
        <v>-93.051646000000005</v>
      </c>
      <c r="AM3773">
        <v>100</v>
      </c>
      <c r="AN3773">
        <v>1300</v>
      </c>
      <c r="AO3773" t="s">
        <v>118</v>
      </c>
      <c r="AP3773">
        <v>-114</v>
      </c>
      <c r="AQ3773">
        <v>60</v>
      </c>
      <c r="AR3773">
        <v>0</v>
      </c>
      <c r="AZ3773">
        <v>1200</v>
      </c>
      <c r="BA3773">
        <v>1</v>
      </c>
      <c r="BB3773" t="str">
        <f t="shared" si="189"/>
        <v xml:space="preserve">N8080G  </v>
      </c>
      <c r="BC3773">
        <v>1</v>
      </c>
      <c r="BE3773">
        <v>0</v>
      </c>
      <c r="BF3773">
        <v>0</v>
      </c>
      <c r="BG3773">
        <v>0</v>
      </c>
      <c r="BH3773">
        <v>1350</v>
      </c>
      <c r="BI3773">
        <v>1</v>
      </c>
      <c r="BJ3773">
        <v>1</v>
      </c>
      <c r="BK3773">
        <v>1</v>
      </c>
      <c r="BL3773">
        <v>0</v>
      </c>
      <c r="BO3773">
        <v>0</v>
      </c>
      <c r="BP3773">
        <v>0</v>
      </c>
      <c r="BW3773" t="str">
        <f>"20:35:23.020"</f>
        <v>20:35:23.020</v>
      </c>
      <c r="BZ3773">
        <v>0</v>
      </c>
      <c r="CA3773">
        <v>1600</v>
      </c>
      <c r="CB3773">
        <v>224</v>
      </c>
      <c r="CD3773">
        <v>1</v>
      </c>
      <c r="CE3773">
        <v>0</v>
      </c>
      <c r="CF3773">
        <v>0</v>
      </c>
      <c r="CG3773">
        <v>1</v>
      </c>
      <c r="CH3773">
        <v>0</v>
      </c>
      <c r="CI3773">
        <v>0</v>
      </c>
      <c r="CJ3773">
        <v>0</v>
      </c>
      <c r="CK3773">
        <v>2</v>
      </c>
      <c r="CL3773">
        <v>0</v>
      </c>
      <c r="CM3773">
        <v>2</v>
      </c>
      <c r="CN3773">
        <v>0</v>
      </c>
      <c r="CO3773">
        <v>1</v>
      </c>
      <c r="CP3773" t="s">
        <v>119</v>
      </c>
      <c r="CQ3773">
        <v>179</v>
      </c>
      <c r="CR3773">
        <v>2</v>
      </c>
      <c r="CW3773">
        <v>12526261</v>
      </c>
      <c r="CY3773">
        <v>1</v>
      </c>
      <c r="CZ3773">
        <v>0</v>
      </c>
      <c r="DA3773">
        <v>1</v>
      </c>
      <c r="DB3773">
        <v>0</v>
      </c>
      <c r="DC3773">
        <v>0</v>
      </c>
      <c r="DD3773">
        <v>0</v>
      </c>
      <c r="DE3773">
        <v>0</v>
      </c>
      <c r="DF3773">
        <v>0</v>
      </c>
      <c r="DG3773">
        <v>0</v>
      </c>
      <c r="DH3773">
        <v>0</v>
      </c>
      <c r="DI3773">
        <v>0</v>
      </c>
    </row>
    <row r="3774" spans="1:113" x14ac:dyDescent="0.3">
      <c r="A3774" t="str">
        <f>"02/08/2021 20:35:20.713"</f>
        <v>02/08/2021 20:35:20.713</v>
      </c>
      <c r="C3774" t="str">
        <f t="shared" si="188"/>
        <v>FFDFD7C0</v>
      </c>
      <c r="D3774" t="s">
        <v>124</v>
      </c>
      <c r="E3774">
        <v>12</v>
      </c>
      <c r="F3774">
        <v>1012</v>
      </c>
      <c r="G3774" t="s">
        <v>675</v>
      </c>
      <c r="J3774" t="s">
        <v>125</v>
      </c>
      <c r="K3774">
        <v>0</v>
      </c>
      <c r="L3774">
        <v>3</v>
      </c>
      <c r="M3774">
        <v>0</v>
      </c>
      <c r="N3774">
        <v>2</v>
      </c>
      <c r="O3774">
        <v>1</v>
      </c>
      <c r="P3774">
        <v>0</v>
      </c>
      <c r="Q3774">
        <v>0</v>
      </c>
      <c r="S3774" t="str">
        <f>"20:35:23.016"</f>
        <v>20:35:23.016</v>
      </c>
      <c r="T3774" t="str">
        <f>"20:35:22.516"</f>
        <v>20:35:22.516</v>
      </c>
      <c r="U3774" t="str">
        <f t="shared" si="187"/>
        <v>AB01F4</v>
      </c>
      <c r="V3774">
        <v>0</v>
      </c>
      <c r="W3774">
        <v>0</v>
      </c>
      <c r="X3774">
        <v>2</v>
      </c>
      <c r="Z3774">
        <v>0</v>
      </c>
      <c r="AA3774">
        <v>9</v>
      </c>
      <c r="AB3774">
        <v>3</v>
      </c>
      <c r="AC3774">
        <v>0</v>
      </c>
      <c r="AD3774">
        <v>10</v>
      </c>
      <c r="AE3774">
        <v>0</v>
      </c>
      <c r="AF3774">
        <v>3</v>
      </c>
      <c r="AG3774">
        <v>2</v>
      </c>
      <c r="AH3774">
        <v>0</v>
      </c>
      <c r="AI3774" t="s">
        <v>2135</v>
      </c>
      <c r="AJ3774">
        <v>40.121105</v>
      </c>
      <c r="AK3774" t="s">
        <v>2136</v>
      </c>
      <c r="AL3774">
        <v>-93.051646000000005</v>
      </c>
      <c r="AM3774">
        <v>100</v>
      </c>
      <c r="AN3774">
        <v>1300</v>
      </c>
      <c r="AO3774" t="s">
        <v>118</v>
      </c>
      <c r="AP3774">
        <v>-114</v>
      </c>
      <c r="AQ3774">
        <v>60</v>
      </c>
      <c r="AR3774">
        <v>0</v>
      </c>
      <c r="AZ3774">
        <v>1200</v>
      </c>
      <c r="BA3774">
        <v>1</v>
      </c>
      <c r="BB3774" t="str">
        <f t="shared" si="189"/>
        <v xml:space="preserve">N8080G  </v>
      </c>
      <c r="BC3774">
        <v>1</v>
      </c>
      <c r="BE3774">
        <v>0</v>
      </c>
      <c r="BF3774">
        <v>0</v>
      </c>
      <c r="BG3774">
        <v>0</v>
      </c>
      <c r="BH3774">
        <v>1350</v>
      </c>
      <c r="BI3774">
        <v>1</v>
      </c>
      <c r="BJ3774">
        <v>1</v>
      </c>
      <c r="BK3774">
        <v>1</v>
      </c>
      <c r="BL3774">
        <v>0</v>
      </c>
      <c r="BO3774">
        <v>0</v>
      </c>
      <c r="BP3774">
        <v>0</v>
      </c>
      <c r="BW3774" t="str">
        <f>"20:35:23.020"</f>
        <v>20:35:23.020</v>
      </c>
      <c r="BZ3774">
        <v>0</v>
      </c>
      <c r="CA3774">
        <v>1600</v>
      </c>
      <c r="CB3774">
        <v>224</v>
      </c>
      <c r="CD3774">
        <v>1</v>
      </c>
      <c r="CE3774">
        <v>0</v>
      </c>
      <c r="CF3774">
        <v>0</v>
      </c>
      <c r="CG3774">
        <v>1</v>
      </c>
      <c r="CH3774">
        <v>0</v>
      </c>
      <c r="CI3774">
        <v>0</v>
      </c>
      <c r="CJ3774">
        <v>0</v>
      </c>
      <c r="CK3774">
        <v>2</v>
      </c>
      <c r="CL3774">
        <v>0</v>
      </c>
      <c r="CM3774">
        <v>2</v>
      </c>
      <c r="CN3774">
        <v>0</v>
      </c>
      <c r="CO3774">
        <v>1</v>
      </c>
      <c r="CP3774" t="s">
        <v>119</v>
      </c>
      <c r="CQ3774">
        <v>179</v>
      </c>
      <c r="CR3774">
        <v>2</v>
      </c>
      <c r="CW3774">
        <v>12526261</v>
      </c>
      <c r="CY3774">
        <v>1</v>
      </c>
      <c r="CZ3774">
        <v>0</v>
      </c>
      <c r="DA3774">
        <v>1</v>
      </c>
      <c r="DB3774">
        <v>0</v>
      </c>
      <c r="DC3774">
        <v>0</v>
      </c>
      <c r="DD3774">
        <v>0</v>
      </c>
      <c r="DE3774">
        <v>0</v>
      </c>
      <c r="DF3774">
        <v>0</v>
      </c>
      <c r="DG3774">
        <v>0</v>
      </c>
      <c r="DH3774">
        <v>0</v>
      </c>
      <c r="DI3774">
        <v>0</v>
      </c>
    </row>
    <row r="3775" spans="1:113" x14ac:dyDescent="0.3">
      <c r="A3775" t="str">
        <f>"02/08/2021 20:35:23.902"</f>
        <v>02/08/2021 20:35:23.902</v>
      </c>
      <c r="C3775" t="str">
        <f t="shared" si="188"/>
        <v>FFDFD7C0</v>
      </c>
      <c r="D3775" t="s">
        <v>124</v>
      </c>
      <c r="E3775">
        <v>11</v>
      </c>
      <c r="F3775">
        <v>1011</v>
      </c>
      <c r="G3775" t="s">
        <v>590</v>
      </c>
      <c r="J3775" t="s">
        <v>125</v>
      </c>
      <c r="K3775">
        <v>0</v>
      </c>
      <c r="L3775">
        <v>3</v>
      </c>
      <c r="M3775">
        <v>0</v>
      </c>
      <c r="N3775">
        <v>2</v>
      </c>
      <c r="O3775">
        <v>1</v>
      </c>
      <c r="P3775">
        <v>0</v>
      </c>
      <c r="Q3775">
        <v>0</v>
      </c>
      <c r="S3775" t="str">
        <f>"20:35:26.219"</f>
        <v>20:35:26.219</v>
      </c>
      <c r="T3775" t="str">
        <f>"20:35:25.719"</f>
        <v>20:35:25.719</v>
      </c>
      <c r="U3775" t="str">
        <f t="shared" si="187"/>
        <v>AB01F4</v>
      </c>
      <c r="V3775">
        <v>0</v>
      </c>
      <c r="W3775">
        <v>0</v>
      </c>
      <c r="X3775">
        <v>2</v>
      </c>
      <c r="Z3775">
        <v>0</v>
      </c>
      <c r="AA3775">
        <v>9</v>
      </c>
      <c r="AB3775">
        <v>3</v>
      </c>
      <c r="AC3775">
        <v>0</v>
      </c>
      <c r="AD3775">
        <v>10</v>
      </c>
      <c r="AE3775">
        <v>0</v>
      </c>
      <c r="AF3775">
        <v>3</v>
      </c>
      <c r="AG3775">
        <v>2</v>
      </c>
      <c r="AH3775">
        <v>0</v>
      </c>
      <c r="AI3775" t="s">
        <v>2137</v>
      </c>
      <c r="AJ3775">
        <v>40.122070000000001</v>
      </c>
      <c r="AK3775" t="s">
        <v>2138</v>
      </c>
      <c r="AL3775">
        <v>-93.053877</v>
      </c>
      <c r="AM3775">
        <v>100</v>
      </c>
      <c r="AN3775">
        <v>1300</v>
      </c>
      <c r="AO3775" t="s">
        <v>118</v>
      </c>
      <c r="AP3775">
        <v>-113</v>
      </c>
      <c r="AQ3775">
        <v>61</v>
      </c>
      <c r="AR3775">
        <v>64</v>
      </c>
      <c r="AZ3775">
        <v>1200</v>
      </c>
      <c r="BA3775">
        <v>1</v>
      </c>
      <c r="BB3775" t="str">
        <f t="shared" si="189"/>
        <v xml:space="preserve">N8080G  </v>
      </c>
      <c r="BC3775">
        <v>1</v>
      </c>
      <c r="BE3775">
        <v>0</v>
      </c>
      <c r="BF3775">
        <v>0</v>
      </c>
      <c r="BG3775">
        <v>0</v>
      </c>
      <c r="BH3775">
        <v>1350</v>
      </c>
      <c r="BI3775">
        <v>1</v>
      </c>
      <c r="BJ3775">
        <v>1</v>
      </c>
      <c r="BK3775">
        <v>1</v>
      </c>
      <c r="BL3775">
        <v>0</v>
      </c>
      <c r="BO3775">
        <v>0</v>
      </c>
      <c r="BP3775">
        <v>0</v>
      </c>
      <c r="BW3775" t="str">
        <f>"20:35:26.226"</f>
        <v>20:35:26.226</v>
      </c>
      <c r="BZ3775">
        <v>0</v>
      </c>
      <c r="CA3775">
        <v>1600</v>
      </c>
      <c r="CB3775">
        <v>224</v>
      </c>
      <c r="CD3775">
        <v>1</v>
      </c>
      <c r="CE3775">
        <v>0</v>
      </c>
      <c r="CF3775">
        <v>0</v>
      </c>
      <c r="CG3775">
        <v>1</v>
      </c>
      <c r="CH3775">
        <v>0</v>
      </c>
      <c r="CI3775">
        <v>0</v>
      </c>
      <c r="CJ3775">
        <v>0</v>
      </c>
      <c r="CK3775">
        <v>2</v>
      </c>
      <c r="CL3775">
        <v>0</v>
      </c>
      <c r="CM3775">
        <v>2</v>
      </c>
      <c r="CN3775">
        <v>0</v>
      </c>
      <c r="CO3775">
        <v>1</v>
      </c>
      <c r="CP3775" t="s">
        <v>119</v>
      </c>
      <c r="CQ3775">
        <v>179</v>
      </c>
      <c r="CR3775">
        <v>1</v>
      </c>
      <c r="CW3775">
        <v>9405534</v>
      </c>
      <c r="CY3775">
        <v>1</v>
      </c>
      <c r="CZ3775">
        <v>0</v>
      </c>
      <c r="DA3775">
        <v>0</v>
      </c>
      <c r="DB3775">
        <v>0</v>
      </c>
      <c r="DC3775">
        <v>0</v>
      </c>
      <c r="DD3775">
        <v>0</v>
      </c>
      <c r="DE3775">
        <v>0</v>
      </c>
      <c r="DF3775">
        <v>0</v>
      </c>
      <c r="DG3775">
        <v>0</v>
      </c>
      <c r="DH3775">
        <v>0</v>
      </c>
      <c r="DI3775">
        <v>0</v>
      </c>
    </row>
    <row r="3776" spans="1:113" x14ac:dyDescent="0.3">
      <c r="A3776" t="str">
        <f>"02/08/2021 20:35:23.902"</f>
        <v>02/08/2021 20:35:23.902</v>
      </c>
      <c r="C3776" t="str">
        <f t="shared" si="188"/>
        <v>FFDFD7C0</v>
      </c>
      <c r="D3776" t="s">
        <v>113</v>
      </c>
      <c r="E3776">
        <v>6</v>
      </c>
      <c r="H3776">
        <v>165</v>
      </c>
      <c r="I3776" t="s">
        <v>114</v>
      </c>
      <c r="J3776" t="s">
        <v>115</v>
      </c>
      <c r="K3776">
        <v>0</v>
      </c>
      <c r="L3776">
        <v>3</v>
      </c>
      <c r="M3776">
        <v>0</v>
      </c>
      <c r="N3776">
        <v>2</v>
      </c>
      <c r="O3776">
        <v>1</v>
      </c>
      <c r="P3776">
        <v>0</v>
      </c>
      <c r="Q3776">
        <v>0</v>
      </c>
      <c r="S3776" t="str">
        <f>"20:35:26.219"</f>
        <v>20:35:26.219</v>
      </c>
      <c r="T3776" t="str">
        <f>"20:35:25.719"</f>
        <v>20:35:25.719</v>
      </c>
      <c r="U3776" t="str">
        <f t="shared" si="187"/>
        <v>AB01F4</v>
      </c>
      <c r="V3776">
        <v>0</v>
      </c>
      <c r="W3776">
        <v>0</v>
      </c>
      <c r="X3776">
        <v>2</v>
      </c>
      <c r="Z3776">
        <v>0</v>
      </c>
      <c r="AA3776">
        <v>9</v>
      </c>
      <c r="AB3776">
        <v>3</v>
      </c>
      <c r="AC3776">
        <v>0</v>
      </c>
      <c r="AD3776">
        <v>10</v>
      </c>
      <c r="AE3776">
        <v>0</v>
      </c>
      <c r="AF3776">
        <v>3</v>
      </c>
      <c r="AG3776">
        <v>2</v>
      </c>
      <c r="AH3776">
        <v>0</v>
      </c>
      <c r="AI3776" t="s">
        <v>2137</v>
      </c>
      <c r="AJ3776">
        <v>40.122070000000001</v>
      </c>
      <c r="AK3776" t="s">
        <v>2138</v>
      </c>
      <c r="AL3776">
        <v>-93.053877</v>
      </c>
      <c r="AM3776">
        <v>100</v>
      </c>
      <c r="AN3776">
        <v>1300</v>
      </c>
      <c r="AO3776" t="s">
        <v>118</v>
      </c>
      <c r="AP3776">
        <v>-113</v>
      </c>
      <c r="AQ3776">
        <v>61</v>
      </c>
      <c r="AR3776">
        <v>64</v>
      </c>
      <c r="AZ3776">
        <v>1200</v>
      </c>
      <c r="BA3776">
        <v>1</v>
      </c>
      <c r="BB3776" t="str">
        <f t="shared" si="189"/>
        <v xml:space="preserve">N8080G  </v>
      </c>
      <c r="BC3776">
        <v>1</v>
      </c>
      <c r="BE3776">
        <v>0</v>
      </c>
      <c r="BF3776">
        <v>0</v>
      </c>
      <c r="BG3776">
        <v>0</v>
      </c>
      <c r="BH3776">
        <v>1350</v>
      </c>
      <c r="BI3776">
        <v>1</v>
      </c>
      <c r="BJ3776">
        <v>1</v>
      </c>
      <c r="BK3776">
        <v>1</v>
      </c>
      <c r="BL3776">
        <v>0</v>
      </c>
      <c r="BO3776">
        <v>0</v>
      </c>
      <c r="BP3776">
        <v>0</v>
      </c>
      <c r="BW3776" t="str">
        <f>"20:35:26.226"</f>
        <v>20:35:26.226</v>
      </c>
      <c r="BZ3776">
        <v>0</v>
      </c>
      <c r="CA3776">
        <v>1600</v>
      </c>
      <c r="CB3776">
        <v>224</v>
      </c>
      <c r="CD3776">
        <v>1</v>
      </c>
      <c r="CE3776">
        <v>0</v>
      </c>
      <c r="CF3776">
        <v>0</v>
      </c>
      <c r="CG3776">
        <v>1</v>
      </c>
      <c r="CH3776">
        <v>0</v>
      </c>
      <c r="CI3776">
        <v>0</v>
      </c>
      <c r="CJ3776">
        <v>0</v>
      </c>
      <c r="CK3776">
        <v>2</v>
      </c>
      <c r="CL3776">
        <v>0</v>
      </c>
      <c r="CM3776">
        <v>2</v>
      </c>
      <c r="CN3776">
        <v>0</v>
      </c>
      <c r="CO3776">
        <v>1</v>
      </c>
      <c r="CP3776" t="s">
        <v>119</v>
      </c>
      <c r="CQ3776">
        <v>179</v>
      </c>
      <c r="CR3776">
        <v>1</v>
      </c>
      <c r="CW3776">
        <v>9405534</v>
      </c>
      <c r="CY3776">
        <v>1</v>
      </c>
      <c r="CZ3776">
        <v>0</v>
      </c>
      <c r="DA3776">
        <v>1</v>
      </c>
      <c r="DB3776">
        <v>0</v>
      </c>
      <c r="DC3776">
        <v>0</v>
      </c>
      <c r="DD3776">
        <v>0</v>
      </c>
      <c r="DE3776">
        <v>0</v>
      </c>
      <c r="DF3776">
        <v>0</v>
      </c>
      <c r="DG3776">
        <v>0</v>
      </c>
      <c r="DH3776">
        <v>0</v>
      </c>
      <c r="DI3776">
        <v>0</v>
      </c>
    </row>
    <row r="3777" spans="1:113" x14ac:dyDescent="0.3">
      <c r="A3777" t="str">
        <f>"02/08/2021 20:35:23.902"</f>
        <v>02/08/2021 20:35:23.902</v>
      </c>
      <c r="C3777" t="str">
        <f t="shared" si="188"/>
        <v>FFDFD7C0</v>
      </c>
      <c r="D3777" t="s">
        <v>124</v>
      </c>
      <c r="E3777">
        <v>12</v>
      </c>
      <c r="F3777">
        <v>1012</v>
      </c>
      <c r="G3777" t="s">
        <v>675</v>
      </c>
      <c r="J3777" t="s">
        <v>125</v>
      </c>
      <c r="K3777">
        <v>0</v>
      </c>
      <c r="L3777">
        <v>3</v>
      </c>
      <c r="M3777">
        <v>0</v>
      </c>
      <c r="N3777">
        <v>2</v>
      </c>
      <c r="O3777">
        <v>1</v>
      </c>
      <c r="P3777">
        <v>0</v>
      </c>
      <c r="Q3777">
        <v>0</v>
      </c>
      <c r="S3777" t="str">
        <f>"20:35:26.219"</f>
        <v>20:35:26.219</v>
      </c>
      <c r="T3777" t="str">
        <f>"20:35:25.719"</f>
        <v>20:35:25.719</v>
      </c>
      <c r="U3777" t="str">
        <f t="shared" si="187"/>
        <v>AB01F4</v>
      </c>
      <c r="V3777">
        <v>0</v>
      </c>
      <c r="W3777">
        <v>0</v>
      </c>
      <c r="X3777">
        <v>2</v>
      </c>
      <c r="Z3777">
        <v>0</v>
      </c>
      <c r="AA3777">
        <v>9</v>
      </c>
      <c r="AB3777">
        <v>3</v>
      </c>
      <c r="AC3777">
        <v>0</v>
      </c>
      <c r="AD3777">
        <v>10</v>
      </c>
      <c r="AE3777">
        <v>0</v>
      </c>
      <c r="AF3777">
        <v>3</v>
      </c>
      <c r="AG3777">
        <v>2</v>
      </c>
      <c r="AH3777">
        <v>0</v>
      </c>
      <c r="AI3777" t="s">
        <v>2137</v>
      </c>
      <c r="AJ3777">
        <v>40.122070000000001</v>
      </c>
      <c r="AK3777" t="s">
        <v>2138</v>
      </c>
      <c r="AL3777">
        <v>-93.053877</v>
      </c>
      <c r="AM3777">
        <v>100</v>
      </c>
      <c r="AN3777">
        <v>1300</v>
      </c>
      <c r="AO3777" t="s">
        <v>118</v>
      </c>
      <c r="AP3777">
        <v>-113</v>
      </c>
      <c r="AQ3777">
        <v>61</v>
      </c>
      <c r="AR3777">
        <v>64</v>
      </c>
      <c r="AZ3777">
        <v>1200</v>
      </c>
      <c r="BA3777">
        <v>1</v>
      </c>
      <c r="BB3777" t="str">
        <f t="shared" si="189"/>
        <v xml:space="preserve">N8080G  </v>
      </c>
      <c r="BC3777">
        <v>1</v>
      </c>
      <c r="BE3777">
        <v>0</v>
      </c>
      <c r="BF3777">
        <v>0</v>
      </c>
      <c r="BG3777">
        <v>0</v>
      </c>
      <c r="BH3777">
        <v>1350</v>
      </c>
      <c r="BI3777">
        <v>1</v>
      </c>
      <c r="BJ3777">
        <v>1</v>
      </c>
      <c r="BK3777">
        <v>1</v>
      </c>
      <c r="BL3777">
        <v>0</v>
      </c>
      <c r="BO3777">
        <v>0</v>
      </c>
      <c r="BP3777">
        <v>0</v>
      </c>
      <c r="BW3777" t="str">
        <f>"20:35:26.226"</f>
        <v>20:35:26.226</v>
      </c>
      <c r="BZ3777">
        <v>0</v>
      </c>
      <c r="CA3777">
        <v>1600</v>
      </c>
      <c r="CB3777">
        <v>224</v>
      </c>
      <c r="CD3777">
        <v>1</v>
      </c>
      <c r="CE3777">
        <v>0</v>
      </c>
      <c r="CF3777">
        <v>0</v>
      </c>
      <c r="CG3777">
        <v>1</v>
      </c>
      <c r="CH3777">
        <v>0</v>
      </c>
      <c r="CI3777">
        <v>0</v>
      </c>
      <c r="CJ3777">
        <v>0</v>
      </c>
      <c r="CK3777">
        <v>2</v>
      </c>
      <c r="CL3777">
        <v>0</v>
      </c>
      <c r="CM3777">
        <v>2</v>
      </c>
      <c r="CN3777">
        <v>0</v>
      </c>
      <c r="CO3777">
        <v>1</v>
      </c>
      <c r="CP3777" t="s">
        <v>119</v>
      </c>
      <c r="CQ3777">
        <v>179</v>
      </c>
      <c r="CR3777">
        <v>1</v>
      </c>
      <c r="CW3777">
        <v>9405534</v>
      </c>
      <c r="CY3777">
        <v>1</v>
      </c>
      <c r="CZ3777">
        <v>0</v>
      </c>
      <c r="DA3777">
        <v>1</v>
      </c>
      <c r="DB3777">
        <v>0</v>
      </c>
      <c r="DC3777">
        <v>0</v>
      </c>
      <c r="DD3777">
        <v>0</v>
      </c>
      <c r="DE3777">
        <v>0</v>
      </c>
      <c r="DF3777">
        <v>0</v>
      </c>
      <c r="DG3777">
        <v>0</v>
      </c>
      <c r="DH3777">
        <v>0</v>
      </c>
      <c r="DI3777">
        <v>0</v>
      </c>
    </row>
    <row r="3778" spans="1:113" x14ac:dyDescent="0.3">
      <c r="A3778" t="str">
        <f>"02/08/2021 20:35:23.902"</f>
        <v>02/08/2021 20:35:23.902</v>
      </c>
      <c r="C3778" t="str">
        <f t="shared" si="188"/>
        <v>FFDFD7C0</v>
      </c>
      <c r="D3778" t="s">
        <v>124</v>
      </c>
      <c r="E3778">
        <v>13</v>
      </c>
      <c r="F3778">
        <v>1013</v>
      </c>
      <c r="G3778" t="s">
        <v>114</v>
      </c>
      <c r="J3778" t="s">
        <v>125</v>
      </c>
      <c r="K3778">
        <v>0</v>
      </c>
      <c r="L3778">
        <v>3</v>
      </c>
      <c r="M3778">
        <v>0</v>
      </c>
      <c r="N3778">
        <v>2</v>
      </c>
      <c r="O3778">
        <v>1</v>
      </c>
      <c r="P3778">
        <v>0</v>
      </c>
      <c r="Q3778">
        <v>0</v>
      </c>
      <c r="S3778" t="str">
        <f>"20:35:26.219"</f>
        <v>20:35:26.219</v>
      </c>
      <c r="T3778" t="str">
        <f>"20:35:25.719"</f>
        <v>20:35:25.719</v>
      </c>
      <c r="U3778" t="str">
        <f t="shared" ref="U3778:U3841" si="190">"AB01F4"</f>
        <v>AB01F4</v>
      </c>
      <c r="V3778">
        <v>0</v>
      </c>
      <c r="W3778">
        <v>0</v>
      </c>
      <c r="X3778">
        <v>2</v>
      </c>
      <c r="Z3778">
        <v>0</v>
      </c>
      <c r="AA3778">
        <v>9</v>
      </c>
      <c r="AB3778">
        <v>3</v>
      </c>
      <c r="AC3778">
        <v>0</v>
      </c>
      <c r="AD3778">
        <v>10</v>
      </c>
      <c r="AE3778">
        <v>0</v>
      </c>
      <c r="AF3778">
        <v>3</v>
      </c>
      <c r="AG3778">
        <v>2</v>
      </c>
      <c r="AH3778">
        <v>0</v>
      </c>
      <c r="AI3778" t="s">
        <v>2137</v>
      </c>
      <c r="AJ3778">
        <v>40.122070000000001</v>
      </c>
      <c r="AK3778" t="s">
        <v>2138</v>
      </c>
      <c r="AL3778">
        <v>-93.053877</v>
      </c>
      <c r="AM3778">
        <v>100</v>
      </c>
      <c r="AN3778">
        <v>1300</v>
      </c>
      <c r="AO3778" t="s">
        <v>118</v>
      </c>
      <c r="AP3778">
        <v>-113</v>
      </c>
      <c r="AQ3778">
        <v>61</v>
      </c>
      <c r="AR3778">
        <v>64</v>
      </c>
      <c r="AZ3778">
        <v>1200</v>
      </c>
      <c r="BA3778">
        <v>1</v>
      </c>
      <c r="BB3778" t="str">
        <f t="shared" si="189"/>
        <v xml:space="preserve">N8080G  </v>
      </c>
      <c r="BC3778">
        <v>1</v>
      </c>
      <c r="BE3778">
        <v>0</v>
      </c>
      <c r="BF3778">
        <v>0</v>
      </c>
      <c r="BG3778">
        <v>0</v>
      </c>
      <c r="BH3778">
        <v>1350</v>
      </c>
      <c r="BI3778">
        <v>1</v>
      </c>
      <c r="BJ3778">
        <v>1</v>
      </c>
      <c r="BK3778">
        <v>1</v>
      </c>
      <c r="BL3778">
        <v>0</v>
      </c>
      <c r="BO3778">
        <v>0</v>
      </c>
      <c r="BP3778">
        <v>0</v>
      </c>
      <c r="BW3778" t="str">
        <f>"20:35:26.226"</f>
        <v>20:35:26.226</v>
      </c>
      <c r="BZ3778">
        <v>0</v>
      </c>
      <c r="CA3778">
        <v>1600</v>
      </c>
      <c r="CB3778">
        <v>224</v>
      </c>
      <c r="CD3778">
        <v>1</v>
      </c>
      <c r="CE3778">
        <v>0</v>
      </c>
      <c r="CF3778">
        <v>0</v>
      </c>
      <c r="CG3778">
        <v>1</v>
      </c>
      <c r="CH3778">
        <v>0</v>
      </c>
      <c r="CI3778">
        <v>0</v>
      </c>
      <c r="CJ3778">
        <v>0</v>
      </c>
      <c r="CK3778">
        <v>2</v>
      </c>
      <c r="CL3778">
        <v>0</v>
      </c>
      <c r="CM3778">
        <v>2</v>
      </c>
      <c r="CN3778">
        <v>0</v>
      </c>
      <c r="CO3778">
        <v>1</v>
      </c>
      <c r="CP3778" t="s">
        <v>119</v>
      </c>
      <c r="CQ3778">
        <v>179</v>
      </c>
      <c r="CR3778">
        <v>1</v>
      </c>
      <c r="CW3778">
        <v>9405534</v>
      </c>
      <c r="CY3778">
        <v>1</v>
      </c>
      <c r="CZ3778">
        <v>0</v>
      </c>
      <c r="DA3778">
        <v>1</v>
      </c>
      <c r="DB3778">
        <v>0</v>
      </c>
      <c r="DC3778">
        <v>0</v>
      </c>
      <c r="DD3778">
        <v>0</v>
      </c>
      <c r="DE3778">
        <v>0</v>
      </c>
      <c r="DF3778">
        <v>0</v>
      </c>
      <c r="DG3778">
        <v>0</v>
      </c>
      <c r="DH3778">
        <v>0</v>
      </c>
      <c r="DI3778">
        <v>0</v>
      </c>
    </row>
    <row r="3779" spans="1:113" x14ac:dyDescent="0.3">
      <c r="A3779" t="str">
        <f>"02/08/2021 20:35:24.916"</f>
        <v>02/08/2021 20:35:24.916</v>
      </c>
      <c r="C3779" t="str">
        <f t="shared" si="188"/>
        <v>FFDFD7C0</v>
      </c>
      <c r="D3779" t="s">
        <v>124</v>
      </c>
      <c r="E3779">
        <v>12</v>
      </c>
      <c r="F3779">
        <v>1012</v>
      </c>
      <c r="G3779" t="s">
        <v>675</v>
      </c>
      <c r="J3779" t="s">
        <v>125</v>
      </c>
      <c r="K3779">
        <v>0</v>
      </c>
      <c r="L3779">
        <v>3</v>
      </c>
      <c r="M3779">
        <v>0</v>
      </c>
      <c r="N3779">
        <v>2</v>
      </c>
      <c r="O3779">
        <v>1</v>
      </c>
      <c r="P3779">
        <v>0</v>
      </c>
      <c r="Q3779">
        <v>0</v>
      </c>
      <c r="S3779" t="str">
        <f>"20:35:27.227"</f>
        <v>20:35:27.227</v>
      </c>
      <c r="T3779" t="str">
        <f>"20:35:26.227"</f>
        <v>20:35:26.227</v>
      </c>
      <c r="U3779" t="str">
        <f t="shared" si="190"/>
        <v>AB01F4</v>
      </c>
      <c r="V3779">
        <v>0</v>
      </c>
      <c r="W3779">
        <v>0</v>
      </c>
      <c r="X3779">
        <v>2</v>
      </c>
      <c r="Z3779">
        <v>0</v>
      </c>
      <c r="AA3779">
        <v>9</v>
      </c>
      <c r="AB3779">
        <v>3</v>
      </c>
      <c r="AC3779">
        <v>0</v>
      </c>
      <c r="AD3779">
        <v>10</v>
      </c>
      <c r="AE3779">
        <v>0</v>
      </c>
      <c r="AF3779">
        <v>3</v>
      </c>
      <c r="AG3779">
        <v>2</v>
      </c>
      <c r="AH3779">
        <v>0</v>
      </c>
      <c r="AI3779" t="s">
        <v>2139</v>
      </c>
      <c r="AJ3779">
        <v>40.122349</v>
      </c>
      <c r="AK3779" t="s">
        <v>2140</v>
      </c>
      <c r="AL3779">
        <v>-93.054563999999999</v>
      </c>
      <c r="AM3779">
        <v>100</v>
      </c>
      <c r="AN3779">
        <v>1300</v>
      </c>
      <c r="AO3779" t="s">
        <v>118</v>
      </c>
      <c r="AP3779">
        <v>-113</v>
      </c>
      <c r="AQ3779">
        <v>61</v>
      </c>
      <c r="AR3779">
        <v>64</v>
      </c>
      <c r="AZ3779">
        <v>1200</v>
      </c>
      <c r="BA3779">
        <v>1</v>
      </c>
      <c r="BB3779" t="str">
        <f t="shared" si="189"/>
        <v xml:space="preserve">N8080G  </v>
      </c>
      <c r="BC3779">
        <v>1</v>
      </c>
      <c r="BE3779">
        <v>0</v>
      </c>
      <c r="BF3779">
        <v>0</v>
      </c>
      <c r="BG3779">
        <v>0</v>
      </c>
      <c r="BH3779">
        <v>1350</v>
      </c>
      <c r="BI3779">
        <v>1</v>
      </c>
      <c r="BJ3779">
        <v>1</v>
      </c>
      <c r="BK3779">
        <v>1</v>
      </c>
      <c r="BL3779">
        <v>0</v>
      </c>
      <c r="BO3779">
        <v>0</v>
      </c>
      <c r="BP3779">
        <v>0</v>
      </c>
      <c r="BW3779" t="str">
        <f>"20:35:27.232"</f>
        <v>20:35:27.232</v>
      </c>
      <c r="BZ3779">
        <v>0</v>
      </c>
      <c r="CA3779">
        <v>1600</v>
      </c>
      <c r="CB3779">
        <v>224</v>
      </c>
      <c r="CD3779">
        <v>1</v>
      </c>
      <c r="CE3779">
        <v>0</v>
      </c>
      <c r="CF3779">
        <v>0</v>
      </c>
      <c r="CG3779">
        <v>1</v>
      </c>
      <c r="CH3779">
        <v>0</v>
      </c>
      <c r="CI3779">
        <v>0</v>
      </c>
      <c r="CJ3779">
        <v>0</v>
      </c>
      <c r="CK3779">
        <v>2</v>
      </c>
      <c r="CL3779">
        <v>0</v>
      </c>
      <c r="CM3779">
        <v>2</v>
      </c>
      <c r="CN3779">
        <v>0</v>
      </c>
      <c r="CO3779">
        <v>1</v>
      </c>
      <c r="CP3779" t="s">
        <v>119</v>
      </c>
      <c r="CQ3779">
        <v>179</v>
      </c>
      <c r="CR3779">
        <v>1</v>
      </c>
      <c r="CW3779">
        <v>9406387</v>
      </c>
      <c r="CY3779">
        <v>0</v>
      </c>
      <c r="CZ3779">
        <v>0</v>
      </c>
      <c r="DA3779">
        <v>0</v>
      </c>
      <c r="DB3779">
        <v>0</v>
      </c>
      <c r="DC3779">
        <v>0</v>
      </c>
      <c r="DD3779">
        <v>0</v>
      </c>
      <c r="DE3779">
        <v>0</v>
      </c>
      <c r="DF3779">
        <v>0</v>
      </c>
      <c r="DG3779">
        <v>0</v>
      </c>
      <c r="DH3779">
        <v>0</v>
      </c>
      <c r="DI3779">
        <v>0</v>
      </c>
    </row>
    <row r="3780" spans="1:113" x14ac:dyDescent="0.3">
      <c r="A3780" t="str">
        <f>"02/08/2021 20:35:24.916"</f>
        <v>02/08/2021 20:35:24.916</v>
      </c>
      <c r="C3780" t="str">
        <f t="shared" si="188"/>
        <v>FFDFD7C0</v>
      </c>
      <c r="D3780" t="s">
        <v>113</v>
      </c>
      <c r="E3780">
        <v>6</v>
      </c>
      <c r="H3780">
        <v>165</v>
      </c>
      <c r="I3780" t="s">
        <v>114</v>
      </c>
      <c r="J3780" t="s">
        <v>115</v>
      </c>
      <c r="K3780">
        <v>0</v>
      </c>
      <c r="L3780">
        <v>3</v>
      </c>
      <c r="M3780">
        <v>0</v>
      </c>
      <c r="N3780">
        <v>2</v>
      </c>
      <c r="O3780">
        <v>1</v>
      </c>
      <c r="P3780">
        <v>0</v>
      </c>
      <c r="Q3780">
        <v>0</v>
      </c>
      <c r="S3780" t="str">
        <f>"20:35:27.227"</f>
        <v>20:35:27.227</v>
      </c>
      <c r="T3780" t="str">
        <f>"20:35:26.227"</f>
        <v>20:35:26.227</v>
      </c>
      <c r="U3780" t="str">
        <f t="shared" si="190"/>
        <v>AB01F4</v>
      </c>
      <c r="V3780">
        <v>0</v>
      </c>
      <c r="W3780">
        <v>0</v>
      </c>
      <c r="X3780">
        <v>2</v>
      </c>
      <c r="Z3780">
        <v>0</v>
      </c>
      <c r="AA3780">
        <v>9</v>
      </c>
      <c r="AB3780">
        <v>3</v>
      </c>
      <c r="AC3780">
        <v>0</v>
      </c>
      <c r="AD3780">
        <v>10</v>
      </c>
      <c r="AE3780">
        <v>0</v>
      </c>
      <c r="AF3780">
        <v>3</v>
      </c>
      <c r="AG3780">
        <v>2</v>
      </c>
      <c r="AH3780">
        <v>0</v>
      </c>
      <c r="AI3780" t="s">
        <v>2139</v>
      </c>
      <c r="AJ3780">
        <v>40.122349</v>
      </c>
      <c r="AK3780" t="s">
        <v>2140</v>
      </c>
      <c r="AL3780">
        <v>-93.054563999999999</v>
      </c>
      <c r="AM3780">
        <v>100</v>
      </c>
      <c r="AN3780">
        <v>1300</v>
      </c>
      <c r="AO3780" t="s">
        <v>118</v>
      </c>
      <c r="AP3780">
        <v>-113</v>
      </c>
      <c r="AQ3780">
        <v>61</v>
      </c>
      <c r="AR3780">
        <v>64</v>
      </c>
      <c r="AZ3780">
        <v>1200</v>
      </c>
      <c r="BA3780">
        <v>1</v>
      </c>
      <c r="BB3780" t="str">
        <f t="shared" si="189"/>
        <v xml:space="preserve">N8080G  </v>
      </c>
      <c r="BC3780">
        <v>1</v>
      </c>
      <c r="BE3780">
        <v>0</v>
      </c>
      <c r="BF3780">
        <v>0</v>
      </c>
      <c r="BG3780">
        <v>0</v>
      </c>
      <c r="BH3780">
        <v>1350</v>
      </c>
      <c r="BI3780">
        <v>1</v>
      </c>
      <c r="BJ3780">
        <v>1</v>
      </c>
      <c r="BK3780">
        <v>1</v>
      </c>
      <c r="BL3780">
        <v>0</v>
      </c>
      <c r="BO3780">
        <v>0</v>
      </c>
      <c r="BP3780">
        <v>0</v>
      </c>
      <c r="BW3780" t="str">
        <f>"20:35:27.232"</f>
        <v>20:35:27.232</v>
      </c>
      <c r="BZ3780">
        <v>0</v>
      </c>
      <c r="CA3780">
        <v>1600</v>
      </c>
      <c r="CB3780">
        <v>224</v>
      </c>
      <c r="CD3780">
        <v>1</v>
      </c>
      <c r="CE3780">
        <v>0</v>
      </c>
      <c r="CF3780">
        <v>0</v>
      </c>
      <c r="CG3780">
        <v>1</v>
      </c>
      <c r="CH3780">
        <v>0</v>
      </c>
      <c r="CI3780">
        <v>0</v>
      </c>
      <c r="CJ3780">
        <v>0</v>
      </c>
      <c r="CK3780">
        <v>2</v>
      </c>
      <c r="CL3780">
        <v>0</v>
      </c>
      <c r="CM3780">
        <v>2</v>
      </c>
      <c r="CN3780">
        <v>0</v>
      </c>
      <c r="CO3780">
        <v>1</v>
      </c>
      <c r="CP3780" t="s">
        <v>119</v>
      </c>
      <c r="CQ3780">
        <v>179</v>
      </c>
      <c r="CR3780">
        <v>1</v>
      </c>
      <c r="CW3780">
        <v>9406387</v>
      </c>
      <c r="CY3780">
        <v>0</v>
      </c>
      <c r="CZ3780">
        <v>0</v>
      </c>
      <c r="DA3780">
        <v>1</v>
      </c>
      <c r="DB3780">
        <v>0</v>
      </c>
      <c r="DC3780">
        <v>0</v>
      </c>
      <c r="DD3780">
        <v>0</v>
      </c>
      <c r="DE3780">
        <v>0</v>
      </c>
      <c r="DF3780">
        <v>0</v>
      </c>
      <c r="DG3780">
        <v>0</v>
      </c>
      <c r="DH3780">
        <v>0</v>
      </c>
      <c r="DI3780">
        <v>0</v>
      </c>
    </row>
    <row r="3781" spans="1:113" x14ac:dyDescent="0.3">
      <c r="A3781" t="str">
        <f>"02/08/2021 20:35:24.916"</f>
        <v>02/08/2021 20:35:24.916</v>
      </c>
      <c r="C3781" t="str">
        <f t="shared" si="188"/>
        <v>FFDFD7C0</v>
      </c>
      <c r="D3781" t="s">
        <v>124</v>
      </c>
      <c r="E3781">
        <v>13</v>
      </c>
      <c r="F3781">
        <v>1013</v>
      </c>
      <c r="G3781" t="s">
        <v>114</v>
      </c>
      <c r="J3781" t="s">
        <v>125</v>
      </c>
      <c r="K3781">
        <v>0</v>
      </c>
      <c r="L3781">
        <v>3</v>
      </c>
      <c r="M3781">
        <v>0</v>
      </c>
      <c r="N3781">
        <v>2</v>
      </c>
      <c r="O3781">
        <v>1</v>
      </c>
      <c r="P3781">
        <v>0</v>
      </c>
      <c r="Q3781">
        <v>0</v>
      </c>
      <c r="S3781" t="str">
        <f>"20:35:27.227"</f>
        <v>20:35:27.227</v>
      </c>
      <c r="T3781" t="str">
        <f>"20:35:26.227"</f>
        <v>20:35:26.227</v>
      </c>
      <c r="U3781" t="str">
        <f t="shared" si="190"/>
        <v>AB01F4</v>
      </c>
      <c r="V3781">
        <v>0</v>
      </c>
      <c r="W3781">
        <v>0</v>
      </c>
      <c r="X3781">
        <v>2</v>
      </c>
      <c r="Z3781">
        <v>0</v>
      </c>
      <c r="AA3781">
        <v>9</v>
      </c>
      <c r="AB3781">
        <v>3</v>
      </c>
      <c r="AC3781">
        <v>0</v>
      </c>
      <c r="AD3781">
        <v>10</v>
      </c>
      <c r="AE3781">
        <v>0</v>
      </c>
      <c r="AF3781">
        <v>3</v>
      </c>
      <c r="AG3781">
        <v>2</v>
      </c>
      <c r="AH3781">
        <v>0</v>
      </c>
      <c r="AI3781" t="s">
        <v>2139</v>
      </c>
      <c r="AJ3781">
        <v>40.122349</v>
      </c>
      <c r="AK3781" t="s">
        <v>2140</v>
      </c>
      <c r="AL3781">
        <v>-93.054563999999999</v>
      </c>
      <c r="AM3781">
        <v>100</v>
      </c>
      <c r="AN3781">
        <v>1300</v>
      </c>
      <c r="AO3781" t="s">
        <v>118</v>
      </c>
      <c r="AP3781">
        <v>-113</v>
      </c>
      <c r="AQ3781">
        <v>61</v>
      </c>
      <c r="AR3781">
        <v>64</v>
      </c>
      <c r="AZ3781">
        <v>1200</v>
      </c>
      <c r="BA3781">
        <v>1</v>
      </c>
      <c r="BB3781" t="str">
        <f t="shared" si="189"/>
        <v xml:space="preserve">N8080G  </v>
      </c>
      <c r="BC3781">
        <v>1</v>
      </c>
      <c r="BE3781">
        <v>0</v>
      </c>
      <c r="BF3781">
        <v>0</v>
      </c>
      <c r="BG3781">
        <v>0</v>
      </c>
      <c r="BH3781">
        <v>1350</v>
      </c>
      <c r="BI3781">
        <v>1</v>
      </c>
      <c r="BJ3781">
        <v>1</v>
      </c>
      <c r="BK3781">
        <v>1</v>
      </c>
      <c r="BL3781">
        <v>0</v>
      </c>
      <c r="BO3781">
        <v>0</v>
      </c>
      <c r="BP3781">
        <v>0</v>
      </c>
      <c r="BW3781" t="str">
        <f>"20:35:27.232"</f>
        <v>20:35:27.232</v>
      </c>
      <c r="BZ3781">
        <v>0</v>
      </c>
      <c r="CA3781">
        <v>1600</v>
      </c>
      <c r="CB3781">
        <v>224</v>
      </c>
      <c r="CD3781">
        <v>1</v>
      </c>
      <c r="CE3781">
        <v>0</v>
      </c>
      <c r="CF3781">
        <v>0</v>
      </c>
      <c r="CG3781">
        <v>1</v>
      </c>
      <c r="CH3781">
        <v>0</v>
      </c>
      <c r="CI3781">
        <v>0</v>
      </c>
      <c r="CJ3781">
        <v>0</v>
      </c>
      <c r="CK3781">
        <v>2</v>
      </c>
      <c r="CL3781">
        <v>0</v>
      </c>
      <c r="CM3781">
        <v>2</v>
      </c>
      <c r="CN3781">
        <v>0</v>
      </c>
      <c r="CO3781">
        <v>1</v>
      </c>
      <c r="CP3781" t="s">
        <v>119</v>
      </c>
      <c r="CQ3781">
        <v>179</v>
      </c>
      <c r="CR3781">
        <v>1</v>
      </c>
      <c r="CW3781">
        <v>9406387</v>
      </c>
      <c r="CY3781">
        <v>0</v>
      </c>
      <c r="CZ3781">
        <v>0</v>
      </c>
      <c r="DA3781">
        <v>1</v>
      </c>
      <c r="DB3781">
        <v>0</v>
      </c>
      <c r="DC3781">
        <v>0</v>
      </c>
      <c r="DD3781">
        <v>0</v>
      </c>
      <c r="DE3781">
        <v>0</v>
      </c>
      <c r="DF3781">
        <v>0</v>
      </c>
      <c r="DG3781">
        <v>0</v>
      </c>
      <c r="DH3781">
        <v>0</v>
      </c>
      <c r="DI3781">
        <v>0</v>
      </c>
    </row>
    <row r="3782" spans="1:113" x14ac:dyDescent="0.3">
      <c r="A3782" t="str">
        <f>"02/08/2021 20:35:24.916"</f>
        <v>02/08/2021 20:35:24.916</v>
      </c>
      <c r="C3782" t="str">
        <f t="shared" si="188"/>
        <v>FFDFD7C0</v>
      </c>
      <c r="D3782" t="s">
        <v>124</v>
      </c>
      <c r="E3782">
        <v>11</v>
      </c>
      <c r="F3782">
        <v>1011</v>
      </c>
      <c r="G3782" t="s">
        <v>590</v>
      </c>
      <c r="J3782" t="s">
        <v>125</v>
      </c>
      <c r="K3782">
        <v>0</v>
      </c>
      <c r="L3782">
        <v>3</v>
      </c>
      <c r="M3782">
        <v>0</v>
      </c>
      <c r="N3782">
        <v>2</v>
      </c>
      <c r="O3782">
        <v>1</v>
      </c>
      <c r="P3782">
        <v>0</v>
      </c>
      <c r="Q3782">
        <v>0</v>
      </c>
      <c r="S3782" t="str">
        <f>"20:35:27.227"</f>
        <v>20:35:27.227</v>
      </c>
      <c r="T3782" t="str">
        <f>"20:35:26.227"</f>
        <v>20:35:26.227</v>
      </c>
      <c r="U3782" t="str">
        <f t="shared" si="190"/>
        <v>AB01F4</v>
      </c>
      <c r="V3782">
        <v>0</v>
      </c>
      <c r="W3782">
        <v>0</v>
      </c>
      <c r="X3782">
        <v>2</v>
      </c>
      <c r="Z3782">
        <v>0</v>
      </c>
      <c r="AA3782">
        <v>9</v>
      </c>
      <c r="AB3782">
        <v>3</v>
      </c>
      <c r="AC3782">
        <v>0</v>
      </c>
      <c r="AD3782">
        <v>10</v>
      </c>
      <c r="AE3782">
        <v>0</v>
      </c>
      <c r="AF3782">
        <v>3</v>
      </c>
      <c r="AG3782">
        <v>2</v>
      </c>
      <c r="AH3782">
        <v>0</v>
      </c>
      <c r="AI3782" t="s">
        <v>2139</v>
      </c>
      <c r="AJ3782">
        <v>40.122349</v>
      </c>
      <c r="AK3782" t="s">
        <v>2140</v>
      </c>
      <c r="AL3782">
        <v>-93.054563999999999</v>
      </c>
      <c r="AM3782">
        <v>100</v>
      </c>
      <c r="AN3782">
        <v>1300</v>
      </c>
      <c r="AO3782" t="s">
        <v>118</v>
      </c>
      <c r="AP3782">
        <v>-113</v>
      </c>
      <c r="AQ3782">
        <v>61</v>
      </c>
      <c r="AR3782">
        <v>64</v>
      </c>
      <c r="AZ3782">
        <v>1200</v>
      </c>
      <c r="BA3782">
        <v>1</v>
      </c>
      <c r="BB3782" t="str">
        <f t="shared" si="189"/>
        <v xml:space="preserve">N8080G  </v>
      </c>
      <c r="BC3782">
        <v>1</v>
      </c>
      <c r="BE3782">
        <v>0</v>
      </c>
      <c r="BF3782">
        <v>0</v>
      </c>
      <c r="BG3782">
        <v>0</v>
      </c>
      <c r="BH3782">
        <v>1350</v>
      </c>
      <c r="BI3782">
        <v>1</v>
      </c>
      <c r="BJ3782">
        <v>1</v>
      </c>
      <c r="BK3782">
        <v>1</v>
      </c>
      <c r="BL3782">
        <v>0</v>
      </c>
      <c r="BO3782">
        <v>0</v>
      </c>
      <c r="BP3782">
        <v>0</v>
      </c>
      <c r="BW3782" t="str">
        <f>"20:35:27.232"</f>
        <v>20:35:27.232</v>
      </c>
      <c r="BZ3782">
        <v>0</v>
      </c>
      <c r="CA3782">
        <v>1600</v>
      </c>
      <c r="CB3782">
        <v>224</v>
      </c>
      <c r="CD3782">
        <v>1</v>
      </c>
      <c r="CE3782">
        <v>0</v>
      </c>
      <c r="CF3782">
        <v>0</v>
      </c>
      <c r="CG3782">
        <v>1</v>
      </c>
      <c r="CH3782">
        <v>0</v>
      </c>
      <c r="CI3782">
        <v>0</v>
      </c>
      <c r="CJ3782">
        <v>0</v>
      </c>
      <c r="CK3782">
        <v>2</v>
      </c>
      <c r="CL3782">
        <v>0</v>
      </c>
      <c r="CM3782">
        <v>2</v>
      </c>
      <c r="CN3782">
        <v>0</v>
      </c>
      <c r="CO3782">
        <v>1</v>
      </c>
      <c r="CP3782" t="s">
        <v>119</v>
      </c>
      <c r="CQ3782">
        <v>179</v>
      </c>
      <c r="CR3782">
        <v>1</v>
      </c>
      <c r="CW3782">
        <v>9406387</v>
      </c>
      <c r="CY3782">
        <v>0</v>
      </c>
      <c r="CZ3782">
        <v>0</v>
      </c>
      <c r="DA3782">
        <v>1</v>
      </c>
      <c r="DB3782">
        <v>0</v>
      </c>
      <c r="DC3782">
        <v>0</v>
      </c>
      <c r="DD3782">
        <v>0</v>
      </c>
      <c r="DE3782">
        <v>0</v>
      </c>
      <c r="DF3782">
        <v>0</v>
      </c>
      <c r="DG3782">
        <v>0</v>
      </c>
      <c r="DH3782">
        <v>0</v>
      </c>
      <c r="DI3782">
        <v>0</v>
      </c>
    </row>
    <row r="3783" spans="1:113" x14ac:dyDescent="0.3">
      <c r="A3783" t="str">
        <f>"02/08/2021 20:35:25.936"</f>
        <v>02/08/2021 20:35:25.936</v>
      </c>
      <c r="C3783" t="str">
        <f t="shared" si="188"/>
        <v>FFDFD7C0</v>
      </c>
      <c r="D3783" t="s">
        <v>124</v>
      </c>
      <c r="E3783">
        <v>13</v>
      </c>
      <c r="F3783">
        <v>1013</v>
      </c>
      <c r="G3783" t="s">
        <v>114</v>
      </c>
      <c r="J3783" t="s">
        <v>125</v>
      </c>
      <c r="K3783">
        <v>0</v>
      </c>
      <c r="L3783">
        <v>3</v>
      </c>
      <c r="M3783">
        <v>0</v>
      </c>
      <c r="N3783">
        <v>2</v>
      </c>
      <c r="O3783">
        <v>1</v>
      </c>
      <c r="P3783">
        <v>0</v>
      </c>
      <c r="Q3783">
        <v>0</v>
      </c>
      <c r="S3783" t="str">
        <f>"20:35:28.250"</f>
        <v>20:35:28.250</v>
      </c>
      <c r="T3783" t="str">
        <f>"20:35:27.750"</f>
        <v>20:35:27.750</v>
      </c>
      <c r="U3783" t="str">
        <f t="shared" si="190"/>
        <v>AB01F4</v>
      </c>
      <c r="V3783">
        <v>0</v>
      </c>
      <c r="W3783">
        <v>0</v>
      </c>
      <c r="X3783">
        <v>2</v>
      </c>
      <c r="Z3783">
        <v>0</v>
      </c>
      <c r="AA3783">
        <v>9</v>
      </c>
      <c r="AB3783">
        <v>3</v>
      </c>
      <c r="AC3783">
        <v>0</v>
      </c>
      <c r="AD3783">
        <v>10</v>
      </c>
      <c r="AE3783">
        <v>0</v>
      </c>
      <c r="AF3783">
        <v>3</v>
      </c>
      <c r="AG3783">
        <v>2</v>
      </c>
      <c r="AH3783">
        <v>0</v>
      </c>
      <c r="AI3783" t="s">
        <v>2141</v>
      </c>
      <c r="AJ3783">
        <v>40.122627999999999</v>
      </c>
      <c r="AK3783" t="s">
        <v>2142</v>
      </c>
      <c r="AL3783">
        <v>-93.055250999999998</v>
      </c>
      <c r="AM3783">
        <v>100</v>
      </c>
      <c r="AN3783">
        <v>1300</v>
      </c>
      <c r="AO3783" t="s">
        <v>118</v>
      </c>
      <c r="AP3783">
        <v>-113</v>
      </c>
      <c r="AQ3783">
        <v>61</v>
      </c>
      <c r="AR3783">
        <v>0</v>
      </c>
      <c r="AZ3783">
        <v>1200</v>
      </c>
      <c r="BA3783">
        <v>1</v>
      </c>
      <c r="BB3783" t="str">
        <f t="shared" si="189"/>
        <v xml:space="preserve">N8080G  </v>
      </c>
      <c r="BC3783">
        <v>1</v>
      </c>
      <c r="BE3783">
        <v>0</v>
      </c>
      <c r="BF3783">
        <v>0</v>
      </c>
      <c r="BG3783">
        <v>0</v>
      </c>
      <c r="BH3783">
        <v>1350</v>
      </c>
      <c r="BI3783">
        <v>1</v>
      </c>
      <c r="BJ3783">
        <v>1</v>
      </c>
      <c r="BK3783">
        <v>1</v>
      </c>
      <c r="BL3783">
        <v>0</v>
      </c>
      <c r="BO3783">
        <v>0</v>
      </c>
      <c r="BP3783">
        <v>0</v>
      </c>
      <c r="BW3783" t="str">
        <f>"20:35:28.258"</f>
        <v>20:35:28.258</v>
      </c>
      <c r="BZ3783">
        <v>0</v>
      </c>
      <c r="CA3783">
        <v>1600</v>
      </c>
      <c r="CB3783">
        <v>224</v>
      </c>
      <c r="CD3783">
        <v>1</v>
      </c>
      <c r="CE3783">
        <v>0</v>
      </c>
      <c r="CF3783">
        <v>0</v>
      </c>
      <c r="CG3783">
        <v>1</v>
      </c>
      <c r="CH3783">
        <v>0</v>
      </c>
      <c r="CI3783">
        <v>0</v>
      </c>
      <c r="CJ3783">
        <v>0</v>
      </c>
      <c r="CK3783">
        <v>2</v>
      </c>
      <c r="CL3783">
        <v>0</v>
      </c>
      <c r="CM3783">
        <v>2</v>
      </c>
      <c r="CN3783">
        <v>0</v>
      </c>
      <c r="CO3783">
        <v>6</v>
      </c>
      <c r="CP3783" t="s">
        <v>119</v>
      </c>
      <c r="CQ3783">
        <v>180</v>
      </c>
      <c r="CR3783">
        <v>3</v>
      </c>
      <c r="CW3783">
        <v>1263561</v>
      </c>
      <c r="CY3783">
        <v>0</v>
      </c>
      <c r="CZ3783">
        <v>0</v>
      </c>
      <c r="DA3783">
        <v>0</v>
      </c>
      <c r="DB3783">
        <v>0</v>
      </c>
      <c r="DC3783">
        <v>0</v>
      </c>
      <c r="DD3783">
        <v>0</v>
      </c>
      <c r="DE3783">
        <v>0</v>
      </c>
      <c r="DF3783">
        <v>0</v>
      </c>
      <c r="DG3783">
        <v>0</v>
      </c>
      <c r="DH3783">
        <v>0</v>
      </c>
      <c r="DI3783">
        <v>0</v>
      </c>
    </row>
    <row r="3784" spans="1:113" x14ac:dyDescent="0.3">
      <c r="A3784" t="str">
        <f>"02/08/2021 20:35:25.936"</f>
        <v>02/08/2021 20:35:25.936</v>
      </c>
      <c r="C3784" t="str">
        <f t="shared" si="188"/>
        <v>FFDFD7C0</v>
      </c>
      <c r="D3784" t="s">
        <v>124</v>
      </c>
      <c r="E3784">
        <v>12</v>
      </c>
      <c r="F3784">
        <v>1012</v>
      </c>
      <c r="G3784" t="s">
        <v>675</v>
      </c>
      <c r="J3784" t="s">
        <v>125</v>
      </c>
      <c r="K3784">
        <v>0</v>
      </c>
      <c r="L3784">
        <v>3</v>
      </c>
      <c r="M3784">
        <v>0</v>
      </c>
      <c r="N3784">
        <v>2</v>
      </c>
      <c r="O3784">
        <v>1</v>
      </c>
      <c r="P3784">
        <v>0</v>
      </c>
      <c r="Q3784">
        <v>0</v>
      </c>
      <c r="S3784" t="str">
        <f>"20:35:28.250"</f>
        <v>20:35:28.250</v>
      </c>
      <c r="T3784" t="str">
        <f>"20:35:27.750"</f>
        <v>20:35:27.750</v>
      </c>
      <c r="U3784" t="str">
        <f t="shared" si="190"/>
        <v>AB01F4</v>
      </c>
      <c r="V3784">
        <v>0</v>
      </c>
      <c r="W3784">
        <v>0</v>
      </c>
      <c r="X3784">
        <v>2</v>
      </c>
      <c r="Z3784">
        <v>0</v>
      </c>
      <c r="AA3784">
        <v>9</v>
      </c>
      <c r="AB3784">
        <v>3</v>
      </c>
      <c r="AC3784">
        <v>0</v>
      </c>
      <c r="AD3784">
        <v>10</v>
      </c>
      <c r="AE3784">
        <v>0</v>
      </c>
      <c r="AF3784">
        <v>3</v>
      </c>
      <c r="AG3784">
        <v>2</v>
      </c>
      <c r="AH3784">
        <v>0</v>
      </c>
      <c r="AI3784" t="s">
        <v>2141</v>
      </c>
      <c r="AJ3784">
        <v>40.122627999999999</v>
      </c>
      <c r="AK3784" t="s">
        <v>2142</v>
      </c>
      <c r="AL3784">
        <v>-93.055250999999998</v>
      </c>
      <c r="AM3784">
        <v>100</v>
      </c>
      <c r="AN3784">
        <v>1300</v>
      </c>
      <c r="AO3784" t="s">
        <v>118</v>
      </c>
      <c r="AP3784">
        <v>-113</v>
      </c>
      <c r="AQ3784">
        <v>61</v>
      </c>
      <c r="AR3784">
        <v>0</v>
      </c>
      <c r="AZ3784">
        <v>1200</v>
      </c>
      <c r="BA3784">
        <v>1</v>
      </c>
      <c r="BB3784" t="str">
        <f t="shared" si="189"/>
        <v xml:space="preserve">N8080G  </v>
      </c>
      <c r="BC3784">
        <v>1</v>
      </c>
      <c r="BE3784">
        <v>0</v>
      </c>
      <c r="BF3784">
        <v>0</v>
      </c>
      <c r="BG3784">
        <v>0</v>
      </c>
      <c r="BH3784">
        <v>1350</v>
      </c>
      <c r="BI3784">
        <v>1</v>
      </c>
      <c r="BJ3784">
        <v>1</v>
      </c>
      <c r="BK3784">
        <v>1</v>
      </c>
      <c r="BL3784">
        <v>0</v>
      </c>
      <c r="BO3784">
        <v>0</v>
      </c>
      <c r="BP3784">
        <v>0</v>
      </c>
      <c r="BW3784" t="str">
        <f>"20:35:28.258"</f>
        <v>20:35:28.258</v>
      </c>
      <c r="BZ3784">
        <v>0</v>
      </c>
      <c r="CA3784">
        <v>1600</v>
      </c>
      <c r="CB3784">
        <v>224</v>
      </c>
      <c r="CD3784">
        <v>1</v>
      </c>
      <c r="CE3784">
        <v>0</v>
      </c>
      <c r="CF3784">
        <v>0</v>
      </c>
      <c r="CG3784">
        <v>1</v>
      </c>
      <c r="CH3784">
        <v>0</v>
      </c>
      <c r="CI3784">
        <v>0</v>
      </c>
      <c r="CJ3784">
        <v>0</v>
      </c>
      <c r="CK3784">
        <v>2</v>
      </c>
      <c r="CL3784">
        <v>0</v>
      </c>
      <c r="CM3784">
        <v>2</v>
      </c>
      <c r="CN3784">
        <v>0</v>
      </c>
      <c r="CO3784">
        <v>6</v>
      </c>
      <c r="CP3784" t="s">
        <v>119</v>
      </c>
      <c r="CQ3784">
        <v>180</v>
      </c>
      <c r="CR3784">
        <v>3</v>
      </c>
      <c r="CW3784">
        <v>1263561</v>
      </c>
      <c r="CY3784">
        <v>0</v>
      </c>
      <c r="CZ3784">
        <v>0</v>
      </c>
      <c r="DA3784">
        <v>1</v>
      </c>
      <c r="DB3784">
        <v>0</v>
      </c>
      <c r="DC3784">
        <v>0</v>
      </c>
      <c r="DD3784">
        <v>0</v>
      </c>
      <c r="DE3784">
        <v>0</v>
      </c>
      <c r="DF3784">
        <v>0</v>
      </c>
      <c r="DG3784">
        <v>0</v>
      </c>
      <c r="DH3784">
        <v>0</v>
      </c>
      <c r="DI3784">
        <v>0</v>
      </c>
    </row>
    <row r="3785" spans="1:113" x14ac:dyDescent="0.3">
      <c r="A3785" t="str">
        <f>"02/08/2021 20:35:25.936"</f>
        <v>02/08/2021 20:35:25.936</v>
      </c>
      <c r="C3785" t="str">
        <f t="shared" si="188"/>
        <v>FFDFD7C0</v>
      </c>
      <c r="D3785" t="s">
        <v>124</v>
      </c>
      <c r="E3785">
        <v>11</v>
      </c>
      <c r="F3785">
        <v>1011</v>
      </c>
      <c r="G3785" t="s">
        <v>590</v>
      </c>
      <c r="J3785" t="s">
        <v>125</v>
      </c>
      <c r="K3785">
        <v>0</v>
      </c>
      <c r="L3785">
        <v>3</v>
      </c>
      <c r="M3785">
        <v>0</v>
      </c>
      <c r="N3785">
        <v>2</v>
      </c>
      <c r="O3785">
        <v>1</v>
      </c>
      <c r="P3785">
        <v>0</v>
      </c>
      <c r="Q3785">
        <v>0</v>
      </c>
      <c r="S3785" t="str">
        <f>"20:35:28.250"</f>
        <v>20:35:28.250</v>
      </c>
      <c r="T3785" t="str">
        <f>"20:35:27.750"</f>
        <v>20:35:27.750</v>
      </c>
      <c r="U3785" t="str">
        <f t="shared" si="190"/>
        <v>AB01F4</v>
      </c>
      <c r="V3785">
        <v>0</v>
      </c>
      <c r="W3785">
        <v>0</v>
      </c>
      <c r="X3785">
        <v>2</v>
      </c>
      <c r="Z3785">
        <v>0</v>
      </c>
      <c r="AA3785">
        <v>9</v>
      </c>
      <c r="AB3785">
        <v>3</v>
      </c>
      <c r="AC3785">
        <v>0</v>
      </c>
      <c r="AD3785">
        <v>10</v>
      </c>
      <c r="AE3785">
        <v>0</v>
      </c>
      <c r="AF3785">
        <v>3</v>
      </c>
      <c r="AG3785">
        <v>2</v>
      </c>
      <c r="AH3785">
        <v>0</v>
      </c>
      <c r="AI3785" t="s">
        <v>2141</v>
      </c>
      <c r="AJ3785">
        <v>40.122627999999999</v>
      </c>
      <c r="AK3785" t="s">
        <v>2142</v>
      </c>
      <c r="AL3785">
        <v>-93.055250999999998</v>
      </c>
      <c r="AM3785">
        <v>100</v>
      </c>
      <c r="AN3785">
        <v>1300</v>
      </c>
      <c r="AO3785" t="s">
        <v>118</v>
      </c>
      <c r="AP3785">
        <v>-113</v>
      </c>
      <c r="AQ3785">
        <v>61</v>
      </c>
      <c r="AR3785">
        <v>0</v>
      </c>
      <c r="AZ3785">
        <v>1200</v>
      </c>
      <c r="BA3785">
        <v>1</v>
      </c>
      <c r="BB3785" t="str">
        <f t="shared" si="189"/>
        <v xml:space="preserve">N8080G  </v>
      </c>
      <c r="BC3785">
        <v>1</v>
      </c>
      <c r="BE3785">
        <v>0</v>
      </c>
      <c r="BF3785">
        <v>0</v>
      </c>
      <c r="BG3785">
        <v>0</v>
      </c>
      <c r="BH3785">
        <v>1350</v>
      </c>
      <c r="BI3785">
        <v>1</v>
      </c>
      <c r="BJ3785">
        <v>1</v>
      </c>
      <c r="BK3785">
        <v>1</v>
      </c>
      <c r="BL3785">
        <v>0</v>
      </c>
      <c r="BO3785">
        <v>0</v>
      </c>
      <c r="BP3785">
        <v>0</v>
      </c>
      <c r="BW3785" t="str">
        <f>"20:35:28.258"</f>
        <v>20:35:28.258</v>
      </c>
      <c r="BZ3785">
        <v>0</v>
      </c>
      <c r="CA3785">
        <v>1600</v>
      </c>
      <c r="CB3785">
        <v>224</v>
      </c>
      <c r="CD3785">
        <v>1</v>
      </c>
      <c r="CE3785">
        <v>0</v>
      </c>
      <c r="CF3785">
        <v>0</v>
      </c>
      <c r="CG3785">
        <v>1</v>
      </c>
      <c r="CH3785">
        <v>0</v>
      </c>
      <c r="CI3785">
        <v>0</v>
      </c>
      <c r="CJ3785">
        <v>0</v>
      </c>
      <c r="CK3785">
        <v>2</v>
      </c>
      <c r="CL3785">
        <v>0</v>
      </c>
      <c r="CM3785">
        <v>2</v>
      </c>
      <c r="CN3785">
        <v>0</v>
      </c>
      <c r="CO3785">
        <v>6</v>
      </c>
      <c r="CP3785" t="s">
        <v>119</v>
      </c>
      <c r="CQ3785">
        <v>180</v>
      </c>
      <c r="CR3785">
        <v>3</v>
      </c>
      <c r="CW3785">
        <v>1263561</v>
      </c>
      <c r="CY3785">
        <v>0</v>
      </c>
      <c r="CZ3785">
        <v>0</v>
      </c>
      <c r="DA3785">
        <v>1</v>
      </c>
      <c r="DB3785">
        <v>0</v>
      </c>
      <c r="DC3785">
        <v>0</v>
      </c>
      <c r="DD3785">
        <v>0</v>
      </c>
      <c r="DE3785">
        <v>0</v>
      </c>
      <c r="DF3785">
        <v>0</v>
      </c>
      <c r="DG3785">
        <v>0</v>
      </c>
      <c r="DH3785">
        <v>0</v>
      </c>
      <c r="DI3785">
        <v>0</v>
      </c>
    </row>
    <row r="3786" spans="1:113" x14ac:dyDescent="0.3">
      <c r="A3786" t="str">
        <f>"02/08/2021 20:35:25.936"</f>
        <v>02/08/2021 20:35:25.936</v>
      </c>
      <c r="C3786" t="str">
        <f t="shared" si="188"/>
        <v>FFDFD7C0</v>
      </c>
      <c r="D3786" t="s">
        <v>113</v>
      </c>
      <c r="E3786">
        <v>6</v>
      </c>
      <c r="H3786">
        <v>165</v>
      </c>
      <c r="I3786" t="s">
        <v>114</v>
      </c>
      <c r="J3786" t="s">
        <v>115</v>
      </c>
      <c r="K3786">
        <v>0</v>
      </c>
      <c r="L3786">
        <v>3</v>
      </c>
      <c r="M3786">
        <v>0</v>
      </c>
      <c r="N3786">
        <v>2</v>
      </c>
      <c r="O3786">
        <v>1</v>
      </c>
      <c r="P3786">
        <v>0</v>
      </c>
      <c r="Q3786">
        <v>0</v>
      </c>
      <c r="S3786" t="str">
        <f>"20:35:28.250"</f>
        <v>20:35:28.250</v>
      </c>
      <c r="T3786" t="str">
        <f>"20:35:27.750"</f>
        <v>20:35:27.750</v>
      </c>
      <c r="U3786" t="str">
        <f t="shared" si="190"/>
        <v>AB01F4</v>
      </c>
      <c r="V3786">
        <v>0</v>
      </c>
      <c r="W3786">
        <v>0</v>
      </c>
      <c r="X3786">
        <v>2</v>
      </c>
      <c r="Z3786">
        <v>0</v>
      </c>
      <c r="AA3786">
        <v>9</v>
      </c>
      <c r="AB3786">
        <v>3</v>
      </c>
      <c r="AC3786">
        <v>0</v>
      </c>
      <c r="AD3786">
        <v>10</v>
      </c>
      <c r="AE3786">
        <v>0</v>
      </c>
      <c r="AF3786">
        <v>3</v>
      </c>
      <c r="AG3786">
        <v>2</v>
      </c>
      <c r="AH3786">
        <v>0</v>
      </c>
      <c r="AI3786" t="s">
        <v>2141</v>
      </c>
      <c r="AJ3786">
        <v>40.122627999999999</v>
      </c>
      <c r="AK3786" t="s">
        <v>2142</v>
      </c>
      <c r="AL3786">
        <v>-93.055250999999998</v>
      </c>
      <c r="AM3786">
        <v>100</v>
      </c>
      <c r="AN3786">
        <v>1300</v>
      </c>
      <c r="AO3786" t="s">
        <v>118</v>
      </c>
      <c r="AP3786">
        <v>-113</v>
      </c>
      <c r="AQ3786">
        <v>61</v>
      </c>
      <c r="AR3786">
        <v>0</v>
      </c>
      <c r="AZ3786">
        <v>1200</v>
      </c>
      <c r="BA3786">
        <v>1</v>
      </c>
      <c r="BB3786" t="str">
        <f t="shared" si="189"/>
        <v xml:space="preserve">N8080G  </v>
      </c>
      <c r="BC3786">
        <v>1</v>
      </c>
      <c r="BE3786">
        <v>0</v>
      </c>
      <c r="BF3786">
        <v>0</v>
      </c>
      <c r="BG3786">
        <v>0</v>
      </c>
      <c r="BH3786">
        <v>1350</v>
      </c>
      <c r="BI3786">
        <v>1</v>
      </c>
      <c r="BJ3786">
        <v>1</v>
      </c>
      <c r="BK3786">
        <v>1</v>
      </c>
      <c r="BL3786">
        <v>0</v>
      </c>
      <c r="BO3786">
        <v>0</v>
      </c>
      <c r="BP3786">
        <v>0</v>
      </c>
      <c r="BW3786" t="str">
        <f>"20:35:28.258"</f>
        <v>20:35:28.258</v>
      </c>
      <c r="BZ3786">
        <v>0</v>
      </c>
      <c r="CA3786">
        <v>1600</v>
      </c>
      <c r="CB3786">
        <v>224</v>
      </c>
      <c r="CD3786">
        <v>1</v>
      </c>
      <c r="CE3786">
        <v>0</v>
      </c>
      <c r="CF3786">
        <v>0</v>
      </c>
      <c r="CG3786">
        <v>1</v>
      </c>
      <c r="CH3786">
        <v>0</v>
      </c>
      <c r="CI3786">
        <v>0</v>
      </c>
      <c r="CJ3786">
        <v>0</v>
      </c>
      <c r="CK3786">
        <v>2</v>
      </c>
      <c r="CL3786">
        <v>0</v>
      </c>
      <c r="CM3786">
        <v>2</v>
      </c>
      <c r="CN3786">
        <v>0</v>
      </c>
      <c r="CO3786">
        <v>6</v>
      </c>
      <c r="CP3786" t="s">
        <v>119</v>
      </c>
      <c r="CQ3786">
        <v>180</v>
      </c>
      <c r="CR3786">
        <v>3</v>
      </c>
      <c r="CW3786">
        <v>1263561</v>
      </c>
      <c r="CY3786">
        <v>0</v>
      </c>
      <c r="CZ3786">
        <v>0</v>
      </c>
      <c r="DA3786">
        <v>1</v>
      </c>
      <c r="DB3786">
        <v>0</v>
      </c>
      <c r="DC3786">
        <v>0</v>
      </c>
      <c r="DD3786">
        <v>0</v>
      </c>
      <c r="DE3786">
        <v>0</v>
      </c>
      <c r="DF3786">
        <v>0</v>
      </c>
      <c r="DG3786">
        <v>0</v>
      </c>
      <c r="DH3786">
        <v>0</v>
      </c>
      <c r="DI3786">
        <v>0</v>
      </c>
    </row>
    <row r="3787" spans="1:113" x14ac:dyDescent="0.3">
      <c r="A3787" t="str">
        <f>"02/08/2021 20:35:27.225"</f>
        <v>02/08/2021 20:35:27.225</v>
      </c>
      <c r="C3787" t="str">
        <f t="shared" si="188"/>
        <v>FFDFD7C0</v>
      </c>
      <c r="D3787" t="s">
        <v>124</v>
      </c>
      <c r="E3787">
        <v>12</v>
      </c>
      <c r="F3787">
        <v>1012</v>
      </c>
      <c r="G3787" t="s">
        <v>675</v>
      </c>
      <c r="J3787" t="s">
        <v>125</v>
      </c>
      <c r="K3787">
        <v>0</v>
      </c>
      <c r="L3787">
        <v>3</v>
      </c>
      <c r="M3787">
        <v>0</v>
      </c>
      <c r="N3787">
        <v>2</v>
      </c>
      <c r="O3787">
        <v>1</v>
      </c>
      <c r="P3787">
        <v>0</v>
      </c>
      <c r="Q3787">
        <v>0</v>
      </c>
      <c r="S3787" t="str">
        <f>"20:35:29.531"</f>
        <v>20:35:29.531</v>
      </c>
      <c r="T3787" t="str">
        <f>"20:35:29.131"</f>
        <v>20:35:29.131</v>
      </c>
      <c r="U3787" t="str">
        <f t="shared" si="190"/>
        <v>AB01F4</v>
      </c>
      <c r="V3787">
        <v>0</v>
      </c>
      <c r="W3787">
        <v>0</v>
      </c>
      <c r="X3787">
        <v>2</v>
      </c>
      <c r="Z3787">
        <v>0</v>
      </c>
      <c r="AA3787">
        <v>9</v>
      </c>
      <c r="AB3787">
        <v>3</v>
      </c>
      <c r="AC3787">
        <v>0</v>
      </c>
      <c r="AD3787">
        <v>10</v>
      </c>
      <c r="AE3787">
        <v>0</v>
      </c>
      <c r="AF3787">
        <v>3</v>
      </c>
      <c r="AG3787">
        <v>2</v>
      </c>
      <c r="AH3787">
        <v>0</v>
      </c>
      <c r="AI3787" t="s">
        <v>2143</v>
      </c>
      <c r="AJ3787">
        <v>40.122993000000001</v>
      </c>
      <c r="AK3787" t="s">
        <v>2144</v>
      </c>
      <c r="AL3787">
        <v>-93.056151999999997</v>
      </c>
      <c r="AM3787">
        <v>100</v>
      </c>
      <c r="AN3787">
        <v>1300</v>
      </c>
      <c r="AO3787" t="s">
        <v>118</v>
      </c>
      <c r="AP3787">
        <v>-113</v>
      </c>
      <c r="AQ3787">
        <v>61</v>
      </c>
      <c r="AR3787">
        <v>0</v>
      </c>
      <c r="AZ3787">
        <v>1200</v>
      </c>
      <c r="BA3787">
        <v>1</v>
      </c>
      <c r="BB3787" t="str">
        <f t="shared" si="189"/>
        <v xml:space="preserve">N8080G  </v>
      </c>
      <c r="BC3787">
        <v>1</v>
      </c>
      <c r="BE3787">
        <v>0</v>
      </c>
      <c r="BF3787">
        <v>0</v>
      </c>
      <c r="BG3787">
        <v>0</v>
      </c>
      <c r="BH3787">
        <v>1350</v>
      </c>
      <c r="BI3787">
        <v>1</v>
      </c>
      <c r="BJ3787">
        <v>1</v>
      </c>
      <c r="BK3787">
        <v>1</v>
      </c>
      <c r="BL3787">
        <v>0</v>
      </c>
      <c r="BO3787">
        <v>0</v>
      </c>
      <c r="BP3787">
        <v>0</v>
      </c>
      <c r="BW3787" t="str">
        <f>"20:35:29.536"</f>
        <v>20:35:29.536</v>
      </c>
      <c r="BZ3787">
        <v>0</v>
      </c>
      <c r="CA3787">
        <v>1600</v>
      </c>
      <c r="CB3787">
        <v>224</v>
      </c>
      <c r="CD3787">
        <v>1</v>
      </c>
      <c r="CE3787">
        <v>0</v>
      </c>
      <c r="CF3787">
        <v>0</v>
      </c>
      <c r="CG3787">
        <v>1</v>
      </c>
      <c r="CH3787">
        <v>0</v>
      </c>
      <c r="CI3787">
        <v>0</v>
      </c>
      <c r="CJ3787">
        <v>0</v>
      </c>
      <c r="CK3787">
        <v>2</v>
      </c>
      <c r="CL3787">
        <v>0</v>
      </c>
      <c r="CM3787">
        <v>2</v>
      </c>
      <c r="CN3787">
        <v>0</v>
      </c>
      <c r="CO3787">
        <v>6</v>
      </c>
      <c r="CP3787" t="s">
        <v>119</v>
      </c>
      <c r="CQ3787">
        <v>180</v>
      </c>
      <c r="CR3787">
        <v>3</v>
      </c>
      <c r="CW3787">
        <v>1264624</v>
      </c>
      <c r="CY3787">
        <v>0</v>
      </c>
      <c r="CZ3787">
        <v>0</v>
      </c>
      <c r="DA3787">
        <v>0</v>
      </c>
      <c r="DB3787">
        <v>0</v>
      </c>
      <c r="DC3787">
        <v>0</v>
      </c>
      <c r="DD3787">
        <v>0</v>
      </c>
      <c r="DE3787">
        <v>0</v>
      </c>
      <c r="DF3787">
        <v>0</v>
      </c>
      <c r="DG3787">
        <v>0</v>
      </c>
      <c r="DH3787">
        <v>0</v>
      </c>
      <c r="DI3787">
        <v>0</v>
      </c>
    </row>
    <row r="3788" spans="1:113" x14ac:dyDescent="0.3">
      <c r="A3788" t="str">
        <f>"02/08/2021 20:35:27.225"</f>
        <v>02/08/2021 20:35:27.225</v>
      </c>
      <c r="C3788" t="str">
        <f t="shared" si="188"/>
        <v>FFDFD7C0</v>
      </c>
      <c r="D3788" t="s">
        <v>124</v>
      </c>
      <c r="E3788">
        <v>11</v>
      </c>
      <c r="F3788">
        <v>1011</v>
      </c>
      <c r="G3788" t="s">
        <v>590</v>
      </c>
      <c r="J3788" t="s">
        <v>125</v>
      </c>
      <c r="K3788">
        <v>0</v>
      </c>
      <c r="L3788">
        <v>3</v>
      </c>
      <c r="M3788">
        <v>0</v>
      </c>
      <c r="N3788">
        <v>2</v>
      </c>
      <c r="O3788">
        <v>1</v>
      </c>
      <c r="P3788">
        <v>0</v>
      </c>
      <c r="Q3788">
        <v>0</v>
      </c>
      <c r="S3788" t="str">
        <f>"20:35:29.531"</f>
        <v>20:35:29.531</v>
      </c>
      <c r="T3788" t="str">
        <f>"20:35:29.131"</f>
        <v>20:35:29.131</v>
      </c>
      <c r="U3788" t="str">
        <f t="shared" si="190"/>
        <v>AB01F4</v>
      </c>
      <c r="V3788">
        <v>0</v>
      </c>
      <c r="W3788">
        <v>0</v>
      </c>
      <c r="X3788">
        <v>2</v>
      </c>
      <c r="Z3788">
        <v>0</v>
      </c>
      <c r="AA3788">
        <v>9</v>
      </c>
      <c r="AB3788">
        <v>3</v>
      </c>
      <c r="AC3788">
        <v>0</v>
      </c>
      <c r="AD3788">
        <v>10</v>
      </c>
      <c r="AE3788">
        <v>0</v>
      </c>
      <c r="AF3788">
        <v>3</v>
      </c>
      <c r="AG3788">
        <v>2</v>
      </c>
      <c r="AH3788">
        <v>0</v>
      </c>
      <c r="AI3788" t="s">
        <v>2143</v>
      </c>
      <c r="AJ3788">
        <v>40.122993000000001</v>
      </c>
      <c r="AK3788" t="s">
        <v>2144</v>
      </c>
      <c r="AL3788">
        <v>-93.056151999999997</v>
      </c>
      <c r="AM3788">
        <v>100</v>
      </c>
      <c r="AN3788">
        <v>1300</v>
      </c>
      <c r="AO3788" t="s">
        <v>118</v>
      </c>
      <c r="AP3788">
        <v>-113</v>
      </c>
      <c r="AQ3788">
        <v>61</v>
      </c>
      <c r="AR3788">
        <v>0</v>
      </c>
      <c r="AZ3788">
        <v>1200</v>
      </c>
      <c r="BA3788">
        <v>1</v>
      </c>
      <c r="BB3788" t="str">
        <f t="shared" si="189"/>
        <v xml:space="preserve">N8080G  </v>
      </c>
      <c r="BC3788">
        <v>1</v>
      </c>
      <c r="BE3788">
        <v>0</v>
      </c>
      <c r="BF3788">
        <v>0</v>
      </c>
      <c r="BG3788">
        <v>0</v>
      </c>
      <c r="BH3788">
        <v>1350</v>
      </c>
      <c r="BI3788">
        <v>1</v>
      </c>
      <c r="BJ3788">
        <v>1</v>
      </c>
      <c r="BK3788">
        <v>1</v>
      </c>
      <c r="BL3788">
        <v>0</v>
      </c>
      <c r="BO3788">
        <v>0</v>
      </c>
      <c r="BP3788">
        <v>0</v>
      </c>
      <c r="BW3788" t="str">
        <f>"20:35:29.536"</f>
        <v>20:35:29.536</v>
      </c>
      <c r="BZ3788">
        <v>0</v>
      </c>
      <c r="CA3788">
        <v>1600</v>
      </c>
      <c r="CB3788">
        <v>224</v>
      </c>
      <c r="CD3788">
        <v>1</v>
      </c>
      <c r="CE3788">
        <v>0</v>
      </c>
      <c r="CF3788">
        <v>0</v>
      </c>
      <c r="CG3788">
        <v>1</v>
      </c>
      <c r="CH3788">
        <v>0</v>
      </c>
      <c r="CI3788">
        <v>0</v>
      </c>
      <c r="CJ3788">
        <v>0</v>
      </c>
      <c r="CK3788">
        <v>2</v>
      </c>
      <c r="CL3788">
        <v>0</v>
      </c>
      <c r="CM3788">
        <v>2</v>
      </c>
      <c r="CN3788">
        <v>0</v>
      </c>
      <c r="CO3788">
        <v>6</v>
      </c>
      <c r="CP3788" t="s">
        <v>119</v>
      </c>
      <c r="CQ3788">
        <v>180</v>
      </c>
      <c r="CR3788">
        <v>3</v>
      </c>
      <c r="CW3788">
        <v>1264624</v>
      </c>
      <c r="CY3788">
        <v>0</v>
      </c>
      <c r="CZ3788">
        <v>0</v>
      </c>
      <c r="DA3788">
        <v>1</v>
      </c>
      <c r="DB3788">
        <v>0</v>
      </c>
      <c r="DC3788">
        <v>0</v>
      </c>
      <c r="DD3788">
        <v>0</v>
      </c>
      <c r="DE3788">
        <v>0</v>
      </c>
      <c r="DF3788">
        <v>0</v>
      </c>
      <c r="DG3788">
        <v>0</v>
      </c>
      <c r="DH3788">
        <v>0</v>
      </c>
      <c r="DI3788">
        <v>0</v>
      </c>
    </row>
    <row r="3789" spans="1:113" x14ac:dyDescent="0.3">
      <c r="A3789" t="str">
        <f>"02/08/2021 20:35:27.225"</f>
        <v>02/08/2021 20:35:27.225</v>
      </c>
      <c r="C3789" t="str">
        <f t="shared" si="188"/>
        <v>FFDFD7C0</v>
      </c>
      <c r="D3789" t="s">
        <v>113</v>
      </c>
      <c r="E3789">
        <v>6</v>
      </c>
      <c r="H3789">
        <v>165</v>
      </c>
      <c r="I3789" t="s">
        <v>114</v>
      </c>
      <c r="J3789" t="s">
        <v>115</v>
      </c>
      <c r="K3789">
        <v>0</v>
      </c>
      <c r="L3789">
        <v>3</v>
      </c>
      <c r="M3789">
        <v>0</v>
      </c>
      <c r="N3789">
        <v>2</v>
      </c>
      <c r="O3789">
        <v>1</v>
      </c>
      <c r="P3789">
        <v>0</v>
      </c>
      <c r="Q3789">
        <v>0</v>
      </c>
      <c r="S3789" t="str">
        <f>"20:35:29.531"</f>
        <v>20:35:29.531</v>
      </c>
      <c r="T3789" t="str">
        <f>"20:35:29.131"</f>
        <v>20:35:29.131</v>
      </c>
      <c r="U3789" t="str">
        <f t="shared" si="190"/>
        <v>AB01F4</v>
      </c>
      <c r="V3789">
        <v>0</v>
      </c>
      <c r="W3789">
        <v>0</v>
      </c>
      <c r="X3789">
        <v>2</v>
      </c>
      <c r="Z3789">
        <v>0</v>
      </c>
      <c r="AA3789">
        <v>9</v>
      </c>
      <c r="AB3789">
        <v>3</v>
      </c>
      <c r="AC3789">
        <v>0</v>
      </c>
      <c r="AD3789">
        <v>10</v>
      </c>
      <c r="AE3789">
        <v>0</v>
      </c>
      <c r="AF3789">
        <v>3</v>
      </c>
      <c r="AG3789">
        <v>2</v>
      </c>
      <c r="AH3789">
        <v>0</v>
      </c>
      <c r="AI3789" t="s">
        <v>2143</v>
      </c>
      <c r="AJ3789">
        <v>40.122993000000001</v>
      </c>
      <c r="AK3789" t="s">
        <v>2144</v>
      </c>
      <c r="AL3789">
        <v>-93.056151999999997</v>
      </c>
      <c r="AM3789">
        <v>100</v>
      </c>
      <c r="AN3789">
        <v>1300</v>
      </c>
      <c r="AO3789" t="s">
        <v>118</v>
      </c>
      <c r="AP3789">
        <v>-113</v>
      </c>
      <c r="AQ3789">
        <v>61</v>
      </c>
      <c r="AR3789">
        <v>0</v>
      </c>
      <c r="AZ3789">
        <v>1200</v>
      </c>
      <c r="BA3789">
        <v>1</v>
      </c>
      <c r="BB3789" t="str">
        <f t="shared" si="189"/>
        <v xml:space="preserve">N8080G  </v>
      </c>
      <c r="BC3789">
        <v>1</v>
      </c>
      <c r="BE3789">
        <v>0</v>
      </c>
      <c r="BF3789">
        <v>0</v>
      </c>
      <c r="BG3789">
        <v>0</v>
      </c>
      <c r="BH3789">
        <v>1350</v>
      </c>
      <c r="BI3789">
        <v>1</v>
      </c>
      <c r="BJ3789">
        <v>1</v>
      </c>
      <c r="BK3789">
        <v>1</v>
      </c>
      <c r="BL3789">
        <v>0</v>
      </c>
      <c r="BO3789">
        <v>0</v>
      </c>
      <c r="BP3789">
        <v>0</v>
      </c>
      <c r="BW3789" t="str">
        <f>"20:35:29.536"</f>
        <v>20:35:29.536</v>
      </c>
      <c r="BZ3789">
        <v>0</v>
      </c>
      <c r="CA3789">
        <v>1600</v>
      </c>
      <c r="CB3789">
        <v>224</v>
      </c>
      <c r="CD3789">
        <v>1</v>
      </c>
      <c r="CE3789">
        <v>0</v>
      </c>
      <c r="CF3789">
        <v>0</v>
      </c>
      <c r="CG3789">
        <v>1</v>
      </c>
      <c r="CH3789">
        <v>0</v>
      </c>
      <c r="CI3789">
        <v>0</v>
      </c>
      <c r="CJ3789">
        <v>0</v>
      </c>
      <c r="CK3789">
        <v>2</v>
      </c>
      <c r="CL3789">
        <v>0</v>
      </c>
      <c r="CM3789">
        <v>2</v>
      </c>
      <c r="CN3789">
        <v>0</v>
      </c>
      <c r="CO3789">
        <v>6</v>
      </c>
      <c r="CP3789" t="s">
        <v>119</v>
      </c>
      <c r="CQ3789">
        <v>180</v>
      </c>
      <c r="CR3789">
        <v>3</v>
      </c>
      <c r="CW3789">
        <v>1264624</v>
      </c>
      <c r="CY3789">
        <v>0</v>
      </c>
      <c r="CZ3789">
        <v>0</v>
      </c>
      <c r="DA3789">
        <v>1</v>
      </c>
      <c r="DB3789">
        <v>0</v>
      </c>
      <c r="DC3789">
        <v>0</v>
      </c>
      <c r="DD3789">
        <v>0</v>
      </c>
      <c r="DE3789">
        <v>0</v>
      </c>
      <c r="DF3789">
        <v>0</v>
      </c>
      <c r="DG3789">
        <v>0</v>
      </c>
      <c r="DH3789">
        <v>0</v>
      </c>
      <c r="DI3789">
        <v>0</v>
      </c>
    </row>
    <row r="3790" spans="1:113" x14ac:dyDescent="0.3">
      <c r="A3790" t="str">
        <f>"02/08/2021 20:35:27.225"</f>
        <v>02/08/2021 20:35:27.225</v>
      </c>
      <c r="C3790" t="str">
        <f t="shared" si="188"/>
        <v>FFDFD7C0</v>
      </c>
      <c r="D3790" t="s">
        <v>124</v>
      </c>
      <c r="E3790">
        <v>13</v>
      </c>
      <c r="F3790">
        <v>1013</v>
      </c>
      <c r="G3790" t="s">
        <v>114</v>
      </c>
      <c r="J3790" t="s">
        <v>125</v>
      </c>
      <c r="K3790">
        <v>0</v>
      </c>
      <c r="L3790">
        <v>3</v>
      </c>
      <c r="M3790">
        <v>0</v>
      </c>
      <c r="N3790">
        <v>2</v>
      </c>
      <c r="O3790">
        <v>1</v>
      </c>
      <c r="P3790">
        <v>0</v>
      </c>
      <c r="Q3790">
        <v>0</v>
      </c>
      <c r="S3790" t="str">
        <f>"20:35:29.531"</f>
        <v>20:35:29.531</v>
      </c>
      <c r="T3790" t="str">
        <f>"20:35:29.131"</f>
        <v>20:35:29.131</v>
      </c>
      <c r="U3790" t="str">
        <f t="shared" si="190"/>
        <v>AB01F4</v>
      </c>
      <c r="V3790">
        <v>0</v>
      </c>
      <c r="W3790">
        <v>0</v>
      </c>
      <c r="X3790">
        <v>2</v>
      </c>
      <c r="Z3790">
        <v>0</v>
      </c>
      <c r="AA3790">
        <v>9</v>
      </c>
      <c r="AB3790">
        <v>3</v>
      </c>
      <c r="AC3790">
        <v>0</v>
      </c>
      <c r="AD3790">
        <v>10</v>
      </c>
      <c r="AE3790">
        <v>0</v>
      </c>
      <c r="AF3790">
        <v>3</v>
      </c>
      <c r="AG3790">
        <v>2</v>
      </c>
      <c r="AH3790">
        <v>0</v>
      </c>
      <c r="AI3790" t="s">
        <v>2143</v>
      </c>
      <c r="AJ3790">
        <v>40.122993000000001</v>
      </c>
      <c r="AK3790" t="s">
        <v>2144</v>
      </c>
      <c r="AL3790">
        <v>-93.056151999999997</v>
      </c>
      <c r="AM3790">
        <v>100</v>
      </c>
      <c r="AN3790">
        <v>1300</v>
      </c>
      <c r="AO3790" t="s">
        <v>118</v>
      </c>
      <c r="AP3790">
        <v>-113</v>
      </c>
      <c r="AQ3790">
        <v>61</v>
      </c>
      <c r="AR3790">
        <v>0</v>
      </c>
      <c r="AZ3790">
        <v>1200</v>
      </c>
      <c r="BA3790">
        <v>1</v>
      </c>
      <c r="BB3790" t="str">
        <f t="shared" si="189"/>
        <v xml:space="preserve">N8080G  </v>
      </c>
      <c r="BC3790">
        <v>1</v>
      </c>
      <c r="BE3790">
        <v>0</v>
      </c>
      <c r="BF3790">
        <v>0</v>
      </c>
      <c r="BG3790">
        <v>0</v>
      </c>
      <c r="BH3790">
        <v>1350</v>
      </c>
      <c r="BI3790">
        <v>1</v>
      </c>
      <c r="BJ3790">
        <v>1</v>
      </c>
      <c r="BK3790">
        <v>1</v>
      </c>
      <c r="BL3790">
        <v>0</v>
      </c>
      <c r="BO3790">
        <v>0</v>
      </c>
      <c r="BP3790">
        <v>0</v>
      </c>
      <c r="BW3790" t="str">
        <f>"20:35:29.536"</f>
        <v>20:35:29.536</v>
      </c>
      <c r="BZ3790">
        <v>0</v>
      </c>
      <c r="CA3790">
        <v>1600</v>
      </c>
      <c r="CB3790">
        <v>224</v>
      </c>
      <c r="CD3790">
        <v>1</v>
      </c>
      <c r="CE3790">
        <v>0</v>
      </c>
      <c r="CF3790">
        <v>0</v>
      </c>
      <c r="CG3790">
        <v>1</v>
      </c>
      <c r="CH3790">
        <v>0</v>
      </c>
      <c r="CI3790">
        <v>0</v>
      </c>
      <c r="CJ3790">
        <v>0</v>
      </c>
      <c r="CK3790">
        <v>2</v>
      </c>
      <c r="CL3790">
        <v>0</v>
      </c>
      <c r="CM3790">
        <v>2</v>
      </c>
      <c r="CN3790">
        <v>0</v>
      </c>
      <c r="CO3790">
        <v>6</v>
      </c>
      <c r="CP3790" t="s">
        <v>119</v>
      </c>
      <c r="CQ3790">
        <v>180</v>
      </c>
      <c r="CR3790">
        <v>3</v>
      </c>
      <c r="CW3790">
        <v>1264624</v>
      </c>
      <c r="CY3790">
        <v>0</v>
      </c>
      <c r="CZ3790">
        <v>0</v>
      </c>
      <c r="DA3790">
        <v>1</v>
      </c>
      <c r="DB3790">
        <v>0</v>
      </c>
      <c r="DC3790">
        <v>0</v>
      </c>
      <c r="DD3790">
        <v>0</v>
      </c>
      <c r="DE3790">
        <v>0</v>
      </c>
      <c r="DF3790">
        <v>0</v>
      </c>
      <c r="DG3790">
        <v>0</v>
      </c>
      <c r="DH3790">
        <v>0</v>
      </c>
      <c r="DI3790">
        <v>0</v>
      </c>
    </row>
    <row r="3791" spans="1:113" x14ac:dyDescent="0.3">
      <c r="A3791" t="str">
        <f>"02/08/2021 20:35:28.801"</f>
        <v>02/08/2021 20:35:28.801</v>
      </c>
      <c r="C3791" t="str">
        <f t="shared" si="188"/>
        <v>FFDFD7C0</v>
      </c>
      <c r="D3791" t="s">
        <v>124</v>
      </c>
      <c r="E3791">
        <v>13</v>
      </c>
      <c r="F3791">
        <v>1013</v>
      </c>
      <c r="G3791" t="s">
        <v>114</v>
      </c>
      <c r="J3791" t="s">
        <v>125</v>
      </c>
      <c r="K3791">
        <v>0</v>
      </c>
      <c r="L3791">
        <v>3</v>
      </c>
      <c r="M3791">
        <v>0</v>
      </c>
      <c r="N3791">
        <v>2</v>
      </c>
      <c r="O3791">
        <v>1</v>
      </c>
      <c r="P3791">
        <v>0</v>
      </c>
      <c r="Q3791">
        <v>0</v>
      </c>
      <c r="S3791" t="str">
        <f>"20:35:31.133"</f>
        <v>20:35:31.133</v>
      </c>
      <c r="T3791" t="str">
        <f>"20:35:30.633"</f>
        <v>20:35:30.633</v>
      </c>
      <c r="U3791" t="str">
        <f t="shared" si="190"/>
        <v>AB01F4</v>
      </c>
      <c r="V3791">
        <v>0</v>
      </c>
      <c r="W3791">
        <v>0</v>
      </c>
      <c r="X3791">
        <v>2</v>
      </c>
      <c r="Z3791">
        <v>0</v>
      </c>
      <c r="AA3791">
        <v>9</v>
      </c>
      <c r="AB3791">
        <v>3</v>
      </c>
      <c r="AC3791">
        <v>0</v>
      </c>
      <c r="AD3791">
        <v>10</v>
      </c>
      <c r="AE3791">
        <v>0</v>
      </c>
      <c r="AF3791">
        <v>3</v>
      </c>
      <c r="AG3791">
        <v>2</v>
      </c>
      <c r="AH3791">
        <v>0</v>
      </c>
      <c r="AI3791" t="s">
        <v>2145</v>
      </c>
      <c r="AJ3791">
        <v>40.123443999999999</v>
      </c>
      <c r="AK3791" t="s">
        <v>2146</v>
      </c>
      <c r="AL3791">
        <v>-93.057246000000006</v>
      </c>
      <c r="AM3791">
        <v>100</v>
      </c>
      <c r="AN3791">
        <v>1300</v>
      </c>
      <c r="AO3791" t="s">
        <v>118</v>
      </c>
      <c r="AP3791">
        <v>-113</v>
      </c>
      <c r="AQ3791">
        <v>61</v>
      </c>
      <c r="AR3791">
        <v>192</v>
      </c>
      <c r="AZ3791">
        <v>1200</v>
      </c>
      <c r="BA3791">
        <v>1</v>
      </c>
      <c r="BB3791" t="str">
        <f t="shared" si="189"/>
        <v xml:space="preserve">N8080G  </v>
      </c>
      <c r="BC3791">
        <v>1</v>
      </c>
      <c r="BE3791">
        <v>0</v>
      </c>
      <c r="BF3791">
        <v>0</v>
      </c>
      <c r="BG3791">
        <v>0</v>
      </c>
      <c r="BH3791">
        <v>1350</v>
      </c>
      <c r="BI3791">
        <v>1</v>
      </c>
      <c r="BJ3791">
        <v>1</v>
      </c>
      <c r="BK3791">
        <v>1</v>
      </c>
      <c r="BL3791">
        <v>0</v>
      </c>
      <c r="BO3791">
        <v>0</v>
      </c>
      <c r="BP3791">
        <v>0</v>
      </c>
      <c r="BW3791" t="str">
        <f>"20:35:31.135"</f>
        <v>20:35:31.135</v>
      </c>
      <c r="BZ3791">
        <v>0</v>
      </c>
      <c r="CA3791">
        <v>1600</v>
      </c>
      <c r="CB3791">
        <v>224</v>
      </c>
      <c r="CD3791">
        <v>1</v>
      </c>
      <c r="CE3791">
        <v>0</v>
      </c>
      <c r="CF3791">
        <v>0</v>
      </c>
      <c r="CG3791">
        <v>1</v>
      </c>
      <c r="CH3791">
        <v>0</v>
      </c>
      <c r="CI3791">
        <v>0</v>
      </c>
      <c r="CJ3791">
        <v>0</v>
      </c>
      <c r="CK3791">
        <v>2</v>
      </c>
      <c r="CL3791">
        <v>0</v>
      </c>
      <c r="CM3791">
        <v>2</v>
      </c>
      <c r="CN3791">
        <v>0</v>
      </c>
      <c r="CO3791">
        <v>6</v>
      </c>
      <c r="CP3791" t="s">
        <v>119</v>
      </c>
      <c r="CQ3791">
        <v>180</v>
      </c>
      <c r="CR3791">
        <v>3</v>
      </c>
      <c r="CW3791">
        <v>1265775</v>
      </c>
      <c r="CY3791">
        <v>0</v>
      </c>
      <c r="CZ3791">
        <v>0</v>
      </c>
      <c r="DA3791">
        <v>0</v>
      </c>
      <c r="DB3791">
        <v>0</v>
      </c>
      <c r="DC3791">
        <v>0</v>
      </c>
      <c r="DD3791">
        <v>0</v>
      </c>
      <c r="DE3791">
        <v>0</v>
      </c>
      <c r="DF3791">
        <v>0</v>
      </c>
      <c r="DG3791">
        <v>0</v>
      </c>
      <c r="DH3791">
        <v>0</v>
      </c>
      <c r="DI3791">
        <v>0</v>
      </c>
    </row>
    <row r="3792" spans="1:113" x14ac:dyDescent="0.3">
      <c r="A3792" t="str">
        <f>"02/08/2021 20:35:28.801"</f>
        <v>02/08/2021 20:35:28.801</v>
      </c>
      <c r="C3792" t="str">
        <f t="shared" si="188"/>
        <v>FFDFD7C0</v>
      </c>
      <c r="D3792" t="s">
        <v>113</v>
      </c>
      <c r="E3792">
        <v>6</v>
      </c>
      <c r="H3792">
        <v>165</v>
      </c>
      <c r="I3792" t="s">
        <v>114</v>
      </c>
      <c r="J3792" t="s">
        <v>115</v>
      </c>
      <c r="K3792">
        <v>0</v>
      </c>
      <c r="L3792">
        <v>3</v>
      </c>
      <c r="M3792">
        <v>0</v>
      </c>
      <c r="N3792">
        <v>2</v>
      </c>
      <c r="O3792">
        <v>1</v>
      </c>
      <c r="P3792">
        <v>0</v>
      </c>
      <c r="Q3792">
        <v>0</v>
      </c>
      <c r="S3792" t="str">
        <f>"20:35:31.133"</f>
        <v>20:35:31.133</v>
      </c>
      <c r="T3792" t="str">
        <f>"20:35:30.633"</f>
        <v>20:35:30.633</v>
      </c>
      <c r="U3792" t="str">
        <f t="shared" si="190"/>
        <v>AB01F4</v>
      </c>
      <c r="V3792">
        <v>0</v>
      </c>
      <c r="W3792">
        <v>0</v>
      </c>
      <c r="X3792">
        <v>2</v>
      </c>
      <c r="Z3792">
        <v>0</v>
      </c>
      <c r="AA3792">
        <v>9</v>
      </c>
      <c r="AB3792">
        <v>3</v>
      </c>
      <c r="AC3792">
        <v>0</v>
      </c>
      <c r="AD3792">
        <v>10</v>
      </c>
      <c r="AE3792">
        <v>0</v>
      </c>
      <c r="AF3792">
        <v>3</v>
      </c>
      <c r="AG3792">
        <v>2</v>
      </c>
      <c r="AH3792">
        <v>0</v>
      </c>
      <c r="AI3792" t="s">
        <v>2145</v>
      </c>
      <c r="AJ3792">
        <v>40.123443999999999</v>
      </c>
      <c r="AK3792" t="s">
        <v>2146</v>
      </c>
      <c r="AL3792">
        <v>-93.057246000000006</v>
      </c>
      <c r="AM3792">
        <v>100</v>
      </c>
      <c r="AN3792">
        <v>1300</v>
      </c>
      <c r="AO3792" t="s">
        <v>118</v>
      </c>
      <c r="AP3792">
        <v>-113</v>
      </c>
      <c r="AQ3792">
        <v>61</v>
      </c>
      <c r="AR3792">
        <v>192</v>
      </c>
      <c r="AZ3792">
        <v>1200</v>
      </c>
      <c r="BA3792">
        <v>1</v>
      </c>
      <c r="BB3792" t="str">
        <f t="shared" si="189"/>
        <v xml:space="preserve">N8080G  </v>
      </c>
      <c r="BC3792">
        <v>1</v>
      </c>
      <c r="BE3792">
        <v>0</v>
      </c>
      <c r="BF3792">
        <v>0</v>
      </c>
      <c r="BG3792">
        <v>0</v>
      </c>
      <c r="BH3792">
        <v>1350</v>
      </c>
      <c r="BI3792">
        <v>1</v>
      </c>
      <c r="BJ3792">
        <v>1</v>
      </c>
      <c r="BK3792">
        <v>1</v>
      </c>
      <c r="BL3792">
        <v>0</v>
      </c>
      <c r="BO3792">
        <v>0</v>
      </c>
      <c r="BP3792">
        <v>0</v>
      </c>
      <c r="BW3792" t="str">
        <f>"20:35:31.135"</f>
        <v>20:35:31.135</v>
      </c>
      <c r="BZ3792">
        <v>0</v>
      </c>
      <c r="CA3792">
        <v>1600</v>
      </c>
      <c r="CB3792">
        <v>224</v>
      </c>
      <c r="CD3792">
        <v>1</v>
      </c>
      <c r="CE3792">
        <v>0</v>
      </c>
      <c r="CF3792">
        <v>0</v>
      </c>
      <c r="CG3792">
        <v>1</v>
      </c>
      <c r="CH3792">
        <v>0</v>
      </c>
      <c r="CI3792">
        <v>0</v>
      </c>
      <c r="CJ3792">
        <v>0</v>
      </c>
      <c r="CK3792">
        <v>2</v>
      </c>
      <c r="CL3792">
        <v>0</v>
      </c>
      <c r="CM3792">
        <v>2</v>
      </c>
      <c r="CN3792">
        <v>0</v>
      </c>
      <c r="CO3792">
        <v>6</v>
      </c>
      <c r="CP3792" t="s">
        <v>119</v>
      </c>
      <c r="CQ3792">
        <v>180</v>
      </c>
      <c r="CR3792">
        <v>3</v>
      </c>
      <c r="CW3792">
        <v>1265775</v>
      </c>
      <c r="CY3792">
        <v>0</v>
      </c>
      <c r="CZ3792">
        <v>0</v>
      </c>
      <c r="DA3792">
        <v>1</v>
      </c>
      <c r="DB3792">
        <v>0</v>
      </c>
      <c r="DC3792">
        <v>0</v>
      </c>
      <c r="DD3792">
        <v>0</v>
      </c>
      <c r="DE3792">
        <v>0</v>
      </c>
      <c r="DF3792">
        <v>0</v>
      </c>
      <c r="DG3792">
        <v>0</v>
      </c>
      <c r="DH3792">
        <v>0</v>
      </c>
      <c r="DI3792">
        <v>0</v>
      </c>
    </row>
    <row r="3793" spans="1:113" x14ac:dyDescent="0.3">
      <c r="A3793" t="str">
        <f>"02/08/2021 20:35:28.801"</f>
        <v>02/08/2021 20:35:28.801</v>
      </c>
      <c r="C3793" t="str">
        <f t="shared" si="188"/>
        <v>FFDFD7C0</v>
      </c>
      <c r="D3793" t="s">
        <v>124</v>
      </c>
      <c r="E3793">
        <v>12</v>
      </c>
      <c r="F3793">
        <v>1012</v>
      </c>
      <c r="G3793" t="s">
        <v>675</v>
      </c>
      <c r="J3793" t="s">
        <v>125</v>
      </c>
      <c r="K3793">
        <v>0</v>
      </c>
      <c r="L3793">
        <v>3</v>
      </c>
      <c r="M3793">
        <v>0</v>
      </c>
      <c r="N3793">
        <v>2</v>
      </c>
      <c r="O3793">
        <v>1</v>
      </c>
      <c r="P3793">
        <v>0</v>
      </c>
      <c r="Q3793">
        <v>0</v>
      </c>
      <c r="S3793" t="str">
        <f>"20:35:31.133"</f>
        <v>20:35:31.133</v>
      </c>
      <c r="T3793" t="str">
        <f>"20:35:30.633"</f>
        <v>20:35:30.633</v>
      </c>
      <c r="U3793" t="str">
        <f t="shared" si="190"/>
        <v>AB01F4</v>
      </c>
      <c r="V3793">
        <v>0</v>
      </c>
      <c r="W3793">
        <v>0</v>
      </c>
      <c r="X3793">
        <v>2</v>
      </c>
      <c r="Z3793">
        <v>0</v>
      </c>
      <c r="AA3793">
        <v>9</v>
      </c>
      <c r="AB3793">
        <v>3</v>
      </c>
      <c r="AC3793">
        <v>0</v>
      </c>
      <c r="AD3793">
        <v>10</v>
      </c>
      <c r="AE3793">
        <v>0</v>
      </c>
      <c r="AF3793">
        <v>3</v>
      </c>
      <c r="AG3793">
        <v>2</v>
      </c>
      <c r="AH3793">
        <v>0</v>
      </c>
      <c r="AI3793" t="s">
        <v>2145</v>
      </c>
      <c r="AJ3793">
        <v>40.123443999999999</v>
      </c>
      <c r="AK3793" t="s">
        <v>2146</v>
      </c>
      <c r="AL3793">
        <v>-93.057246000000006</v>
      </c>
      <c r="AM3793">
        <v>100</v>
      </c>
      <c r="AN3793">
        <v>1300</v>
      </c>
      <c r="AO3793" t="s">
        <v>118</v>
      </c>
      <c r="AP3793">
        <v>-113</v>
      </c>
      <c r="AQ3793">
        <v>61</v>
      </c>
      <c r="AR3793">
        <v>192</v>
      </c>
      <c r="AZ3793">
        <v>1200</v>
      </c>
      <c r="BA3793">
        <v>1</v>
      </c>
      <c r="BB3793" t="str">
        <f t="shared" si="189"/>
        <v xml:space="preserve">N8080G  </v>
      </c>
      <c r="BC3793">
        <v>1</v>
      </c>
      <c r="BE3793">
        <v>0</v>
      </c>
      <c r="BF3793">
        <v>0</v>
      </c>
      <c r="BG3793">
        <v>0</v>
      </c>
      <c r="BH3793">
        <v>1350</v>
      </c>
      <c r="BI3793">
        <v>1</v>
      </c>
      <c r="BJ3793">
        <v>1</v>
      </c>
      <c r="BK3793">
        <v>1</v>
      </c>
      <c r="BL3793">
        <v>0</v>
      </c>
      <c r="BO3793">
        <v>0</v>
      </c>
      <c r="BP3793">
        <v>0</v>
      </c>
      <c r="BW3793" t="str">
        <f>"20:35:31.135"</f>
        <v>20:35:31.135</v>
      </c>
      <c r="BZ3793">
        <v>0</v>
      </c>
      <c r="CA3793">
        <v>1600</v>
      </c>
      <c r="CB3793">
        <v>224</v>
      </c>
      <c r="CD3793">
        <v>1</v>
      </c>
      <c r="CE3793">
        <v>0</v>
      </c>
      <c r="CF3793">
        <v>0</v>
      </c>
      <c r="CG3793">
        <v>1</v>
      </c>
      <c r="CH3793">
        <v>0</v>
      </c>
      <c r="CI3793">
        <v>0</v>
      </c>
      <c r="CJ3793">
        <v>0</v>
      </c>
      <c r="CK3793">
        <v>2</v>
      </c>
      <c r="CL3793">
        <v>0</v>
      </c>
      <c r="CM3793">
        <v>2</v>
      </c>
      <c r="CN3793">
        <v>0</v>
      </c>
      <c r="CO3793">
        <v>6</v>
      </c>
      <c r="CP3793" t="s">
        <v>119</v>
      </c>
      <c r="CQ3793">
        <v>180</v>
      </c>
      <c r="CR3793">
        <v>3</v>
      </c>
      <c r="CW3793">
        <v>1265775</v>
      </c>
      <c r="CY3793">
        <v>0</v>
      </c>
      <c r="CZ3793">
        <v>0</v>
      </c>
      <c r="DA3793">
        <v>1</v>
      </c>
      <c r="DB3793">
        <v>0</v>
      </c>
      <c r="DC3793">
        <v>0</v>
      </c>
      <c r="DD3793">
        <v>0</v>
      </c>
      <c r="DE3793">
        <v>0</v>
      </c>
      <c r="DF3793">
        <v>0</v>
      </c>
      <c r="DG3793">
        <v>0</v>
      </c>
      <c r="DH3793">
        <v>0</v>
      </c>
      <c r="DI3793">
        <v>0</v>
      </c>
    </row>
    <row r="3794" spans="1:113" x14ac:dyDescent="0.3">
      <c r="A3794" t="str">
        <f>"02/08/2021 20:35:28.801"</f>
        <v>02/08/2021 20:35:28.801</v>
      </c>
      <c r="C3794" t="str">
        <f t="shared" si="188"/>
        <v>FFDFD7C0</v>
      </c>
      <c r="D3794" t="s">
        <v>124</v>
      </c>
      <c r="E3794">
        <v>11</v>
      </c>
      <c r="F3794">
        <v>1011</v>
      </c>
      <c r="G3794" t="s">
        <v>590</v>
      </c>
      <c r="J3794" t="s">
        <v>125</v>
      </c>
      <c r="K3794">
        <v>0</v>
      </c>
      <c r="L3794">
        <v>3</v>
      </c>
      <c r="M3794">
        <v>0</v>
      </c>
      <c r="N3794">
        <v>2</v>
      </c>
      <c r="O3794">
        <v>1</v>
      </c>
      <c r="P3794">
        <v>0</v>
      </c>
      <c r="Q3794">
        <v>0</v>
      </c>
      <c r="S3794" t="str">
        <f>"20:35:31.133"</f>
        <v>20:35:31.133</v>
      </c>
      <c r="T3794" t="str">
        <f>"20:35:30.633"</f>
        <v>20:35:30.633</v>
      </c>
      <c r="U3794" t="str">
        <f t="shared" si="190"/>
        <v>AB01F4</v>
      </c>
      <c r="V3794">
        <v>0</v>
      </c>
      <c r="W3794">
        <v>0</v>
      </c>
      <c r="X3794">
        <v>2</v>
      </c>
      <c r="Z3794">
        <v>0</v>
      </c>
      <c r="AA3794">
        <v>9</v>
      </c>
      <c r="AB3794">
        <v>3</v>
      </c>
      <c r="AC3794">
        <v>0</v>
      </c>
      <c r="AD3794">
        <v>10</v>
      </c>
      <c r="AE3794">
        <v>0</v>
      </c>
      <c r="AF3794">
        <v>3</v>
      </c>
      <c r="AG3794">
        <v>2</v>
      </c>
      <c r="AH3794">
        <v>0</v>
      </c>
      <c r="AI3794" t="s">
        <v>2145</v>
      </c>
      <c r="AJ3794">
        <v>40.123443999999999</v>
      </c>
      <c r="AK3794" t="s">
        <v>2146</v>
      </c>
      <c r="AL3794">
        <v>-93.057246000000006</v>
      </c>
      <c r="AM3794">
        <v>100</v>
      </c>
      <c r="AN3794">
        <v>1300</v>
      </c>
      <c r="AO3794" t="s">
        <v>118</v>
      </c>
      <c r="AP3794">
        <v>-113</v>
      </c>
      <c r="AQ3794">
        <v>61</v>
      </c>
      <c r="AR3794">
        <v>192</v>
      </c>
      <c r="AZ3794">
        <v>1200</v>
      </c>
      <c r="BA3794">
        <v>1</v>
      </c>
      <c r="BB3794" t="str">
        <f t="shared" si="189"/>
        <v xml:space="preserve">N8080G  </v>
      </c>
      <c r="BC3794">
        <v>1</v>
      </c>
      <c r="BE3794">
        <v>0</v>
      </c>
      <c r="BF3794">
        <v>0</v>
      </c>
      <c r="BG3794">
        <v>0</v>
      </c>
      <c r="BH3794">
        <v>1350</v>
      </c>
      <c r="BI3794">
        <v>1</v>
      </c>
      <c r="BJ3794">
        <v>1</v>
      </c>
      <c r="BK3794">
        <v>1</v>
      </c>
      <c r="BL3794">
        <v>0</v>
      </c>
      <c r="BO3794">
        <v>0</v>
      </c>
      <c r="BP3794">
        <v>0</v>
      </c>
      <c r="BW3794" t="str">
        <f>"20:35:31.135"</f>
        <v>20:35:31.135</v>
      </c>
      <c r="BZ3794">
        <v>0</v>
      </c>
      <c r="CA3794">
        <v>1600</v>
      </c>
      <c r="CB3794">
        <v>224</v>
      </c>
      <c r="CD3794">
        <v>1</v>
      </c>
      <c r="CE3794">
        <v>0</v>
      </c>
      <c r="CF3794">
        <v>0</v>
      </c>
      <c r="CG3794">
        <v>1</v>
      </c>
      <c r="CH3794">
        <v>0</v>
      </c>
      <c r="CI3794">
        <v>0</v>
      </c>
      <c r="CJ3794">
        <v>0</v>
      </c>
      <c r="CK3794">
        <v>2</v>
      </c>
      <c r="CL3794">
        <v>0</v>
      </c>
      <c r="CM3794">
        <v>2</v>
      </c>
      <c r="CN3794">
        <v>0</v>
      </c>
      <c r="CO3794">
        <v>6</v>
      </c>
      <c r="CP3794" t="s">
        <v>119</v>
      </c>
      <c r="CQ3794">
        <v>180</v>
      </c>
      <c r="CR3794">
        <v>3</v>
      </c>
      <c r="CW3794">
        <v>1265775</v>
      </c>
      <c r="CY3794">
        <v>0</v>
      </c>
      <c r="CZ3794">
        <v>0</v>
      </c>
      <c r="DA3794">
        <v>1</v>
      </c>
      <c r="DB3794">
        <v>0</v>
      </c>
      <c r="DC3794">
        <v>0</v>
      </c>
      <c r="DD3794">
        <v>0</v>
      </c>
      <c r="DE3794">
        <v>0</v>
      </c>
      <c r="DF3794">
        <v>0</v>
      </c>
      <c r="DG3794">
        <v>0</v>
      </c>
      <c r="DH3794">
        <v>0</v>
      </c>
      <c r="DI3794">
        <v>0</v>
      </c>
    </row>
    <row r="3795" spans="1:113" x14ac:dyDescent="0.3">
      <c r="A3795" t="str">
        <f>"02/08/2021 20:35:29.705"</f>
        <v>02/08/2021 20:35:29.705</v>
      </c>
      <c r="C3795" t="str">
        <f t="shared" si="188"/>
        <v>FFDFD7C0</v>
      </c>
      <c r="D3795" t="s">
        <v>124</v>
      </c>
      <c r="E3795">
        <v>13</v>
      </c>
      <c r="F3795">
        <v>1013</v>
      </c>
      <c r="G3795" t="s">
        <v>114</v>
      </c>
      <c r="J3795" t="s">
        <v>125</v>
      </c>
      <c r="K3795">
        <v>0</v>
      </c>
      <c r="L3795">
        <v>3</v>
      </c>
      <c r="M3795">
        <v>0</v>
      </c>
      <c r="N3795">
        <v>2</v>
      </c>
      <c r="O3795">
        <v>1</v>
      </c>
      <c r="P3795">
        <v>0</v>
      </c>
      <c r="Q3795">
        <v>0</v>
      </c>
      <c r="S3795" t="str">
        <f>"20:35:32.016"</f>
        <v>20:35:32.016</v>
      </c>
      <c r="T3795" t="str">
        <f>"20:35:31.616"</f>
        <v>20:35:31.616</v>
      </c>
      <c r="U3795" t="str">
        <f t="shared" si="190"/>
        <v>AB01F4</v>
      </c>
      <c r="V3795">
        <v>0</v>
      </c>
      <c r="W3795">
        <v>0</v>
      </c>
      <c r="X3795">
        <v>2</v>
      </c>
      <c r="Z3795">
        <v>0</v>
      </c>
      <c r="AA3795">
        <v>9</v>
      </c>
      <c r="AB3795">
        <v>3</v>
      </c>
      <c r="AC3795">
        <v>0</v>
      </c>
      <c r="AD3795">
        <v>10</v>
      </c>
      <c r="AE3795">
        <v>0</v>
      </c>
      <c r="AF3795">
        <v>3</v>
      </c>
      <c r="AG3795">
        <v>2</v>
      </c>
      <c r="AH3795">
        <v>0</v>
      </c>
      <c r="AI3795" t="s">
        <v>2147</v>
      </c>
      <c r="AJ3795">
        <v>40.12368</v>
      </c>
      <c r="AK3795" t="s">
        <v>2148</v>
      </c>
      <c r="AL3795">
        <v>-93.057804000000004</v>
      </c>
      <c r="AM3795">
        <v>100</v>
      </c>
      <c r="AN3795">
        <v>1300</v>
      </c>
      <c r="AO3795" t="s">
        <v>118</v>
      </c>
      <c r="AP3795">
        <v>-113</v>
      </c>
      <c r="AQ3795">
        <v>61</v>
      </c>
      <c r="AR3795">
        <v>128</v>
      </c>
      <c r="AZ3795">
        <v>1200</v>
      </c>
      <c r="BA3795">
        <v>1</v>
      </c>
      <c r="BB3795" t="str">
        <f t="shared" si="189"/>
        <v xml:space="preserve">N8080G  </v>
      </c>
      <c r="BC3795">
        <v>1</v>
      </c>
      <c r="BE3795">
        <v>0</v>
      </c>
      <c r="BF3795">
        <v>0</v>
      </c>
      <c r="BG3795">
        <v>0</v>
      </c>
      <c r="BH3795">
        <v>1350</v>
      </c>
      <c r="BI3795">
        <v>1</v>
      </c>
      <c r="BJ3795">
        <v>1</v>
      </c>
      <c r="BK3795">
        <v>1</v>
      </c>
      <c r="BL3795">
        <v>0</v>
      </c>
      <c r="BO3795">
        <v>0</v>
      </c>
      <c r="BP3795">
        <v>0</v>
      </c>
      <c r="BW3795" t="str">
        <f>"20:35:32.016"</f>
        <v>20:35:32.016</v>
      </c>
      <c r="BZ3795">
        <v>0</v>
      </c>
      <c r="CA3795">
        <v>1600</v>
      </c>
      <c r="CB3795">
        <v>224</v>
      </c>
      <c r="CD3795">
        <v>1</v>
      </c>
      <c r="CE3795">
        <v>0</v>
      </c>
      <c r="CF3795">
        <v>0</v>
      </c>
      <c r="CG3795">
        <v>1</v>
      </c>
      <c r="CH3795">
        <v>0</v>
      </c>
      <c r="CI3795">
        <v>0</v>
      </c>
      <c r="CJ3795">
        <v>0</v>
      </c>
      <c r="CK3795">
        <v>2</v>
      </c>
      <c r="CL3795">
        <v>0</v>
      </c>
      <c r="CM3795">
        <v>2</v>
      </c>
      <c r="CN3795">
        <v>0</v>
      </c>
      <c r="CO3795">
        <v>6</v>
      </c>
      <c r="CP3795" t="s">
        <v>119</v>
      </c>
      <c r="CQ3795">
        <v>180</v>
      </c>
      <c r="CR3795">
        <v>3</v>
      </c>
      <c r="CW3795">
        <v>1266466</v>
      </c>
      <c r="CY3795">
        <v>0</v>
      </c>
      <c r="CZ3795">
        <v>0</v>
      </c>
      <c r="DA3795">
        <v>0</v>
      </c>
      <c r="DB3795">
        <v>0</v>
      </c>
      <c r="DC3795">
        <v>0</v>
      </c>
      <c r="DD3795">
        <v>0</v>
      </c>
      <c r="DE3795">
        <v>0</v>
      </c>
      <c r="DF3795">
        <v>0</v>
      </c>
      <c r="DG3795">
        <v>0</v>
      </c>
      <c r="DH3795">
        <v>0</v>
      </c>
      <c r="DI3795">
        <v>0</v>
      </c>
    </row>
    <row r="3796" spans="1:113" x14ac:dyDescent="0.3">
      <c r="A3796" t="str">
        <f>"02/08/2021 20:35:29.705"</f>
        <v>02/08/2021 20:35:29.705</v>
      </c>
      <c r="C3796" t="str">
        <f t="shared" si="188"/>
        <v>FFDFD7C0</v>
      </c>
      <c r="D3796" t="s">
        <v>113</v>
      </c>
      <c r="E3796">
        <v>6</v>
      </c>
      <c r="H3796">
        <v>165</v>
      </c>
      <c r="I3796" t="s">
        <v>114</v>
      </c>
      <c r="J3796" t="s">
        <v>115</v>
      </c>
      <c r="K3796">
        <v>0</v>
      </c>
      <c r="L3796">
        <v>3</v>
      </c>
      <c r="M3796">
        <v>0</v>
      </c>
      <c r="N3796">
        <v>2</v>
      </c>
      <c r="O3796">
        <v>1</v>
      </c>
      <c r="P3796">
        <v>0</v>
      </c>
      <c r="Q3796">
        <v>0</v>
      </c>
      <c r="S3796" t="str">
        <f>"20:35:32.016"</f>
        <v>20:35:32.016</v>
      </c>
      <c r="T3796" t="str">
        <f>"20:35:31.616"</f>
        <v>20:35:31.616</v>
      </c>
      <c r="U3796" t="str">
        <f t="shared" si="190"/>
        <v>AB01F4</v>
      </c>
      <c r="V3796">
        <v>0</v>
      </c>
      <c r="W3796">
        <v>0</v>
      </c>
      <c r="X3796">
        <v>2</v>
      </c>
      <c r="Z3796">
        <v>0</v>
      </c>
      <c r="AA3796">
        <v>9</v>
      </c>
      <c r="AB3796">
        <v>3</v>
      </c>
      <c r="AC3796">
        <v>0</v>
      </c>
      <c r="AD3796">
        <v>10</v>
      </c>
      <c r="AE3796">
        <v>0</v>
      </c>
      <c r="AF3796">
        <v>3</v>
      </c>
      <c r="AG3796">
        <v>2</v>
      </c>
      <c r="AH3796">
        <v>0</v>
      </c>
      <c r="AI3796" t="s">
        <v>2147</v>
      </c>
      <c r="AJ3796">
        <v>40.12368</v>
      </c>
      <c r="AK3796" t="s">
        <v>2148</v>
      </c>
      <c r="AL3796">
        <v>-93.057804000000004</v>
      </c>
      <c r="AM3796">
        <v>100</v>
      </c>
      <c r="AN3796">
        <v>1300</v>
      </c>
      <c r="AO3796" t="s">
        <v>118</v>
      </c>
      <c r="AP3796">
        <v>-113</v>
      </c>
      <c r="AQ3796">
        <v>61</v>
      </c>
      <c r="AR3796">
        <v>128</v>
      </c>
      <c r="AZ3796">
        <v>1200</v>
      </c>
      <c r="BA3796">
        <v>1</v>
      </c>
      <c r="BB3796" t="str">
        <f t="shared" si="189"/>
        <v xml:space="preserve">N8080G  </v>
      </c>
      <c r="BC3796">
        <v>1</v>
      </c>
      <c r="BE3796">
        <v>0</v>
      </c>
      <c r="BF3796">
        <v>0</v>
      </c>
      <c r="BG3796">
        <v>0</v>
      </c>
      <c r="BH3796">
        <v>1350</v>
      </c>
      <c r="BI3796">
        <v>1</v>
      </c>
      <c r="BJ3796">
        <v>1</v>
      </c>
      <c r="BK3796">
        <v>1</v>
      </c>
      <c r="BL3796">
        <v>0</v>
      </c>
      <c r="BO3796">
        <v>0</v>
      </c>
      <c r="BP3796">
        <v>0</v>
      </c>
      <c r="BW3796" t="str">
        <f>"20:35:32.016"</f>
        <v>20:35:32.016</v>
      </c>
      <c r="BZ3796">
        <v>0</v>
      </c>
      <c r="CA3796">
        <v>1600</v>
      </c>
      <c r="CB3796">
        <v>224</v>
      </c>
      <c r="CD3796">
        <v>1</v>
      </c>
      <c r="CE3796">
        <v>0</v>
      </c>
      <c r="CF3796">
        <v>0</v>
      </c>
      <c r="CG3796">
        <v>1</v>
      </c>
      <c r="CH3796">
        <v>0</v>
      </c>
      <c r="CI3796">
        <v>0</v>
      </c>
      <c r="CJ3796">
        <v>0</v>
      </c>
      <c r="CK3796">
        <v>2</v>
      </c>
      <c r="CL3796">
        <v>0</v>
      </c>
      <c r="CM3796">
        <v>2</v>
      </c>
      <c r="CN3796">
        <v>0</v>
      </c>
      <c r="CO3796">
        <v>6</v>
      </c>
      <c r="CP3796" t="s">
        <v>119</v>
      </c>
      <c r="CQ3796">
        <v>180</v>
      </c>
      <c r="CR3796">
        <v>3</v>
      </c>
      <c r="CW3796">
        <v>1266466</v>
      </c>
      <c r="CY3796">
        <v>0</v>
      </c>
      <c r="CZ3796">
        <v>0</v>
      </c>
      <c r="DA3796">
        <v>1</v>
      </c>
      <c r="DB3796">
        <v>0</v>
      </c>
      <c r="DC3796">
        <v>0</v>
      </c>
      <c r="DD3796">
        <v>0</v>
      </c>
      <c r="DE3796">
        <v>0</v>
      </c>
      <c r="DF3796">
        <v>0</v>
      </c>
      <c r="DG3796">
        <v>0</v>
      </c>
      <c r="DH3796">
        <v>0</v>
      </c>
      <c r="DI3796">
        <v>0</v>
      </c>
    </row>
    <row r="3797" spans="1:113" x14ac:dyDescent="0.3">
      <c r="A3797" t="str">
        <f>"02/08/2021 20:35:29.705"</f>
        <v>02/08/2021 20:35:29.705</v>
      </c>
      <c r="C3797" t="str">
        <f t="shared" si="188"/>
        <v>FFDFD7C0</v>
      </c>
      <c r="D3797" t="s">
        <v>124</v>
      </c>
      <c r="E3797">
        <v>12</v>
      </c>
      <c r="F3797">
        <v>1012</v>
      </c>
      <c r="G3797" t="s">
        <v>675</v>
      </c>
      <c r="J3797" t="s">
        <v>125</v>
      </c>
      <c r="K3797">
        <v>0</v>
      </c>
      <c r="L3797">
        <v>3</v>
      </c>
      <c r="M3797">
        <v>0</v>
      </c>
      <c r="N3797">
        <v>2</v>
      </c>
      <c r="O3797">
        <v>1</v>
      </c>
      <c r="P3797">
        <v>0</v>
      </c>
      <c r="Q3797">
        <v>0</v>
      </c>
      <c r="S3797" t="str">
        <f>"20:35:32.016"</f>
        <v>20:35:32.016</v>
      </c>
      <c r="T3797" t="str">
        <f>"20:35:31.616"</f>
        <v>20:35:31.616</v>
      </c>
      <c r="U3797" t="str">
        <f t="shared" si="190"/>
        <v>AB01F4</v>
      </c>
      <c r="V3797">
        <v>0</v>
      </c>
      <c r="W3797">
        <v>0</v>
      </c>
      <c r="X3797">
        <v>2</v>
      </c>
      <c r="Z3797">
        <v>0</v>
      </c>
      <c r="AA3797">
        <v>9</v>
      </c>
      <c r="AB3797">
        <v>3</v>
      </c>
      <c r="AC3797">
        <v>0</v>
      </c>
      <c r="AD3797">
        <v>10</v>
      </c>
      <c r="AE3797">
        <v>0</v>
      </c>
      <c r="AF3797">
        <v>3</v>
      </c>
      <c r="AG3797">
        <v>2</v>
      </c>
      <c r="AH3797">
        <v>0</v>
      </c>
      <c r="AI3797" t="s">
        <v>2147</v>
      </c>
      <c r="AJ3797">
        <v>40.12368</v>
      </c>
      <c r="AK3797" t="s">
        <v>2148</v>
      </c>
      <c r="AL3797">
        <v>-93.057804000000004</v>
      </c>
      <c r="AM3797">
        <v>100</v>
      </c>
      <c r="AN3797">
        <v>1300</v>
      </c>
      <c r="AO3797" t="s">
        <v>118</v>
      </c>
      <c r="AP3797">
        <v>-113</v>
      </c>
      <c r="AQ3797">
        <v>61</v>
      </c>
      <c r="AR3797">
        <v>128</v>
      </c>
      <c r="AZ3797">
        <v>1200</v>
      </c>
      <c r="BA3797">
        <v>1</v>
      </c>
      <c r="BB3797" t="str">
        <f t="shared" si="189"/>
        <v xml:space="preserve">N8080G  </v>
      </c>
      <c r="BC3797">
        <v>1</v>
      </c>
      <c r="BE3797">
        <v>0</v>
      </c>
      <c r="BF3797">
        <v>0</v>
      </c>
      <c r="BG3797">
        <v>0</v>
      </c>
      <c r="BH3797">
        <v>1350</v>
      </c>
      <c r="BI3797">
        <v>1</v>
      </c>
      <c r="BJ3797">
        <v>1</v>
      </c>
      <c r="BK3797">
        <v>1</v>
      </c>
      <c r="BL3797">
        <v>0</v>
      </c>
      <c r="BO3797">
        <v>0</v>
      </c>
      <c r="BP3797">
        <v>0</v>
      </c>
      <c r="BW3797" t="str">
        <f>"20:35:32.016"</f>
        <v>20:35:32.016</v>
      </c>
      <c r="BZ3797">
        <v>0</v>
      </c>
      <c r="CA3797">
        <v>1600</v>
      </c>
      <c r="CB3797">
        <v>224</v>
      </c>
      <c r="CD3797">
        <v>1</v>
      </c>
      <c r="CE3797">
        <v>0</v>
      </c>
      <c r="CF3797">
        <v>0</v>
      </c>
      <c r="CG3797">
        <v>1</v>
      </c>
      <c r="CH3797">
        <v>0</v>
      </c>
      <c r="CI3797">
        <v>0</v>
      </c>
      <c r="CJ3797">
        <v>0</v>
      </c>
      <c r="CK3797">
        <v>2</v>
      </c>
      <c r="CL3797">
        <v>0</v>
      </c>
      <c r="CM3797">
        <v>2</v>
      </c>
      <c r="CN3797">
        <v>0</v>
      </c>
      <c r="CO3797">
        <v>6</v>
      </c>
      <c r="CP3797" t="s">
        <v>119</v>
      </c>
      <c r="CQ3797">
        <v>180</v>
      </c>
      <c r="CR3797">
        <v>3</v>
      </c>
      <c r="CW3797">
        <v>1266466</v>
      </c>
      <c r="CY3797">
        <v>0</v>
      </c>
      <c r="CZ3797">
        <v>0</v>
      </c>
      <c r="DA3797">
        <v>1</v>
      </c>
      <c r="DB3797">
        <v>0</v>
      </c>
      <c r="DC3797">
        <v>0</v>
      </c>
      <c r="DD3797">
        <v>0</v>
      </c>
      <c r="DE3797">
        <v>0</v>
      </c>
      <c r="DF3797">
        <v>0</v>
      </c>
      <c r="DG3797">
        <v>0</v>
      </c>
      <c r="DH3797">
        <v>0</v>
      </c>
      <c r="DI3797">
        <v>0</v>
      </c>
    </row>
    <row r="3798" spans="1:113" x14ac:dyDescent="0.3">
      <c r="A3798" t="str">
        <f>"02/08/2021 20:35:29.705"</f>
        <v>02/08/2021 20:35:29.705</v>
      </c>
      <c r="C3798" t="str">
        <f t="shared" si="188"/>
        <v>FFDFD7C0</v>
      </c>
      <c r="D3798" t="s">
        <v>124</v>
      </c>
      <c r="E3798">
        <v>11</v>
      </c>
      <c r="F3798">
        <v>1011</v>
      </c>
      <c r="G3798" t="s">
        <v>590</v>
      </c>
      <c r="J3798" t="s">
        <v>125</v>
      </c>
      <c r="K3798">
        <v>0</v>
      </c>
      <c r="L3798">
        <v>3</v>
      </c>
      <c r="M3798">
        <v>0</v>
      </c>
      <c r="N3798">
        <v>2</v>
      </c>
      <c r="O3798">
        <v>1</v>
      </c>
      <c r="P3798">
        <v>0</v>
      </c>
      <c r="Q3798">
        <v>0</v>
      </c>
      <c r="S3798" t="str">
        <f>"20:35:32.016"</f>
        <v>20:35:32.016</v>
      </c>
      <c r="T3798" t="str">
        <f>"20:35:31.616"</f>
        <v>20:35:31.616</v>
      </c>
      <c r="U3798" t="str">
        <f t="shared" si="190"/>
        <v>AB01F4</v>
      </c>
      <c r="V3798">
        <v>0</v>
      </c>
      <c r="W3798">
        <v>0</v>
      </c>
      <c r="X3798">
        <v>2</v>
      </c>
      <c r="Z3798">
        <v>0</v>
      </c>
      <c r="AA3798">
        <v>9</v>
      </c>
      <c r="AB3798">
        <v>3</v>
      </c>
      <c r="AC3798">
        <v>0</v>
      </c>
      <c r="AD3798">
        <v>10</v>
      </c>
      <c r="AE3798">
        <v>0</v>
      </c>
      <c r="AF3798">
        <v>3</v>
      </c>
      <c r="AG3798">
        <v>2</v>
      </c>
      <c r="AH3798">
        <v>0</v>
      </c>
      <c r="AI3798" t="s">
        <v>2147</v>
      </c>
      <c r="AJ3798">
        <v>40.12368</v>
      </c>
      <c r="AK3798" t="s">
        <v>2148</v>
      </c>
      <c r="AL3798">
        <v>-93.057804000000004</v>
      </c>
      <c r="AM3798">
        <v>100</v>
      </c>
      <c r="AN3798">
        <v>1300</v>
      </c>
      <c r="AO3798" t="s">
        <v>118</v>
      </c>
      <c r="AP3798">
        <v>-113</v>
      </c>
      <c r="AQ3798">
        <v>61</v>
      </c>
      <c r="AR3798">
        <v>128</v>
      </c>
      <c r="AZ3798">
        <v>1200</v>
      </c>
      <c r="BA3798">
        <v>1</v>
      </c>
      <c r="BB3798" t="str">
        <f t="shared" si="189"/>
        <v xml:space="preserve">N8080G  </v>
      </c>
      <c r="BC3798">
        <v>1</v>
      </c>
      <c r="BE3798">
        <v>0</v>
      </c>
      <c r="BF3798">
        <v>0</v>
      </c>
      <c r="BG3798">
        <v>0</v>
      </c>
      <c r="BH3798">
        <v>1350</v>
      </c>
      <c r="BI3798">
        <v>1</v>
      </c>
      <c r="BJ3798">
        <v>1</v>
      </c>
      <c r="BK3798">
        <v>1</v>
      </c>
      <c r="BL3798">
        <v>0</v>
      </c>
      <c r="BO3798">
        <v>0</v>
      </c>
      <c r="BP3798">
        <v>0</v>
      </c>
      <c r="BW3798" t="str">
        <f>"20:35:32.016"</f>
        <v>20:35:32.016</v>
      </c>
      <c r="BZ3798">
        <v>0</v>
      </c>
      <c r="CA3798">
        <v>1600</v>
      </c>
      <c r="CB3798">
        <v>224</v>
      </c>
      <c r="CD3798">
        <v>1</v>
      </c>
      <c r="CE3798">
        <v>0</v>
      </c>
      <c r="CF3798">
        <v>0</v>
      </c>
      <c r="CG3798">
        <v>1</v>
      </c>
      <c r="CH3798">
        <v>0</v>
      </c>
      <c r="CI3798">
        <v>0</v>
      </c>
      <c r="CJ3798">
        <v>0</v>
      </c>
      <c r="CK3798">
        <v>2</v>
      </c>
      <c r="CL3798">
        <v>0</v>
      </c>
      <c r="CM3798">
        <v>2</v>
      </c>
      <c r="CN3798">
        <v>0</v>
      </c>
      <c r="CO3798">
        <v>6</v>
      </c>
      <c r="CP3798" t="s">
        <v>119</v>
      </c>
      <c r="CQ3798">
        <v>180</v>
      </c>
      <c r="CR3798">
        <v>3</v>
      </c>
      <c r="CW3798">
        <v>1266466</v>
      </c>
      <c r="CY3798">
        <v>0</v>
      </c>
      <c r="CZ3798">
        <v>0</v>
      </c>
      <c r="DA3798">
        <v>1</v>
      </c>
      <c r="DB3798">
        <v>0</v>
      </c>
      <c r="DC3798">
        <v>0</v>
      </c>
      <c r="DD3798">
        <v>0</v>
      </c>
      <c r="DE3798">
        <v>0</v>
      </c>
      <c r="DF3798">
        <v>0</v>
      </c>
      <c r="DG3798">
        <v>0</v>
      </c>
      <c r="DH3798">
        <v>0</v>
      </c>
      <c r="DI3798">
        <v>0</v>
      </c>
    </row>
    <row r="3799" spans="1:113" x14ac:dyDescent="0.3">
      <c r="A3799" t="str">
        <f>"02/08/2021 20:35:32.570"</f>
        <v>02/08/2021 20:35:32.570</v>
      </c>
      <c r="C3799" t="str">
        <f t="shared" si="188"/>
        <v>FFDFD7C0</v>
      </c>
      <c r="D3799" t="s">
        <v>124</v>
      </c>
      <c r="E3799">
        <v>11</v>
      </c>
      <c r="F3799">
        <v>1011</v>
      </c>
      <c r="G3799" t="s">
        <v>590</v>
      </c>
      <c r="J3799" t="s">
        <v>125</v>
      </c>
      <c r="K3799">
        <v>0</v>
      </c>
      <c r="L3799">
        <v>3</v>
      </c>
      <c r="M3799">
        <v>0</v>
      </c>
      <c r="N3799">
        <v>2</v>
      </c>
      <c r="O3799">
        <v>1</v>
      </c>
      <c r="P3799">
        <v>0</v>
      </c>
      <c r="Q3799">
        <v>0</v>
      </c>
      <c r="S3799" t="str">
        <f>"20:35:34.914"</f>
        <v>20:35:34.914</v>
      </c>
      <c r="T3799" t="str">
        <f>"20:35:34.414"</f>
        <v>20:35:34.414</v>
      </c>
      <c r="U3799" t="str">
        <f t="shared" si="190"/>
        <v>AB01F4</v>
      </c>
      <c r="V3799">
        <v>0</v>
      </c>
      <c r="W3799">
        <v>0</v>
      </c>
      <c r="X3799">
        <v>2</v>
      </c>
      <c r="Z3799">
        <v>0</v>
      </c>
      <c r="AA3799">
        <v>9</v>
      </c>
      <c r="AB3799">
        <v>3</v>
      </c>
      <c r="AC3799">
        <v>0</v>
      </c>
      <c r="AD3799">
        <v>10</v>
      </c>
      <c r="AE3799">
        <v>0</v>
      </c>
      <c r="AF3799">
        <v>3</v>
      </c>
      <c r="AG3799">
        <v>2</v>
      </c>
      <c r="AH3799">
        <v>0</v>
      </c>
      <c r="AI3799" t="s">
        <v>2149</v>
      </c>
      <c r="AJ3799">
        <v>40.124495000000003</v>
      </c>
      <c r="AK3799" t="s">
        <v>2150</v>
      </c>
      <c r="AL3799">
        <v>-93.059757000000005</v>
      </c>
      <c r="AM3799">
        <v>100</v>
      </c>
      <c r="AN3799">
        <v>1300</v>
      </c>
      <c r="AO3799" t="s">
        <v>118</v>
      </c>
      <c r="AP3799">
        <v>-114</v>
      </c>
      <c r="AQ3799">
        <v>62</v>
      </c>
      <c r="AR3799">
        <v>-128</v>
      </c>
      <c r="AZ3799">
        <v>1200</v>
      </c>
      <c r="BA3799">
        <v>1</v>
      </c>
      <c r="BB3799" t="str">
        <f t="shared" si="189"/>
        <v xml:space="preserve">N8080G  </v>
      </c>
      <c r="BC3799">
        <v>1</v>
      </c>
      <c r="BE3799">
        <v>0</v>
      </c>
      <c r="BF3799">
        <v>0</v>
      </c>
      <c r="BG3799">
        <v>0</v>
      </c>
      <c r="BH3799">
        <v>1350</v>
      </c>
      <c r="BI3799">
        <v>1</v>
      </c>
      <c r="BJ3799">
        <v>1</v>
      </c>
      <c r="BK3799">
        <v>1</v>
      </c>
      <c r="BL3799">
        <v>0</v>
      </c>
      <c r="BO3799">
        <v>0</v>
      </c>
      <c r="BP3799">
        <v>0</v>
      </c>
      <c r="BW3799" t="str">
        <f>"20:35:34.916"</f>
        <v>20:35:34.916</v>
      </c>
      <c r="BZ3799">
        <v>0</v>
      </c>
      <c r="CA3799">
        <v>1600</v>
      </c>
      <c r="CB3799">
        <v>224</v>
      </c>
      <c r="CD3799">
        <v>1</v>
      </c>
      <c r="CE3799">
        <v>0</v>
      </c>
      <c r="CF3799">
        <v>0</v>
      </c>
      <c r="CG3799">
        <v>1</v>
      </c>
      <c r="CH3799">
        <v>0</v>
      </c>
      <c r="CI3799">
        <v>0</v>
      </c>
      <c r="CJ3799">
        <v>0</v>
      </c>
      <c r="CK3799">
        <v>2</v>
      </c>
      <c r="CL3799">
        <v>0</v>
      </c>
      <c r="CM3799">
        <v>2</v>
      </c>
      <c r="CN3799">
        <v>0</v>
      </c>
      <c r="CO3799">
        <v>6</v>
      </c>
      <c r="CP3799" t="s">
        <v>119</v>
      </c>
      <c r="CQ3799">
        <v>180</v>
      </c>
      <c r="CR3799">
        <v>3</v>
      </c>
      <c r="CW3799">
        <v>1268716</v>
      </c>
      <c r="CY3799">
        <v>0</v>
      </c>
      <c r="CZ3799">
        <v>0</v>
      </c>
      <c r="DA3799">
        <v>0</v>
      </c>
      <c r="DB3799">
        <v>0</v>
      </c>
      <c r="DC3799">
        <v>0</v>
      </c>
      <c r="DD3799">
        <v>0</v>
      </c>
      <c r="DE3799">
        <v>0</v>
      </c>
      <c r="DF3799">
        <v>0</v>
      </c>
      <c r="DG3799">
        <v>0</v>
      </c>
      <c r="DH3799">
        <v>0</v>
      </c>
      <c r="DI3799">
        <v>0</v>
      </c>
    </row>
    <row r="3800" spans="1:113" x14ac:dyDescent="0.3">
      <c r="A3800" t="str">
        <f>"02/08/2021 20:35:32.570"</f>
        <v>02/08/2021 20:35:32.570</v>
      </c>
      <c r="C3800" t="str">
        <f t="shared" si="188"/>
        <v>FFDFD7C0</v>
      </c>
      <c r="D3800" t="s">
        <v>124</v>
      </c>
      <c r="E3800">
        <v>13</v>
      </c>
      <c r="F3800">
        <v>1013</v>
      </c>
      <c r="G3800" t="s">
        <v>114</v>
      </c>
      <c r="J3800" t="s">
        <v>125</v>
      </c>
      <c r="K3800">
        <v>0</v>
      </c>
      <c r="L3800">
        <v>3</v>
      </c>
      <c r="M3800">
        <v>0</v>
      </c>
      <c r="N3800">
        <v>2</v>
      </c>
      <c r="O3800">
        <v>1</v>
      </c>
      <c r="P3800">
        <v>0</v>
      </c>
      <c r="Q3800">
        <v>0</v>
      </c>
      <c r="S3800" t="str">
        <f>"20:35:34.914"</f>
        <v>20:35:34.914</v>
      </c>
      <c r="T3800" t="str">
        <f>"20:35:34.414"</f>
        <v>20:35:34.414</v>
      </c>
      <c r="U3800" t="str">
        <f t="shared" si="190"/>
        <v>AB01F4</v>
      </c>
      <c r="V3800">
        <v>0</v>
      </c>
      <c r="W3800">
        <v>0</v>
      </c>
      <c r="X3800">
        <v>2</v>
      </c>
      <c r="Z3800">
        <v>0</v>
      </c>
      <c r="AA3800">
        <v>9</v>
      </c>
      <c r="AB3800">
        <v>3</v>
      </c>
      <c r="AC3800">
        <v>0</v>
      </c>
      <c r="AD3800">
        <v>10</v>
      </c>
      <c r="AE3800">
        <v>0</v>
      </c>
      <c r="AF3800">
        <v>3</v>
      </c>
      <c r="AG3800">
        <v>2</v>
      </c>
      <c r="AH3800">
        <v>0</v>
      </c>
      <c r="AI3800" t="s">
        <v>2149</v>
      </c>
      <c r="AJ3800">
        <v>40.124495000000003</v>
      </c>
      <c r="AK3800" t="s">
        <v>2150</v>
      </c>
      <c r="AL3800">
        <v>-93.059757000000005</v>
      </c>
      <c r="AM3800">
        <v>100</v>
      </c>
      <c r="AN3800">
        <v>1300</v>
      </c>
      <c r="AO3800" t="s">
        <v>118</v>
      </c>
      <c r="AP3800">
        <v>-114</v>
      </c>
      <c r="AQ3800">
        <v>62</v>
      </c>
      <c r="AR3800">
        <v>-128</v>
      </c>
      <c r="AZ3800">
        <v>1200</v>
      </c>
      <c r="BA3800">
        <v>1</v>
      </c>
      <c r="BB3800" t="str">
        <f t="shared" si="189"/>
        <v xml:space="preserve">N8080G  </v>
      </c>
      <c r="BC3800">
        <v>1</v>
      </c>
      <c r="BE3800">
        <v>0</v>
      </c>
      <c r="BF3800">
        <v>0</v>
      </c>
      <c r="BG3800">
        <v>0</v>
      </c>
      <c r="BH3800">
        <v>1350</v>
      </c>
      <c r="BI3800">
        <v>1</v>
      </c>
      <c r="BJ3800">
        <v>1</v>
      </c>
      <c r="BK3800">
        <v>1</v>
      </c>
      <c r="BL3800">
        <v>0</v>
      </c>
      <c r="BO3800">
        <v>0</v>
      </c>
      <c r="BP3800">
        <v>0</v>
      </c>
      <c r="BW3800" t="str">
        <f>"20:35:34.916"</f>
        <v>20:35:34.916</v>
      </c>
      <c r="BZ3800">
        <v>0</v>
      </c>
      <c r="CA3800">
        <v>1600</v>
      </c>
      <c r="CB3800">
        <v>224</v>
      </c>
      <c r="CD3800">
        <v>1</v>
      </c>
      <c r="CE3800">
        <v>0</v>
      </c>
      <c r="CF3800">
        <v>0</v>
      </c>
      <c r="CG3800">
        <v>1</v>
      </c>
      <c r="CH3800">
        <v>0</v>
      </c>
      <c r="CI3800">
        <v>0</v>
      </c>
      <c r="CJ3800">
        <v>0</v>
      </c>
      <c r="CK3800">
        <v>2</v>
      </c>
      <c r="CL3800">
        <v>0</v>
      </c>
      <c r="CM3800">
        <v>2</v>
      </c>
      <c r="CN3800">
        <v>0</v>
      </c>
      <c r="CO3800">
        <v>6</v>
      </c>
      <c r="CP3800" t="s">
        <v>119</v>
      </c>
      <c r="CQ3800">
        <v>180</v>
      </c>
      <c r="CR3800">
        <v>3</v>
      </c>
      <c r="CW3800">
        <v>1268716</v>
      </c>
      <c r="CY3800">
        <v>0</v>
      </c>
      <c r="CZ3800">
        <v>0</v>
      </c>
      <c r="DA3800">
        <v>1</v>
      </c>
      <c r="DB3800">
        <v>0</v>
      </c>
      <c r="DC3800">
        <v>0</v>
      </c>
      <c r="DD3800">
        <v>0</v>
      </c>
      <c r="DE3800">
        <v>0</v>
      </c>
      <c r="DF3800">
        <v>0</v>
      </c>
      <c r="DG3800">
        <v>0</v>
      </c>
      <c r="DH3800">
        <v>0</v>
      </c>
      <c r="DI3800">
        <v>0</v>
      </c>
    </row>
    <row r="3801" spans="1:113" x14ac:dyDescent="0.3">
      <c r="A3801" t="str">
        <f>"02/08/2021 20:35:32.570"</f>
        <v>02/08/2021 20:35:32.570</v>
      </c>
      <c r="C3801" t="str">
        <f t="shared" si="188"/>
        <v>FFDFD7C0</v>
      </c>
      <c r="D3801" t="s">
        <v>113</v>
      </c>
      <c r="E3801">
        <v>6</v>
      </c>
      <c r="H3801">
        <v>165</v>
      </c>
      <c r="I3801" t="s">
        <v>114</v>
      </c>
      <c r="J3801" t="s">
        <v>115</v>
      </c>
      <c r="K3801">
        <v>0</v>
      </c>
      <c r="L3801">
        <v>3</v>
      </c>
      <c r="M3801">
        <v>0</v>
      </c>
      <c r="N3801">
        <v>2</v>
      </c>
      <c r="O3801">
        <v>1</v>
      </c>
      <c r="P3801">
        <v>0</v>
      </c>
      <c r="Q3801">
        <v>0</v>
      </c>
      <c r="S3801" t="str">
        <f>"20:35:34.914"</f>
        <v>20:35:34.914</v>
      </c>
      <c r="T3801" t="str">
        <f>"20:35:34.414"</f>
        <v>20:35:34.414</v>
      </c>
      <c r="U3801" t="str">
        <f t="shared" si="190"/>
        <v>AB01F4</v>
      </c>
      <c r="V3801">
        <v>0</v>
      </c>
      <c r="W3801">
        <v>0</v>
      </c>
      <c r="X3801">
        <v>2</v>
      </c>
      <c r="Z3801">
        <v>0</v>
      </c>
      <c r="AA3801">
        <v>9</v>
      </c>
      <c r="AB3801">
        <v>3</v>
      </c>
      <c r="AC3801">
        <v>0</v>
      </c>
      <c r="AD3801">
        <v>10</v>
      </c>
      <c r="AE3801">
        <v>0</v>
      </c>
      <c r="AF3801">
        <v>3</v>
      </c>
      <c r="AG3801">
        <v>2</v>
      </c>
      <c r="AH3801">
        <v>0</v>
      </c>
      <c r="AI3801" t="s">
        <v>2149</v>
      </c>
      <c r="AJ3801">
        <v>40.124495000000003</v>
      </c>
      <c r="AK3801" t="s">
        <v>2150</v>
      </c>
      <c r="AL3801">
        <v>-93.059757000000005</v>
      </c>
      <c r="AM3801">
        <v>100</v>
      </c>
      <c r="AN3801">
        <v>1300</v>
      </c>
      <c r="AO3801" t="s">
        <v>118</v>
      </c>
      <c r="AP3801">
        <v>-114</v>
      </c>
      <c r="AQ3801">
        <v>62</v>
      </c>
      <c r="AR3801">
        <v>-128</v>
      </c>
      <c r="AZ3801">
        <v>1200</v>
      </c>
      <c r="BA3801">
        <v>1</v>
      </c>
      <c r="BB3801" t="str">
        <f t="shared" si="189"/>
        <v xml:space="preserve">N8080G  </v>
      </c>
      <c r="BC3801">
        <v>1</v>
      </c>
      <c r="BE3801">
        <v>0</v>
      </c>
      <c r="BF3801">
        <v>0</v>
      </c>
      <c r="BG3801">
        <v>0</v>
      </c>
      <c r="BH3801">
        <v>1350</v>
      </c>
      <c r="BI3801">
        <v>1</v>
      </c>
      <c r="BJ3801">
        <v>1</v>
      </c>
      <c r="BK3801">
        <v>1</v>
      </c>
      <c r="BL3801">
        <v>0</v>
      </c>
      <c r="BO3801">
        <v>0</v>
      </c>
      <c r="BP3801">
        <v>0</v>
      </c>
      <c r="BW3801" t="str">
        <f>"20:35:34.916"</f>
        <v>20:35:34.916</v>
      </c>
      <c r="BZ3801">
        <v>0</v>
      </c>
      <c r="CA3801">
        <v>1600</v>
      </c>
      <c r="CB3801">
        <v>224</v>
      </c>
      <c r="CD3801">
        <v>1</v>
      </c>
      <c r="CE3801">
        <v>0</v>
      </c>
      <c r="CF3801">
        <v>0</v>
      </c>
      <c r="CG3801">
        <v>1</v>
      </c>
      <c r="CH3801">
        <v>0</v>
      </c>
      <c r="CI3801">
        <v>0</v>
      </c>
      <c r="CJ3801">
        <v>0</v>
      </c>
      <c r="CK3801">
        <v>2</v>
      </c>
      <c r="CL3801">
        <v>0</v>
      </c>
      <c r="CM3801">
        <v>2</v>
      </c>
      <c r="CN3801">
        <v>0</v>
      </c>
      <c r="CO3801">
        <v>6</v>
      </c>
      <c r="CP3801" t="s">
        <v>119</v>
      </c>
      <c r="CQ3801">
        <v>180</v>
      </c>
      <c r="CR3801">
        <v>3</v>
      </c>
      <c r="CW3801">
        <v>1268716</v>
      </c>
      <c r="CY3801">
        <v>0</v>
      </c>
      <c r="CZ3801">
        <v>0</v>
      </c>
      <c r="DA3801">
        <v>1</v>
      </c>
      <c r="DB3801">
        <v>0</v>
      </c>
      <c r="DC3801">
        <v>0</v>
      </c>
      <c r="DD3801">
        <v>0</v>
      </c>
      <c r="DE3801">
        <v>0</v>
      </c>
      <c r="DF3801">
        <v>0</v>
      </c>
      <c r="DG3801">
        <v>0</v>
      </c>
      <c r="DH3801">
        <v>0</v>
      </c>
      <c r="DI3801">
        <v>0</v>
      </c>
    </row>
    <row r="3802" spans="1:113" x14ac:dyDescent="0.3">
      <c r="A3802" t="str">
        <f>"02/08/2021 20:35:32.570"</f>
        <v>02/08/2021 20:35:32.570</v>
      </c>
      <c r="C3802" t="str">
        <f t="shared" si="188"/>
        <v>FFDFD7C0</v>
      </c>
      <c r="D3802" t="s">
        <v>124</v>
      </c>
      <c r="E3802">
        <v>12</v>
      </c>
      <c r="F3802">
        <v>1012</v>
      </c>
      <c r="G3802" t="s">
        <v>675</v>
      </c>
      <c r="J3802" t="s">
        <v>125</v>
      </c>
      <c r="K3802">
        <v>0</v>
      </c>
      <c r="L3802">
        <v>3</v>
      </c>
      <c r="M3802">
        <v>0</v>
      </c>
      <c r="N3802">
        <v>2</v>
      </c>
      <c r="O3802">
        <v>1</v>
      </c>
      <c r="P3802">
        <v>0</v>
      </c>
      <c r="Q3802">
        <v>0</v>
      </c>
      <c r="S3802" t="str">
        <f>"20:35:34.914"</f>
        <v>20:35:34.914</v>
      </c>
      <c r="T3802" t="str">
        <f>"20:35:34.414"</f>
        <v>20:35:34.414</v>
      </c>
      <c r="U3802" t="str">
        <f t="shared" si="190"/>
        <v>AB01F4</v>
      </c>
      <c r="V3802">
        <v>0</v>
      </c>
      <c r="W3802">
        <v>0</v>
      </c>
      <c r="X3802">
        <v>2</v>
      </c>
      <c r="Z3802">
        <v>0</v>
      </c>
      <c r="AA3802">
        <v>9</v>
      </c>
      <c r="AB3802">
        <v>3</v>
      </c>
      <c r="AC3802">
        <v>0</v>
      </c>
      <c r="AD3802">
        <v>10</v>
      </c>
      <c r="AE3802">
        <v>0</v>
      </c>
      <c r="AF3802">
        <v>3</v>
      </c>
      <c r="AG3802">
        <v>2</v>
      </c>
      <c r="AH3802">
        <v>0</v>
      </c>
      <c r="AI3802" t="s">
        <v>2149</v>
      </c>
      <c r="AJ3802">
        <v>40.124495000000003</v>
      </c>
      <c r="AK3802" t="s">
        <v>2150</v>
      </c>
      <c r="AL3802">
        <v>-93.059757000000005</v>
      </c>
      <c r="AM3802">
        <v>100</v>
      </c>
      <c r="AN3802">
        <v>1300</v>
      </c>
      <c r="AO3802" t="s">
        <v>118</v>
      </c>
      <c r="AP3802">
        <v>-114</v>
      </c>
      <c r="AQ3802">
        <v>62</v>
      </c>
      <c r="AR3802">
        <v>-128</v>
      </c>
      <c r="AZ3802">
        <v>1200</v>
      </c>
      <c r="BA3802">
        <v>1</v>
      </c>
      <c r="BB3802" t="str">
        <f t="shared" si="189"/>
        <v xml:space="preserve">N8080G  </v>
      </c>
      <c r="BC3802">
        <v>1</v>
      </c>
      <c r="BE3802">
        <v>0</v>
      </c>
      <c r="BF3802">
        <v>0</v>
      </c>
      <c r="BG3802">
        <v>0</v>
      </c>
      <c r="BH3802">
        <v>1350</v>
      </c>
      <c r="BI3802">
        <v>1</v>
      </c>
      <c r="BJ3802">
        <v>1</v>
      </c>
      <c r="BK3802">
        <v>1</v>
      </c>
      <c r="BL3802">
        <v>0</v>
      </c>
      <c r="BO3802">
        <v>0</v>
      </c>
      <c r="BP3802">
        <v>0</v>
      </c>
      <c r="BW3802" t="str">
        <f>"20:35:34.916"</f>
        <v>20:35:34.916</v>
      </c>
      <c r="BZ3802">
        <v>0</v>
      </c>
      <c r="CA3802">
        <v>1600</v>
      </c>
      <c r="CB3802">
        <v>224</v>
      </c>
      <c r="CD3802">
        <v>1</v>
      </c>
      <c r="CE3802">
        <v>0</v>
      </c>
      <c r="CF3802">
        <v>0</v>
      </c>
      <c r="CG3802">
        <v>1</v>
      </c>
      <c r="CH3802">
        <v>0</v>
      </c>
      <c r="CI3802">
        <v>0</v>
      </c>
      <c r="CJ3802">
        <v>0</v>
      </c>
      <c r="CK3802">
        <v>2</v>
      </c>
      <c r="CL3802">
        <v>0</v>
      </c>
      <c r="CM3802">
        <v>2</v>
      </c>
      <c r="CN3802">
        <v>0</v>
      </c>
      <c r="CO3802">
        <v>6</v>
      </c>
      <c r="CP3802" t="s">
        <v>119</v>
      </c>
      <c r="CQ3802">
        <v>180</v>
      </c>
      <c r="CR3802">
        <v>3</v>
      </c>
      <c r="CW3802">
        <v>1268716</v>
      </c>
      <c r="CY3802">
        <v>0</v>
      </c>
      <c r="CZ3802">
        <v>0</v>
      </c>
      <c r="DA3802">
        <v>1</v>
      </c>
      <c r="DB3802">
        <v>0</v>
      </c>
      <c r="DC3802">
        <v>0</v>
      </c>
      <c r="DD3802">
        <v>0</v>
      </c>
      <c r="DE3802">
        <v>0</v>
      </c>
      <c r="DF3802">
        <v>0</v>
      </c>
      <c r="DG3802">
        <v>0</v>
      </c>
      <c r="DH3802">
        <v>0</v>
      </c>
      <c r="DI3802">
        <v>0</v>
      </c>
    </row>
    <row r="3803" spans="1:113" x14ac:dyDescent="0.3">
      <c r="A3803" t="str">
        <f>"02/08/2021 20:35:33.609"</f>
        <v>02/08/2021 20:35:33.609</v>
      </c>
      <c r="C3803" t="str">
        <f t="shared" si="188"/>
        <v>FFDFD7C0</v>
      </c>
      <c r="D3803" t="s">
        <v>124</v>
      </c>
      <c r="E3803">
        <v>12</v>
      </c>
      <c r="F3803">
        <v>1012</v>
      </c>
      <c r="G3803" t="s">
        <v>675</v>
      </c>
      <c r="J3803" t="s">
        <v>125</v>
      </c>
      <c r="K3803">
        <v>0</v>
      </c>
      <c r="L3803">
        <v>3</v>
      </c>
      <c r="M3803">
        <v>0</v>
      </c>
      <c r="N3803">
        <v>2</v>
      </c>
      <c r="O3803">
        <v>1</v>
      </c>
      <c r="P3803">
        <v>0</v>
      </c>
      <c r="Q3803">
        <v>0</v>
      </c>
      <c r="S3803" t="str">
        <f>"20:35:35.930"</f>
        <v>20:35:35.930</v>
      </c>
      <c r="T3803" t="str">
        <f>"20:35:35.430"</f>
        <v>20:35:35.430</v>
      </c>
      <c r="U3803" t="str">
        <f t="shared" si="190"/>
        <v>AB01F4</v>
      </c>
      <c r="V3803">
        <v>0</v>
      </c>
      <c r="W3803">
        <v>0</v>
      </c>
      <c r="X3803">
        <v>2</v>
      </c>
      <c r="Z3803">
        <v>0</v>
      </c>
      <c r="AA3803">
        <v>9</v>
      </c>
      <c r="AB3803">
        <v>3</v>
      </c>
      <c r="AC3803">
        <v>0</v>
      </c>
      <c r="AD3803">
        <v>10</v>
      </c>
      <c r="AE3803">
        <v>0</v>
      </c>
      <c r="AF3803">
        <v>3</v>
      </c>
      <c r="AG3803">
        <v>2</v>
      </c>
      <c r="AH3803">
        <v>0</v>
      </c>
      <c r="AI3803" t="s">
        <v>2151</v>
      </c>
      <c r="AJ3803">
        <v>40.124817</v>
      </c>
      <c r="AK3803" t="s">
        <v>2152</v>
      </c>
      <c r="AL3803">
        <v>-93.060551000000004</v>
      </c>
      <c r="AM3803">
        <v>100</v>
      </c>
      <c r="AN3803">
        <v>1300</v>
      </c>
      <c r="AO3803" t="s">
        <v>118</v>
      </c>
      <c r="AP3803">
        <v>-114</v>
      </c>
      <c r="AQ3803">
        <v>62</v>
      </c>
      <c r="AR3803">
        <v>-256</v>
      </c>
      <c r="AZ3803">
        <v>1200</v>
      </c>
      <c r="BA3803">
        <v>1</v>
      </c>
      <c r="BB3803" t="str">
        <f t="shared" si="189"/>
        <v xml:space="preserve">N8080G  </v>
      </c>
      <c r="BC3803">
        <v>1</v>
      </c>
      <c r="BE3803">
        <v>0</v>
      </c>
      <c r="BF3803">
        <v>0</v>
      </c>
      <c r="BG3803">
        <v>0</v>
      </c>
      <c r="BH3803">
        <v>1350</v>
      </c>
      <c r="BI3803">
        <v>1</v>
      </c>
      <c r="BJ3803">
        <v>1</v>
      </c>
      <c r="BK3803">
        <v>1</v>
      </c>
      <c r="BL3803">
        <v>0</v>
      </c>
      <c r="BO3803">
        <v>0</v>
      </c>
      <c r="BP3803">
        <v>0</v>
      </c>
      <c r="BW3803" t="str">
        <f>"20:35:35.937"</f>
        <v>20:35:35.937</v>
      </c>
      <c r="BZ3803">
        <v>0</v>
      </c>
      <c r="CA3803">
        <v>1600</v>
      </c>
      <c r="CB3803">
        <v>224</v>
      </c>
      <c r="CD3803">
        <v>1</v>
      </c>
      <c r="CE3803">
        <v>0</v>
      </c>
      <c r="CF3803">
        <v>0</v>
      </c>
      <c r="CG3803">
        <v>1</v>
      </c>
      <c r="CH3803">
        <v>0</v>
      </c>
      <c r="CI3803">
        <v>0</v>
      </c>
      <c r="CJ3803">
        <v>0</v>
      </c>
      <c r="CK3803">
        <v>2</v>
      </c>
      <c r="CL3803">
        <v>0</v>
      </c>
      <c r="CM3803">
        <v>2</v>
      </c>
      <c r="CN3803">
        <v>0</v>
      </c>
      <c r="CO3803">
        <v>6</v>
      </c>
      <c r="CP3803" t="s">
        <v>119</v>
      </c>
      <c r="CQ3803">
        <v>180</v>
      </c>
      <c r="CR3803">
        <v>3</v>
      </c>
      <c r="CW3803">
        <v>1269441</v>
      </c>
      <c r="CY3803">
        <v>0</v>
      </c>
      <c r="CZ3803">
        <v>0</v>
      </c>
      <c r="DA3803">
        <v>0</v>
      </c>
      <c r="DB3803">
        <v>0</v>
      </c>
      <c r="DC3803">
        <v>0</v>
      </c>
      <c r="DD3803">
        <v>0</v>
      </c>
      <c r="DE3803">
        <v>0</v>
      </c>
      <c r="DF3803">
        <v>0</v>
      </c>
      <c r="DG3803">
        <v>0</v>
      </c>
      <c r="DH3803">
        <v>0</v>
      </c>
      <c r="DI3803">
        <v>0</v>
      </c>
    </row>
    <row r="3804" spans="1:113" x14ac:dyDescent="0.3">
      <c r="A3804" t="str">
        <f>"02/08/2021 20:35:33.609"</f>
        <v>02/08/2021 20:35:33.609</v>
      </c>
      <c r="C3804" t="str">
        <f t="shared" si="188"/>
        <v>FFDFD7C0</v>
      </c>
      <c r="D3804" t="s">
        <v>113</v>
      </c>
      <c r="E3804">
        <v>6</v>
      </c>
      <c r="H3804">
        <v>165</v>
      </c>
      <c r="I3804" t="s">
        <v>114</v>
      </c>
      <c r="J3804" t="s">
        <v>115</v>
      </c>
      <c r="K3804">
        <v>0</v>
      </c>
      <c r="L3804">
        <v>3</v>
      </c>
      <c r="M3804">
        <v>0</v>
      </c>
      <c r="N3804">
        <v>2</v>
      </c>
      <c r="O3804">
        <v>1</v>
      </c>
      <c r="P3804">
        <v>0</v>
      </c>
      <c r="Q3804">
        <v>0</v>
      </c>
      <c r="S3804" t="str">
        <f>"20:35:35.930"</f>
        <v>20:35:35.930</v>
      </c>
      <c r="T3804" t="str">
        <f>"20:35:35.430"</f>
        <v>20:35:35.430</v>
      </c>
      <c r="U3804" t="str">
        <f t="shared" si="190"/>
        <v>AB01F4</v>
      </c>
      <c r="V3804">
        <v>0</v>
      </c>
      <c r="W3804">
        <v>0</v>
      </c>
      <c r="X3804">
        <v>2</v>
      </c>
      <c r="Z3804">
        <v>0</v>
      </c>
      <c r="AA3804">
        <v>9</v>
      </c>
      <c r="AB3804">
        <v>3</v>
      </c>
      <c r="AC3804">
        <v>0</v>
      </c>
      <c r="AD3804">
        <v>10</v>
      </c>
      <c r="AE3804">
        <v>0</v>
      </c>
      <c r="AF3804">
        <v>3</v>
      </c>
      <c r="AG3804">
        <v>2</v>
      </c>
      <c r="AH3804">
        <v>0</v>
      </c>
      <c r="AI3804" t="s">
        <v>2151</v>
      </c>
      <c r="AJ3804">
        <v>40.124817</v>
      </c>
      <c r="AK3804" t="s">
        <v>2152</v>
      </c>
      <c r="AL3804">
        <v>-93.060551000000004</v>
      </c>
      <c r="AM3804">
        <v>100</v>
      </c>
      <c r="AN3804">
        <v>1300</v>
      </c>
      <c r="AO3804" t="s">
        <v>118</v>
      </c>
      <c r="AP3804">
        <v>-114</v>
      </c>
      <c r="AQ3804">
        <v>62</v>
      </c>
      <c r="AR3804">
        <v>-256</v>
      </c>
      <c r="AZ3804">
        <v>1200</v>
      </c>
      <c r="BA3804">
        <v>1</v>
      </c>
      <c r="BB3804" t="str">
        <f t="shared" si="189"/>
        <v xml:space="preserve">N8080G  </v>
      </c>
      <c r="BC3804">
        <v>1</v>
      </c>
      <c r="BE3804">
        <v>0</v>
      </c>
      <c r="BF3804">
        <v>0</v>
      </c>
      <c r="BG3804">
        <v>0</v>
      </c>
      <c r="BH3804">
        <v>1350</v>
      </c>
      <c r="BI3804">
        <v>1</v>
      </c>
      <c r="BJ3804">
        <v>1</v>
      </c>
      <c r="BK3804">
        <v>1</v>
      </c>
      <c r="BL3804">
        <v>0</v>
      </c>
      <c r="BO3804">
        <v>0</v>
      </c>
      <c r="BP3804">
        <v>0</v>
      </c>
      <c r="BW3804" t="str">
        <f>"20:35:35.937"</f>
        <v>20:35:35.937</v>
      </c>
      <c r="BZ3804">
        <v>0</v>
      </c>
      <c r="CA3804">
        <v>1600</v>
      </c>
      <c r="CB3804">
        <v>224</v>
      </c>
      <c r="CD3804">
        <v>1</v>
      </c>
      <c r="CE3804">
        <v>0</v>
      </c>
      <c r="CF3804">
        <v>0</v>
      </c>
      <c r="CG3804">
        <v>1</v>
      </c>
      <c r="CH3804">
        <v>0</v>
      </c>
      <c r="CI3804">
        <v>0</v>
      </c>
      <c r="CJ3804">
        <v>0</v>
      </c>
      <c r="CK3804">
        <v>2</v>
      </c>
      <c r="CL3804">
        <v>0</v>
      </c>
      <c r="CM3804">
        <v>2</v>
      </c>
      <c r="CN3804">
        <v>0</v>
      </c>
      <c r="CO3804">
        <v>6</v>
      </c>
      <c r="CP3804" t="s">
        <v>119</v>
      </c>
      <c r="CQ3804">
        <v>180</v>
      </c>
      <c r="CR3804">
        <v>3</v>
      </c>
      <c r="CW3804">
        <v>1269441</v>
      </c>
      <c r="CY3804">
        <v>0</v>
      </c>
      <c r="CZ3804">
        <v>0</v>
      </c>
      <c r="DA3804">
        <v>1</v>
      </c>
      <c r="DB3804">
        <v>0</v>
      </c>
      <c r="DC3804">
        <v>0</v>
      </c>
      <c r="DD3804">
        <v>0</v>
      </c>
      <c r="DE3804">
        <v>0</v>
      </c>
      <c r="DF3804">
        <v>0</v>
      </c>
      <c r="DG3804">
        <v>0</v>
      </c>
      <c r="DH3804">
        <v>0</v>
      </c>
      <c r="DI3804">
        <v>0</v>
      </c>
    </row>
    <row r="3805" spans="1:113" x14ac:dyDescent="0.3">
      <c r="A3805" t="str">
        <f>"02/08/2021 20:35:33.609"</f>
        <v>02/08/2021 20:35:33.609</v>
      </c>
      <c r="C3805" t="str">
        <f t="shared" si="188"/>
        <v>FFDFD7C0</v>
      </c>
      <c r="D3805" t="s">
        <v>124</v>
      </c>
      <c r="E3805">
        <v>13</v>
      </c>
      <c r="F3805">
        <v>1013</v>
      </c>
      <c r="G3805" t="s">
        <v>114</v>
      </c>
      <c r="J3805" t="s">
        <v>125</v>
      </c>
      <c r="K3805">
        <v>0</v>
      </c>
      <c r="L3805">
        <v>3</v>
      </c>
      <c r="M3805">
        <v>0</v>
      </c>
      <c r="N3805">
        <v>2</v>
      </c>
      <c r="O3805">
        <v>1</v>
      </c>
      <c r="P3805">
        <v>0</v>
      </c>
      <c r="Q3805">
        <v>0</v>
      </c>
      <c r="S3805" t="str">
        <f>"20:35:35.930"</f>
        <v>20:35:35.930</v>
      </c>
      <c r="T3805" t="str">
        <f>"20:35:35.430"</f>
        <v>20:35:35.430</v>
      </c>
      <c r="U3805" t="str">
        <f t="shared" si="190"/>
        <v>AB01F4</v>
      </c>
      <c r="V3805">
        <v>0</v>
      </c>
      <c r="W3805">
        <v>0</v>
      </c>
      <c r="X3805">
        <v>2</v>
      </c>
      <c r="Z3805">
        <v>0</v>
      </c>
      <c r="AA3805">
        <v>9</v>
      </c>
      <c r="AB3805">
        <v>3</v>
      </c>
      <c r="AC3805">
        <v>0</v>
      </c>
      <c r="AD3805">
        <v>10</v>
      </c>
      <c r="AE3805">
        <v>0</v>
      </c>
      <c r="AF3805">
        <v>3</v>
      </c>
      <c r="AG3805">
        <v>2</v>
      </c>
      <c r="AH3805">
        <v>0</v>
      </c>
      <c r="AI3805" t="s">
        <v>2151</v>
      </c>
      <c r="AJ3805">
        <v>40.124817</v>
      </c>
      <c r="AK3805" t="s">
        <v>2152</v>
      </c>
      <c r="AL3805">
        <v>-93.060551000000004</v>
      </c>
      <c r="AM3805">
        <v>100</v>
      </c>
      <c r="AN3805">
        <v>1300</v>
      </c>
      <c r="AO3805" t="s">
        <v>118</v>
      </c>
      <c r="AP3805">
        <v>-114</v>
      </c>
      <c r="AQ3805">
        <v>62</v>
      </c>
      <c r="AR3805">
        <v>-256</v>
      </c>
      <c r="AZ3805">
        <v>1200</v>
      </c>
      <c r="BA3805">
        <v>1</v>
      </c>
      <c r="BB3805" t="str">
        <f t="shared" si="189"/>
        <v xml:space="preserve">N8080G  </v>
      </c>
      <c r="BC3805">
        <v>1</v>
      </c>
      <c r="BE3805">
        <v>0</v>
      </c>
      <c r="BF3805">
        <v>0</v>
      </c>
      <c r="BG3805">
        <v>0</v>
      </c>
      <c r="BH3805">
        <v>1350</v>
      </c>
      <c r="BI3805">
        <v>1</v>
      </c>
      <c r="BJ3805">
        <v>1</v>
      </c>
      <c r="BK3805">
        <v>1</v>
      </c>
      <c r="BL3805">
        <v>0</v>
      </c>
      <c r="BO3805">
        <v>0</v>
      </c>
      <c r="BP3805">
        <v>0</v>
      </c>
      <c r="BW3805" t="str">
        <f>"20:35:35.937"</f>
        <v>20:35:35.937</v>
      </c>
      <c r="BZ3805">
        <v>0</v>
      </c>
      <c r="CA3805">
        <v>1600</v>
      </c>
      <c r="CB3805">
        <v>224</v>
      </c>
      <c r="CD3805">
        <v>1</v>
      </c>
      <c r="CE3805">
        <v>0</v>
      </c>
      <c r="CF3805">
        <v>0</v>
      </c>
      <c r="CG3805">
        <v>1</v>
      </c>
      <c r="CH3805">
        <v>0</v>
      </c>
      <c r="CI3805">
        <v>0</v>
      </c>
      <c r="CJ3805">
        <v>0</v>
      </c>
      <c r="CK3805">
        <v>2</v>
      </c>
      <c r="CL3805">
        <v>0</v>
      </c>
      <c r="CM3805">
        <v>2</v>
      </c>
      <c r="CN3805">
        <v>0</v>
      </c>
      <c r="CO3805">
        <v>6</v>
      </c>
      <c r="CP3805" t="s">
        <v>119</v>
      </c>
      <c r="CQ3805">
        <v>180</v>
      </c>
      <c r="CR3805">
        <v>3</v>
      </c>
      <c r="CW3805">
        <v>1269441</v>
      </c>
      <c r="CY3805">
        <v>0</v>
      </c>
      <c r="CZ3805">
        <v>0</v>
      </c>
      <c r="DA3805">
        <v>1</v>
      </c>
      <c r="DB3805">
        <v>0</v>
      </c>
      <c r="DC3805">
        <v>0</v>
      </c>
      <c r="DD3805">
        <v>0</v>
      </c>
      <c r="DE3805">
        <v>0</v>
      </c>
      <c r="DF3805">
        <v>0</v>
      </c>
      <c r="DG3805">
        <v>0</v>
      </c>
      <c r="DH3805">
        <v>0</v>
      </c>
      <c r="DI3805">
        <v>0</v>
      </c>
    </row>
    <row r="3806" spans="1:113" x14ac:dyDescent="0.3">
      <c r="A3806" t="str">
        <f>"02/08/2021 20:35:33.609"</f>
        <v>02/08/2021 20:35:33.609</v>
      </c>
      <c r="C3806" t="str">
        <f t="shared" si="188"/>
        <v>FFDFD7C0</v>
      </c>
      <c r="D3806" t="s">
        <v>124</v>
      </c>
      <c r="E3806">
        <v>11</v>
      </c>
      <c r="F3806">
        <v>1011</v>
      </c>
      <c r="G3806" t="s">
        <v>590</v>
      </c>
      <c r="J3806" t="s">
        <v>125</v>
      </c>
      <c r="K3806">
        <v>0</v>
      </c>
      <c r="L3806">
        <v>3</v>
      </c>
      <c r="M3806">
        <v>0</v>
      </c>
      <c r="N3806">
        <v>2</v>
      </c>
      <c r="O3806">
        <v>1</v>
      </c>
      <c r="P3806">
        <v>0</v>
      </c>
      <c r="Q3806">
        <v>0</v>
      </c>
      <c r="S3806" t="str">
        <f>"20:35:35.930"</f>
        <v>20:35:35.930</v>
      </c>
      <c r="T3806" t="str">
        <f>"20:35:35.430"</f>
        <v>20:35:35.430</v>
      </c>
      <c r="U3806" t="str">
        <f t="shared" si="190"/>
        <v>AB01F4</v>
      </c>
      <c r="V3806">
        <v>0</v>
      </c>
      <c r="W3806">
        <v>0</v>
      </c>
      <c r="X3806">
        <v>2</v>
      </c>
      <c r="Z3806">
        <v>0</v>
      </c>
      <c r="AA3806">
        <v>9</v>
      </c>
      <c r="AB3806">
        <v>3</v>
      </c>
      <c r="AC3806">
        <v>0</v>
      </c>
      <c r="AD3806">
        <v>10</v>
      </c>
      <c r="AE3806">
        <v>0</v>
      </c>
      <c r="AF3806">
        <v>3</v>
      </c>
      <c r="AG3806">
        <v>2</v>
      </c>
      <c r="AH3806">
        <v>0</v>
      </c>
      <c r="AI3806" t="s">
        <v>2151</v>
      </c>
      <c r="AJ3806">
        <v>40.124817</v>
      </c>
      <c r="AK3806" t="s">
        <v>2152</v>
      </c>
      <c r="AL3806">
        <v>-93.060551000000004</v>
      </c>
      <c r="AM3806">
        <v>100</v>
      </c>
      <c r="AN3806">
        <v>1300</v>
      </c>
      <c r="AO3806" t="s">
        <v>118</v>
      </c>
      <c r="AP3806">
        <v>-114</v>
      </c>
      <c r="AQ3806">
        <v>62</v>
      </c>
      <c r="AR3806">
        <v>-256</v>
      </c>
      <c r="AZ3806">
        <v>1200</v>
      </c>
      <c r="BA3806">
        <v>1</v>
      </c>
      <c r="BB3806" t="str">
        <f t="shared" si="189"/>
        <v xml:space="preserve">N8080G  </v>
      </c>
      <c r="BC3806">
        <v>1</v>
      </c>
      <c r="BE3806">
        <v>0</v>
      </c>
      <c r="BF3806">
        <v>0</v>
      </c>
      <c r="BG3806">
        <v>0</v>
      </c>
      <c r="BH3806">
        <v>1350</v>
      </c>
      <c r="BI3806">
        <v>1</v>
      </c>
      <c r="BJ3806">
        <v>1</v>
      </c>
      <c r="BK3806">
        <v>1</v>
      </c>
      <c r="BL3806">
        <v>0</v>
      </c>
      <c r="BO3806">
        <v>0</v>
      </c>
      <c r="BP3806">
        <v>0</v>
      </c>
      <c r="BW3806" t="str">
        <f>"20:35:35.937"</f>
        <v>20:35:35.937</v>
      </c>
      <c r="BZ3806">
        <v>0</v>
      </c>
      <c r="CA3806">
        <v>1600</v>
      </c>
      <c r="CB3806">
        <v>224</v>
      </c>
      <c r="CD3806">
        <v>1</v>
      </c>
      <c r="CE3806">
        <v>0</v>
      </c>
      <c r="CF3806">
        <v>0</v>
      </c>
      <c r="CG3806">
        <v>1</v>
      </c>
      <c r="CH3806">
        <v>0</v>
      </c>
      <c r="CI3806">
        <v>0</v>
      </c>
      <c r="CJ3806">
        <v>0</v>
      </c>
      <c r="CK3806">
        <v>2</v>
      </c>
      <c r="CL3806">
        <v>0</v>
      </c>
      <c r="CM3806">
        <v>2</v>
      </c>
      <c r="CN3806">
        <v>0</v>
      </c>
      <c r="CO3806">
        <v>6</v>
      </c>
      <c r="CP3806" t="s">
        <v>119</v>
      </c>
      <c r="CQ3806">
        <v>180</v>
      </c>
      <c r="CR3806">
        <v>3</v>
      </c>
      <c r="CW3806">
        <v>1269441</v>
      </c>
      <c r="CY3806">
        <v>0</v>
      </c>
      <c r="CZ3806">
        <v>0</v>
      </c>
      <c r="DA3806">
        <v>1</v>
      </c>
      <c r="DB3806">
        <v>0</v>
      </c>
      <c r="DC3806">
        <v>0</v>
      </c>
      <c r="DD3806">
        <v>0</v>
      </c>
      <c r="DE3806">
        <v>0</v>
      </c>
      <c r="DF3806">
        <v>0</v>
      </c>
      <c r="DG3806">
        <v>0</v>
      </c>
      <c r="DH3806">
        <v>0</v>
      </c>
      <c r="DI3806">
        <v>0</v>
      </c>
    </row>
    <row r="3807" spans="1:113" x14ac:dyDescent="0.3">
      <c r="A3807" t="str">
        <f>"02/08/2021 20:35:34.626"</f>
        <v>02/08/2021 20:35:34.626</v>
      </c>
      <c r="C3807" t="str">
        <f t="shared" si="188"/>
        <v>FFDFD7C0</v>
      </c>
      <c r="D3807" t="s">
        <v>113</v>
      </c>
      <c r="E3807">
        <v>6</v>
      </c>
      <c r="H3807">
        <v>165</v>
      </c>
      <c r="I3807" t="s">
        <v>114</v>
      </c>
      <c r="J3807" t="s">
        <v>115</v>
      </c>
      <c r="K3807">
        <v>0</v>
      </c>
      <c r="L3807">
        <v>3</v>
      </c>
      <c r="M3807">
        <v>0</v>
      </c>
      <c r="N3807">
        <v>2</v>
      </c>
      <c r="O3807">
        <v>1</v>
      </c>
      <c r="P3807">
        <v>0</v>
      </c>
      <c r="Q3807">
        <v>0</v>
      </c>
      <c r="S3807" t="str">
        <f>"20:35:36.938"</f>
        <v>20:35:36.938</v>
      </c>
      <c r="T3807" t="str">
        <f>"20:35:36.538"</f>
        <v>20:35:36.538</v>
      </c>
      <c r="U3807" t="str">
        <f t="shared" si="190"/>
        <v>AB01F4</v>
      </c>
      <c r="V3807">
        <v>0</v>
      </c>
      <c r="W3807">
        <v>0</v>
      </c>
      <c r="X3807">
        <v>2</v>
      </c>
      <c r="Z3807">
        <v>0</v>
      </c>
      <c r="AA3807">
        <v>9</v>
      </c>
      <c r="AB3807">
        <v>3</v>
      </c>
      <c r="AC3807">
        <v>0</v>
      </c>
      <c r="AD3807">
        <v>10</v>
      </c>
      <c r="AE3807">
        <v>0</v>
      </c>
      <c r="AF3807">
        <v>3</v>
      </c>
      <c r="AG3807">
        <v>2</v>
      </c>
      <c r="AH3807">
        <v>0</v>
      </c>
      <c r="AI3807" t="s">
        <v>2153</v>
      </c>
      <c r="AJ3807">
        <v>40.125095999999999</v>
      </c>
      <c r="AK3807" t="s">
        <v>2154</v>
      </c>
      <c r="AL3807">
        <v>-93.061216000000002</v>
      </c>
      <c r="AM3807">
        <v>100</v>
      </c>
      <c r="AN3807">
        <v>1300</v>
      </c>
      <c r="AO3807" t="s">
        <v>118</v>
      </c>
      <c r="AP3807">
        <v>-114</v>
      </c>
      <c r="AQ3807">
        <v>62</v>
      </c>
      <c r="AR3807">
        <v>-64</v>
      </c>
      <c r="AZ3807">
        <v>1200</v>
      </c>
      <c r="BA3807">
        <v>1</v>
      </c>
      <c r="BB3807" t="str">
        <f t="shared" si="189"/>
        <v xml:space="preserve">N8080G  </v>
      </c>
      <c r="BC3807">
        <v>1</v>
      </c>
      <c r="BE3807">
        <v>0</v>
      </c>
      <c r="BF3807">
        <v>0</v>
      </c>
      <c r="BG3807">
        <v>0</v>
      </c>
      <c r="BH3807">
        <v>1350</v>
      </c>
      <c r="BI3807">
        <v>1</v>
      </c>
      <c r="BJ3807">
        <v>1</v>
      </c>
      <c r="BK3807">
        <v>1</v>
      </c>
      <c r="BL3807">
        <v>0</v>
      </c>
      <c r="BO3807">
        <v>0</v>
      </c>
      <c r="BP3807">
        <v>0</v>
      </c>
      <c r="BW3807" t="str">
        <f>"20:35:36.943"</f>
        <v>20:35:36.943</v>
      </c>
      <c r="BZ3807">
        <v>0</v>
      </c>
      <c r="CA3807">
        <v>1600</v>
      </c>
      <c r="CB3807">
        <v>224</v>
      </c>
      <c r="CD3807">
        <v>1</v>
      </c>
      <c r="CE3807">
        <v>0</v>
      </c>
      <c r="CF3807">
        <v>0</v>
      </c>
      <c r="CG3807">
        <v>1</v>
      </c>
      <c r="CH3807">
        <v>0</v>
      </c>
      <c r="CI3807">
        <v>0</v>
      </c>
      <c r="CJ3807">
        <v>0</v>
      </c>
      <c r="CK3807">
        <v>2</v>
      </c>
      <c r="CL3807">
        <v>0</v>
      </c>
      <c r="CM3807">
        <v>2</v>
      </c>
      <c r="CN3807">
        <v>0</v>
      </c>
      <c r="CO3807">
        <v>6</v>
      </c>
      <c r="CP3807" t="s">
        <v>119</v>
      </c>
      <c r="CQ3807">
        <v>180</v>
      </c>
      <c r="CR3807">
        <v>3</v>
      </c>
      <c r="CW3807">
        <v>1270204</v>
      </c>
      <c r="CY3807">
        <v>0</v>
      </c>
      <c r="CZ3807">
        <v>0</v>
      </c>
      <c r="DA3807">
        <v>0</v>
      </c>
      <c r="DB3807">
        <v>0</v>
      </c>
      <c r="DC3807">
        <v>0</v>
      </c>
      <c r="DD3807">
        <v>0</v>
      </c>
      <c r="DE3807">
        <v>0</v>
      </c>
      <c r="DF3807">
        <v>0</v>
      </c>
      <c r="DG3807">
        <v>0</v>
      </c>
      <c r="DH3807">
        <v>0</v>
      </c>
      <c r="DI3807">
        <v>0</v>
      </c>
    </row>
    <row r="3808" spans="1:113" x14ac:dyDescent="0.3">
      <c r="A3808" t="str">
        <f>"02/08/2021 20:35:34.626"</f>
        <v>02/08/2021 20:35:34.626</v>
      </c>
      <c r="C3808" t="str">
        <f t="shared" si="188"/>
        <v>FFDFD7C0</v>
      </c>
      <c r="D3808" t="s">
        <v>124</v>
      </c>
      <c r="E3808">
        <v>13</v>
      </c>
      <c r="F3808">
        <v>1013</v>
      </c>
      <c r="G3808" t="s">
        <v>114</v>
      </c>
      <c r="J3808" t="s">
        <v>125</v>
      </c>
      <c r="K3808">
        <v>0</v>
      </c>
      <c r="L3808">
        <v>3</v>
      </c>
      <c r="M3808">
        <v>0</v>
      </c>
      <c r="N3808">
        <v>2</v>
      </c>
      <c r="O3808">
        <v>1</v>
      </c>
      <c r="P3808">
        <v>0</v>
      </c>
      <c r="Q3808">
        <v>0</v>
      </c>
      <c r="S3808" t="str">
        <f>"20:35:36.938"</f>
        <v>20:35:36.938</v>
      </c>
      <c r="T3808" t="str">
        <f>"20:35:36.538"</f>
        <v>20:35:36.538</v>
      </c>
      <c r="U3808" t="str">
        <f t="shared" si="190"/>
        <v>AB01F4</v>
      </c>
      <c r="V3808">
        <v>0</v>
      </c>
      <c r="W3808">
        <v>0</v>
      </c>
      <c r="X3808">
        <v>2</v>
      </c>
      <c r="Z3808">
        <v>0</v>
      </c>
      <c r="AA3808">
        <v>9</v>
      </c>
      <c r="AB3808">
        <v>3</v>
      </c>
      <c r="AC3808">
        <v>0</v>
      </c>
      <c r="AD3808">
        <v>10</v>
      </c>
      <c r="AE3808">
        <v>0</v>
      </c>
      <c r="AF3808">
        <v>3</v>
      </c>
      <c r="AG3808">
        <v>2</v>
      </c>
      <c r="AH3808">
        <v>0</v>
      </c>
      <c r="AI3808" t="s">
        <v>2153</v>
      </c>
      <c r="AJ3808">
        <v>40.125095999999999</v>
      </c>
      <c r="AK3808" t="s">
        <v>2154</v>
      </c>
      <c r="AL3808">
        <v>-93.061216000000002</v>
      </c>
      <c r="AM3808">
        <v>100</v>
      </c>
      <c r="AN3808">
        <v>1300</v>
      </c>
      <c r="AO3808" t="s">
        <v>118</v>
      </c>
      <c r="AP3808">
        <v>-114</v>
      </c>
      <c r="AQ3808">
        <v>62</v>
      </c>
      <c r="AR3808">
        <v>-64</v>
      </c>
      <c r="AZ3808">
        <v>1200</v>
      </c>
      <c r="BA3808">
        <v>1</v>
      </c>
      <c r="BB3808" t="str">
        <f t="shared" si="189"/>
        <v xml:space="preserve">N8080G  </v>
      </c>
      <c r="BC3808">
        <v>1</v>
      </c>
      <c r="BE3808">
        <v>0</v>
      </c>
      <c r="BF3808">
        <v>0</v>
      </c>
      <c r="BG3808">
        <v>0</v>
      </c>
      <c r="BH3808">
        <v>1350</v>
      </c>
      <c r="BI3808">
        <v>1</v>
      </c>
      <c r="BJ3808">
        <v>1</v>
      </c>
      <c r="BK3808">
        <v>1</v>
      </c>
      <c r="BL3808">
        <v>0</v>
      </c>
      <c r="BO3808">
        <v>0</v>
      </c>
      <c r="BP3808">
        <v>0</v>
      </c>
      <c r="BW3808" t="str">
        <f>"20:35:36.943"</f>
        <v>20:35:36.943</v>
      </c>
      <c r="BZ3808">
        <v>0</v>
      </c>
      <c r="CA3808">
        <v>1600</v>
      </c>
      <c r="CB3808">
        <v>224</v>
      </c>
      <c r="CD3808">
        <v>1</v>
      </c>
      <c r="CE3808">
        <v>0</v>
      </c>
      <c r="CF3808">
        <v>0</v>
      </c>
      <c r="CG3808">
        <v>1</v>
      </c>
      <c r="CH3808">
        <v>0</v>
      </c>
      <c r="CI3808">
        <v>0</v>
      </c>
      <c r="CJ3808">
        <v>0</v>
      </c>
      <c r="CK3808">
        <v>2</v>
      </c>
      <c r="CL3808">
        <v>0</v>
      </c>
      <c r="CM3808">
        <v>2</v>
      </c>
      <c r="CN3808">
        <v>0</v>
      </c>
      <c r="CO3808">
        <v>6</v>
      </c>
      <c r="CP3808" t="s">
        <v>119</v>
      </c>
      <c r="CQ3808">
        <v>180</v>
      </c>
      <c r="CR3808">
        <v>3</v>
      </c>
      <c r="CW3808">
        <v>1270204</v>
      </c>
      <c r="CY3808">
        <v>0</v>
      </c>
      <c r="CZ3808">
        <v>0</v>
      </c>
      <c r="DA3808">
        <v>1</v>
      </c>
      <c r="DB3808">
        <v>0</v>
      </c>
      <c r="DC3808">
        <v>0</v>
      </c>
      <c r="DD3808">
        <v>0</v>
      </c>
      <c r="DE3808">
        <v>0</v>
      </c>
      <c r="DF3808">
        <v>0</v>
      </c>
      <c r="DG3808">
        <v>0</v>
      </c>
      <c r="DH3808">
        <v>0</v>
      </c>
      <c r="DI3808">
        <v>0</v>
      </c>
    </row>
    <row r="3809" spans="1:113" x14ac:dyDescent="0.3">
      <c r="A3809" t="str">
        <f>"02/08/2021 20:35:34.626"</f>
        <v>02/08/2021 20:35:34.626</v>
      </c>
      <c r="C3809" t="str">
        <f t="shared" si="188"/>
        <v>FFDFD7C0</v>
      </c>
      <c r="D3809" t="s">
        <v>124</v>
      </c>
      <c r="E3809">
        <v>11</v>
      </c>
      <c r="F3809">
        <v>1011</v>
      </c>
      <c r="G3809" t="s">
        <v>590</v>
      </c>
      <c r="J3809" t="s">
        <v>125</v>
      </c>
      <c r="K3809">
        <v>0</v>
      </c>
      <c r="L3809">
        <v>3</v>
      </c>
      <c r="M3809">
        <v>0</v>
      </c>
      <c r="N3809">
        <v>2</v>
      </c>
      <c r="O3809">
        <v>1</v>
      </c>
      <c r="P3809">
        <v>0</v>
      </c>
      <c r="Q3809">
        <v>0</v>
      </c>
      <c r="S3809" t="str">
        <f>"20:35:36.938"</f>
        <v>20:35:36.938</v>
      </c>
      <c r="T3809" t="str">
        <f>"20:35:36.538"</f>
        <v>20:35:36.538</v>
      </c>
      <c r="U3809" t="str">
        <f t="shared" si="190"/>
        <v>AB01F4</v>
      </c>
      <c r="V3809">
        <v>0</v>
      </c>
      <c r="W3809">
        <v>0</v>
      </c>
      <c r="X3809">
        <v>2</v>
      </c>
      <c r="Z3809">
        <v>0</v>
      </c>
      <c r="AA3809">
        <v>9</v>
      </c>
      <c r="AB3809">
        <v>3</v>
      </c>
      <c r="AC3809">
        <v>0</v>
      </c>
      <c r="AD3809">
        <v>10</v>
      </c>
      <c r="AE3809">
        <v>0</v>
      </c>
      <c r="AF3809">
        <v>3</v>
      </c>
      <c r="AG3809">
        <v>2</v>
      </c>
      <c r="AH3809">
        <v>0</v>
      </c>
      <c r="AI3809" t="s">
        <v>2153</v>
      </c>
      <c r="AJ3809">
        <v>40.125095999999999</v>
      </c>
      <c r="AK3809" t="s">
        <v>2154</v>
      </c>
      <c r="AL3809">
        <v>-93.061216000000002</v>
      </c>
      <c r="AM3809">
        <v>100</v>
      </c>
      <c r="AN3809">
        <v>1300</v>
      </c>
      <c r="AO3809" t="s">
        <v>118</v>
      </c>
      <c r="AP3809">
        <v>-114</v>
      </c>
      <c r="AQ3809">
        <v>62</v>
      </c>
      <c r="AR3809">
        <v>-64</v>
      </c>
      <c r="AZ3809">
        <v>1200</v>
      </c>
      <c r="BA3809">
        <v>1</v>
      </c>
      <c r="BB3809" t="str">
        <f t="shared" si="189"/>
        <v xml:space="preserve">N8080G  </v>
      </c>
      <c r="BC3809">
        <v>1</v>
      </c>
      <c r="BE3809">
        <v>0</v>
      </c>
      <c r="BF3809">
        <v>0</v>
      </c>
      <c r="BG3809">
        <v>0</v>
      </c>
      <c r="BH3809">
        <v>1350</v>
      </c>
      <c r="BI3809">
        <v>1</v>
      </c>
      <c r="BJ3809">
        <v>1</v>
      </c>
      <c r="BK3809">
        <v>1</v>
      </c>
      <c r="BL3809">
        <v>0</v>
      </c>
      <c r="BO3809">
        <v>0</v>
      </c>
      <c r="BP3809">
        <v>0</v>
      </c>
      <c r="BW3809" t="str">
        <f>"20:35:36.943"</f>
        <v>20:35:36.943</v>
      </c>
      <c r="BZ3809">
        <v>0</v>
      </c>
      <c r="CA3809">
        <v>1600</v>
      </c>
      <c r="CB3809">
        <v>224</v>
      </c>
      <c r="CD3809">
        <v>1</v>
      </c>
      <c r="CE3809">
        <v>0</v>
      </c>
      <c r="CF3809">
        <v>0</v>
      </c>
      <c r="CG3809">
        <v>1</v>
      </c>
      <c r="CH3809">
        <v>0</v>
      </c>
      <c r="CI3809">
        <v>0</v>
      </c>
      <c r="CJ3809">
        <v>0</v>
      </c>
      <c r="CK3809">
        <v>2</v>
      </c>
      <c r="CL3809">
        <v>0</v>
      </c>
      <c r="CM3809">
        <v>2</v>
      </c>
      <c r="CN3809">
        <v>0</v>
      </c>
      <c r="CO3809">
        <v>6</v>
      </c>
      <c r="CP3809" t="s">
        <v>119</v>
      </c>
      <c r="CQ3809">
        <v>180</v>
      </c>
      <c r="CR3809">
        <v>3</v>
      </c>
      <c r="CW3809">
        <v>1270204</v>
      </c>
      <c r="CY3809">
        <v>0</v>
      </c>
      <c r="CZ3809">
        <v>0</v>
      </c>
      <c r="DA3809">
        <v>1</v>
      </c>
      <c r="DB3809">
        <v>0</v>
      </c>
      <c r="DC3809">
        <v>0</v>
      </c>
      <c r="DD3809">
        <v>0</v>
      </c>
      <c r="DE3809">
        <v>0</v>
      </c>
      <c r="DF3809">
        <v>0</v>
      </c>
      <c r="DG3809">
        <v>0</v>
      </c>
      <c r="DH3809">
        <v>0</v>
      </c>
      <c r="DI3809">
        <v>0</v>
      </c>
    </row>
    <row r="3810" spans="1:113" x14ac:dyDescent="0.3">
      <c r="A3810" t="str">
        <f>"02/08/2021 20:35:34.626"</f>
        <v>02/08/2021 20:35:34.626</v>
      </c>
      <c r="C3810" t="str">
        <f t="shared" si="188"/>
        <v>FFDFD7C0</v>
      </c>
      <c r="D3810" t="s">
        <v>124</v>
      </c>
      <c r="E3810">
        <v>12</v>
      </c>
      <c r="F3810">
        <v>1012</v>
      </c>
      <c r="G3810" t="s">
        <v>675</v>
      </c>
      <c r="J3810" t="s">
        <v>125</v>
      </c>
      <c r="K3810">
        <v>0</v>
      </c>
      <c r="L3810">
        <v>3</v>
      </c>
      <c r="M3810">
        <v>0</v>
      </c>
      <c r="N3810">
        <v>2</v>
      </c>
      <c r="O3810">
        <v>1</v>
      </c>
      <c r="P3810">
        <v>0</v>
      </c>
      <c r="Q3810">
        <v>0</v>
      </c>
      <c r="S3810" t="str">
        <f>"20:35:36.938"</f>
        <v>20:35:36.938</v>
      </c>
      <c r="T3810" t="str">
        <f>"20:35:36.538"</f>
        <v>20:35:36.538</v>
      </c>
      <c r="U3810" t="str">
        <f t="shared" si="190"/>
        <v>AB01F4</v>
      </c>
      <c r="V3810">
        <v>0</v>
      </c>
      <c r="W3810">
        <v>0</v>
      </c>
      <c r="X3810">
        <v>2</v>
      </c>
      <c r="Z3810">
        <v>0</v>
      </c>
      <c r="AA3810">
        <v>9</v>
      </c>
      <c r="AB3810">
        <v>3</v>
      </c>
      <c r="AC3810">
        <v>0</v>
      </c>
      <c r="AD3810">
        <v>10</v>
      </c>
      <c r="AE3810">
        <v>0</v>
      </c>
      <c r="AF3810">
        <v>3</v>
      </c>
      <c r="AG3810">
        <v>2</v>
      </c>
      <c r="AH3810">
        <v>0</v>
      </c>
      <c r="AI3810" t="s">
        <v>2153</v>
      </c>
      <c r="AJ3810">
        <v>40.125095999999999</v>
      </c>
      <c r="AK3810" t="s">
        <v>2154</v>
      </c>
      <c r="AL3810">
        <v>-93.061216000000002</v>
      </c>
      <c r="AM3810">
        <v>100</v>
      </c>
      <c r="AN3810">
        <v>1300</v>
      </c>
      <c r="AO3810" t="s">
        <v>118</v>
      </c>
      <c r="AP3810">
        <v>-114</v>
      </c>
      <c r="AQ3810">
        <v>62</v>
      </c>
      <c r="AR3810">
        <v>-64</v>
      </c>
      <c r="AZ3810">
        <v>1200</v>
      </c>
      <c r="BA3810">
        <v>1</v>
      </c>
      <c r="BB3810" t="str">
        <f t="shared" si="189"/>
        <v xml:space="preserve">N8080G  </v>
      </c>
      <c r="BC3810">
        <v>1</v>
      </c>
      <c r="BE3810">
        <v>0</v>
      </c>
      <c r="BF3810">
        <v>0</v>
      </c>
      <c r="BG3810">
        <v>0</v>
      </c>
      <c r="BH3810">
        <v>1350</v>
      </c>
      <c r="BI3810">
        <v>1</v>
      </c>
      <c r="BJ3810">
        <v>1</v>
      </c>
      <c r="BK3810">
        <v>1</v>
      </c>
      <c r="BL3810">
        <v>0</v>
      </c>
      <c r="BO3810">
        <v>0</v>
      </c>
      <c r="BP3810">
        <v>0</v>
      </c>
      <c r="BW3810" t="str">
        <f>"20:35:36.943"</f>
        <v>20:35:36.943</v>
      </c>
      <c r="BZ3810">
        <v>0</v>
      </c>
      <c r="CA3810">
        <v>1600</v>
      </c>
      <c r="CB3810">
        <v>224</v>
      </c>
      <c r="CD3810">
        <v>1</v>
      </c>
      <c r="CE3810">
        <v>0</v>
      </c>
      <c r="CF3810">
        <v>0</v>
      </c>
      <c r="CG3810">
        <v>1</v>
      </c>
      <c r="CH3810">
        <v>0</v>
      </c>
      <c r="CI3810">
        <v>0</v>
      </c>
      <c r="CJ3810">
        <v>0</v>
      </c>
      <c r="CK3810">
        <v>2</v>
      </c>
      <c r="CL3810">
        <v>0</v>
      </c>
      <c r="CM3810">
        <v>2</v>
      </c>
      <c r="CN3810">
        <v>0</v>
      </c>
      <c r="CO3810">
        <v>6</v>
      </c>
      <c r="CP3810" t="s">
        <v>119</v>
      </c>
      <c r="CQ3810">
        <v>180</v>
      </c>
      <c r="CR3810">
        <v>3</v>
      </c>
      <c r="CW3810">
        <v>1270204</v>
      </c>
      <c r="CY3810">
        <v>0</v>
      </c>
      <c r="CZ3810">
        <v>0</v>
      </c>
      <c r="DA3810">
        <v>1</v>
      </c>
      <c r="DB3810">
        <v>0</v>
      </c>
      <c r="DC3810">
        <v>0</v>
      </c>
      <c r="DD3810">
        <v>0</v>
      </c>
      <c r="DE3810">
        <v>0</v>
      </c>
      <c r="DF3810">
        <v>0</v>
      </c>
      <c r="DG3810">
        <v>0</v>
      </c>
      <c r="DH3810">
        <v>0</v>
      </c>
      <c r="DI3810">
        <v>0</v>
      </c>
    </row>
    <row r="3811" spans="1:113" x14ac:dyDescent="0.3">
      <c r="A3811" t="str">
        <f>"02/08/2021 20:35:35.634"</f>
        <v>02/08/2021 20:35:35.634</v>
      </c>
      <c r="C3811" t="str">
        <f t="shared" si="188"/>
        <v>FFDFD7C0</v>
      </c>
      <c r="D3811" t="s">
        <v>124</v>
      </c>
      <c r="E3811">
        <v>13</v>
      </c>
      <c r="F3811">
        <v>1013</v>
      </c>
      <c r="G3811" t="s">
        <v>114</v>
      </c>
      <c r="J3811" t="s">
        <v>125</v>
      </c>
      <c r="K3811">
        <v>0</v>
      </c>
      <c r="L3811">
        <v>3</v>
      </c>
      <c r="M3811">
        <v>0</v>
      </c>
      <c r="N3811">
        <v>2</v>
      </c>
      <c r="O3811">
        <v>1</v>
      </c>
      <c r="P3811">
        <v>0</v>
      </c>
      <c r="Q3811">
        <v>0</v>
      </c>
      <c r="S3811" t="str">
        <f>"20:35:37.977"</f>
        <v>20:35:37.977</v>
      </c>
      <c r="T3811" t="str">
        <f>"20:35:37.577"</f>
        <v>20:35:37.577</v>
      </c>
      <c r="U3811" t="str">
        <f t="shared" si="190"/>
        <v>AB01F4</v>
      </c>
      <c r="V3811">
        <v>0</v>
      </c>
      <c r="W3811">
        <v>0</v>
      </c>
      <c r="X3811">
        <v>2</v>
      </c>
      <c r="Z3811">
        <v>0</v>
      </c>
      <c r="AA3811">
        <v>9</v>
      </c>
      <c r="AB3811">
        <v>3</v>
      </c>
      <c r="AC3811">
        <v>0</v>
      </c>
      <c r="AD3811">
        <v>10</v>
      </c>
      <c r="AE3811">
        <v>0</v>
      </c>
      <c r="AF3811">
        <v>3</v>
      </c>
      <c r="AG3811">
        <v>2</v>
      </c>
      <c r="AH3811">
        <v>0</v>
      </c>
      <c r="AI3811" t="s">
        <v>2155</v>
      </c>
      <c r="AJ3811">
        <v>40.125374999999998</v>
      </c>
      <c r="AK3811" t="s">
        <v>2156</v>
      </c>
      <c r="AL3811">
        <v>-93.061881</v>
      </c>
      <c r="AM3811">
        <v>100</v>
      </c>
      <c r="AN3811">
        <v>1300</v>
      </c>
      <c r="AO3811" t="s">
        <v>118</v>
      </c>
      <c r="AP3811">
        <v>-114</v>
      </c>
      <c r="AQ3811">
        <v>62</v>
      </c>
      <c r="AR3811">
        <v>-64</v>
      </c>
      <c r="AZ3811">
        <v>1200</v>
      </c>
      <c r="BA3811">
        <v>1</v>
      </c>
      <c r="BB3811" t="str">
        <f t="shared" si="189"/>
        <v xml:space="preserve">N8080G  </v>
      </c>
      <c r="BC3811">
        <v>1</v>
      </c>
      <c r="BE3811">
        <v>0</v>
      </c>
      <c r="BF3811">
        <v>0</v>
      </c>
      <c r="BG3811">
        <v>0</v>
      </c>
      <c r="BH3811">
        <v>1350</v>
      </c>
      <c r="BI3811">
        <v>1</v>
      </c>
      <c r="BJ3811">
        <v>1</v>
      </c>
      <c r="BK3811">
        <v>1</v>
      </c>
      <c r="BL3811">
        <v>0</v>
      </c>
      <c r="BO3811">
        <v>0</v>
      </c>
      <c r="BP3811">
        <v>0</v>
      </c>
      <c r="BW3811" t="str">
        <f>"20:35:37.982"</f>
        <v>20:35:37.982</v>
      </c>
      <c r="BZ3811">
        <v>0</v>
      </c>
      <c r="CA3811">
        <v>1600</v>
      </c>
      <c r="CB3811">
        <v>224</v>
      </c>
      <c r="CD3811">
        <v>1</v>
      </c>
      <c r="CE3811">
        <v>0</v>
      </c>
      <c r="CF3811">
        <v>0</v>
      </c>
      <c r="CG3811">
        <v>1</v>
      </c>
      <c r="CH3811">
        <v>0</v>
      </c>
      <c r="CI3811">
        <v>0</v>
      </c>
      <c r="CJ3811">
        <v>0</v>
      </c>
      <c r="CK3811">
        <v>2</v>
      </c>
      <c r="CL3811">
        <v>0</v>
      </c>
      <c r="CM3811">
        <v>2</v>
      </c>
      <c r="CN3811">
        <v>0</v>
      </c>
      <c r="CO3811">
        <v>6</v>
      </c>
      <c r="CP3811" t="s">
        <v>119</v>
      </c>
      <c r="CQ3811">
        <v>180</v>
      </c>
      <c r="CR3811">
        <v>3</v>
      </c>
      <c r="CW3811">
        <v>1271050</v>
      </c>
      <c r="CY3811">
        <v>0</v>
      </c>
      <c r="CZ3811">
        <v>0</v>
      </c>
      <c r="DA3811">
        <v>0</v>
      </c>
      <c r="DB3811">
        <v>0</v>
      </c>
      <c r="DC3811">
        <v>0</v>
      </c>
      <c r="DD3811">
        <v>0</v>
      </c>
      <c r="DE3811">
        <v>0</v>
      </c>
      <c r="DF3811">
        <v>0</v>
      </c>
      <c r="DG3811">
        <v>0</v>
      </c>
      <c r="DH3811">
        <v>0</v>
      </c>
      <c r="DI3811">
        <v>0</v>
      </c>
    </row>
    <row r="3812" spans="1:113" x14ac:dyDescent="0.3">
      <c r="A3812" t="str">
        <f>"02/08/2021 20:35:35.634"</f>
        <v>02/08/2021 20:35:35.634</v>
      </c>
      <c r="C3812" t="str">
        <f t="shared" si="188"/>
        <v>FFDFD7C0</v>
      </c>
      <c r="D3812" t="s">
        <v>113</v>
      </c>
      <c r="E3812">
        <v>6</v>
      </c>
      <c r="H3812">
        <v>165</v>
      </c>
      <c r="I3812" t="s">
        <v>114</v>
      </c>
      <c r="J3812" t="s">
        <v>115</v>
      </c>
      <c r="K3812">
        <v>0</v>
      </c>
      <c r="L3812">
        <v>3</v>
      </c>
      <c r="M3812">
        <v>0</v>
      </c>
      <c r="N3812">
        <v>2</v>
      </c>
      <c r="O3812">
        <v>1</v>
      </c>
      <c r="P3812">
        <v>0</v>
      </c>
      <c r="Q3812">
        <v>0</v>
      </c>
      <c r="S3812" t="str">
        <f>"20:35:37.977"</f>
        <v>20:35:37.977</v>
      </c>
      <c r="T3812" t="str">
        <f>"20:35:37.577"</f>
        <v>20:35:37.577</v>
      </c>
      <c r="U3812" t="str">
        <f t="shared" si="190"/>
        <v>AB01F4</v>
      </c>
      <c r="V3812">
        <v>0</v>
      </c>
      <c r="W3812">
        <v>0</v>
      </c>
      <c r="X3812">
        <v>2</v>
      </c>
      <c r="Z3812">
        <v>0</v>
      </c>
      <c r="AA3812">
        <v>9</v>
      </c>
      <c r="AB3812">
        <v>3</v>
      </c>
      <c r="AC3812">
        <v>0</v>
      </c>
      <c r="AD3812">
        <v>10</v>
      </c>
      <c r="AE3812">
        <v>0</v>
      </c>
      <c r="AF3812">
        <v>3</v>
      </c>
      <c r="AG3812">
        <v>2</v>
      </c>
      <c r="AH3812">
        <v>0</v>
      </c>
      <c r="AI3812" t="s">
        <v>2155</v>
      </c>
      <c r="AJ3812">
        <v>40.125374999999998</v>
      </c>
      <c r="AK3812" t="s">
        <v>2156</v>
      </c>
      <c r="AL3812">
        <v>-93.061881</v>
      </c>
      <c r="AM3812">
        <v>100</v>
      </c>
      <c r="AN3812">
        <v>1300</v>
      </c>
      <c r="AO3812" t="s">
        <v>118</v>
      </c>
      <c r="AP3812">
        <v>-114</v>
      </c>
      <c r="AQ3812">
        <v>62</v>
      </c>
      <c r="AR3812">
        <v>-64</v>
      </c>
      <c r="AZ3812">
        <v>1200</v>
      </c>
      <c r="BA3812">
        <v>1</v>
      </c>
      <c r="BB3812" t="str">
        <f t="shared" si="189"/>
        <v xml:space="preserve">N8080G  </v>
      </c>
      <c r="BC3812">
        <v>1</v>
      </c>
      <c r="BE3812">
        <v>0</v>
      </c>
      <c r="BF3812">
        <v>0</v>
      </c>
      <c r="BG3812">
        <v>0</v>
      </c>
      <c r="BH3812">
        <v>1350</v>
      </c>
      <c r="BI3812">
        <v>1</v>
      </c>
      <c r="BJ3812">
        <v>1</v>
      </c>
      <c r="BK3812">
        <v>1</v>
      </c>
      <c r="BL3812">
        <v>0</v>
      </c>
      <c r="BO3812">
        <v>0</v>
      </c>
      <c r="BP3812">
        <v>0</v>
      </c>
      <c r="BW3812" t="str">
        <f>"20:35:37.982"</f>
        <v>20:35:37.982</v>
      </c>
      <c r="BZ3812">
        <v>0</v>
      </c>
      <c r="CA3812">
        <v>1600</v>
      </c>
      <c r="CB3812">
        <v>224</v>
      </c>
      <c r="CD3812">
        <v>1</v>
      </c>
      <c r="CE3812">
        <v>0</v>
      </c>
      <c r="CF3812">
        <v>0</v>
      </c>
      <c r="CG3812">
        <v>1</v>
      </c>
      <c r="CH3812">
        <v>0</v>
      </c>
      <c r="CI3812">
        <v>0</v>
      </c>
      <c r="CJ3812">
        <v>0</v>
      </c>
      <c r="CK3812">
        <v>2</v>
      </c>
      <c r="CL3812">
        <v>0</v>
      </c>
      <c r="CM3812">
        <v>2</v>
      </c>
      <c r="CN3812">
        <v>0</v>
      </c>
      <c r="CO3812">
        <v>6</v>
      </c>
      <c r="CP3812" t="s">
        <v>119</v>
      </c>
      <c r="CQ3812">
        <v>180</v>
      </c>
      <c r="CR3812">
        <v>3</v>
      </c>
      <c r="CW3812">
        <v>1271050</v>
      </c>
      <c r="CY3812">
        <v>0</v>
      </c>
      <c r="CZ3812">
        <v>0</v>
      </c>
      <c r="DA3812">
        <v>1</v>
      </c>
      <c r="DB3812">
        <v>0</v>
      </c>
      <c r="DC3812">
        <v>0</v>
      </c>
      <c r="DD3812">
        <v>0</v>
      </c>
      <c r="DE3812">
        <v>0</v>
      </c>
      <c r="DF3812">
        <v>0</v>
      </c>
      <c r="DG3812">
        <v>0</v>
      </c>
      <c r="DH3812">
        <v>0</v>
      </c>
      <c r="DI3812">
        <v>0</v>
      </c>
    </row>
    <row r="3813" spans="1:113" x14ac:dyDescent="0.3">
      <c r="A3813" t="str">
        <f>"02/08/2021 20:35:35.634"</f>
        <v>02/08/2021 20:35:35.634</v>
      </c>
      <c r="C3813" t="str">
        <f t="shared" si="188"/>
        <v>FFDFD7C0</v>
      </c>
      <c r="D3813" t="s">
        <v>124</v>
      </c>
      <c r="E3813">
        <v>11</v>
      </c>
      <c r="F3813">
        <v>1011</v>
      </c>
      <c r="G3813" t="s">
        <v>590</v>
      </c>
      <c r="J3813" t="s">
        <v>125</v>
      </c>
      <c r="K3813">
        <v>0</v>
      </c>
      <c r="L3813">
        <v>3</v>
      </c>
      <c r="M3813">
        <v>0</v>
      </c>
      <c r="N3813">
        <v>2</v>
      </c>
      <c r="O3813">
        <v>1</v>
      </c>
      <c r="P3813">
        <v>0</v>
      </c>
      <c r="Q3813">
        <v>0</v>
      </c>
      <c r="S3813" t="str">
        <f>"20:35:37.977"</f>
        <v>20:35:37.977</v>
      </c>
      <c r="T3813" t="str">
        <f>"20:35:37.577"</f>
        <v>20:35:37.577</v>
      </c>
      <c r="U3813" t="str">
        <f t="shared" si="190"/>
        <v>AB01F4</v>
      </c>
      <c r="V3813">
        <v>0</v>
      </c>
      <c r="W3813">
        <v>0</v>
      </c>
      <c r="X3813">
        <v>2</v>
      </c>
      <c r="Z3813">
        <v>0</v>
      </c>
      <c r="AA3813">
        <v>9</v>
      </c>
      <c r="AB3813">
        <v>3</v>
      </c>
      <c r="AC3813">
        <v>0</v>
      </c>
      <c r="AD3813">
        <v>10</v>
      </c>
      <c r="AE3813">
        <v>0</v>
      </c>
      <c r="AF3813">
        <v>3</v>
      </c>
      <c r="AG3813">
        <v>2</v>
      </c>
      <c r="AH3813">
        <v>0</v>
      </c>
      <c r="AI3813" t="s">
        <v>2155</v>
      </c>
      <c r="AJ3813">
        <v>40.125374999999998</v>
      </c>
      <c r="AK3813" t="s">
        <v>2156</v>
      </c>
      <c r="AL3813">
        <v>-93.061881</v>
      </c>
      <c r="AM3813">
        <v>100</v>
      </c>
      <c r="AN3813">
        <v>1300</v>
      </c>
      <c r="AO3813" t="s">
        <v>118</v>
      </c>
      <c r="AP3813">
        <v>-114</v>
      </c>
      <c r="AQ3813">
        <v>62</v>
      </c>
      <c r="AR3813">
        <v>-64</v>
      </c>
      <c r="AZ3813">
        <v>1200</v>
      </c>
      <c r="BA3813">
        <v>1</v>
      </c>
      <c r="BB3813" t="str">
        <f t="shared" si="189"/>
        <v xml:space="preserve">N8080G  </v>
      </c>
      <c r="BC3813">
        <v>1</v>
      </c>
      <c r="BE3813">
        <v>0</v>
      </c>
      <c r="BF3813">
        <v>0</v>
      </c>
      <c r="BG3813">
        <v>0</v>
      </c>
      <c r="BH3813">
        <v>1350</v>
      </c>
      <c r="BI3813">
        <v>1</v>
      </c>
      <c r="BJ3813">
        <v>1</v>
      </c>
      <c r="BK3813">
        <v>1</v>
      </c>
      <c r="BL3813">
        <v>0</v>
      </c>
      <c r="BO3813">
        <v>0</v>
      </c>
      <c r="BP3813">
        <v>0</v>
      </c>
      <c r="BW3813" t="str">
        <f>"20:35:37.982"</f>
        <v>20:35:37.982</v>
      </c>
      <c r="BZ3813">
        <v>0</v>
      </c>
      <c r="CA3813">
        <v>1600</v>
      </c>
      <c r="CB3813">
        <v>224</v>
      </c>
      <c r="CD3813">
        <v>1</v>
      </c>
      <c r="CE3813">
        <v>0</v>
      </c>
      <c r="CF3813">
        <v>0</v>
      </c>
      <c r="CG3813">
        <v>1</v>
      </c>
      <c r="CH3813">
        <v>0</v>
      </c>
      <c r="CI3813">
        <v>0</v>
      </c>
      <c r="CJ3813">
        <v>0</v>
      </c>
      <c r="CK3813">
        <v>2</v>
      </c>
      <c r="CL3813">
        <v>0</v>
      </c>
      <c r="CM3813">
        <v>2</v>
      </c>
      <c r="CN3813">
        <v>0</v>
      </c>
      <c r="CO3813">
        <v>6</v>
      </c>
      <c r="CP3813" t="s">
        <v>119</v>
      </c>
      <c r="CQ3813">
        <v>180</v>
      </c>
      <c r="CR3813">
        <v>3</v>
      </c>
      <c r="CW3813">
        <v>1271050</v>
      </c>
      <c r="CY3813">
        <v>0</v>
      </c>
      <c r="CZ3813">
        <v>0</v>
      </c>
      <c r="DA3813">
        <v>1</v>
      </c>
      <c r="DB3813">
        <v>0</v>
      </c>
      <c r="DC3813">
        <v>0</v>
      </c>
      <c r="DD3813">
        <v>0</v>
      </c>
      <c r="DE3813">
        <v>0</v>
      </c>
      <c r="DF3813">
        <v>0</v>
      </c>
      <c r="DG3813">
        <v>0</v>
      </c>
      <c r="DH3813">
        <v>0</v>
      </c>
      <c r="DI3813">
        <v>0</v>
      </c>
    </row>
    <row r="3814" spans="1:113" x14ac:dyDescent="0.3">
      <c r="A3814" t="str">
        <f>"02/08/2021 20:35:35.634"</f>
        <v>02/08/2021 20:35:35.634</v>
      </c>
      <c r="C3814" t="str">
        <f t="shared" si="188"/>
        <v>FFDFD7C0</v>
      </c>
      <c r="D3814" t="s">
        <v>124</v>
      </c>
      <c r="E3814">
        <v>12</v>
      </c>
      <c r="F3814">
        <v>1012</v>
      </c>
      <c r="G3814" t="s">
        <v>675</v>
      </c>
      <c r="J3814" t="s">
        <v>125</v>
      </c>
      <c r="K3814">
        <v>0</v>
      </c>
      <c r="L3814">
        <v>3</v>
      </c>
      <c r="M3814">
        <v>0</v>
      </c>
      <c r="N3814">
        <v>2</v>
      </c>
      <c r="O3814">
        <v>1</v>
      </c>
      <c r="P3814">
        <v>0</v>
      </c>
      <c r="Q3814">
        <v>0</v>
      </c>
      <c r="S3814" t="str">
        <f>"20:35:37.977"</f>
        <v>20:35:37.977</v>
      </c>
      <c r="T3814" t="str">
        <f>"20:35:37.577"</f>
        <v>20:35:37.577</v>
      </c>
      <c r="U3814" t="str">
        <f t="shared" si="190"/>
        <v>AB01F4</v>
      </c>
      <c r="V3814">
        <v>0</v>
      </c>
      <c r="W3814">
        <v>0</v>
      </c>
      <c r="X3814">
        <v>2</v>
      </c>
      <c r="Z3814">
        <v>0</v>
      </c>
      <c r="AA3814">
        <v>9</v>
      </c>
      <c r="AB3814">
        <v>3</v>
      </c>
      <c r="AC3814">
        <v>0</v>
      </c>
      <c r="AD3814">
        <v>10</v>
      </c>
      <c r="AE3814">
        <v>0</v>
      </c>
      <c r="AF3814">
        <v>3</v>
      </c>
      <c r="AG3814">
        <v>2</v>
      </c>
      <c r="AH3814">
        <v>0</v>
      </c>
      <c r="AI3814" t="s">
        <v>2155</v>
      </c>
      <c r="AJ3814">
        <v>40.125374999999998</v>
      </c>
      <c r="AK3814" t="s">
        <v>2156</v>
      </c>
      <c r="AL3814">
        <v>-93.061881</v>
      </c>
      <c r="AM3814">
        <v>100</v>
      </c>
      <c r="AN3814">
        <v>1300</v>
      </c>
      <c r="AO3814" t="s">
        <v>118</v>
      </c>
      <c r="AP3814">
        <v>-114</v>
      </c>
      <c r="AQ3814">
        <v>62</v>
      </c>
      <c r="AR3814">
        <v>-64</v>
      </c>
      <c r="AZ3814">
        <v>1200</v>
      </c>
      <c r="BA3814">
        <v>1</v>
      </c>
      <c r="BB3814" t="str">
        <f t="shared" si="189"/>
        <v xml:space="preserve">N8080G  </v>
      </c>
      <c r="BC3814">
        <v>1</v>
      </c>
      <c r="BE3814">
        <v>0</v>
      </c>
      <c r="BF3814">
        <v>0</v>
      </c>
      <c r="BG3814">
        <v>0</v>
      </c>
      <c r="BH3814">
        <v>1350</v>
      </c>
      <c r="BI3814">
        <v>1</v>
      </c>
      <c r="BJ3814">
        <v>1</v>
      </c>
      <c r="BK3814">
        <v>1</v>
      </c>
      <c r="BL3814">
        <v>0</v>
      </c>
      <c r="BO3814">
        <v>0</v>
      </c>
      <c r="BP3814">
        <v>0</v>
      </c>
      <c r="BW3814" t="str">
        <f>"20:35:37.982"</f>
        <v>20:35:37.982</v>
      </c>
      <c r="BZ3814">
        <v>0</v>
      </c>
      <c r="CA3814">
        <v>1600</v>
      </c>
      <c r="CB3814">
        <v>224</v>
      </c>
      <c r="CD3814">
        <v>1</v>
      </c>
      <c r="CE3814">
        <v>0</v>
      </c>
      <c r="CF3814">
        <v>0</v>
      </c>
      <c r="CG3814">
        <v>1</v>
      </c>
      <c r="CH3814">
        <v>0</v>
      </c>
      <c r="CI3814">
        <v>0</v>
      </c>
      <c r="CJ3814">
        <v>0</v>
      </c>
      <c r="CK3814">
        <v>2</v>
      </c>
      <c r="CL3814">
        <v>0</v>
      </c>
      <c r="CM3814">
        <v>2</v>
      </c>
      <c r="CN3814">
        <v>0</v>
      </c>
      <c r="CO3814">
        <v>6</v>
      </c>
      <c r="CP3814" t="s">
        <v>119</v>
      </c>
      <c r="CQ3814">
        <v>180</v>
      </c>
      <c r="CR3814">
        <v>3</v>
      </c>
      <c r="CW3814">
        <v>1271050</v>
      </c>
      <c r="CY3814">
        <v>0</v>
      </c>
      <c r="CZ3814">
        <v>0</v>
      </c>
      <c r="DA3814">
        <v>1</v>
      </c>
      <c r="DB3814">
        <v>0</v>
      </c>
      <c r="DC3814">
        <v>0</v>
      </c>
      <c r="DD3814">
        <v>0</v>
      </c>
      <c r="DE3814">
        <v>0</v>
      </c>
      <c r="DF3814">
        <v>0</v>
      </c>
      <c r="DG3814">
        <v>0</v>
      </c>
      <c r="DH3814">
        <v>0</v>
      </c>
      <c r="DI3814">
        <v>0</v>
      </c>
    </row>
    <row r="3815" spans="1:113" x14ac:dyDescent="0.3">
      <c r="A3815" t="str">
        <f>"02/08/2021 20:35:36.675"</f>
        <v>02/08/2021 20:35:36.675</v>
      </c>
      <c r="C3815" t="str">
        <f t="shared" ref="C3815:C3878" si="191">"FFDFD7C0"</f>
        <v>FFDFD7C0</v>
      </c>
      <c r="D3815" t="s">
        <v>124</v>
      </c>
      <c r="E3815">
        <v>12</v>
      </c>
      <c r="F3815">
        <v>1012</v>
      </c>
      <c r="G3815" t="s">
        <v>675</v>
      </c>
      <c r="J3815" t="s">
        <v>125</v>
      </c>
      <c r="K3815">
        <v>0</v>
      </c>
      <c r="L3815">
        <v>3</v>
      </c>
      <c r="M3815">
        <v>0</v>
      </c>
      <c r="N3815">
        <v>2</v>
      </c>
      <c r="O3815">
        <v>1</v>
      </c>
      <c r="P3815">
        <v>0</v>
      </c>
      <c r="Q3815">
        <v>0</v>
      </c>
      <c r="S3815" t="str">
        <f>"20:35:38.969"</f>
        <v>20:35:38.969</v>
      </c>
      <c r="T3815" t="str">
        <f>"20:35:38.469"</f>
        <v>20:35:38.469</v>
      </c>
      <c r="U3815" t="str">
        <f t="shared" si="190"/>
        <v>AB01F4</v>
      </c>
      <c r="V3815">
        <v>0</v>
      </c>
      <c r="W3815">
        <v>0</v>
      </c>
      <c r="X3815">
        <v>2</v>
      </c>
      <c r="Z3815">
        <v>0</v>
      </c>
      <c r="AA3815">
        <v>9</v>
      </c>
      <c r="AB3815">
        <v>3</v>
      </c>
      <c r="AC3815">
        <v>0</v>
      </c>
      <c r="AD3815">
        <v>10</v>
      </c>
      <c r="AE3815">
        <v>0</v>
      </c>
      <c r="AF3815">
        <v>3</v>
      </c>
      <c r="AG3815">
        <v>2</v>
      </c>
      <c r="AH3815">
        <v>0</v>
      </c>
      <c r="AI3815" t="s">
        <v>2157</v>
      </c>
      <c r="AJ3815">
        <v>40.125632000000003</v>
      </c>
      <c r="AK3815" t="s">
        <v>2158</v>
      </c>
      <c r="AL3815">
        <v>-93.062631999999994</v>
      </c>
      <c r="AM3815">
        <v>100</v>
      </c>
      <c r="AN3815">
        <v>1300</v>
      </c>
      <c r="AO3815" t="s">
        <v>118</v>
      </c>
      <c r="AP3815">
        <v>-115</v>
      </c>
      <c r="AQ3815">
        <v>61</v>
      </c>
      <c r="AR3815">
        <v>0</v>
      </c>
      <c r="AZ3815">
        <v>1200</v>
      </c>
      <c r="BA3815">
        <v>1</v>
      </c>
      <c r="BB3815" t="str">
        <f t="shared" si="189"/>
        <v xml:space="preserve">N8080G  </v>
      </c>
      <c r="BC3815">
        <v>1</v>
      </c>
      <c r="BE3815">
        <v>0</v>
      </c>
      <c r="BF3815">
        <v>0</v>
      </c>
      <c r="BG3815">
        <v>0</v>
      </c>
      <c r="BH3815">
        <v>1350</v>
      </c>
      <c r="BI3815">
        <v>1</v>
      </c>
      <c r="BJ3815">
        <v>1</v>
      </c>
      <c r="BK3815">
        <v>1</v>
      </c>
      <c r="BL3815">
        <v>0</v>
      </c>
      <c r="BO3815">
        <v>0</v>
      </c>
      <c r="BP3815">
        <v>0</v>
      </c>
      <c r="BW3815" t="str">
        <f>"20:35:38.976"</f>
        <v>20:35:38.976</v>
      </c>
      <c r="BZ3815">
        <v>0</v>
      </c>
      <c r="CA3815">
        <v>1600</v>
      </c>
      <c r="CB3815">
        <v>224</v>
      </c>
      <c r="CD3815">
        <v>1</v>
      </c>
      <c r="CE3815">
        <v>0</v>
      </c>
      <c r="CF3815">
        <v>0</v>
      </c>
      <c r="CG3815">
        <v>1</v>
      </c>
      <c r="CH3815">
        <v>0</v>
      </c>
      <c r="CI3815">
        <v>0</v>
      </c>
      <c r="CJ3815">
        <v>0</v>
      </c>
      <c r="CK3815">
        <v>2</v>
      </c>
      <c r="CL3815">
        <v>0</v>
      </c>
      <c r="CM3815">
        <v>2</v>
      </c>
      <c r="CN3815">
        <v>0</v>
      </c>
      <c r="CO3815">
        <v>6</v>
      </c>
      <c r="CP3815" t="s">
        <v>119</v>
      </c>
      <c r="CQ3815">
        <v>180</v>
      </c>
      <c r="CR3815">
        <v>3</v>
      </c>
      <c r="CW3815">
        <v>1271862</v>
      </c>
      <c r="CY3815">
        <v>0</v>
      </c>
      <c r="CZ3815">
        <v>0</v>
      </c>
      <c r="DA3815">
        <v>0</v>
      </c>
      <c r="DB3815">
        <v>0</v>
      </c>
      <c r="DC3815">
        <v>0</v>
      </c>
      <c r="DD3815">
        <v>0</v>
      </c>
      <c r="DE3815">
        <v>0</v>
      </c>
      <c r="DF3815">
        <v>0</v>
      </c>
      <c r="DG3815">
        <v>0</v>
      </c>
      <c r="DH3815">
        <v>0</v>
      </c>
      <c r="DI3815">
        <v>0</v>
      </c>
    </row>
    <row r="3816" spans="1:113" x14ac:dyDescent="0.3">
      <c r="A3816" t="str">
        <f>"02/08/2021 20:35:36.675"</f>
        <v>02/08/2021 20:35:36.675</v>
      </c>
      <c r="C3816" t="str">
        <f t="shared" si="191"/>
        <v>FFDFD7C0</v>
      </c>
      <c r="D3816" t="s">
        <v>124</v>
      </c>
      <c r="E3816">
        <v>13</v>
      </c>
      <c r="F3816">
        <v>1013</v>
      </c>
      <c r="G3816" t="s">
        <v>114</v>
      </c>
      <c r="J3816" t="s">
        <v>125</v>
      </c>
      <c r="K3816">
        <v>0</v>
      </c>
      <c r="L3816">
        <v>3</v>
      </c>
      <c r="M3816">
        <v>0</v>
      </c>
      <c r="N3816">
        <v>2</v>
      </c>
      <c r="O3816">
        <v>1</v>
      </c>
      <c r="P3816">
        <v>0</v>
      </c>
      <c r="Q3816">
        <v>0</v>
      </c>
      <c r="S3816" t="str">
        <f>"20:35:38.969"</f>
        <v>20:35:38.969</v>
      </c>
      <c r="T3816" t="str">
        <f>"20:35:38.469"</f>
        <v>20:35:38.469</v>
      </c>
      <c r="U3816" t="str">
        <f t="shared" si="190"/>
        <v>AB01F4</v>
      </c>
      <c r="V3816">
        <v>0</v>
      </c>
      <c r="W3816">
        <v>0</v>
      </c>
      <c r="X3816">
        <v>2</v>
      </c>
      <c r="Z3816">
        <v>0</v>
      </c>
      <c r="AA3816">
        <v>9</v>
      </c>
      <c r="AB3816">
        <v>3</v>
      </c>
      <c r="AC3816">
        <v>0</v>
      </c>
      <c r="AD3816">
        <v>10</v>
      </c>
      <c r="AE3816">
        <v>0</v>
      </c>
      <c r="AF3816">
        <v>3</v>
      </c>
      <c r="AG3816">
        <v>2</v>
      </c>
      <c r="AH3816">
        <v>0</v>
      </c>
      <c r="AI3816" t="s">
        <v>2157</v>
      </c>
      <c r="AJ3816">
        <v>40.125632000000003</v>
      </c>
      <c r="AK3816" t="s">
        <v>2158</v>
      </c>
      <c r="AL3816">
        <v>-93.062631999999994</v>
      </c>
      <c r="AM3816">
        <v>100</v>
      </c>
      <c r="AN3816">
        <v>1300</v>
      </c>
      <c r="AO3816" t="s">
        <v>118</v>
      </c>
      <c r="AP3816">
        <v>-115</v>
      </c>
      <c r="AQ3816">
        <v>61</v>
      </c>
      <c r="AR3816">
        <v>0</v>
      </c>
      <c r="AZ3816">
        <v>1200</v>
      </c>
      <c r="BA3816">
        <v>1</v>
      </c>
      <c r="BB3816" t="str">
        <f t="shared" si="189"/>
        <v xml:space="preserve">N8080G  </v>
      </c>
      <c r="BC3816">
        <v>1</v>
      </c>
      <c r="BE3816">
        <v>0</v>
      </c>
      <c r="BF3816">
        <v>0</v>
      </c>
      <c r="BG3816">
        <v>0</v>
      </c>
      <c r="BH3816">
        <v>1350</v>
      </c>
      <c r="BI3816">
        <v>1</v>
      </c>
      <c r="BJ3816">
        <v>1</v>
      </c>
      <c r="BK3816">
        <v>1</v>
      </c>
      <c r="BL3816">
        <v>0</v>
      </c>
      <c r="BO3816">
        <v>0</v>
      </c>
      <c r="BP3816">
        <v>0</v>
      </c>
      <c r="BW3816" t="str">
        <f>"20:35:38.976"</f>
        <v>20:35:38.976</v>
      </c>
      <c r="BZ3816">
        <v>0</v>
      </c>
      <c r="CA3816">
        <v>1600</v>
      </c>
      <c r="CB3816">
        <v>224</v>
      </c>
      <c r="CD3816">
        <v>1</v>
      </c>
      <c r="CE3816">
        <v>0</v>
      </c>
      <c r="CF3816">
        <v>0</v>
      </c>
      <c r="CG3816">
        <v>1</v>
      </c>
      <c r="CH3816">
        <v>0</v>
      </c>
      <c r="CI3816">
        <v>0</v>
      </c>
      <c r="CJ3816">
        <v>0</v>
      </c>
      <c r="CK3816">
        <v>2</v>
      </c>
      <c r="CL3816">
        <v>0</v>
      </c>
      <c r="CM3816">
        <v>2</v>
      </c>
      <c r="CN3816">
        <v>0</v>
      </c>
      <c r="CO3816">
        <v>6</v>
      </c>
      <c r="CP3816" t="s">
        <v>119</v>
      </c>
      <c r="CQ3816">
        <v>180</v>
      </c>
      <c r="CR3816">
        <v>3</v>
      </c>
      <c r="CW3816">
        <v>1271862</v>
      </c>
      <c r="CY3816">
        <v>0</v>
      </c>
      <c r="CZ3816">
        <v>0</v>
      </c>
      <c r="DA3816">
        <v>1</v>
      </c>
      <c r="DB3816">
        <v>0</v>
      </c>
      <c r="DC3816">
        <v>0</v>
      </c>
      <c r="DD3816">
        <v>0</v>
      </c>
      <c r="DE3816">
        <v>0</v>
      </c>
      <c r="DF3816">
        <v>0</v>
      </c>
      <c r="DG3816">
        <v>0</v>
      </c>
      <c r="DH3816">
        <v>0</v>
      </c>
      <c r="DI3816">
        <v>0</v>
      </c>
    </row>
    <row r="3817" spans="1:113" x14ac:dyDescent="0.3">
      <c r="A3817" t="str">
        <f>"02/08/2021 20:35:36.675"</f>
        <v>02/08/2021 20:35:36.675</v>
      </c>
      <c r="C3817" t="str">
        <f t="shared" si="191"/>
        <v>FFDFD7C0</v>
      </c>
      <c r="D3817" t="s">
        <v>113</v>
      </c>
      <c r="E3817">
        <v>6</v>
      </c>
      <c r="H3817">
        <v>165</v>
      </c>
      <c r="I3817" t="s">
        <v>114</v>
      </c>
      <c r="J3817" t="s">
        <v>115</v>
      </c>
      <c r="K3817">
        <v>0</v>
      </c>
      <c r="L3817">
        <v>3</v>
      </c>
      <c r="M3817">
        <v>0</v>
      </c>
      <c r="N3817">
        <v>2</v>
      </c>
      <c r="O3817">
        <v>1</v>
      </c>
      <c r="P3817">
        <v>0</v>
      </c>
      <c r="Q3817">
        <v>0</v>
      </c>
      <c r="S3817" t="str">
        <f>"20:35:38.969"</f>
        <v>20:35:38.969</v>
      </c>
      <c r="T3817" t="str">
        <f>"20:35:38.469"</f>
        <v>20:35:38.469</v>
      </c>
      <c r="U3817" t="str">
        <f t="shared" si="190"/>
        <v>AB01F4</v>
      </c>
      <c r="V3817">
        <v>0</v>
      </c>
      <c r="W3817">
        <v>0</v>
      </c>
      <c r="X3817">
        <v>2</v>
      </c>
      <c r="Z3817">
        <v>0</v>
      </c>
      <c r="AA3817">
        <v>9</v>
      </c>
      <c r="AB3817">
        <v>3</v>
      </c>
      <c r="AC3817">
        <v>0</v>
      </c>
      <c r="AD3817">
        <v>10</v>
      </c>
      <c r="AE3817">
        <v>0</v>
      </c>
      <c r="AF3817">
        <v>3</v>
      </c>
      <c r="AG3817">
        <v>2</v>
      </c>
      <c r="AH3817">
        <v>0</v>
      </c>
      <c r="AI3817" t="s">
        <v>2157</v>
      </c>
      <c r="AJ3817">
        <v>40.125632000000003</v>
      </c>
      <c r="AK3817" t="s">
        <v>2158</v>
      </c>
      <c r="AL3817">
        <v>-93.062631999999994</v>
      </c>
      <c r="AM3817">
        <v>100</v>
      </c>
      <c r="AN3817">
        <v>1300</v>
      </c>
      <c r="AO3817" t="s">
        <v>118</v>
      </c>
      <c r="AP3817">
        <v>-115</v>
      </c>
      <c r="AQ3817">
        <v>61</v>
      </c>
      <c r="AR3817">
        <v>0</v>
      </c>
      <c r="AZ3817">
        <v>1200</v>
      </c>
      <c r="BA3817">
        <v>1</v>
      </c>
      <c r="BB3817" t="str">
        <f t="shared" si="189"/>
        <v xml:space="preserve">N8080G  </v>
      </c>
      <c r="BC3817">
        <v>1</v>
      </c>
      <c r="BE3817">
        <v>0</v>
      </c>
      <c r="BF3817">
        <v>0</v>
      </c>
      <c r="BG3817">
        <v>0</v>
      </c>
      <c r="BH3817">
        <v>1350</v>
      </c>
      <c r="BI3817">
        <v>1</v>
      </c>
      <c r="BJ3817">
        <v>1</v>
      </c>
      <c r="BK3817">
        <v>1</v>
      </c>
      <c r="BL3817">
        <v>0</v>
      </c>
      <c r="BO3817">
        <v>0</v>
      </c>
      <c r="BP3817">
        <v>0</v>
      </c>
      <c r="BW3817" t="str">
        <f>"20:35:38.976"</f>
        <v>20:35:38.976</v>
      </c>
      <c r="BZ3817">
        <v>0</v>
      </c>
      <c r="CA3817">
        <v>1600</v>
      </c>
      <c r="CB3817">
        <v>224</v>
      </c>
      <c r="CD3817">
        <v>1</v>
      </c>
      <c r="CE3817">
        <v>0</v>
      </c>
      <c r="CF3817">
        <v>0</v>
      </c>
      <c r="CG3817">
        <v>1</v>
      </c>
      <c r="CH3817">
        <v>0</v>
      </c>
      <c r="CI3817">
        <v>0</v>
      </c>
      <c r="CJ3817">
        <v>0</v>
      </c>
      <c r="CK3817">
        <v>2</v>
      </c>
      <c r="CL3817">
        <v>0</v>
      </c>
      <c r="CM3817">
        <v>2</v>
      </c>
      <c r="CN3817">
        <v>0</v>
      </c>
      <c r="CO3817">
        <v>6</v>
      </c>
      <c r="CP3817" t="s">
        <v>119</v>
      </c>
      <c r="CQ3817">
        <v>180</v>
      </c>
      <c r="CR3817">
        <v>3</v>
      </c>
      <c r="CW3817">
        <v>1271862</v>
      </c>
      <c r="CY3817">
        <v>0</v>
      </c>
      <c r="CZ3817">
        <v>0</v>
      </c>
      <c r="DA3817">
        <v>1</v>
      </c>
      <c r="DB3817">
        <v>0</v>
      </c>
      <c r="DC3817">
        <v>0</v>
      </c>
      <c r="DD3817">
        <v>0</v>
      </c>
      <c r="DE3817">
        <v>0</v>
      </c>
      <c r="DF3817">
        <v>0</v>
      </c>
      <c r="DG3817">
        <v>0</v>
      </c>
      <c r="DH3817">
        <v>0</v>
      </c>
      <c r="DI3817">
        <v>0</v>
      </c>
    </row>
    <row r="3818" spans="1:113" x14ac:dyDescent="0.3">
      <c r="A3818" t="str">
        <f>"02/08/2021 20:35:36.675"</f>
        <v>02/08/2021 20:35:36.675</v>
      </c>
      <c r="C3818" t="str">
        <f t="shared" si="191"/>
        <v>FFDFD7C0</v>
      </c>
      <c r="D3818" t="s">
        <v>124</v>
      </c>
      <c r="E3818">
        <v>11</v>
      </c>
      <c r="F3818">
        <v>1011</v>
      </c>
      <c r="G3818" t="s">
        <v>590</v>
      </c>
      <c r="J3818" t="s">
        <v>125</v>
      </c>
      <c r="K3818">
        <v>0</v>
      </c>
      <c r="L3818">
        <v>3</v>
      </c>
      <c r="M3818">
        <v>0</v>
      </c>
      <c r="N3818">
        <v>2</v>
      </c>
      <c r="O3818">
        <v>1</v>
      </c>
      <c r="P3818">
        <v>0</v>
      </c>
      <c r="Q3818">
        <v>0</v>
      </c>
      <c r="S3818" t="str">
        <f>"20:35:38.969"</f>
        <v>20:35:38.969</v>
      </c>
      <c r="T3818" t="str">
        <f>"20:35:38.469"</f>
        <v>20:35:38.469</v>
      </c>
      <c r="U3818" t="str">
        <f t="shared" si="190"/>
        <v>AB01F4</v>
      </c>
      <c r="V3818">
        <v>0</v>
      </c>
      <c r="W3818">
        <v>0</v>
      </c>
      <c r="X3818">
        <v>2</v>
      </c>
      <c r="Z3818">
        <v>0</v>
      </c>
      <c r="AA3818">
        <v>9</v>
      </c>
      <c r="AB3818">
        <v>3</v>
      </c>
      <c r="AC3818">
        <v>0</v>
      </c>
      <c r="AD3818">
        <v>10</v>
      </c>
      <c r="AE3818">
        <v>0</v>
      </c>
      <c r="AF3818">
        <v>3</v>
      </c>
      <c r="AG3818">
        <v>2</v>
      </c>
      <c r="AH3818">
        <v>0</v>
      </c>
      <c r="AI3818" t="s">
        <v>2157</v>
      </c>
      <c r="AJ3818">
        <v>40.125632000000003</v>
      </c>
      <c r="AK3818" t="s">
        <v>2158</v>
      </c>
      <c r="AL3818">
        <v>-93.062631999999994</v>
      </c>
      <c r="AM3818">
        <v>100</v>
      </c>
      <c r="AN3818">
        <v>1300</v>
      </c>
      <c r="AO3818" t="s">
        <v>118</v>
      </c>
      <c r="AP3818">
        <v>-115</v>
      </c>
      <c r="AQ3818">
        <v>61</v>
      </c>
      <c r="AR3818">
        <v>0</v>
      </c>
      <c r="AZ3818">
        <v>1200</v>
      </c>
      <c r="BA3818">
        <v>1</v>
      </c>
      <c r="BB3818" t="str">
        <f t="shared" si="189"/>
        <v xml:space="preserve">N8080G  </v>
      </c>
      <c r="BC3818">
        <v>1</v>
      </c>
      <c r="BE3818">
        <v>0</v>
      </c>
      <c r="BF3818">
        <v>0</v>
      </c>
      <c r="BG3818">
        <v>0</v>
      </c>
      <c r="BH3818">
        <v>1350</v>
      </c>
      <c r="BI3818">
        <v>1</v>
      </c>
      <c r="BJ3818">
        <v>1</v>
      </c>
      <c r="BK3818">
        <v>1</v>
      </c>
      <c r="BL3818">
        <v>0</v>
      </c>
      <c r="BO3818">
        <v>0</v>
      </c>
      <c r="BP3818">
        <v>0</v>
      </c>
      <c r="BW3818" t="str">
        <f>"20:35:38.976"</f>
        <v>20:35:38.976</v>
      </c>
      <c r="BZ3818">
        <v>0</v>
      </c>
      <c r="CA3818">
        <v>1600</v>
      </c>
      <c r="CB3818">
        <v>224</v>
      </c>
      <c r="CD3818">
        <v>1</v>
      </c>
      <c r="CE3818">
        <v>0</v>
      </c>
      <c r="CF3818">
        <v>0</v>
      </c>
      <c r="CG3818">
        <v>1</v>
      </c>
      <c r="CH3818">
        <v>0</v>
      </c>
      <c r="CI3818">
        <v>0</v>
      </c>
      <c r="CJ3818">
        <v>0</v>
      </c>
      <c r="CK3818">
        <v>2</v>
      </c>
      <c r="CL3818">
        <v>0</v>
      </c>
      <c r="CM3818">
        <v>2</v>
      </c>
      <c r="CN3818">
        <v>0</v>
      </c>
      <c r="CO3818">
        <v>6</v>
      </c>
      <c r="CP3818" t="s">
        <v>119</v>
      </c>
      <c r="CQ3818">
        <v>180</v>
      </c>
      <c r="CR3818">
        <v>3</v>
      </c>
      <c r="CW3818">
        <v>1271862</v>
      </c>
      <c r="CY3818">
        <v>0</v>
      </c>
      <c r="CZ3818">
        <v>0</v>
      </c>
      <c r="DA3818">
        <v>1</v>
      </c>
      <c r="DB3818">
        <v>0</v>
      </c>
      <c r="DC3818">
        <v>0</v>
      </c>
      <c r="DD3818">
        <v>0</v>
      </c>
      <c r="DE3818">
        <v>0</v>
      </c>
      <c r="DF3818">
        <v>0</v>
      </c>
      <c r="DG3818">
        <v>0</v>
      </c>
      <c r="DH3818">
        <v>0</v>
      </c>
      <c r="DI3818">
        <v>0</v>
      </c>
    </row>
    <row r="3819" spans="1:113" x14ac:dyDescent="0.3">
      <c r="A3819" t="str">
        <f>"02/08/2021 20:35:37.543"</f>
        <v>02/08/2021 20:35:37.543</v>
      </c>
      <c r="C3819" t="str">
        <f t="shared" si="191"/>
        <v>FFDFD7C0</v>
      </c>
      <c r="D3819" t="s">
        <v>124</v>
      </c>
      <c r="E3819">
        <v>13</v>
      </c>
      <c r="F3819">
        <v>1013</v>
      </c>
      <c r="G3819" t="s">
        <v>114</v>
      </c>
      <c r="J3819" t="s">
        <v>125</v>
      </c>
      <c r="K3819">
        <v>0</v>
      </c>
      <c r="L3819">
        <v>3</v>
      </c>
      <c r="M3819">
        <v>0</v>
      </c>
      <c r="N3819">
        <v>2</v>
      </c>
      <c r="O3819">
        <v>1</v>
      </c>
      <c r="P3819">
        <v>0</v>
      </c>
      <c r="Q3819">
        <v>0</v>
      </c>
      <c r="S3819" t="str">
        <f>"20:35:39.891"</f>
        <v>20:35:39.891</v>
      </c>
      <c r="T3819" t="str">
        <f>"20:35:39.491"</f>
        <v>20:35:39.491</v>
      </c>
      <c r="U3819" t="str">
        <f t="shared" si="190"/>
        <v>AB01F4</v>
      </c>
      <c r="V3819">
        <v>0</v>
      </c>
      <c r="W3819">
        <v>0</v>
      </c>
      <c r="X3819">
        <v>2</v>
      </c>
      <c r="Z3819">
        <v>0</v>
      </c>
      <c r="AA3819">
        <v>9</v>
      </c>
      <c r="AB3819">
        <v>3</v>
      </c>
      <c r="AC3819">
        <v>0</v>
      </c>
      <c r="AD3819">
        <v>10</v>
      </c>
      <c r="AE3819">
        <v>0</v>
      </c>
      <c r="AF3819">
        <v>3</v>
      </c>
      <c r="AG3819">
        <v>2</v>
      </c>
      <c r="AH3819">
        <v>0</v>
      </c>
      <c r="AI3819" t="s">
        <v>2159</v>
      </c>
      <c r="AJ3819">
        <v>40.125933000000003</v>
      </c>
      <c r="AK3819" t="s">
        <v>2160</v>
      </c>
      <c r="AL3819">
        <v>-93.063190000000006</v>
      </c>
      <c r="AM3819">
        <v>100</v>
      </c>
      <c r="AN3819">
        <v>1300</v>
      </c>
      <c r="AO3819" t="s">
        <v>118</v>
      </c>
      <c r="AP3819">
        <v>-115</v>
      </c>
      <c r="AQ3819">
        <v>61</v>
      </c>
      <c r="AR3819">
        <v>0</v>
      </c>
      <c r="AZ3819">
        <v>1200</v>
      </c>
      <c r="BA3819">
        <v>1</v>
      </c>
      <c r="BB3819" t="str">
        <f t="shared" si="189"/>
        <v xml:space="preserve">N8080G  </v>
      </c>
      <c r="BC3819">
        <v>1</v>
      </c>
      <c r="BE3819">
        <v>0</v>
      </c>
      <c r="BF3819">
        <v>0</v>
      </c>
      <c r="BG3819">
        <v>0</v>
      </c>
      <c r="BH3819">
        <v>1350</v>
      </c>
      <c r="BI3819">
        <v>1</v>
      </c>
      <c r="BJ3819">
        <v>1</v>
      </c>
      <c r="BK3819">
        <v>1</v>
      </c>
      <c r="BL3819">
        <v>0</v>
      </c>
      <c r="BO3819">
        <v>0</v>
      </c>
      <c r="BP3819">
        <v>0</v>
      </c>
      <c r="BW3819" t="str">
        <f>"20:35:39.894"</f>
        <v>20:35:39.894</v>
      </c>
      <c r="BZ3819">
        <v>0</v>
      </c>
      <c r="CA3819">
        <v>1600</v>
      </c>
      <c r="CB3819">
        <v>224</v>
      </c>
      <c r="CD3819">
        <v>1</v>
      </c>
      <c r="CE3819">
        <v>0</v>
      </c>
      <c r="CF3819">
        <v>0</v>
      </c>
      <c r="CG3819">
        <v>1</v>
      </c>
      <c r="CH3819">
        <v>0</v>
      </c>
      <c r="CI3819">
        <v>0</v>
      </c>
      <c r="CJ3819">
        <v>0</v>
      </c>
      <c r="CK3819">
        <v>2</v>
      </c>
      <c r="CL3819">
        <v>0</v>
      </c>
      <c r="CM3819">
        <v>2</v>
      </c>
      <c r="CN3819">
        <v>0</v>
      </c>
      <c r="CO3819">
        <v>6</v>
      </c>
      <c r="CP3819" t="s">
        <v>119</v>
      </c>
      <c r="CQ3819">
        <v>180</v>
      </c>
      <c r="CR3819">
        <v>3</v>
      </c>
      <c r="CW3819">
        <v>1272490</v>
      </c>
      <c r="CY3819">
        <v>0</v>
      </c>
      <c r="CZ3819">
        <v>0</v>
      </c>
      <c r="DA3819">
        <v>0</v>
      </c>
      <c r="DB3819">
        <v>0</v>
      </c>
      <c r="DC3819">
        <v>0</v>
      </c>
      <c r="DD3819">
        <v>0</v>
      </c>
      <c r="DE3819">
        <v>0</v>
      </c>
      <c r="DF3819">
        <v>0</v>
      </c>
      <c r="DG3819">
        <v>0</v>
      </c>
      <c r="DH3819">
        <v>0</v>
      </c>
      <c r="DI3819">
        <v>0</v>
      </c>
    </row>
    <row r="3820" spans="1:113" x14ac:dyDescent="0.3">
      <c r="A3820" t="str">
        <f>"02/08/2021 20:35:37.543"</f>
        <v>02/08/2021 20:35:37.543</v>
      </c>
      <c r="C3820" t="str">
        <f t="shared" si="191"/>
        <v>FFDFD7C0</v>
      </c>
      <c r="D3820" t="s">
        <v>113</v>
      </c>
      <c r="E3820">
        <v>6</v>
      </c>
      <c r="H3820">
        <v>165</v>
      </c>
      <c r="I3820" t="s">
        <v>114</v>
      </c>
      <c r="J3820" t="s">
        <v>115</v>
      </c>
      <c r="K3820">
        <v>0</v>
      </c>
      <c r="L3820">
        <v>3</v>
      </c>
      <c r="M3820">
        <v>0</v>
      </c>
      <c r="N3820">
        <v>2</v>
      </c>
      <c r="O3820">
        <v>1</v>
      </c>
      <c r="P3820">
        <v>0</v>
      </c>
      <c r="Q3820">
        <v>0</v>
      </c>
      <c r="S3820" t="str">
        <f>"20:35:39.891"</f>
        <v>20:35:39.891</v>
      </c>
      <c r="T3820" t="str">
        <f>"20:35:39.491"</f>
        <v>20:35:39.491</v>
      </c>
      <c r="U3820" t="str">
        <f t="shared" si="190"/>
        <v>AB01F4</v>
      </c>
      <c r="V3820">
        <v>0</v>
      </c>
      <c r="W3820">
        <v>0</v>
      </c>
      <c r="X3820">
        <v>2</v>
      </c>
      <c r="Z3820">
        <v>0</v>
      </c>
      <c r="AA3820">
        <v>9</v>
      </c>
      <c r="AB3820">
        <v>3</v>
      </c>
      <c r="AC3820">
        <v>0</v>
      </c>
      <c r="AD3820">
        <v>10</v>
      </c>
      <c r="AE3820">
        <v>0</v>
      </c>
      <c r="AF3820">
        <v>3</v>
      </c>
      <c r="AG3820">
        <v>2</v>
      </c>
      <c r="AH3820">
        <v>0</v>
      </c>
      <c r="AI3820" t="s">
        <v>2159</v>
      </c>
      <c r="AJ3820">
        <v>40.125933000000003</v>
      </c>
      <c r="AK3820" t="s">
        <v>2160</v>
      </c>
      <c r="AL3820">
        <v>-93.063190000000006</v>
      </c>
      <c r="AM3820">
        <v>100</v>
      </c>
      <c r="AN3820">
        <v>1300</v>
      </c>
      <c r="AO3820" t="s">
        <v>118</v>
      </c>
      <c r="AP3820">
        <v>-115</v>
      </c>
      <c r="AQ3820">
        <v>61</v>
      </c>
      <c r="AR3820">
        <v>0</v>
      </c>
      <c r="AZ3820">
        <v>1200</v>
      </c>
      <c r="BA3820">
        <v>1</v>
      </c>
      <c r="BB3820" t="str">
        <f t="shared" si="189"/>
        <v xml:space="preserve">N8080G  </v>
      </c>
      <c r="BC3820">
        <v>1</v>
      </c>
      <c r="BE3820">
        <v>0</v>
      </c>
      <c r="BF3820">
        <v>0</v>
      </c>
      <c r="BG3820">
        <v>0</v>
      </c>
      <c r="BH3820">
        <v>1350</v>
      </c>
      <c r="BI3820">
        <v>1</v>
      </c>
      <c r="BJ3820">
        <v>1</v>
      </c>
      <c r="BK3820">
        <v>1</v>
      </c>
      <c r="BL3820">
        <v>0</v>
      </c>
      <c r="BO3820">
        <v>0</v>
      </c>
      <c r="BP3820">
        <v>0</v>
      </c>
      <c r="BW3820" t="str">
        <f>"20:35:39.894"</f>
        <v>20:35:39.894</v>
      </c>
      <c r="BZ3820">
        <v>0</v>
      </c>
      <c r="CA3820">
        <v>1600</v>
      </c>
      <c r="CB3820">
        <v>224</v>
      </c>
      <c r="CD3820">
        <v>1</v>
      </c>
      <c r="CE3820">
        <v>0</v>
      </c>
      <c r="CF3820">
        <v>0</v>
      </c>
      <c r="CG3820">
        <v>1</v>
      </c>
      <c r="CH3820">
        <v>0</v>
      </c>
      <c r="CI3820">
        <v>0</v>
      </c>
      <c r="CJ3820">
        <v>0</v>
      </c>
      <c r="CK3820">
        <v>2</v>
      </c>
      <c r="CL3820">
        <v>0</v>
      </c>
      <c r="CM3820">
        <v>2</v>
      </c>
      <c r="CN3820">
        <v>0</v>
      </c>
      <c r="CO3820">
        <v>6</v>
      </c>
      <c r="CP3820" t="s">
        <v>119</v>
      </c>
      <c r="CQ3820">
        <v>180</v>
      </c>
      <c r="CR3820">
        <v>3</v>
      </c>
      <c r="CW3820">
        <v>1272490</v>
      </c>
      <c r="CY3820">
        <v>0</v>
      </c>
      <c r="CZ3820">
        <v>0</v>
      </c>
      <c r="DA3820">
        <v>1</v>
      </c>
      <c r="DB3820">
        <v>0</v>
      </c>
      <c r="DC3820">
        <v>0</v>
      </c>
      <c r="DD3820">
        <v>0</v>
      </c>
      <c r="DE3820">
        <v>0</v>
      </c>
      <c r="DF3820">
        <v>0</v>
      </c>
      <c r="DG3820">
        <v>0</v>
      </c>
      <c r="DH3820">
        <v>0</v>
      </c>
      <c r="DI3820">
        <v>0</v>
      </c>
    </row>
    <row r="3821" spans="1:113" x14ac:dyDescent="0.3">
      <c r="A3821" t="str">
        <f>"02/08/2021 20:35:37.543"</f>
        <v>02/08/2021 20:35:37.543</v>
      </c>
      <c r="C3821" t="str">
        <f t="shared" si="191"/>
        <v>FFDFD7C0</v>
      </c>
      <c r="D3821" t="s">
        <v>124</v>
      </c>
      <c r="E3821">
        <v>11</v>
      </c>
      <c r="F3821">
        <v>1011</v>
      </c>
      <c r="G3821" t="s">
        <v>590</v>
      </c>
      <c r="J3821" t="s">
        <v>125</v>
      </c>
      <c r="K3821">
        <v>0</v>
      </c>
      <c r="L3821">
        <v>3</v>
      </c>
      <c r="M3821">
        <v>0</v>
      </c>
      <c r="N3821">
        <v>2</v>
      </c>
      <c r="O3821">
        <v>1</v>
      </c>
      <c r="P3821">
        <v>0</v>
      </c>
      <c r="Q3821">
        <v>0</v>
      </c>
      <c r="S3821" t="str">
        <f>"20:35:39.891"</f>
        <v>20:35:39.891</v>
      </c>
      <c r="T3821" t="str">
        <f>"20:35:39.491"</f>
        <v>20:35:39.491</v>
      </c>
      <c r="U3821" t="str">
        <f t="shared" si="190"/>
        <v>AB01F4</v>
      </c>
      <c r="V3821">
        <v>0</v>
      </c>
      <c r="W3821">
        <v>0</v>
      </c>
      <c r="X3821">
        <v>2</v>
      </c>
      <c r="Z3821">
        <v>0</v>
      </c>
      <c r="AA3821">
        <v>9</v>
      </c>
      <c r="AB3821">
        <v>3</v>
      </c>
      <c r="AC3821">
        <v>0</v>
      </c>
      <c r="AD3821">
        <v>10</v>
      </c>
      <c r="AE3821">
        <v>0</v>
      </c>
      <c r="AF3821">
        <v>3</v>
      </c>
      <c r="AG3821">
        <v>2</v>
      </c>
      <c r="AH3821">
        <v>0</v>
      </c>
      <c r="AI3821" t="s">
        <v>2159</v>
      </c>
      <c r="AJ3821">
        <v>40.125933000000003</v>
      </c>
      <c r="AK3821" t="s">
        <v>2160</v>
      </c>
      <c r="AL3821">
        <v>-93.063190000000006</v>
      </c>
      <c r="AM3821">
        <v>100</v>
      </c>
      <c r="AN3821">
        <v>1300</v>
      </c>
      <c r="AO3821" t="s">
        <v>118</v>
      </c>
      <c r="AP3821">
        <v>-115</v>
      </c>
      <c r="AQ3821">
        <v>61</v>
      </c>
      <c r="AR3821">
        <v>0</v>
      </c>
      <c r="AZ3821">
        <v>1200</v>
      </c>
      <c r="BA3821">
        <v>1</v>
      </c>
      <c r="BB3821" t="str">
        <f t="shared" si="189"/>
        <v xml:space="preserve">N8080G  </v>
      </c>
      <c r="BC3821">
        <v>1</v>
      </c>
      <c r="BE3821">
        <v>0</v>
      </c>
      <c r="BF3821">
        <v>0</v>
      </c>
      <c r="BG3821">
        <v>0</v>
      </c>
      <c r="BH3821">
        <v>1350</v>
      </c>
      <c r="BI3821">
        <v>1</v>
      </c>
      <c r="BJ3821">
        <v>1</v>
      </c>
      <c r="BK3821">
        <v>1</v>
      </c>
      <c r="BL3821">
        <v>0</v>
      </c>
      <c r="BO3821">
        <v>0</v>
      </c>
      <c r="BP3821">
        <v>0</v>
      </c>
      <c r="BW3821" t="str">
        <f>"20:35:39.894"</f>
        <v>20:35:39.894</v>
      </c>
      <c r="BZ3821">
        <v>0</v>
      </c>
      <c r="CA3821">
        <v>1600</v>
      </c>
      <c r="CB3821">
        <v>224</v>
      </c>
      <c r="CD3821">
        <v>1</v>
      </c>
      <c r="CE3821">
        <v>0</v>
      </c>
      <c r="CF3821">
        <v>0</v>
      </c>
      <c r="CG3821">
        <v>1</v>
      </c>
      <c r="CH3821">
        <v>0</v>
      </c>
      <c r="CI3821">
        <v>0</v>
      </c>
      <c r="CJ3821">
        <v>0</v>
      </c>
      <c r="CK3821">
        <v>2</v>
      </c>
      <c r="CL3821">
        <v>0</v>
      </c>
      <c r="CM3821">
        <v>2</v>
      </c>
      <c r="CN3821">
        <v>0</v>
      </c>
      <c r="CO3821">
        <v>6</v>
      </c>
      <c r="CP3821" t="s">
        <v>119</v>
      </c>
      <c r="CQ3821">
        <v>180</v>
      </c>
      <c r="CR3821">
        <v>3</v>
      </c>
      <c r="CW3821">
        <v>1272490</v>
      </c>
      <c r="CY3821">
        <v>0</v>
      </c>
      <c r="CZ3821">
        <v>0</v>
      </c>
      <c r="DA3821">
        <v>1</v>
      </c>
      <c r="DB3821">
        <v>0</v>
      </c>
      <c r="DC3821">
        <v>0</v>
      </c>
      <c r="DD3821">
        <v>0</v>
      </c>
      <c r="DE3821">
        <v>0</v>
      </c>
      <c r="DF3821">
        <v>0</v>
      </c>
      <c r="DG3821">
        <v>0</v>
      </c>
      <c r="DH3821">
        <v>0</v>
      </c>
      <c r="DI3821">
        <v>0</v>
      </c>
    </row>
    <row r="3822" spans="1:113" x14ac:dyDescent="0.3">
      <c r="A3822" t="str">
        <f>"02/08/2021 20:35:37.543"</f>
        <v>02/08/2021 20:35:37.543</v>
      </c>
      <c r="C3822" t="str">
        <f t="shared" si="191"/>
        <v>FFDFD7C0</v>
      </c>
      <c r="D3822" t="s">
        <v>124</v>
      </c>
      <c r="E3822">
        <v>12</v>
      </c>
      <c r="F3822">
        <v>1012</v>
      </c>
      <c r="G3822" t="s">
        <v>675</v>
      </c>
      <c r="J3822" t="s">
        <v>125</v>
      </c>
      <c r="K3822">
        <v>0</v>
      </c>
      <c r="L3822">
        <v>3</v>
      </c>
      <c r="M3822">
        <v>0</v>
      </c>
      <c r="N3822">
        <v>2</v>
      </c>
      <c r="O3822">
        <v>1</v>
      </c>
      <c r="P3822">
        <v>0</v>
      </c>
      <c r="Q3822">
        <v>0</v>
      </c>
      <c r="S3822" t="str">
        <f>"20:35:39.891"</f>
        <v>20:35:39.891</v>
      </c>
      <c r="T3822" t="str">
        <f>"20:35:39.491"</f>
        <v>20:35:39.491</v>
      </c>
      <c r="U3822" t="str">
        <f t="shared" si="190"/>
        <v>AB01F4</v>
      </c>
      <c r="V3822">
        <v>0</v>
      </c>
      <c r="W3822">
        <v>0</v>
      </c>
      <c r="X3822">
        <v>2</v>
      </c>
      <c r="Z3822">
        <v>0</v>
      </c>
      <c r="AA3822">
        <v>9</v>
      </c>
      <c r="AB3822">
        <v>3</v>
      </c>
      <c r="AC3822">
        <v>0</v>
      </c>
      <c r="AD3822">
        <v>10</v>
      </c>
      <c r="AE3822">
        <v>0</v>
      </c>
      <c r="AF3822">
        <v>3</v>
      </c>
      <c r="AG3822">
        <v>2</v>
      </c>
      <c r="AH3822">
        <v>0</v>
      </c>
      <c r="AI3822" t="s">
        <v>2159</v>
      </c>
      <c r="AJ3822">
        <v>40.125933000000003</v>
      </c>
      <c r="AK3822" t="s">
        <v>2160</v>
      </c>
      <c r="AL3822">
        <v>-93.063190000000006</v>
      </c>
      <c r="AM3822">
        <v>100</v>
      </c>
      <c r="AN3822">
        <v>1300</v>
      </c>
      <c r="AO3822" t="s">
        <v>118</v>
      </c>
      <c r="AP3822">
        <v>-115</v>
      </c>
      <c r="AQ3822">
        <v>61</v>
      </c>
      <c r="AR3822">
        <v>0</v>
      </c>
      <c r="AZ3822">
        <v>1200</v>
      </c>
      <c r="BA3822">
        <v>1</v>
      </c>
      <c r="BB3822" t="str">
        <f t="shared" si="189"/>
        <v xml:space="preserve">N8080G  </v>
      </c>
      <c r="BC3822">
        <v>1</v>
      </c>
      <c r="BE3822">
        <v>0</v>
      </c>
      <c r="BF3822">
        <v>0</v>
      </c>
      <c r="BG3822">
        <v>0</v>
      </c>
      <c r="BH3822">
        <v>1350</v>
      </c>
      <c r="BI3822">
        <v>1</v>
      </c>
      <c r="BJ3822">
        <v>1</v>
      </c>
      <c r="BK3822">
        <v>1</v>
      </c>
      <c r="BL3822">
        <v>0</v>
      </c>
      <c r="BO3822">
        <v>0</v>
      </c>
      <c r="BP3822">
        <v>0</v>
      </c>
      <c r="BW3822" t="str">
        <f>"20:35:39.894"</f>
        <v>20:35:39.894</v>
      </c>
      <c r="BZ3822">
        <v>0</v>
      </c>
      <c r="CA3822">
        <v>1600</v>
      </c>
      <c r="CB3822">
        <v>224</v>
      </c>
      <c r="CD3822">
        <v>1</v>
      </c>
      <c r="CE3822">
        <v>0</v>
      </c>
      <c r="CF3822">
        <v>0</v>
      </c>
      <c r="CG3822">
        <v>1</v>
      </c>
      <c r="CH3822">
        <v>0</v>
      </c>
      <c r="CI3822">
        <v>0</v>
      </c>
      <c r="CJ3822">
        <v>0</v>
      </c>
      <c r="CK3822">
        <v>2</v>
      </c>
      <c r="CL3822">
        <v>0</v>
      </c>
      <c r="CM3822">
        <v>2</v>
      </c>
      <c r="CN3822">
        <v>0</v>
      </c>
      <c r="CO3822">
        <v>6</v>
      </c>
      <c r="CP3822" t="s">
        <v>119</v>
      </c>
      <c r="CQ3822">
        <v>180</v>
      </c>
      <c r="CR3822">
        <v>3</v>
      </c>
      <c r="CW3822">
        <v>1272490</v>
      </c>
      <c r="CY3822">
        <v>0</v>
      </c>
      <c r="CZ3822">
        <v>0</v>
      </c>
      <c r="DA3822">
        <v>1</v>
      </c>
      <c r="DB3822">
        <v>0</v>
      </c>
      <c r="DC3822">
        <v>0</v>
      </c>
      <c r="DD3822">
        <v>0</v>
      </c>
      <c r="DE3822">
        <v>0</v>
      </c>
      <c r="DF3822">
        <v>0</v>
      </c>
      <c r="DG3822">
        <v>0</v>
      </c>
      <c r="DH3822">
        <v>0</v>
      </c>
      <c r="DI3822">
        <v>0</v>
      </c>
    </row>
    <row r="3823" spans="1:113" x14ac:dyDescent="0.3">
      <c r="A3823" t="str">
        <f>"02/08/2021 20:35:38.699"</f>
        <v>02/08/2021 20:35:38.699</v>
      </c>
      <c r="C3823" t="str">
        <f t="shared" si="191"/>
        <v>FFDFD7C0</v>
      </c>
      <c r="D3823" t="s">
        <v>124</v>
      </c>
      <c r="E3823">
        <v>13</v>
      </c>
      <c r="F3823">
        <v>1013</v>
      </c>
      <c r="G3823" t="s">
        <v>114</v>
      </c>
      <c r="J3823" t="s">
        <v>125</v>
      </c>
      <c r="K3823">
        <v>0</v>
      </c>
      <c r="L3823">
        <v>3</v>
      </c>
      <c r="M3823">
        <v>0</v>
      </c>
      <c r="N3823">
        <v>2</v>
      </c>
      <c r="O3823">
        <v>1</v>
      </c>
      <c r="P3823">
        <v>0</v>
      </c>
      <c r="Q3823">
        <v>0</v>
      </c>
      <c r="S3823" t="str">
        <f>"20:35:41.031"</f>
        <v>20:35:41.031</v>
      </c>
      <c r="T3823" t="str">
        <f>"20:35:40.531"</f>
        <v>20:35:40.531</v>
      </c>
      <c r="U3823" t="str">
        <f t="shared" si="190"/>
        <v>AB01F4</v>
      </c>
      <c r="V3823">
        <v>0</v>
      </c>
      <c r="W3823">
        <v>0</v>
      </c>
      <c r="X3823">
        <v>2</v>
      </c>
      <c r="Z3823">
        <v>0</v>
      </c>
      <c r="AA3823">
        <v>9</v>
      </c>
      <c r="AB3823">
        <v>3</v>
      </c>
      <c r="AC3823">
        <v>0</v>
      </c>
      <c r="AD3823">
        <v>10</v>
      </c>
      <c r="AE3823">
        <v>0</v>
      </c>
      <c r="AF3823">
        <v>3</v>
      </c>
      <c r="AG3823">
        <v>2</v>
      </c>
      <c r="AH3823">
        <v>0</v>
      </c>
      <c r="AI3823" t="s">
        <v>2161</v>
      </c>
      <c r="AJ3823">
        <v>40.126255</v>
      </c>
      <c r="AK3823" t="s">
        <v>2162</v>
      </c>
      <c r="AL3823">
        <v>-93.064070000000001</v>
      </c>
      <c r="AM3823">
        <v>100</v>
      </c>
      <c r="AN3823">
        <v>1300</v>
      </c>
      <c r="AO3823" t="s">
        <v>118</v>
      </c>
      <c r="AP3823">
        <v>-115</v>
      </c>
      <c r="AQ3823">
        <v>61</v>
      </c>
      <c r="AR3823">
        <v>-64</v>
      </c>
      <c r="AZ3823">
        <v>1200</v>
      </c>
      <c r="BA3823">
        <v>1</v>
      </c>
      <c r="BB3823" t="str">
        <f t="shared" ref="BB3823:BB3886" si="192">"N8080G  "</f>
        <v xml:space="preserve">N8080G  </v>
      </c>
      <c r="BC3823">
        <v>1</v>
      </c>
      <c r="BE3823">
        <v>0</v>
      </c>
      <c r="BF3823">
        <v>0</v>
      </c>
      <c r="BG3823">
        <v>0</v>
      </c>
      <c r="BH3823">
        <v>1325</v>
      </c>
      <c r="BI3823">
        <v>1</v>
      </c>
      <c r="BJ3823">
        <v>1</v>
      </c>
      <c r="BK3823">
        <v>1</v>
      </c>
      <c r="BL3823">
        <v>0</v>
      </c>
      <c r="BO3823">
        <v>0</v>
      </c>
      <c r="BP3823">
        <v>0</v>
      </c>
      <c r="BW3823" t="str">
        <f>"20:35:41.037"</f>
        <v>20:35:41.037</v>
      </c>
      <c r="BZ3823">
        <v>0</v>
      </c>
      <c r="CA3823">
        <v>1600</v>
      </c>
      <c r="CB3823">
        <v>224</v>
      </c>
      <c r="CD3823">
        <v>1</v>
      </c>
      <c r="CE3823">
        <v>0</v>
      </c>
      <c r="CF3823">
        <v>0</v>
      </c>
      <c r="CG3823">
        <v>1</v>
      </c>
      <c r="CH3823">
        <v>0</v>
      </c>
      <c r="CI3823">
        <v>0</v>
      </c>
      <c r="CJ3823">
        <v>0</v>
      </c>
      <c r="CK3823">
        <v>2</v>
      </c>
      <c r="CL3823">
        <v>0</v>
      </c>
      <c r="CM3823">
        <v>2</v>
      </c>
      <c r="CN3823">
        <v>0</v>
      </c>
      <c r="CO3823">
        <v>6</v>
      </c>
      <c r="CP3823" t="s">
        <v>119</v>
      </c>
      <c r="CQ3823">
        <v>180</v>
      </c>
      <c r="CR3823">
        <v>3</v>
      </c>
      <c r="CW3823">
        <v>1273344</v>
      </c>
      <c r="CY3823">
        <v>0</v>
      </c>
      <c r="CZ3823">
        <v>0</v>
      </c>
      <c r="DA3823">
        <v>0</v>
      </c>
      <c r="DB3823">
        <v>0</v>
      </c>
      <c r="DC3823">
        <v>0</v>
      </c>
      <c r="DD3823">
        <v>0</v>
      </c>
      <c r="DE3823">
        <v>0</v>
      </c>
      <c r="DF3823">
        <v>0</v>
      </c>
      <c r="DG3823">
        <v>0</v>
      </c>
      <c r="DH3823">
        <v>0</v>
      </c>
      <c r="DI3823">
        <v>0</v>
      </c>
    </row>
    <row r="3824" spans="1:113" x14ac:dyDescent="0.3">
      <c r="A3824" t="str">
        <f>"02/08/2021 20:35:38.699"</f>
        <v>02/08/2021 20:35:38.699</v>
      </c>
      <c r="C3824" t="str">
        <f t="shared" si="191"/>
        <v>FFDFD7C0</v>
      </c>
      <c r="D3824" t="s">
        <v>124</v>
      </c>
      <c r="E3824">
        <v>11</v>
      </c>
      <c r="F3824">
        <v>1011</v>
      </c>
      <c r="G3824" t="s">
        <v>590</v>
      </c>
      <c r="J3824" t="s">
        <v>125</v>
      </c>
      <c r="K3824">
        <v>0</v>
      </c>
      <c r="L3824">
        <v>3</v>
      </c>
      <c r="M3824">
        <v>0</v>
      </c>
      <c r="N3824">
        <v>2</v>
      </c>
      <c r="O3824">
        <v>1</v>
      </c>
      <c r="P3824">
        <v>0</v>
      </c>
      <c r="Q3824">
        <v>0</v>
      </c>
      <c r="S3824" t="str">
        <f>"20:35:41.031"</f>
        <v>20:35:41.031</v>
      </c>
      <c r="T3824" t="str">
        <f>"20:35:40.531"</f>
        <v>20:35:40.531</v>
      </c>
      <c r="U3824" t="str">
        <f t="shared" si="190"/>
        <v>AB01F4</v>
      </c>
      <c r="V3824">
        <v>0</v>
      </c>
      <c r="W3824">
        <v>0</v>
      </c>
      <c r="X3824">
        <v>2</v>
      </c>
      <c r="Z3824">
        <v>0</v>
      </c>
      <c r="AA3824">
        <v>9</v>
      </c>
      <c r="AB3824">
        <v>3</v>
      </c>
      <c r="AC3824">
        <v>0</v>
      </c>
      <c r="AD3824">
        <v>10</v>
      </c>
      <c r="AE3824">
        <v>0</v>
      </c>
      <c r="AF3824">
        <v>3</v>
      </c>
      <c r="AG3824">
        <v>2</v>
      </c>
      <c r="AH3824">
        <v>0</v>
      </c>
      <c r="AI3824" t="s">
        <v>2161</v>
      </c>
      <c r="AJ3824">
        <v>40.126255</v>
      </c>
      <c r="AK3824" t="s">
        <v>2162</v>
      </c>
      <c r="AL3824">
        <v>-93.064070000000001</v>
      </c>
      <c r="AM3824">
        <v>100</v>
      </c>
      <c r="AN3824">
        <v>1300</v>
      </c>
      <c r="AO3824" t="s">
        <v>118</v>
      </c>
      <c r="AP3824">
        <v>-115</v>
      </c>
      <c r="AQ3824">
        <v>61</v>
      </c>
      <c r="AR3824">
        <v>-64</v>
      </c>
      <c r="AZ3824">
        <v>1200</v>
      </c>
      <c r="BA3824">
        <v>1</v>
      </c>
      <c r="BB3824" t="str">
        <f t="shared" si="192"/>
        <v xml:space="preserve">N8080G  </v>
      </c>
      <c r="BC3824">
        <v>1</v>
      </c>
      <c r="BE3824">
        <v>0</v>
      </c>
      <c r="BF3824">
        <v>0</v>
      </c>
      <c r="BG3824">
        <v>0</v>
      </c>
      <c r="BH3824">
        <v>1325</v>
      </c>
      <c r="BI3824">
        <v>1</v>
      </c>
      <c r="BJ3824">
        <v>1</v>
      </c>
      <c r="BK3824">
        <v>1</v>
      </c>
      <c r="BL3824">
        <v>0</v>
      </c>
      <c r="BO3824">
        <v>0</v>
      </c>
      <c r="BP3824">
        <v>0</v>
      </c>
      <c r="BW3824" t="str">
        <f>"20:35:41.037"</f>
        <v>20:35:41.037</v>
      </c>
      <c r="BZ3824">
        <v>0</v>
      </c>
      <c r="CA3824">
        <v>1600</v>
      </c>
      <c r="CB3824">
        <v>224</v>
      </c>
      <c r="CD3824">
        <v>1</v>
      </c>
      <c r="CE3824">
        <v>0</v>
      </c>
      <c r="CF3824">
        <v>0</v>
      </c>
      <c r="CG3824">
        <v>1</v>
      </c>
      <c r="CH3824">
        <v>0</v>
      </c>
      <c r="CI3824">
        <v>0</v>
      </c>
      <c r="CJ3824">
        <v>0</v>
      </c>
      <c r="CK3824">
        <v>2</v>
      </c>
      <c r="CL3824">
        <v>0</v>
      </c>
      <c r="CM3824">
        <v>2</v>
      </c>
      <c r="CN3824">
        <v>0</v>
      </c>
      <c r="CO3824">
        <v>6</v>
      </c>
      <c r="CP3824" t="s">
        <v>119</v>
      </c>
      <c r="CQ3824">
        <v>180</v>
      </c>
      <c r="CR3824">
        <v>3</v>
      </c>
      <c r="CW3824">
        <v>1273344</v>
      </c>
      <c r="CY3824">
        <v>0</v>
      </c>
      <c r="CZ3824">
        <v>0</v>
      </c>
      <c r="DA3824">
        <v>1</v>
      </c>
      <c r="DB3824">
        <v>0</v>
      </c>
      <c r="DC3824">
        <v>0</v>
      </c>
      <c r="DD3824">
        <v>0</v>
      </c>
      <c r="DE3824">
        <v>0</v>
      </c>
      <c r="DF3824">
        <v>0</v>
      </c>
      <c r="DG3824">
        <v>0</v>
      </c>
      <c r="DH3824">
        <v>0</v>
      </c>
      <c r="DI3824">
        <v>0</v>
      </c>
    </row>
    <row r="3825" spans="1:113" x14ac:dyDescent="0.3">
      <c r="A3825" t="str">
        <f>"02/08/2021 20:35:38.699"</f>
        <v>02/08/2021 20:35:38.699</v>
      </c>
      <c r="C3825" t="str">
        <f t="shared" si="191"/>
        <v>FFDFD7C0</v>
      </c>
      <c r="D3825" t="s">
        <v>113</v>
      </c>
      <c r="E3825">
        <v>6</v>
      </c>
      <c r="H3825">
        <v>165</v>
      </c>
      <c r="I3825" t="s">
        <v>114</v>
      </c>
      <c r="J3825" t="s">
        <v>115</v>
      </c>
      <c r="K3825">
        <v>0</v>
      </c>
      <c r="L3825">
        <v>3</v>
      </c>
      <c r="M3825">
        <v>0</v>
      </c>
      <c r="N3825">
        <v>2</v>
      </c>
      <c r="O3825">
        <v>1</v>
      </c>
      <c r="P3825">
        <v>0</v>
      </c>
      <c r="Q3825">
        <v>0</v>
      </c>
      <c r="S3825" t="str">
        <f>"20:35:41.031"</f>
        <v>20:35:41.031</v>
      </c>
      <c r="T3825" t="str">
        <f>"20:35:40.531"</f>
        <v>20:35:40.531</v>
      </c>
      <c r="U3825" t="str">
        <f t="shared" si="190"/>
        <v>AB01F4</v>
      </c>
      <c r="V3825">
        <v>0</v>
      </c>
      <c r="W3825">
        <v>0</v>
      </c>
      <c r="X3825">
        <v>2</v>
      </c>
      <c r="Z3825">
        <v>0</v>
      </c>
      <c r="AA3825">
        <v>9</v>
      </c>
      <c r="AB3825">
        <v>3</v>
      </c>
      <c r="AC3825">
        <v>0</v>
      </c>
      <c r="AD3825">
        <v>10</v>
      </c>
      <c r="AE3825">
        <v>0</v>
      </c>
      <c r="AF3825">
        <v>3</v>
      </c>
      <c r="AG3825">
        <v>2</v>
      </c>
      <c r="AH3825">
        <v>0</v>
      </c>
      <c r="AI3825" t="s">
        <v>2161</v>
      </c>
      <c r="AJ3825">
        <v>40.126255</v>
      </c>
      <c r="AK3825" t="s">
        <v>2162</v>
      </c>
      <c r="AL3825">
        <v>-93.064070000000001</v>
      </c>
      <c r="AM3825">
        <v>100</v>
      </c>
      <c r="AN3825">
        <v>1300</v>
      </c>
      <c r="AO3825" t="s">
        <v>118</v>
      </c>
      <c r="AP3825">
        <v>-115</v>
      </c>
      <c r="AQ3825">
        <v>61</v>
      </c>
      <c r="AR3825">
        <v>-64</v>
      </c>
      <c r="AZ3825">
        <v>1200</v>
      </c>
      <c r="BA3825">
        <v>1</v>
      </c>
      <c r="BB3825" t="str">
        <f t="shared" si="192"/>
        <v xml:space="preserve">N8080G  </v>
      </c>
      <c r="BC3825">
        <v>1</v>
      </c>
      <c r="BE3825">
        <v>0</v>
      </c>
      <c r="BF3825">
        <v>0</v>
      </c>
      <c r="BG3825">
        <v>0</v>
      </c>
      <c r="BH3825">
        <v>1325</v>
      </c>
      <c r="BI3825">
        <v>1</v>
      </c>
      <c r="BJ3825">
        <v>1</v>
      </c>
      <c r="BK3825">
        <v>1</v>
      </c>
      <c r="BL3825">
        <v>0</v>
      </c>
      <c r="BO3825">
        <v>0</v>
      </c>
      <c r="BP3825">
        <v>0</v>
      </c>
      <c r="BW3825" t="str">
        <f>"20:35:41.037"</f>
        <v>20:35:41.037</v>
      </c>
      <c r="BZ3825">
        <v>0</v>
      </c>
      <c r="CA3825">
        <v>1600</v>
      </c>
      <c r="CB3825">
        <v>224</v>
      </c>
      <c r="CD3825">
        <v>1</v>
      </c>
      <c r="CE3825">
        <v>0</v>
      </c>
      <c r="CF3825">
        <v>0</v>
      </c>
      <c r="CG3825">
        <v>1</v>
      </c>
      <c r="CH3825">
        <v>0</v>
      </c>
      <c r="CI3825">
        <v>0</v>
      </c>
      <c r="CJ3825">
        <v>0</v>
      </c>
      <c r="CK3825">
        <v>2</v>
      </c>
      <c r="CL3825">
        <v>0</v>
      </c>
      <c r="CM3825">
        <v>2</v>
      </c>
      <c r="CN3825">
        <v>0</v>
      </c>
      <c r="CO3825">
        <v>6</v>
      </c>
      <c r="CP3825" t="s">
        <v>119</v>
      </c>
      <c r="CQ3825">
        <v>180</v>
      </c>
      <c r="CR3825">
        <v>3</v>
      </c>
      <c r="CW3825">
        <v>1273344</v>
      </c>
      <c r="CY3825">
        <v>0</v>
      </c>
      <c r="CZ3825">
        <v>0</v>
      </c>
      <c r="DA3825">
        <v>1</v>
      </c>
      <c r="DB3825">
        <v>0</v>
      </c>
      <c r="DC3825">
        <v>0</v>
      </c>
      <c r="DD3825">
        <v>0</v>
      </c>
      <c r="DE3825">
        <v>0</v>
      </c>
      <c r="DF3825">
        <v>0</v>
      </c>
      <c r="DG3825">
        <v>0</v>
      </c>
      <c r="DH3825">
        <v>0</v>
      </c>
      <c r="DI3825">
        <v>0</v>
      </c>
    </row>
    <row r="3826" spans="1:113" x14ac:dyDescent="0.3">
      <c r="A3826" t="str">
        <f>"02/08/2021 20:35:38.699"</f>
        <v>02/08/2021 20:35:38.699</v>
      </c>
      <c r="C3826" t="str">
        <f t="shared" si="191"/>
        <v>FFDFD7C0</v>
      </c>
      <c r="D3826" t="s">
        <v>124</v>
      </c>
      <c r="E3826">
        <v>12</v>
      </c>
      <c r="F3826">
        <v>1012</v>
      </c>
      <c r="G3826" t="s">
        <v>675</v>
      </c>
      <c r="J3826" t="s">
        <v>125</v>
      </c>
      <c r="K3826">
        <v>0</v>
      </c>
      <c r="L3826">
        <v>3</v>
      </c>
      <c r="M3826">
        <v>0</v>
      </c>
      <c r="N3826">
        <v>2</v>
      </c>
      <c r="O3826">
        <v>1</v>
      </c>
      <c r="P3826">
        <v>0</v>
      </c>
      <c r="Q3826">
        <v>0</v>
      </c>
      <c r="S3826" t="str">
        <f>"20:35:41.031"</f>
        <v>20:35:41.031</v>
      </c>
      <c r="T3826" t="str">
        <f>"20:35:40.531"</f>
        <v>20:35:40.531</v>
      </c>
      <c r="U3826" t="str">
        <f t="shared" si="190"/>
        <v>AB01F4</v>
      </c>
      <c r="V3826">
        <v>0</v>
      </c>
      <c r="W3826">
        <v>0</v>
      </c>
      <c r="X3826">
        <v>2</v>
      </c>
      <c r="Z3826">
        <v>0</v>
      </c>
      <c r="AA3826">
        <v>9</v>
      </c>
      <c r="AB3826">
        <v>3</v>
      </c>
      <c r="AC3826">
        <v>0</v>
      </c>
      <c r="AD3826">
        <v>10</v>
      </c>
      <c r="AE3826">
        <v>0</v>
      </c>
      <c r="AF3826">
        <v>3</v>
      </c>
      <c r="AG3826">
        <v>2</v>
      </c>
      <c r="AH3826">
        <v>0</v>
      </c>
      <c r="AI3826" t="s">
        <v>2161</v>
      </c>
      <c r="AJ3826">
        <v>40.126255</v>
      </c>
      <c r="AK3826" t="s">
        <v>2162</v>
      </c>
      <c r="AL3826">
        <v>-93.064070000000001</v>
      </c>
      <c r="AM3826">
        <v>100</v>
      </c>
      <c r="AN3826">
        <v>1300</v>
      </c>
      <c r="AO3826" t="s">
        <v>118</v>
      </c>
      <c r="AP3826">
        <v>-115</v>
      </c>
      <c r="AQ3826">
        <v>61</v>
      </c>
      <c r="AR3826">
        <v>-64</v>
      </c>
      <c r="AZ3826">
        <v>1200</v>
      </c>
      <c r="BA3826">
        <v>1</v>
      </c>
      <c r="BB3826" t="str">
        <f t="shared" si="192"/>
        <v xml:space="preserve">N8080G  </v>
      </c>
      <c r="BC3826">
        <v>1</v>
      </c>
      <c r="BE3826">
        <v>0</v>
      </c>
      <c r="BF3826">
        <v>0</v>
      </c>
      <c r="BG3826">
        <v>0</v>
      </c>
      <c r="BH3826">
        <v>1325</v>
      </c>
      <c r="BI3826">
        <v>1</v>
      </c>
      <c r="BJ3826">
        <v>1</v>
      </c>
      <c r="BK3826">
        <v>1</v>
      </c>
      <c r="BL3826">
        <v>0</v>
      </c>
      <c r="BO3826">
        <v>0</v>
      </c>
      <c r="BP3826">
        <v>0</v>
      </c>
      <c r="BW3826" t="str">
        <f>"20:35:41.037"</f>
        <v>20:35:41.037</v>
      </c>
      <c r="BZ3826">
        <v>0</v>
      </c>
      <c r="CA3826">
        <v>1600</v>
      </c>
      <c r="CB3826">
        <v>224</v>
      </c>
      <c r="CD3826">
        <v>1</v>
      </c>
      <c r="CE3826">
        <v>0</v>
      </c>
      <c r="CF3826">
        <v>0</v>
      </c>
      <c r="CG3826">
        <v>1</v>
      </c>
      <c r="CH3826">
        <v>0</v>
      </c>
      <c r="CI3826">
        <v>0</v>
      </c>
      <c r="CJ3826">
        <v>0</v>
      </c>
      <c r="CK3826">
        <v>2</v>
      </c>
      <c r="CL3826">
        <v>0</v>
      </c>
      <c r="CM3826">
        <v>2</v>
      </c>
      <c r="CN3826">
        <v>0</v>
      </c>
      <c r="CO3826">
        <v>6</v>
      </c>
      <c r="CP3826" t="s">
        <v>119</v>
      </c>
      <c r="CQ3826">
        <v>180</v>
      </c>
      <c r="CR3826">
        <v>3</v>
      </c>
      <c r="CW3826">
        <v>1273344</v>
      </c>
      <c r="CY3826">
        <v>0</v>
      </c>
      <c r="CZ3826">
        <v>0</v>
      </c>
      <c r="DA3826">
        <v>1</v>
      </c>
      <c r="DB3826">
        <v>0</v>
      </c>
      <c r="DC3826">
        <v>0</v>
      </c>
      <c r="DD3826">
        <v>0</v>
      </c>
      <c r="DE3826">
        <v>0</v>
      </c>
      <c r="DF3826">
        <v>0</v>
      </c>
      <c r="DG3826">
        <v>0</v>
      </c>
      <c r="DH3826">
        <v>0</v>
      </c>
      <c r="DI3826">
        <v>0</v>
      </c>
    </row>
    <row r="3827" spans="1:113" x14ac:dyDescent="0.3">
      <c r="A3827" t="str">
        <f>"02/08/2021 20:35:40.737"</f>
        <v>02/08/2021 20:35:40.737</v>
      </c>
      <c r="C3827" t="str">
        <f t="shared" si="191"/>
        <v>FFDFD7C0</v>
      </c>
      <c r="D3827" t="s">
        <v>124</v>
      </c>
      <c r="E3827">
        <v>11</v>
      </c>
      <c r="F3827">
        <v>1011</v>
      </c>
      <c r="G3827" t="s">
        <v>590</v>
      </c>
      <c r="J3827" t="s">
        <v>125</v>
      </c>
      <c r="K3827">
        <v>0</v>
      </c>
      <c r="L3827">
        <v>3</v>
      </c>
      <c r="M3827">
        <v>0</v>
      </c>
      <c r="N3827">
        <v>2</v>
      </c>
      <c r="O3827">
        <v>1</v>
      </c>
      <c r="P3827">
        <v>0</v>
      </c>
      <c r="Q3827">
        <v>0</v>
      </c>
      <c r="S3827" t="str">
        <f>"20:35:43.039"</f>
        <v>20:35:43.039</v>
      </c>
      <c r="T3827" t="str">
        <f>"20:35:42.639"</f>
        <v>20:35:42.639</v>
      </c>
      <c r="U3827" t="str">
        <f t="shared" si="190"/>
        <v>AB01F4</v>
      </c>
      <c r="V3827">
        <v>0</v>
      </c>
      <c r="W3827">
        <v>0</v>
      </c>
      <c r="X3827">
        <v>2</v>
      </c>
      <c r="Z3827">
        <v>0</v>
      </c>
      <c r="AA3827">
        <v>9</v>
      </c>
      <c r="AB3827">
        <v>3</v>
      </c>
      <c r="AC3827">
        <v>0</v>
      </c>
      <c r="AD3827">
        <v>10</v>
      </c>
      <c r="AE3827">
        <v>0</v>
      </c>
      <c r="AF3827">
        <v>3</v>
      </c>
      <c r="AG3827">
        <v>2</v>
      </c>
      <c r="AH3827">
        <v>0</v>
      </c>
      <c r="AI3827" t="s">
        <v>2163</v>
      </c>
      <c r="AJ3827">
        <v>40.126812000000001</v>
      </c>
      <c r="AK3827" t="s">
        <v>2164</v>
      </c>
      <c r="AL3827">
        <v>-93.065443000000002</v>
      </c>
      <c r="AM3827">
        <v>100</v>
      </c>
      <c r="AN3827">
        <v>1300</v>
      </c>
      <c r="AO3827" t="s">
        <v>118</v>
      </c>
      <c r="AP3827">
        <v>-114</v>
      </c>
      <c r="AQ3827">
        <v>61</v>
      </c>
      <c r="AR3827">
        <v>64</v>
      </c>
      <c r="AZ3827">
        <v>1200</v>
      </c>
      <c r="BA3827">
        <v>1</v>
      </c>
      <c r="BB3827" t="str">
        <f t="shared" si="192"/>
        <v xml:space="preserve">N8080G  </v>
      </c>
      <c r="BC3827">
        <v>1</v>
      </c>
      <c r="BE3827">
        <v>0</v>
      </c>
      <c r="BF3827">
        <v>0</v>
      </c>
      <c r="BG3827">
        <v>0</v>
      </c>
      <c r="BH3827">
        <v>1350</v>
      </c>
      <c r="BI3827">
        <v>1</v>
      </c>
      <c r="BJ3827">
        <v>1</v>
      </c>
      <c r="BK3827">
        <v>1</v>
      </c>
      <c r="BL3827">
        <v>0</v>
      </c>
      <c r="BO3827">
        <v>0</v>
      </c>
      <c r="BP3827">
        <v>0</v>
      </c>
      <c r="BW3827" t="str">
        <f>"20:35:43.041"</f>
        <v>20:35:43.041</v>
      </c>
      <c r="BZ3827">
        <v>0</v>
      </c>
      <c r="CA3827">
        <v>1600</v>
      </c>
      <c r="CB3827">
        <v>224</v>
      </c>
      <c r="CD3827">
        <v>1</v>
      </c>
      <c r="CE3827">
        <v>0</v>
      </c>
      <c r="CF3827">
        <v>0</v>
      </c>
      <c r="CG3827">
        <v>1</v>
      </c>
      <c r="CH3827">
        <v>0</v>
      </c>
      <c r="CI3827">
        <v>0</v>
      </c>
      <c r="CJ3827">
        <v>0</v>
      </c>
      <c r="CK3827">
        <v>2</v>
      </c>
      <c r="CL3827">
        <v>0</v>
      </c>
      <c r="CM3827">
        <v>2</v>
      </c>
      <c r="CN3827">
        <v>0</v>
      </c>
      <c r="CO3827">
        <v>6</v>
      </c>
      <c r="CP3827" t="s">
        <v>119</v>
      </c>
      <c r="CQ3827">
        <v>180</v>
      </c>
      <c r="CR3827">
        <v>3</v>
      </c>
      <c r="CW3827">
        <v>1275022</v>
      </c>
      <c r="CY3827">
        <v>0</v>
      </c>
      <c r="CZ3827">
        <v>0</v>
      </c>
      <c r="DA3827">
        <v>0</v>
      </c>
      <c r="DB3827">
        <v>0</v>
      </c>
      <c r="DC3827">
        <v>0</v>
      </c>
      <c r="DD3827">
        <v>0</v>
      </c>
      <c r="DE3827">
        <v>0</v>
      </c>
      <c r="DF3827">
        <v>0</v>
      </c>
      <c r="DG3827">
        <v>0</v>
      </c>
      <c r="DH3827">
        <v>0</v>
      </c>
      <c r="DI3827">
        <v>0</v>
      </c>
    </row>
    <row r="3828" spans="1:113" x14ac:dyDescent="0.3">
      <c r="A3828" t="str">
        <f>"02/08/2021 20:35:40.737"</f>
        <v>02/08/2021 20:35:40.737</v>
      </c>
      <c r="C3828" t="str">
        <f t="shared" si="191"/>
        <v>FFDFD7C0</v>
      </c>
      <c r="D3828" t="s">
        <v>124</v>
      </c>
      <c r="E3828">
        <v>12</v>
      </c>
      <c r="F3828">
        <v>1012</v>
      </c>
      <c r="G3828" t="s">
        <v>675</v>
      </c>
      <c r="J3828" t="s">
        <v>125</v>
      </c>
      <c r="K3828">
        <v>0</v>
      </c>
      <c r="L3828">
        <v>3</v>
      </c>
      <c r="M3828">
        <v>0</v>
      </c>
      <c r="N3828">
        <v>2</v>
      </c>
      <c r="O3828">
        <v>1</v>
      </c>
      <c r="P3828">
        <v>0</v>
      </c>
      <c r="Q3828">
        <v>0</v>
      </c>
      <c r="S3828" t="str">
        <f>"20:35:43.039"</f>
        <v>20:35:43.039</v>
      </c>
      <c r="T3828" t="str">
        <f>"20:35:42.639"</f>
        <v>20:35:42.639</v>
      </c>
      <c r="U3828" t="str">
        <f t="shared" si="190"/>
        <v>AB01F4</v>
      </c>
      <c r="V3828">
        <v>0</v>
      </c>
      <c r="W3828">
        <v>0</v>
      </c>
      <c r="X3828">
        <v>2</v>
      </c>
      <c r="Z3828">
        <v>0</v>
      </c>
      <c r="AA3828">
        <v>9</v>
      </c>
      <c r="AB3828">
        <v>3</v>
      </c>
      <c r="AC3828">
        <v>0</v>
      </c>
      <c r="AD3828">
        <v>10</v>
      </c>
      <c r="AE3828">
        <v>0</v>
      </c>
      <c r="AF3828">
        <v>3</v>
      </c>
      <c r="AG3828">
        <v>2</v>
      </c>
      <c r="AH3828">
        <v>0</v>
      </c>
      <c r="AI3828" t="s">
        <v>2163</v>
      </c>
      <c r="AJ3828">
        <v>40.126812000000001</v>
      </c>
      <c r="AK3828" t="s">
        <v>2164</v>
      </c>
      <c r="AL3828">
        <v>-93.065443000000002</v>
      </c>
      <c r="AM3828">
        <v>100</v>
      </c>
      <c r="AN3828">
        <v>1300</v>
      </c>
      <c r="AO3828" t="s">
        <v>118</v>
      </c>
      <c r="AP3828">
        <v>-114</v>
      </c>
      <c r="AQ3828">
        <v>61</v>
      </c>
      <c r="AR3828">
        <v>64</v>
      </c>
      <c r="AZ3828">
        <v>1200</v>
      </c>
      <c r="BA3828">
        <v>1</v>
      </c>
      <c r="BB3828" t="str">
        <f t="shared" si="192"/>
        <v xml:space="preserve">N8080G  </v>
      </c>
      <c r="BC3828">
        <v>1</v>
      </c>
      <c r="BE3828">
        <v>0</v>
      </c>
      <c r="BF3828">
        <v>0</v>
      </c>
      <c r="BG3828">
        <v>0</v>
      </c>
      <c r="BH3828">
        <v>1350</v>
      </c>
      <c r="BI3828">
        <v>1</v>
      </c>
      <c r="BJ3828">
        <v>1</v>
      </c>
      <c r="BK3828">
        <v>1</v>
      </c>
      <c r="BL3828">
        <v>0</v>
      </c>
      <c r="BO3828">
        <v>0</v>
      </c>
      <c r="BP3828">
        <v>0</v>
      </c>
      <c r="BW3828" t="str">
        <f>"20:35:43.041"</f>
        <v>20:35:43.041</v>
      </c>
      <c r="BZ3828">
        <v>0</v>
      </c>
      <c r="CA3828">
        <v>1600</v>
      </c>
      <c r="CB3828">
        <v>224</v>
      </c>
      <c r="CD3828">
        <v>1</v>
      </c>
      <c r="CE3828">
        <v>0</v>
      </c>
      <c r="CF3828">
        <v>0</v>
      </c>
      <c r="CG3828">
        <v>1</v>
      </c>
      <c r="CH3828">
        <v>0</v>
      </c>
      <c r="CI3828">
        <v>0</v>
      </c>
      <c r="CJ3828">
        <v>0</v>
      </c>
      <c r="CK3828">
        <v>2</v>
      </c>
      <c r="CL3828">
        <v>0</v>
      </c>
      <c r="CM3828">
        <v>2</v>
      </c>
      <c r="CN3828">
        <v>0</v>
      </c>
      <c r="CO3828">
        <v>6</v>
      </c>
      <c r="CP3828" t="s">
        <v>119</v>
      </c>
      <c r="CQ3828">
        <v>180</v>
      </c>
      <c r="CR3828">
        <v>3</v>
      </c>
      <c r="CW3828">
        <v>1275022</v>
      </c>
      <c r="CY3828">
        <v>0</v>
      </c>
      <c r="CZ3828">
        <v>0</v>
      </c>
      <c r="DA3828">
        <v>1</v>
      </c>
      <c r="DB3828">
        <v>0</v>
      </c>
      <c r="DC3828">
        <v>0</v>
      </c>
      <c r="DD3828">
        <v>0</v>
      </c>
      <c r="DE3828">
        <v>0</v>
      </c>
      <c r="DF3828">
        <v>0</v>
      </c>
      <c r="DG3828">
        <v>0</v>
      </c>
      <c r="DH3828">
        <v>0</v>
      </c>
      <c r="DI3828">
        <v>0</v>
      </c>
    </row>
    <row r="3829" spans="1:113" x14ac:dyDescent="0.3">
      <c r="A3829" t="str">
        <f>"02/08/2021 20:35:40.737"</f>
        <v>02/08/2021 20:35:40.737</v>
      </c>
      <c r="C3829" t="str">
        <f t="shared" si="191"/>
        <v>FFDFD7C0</v>
      </c>
      <c r="D3829" t="s">
        <v>113</v>
      </c>
      <c r="E3829">
        <v>6</v>
      </c>
      <c r="H3829">
        <v>165</v>
      </c>
      <c r="I3829" t="s">
        <v>114</v>
      </c>
      <c r="J3829" t="s">
        <v>115</v>
      </c>
      <c r="K3829">
        <v>0</v>
      </c>
      <c r="L3829">
        <v>3</v>
      </c>
      <c r="M3829">
        <v>0</v>
      </c>
      <c r="N3829">
        <v>2</v>
      </c>
      <c r="O3829">
        <v>1</v>
      </c>
      <c r="P3829">
        <v>0</v>
      </c>
      <c r="Q3829">
        <v>0</v>
      </c>
      <c r="S3829" t="str">
        <f>"20:35:43.039"</f>
        <v>20:35:43.039</v>
      </c>
      <c r="T3829" t="str">
        <f>"20:35:42.639"</f>
        <v>20:35:42.639</v>
      </c>
      <c r="U3829" t="str">
        <f t="shared" si="190"/>
        <v>AB01F4</v>
      </c>
      <c r="V3829">
        <v>0</v>
      </c>
      <c r="W3829">
        <v>0</v>
      </c>
      <c r="X3829">
        <v>2</v>
      </c>
      <c r="Z3829">
        <v>0</v>
      </c>
      <c r="AA3829">
        <v>9</v>
      </c>
      <c r="AB3829">
        <v>3</v>
      </c>
      <c r="AC3829">
        <v>0</v>
      </c>
      <c r="AD3829">
        <v>10</v>
      </c>
      <c r="AE3829">
        <v>0</v>
      </c>
      <c r="AF3829">
        <v>3</v>
      </c>
      <c r="AG3829">
        <v>2</v>
      </c>
      <c r="AH3829">
        <v>0</v>
      </c>
      <c r="AI3829" t="s">
        <v>2163</v>
      </c>
      <c r="AJ3829">
        <v>40.126812000000001</v>
      </c>
      <c r="AK3829" t="s">
        <v>2164</v>
      </c>
      <c r="AL3829">
        <v>-93.065443000000002</v>
      </c>
      <c r="AM3829">
        <v>100</v>
      </c>
      <c r="AN3829">
        <v>1300</v>
      </c>
      <c r="AO3829" t="s">
        <v>118</v>
      </c>
      <c r="AP3829">
        <v>-114</v>
      </c>
      <c r="AQ3829">
        <v>61</v>
      </c>
      <c r="AR3829">
        <v>64</v>
      </c>
      <c r="AZ3829">
        <v>1200</v>
      </c>
      <c r="BA3829">
        <v>1</v>
      </c>
      <c r="BB3829" t="str">
        <f t="shared" si="192"/>
        <v xml:space="preserve">N8080G  </v>
      </c>
      <c r="BC3829">
        <v>1</v>
      </c>
      <c r="BE3829">
        <v>0</v>
      </c>
      <c r="BF3829">
        <v>0</v>
      </c>
      <c r="BG3829">
        <v>0</v>
      </c>
      <c r="BH3829">
        <v>1350</v>
      </c>
      <c r="BI3829">
        <v>1</v>
      </c>
      <c r="BJ3829">
        <v>1</v>
      </c>
      <c r="BK3829">
        <v>1</v>
      </c>
      <c r="BL3829">
        <v>0</v>
      </c>
      <c r="BO3829">
        <v>0</v>
      </c>
      <c r="BP3829">
        <v>0</v>
      </c>
      <c r="BW3829" t="str">
        <f>"20:35:43.041"</f>
        <v>20:35:43.041</v>
      </c>
      <c r="BZ3829">
        <v>0</v>
      </c>
      <c r="CA3829">
        <v>1600</v>
      </c>
      <c r="CB3829">
        <v>224</v>
      </c>
      <c r="CD3829">
        <v>1</v>
      </c>
      <c r="CE3829">
        <v>0</v>
      </c>
      <c r="CF3829">
        <v>0</v>
      </c>
      <c r="CG3829">
        <v>1</v>
      </c>
      <c r="CH3829">
        <v>0</v>
      </c>
      <c r="CI3829">
        <v>0</v>
      </c>
      <c r="CJ3829">
        <v>0</v>
      </c>
      <c r="CK3829">
        <v>2</v>
      </c>
      <c r="CL3829">
        <v>0</v>
      </c>
      <c r="CM3829">
        <v>2</v>
      </c>
      <c r="CN3829">
        <v>0</v>
      </c>
      <c r="CO3829">
        <v>6</v>
      </c>
      <c r="CP3829" t="s">
        <v>119</v>
      </c>
      <c r="CQ3829">
        <v>180</v>
      </c>
      <c r="CR3829">
        <v>3</v>
      </c>
      <c r="CW3829">
        <v>1275022</v>
      </c>
      <c r="CY3829">
        <v>0</v>
      </c>
      <c r="CZ3829">
        <v>0</v>
      </c>
      <c r="DA3829">
        <v>1</v>
      </c>
      <c r="DB3829">
        <v>0</v>
      </c>
      <c r="DC3829">
        <v>0</v>
      </c>
      <c r="DD3829">
        <v>0</v>
      </c>
      <c r="DE3829">
        <v>0</v>
      </c>
      <c r="DF3829">
        <v>0</v>
      </c>
      <c r="DG3829">
        <v>0</v>
      </c>
      <c r="DH3829">
        <v>0</v>
      </c>
      <c r="DI3829">
        <v>0</v>
      </c>
    </row>
    <row r="3830" spans="1:113" x14ac:dyDescent="0.3">
      <c r="A3830" t="str">
        <f>"02/08/2021 20:35:40.737"</f>
        <v>02/08/2021 20:35:40.737</v>
      </c>
      <c r="C3830" t="str">
        <f t="shared" si="191"/>
        <v>FFDFD7C0</v>
      </c>
      <c r="D3830" t="s">
        <v>124</v>
      </c>
      <c r="E3830">
        <v>13</v>
      </c>
      <c r="F3830">
        <v>1013</v>
      </c>
      <c r="G3830" t="s">
        <v>114</v>
      </c>
      <c r="J3830" t="s">
        <v>125</v>
      </c>
      <c r="K3830">
        <v>0</v>
      </c>
      <c r="L3830">
        <v>3</v>
      </c>
      <c r="M3830">
        <v>0</v>
      </c>
      <c r="N3830">
        <v>2</v>
      </c>
      <c r="O3830">
        <v>1</v>
      </c>
      <c r="P3830">
        <v>0</v>
      </c>
      <c r="Q3830">
        <v>0</v>
      </c>
      <c r="S3830" t="str">
        <f>"20:35:43.039"</f>
        <v>20:35:43.039</v>
      </c>
      <c r="T3830" t="str">
        <f>"20:35:42.639"</f>
        <v>20:35:42.639</v>
      </c>
      <c r="U3830" t="str">
        <f t="shared" si="190"/>
        <v>AB01F4</v>
      </c>
      <c r="V3830">
        <v>0</v>
      </c>
      <c r="W3830">
        <v>0</v>
      </c>
      <c r="X3830">
        <v>2</v>
      </c>
      <c r="Z3830">
        <v>0</v>
      </c>
      <c r="AA3830">
        <v>9</v>
      </c>
      <c r="AB3830">
        <v>3</v>
      </c>
      <c r="AC3830">
        <v>0</v>
      </c>
      <c r="AD3830">
        <v>10</v>
      </c>
      <c r="AE3830">
        <v>0</v>
      </c>
      <c r="AF3830">
        <v>3</v>
      </c>
      <c r="AG3830">
        <v>2</v>
      </c>
      <c r="AH3830">
        <v>0</v>
      </c>
      <c r="AI3830" t="s">
        <v>2163</v>
      </c>
      <c r="AJ3830">
        <v>40.126812000000001</v>
      </c>
      <c r="AK3830" t="s">
        <v>2164</v>
      </c>
      <c r="AL3830">
        <v>-93.065443000000002</v>
      </c>
      <c r="AM3830">
        <v>100</v>
      </c>
      <c r="AN3830">
        <v>1300</v>
      </c>
      <c r="AO3830" t="s">
        <v>118</v>
      </c>
      <c r="AP3830">
        <v>-114</v>
      </c>
      <c r="AQ3830">
        <v>61</v>
      </c>
      <c r="AR3830">
        <v>64</v>
      </c>
      <c r="AZ3830">
        <v>1200</v>
      </c>
      <c r="BA3830">
        <v>1</v>
      </c>
      <c r="BB3830" t="str">
        <f t="shared" si="192"/>
        <v xml:space="preserve">N8080G  </v>
      </c>
      <c r="BC3830">
        <v>1</v>
      </c>
      <c r="BE3830">
        <v>0</v>
      </c>
      <c r="BF3830">
        <v>0</v>
      </c>
      <c r="BG3830">
        <v>0</v>
      </c>
      <c r="BH3830">
        <v>1350</v>
      </c>
      <c r="BI3830">
        <v>1</v>
      </c>
      <c r="BJ3830">
        <v>1</v>
      </c>
      <c r="BK3830">
        <v>1</v>
      </c>
      <c r="BL3830">
        <v>0</v>
      </c>
      <c r="BO3830">
        <v>0</v>
      </c>
      <c r="BP3830">
        <v>0</v>
      </c>
      <c r="BW3830" t="str">
        <f>"20:35:43.041"</f>
        <v>20:35:43.041</v>
      </c>
      <c r="BZ3830">
        <v>0</v>
      </c>
      <c r="CA3830">
        <v>1600</v>
      </c>
      <c r="CB3830">
        <v>224</v>
      </c>
      <c r="CD3830">
        <v>1</v>
      </c>
      <c r="CE3830">
        <v>0</v>
      </c>
      <c r="CF3830">
        <v>0</v>
      </c>
      <c r="CG3830">
        <v>1</v>
      </c>
      <c r="CH3830">
        <v>0</v>
      </c>
      <c r="CI3830">
        <v>0</v>
      </c>
      <c r="CJ3830">
        <v>0</v>
      </c>
      <c r="CK3830">
        <v>2</v>
      </c>
      <c r="CL3830">
        <v>0</v>
      </c>
      <c r="CM3830">
        <v>2</v>
      </c>
      <c r="CN3830">
        <v>0</v>
      </c>
      <c r="CO3830">
        <v>6</v>
      </c>
      <c r="CP3830" t="s">
        <v>119</v>
      </c>
      <c r="CQ3830">
        <v>180</v>
      </c>
      <c r="CR3830">
        <v>3</v>
      </c>
      <c r="CW3830">
        <v>1275022</v>
      </c>
      <c r="CY3830">
        <v>0</v>
      </c>
      <c r="CZ3830">
        <v>0</v>
      </c>
      <c r="DA3830">
        <v>1</v>
      </c>
      <c r="DB3830">
        <v>0</v>
      </c>
      <c r="DC3830">
        <v>0</v>
      </c>
      <c r="DD3830">
        <v>0</v>
      </c>
      <c r="DE3830">
        <v>0</v>
      </c>
      <c r="DF3830">
        <v>0</v>
      </c>
      <c r="DG3830">
        <v>0</v>
      </c>
      <c r="DH3830">
        <v>0</v>
      </c>
      <c r="DI3830">
        <v>0</v>
      </c>
    </row>
    <row r="3831" spans="1:113" x14ac:dyDescent="0.3">
      <c r="A3831" t="str">
        <f>"02/08/2021 20:35:41.597"</f>
        <v>02/08/2021 20:35:41.597</v>
      </c>
      <c r="C3831" t="str">
        <f t="shared" si="191"/>
        <v>FFDFD7C0</v>
      </c>
      <c r="D3831" t="s">
        <v>124</v>
      </c>
      <c r="E3831">
        <v>12</v>
      </c>
      <c r="F3831">
        <v>1012</v>
      </c>
      <c r="G3831" t="s">
        <v>675</v>
      </c>
      <c r="J3831" t="s">
        <v>125</v>
      </c>
      <c r="K3831">
        <v>0</v>
      </c>
      <c r="L3831">
        <v>3</v>
      </c>
      <c r="M3831">
        <v>0</v>
      </c>
      <c r="N3831">
        <v>2</v>
      </c>
      <c r="O3831">
        <v>1</v>
      </c>
      <c r="P3831">
        <v>0</v>
      </c>
      <c r="Q3831">
        <v>0</v>
      </c>
      <c r="S3831" t="str">
        <f>"20:35:43.906"</f>
        <v>20:35:43.906</v>
      </c>
      <c r="T3831" t="str">
        <f>"20:35:43.506"</f>
        <v>20:35:43.506</v>
      </c>
      <c r="U3831" t="str">
        <f t="shared" si="190"/>
        <v>AB01F4</v>
      </c>
      <c r="V3831">
        <v>0</v>
      </c>
      <c r="W3831">
        <v>0</v>
      </c>
      <c r="X3831">
        <v>2</v>
      </c>
      <c r="Z3831">
        <v>0</v>
      </c>
      <c r="AA3831">
        <v>9</v>
      </c>
      <c r="AB3831">
        <v>3</v>
      </c>
      <c r="AC3831">
        <v>0</v>
      </c>
      <c r="AD3831">
        <v>10</v>
      </c>
      <c r="AE3831">
        <v>0</v>
      </c>
      <c r="AF3831">
        <v>3</v>
      </c>
      <c r="AG3831">
        <v>2</v>
      </c>
      <c r="AH3831">
        <v>0</v>
      </c>
      <c r="AI3831" t="s">
        <v>2165</v>
      </c>
      <c r="AJ3831">
        <v>40.127048000000002</v>
      </c>
      <c r="AK3831" t="s">
        <v>2166</v>
      </c>
      <c r="AL3831">
        <v>-93.066001</v>
      </c>
      <c r="AM3831">
        <v>100</v>
      </c>
      <c r="AN3831">
        <v>1300</v>
      </c>
      <c r="AO3831" t="s">
        <v>118</v>
      </c>
      <c r="AP3831">
        <v>-114</v>
      </c>
      <c r="AQ3831">
        <v>61</v>
      </c>
      <c r="AR3831">
        <v>64</v>
      </c>
      <c r="AZ3831">
        <v>1200</v>
      </c>
      <c r="BA3831">
        <v>1</v>
      </c>
      <c r="BB3831" t="str">
        <f t="shared" si="192"/>
        <v xml:space="preserve">N8080G  </v>
      </c>
      <c r="BC3831">
        <v>1</v>
      </c>
      <c r="BE3831">
        <v>0</v>
      </c>
      <c r="BF3831">
        <v>0</v>
      </c>
      <c r="BG3831">
        <v>0</v>
      </c>
      <c r="BH3831">
        <v>1350</v>
      </c>
      <c r="BI3831">
        <v>1</v>
      </c>
      <c r="BJ3831">
        <v>1</v>
      </c>
      <c r="BK3831">
        <v>1</v>
      </c>
      <c r="BL3831">
        <v>0</v>
      </c>
      <c r="BO3831">
        <v>0</v>
      </c>
      <c r="BP3831">
        <v>0</v>
      </c>
      <c r="BW3831" t="str">
        <f>"20:35:43.913"</f>
        <v>20:35:43.913</v>
      </c>
      <c r="BZ3831">
        <v>0</v>
      </c>
      <c r="CA3831">
        <v>1600</v>
      </c>
      <c r="CB3831">
        <v>224</v>
      </c>
      <c r="CD3831">
        <v>1</v>
      </c>
      <c r="CE3831">
        <v>0</v>
      </c>
      <c r="CF3831">
        <v>0</v>
      </c>
      <c r="CG3831">
        <v>1</v>
      </c>
      <c r="CH3831">
        <v>0</v>
      </c>
      <c r="CI3831">
        <v>0</v>
      </c>
      <c r="CJ3831">
        <v>0</v>
      </c>
      <c r="CK3831">
        <v>2</v>
      </c>
      <c r="CL3831">
        <v>0</v>
      </c>
      <c r="CM3831">
        <v>2</v>
      </c>
      <c r="CN3831">
        <v>0</v>
      </c>
      <c r="CO3831">
        <v>1</v>
      </c>
      <c r="CP3831" t="s">
        <v>119</v>
      </c>
      <c r="CQ3831">
        <v>179</v>
      </c>
      <c r="CR3831">
        <v>2</v>
      </c>
      <c r="CW3831">
        <v>12543370</v>
      </c>
      <c r="CY3831">
        <v>0</v>
      </c>
      <c r="CZ3831">
        <v>0</v>
      </c>
      <c r="DA3831">
        <v>0</v>
      </c>
      <c r="DB3831">
        <v>0</v>
      </c>
      <c r="DC3831">
        <v>0</v>
      </c>
      <c r="DD3831">
        <v>0</v>
      </c>
      <c r="DE3831">
        <v>0</v>
      </c>
      <c r="DF3831">
        <v>0</v>
      </c>
      <c r="DG3831">
        <v>0</v>
      </c>
      <c r="DH3831">
        <v>0</v>
      </c>
      <c r="DI3831">
        <v>0</v>
      </c>
    </row>
    <row r="3832" spans="1:113" x14ac:dyDescent="0.3">
      <c r="A3832" t="str">
        <f>"02/08/2021 20:35:41.597"</f>
        <v>02/08/2021 20:35:41.597</v>
      </c>
      <c r="C3832" t="str">
        <f t="shared" si="191"/>
        <v>FFDFD7C0</v>
      </c>
      <c r="D3832" t="s">
        <v>113</v>
      </c>
      <c r="E3832">
        <v>6</v>
      </c>
      <c r="H3832">
        <v>165</v>
      </c>
      <c r="I3832" t="s">
        <v>114</v>
      </c>
      <c r="J3832" t="s">
        <v>115</v>
      </c>
      <c r="K3832">
        <v>0</v>
      </c>
      <c r="L3832">
        <v>3</v>
      </c>
      <c r="M3832">
        <v>0</v>
      </c>
      <c r="N3832">
        <v>2</v>
      </c>
      <c r="O3832">
        <v>1</v>
      </c>
      <c r="P3832">
        <v>0</v>
      </c>
      <c r="Q3832">
        <v>0</v>
      </c>
      <c r="S3832" t="str">
        <f>"20:35:43.906"</f>
        <v>20:35:43.906</v>
      </c>
      <c r="T3832" t="str">
        <f>"20:35:43.506"</f>
        <v>20:35:43.506</v>
      </c>
      <c r="U3832" t="str">
        <f t="shared" si="190"/>
        <v>AB01F4</v>
      </c>
      <c r="V3832">
        <v>0</v>
      </c>
      <c r="W3832">
        <v>0</v>
      </c>
      <c r="X3832">
        <v>2</v>
      </c>
      <c r="Z3832">
        <v>0</v>
      </c>
      <c r="AA3832">
        <v>9</v>
      </c>
      <c r="AB3832">
        <v>3</v>
      </c>
      <c r="AC3832">
        <v>0</v>
      </c>
      <c r="AD3832">
        <v>10</v>
      </c>
      <c r="AE3832">
        <v>0</v>
      </c>
      <c r="AF3832">
        <v>3</v>
      </c>
      <c r="AG3832">
        <v>2</v>
      </c>
      <c r="AH3832">
        <v>0</v>
      </c>
      <c r="AI3832" t="s">
        <v>2165</v>
      </c>
      <c r="AJ3832">
        <v>40.127048000000002</v>
      </c>
      <c r="AK3832" t="s">
        <v>2166</v>
      </c>
      <c r="AL3832">
        <v>-93.066001</v>
      </c>
      <c r="AM3832">
        <v>100</v>
      </c>
      <c r="AN3832">
        <v>1300</v>
      </c>
      <c r="AO3832" t="s">
        <v>118</v>
      </c>
      <c r="AP3832">
        <v>-114</v>
      </c>
      <c r="AQ3832">
        <v>61</v>
      </c>
      <c r="AR3832">
        <v>64</v>
      </c>
      <c r="AZ3832">
        <v>1200</v>
      </c>
      <c r="BA3832">
        <v>1</v>
      </c>
      <c r="BB3832" t="str">
        <f t="shared" si="192"/>
        <v xml:space="preserve">N8080G  </v>
      </c>
      <c r="BC3832">
        <v>1</v>
      </c>
      <c r="BE3832">
        <v>0</v>
      </c>
      <c r="BF3832">
        <v>0</v>
      </c>
      <c r="BG3832">
        <v>0</v>
      </c>
      <c r="BH3832">
        <v>1350</v>
      </c>
      <c r="BI3832">
        <v>1</v>
      </c>
      <c r="BJ3832">
        <v>1</v>
      </c>
      <c r="BK3832">
        <v>1</v>
      </c>
      <c r="BL3832">
        <v>0</v>
      </c>
      <c r="BO3832">
        <v>0</v>
      </c>
      <c r="BP3832">
        <v>0</v>
      </c>
      <c r="BW3832" t="str">
        <f>"20:35:43.913"</f>
        <v>20:35:43.913</v>
      </c>
      <c r="BZ3832">
        <v>0</v>
      </c>
      <c r="CA3832">
        <v>1600</v>
      </c>
      <c r="CB3832">
        <v>224</v>
      </c>
      <c r="CD3832">
        <v>1</v>
      </c>
      <c r="CE3832">
        <v>0</v>
      </c>
      <c r="CF3832">
        <v>0</v>
      </c>
      <c r="CG3832">
        <v>1</v>
      </c>
      <c r="CH3832">
        <v>0</v>
      </c>
      <c r="CI3832">
        <v>0</v>
      </c>
      <c r="CJ3832">
        <v>0</v>
      </c>
      <c r="CK3832">
        <v>2</v>
      </c>
      <c r="CL3832">
        <v>0</v>
      </c>
      <c r="CM3832">
        <v>2</v>
      </c>
      <c r="CN3832">
        <v>0</v>
      </c>
      <c r="CO3832">
        <v>1</v>
      </c>
      <c r="CP3832" t="s">
        <v>119</v>
      </c>
      <c r="CQ3832">
        <v>179</v>
      </c>
      <c r="CR3832">
        <v>2</v>
      </c>
      <c r="CW3832">
        <v>12543370</v>
      </c>
      <c r="CY3832">
        <v>0</v>
      </c>
      <c r="CZ3832">
        <v>0</v>
      </c>
      <c r="DA3832">
        <v>1</v>
      </c>
      <c r="DB3832">
        <v>0</v>
      </c>
      <c r="DC3832">
        <v>0</v>
      </c>
      <c r="DD3832">
        <v>0</v>
      </c>
      <c r="DE3832">
        <v>0</v>
      </c>
      <c r="DF3832">
        <v>0</v>
      </c>
      <c r="DG3832">
        <v>0</v>
      </c>
      <c r="DH3832">
        <v>0</v>
      </c>
      <c r="DI3832">
        <v>0</v>
      </c>
    </row>
    <row r="3833" spans="1:113" x14ac:dyDescent="0.3">
      <c r="A3833" t="str">
        <f>"02/08/2021 20:35:41.597"</f>
        <v>02/08/2021 20:35:41.597</v>
      </c>
      <c r="C3833" t="str">
        <f t="shared" si="191"/>
        <v>FFDFD7C0</v>
      </c>
      <c r="D3833" t="s">
        <v>124</v>
      </c>
      <c r="E3833">
        <v>13</v>
      </c>
      <c r="F3833">
        <v>1013</v>
      </c>
      <c r="G3833" t="s">
        <v>114</v>
      </c>
      <c r="J3833" t="s">
        <v>125</v>
      </c>
      <c r="K3833">
        <v>0</v>
      </c>
      <c r="L3833">
        <v>3</v>
      </c>
      <c r="M3833">
        <v>0</v>
      </c>
      <c r="N3833">
        <v>2</v>
      </c>
      <c r="O3833">
        <v>1</v>
      </c>
      <c r="P3833">
        <v>0</v>
      </c>
      <c r="Q3833">
        <v>0</v>
      </c>
      <c r="S3833" t="str">
        <f>"20:35:43.906"</f>
        <v>20:35:43.906</v>
      </c>
      <c r="T3833" t="str">
        <f>"20:35:43.506"</f>
        <v>20:35:43.506</v>
      </c>
      <c r="U3833" t="str">
        <f t="shared" si="190"/>
        <v>AB01F4</v>
      </c>
      <c r="V3833">
        <v>0</v>
      </c>
      <c r="W3833">
        <v>0</v>
      </c>
      <c r="X3833">
        <v>2</v>
      </c>
      <c r="Z3833">
        <v>0</v>
      </c>
      <c r="AA3833">
        <v>9</v>
      </c>
      <c r="AB3833">
        <v>3</v>
      </c>
      <c r="AC3833">
        <v>0</v>
      </c>
      <c r="AD3833">
        <v>10</v>
      </c>
      <c r="AE3833">
        <v>0</v>
      </c>
      <c r="AF3833">
        <v>3</v>
      </c>
      <c r="AG3833">
        <v>2</v>
      </c>
      <c r="AH3833">
        <v>0</v>
      </c>
      <c r="AI3833" t="s">
        <v>2165</v>
      </c>
      <c r="AJ3833">
        <v>40.127048000000002</v>
      </c>
      <c r="AK3833" t="s">
        <v>2166</v>
      </c>
      <c r="AL3833">
        <v>-93.066001</v>
      </c>
      <c r="AM3833">
        <v>100</v>
      </c>
      <c r="AN3833">
        <v>1300</v>
      </c>
      <c r="AO3833" t="s">
        <v>118</v>
      </c>
      <c r="AP3833">
        <v>-114</v>
      </c>
      <c r="AQ3833">
        <v>61</v>
      </c>
      <c r="AR3833">
        <v>64</v>
      </c>
      <c r="AZ3833">
        <v>1200</v>
      </c>
      <c r="BA3833">
        <v>1</v>
      </c>
      <c r="BB3833" t="str">
        <f t="shared" si="192"/>
        <v xml:space="preserve">N8080G  </v>
      </c>
      <c r="BC3833">
        <v>1</v>
      </c>
      <c r="BE3833">
        <v>0</v>
      </c>
      <c r="BF3833">
        <v>0</v>
      </c>
      <c r="BG3833">
        <v>0</v>
      </c>
      <c r="BH3833">
        <v>1350</v>
      </c>
      <c r="BI3833">
        <v>1</v>
      </c>
      <c r="BJ3833">
        <v>1</v>
      </c>
      <c r="BK3833">
        <v>1</v>
      </c>
      <c r="BL3833">
        <v>0</v>
      </c>
      <c r="BO3833">
        <v>0</v>
      </c>
      <c r="BP3833">
        <v>0</v>
      </c>
      <c r="BW3833" t="str">
        <f>"20:35:43.913"</f>
        <v>20:35:43.913</v>
      </c>
      <c r="BZ3833">
        <v>0</v>
      </c>
      <c r="CA3833">
        <v>1600</v>
      </c>
      <c r="CB3833">
        <v>224</v>
      </c>
      <c r="CD3833">
        <v>1</v>
      </c>
      <c r="CE3833">
        <v>0</v>
      </c>
      <c r="CF3833">
        <v>0</v>
      </c>
      <c r="CG3833">
        <v>1</v>
      </c>
      <c r="CH3833">
        <v>0</v>
      </c>
      <c r="CI3833">
        <v>0</v>
      </c>
      <c r="CJ3833">
        <v>0</v>
      </c>
      <c r="CK3833">
        <v>2</v>
      </c>
      <c r="CL3833">
        <v>0</v>
      </c>
      <c r="CM3833">
        <v>2</v>
      </c>
      <c r="CN3833">
        <v>0</v>
      </c>
      <c r="CO3833">
        <v>1</v>
      </c>
      <c r="CP3833" t="s">
        <v>119</v>
      </c>
      <c r="CQ3833">
        <v>179</v>
      </c>
      <c r="CR3833">
        <v>2</v>
      </c>
      <c r="CW3833">
        <v>12543370</v>
      </c>
      <c r="CY3833">
        <v>0</v>
      </c>
      <c r="CZ3833">
        <v>0</v>
      </c>
      <c r="DA3833">
        <v>1</v>
      </c>
      <c r="DB3833">
        <v>0</v>
      </c>
      <c r="DC3833">
        <v>0</v>
      </c>
      <c r="DD3833">
        <v>0</v>
      </c>
      <c r="DE3833">
        <v>0</v>
      </c>
      <c r="DF3833">
        <v>0</v>
      </c>
      <c r="DG3833">
        <v>0</v>
      </c>
      <c r="DH3833">
        <v>0</v>
      </c>
      <c r="DI3833">
        <v>0</v>
      </c>
    </row>
    <row r="3834" spans="1:113" x14ac:dyDescent="0.3">
      <c r="A3834" t="str">
        <f>"02/08/2021 20:35:41.597"</f>
        <v>02/08/2021 20:35:41.597</v>
      </c>
      <c r="C3834" t="str">
        <f t="shared" si="191"/>
        <v>FFDFD7C0</v>
      </c>
      <c r="D3834" t="s">
        <v>124</v>
      </c>
      <c r="E3834">
        <v>11</v>
      </c>
      <c r="F3834">
        <v>1011</v>
      </c>
      <c r="G3834" t="s">
        <v>590</v>
      </c>
      <c r="J3834" t="s">
        <v>125</v>
      </c>
      <c r="K3834">
        <v>0</v>
      </c>
      <c r="L3834">
        <v>3</v>
      </c>
      <c r="M3834">
        <v>0</v>
      </c>
      <c r="N3834">
        <v>2</v>
      </c>
      <c r="O3834">
        <v>1</v>
      </c>
      <c r="P3834">
        <v>0</v>
      </c>
      <c r="Q3834">
        <v>0</v>
      </c>
      <c r="S3834" t="str">
        <f>"20:35:43.906"</f>
        <v>20:35:43.906</v>
      </c>
      <c r="T3834" t="str">
        <f>"20:35:43.506"</f>
        <v>20:35:43.506</v>
      </c>
      <c r="U3834" t="str">
        <f t="shared" si="190"/>
        <v>AB01F4</v>
      </c>
      <c r="V3834">
        <v>0</v>
      </c>
      <c r="W3834">
        <v>0</v>
      </c>
      <c r="X3834">
        <v>2</v>
      </c>
      <c r="Z3834">
        <v>0</v>
      </c>
      <c r="AA3834">
        <v>9</v>
      </c>
      <c r="AB3834">
        <v>3</v>
      </c>
      <c r="AC3834">
        <v>0</v>
      </c>
      <c r="AD3834">
        <v>10</v>
      </c>
      <c r="AE3834">
        <v>0</v>
      </c>
      <c r="AF3834">
        <v>3</v>
      </c>
      <c r="AG3834">
        <v>2</v>
      </c>
      <c r="AH3834">
        <v>0</v>
      </c>
      <c r="AI3834" t="s">
        <v>2165</v>
      </c>
      <c r="AJ3834">
        <v>40.127048000000002</v>
      </c>
      <c r="AK3834" t="s">
        <v>2166</v>
      </c>
      <c r="AL3834">
        <v>-93.066001</v>
      </c>
      <c r="AM3834">
        <v>100</v>
      </c>
      <c r="AN3834">
        <v>1300</v>
      </c>
      <c r="AO3834" t="s">
        <v>118</v>
      </c>
      <c r="AP3834">
        <v>-114</v>
      </c>
      <c r="AQ3834">
        <v>61</v>
      </c>
      <c r="AR3834">
        <v>64</v>
      </c>
      <c r="AZ3834">
        <v>1200</v>
      </c>
      <c r="BA3834">
        <v>1</v>
      </c>
      <c r="BB3834" t="str">
        <f t="shared" si="192"/>
        <v xml:space="preserve">N8080G  </v>
      </c>
      <c r="BC3834">
        <v>1</v>
      </c>
      <c r="BE3834">
        <v>0</v>
      </c>
      <c r="BF3834">
        <v>0</v>
      </c>
      <c r="BG3834">
        <v>0</v>
      </c>
      <c r="BH3834">
        <v>1350</v>
      </c>
      <c r="BI3834">
        <v>1</v>
      </c>
      <c r="BJ3834">
        <v>1</v>
      </c>
      <c r="BK3834">
        <v>1</v>
      </c>
      <c r="BL3834">
        <v>0</v>
      </c>
      <c r="BO3834">
        <v>0</v>
      </c>
      <c r="BP3834">
        <v>0</v>
      </c>
      <c r="BW3834" t="str">
        <f>"20:35:43.913"</f>
        <v>20:35:43.913</v>
      </c>
      <c r="BZ3834">
        <v>0</v>
      </c>
      <c r="CA3834">
        <v>1600</v>
      </c>
      <c r="CB3834">
        <v>224</v>
      </c>
      <c r="CD3834">
        <v>1</v>
      </c>
      <c r="CE3834">
        <v>0</v>
      </c>
      <c r="CF3834">
        <v>0</v>
      </c>
      <c r="CG3834">
        <v>1</v>
      </c>
      <c r="CH3834">
        <v>0</v>
      </c>
      <c r="CI3834">
        <v>0</v>
      </c>
      <c r="CJ3834">
        <v>0</v>
      </c>
      <c r="CK3834">
        <v>2</v>
      </c>
      <c r="CL3834">
        <v>0</v>
      </c>
      <c r="CM3834">
        <v>2</v>
      </c>
      <c r="CN3834">
        <v>0</v>
      </c>
      <c r="CO3834">
        <v>1</v>
      </c>
      <c r="CP3834" t="s">
        <v>119</v>
      </c>
      <c r="CQ3834">
        <v>179</v>
      </c>
      <c r="CR3834">
        <v>2</v>
      </c>
      <c r="CW3834">
        <v>12543370</v>
      </c>
      <c r="CY3834">
        <v>0</v>
      </c>
      <c r="CZ3834">
        <v>0</v>
      </c>
      <c r="DA3834">
        <v>1</v>
      </c>
      <c r="DB3834">
        <v>0</v>
      </c>
      <c r="DC3834">
        <v>0</v>
      </c>
      <c r="DD3834">
        <v>0</v>
      </c>
      <c r="DE3834">
        <v>0</v>
      </c>
      <c r="DF3834">
        <v>0</v>
      </c>
      <c r="DG3834">
        <v>0</v>
      </c>
      <c r="DH3834">
        <v>0</v>
      </c>
      <c r="DI3834">
        <v>0</v>
      </c>
    </row>
    <row r="3835" spans="1:113" x14ac:dyDescent="0.3">
      <c r="A3835" t="str">
        <f>"02/08/2021 20:35:43.207"</f>
        <v>02/08/2021 20:35:43.207</v>
      </c>
      <c r="C3835" t="str">
        <f t="shared" si="191"/>
        <v>FFDFD7C0</v>
      </c>
      <c r="D3835" t="s">
        <v>124</v>
      </c>
      <c r="E3835">
        <v>11</v>
      </c>
      <c r="F3835">
        <v>1011</v>
      </c>
      <c r="G3835" t="s">
        <v>590</v>
      </c>
      <c r="J3835" t="s">
        <v>125</v>
      </c>
      <c r="K3835">
        <v>0</v>
      </c>
      <c r="L3835">
        <v>3</v>
      </c>
      <c r="M3835">
        <v>0</v>
      </c>
      <c r="N3835">
        <v>2</v>
      </c>
      <c r="O3835">
        <v>1</v>
      </c>
      <c r="P3835">
        <v>0</v>
      </c>
      <c r="Q3835">
        <v>0</v>
      </c>
      <c r="S3835" t="str">
        <f>"20:35:45.539"</f>
        <v>20:35:45.539</v>
      </c>
      <c r="T3835" t="str">
        <f>"20:35:45.039"</f>
        <v>20:35:45.039</v>
      </c>
      <c r="U3835" t="str">
        <f t="shared" si="190"/>
        <v>AB01F4</v>
      </c>
      <c r="V3835">
        <v>0</v>
      </c>
      <c r="W3835">
        <v>0</v>
      </c>
      <c r="X3835">
        <v>2</v>
      </c>
      <c r="Z3835">
        <v>0</v>
      </c>
      <c r="AA3835">
        <v>9</v>
      </c>
      <c r="AB3835">
        <v>3</v>
      </c>
      <c r="AC3835">
        <v>0</v>
      </c>
      <c r="AD3835">
        <v>10</v>
      </c>
      <c r="AE3835">
        <v>0</v>
      </c>
      <c r="AF3835">
        <v>3</v>
      </c>
      <c r="AG3835">
        <v>2</v>
      </c>
      <c r="AH3835">
        <v>0</v>
      </c>
      <c r="AI3835" t="s">
        <v>2167</v>
      </c>
      <c r="AJ3835">
        <v>40.127521000000002</v>
      </c>
      <c r="AK3835" t="s">
        <v>2168</v>
      </c>
      <c r="AL3835">
        <v>-93.067138</v>
      </c>
      <c r="AM3835">
        <v>100</v>
      </c>
      <c r="AN3835">
        <v>1300</v>
      </c>
      <c r="AO3835" t="s">
        <v>118</v>
      </c>
      <c r="AP3835">
        <v>-114</v>
      </c>
      <c r="AQ3835">
        <v>61</v>
      </c>
      <c r="AR3835">
        <v>0</v>
      </c>
      <c r="AZ3835">
        <v>1200</v>
      </c>
      <c r="BA3835">
        <v>1</v>
      </c>
      <c r="BB3835" t="str">
        <f t="shared" si="192"/>
        <v xml:space="preserve">N8080G  </v>
      </c>
      <c r="BC3835">
        <v>1</v>
      </c>
      <c r="BE3835">
        <v>0</v>
      </c>
      <c r="BF3835">
        <v>0</v>
      </c>
      <c r="BG3835">
        <v>0</v>
      </c>
      <c r="BH3835">
        <v>1325</v>
      </c>
      <c r="BI3835">
        <v>1</v>
      </c>
      <c r="BJ3835">
        <v>1</v>
      </c>
      <c r="BK3835">
        <v>1</v>
      </c>
      <c r="BL3835">
        <v>0</v>
      </c>
      <c r="BO3835">
        <v>0</v>
      </c>
      <c r="BP3835">
        <v>0</v>
      </c>
      <c r="BW3835" t="str">
        <f>"20:35:45.546"</f>
        <v>20:35:45.546</v>
      </c>
      <c r="BZ3835">
        <v>0</v>
      </c>
      <c r="CA3835">
        <v>1600</v>
      </c>
      <c r="CB3835">
        <v>224</v>
      </c>
      <c r="CD3835">
        <v>1</v>
      </c>
      <c r="CE3835">
        <v>0</v>
      </c>
      <c r="CF3835">
        <v>0</v>
      </c>
      <c r="CG3835">
        <v>1</v>
      </c>
      <c r="CH3835">
        <v>0</v>
      </c>
      <c r="CI3835">
        <v>0</v>
      </c>
      <c r="CJ3835">
        <v>0</v>
      </c>
      <c r="CK3835">
        <v>2</v>
      </c>
      <c r="CL3835">
        <v>0</v>
      </c>
      <c r="CM3835">
        <v>2</v>
      </c>
      <c r="CN3835">
        <v>0</v>
      </c>
      <c r="CO3835">
        <v>6</v>
      </c>
      <c r="CP3835" t="s">
        <v>119</v>
      </c>
      <c r="CQ3835">
        <v>180</v>
      </c>
      <c r="CR3835">
        <v>3</v>
      </c>
      <c r="CW3835">
        <v>1276831</v>
      </c>
      <c r="CY3835">
        <v>0</v>
      </c>
      <c r="CZ3835">
        <v>0</v>
      </c>
      <c r="DA3835">
        <v>0</v>
      </c>
      <c r="DB3835">
        <v>0</v>
      </c>
      <c r="DC3835">
        <v>0</v>
      </c>
      <c r="DD3835">
        <v>0</v>
      </c>
      <c r="DE3835">
        <v>0</v>
      </c>
      <c r="DF3835">
        <v>0</v>
      </c>
      <c r="DG3835">
        <v>0</v>
      </c>
      <c r="DH3835">
        <v>0</v>
      </c>
      <c r="DI3835">
        <v>0</v>
      </c>
    </row>
    <row r="3836" spans="1:113" x14ac:dyDescent="0.3">
      <c r="A3836" t="str">
        <f>"02/08/2021 20:35:43.207"</f>
        <v>02/08/2021 20:35:43.207</v>
      </c>
      <c r="C3836" t="str">
        <f t="shared" si="191"/>
        <v>FFDFD7C0</v>
      </c>
      <c r="D3836" t="s">
        <v>124</v>
      </c>
      <c r="E3836">
        <v>12</v>
      </c>
      <c r="F3836">
        <v>1012</v>
      </c>
      <c r="G3836" t="s">
        <v>675</v>
      </c>
      <c r="J3836" t="s">
        <v>125</v>
      </c>
      <c r="K3836">
        <v>0</v>
      </c>
      <c r="L3836">
        <v>3</v>
      </c>
      <c r="M3836">
        <v>0</v>
      </c>
      <c r="N3836">
        <v>2</v>
      </c>
      <c r="O3836">
        <v>1</v>
      </c>
      <c r="P3836">
        <v>0</v>
      </c>
      <c r="Q3836">
        <v>0</v>
      </c>
      <c r="S3836" t="str">
        <f>"20:35:45.539"</f>
        <v>20:35:45.539</v>
      </c>
      <c r="T3836" t="str">
        <f>"20:35:45.039"</f>
        <v>20:35:45.039</v>
      </c>
      <c r="U3836" t="str">
        <f t="shared" si="190"/>
        <v>AB01F4</v>
      </c>
      <c r="V3836">
        <v>0</v>
      </c>
      <c r="W3836">
        <v>0</v>
      </c>
      <c r="X3836">
        <v>2</v>
      </c>
      <c r="Z3836">
        <v>0</v>
      </c>
      <c r="AA3836">
        <v>9</v>
      </c>
      <c r="AB3836">
        <v>3</v>
      </c>
      <c r="AC3836">
        <v>0</v>
      </c>
      <c r="AD3836">
        <v>10</v>
      </c>
      <c r="AE3836">
        <v>0</v>
      </c>
      <c r="AF3836">
        <v>3</v>
      </c>
      <c r="AG3836">
        <v>2</v>
      </c>
      <c r="AH3836">
        <v>0</v>
      </c>
      <c r="AI3836" t="s">
        <v>2167</v>
      </c>
      <c r="AJ3836">
        <v>40.127521000000002</v>
      </c>
      <c r="AK3836" t="s">
        <v>2168</v>
      </c>
      <c r="AL3836">
        <v>-93.067138</v>
      </c>
      <c r="AM3836">
        <v>100</v>
      </c>
      <c r="AN3836">
        <v>1300</v>
      </c>
      <c r="AO3836" t="s">
        <v>118</v>
      </c>
      <c r="AP3836">
        <v>-114</v>
      </c>
      <c r="AQ3836">
        <v>61</v>
      </c>
      <c r="AR3836">
        <v>0</v>
      </c>
      <c r="AZ3836">
        <v>1200</v>
      </c>
      <c r="BA3836">
        <v>1</v>
      </c>
      <c r="BB3836" t="str">
        <f t="shared" si="192"/>
        <v xml:space="preserve">N8080G  </v>
      </c>
      <c r="BC3836">
        <v>1</v>
      </c>
      <c r="BE3836">
        <v>0</v>
      </c>
      <c r="BF3836">
        <v>0</v>
      </c>
      <c r="BG3836">
        <v>0</v>
      </c>
      <c r="BH3836">
        <v>1325</v>
      </c>
      <c r="BI3836">
        <v>1</v>
      </c>
      <c r="BJ3836">
        <v>1</v>
      </c>
      <c r="BK3836">
        <v>1</v>
      </c>
      <c r="BL3836">
        <v>0</v>
      </c>
      <c r="BO3836">
        <v>0</v>
      </c>
      <c r="BP3836">
        <v>0</v>
      </c>
      <c r="BW3836" t="str">
        <f>"20:35:45.546"</f>
        <v>20:35:45.546</v>
      </c>
      <c r="BZ3836">
        <v>0</v>
      </c>
      <c r="CA3836">
        <v>1600</v>
      </c>
      <c r="CB3836">
        <v>224</v>
      </c>
      <c r="CD3836">
        <v>1</v>
      </c>
      <c r="CE3836">
        <v>0</v>
      </c>
      <c r="CF3836">
        <v>0</v>
      </c>
      <c r="CG3836">
        <v>1</v>
      </c>
      <c r="CH3836">
        <v>0</v>
      </c>
      <c r="CI3836">
        <v>0</v>
      </c>
      <c r="CJ3836">
        <v>0</v>
      </c>
      <c r="CK3836">
        <v>2</v>
      </c>
      <c r="CL3836">
        <v>0</v>
      </c>
      <c r="CM3836">
        <v>2</v>
      </c>
      <c r="CN3836">
        <v>0</v>
      </c>
      <c r="CO3836">
        <v>6</v>
      </c>
      <c r="CP3836" t="s">
        <v>119</v>
      </c>
      <c r="CQ3836">
        <v>180</v>
      </c>
      <c r="CR3836">
        <v>3</v>
      </c>
      <c r="CW3836">
        <v>1276831</v>
      </c>
      <c r="CY3836">
        <v>0</v>
      </c>
      <c r="CZ3836">
        <v>0</v>
      </c>
      <c r="DA3836">
        <v>1</v>
      </c>
      <c r="DB3836">
        <v>0</v>
      </c>
      <c r="DC3836">
        <v>0</v>
      </c>
      <c r="DD3836">
        <v>0</v>
      </c>
      <c r="DE3836">
        <v>0</v>
      </c>
      <c r="DF3836">
        <v>0</v>
      </c>
      <c r="DG3836">
        <v>0</v>
      </c>
      <c r="DH3836">
        <v>0</v>
      </c>
      <c r="DI3836">
        <v>0</v>
      </c>
    </row>
    <row r="3837" spans="1:113" x14ac:dyDescent="0.3">
      <c r="A3837" t="str">
        <f>"02/08/2021 20:35:43.207"</f>
        <v>02/08/2021 20:35:43.207</v>
      </c>
      <c r="C3837" t="str">
        <f t="shared" si="191"/>
        <v>FFDFD7C0</v>
      </c>
      <c r="D3837" t="s">
        <v>124</v>
      </c>
      <c r="E3837">
        <v>13</v>
      </c>
      <c r="F3837">
        <v>1013</v>
      </c>
      <c r="G3837" t="s">
        <v>114</v>
      </c>
      <c r="J3837" t="s">
        <v>125</v>
      </c>
      <c r="K3837">
        <v>0</v>
      </c>
      <c r="L3837">
        <v>3</v>
      </c>
      <c r="M3837">
        <v>0</v>
      </c>
      <c r="N3837">
        <v>2</v>
      </c>
      <c r="O3837">
        <v>1</v>
      </c>
      <c r="P3837">
        <v>0</v>
      </c>
      <c r="Q3837">
        <v>0</v>
      </c>
      <c r="S3837" t="str">
        <f>"20:35:45.539"</f>
        <v>20:35:45.539</v>
      </c>
      <c r="T3837" t="str">
        <f>"20:35:45.039"</f>
        <v>20:35:45.039</v>
      </c>
      <c r="U3837" t="str">
        <f t="shared" si="190"/>
        <v>AB01F4</v>
      </c>
      <c r="V3837">
        <v>0</v>
      </c>
      <c r="W3837">
        <v>0</v>
      </c>
      <c r="X3837">
        <v>2</v>
      </c>
      <c r="Z3837">
        <v>0</v>
      </c>
      <c r="AA3837">
        <v>9</v>
      </c>
      <c r="AB3837">
        <v>3</v>
      </c>
      <c r="AC3837">
        <v>0</v>
      </c>
      <c r="AD3837">
        <v>10</v>
      </c>
      <c r="AE3837">
        <v>0</v>
      </c>
      <c r="AF3837">
        <v>3</v>
      </c>
      <c r="AG3837">
        <v>2</v>
      </c>
      <c r="AH3837">
        <v>0</v>
      </c>
      <c r="AI3837" t="s">
        <v>2167</v>
      </c>
      <c r="AJ3837">
        <v>40.127521000000002</v>
      </c>
      <c r="AK3837" t="s">
        <v>2168</v>
      </c>
      <c r="AL3837">
        <v>-93.067138</v>
      </c>
      <c r="AM3837">
        <v>100</v>
      </c>
      <c r="AN3837">
        <v>1300</v>
      </c>
      <c r="AO3837" t="s">
        <v>118</v>
      </c>
      <c r="AP3837">
        <v>-114</v>
      </c>
      <c r="AQ3837">
        <v>61</v>
      </c>
      <c r="AR3837">
        <v>0</v>
      </c>
      <c r="AZ3837">
        <v>1200</v>
      </c>
      <c r="BA3837">
        <v>1</v>
      </c>
      <c r="BB3837" t="str">
        <f t="shared" si="192"/>
        <v xml:space="preserve">N8080G  </v>
      </c>
      <c r="BC3837">
        <v>1</v>
      </c>
      <c r="BE3837">
        <v>0</v>
      </c>
      <c r="BF3837">
        <v>0</v>
      </c>
      <c r="BG3837">
        <v>0</v>
      </c>
      <c r="BH3837">
        <v>1325</v>
      </c>
      <c r="BI3837">
        <v>1</v>
      </c>
      <c r="BJ3837">
        <v>1</v>
      </c>
      <c r="BK3837">
        <v>1</v>
      </c>
      <c r="BL3837">
        <v>0</v>
      </c>
      <c r="BO3837">
        <v>0</v>
      </c>
      <c r="BP3837">
        <v>0</v>
      </c>
      <c r="BW3837" t="str">
        <f>"20:35:45.546"</f>
        <v>20:35:45.546</v>
      </c>
      <c r="BZ3837">
        <v>0</v>
      </c>
      <c r="CA3837">
        <v>1600</v>
      </c>
      <c r="CB3837">
        <v>224</v>
      </c>
      <c r="CD3837">
        <v>1</v>
      </c>
      <c r="CE3837">
        <v>0</v>
      </c>
      <c r="CF3837">
        <v>0</v>
      </c>
      <c r="CG3837">
        <v>1</v>
      </c>
      <c r="CH3837">
        <v>0</v>
      </c>
      <c r="CI3837">
        <v>0</v>
      </c>
      <c r="CJ3837">
        <v>0</v>
      </c>
      <c r="CK3837">
        <v>2</v>
      </c>
      <c r="CL3837">
        <v>0</v>
      </c>
      <c r="CM3837">
        <v>2</v>
      </c>
      <c r="CN3837">
        <v>0</v>
      </c>
      <c r="CO3837">
        <v>6</v>
      </c>
      <c r="CP3837" t="s">
        <v>119</v>
      </c>
      <c r="CQ3837">
        <v>180</v>
      </c>
      <c r="CR3837">
        <v>3</v>
      </c>
      <c r="CW3837">
        <v>1276831</v>
      </c>
      <c r="CY3837">
        <v>0</v>
      </c>
      <c r="CZ3837">
        <v>0</v>
      </c>
      <c r="DA3837">
        <v>1</v>
      </c>
      <c r="DB3837">
        <v>0</v>
      </c>
      <c r="DC3837">
        <v>0</v>
      </c>
      <c r="DD3837">
        <v>0</v>
      </c>
      <c r="DE3837">
        <v>0</v>
      </c>
      <c r="DF3837">
        <v>0</v>
      </c>
      <c r="DG3837">
        <v>0</v>
      </c>
      <c r="DH3837">
        <v>0</v>
      </c>
      <c r="DI3837">
        <v>0</v>
      </c>
    </row>
    <row r="3838" spans="1:113" x14ac:dyDescent="0.3">
      <c r="A3838" t="str">
        <f>"02/08/2021 20:35:43.207"</f>
        <v>02/08/2021 20:35:43.207</v>
      </c>
      <c r="C3838" t="str">
        <f t="shared" si="191"/>
        <v>FFDFD7C0</v>
      </c>
      <c r="D3838" t="s">
        <v>113</v>
      </c>
      <c r="E3838">
        <v>6</v>
      </c>
      <c r="H3838">
        <v>165</v>
      </c>
      <c r="I3838" t="s">
        <v>114</v>
      </c>
      <c r="J3838" t="s">
        <v>115</v>
      </c>
      <c r="K3838">
        <v>0</v>
      </c>
      <c r="L3838">
        <v>3</v>
      </c>
      <c r="M3838">
        <v>0</v>
      </c>
      <c r="N3838">
        <v>2</v>
      </c>
      <c r="O3838">
        <v>1</v>
      </c>
      <c r="P3838">
        <v>0</v>
      </c>
      <c r="Q3838">
        <v>0</v>
      </c>
      <c r="S3838" t="str">
        <f>"20:35:45.539"</f>
        <v>20:35:45.539</v>
      </c>
      <c r="T3838" t="str">
        <f>"20:35:45.039"</f>
        <v>20:35:45.039</v>
      </c>
      <c r="U3838" t="str">
        <f t="shared" si="190"/>
        <v>AB01F4</v>
      </c>
      <c r="V3838">
        <v>0</v>
      </c>
      <c r="W3838">
        <v>0</v>
      </c>
      <c r="X3838">
        <v>2</v>
      </c>
      <c r="Z3838">
        <v>0</v>
      </c>
      <c r="AA3838">
        <v>9</v>
      </c>
      <c r="AB3838">
        <v>3</v>
      </c>
      <c r="AC3838">
        <v>0</v>
      </c>
      <c r="AD3838">
        <v>10</v>
      </c>
      <c r="AE3838">
        <v>0</v>
      </c>
      <c r="AF3838">
        <v>3</v>
      </c>
      <c r="AG3838">
        <v>2</v>
      </c>
      <c r="AH3838">
        <v>0</v>
      </c>
      <c r="AI3838" t="s">
        <v>2167</v>
      </c>
      <c r="AJ3838">
        <v>40.127521000000002</v>
      </c>
      <c r="AK3838" t="s">
        <v>2168</v>
      </c>
      <c r="AL3838">
        <v>-93.067138</v>
      </c>
      <c r="AM3838">
        <v>100</v>
      </c>
      <c r="AN3838">
        <v>1300</v>
      </c>
      <c r="AO3838" t="s">
        <v>118</v>
      </c>
      <c r="AP3838">
        <v>-114</v>
      </c>
      <c r="AQ3838">
        <v>61</v>
      </c>
      <c r="AR3838">
        <v>0</v>
      </c>
      <c r="AZ3838">
        <v>1200</v>
      </c>
      <c r="BA3838">
        <v>1</v>
      </c>
      <c r="BB3838" t="str">
        <f t="shared" si="192"/>
        <v xml:space="preserve">N8080G  </v>
      </c>
      <c r="BC3838">
        <v>1</v>
      </c>
      <c r="BE3838">
        <v>0</v>
      </c>
      <c r="BF3838">
        <v>0</v>
      </c>
      <c r="BG3838">
        <v>0</v>
      </c>
      <c r="BH3838">
        <v>1325</v>
      </c>
      <c r="BI3838">
        <v>1</v>
      </c>
      <c r="BJ3838">
        <v>1</v>
      </c>
      <c r="BK3838">
        <v>1</v>
      </c>
      <c r="BL3838">
        <v>0</v>
      </c>
      <c r="BO3838">
        <v>0</v>
      </c>
      <c r="BP3838">
        <v>0</v>
      </c>
      <c r="BW3838" t="str">
        <f>"20:35:45.546"</f>
        <v>20:35:45.546</v>
      </c>
      <c r="BZ3838">
        <v>0</v>
      </c>
      <c r="CA3838">
        <v>1600</v>
      </c>
      <c r="CB3838">
        <v>224</v>
      </c>
      <c r="CD3838">
        <v>1</v>
      </c>
      <c r="CE3838">
        <v>0</v>
      </c>
      <c r="CF3838">
        <v>0</v>
      </c>
      <c r="CG3838">
        <v>1</v>
      </c>
      <c r="CH3838">
        <v>0</v>
      </c>
      <c r="CI3838">
        <v>0</v>
      </c>
      <c r="CJ3838">
        <v>0</v>
      </c>
      <c r="CK3838">
        <v>2</v>
      </c>
      <c r="CL3838">
        <v>0</v>
      </c>
      <c r="CM3838">
        <v>2</v>
      </c>
      <c r="CN3838">
        <v>0</v>
      </c>
      <c r="CO3838">
        <v>6</v>
      </c>
      <c r="CP3838" t="s">
        <v>119</v>
      </c>
      <c r="CQ3838">
        <v>180</v>
      </c>
      <c r="CR3838">
        <v>3</v>
      </c>
      <c r="CW3838">
        <v>1276831</v>
      </c>
      <c r="CY3838">
        <v>0</v>
      </c>
      <c r="CZ3838">
        <v>0</v>
      </c>
      <c r="DA3838">
        <v>1</v>
      </c>
      <c r="DB3838">
        <v>0</v>
      </c>
      <c r="DC3838">
        <v>0</v>
      </c>
      <c r="DD3838">
        <v>0</v>
      </c>
      <c r="DE3838">
        <v>0</v>
      </c>
      <c r="DF3838">
        <v>0</v>
      </c>
      <c r="DG3838">
        <v>0</v>
      </c>
      <c r="DH3838">
        <v>0</v>
      </c>
      <c r="DI3838">
        <v>0</v>
      </c>
    </row>
    <row r="3839" spans="1:113" x14ac:dyDescent="0.3">
      <c r="A3839" t="str">
        <f>"02/08/2021 20:35:44.163"</f>
        <v>02/08/2021 20:35:44.163</v>
      </c>
      <c r="C3839" t="str">
        <f t="shared" si="191"/>
        <v>FFDFD7C0</v>
      </c>
      <c r="D3839" t="s">
        <v>124</v>
      </c>
      <c r="E3839">
        <v>12</v>
      </c>
      <c r="F3839">
        <v>1012</v>
      </c>
      <c r="G3839" t="s">
        <v>675</v>
      </c>
      <c r="J3839" t="s">
        <v>125</v>
      </c>
      <c r="K3839">
        <v>0</v>
      </c>
      <c r="L3839">
        <v>3</v>
      </c>
      <c r="M3839">
        <v>0</v>
      </c>
      <c r="N3839">
        <v>2</v>
      </c>
      <c r="O3839">
        <v>1</v>
      </c>
      <c r="P3839">
        <v>0</v>
      </c>
      <c r="Q3839">
        <v>0</v>
      </c>
      <c r="S3839" t="str">
        <f>"20:35:46.492"</f>
        <v>20:35:46.492</v>
      </c>
      <c r="T3839" t="str">
        <f>"20:35:45.992"</f>
        <v>20:35:45.992</v>
      </c>
      <c r="U3839" t="str">
        <f t="shared" si="190"/>
        <v>AB01F4</v>
      </c>
      <c r="V3839">
        <v>0</v>
      </c>
      <c r="W3839">
        <v>0</v>
      </c>
      <c r="X3839">
        <v>2</v>
      </c>
      <c r="Z3839">
        <v>0</v>
      </c>
      <c r="AA3839">
        <v>9</v>
      </c>
      <c r="AB3839">
        <v>3</v>
      </c>
      <c r="AC3839">
        <v>0</v>
      </c>
      <c r="AD3839">
        <v>10</v>
      </c>
      <c r="AE3839">
        <v>0</v>
      </c>
      <c r="AF3839">
        <v>3</v>
      </c>
      <c r="AG3839">
        <v>2</v>
      </c>
      <c r="AH3839">
        <v>0</v>
      </c>
      <c r="AI3839" t="s">
        <v>2169</v>
      </c>
      <c r="AJ3839">
        <v>40.127800000000001</v>
      </c>
      <c r="AK3839" t="s">
        <v>2170</v>
      </c>
      <c r="AL3839">
        <v>-93.067739000000003</v>
      </c>
      <c r="AM3839">
        <v>100</v>
      </c>
      <c r="AN3839">
        <v>1300</v>
      </c>
      <c r="AO3839" t="s">
        <v>118</v>
      </c>
      <c r="AP3839">
        <v>-114</v>
      </c>
      <c r="AQ3839">
        <v>61</v>
      </c>
      <c r="AR3839">
        <v>0</v>
      </c>
      <c r="AZ3839">
        <v>1200</v>
      </c>
      <c r="BA3839">
        <v>1</v>
      </c>
      <c r="BB3839" t="str">
        <f t="shared" si="192"/>
        <v xml:space="preserve">N8080G  </v>
      </c>
      <c r="BC3839">
        <v>1</v>
      </c>
      <c r="BE3839">
        <v>0</v>
      </c>
      <c r="BF3839">
        <v>0</v>
      </c>
      <c r="BG3839">
        <v>0</v>
      </c>
      <c r="BH3839">
        <v>1350</v>
      </c>
      <c r="BI3839">
        <v>1</v>
      </c>
      <c r="BJ3839">
        <v>1</v>
      </c>
      <c r="BK3839">
        <v>1</v>
      </c>
      <c r="BL3839">
        <v>0</v>
      </c>
      <c r="BO3839">
        <v>0</v>
      </c>
      <c r="BP3839">
        <v>0</v>
      </c>
      <c r="BW3839" t="str">
        <f>"20:35:46.493"</f>
        <v>20:35:46.493</v>
      </c>
      <c r="BZ3839">
        <v>0</v>
      </c>
      <c r="CA3839">
        <v>1600</v>
      </c>
      <c r="CB3839">
        <v>224</v>
      </c>
      <c r="CD3839">
        <v>1</v>
      </c>
      <c r="CE3839">
        <v>0</v>
      </c>
      <c r="CF3839">
        <v>0</v>
      </c>
      <c r="CG3839">
        <v>1</v>
      </c>
      <c r="CH3839">
        <v>0</v>
      </c>
      <c r="CI3839">
        <v>0</v>
      </c>
      <c r="CJ3839">
        <v>0</v>
      </c>
      <c r="CK3839">
        <v>2</v>
      </c>
      <c r="CL3839">
        <v>0</v>
      </c>
      <c r="CM3839">
        <v>2</v>
      </c>
      <c r="CN3839">
        <v>0</v>
      </c>
      <c r="CO3839">
        <v>1</v>
      </c>
      <c r="CP3839" t="s">
        <v>119</v>
      </c>
      <c r="CQ3839">
        <v>179</v>
      </c>
      <c r="CR3839">
        <v>2</v>
      </c>
      <c r="CW3839">
        <v>12545363</v>
      </c>
      <c r="CY3839">
        <v>0</v>
      </c>
      <c r="CZ3839">
        <v>0</v>
      </c>
      <c r="DA3839">
        <v>0</v>
      </c>
      <c r="DB3839">
        <v>0</v>
      </c>
      <c r="DC3839">
        <v>0</v>
      </c>
      <c r="DD3839">
        <v>0</v>
      </c>
      <c r="DE3839">
        <v>0</v>
      </c>
      <c r="DF3839">
        <v>0</v>
      </c>
      <c r="DG3839">
        <v>0</v>
      </c>
      <c r="DH3839">
        <v>0</v>
      </c>
      <c r="DI3839">
        <v>0</v>
      </c>
    </row>
    <row r="3840" spans="1:113" x14ac:dyDescent="0.3">
      <c r="A3840" t="str">
        <f>"02/08/2021 20:35:44.163"</f>
        <v>02/08/2021 20:35:44.163</v>
      </c>
      <c r="C3840" t="str">
        <f t="shared" si="191"/>
        <v>FFDFD7C0</v>
      </c>
      <c r="D3840" t="s">
        <v>124</v>
      </c>
      <c r="E3840">
        <v>11</v>
      </c>
      <c r="F3840">
        <v>1011</v>
      </c>
      <c r="G3840" t="s">
        <v>590</v>
      </c>
      <c r="J3840" t="s">
        <v>125</v>
      </c>
      <c r="K3840">
        <v>0</v>
      </c>
      <c r="L3840">
        <v>3</v>
      </c>
      <c r="M3840">
        <v>0</v>
      </c>
      <c r="N3840">
        <v>2</v>
      </c>
      <c r="O3840">
        <v>1</v>
      </c>
      <c r="P3840">
        <v>0</v>
      </c>
      <c r="Q3840">
        <v>0</v>
      </c>
      <c r="S3840" t="str">
        <f>"20:35:46.492"</f>
        <v>20:35:46.492</v>
      </c>
      <c r="T3840" t="str">
        <f>"20:35:45.992"</f>
        <v>20:35:45.992</v>
      </c>
      <c r="U3840" t="str">
        <f t="shared" si="190"/>
        <v>AB01F4</v>
      </c>
      <c r="V3840">
        <v>0</v>
      </c>
      <c r="W3840">
        <v>0</v>
      </c>
      <c r="X3840">
        <v>2</v>
      </c>
      <c r="Z3840">
        <v>0</v>
      </c>
      <c r="AA3840">
        <v>9</v>
      </c>
      <c r="AB3840">
        <v>3</v>
      </c>
      <c r="AC3840">
        <v>0</v>
      </c>
      <c r="AD3840">
        <v>10</v>
      </c>
      <c r="AE3840">
        <v>0</v>
      </c>
      <c r="AF3840">
        <v>3</v>
      </c>
      <c r="AG3840">
        <v>2</v>
      </c>
      <c r="AH3840">
        <v>0</v>
      </c>
      <c r="AI3840" t="s">
        <v>2169</v>
      </c>
      <c r="AJ3840">
        <v>40.127800000000001</v>
      </c>
      <c r="AK3840" t="s">
        <v>2170</v>
      </c>
      <c r="AL3840">
        <v>-93.067739000000003</v>
      </c>
      <c r="AM3840">
        <v>100</v>
      </c>
      <c r="AN3840">
        <v>1300</v>
      </c>
      <c r="AO3840" t="s">
        <v>118</v>
      </c>
      <c r="AP3840">
        <v>-114</v>
      </c>
      <c r="AQ3840">
        <v>61</v>
      </c>
      <c r="AR3840">
        <v>0</v>
      </c>
      <c r="AZ3840">
        <v>1200</v>
      </c>
      <c r="BA3840">
        <v>1</v>
      </c>
      <c r="BB3840" t="str">
        <f t="shared" si="192"/>
        <v xml:space="preserve">N8080G  </v>
      </c>
      <c r="BC3840">
        <v>1</v>
      </c>
      <c r="BE3840">
        <v>0</v>
      </c>
      <c r="BF3840">
        <v>0</v>
      </c>
      <c r="BG3840">
        <v>0</v>
      </c>
      <c r="BH3840">
        <v>1350</v>
      </c>
      <c r="BI3840">
        <v>1</v>
      </c>
      <c r="BJ3840">
        <v>1</v>
      </c>
      <c r="BK3840">
        <v>1</v>
      </c>
      <c r="BL3840">
        <v>0</v>
      </c>
      <c r="BO3840">
        <v>0</v>
      </c>
      <c r="BP3840">
        <v>0</v>
      </c>
      <c r="BW3840" t="str">
        <f>"20:35:46.493"</f>
        <v>20:35:46.493</v>
      </c>
      <c r="BZ3840">
        <v>0</v>
      </c>
      <c r="CA3840">
        <v>1600</v>
      </c>
      <c r="CB3840">
        <v>224</v>
      </c>
      <c r="CD3840">
        <v>1</v>
      </c>
      <c r="CE3840">
        <v>0</v>
      </c>
      <c r="CF3840">
        <v>0</v>
      </c>
      <c r="CG3840">
        <v>1</v>
      </c>
      <c r="CH3840">
        <v>0</v>
      </c>
      <c r="CI3840">
        <v>0</v>
      </c>
      <c r="CJ3840">
        <v>0</v>
      </c>
      <c r="CK3840">
        <v>2</v>
      </c>
      <c r="CL3840">
        <v>0</v>
      </c>
      <c r="CM3840">
        <v>2</v>
      </c>
      <c r="CN3840">
        <v>0</v>
      </c>
      <c r="CO3840">
        <v>1</v>
      </c>
      <c r="CP3840" t="s">
        <v>119</v>
      </c>
      <c r="CQ3840">
        <v>179</v>
      </c>
      <c r="CR3840">
        <v>2</v>
      </c>
      <c r="CW3840">
        <v>12545363</v>
      </c>
      <c r="CY3840">
        <v>0</v>
      </c>
      <c r="CZ3840">
        <v>0</v>
      </c>
      <c r="DA3840">
        <v>1</v>
      </c>
      <c r="DB3840">
        <v>0</v>
      </c>
      <c r="DC3840">
        <v>0</v>
      </c>
      <c r="DD3840">
        <v>0</v>
      </c>
      <c r="DE3840">
        <v>0</v>
      </c>
      <c r="DF3840">
        <v>0</v>
      </c>
      <c r="DG3840">
        <v>0</v>
      </c>
      <c r="DH3840">
        <v>0</v>
      </c>
      <c r="DI3840">
        <v>0</v>
      </c>
    </row>
    <row r="3841" spans="1:113" x14ac:dyDescent="0.3">
      <c r="A3841" t="str">
        <f>"02/08/2021 20:35:44.163"</f>
        <v>02/08/2021 20:35:44.163</v>
      </c>
      <c r="C3841" t="str">
        <f t="shared" si="191"/>
        <v>FFDFD7C0</v>
      </c>
      <c r="D3841" t="s">
        <v>124</v>
      </c>
      <c r="E3841">
        <v>13</v>
      </c>
      <c r="F3841">
        <v>1013</v>
      </c>
      <c r="G3841" t="s">
        <v>114</v>
      </c>
      <c r="J3841" t="s">
        <v>125</v>
      </c>
      <c r="K3841">
        <v>0</v>
      </c>
      <c r="L3841">
        <v>3</v>
      </c>
      <c r="M3841">
        <v>0</v>
      </c>
      <c r="N3841">
        <v>2</v>
      </c>
      <c r="O3841">
        <v>1</v>
      </c>
      <c r="P3841">
        <v>0</v>
      </c>
      <c r="Q3841">
        <v>0</v>
      </c>
      <c r="S3841" t="str">
        <f>"20:35:46.492"</f>
        <v>20:35:46.492</v>
      </c>
      <c r="T3841" t="str">
        <f>"20:35:45.992"</f>
        <v>20:35:45.992</v>
      </c>
      <c r="U3841" t="str">
        <f t="shared" si="190"/>
        <v>AB01F4</v>
      </c>
      <c r="V3841">
        <v>0</v>
      </c>
      <c r="W3841">
        <v>0</v>
      </c>
      <c r="X3841">
        <v>2</v>
      </c>
      <c r="Z3841">
        <v>0</v>
      </c>
      <c r="AA3841">
        <v>9</v>
      </c>
      <c r="AB3841">
        <v>3</v>
      </c>
      <c r="AC3841">
        <v>0</v>
      </c>
      <c r="AD3841">
        <v>10</v>
      </c>
      <c r="AE3841">
        <v>0</v>
      </c>
      <c r="AF3841">
        <v>3</v>
      </c>
      <c r="AG3841">
        <v>2</v>
      </c>
      <c r="AH3841">
        <v>0</v>
      </c>
      <c r="AI3841" t="s">
        <v>2169</v>
      </c>
      <c r="AJ3841">
        <v>40.127800000000001</v>
      </c>
      <c r="AK3841" t="s">
        <v>2170</v>
      </c>
      <c r="AL3841">
        <v>-93.067739000000003</v>
      </c>
      <c r="AM3841">
        <v>100</v>
      </c>
      <c r="AN3841">
        <v>1300</v>
      </c>
      <c r="AO3841" t="s">
        <v>118</v>
      </c>
      <c r="AP3841">
        <v>-114</v>
      </c>
      <c r="AQ3841">
        <v>61</v>
      </c>
      <c r="AR3841">
        <v>0</v>
      </c>
      <c r="AZ3841">
        <v>1200</v>
      </c>
      <c r="BA3841">
        <v>1</v>
      </c>
      <c r="BB3841" t="str">
        <f t="shared" si="192"/>
        <v xml:space="preserve">N8080G  </v>
      </c>
      <c r="BC3841">
        <v>1</v>
      </c>
      <c r="BE3841">
        <v>0</v>
      </c>
      <c r="BF3841">
        <v>0</v>
      </c>
      <c r="BG3841">
        <v>0</v>
      </c>
      <c r="BH3841">
        <v>1350</v>
      </c>
      <c r="BI3841">
        <v>1</v>
      </c>
      <c r="BJ3841">
        <v>1</v>
      </c>
      <c r="BK3841">
        <v>1</v>
      </c>
      <c r="BL3841">
        <v>0</v>
      </c>
      <c r="BO3841">
        <v>0</v>
      </c>
      <c r="BP3841">
        <v>0</v>
      </c>
      <c r="BW3841" t="str">
        <f>"20:35:46.493"</f>
        <v>20:35:46.493</v>
      </c>
      <c r="BZ3841">
        <v>0</v>
      </c>
      <c r="CA3841">
        <v>1600</v>
      </c>
      <c r="CB3841">
        <v>224</v>
      </c>
      <c r="CD3841">
        <v>1</v>
      </c>
      <c r="CE3841">
        <v>0</v>
      </c>
      <c r="CF3841">
        <v>0</v>
      </c>
      <c r="CG3841">
        <v>1</v>
      </c>
      <c r="CH3841">
        <v>0</v>
      </c>
      <c r="CI3841">
        <v>0</v>
      </c>
      <c r="CJ3841">
        <v>0</v>
      </c>
      <c r="CK3841">
        <v>2</v>
      </c>
      <c r="CL3841">
        <v>0</v>
      </c>
      <c r="CM3841">
        <v>2</v>
      </c>
      <c r="CN3841">
        <v>0</v>
      </c>
      <c r="CO3841">
        <v>1</v>
      </c>
      <c r="CP3841" t="s">
        <v>119</v>
      </c>
      <c r="CQ3841">
        <v>179</v>
      </c>
      <c r="CR3841">
        <v>2</v>
      </c>
      <c r="CW3841">
        <v>12545363</v>
      </c>
      <c r="CY3841">
        <v>0</v>
      </c>
      <c r="CZ3841">
        <v>0</v>
      </c>
      <c r="DA3841">
        <v>1</v>
      </c>
      <c r="DB3841">
        <v>0</v>
      </c>
      <c r="DC3841">
        <v>0</v>
      </c>
      <c r="DD3841">
        <v>0</v>
      </c>
      <c r="DE3841">
        <v>0</v>
      </c>
      <c r="DF3841">
        <v>0</v>
      </c>
      <c r="DG3841">
        <v>0</v>
      </c>
      <c r="DH3841">
        <v>0</v>
      </c>
      <c r="DI3841">
        <v>0</v>
      </c>
    </row>
    <row r="3842" spans="1:113" x14ac:dyDescent="0.3">
      <c r="A3842" t="str">
        <f>"02/08/2021 20:35:44.163"</f>
        <v>02/08/2021 20:35:44.163</v>
      </c>
      <c r="C3842" t="str">
        <f t="shared" si="191"/>
        <v>FFDFD7C0</v>
      </c>
      <c r="D3842" t="s">
        <v>113</v>
      </c>
      <c r="E3842">
        <v>6</v>
      </c>
      <c r="H3842">
        <v>165</v>
      </c>
      <c r="I3842" t="s">
        <v>114</v>
      </c>
      <c r="J3842" t="s">
        <v>115</v>
      </c>
      <c r="K3842">
        <v>0</v>
      </c>
      <c r="L3842">
        <v>3</v>
      </c>
      <c r="M3842">
        <v>0</v>
      </c>
      <c r="N3842">
        <v>2</v>
      </c>
      <c r="O3842">
        <v>1</v>
      </c>
      <c r="P3842">
        <v>0</v>
      </c>
      <c r="Q3842">
        <v>0</v>
      </c>
      <c r="S3842" t="str">
        <f>"20:35:46.492"</f>
        <v>20:35:46.492</v>
      </c>
      <c r="T3842" t="str">
        <f>"20:35:45.992"</f>
        <v>20:35:45.992</v>
      </c>
      <c r="U3842" t="str">
        <f t="shared" ref="U3842:U3905" si="193">"AB01F4"</f>
        <v>AB01F4</v>
      </c>
      <c r="V3842">
        <v>0</v>
      </c>
      <c r="W3842">
        <v>0</v>
      </c>
      <c r="X3842">
        <v>2</v>
      </c>
      <c r="Z3842">
        <v>0</v>
      </c>
      <c r="AA3842">
        <v>9</v>
      </c>
      <c r="AB3842">
        <v>3</v>
      </c>
      <c r="AC3842">
        <v>0</v>
      </c>
      <c r="AD3842">
        <v>10</v>
      </c>
      <c r="AE3842">
        <v>0</v>
      </c>
      <c r="AF3842">
        <v>3</v>
      </c>
      <c r="AG3842">
        <v>2</v>
      </c>
      <c r="AH3842">
        <v>0</v>
      </c>
      <c r="AI3842" t="s">
        <v>2169</v>
      </c>
      <c r="AJ3842">
        <v>40.127800000000001</v>
      </c>
      <c r="AK3842" t="s">
        <v>2170</v>
      </c>
      <c r="AL3842">
        <v>-93.067739000000003</v>
      </c>
      <c r="AM3842">
        <v>100</v>
      </c>
      <c r="AN3842">
        <v>1300</v>
      </c>
      <c r="AO3842" t="s">
        <v>118</v>
      </c>
      <c r="AP3842">
        <v>-114</v>
      </c>
      <c r="AQ3842">
        <v>61</v>
      </c>
      <c r="AR3842">
        <v>0</v>
      </c>
      <c r="AZ3842">
        <v>1200</v>
      </c>
      <c r="BA3842">
        <v>1</v>
      </c>
      <c r="BB3842" t="str">
        <f t="shared" si="192"/>
        <v xml:space="preserve">N8080G  </v>
      </c>
      <c r="BC3842">
        <v>1</v>
      </c>
      <c r="BE3842">
        <v>0</v>
      </c>
      <c r="BF3842">
        <v>0</v>
      </c>
      <c r="BG3842">
        <v>0</v>
      </c>
      <c r="BH3842">
        <v>1350</v>
      </c>
      <c r="BI3842">
        <v>1</v>
      </c>
      <c r="BJ3842">
        <v>1</v>
      </c>
      <c r="BK3842">
        <v>1</v>
      </c>
      <c r="BL3842">
        <v>0</v>
      </c>
      <c r="BO3842">
        <v>0</v>
      </c>
      <c r="BP3842">
        <v>0</v>
      </c>
      <c r="BW3842" t="str">
        <f>"20:35:46.493"</f>
        <v>20:35:46.493</v>
      </c>
      <c r="BZ3842">
        <v>0</v>
      </c>
      <c r="CA3842">
        <v>1600</v>
      </c>
      <c r="CB3842">
        <v>224</v>
      </c>
      <c r="CD3842">
        <v>1</v>
      </c>
      <c r="CE3842">
        <v>0</v>
      </c>
      <c r="CF3842">
        <v>0</v>
      </c>
      <c r="CG3842">
        <v>1</v>
      </c>
      <c r="CH3842">
        <v>0</v>
      </c>
      <c r="CI3842">
        <v>0</v>
      </c>
      <c r="CJ3842">
        <v>0</v>
      </c>
      <c r="CK3842">
        <v>2</v>
      </c>
      <c r="CL3842">
        <v>0</v>
      </c>
      <c r="CM3842">
        <v>2</v>
      </c>
      <c r="CN3842">
        <v>0</v>
      </c>
      <c r="CO3842">
        <v>1</v>
      </c>
      <c r="CP3842" t="s">
        <v>119</v>
      </c>
      <c r="CQ3842">
        <v>179</v>
      </c>
      <c r="CR3842">
        <v>2</v>
      </c>
      <c r="CW3842">
        <v>12545363</v>
      </c>
      <c r="CY3842">
        <v>0</v>
      </c>
      <c r="CZ3842">
        <v>0</v>
      </c>
      <c r="DA3842">
        <v>1</v>
      </c>
      <c r="DB3842">
        <v>0</v>
      </c>
      <c r="DC3842">
        <v>0</v>
      </c>
      <c r="DD3842">
        <v>0</v>
      </c>
      <c r="DE3842">
        <v>0</v>
      </c>
      <c r="DF3842">
        <v>0</v>
      </c>
      <c r="DG3842">
        <v>0</v>
      </c>
      <c r="DH3842">
        <v>0</v>
      </c>
      <c r="DI3842">
        <v>0</v>
      </c>
    </row>
    <row r="3843" spans="1:113" x14ac:dyDescent="0.3">
      <c r="A3843" t="str">
        <f>"02/08/2021 20:35:45.173"</f>
        <v>02/08/2021 20:35:45.173</v>
      </c>
      <c r="C3843" t="str">
        <f t="shared" si="191"/>
        <v>FFDFD7C0</v>
      </c>
      <c r="D3843" t="s">
        <v>124</v>
      </c>
      <c r="E3843">
        <v>11</v>
      </c>
      <c r="F3843">
        <v>1011</v>
      </c>
      <c r="G3843" t="s">
        <v>590</v>
      </c>
      <c r="J3843" t="s">
        <v>125</v>
      </c>
      <c r="K3843">
        <v>0</v>
      </c>
      <c r="L3843">
        <v>3</v>
      </c>
      <c r="M3843">
        <v>0</v>
      </c>
      <c r="N3843">
        <v>2</v>
      </c>
      <c r="O3843">
        <v>1</v>
      </c>
      <c r="P3843">
        <v>0</v>
      </c>
      <c r="Q3843">
        <v>0</v>
      </c>
      <c r="S3843" t="str">
        <f>"20:35:47.484"</f>
        <v>20:35:47.484</v>
      </c>
      <c r="T3843" t="str">
        <f>"20:35:46.984"</f>
        <v>20:35:46.984</v>
      </c>
      <c r="U3843" t="str">
        <f t="shared" si="193"/>
        <v>AB01F4</v>
      </c>
      <c r="V3843">
        <v>0</v>
      </c>
      <c r="W3843">
        <v>0</v>
      </c>
      <c r="X3843">
        <v>2</v>
      </c>
      <c r="Z3843">
        <v>0</v>
      </c>
      <c r="AA3843">
        <v>9</v>
      </c>
      <c r="AB3843">
        <v>3</v>
      </c>
      <c r="AC3843">
        <v>0</v>
      </c>
      <c r="AD3843">
        <v>10</v>
      </c>
      <c r="AE3843">
        <v>0</v>
      </c>
      <c r="AF3843">
        <v>3</v>
      </c>
      <c r="AG3843">
        <v>2</v>
      </c>
      <c r="AH3843">
        <v>0</v>
      </c>
      <c r="AI3843" t="s">
        <v>2171</v>
      </c>
      <c r="AJ3843">
        <v>40.128078000000002</v>
      </c>
      <c r="AK3843" t="s">
        <v>2172</v>
      </c>
      <c r="AL3843">
        <v>-93.068426000000002</v>
      </c>
      <c r="AM3843">
        <v>100</v>
      </c>
      <c r="AN3843">
        <v>1300</v>
      </c>
      <c r="AO3843" t="s">
        <v>118</v>
      </c>
      <c r="AP3843">
        <v>-114</v>
      </c>
      <c r="AQ3843">
        <v>61</v>
      </c>
      <c r="AR3843">
        <v>0</v>
      </c>
      <c r="AZ3843">
        <v>1200</v>
      </c>
      <c r="BA3843">
        <v>1</v>
      </c>
      <c r="BB3843" t="str">
        <f t="shared" si="192"/>
        <v xml:space="preserve">N8080G  </v>
      </c>
      <c r="BC3843">
        <v>1</v>
      </c>
      <c r="BE3843">
        <v>0</v>
      </c>
      <c r="BF3843">
        <v>0</v>
      </c>
      <c r="BG3843">
        <v>0</v>
      </c>
      <c r="BH3843">
        <v>1350</v>
      </c>
      <c r="BI3843">
        <v>1</v>
      </c>
      <c r="BJ3843">
        <v>1</v>
      </c>
      <c r="BK3843">
        <v>1</v>
      </c>
      <c r="BL3843">
        <v>0</v>
      </c>
      <c r="BO3843">
        <v>0</v>
      </c>
      <c r="BP3843">
        <v>0</v>
      </c>
      <c r="BW3843" t="str">
        <f>"20:35:47.491"</f>
        <v>20:35:47.491</v>
      </c>
      <c r="BZ3843">
        <v>0</v>
      </c>
      <c r="CA3843">
        <v>1600</v>
      </c>
      <c r="CB3843">
        <v>224</v>
      </c>
      <c r="CD3843">
        <v>1</v>
      </c>
      <c r="CE3843">
        <v>0</v>
      </c>
      <c r="CF3843">
        <v>0</v>
      </c>
      <c r="CG3843">
        <v>1</v>
      </c>
      <c r="CH3843">
        <v>0</v>
      </c>
      <c r="CI3843">
        <v>0</v>
      </c>
      <c r="CJ3843">
        <v>0</v>
      </c>
      <c r="CK3843">
        <v>2</v>
      </c>
      <c r="CL3843">
        <v>0</v>
      </c>
      <c r="CM3843">
        <v>2</v>
      </c>
      <c r="CN3843">
        <v>0</v>
      </c>
      <c r="CO3843">
        <v>1</v>
      </c>
      <c r="CP3843" t="s">
        <v>119</v>
      </c>
      <c r="CQ3843">
        <v>179</v>
      </c>
      <c r="CR3843">
        <v>2</v>
      </c>
      <c r="CW3843">
        <v>12546228</v>
      </c>
      <c r="CY3843">
        <v>0</v>
      </c>
      <c r="CZ3843">
        <v>0</v>
      </c>
      <c r="DA3843">
        <v>0</v>
      </c>
      <c r="DB3843">
        <v>0</v>
      </c>
      <c r="DC3843">
        <v>0</v>
      </c>
      <c r="DD3843">
        <v>0</v>
      </c>
      <c r="DE3843">
        <v>0</v>
      </c>
      <c r="DF3843">
        <v>0</v>
      </c>
      <c r="DG3843">
        <v>0</v>
      </c>
      <c r="DH3843">
        <v>0</v>
      </c>
      <c r="DI3843">
        <v>0</v>
      </c>
    </row>
    <row r="3844" spans="1:113" x14ac:dyDescent="0.3">
      <c r="A3844" t="str">
        <f>"02/08/2021 20:35:45.173"</f>
        <v>02/08/2021 20:35:45.173</v>
      </c>
      <c r="C3844" t="str">
        <f t="shared" si="191"/>
        <v>FFDFD7C0</v>
      </c>
      <c r="D3844" t="s">
        <v>124</v>
      </c>
      <c r="E3844">
        <v>13</v>
      </c>
      <c r="F3844">
        <v>1013</v>
      </c>
      <c r="G3844" t="s">
        <v>114</v>
      </c>
      <c r="J3844" t="s">
        <v>125</v>
      </c>
      <c r="K3844">
        <v>0</v>
      </c>
      <c r="L3844">
        <v>3</v>
      </c>
      <c r="M3844">
        <v>0</v>
      </c>
      <c r="N3844">
        <v>2</v>
      </c>
      <c r="O3844">
        <v>1</v>
      </c>
      <c r="P3844">
        <v>0</v>
      </c>
      <c r="Q3844">
        <v>0</v>
      </c>
      <c r="S3844" t="str">
        <f>"20:35:47.484"</f>
        <v>20:35:47.484</v>
      </c>
      <c r="T3844" t="str">
        <f>"20:35:46.984"</f>
        <v>20:35:46.984</v>
      </c>
      <c r="U3844" t="str">
        <f t="shared" si="193"/>
        <v>AB01F4</v>
      </c>
      <c r="V3844">
        <v>0</v>
      </c>
      <c r="W3844">
        <v>0</v>
      </c>
      <c r="X3844">
        <v>2</v>
      </c>
      <c r="Z3844">
        <v>0</v>
      </c>
      <c r="AA3844">
        <v>9</v>
      </c>
      <c r="AB3844">
        <v>3</v>
      </c>
      <c r="AC3844">
        <v>0</v>
      </c>
      <c r="AD3844">
        <v>10</v>
      </c>
      <c r="AE3844">
        <v>0</v>
      </c>
      <c r="AF3844">
        <v>3</v>
      </c>
      <c r="AG3844">
        <v>2</v>
      </c>
      <c r="AH3844">
        <v>0</v>
      </c>
      <c r="AI3844" t="s">
        <v>2171</v>
      </c>
      <c r="AJ3844">
        <v>40.128078000000002</v>
      </c>
      <c r="AK3844" t="s">
        <v>2172</v>
      </c>
      <c r="AL3844">
        <v>-93.068426000000002</v>
      </c>
      <c r="AM3844">
        <v>100</v>
      </c>
      <c r="AN3844">
        <v>1300</v>
      </c>
      <c r="AO3844" t="s">
        <v>118</v>
      </c>
      <c r="AP3844">
        <v>-114</v>
      </c>
      <c r="AQ3844">
        <v>61</v>
      </c>
      <c r="AR3844">
        <v>0</v>
      </c>
      <c r="AZ3844">
        <v>1200</v>
      </c>
      <c r="BA3844">
        <v>1</v>
      </c>
      <c r="BB3844" t="str">
        <f t="shared" si="192"/>
        <v xml:space="preserve">N8080G  </v>
      </c>
      <c r="BC3844">
        <v>1</v>
      </c>
      <c r="BE3844">
        <v>0</v>
      </c>
      <c r="BF3844">
        <v>0</v>
      </c>
      <c r="BG3844">
        <v>0</v>
      </c>
      <c r="BH3844">
        <v>1350</v>
      </c>
      <c r="BI3844">
        <v>1</v>
      </c>
      <c r="BJ3844">
        <v>1</v>
      </c>
      <c r="BK3844">
        <v>1</v>
      </c>
      <c r="BL3844">
        <v>0</v>
      </c>
      <c r="BO3844">
        <v>0</v>
      </c>
      <c r="BP3844">
        <v>0</v>
      </c>
      <c r="BW3844" t="str">
        <f>"20:35:47.491"</f>
        <v>20:35:47.491</v>
      </c>
      <c r="BZ3844">
        <v>0</v>
      </c>
      <c r="CA3844">
        <v>1600</v>
      </c>
      <c r="CB3844">
        <v>224</v>
      </c>
      <c r="CD3844">
        <v>1</v>
      </c>
      <c r="CE3844">
        <v>0</v>
      </c>
      <c r="CF3844">
        <v>0</v>
      </c>
      <c r="CG3844">
        <v>1</v>
      </c>
      <c r="CH3844">
        <v>0</v>
      </c>
      <c r="CI3844">
        <v>0</v>
      </c>
      <c r="CJ3844">
        <v>0</v>
      </c>
      <c r="CK3844">
        <v>2</v>
      </c>
      <c r="CL3844">
        <v>0</v>
      </c>
      <c r="CM3844">
        <v>2</v>
      </c>
      <c r="CN3844">
        <v>0</v>
      </c>
      <c r="CO3844">
        <v>1</v>
      </c>
      <c r="CP3844" t="s">
        <v>119</v>
      </c>
      <c r="CQ3844">
        <v>179</v>
      </c>
      <c r="CR3844">
        <v>2</v>
      </c>
      <c r="CW3844">
        <v>12546228</v>
      </c>
      <c r="CY3844">
        <v>0</v>
      </c>
      <c r="CZ3844">
        <v>0</v>
      </c>
      <c r="DA3844">
        <v>1</v>
      </c>
      <c r="DB3844">
        <v>0</v>
      </c>
      <c r="DC3844">
        <v>0</v>
      </c>
      <c r="DD3844">
        <v>0</v>
      </c>
      <c r="DE3844">
        <v>0</v>
      </c>
      <c r="DF3844">
        <v>0</v>
      </c>
      <c r="DG3844">
        <v>0</v>
      </c>
      <c r="DH3844">
        <v>0</v>
      </c>
      <c r="DI3844">
        <v>0</v>
      </c>
    </row>
    <row r="3845" spans="1:113" x14ac:dyDescent="0.3">
      <c r="A3845" t="str">
        <f>"02/08/2021 20:35:45.173"</f>
        <v>02/08/2021 20:35:45.173</v>
      </c>
      <c r="C3845" t="str">
        <f t="shared" si="191"/>
        <v>FFDFD7C0</v>
      </c>
      <c r="D3845" t="s">
        <v>113</v>
      </c>
      <c r="E3845">
        <v>6</v>
      </c>
      <c r="H3845">
        <v>165</v>
      </c>
      <c r="I3845" t="s">
        <v>114</v>
      </c>
      <c r="J3845" t="s">
        <v>115</v>
      </c>
      <c r="K3845">
        <v>0</v>
      </c>
      <c r="L3845">
        <v>3</v>
      </c>
      <c r="M3845">
        <v>0</v>
      </c>
      <c r="N3845">
        <v>2</v>
      </c>
      <c r="O3845">
        <v>1</v>
      </c>
      <c r="P3845">
        <v>0</v>
      </c>
      <c r="Q3845">
        <v>0</v>
      </c>
      <c r="S3845" t="str">
        <f>"20:35:47.484"</f>
        <v>20:35:47.484</v>
      </c>
      <c r="T3845" t="str">
        <f>"20:35:46.984"</f>
        <v>20:35:46.984</v>
      </c>
      <c r="U3845" t="str">
        <f t="shared" si="193"/>
        <v>AB01F4</v>
      </c>
      <c r="V3845">
        <v>0</v>
      </c>
      <c r="W3845">
        <v>0</v>
      </c>
      <c r="X3845">
        <v>2</v>
      </c>
      <c r="Z3845">
        <v>0</v>
      </c>
      <c r="AA3845">
        <v>9</v>
      </c>
      <c r="AB3845">
        <v>3</v>
      </c>
      <c r="AC3845">
        <v>0</v>
      </c>
      <c r="AD3845">
        <v>10</v>
      </c>
      <c r="AE3845">
        <v>0</v>
      </c>
      <c r="AF3845">
        <v>3</v>
      </c>
      <c r="AG3845">
        <v>2</v>
      </c>
      <c r="AH3845">
        <v>0</v>
      </c>
      <c r="AI3845" t="s">
        <v>2171</v>
      </c>
      <c r="AJ3845">
        <v>40.128078000000002</v>
      </c>
      <c r="AK3845" t="s">
        <v>2172</v>
      </c>
      <c r="AL3845">
        <v>-93.068426000000002</v>
      </c>
      <c r="AM3845">
        <v>100</v>
      </c>
      <c r="AN3845">
        <v>1300</v>
      </c>
      <c r="AO3845" t="s">
        <v>118</v>
      </c>
      <c r="AP3845">
        <v>-114</v>
      </c>
      <c r="AQ3845">
        <v>61</v>
      </c>
      <c r="AR3845">
        <v>0</v>
      </c>
      <c r="AZ3845">
        <v>1200</v>
      </c>
      <c r="BA3845">
        <v>1</v>
      </c>
      <c r="BB3845" t="str">
        <f t="shared" si="192"/>
        <v xml:space="preserve">N8080G  </v>
      </c>
      <c r="BC3845">
        <v>1</v>
      </c>
      <c r="BE3845">
        <v>0</v>
      </c>
      <c r="BF3845">
        <v>0</v>
      </c>
      <c r="BG3845">
        <v>0</v>
      </c>
      <c r="BH3845">
        <v>1350</v>
      </c>
      <c r="BI3845">
        <v>1</v>
      </c>
      <c r="BJ3845">
        <v>1</v>
      </c>
      <c r="BK3845">
        <v>1</v>
      </c>
      <c r="BL3845">
        <v>0</v>
      </c>
      <c r="BO3845">
        <v>0</v>
      </c>
      <c r="BP3845">
        <v>0</v>
      </c>
      <c r="BW3845" t="str">
        <f>"20:35:47.491"</f>
        <v>20:35:47.491</v>
      </c>
      <c r="BZ3845">
        <v>0</v>
      </c>
      <c r="CA3845">
        <v>1600</v>
      </c>
      <c r="CB3845">
        <v>224</v>
      </c>
      <c r="CD3845">
        <v>1</v>
      </c>
      <c r="CE3845">
        <v>0</v>
      </c>
      <c r="CF3845">
        <v>0</v>
      </c>
      <c r="CG3845">
        <v>1</v>
      </c>
      <c r="CH3845">
        <v>0</v>
      </c>
      <c r="CI3845">
        <v>0</v>
      </c>
      <c r="CJ3845">
        <v>0</v>
      </c>
      <c r="CK3845">
        <v>2</v>
      </c>
      <c r="CL3845">
        <v>0</v>
      </c>
      <c r="CM3845">
        <v>2</v>
      </c>
      <c r="CN3845">
        <v>0</v>
      </c>
      <c r="CO3845">
        <v>1</v>
      </c>
      <c r="CP3845" t="s">
        <v>119</v>
      </c>
      <c r="CQ3845">
        <v>179</v>
      </c>
      <c r="CR3845">
        <v>2</v>
      </c>
      <c r="CW3845">
        <v>12546228</v>
      </c>
      <c r="CY3845">
        <v>0</v>
      </c>
      <c r="CZ3845">
        <v>0</v>
      </c>
      <c r="DA3845">
        <v>1</v>
      </c>
      <c r="DB3845">
        <v>0</v>
      </c>
      <c r="DC3845">
        <v>0</v>
      </c>
      <c r="DD3845">
        <v>0</v>
      </c>
      <c r="DE3845">
        <v>0</v>
      </c>
      <c r="DF3845">
        <v>0</v>
      </c>
      <c r="DG3845">
        <v>0</v>
      </c>
      <c r="DH3845">
        <v>0</v>
      </c>
      <c r="DI3845">
        <v>0</v>
      </c>
    </row>
    <row r="3846" spans="1:113" x14ac:dyDescent="0.3">
      <c r="A3846" t="str">
        <f>"02/08/2021 20:35:45.173"</f>
        <v>02/08/2021 20:35:45.173</v>
      </c>
      <c r="C3846" t="str">
        <f t="shared" si="191"/>
        <v>FFDFD7C0</v>
      </c>
      <c r="D3846" t="s">
        <v>124</v>
      </c>
      <c r="E3846">
        <v>12</v>
      </c>
      <c r="F3846">
        <v>1012</v>
      </c>
      <c r="G3846" t="s">
        <v>675</v>
      </c>
      <c r="J3846" t="s">
        <v>125</v>
      </c>
      <c r="K3846">
        <v>0</v>
      </c>
      <c r="L3846">
        <v>3</v>
      </c>
      <c r="M3846">
        <v>0</v>
      </c>
      <c r="N3846">
        <v>2</v>
      </c>
      <c r="O3846">
        <v>1</v>
      </c>
      <c r="P3846">
        <v>0</v>
      </c>
      <c r="Q3846">
        <v>0</v>
      </c>
      <c r="S3846" t="str">
        <f>"20:35:47.484"</f>
        <v>20:35:47.484</v>
      </c>
      <c r="T3846" t="str">
        <f>"20:35:46.984"</f>
        <v>20:35:46.984</v>
      </c>
      <c r="U3846" t="str">
        <f t="shared" si="193"/>
        <v>AB01F4</v>
      </c>
      <c r="V3846">
        <v>0</v>
      </c>
      <c r="W3846">
        <v>0</v>
      </c>
      <c r="X3846">
        <v>2</v>
      </c>
      <c r="Z3846">
        <v>0</v>
      </c>
      <c r="AA3846">
        <v>9</v>
      </c>
      <c r="AB3846">
        <v>3</v>
      </c>
      <c r="AC3846">
        <v>0</v>
      </c>
      <c r="AD3846">
        <v>10</v>
      </c>
      <c r="AE3846">
        <v>0</v>
      </c>
      <c r="AF3846">
        <v>3</v>
      </c>
      <c r="AG3846">
        <v>2</v>
      </c>
      <c r="AH3846">
        <v>0</v>
      </c>
      <c r="AI3846" t="s">
        <v>2171</v>
      </c>
      <c r="AJ3846">
        <v>40.128078000000002</v>
      </c>
      <c r="AK3846" t="s">
        <v>2172</v>
      </c>
      <c r="AL3846">
        <v>-93.068426000000002</v>
      </c>
      <c r="AM3846">
        <v>100</v>
      </c>
      <c r="AN3846">
        <v>1300</v>
      </c>
      <c r="AO3846" t="s">
        <v>118</v>
      </c>
      <c r="AP3846">
        <v>-114</v>
      </c>
      <c r="AQ3846">
        <v>61</v>
      </c>
      <c r="AR3846">
        <v>0</v>
      </c>
      <c r="AZ3846">
        <v>1200</v>
      </c>
      <c r="BA3846">
        <v>1</v>
      </c>
      <c r="BB3846" t="str">
        <f t="shared" si="192"/>
        <v xml:space="preserve">N8080G  </v>
      </c>
      <c r="BC3846">
        <v>1</v>
      </c>
      <c r="BE3846">
        <v>0</v>
      </c>
      <c r="BF3846">
        <v>0</v>
      </c>
      <c r="BG3846">
        <v>0</v>
      </c>
      <c r="BH3846">
        <v>1350</v>
      </c>
      <c r="BI3846">
        <v>1</v>
      </c>
      <c r="BJ3846">
        <v>1</v>
      </c>
      <c r="BK3846">
        <v>1</v>
      </c>
      <c r="BL3846">
        <v>0</v>
      </c>
      <c r="BO3846">
        <v>0</v>
      </c>
      <c r="BP3846">
        <v>0</v>
      </c>
      <c r="BW3846" t="str">
        <f>"20:35:47.491"</f>
        <v>20:35:47.491</v>
      </c>
      <c r="BZ3846">
        <v>0</v>
      </c>
      <c r="CA3846">
        <v>1600</v>
      </c>
      <c r="CB3846">
        <v>224</v>
      </c>
      <c r="CD3846">
        <v>1</v>
      </c>
      <c r="CE3846">
        <v>0</v>
      </c>
      <c r="CF3846">
        <v>0</v>
      </c>
      <c r="CG3846">
        <v>1</v>
      </c>
      <c r="CH3846">
        <v>0</v>
      </c>
      <c r="CI3846">
        <v>0</v>
      </c>
      <c r="CJ3846">
        <v>0</v>
      </c>
      <c r="CK3846">
        <v>2</v>
      </c>
      <c r="CL3846">
        <v>0</v>
      </c>
      <c r="CM3846">
        <v>2</v>
      </c>
      <c r="CN3846">
        <v>0</v>
      </c>
      <c r="CO3846">
        <v>1</v>
      </c>
      <c r="CP3846" t="s">
        <v>119</v>
      </c>
      <c r="CQ3846">
        <v>179</v>
      </c>
      <c r="CR3846">
        <v>2</v>
      </c>
      <c r="CW3846">
        <v>12546228</v>
      </c>
      <c r="CY3846">
        <v>0</v>
      </c>
      <c r="CZ3846">
        <v>0</v>
      </c>
      <c r="DA3846">
        <v>1</v>
      </c>
      <c r="DB3846">
        <v>0</v>
      </c>
      <c r="DC3846">
        <v>0</v>
      </c>
      <c r="DD3846">
        <v>0</v>
      </c>
      <c r="DE3846">
        <v>0</v>
      </c>
      <c r="DF3846">
        <v>0</v>
      </c>
      <c r="DG3846">
        <v>0</v>
      </c>
      <c r="DH3846">
        <v>0</v>
      </c>
      <c r="DI3846">
        <v>0</v>
      </c>
    </row>
    <row r="3847" spans="1:113" x14ac:dyDescent="0.3">
      <c r="A3847" t="str">
        <f>"02/08/2021 20:35:46.001"</f>
        <v>02/08/2021 20:35:46.001</v>
      </c>
      <c r="C3847" t="str">
        <f t="shared" si="191"/>
        <v>FFDFD7C0</v>
      </c>
      <c r="D3847" t="s">
        <v>113</v>
      </c>
      <c r="E3847">
        <v>6</v>
      </c>
      <c r="H3847">
        <v>165</v>
      </c>
      <c r="I3847" t="s">
        <v>114</v>
      </c>
      <c r="J3847" t="s">
        <v>115</v>
      </c>
      <c r="K3847">
        <v>0</v>
      </c>
      <c r="L3847">
        <v>3</v>
      </c>
      <c r="M3847">
        <v>0</v>
      </c>
      <c r="N3847">
        <v>2</v>
      </c>
      <c r="O3847">
        <v>1</v>
      </c>
      <c r="P3847">
        <v>0</v>
      </c>
      <c r="Q3847">
        <v>0</v>
      </c>
      <c r="S3847" t="str">
        <f>"20:35:48.328"</f>
        <v>20:35:48.328</v>
      </c>
      <c r="T3847" t="str">
        <f>"20:35:47.928"</f>
        <v>20:35:47.928</v>
      </c>
      <c r="U3847" t="str">
        <f t="shared" si="193"/>
        <v>AB01F4</v>
      </c>
      <c r="V3847">
        <v>0</v>
      </c>
      <c r="W3847">
        <v>0</v>
      </c>
      <c r="X3847">
        <v>2</v>
      </c>
      <c r="Z3847">
        <v>0</v>
      </c>
      <c r="AA3847">
        <v>9</v>
      </c>
      <c r="AB3847">
        <v>3</v>
      </c>
      <c r="AC3847">
        <v>0</v>
      </c>
      <c r="AD3847">
        <v>10</v>
      </c>
      <c r="AE3847">
        <v>0</v>
      </c>
      <c r="AF3847">
        <v>3</v>
      </c>
      <c r="AG3847">
        <v>2</v>
      </c>
      <c r="AH3847">
        <v>0</v>
      </c>
      <c r="AI3847" t="s">
        <v>2173</v>
      </c>
      <c r="AJ3847">
        <v>40.128292999999999</v>
      </c>
      <c r="AK3847" t="s">
        <v>2174</v>
      </c>
      <c r="AL3847">
        <v>-93.069091</v>
      </c>
      <c r="AM3847">
        <v>100</v>
      </c>
      <c r="AN3847">
        <v>1300</v>
      </c>
      <c r="AO3847" t="s">
        <v>118</v>
      </c>
      <c r="AP3847">
        <v>-114</v>
      </c>
      <c r="AQ3847">
        <v>61</v>
      </c>
      <c r="AR3847">
        <v>-64</v>
      </c>
      <c r="AZ3847">
        <v>1200</v>
      </c>
      <c r="BA3847">
        <v>1</v>
      </c>
      <c r="BB3847" t="str">
        <f t="shared" si="192"/>
        <v xml:space="preserve">N8080G  </v>
      </c>
      <c r="BC3847">
        <v>1</v>
      </c>
      <c r="BE3847">
        <v>0</v>
      </c>
      <c r="BF3847">
        <v>0</v>
      </c>
      <c r="BG3847">
        <v>0</v>
      </c>
      <c r="BH3847">
        <v>1350</v>
      </c>
      <c r="BI3847">
        <v>1</v>
      </c>
      <c r="BJ3847">
        <v>1</v>
      </c>
      <c r="BK3847">
        <v>1</v>
      </c>
      <c r="BL3847">
        <v>0</v>
      </c>
      <c r="BO3847">
        <v>0</v>
      </c>
      <c r="BP3847">
        <v>0</v>
      </c>
      <c r="BW3847" t="str">
        <f>"20:35:48.332"</f>
        <v>20:35:48.332</v>
      </c>
      <c r="BZ3847">
        <v>0</v>
      </c>
      <c r="CA3847">
        <v>1600</v>
      </c>
      <c r="CB3847">
        <v>224</v>
      </c>
      <c r="CD3847">
        <v>1</v>
      </c>
      <c r="CE3847">
        <v>0</v>
      </c>
      <c r="CF3847">
        <v>0</v>
      </c>
      <c r="CG3847">
        <v>1</v>
      </c>
      <c r="CH3847">
        <v>0</v>
      </c>
      <c r="CI3847">
        <v>0</v>
      </c>
      <c r="CJ3847">
        <v>0</v>
      </c>
      <c r="CK3847">
        <v>2</v>
      </c>
      <c r="CL3847">
        <v>0</v>
      </c>
      <c r="CM3847">
        <v>2</v>
      </c>
      <c r="CN3847">
        <v>0</v>
      </c>
      <c r="CO3847">
        <v>2</v>
      </c>
      <c r="CP3847" t="s">
        <v>119</v>
      </c>
      <c r="CQ3847">
        <v>179</v>
      </c>
      <c r="CR3847">
        <v>2</v>
      </c>
      <c r="CW3847">
        <v>12546928</v>
      </c>
      <c r="CY3847">
        <v>0</v>
      </c>
      <c r="CZ3847">
        <v>0</v>
      </c>
      <c r="DA3847">
        <v>0</v>
      </c>
      <c r="DB3847">
        <v>0</v>
      </c>
      <c r="DC3847">
        <v>0</v>
      </c>
      <c r="DD3847">
        <v>0</v>
      </c>
      <c r="DE3847">
        <v>0</v>
      </c>
      <c r="DF3847">
        <v>0</v>
      </c>
      <c r="DG3847">
        <v>0</v>
      </c>
      <c r="DH3847">
        <v>0</v>
      </c>
      <c r="DI3847">
        <v>0</v>
      </c>
    </row>
    <row r="3848" spans="1:113" x14ac:dyDescent="0.3">
      <c r="A3848" t="str">
        <f>"02/08/2021 20:35:46.001"</f>
        <v>02/08/2021 20:35:46.001</v>
      </c>
      <c r="C3848" t="str">
        <f t="shared" si="191"/>
        <v>FFDFD7C0</v>
      </c>
      <c r="D3848" t="s">
        <v>124</v>
      </c>
      <c r="E3848">
        <v>12</v>
      </c>
      <c r="F3848">
        <v>1012</v>
      </c>
      <c r="G3848" t="s">
        <v>675</v>
      </c>
      <c r="J3848" t="s">
        <v>125</v>
      </c>
      <c r="K3848">
        <v>0</v>
      </c>
      <c r="L3848">
        <v>3</v>
      </c>
      <c r="M3848">
        <v>0</v>
      </c>
      <c r="N3848">
        <v>2</v>
      </c>
      <c r="O3848">
        <v>1</v>
      </c>
      <c r="P3848">
        <v>0</v>
      </c>
      <c r="Q3848">
        <v>0</v>
      </c>
      <c r="S3848" t="str">
        <f>"20:35:48.328"</f>
        <v>20:35:48.328</v>
      </c>
      <c r="T3848" t="str">
        <f>"20:35:47.928"</f>
        <v>20:35:47.928</v>
      </c>
      <c r="U3848" t="str">
        <f t="shared" si="193"/>
        <v>AB01F4</v>
      </c>
      <c r="V3848">
        <v>0</v>
      </c>
      <c r="W3848">
        <v>0</v>
      </c>
      <c r="X3848">
        <v>2</v>
      </c>
      <c r="Z3848">
        <v>0</v>
      </c>
      <c r="AA3848">
        <v>9</v>
      </c>
      <c r="AB3848">
        <v>3</v>
      </c>
      <c r="AC3848">
        <v>0</v>
      </c>
      <c r="AD3848">
        <v>10</v>
      </c>
      <c r="AE3848">
        <v>0</v>
      </c>
      <c r="AF3848">
        <v>3</v>
      </c>
      <c r="AG3848">
        <v>2</v>
      </c>
      <c r="AH3848">
        <v>0</v>
      </c>
      <c r="AI3848" t="s">
        <v>2173</v>
      </c>
      <c r="AJ3848">
        <v>40.128292999999999</v>
      </c>
      <c r="AK3848" t="s">
        <v>2174</v>
      </c>
      <c r="AL3848">
        <v>-93.069091</v>
      </c>
      <c r="AM3848">
        <v>100</v>
      </c>
      <c r="AN3848">
        <v>1300</v>
      </c>
      <c r="AO3848" t="s">
        <v>118</v>
      </c>
      <c r="AP3848">
        <v>-114</v>
      </c>
      <c r="AQ3848">
        <v>61</v>
      </c>
      <c r="AR3848">
        <v>-64</v>
      </c>
      <c r="AZ3848">
        <v>1200</v>
      </c>
      <c r="BA3848">
        <v>1</v>
      </c>
      <c r="BB3848" t="str">
        <f t="shared" si="192"/>
        <v xml:space="preserve">N8080G  </v>
      </c>
      <c r="BC3848">
        <v>1</v>
      </c>
      <c r="BE3848">
        <v>0</v>
      </c>
      <c r="BF3848">
        <v>0</v>
      </c>
      <c r="BG3848">
        <v>0</v>
      </c>
      <c r="BH3848">
        <v>1350</v>
      </c>
      <c r="BI3848">
        <v>1</v>
      </c>
      <c r="BJ3848">
        <v>1</v>
      </c>
      <c r="BK3848">
        <v>1</v>
      </c>
      <c r="BL3848">
        <v>0</v>
      </c>
      <c r="BO3848">
        <v>0</v>
      </c>
      <c r="BP3848">
        <v>0</v>
      </c>
      <c r="BW3848" t="str">
        <f>"20:35:48.332"</f>
        <v>20:35:48.332</v>
      </c>
      <c r="BZ3848">
        <v>0</v>
      </c>
      <c r="CA3848">
        <v>1600</v>
      </c>
      <c r="CB3848">
        <v>224</v>
      </c>
      <c r="CD3848">
        <v>1</v>
      </c>
      <c r="CE3848">
        <v>0</v>
      </c>
      <c r="CF3848">
        <v>0</v>
      </c>
      <c r="CG3848">
        <v>1</v>
      </c>
      <c r="CH3848">
        <v>0</v>
      </c>
      <c r="CI3848">
        <v>0</v>
      </c>
      <c r="CJ3848">
        <v>0</v>
      </c>
      <c r="CK3848">
        <v>2</v>
      </c>
      <c r="CL3848">
        <v>0</v>
      </c>
      <c r="CM3848">
        <v>2</v>
      </c>
      <c r="CN3848">
        <v>0</v>
      </c>
      <c r="CO3848">
        <v>2</v>
      </c>
      <c r="CP3848" t="s">
        <v>119</v>
      </c>
      <c r="CQ3848">
        <v>179</v>
      </c>
      <c r="CR3848">
        <v>2</v>
      </c>
      <c r="CW3848">
        <v>12546928</v>
      </c>
      <c r="CY3848">
        <v>0</v>
      </c>
      <c r="CZ3848">
        <v>0</v>
      </c>
      <c r="DA3848">
        <v>1</v>
      </c>
      <c r="DB3848">
        <v>0</v>
      </c>
      <c r="DC3848">
        <v>0</v>
      </c>
      <c r="DD3848">
        <v>0</v>
      </c>
      <c r="DE3848">
        <v>0</v>
      </c>
      <c r="DF3848">
        <v>0</v>
      </c>
      <c r="DG3848">
        <v>0</v>
      </c>
      <c r="DH3848">
        <v>0</v>
      </c>
      <c r="DI3848">
        <v>0</v>
      </c>
    </row>
    <row r="3849" spans="1:113" x14ac:dyDescent="0.3">
      <c r="A3849" t="str">
        <f>"02/08/2021 20:35:46.001"</f>
        <v>02/08/2021 20:35:46.001</v>
      </c>
      <c r="C3849" t="str">
        <f t="shared" si="191"/>
        <v>FFDFD7C0</v>
      </c>
      <c r="D3849" t="s">
        <v>124</v>
      </c>
      <c r="E3849">
        <v>11</v>
      </c>
      <c r="F3849">
        <v>1011</v>
      </c>
      <c r="G3849" t="s">
        <v>590</v>
      </c>
      <c r="J3849" t="s">
        <v>125</v>
      </c>
      <c r="K3849">
        <v>0</v>
      </c>
      <c r="L3849">
        <v>3</v>
      </c>
      <c r="M3849">
        <v>0</v>
      </c>
      <c r="N3849">
        <v>2</v>
      </c>
      <c r="O3849">
        <v>1</v>
      </c>
      <c r="P3849">
        <v>0</v>
      </c>
      <c r="Q3849">
        <v>0</v>
      </c>
      <c r="S3849" t="str">
        <f>"20:35:48.328"</f>
        <v>20:35:48.328</v>
      </c>
      <c r="T3849" t="str">
        <f>"20:35:47.928"</f>
        <v>20:35:47.928</v>
      </c>
      <c r="U3849" t="str">
        <f t="shared" si="193"/>
        <v>AB01F4</v>
      </c>
      <c r="V3849">
        <v>0</v>
      </c>
      <c r="W3849">
        <v>0</v>
      </c>
      <c r="X3849">
        <v>2</v>
      </c>
      <c r="Z3849">
        <v>0</v>
      </c>
      <c r="AA3849">
        <v>9</v>
      </c>
      <c r="AB3849">
        <v>3</v>
      </c>
      <c r="AC3849">
        <v>0</v>
      </c>
      <c r="AD3849">
        <v>10</v>
      </c>
      <c r="AE3849">
        <v>0</v>
      </c>
      <c r="AF3849">
        <v>3</v>
      </c>
      <c r="AG3849">
        <v>2</v>
      </c>
      <c r="AH3849">
        <v>0</v>
      </c>
      <c r="AI3849" t="s">
        <v>2173</v>
      </c>
      <c r="AJ3849">
        <v>40.128292999999999</v>
      </c>
      <c r="AK3849" t="s">
        <v>2174</v>
      </c>
      <c r="AL3849">
        <v>-93.069091</v>
      </c>
      <c r="AM3849">
        <v>100</v>
      </c>
      <c r="AN3849">
        <v>1300</v>
      </c>
      <c r="AO3849" t="s">
        <v>118</v>
      </c>
      <c r="AP3849">
        <v>-114</v>
      </c>
      <c r="AQ3849">
        <v>61</v>
      </c>
      <c r="AR3849">
        <v>-64</v>
      </c>
      <c r="AZ3849">
        <v>1200</v>
      </c>
      <c r="BA3849">
        <v>1</v>
      </c>
      <c r="BB3849" t="str">
        <f t="shared" si="192"/>
        <v xml:space="preserve">N8080G  </v>
      </c>
      <c r="BC3849">
        <v>1</v>
      </c>
      <c r="BE3849">
        <v>0</v>
      </c>
      <c r="BF3849">
        <v>0</v>
      </c>
      <c r="BG3849">
        <v>0</v>
      </c>
      <c r="BH3849">
        <v>1350</v>
      </c>
      <c r="BI3849">
        <v>1</v>
      </c>
      <c r="BJ3849">
        <v>1</v>
      </c>
      <c r="BK3849">
        <v>1</v>
      </c>
      <c r="BL3849">
        <v>0</v>
      </c>
      <c r="BO3849">
        <v>0</v>
      </c>
      <c r="BP3849">
        <v>0</v>
      </c>
      <c r="BW3849" t="str">
        <f>"20:35:48.332"</f>
        <v>20:35:48.332</v>
      </c>
      <c r="BZ3849">
        <v>0</v>
      </c>
      <c r="CA3849">
        <v>1600</v>
      </c>
      <c r="CB3849">
        <v>224</v>
      </c>
      <c r="CD3849">
        <v>1</v>
      </c>
      <c r="CE3849">
        <v>0</v>
      </c>
      <c r="CF3849">
        <v>0</v>
      </c>
      <c r="CG3849">
        <v>1</v>
      </c>
      <c r="CH3849">
        <v>0</v>
      </c>
      <c r="CI3849">
        <v>0</v>
      </c>
      <c r="CJ3849">
        <v>0</v>
      </c>
      <c r="CK3849">
        <v>2</v>
      </c>
      <c r="CL3849">
        <v>0</v>
      </c>
      <c r="CM3849">
        <v>2</v>
      </c>
      <c r="CN3849">
        <v>0</v>
      </c>
      <c r="CO3849">
        <v>2</v>
      </c>
      <c r="CP3849" t="s">
        <v>119</v>
      </c>
      <c r="CQ3849">
        <v>179</v>
      </c>
      <c r="CR3849">
        <v>2</v>
      </c>
      <c r="CW3849">
        <v>12546928</v>
      </c>
      <c r="CY3849">
        <v>0</v>
      </c>
      <c r="CZ3849">
        <v>0</v>
      </c>
      <c r="DA3849">
        <v>1</v>
      </c>
      <c r="DB3849">
        <v>0</v>
      </c>
      <c r="DC3849">
        <v>0</v>
      </c>
      <c r="DD3849">
        <v>0</v>
      </c>
      <c r="DE3849">
        <v>0</v>
      </c>
      <c r="DF3849">
        <v>0</v>
      </c>
      <c r="DG3849">
        <v>0</v>
      </c>
      <c r="DH3849">
        <v>0</v>
      </c>
      <c r="DI3849">
        <v>0</v>
      </c>
    </row>
    <row r="3850" spans="1:113" x14ac:dyDescent="0.3">
      <c r="A3850" t="str">
        <f>"02/08/2021 20:35:46.001"</f>
        <v>02/08/2021 20:35:46.001</v>
      </c>
      <c r="C3850" t="str">
        <f t="shared" si="191"/>
        <v>FFDFD7C0</v>
      </c>
      <c r="D3850" t="s">
        <v>124</v>
      </c>
      <c r="E3850">
        <v>13</v>
      </c>
      <c r="F3850">
        <v>1013</v>
      </c>
      <c r="G3850" t="s">
        <v>114</v>
      </c>
      <c r="J3850" t="s">
        <v>125</v>
      </c>
      <c r="K3850">
        <v>0</v>
      </c>
      <c r="L3850">
        <v>3</v>
      </c>
      <c r="M3850">
        <v>0</v>
      </c>
      <c r="N3850">
        <v>2</v>
      </c>
      <c r="O3850">
        <v>1</v>
      </c>
      <c r="P3850">
        <v>0</v>
      </c>
      <c r="Q3850">
        <v>0</v>
      </c>
      <c r="S3850" t="str">
        <f>"20:35:48.328"</f>
        <v>20:35:48.328</v>
      </c>
      <c r="T3850" t="str">
        <f>"20:35:47.928"</f>
        <v>20:35:47.928</v>
      </c>
      <c r="U3850" t="str">
        <f t="shared" si="193"/>
        <v>AB01F4</v>
      </c>
      <c r="V3850">
        <v>0</v>
      </c>
      <c r="W3850">
        <v>0</v>
      </c>
      <c r="X3850">
        <v>2</v>
      </c>
      <c r="Z3850">
        <v>0</v>
      </c>
      <c r="AA3850">
        <v>9</v>
      </c>
      <c r="AB3850">
        <v>3</v>
      </c>
      <c r="AC3850">
        <v>0</v>
      </c>
      <c r="AD3850">
        <v>10</v>
      </c>
      <c r="AE3850">
        <v>0</v>
      </c>
      <c r="AF3850">
        <v>3</v>
      </c>
      <c r="AG3850">
        <v>2</v>
      </c>
      <c r="AH3850">
        <v>0</v>
      </c>
      <c r="AI3850" t="s">
        <v>2173</v>
      </c>
      <c r="AJ3850">
        <v>40.128292999999999</v>
      </c>
      <c r="AK3850" t="s">
        <v>2174</v>
      </c>
      <c r="AL3850">
        <v>-93.069091</v>
      </c>
      <c r="AM3850">
        <v>100</v>
      </c>
      <c r="AN3850">
        <v>1300</v>
      </c>
      <c r="AO3850" t="s">
        <v>118</v>
      </c>
      <c r="AP3850">
        <v>-114</v>
      </c>
      <c r="AQ3850">
        <v>61</v>
      </c>
      <c r="AR3850">
        <v>-64</v>
      </c>
      <c r="AZ3850">
        <v>1200</v>
      </c>
      <c r="BA3850">
        <v>1</v>
      </c>
      <c r="BB3850" t="str">
        <f t="shared" si="192"/>
        <v xml:space="preserve">N8080G  </v>
      </c>
      <c r="BC3850">
        <v>1</v>
      </c>
      <c r="BE3850">
        <v>0</v>
      </c>
      <c r="BF3850">
        <v>0</v>
      </c>
      <c r="BG3850">
        <v>0</v>
      </c>
      <c r="BH3850">
        <v>1350</v>
      </c>
      <c r="BI3850">
        <v>1</v>
      </c>
      <c r="BJ3850">
        <v>1</v>
      </c>
      <c r="BK3850">
        <v>1</v>
      </c>
      <c r="BL3850">
        <v>0</v>
      </c>
      <c r="BO3850">
        <v>0</v>
      </c>
      <c r="BP3850">
        <v>0</v>
      </c>
      <c r="BW3850" t="str">
        <f>"20:35:48.332"</f>
        <v>20:35:48.332</v>
      </c>
      <c r="BZ3850">
        <v>0</v>
      </c>
      <c r="CA3850">
        <v>1600</v>
      </c>
      <c r="CB3850">
        <v>224</v>
      </c>
      <c r="CD3850">
        <v>1</v>
      </c>
      <c r="CE3850">
        <v>0</v>
      </c>
      <c r="CF3850">
        <v>0</v>
      </c>
      <c r="CG3850">
        <v>1</v>
      </c>
      <c r="CH3850">
        <v>0</v>
      </c>
      <c r="CI3850">
        <v>0</v>
      </c>
      <c r="CJ3850">
        <v>0</v>
      </c>
      <c r="CK3850">
        <v>2</v>
      </c>
      <c r="CL3850">
        <v>0</v>
      </c>
      <c r="CM3850">
        <v>2</v>
      </c>
      <c r="CN3850">
        <v>0</v>
      </c>
      <c r="CO3850">
        <v>2</v>
      </c>
      <c r="CP3850" t="s">
        <v>119</v>
      </c>
      <c r="CQ3850">
        <v>179</v>
      </c>
      <c r="CR3850">
        <v>2</v>
      </c>
      <c r="CW3850">
        <v>12546928</v>
      </c>
      <c r="CY3850">
        <v>0</v>
      </c>
      <c r="CZ3850">
        <v>0</v>
      </c>
      <c r="DA3850">
        <v>1</v>
      </c>
      <c r="DB3850">
        <v>0</v>
      </c>
      <c r="DC3850">
        <v>0</v>
      </c>
      <c r="DD3850">
        <v>0</v>
      </c>
      <c r="DE3850">
        <v>0</v>
      </c>
      <c r="DF3850">
        <v>0</v>
      </c>
      <c r="DG3850">
        <v>0</v>
      </c>
      <c r="DH3850">
        <v>0</v>
      </c>
      <c r="DI3850">
        <v>0</v>
      </c>
    </row>
    <row r="3851" spans="1:113" x14ac:dyDescent="0.3">
      <c r="A3851" t="str">
        <f>"02/08/2021 20:35:48.731"</f>
        <v>02/08/2021 20:35:48.731</v>
      </c>
      <c r="C3851" t="str">
        <f t="shared" si="191"/>
        <v>FFDFD7C0</v>
      </c>
      <c r="D3851" t="s">
        <v>113</v>
      </c>
      <c r="E3851">
        <v>6</v>
      </c>
      <c r="H3851">
        <v>165</v>
      </c>
      <c r="I3851" t="s">
        <v>114</v>
      </c>
      <c r="J3851" t="s">
        <v>115</v>
      </c>
      <c r="K3851">
        <v>0</v>
      </c>
      <c r="L3851">
        <v>3</v>
      </c>
      <c r="M3851">
        <v>0</v>
      </c>
      <c r="N3851">
        <v>2</v>
      </c>
      <c r="O3851">
        <v>1</v>
      </c>
      <c r="P3851">
        <v>0</v>
      </c>
      <c r="Q3851">
        <v>0</v>
      </c>
      <c r="S3851" t="str">
        <f>"20:35:51.016"</f>
        <v>20:35:51.016</v>
      </c>
      <c r="T3851" t="str">
        <f>"20:35:50.116"</f>
        <v>20:35:50.116</v>
      </c>
      <c r="U3851" t="str">
        <f t="shared" si="193"/>
        <v>AB01F4</v>
      </c>
      <c r="V3851">
        <v>0</v>
      </c>
      <c r="W3851">
        <v>0</v>
      </c>
      <c r="X3851">
        <v>2</v>
      </c>
      <c r="Z3851">
        <v>0</v>
      </c>
      <c r="AA3851">
        <v>9</v>
      </c>
      <c r="AB3851">
        <v>3</v>
      </c>
      <c r="AC3851">
        <v>0</v>
      </c>
      <c r="AD3851">
        <v>10</v>
      </c>
      <c r="AE3851">
        <v>0</v>
      </c>
      <c r="AF3851">
        <v>3</v>
      </c>
      <c r="AG3851">
        <v>2</v>
      </c>
      <c r="AH3851">
        <v>0</v>
      </c>
      <c r="AI3851" t="s">
        <v>2175</v>
      </c>
      <c r="AJ3851">
        <v>40.129022999999997</v>
      </c>
      <c r="AK3851" t="s">
        <v>2176</v>
      </c>
      <c r="AL3851">
        <v>-93.070871999999994</v>
      </c>
      <c r="AM3851">
        <v>100</v>
      </c>
      <c r="AN3851">
        <v>1300</v>
      </c>
      <c r="AO3851" t="s">
        <v>118</v>
      </c>
      <c r="AP3851">
        <v>-114</v>
      </c>
      <c r="AQ3851">
        <v>61</v>
      </c>
      <c r="AR3851">
        <v>0</v>
      </c>
      <c r="AZ3851">
        <v>1200</v>
      </c>
      <c r="BA3851">
        <v>1</v>
      </c>
      <c r="BB3851" t="str">
        <f t="shared" si="192"/>
        <v xml:space="preserve">N8080G  </v>
      </c>
      <c r="BC3851">
        <v>1</v>
      </c>
      <c r="BE3851">
        <v>0</v>
      </c>
      <c r="BF3851">
        <v>0</v>
      </c>
      <c r="BG3851">
        <v>0</v>
      </c>
      <c r="BH3851">
        <v>1350</v>
      </c>
      <c r="BI3851">
        <v>1</v>
      </c>
      <c r="BJ3851">
        <v>1</v>
      </c>
      <c r="BK3851">
        <v>1</v>
      </c>
      <c r="BL3851">
        <v>0</v>
      </c>
      <c r="BO3851">
        <v>0</v>
      </c>
      <c r="BP3851">
        <v>0</v>
      </c>
      <c r="BW3851" t="str">
        <f>"20:35:51.022"</f>
        <v>20:35:51.022</v>
      </c>
      <c r="BZ3851">
        <v>0</v>
      </c>
      <c r="CA3851">
        <v>1600</v>
      </c>
      <c r="CB3851">
        <v>224</v>
      </c>
      <c r="CD3851">
        <v>1</v>
      </c>
      <c r="CE3851">
        <v>0</v>
      </c>
      <c r="CF3851">
        <v>0</v>
      </c>
      <c r="CG3851">
        <v>1</v>
      </c>
      <c r="CH3851">
        <v>0</v>
      </c>
      <c r="CI3851">
        <v>0</v>
      </c>
      <c r="CJ3851">
        <v>0</v>
      </c>
      <c r="CK3851">
        <v>2</v>
      </c>
      <c r="CL3851">
        <v>0</v>
      </c>
      <c r="CM3851">
        <v>2</v>
      </c>
      <c r="CN3851">
        <v>0</v>
      </c>
      <c r="CO3851">
        <v>2</v>
      </c>
      <c r="CP3851" t="s">
        <v>119</v>
      </c>
      <c r="CQ3851">
        <v>179</v>
      </c>
      <c r="CR3851">
        <v>2</v>
      </c>
      <c r="CW3851">
        <v>12548950</v>
      </c>
      <c r="CY3851">
        <v>0</v>
      </c>
      <c r="CZ3851">
        <v>0</v>
      </c>
      <c r="DA3851">
        <v>0</v>
      </c>
      <c r="DB3851">
        <v>0</v>
      </c>
      <c r="DC3851">
        <v>0</v>
      </c>
      <c r="DD3851">
        <v>0</v>
      </c>
      <c r="DE3851">
        <v>0</v>
      </c>
      <c r="DF3851">
        <v>0</v>
      </c>
      <c r="DG3851">
        <v>0</v>
      </c>
      <c r="DH3851">
        <v>0</v>
      </c>
      <c r="DI3851">
        <v>0</v>
      </c>
    </row>
    <row r="3852" spans="1:113" x14ac:dyDescent="0.3">
      <c r="A3852" t="str">
        <f>"02/08/2021 20:35:48.731"</f>
        <v>02/08/2021 20:35:48.731</v>
      </c>
      <c r="C3852" t="str">
        <f t="shared" si="191"/>
        <v>FFDFD7C0</v>
      </c>
      <c r="D3852" t="s">
        <v>124</v>
      </c>
      <c r="E3852">
        <v>12</v>
      </c>
      <c r="F3852">
        <v>1012</v>
      </c>
      <c r="G3852" t="s">
        <v>675</v>
      </c>
      <c r="J3852" t="s">
        <v>125</v>
      </c>
      <c r="K3852">
        <v>0</v>
      </c>
      <c r="L3852">
        <v>3</v>
      </c>
      <c r="M3852">
        <v>0</v>
      </c>
      <c r="N3852">
        <v>2</v>
      </c>
      <c r="O3852">
        <v>1</v>
      </c>
      <c r="P3852">
        <v>0</v>
      </c>
      <c r="Q3852">
        <v>0</v>
      </c>
      <c r="S3852" t="str">
        <f>"20:35:51.016"</f>
        <v>20:35:51.016</v>
      </c>
      <c r="T3852" t="str">
        <f>"20:35:50.116"</f>
        <v>20:35:50.116</v>
      </c>
      <c r="U3852" t="str">
        <f t="shared" si="193"/>
        <v>AB01F4</v>
      </c>
      <c r="V3852">
        <v>0</v>
      </c>
      <c r="W3852">
        <v>0</v>
      </c>
      <c r="X3852">
        <v>2</v>
      </c>
      <c r="Z3852">
        <v>0</v>
      </c>
      <c r="AA3852">
        <v>9</v>
      </c>
      <c r="AB3852">
        <v>3</v>
      </c>
      <c r="AC3852">
        <v>0</v>
      </c>
      <c r="AD3852">
        <v>10</v>
      </c>
      <c r="AE3852">
        <v>0</v>
      </c>
      <c r="AF3852">
        <v>3</v>
      </c>
      <c r="AG3852">
        <v>2</v>
      </c>
      <c r="AH3852">
        <v>0</v>
      </c>
      <c r="AI3852" t="s">
        <v>2175</v>
      </c>
      <c r="AJ3852">
        <v>40.129022999999997</v>
      </c>
      <c r="AK3852" t="s">
        <v>2176</v>
      </c>
      <c r="AL3852">
        <v>-93.070871999999994</v>
      </c>
      <c r="AM3852">
        <v>100</v>
      </c>
      <c r="AN3852">
        <v>1300</v>
      </c>
      <c r="AO3852" t="s">
        <v>118</v>
      </c>
      <c r="AP3852">
        <v>-114</v>
      </c>
      <c r="AQ3852">
        <v>61</v>
      </c>
      <c r="AR3852">
        <v>0</v>
      </c>
      <c r="AZ3852">
        <v>1200</v>
      </c>
      <c r="BA3852">
        <v>1</v>
      </c>
      <c r="BB3852" t="str">
        <f t="shared" si="192"/>
        <v xml:space="preserve">N8080G  </v>
      </c>
      <c r="BC3852">
        <v>1</v>
      </c>
      <c r="BE3852">
        <v>0</v>
      </c>
      <c r="BF3852">
        <v>0</v>
      </c>
      <c r="BG3852">
        <v>0</v>
      </c>
      <c r="BH3852">
        <v>1350</v>
      </c>
      <c r="BI3852">
        <v>1</v>
      </c>
      <c r="BJ3852">
        <v>1</v>
      </c>
      <c r="BK3852">
        <v>1</v>
      </c>
      <c r="BL3852">
        <v>0</v>
      </c>
      <c r="BO3852">
        <v>0</v>
      </c>
      <c r="BP3852">
        <v>0</v>
      </c>
      <c r="BW3852" t="str">
        <f>"20:35:51.022"</f>
        <v>20:35:51.022</v>
      </c>
      <c r="BZ3852">
        <v>0</v>
      </c>
      <c r="CA3852">
        <v>1600</v>
      </c>
      <c r="CB3852">
        <v>224</v>
      </c>
      <c r="CD3852">
        <v>1</v>
      </c>
      <c r="CE3852">
        <v>0</v>
      </c>
      <c r="CF3852">
        <v>0</v>
      </c>
      <c r="CG3852">
        <v>1</v>
      </c>
      <c r="CH3852">
        <v>0</v>
      </c>
      <c r="CI3852">
        <v>0</v>
      </c>
      <c r="CJ3852">
        <v>0</v>
      </c>
      <c r="CK3852">
        <v>2</v>
      </c>
      <c r="CL3852">
        <v>0</v>
      </c>
      <c r="CM3852">
        <v>2</v>
      </c>
      <c r="CN3852">
        <v>0</v>
      </c>
      <c r="CO3852">
        <v>2</v>
      </c>
      <c r="CP3852" t="s">
        <v>119</v>
      </c>
      <c r="CQ3852">
        <v>179</v>
      </c>
      <c r="CR3852">
        <v>2</v>
      </c>
      <c r="CW3852">
        <v>12548950</v>
      </c>
      <c r="CY3852">
        <v>0</v>
      </c>
      <c r="CZ3852">
        <v>0</v>
      </c>
      <c r="DA3852">
        <v>1</v>
      </c>
      <c r="DB3852">
        <v>0</v>
      </c>
      <c r="DC3852">
        <v>0</v>
      </c>
      <c r="DD3852">
        <v>0</v>
      </c>
      <c r="DE3852">
        <v>0</v>
      </c>
      <c r="DF3852">
        <v>0</v>
      </c>
      <c r="DG3852">
        <v>0</v>
      </c>
      <c r="DH3852">
        <v>0</v>
      </c>
      <c r="DI3852">
        <v>0</v>
      </c>
    </row>
    <row r="3853" spans="1:113" x14ac:dyDescent="0.3">
      <c r="A3853" t="str">
        <f>"02/08/2021 20:35:48.731"</f>
        <v>02/08/2021 20:35:48.731</v>
      </c>
      <c r="C3853" t="str">
        <f t="shared" si="191"/>
        <v>FFDFD7C0</v>
      </c>
      <c r="D3853" t="s">
        <v>124</v>
      </c>
      <c r="E3853">
        <v>13</v>
      </c>
      <c r="F3853">
        <v>1013</v>
      </c>
      <c r="G3853" t="s">
        <v>114</v>
      </c>
      <c r="J3853" t="s">
        <v>125</v>
      </c>
      <c r="K3853">
        <v>0</v>
      </c>
      <c r="L3853">
        <v>3</v>
      </c>
      <c r="M3853">
        <v>0</v>
      </c>
      <c r="N3853">
        <v>2</v>
      </c>
      <c r="O3853">
        <v>1</v>
      </c>
      <c r="P3853">
        <v>0</v>
      </c>
      <c r="Q3853">
        <v>0</v>
      </c>
      <c r="S3853" t="str">
        <f>"20:35:51.016"</f>
        <v>20:35:51.016</v>
      </c>
      <c r="T3853" t="str">
        <f>"20:35:50.116"</f>
        <v>20:35:50.116</v>
      </c>
      <c r="U3853" t="str">
        <f t="shared" si="193"/>
        <v>AB01F4</v>
      </c>
      <c r="V3853">
        <v>0</v>
      </c>
      <c r="W3853">
        <v>0</v>
      </c>
      <c r="X3853">
        <v>2</v>
      </c>
      <c r="Z3853">
        <v>0</v>
      </c>
      <c r="AA3853">
        <v>9</v>
      </c>
      <c r="AB3853">
        <v>3</v>
      </c>
      <c r="AC3853">
        <v>0</v>
      </c>
      <c r="AD3853">
        <v>10</v>
      </c>
      <c r="AE3853">
        <v>0</v>
      </c>
      <c r="AF3853">
        <v>3</v>
      </c>
      <c r="AG3853">
        <v>2</v>
      </c>
      <c r="AH3853">
        <v>0</v>
      </c>
      <c r="AI3853" t="s">
        <v>2175</v>
      </c>
      <c r="AJ3853">
        <v>40.129022999999997</v>
      </c>
      <c r="AK3853" t="s">
        <v>2176</v>
      </c>
      <c r="AL3853">
        <v>-93.070871999999994</v>
      </c>
      <c r="AM3853">
        <v>100</v>
      </c>
      <c r="AN3853">
        <v>1300</v>
      </c>
      <c r="AO3853" t="s">
        <v>118</v>
      </c>
      <c r="AP3853">
        <v>-114</v>
      </c>
      <c r="AQ3853">
        <v>61</v>
      </c>
      <c r="AR3853">
        <v>0</v>
      </c>
      <c r="AZ3853">
        <v>1200</v>
      </c>
      <c r="BA3853">
        <v>1</v>
      </c>
      <c r="BB3853" t="str">
        <f t="shared" si="192"/>
        <v xml:space="preserve">N8080G  </v>
      </c>
      <c r="BC3853">
        <v>1</v>
      </c>
      <c r="BE3853">
        <v>0</v>
      </c>
      <c r="BF3853">
        <v>0</v>
      </c>
      <c r="BG3853">
        <v>0</v>
      </c>
      <c r="BH3853">
        <v>1350</v>
      </c>
      <c r="BI3853">
        <v>1</v>
      </c>
      <c r="BJ3853">
        <v>1</v>
      </c>
      <c r="BK3853">
        <v>1</v>
      </c>
      <c r="BL3853">
        <v>0</v>
      </c>
      <c r="BO3853">
        <v>0</v>
      </c>
      <c r="BP3853">
        <v>0</v>
      </c>
      <c r="BW3853" t="str">
        <f>"20:35:51.022"</f>
        <v>20:35:51.022</v>
      </c>
      <c r="BZ3853">
        <v>0</v>
      </c>
      <c r="CA3853">
        <v>1600</v>
      </c>
      <c r="CB3853">
        <v>224</v>
      </c>
      <c r="CD3853">
        <v>1</v>
      </c>
      <c r="CE3853">
        <v>0</v>
      </c>
      <c r="CF3853">
        <v>0</v>
      </c>
      <c r="CG3853">
        <v>1</v>
      </c>
      <c r="CH3853">
        <v>0</v>
      </c>
      <c r="CI3853">
        <v>0</v>
      </c>
      <c r="CJ3853">
        <v>0</v>
      </c>
      <c r="CK3853">
        <v>2</v>
      </c>
      <c r="CL3853">
        <v>0</v>
      </c>
      <c r="CM3853">
        <v>2</v>
      </c>
      <c r="CN3853">
        <v>0</v>
      </c>
      <c r="CO3853">
        <v>2</v>
      </c>
      <c r="CP3853" t="s">
        <v>119</v>
      </c>
      <c r="CQ3853">
        <v>179</v>
      </c>
      <c r="CR3853">
        <v>2</v>
      </c>
      <c r="CW3853">
        <v>12548950</v>
      </c>
      <c r="CY3853">
        <v>0</v>
      </c>
      <c r="CZ3853">
        <v>0</v>
      </c>
      <c r="DA3853">
        <v>1</v>
      </c>
      <c r="DB3853">
        <v>0</v>
      </c>
      <c r="DC3853">
        <v>0</v>
      </c>
      <c r="DD3853">
        <v>0</v>
      </c>
      <c r="DE3853">
        <v>0</v>
      </c>
      <c r="DF3853">
        <v>0</v>
      </c>
      <c r="DG3853">
        <v>0</v>
      </c>
      <c r="DH3853">
        <v>0</v>
      </c>
      <c r="DI3853">
        <v>0</v>
      </c>
    </row>
    <row r="3854" spans="1:113" x14ac:dyDescent="0.3">
      <c r="A3854" t="str">
        <f>"02/08/2021 20:35:48.731"</f>
        <v>02/08/2021 20:35:48.731</v>
      </c>
      <c r="C3854" t="str">
        <f t="shared" si="191"/>
        <v>FFDFD7C0</v>
      </c>
      <c r="D3854" t="s">
        <v>124</v>
      </c>
      <c r="E3854">
        <v>11</v>
      </c>
      <c r="F3854">
        <v>1011</v>
      </c>
      <c r="G3854" t="s">
        <v>590</v>
      </c>
      <c r="J3854" t="s">
        <v>125</v>
      </c>
      <c r="K3854">
        <v>0</v>
      </c>
      <c r="L3854">
        <v>3</v>
      </c>
      <c r="M3854">
        <v>0</v>
      </c>
      <c r="N3854">
        <v>2</v>
      </c>
      <c r="O3854">
        <v>1</v>
      </c>
      <c r="P3854">
        <v>0</v>
      </c>
      <c r="Q3854">
        <v>0</v>
      </c>
      <c r="S3854" t="str">
        <f>"20:35:51.016"</f>
        <v>20:35:51.016</v>
      </c>
      <c r="T3854" t="str">
        <f>"20:35:50.116"</f>
        <v>20:35:50.116</v>
      </c>
      <c r="U3854" t="str">
        <f t="shared" si="193"/>
        <v>AB01F4</v>
      </c>
      <c r="V3854">
        <v>0</v>
      </c>
      <c r="W3854">
        <v>0</v>
      </c>
      <c r="X3854">
        <v>2</v>
      </c>
      <c r="Z3854">
        <v>0</v>
      </c>
      <c r="AA3854">
        <v>9</v>
      </c>
      <c r="AB3854">
        <v>3</v>
      </c>
      <c r="AC3854">
        <v>0</v>
      </c>
      <c r="AD3854">
        <v>10</v>
      </c>
      <c r="AE3854">
        <v>0</v>
      </c>
      <c r="AF3854">
        <v>3</v>
      </c>
      <c r="AG3854">
        <v>2</v>
      </c>
      <c r="AH3854">
        <v>0</v>
      </c>
      <c r="AI3854" t="s">
        <v>2175</v>
      </c>
      <c r="AJ3854">
        <v>40.129022999999997</v>
      </c>
      <c r="AK3854" t="s">
        <v>2176</v>
      </c>
      <c r="AL3854">
        <v>-93.070871999999994</v>
      </c>
      <c r="AM3854">
        <v>100</v>
      </c>
      <c r="AN3854">
        <v>1300</v>
      </c>
      <c r="AO3854" t="s">
        <v>118</v>
      </c>
      <c r="AP3854">
        <v>-114</v>
      </c>
      <c r="AQ3854">
        <v>61</v>
      </c>
      <c r="AR3854">
        <v>0</v>
      </c>
      <c r="AZ3854">
        <v>1200</v>
      </c>
      <c r="BA3854">
        <v>1</v>
      </c>
      <c r="BB3854" t="str">
        <f t="shared" si="192"/>
        <v xml:space="preserve">N8080G  </v>
      </c>
      <c r="BC3854">
        <v>1</v>
      </c>
      <c r="BE3854">
        <v>0</v>
      </c>
      <c r="BF3854">
        <v>0</v>
      </c>
      <c r="BG3854">
        <v>0</v>
      </c>
      <c r="BH3854">
        <v>1350</v>
      </c>
      <c r="BI3854">
        <v>1</v>
      </c>
      <c r="BJ3854">
        <v>1</v>
      </c>
      <c r="BK3854">
        <v>1</v>
      </c>
      <c r="BL3854">
        <v>0</v>
      </c>
      <c r="BO3854">
        <v>0</v>
      </c>
      <c r="BP3854">
        <v>0</v>
      </c>
      <c r="BW3854" t="str">
        <f>"20:35:51.022"</f>
        <v>20:35:51.022</v>
      </c>
      <c r="BZ3854">
        <v>0</v>
      </c>
      <c r="CA3854">
        <v>1600</v>
      </c>
      <c r="CB3854">
        <v>224</v>
      </c>
      <c r="CD3854">
        <v>1</v>
      </c>
      <c r="CE3854">
        <v>0</v>
      </c>
      <c r="CF3854">
        <v>0</v>
      </c>
      <c r="CG3854">
        <v>1</v>
      </c>
      <c r="CH3854">
        <v>0</v>
      </c>
      <c r="CI3854">
        <v>0</v>
      </c>
      <c r="CJ3854">
        <v>0</v>
      </c>
      <c r="CK3854">
        <v>2</v>
      </c>
      <c r="CL3854">
        <v>0</v>
      </c>
      <c r="CM3854">
        <v>2</v>
      </c>
      <c r="CN3854">
        <v>0</v>
      </c>
      <c r="CO3854">
        <v>2</v>
      </c>
      <c r="CP3854" t="s">
        <v>119</v>
      </c>
      <c r="CQ3854">
        <v>179</v>
      </c>
      <c r="CR3854">
        <v>2</v>
      </c>
      <c r="CW3854">
        <v>12548950</v>
      </c>
      <c r="CY3854">
        <v>0</v>
      </c>
      <c r="CZ3854">
        <v>0</v>
      </c>
      <c r="DA3854">
        <v>1</v>
      </c>
      <c r="DB3854">
        <v>0</v>
      </c>
      <c r="DC3854">
        <v>0</v>
      </c>
      <c r="DD3854">
        <v>0</v>
      </c>
      <c r="DE3854">
        <v>0</v>
      </c>
      <c r="DF3854">
        <v>0</v>
      </c>
      <c r="DG3854">
        <v>0</v>
      </c>
      <c r="DH3854">
        <v>0</v>
      </c>
      <c r="DI3854">
        <v>0</v>
      </c>
    </row>
    <row r="3855" spans="1:113" x14ac:dyDescent="0.3">
      <c r="A3855" t="str">
        <f>"02/08/2021 20:35:49.739"</f>
        <v>02/08/2021 20:35:49.739</v>
      </c>
      <c r="C3855" t="str">
        <f t="shared" si="191"/>
        <v>FFDFD7C0</v>
      </c>
      <c r="D3855" t="s">
        <v>124</v>
      </c>
      <c r="E3855">
        <v>12</v>
      </c>
      <c r="F3855">
        <v>1012</v>
      </c>
      <c r="G3855" t="s">
        <v>675</v>
      </c>
      <c r="J3855" t="s">
        <v>125</v>
      </c>
      <c r="K3855">
        <v>0</v>
      </c>
      <c r="L3855">
        <v>3</v>
      </c>
      <c r="M3855">
        <v>0</v>
      </c>
      <c r="N3855">
        <v>2</v>
      </c>
      <c r="O3855">
        <v>1</v>
      </c>
      <c r="P3855">
        <v>0</v>
      </c>
      <c r="Q3855">
        <v>0</v>
      </c>
      <c r="S3855" t="str">
        <f>"20:35:52.039"</f>
        <v>20:35:52.039</v>
      </c>
      <c r="T3855" t="str">
        <f>"20:35:51.039"</f>
        <v>20:35:51.039</v>
      </c>
      <c r="U3855" t="str">
        <f t="shared" si="193"/>
        <v>AB01F4</v>
      </c>
      <c r="V3855">
        <v>0</v>
      </c>
      <c r="W3855">
        <v>0</v>
      </c>
      <c r="X3855">
        <v>2</v>
      </c>
      <c r="Z3855">
        <v>0</v>
      </c>
      <c r="AA3855">
        <v>9</v>
      </c>
      <c r="AB3855">
        <v>3</v>
      </c>
      <c r="AC3855">
        <v>0</v>
      </c>
      <c r="AD3855">
        <v>10</v>
      </c>
      <c r="AE3855">
        <v>0</v>
      </c>
      <c r="AF3855">
        <v>3</v>
      </c>
      <c r="AG3855">
        <v>2</v>
      </c>
      <c r="AH3855">
        <v>0</v>
      </c>
      <c r="AI3855" t="s">
        <v>2177</v>
      </c>
      <c r="AJ3855">
        <v>40.129322999999999</v>
      </c>
      <c r="AK3855" t="s">
        <v>2178</v>
      </c>
      <c r="AL3855">
        <v>-93.071623000000002</v>
      </c>
      <c r="AM3855">
        <v>100</v>
      </c>
      <c r="AN3855">
        <v>1300</v>
      </c>
      <c r="AO3855" t="s">
        <v>118</v>
      </c>
      <c r="AP3855">
        <v>-114</v>
      </c>
      <c r="AQ3855">
        <v>60</v>
      </c>
      <c r="AR3855">
        <v>0</v>
      </c>
      <c r="AZ3855">
        <v>1200</v>
      </c>
      <c r="BA3855">
        <v>1</v>
      </c>
      <c r="BB3855" t="str">
        <f t="shared" si="192"/>
        <v xml:space="preserve">N8080G  </v>
      </c>
      <c r="BC3855">
        <v>1</v>
      </c>
      <c r="BE3855">
        <v>0</v>
      </c>
      <c r="BF3855">
        <v>0</v>
      </c>
      <c r="BG3855">
        <v>0</v>
      </c>
      <c r="BH3855">
        <v>1350</v>
      </c>
      <c r="BI3855">
        <v>1</v>
      </c>
      <c r="BJ3855">
        <v>1</v>
      </c>
      <c r="BK3855">
        <v>1</v>
      </c>
      <c r="BL3855">
        <v>0</v>
      </c>
      <c r="BO3855">
        <v>0</v>
      </c>
      <c r="BP3855">
        <v>0</v>
      </c>
      <c r="BW3855" t="str">
        <f>"20:35:52.046"</f>
        <v>20:35:52.046</v>
      </c>
      <c r="BZ3855">
        <v>0</v>
      </c>
      <c r="CA3855">
        <v>1600</v>
      </c>
      <c r="CB3855">
        <v>224</v>
      </c>
      <c r="CD3855">
        <v>1</v>
      </c>
      <c r="CE3855">
        <v>0</v>
      </c>
      <c r="CF3855">
        <v>0</v>
      </c>
      <c r="CG3855">
        <v>1</v>
      </c>
      <c r="CH3855">
        <v>0</v>
      </c>
      <c r="CI3855">
        <v>0</v>
      </c>
      <c r="CJ3855">
        <v>0</v>
      </c>
      <c r="CK3855">
        <v>2</v>
      </c>
      <c r="CL3855">
        <v>0</v>
      </c>
      <c r="CM3855">
        <v>2</v>
      </c>
      <c r="CN3855">
        <v>0</v>
      </c>
      <c r="CO3855">
        <v>2</v>
      </c>
      <c r="CP3855" t="s">
        <v>119</v>
      </c>
      <c r="CQ3855">
        <v>179</v>
      </c>
      <c r="CR3855">
        <v>2</v>
      </c>
      <c r="CW3855">
        <v>12549871</v>
      </c>
      <c r="CY3855">
        <v>0</v>
      </c>
      <c r="CZ3855">
        <v>0</v>
      </c>
      <c r="DA3855">
        <v>0</v>
      </c>
      <c r="DB3855">
        <v>0</v>
      </c>
      <c r="DC3855">
        <v>0</v>
      </c>
      <c r="DD3855">
        <v>0</v>
      </c>
      <c r="DE3855">
        <v>0</v>
      </c>
      <c r="DF3855">
        <v>0</v>
      </c>
      <c r="DG3855">
        <v>0</v>
      </c>
      <c r="DH3855">
        <v>0</v>
      </c>
      <c r="DI3855">
        <v>0</v>
      </c>
    </row>
    <row r="3856" spans="1:113" x14ac:dyDescent="0.3">
      <c r="A3856" t="str">
        <f>"02/08/2021 20:35:49.739"</f>
        <v>02/08/2021 20:35:49.739</v>
      </c>
      <c r="C3856" t="str">
        <f t="shared" si="191"/>
        <v>FFDFD7C0</v>
      </c>
      <c r="D3856" t="s">
        <v>113</v>
      </c>
      <c r="E3856">
        <v>6</v>
      </c>
      <c r="H3856">
        <v>165</v>
      </c>
      <c r="I3856" t="s">
        <v>114</v>
      </c>
      <c r="J3856" t="s">
        <v>115</v>
      </c>
      <c r="K3856">
        <v>0</v>
      </c>
      <c r="L3856">
        <v>3</v>
      </c>
      <c r="M3856">
        <v>0</v>
      </c>
      <c r="N3856">
        <v>2</v>
      </c>
      <c r="O3856">
        <v>1</v>
      </c>
      <c r="P3856">
        <v>0</v>
      </c>
      <c r="Q3856">
        <v>0</v>
      </c>
      <c r="S3856" t="str">
        <f>"20:35:52.039"</f>
        <v>20:35:52.039</v>
      </c>
      <c r="T3856" t="str">
        <f>"20:35:51.039"</f>
        <v>20:35:51.039</v>
      </c>
      <c r="U3856" t="str">
        <f t="shared" si="193"/>
        <v>AB01F4</v>
      </c>
      <c r="V3856">
        <v>0</v>
      </c>
      <c r="W3856">
        <v>0</v>
      </c>
      <c r="X3856">
        <v>2</v>
      </c>
      <c r="Z3856">
        <v>0</v>
      </c>
      <c r="AA3856">
        <v>9</v>
      </c>
      <c r="AB3856">
        <v>3</v>
      </c>
      <c r="AC3856">
        <v>0</v>
      </c>
      <c r="AD3856">
        <v>10</v>
      </c>
      <c r="AE3856">
        <v>0</v>
      </c>
      <c r="AF3856">
        <v>3</v>
      </c>
      <c r="AG3856">
        <v>2</v>
      </c>
      <c r="AH3856">
        <v>0</v>
      </c>
      <c r="AI3856" t="s">
        <v>2177</v>
      </c>
      <c r="AJ3856">
        <v>40.129322999999999</v>
      </c>
      <c r="AK3856" t="s">
        <v>2178</v>
      </c>
      <c r="AL3856">
        <v>-93.071623000000002</v>
      </c>
      <c r="AM3856">
        <v>100</v>
      </c>
      <c r="AN3856">
        <v>1300</v>
      </c>
      <c r="AO3856" t="s">
        <v>118</v>
      </c>
      <c r="AP3856">
        <v>-114</v>
      </c>
      <c r="AQ3856">
        <v>60</v>
      </c>
      <c r="AR3856">
        <v>0</v>
      </c>
      <c r="AZ3856">
        <v>1200</v>
      </c>
      <c r="BA3856">
        <v>1</v>
      </c>
      <c r="BB3856" t="str">
        <f t="shared" si="192"/>
        <v xml:space="preserve">N8080G  </v>
      </c>
      <c r="BC3856">
        <v>1</v>
      </c>
      <c r="BE3856">
        <v>0</v>
      </c>
      <c r="BF3856">
        <v>0</v>
      </c>
      <c r="BG3856">
        <v>0</v>
      </c>
      <c r="BH3856">
        <v>1350</v>
      </c>
      <c r="BI3856">
        <v>1</v>
      </c>
      <c r="BJ3856">
        <v>1</v>
      </c>
      <c r="BK3856">
        <v>1</v>
      </c>
      <c r="BL3856">
        <v>0</v>
      </c>
      <c r="BO3856">
        <v>0</v>
      </c>
      <c r="BP3856">
        <v>0</v>
      </c>
      <c r="BW3856" t="str">
        <f>"20:35:52.046"</f>
        <v>20:35:52.046</v>
      </c>
      <c r="BZ3856">
        <v>0</v>
      </c>
      <c r="CA3856">
        <v>1600</v>
      </c>
      <c r="CB3856">
        <v>224</v>
      </c>
      <c r="CD3856">
        <v>1</v>
      </c>
      <c r="CE3856">
        <v>0</v>
      </c>
      <c r="CF3856">
        <v>0</v>
      </c>
      <c r="CG3856">
        <v>1</v>
      </c>
      <c r="CH3856">
        <v>0</v>
      </c>
      <c r="CI3856">
        <v>0</v>
      </c>
      <c r="CJ3856">
        <v>0</v>
      </c>
      <c r="CK3856">
        <v>2</v>
      </c>
      <c r="CL3856">
        <v>0</v>
      </c>
      <c r="CM3856">
        <v>2</v>
      </c>
      <c r="CN3856">
        <v>0</v>
      </c>
      <c r="CO3856">
        <v>2</v>
      </c>
      <c r="CP3856" t="s">
        <v>119</v>
      </c>
      <c r="CQ3856">
        <v>179</v>
      </c>
      <c r="CR3856">
        <v>2</v>
      </c>
      <c r="CW3856">
        <v>12549871</v>
      </c>
      <c r="CY3856">
        <v>0</v>
      </c>
      <c r="CZ3856">
        <v>0</v>
      </c>
      <c r="DA3856">
        <v>1</v>
      </c>
      <c r="DB3856">
        <v>0</v>
      </c>
      <c r="DC3856">
        <v>0</v>
      </c>
      <c r="DD3856">
        <v>0</v>
      </c>
      <c r="DE3856">
        <v>0</v>
      </c>
      <c r="DF3856">
        <v>0</v>
      </c>
      <c r="DG3856">
        <v>0</v>
      </c>
      <c r="DH3856">
        <v>0</v>
      </c>
      <c r="DI3856">
        <v>0</v>
      </c>
    </row>
    <row r="3857" spans="1:113" x14ac:dyDescent="0.3">
      <c r="A3857" t="str">
        <f>"02/08/2021 20:35:49.739"</f>
        <v>02/08/2021 20:35:49.739</v>
      </c>
      <c r="C3857" t="str">
        <f t="shared" si="191"/>
        <v>FFDFD7C0</v>
      </c>
      <c r="D3857" t="s">
        <v>124</v>
      </c>
      <c r="E3857">
        <v>13</v>
      </c>
      <c r="F3857">
        <v>1013</v>
      </c>
      <c r="G3857" t="s">
        <v>114</v>
      </c>
      <c r="J3857" t="s">
        <v>125</v>
      </c>
      <c r="K3857">
        <v>0</v>
      </c>
      <c r="L3857">
        <v>3</v>
      </c>
      <c r="M3857">
        <v>0</v>
      </c>
      <c r="N3857">
        <v>2</v>
      </c>
      <c r="O3857">
        <v>1</v>
      </c>
      <c r="P3857">
        <v>0</v>
      </c>
      <c r="Q3857">
        <v>0</v>
      </c>
      <c r="S3857" t="str">
        <f>"20:35:52.039"</f>
        <v>20:35:52.039</v>
      </c>
      <c r="T3857" t="str">
        <f>"20:35:51.039"</f>
        <v>20:35:51.039</v>
      </c>
      <c r="U3857" t="str">
        <f t="shared" si="193"/>
        <v>AB01F4</v>
      </c>
      <c r="V3857">
        <v>0</v>
      </c>
      <c r="W3857">
        <v>0</v>
      </c>
      <c r="X3857">
        <v>2</v>
      </c>
      <c r="Z3857">
        <v>0</v>
      </c>
      <c r="AA3857">
        <v>9</v>
      </c>
      <c r="AB3857">
        <v>3</v>
      </c>
      <c r="AC3857">
        <v>0</v>
      </c>
      <c r="AD3857">
        <v>10</v>
      </c>
      <c r="AE3857">
        <v>0</v>
      </c>
      <c r="AF3857">
        <v>3</v>
      </c>
      <c r="AG3857">
        <v>2</v>
      </c>
      <c r="AH3857">
        <v>0</v>
      </c>
      <c r="AI3857" t="s">
        <v>2177</v>
      </c>
      <c r="AJ3857">
        <v>40.129322999999999</v>
      </c>
      <c r="AK3857" t="s">
        <v>2178</v>
      </c>
      <c r="AL3857">
        <v>-93.071623000000002</v>
      </c>
      <c r="AM3857">
        <v>100</v>
      </c>
      <c r="AN3857">
        <v>1300</v>
      </c>
      <c r="AO3857" t="s">
        <v>118</v>
      </c>
      <c r="AP3857">
        <v>-114</v>
      </c>
      <c r="AQ3857">
        <v>60</v>
      </c>
      <c r="AR3857">
        <v>0</v>
      </c>
      <c r="AZ3857">
        <v>1200</v>
      </c>
      <c r="BA3857">
        <v>1</v>
      </c>
      <c r="BB3857" t="str">
        <f t="shared" si="192"/>
        <v xml:space="preserve">N8080G  </v>
      </c>
      <c r="BC3857">
        <v>1</v>
      </c>
      <c r="BE3857">
        <v>0</v>
      </c>
      <c r="BF3857">
        <v>0</v>
      </c>
      <c r="BG3857">
        <v>0</v>
      </c>
      <c r="BH3857">
        <v>1350</v>
      </c>
      <c r="BI3857">
        <v>1</v>
      </c>
      <c r="BJ3857">
        <v>1</v>
      </c>
      <c r="BK3857">
        <v>1</v>
      </c>
      <c r="BL3857">
        <v>0</v>
      </c>
      <c r="BO3857">
        <v>0</v>
      </c>
      <c r="BP3857">
        <v>0</v>
      </c>
      <c r="BW3857" t="str">
        <f>"20:35:52.046"</f>
        <v>20:35:52.046</v>
      </c>
      <c r="BZ3857">
        <v>0</v>
      </c>
      <c r="CA3857">
        <v>1600</v>
      </c>
      <c r="CB3857">
        <v>224</v>
      </c>
      <c r="CD3857">
        <v>1</v>
      </c>
      <c r="CE3857">
        <v>0</v>
      </c>
      <c r="CF3857">
        <v>0</v>
      </c>
      <c r="CG3857">
        <v>1</v>
      </c>
      <c r="CH3857">
        <v>0</v>
      </c>
      <c r="CI3857">
        <v>0</v>
      </c>
      <c r="CJ3857">
        <v>0</v>
      </c>
      <c r="CK3857">
        <v>2</v>
      </c>
      <c r="CL3857">
        <v>0</v>
      </c>
      <c r="CM3857">
        <v>2</v>
      </c>
      <c r="CN3857">
        <v>0</v>
      </c>
      <c r="CO3857">
        <v>2</v>
      </c>
      <c r="CP3857" t="s">
        <v>119</v>
      </c>
      <c r="CQ3857">
        <v>179</v>
      </c>
      <c r="CR3857">
        <v>2</v>
      </c>
      <c r="CW3857">
        <v>12549871</v>
      </c>
      <c r="CY3857">
        <v>0</v>
      </c>
      <c r="CZ3857">
        <v>0</v>
      </c>
      <c r="DA3857">
        <v>1</v>
      </c>
      <c r="DB3857">
        <v>0</v>
      </c>
      <c r="DC3857">
        <v>0</v>
      </c>
      <c r="DD3857">
        <v>0</v>
      </c>
      <c r="DE3857">
        <v>0</v>
      </c>
      <c r="DF3857">
        <v>0</v>
      </c>
      <c r="DG3857">
        <v>0</v>
      </c>
      <c r="DH3857">
        <v>0</v>
      </c>
      <c r="DI3857">
        <v>0</v>
      </c>
    </row>
    <row r="3858" spans="1:113" x14ac:dyDescent="0.3">
      <c r="A3858" t="str">
        <f>"02/08/2021 20:35:49.739"</f>
        <v>02/08/2021 20:35:49.739</v>
      </c>
      <c r="C3858" t="str">
        <f t="shared" si="191"/>
        <v>FFDFD7C0</v>
      </c>
      <c r="D3858" t="s">
        <v>124</v>
      </c>
      <c r="E3858">
        <v>11</v>
      </c>
      <c r="F3858">
        <v>1011</v>
      </c>
      <c r="G3858" t="s">
        <v>590</v>
      </c>
      <c r="J3858" t="s">
        <v>125</v>
      </c>
      <c r="K3858">
        <v>0</v>
      </c>
      <c r="L3858">
        <v>3</v>
      </c>
      <c r="M3858">
        <v>0</v>
      </c>
      <c r="N3858">
        <v>2</v>
      </c>
      <c r="O3858">
        <v>1</v>
      </c>
      <c r="P3858">
        <v>0</v>
      </c>
      <c r="Q3858">
        <v>0</v>
      </c>
      <c r="S3858" t="str">
        <f>"20:35:52.039"</f>
        <v>20:35:52.039</v>
      </c>
      <c r="T3858" t="str">
        <f>"20:35:51.039"</f>
        <v>20:35:51.039</v>
      </c>
      <c r="U3858" t="str">
        <f t="shared" si="193"/>
        <v>AB01F4</v>
      </c>
      <c r="V3858">
        <v>0</v>
      </c>
      <c r="W3858">
        <v>0</v>
      </c>
      <c r="X3858">
        <v>2</v>
      </c>
      <c r="Z3858">
        <v>0</v>
      </c>
      <c r="AA3858">
        <v>9</v>
      </c>
      <c r="AB3858">
        <v>3</v>
      </c>
      <c r="AC3858">
        <v>0</v>
      </c>
      <c r="AD3858">
        <v>10</v>
      </c>
      <c r="AE3858">
        <v>0</v>
      </c>
      <c r="AF3858">
        <v>3</v>
      </c>
      <c r="AG3858">
        <v>2</v>
      </c>
      <c r="AH3858">
        <v>0</v>
      </c>
      <c r="AI3858" t="s">
        <v>2177</v>
      </c>
      <c r="AJ3858">
        <v>40.129322999999999</v>
      </c>
      <c r="AK3858" t="s">
        <v>2178</v>
      </c>
      <c r="AL3858">
        <v>-93.071623000000002</v>
      </c>
      <c r="AM3858">
        <v>100</v>
      </c>
      <c r="AN3858">
        <v>1300</v>
      </c>
      <c r="AO3858" t="s">
        <v>118</v>
      </c>
      <c r="AP3858">
        <v>-114</v>
      </c>
      <c r="AQ3858">
        <v>60</v>
      </c>
      <c r="AR3858">
        <v>0</v>
      </c>
      <c r="AZ3858">
        <v>1200</v>
      </c>
      <c r="BA3858">
        <v>1</v>
      </c>
      <c r="BB3858" t="str">
        <f t="shared" si="192"/>
        <v xml:space="preserve">N8080G  </v>
      </c>
      <c r="BC3858">
        <v>1</v>
      </c>
      <c r="BE3858">
        <v>0</v>
      </c>
      <c r="BF3858">
        <v>0</v>
      </c>
      <c r="BG3858">
        <v>0</v>
      </c>
      <c r="BH3858">
        <v>1350</v>
      </c>
      <c r="BI3858">
        <v>1</v>
      </c>
      <c r="BJ3858">
        <v>1</v>
      </c>
      <c r="BK3858">
        <v>1</v>
      </c>
      <c r="BL3858">
        <v>0</v>
      </c>
      <c r="BO3858">
        <v>0</v>
      </c>
      <c r="BP3858">
        <v>0</v>
      </c>
      <c r="BW3858" t="str">
        <f>"20:35:52.046"</f>
        <v>20:35:52.046</v>
      </c>
      <c r="BZ3858">
        <v>0</v>
      </c>
      <c r="CA3858">
        <v>1600</v>
      </c>
      <c r="CB3858">
        <v>224</v>
      </c>
      <c r="CD3858">
        <v>1</v>
      </c>
      <c r="CE3858">
        <v>0</v>
      </c>
      <c r="CF3858">
        <v>0</v>
      </c>
      <c r="CG3858">
        <v>1</v>
      </c>
      <c r="CH3858">
        <v>0</v>
      </c>
      <c r="CI3858">
        <v>0</v>
      </c>
      <c r="CJ3858">
        <v>0</v>
      </c>
      <c r="CK3858">
        <v>2</v>
      </c>
      <c r="CL3858">
        <v>0</v>
      </c>
      <c r="CM3858">
        <v>2</v>
      </c>
      <c r="CN3858">
        <v>0</v>
      </c>
      <c r="CO3858">
        <v>2</v>
      </c>
      <c r="CP3858" t="s">
        <v>119</v>
      </c>
      <c r="CQ3858">
        <v>179</v>
      </c>
      <c r="CR3858">
        <v>2</v>
      </c>
      <c r="CW3858">
        <v>12549871</v>
      </c>
      <c r="CY3858">
        <v>0</v>
      </c>
      <c r="CZ3858">
        <v>0</v>
      </c>
      <c r="DA3858">
        <v>1</v>
      </c>
      <c r="DB3858">
        <v>0</v>
      </c>
      <c r="DC3858">
        <v>0</v>
      </c>
      <c r="DD3858">
        <v>0</v>
      </c>
      <c r="DE3858">
        <v>0</v>
      </c>
      <c r="DF3858">
        <v>0</v>
      </c>
      <c r="DG3858">
        <v>0</v>
      </c>
      <c r="DH3858">
        <v>0</v>
      </c>
      <c r="DI3858">
        <v>0</v>
      </c>
    </row>
    <row r="3859" spans="1:113" x14ac:dyDescent="0.3">
      <c r="A3859" t="str">
        <f>"02/08/2021 20:35:50.543"</f>
        <v>02/08/2021 20:35:50.543</v>
      </c>
      <c r="C3859" t="str">
        <f t="shared" si="191"/>
        <v>FFDFD7C0</v>
      </c>
      <c r="D3859" t="s">
        <v>124</v>
      </c>
      <c r="E3859">
        <v>12</v>
      </c>
      <c r="F3859">
        <v>1012</v>
      </c>
      <c r="G3859" t="s">
        <v>675</v>
      </c>
      <c r="J3859" t="s">
        <v>125</v>
      </c>
      <c r="K3859">
        <v>0</v>
      </c>
      <c r="L3859">
        <v>3</v>
      </c>
      <c r="M3859">
        <v>0</v>
      </c>
      <c r="N3859">
        <v>2</v>
      </c>
      <c r="O3859">
        <v>1</v>
      </c>
      <c r="P3859">
        <v>0</v>
      </c>
      <c r="Q3859">
        <v>0</v>
      </c>
      <c r="S3859" t="str">
        <f>"20:35:52.867"</f>
        <v>20:35:52.867</v>
      </c>
      <c r="T3859" t="str">
        <f>"20:35:52.467"</f>
        <v>20:35:52.467</v>
      </c>
      <c r="U3859" t="str">
        <f t="shared" si="193"/>
        <v>AB01F4</v>
      </c>
      <c r="V3859">
        <v>0</v>
      </c>
      <c r="W3859">
        <v>0</v>
      </c>
      <c r="X3859">
        <v>2</v>
      </c>
      <c r="Z3859">
        <v>0</v>
      </c>
      <c r="AA3859">
        <v>9</v>
      </c>
      <c r="AB3859">
        <v>3</v>
      </c>
      <c r="AC3859">
        <v>0</v>
      </c>
      <c r="AD3859">
        <v>10</v>
      </c>
      <c r="AE3859">
        <v>0</v>
      </c>
      <c r="AF3859">
        <v>3</v>
      </c>
      <c r="AG3859">
        <v>2</v>
      </c>
      <c r="AH3859">
        <v>0</v>
      </c>
      <c r="AI3859" t="s">
        <v>2179</v>
      </c>
      <c r="AJ3859">
        <v>40.129559</v>
      </c>
      <c r="AK3859" t="s">
        <v>2180</v>
      </c>
      <c r="AL3859">
        <v>-93.072181</v>
      </c>
      <c r="AM3859">
        <v>100</v>
      </c>
      <c r="AN3859">
        <v>1300</v>
      </c>
      <c r="AO3859" t="s">
        <v>118</v>
      </c>
      <c r="AP3859">
        <v>-113</v>
      </c>
      <c r="AQ3859">
        <v>61</v>
      </c>
      <c r="AR3859">
        <v>64</v>
      </c>
      <c r="AZ3859">
        <v>1200</v>
      </c>
      <c r="BA3859">
        <v>1</v>
      </c>
      <c r="BB3859" t="str">
        <f t="shared" si="192"/>
        <v xml:space="preserve">N8080G  </v>
      </c>
      <c r="BC3859">
        <v>1</v>
      </c>
      <c r="BE3859">
        <v>0</v>
      </c>
      <c r="BF3859">
        <v>0</v>
      </c>
      <c r="BG3859">
        <v>0</v>
      </c>
      <c r="BH3859">
        <v>1350</v>
      </c>
      <c r="BI3859">
        <v>1</v>
      </c>
      <c r="BJ3859">
        <v>1</v>
      </c>
      <c r="BK3859">
        <v>1</v>
      </c>
      <c r="BL3859">
        <v>0</v>
      </c>
      <c r="BO3859">
        <v>0</v>
      </c>
      <c r="BP3859">
        <v>0</v>
      </c>
      <c r="BW3859" t="str">
        <f>"20:35:52.873"</f>
        <v>20:35:52.873</v>
      </c>
      <c r="BZ3859">
        <v>0</v>
      </c>
      <c r="CA3859">
        <v>1600</v>
      </c>
      <c r="CB3859">
        <v>224</v>
      </c>
      <c r="CD3859">
        <v>1</v>
      </c>
      <c r="CE3859">
        <v>0</v>
      </c>
      <c r="CF3859">
        <v>0</v>
      </c>
      <c r="CG3859">
        <v>1</v>
      </c>
      <c r="CH3859">
        <v>0</v>
      </c>
      <c r="CI3859">
        <v>0</v>
      </c>
      <c r="CJ3859">
        <v>0</v>
      </c>
      <c r="CK3859">
        <v>2</v>
      </c>
      <c r="CL3859">
        <v>0</v>
      </c>
      <c r="CM3859">
        <v>2</v>
      </c>
      <c r="CN3859">
        <v>0</v>
      </c>
      <c r="CO3859">
        <v>2</v>
      </c>
      <c r="CP3859" t="s">
        <v>119</v>
      </c>
      <c r="CQ3859">
        <v>179</v>
      </c>
      <c r="CR3859">
        <v>2</v>
      </c>
      <c r="CW3859">
        <v>12550517</v>
      </c>
      <c r="CY3859">
        <v>0</v>
      </c>
      <c r="CZ3859">
        <v>0</v>
      </c>
      <c r="DA3859">
        <v>0</v>
      </c>
      <c r="DB3859">
        <v>0</v>
      </c>
      <c r="DC3859">
        <v>0</v>
      </c>
      <c r="DD3859">
        <v>0</v>
      </c>
      <c r="DE3859">
        <v>0</v>
      </c>
      <c r="DF3859">
        <v>0</v>
      </c>
      <c r="DG3859">
        <v>0</v>
      </c>
      <c r="DH3859">
        <v>0</v>
      </c>
      <c r="DI3859">
        <v>0</v>
      </c>
    </row>
    <row r="3860" spans="1:113" x14ac:dyDescent="0.3">
      <c r="A3860" t="str">
        <f>"02/08/2021 20:35:50.543"</f>
        <v>02/08/2021 20:35:50.543</v>
      </c>
      <c r="C3860" t="str">
        <f t="shared" si="191"/>
        <v>FFDFD7C0</v>
      </c>
      <c r="D3860" t="s">
        <v>113</v>
      </c>
      <c r="E3860">
        <v>6</v>
      </c>
      <c r="H3860">
        <v>165</v>
      </c>
      <c r="I3860" t="s">
        <v>114</v>
      </c>
      <c r="J3860" t="s">
        <v>115</v>
      </c>
      <c r="K3860">
        <v>0</v>
      </c>
      <c r="L3860">
        <v>3</v>
      </c>
      <c r="M3860">
        <v>0</v>
      </c>
      <c r="N3860">
        <v>2</v>
      </c>
      <c r="O3860">
        <v>1</v>
      </c>
      <c r="P3860">
        <v>0</v>
      </c>
      <c r="Q3860">
        <v>0</v>
      </c>
      <c r="S3860" t="str">
        <f>"20:35:52.867"</f>
        <v>20:35:52.867</v>
      </c>
      <c r="T3860" t="str">
        <f>"20:35:52.467"</f>
        <v>20:35:52.467</v>
      </c>
      <c r="U3860" t="str">
        <f t="shared" si="193"/>
        <v>AB01F4</v>
      </c>
      <c r="V3860">
        <v>0</v>
      </c>
      <c r="W3860">
        <v>0</v>
      </c>
      <c r="X3860">
        <v>2</v>
      </c>
      <c r="Z3860">
        <v>0</v>
      </c>
      <c r="AA3860">
        <v>9</v>
      </c>
      <c r="AB3860">
        <v>3</v>
      </c>
      <c r="AC3860">
        <v>0</v>
      </c>
      <c r="AD3860">
        <v>10</v>
      </c>
      <c r="AE3860">
        <v>0</v>
      </c>
      <c r="AF3860">
        <v>3</v>
      </c>
      <c r="AG3860">
        <v>2</v>
      </c>
      <c r="AH3860">
        <v>0</v>
      </c>
      <c r="AI3860" t="s">
        <v>2179</v>
      </c>
      <c r="AJ3860">
        <v>40.129559</v>
      </c>
      <c r="AK3860" t="s">
        <v>2180</v>
      </c>
      <c r="AL3860">
        <v>-93.072181</v>
      </c>
      <c r="AM3860">
        <v>100</v>
      </c>
      <c r="AN3860">
        <v>1300</v>
      </c>
      <c r="AO3860" t="s">
        <v>118</v>
      </c>
      <c r="AP3860">
        <v>-113</v>
      </c>
      <c r="AQ3860">
        <v>61</v>
      </c>
      <c r="AR3860">
        <v>64</v>
      </c>
      <c r="AZ3860">
        <v>1200</v>
      </c>
      <c r="BA3860">
        <v>1</v>
      </c>
      <c r="BB3860" t="str">
        <f t="shared" si="192"/>
        <v xml:space="preserve">N8080G  </v>
      </c>
      <c r="BC3860">
        <v>1</v>
      </c>
      <c r="BE3860">
        <v>0</v>
      </c>
      <c r="BF3860">
        <v>0</v>
      </c>
      <c r="BG3860">
        <v>0</v>
      </c>
      <c r="BH3860">
        <v>1350</v>
      </c>
      <c r="BI3860">
        <v>1</v>
      </c>
      <c r="BJ3860">
        <v>1</v>
      </c>
      <c r="BK3860">
        <v>1</v>
      </c>
      <c r="BL3860">
        <v>0</v>
      </c>
      <c r="BO3860">
        <v>0</v>
      </c>
      <c r="BP3860">
        <v>0</v>
      </c>
      <c r="BW3860" t="str">
        <f>"20:35:52.873"</f>
        <v>20:35:52.873</v>
      </c>
      <c r="BZ3860">
        <v>0</v>
      </c>
      <c r="CA3860">
        <v>1600</v>
      </c>
      <c r="CB3860">
        <v>224</v>
      </c>
      <c r="CD3860">
        <v>1</v>
      </c>
      <c r="CE3860">
        <v>0</v>
      </c>
      <c r="CF3860">
        <v>0</v>
      </c>
      <c r="CG3860">
        <v>1</v>
      </c>
      <c r="CH3860">
        <v>0</v>
      </c>
      <c r="CI3860">
        <v>0</v>
      </c>
      <c r="CJ3860">
        <v>0</v>
      </c>
      <c r="CK3860">
        <v>2</v>
      </c>
      <c r="CL3860">
        <v>0</v>
      </c>
      <c r="CM3860">
        <v>2</v>
      </c>
      <c r="CN3860">
        <v>0</v>
      </c>
      <c r="CO3860">
        <v>2</v>
      </c>
      <c r="CP3860" t="s">
        <v>119</v>
      </c>
      <c r="CQ3860">
        <v>179</v>
      </c>
      <c r="CR3860">
        <v>2</v>
      </c>
      <c r="CW3860">
        <v>12550517</v>
      </c>
      <c r="CY3860">
        <v>0</v>
      </c>
      <c r="CZ3860">
        <v>0</v>
      </c>
      <c r="DA3860">
        <v>1</v>
      </c>
      <c r="DB3860">
        <v>0</v>
      </c>
      <c r="DC3860">
        <v>0</v>
      </c>
      <c r="DD3860">
        <v>0</v>
      </c>
      <c r="DE3860">
        <v>0</v>
      </c>
      <c r="DF3860">
        <v>0</v>
      </c>
      <c r="DG3860">
        <v>0</v>
      </c>
      <c r="DH3860">
        <v>0</v>
      </c>
      <c r="DI3860">
        <v>0</v>
      </c>
    </row>
    <row r="3861" spans="1:113" x14ac:dyDescent="0.3">
      <c r="A3861" t="str">
        <f>"02/08/2021 20:35:50.543"</f>
        <v>02/08/2021 20:35:50.543</v>
      </c>
      <c r="C3861" t="str">
        <f t="shared" si="191"/>
        <v>FFDFD7C0</v>
      </c>
      <c r="D3861" t="s">
        <v>124</v>
      </c>
      <c r="E3861">
        <v>13</v>
      </c>
      <c r="F3861">
        <v>1013</v>
      </c>
      <c r="G3861" t="s">
        <v>114</v>
      </c>
      <c r="J3861" t="s">
        <v>125</v>
      </c>
      <c r="K3861">
        <v>0</v>
      </c>
      <c r="L3861">
        <v>3</v>
      </c>
      <c r="M3861">
        <v>0</v>
      </c>
      <c r="N3861">
        <v>2</v>
      </c>
      <c r="O3861">
        <v>1</v>
      </c>
      <c r="P3861">
        <v>0</v>
      </c>
      <c r="Q3861">
        <v>0</v>
      </c>
      <c r="S3861" t="str">
        <f>"20:35:52.867"</f>
        <v>20:35:52.867</v>
      </c>
      <c r="T3861" t="str">
        <f>"20:35:52.467"</f>
        <v>20:35:52.467</v>
      </c>
      <c r="U3861" t="str">
        <f t="shared" si="193"/>
        <v>AB01F4</v>
      </c>
      <c r="V3861">
        <v>0</v>
      </c>
      <c r="W3861">
        <v>0</v>
      </c>
      <c r="X3861">
        <v>2</v>
      </c>
      <c r="Z3861">
        <v>0</v>
      </c>
      <c r="AA3861">
        <v>9</v>
      </c>
      <c r="AB3861">
        <v>3</v>
      </c>
      <c r="AC3861">
        <v>0</v>
      </c>
      <c r="AD3861">
        <v>10</v>
      </c>
      <c r="AE3861">
        <v>0</v>
      </c>
      <c r="AF3861">
        <v>3</v>
      </c>
      <c r="AG3861">
        <v>2</v>
      </c>
      <c r="AH3861">
        <v>0</v>
      </c>
      <c r="AI3861" t="s">
        <v>2179</v>
      </c>
      <c r="AJ3861">
        <v>40.129559</v>
      </c>
      <c r="AK3861" t="s">
        <v>2180</v>
      </c>
      <c r="AL3861">
        <v>-93.072181</v>
      </c>
      <c r="AM3861">
        <v>100</v>
      </c>
      <c r="AN3861">
        <v>1300</v>
      </c>
      <c r="AO3861" t="s">
        <v>118</v>
      </c>
      <c r="AP3861">
        <v>-113</v>
      </c>
      <c r="AQ3861">
        <v>61</v>
      </c>
      <c r="AR3861">
        <v>64</v>
      </c>
      <c r="AZ3861">
        <v>1200</v>
      </c>
      <c r="BA3861">
        <v>1</v>
      </c>
      <c r="BB3861" t="str">
        <f t="shared" si="192"/>
        <v xml:space="preserve">N8080G  </v>
      </c>
      <c r="BC3861">
        <v>1</v>
      </c>
      <c r="BE3861">
        <v>0</v>
      </c>
      <c r="BF3861">
        <v>0</v>
      </c>
      <c r="BG3861">
        <v>0</v>
      </c>
      <c r="BH3861">
        <v>1350</v>
      </c>
      <c r="BI3861">
        <v>1</v>
      </c>
      <c r="BJ3861">
        <v>1</v>
      </c>
      <c r="BK3861">
        <v>1</v>
      </c>
      <c r="BL3861">
        <v>0</v>
      </c>
      <c r="BO3861">
        <v>0</v>
      </c>
      <c r="BP3861">
        <v>0</v>
      </c>
      <c r="BW3861" t="str">
        <f>"20:35:52.873"</f>
        <v>20:35:52.873</v>
      </c>
      <c r="BZ3861">
        <v>0</v>
      </c>
      <c r="CA3861">
        <v>1600</v>
      </c>
      <c r="CB3861">
        <v>224</v>
      </c>
      <c r="CD3861">
        <v>1</v>
      </c>
      <c r="CE3861">
        <v>0</v>
      </c>
      <c r="CF3861">
        <v>0</v>
      </c>
      <c r="CG3861">
        <v>1</v>
      </c>
      <c r="CH3861">
        <v>0</v>
      </c>
      <c r="CI3861">
        <v>0</v>
      </c>
      <c r="CJ3861">
        <v>0</v>
      </c>
      <c r="CK3861">
        <v>2</v>
      </c>
      <c r="CL3861">
        <v>0</v>
      </c>
      <c r="CM3861">
        <v>2</v>
      </c>
      <c r="CN3861">
        <v>0</v>
      </c>
      <c r="CO3861">
        <v>2</v>
      </c>
      <c r="CP3861" t="s">
        <v>119</v>
      </c>
      <c r="CQ3861">
        <v>179</v>
      </c>
      <c r="CR3861">
        <v>2</v>
      </c>
      <c r="CW3861">
        <v>12550517</v>
      </c>
      <c r="CY3861">
        <v>0</v>
      </c>
      <c r="CZ3861">
        <v>0</v>
      </c>
      <c r="DA3861">
        <v>1</v>
      </c>
      <c r="DB3861">
        <v>0</v>
      </c>
      <c r="DC3861">
        <v>0</v>
      </c>
      <c r="DD3861">
        <v>0</v>
      </c>
      <c r="DE3861">
        <v>0</v>
      </c>
      <c r="DF3861">
        <v>0</v>
      </c>
      <c r="DG3861">
        <v>0</v>
      </c>
      <c r="DH3861">
        <v>0</v>
      </c>
      <c r="DI3861">
        <v>0</v>
      </c>
    </row>
    <row r="3862" spans="1:113" x14ac:dyDescent="0.3">
      <c r="A3862" t="str">
        <f>"02/08/2021 20:35:50.543"</f>
        <v>02/08/2021 20:35:50.543</v>
      </c>
      <c r="C3862" t="str">
        <f t="shared" si="191"/>
        <v>FFDFD7C0</v>
      </c>
      <c r="D3862" t="s">
        <v>124</v>
      </c>
      <c r="E3862">
        <v>11</v>
      </c>
      <c r="F3862">
        <v>1011</v>
      </c>
      <c r="G3862" t="s">
        <v>590</v>
      </c>
      <c r="J3862" t="s">
        <v>125</v>
      </c>
      <c r="K3862">
        <v>0</v>
      </c>
      <c r="L3862">
        <v>3</v>
      </c>
      <c r="M3862">
        <v>0</v>
      </c>
      <c r="N3862">
        <v>2</v>
      </c>
      <c r="O3862">
        <v>1</v>
      </c>
      <c r="P3862">
        <v>0</v>
      </c>
      <c r="Q3862">
        <v>0</v>
      </c>
      <c r="S3862" t="str">
        <f>"20:35:52.867"</f>
        <v>20:35:52.867</v>
      </c>
      <c r="T3862" t="str">
        <f>"20:35:52.467"</f>
        <v>20:35:52.467</v>
      </c>
      <c r="U3862" t="str">
        <f t="shared" si="193"/>
        <v>AB01F4</v>
      </c>
      <c r="V3862">
        <v>0</v>
      </c>
      <c r="W3862">
        <v>0</v>
      </c>
      <c r="X3862">
        <v>2</v>
      </c>
      <c r="Z3862">
        <v>0</v>
      </c>
      <c r="AA3862">
        <v>9</v>
      </c>
      <c r="AB3862">
        <v>3</v>
      </c>
      <c r="AC3862">
        <v>0</v>
      </c>
      <c r="AD3862">
        <v>10</v>
      </c>
      <c r="AE3862">
        <v>0</v>
      </c>
      <c r="AF3862">
        <v>3</v>
      </c>
      <c r="AG3862">
        <v>2</v>
      </c>
      <c r="AH3862">
        <v>0</v>
      </c>
      <c r="AI3862" t="s">
        <v>2179</v>
      </c>
      <c r="AJ3862">
        <v>40.129559</v>
      </c>
      <c r="AK3862" t="s">
        <v>2180</v>
      </c>
      <c r="AL3862">
        <v>-93.072181</v>
      </c>
      <c r="AM3862">
        <v>100</v>
      </c>
      <c r="AN3862">
        <v>1300</v>
      </c>
      <c r="AO3862" t="s">
        <v>118</v>
      </c>
      <c r="AP3862">
        <v>-113</v>
      </c>
      <c r="AQ3862">
        <v>61</v>
      </c>
      <c r="AR3862">
        <v>64</v>
      </c>
      <c r="AZ3862">
        <v>1200</v>
      </c>
      <c r="BA3862">
        <v>1</v>
      </c>
      <c r="BB3862" t="str">
        <f t="shared" si="192"/>
        <v xml:space="preserve">N8080G  </v>
      </c>
      <c r="BC3862">
        <v>1</v>
      </c>
      <c r="BE3862">
        <v>0</v>
      </c>
      <c r="BF3862">
        <v>0</v>
      </c>
      <c r="BG3862">
        <v>0</v>
      </c>
      <c r="BH3862">
        <v>1350</v>
      </c>
      <c r="BI3862">
        <v>1</v>
      </c>
      <c r="BJ3862">
        <v>1</v>
      </c>
      <c r="BK3862">
        <v>1</v>
      </c>
      <c r="BL3862">
        <v>0</v>
      </c>
      <c r="BO3862">
        <v>0</v>
      </c>
      <c r="BP3862">
        <v>0</v>
      </c>
      <c r="BW3862" t="str">
        <f>"20:35:52.873"</f>
        <v>20:35:52.873</v>
      </c>
      <c r="BZ3862">
        <v>0</v>
      </c>
      <c r="CA3862">
        <v>1600</v>
      </c>
      <c r="CB3862">
        <v>224</v>
      </c>
      <c r="CD3862">
        <v>1</v>
      </c>
      <c r="CE3862">
        <v>0</v>
      </c>
      <c r="CF3862">
        <v>0</v>
      </c>
      <c r="CG3862">
        <v>1</v>
      </c>
      <c r="CH3862">
        <v>0</v>
      </c>
      <c r="CI3862">
        <v>0</v>
      </c>
      <c r="CJ3862">
        <v>0</v>
      </c>
      <c r="CK3862">
        <v>2</v>
      </c>
      <c r="CL3862">
        <v>0</v>
      </c>
      <c r="CM3862">
        <v>2</v>
      </c>
      <c r="CN3862">
        <v>0</v>
      </c>
      <c r="CO3862">
        <v>2</v>
      </c>
      <c r="CP3862" t="s">
        <v>119</v>
      </c>
      <c r="CQ3862">
        <v>179</v>
      </c>
      <c r="CR3862">
        <v>2</v>
      </c>
      <c r="CW3862">
        <v>12550517</v>
      </c>
      <c r="CY3862">
        <v>0</v>
      </c>
      <c r="CZ3862">
        <v>0</v>
      </c>
      <c r="DA3862">
        <v>1</v>
      </c>
      <c r="DB3862">
        <v>0</v>
      </c>
      <c r="DC3862">
        <v>0</v>
      </c>
      <c r="DD3862">
        <v>0</v>
      </c>
      <c r="DE3862">
        <v>0</v>
      </c>
      <c r="DF3862">
        <v>0</v>
      </c>
      <c r="DG3862">
        <v>0</v>
      </c>
      <c r="DH3862">
        <v>0</v>
      </c>
      <c r="DI3862">
        <v>0</v>
      </c>
    </row>
    <row r="3863" spans="1:113" x14ac:dyDescent="0.3">
      <c r="A3863" t="str">
        <f>"02/08/2021 20:35:51.563"</f>
        <v>02/08/2021 20:35:51.563</v>
      </c>
      <c r="C3863" t="str">
        <f t="shared" si="191"/>
        <v>FFDFD7C0</v>
      </c>
      <c r="D3863" t="s">
        <v>113</v>
      </c>
      <c r="E3863">
        <v>6</v>
      </c>
      <c r="H3863">
        <v>165</v>
      </c>
      <c r="I3863" t="s">
        <v>114</v>
      </c>
      <c r="J3863" t="s">
        <v>115</v>
      </c>
      <c r="K3863">
        <v>0</v>
      </c>
      <c r="L3863">
        <v>3</v>
      </c>
      <c r="M3863">
        <v>0</v>
      </c>
      <c r="N3863">
        <v>2</v>
      </c>
      <c r="O3863">
        <v>1</v>
      </c>
      <c r="P3863">
        <v>0</v>
      </c>
      <c r="Q3863">
        <v>0</v>
      </c>
      <c r="S3863" t="str">
        <f>"20:35:53.898"</f>
        <v>20:35:53.898</v>
      </c>
      <c r="T3863" t="str">
        <f>"20:35:52.898"</f>
        <v>20:35:52.898</v>
      </c>
      <c r="U3863" t="str">
        <f t="shared" si="193"/>
        <v>AB01F4</v>
      </c>
      <c r="V3863">
        <v>0</v>
      </c>
      <c r="W3863">
        <v>0</v>
      </c>
      <c r="X3863">
        <v>2</v>
      </c>
      <c r="Z3863">
        <v>0</v>
      </c>
      <c r="AA3863">
        <v>9</v>
      </c>
      <c r="AB3863">
        <v>3</v>
      </c>
      <c r="AC3863">
        <v>0</v>
      </c>
      <c r="AD3863">
        <v>10</v>
      </c>
      <c r="AE3863">
        <v>0</v>
      </c>
      <c r="AF3863">
        <v>3</v>
      </c>
      <c r="AG3863">
        <v>2</v>
      </c>
      <c r="AH3863">
        <v>0</v>
      </c>
      <c r="AI3863" t="s">
        <v>2181</v>
      </c>
      <c r="AJ3863">
        <v>40.129837999999999</v>
      </c>
      <c r="AK3863" t="s">
        <v>2182</v>
      </c>
      <c r="AL3863">
        <v>-93.072867000000002</v>
      </c>
      <c r="AM3863">
        <v>100</v>
      </c>
      <c r="AN3863">
        <v>1300</v>
      </c>
      <c r="AO3863" t="s">
        <v>118</v>
      </c>
      <c r="AP3863">
        <v>-113</v>
      </c>
      <c r="AQ3863">
        <v>61</v>
      </c>
      <c r="AR3863">
        <v>64</v>
      </c>
      <c r="AZ3863">
        <v>1200</v>
      </c>
      <c r="BA3863">
        <v>1</v>
      </c>
      <c r="BB3863" t="str">
        <f t="shared" si="192"/>
        <v xml:space="preserve">N8080G  </v>
      </c>
      <c r="BC3863">
        <v>1</v>
      </c>
      <c r="BE3863">
        <v>0</v>
      </c>
      <c r="BF3863">
        <v>0</v>
      </c>
      <c r="BG3863">
        <v>0</v>
      </c>
      <c r="BH3863">
        <v>1350</v>
      </c>
      <c r="BI3863">
        <v>1</v>
      </c>
      <c r="BJ3863">
        <v>1</v>
      </c>
      <c r="BK3863">
        <v>1</v>
      </c>
      <c r="BL3863">
        <v>0</v>
      </c>
      <c r="BO3863">
        <v>0</v>
      </c>
      <c r="BP3863">
        <v>0</v>
      </c>
      <c r="BW3863" t="str">
        <f>"20:35:53.904"</f>
        <v>20:35:53.904</v>
      </c>
      <c r="BZ3863">
        <v>0</v>
      </c>
      <c r="CA3863">
        <v>1600</v>
      </c>
      <c r="CB3863">
        <v>224</v>
      </c>
      <c r="CD3863">
        <v>1</v>
      </c>
      <c r="CE3863">
        <v>0</v>
      </c>
      <c r="CF3863">
        <v>0</v>
      </c>
      <c r="CG3863">
        <v>1</v>
      </c>
      <c r="CH3863">
        <v>0</v>
      </c>
      <c r="CI3863">
        <v>0</v>
      </c>
      <c r="CJ3863">
        <v>0</v>
      </c>
      <c r="CK3863">
        <v>2</v>
      </c>
      <c r="CL3863">
        <v>0</v>
      </c>
      <c r="CM3863">
        <v>2</v>
      </c>
      <c r="CN3863">
        <v>0</v>
      </c>
      <c r="CO3863">
        <v>1</v>
      </c>
      <c r="CP3863" t="s">
        <v>119</v>
      </c>
      <c r="CQ3863">
        <v>179</v>
      </c>
      <c r="CR3863">
        <v>1</v>
      </c>
      <c r="CW3863">
        <v>9429641</v>
      </c>
      <c r="CY3863">
        <v>0</v>
      </c>
      <c r="CZ3863">
        <v>0</v>
      </c>
      <c r="DA3863">
        <v>0</v>
      </c>
      <c r="DB3863">
        <v>0</v>
      </c>
      <c r="DC3863">
        <v>0</v>
      </c>
      <c r="DD3863">
        <v>0</v>
      </c>
      <c r="DE3863">
        <v>0</v>
      </c>
      <c r="DF3863">
        <v>0</v>
      </c>
      <c r="DG3863">
        <v>0</v>
      </c>
      <c r="DH3863">
        <v>0</v>
      </c>
      <c r="DI3863">
        <v>0</v>
      </c>
    </row>
    <row r="3864" spans="1:113" x14ac:dyDescent="0.3">
      <c r="A3864" t="str">
        <f>"02/08/2021 20:35:51.563"</f>
        <v>02/08/2021 20:35:51.563</v>
      </c>
      <c r="C3864" t="str">
        <f t="shared" si="191"/>
        <v>FFDFD7C0</v>
      </c>
      <c r="D3864" t="s">
        <v>124</v>
      </c>
      <c r="E3864">
        <v>13</v>
      </c>
      <c r="F3864">
        <v>1013</v>
      </c>
      <c r="G3864" t="s">
        <v>114</v>
      </c>
      <c r="J3864" t="s">
        <v>125</v>
      </c>
      <c r="K3864">
        <v>0</v>
      </c>
      <c r="L3864">
        <v>3</v>
      </c>
      <c r="M3864">
        <v>0</v>
      </c>
      <c r="N3864">
        <v>2</v>
      </c>
      <c r="O3864">
        <v>1</v>
      </c>
      <c r="P3864">
        <v>0</v>
      </c>
      <c r="Q3864">
        <v>0</v>
      </c>
      <c r="S3864" t="str">
        <f>"20:35:53.898"</f>
        <v>20:35:53.898</v>
      </c>
      <c r="T3864" t="str">
        <f>"20:35:52.898"</f>
        <v>20:35:52.898</v>
      </c>
      <c r="U3864" t="str">
        <f t="shared" si="193"/>
        <v>AB01F4</v>
      </c>
      <c r="V3864">
        <v>0</v>
      </c>
      <c r="W3864">
        <v>0</v>
      </c>
      <c r="X3864">
        <v>2</v>
      </c>
      <c r="Z3864">
        <v>0</v>
      </c>
      <c r="AA3864">
        <v>9</v>
      </c>
      <c r="AB3864">
        <v>3</v>
      </c>
      <c r="AC3864">
        <v>0</v>
      </c>
      <c r="AD3864">
        <v>10</v>
      </c>
      <c r="AE3864">
        <v>0</v>
      </c>
      <c r="AF3864">
        <v>3</v>
      </c>
      <c r="AG3864">
        <v>2</v>
      </c>
      <c r="AH3864">
        <v>0</v>
      </c>
      <c r="AI3864" t="s">
        <v>2181</v>
      </c>
      <c r="AJ3864">
        <v>40.129837999999999</v>
      </c>
      <c r="AK3864" t="s">
        <v>2182</v>
      </c>
      <c r="AL3864">
        <v>-93.072867000000002</v>
      </c>
      <c r="AM3864">
        <v>100</v>
      </c>
      <c r="AN3864">
        <v>1300</v>
      </c>
      <c r="AO3864" t="s">
        <v>118</v>
      </c>
      <c r="AP3864">
        <v>-113</v>
      </c>
      <c r="AQ3864">
        <v>61</v>
      </c>
      <c r="AR3864">
        <v>64</v>
      </c>
      <c r="AZ3864">
        <v>1200</v>
      </c>
      <c r="BA3864">
        <v>1</v>
      </c>
      <c r="BB3864" t="str">
        <f t="shared" si="192"/>
        <v xml:space="preserve">N8080G  </v>
      </c>
      <c r="BC3864">
        <v>1</v>
      </c>
      <c r="BE3864">
        <v>0</v>
      </c>
      <c r="BF3864">
        <v>0</v>
      </c>
      <c r="BG3864">
        <v>0</v>
      </c>
      <c r="BH3864">
        <v>1350</v>
      </c>
      <c r="BI3864">
        <v>1</v>
      </c>
      <c r="BJ3864">
        <v>1</v>
      </c>
      <c r="BK3864">
        <v>1</v>
      </c>
      <c r="BL3864">
        <v>0</v>
      </c>
      <c r="BO3864">
        <v>0</v>
      </c>
      <c r="BP3864">
        <v>0</v>
      </c>
      <c r="BW3864" t="str">
        <f>"20:35:53.904"</f>
        <v>20:35:53.904</v>
      </c>
      <c r="BZ3864">
        <v>0</v>
      </c>
      <c r="CA3864">
        <v>1600</v>
      </c>
      <c r="CB3864">
        <v>224</v>
      </c>
      <c r="CD3864">
        <v>1</v>
      </c>
      <c r="CE3864">
        <v>0</v>
      </c>
      <c r="CF3864">
        <v>0</v>
      </c>
      <c r="CG3864">
        <v>1</v>
      </c>
      <c r="CH3864">
        <v>0</v>
      </c>
      <c r="CI3864">
        <v>0</v>
      </c>
      <c r="CJ3864">
        <v>0</v>
      </c>
      <c r="CK3864">
        <v>2</v>
      </c>
      <c r="CL3864">
        <v>0</v>
      </c>
      <c r="CM3864">
        <v>2</v>
      </c>
      <c r="CN3864">
        <v>0</v>
      </c>
      <c r="CO3864">
        <v>1</v>
      </c>
      <c r="CP3864" t="s">
        <v>119</v>
      </c>
      <c r="CQ3864">
        <v>179</v>
      </c>
      <c r="CR3864">
        <v>1</v>
      </c>
      <c r="CW3864">
        <v>9429641</v>
      </c>
      <c r="CY3864">
        <v>0</v>
      </c>
      <c r="CZ3864">
        <v>0</v>
      </c>
      <c r="DA3864">
        <v>1</v>
      </c>
      <c r="DB3864">
        <v>0</v>
      </c>
      <c r="DC3864">
        <v>0</v>
      </c>
      <c r="DD3864">
        <v>0</v>
      </c>
      <c r="DE3864">
        <v>0</v>
      </c>
      <c r="DF3864">
        <v>0</v>
      </c>
      <c r="DG3864">
        <v>0</v>
      </c>
      <c r="DH3864">
        <v>0</v>
      </c>
      <c r="DI3864">
        <v>0</v>
      </c>
    </row>
    <row r="3865" spans="1:113" x14ac:dyDescent="0.3">
      <c r="A3865" t="str">
        <f>"02/08/2021 20:35:51.563"</f>
        <v>02/08/2021 20:35:51.563</v>
      </c>
      <c r="C3865" t="str">
        <f t="shared" si="191"/>
        <v>FFDFD7C0</v>
      </c>
      <c r="D3865" t="s">
        <v>124</v>
      </c>
      <c r="E3865">
        <v>11</v>
      </c>
      <c r="F3865">
        <v>1011</v>
      </c>
      <c r="G3865" t="s">
        <v>590</v>
      </c>
      <c r="J3865" t="s">
        <v>125</v>
      </c>
      <c r="K3865">
        <v>0</v>
      </c>
      <c r="L3865">
        <v>3</v>
      </c>
      <c r="M3865">
        <v>0</v>
      </c>
      <c r="N3865">
        <v>2</v>
      </c>
      <c r="O3865">
        <v>1</v>
      </c>
      <c r="P3865">
        <v>0</v>
      </c>
      <c r="Q3865">
        <v>0</v>
      </c>
      <c r="S3865" t="str">
        <f>"20:35:53.898"</f>
        <v>20:35:53.898</v>
      </c>
      <c r="T3865" t="str">
        <f>"20:35:52.898"</f>
        <v>20:35:52.898</v>
      </c>
      <c r="U3865" t="str">
        <f t="shared" si="193"/>
        <v>AB01F4</v>
      </c>
      <c r="V3865">
        <v>0</v>
      </c>
      <c r="W3865">
        <v>0</v>
      </c>
      <c r="X3865">
        <v>2</v>
      </c>
      <c r="Z3865">
        <v>0</v>
      </c>
      <c r="AA3865">
        <v>9</v>
      </c>
      <c r="AB3865">
        <v>3</v>
      </c>
      <c r="AC3865">
        <v>0</v>
      </c>
      <c r="AD3865">
        <v>10</v>
      </c>
      <c r="AE3865">
        <v>0</v>
      </c>
      <c r="AF3865">
        <v>3</v>
      </c>
      <c r="AG3865">
        <v>2</v>
      </c>
      <c r="AH3865">
        <v>0</v>
      </c>
      <c r="AI3865" t="s">
        <v>2181</v>
      </c>
      <c r="AJ3865">
        <v>40.129837999999999</v>
      </c>
      <c r="AK3865" t="s">
        <v>2182</v>
      </c>
      <c r="AL3865">
        <v>-93.072867000000002</v>
      </c>
      <c r="AM3865">
        <v>100</v>
      </c>
      <c r="AN3865">
        <v>1300</v>
      </c>
      <c r="AO3865" t="s">
        <v>118</v>
      </c>
      <c r="AP3865">
        <v>-113</v>
      </c>
      <c r="AQ3865">
        <v>61</v>
      </c>
      <c r="AR3865">
        <v>64</v>
      </c>
      <c r="AZ3865">
        <v>1200</v>
      </c>
      <c r="BA3865">
        <v>1</v>
      </c>
      <c r="BB3865" t="str">
        <f t="shared" si="192"/>
        <v xml:space="preserve">N8080G  </v>
      </c>
      <c r="BC3865">
        <v>1</v>
      </c>
      <c r="BE3865">
        <v>0</v>
      </c>
      <c r="BF3865">
        <v>0</v>
      </c>
      <c r="BG3865">
        <v>0</v>
      </c>
      <c r="BH3865">
        <v>1350</v>
      </c>
      <c r="BI3865">
        <v>1</v>
      </c>
      <c r="BJ3865">
        <v>1</v>
      </c>
      <c r="BK3865">
        <v>1</v>
      </c>
      <c r="BL3865">
        <v>0</v>
      </c>
      <c r="BO3865">
        <v>0</v>
      </c>
      <c r="BP3865">
        <v>0</v>
      </c>
      <c r="BW3865" t="str">
        <f>"20:35:53.904"</f>
        <v>20:35:53.904</v>
      </c>
      <c r="BZ3865">
        <v>0</v>
      </c>
      <c r="CA3865">
        <v>1600</v>
      </c>
      <c r="CB3865">
        <v>224</v>
      </c>
      <c r="CD3865">
        <v>1</v>
      </c>
      <c r="CE3865">
        <v>0</v>
      </c>
      <c r="CF3865">
        <v>0</v>
      </c>
      <c r="CG3865">
        <v>1</v>
      </c>
      <c r="CH3865">
        <v>0</v>
      </c>
      <c r="CI3865">
        <v>0</v>
      </c>
      <c r="CJ3865">
        <v>0</v>
      </c>
      <c r="CK3865">
        <v>2</v>
      </c>
      <c r="CL3865">
        <v>0</v>
      </c>
      <c r="CM3865">
        <v>2</v>
      </c>
      <c r="CN3865">
        <v>0</v>
      </c>
      <c r="CO3865">
        <v>1</v>
      </c>
      <c r="CP3865" t="s">
        <v>119</v>
      </c>
      <c r="CQ3865">
        <v>179</v>
      </c>
      <c r="CR3865">
        <v>1</v>
      </c>
      <c r="CW3865">
        <v>9429641</v>
      </c>
      <c r="CY3865">
        <v>0</v>
      </c>
      <c r="CZ3865">
        <v>0</v>
      </c>
      <c r="DA3865">
        <v>1</v>
      </c>
      <c r="DB3865">
        <v>0</v>
      </c>
      <c r="DC3865">
        <v>0</v>
      </c>
      <c r="DD3865">
        <v>0</v>
      </c>
      <c r="DE3865">
        <v>0</v>
      </c>
      <c r="DF3865">
        <v>0</v>
      </c>
      <c r="DG3865">
        <v>0</v>
      </c>
      <c r="DH3865">
        <v>0</v>
      </c>
      <c r="DI3865">
        <v>0</v>
      </c>
    </row>
    <row r="3866" spans="1:113" x14ac:dyDescent="0.3">
      <c r="A3866" t="str">
        <f>"02/08/2021 20:35:51.563"</f>
        <v>02/08/2021 20:35:51.563</v>
      </c>
      <c r="C3866" t="str">
        <f t="shared" si="191"/>
        <v>FFDFD7C0</v>
      </c>
      <c r="D3866" t="s">
        <v>124</v>
      </c>
      <c r="E3866">
        <v>12</v>
      </c>
      <c r="F3866">
        <v>1012</v>
      </c>
      <c r="G3866" t="s">
        <v>675</v>
      </c>
      <c r="J3866" t="s">
        <v>125</v>
      </c>
      <c r="K3866">
        <v>0</v>
      </c>
      <c r="L3866">
        <v>3</v>
      </c>
      <c r="M3866">
        <v>0</v>
      </c>
      <c r="N3866">
        <v>2</v>
      </c>
      <c r="O3866">
        <v>1</v>
      </c>
      <c r="P3866">
        <v>0</v>
      </c>
      <c r="Q3866">
        <v>0</v>
      </c>
      <c r="S3866" t="str">
        <f>"20:35:53.898"</f>
        <v>20:35:53.898</v>
      </c>
      <c r="T3866" t="str">
        <f>"20:35:52.898"</f>
        <v>20:35:52.898</v>
      </c>
      <c r="U3866" t="str">
        <f t="shared" si="193"/>
        <v>AB01F4</v>
      </c>
      <c r="V3866">
        <v>0</v>
      </c>
      <c r="W3866">
        <v>0</v>
      </c>
      <c r="X3866">
        <v>2</v>
      </c>
      <c r="Z3866">
        <v>0</v>
      </c>
      <c r="AA3866">
        <v>9</v>
      </c>
      <c r="AB3866">
        <v>3</v>
      </c>
      <c r="AC3866">
        <v>0</v>
      </c>
      <c r="AD3866">
        <v>10</v>
      </c>
      <c r="AE3866">
        <v>0</v>
      </c>
      <c r="AF3866">
        <v>3</v>
      </c>
      <c r="AG3866">
        <v>2</v>
      </c>
      <c r="AH3866">
        <v>0</v>
      </c>
      <c r="AI3866" t="s">
        <v>2181</v>
      </c>
      <c r="AJ3866">
        <v>40.129837999999999</v>
      </c>
      <c r="AK3866" t="s">
        <v>2182</v>
      </c>
      <c r="AL3866">
        <v>-93.072867000000002</v>
      </c>
      <c r="AM3866">
        <v>100</v>
      </c>
      <c r="AN3866">
        <v>1300</v>
      </c>
      <c r="AO3866" t="s">
        <v>118</v>
      </c>
      <c r="AP3866">
        <v>-113</v>
      </c>
      <c r="AQ3866">
        <v>61</v>
      </c>
      <c r="AR3866">
        <v>64</v>
      </c>
      <c r="AZ3866">
        <v>1200</v>
      </c>
      <c r="BA3866">
        <v>1</v>
      </c>
      <c r="BB3866" t="str">
        <f t="shared" si="192"/>
        <v xml:space="preserve">N8080G  </v>
      </c>
      <c r="BC3866">
        <v>1</v>
      </c>
      <c r="BE3866">
        <v>0</v>
      </c>
      <c r="BF3866">
        <v>0</v>
      </c>
      <c r="BG3866">
        <v>0</v>
      </c>
      <c r="BH3866">
        <v>1350</v>
      </c>
      <c r="BI3866">
        <v>1</v>
      </c>
      <c r="BJ3866">
        <v>1</v>
      </c>
      <c r="BK3866">
        <v>1</v>
      </c>
      <c r="BL3866">
        <v>0</v>
      </c>
      <c r="BO3866">
        <v>0</v>
      </c>
      <c r="BP3866">
        <v>0</v>
      </c>
      <c r="BW3866" t="str">
        <f>"20:35:53.904"</f>
        <v>20:35:53.904</v>
      </c>
      <c r="BZ3866">
        <v>0</v>
      </c>
      <c r="CA3866">
        <v>1600</v>
      </c>
      <c r="CB3866">
        <v>224</v>
      </c>
      <c r="CD3866">
        <v>1</v>
      </c>
      <c r="CE3866">
        <v>0</v>
      </c>
      <c r="CF3866">
        <v>0</v>
      </c>
      <c r="CG3866">
        <v>1</v>
      </c>
      <c r="CH3866">
        <v>0</v>
      </c>
      <c r="CI3866">
        <v>0</v>
      </c>
      <c r="CJ3866">
        <v>0</v>
      </c>
      <c r="CK3866">
        <v>2</v>
      </c>
      <c r="CL3866">
        <v>0</v>
      </c>
      <c r="CM3866">
        <v>2</v>
      </c>
      <c r="CN3866">
        <v>0</v>
      </c>
      <c r="CO3866">
        <v>1</v>
      </c>
      <c r="CP3866" t="s">
        <v>119</v>
      </c>
      <c r="CQ3866">
        <v>179</v>
      </c>
      <c r="CR3866">
        <v>1</v>
      </c>
      <c r="CW3866">
        <v>9429641</v>
      </c>
      <c r="CY3866">
        <v>0</v>
      </c>
      <c r="CZ3866">
        <v>0</v>
      </c>
      <c r="DA3866">
        <v>1</v>
      </c>
      <c r="DB3866">
        <v>0</v>
      </c>
      <c r="DC3866">
        <v>0</v>
      </c>
      <c r="DD3866">
        <v>0</v>
      </c>
      <c r="DE3866">
        <v>0</v>
      </c>
      <c r="DF3866">
        <v>0</v>
      </c>
      <c r="DG3866">
        <v>0</v>
      </c>
      <c r="DH3866">
        <v>0</v>
      </c>
      <c r="DI3866">
        <v>0</v>
      </c>
    </row>
    <row r="3867" spans="1:113" x14ac:dyDescent="0.3">
      <c r="A3867" t="str">
        <f>"02/08/2021 20:35:52.672"</f>
        <v>02/08/2021 20:35:52.672</v>
      </c>
      <c r="C3867" t="str">
        <f t="shared" si="191"/>
        <v>FFDFD7C0</v>
      </c>
      <c r="D3867" t="s">
        <v>124</v>
      </c>
      <c r="E3867">
        <v>13</v>
      </c>
      <c r="F3867">
        <v>1013</v>
      </c>
      <c r="G3867" t="s">
        <v>114</v>
      </c>
      <c r="J3867" t="s">
        <v>125</v>
      </c>
      <c r="K3867">
        <v>0</v>
      </c>
      <c r="L3867">
        <v>3</v>
      </c>
      <c r="M3867">
        <v>0</v>
      </c>
      <c r="N3867">
        <v>2</v>
      </c>
      <c r="O3867">
        <v>1</v>
      </c>
      <c r="P3867">
        <v>0</v>
      </c>
      <c r="Q3867">
        <v>0</v>
      </c>
      <c r="S3867" t="str">
        <f>"20:35:54.984"</f>
        <v>20:35:54.984</v>
      </c>
      <c r="T3867" t="str">
        <f>"20:35:53.984"</f>
        <v>20:35:53.984</v>
      </c>
      <c r="U3867" t="str">
        <f t="shared" si="193"/>
        <v>AB01F4</v>
      </c>
      <c r="V3867">
        <v>0</v>
      </c>
      <c r="W3867">
        <v>0</v>
      </c>
      <c r="X3867">
        <v>2</v>
      </c>
      <c r="Z3867">
        <v>0</v>
      </c>
      <c r="AA3867">
        <v>9</v>
      </c>
      <c r="AB3867">
        <v>3</v>
      </c>
      <c r="AC3867">
        <v>0</v>
      </c>
      <c r="AD3867">
        <v>10</v>
      </c>
      <c r="AE3867">
        <v>0</v>
      </c>
      <c r="AF3867">
        <v>3</v>
      </c>
      <c r="AG3867">
        <v>2</v>
      </c>
      <c r="AH3867">
        <v>0</v>
      </c>
      <c r="AI3867" t="s">
        <v>2183</v>
      </c>
      <c r="AJ3867">
        <v>40.130181</v>
      </c>
      <c r="AK3867" t="s">
        <v>2184</v>
      </c>
      <c r="AL3867">
        <v>-93.073617999999996</v>
      </c>
      <c r="AM3867">
        <v>100</v>
      </c>
      <c r="AN3867">
        <v>1300</v>
      </c>
      <c r="AO3867" t="s">
        <v>118</v>
      </c>
      <c r="AP3867">
        <v>-113</v>
      </c>
      <c r="AQ3867">
        <v>61</v>
      </c>
      <c r="AR3867">
        <v>64</v>
      </c>
      <c r="AZ3867">
        <v>1200</v>
      </c>
      <c r="BA3867">
        <v>1</v>
      </c>
      <c r="BB3867" t="str">
        <f t="shared" si="192"/>
        <v xml:space="preserve">N8080G  </v>
      </c>
      <c r="BC3867">
        <v>1</v>
      </c>
      <c r="BE3867">
        <v>0</v>
      </c>
      <c r="BF3867">
        <v>0</v>
      </c>
      <c r="BG3867">
        <v>0</v>
      </c>
      <c r="BH3867">
        <v>1350</v>
      </c>
      <c r="BI3867">
        <v>1</v>
      </c>
      <c r="BJ3867">
        <v>1</v>
      </c>
      <c r="BK3867">
        <v>1</v>
      </c>
      <c r="BL3867">
        <v>0</v>
      </c>
      <c r="BO3867">
        <v>0</v>
      </c>
      <c r="BP3867">
        <v>0</v>
      </c>
      <c r="BW3867" t="str">
        <f>"20:35:54.992"</f>
        <v>20:35:54.992</v>
      </c>
      <c r="BZ3867">
        <v>0</v>
      </c>
      <c r="CA3867">
        <v>1600</v>
      </c>
      <c r="CB3867">
        <v>224</v>
      </c>
      <c r="CD3867">
        <v>1</v>
      </c>
      <c r="CE3867">
        <v>0</v>
      </c>
      <c r="CF3867">
        <v>0</v>
      </c>
      <c r="CG3867">
        <v>1</v>
      </c>
      <c r="CH3867">
        <v>0</v>
      </c>
      <c r="CI3867">
        <v>0</v>
      </c>
      <c r="CJ3867">
        <v>0</v>
      </c>
      <c r="CK3867">
        <v>2</v>
      </c>
      <c r="CL3867">
        <v>0</v>
      </c>
      <c r="CM3867">
        <v>2</v>
      </c>
      <c r="CN3867">
        <v>0</v>
      </c>
      <c r="CO3867">
        <v>2</v>
      </c>
      <c r="CP3867" t="s">
        <v>119</v>
      </c>
      <c r="CQ3867">
        <v>179</v>
      </c>
      <c r="CR3867">
        <v>2</v>
      </c>
      <c r="CW3867">
        <v>12552216</v>
      </c>
      <c r="CY3867">
        <v>0</v>
      </c>
      <c r="CZ3867">
        <v>0</v>
      </c>
      <c r="DA3867">
        <v>0</v>
      </c>
      <c r="DB3867">
        <v>0</v>
      </c>
      <c r="DC3867">
        <v>0</v>
      </c>
      <c r="DD3867">
        <v>0</v>
      </c>
      <c r="DE3867">
        <v>0</v>
      </c>
      <c r="DF3867">
        <v>0</v>
      </c>
      <c r="DG3867">
        <v>0</v>
      </c>
      <c r="DH3867">
        <v>0</v>
      </c>
      <c r="DI3867">
        <v>0</v>
      </c>
    </row>
    <row r="3868" spans="1:113" x14ac:dyDescent="0.3">
      <c r="A3868" t="str">
        <f>"02/08/2021 20:35:52.672"</f>
        <v>02/08/2021 20:35:52.672</v>
      </c>
      <c r="C3868" t="str">
        <f t="shared" si="191"/>
        <v>FFDFD7C0</v>
      </c>
      <c r="D3868" t="s">
        <v>113</v>
      </c>
      <c r="E3868">
        <v>6</v>
      </c>
      <c r="H3868">
        <v>165</v>
      </c>
      <c r="I3868" t="s">
        <v>114</v>
      </c>
      <c r="J3868" t="s">
        <v>115</v>
      </c>
      <c r="K3868">
        <v>0</v>
      </c>
      <c r="L3868">
        <v>3</v>
      </c>
      <c r="M3868">
        <v>0</v>
      </c>
      <c r="N3868">
        <v>2</v>
      </c>
      <c r="O3868">
        <v>1</v>
      </c>
      <c r="P3868">
        <v>0</v>
      </c>
      <c r="Q3868">
        <v>0</v>
      </c>
      <c r="S3868" t="str">
        <f>"20:35:54.984"</f>
        <v>20:35:54.984</v>
      </c>
      <c r="T3868" t="str">
        <f>"20:35:53.984"</f>
        <v>20:35:53.984</v>
      </c>
      <c r="U3868" t="str">
        <f t="shared" si="193"/>
        <v>AB01F4</v>
      </c>
      <c r="V3868">
        <v>0</v>
      </c>
      <c r="W3868">
        <v>0</v>
      </c>
      <c r="X3868">
        <v>2</v>
      </c>
      <c r="Z3868">
        <v>0</v>
      </c>
      <c r="AA3868">
        <v>9</v>
      </c>
      <c r="AB3868">
        <v>3</v>
      </c>
      <c r="AC3868">
        <v>0</v>
      </c>
      <c r="AD3868">
        <v>10</v>
      </c>
      <c r="AE3868">
        <v>0</v>
      </c>
      <c r="AF3868">
        <v>3</v>
      </c>
      <c r="AG3868">
        <v>2</v>
      </c>
      <c r="AH3868">
        <v>0</v>
      </c>
      <c r="AI3868" t="s">
        <v>2183</v>
      </c>
      <c r="AJ3868">
        <v>40.130181</v>
      </c>
      <c r="AK3868" t="s">
        <v>2184</v>
      </c>
      <c r="AL3868">
        <v>-93.073617999999996</v>
      </c>
      <c r="AM3868">
        <v>100</v>
      </c>
      <c r="AN3868">
        <v>1300</v>
      </c>
      <c r="AO3868" t="s">
        <v>118</v>
      </c>
      <c r="AP3868">
        <v>-113</v>
      </c>
      <c r="AQ3868">
        <v>61</v>
      </c>
      <c r="AR3868">
        <v>64</v>
      </c>
      <c r="AZ3868">
        <v>1200</v>
      </c>
      <c r="BA3868">
        <v>1</v>
      </c>
      <c r="BB3868" t="str">
        <f t="shared" si="192"/>
        <v xml:space="preserve">N8080G  </v>
      </c>
      <c r="BC3868">
        <v>1</v>
      </c>
      <c r="BE3868">
        <v>0</v>
      </c>
      <c r="BF3868">
        <v>0</v>
      </c>
      <c r="BG3868">
        <v>0</v>
      </c>
      <c r="BH3868">
        <v>1350</v>
      </c>
      <c r="BI3868">
        <v>1</v>
      </c>
      <c r="BJ3868">
        <v>1</v>
      </c>
      <c r="BK3868">
        <v>1</v>
      </c>
      <c r="BL3868">
        <v>0</v>
      </c>
      <c r="BO3868">
        <v>0</v>
      </c>
      <c r="BP3868">
        <v>0</v>
      </c>
      <c r="BW3868" t="str">
        <f>"20:35:54.992"</f>
        <v>20:35:54.992</v>
      </c>
      <c r="BZ3868">
        <v>0</v>
      </c>
      <c r="CA3868">
        <v>1600</v>
      </c>
      <c r="CB3868">
        <v>224</v>
      </c>
      <c r="CD3868">
        <v>1</v>
      </c>
      <c r="CE3868">
        <v>0</v>
      </c>
      <c r="CF3868">
        <v>0</v>
      </c>
      <c r="CG3868">
        <v>1</v>
      </c>
      <c r="CH3868">
        <v>0</v>
      </c>
      <c r="CI3868">
        <v>0</v>
      </c>
      <c r="CJ3868">
        <v>0</v>
      </c>
      <c r="CK3868">
        <v>2</v>
      </c>
      <c r="CL3868">
        <v>0</v>
      </c>
      <c r="CM3868">
        <v>2</v>
      </c>
      <c r="CN3868">
        <v>0</v>
      </c>
      <c r="CO3868">
        <v>2</v>
      </c>
      <c r="CP3868" t="s">
        <v>119</v>
      </c>
      <c r="CQ3868">
        <v>179</v>
      </c>
      <c r="CR3868">
        <v>2</v>
      </c>
      <c r="CW3868">
        <v>12552216</v>
      </c>
      <c r="CY3868">
        <v>0</v>
      </c>
      <c r="CZ3868">
        <v>0</v>
      </c>
      <c r="DA3868">
        <v>1</v>
      </c>
      <c r="DB3868">
        <v>0</v>
      </c>
      <c r="DC3868">
        <v>0</v>
      </c>
      <c r="DD3868">
        <v>0</v>
      </c>
      <c r="DE3868">
        <v>0</v>
      </c>
      <c r="DF3868">
        <v>0</v>
      </c>
      <c r="DG3868">
        <v>0</v>
      </c>
      <c r="DH3868">
        <v>0</v>
      </c>
      <c r="DI3868">
        <v>0</v>
      </c>
    </row>
    <row r="3869" spans="1:113" x14ac:dyDescent="0.3">
      <c r="A3869" t="str">
        <f>"02/08/2021 20:35:52.672"</f>
        <v>02/08/2021 20:35:52.672</v>
      </c>
      <c r="C3869" t="str">
        <f t="shared" si="191"/>
        <v>FFDFD7C0</v>
      </c>
      <c r="D3869" t="s">
        <v>124</v>
      </c>
      <c r="E3869">
        <v>11</v>
      </c>
      <c r="F3869">
        <v>1011</v>
      </c>
      <c r="G3869" t="s">
        <v>590</v>
      </c>
      <c r="J3869" t="s">
        <v>125</v>
      </c>
      <c r="K3869">
        <v>0</v>
      </c>
      <c r="L3869">
        <v>3</v>
      </c>
      <c r="M3869">
        <v>0</v>
      </c>
      <c r="N3869">
        <v>2</v>
      </c>
      <c r="O3869">
        <v>1</v>
      </c>
      <c r="P3869">
        <v>0</v>
      </c>
      <c r="Q3869">
        <v>0</v>
      </c>
      <c r="S3869" t="str">
        <f>"20:35:54.984"</f>
        <v>20:35:54.984</v>
      </c>
      <c r="T3869" t="str">
        <f>"20:35:53.984"</f>
        <v>20:35:53.984</v>
      </c>
      <c r="U3869" t="str">
        <f t="shared" si="193"/>
        <v>AB01F4</v>
      </c>
      <c r="V3869">
        <v>0</v>
      </c>
      <c r="W3869">
        <v>0</v>
      </c>
      <c r="X3869">
        <v>2</v>
      </c>
      <c r="Z3869">
        <v>0</v>
      </c>
      <c r="AA3869">
        <v>9</v>
      </c>
      <c r="AB3869">
        <v>3</v>
      </c>
      <c r="AC3869">
        <v>0</v>
      </c>
      <c r="AD3869">
        <v>10</v>
      </c>
      <c r="AE3869">
        <v>0</v>
      </c>
      <c r="AF3869">
        <v>3</v>
      </c>
      <c r="AG3869">
        <v>2</v>
      </c>
      <c r="AH3869">
        <v>0</v>
      </c>
      <c r="AI3869" t="s">
        <v>2183</v>
      </c>
      <c r="AJ3869">
        <v>40.130181</v>
      </c>
      <c r="AK3869" t="s">
        <v>2184</v>
      </c>
      <c r="AL3869">
        <v>-93.073617999999996</v>
      </c>
      <c r="AM3869">
        <v>100</v>
      </c>
      <c r="AN3869">
        <v>1300</v>
      </c>
      <c r="AO3869" t="s">
        <v>118</v>
      </c>
      <c r="AP3869">
        <v>-113</v>
      </c>
      <c r="AQ3869">
        <v>61</v>
      </c>
      <c r="AR3869">
        <v>64</v>
      </c>
      <c r="AZ3869">
        <v>1200</v>
      </c>
      <c r="BA3869">
        <v>1</v>
      </c>
      <c r="BB3869" t="str">
        <f t="shared" si="192"/>
        <v xml:space="preserve">N8080G  </v>
      </c>
      <c r="BC3869">
        <v>1</v>
      </c>
      <c r="BE3869">
        <v>0</v>
      </c>
      <c r="BF3869">
        <v>0</v>
      </c>
      <c r="BG3869">
        <v>0</v>
      </c>
      <c r="BH3869">
        <v>1350</v>
      </c>
      <c r="BI3869">
        <v>1</v>
      </c>
      <c r="BJ3869">
        <v>1</v>
      </c>
      <c r="BK3869">
        <v>1</v>
      </c>
      <c r="BL3869">
        <v>0</v>
      </c>
      <c r="BO3869">
        <v>0</v>
      </c>
      <c r="BP3869">
        <v>0</v>
      </c>
      <c r="BW3869" t="str">
        <f>"20:35:54.992"</f>
        <v>20:35:54.992</v>
      </c>
      <c r="BZ3869">
        <v>0</v>
      </c>
      <c r="CA3869">
        <v>1600</v>
      </c>
      <c r="CB3869">
        <v>224</v>
      </c>
      <c r="CD3869">
        <v>1</v>
      </c>
      <c r="CE3869">
        <v>0</v>
      </c>
      <c r="CF3869">
        <v>0</v>
      </c>
      <c r="CG3869">
        <v>1</v>
      </c>
      <c r="CH3869">
        <v>0</v>
      </c>
      <c r="CI3869">
        <v>0</v>
      </c>
      <c r="CJ3869">
        <v>0</v>
      </c>
      <c r="CK3869">
        <v>2</v>
      </c>
      <c r="CL3869">
        <v>0</v>
      </c>
      <c r="CM3869">
        <v>2</v>
      </c>
      <c r="CN3869">
        <v>0</v>
      </c>
      <c r="CO3869">
        <v>2</v>
      </c>
      <c r="CP3869" t="s">
        <v>119</v>
      </c>
      <c r="CQ3869">
        <v>179</v>
      </c>
      <c r="CR3869">
        <v>2</v>
      </c>
      <c r="CW3869">
        <v>12552216</v>
      </c>
      <c r="CY3869">
        <v>0</v>
      </c>
      <c r="CZ3869">
        <v>0</v>
      </c>
      <c r="DA3869">
        <v>1</v>
      </c>
      <c r="DB3869">
        <v>0</v>
      </c>
      <c r="DC3869">
        <v>0</v>
      </c>
      <c r="DD3869">
        <v>0</v>
      </c>
      <c r="DE3869">
        <v>0</v>
      </c>
      <c r="DF3869">
        <v>0</v>
      </c>
      <c r="DG3869">
        <v>0</v>
      </c>
      <c r="DH3869">
        <v>0</v>
      </c>
      <c r="DI3869">
        <v>0</v>
      </c>
    </row>
    <row r="3870" spans="1:113" x14ac:dyDescent="0.3">
      <c r="A3870" t="str">
        <f>"02/08/2021 20:35:52.672"</f>
        <v>02/08/2021 20:35:52.672</v>
      </c>
      <c r="C3870" t="str">
        <f t="shared" si="191"/>
        <v>FFDFD7C0</v>
      </c>
      <c r="D3870" t="s">
        <v>124</v>
      </c>
      <c r="E3870">
        <v>12</v>
      </c>
      <c r="F3870">
        <v>1012</v>
      </c>
      <c r="G3870" t="s">
        <v>675</v>
      </c>
      <c r="J3870" t="s">
        <v>125</v>
      </c>
      <c r="K3870">
        <v>0</v>
      </c>
      <c r="L3870">
        <v>3</v>
      </c>
      <c r="M3870">
        <v>0</v>
      </c>
      <c r="N3870">
        <v>2</v>
      </c>
      <c r="O3870">
        <v>1</v>
      </c>
      <c r="P3870">
        <v>0</v>
      </c>
      <c r="Q3870">
        <v>0</v>
      </c>
      <c r="S3870" t="str">
        <f>"20:35:54.984"</f>
        <v>20:35:54.984</v>
      </c>
      <c r="T3870" t="str">
        <f>"20:35:53.984"</f>
        <v>20:35:53.984</v>
      </c>
      <c r="U3870" t="str">
        <f t="shared" si="193"/>
        <v>AB01F4</v>
      </c>
      <c r="V3870">
        <v>0</v>
      </c>
      <c r="W3870">
        <v>0</v>
      </c>
      <c r="X3870">
        <v>2</v>
      </c>
      <c r="Z3870">
        <v>0</v>
      </c>
      <c r="AA3870">
        <v>9</v>
      </c>
      <c r="AB3870">
        <v>3</v>
      </c>
      <c r="AC3870">
        <v>0</v>
      </c>
      <c r="AD3870">
        <v>10</v>
      </c>
      <c r="AE3870">
        <v>0</v>
      </c>
      <c r="AF3870">
        <v>3</v>
      </c>
      <c r="AG3870">
        <v>2</v>
      </c>
      <c r="AH3870">
        <v>0</v>
      </c>
      <c r="AI3870" t="s">
        <v>2183</v>
      </c>
      <c r="AJ3870">
        <v>40.130181</v>
      </c>
      <c r="AK3870" t="s">
        <v>2184</v>
      </c>
      <c r="AL3870">
        <v>-93.073617999999996</v>
      </c>
      <c r="AM3870">
        <v>100</v>
      </c>
      <c r="AN3870">
        <v>1300</v>
      </c>
      <c r="AO3870" t="s">
        <v>118</v>
      </c>
      <c r="AP3870">
        <v>-113</v>
      </c>
      <c r="AQ3870">
        <v>61</v>
      </c>
      <c r="AR3870">
        <v>64</v>
      </c>
      <c r="AZ3870">
        <v>1200</v>
      </c>
      <c r="BA3870">
        <v>1</v>
      </c>
      <c r="BB3870" t="str">
        <f t="shared" si="192"/>
        <v xml:space="preserve">N8080G  </v>
      </c>
      <c r="BC3870">
        <v>1</v>
      </c>
      <c r="BE3870">
        <v>0</v>
      </c>
      <c r="BF3870">
        <v>0</v>
      </c>
      <c r="BG3870">
        <v>0</v>
      </c>
      <c r="BH3870">
        <v>1350</v>
      </c>
      <c r="BI3870">
        <v>1</v>
      </c>
      <c r="BJ3870">
        <v>1</v>
      </c>
      <c r="BK3870">
        <v>1</v>
      </c>
      <c r="BL3870">
        <v>0</v>
      </c>
      <c r="BO3870">
        <v>0</v>
      </c>
      <c r="BP3870">
        <v>0</v>
      </c>
      <c r="BW3870" t="str">
        <f>"20:35:54.992"</f>
        <v>20:35:54.992</v>
      </c>
      <c r="BZ3870">
        <v>0</v>
      </c>
      <c r="CA3870">
        <v>1600</v>
      </c>
      <c r="CB3870">
        <v>224</v>
      </c>
      <c r="CD3870">
        <v>1</v>
      </c>
      <c r="CE3870">
        <v>0</v>
      </c>
      <c r="CF3870">
        <v>0</v>
      </c>
      <c r="CG3870">
        <v>1</v>
      </c>
      <c r="CH3870">
        <v>0</v>
      </c>
      <c r="CI3870">
        <v>0</v>
      </c>
      <c r="CJ3870">
        <v>0</v>
      </c>
      <c r="CK3870">
        <v>2</v>
      </c>
      <c r="CL3870">
        <v>0</v>
      </c>
      <c r="CM3870">
        <v>2</v>
      </c>
      <c r="CN3870">
        <v>0</v>
      </c>
      <c r="CO3870">
        <v>2</v>
      </c>
      <c r="CP3870" t="s">
        <v>119</v>
      </c>
      <c r="CQ3870">
        <v>179</v>
      </c>
      <c r="CR3870">
        <v>2</v>
      </c>
      <c r="CW3870">
        <v>12552216</v>
      </c>
      <c r="CY3870">
        <v>0</v>
      </c>
      <c r="CZ3870">
        <v>0</v>
      </c>
      <c r="DA3870">
        <v>1</v>
      </c>
      <c r="DB3870">
        <v>0</v>
      </c>
      <c r="DC3870">
        <v>0</v>
      </c>
      <c r="DD3870">
        <v>0</v>
      </c>
      <c r="DE3870">
        <v>0</v>
      </c>
      <c r="DF3870">
        <v>0</v>
      </c>
      <c r="DG3870">
        <v>0</v>
      </c>
      <c r="DH3870">
        <v>0</v>
      </c>
      <c r="DI3870">
        <v>0</v>
      </c>
    </row>
    <row r="3871" spans="1:113" x14ac:dyDescent="0.3">
      <c r="A3871" t="str">
        <f>"02/08/2021 20:35:54.181"</f>
        <v>02/08/2021 20:35:54.181</v>
      </c>
      <c r="C3871" t="str">
        <f t="shared" si="191"/>
        <v>FFDFD7C0</v>
      </c>
      <c r="D3871" t="s">
        <v>124</v>
      </c>
      <c r="E3871">
        <v>13</v>
      </c>
      <c r="F3871">
        <v>1013</v>
      </c>
      <c r="G3871" t="s">
        <v>114</v>
      </c>
      <c r="J3871" t="s">
        <v>125</v>
      </c>
      <c r="K3871">
        <v>0</v>
      </c>
      <c r="L3871">
        <v>3</v>
      </c>
      <c r="M3871">
        <v>0</v>
      </c>
      <c r="N3871">
        <v>2</v>
      </c>
      <c r="O3871">
        <v>1</v>
      </c>
      <c r="P3871">
        <v>0</v>
      </c>
      <c r="Q3871">
        <v>0</v>
      </c>
      <c r="S3871" t="str">
        <f>"20:35:56.516"</f>
        <v>20:35:56.516</v>
      </c>
      <c r="T3871" t="str">
        <f>"20:35:56.116"</f>
        <v>20:35:56.116</v>
      </c>
      <c r="U3871" t="str">
        <f t="shared" si="193"/>
        <v>AB01F4</v>
      </c>
      <c r="V3871">
        <v>0</v>
      </c>
      <c r="W3871">
        <v>0</v>
      </c>
      <c r="X3871">
        <v>2</v>
      </c>
      <c r="Z3871">
        <v>0</v>
      </c>
      <c r="AA3871">
        <v>9</v>
      </c>
      <c r="AB3871">
        <v>3</v>
      </c>
      <c r="AC3871">
        <v>0</v>
      </c>
      <c r="AD3871">
        <v>10</v>
      </c>
      <c r="AE3871">
        <v>0</v>
      </c>
      <c r="AF3871">
        <v>3</v>
      </c>
      <c r="AG3871">
        <v>2</v>
      </c>
      <c r="AH3871">
        <v>0</v>
      </c>
      <c r="AI3871" t="s">
        <v>2185</v>
      </c>
      <c r="AJ3871">
        <v>40.130589000000001</v>
      </c>
      <c r="AK3871" t="s">
        <v>2186</v>
      </c>
      <c r="AL3871">
        <v>-93.074605000000005</v>
      </c>
      <c r="AM3871">
        <v>100</v>
      </c>
      <c r="AN3871">
        <v>1300</v>
      </c>
      <c r="AO3871" t="s">
        <v>118</v>
      </c>
      <c r="AP3871">
        <v>-113</v>
      </c>
      <c r="AQ3871">
        <v>61</v>
      </c>
      <c r="AR3871">
        <v>64</v>
      </c>
      <c r="AZ3871">
        <v>1200</v>
      </c>
      <c r="BA3871">
        <v>1</v>
      </c>
      <c r="BB3871" t="str">
        <f t="shared" si="192"/>
        <v xml:space="preserve">N8080G  </v>
      </c>
      <c r="BC3871">
        <v>1</v>
      </c>
      <c r="BE3871">
        <v>0</v>
      </c>
      <c r="BF3871">
        <v>0</v>
      </c>
      <c r="BG3871">
        <v>0</v>
      </c>
      <c r="BH3871">
        <v>1350</v>
      </c>
      <c r="BI3871">
        <v>1</v>
      </c>
      <c r="BJ3871">
        <v>1</v>
      </c>
      <c r="BK3871">
        <v>1</v>
      </c>
      <c r="BL3871">
        <v>0</v>
      </c>
      <c r="BO3871">
        <v>0</v>
      </c>
      <c r="BP3871">
        <v>0</v>
      </c>
      <c r="BW3871" t="str">
        <f>"20:35:56.521"</f>
        <v>20:35:56.521</v>
      </c>
      <c r="BZ3871">
        <v>0</v>
      </c>
      <c r="CA3871">
        <v>1600</v>
      </c>
      <c r="CB3871">
        <v>224</v>
      </c>
      <c r="CD3871">
        <v>1</v>
      </c>
      <c r="CE3871">
        <v>0</v>
      </c>
      <c r="CF3871">
        <v>0</v>
      </c>
      <c r="CG3871">
        <v>1</v>
      </c>
      <c r="CH3871">
        <v>0</v>
      </c>
      <c r="CI3871">
        <v>0</v>
      </c>
      <c r="CJ3871">
        <v>0</v>
      </c>
      <c r="CK3871">
        <v>2</v>
      </c>
      <c r="CL3871">
        <v>0</v>
      </c>
      <c r="CM3871">
        <v>2</v>
      </c>
      <c r="CN3871">
        <v>0</v>
      </c>
      <c r="CO3871">
        <v>6</v>
      </c>
      <c r="CP3871" t="s">
        <v>119</v>
      </c>
      <c r="CQ3871">
        <v>180</v>
      </c>
      <c r="CR3871">
        <v>3</v>
      </c>
      <c r="CW3871">
        <v>1285441</v>
      </c>
      <c r="CY3871">
        <v>0</v>
      </c>
      <c r="CZ3871">
        <v>0</v>
      </c>
      <c r="DA3871">
        <v>0</v>
      </c>
      <c r="DB3871">
        <v>0</v>
      </c>
      <c r="DC3871">
        <v>0</v>
      </c>
      <c r="DD3871">
        <v>0</v>
      </c>
      <c r="DE3871">
        <v>0</v>
      </c>
      <c r="DF3871">
        <v>0</v>
      </c>
      <c r="DG3871">
        <v>0</v>
      </c>
      <c r="DH3871">
        <v>0</v>
      </c>
      <c r="DI3871">
        <v>0</v>
      </c>
    </row>
    <row r="3872" spans="1:113" x14ac:dyDescent="0.3">
      <c r="A3872" t="str">
        <f>"02/08/2021 20:35:54.181"</f>
        <v>02/08/2021 20:35:54.181</v>
      </c>
      <c r="C3872" t="str">
        <f t="shared" si="191"/>
        <v>FFDFD7C0</v>
      </c>
      <c r="D3872" t="s">
        <v>113</v>
      </c>
      <c r="E3872">
        <v>6</v>
      </c>
      <c r="H3872">
        <v>165</v>
      </c>
      <c r="I3872" t="s">
        <v>114</v>
      </c>
      <c r="J3872" t="s">
        <v>115</v>
      </c>
      <c r="K3872">
        <v>0</v>
      </c>
      <c r="L3872">
        <v>3</v>
      </c>
      <c r="M3872">
        <v>0</v>
      </c>
      <c r="N3872">
        <v>2</v>
      </c>
      <c r="O3872">
        <v>1</v>
      </c>
      <c r="P3872">
        <v>0</v>
      </c>
      <c r="Q3872">
        <v>0</v>
      </c>
      <c r="S3872" t="str">
        <f>"20:35:56.516"</f>
        <v>20:35:56.516</v>
      </c>
      <c r="T3872" t="str">
        <f>"20:35:56.116"</f>
        <v>20:35:56.116</v>
      </c>
      <c r="U3872" t="str">
        <f t="shared" si="193"/>
        <v>AB01F4</v>
      </c>
      <c r="V3872">
        <v>0</v>
      </c>
      <c r="W3872">
        <v>0</v>
      </c>
      <c r="X3872">
        <v>2</v>
      </c>
      <c r="Z3872">
        <v>0</v>
      </c>
      <c r="AA3872">
        <v>9</v>
      </c>
      <c r="AB3872">
        <v>3</v>
      </c>
      <c r="AC3872">
        <v>0</v>
      </c>
      <c r="AD3872">
        <v>10</v>
      </c>
      <c r="AE3872">
        <v>0</v>
      </c>
      <c r="AF3872">
        <v>3</v>
      </c>
      <c r="AG3872">
        <v>2</v>
      </c>
      <c r="AH3872">
        <v>0</v>
      </c>
      <c r="AI3872" t="s">
        <v>2185</v>
      </c>
      <c r="AJ3872">
        <v>40.130589000000001</v>
      </c>
      <c r="AK3872" t="s">
        <v>2186</v>
      </c>
      <c r="AL3872">
        <v>-93.074605000000005</v>
      </c>
      <c r="AM3872">
        <v>100</v>
      </c>
      <c r="AN3872">
        <v>1300</v>
      </c>
      <c r="AO3872" t="s">
        <v>118</v>
      </c>
      <c r="AP3872">
        <v>-113</v>
      </c>
      <c r="AQ3872">
        <v>61</v>
      </c>
      <c r="AR3872">
        <v>64</v>
      </c>
      <c r="AZ3872">
        <v>1200</v>
      </c>
      <c r="BA3872">
        <v>1</v>
      </c>
      <c r="BB3872" t="str">
        <f t="shared" si="192"/>
        <v xml:space="preserve">N8080G  </v>
      </c>
      <c r="BC3872">
        <v>1</v>
      </c>
      <c r="BE3872">
        <v>0</v>
      </c>
      <c r="BF3872">
        <v>0</v>
      </c>
      <c r="BG3872">
        <v>0</v>
      </c>
      <c r="BH3872">
        <v>1350</v>
      </c>
      <c r="BI3872">
        <v>1</v>
      </c>
      <c r="BJ3872">
        <v>1</v>
      </c>
      <c r="BK3872">
        <v>1</v>
      </c>
      <c r="BL3872">
        <v>0</v>
      </c>
      <c r="BO3872">
        <v>0</v>
      </c>
      <c r="BP3872">
        <v>0</v>
      </c>
      <c r="BW3872" t="str">
        <f>"20:35:56.521"</f>
        <v>20:35:56.521</v>
      </c>
      <c r="BZ3872">
        <v>0</v>
      </c>
      <c r="CA3872">
        <v>1600</v>
      </c>
      <c r="CB3872">
        <v>224</v>
      </c>
      <c r="CD3872">
        <v>1</v>
      </c>
      <c r="CE3872">
        <v>0</v>
      </c>
      <c r="CF3872">
        <v>0</v>
      </c>
      <c r="CG3872">
        <v>1</v>
      </c>
      <c r="CH3872">
        <v>0</v>
      </c>
      <c r="CI3872">
        <v>0</v>
      </c>
      <c r="CJ3872">
        <v>0</v>
      </c>
      <c r="CK3872">
        <v>2</v>
      </c>
      <c r="CL3872">
        <v>0</v>
      </c>
      <c r="CM3872">
        <v>2</v>
      </c>
      <c r="CN3872">
        <v>0</v>
      </c>
      <c r="CO3872">
        <v>6</v>
      </c>
      <c r="CP3872" t="s">
        <v>119</v>
      </c>
      <c r="CQ3872">
        <v>180</v>
      </c>
      <c r="CR3872">
        <v>3</v>
      </c>
      <c r="CW3872">
        <v>1285441</v>
      </c>
      <c r="CY3872">
        <v>0</v>
      </c>
      <c r="CZ3872">
        <v>0</v>
      </c>
      <c r="DA3872">
        <v>1</v>
      </c>
      <c r="DB3872">
        <v>0</v>
      </c>
      <c r="DC3872">
        <v>0</v>
      </c>
      <c r="DD3872">
        <v>0</v>
      </c>
      <c r="DE3872">
        <v>0</v>
      </c>
      <c r="DF3872">
        <v>0</v>
      </c>
      <c r="DG3872">
        <v>0</v>
      </c>
      <c r="DH3872">
        <v>0</v>
      </c>
      <c r="DI3872">
        <v>0</v>
      </c>
    </row>
    <row r="3873" spans="1:113" x14ac:dyDescent="0.3">
      <c r="A3873" t="str">
        <f>"02/08/2021 20:35:54.181"</f>
        <v>02/08/2021 20:35:54.181</v>
      </c>
      <c r="C3873" t="str">
        <f t="shared" si="191"/>
        <v>FFDFD7C0</v>
      </c>
      <c r="D3873" t="s">
        <v>124</v>
      </c>
      <c r="E3873">
        <v>11</v>
      </c>
      <c r="F3873">
        <v>1011</v>
      </c>
      <c r="G3873" t="s">
        <v>590</v>
      </c>
      <c r="J3873" t="s">
        <v>125</v>
      </c>
      <c r="K3873">
        <v>0</v>
      </c>
      <c r="L3873">
        <v>3</v>
      </c>
      <c r="M3873">
        <v>0</v>
      </c>
      <c r="N3873">
        <v>2</v>
      </c>
      <c r="O3873">
        <v>1</v>
      </c>
      <c r="P3873">
        <v>0</v>
      </c>
      <c r="Q3873">
        <v>0</v>
      </c>
      <c r="S3873" t="str">
        <f>"20:35:56.516"</f>
        <v>20:35:56.516</v>
      </c>
      <c r="T3873" t="str">
        <f>"20:35:56.116"</f>
        <v>20:35:56.116</v>
      </c>
      <c r="U3873" t="str">
        <f t="shared" si="193"/>
        <v>AB01F4</v>
      </c>
      <c r="V3873">
        <v>0</v>
      </c>
      <c r="W3873">
        <v>0</v>
      </c>
      <c r="X3873">
        <v>2</v>
      </c>
      <c r="Z3873">
        <v>0</v>
      </c>
      <c r="AA3873">
        <v>9</v>
      </c>
      <c r="AB3873">
        <v>3</v>
      </c>
      <c r="AC3873">
        <v>0</v>
      </c>
      <c r="AD3873">
        <v>10</v>
      </c>
      <c r="AE3873">
        <v>0</v>
      </c>
      <c r="AF3873">
        <v>3</v>
      </c>
      <c r="AG3873">
        <v>2</v>
      </c>
      <c r="AH3873">
        <v>0</v>
      </c>
      <c r="AI3873" t="s">
        <v>2185</v>
      </c>
      <c r="AJ3873">
        <v>40.130589000000001</v>
      </c>
      <c r="AK3873" t="s">
        <v>2186</v>
      </c>
      <c r="AL3873">
        <v>-93.074605000000005</v>
      </c>
      <c r="AM3873">
        <v>100</v>
      </c>
      <c r="AN3873">
        <v>1300</v>
      </c>
      <c r="AO3873" t="s">
        <v>118</v>
      </c>
      <c r="AP3873">
        <v>-113</v>
      </c>
      <c r="AQ3873">
        <v>61</v>
      </c>
      <c r="AR3873">
        <v>64</v>
      </c>
      <c r="AZ3873">
        <v>1200</v>
      </c>
      <c r="BA3873">
        <v>1</v>
      </c>
      <c r="BB3873" t="str">
        <f t="shared" si="192"/>
        <v xml:space="preserve">N8080G  </v>
      </c>
      <c r="BC3873">
        <v>1</v>
      </c>
      <c r="BE3873">
        <v>0</v>
      </c>
      <c r="BF3873">
        <v>0</v>
      </c>
      <c r="BG3873">
        <v>0</v>
      </c>
      <c r="BH3873">
        <v>1350</v>
      </c>
      <c r="BI3873">
        <v>1</v>
      </c>
      <c r="BJ3873">
        <v>1</v>
      </c>
      <c r="BK3873">
        <v>1</v>
      </c>
      <c r="BL3873">
        <v>0</v>
      </c>
      <c r="BO3873">
        <v>0</v>
      </c>
      <c r="BP3873">
        <v>0</v>
      </c>
      <c r="BW3873" t="str">
        <f>"20:35:56.521"</f>
        <v>20:35:56.521</v>
      </c>
      <c r="BZ3873">
        <v>0</v>
      </c>
      <c r="CA3873">
        <v>1600</v>
      </c>
      <c r="CB3873">
        <v>224</v>
      </c>
      <c r="CD3873">
        <v>1</v>
      </c>
      <c r="CE3873">
        <v>0</v>
      </c>
      <c r="CF3873">
        <v>0</v>
      </c>
      <c r="CG3873">
        <v>1</v>
      </c>
      <c r="CH3873">
        <v>0</v>
      </c>
      <c r="CI3873">
        <v>0</v>
      </c>
      <c r="CJ3873">
        <v>0</v>
      </c>
      <c r="CK3873">
        <v>2</v>
      </c>
      <c r="CL3873">
        <v>0</v>
      </c>
      <c r="CM3873">
        <v>2</v>
      </c>
      <c r="CN3873">
        <v>0</v>
      </c>
      <c r="CO3873">
        <v>6</v>
      </c>
      <c r="CP3873" t="s">
        <v>119</v>
      </c>
      <c r="CQ3873">
        <v>180</v>
      </c>
      <c r="CR3873">
        <v>3</v>
      </c>
      <c r="CW3873">
        <v>1285441</v>
      </c>
      <c r="CY3873">
        <v>0</v>
      </c>
      <c r="CZ3873">
        <v>0</v>
      </c>
      <c r="DA3873">
        <v>1</v>
      </c>
      <c r="DB3873">
        <v>0</v>
      </c>
      <c r="DC3873">
        <v>0</v>
      </c>
      <c r="DD3873">
        <v>0</v>
      </c>
      <c r="DE3873">
        <v>0</v>
      </c>
      <c r="DF3873">
        <v>0</v>
      </c>
      <c r="DG3873">
        <v>0</v>
      </c>
      <c r="DH3873">
        <v>0</v>
      </c>
      <c r="DI3873">
        <v>0</v>
      </c>
    </row>
    <row r="3874" spans="1:113" x14ac:dyDescent="0.3">
      <c r="A3874" t="str">
        <f>"02/08/2021 20:35:54.181"</f>
        <v>02/08/2021 20:35:54.181</v>
      </c>
      <c r="C3874" t="str">
        <f t="shared" si="191"/>
        <v>FFDFD7C0</v>
      </c>
      <c r="D3874" t="s">
        <v>124</v>
      </c>
      <c r="E3874">
        <v>12</v>
      </c>
      <c r="F3874">
        <v>1012</v>
      </c>
      <c r="G3874" t="s">
        <v>675</v>
      </c>
      <c r="J3874" t="s">
        <v>125</v>
      </c>
      <c r="K3874">
        <v>0</v>
      </c>
      <c r="L3874">
        <v>3</v>
      </c>
      <c r="M3874">
        <v>0</v>
      </c>
      <c r="N3874">
        <v>2</v>
      </c>
      <c r="O3874">
        <v>1</v>
      </c>
      <c r="P3874">
        <v>0</v>
      </c>
      <c r="Q3874">
        <v>0</v>
      </c>
      <c r="S3874" t="str">
        <f>"20:35:56.516"</f>
        <v>20:35:56.516</v>
      </c>
      <c r="T3874" t="str">
        <f>"20:35:56.116"</f>
        <v>20:35:56.116</v>
      </c>
      <c r="U3874" t="str">
        <f t="shared" si="193"/>
        <v>AB01F4</v>
      </c>
      <c r="V3874">
        <v>0</v>
      </c>
      <c r="W3874">
        <v>0</v>
      </c>
      <c r="X3874">
        <v>2</v>
      </c>
      <c r="Z3874">
        <v>0</v>
      </c>
      <c r="AA3874">
        <v>9</v>
      </c>
      <c r="AB3874">
        <v>3</v>
      </c>
      <c r="AC3874">
        <v>0</v>
      </c>
      <c r="AD3874">
        <v>10</v>
      </c>
      <c r="AE3874">
        <v>0</v>
      </c>
      <c r="AF3874">
        <v>3</v>
      </c>
      <c r="AG3874">
        <v>2</v>
      </c>
      <c r="AH3874">
        <v>0</v>
      </c>
      <c r="AI3874" t="s">
        <v>2185</v>
      </c>
      <c r="AJ3874">
        <v>40.130589000000001</v>
      </c>
      <c r="AK3874" t="s">
        <v>2186</v>
      </c>
      <c r="AL3874">
        <v>-93.074605000000005</v>
      </c>
      <c r="AM3874">
        <v>100</v>
      </c>
      <c r="AN3874">
        <v>1300</v>
      </c>
      <c r="AO3874" t="s">
        <v>118</v>
      </c>
      <c r="AP3874">
        <v>-113</v>
      </c>
      <c r="AQ3874">
        <v>61</v>
      </c>
      <c r="AR3874">
        <v>64</v>
      </c>
      <c r="AZ3874">
        <v>1200</v>
      </c>
      <c r="BA3874">
        <v>1</v>
      </c>
      <c r="BB3874" t="str">
        <f t="shared" si="192"/>
        <v xml:space="preserve">N8080G  </v>
      </c>
      <c r="BC3874">
        <v>1</v>
      </c>
      <c r="BE3874">
        <v>0</v>
      </c>
      <c r="BF3874">
        <v>0</v>
      </c>
      <c r="BG3874">
        <v>0</v>
      </c>
      <c r="BH3874">
        <v>1350</v>
      </c>
      <c r="BI3874">
        <v>1</v>
      </c>
      <c r="BJ3874">
        <v>1</v>
      </c>
      <c r="BK3874">
        <v>1</v>
      </c>
      <c r="BL3874">
        <v>0</v>
      </c>
      <c r="BO3874">
        <v>0</v>
      </c>
      <c r="BP3874">
        <v>0</v>
      </c>
      <c r="BW3874" t="str">
        <f>"20:35:56.521"</f>
        <v>20:35:56.521</v>
      </c>
      <c r="BZ3874">
        <v>0</v>
      </c>
      <c r="CA3874">
        <v>1600</v>
      </c>
      <c r="CB3874">
        <v>224</v>
      </c>
      <c r="CD3874">
        <v>1</v>
      </c>
      <c r="CE3874">
        <v>0</v>
      </c>
      <c r="CF3874">
        <v>0</v>
      </c>
      <c r="CG3874">
        <v>1</v>
      </c>
      <c r="CH3874">
        <v>0</v>
      </c>
      <c r="CI3874">
        <v>0</v>
      </c>
      <c r="CJ3874">
        <v>0</v>
      </c>
      <c r="CK3874">
        <v>2</v>
      </c>
      <c r="CL3874">
        <v>0</v>
      </c>
      <c r="CM3874">
        <v>2</v>
      </c>
      <c r="CN3874">
        <v>0</v>
      </c>
      <c r="CO3874">
        <v>6</v>
      </c>
      <c r="CP3874" t="s">
        <v>119</v>
      </c>
      <c r="CQ3874">
        <v>180</v>
      </c>
      <c r="CR3874">
        <v>3</v>
      </c>
      <c r="CW3874">
        <v>1285441</v>
      </c>
      <c r="CY3874">
        <v>0</v>
      </c>
      <c r="CZ3874">
        <v>0</v>
      </c>
      <c r="DA3874">
        <v>1</v>
      </c>
      <c r="DB3874">
        <v>0</v>
      </c>
      <c r="DC3874">
        <v>0</v>
      </c>
      <c r="DD3874">
        <v>0</v>
      </c>
      <c r="DE3874">
        <v>0</v>
      </c>
      <c r="DF3874">
        <v>0</v>
      </c>
      <c r="DG3874">
        <v>0</v>
      </c>
      <c r="DH3874">
        <v>0</v>
      </c>
      <c r="DI3874">
        <v>0</v>
      </c>
    </row>
    <row r="3875" spans="1:113" x14ac:dyDescent="0.3">
      <c r="A3875" t="str">
        <f>"02/08/2021 20:35:56.921"</f>
        <v>02/08/2021 20:35:56.921</v>
      </c>
      <c r="C3875" t="str">
        <f t="shared" si="191"/>
        <v>FFDFD7C0</v>
      </c>
      <c r="D3875" t="s">
        <v>124</v>
      </c>
      <c r="E3875">
        <v>11</v>
      </c>
      <c r="F3875">
        <v>1011</v>
      </c>
      <c r="G3875" t="s">
        <v>590</v>
      </c>
      <c r="J3875" t="s">
        <v>125</v>
      </c>
      <c r="K3875">
        <v>0</v>
      </c>
      <c r="L3875">
        <v>3</v>
      </c>
      <c r="M3875">
        <v>0</v>
      </c>
      <c r="N3875">
        <v>2</v>
      </c>
      <c r="O3875">
        <v>1</v>
      </c>
      <c r="P3875">
        <v>0</v>
      </c>
      <c r="Q3875">
        <v>0</v>
      </c>
      <c r="S3875" t="str">
        <f>"20:35:59.211"</f>
        <v>20:35:59.211</v>
      </c>
      <c r="T3875" t="str">
        <f>"20:35:58.411"</f>
        <v>20:35:58.411</v>
      </c>
      <c r="U3875" t="str">
        <f t="shared" si="193"/>
        <v>AB01F4</v>
      </c>
      <c r="V3875">
        <v>0</v>
      </c>
      <c r="W3875">
        <v>0</v>
      </c>
      <c r="X3875">
        <v>2</v>
      </c>
      <c r="Z3875">
        <v>0</v>
      </c>
      <c r="AA3875">
        <v>9</v>
      </c>
      <c r="AB3875">
        <v>3</v>
      </c>
      <c r="AC3875">
        <v>0</v>
      </c>
      <c r="AD3875">
        <v>10</v>
      </c>
      <c r="AE3875">
        <v>0</v>
      </c>
      <c r="AF3875">
        <v>3</v>
      </c>
      <c r="AG3875">
        <v>2</v>
      </c>
      <c r="AH3875">
        <v>0</v>
      </c>
      <c r="AI3875" t="s">
        <v>2187</v>
      </c>
      <c r="AJ3875">
        <v>40.131360999999998</v>
      </c>
      <c r="AK3875" t="s">
        <v>2188</v>
      </c>
      <c r="AL3875">
        <v>-93.076471999999995</v>
      </c>
      <c r="AM3875">
        <v>100</v>
      </c>
      <c r="AN3875">
        <v>1300</v>
      </c>
      <c r="AO3875" t="s">
        <v>118</v>
      </c>
      <c r="AP3875">
        <v>-113</v>
      </c>
      <c r="AQ3875">
        <v>61</v>
      </c>
      <c r="AR3875">
        <v>-64</v>
      </c>
      <c r="AZ3875">
        <v>1200</v>
      </c>
      <c r="BA3875">
        <v>1</v>
      </c>
      <c r="BB3875" t="str">
        <f t="shared" si="192"/>
        <v xml:space="preserve">N8080G  </v>
      </c>
      <c r="BC3875">
        <v>1</v>
      </c>
      <c r="BE3875">
        <v>0</v>
      </c>
      <c r="BF3875">
        <v>0</v>
      </c>
      <c r="BG3875">
        <v>0</v>
      </c>
      <c r="BH3875">
        <v>1350</v>
      </c>
      <c r="BI3875">
        <v>1</v>
      </c>
      <c r="BJ3875">
        <v>1</v>
      </c>
      <c r="BK3875">
        <v>1</v>
      </c>
      <c r="BL3875">
        <v>0</v>
      </c>
      <c r="BO3875">
        <v>0</v>
      </c>
      <c r="BP3875">
        <v>0</v>
      </c>
      <c r="BW3875" t="str">
        <f>"20:35:59.216"</f>
        <v>20:35:59.216</v>
      </c>
      <c r="BZ3875">
        <v>0</v>
      </c>
      <c r="CA3875">
        <v>1600</v>
      </c>
      <c r="CB3875">
        <v>224</v>
      </c>
      <c r="CD3875">
        <v>1</v>
      </c>
      <c r="CE3875">
        <v>0</v>
      </c>
      <c r="CF3875">
        <v>0</v>
      </c>
      <c r="CG3875">
        <v>1</v>
      </c>
      <c r="CH3875">
        <v>0</v>
      </c>
      <c r="CI3875">
        <v>0</v>
      </c>
      <c r="CJ3875">
        <v>0</v>
      </c>
      <c r="CK3875">
        <v>2</v>
      </c>
      <c r="CL3875">
        <v>0</v>
      </c>
      <c r="CM3875">
        <v>2</v>
      </c>
      <c r="CN3875">
        <v>0</v>
      </c>
      <c r="CO3875">
        <v>2</v>
      </c>
      <c r="CP3875" t="s">
        <v>119</v>
      </c>
      <c r="CQ3875">
        <v>179</v>
      </c>
      <c r="CR3875">
        <v>2</v>
      </c>
      <c r="CW3875">
        <v>12555544</v>
      </c>
      <c r="CY3875">
        <v>0</v>
      </c>
      <c r="CZ3875">
        <v>0</v>
      </c>
      <c r="DA3875">
        <v>0</v>
      </c>
      <c r="DB3875">
        <v>0</v>
      </c>
      <c r="DC3875">
        <v>0</v>
      </c>
      <c r="DD3875">
        <v>0</v>
      </c>
      <c r="DE3875">
        <v>0</v>
      </c>
      <c r="DF3875">
        <v>0</v>
      </c>
      <c r="DG3875">
        <v>0</v>
      </c>
      <c r="DH3875">
        <v>0</v>
      </c>
      <c r="DI3875">
        <v>0</v>
      </c>
    </row>
    <row r="3876" spans="1:113" x14ac:dyDescent="0.3">
      <c r="A3876" t="str">
        <f>"02/08/2021 20:35:56.921"</f>
        <v>02/08/2021 20:35:56.921</v>
      </c>
      <c r="C3876" t="str">
        <f t="shared" si="191"/>
        <v>FFDFD7C0</v>
      </c>
      <c r="D3876" t="s">
        <v>113</v>
      </c>
      <c r="E3876">
        <v>6</v>
      </c>
      <c r="H3876">
        <v>165</v>
      </c>
      <c r="I3876" t="s">
        <v>114</v>
      </c>
      <c r="J3876" t="s">
        <v>115</v>
      </c>
      <c r="K3876">
        <v>0</v>
      </c>
      <c r="L3876">
        <v>3</v>
      </c>
      <c r="M3876">
        <v>0</v>
      </c>
      <c r="N3876">
        <v>2</v>
      </c>
      <c r="O3876">
        <v>1</v>
      </c>
      <c r="P3876">
        <v>0</v>
      </c>
      <c r="Q3876">
        <v>0</v>
      </c>
      <c r="S3876" t="str">
        <f>"20:35:59.211"</f>
        <v>20:35:59.211</v>
      </c>
      <c r="T3876" t="str">
        <f>"20:35:58.411"</f>
        <v>20:35:58.411</v>
      </c>
      <c r="U3876" t="str">
        <f t="shared" si="193"/>
        <v>AB01F4</v>
      </c>
      <c r="V3876">
        <v>0</v>
      </c>
      <c r="W3876">
        <v>0</v>
      </c>
      <c r="X3876">
        <v>2</v>
      </c>
      <c r="Z3876">
        <v>0</v>
      </c>
      <c r="AA3876">
        <v>9</v>
      </c>
      <c r="AB3876">
        <v>3</v>
      </c>
      <c r="AC3876">
        <v>0</v>
      </c>
      <c r="AD3876">
        <v>10</v>
      </c>
      <c r="AE3876">
        <v>0</v>
      </c>
      <c r="AF3876">
        <v>3</v>
      </c>
      <c r="AG3876">
        <v>2</v>
      </c>
      <c r="AH3876">
        <v>0</v>
      </c>
      <c r="AI3876" t="s">
        <v>2187</v>
      </c>
      <c r="AJ3876">
        <v>40.131360999999998</v>
      </c>
      <c r="AK3876" t="s">
        <v>2188</v>
      </c>
      <c r="AL3876">
        <v>-93.076471999999995</v>
      </c>
      <c r="AM3876">
        <v>100</v>
      </c>
      <c r="AN3876">
        <v>1300</v>
      </c>
      <c r="AO3876" t="s">
        <v>118</v>
      </c>
      <c r="AP3876">
        <v>-113</v>
      </c>
      <c r="AQ3876">
        <v>61</v>
      </c>
      <c r="AR3876">
        <v>-64</v>
      </c>
      <c r="AZ3876">
        <v>1200</v>
      </c>
      <c r="BA3876">
        <v>1</v>
      </c>
      <c r="BB3876" t="str">
        <f t="shared" si="192"/>
        <v xml:space="preserve">N8080G  </v>
      </c>
      <c r="BC3876">
        <v>1</v>
      </c>
      <c r="BE3876">
        <v>0</v>
      </c>
      <c r="BF3876">
        <v>0</v>
      </c>
      <c r="BG3876">
        <v>0</v>
      </c>
      <c r="BH3876">
        <v>1350</v>
      </c>
      <c r="BI3876">
        <v>1</v>
      </c>
      <c r="BJ3876">
        <v>1</v>
      </c>
      <c r="BK3876">
        <v>1</v>
      </c>
      <c r="BL3876">
        <v>0</v>
      </c>
      <c r="BO3876">
        <v>0</v>
      </c>
      <c r="BP3876">
        <v>0</v>
      </c>
      <c r="BW3876" t="str">
        <f>"20:35:59.216"</f>
        <v>20:35:59.216</v>
      </c>
      <c r="BZ3876">
        <v>0</v>
      </c>
      <c r="CA3876">
        <v>1600</v>
      </c>
      <c r="CB3876">
        <v>224</v>
      </c>
      <c r="CD3876">
        <v>1</v>
      </c>
      <c r="CE3876">
        <v>0</v>
      </c>
      <c r="CF3876">
        <v>0</v>
      </c>
      <c r="CG3876">
        <v>1</v>
      </c>
      <c r="CH3876">
        <v>0</v>
      </c>
      <c r="CI3876">
        <v>0</v>
      </c>
      <c r="CJ3876">
        <v>0</v>
      </c>
      <c r="CK3876">
        <v>2</v>
      </c>
      <c r="CL3876">
        <v>0</v>
      </c>
      <c r="CM3876">
        <v>2</v>
      </c>
      <c r="CN3876">
        <v>0</v>
      </c>
      <c r="CO3876">
        <v>2</v>
      </c>
      <c r="CP3876" t="s">
        <v>119</v>
      </c>
      <c r="CQ3876">
        <v>179</v>
      </c>
      <c r="CR3876">
        <v>2</v>
      </c>
      <c r="CW3876">
        <v>12555544</v>
      </c>
      <c r="CY3876">
        <v>0</v>
      </c>
      <c r="CZ3876">
        <v>0</v>
      </c>
      <c r="DA3876">
        <v>1</v>
      </c>
      <c r="DB3876">
        <v>0</v>
      </c>
      <c r="DC3876">
        <v>0</v>
      </c>
      <c r="DD3876">
        <v>0</v>
      </c>
      <c r="DE3876">
        <v>0</v>
      </c>
      <c r="DF3876">
        <v>0</v>
      </c>
      <c r="DG3876">
        <v>0</v>
      </c>
      <c r="DH3876">
        <v>0</v>
      </c>
      <c r="DI3876">
        <v>0</v>
      </c>
    </row>
    <row r="3877" spans="1:113" x14ac:dyDescent="0.3">
      <c r="A3877" t="str">
        <f>"02/08/2021 20:35:56.921"</f>
        <v>02/08/2021 20:35:56.921</v>
      </c>
      <c r="C3877" t="str">
        <f t="shared" si="191"/>
        <v>FFDFD7C0</v>
      </c>
      <c r="D3877" t="s">
        <v>124</v>
      </c>
      <c r="E3877">
        <v>12</v>
      </c>
      <c r="F3877">
        <v>1012</v>
      </c>
      <c r="G3877" t="s">
        <v>675</v>
      </c>
      <c r="J3877" t="s">
        <v>125</v>
      </c>
      <c r="K3877">
        <v>0</v>
      </c>
      <c r="L3877">
        <v>3</v>
      </c>
      <c r="M3877">
        <v>0</v>
      </c>
      <c r="N3877">
        <v>2</v>
      </c>
      <c r="O3877">
        <v>1</v>
      </c>
      <c r="P3877">
        <v>0</v>
      </c>
      <c r="Q3877">
        <v>0</v>
      </c>
      <c r="S3877" t="str">
        <f>"20:35:59.211"</f>
        <v>20:35:59.211</v>
      </c>
      <c r="T3877" t="str">
        <f>"20:35:58.411"</f>
        <v>20:35:58.411</v>
      </c>
      <c r="U3877" t="str">
        <f t="shared" si="193"/>
        <v>AB01F4</v>
      </c>
      <c r="V3877">
        <v>0</v>
      </c>
      <c r="W3877">
        <v>0</v>
      </c>
      <c r="X3877">
        <v>2</v>
      </c>
      <c r="Z3877">
        <v>0</v>
      </c>
      <c r="AA3877">
        <v>9</v>
      </c>
      <c r="AB3877">
        <v>3</v>
      </c>
      <c r="AC3877">
        <v>0</v>
      </c>
      <c r="AD3877">
        <v>10</v>
      </c>
      <c r="AE3877">
        <v>0</v>
      </c>
      <c r="AF3877">
        <v>3</v>
      </c>
      <c r="AG3877">
        <v>2</v>
      </c>
      <c r="AH3877">
        <v>0</v>
      </c>
      <c r="AI3877" t="s">
        <v>2187</v>
      </c>
      <c r="AJ3877">
        <v>40.131360999999998</v>
      </c>
      <c r="AK3877" t="s">
        <v>2188</v>
      </c>
      <c r="AL3877">
        <v>-93.076471999999995</v>
      </c>
      <c r="AM3877">
        <v>100</v>
      </c>
      <c r="AN3877">
        <v>1300</v>
      </c>
      <c r="AO3877" t="s">
        <v>118</v>
      </c>
      <c r="AP3877">
        <v>-113</v>
      </c>
      <c r="AQ3877">
        <v>61</v>
      </c>
      <c r="AR3877">
        <v>-64</v>
      </c>
      <c r="AZ3877">
        <v>1200</v>
      </c>
      <c r="BA3877">
        <v>1</v>
      </c>
      <c r="BB3877" t="str">
        <f t="shared" si="192"/>
        <v xml:space="preserve">N8080G  </v>
      </c>
      <c r="BC3877">
        <v>1</v>
      </c>
      <c r="BE3877">
        <v>0</v>
      </c>
      <c r="BF3877">
        <v>0</v>
      </c>
      <c r="BG3877">
        <v>0</v>
      </c>
      <c r="BH3877">
        <v>1350</v>
      </c>
      <c r="BI3877">
        <v>1</v>
      </c>
      <c r="BJ3877">
        <v>1</v>
      </c>
      <c r="BK3877">
        <v>1</v>
      </c>
      <c r="BL3877">
        <v>0</v>
      </c>
      <c r="BO3877">
        <v>0</v>
      </c>
      <c r="BP3877">
        <v>0</v>
      </c>
      <c r="BW3877" t="str">
        <f>"20:35:59.216"</f>
        <v>20:35:59.216</v>
      </c>
      <c r="BZ3877">
        <v>0</v>
      </c>
      <c r="CA3877">
        <v>1600</v>
      </c>
      <c r="CB3877">
        <v>224</v>
      </c>
      <c r="CD3877">
        <v>1</v>
      </c>
      <c r="CE3877">
        <v>0</v>
      </c>
      <c r="CF3877">
        <v>0</v>
      </c>
      <c r="CG3877">
        <v>1</v>
      </c>
      <c r="CH3877">
        <v>0</v>
      </c>
      <c r="CI3877">
        <v>0</v>
      </c>
      <c r="CJ3877">
        <v>0</v>
      </c>
      <c r="CK3877">
        <v>2</v>
      </c>
      <c r="CL3877">
        <v>0</v>
      </c>
      <c r="CM3877">
        <v>2</v>
      </c>
      <c r="CN3877">
        <v>0</v>
      </c>
      <c r="CO3877">
        <v>2</v>
      </c>
      <c r="CP3877" t="s">
        <v>119</v>
      </c>
      <c r="CQ3877">
        <v>179</v>
      </c>
      <c r="CR3877">
        <v>2</v>
      </c>
      <c r="CW3877">
        <v>12555544</v>
      </c>
      <c r="CY3877">
        <v>0</v>
      </c>
      <c r="CZ3877">
        <v>0</v>
      </c>
      <c r="DA3877">
        <v>1</v>
      </c>
      <c r="DB3877">
        <v>0</v>
      </c>
      <c r="DC3877">
        <v>0</v>
      </c>
      <c r="DD3877">
        <v>0</v>
      </c>
      <c r="DE3877">
        <v>0</v>
      </c>
      <c r="DF3877">
        <v>0</v>
      </c>
      <c r="DG3877">
        <v>0</v>
      </c>
      <c r="DH3877">
        <v>0</v>
      </c>
      <c r="DI3877">
        <v>0</v>
      </c>
    </row>
    <row r="3878" spans="1:113" x14ac:dyDescent="0.3">
      <c r="A3878" t="str">
        <f>"02/08/2021 20:35:56.921"</f>
        <v>02/08/2021 20:35:56.921</v>
      </c>
      <c r="C3878" t="str">
        <f t="shared" si="191"/>
        <v>FFDFD7C0</v>
      </c>
      <c r="D3878" t="s">
        <v>124</v>
      </c>
      <c r="E3878">
        <v>13</v>
      </c>
      <c r="F3878">
        <v>1013</v>
      </c>
      <c r="G3878" t="s">
        <v>114</v>
      </c>
      <c r="J3878" t="s">
        <v>125</v>
      </c>
      <c r="K3878">
        <v>0</v>
      </c>
      <c r="L3878">
        <v>3</v>
      </c>
      <c r="M3878">
        <v>0</v>
      </c>
      <c r="N3878">
        <v>2</v>
      </c>
      <c r="O3878">
        <v>1</v>
      </c>
      <c r="P3878">
        <v>0</v>
      </c>
      <c r="Q3878">
        <v>0</v>
      </c>
      <c r="S3878" t="str">
        <f>"20:35:59.211"</f>
        <v>20:35:59.211</v>
      </c>
      <c r="T3878" t="str">
        <f>"20:35:58.411"</f>
        <v>20:35:58.411</v>
      </c>
      <c r="U3878" t="str">
        <f t="shared" si="193"/>
        <v>AB01F4</v>
      </c>
      <c r="V3878">
        <v>0</v>
      </c>
      <c r="W3878">
        <v>0</v>
      </c>
      <c r="X3878">
        <v>2</v>
      </c>
      <c r="Z3878">
        <v>0</v>
      </c>
      <c r="AA3878">
        <v>9</v>
      </c>
      <c r="AB3878">
        <v>3</v>
      </c>
      <c r="AC3878">
        <v>0</v>
      </c>
      <c r="AD3878">
        <v>10</v>
      </c>
      <c r="AE3878">
        <v>0</v>
      </c>
      <c r="AF3878">
        <v>3</v>
      </c>
      <c r="AG3878">
        <v>2</v>
      </c>
      <c r="AH3878">
        <v>0</v>
      </c>
      <c r="AI3878" t="s">
        <v>2187</v>
      </c>
      <c r="AJ3878">
        <v>40.131360999999998</v>
      </c>
      <c r="AK3878" t="s">
        <v>2188</v>
      </c>
      <c r="AL3878">
        <v>-93.076471999999995</v>
      </c>
      <c r="AM3878">
        <v>100</v>
      </c>
      <c r="AN3878">
        <v>1300</v>
      </c>
      <c r="AO3878" t="s">
        <v>118</v>
      </c>
      <c r="AP3878">
        <v>-113</v>
      </c>
      <c r="AQ3878">
        <v>61</v>
      </c>
      <c r="AR3878">
        <v>-64</v>
      </c>
      <c r="AZ3878">
        <v>1200</v>
      </c>
      <c r="BA3878">
        <v>1</v>
      </c>
      <c r="BB3878" t="str">
        <f t="shared" si="192"/>
        <v xml:space="preserve">N8080G  </v>
      </c>
      <c r="BC3878">
        <v>1</v>
      </c>
      <c r="BE3878">
        <v>0</v>
      </c>
      <c r="BF3878">
        <v>0</v>
      </c>
      <c r="BG3878">
        <v>0</v>
      </c>
      <c r="BH3878">
        <v>1350</v>
      </c>
      <c r="BI3878">
        <v>1</v>
      </c>
      <c r="BJ3878">
        <v>1</v>
      </c>
      <c r="BK3878">
        <v>1</v>
      </c>
      <c r="BL3878">
        <v>0</v>
      </c>
      <c r="BO3878">
        <v>0</v>
      </c>
      <c r="BP3878">
        <v>0</v>
      </c>
      <c r="BW3878" t="str">
        <f>"20:35:59.216"</f>
        <v>20:35:59.216</v>
      </c>
      <c r="BZ3878">
        <v>0</v>
      </c>
      <c r="CA3878">
        <v>1600</v>
      </c>
      <c r="CB3878">
        <v>224</v>
      </c>
      <c r="CD3878">
        <v>1</v>
      </c>
      <c r="CE3878">
        <v>0</v>
      </c>
      <c r="CF3878">
        <v>0</v>
      </c>
      <c r="CG3878">
        <v>1</v>
      </c>
      <c r="CH3878">
        <v>0</v>
      </c>
      <c r="CI3878">
        <v>0</v>
      </c>
      <c r="CJ3878">
        <v>0</v>
      </c>
      <c r="CK3878">
        <v>2</v>
      </c>
      <c r="CL3878">
        <v>0</v>
      </c>
      <c r="CM3878">
        <v>2</v>
      </c>
      <c r="CN3878">
        <v>0</v>
      </c>
      <c r="CO3878">
        <v>2</v>
      </c>
      <c r="CP3878" t="s">
        <v>119</v>
      </c>
      <c r="CQ3878">
        <v>179</v>
      </c>
      <c r="CR3878">
        <v>2</v>
      </c>
      <c r="CW3878">
        <v>12555544</v>
      </c>
      <c r="CY3878">
        <v>0</v>
      </c>
      <c r="CZ3878">
        <v>0</v>
      </c>
      <c r="DA3878">
        <v>1</v>
      </c>
      <c r="DB3878">
        <v>0</v>
      </c>
      <c r="DC3878">
        <v>0</v>
      </c>
      <c r="DD3878">
        <v>0</v>
      </c>
      <c r="DE3878">
        <v>0</v>
      </c>
      <c r="DF3878">
        <v>0</v>
      </c>
      <c r="DG3878">
        <v>0</v>
      </c>
      <c r="DH3878">
        <v>0</v>
      </c>
      <c r="DI3878">
        <v>0</v>
      </c>
    </row>
    <row r="3879" spans="1:113" x14ac:dyDescent="0.3">
      <c r="A3879" t="str">
        <f>"02/08/2021 20:35:57.884"</f>
        <v>02/08/2021 20:35:57.884</v>
      </c>
      <c r="C3879" t="str">
        <f t="shared" ref="C3879:C3942" si="194">"FFDFD7C0"</f>
        <v>FFDFD7C0</v>
      </c>
      <c r="D3879" t="s">
        <v>113</v>
      </c>
      <c r="E3879">
        <v>6</v>
      </c>
      <c r="H3879">
        <v>165</v>
      </c>
      <c r="I3879" t="s">
        <v>114</v>
      </c>
      <c r="J3879" t="s">
        <v>115</v>
      </c>
      <c r="K3879">
        <v>0</v>
      </c>
      <c r="L3879">
        <v>3</v>
      </c>
      <c r="M3879">
        <v>0</v>
      </c>
      <c r="N3879">
        <v>2</v>
      </c>
      <c r="O3879">
        <v>1</v>
      </c>
      <c r="P3879">
        <v>0</v>
      </c>
      <c r="Q3879">
        <v>0</v>
      </c>
      <c r="S3879" t="str">
        <f>"20:36:00.242"</f>
        <v>20:36:00.242</v>
      </c>
      <c r="T3879" t="str">
        <f>"20:35:59.842"</f>
        <v>20:35:59.842</v>
      </c>
      <c r="U3879" t="str">
        <f t="shared" si="193"/>
        <v>AB01F4</v>
      </c>
      <c r="V3879">
        <v>0</v>
      </c>
      <c r="W3879">
        <v>0</v>
      </c>
      <c r="X3879">
        <v>2</v>
      </c>
      <c r="Z3879">
        <v>0</v>
      </c>
      <c r="AA3879">
        <v>9</v>
      </c>
      <c r="AB3879">
        <v>3</v>
      </c>
      <c r="AC3879">
        <v>0</v>
      </c>
      <c r="AD3879">
        <v>10</v>
      </c>
      <c r="AE3879">
        <v>0</v>
      </c>
      <c r="AF3879">
        <v>3</v>
      </c>
      <c r="AG3879">
        <v>2</v>
      </c>
      <c r="AH3879">
        <v>0</v>
      </c>
      <c r="AI3879" t="s">
        <v>2189</v>
      </c>
      <c r="AJ3879">
        <v>40.131661999999999</v>
      </c>
      <c r="AK3879" t="s">
        <v>2190</v>
      </c>
      <c r="AL3879">
        <v>-93.077223000000004</v>
      </c>
      <c r="AM3879">
        <v>100</v>
      </c>
      <c r="AN3879">
        <v>1300</v>
      </c>
      <c r="AO3879" t="s">
        <v>118</v>
      </c>
      <c r="AP3879">
        <v>-113</v>
      </c>
      <c r="AQ3879">
        <v>61</v>
      </c>
      <c r="AR3879">
        <v>64</v>
      </c>
      <c r="AZ3879">
        <v>1200</v>
      </c>
      <c r="BA3879">
        <v>1</v>
      </c>
      <c r="BB3879" t="str">
        <f t="shared" si="192"/>
        <v xml:space="preserve">N8080G  </v>
      </c>
      <c r="BC3879">
        <v>1</v>
      </c>
      <c r="BE3879">
        <v>0</v>
      </c>
      <c r="BF3879">
        <v>0</v>
      </c>
      <c r="BG3879">
        <v>0</v>
      </c>
      <c r="BH3879">
        <v>1350</v>
      </c>
      <c r="BI3879">
        <v>1</v>
      </c>
      <c r="BJ3879">
        <v>1</v>
      </c>
      <c r="BK3879">
        <v>1</v>
      </c>
      <c r="BL3879">
        <v>0</v>
      </c>
      <c r="BO3879">
        <v>0</v>
      </c>
      <c r="BP3879">
        <v>0</v>
      </c>
      <c r="BW3879" t="str">
        <f>"20:36:00.245"</f>
        <v>20:36:00.245</v>
      </c>
      <c r="BZ3879">
        <v>0</v>
      </c>
      <c r="CA3879">
        <v>1600</v>
      </c>
      <c r="CB3879">
        <v>224</v>
      </c>
      <c r="CD3879">
        <v>1</v>
      </c>
      <c r="CE3879">
        <v>0</v>
      </c>
      <c r="CF3879">
        <v>0</v>
      </c>
      <c r="CG3879">
        <v>1</v>
      </c>
      <c r="CH3879">
        <v>0</v>
      </c>
      <c r="CI3879">
        <v>0</v>
      </c>
      <c r="CJ3879">
        <v>0</v>
      </c>
      <c r="CK3879">
        <v>2</v>
      </c>
      <c r="CL3879">
        <v>0</v>
      </c>
      <c r="CM3879">
        <v>2</v>
      </c>
      <c r="CN3879">
        <v>0</v>
      </c>
      <c r="CO3879">
        <v>1</v>
      </c>
      <c r="CP3879" t="s">
        <v>119</v>
      </c>
      <c r="CQ3879">
        <v>179</v>
      </c>
      <c r="CR3879">
        <v>2</v>
      </c>
      <c r="CW3879">
        <v>12556323</v>
      </c>
      <c r="CY3879">
        <v>0</v>
      </c>
      <c r="CZ3879">
        <v>0</v>
      </c>
      <c r="DA3879">
        <v>0</v>
      </c>
      <c r="DB3879">
        <v>0</v>
      </c>
      <c r="DC3879">
        <v>0</v>
      </c>
      <c r="DD3879">
        <v>0</v>
      </c>
      <c r="DE3879">
        <v>0</v>
      </c>
      <c r="DF3879">
        <v>0</v>
      </c>
      <c r="DG3879">
        <v>0</v>
      </c>
      <c r="DH3879">
        <v>0</v>
      </c>
      <c r="DI3879">
        <v>0</v>
      </c>
    </row>
    <row r="3880" spans="1:113" x14ac:dyDescent="0.3">
      <c r="A3880" t="str">
        <f>"02/08/2021 20:35:57.884"</f>
        <v>02/08/2021 20:35:57.884</v>
      </c>
      <c r="C3880" t="str">
        <f t="shared" si="194"/>
        <v>FFDFD7C0</v>
      </c>
      <c r="D3880" t="s">
        <v>124</v>
      </c>
      <c r="E3880">
        <v>12</v>
      </c>
      <c r="F3880">
        <v>1012</v>
      </c>
      <c r="G3880" t="s">
        <v>675</v>
      </c>
      <c r="J3880" t="s">
        <v>125</v>
      </c>
      <c r="K3880">
        <v>0</v>
      </c>
      <c r="L3880">
        <v>3</v>
      </c>
      <c r="M3880">
        <v>0</v>
      </c>
      <c r="N3880">
        <v>2</v>
      </c>
      <c r="O3880">
        <v>1</v>
      </c>
      <c r="P3880">
        <v>0</v>
      </c>
      <c r="Q3880">
        <v>0</v>
      </c>
      <c r="S3880" t="str">
        <f>"20:36:00.242"</f>
        <v>20:36:00.242</v>
      </c>
      <c r="T3880" t="str">
        <f>"20:35:59.842"</f>
        <v>20:35:59.842</v>
      </c>
      <c r="U3880" t="str">
        <f t="shared" si="193"/>
        <v>AB01F4</v>
      </c>
      <c r="V3880">
        <v>0</v>
      </c>
      <c r="W3880">
        <v>0</v>
      </c>
      <c r="X3880">
        <v>2</v>
      </c>
      <c r="Z3880">
        <v>0</v>
      </c>
      <c r="AA3880">
        <v>9</v>
      </c>
      <c r="AB3880">
        <v>3</v>
      </c>
      <c r="AC3880">
        <v>0</v>
      </c>
      <c r="AD3880">
        <v>10</v>
      </c>
      <c r="AE3880">
        <v>0</v>
      </c>
      <c r="AF3880">
        <v>3</v>
      </c>
      <c r="AG3880">
        <v>2</v>
      </c>
      <c r="AH3880">
        <v>0</v>
      </c>
      <c r="AI3880" t="s">
        <v>2189</v>
      </c>
      <c r="AJ3880">
        <v>40.131661999999999</v>
      </c>
      <c r="AK3880" t="s">
        <v>2190</v>
      </c>
      <c r="AL3880">
        <v>-93.077223000000004</v>
      </c>
      <c r="AM3880">
        <v>100</v>
      </c>
      <c r="AN3880">
        <v>1300</v>
      </c>
      <c r="AO3880" t="s">
        <v>118</v>
      </c>
      <c r="AP3880">
        <v>-113</v>
      </c>
      <c r="AQ3880">
        <v>61</v>
      </c>
      <c r="AR3880">
        <v>64</v>
      </c>
      <c r="AZ3880">
        <v>1200</v>
      </c>
      <c r="BA3880">
        <v>1</v>
      </c>
      <c r="BB3880" t="str">
        <f t="shared" si="192"/>
        <v xml:space="preserve">N8080G  </v>
      </c>
      <c r="BC3880">
        <v>1</v>
      </c>
      <c r="BE3880">
        <v>0</v>
      </c>
      <c r="BF3880">
        <v>0</v>
      </c>
      <c r="BG3880">
        <v>0</v>
      </c>
      <c r="BH3880">
        <v>1350</v>
      </c>
      <c r="BI3880">
        <v>1</v>
      </c>
      <c r="BJ3880">
        <v>1</v>
      </c>
      <c r="BK3880">
        <v>1</v>
      </c>
      <c r="BL3880">
        <v>0</v>
      </c>
      <c r="BO3880">
        <v>0</v>
      </c>
      <c r="BP3880">
        <v>0</v>
      </c>
      <c r="BW3880" t="str">
        <f>"20:36:00.245"</f>
        <v>20:36:00.245</v>
      </c>
      <c r="BZ3880">
        <v>0</v>
      </c>
      <c r="CA3880">
        <v>1600</v>
      </c>
      <c r="CB3880">
        <v>224</v>
      </c>
      <c r="CD3880">
        <v>1</v>
      </c>
      <c r="CE3880">
        <v>0</v>
      </c>
      <c r="CF3880">
        <v>0</v>
      </c>
      <c r="CG3880">
        <v>1</v>
      </c>
      <c r="CH3880">
        <v>0</v>
      </c>
      <c r="CI3880">
        <v>0</v>
      </c>
      <c r="CJ3880">
        <v>0</v>
      </c>
      <c r="CK3880">
        <v>2</v>
      </c>
      <c r="CL3880">
        <v>0</v>
      </c>
      <c r="CM3880">
        <v>2</v>
      </c>
      <c r="CN3880">
        <v>0</v>
      </c>
      <c r="CO3880">
        <v>1</v>
      </c>
      <c r="CP3880" t="s">
        <v>119</v>
      </c>
      <c r="CQ3880">
        <v>179</v>
      </c>
      <c r="CR3880">
        <v>2</v>
      </c>
      <c r="CW3880">
        <v>12556323</v>
      </c>
      <c r="CY3880">
        <v>0</v>
      </c>
      <c r="CZ3880">
        <v>0</v>
      </c>
      <c r="DA3880">
        <v>1</v>
      </c>
      <c r="DB3880">
        <v>0</v>
      </c>
      <c r="DC3880">
        <v>0</v>
      </c>
      <c r="DD3880">
        <v>0</v>
      </c>
      <c r="DE3880">
        <v>0</v>
      </c>
      <c r="DF3880">
        <v>0</v>
      </c>
      <c r="DG3880">
        <v>0</v>
      </c>
      <c r="DH3880">
        <v>0</v>
      </c>
      <c r="DI3880">
        <v>0</v>
      </c>
    </row>
    <row r="3881" spans="1:113" x14ac:dyDescent="0.3">
      <c r="A3881" t="str">
        <f>"02/08/2021 20:35:57.884"</f>
        <v>02/08/2021 20:35:57.884</v>
      </c>
      <c r="C3881" t="str">
        <f t="shared" si="194"/>
        <v>FFDFD7C0</v>
      </c>
      <c r="D3881" t="s">
        <v>124</v>
      </c>
      <c r="E3881">
        <v>13</v>
      </c>
      <c r="F3881">
        <v>1013</v>
      </c>
      <c r="G3881" t="s">
        <v>114</v>
      </c>
      <c r="J3881" t="s">
        <v>125</v>
      </c>
      <c r="K3881">
        <v>0</v>
      </c>
      <c r="L3881">
        <v>3</v>
      </c>
      <c r="M3881">
        <v>0</v>
      </c>
      <c r="N3881">
        <v>2</v>
      </c>
      <c r="O3881">
        <v>1</v>
      </c>
      <c r="P3881">
        <v>0</v>
      </c>
      <c r="Q3881">
        <v>0</v>
      </c>
      <c r="S3881" t="str">
        <f>"20:36:00.242"</f>
        <v>20:36:00.242</v>
      </c>
      <c r="T3881" t="str">
        <f>"20:35:59.842"</f>
        <v>20:35:59.842</v>
      </c>
      <c r="U3881" t="str">
        <f t="shared" si="193"/>
        <v>AB01F4</v>
      </c>
      <c r="V3881">
        <v>0</v>
      </c>
      <c r="W3881">
        <v>0</v>
      </c>
      <c r="X3881">
        <v>2</v>
      </c>
      <c r="Z3881">
        <v>0</v>
      </c>
      <c r="AA3881">
        <v>9</v>
      </c>
      <c r="AB3881">
        <v>3</v>
      </c>
      <c r="AC3881">
        <v>0</v>
      </c>
      <c r="AD3881">
        <v>10</v>
      </c>
      <c r="AE3881">
        <v>0</v>
      </c>
      <c r="AF3881">
        <v>3</v>
      </c>
      <c r="AG3881">
        <v>2</v>
      </c>
      <c r="AH3881">
        <v>0</v>
      </c>
      <c r="AI3881" t="s">
        <v>2189</v>
      </c>
      <c r="AJ3881">
        <v>40.131661999999999</v>
      </c>
      <c r="AK3881" t="s">
        <v>2190</v>
      </c>
      <c r="AL3881">
        <v>-93.077223000000004</v>
      </c>
      <c r="AM3881">
        <v>100</v>
      </c>
      <c r="AN3881">
        <v>1300</v>
      </c>
      <c r="AO3881" t="s">
        <v>118</v>
      </c>
      <c r="AP3881">
        <v>-113</v>
      </c>
      <c r="AQ3881">
        <v>61</v>
      </c>
      <c r="AR3881">
        <v>64</v>
      </c>
      <c r="AZ3881">
        <v>1200</v>
      </c>
      <c r="BA3881">
        <v>1</v>
      </c>
      <c r="BB3881" t="str">
        <f t="shared" si="192"/>
        <v xml:space="preserve">N8080G  </v>
      </c>
      <c r="BC3881">
        <v>1</v>
      </c>
      <c r="BE3881">
        <v>0</v>
      </c>
      <c r="BF3881">
        <v>0</v>
      </c>
      <c r="BG3881">
        <v>0</v>
      </c>
      <c r="BH3881">
        <v>1350</v>
      </c>
      <c r="BI3881">
        <v>1</v>
      </c>
      <c r="BJ3881">
        <v>1</v>
      </c>
      <c r="BK3881">
        <v>1</v>
      </c>
      <c r="BL3881">
        <v>0</v>
      </c>
      <c r="BO3881">
        <v>0</v>
      </c>
      <c r="BP3881">
        <v>0</v>
      </c>
      <c r="BW3881" t="str">
        <f>"20:36:00.245"</f>
        <v>20:36:00.245</v>
      </c>
      <c r="BZ3881">
        <v>0</v>
      </c>
      <c r="CA3881">
        <v>1600</v>
      </c>
      <c r="CB3881">
        <v>224</v>
      </c>
      <c r="CD3881">
        <v>1</v>
      </c>
      <c r="CE3881">
        <v>0</v>
      </c>
      <c r="CF3881">
        <v>0</v>
      </c>
      <c r="CG3881">
        <v>1</v>
      </c>
      <c r="CH3881">
        <v>0</v>
      </c>
      <c r="CI3881">
        <v>0</v>
      </c>
      <c r="CJ3881">
        <v>0</v>
      </c>
      <c r="CK3881">
        <v>2</v>
      </c>
      <c r="CL3881">
        <v>0</v>
      </c>
      <c r="CM3881">
        <v>2</v>
      </c>
      <c r="CN3881">
        <v>0</v>
      </c>
      <c r="CO3881">
        <v>1</v>
      </c>
      <c r="CP3881" t="s">
        <v>119</v>
      </c>
      <c r="CQ3881">
        <v>179</v>
      </c>
      <c r="CR3881">
        <v>2</v>
      </c>
      <c r="CW3881">
        <v>12556323</v>
      </c>
      <c r="CY3881">
        <v>0</v>
      </c>
      <c r="CZ3881">
        <v>0</v>
      </c>
      <c r="DA3881">
        <v>1</v>
      </c>
      <c r="DB3881">
        <v>0</v>
      </c>
      <c r="DC3881">
        <v>0</v>
      </c>
      <c r="DD3881">
        <v>0</v>
      </c>
      <c r="DE3881">
        <v>0</v>
      </c>
      <c r="DF3881">
        <v>0</v>
      </c>
      <c r="DG3881">
        <v>0</v>
      </c>
      <c r="DH3881">
        <v>0</v>
      </c>
      <c r="DI3881">
        <v>0</v>
      </c>
    </row>
    <row r="3882" spans="1:113" x14ac:dyDescent="0.3">
      <c r="A3882" t="str">
        <f>"02/08/2021 20:35:57.884"</f>
        <v>02/08/2021 20:35:57.884</v>
      </c>
      <c r="C3882" t="str">
        <f t="shared" si="194"/>
        <v>FFDFD7C0</v>
      </c>
      <c r="D3882" t="s">
        <v>124</v>
      </c>
      <c r="E3882">
        <v>11</v>
      </c>
      <c r="F3882">
        <v>1011</v>
      </c>
      <c r="G3882" t="s">
        <v>590</v>
      </c>
      <c r="J3882" t="s">
        <v>125</v>
      </c>
      <c r="K3882">
        <v>0</v>
      </c>
      <c r="L3882">
        <v>3</v>
      </c>
      <c r="M3882">
        <v>0</v>
      </c>
      <c r="N3882">
        <v>2</v>
      </c>
      <c r="O3882">
        <v>1</v>
      </c>
      <c r="P3882">
        <v>0</v>
      </c>
      <c r="Q3882">
        <v>0</v>
      </c>
      <c r="S3882" t="str">
        <f>"20:36:00.242"</f>
        <v>20:36:00.242</v>
      </c>
      <c r="T3882" t="str">
        <f>"20:35:59.842"</f>
        <v>20:35:59.842</v>
      </c>
      <c r="U3882" t="str">
        <f t="shared" si="193"/>
        <v>AB01F4</v>
      </c>
      <c r="V3882">
        <v>0</v>
      </c>
      <c r="W3882">
        <v>0</v>
      </c>
      <c r="X3882">
        <v>2</v>
      </c>
      <c r="Z3882">
        <v>0</v>
      </c>
      <c r="AA3882">
        <v>9</v>
      </c>
      <c r="AB3882">
        <v>3</v>
      </c>
      <c r="AC3882">
        <v>0</v>
      </c>
      <c r="AD3882">
        <v>10</v>
      </c>
      <c r="AE3882">
        <v>0</v>
      </c>
      <c r="AF3882">
        <v>3</v>
      </c>
      <c r="AG3882">
        <v>2</v>
      </c>
      <c r="AH3882">
        <v>0</v>
      </c>
      <c r="AI3882" t="s">
        <v>2189</v>
      </c>
      <c r="AJ3882">
        <v>40.131661999999999</v>
      </c>
      <c r="AK3882" t="s">
        <v>2190</v>
      </c>
      <c r="AL3882">
        <v>-93.077223000000004</v>
      </c>
      <c r="AM3882">
        <v>100</v>
      </c>
      <c r="AN3882">
        <v>1300</v>
      </c>
      <c r="AO3882" t="s">
        <v>118</v>
      </c>
      <c r="AP3882">
        <v>-113</v>
      </c>
      <c r="AQ3882">
        <v>61</v>
      </c>
      <c r="AR3882">
        <v>64</v>
      </c>
      <c r="AZ3882">
        <v>1200</v>
      </c>
      <c r="BA3882">
        <v>1</v>
      </c>
      <c r="BB3882" t="str">
        <f t="shared" si="192"/>
        <v xml:space="preserve">N8080G  </v>
      </c>
      <c r="BC3882">
        <v>1</v>
      </c>
      <c r="BE3882">
        <v>0</v>
      </c>
      <c r="BF3882">
        <v>0</v>
      </c>
      <c r="BG3882">
        <v>0</v>
      </c>
      <c r="BH3882">
        <v>1350</v>
      </c>
      <c r="BI3882">
        <v>1</v>
      </c>
      <c r="BJ3882">
        <v>1</v>
      </c>
      <c r="BK3882">
        <v>1</v>
      </c>
      <c r="BL3882">
        <v>0</v>
      </c>
      <c r="BO3882">
        <v>0</v>
      </c>
      <c r="BP3882">
        <v>0</v>
      </c>
      <c r="BW3882" t="str">
        <f>"20:36:00.245"</f>
        <v>20:36:00.245</v>
      </c>
      <c r="BZ3882">
        <v>0</v>
      </c>
      <c r="CA3882">
        <v>1600</v>
      </c>
      <c r="CB3882">
        <v>224</v>
      </c>
      <c r="CD3882">
        <v>1</v>
      </c>
      <c r="CE3882">
        <v>0</v>
      </c>
      <c r="CF3882">
        <v>0</v>
      </c>
      <c r="CG3882">
        <v>1</v>
      </c>
      <c r="CH3882">
        <v>0</v>
      </c>
      <c r="CI3882">
        <v>0</v>
      </c>
      <c r="CJ3882">
        <v>0</v>
      </c>
      <c r="CK3882">
        <v>2</v>
      </c>
      <c r="CL3882">
        <v>0</v>
      </c>
      <c r="CM3882">
        <v>2</v>
      </c>
      <c r="CN3882">
        <v>0</v>
      </c>
      <c r="CO3882">
        <v>1</v>
      </c>
      <c r="CP3882" t="s">
        <v>119</v>
      </c>
      <c r="CQ3882">
        <v>179</v>
      </c>
      <c r="CR3882">
        <v>2</v>
      </c>
      <c r="CW3882">
        <v>12556323</v>
      </c>
      <c r="CY3882">
        <v>0</v>
      </c>
      <c r="CZ3882">
        <v>0</v>
      </c>
      <c r="DA3882">
        <v>1</v>
      </c>
      <c r="DB3882">
        <v>0</v>
      </c>
      <c r="DC3882">
        <v>0</v>
      </c>
      <c r="DD3882">
        <v>0</v>
      </c>
      <c r="DE3882">
        <v>0</v>
      </c>
      <c r="DF3882">
        <v>0</v>
      </c>
      <c r="DG3882">
        <v>0</v>
      </c>
      <c r="DH3882">
        <v>0</v>
      </c>
      <c r="DI3882">
        <v>0</v>
      </c>
    </row>
    <row r="3883" spans="1:113" x14ac:dyDescent="0.3">
      <c r="A3883" t="str">
        <f>"02/08/2021 20:35:59.090"</f>
        <v>02/08/2021 20:35:59.090</v>
      </c>
      <c r="C3883" t="str">
        <f t="shared" si="194"/>
        <v>FFDFD7C0</v>
      </c>
      <c r="D3883" t="s">
        <v>124</v>
      </c>
      <c r="E3883">
        <v>11</v>
      </c>
      <c r="F3883">
        <v>1011</v>
      </c>
      <c r="G3883" t="s">
        <v>590</v>
      </c>
      <c r="J3883" t="s">
        <v>125</v>
      </c>
      <c r="K3883">
        <v>0</v>
      </c>
      <c r="L3883">
        <v>3</v>
      </c>
      <c r="M3883">
        <v>0</v>
      </c>
      <c r="N3883">
        <v>2</v>
      </c>
      <c r="O3883">
        <v>1</v>
      </c>
      <c r="P3883">
        <v>0</v>
      </c>
      <c r="Q3883">
        <v>0</v>
      </c>
      <c r="S3883" t="str">
        <f>"20:36:01.398"</f>
        <v>20:36:01.398</v>
      </c>
      <c r="T3883" t="str">
        <f>"20:36:00.298"</f>
        <v>20:36:00.298</v>
      </c>
      <c r="U3883" t="str">
        <f t="shared" si="193"/>
        <v>AB01F4</v>
      </c>
      <c r="V3883">
        <v>0</v>
      </c>
      <c r="W3883">
        <v>0</v>
      </c>
      <c r="X3883">
        <v>2</v>
      </c>
      <c r="Z3883">
        <v>0</v>
      </c>
      <c r="AA3883">
        <v>9</v>
      </c>
      <c r="AB3883">
        <v>3</v>
      </c>
      <c r="AC3883">
        <v>0</v>
      </c>
      <c r="AD3883">
        <v>10</v>
      </c>
      <c r="AE3883">
        <v>0</v>
      </c>
      <c r="AF3883">
        <v>3</v>
      </c>
      <c r="AG3883">
        <v>2</v>
      </c>
      <c r="AH3883">
        <v>0</v>
      </c>
      <c r="AI3883" t="s">
        <v>2191</v>
      </c>
      <c r="AJ3883">
        <v>40.131962000000001</v>
      </c>
      <c r="AK3883" t="s">
        <v>2192</v>
      </c>
      <c r="AL3883">
        <v>-93.077931000000007</v>
      </c>
      <c r="AM3883">
        <v>100</v>
      </c>
      <c r="AN3883">
        <v>1300</v>
      </c>
      <c r="AO3883" t="s">
        <v>118</v>
      </c>
      <c r="AP3883">
        <v>-113</v>
      </c>
      <c r="AQ3883">
        <v>61</v>
      </c>
      <c r="AR3883">
        <v>64</v>
      </c>
      <c r="AZ3883">
        <v>1200</v>
      </c>
      <c r="BA3883">
        <v>1</v>
      </c>
      <c r="BB3883" t="str">
        <f t="shared" si="192"/>
        <v xml:space="preserve">N8080G  </v>
      </c>
      <c r="BC3883">
        <v>1</v>
      </c>
      <c r="BE3883">
        <v>0</v>
      </c>
      <c r="BF3883">
        <v>0</v>
      </c>
      <c r="BG3883">
        <v>0</v>
      </c>
      <c r="BH3883">
        <v>1350</v>
      </c>
      <c r="BI3883">
        <v>1</v>
      </c>
      <c r="BJ3883">
        <v>1</v>
      </c>
      <c r="BK3883">
        <v>1</v>
      </c>
      <c r="BL3883">
        <v>0</v>
      </c>
      <c r="BO3883">
        <v>0</v>
      </c>
      <c r="BP3883">
        <v>0</v>
      </c>
      <c r="BW3883" t="str">
        <f>"20:36:01.401"</f>
        <v>20:36:01.401</v>
      </c>
      <c r="BZ3883">
        <v>0</v>
      </c>
      <c r="CA3883">
        <v>1600</v>
      </c>
      <c r="CB3883">
        <v>224</v>
      </c>
      <c r="CD3883">
        <v>1</v>
      </c>
      <c r="CE3883">
        <v>0</v>
      </c>
      <c r="CF3883">
        <v>0</v>
      </c>
      <c r="CG3883">
        <v>1</v>
      </c>
      <c r="CH3883">
        <v>0</v>
      </c>
      <c r="CI3883">
        <v>0</v>
      </c>
      <c r="CJ3883">
        <v>0</v>
      </c>
      <c r="CK3883">
        <v>2</v>
      </c>
      <c r="CL3883">
        <v>0</v>
      </c>
      <c r="CM3883">
        <v>2</v>
      </c>
      <c r="CN3883">
        <v>0</v>
      </c>
      <c r="CO3883">
        <v>2</v>
      </c>
      <c r="CP3883" t="s">
        <v>119</v>
      </c>
      <c r="CQ3883">
        <v>179</v>
      </c>
      <c r="CR3883">
        <v>2</v>
      </c>
      <c r="CW3883">
        <v>12557310</v>
      </c>
      <c r="CY3883">
        <v>0</v>
      </c>
      <c r="CZ3883">
        <v>0</v>
      </c>
      <c r="DA3883">
        <v>0</v>
      </c>
      <c r="DB3883">
        <v>0</v>
      </c>
      <c r="DC3883">
        <v>0</v>
      </c>
      <c r="DD3883">
        <v>0</v>
      </c>
      <c r="DE3883">
        <v>0</v>
      </c>
      <c r="DF3883">
        <v>0</v>
      </c>
      <c r="DG3883">
        <v>0</v>
      </c>
      <c r="DH3883">
        <v>0</v>
      </c>
      <c r="DI3883">
        <v>0</v>
      </c>
    </row>
    <row r="3884" spans="1:113" x14ac:dyDescent="0.3">
      <c r="A3884" t="str">
        <f>"02/08/2021 20:35:59.090"</f>
        <v>02/08/2021 20:35:59.090</v>
      </c>
      <c r="C3884" t="str">
        <f t="shared" si="194"/>
        <v>FFDFD7C0</v>
      </c>
      <c r="D3884" t="s">
        <v>124</v>
      </c>
      <c r="E3884">
        <v>12</v>
      </c>
      <c r="F3884">
        <v>1012</v>
      </c>
      <c r="G3884" t="s">
        <v>675</v>
      </c>
      <c r="J3884" t="s">
        <v>125</v>
      </c>
      <c r="K3884">
        <v>0</v>
      </c>
      <c r="L3884">
        <v>3</v>
      </c>
      <c r="M3884">
        <v>0</v>
      </c>
      <c r="N3884">
        <v>2</v>
      </c>
      <c r="O3884">
        <v>1</v>
      </c>
      <c r="P3884">
        <v>0</v>
      </c>
      <c r="Q3884">
        <v>0</v>
      </c>
      <c r="S3884" t="str">
        <f>"20:36:01.398"</f>
        <v>20:36:01.398</v>
      </c>
      <c r="T3884" t="str">
        <f>"20:36:00.298"</f>
        <v>20:36:00.298</v>
      </c>
      <c r="U3884" t="str">
        <f t="shared" si="193"/>
        <v>AB01F4</v>
      </c>
      <c r="V3884">
        <v>0</v>
      </c>
      <c r="W3884">
        <v>0</v>
      </c>
      <c r="X3884">
        <v>2</v>
      </c>
      <c r="Z3884">
        <v>0</v>
      </c>
      <c r="AA3884">
        <v>9</v>
      </c>
      <c r="AB3884">
        <v>3</v>
      </c>
      <c r="AC3884">
        <v>0</v>
      </c>
      <c r="AD3884">
        <v>10</v>
      </c>
      <c r="AE3884">
        <v>0</v>
      </c>
      <c r="AF3884">
        <v>3</v>
      </c>
      <c r="AG3884">
        <v>2</v>
      </c>
      <c r="AH3884">
        <v>0</v>
      </c>
      <c r="AI3884" t="s">
        <v>2191</v>
      </c>
      <c r="AJ3884">
        <v>40.131962000000001</v>
      </c>
      <c r="AK3884" t="s">
        <v>2192</v>
      </c>
      <c r="AL3884">
        <v>-93.077931000000007</v>
      </c>
      <c r="AM3884">
        <v>100</v>
      </c>
      <c r="AN3884">
        <v>1300</v>
      </c>
      <c r="AO3884" t="s">
        <v>118</v>
      </c>
      <c r="AP3884">
        <v>-113</v>
      </c>
      <c r="AQ3884">
        <v>61</v>
      </c>
      <c r="AR3884">
        <v>64</v>
      </c>
      <c r="AZ3884">
        <v>1200</v>
      </c>
      <c r="BA3884">
        <v>1</v>
      </c>
      <c r="BB3884" t="str">
        <f t="shared" si="192"/>
        <v xml:space="preserve">N8080G  </v>
      </c>
      <c r="BC3884">
        <v>1</v>
      </c>
      <c r="BE3884">
        <v>0</v>
      </c>
      <c r="BF3884">
        <v>0</v>
      </c>
      <c r="BG3884">
        <v>0</v>
      </c>
      <c r="BH3884">
        <v>1350</v>
      </c>
      <c r="BI3884">
        <v>1</v>
      </c>
      <c r="BJ3884">
        <v>1</v>
      </c>
      <c r="BK3884">
        <v>1</v>
      </c>
      <c r="BL3884">
        <v>0</v>
      </c>
      <c r="BO3884">
        <v>0</v>
      </c>
      <c r="BP3884">
        <v>0</v>
      </c>
      <c r="BW3884" t="str">
        <f>"20:36:01.401"</f>
        <v>20:36:01.401</v>
      </c>
      <c r="BZ3884">
        <v>0</v>
      </c>
      <c r="CA3884">
        <v>1600</v>
      </c>
      <c r="CB3884">
        <v>224</v>
      </c>
      <c r="CD3884">
        <v>1</v>
      </c>
      <c r="CE3884">
        <v>0</v>
      </c>
      <c r="CF3884">
        <v>0</v>
      </c>
      <c r="CG3884">
        <v>1</v>
      </c>
      <c r="CH3884">
        <v>0</v>
      </c>
      <c r="CI3884">
        <v>0</v>
      </c>
      <c r="CJ3884">
        <v>0</v>
      </c>
      <c r="CK3884">
        <v>2</v>
      </c>
      <c r="CL3884">
        <v>0</v>
      </c>
      <c r="CM3884">
        <v>2</v>
      </c>
      <c r="CN3884">
        <v>0</v>
      </c>
      <c r="CO3884">
        <v>2</v>
      </c>
      <c r="CP3884" t="s">
        <v>119</v>
      </c>
      <c r="CQ3884">
        <v>179</v>
      </c>
      <c r="CR3884">
        <v>2</v>
      </c>
      <c r="CW3884">
        <v>12557310</v>
      </c>
      <c r="CY3884">
        <v>0</v>
      </c>
      <c r="CZ3884">
        <v>0</v>
      </c>
      <c r="DA3884">
        <v>1</v>
      </c>
      <c r="DB3884">
        <v>0</v>
      </c>
      <c r="DC3884">
        <v>0</v>
      </c>
      <c r="DD3884">
        <v>0</v>
      </c>
      <c r="DE3884">
        <v>0</v>
      </c>
      <c r="DF3884">
        <v>0</v>
      </c>
      <c r="DG3884">
        <v>0</v>
      </c>
      <c r="DH3884">
        <v>0</v>
      </c>
      <c r="DI3884">
        <v>0</v>
      </c>
    </row>
    <row r="3885" spans="1:113" x14ac:dyDescent="0.3">
      <c r="A3885" t="str">
        <f>"02/08/2021 20:35:59.090"</f>
        <v>02/08/2021 20:35:59.090</v>
      </c>
      <c r="C3885" t="str">
        <f t="shared" si="194"/>
        <v>FFDFD7C0</v>
      </c>
      <c r="D3885" t="s">
        <v>113</v>
      </c>
      <c r="E3885">
        <v>6</v>
      </c>
      <c r="H3885">
        <v>165</v>
      </c>
      <c r="I3885" t="s">
        <v>114</v>
      </c>
      <c r="J3885" t="s">
        <v>115</v>
      </c>
      <c r="K3885">
        <v>0</v>
      </c>
      <c r="L3885">
        <v>3</v>
      </c>
      <c r="M3885">
        <v>0</v>
      </c>
      <c r="N3885">
        <v>2</v>
      </c>
      <c r="O3885">
        <v>1</v>
      </c>
      <c r="P3885">
        <v>0</v>
      </c>
      <c r="Q3885">
        <v>0</v>
      </c>
      <c r="S3885" t="str">
        <f>"20:36:01.398"</f>
        <v>20:36:01.398</v>
      </c>
      <c r="T3885" t="str">
        <f>"20:36:00.298"</f>
        <v>20:36:00.298</v>
      </c>
      <c r="U3885" t="str">
        <f t="shared" si="193"/>
        <v>AB01F4</v>
      </c>
      <c r="V3885">
        <v>0</v>
      </c>
      <c r="W3885">
        <v>0</v>
      </c>
      <c r="X3885">
        <v>2</v>
      </c>
      <c r="Z3885">
        <v>0</v>
      </c>
      <c r="AA3885">
        <v>9</v>
      </c>
      <c r="AB3885">
        <v>3</v>
      </c>
      <c r="AC3885">
        <v>0</v>
      </c>
      <c r="AD3885">
        <v>10</v>
      </c>
      <c r="AE3885">
        <v>0</v>
      </c>
      <c r="AF3885">
        <v>3</v>
      </c>
      <c r="AG3885">
        <v>2</v>
      </c>
      <c r="AH3885">
        <v>0</v>
      </c>
      <c r="AI3885" t="s">
        <v>2191</v>
      </c>
      <c r="AJ3885">
        <v>40.131962000000001</v>
      </c>
      <c r="AK3885" t="s">
        <v>2192</v>
      </c>
      <c r="AL3885">
        <v>-93.077931000000007</v>
      </c>
      <c r="AM3885">
        <v>100</v>
      </c>
      <c r="AN3885">
        <v>1300</v>
      </c>
      <c r="AO3885" t="s">
        <v>118</v>
      </c>
      <c r="AP3885">
        <v>-113</v>
      </c>
      <c r="AQ3885">
        <v>61</v>
      </c>
      <c r="AR3885">
        <v>64</v>
      </c>
      <c r="AZ3885">
        <v>1200</v>
      </c>
      <c r="BA3885">
        <v>1</v>
      </c>
      <c r="BB3885" t="str">
        <f t="shared" si="192"/>
        <v xml:space="preserve">N8080G  </v>
      </c>
      <c r="BC3885">
        <v>1</v>
      </c>
      <c r="BE3885">
        <v>0</v>
      </c>
      <c r="BF3885">
        <v>0</v>
      </c>
      <c r="BG3885">
        <v>0</v>
      </c>
      <c r="BH3885">
        <v>1350</v>
      </c>
      <c r="BI3885">
        <v>1</v>
      </c>
      <c r="BJ3885">
        <v>1</v>
      </c>
      <c r="BK3885">
        <v>1</v>
      </c>
      <c r="BL3885">
        <v>0</v>
      </c>
      <c r="BO3885">
        <v>0</v>
      </c>
      <c r="BP3885">
        <v>0</v>
      </c>
      <c r="BW3885" t="str">
        <f>"20:36:01.401"</f>
        <v>20:36:01.401</v>
      </c>
      <c r="BZ3885">
        <v>0</v>
      </c>
      <c r="CA3885">
        <v>1600</v>
      </c>
      <c r="CB3885">
        <v>224</v>
      </c>
      <c r="CD3885">
        <v>1</v>
      </c>
      <c r="CE3885">
        <v>0</v>
      </c>
      <c r="CF3885">
        <v>0</v>
      </c>
      <c r="CG3885">
        <v>1</v>
      </c>
      <c r="CH3885">
        <v>0</v>
      </c>
      <c r="CI3885">
        <v>0</v>
      </c>
      <c r="CJ3885">
        <v>0</v>
      </c>
      <c r="CK3885">
        <v>2</v>
      </c>
      <c r="CL3885">
        <v>0</v>
      </c>
      <c r="CM3885">
        <v>2</v>
      </c>
      <c r="CN3885">
        <v>0</v>
      </c>
      <c r="CO3885">
        <v>2</v>
      </c>
      <c r="CP3885" t="s">
        <v>119</v>
      </c>
      <c r="CQ3885">
        <v>179</v>
      </c>
      <c r="CR3885">
        <v>2</v>
      </c>
      <c r="CW3885">
        <v>12557310</v>
      </c>
      <c r="CY3885">
        <v>0</v>
      </c>
      <c r="CZ3885">
        <v>0</v>
      </c>
      <c r="DA3885">
        <v>1</v>
      </c>
      <c r="DB3885">
        <v>0</v>
      </c>
      <c r="DC3885">
        <v>0</v>
      </c>
      <c r="DD3885">
        <v>0</v>
      </c>
      <c r="DE3885">
        <v>0</v>
      </c>
      <c r="DF3885">
        <v>0</v>
      </c>
      <c r="DG3885">
        <v>0</v>
      </c>
      <c r="DH3885">
        <v>0</v>
      </c>
      <c r="DI3885">
        <v>0</v>
      </c>
    </row>
    <row r="3886" spans="1:113" x14ac:dyDescent="0.3">
      <c r="A3886" t="str">
        <f>"02/08/2021 20:35:59.090"</f>
        <v>02/08/2021 20:35:59.090</v>
      </c>
      <c r="C3886" t="str">
        <f t="shared" si="194"/>
        <v>FFDFD7C0</v>
      </c>
      <c r="D3886" t="s">
        <v>124</v>
      </c>
      <c r="E3886">
        <v>13</v>
      </c>
      <c r="F3886">
        <v>1013</v>
      </c>
      <c r="G3886" t="s">
        <v>114</v>
      </c>
      <c r="J3886" t="s">
        <v>125</v>
      </c>
      <c r="K3886">
        <v>0</v>
      </c>
      <c r="L3886">
        <v>3</v>
      </c>
      <c r="M3886">
        <v>0</v>
      </c>
      <c r="N3886">
        <v>2</v>
      </c>
      <c r="O3886">
        <v>1</v>
      </c>
      <c r="P3886">
        <v>0</v>
      </c>
      <c r="Q3886">
        <v>0</v>
      </c>
      <c r="S3886" t="str">
        <f>"20:36:01.398"</f>
        <v>20:36:01.398</v>
      </c>
      <c r="T3886" t="str">
        <f>"20:36:00.298"</f>
        <v>20:36:00.298</v>
      </c>
      <c r="U3886" t="str">
        <f t="shared" si="193"/>
        <v>AB01F4</v>
      </c>
      <c r="V3886">
        <v>0</v>
      </c>
      <c r="W3886">
        <v>0</v>
      </c>
      <c r="X3886">
        <v>2</v>
      </c>
      <c r="Z3886">
        <v>0</v>
      </c>
      <c r="AA3886">
        <v>9</v>
      </c>
      <c r="AB3886">
        <v>3</v>
      </c>
      <c r="AC3886">
        <v>0</v>
      </c>
      <c r="AD3886">
        <v>10</v>
      </c>
      <c r="AE3886">
        <v>0</v>
      </c>
      <c r="AF3886">
        <v>3</v>
      </c>
      <c r="AG3886">
        <v>2</v>
      </c>
      <c r="AH3886">
        <v>0</v>
      </c>
      <c r="AI3886" t="s">
        <v>2191</v>
      </c>
      <c r="AJ3886">
        <v>40.131962000000001</v>
      </c>
      <c r="AK3886" t="s">
        <v>2192</v>
      </c>
      <c r="AL3886">
        <v>-93.077931000000007</v>
      </c>
      <c r="AM3886">
        <v>100</v>
      </c>
      <c r="AN3886">
        <v>1300</v>
      </c>
      <c r="AO3886" t="s">
        <v>118</v>
      </c>
      <c r="AP3886">
        <v>-113</v>
      </c>
      <c r="AQ3886">
        <v>61</v>
      </c>
      <c r="AR3886">
        <v>64</v>
      </c>
      <c r="AZ3886">
        <v>1200</v>
      </c>
      <c r="BA3886">
        <v>1</v>
      </c>
      <c r="BB3886" t="str">
        <f t="shared" si="192"/>
        <v xml:space="preserve">N8080G  </v>
      </c>
      <c r="BC3886">
        <v>1</v>
      </c>
      <c r="BE3886">
        <v>0</v>
      </c>
      <c r="BF3886">
        <v>0</v>
      </c>
      <c r="BG3886">
        <v>0</v>
      </c>
      <c r="BH3886">
        <v>1350</v>
      </c>
      <c r="BI3886">
        <v>1</v>
      </c>
      <c r="BJ3886">
        <v>1</v>
      </c>
      <c r="BK3886">
        <v>1</v>
      </c>
      <c r="BL3886">
        <v>0</v>
      </c>
      <c r="BO3886">
        <v>0</v>
      </c>
      <c r="BP3886">
        <v>0</v>
      </c>
      <c r="BW3886" t="str">
        <f>"20:36:01.401"</f>
        <v>20:36:01.401</v>
      </c>
      <c r="BZ3886">
        <v>0</v>
      </c>
      <c r="CA3886">
        <v>1600</v>
      </c>
      <c r="CB3886">
        <v>224</v>
      </c>
      <c r="CD3886">
        <v>1</v>
      </c>
      <c r="CE3886">
        <v>0</v>
      </c>
      <c r="CF3886">
        <v>0</v>
      </c>
      <c r="CG3886">
        <v>1</v>
      </c>
      <c r="CH3886">
        <v>0</v>
      </c>
      <c r="CI3886">
        <v>0</v>
      </c>
      <c r="CJ3886">
        <v>0</v>
      </c>
      <c r="CK3886">
        <v>2</v>
      </c>
      <c r="CL3886">
        <v>0</v>
      </c>
      <c r="CM3886">
        <v>2</v>
      </c>
      <c r="CN3886">
        <v>0</v>
      </c>
      <c r="CO3886">
        <v>2</v>
      </c>
      <c r="CP3886" t="s">
        <v>119</v>
      </c>
      <c r="CQ3886">
        <v>179</v>
      </c>
      <c r="CR3886">
        <v>2</v>
      </c>
      <c r="CW3886">
        <v>12557310</v>
      </c>
      <c r="CY3886">
        <v>0</v>
      </c>
      <c r="CZ3886">
        <v>0</v>
      </c>
      <c r="DA3886">
        <v>1</v>
      </c>
      <c r="DB3886">
        <v>0</v>
      </c>
      <c r="DC3886">
        <v>0</v>
      </c>
      <c r="DD3886">
        <v>0</v>
      </c>
      <c r="DE3886">
        <v>0</v>
      </c>
      <c r="DF3886">
        <v>0</v>
      </c>
      <c r="DG3886">
        <v>0</v>
      </c>
      <c r="DH3886">
        <v>0</v>
      </c>
      <c r="DI3886">
        <v>0</v>
      </c>
    </row>
    <row r="3887" spans="1:113" x14ac:dyDescent="0.3">
      <c r="A3887" t="str">
        <f>"02/08/2021 20:36:00.057"</f>
        <v>02/08/2021 20:36:00.057</v>
      </c>
      <c r="C3887" t="str">
        <f t="shared" si="194"/>
        <v>FFDFD7C0</v>
      </c>
      <c r="D3887" t="s">
        <v>124</v>
      </c>
      <c r="E3887">
        <v>13</v>
      </c>
      <c r="F3887">
        <v>1013</v>
      </c>
      <c r="G3887" t="s">
        <v>114</v>
      </c>
      <c r="J3887" t="s">
        <v>125</v>
      </c>
      <c r="K3887">
        <v>0</v>
      </c>
      <c r="L3887">
        <v>3</v>
      </c>
      <c r="M3887">
        <v>0</v>
      </c>
      <c r="N3887">
        <v>2</v>
      </c>
      <c r="O3887">
        <v>1</v>
      </c>
      <c r="P3887">
        <v>0</v>
      </c>
      <c r="Q3887">
        <v>0</v>
      </c>
      <c r="S3887" t="str">
        <f>"20:36:02.398"</f>
        <v>20:36:02.398</v>
      </c>
      <c r="T3887" t="str">
        <f>"20:36:01.898"</f>
        <v>20:36:01.898</v>
      </c>
      <c r="U3887" t="str">
        <f t="shared" si="193"/>
        <v>AB01F4</v>
      </c>
      <c r="V3887">
        <v>0</v>
      </c>
      <c r="W3887">
        <v>0</v>
      </c>
      <c r="X3887">
        <v>2</v>
      </c>
      <c r="Z3887">
        <v>0</v>
      </c>
      <c r="AA3887">
        <v>9</v>
      </c>
      <c r="AB3887">
        <v>3</v>
      </c>
      <c r="AC3887">
        <v>0</v>
      </c>
      <c r="AD3887">
        <v>10</v>
      </c>
      <c r="AE3887">
        <v>0</v>
      </c>
      <c r="AF3887">
        <v>3</v>
      </c>
      <c r="AG3887">
        <v>2</v>
      </c>
      <c r="AH3887">
        <v>0</v>
      </c>
      <c r="AI3887" t="s">
        <v>2193</v>
      </c>
      <c r="AJ3887">
        <v>40.132283999999999</v>
      </c>
      <c r="AK3887" t="s">
        <v>2194</v>
      </c>
      <c r="AL3887">
        <v>-93.078682000000001</v>
      </c>
      <c r="AM3887">
        <v>100</v>
      </c>
      <c r="AN3887">
        <v>1300</v>
      </c>
      <c r="AO3887" t="s">
        <v>118</v>
      </c>
      <c r="AP3887">
        <v>-113</v>
      </c>
      <c r="AQ3887">
        <v>61</v>
      </c>
      <c r="AR3887">
        <v>64</v>
      </c>
      <c r="AZ3887">
        <v>1200</v>
      </c>
      <c r="BA3887">
        <v>1</v>
      </c>
      <c r="BB3887" t="str">
        <f t="shared" ref="BB3887:BB3950" si="195">"N8080G  "</f>
        <v xml:space="preserve">N8080G  </v>
      </c>
      <c r="BC3887">
        <v>1</v>
      </c>
      <c r="BE3887">
        <v>0</v>
      </c>
      <c r="BF3887">
        <v>0</v>
      </c>
      <c r="BG3887">
        <v>0</v>
      </c>
      <c r="BH3887">
        <v>1350</v>
      </c>
      <c r="BI3887">
        <v>1</v>
      </c>
      <c r="BJ3887">
        <v>1</v>
      </c>
      <c r="BK3887">
        <v>1</v>
      </c>
      <c r="BL3887">
        <v>0</v>
      </c>
      <c r="BO3887">
        <v>0</v>
      </c>
      <c r="BP3887">
        <v>0</v>
      </c>
      <c r="BW3887" t="str">
        <f>"20:36:02.401"</f>
        <v>20:36:02.401</v>
      </c>
      <c r="BZ3887">
        <v>0</v>
      </c>
      <c r="CA3887">
        <v>1600</v>
      </c>
      <c r="CB3887">
        <v>224</v>
      </c>
      <c r="CD3887">
        <v>1</v>
      </c>
      <c r="CE3887">
        <v>0</v>
      </c>
      <c r="CF3887">
        <v>0</v>
      </c>
      <c r="CG3887">
        <v>1</v>
      </c>
      <c r="CH3887">
        <v>0</v>
      </c>
      <c r="CI3887">
        <v>0</v>
      </c>
      <c r="CJ3887">
        <v>0</v>
      </c>
      <c r="CK3887">
        <v>2</v>
      </c>
      <c r="CL3887">
        <v>0</v>
      </c>
      <c r="CM3887">
        <v>2</v>
      </c>
      <c r="CN3887">
        <v>0</v>
      </c>
      <c r="CO3887">
        <v>6</v>
      </c>
      <c r="CP3887" t="s">
        <v>119</v>
      </c>
      <c r="CQ3887">
        <v>180</v>
      </c>
      <c r="CR3887">
        <v>3</v>
      </c>
      <c r="CW3887">
        <v>1289969</v>
      </c>
      <c r="CY3887">
        <v>0</v>
      </c>
      <c r="CZ3887">
        <v>0</v>
      </c>
      <c r="DA3887">
        <v>0</v>
      </c>
      <c r="DB3887">
        <v>0</v>
      </c>
      <c r="DC3887">
        <v>0</v>
      </c>
      <c r="DD3887">
        <v>0</v>
      </c>
      <c r="DE3887">
        <v>0</v>
      </c>
      <c r="DF3887">
        <v>0</v>
      </c>
      <c r="DG3887">
        <v>0</v>
      </c>
      <c r="DH3887">
        <v>0</v>
      </c>
      <c r="DI3887">
        <v>0</v>
      </c>
    </row>
    <row r="3888" spans="1:113" x14ac:dyDescent="0.3">
      <c r="A3888" t="str">
        <f>"02/08/2021 20:36:00.057"</f>
        <v>02/08/2021 20:36:00.057</v>
      </c>
      <c r="C3888" t="str">
        <f t="shared" si="194"/>
        <v>FFDFD7C0</v>
      </c>
      <c r="D3888" t="s">
        <v>113</v>
      </c>
      <c r="E3888">
        <v>6</v>
      </c>
      <c r="H3888">
        <v>165</v>
      </c>
      <c r="I3888" t="s">
        <v>114</v>
      </c>
      <c r="J3888" t="s">
        <v>115</v>
      </c>
      <c r="K3888">
        <v>0</v>
      </c>
      <c r="L3888">
        <v>3</v>
      </c>
      <c r="M3888">
        <v>0</v>
      </c>
      <c r="N3888">
        <v>2</v>
      </c>
      <c r="O3888">
        <v>1</v>
      </c>
      <c r="P3888">
        <v>0</v>
      </c>
      <c r="Q3888">
        <v>0</v>
      </c>
      <c r="S3888" t="str">
        <f>"20:36:02.398"</f>
        <v>20:36:02.398</v>
      </c>
      <c r="T3888" t="str">
        <f>"20:36:01.898"</f>
        <v>20:36:01.898</v>
      </c>
      <c r="U3888" t="str">
        <f t="shared" si="193"/>
        <v>AB01F4</v>
      </c>
      <c r="V3888">
        <v>0</v>
      </c>
      <c r="W3888">
        <v>0</v>
      </c>
      <c r="X3888">
        <v>2</v>
      </c>
      <c r="Z3888">
        <v>0</v>
      </c>
      <c r="AA3888">
        <v>9</v>
      </c>
      <c r="AB3888">
        <v>3</v>
      </c>
      <c r="AC3888">
        <v>0</v>
      </c>
      <c r="AD3888">
        <v>10</v>
      </c>
      <c r="AE3888">
        <v>0</v>
      </c>
      <c r="AF3888">
        <v>3</v>
      </c>
      <c r="AG3888">
        <v>2</v>
      </c>
      <c r="AH3888">
        <v>0</v>
      </c>
      <c r="AI3888" t="s">
        <v>2193</v>
      </c>
      <c r="AJ3888">
        <v>40.132283999999999</v>
      </c>
      <c r="AK3888" t="s">
        <v>2194</v>
      </c>
      <c r="AL3888">
        <v>-93.078682000000001</v>
      </c>
      <c r="AM3888">
        <v>100</v>
      </c>
      <c r="AN3888">
        <v>1300</v>
      </c>
      <c r="AO3888" t="s">
        <v>118</v>
      </c>
      <c r="AP3888">
        <v>-113</v>
      </c>
      <c r="AQ3888">
        <v>61</v>
      </c>
      <c r="AR3888">
        <v>64</v>
      </c>
      <c r="AZ3888">
        <v>1200</v>
      </c>
      <c r="BA3888">
        <v>1</v>
      </c>
      <c r="BB3888" t="str">
        <f t="shared" si="195"/>
        <v xml:space="preserve">N8080G  </v>
      </c>
      <c r="BC3888">
        <v>1</v>
      </c>
      <c r="BE3888">
        <v>0</v>
      </c>
      <c r="BF3888">
        <v>0</v>
      </c>
      <c r="BG3888">
        <v>0</v>
      </c>
      <c r="BH3888">
        <v>1350</v>
      </c>
      <c r="BI3888">
        <v>1</v>
      </c>
      <c r="BJ3888">
        <v>1</v>
      </c>
      <c r="BK3888">
        <v>1</v>
      </c>
      <c r="BL3888">
        <v>0</v>
      </c>
      <c r="BO3888">
        <v>0</v>
      </c>
      <c r="BP3888">
        <v>0</v>
      </c>
      <c r="BW3888" t="str">
        <f>"20:36:02.401"</f>
        <v>20:36:02.401</v>
      </c>
      <c r="BZ3888">
        <v>0</v>
      </c>
      <c r="CA3888">
        <v>1600</v>
      </c>
      <c r="CB3888">
        <v>224</v>
      </c>
      <c r="CD3888">
        <v>1</v>
      </c>
      <c r="CE3888">
        <v>0</v>
      </c>
      <c r="CF3888">
        <v>0</v>
      </c>
      <c r="CG3888">
        <v>1</v>
      </c>
      <c r="CH3888">
        <v>0</v>
      </c>
      <c r="CI3888">
        <v>0</v>
      </c>
      <c r="CJ3888">
        <v>0</v>
      </c>
      <c r="CK3888">
        <v>2</v>
      </c>
      <c r="CL3888">
        <v>0</v>
      </c>
      <c r="CM3888">
        <v>2</v>
      </c>
      <c r="CN3888">
        <v>0</v>
      </c>
      <c r="CO3888">
        <v>6</v>
      </c>
      <c r="CP3888" t="s">
        <v>119</v>
      </c>
      <c r="CQ3888">
        <v>180</v>
      </c>
      <c r="CR3888">
        <v>3</v>
      </c>
      <c r="CW3888">
        <v>1289969</v>
      </c>
      <c r="CY3888">
        <v>0</v>
      </c>
      <c r="CZ3888">
        <v>0</v>
      </c>
      <c r="DA3888">
        <v>1</v>
      </c>
      <c r="DB3888">
        <v>0</v>
      </c>
      <c r="DC3888">
        <v>0</v>
      </c>
      <c r="DD3888">
        <v>0</v>
      </c>
      <c r="DE3888">
        <v>0</v>
      </c>
      <c r="DF3888">
        <v>0</v>
      </c>
      <c r="DG3888">
        <v>0</v>
      </c>
      <c r="DH3888">
        <v>0</v>
      </c>
      <c r="DI3888">
        <v>0</v>
      </c>
    </row>
    <row r="3889" spans="1:113" x14ac:dyDescent="0.3">
      <c r="A3889" t="str">
        <f>"02/08/2021 20:36:00.057"</f>
        <v>02/08/2021 20:36:00.057</v>
      </c>
      <c r="C3889" t="str">
        <f t="shared" si="194"/>
        <v>FFDFD7C0</v>
      </c>
      <c r="D3889" t="s">
        <v>124</v>
      </c>
      <c r="E3889">
        <v>11</v>
      </c>
      <c r="F3889">
        <v>1011</v>
      </c>
      <c r="G3889" t="s">
        <v>590</v>
      </c>
      <c r="J3889" t="s">
        <v>125</v>
      </c>
      <c r="K3889">
        <v>0</v>
      </c>
      <c r="L3889">
        <v>3</v>
      </c>
      <c r="M3889">
        <v>0</v>
      </c>
      <c r="N3889">
        <v>2</v>
      </c>
      <c r="O3889">
        <v>1</v>
      </c>
      <c r="P3889">
        <v>0</v>
      </c>
      <c r="Q3889">
        <v>0</v>
      </c>
      <c r="S3889" t="str">
        <f>"20:36:02.398"</f>
        <v>20:36:02.398</v>
      </c>
      <c r="T3889" t="str">
        <f>"20:36:01.898"</f>
        <v>20:36:01.898</v>
      </c>
      <c r="U3889" t="str">
        <f t="shared" si="193"/>
        <v>AB01F4</v>
      </c>
      <c r="V3889">
        <v>0</v>
      </c>
      <c r="W3889">
        <v>0</v>
      </c>
      <c r="X3889">
        <v>2</v>
      </c>
      <c r="Z3889">
        <v>0</v>
      </c>
      <c r="AA3889">
        <v>9</v>
      </c>
      <c r="AB3889">
        <v>3</v>
      </c>
      <c r="AC3889">
        <v>0</v>
      </c>
      <c r="AD3889">
        <v>10</v>
      </c>
      <c r="AE3889">
        <v>0</v>
      </c>
      <c r="AF3889">
        <v>3</v>
      </c>
      <c r="AG3889">
        <v>2</v>
      </c>
      <c r="AH3889">
        <v>0</v>
      </c>
      <c r="AI3889" t="s">
        <v>2193</v>
      </c>
      <c r="AJ3889">
        <v>40.132283999999999</v>
      </c>
      <c r="AK3889" t="s">
        <v>2194</v>
      </c>
      <c r="AL3889">
        <v>-93.078682000000001</v>
      </c>
      <c r="AM3889">
        <v>100</v>
      </c>
      <c r="AN3889">
        <v>1300</v>
      </c>
      <c r="AO3889" t="s">
        <v>118</v>
      </c>
      <c r="AP3889">
        <v>-113</v>
      </c>
      <c r="AQ3889">
        <v>61</v>
      </c>
      <c r="AR3889">
        <v>64</v>
      </c>
      <c r="AZ3889">
        <v>1200</v>
      </c>
      <c r="BA3889">
        <v>1</v>
      </c>
      <c r="BB3889" t="str">
        <f t="shared" si="195"/>
        <v xml:space="preserve">N8080G  </v>
      </c>
      <c r="BC3889">
        <v>1</v>
      </c>
      <c r="BE3889">
        <v>0</v>
      </c>
      <c r="BF3889">
        <v>0</v>
      </c>
      <c r="BG3889">
        <v>0</v>
      </c>
      <c r="BH3889">
        <v>1350</v>
      </c>
      <c r="BI3889">
        <v>1</v>
      </c>
      <c r="BJ3889">
        <v>1</v>
      </c>
      <c r="BK3889">
        <v>1</v>
      </c>
      <c r="BL3889">
        <v>0</v>
      </c>
      <c r="BO3889">
        <v>0</v>
      </c>
      <c r="BP3889">
        <v>0</v>
      </c>
      <c r="BW3889" t="str">
        <f>"20:36:02.401"</f>
        <v>20:36:02.401</v>
      </c>
      <c r="BZ3889">
        <v>0</v>
      </c>
      <c r="CA3889">
        <v>1600</v>
      </c>
      <c r="CB3889">
        <v>224</v>
      </c>
      <c r="CD3889">
        <v>1</v>
      </c>
      <c r="CE3889">
        <v>0</v>
      </c>
      <c r="CF3889">
        <v>0</v>
      </c>
      <c r="CG3889">
        <v>1</v>
      </c>
      <c r="CH3889">
        <v>0</v>
      </c>
      <c r="CI3889">
        <v>0</v>
      </c>
      <c r="CJ3889">
        <v>0</v>
      </c>
      <c r="CK3889">
        <v>2</v>
      </c>
      <c r="CL3889">
        <v>0</v>
      </c>
      <c r="CM3889">
        <v>2</v>
      </c>
      <c r="CN3889">
        <v>0</v>
      </c>
      <c r="CO3889">
        <v>6</v>
      </c>
      <c r="CP3889" t="s">
        <v>119</v>
      </c>
      <c r="CQ3889">
        <v>180</v>
      </c>
      <c r="CR3889">
        <v>3</v>
      </c>
      <c r="CW3889">
        <v>1289969</v>
      </c>
      <c r="CY3889">
        <v>0</v>
      </c>
      <c r="CZ3889">
        <v>0</v>
      </c>
      <c r="DA3889">
        <v>1</v>
      </c>
      <c r="DB3889">
        <v>0</v>
      </c>
      <c r="DC3889">
        <v>0</v>
      </c>
      <c r="DD3889">
        <v>0</v>
      </c>
      <c r="DE3889">
        <v>0</v>
      </c>
      <c r="DF3889">
        <v>0</v>
      </c>
      <c r="DG3889">
        <v>0</v>
      </c>
      <c r="DH3889">
        <v>0</v>
      </c>
      <c r="DI3889">
        <v>0</v>
      </c>
    </row>
    <row r="3890" spans="1:113" x14ac:dyDescent="0.3">
      <c r="A3890" t="str">
        <f>"02/08/2021 20:36:00.057"</f>
        <v>02/08/2021 20:36:00.057</v>
      </c>
      <c r="C3890" t="str">
        <f t="shared" si="194"/>
        <v>FFDFD7C0</v>
      </c>
      <c r="D3890" t="s">
        <v>124</v>
      </c>
      <c r="E3890">
        <v>12</v>
      </c>
      <c r="F3890">
        <v>1012</v>
      </c>
      <c r="G3890" t="s">
        <v>675</v>
      </c>
      <c r="J3890" t="s">
        <v>125</v>
      </c>
      <c r="K3890">
        <v>0</v>
      </c>
      <c r="L3890">
        <v>3</v>
      </c>
      <c r="M3890">
        <v>0</v>
      </c>
      <c r="N3890">
        <v>2</v>
      </c>
      <c r="O3890">
        <v>1</v>
      </c>
      <c r="P3890">
        <v>0</v>
      </c>
      <c r="Q3890">
        <v>0</v>
      </c>
      <c r="S3890" t="str">
        <f>"20:36:02.398"</f>
        <v>20:36:02.398</v>
      </c>
      <c r="T3890" t="str">
        <f>"20:36:01.898"</f>
        <v>20:36:01.898</v>
      </c>
      <c r="U3890" t="str">
        <f t="shared" si="193"/>
        <v>AB01F4</v>
      </c>
      <c r="V3890">
        <v>0</v>
      </c>
      <c r="W3890">
        <v>0</v>
      </c>
      <c r="X3890">
        <v>2</v>
      </c>
      <c r="Z3890">
        <v>0</v>
      </c>
      <c r="AA3890">
        <v>9</v>
      </c>
      <c r="AB3890">
        <v>3</v>
      </c>
      <c r="AC3890">
        <v>0</v>
      </c>
      <c r="AD3890">
        <v>10</v>
      </c>
      <c r="AE3890">
        <v>0</v>
      </c>
      <c r="AF3890">
        <v>3</v>
      </c>
      <c r="AG3890">
        <v>2</v>
      </c>
      <c r="AH3890">
        <v>0</v>
      </c>
      <c r="AI3890" t="s">
        <v>2193</v>
      </c>
      <c r="AJ3890">
        <v>40.132283999999999</v>
      </c>
      <c r="AK3890" t="s">
        <v>2194</v>
      </c>
      <c r="AL3890">
        <v>-93.078682000000001</v>
      </c>
      <c r="AM3890">
        <v>100</v>
      </c>
      <c r="AN3890">
        <v>1300</v>
      </c>
      <c r="AO3890" t="s">
        <v>118</v>
      </c>
      <c r="AP3890">
        <v>-113</v>
      </c>
      <c r="AQ3890">
        <v>61</v>
      </c>
      <c r="AR3890">
        <v>64</v>
      </c>
      <c r="AZ3890">
        <v>1200</v>
      </c>
      <c r="BA3890">
        <v>1</v>
      </c>
      <c r="BB3890" t="str">
        <f t="shared" si="195"/>
        <v xml:space="preserve">N8080G  </v>
      </c>
      <c r="BC3890">
        <v>1</v>
      </c>
      <c r="BE3890">
        <v>0</v>
      </c>
      <c r="BF3890">
        <v>0</v>
      </c>
      <c r="BG3890">
        <v>0</v>
      </c>
      <c r="BH3890">
        <v>1350</v>
      </c>
      <c r="BI3890">
        <v>1</v>
      </c>
      <c r="BJ3890">
        <v>1</v>
      </c>
      <c r="BK3890">
        <v>1</v>
      </c>
      <c r="BL3890">
        <v>0</v>
      </c>
      <c r="BO3890">
        <v>0</v>
      </c>
      <c r="BP3890">
        <v>0</v>
      </c>
      <c r="BW3890" t="str">
        <f>"20:36:02.401"</f>
        <v>20:36:02.401</v>
      </c>
      <c r="BZ3890">
        <v>0</v>
      </c>
      <c r="CA3890">
        <v>1600</v>
      </c>
      <c r="CB3890">
        <v>224</v>
      </c>
      <c r="CD3890">
        <v>1</v>
      </c>
      <c r="CE3890">
        <v>0</v>
      </c>
      <c r="CF3890">
        <v>0</v>
      </c>
      <c r="CG3890">
        <v>1</v>
      </c>
      <c r="CH3890">
        <v>0</v>
      </c>
      <c r="CI3890">
        <v>0</v>
      </c>
      <c r="CJ3890">
        <v>0</v>
      </c>
      <c r="CK3890">
        <v>2</v>
      </c>
      <c r="CL3890">
        <v>0</v>
      </c>
      <c r="CM3890">
        <v>2</v>
      </c>
      <c r="CN3890">
        <v>0</v>
      </c>
      <c r="CO3890">
        <v>6</v>
      </c>
      <c r="CP3890" t="s">
        <v>119</v>
      </c>
      <c r="CQ3890">
        <v>180</v>
      </c>
      <c r="CR3890">
        <v>3</v>
      </c>
      <c r="CW3890">
        <v>1289969</v>
      </c>
      <c r="CY3890">
        <v>0</v>
      </c>
      <c r="CZ3890">
        <v>0</v>
      </c>
      <c r="DA3890">
        <v>1</v>
      </c>
      <c r="DB3890">
        <v>0</v>
      </c>
      <c r="DC3890">
        <v>0</v>
      </c>
      <c r="DD3890">
        <v>0</v>
      </c>
      <c r="DE3890">
        <v>0</v>
      </c>
      <c r="DF3890">
        <v>0</v>
      </c>
      <c r="DG3890">
        <v>0</v>
      </c>
      <c r="DH3890">
        <v>0</v>
      </c>
      <c r="DI3890">
        <v>0</v>
      </c>
    </row>
    <row r="3891" spans="1:113" x14ac:dyDescent="0.3">
      <c r="A3891" t="str">
        <f>"02/08/2021 20:36:01.105"</f>
        <v>02/08/2021 20:36:01.105</v>
      </c>
      <c r="C3891" t="str">
        <f t="shared" si="194"/>
        <v>FFDFD7C0</v>
      </c>
      <c r="D3891" t="s">
        <v>124</v>
      </c>
      <c r="E3891">
        <v>12</v>
      </c>
      <c r="F3891">
        <v>1012</v>
      </c>
      <c r="G3891" t="s">
        <v>675</v>
      </c>
      <c r="J3891" t="s">
        <v>125</v>
      </c>
      <c r="K3891">
        <v>0</v>
      </c>
      <c r="L3891">
        <v>3</v>
      </c>
      <c r="M3891">
        <v>0</v>
      </c>
      <c r="N3891">
        <v>2</v>
      </c>
      <c r="O3891">
        <v>1</v>
      </c>
      <c r="P3891">
        <v>0</v>
      </c>
      <c r="Q3891">
        <v>0</v>
      </c>
      <c r="S3891" t="str">
        <f>"20:36:03.414"</f>
        <v>20:36:03.414</v>
      </c>
      <c r="T3891" t="str">
        <f>"20:36:03.014"</f>
        <v>20:36:03.014</v>
      </c>
      <c r="U3891" t="str">
        <f t="shared" si="193"/>
        <v>AB01F4</v>
      </c>
      <c r="V3891">
        <v>0</v>
      </c>
      <c r="W3891">
        <v>0</v>
      </c>
      <c r="X3891">
        <v>2</v>
      </c>
      <c r="Z3891">
        <v>0</v>
      </c>
      <c r="AA3891">
        <v>9</v>
      </c>
      <c r="AB3891">
        <v>3</v>
      </c>
      <c r="AC3891">
        <v>0</v>
      </c>
      <c r="AD3891">
        <v>10</v>
      </c>
      <c r="AE3891">
        <v>0</v>
      </c>
      <c r="AF3891">
        <v>3</v>
      </c>
      <c r="AG3891">
        <v>2</v>
      </c>
      <c r="AH3891">
        <v>0</v>
      </c>
      <c r="AI3891" t="s">
        <v>2195</v>
      </c>
      <c r="AJ3891">
        <v>40.132562999999998</v>
      </c>
      <c r="AK3891" t="s">
        <v>2196</v>
      </c>
      <c r="AL3891">
        <v>-93.079347999999996</v>
      </c>
      <c r="AM3891">
        <v>100</v>
      </c>
      <c r="AN3891">
        <v>1300</v>
      </c>
      <c r="AO3891" t="s">
        <v>118</v>
      </c>
      <c r="AP3891">
        <v>-113</v>
      </c>
      <c r="AQ3891">
        <v>61</v>
      </c>
      <c r="AR3891">
        <v>-64</v>
      </c>
      <c r="AZ3891">
        <v>1200</v>
      </c>
      <c r="BA3891">
        <v>1</v>
      </c>
      <c r="BB3891" t="str">
        <f t="shared" si="195"/>
        <v xml:space="preserve">N8080G  </v>
      </c>
      <c r="BC3891">
        <v>1</v>
      </c>
      <c r="BE3891">
        <v>0</v>
      </c>
      <c r="BF3891">
        <v>0</v>
      </c>
      <c r="BG3891">
        <v>0</v>
      </c>
      <c r="BH3891">
        <v>1350</v>
      </c>
      <c r="BI3891">
        <v>1</v>
      </c>
      <c r="BJ3891">
        <v>1</v>
      </c>
      <c r="BK3891">
        <v>1</v>
      </c>
      <c r="BL3891">
        <v>0</v>
      </c>
      <c r="BO3891">
        <v>0</v>
      </c>
      <c r="BP3891">
        <v>0</v>
      </c>
      <c r="BW3891" t="str">
        <f>"20:36:03.418"</f>
        <v>20:36:03.418</v>
      </c>
      <c r="BZ3891">
        <v>0</v>
      </c>
      <c r="CA3891">
        <v>1600</v>
      </c>
      <c r="CB3891">
        <v>224</v>
      </c>
      <c r="CD3891">
        <v>1</v>
      </c>
      <c r="CE3891">
        <v>0</v>
      </c>
      <c r="CF3891">
        <v>0</v>
      </c>
      <c r="CG3891">
        <v>1</v>
      </c>
      <c r="CH3891">
        <v>0</v>
      </c>
      <c r="CI3891">
        <v>0</v>
      </c>
      <c r="CJ3891">
        <v>0</v>
      </c>
      <c r="CK3891">
        <v>2</v>
      </c>
      <c r="CL3891">
        <v>0</v>
      </c>
      <c r="CM3891">
        <v>2</v>
      </c>
      <c r="CN3891">
        <v>0</v>
      </c>
      <c r="CO3891">
        <v>6</v>
      </c>
      <c r="CP3891" t="s">
        <v>119</v>
      </c>
      <c r="CQ3891">
        <v>180</v>
      </c>
      <c r="CR3891">
        <v>3</v>
      </c>
      <c r="CW3891">
        <v>1290690</v>
      </c>
      <c r="CY3891">
        <v>0</v>
      </c>
      <c r="CZ3891">
        <v>0</v>
      </c>
      <c r="DA3891">
        <v>0</v>
      </c>
      <c r="DB3891">
        <v>0</v>
      </c>
      <c r="DC3891">
        <v>0</v>
      </c>
      <c r="DD3891">
        <v>0</v>
      </c>
      <c r="DE3891">
        <v>0</v>
      </c>
      <c r="DF3891">
        <v>0</v>
      </c>
      <c r="DG3891">
        <v>0</v>
      </c>
      <c r="DH3891">
        <v>0</v>
      </c>
      <c r="DI3891">
        <v>0</v>
      </c>
    </row>
    <row r="3892" spans="1:113" x14ac:dyDescent="0.3">
      <c r="A3892" t="str">
        <f>"02/08/2021 20:36:01.105"</f>
        <v>02/08/2021 20:36:01.105</v>
      </c>
      <c r="C3892" t="str">
        <f t="shared" si="194"/>
        <v>FFDFD7C0</v>
      </c>
      <c r="D3892" t="s">
        <v>124</v>
      </c>
      <c r="E3892">
        <v>11</v>
      </c>
      <c r="F3892">
        <v>1011</v>
      </c>
      <c r="G3892" t="s">
        <v>590</v>
      </c>
      <c r="J3892" t="s">
        <v>125</v>
      </c>
      <c r="K3892">
        <v>0</v>
      </c>
      <c r="L3892">
        <v>3</v>
      </c>
      <c r="M3892">
        <v>0</v>
      </c>
      <c r="N3892">
        <v>2</v>
      </c>
      <c r="O3892">
        <v>1</v>
      </c>
      <c r="P3892">
        <v>0</v>
      </c>
      <c r="Q3892">
        <v>0</v>
      </c>
      <c r="S3892" t="str">
        <f>"20:36:03.414"</f>
        <v>20:36:03.414</v>
      </c>
      <c r="T3892" t="str">
        <f>"20:36:03.014"</f>
        <v>20:36:03.014</v>
      </c>
      <c r="U3892" t="str">
        <f t="shared" si="193"/>
        <v>AB01F4</v>
      </c>
      <c r="V3892">
        <v>0</v>
      </c>
      <c r="W3892">
        <v>0</v>
      </c>
      <c r="X3892">
        <v>2</v>
      </c>
      <c r="Z3892">
        <v>0</v>
      </c>
      <c r="AA3892">
        <v>9</v>
      </c>
      <c r="AB3892">
        <v>3</v>
      </c>
      <c r="AC3892">
        <v>0</v>
      </c>
      <c r="AD3892">
        <v>10</v>
      </c>
      <c r="AE3892">
        <v>0</v>
      </c>
      <c r="AF3892">
        <v>3</v>
      </c>
      <c r="AG3892">
        <v>2</v>
      </c>
      <c r="AH3892">
        <v>0</v>
      </c>
      <c r="AI3892" t="s">
        <v>2195</v>
      </c>
      <c r="AJ3892">
        <v>40.132562999999998</v>
      </c>
      <c r="AK3892" t="s">
        <v>2196</v>
      </c>
      <c r="AL3892">
        <v>-93.079347999999996</v>
      </c>
      <c r="AM3892">
        <v>100</v>
      </c>
      <c r="AN3892">
        <v>1300</v>
      </c>
      <c r="AO3892" t="s">
        <v>118</v>
      </c>
      <c r="AP3892">
        <v>-113</v>
      </c>
      <c r="AQ3892">
        <v>61</v>
      </c>
      <c r="AR3892">
        <v>-64</v>
      </c>
      <c r="AZ3892">
        <v>1200</v>
      </c>
      <c r="BA3892">
        <v>1</v>
      </c>
      <c r="BB3892" t="str">
        <f t="shared" si="195"/>
        <v xml:space="preserve">N8080G  </v>
      </c>
      <c r="BC3892">
        <v>1</v>
      </c>
      <c r="BE3892">
        <v>0</v>
      </c>
      <c r="BF3892">
        <v>0</v>
      </c>
      <c r="BG3892">
        <v>0</v>
      </c>
      <c r="BH3892">
        <v>1350</v>
      </c>
      <c r="BI3892">
        <v>1</v>
      </c>
      <c r="BJ3892">
        <v>1</v>
      </c>
      <c r="BK3892">
        <v>1</v>
      </c>
      <c r="BL3892">
        <v>0</v>
      </c>
      <c r="BO3892">
        <v>0</v>
      </c>
      <c r="BP3892">
        <v>0</v>
      </c>
      <c r="BW3892" t="str">
        <f>"20:36:03.418"</f>
        <v>20:36:03.418</v>
      </c>
      <c r="BZ3892">
        <v>0</v>
      </c>
      <c r="CA3892">
        <v>1600</v>
      </c>
      <c r="CB3892">
        <v>224</v>
      </c>
      <c r="CD3892">
        <v>1</v>
      </c>
      <c r="CE3892">
        <v>0</v>
      </c>
      <c r="CF3892">
        <v>0</v>
      </c>
      <c r="CG3892">
        <v>1</v>
      </c>
      <c r="CH3892">
        <v>0</v>
      </c>
      <c r="CI3892">
        <v>0</v>
      </c>
      <c r="CJ3892">
        <v>0</v>
      </c>
      <c r="CK3892">
        <v>2</v>
      </c>
      <c r="CL3892">
        <v>0</v>
      </c>
      <c r="CM3892">
        <v>2</v>
      </c>
      <c r="CN3892">
        <v>0</v>
      </c>
      <c r="CO3892">
        <v>6</v>
      </c>
      <c r="CP3892" t="s">
        <v>119</v>
      </c>
      <c r="CQ3892">
        <v>180</v>
      </c>
      <c r="CR3892">
        <v>3</v>
      </c>
      <c r="CW3892">
        <v>1290690</v>
      </c>
      <c r="CY3892">
        <v>0</v>
      </c>
      <c r="CZ3892">
        <v>0</v>
      </c>
      <c r="DA3892">
        <v>1</v>
      </c>
      <c r="DB3892">
        <v>0</v>
      </c>
      <c r="DC3892">
        <v>0</v>
      </c>
      <c r="DD3892">
        <v>0</v>
      </c>
      <c r="DE3892">
        <v>0</v>
      </c>
      <c r="DF3892">
        <v>0</v>
      </c>
      <c r="DG3892">
        <v>0</v>
      </c>
      <c r="DH3892">
        <v>0</v>
      </c>
      <c r="DI3892">
        <v>0</v>
      </c>
    </row>
    <row r="3893" spans="1:113" x14ac:dyDescent="0.3">
      <c r="A3893" t="str">
        <f>"02/08/2021 20:36:01.105"</f>
        <v>02/08/2021 20:36:01.105</v>
      </c>
      <c r="C3893" t="str">
        <f t="shared" si="194"/>
        <v>FFDFD7C0</v>
      </c>
      <c r="D3893" t="s">
        <v>124</v>
      </c>
      <c r="E3893">
        <v>13</v>
      </c>
      <c r="F3893">
        <v>1013</v>
      </c>
      <c r="G3893" t="s">
        <v>114</v>
      </c>
      <c r="J3893" t="s">
        <v>125</v>
      </c>
      <c r="K3893">
        <v>0</v>
      </c>
      <c r="L3893">
        <v>3</v>
      </c>
      <c r="M3893">
        <v>0</v>
      </c>
      <c r="N3893">
        <v>2</v>
      </c>
      <c r="O3893">
        <v>1</v>
      </c>
      <c r="P3893">
        <v>0</v>
      </c>
      <c r="Q3893">
        <v>0</v>
      </c>
      <c r="S3893" t="str">
        <f>"20:36:03.414"</f>
        <v>20:36:03.414</v>
      </c>
      <c r="T3893" t="str">
        <f>"20:36:03.014"</f>
        <v>20:36:03.014</v>
      </c>
      <c r="U3893" t="str">
        <f t="shared" si="193"/>
        <v>AB01F4</v>
      </c>
      <c r="V3893">
        <v>0</v>
      </c>
      <c r="W3893">
        <v>0</v>
      </c>
      <c r="X3893">
        <v>2</v>
      </c>
      <c r="Z3893">
        <v>0</v>
      </c>
      <c r="AA3893">
        <v>9</v>
      </c>
      <c r="AB3893">
        <v>3</v>
      </c>
      <c r="AC3893">
        <v>0</v>
      </c>
      <c r="AD3893">
        <v>10</v>
      </c>
      <c r="AE3893">
        <v>0</v>
      </c>
      <c r="AF3893">
        <v>3</v>
      </c>
      <c r="AG3893">
        <v>2</v>
      </c>
      <c r="AH3893">
        <v>0</v>
      </c>
      <c r="AI3893" t="s">
        <v>2195</v>
      </c>
      <c r="AJ3893">
        <v>40.132562999999998</v>
      </c>
      <c r="AK3893" t="s">
        <v>2196</v>
      </c>
      <c r="AL3893">
        <v>-93.079347999999996</v>
      </c>
      <c r="AM3893">
        <v>100</v>
      </c>
      <c r="AN3893">
        <v>1300</v>
      </c>
      <c r="AO3893" t="s">
        <v>118</v>
      </c>
      <c r="AP3893">
        <v>-113</v>
      </c>
      <c r="AQ3893">
        <v>61</v>
      </c>
      <c r="AR3893">
        <v>-64</v>
      </c>
      <c r="AZ3893">
        <v>1200</v>
      </c>
      <c r="BA3893">
        <v>1</v>
      </c>
      <c r="BB3893" t="str">
        <f t="shared" si="195"/>
        <v xml:space="preserve">N8080G  </v>
      </c>
      <c r="BC3893">
        <v>1</v>
      </c>
      <c r="BE3893">
        <v>0</v>
      </c>
      <c r="BF3893">
        <v>0</v>
      </c>
      <c r="BG3893">
        <v>0</v>
      </c>
      <c r="BH3893">
        <v>1350</v>
      </c>
      <c r="BI3893">
        <v>1</v>
      </c>
      <c r="BJ3893">
        <v>1</v>
      </c>
      <c r="BK3893">
        <v>1</v>
      </c>
      <c r="BL3893">
        <v>0</v>
      </c>
      <c r="BO3893">
        <v>0</v>
      </c>
      <c r="BP3893">
        <v>0</v>
      </c>
      <c r="BW3893" t="str">
        <f>"20:36:03.418"</f>
        <v>20:36:03.418</v>
      </c>
      <c r="BZ3893">
        <v>0</v>
      </c>
      <c r="CA3893">
        <v>1600</v>
      </c>
      <c r="CB3893">
        <v>224</v>
      </c>
      <c r="CD3893">
        <v>1</v>
      </c>
      <c r="CE3893">
        <v>0</v>
      </c>
      <c r="CF3893">
        <v>0</v>
      </c>
      <c r="CG3893">
        <v>1</v>
      </c>
      <c r="CH3893">
        <v>0</v>
      </c>
      <c r="CI3893">
        <v>0</v>
      </c>
      <c r="CJ3893">
        <v>0</v>
      </c>
      <c r="CK3893">
        <v>2</v>
      </c>
      <c r="CL3893">
        <v>0</v>
      </c>
      <c r="CM3893">
        <v>2</v>
      </c>
      <c r="CN3893">
        <v>0</v>
      </c>
      <c r="CO3893">
        <v>6</v>
      </c>
      <c r="CP3893" t="s">
        <v>119</v>
      </c>
      <c r="CQ3893">
        <v>180</v>
      </c>
      <c r="CR3893">
        <v>3</v>
      </c>
      <c r="CW3893">
        <v>1290690</v>
      </c>
      <c r="CY3893">
        <v>0</v>
      </c>
      <c r="CZ3893">
        <v>0</v>
      </c>
      <c r="DA3893">
        <v>1</v>
      </c>
      <c r="DB3893">
        <v>0</v>
      </c>
      <c r="DC3893">
        <v>0</v>
      </c>
      <c r="DD3893">
        <v>0</v>
      </c>
      <c r="DE3893">
        <v>0</v>
      </c>
      <c r="DF3893">
        <v>0</v>
      </c>
      <c r="DG3893">
        <v>0</v>
      </c>
      <c r="DH3893">
        <v>0</v>
      </c>
      <c r="DI3893">
        <v>0</v>
      </c>
    </row>
    <row r="3894" spans="1:113" x14ac:dyDescent="0.3">
      <c r="A3894" t="str">
        <f>"02/08/2021 20:36:01.105"</f>
        <v>02/08/2021 20:36:01.105</v>
      </c>
      <c r="C3894" t="str">
        <f t="shared" si="194"/>
        <v>FFDFD7C0</v>
      </c>
      <c r="D3894" t="s">
        <v>113</v>
      </c>
      <c r="E3894">
        <v>6</v>
      </c>
      <c r="H3894">
        <v>165</v>
      </c>
      <c r="I3894" t="s">
        <v>114</v>
      </c>
      <c r="J3894" t="s">
        <v>115</v>
      </c>
      <c r="K3894">
        <v>0</v>
      </c>
      <c r="L3894">
        <v>3</v>
      </c>
      <c r="M3894">
        <v>0</v>
      </c>
      <c r="N3894">
        <v>2</v>
      </c>
      <c r="O3894">
        <v>1</v>
      </c>
      <c r="P3894">
        <v>0</v>
      </c>
      <c r="Q3894">
        <v>0</v>
      </c>
      <c r="S3894" t="str">
        <f>"20:36:03.414"</f>
        <v>20:36:03.414</v>
      </c>
      <c r="T3894" t="str">
        <f>"20:36:03.014"</f>
        <v>20:36:03.014</v>
      </c>
      <c r="U3894" t="str">
        <f t="shared" si="193"/>
        <v>AB01F4</v>
      </c>
      <c r="V3894">
        <v>0</v>
      </c>
      <c r="W3894">
        <v>0</v>
      </c>
      <c r="X3894">
        <v>2</v>
      </c>
      <c r="Z3894">
        <v>0</v>
      </c>
      <c r="AA3894">
        <v>9</v>
      </c>
      <c r="AB3894">
        <v>3</v>
      </c>
      <c r="AC3894">
        <v>0</v>
      </c>
      <c r="AD3894">
        <v>10</v>
      </c>
      <c r="AE3894">
        <v>0</v>
      </c>
      <c r="AF3894">
        <v>3</v>
      </c>
      <c r="AG3894">
        <v>2</v>
      </c>
      <c r="AH3894">
        <v>0</v>
      </c>
      <c r="AI3894" t="s">
        <v>2195</v>
      </c>
      <c r="AJ3894">
        <v>40.132562999999998</v>
      </c>
      <c r="AK3894" t="s">
        <v>2196</v>
      </c>
      <c r="AL3894">
        <v>-93.079347999999996</v>
      </c>
      <c r="AM3894">
        <v>100</v>
      </c>
      <c r="AN3894">
        <v>1300</v>
      </c>
      <c r="AO3894" t="s">
        <v>118</v>
      </c>
      <c r="AP3894">
        <v>-113</v>
      </c>
      <c r="AQ3894">
        <v>61</v>
      </c>
      <c r="AR3894">
        <v>-64</v>
      </c>
      <c r="AZ3894">
        <v>1200</v>
      </c>
      <c r="BA3894">
        <v>1</v>
      </c>
      <c r="BB3894" t="str">
        <f t="shared" si="195"/>
        <v xml:space="preserve">N8080G  </v>
      </c>
      <c r="BC3894">
        <v>1</v>
      </c>
      <c r="BE3894">
        <v>0</v>
      </c>
      <c r="BF3894">
        <v>0</v>
      </c>
      <c r="BG3894">
        <v>0</v>
      </c>
      <c r="BH3894">
        <v>1350</v>
      </c>
      <c r="BI3894">
        <v>1</v>
      </c>
      <c r="BJ3894">
        <v>1</v>
      </c>
      <c r="BK3894">
        <v>1</v>
      </c>
      <c r="BL3894">
        <v>0</v>
      </c>
      <c r="BO3894">
        <v>0</v>
      </c>
      <c r="BP3894">
        <v>0</v>
      </c>
      <c r="BW3894" t="str">
        <f>"20:36:03.418"</f>
        <v>20:36:03.418</v>
      </c>
      <c r="BZ3894">
        <v>0</v>
      </c>
      <c r="CA3894">
        <v>1600</v>
      </c>
      <c r="CB3894">
        <v>224</v>
      </c>
      <c r="CD3894">
        <v>1</v>
      </c>
      <c r="CE3894">
        <v>0</v>
      </c>
      <c r="CF3894">
        <v>0</v>
      </c>
      <c r="CG3894">
        <v>1</v>
      </c>
      <c r="CH3894">
        <v>0</v>
      </c>
      <c r="CI3894">
        <v>0</v>
      </c>
      <c r="CJ3894">
        <v>0</v>
      </c>
      <c r="CK3894">
        <v>2</v>
      </c>
      <c r="CL3894">
        <v>0</v>
      </c>
      <c r="CM3894">
        <v>2</v>
      </c>
      <c r="CN3894">
        <v>0</v>
      </c>
      <c r="CO3894">
        <v>6</v>
      </c>
      <c r="CP3894" t="s">
        <v>119</v>
      </c>
      <c r="CQ3894">
        <v>180</v>
      </c>
      <c r="CR3894">
        <v>3</v>
      </c>
      <c r="CW3894">
        <v>1290690</v>
      </c>
      <c r="CY3894">
        <v>0</v>
      </c>
      <c r="CZ3894">
        <v>0</v>
      </c>
      <c r="DA3894">
        <v>1</v>
      </c>
      <c r="DB3894">
        <v>0</v>
      </c>
      <c r="DC3894">
        <v>0</v>
      </c>
      <c r="DD3894">
        <v>0</v>
      </c>
      <c r="DE3894">
        <v>0</v>
      </c>
      <c r="DF3894">
        <v>0</v>
      </c>
      <c r="DG3894">
        <v>0</v>
      </c>
      <c r="DH3894">
        <v>0</v>
      </c>
      <c r="DI3894">
        <v>0</v>
      </c>
    </row>
    <row r="3895" spans="1:113" x14ac:dyDescent="0.3">
      <c r="A3895" t="str">
        <f>"02/08/2021 20:36:02.116"</f>
        <v>02/08/2021 20:36:02.116</v>
      </c>
      <c r="C3895" t="str">
        <f t="shared" si="194"/>
        <v>FFDFD7C0</v>
      </c>
      <c r="D3895" t="s">
        <v>124</v>
      </c>
      <c r="E3895">
        <v>11</v>
      </c>
      <c r="F3895">
        <v>1011</v>
      </c>
      <c r="G3895" t="s">
        <v>590</v>
      </c>
      <c r="J3895" t="s">
        <v>125</v>
      </c>
      <c r="K3895">
        <v>0</v>
      </c>
      <c r="L3895">
        <v>3</v>
      </c>
      <c r="M3895">
        <v>0</v>
      </c>
      <c r="N3895">
        <v>2</v>
      </c>
      <c r="O3895">
        <v>1</v>
      </c>
      <c r="P3895">
        <v>0</v>
      </c>
      <c r="Q3895">
        <v>0</v>
      </c>
      <c r="S3895" t="str">
        <f>"20:36:04.430"</f>
        <v>20:36:04.430</v>
      </c>
      <c r="T3895" t="str">
        <f>"20:36:03.930"</f>
        <v>20:36:03.930</v>
      </c>
      <c r="U3895" t="str">
        <f t="shared" si="193"/>
        <v>AB01F4</v>
      </c>
      <c r="V3895">
        <v>0</v>
      </c>
      <c r="W3895">
        <v>0</v>
      </c>
      <c r="X3895">
        <v>2</v>
      </c>
      <c r="Z3895">
        <v>0</v>
      </c>
      <c r="AA3895">
        <v>9</v>
      </c>
      <c r="AB3895">
        <v>3</v>
      </c>
      <c r="AC3895">
        <v>0</v>
      </c>
      <c r="AD3895">
        <v>10</v>
      </c>
      <c r="AE3895">
        <v>0</v>
      </c>
      <c r="AF3895">
        <v>3</v>
      </c>
      <c r="AG3895">
        <v>2</v>
      </c>
      <c r="AH3895">
        <v>0</v>
      </c>
      <c r="AI3895" t="s">
        <v>2197</v>
      </c>
      <c r="AJ3895">
        <v>40.132863999999998</v>
      </c>
      <c r="AK3895" t="s">
        <v>2198</v>
      </c>
      <c r="AL3895">
        <v>-93.080099000000004</v>
      </c>
      <c r="AM3895">
        <v>100</v>
      </c>
      <c r="AN3895">
        <v>1300</v>
      </c>
      <c r="AO3895" t="s">
        <v>118</v>
      </c>
      <c r="AP3895">
        <v>-113</v>
      </c>
      <c r="AQ3895">
        <v>61</v>
      </c>
      <c r="AR3895">
        <v>-64</v>
      </c>
      <c r="AZ3895">
        <v>1200</v>
      </c>
      <c r="BA3895">
        <v>1</v>
      </c>
      <c r="BB3895" t="str">
        <f t="shared" si="195"/>
        <v xml:space="preserve">N8080G  </v>
      </c>
      <c r="BC3895">
        <v>1</v>
      </c>
      <c r="BE3895">
        <v>0</v>
      </c>
      <c r="BF3895">
        <v>0</v>
      </c>
      <c r="BG3895">
        <v>0</v>
      </c>
      <c r="BH3895">
        <v>1350</v>
      </c>
      <c r="BI3895">
        <v>1</v>
      </c>
      <c r="BJ3895">
        <v>1</v>
      </c>
      <c r="BK3895">
        <v>1</v>
      </c>
      <c r="BL3895">
        <v>0</v>
      </c>
      <c r="BO3895">
        <v>0</v>
      </c>
      <c r="BP3895">
        <v>0</v>
      </c>
      <c r="BW3895" t="str">
        <f>"20:36:04.431"</f>
        <v>20:36:04.431</v>
      </c>
      <c r="BZ3895">
        <v>0</v>
      </c>
      <c r="CA3895">
        <v>1600</v>
      </c>
      <c r="CB3895">
        <v>224</v>
      </c>
      <c r="CD3895">
        <v>1</v>
      </c>
      <c r="CE3895">
        <v>0</v>
      </c>
      <c r="CF3895">
        <v>0</v>
      </c>
      <c r="CG3895">
        <v>1</v>
      </c>
      <c r="CH3895">
        <v>0</v>
      </c>
      <c r="CI3895">
        <v>0</v>
      </c>
      <c r="CJ3895">
        <v>0</v>
      </c>
      <c r="CK3895">
        <v>2</v>
      </c>
      <c r="CL3895">
        <v>0</v>
      </c>
      <c r="CM3895">
        <v>2</v>
      </c>
      <c r="CN3895">
        <v>0</v>
      </c>
      <c r="CO3895">
        <v>6</v>
      </c>
      <c r="CP3895" t="s">
        <v>119</v>
      </c>
      <c r="CQ3895">
        <v>180</v>
      </c>
      <c r="CR3895">
        <v>3</v>
      </c>
      <c r="CW3895">
        <v>1291474</v>
      </c>
      <c r="CY3895">
        <v>0</v>
      </c>
      <c r="CZ3895">
        <v>0</v>
      </c>
      <c r="DA3895">
        <v>0</v>
      </c>
      <c r="DB3895">
        <v>0</v>
      </c>
      <c r="DC3895">
        <v>0</v>
      </c>
      <c r="DD3895">
        <v>0</v>
      </c>
      <c r="DE3895">
        <v>0</v>
      </c>
      <c r="DF3895">
        <v>0</v>
      </c>
      <c r="DG3895">
        <v>0</v>
      </c>
      <c r="DH3895">
        <v>0</v>
      </c>
      <c r="DI3895">
        <v>0</v>
      </c>
    </row>
    <row r="3896" spans="1:113" x14ac:dyDescent="0.3">
      <c r="A3896" t="str">
        <f>"02/08/2021 20:36:02.116"</f>
        <v>02/08/2021 20:36:02.116</v>
      </c>
      <c r="C3896" t="str">
        <f t="shared" si="194"/>
        <v>FFDFD7C0</v>
      </c>
      <c r="D3896" t="s">
        <v>124</v>
      </c>
      <c r="E3896">
        <v>13</v>
      </c>
      <c r="F3896">
        <v>1013</v>
      </c>
      <c r="G3896" t="s">
        <v>114</v>
      </c>
      <c r="J3896" t="s">
        <v>125</v>
      </c>
      <c r="K3896">
        <v>0</v>
      </c>
      <c r="L3896">
        <v>3</v>
      </c>
      <c r="M3896">
        <v>0</v>
      </c>
      <c r="N3896">
        <v>2</v>
      </c>
      <c r="O3896">
        <v>1</v>
      </c>
      <c r="P3896">
        <v>0</v>
      </c>
      <c r="Q3896">
        <v>0</v>
      </c>
      <c r="S3896" t="str">
        <f>"20:36:04.430"</f>
        <v>20:36:04.430</v>
      </c>
      <c r="T3896" t="str">
        <f>"20:36:03.930"</f>
        <v>20:36:03.930</v>
      </c>
      <c r="U3896" t="str">
        <f t="shared" si="193"/>
        <v>AB01F4</v>
      </c>
      <c r="V3896">
        <v>0</v>
      </c>
      <c r="W3896">
        <v>0</v>
      </c>
      <c r="X3896">
        <v>2</v>
      </c>
      <c r="Z3896">
        <v>0</v>
      </c>
      <c r="AA3896">
        <v>9</v>
      </c>
      <c r="AB3896">
        <v>3</v>
      </c>
      <c r="AC3896">
        <v>0</v>
      </c>
      <c r="AD3896">
        <v>10</v>
      </c>
      <c r="AE3896">
        <v>0</v>
      </c>
      <c r="AF3896">
        <v>3</v>
      </c>
      <c r="AG3896">
        <v>2</v>
      </c>
      <c r="AH3896">
        <v>0</v>
      </c>
      <c r="AI3896" t="s">
        <v>2197</v>
      </c>
      <c r="AJ3896">
        <v>40.132863999999998</v>
      </c>
      <c r="AK3896" t="s">
        <v>2198</v>
      </c>
      <c r="AL3896">
        <v>-93.080099000000004</v>
      </c>
      <c r="AM3896">
        <v>100</v>
      </c>
      <c r="AN3896">
        <v>1300</v>
      </c>
      <c r="AO3896" t="s">
        <v>118</v>
      </c>
      <c r="AP3896">
        <v>-113</v>
      </c>
      <c r="AQ3896">
        <v>61</v>
      </c>
      <c r="AR3896">
        <v>-64</v>
      </c>
      <c r="AZ3896">
        <v>1200</v>
      </c>
      <c r="BA3896">
        <v>1</v>
      </c>
      <c r="BB3896" t="str">
        <f t="shared" si="195"/>
        <v xml:space="preserve">N8080G  </v>
      </c>
      <c r="BC3896">
        <v>1</v>
      </c>
      <c r="BE3896">
        <v>0</v>
      </c>
      <c r="BF3896">
        <v>0</v>
      </c>
      <c r="BG3896">
        <v>0</v>
      </c>
      <c r="BH3896">
        <v>1350</v>
      </c>
      <c r="BI3896">
        <v>1</v>
      </c>
      <c r="BJ3896">
        <v>1</v>
      </c>
      <c r="BK3896">
        <v>1</v>
      </c>
      <c r="BL3896">
        <v>0</v>
      </c>
      <c r="BO3896">
        <v>0</v>
      </c>
      <c r="BP3896">
        <v>0</v>
      </c>
      <c r="BW3896" t="str">
        <f>"20:36:04.431"</f>
        <v>20:36:04.431</v>
      </c>
      <c r="BZ3896">
        <v>0</v>
      </c>
      <c r="CA3896">
        <v>1600</v>
      </c>
      <c r="CB3896">
        <v>224</v>
      </c>
      <c r="CD3896">
        <v>1</v>
      </c>
      <c r="CE3896">
        <v>0</v>
      </c>
      <c r="CF3896">
        <v>0</v>
      </c>
      <c r="CG3896">
        <v>1</v>
      </c>
      <c r="CH3896">
        <v>0</v>
      </c>
      <c r="CI3896">
        <v>0</v>
      </c>
      <c r="CJ3896">
        <v>0</v>
      </c>
      <c r="CK3896">
        <v>2</v>
      </c>
      <c r="CL3896">
        <v>0</v>
      </c>
      <c r="CM3896">
        <v>2</v>
      </c>
      <c r="CN3896">
        <v>0</v>
      </c>
      <c r="CO3896">
        <v>6</v>
      </c>
      <c r="CP3896" t="s">
        <v>119</v>
      </c>
      <c r="CQ3896">
        <v>180</v>
      </c>
      <c r="CR3896">
        <v>3</v>
      </c>
      <c r="CW3896">
        <v>1291474</v>
      </c>
      <c r="CY3896">
        <v>0</v>
      </c>
      <c r="CZ3896">
        <v>0</v>
      </c>
      <c r="DA3896">
        <v>1</v>
      </c>
      <c r="DB3896">
        <v>0</v>
      </c>
      <c r="DC3896">
        <v>0</v>
      </c>
      <c r="DD3896">
        <v>0</v>
      </c>
      <c r="DE3896">
        <v>0</v>
      </c>
      <c r="DF3896">
        <v>0</v>
      </c>
      <c r="DG3896">
        <v>0</v>
      </c>
      <c r="DH3896">
        <v>0</v>
      </c>
      <c r="DI3896">
        <v>0</v>
      </c>
    </row>
    <row r="3897" spans="1:113" x14ac:dyDescent="0.3">
      <c r="A3897" t="str">
        <f>"02/08/2021 20:36:02.116"</f>
        <v>02/08/2021 20:36:02.116</v>
      </c>
      <c r="C3897" t="str">
        <f t="shared" si="194"/>
        <v>FFDFD7C0</v>
      </c>
      <c r="D3897" t="s">
        <v>113</v>
      </c>
      <c r="E3897">
        <v>6</v>
      </c>
      <c r="H3897">
        <v>165</v>
      </c>
      <c r="I3897" t="s">
        <v>114</v>
      </c>
      <c r="J3897" t="s">
        <v>115</v>
      </c>
      <c r="K3897">
        <v>0</v>
      </c>
      <c r="L3897">
        <v>3</v>
      </c>
      <c r="M3897">
        <v>0</v>
      </c>
      <c r="N3897">
        <v>2</v>
      </c>
      <c r="O3897">
        <v>1</v>
      </c>
      <c r="P3897">
        <v>0</v>
      </c>
      <c r="Q3897">
        <v>0</v>
      </c>
      <c r="S3897" t="str">
        <f>"20:36:04.430"</f>
        <v>20:36:04.430</v>
      </c>
      <c r="T3897" t="str">
        <f>"20:36:03.930"</f>
        <v>20:36:03.930</v>
      </c>
      <c r="U3897" t="str">
        <f t="shared" si="193"/>
        <v>AB01F4</v>
      </c>
      <c r="V3897">
        <v>0</v>
      </c>
      <c r="W3897">
        <v>0</v>
      </c>
      <c r="X3897">
        <v>2</v>
      </c>
      <c r="Z3897">
        <v>0</v>
      </c>
      <c r="AA3897">
        <v>9</v>
      </c>
      <c r="AB3897">
        <v>3</v>
      </c>
      <c r="AC3897">
        <v>0</v>
      </c>
      <c r="AD3897">
        <v>10</v>
      </c>
      <c r="AE3897">
        <v>0</v>
      </c>
      <c r="AF3897">
        <v>3</v>
      </c>
      <c r="AG3897">
        <v>2</v>
      </c>
      <c r="AH3897">
        <v>0</v>
      </c>
      <c r="AI3897" t="s">
        <v>2197</v>
      </c>
      <c r="AJ3897">
        <v>40.132863999999998</v>
      </c>
      <c r="AK3897" t="s">
        <v>2198</v>
      </c>
      <c r="AL3897">
        <v>-93.080099000000004</v>
      </c>
      <c r="AM3897">
        <v>100</v>
      </c>
      <c r="AN3897">
        <v>1300</v>
      </c>
      <c r="AO3897" t="s">
        <v>118</v>
      </c>
      <c r="AP3897">
        <v>-113</v>
      </c>
      <c r="AQ3897">
        <v>61</v>
      </c>
      <c r="AR3897">
        <v>-64</v>
      </c>
      <c r="AZ3897">
        <v>1200</v>
      </c>
      <c r="BA3897">
        <v>1</v>
      </c>
      <c r="BB3897" t="str">
        <f t="shared" si="195"/>
        <v xml:space="preserve">N8080G  </v>
      </c>
      <c r="BC3897">
        <v>1</v>
      </c>
      <c r="BE3897">
        <v>0</v>
      </c>
      <c r="BF3897">
        <v>0</v>
      </c>
      <c r="BG3897">
        <v>0</v>
      </c>
      <c r="BH3897">
        <v>1350</v>
      </c>
      <c r="BI3897">
        <v>1</v>
      </c>
      <c r="BJ3897">
        <v>1</v>
      </c>
      <c r="BK3897">
        <v>1</v>
      </c>
      <c r="BL3897">
        <v>0</v>
      </c>
      <c r="BO3897">
        <v>0</v>
      </c>
      <c r="BP3897">
        <v>0</v>
      </c>
      <c r="BW3897" t="str">
        <f>"20:36:04.431"</f>
        <v>20:36:04.431</v>
      </c>
      <c r="BZ3897">
        <v>0</v>
      </c>
      <c r="CA3897">
        <v>1600</v>
      </c>
      <c r="CB3897">
        <v>224</v>
      </c>
      <c r="CD3897">
        <v>1</v>
      </c>
      <c r="CE3897">
        <v>0</v>
      </c>
      <c r="CF3897">
        <v>0</v>
      </c>
      <c r="CG3897">
        <v>1</v>
      </c>
      <c r="CH3897">
        <v>0</v>
      </c>
      <c r="CI3897">
        <v>0</v>
      </c>
      <c r="CJ3897">
        <v>0</v>
      </c>
      <c r="CK3897">
        <v>2</v>
      </c>
      <c r="CL3897">
        <v>0</v>
      </c>
      <c r="CM3897">
        <v>2</v>
      </c>
      <c r="CN3897">
        <v>0</v>
      </c>
      <c r="CO3897">
        <v>6</v>
      </c>
      <c r="CP3897" t="s">
        <v>119</v>
      </c>
      <c r="CQ3897">
        <v>180</v>
      </c>
      <c r="CR3897">
        <v>3</v>
      </c>
      <c r="CW3897">
        <v>1291474</v>
      </c>
      <c r="CY3897">
        <v>0</v>
      </c>
      <c r="CZ3897">
        <v>0</v>
      </c>
      <c r="DA3897">
        <v>1</v>
      </c>
      <c r="DB3897">
        <v>0</v>
      </c>
      <c r="DC3897">
        <v>0</v>
      </c>
      <c r="DD3897">
        <v>0</v>
      </c>
      <c r="DE3897">
        <v>0</v>
      </c>
      <c r="DF3897">
        <v>0</v>
      </c>
      <c r="DG3897">
        <v>0</v>
      </c>
      <c r="DH3897">
        <v>0</v>
      </c>
      <c r="DI3897">
        <v>0</v>
      </c>
    </row>
    <row r="3898" spans="1:113" x14ac:dyDescent="0.3">
      <c r="A3898" t="str">
        <f>"02/08/2021 20:36:02.116"</f>
        <v>02/08/2021 20:36:02.116</v>
      </c>
      <c r="C3898" t="str">
        <f t="shared" si="194"/>
        <v>FFDFD7C0</v>
      </c>
      <c r="D3898" t="s">
        <v>124</v>
      </c>
      <c r="E3898">
        <v>12</v>
      </c>
      <c r="F3898">
        <v>1012</v>
      </c>
      <c r="G3898" t="s">
        <v>675</v>
      </c>
      <c r="J3898" t="s">
        <v>125</v>
      </c>
      <c r="K3898">
        <v>0</v>
      </c>
      <c r="L3898">
        <v>3</v>
      </c>
      <c r="M3898">
        <v>0</v>
      </c>
      <c r="N3898">
        <v>2</v>
      </c>
      <c r="O3898">
        <v>1</v>
      </c>
      <c r="P3898">
        <v>0</v>
      </c>
      <c r="Q3898">
        <v>0</v>
      </c>
      <c r="S3898" t="str">
        <f>"20:36:04.430"</f>
        <v>20:36:04.430</v>
      </c>
      <c r="T3898" t="str">
        <f>"20:36:03.930"</f>
        <v>20:36:03.930</v>
      </c>
      <c r="U3898" t="str">
        <f t="shared" si="193"/>
        <v>AB01F4</v>
      </c>
      <c r="V3898">
        <v>0</v>
      </c>
      <c r="W3898">
        <v>0</v>
      </c>
      <c r="X3898">
        <v>2</v>
      </c>
      <c r="Z3898">
        <v>0</v>
      </c>
      <c r="AA3898">
        <v>9</v>
      </c>
      <c r="AB3898">
        <v>3</v>
      </c>
      <c r="AC3898">
        <v>0</v>
      </c>
      <c r="AD3898">
        <v>10</v>
      </c>
      <c r="AE3898">
        <v>0</v>
      </c>
      <c r="AF3898">
        <v>3</v>
      </c>
      <c r="AG3898">
        <v>2</v>
      </c>
      <c r="AH3898">
        <v>0</v>
      </c>
      <c r="AI3898" t="s">
        <v>2197</v>
      </c>
      <c r="AJ3898">
        <v>40.132863999999998</v>
      </c>
      <c r="AK3898" t="s">
        <v>2198</v>
      </c>
      <c r="AL3898">
        <v>-93.080099000000004</v>
      </c>
      <c r="AM3898">
        <v>100</v>
      </c>
      <c r="AN3898">
        <v>1300</v>
      </c>
      <c r="AO3898" t="s">
        <v>118</v>
      </c>
      <c r="AP3898">
        <v>-113</v>
      </c>
      <c r="AQ3898">
        <v>61</v>
      </c>
      <c r="AR3898">
        <v>-64</v>
      </c>
      <c r="AZ3898">
        <v>1200</v>
      </c>
      <c r="BA3898">
        <v>1</v>
      </c>
      <c r="BB3898" t="str">
        <f t="shared" si="195"/>
        <v xml:space="preserve">N8080G  </v>
      </c>
      <c r="BC3898">
        <v>1</v>
      </c>
      <c r="BE3898">
        <v>0</v>
      </c>
      <c r="BF3898">
        <v>0</v>
      </c>
      <c r="BG3898">
        <v>0</v>
      </c>
      <c r="BH3898">
        <v>1350</v>
      </c>
      <c r="BI3898">
        <v>1</v>
      </c>
      <c r="BJ3898">
        <v>1</v>
      </c>
      <c r="BK3898">
        <v>1</v>
      </c>
      <c r="BL3898">
        <v>0</v>
      </c>
      <c r="BO3898">
        <v>0</v>
      </c>
      <c r="BP3898">
        <v>0</v>
      </c>
      <c r="BW3898" t="str">
        <f>"20:36:04.431"</f>
        <v>20:36:04.431</v>
      </c>
      <c r="BZ3898">
        <v>0</v>
      </c>
      <c r="CA3898">
        <v>1600</v>
      </c>
      <c r="CB3898">
        <v>224</v>
      </c>
      <c r="CD3898">
        <v>1</v>
      </c>
      <c r="CE3898">
        <v>0</v>
      </c>
      <c r="CF3898">
        <v>0</v>
      </c>
      <c r="CG3898">
        <v>1</v>
      </c>
      <c r="CH3898">
        <v>0</v>
      </c>
      <c r="CI3898">
        <v>0</v>
      </c>
      <c r="CJ3898">
        <v>0</v>
      </c>
      <c r="CK3898">
        <v>2</v>
      </c>
      <c r="CL3898">
        <v>0</v>
      </c>
      <c r="CM3898">
        <v>2</v>
      </c>
      <c r="CN3898">
        <v>0</v>
      </c>
      <c r="CO3898">
        <v>6</v>
      </c>
      <c r="CP3898" t="s">
        <v>119</v>
      </c>
      <c r="CQ3898">
        <v>180</v>
      </c>
      <c r="CR3898">
        <v>3</v>
      </c>
      <c r="CW3898">
        <v>1291474</v>
      </c>
      <c r="CY3898">
        <v>0</v>
      </c>
      <c r="CZ3898">
        <v>0</v>
      </c>
      <c r="DA3898">
        <v>1</v>
      </c>
      <c r="DB3898">
        <v>0</v>
      </c>
      <c r="DC3898">
        <v>0</v>
      </c>
      <c r="DD3898">
        <v>0</v>
      </c>
      <c r="DE3898">
        <v>0</v>
      </c>
      <c r="DF3898">
        <v>0</v>
      </c>
      <c r="DG3898">
        <v>0</v>
      </c>
      <c r="DH3898">
        <v>0</v>
      </c>
      <c r="DI3898">
        <v>0</v>
      </c>
    </row>
    <row r="3899" spans="1:113" x14ac:dyDescent="0.3">
      <c r="A3899" t="str">
        <f>"02/08/2021 20:36:05.178"</f>
        <v>02/08/2021 20:36:05.178</v>
      </c>
      <c r="C3899" t="str">
        <f t="shared" si="194"/>
        <v>FFDFD7C0</v>
      </c>
      <c r="D3899" t="s">
        <v>124</v>
      </c>
      <c r="E3899">
        <v>12</v>
      </c>
      <c r="F3899">
        <v>1012</v>
      </c>
      <c r="G3899" t="s">
        <v>675</v>
      </c>
      <c r="J3899" t="s">
        <v>125</v>
      </c>
      <c r="K3899">
        <v>0</v>
      </c>
      <c r="L3899">
        <v>3</v>
      </c>
      <c r="M3899">
        <v>0</v>
      </c>
      <c r="N3899">
        <v>2</v>
      </c>
      <c r="O3899">
        <v>1</v>
      </c>
      <c r="P3899">
        <v>0</v>
      </c>
      <c r="Q3899">
        <v>0</v>
      </c>
      <c r="S3899" t="str">
        <f>"20:36:07.516"</f>
        <v>20:36:07.516</v>
      </c>
      <c r="T3899" t="str">
        <f>"20:36:07.116"</f>
        <v>20:36:07.116</v>
      </c>
      <c r="U3899" t="str">
        <f t="shared" si="193"/>
        <v>AB01F4</v>
      </c>
      <c r="V3899">
        <v>0</v>
      </c>
      <c r="W3899">
        <v>0</v>
      </c>
      <c r="X3899">
        <v>2</v>
      </c>
      <c r="Z3899">
        <v>0</v>
      </c>
      <c r="AA3899">
        <v>9</v>
      </c>
      <c r="AB3899">
        <v>3</v>
      </c>
      <c r="AC3899">
        <v>0</v>
      </c>
      <c r="AD3899">
        <v>10</v>
      </c>
      <c r="AE3899">
        <v>0</v>
      </c>
      <c r="AF3899">
        <v>3</v>
      </c>
      <c r="AG3899">
        <v>2</v>
      </c>
      <c r="AH3899">
        <v>0</v>
      </c>
      <c r="AI3899" t="s">
        <v>2199</v>
      </c>
      <c r="AJ3899">
        <v>40.133699999999997</v>
      </c>
      <c r="AK3899" t="s">
        <v>2200</v>
      </c>
      <c r="AL3899">
        <v>-93.082159000000004</v>
      </c>
      <c r="AM3899">
        <v>100</v>
      </c>
      <c r="AN3899">
        <v>1300</v>
      </c>
      <c r="AO3899" t="s">
        <v>118</v>
      </c>
      <c r="AP3899">
        <v>-113</v>
      </c>
      <c r="AQ3899">
        <v>61</v>
      </c>
      <c r="AR3899">
        <v>-64</v>
      </c>
      <c r="AZ3899">
        <v>1200</v>
      </c>
      <c r="BA3899">
        <v>1</v>
      </c>
      <c r="BB3899" t="str">
        <f t="shared" si="195"/>
        <v xml:space="preserve">N8080G  </v>
      </c>
      <c r="BC3899">
        <v>1</v>
      </c>
      <c r="BE3899">
        <v>0</v>
      </c>
      <c r="BF3899">
        <v>0</v>
      </c>
      <c r="BG3899">
        <v>0</v>
      </c>
      <c r="BH3899">
        <v>1350</v>
      </c>
      <c r="BI3899">
        <v>1</v>
      </c>
      <c r="BJ3899">
        <v>1</v>
      </c>
      <c r="BK3899">
        <v>1</v>
      </c>
      <c r="BL3899">
        <v>0</v>
      </c>
      <c r="BO3899">
        <v>0</v>
      </c>
      <c r="BP3899">
        <v>0</v>
      </c>
      <c r="BW3899" t="str">
        <f>"20:36:07.521"</f>
        <v>20:36:07.521</v>
      </c>
      <c r="BZ3899">
        <v>0</v>
      </c>
      <c r="CA3899">
        <v>1600</v>
      </c>
      <c r="CB3899">
        <v>224</v>
      </c>
      <c r="CD3899">
        <v>1</v>
      </c>
      <c r="CE3899">
        <v>0</v>
      </c>
      <c r="CF3899">
        <v>0</v>
      </c>
      <c r="CG3899">
        <v>1</v>
      </c>
      <c r="CH3899">
        <v>0</v>
      </c>
      <c r="CI3899">
        <v>0</v>
      </c>
      <c r="CJ3899">
        <v>0</v>
      </c>
      <c r="CK3899">
        <v>2</v>
      </c>
      <c r="CL3899">
        <v>0</v>
      </c>
      <c r="CM3899">
        <v>2</v>
      </c>
      <c r="CN3899">
        <v>0</v>
      </c>
      <c r="CO3899">
        <v>6</v>
      </c>
      <c r="CP3899" t="s">
        <v>119</v>
      </c>
      <c r="CQ3899">
        <v>180</v>
      </c>
      <c r="CR3899">
        <v>3</v>
      </c>
      <c r="CW3899">
        <v>1293907</v>
      </c>
      <c r="CY3899">
        <v>0</v>
      </c>
      <c r="CZ3899">
        <v>0</v>
      </c>
      <c r="DA3899">
        <v>0</v>
      </c>
      <c r="DB3899">
        <v>0</v>
      </c>
      <c r="DC3899">
        <v>0</v>
      </c>
      <c r="DD3899">
        <v>0</v>
      </c>
      <c r="DE3899">
        <v>0</v>
      </c>
      <c r="DF3899">
        <v>0</v>
      </c>
      <c r="DG3899">
        <v>0</v>
      </c>
      <c r="DH3899">
        <v>0</v>
      </c>
      <c r="DI3899">
        <v>0</v>
      </c>
    </row>
    <row r="3900" spans="1:113" x14ac:dyDescent="0.3">
      <c r="A3900" t="str">
        <f>"02/08/2021 20:36:05.178"</f>
        <v>02/08/2021 20:36:05.178</v>
      </c>
      <c r="C3900" t="str">
        <f t="shared" si="194"/>
        <v>FFDFD7C0</v>
      </c>
      <c r="D3900" t="s">
        <v>124</v>
      </c>
      <c r="E3900">
        <v>13</v>
      </c>
      <c r="F3900">
        <v>1013</v>
      </c>
      <c r="G3900" t="s">
        <v>114</v>
      </c>
      <c r="J3900" t="s">
        <v>125</v>
      </c>
      <c r="K3900">
        <v>0</v>
      </c>
      <c r="L3900">
        <v>3</v>
      </c>
      <c r="M3900">
        <v>0</v>
      </c>
      <c r="N3900">
        <v>2</v>
      </c>
      <c r="O3900">
        <v>1</v>
      </c>
      <c r="P3900">
        <v>0</v>
      </c>
      <c r="Q3900">
        <v>0</v>
      </c>
      <c r="S3900" t="str">
        <f>"20:36:07.516"</f>
        <v>20:36:07.516</v>
      </c>
      <c r="T3900" t="str">
        <f>"20:36:07.116"</f>
        <v>20:36:07.116</v>
      </c>
      <c r="U3900" t="str">
        <f t="shared" si="193"/>
        <v>AB01F4</v>
      </c>
      <c r="V3900">
        <v>0</v>
      </c>
      <c r="W3900">
        <v>0</v>
      </c>
      <c r="X3900">
        <v>2</v>
      </c>
      <c r="Z3900">
        <v>0</v>
      </c>
      <c r="AA3900">
        <v>9</v>
      </c>
      <c r="AB3900">
        <v>3</v>
      </c>
      <c r="AC3900">
        <v>0</v>
      </c>
      <c r="AD3900">
        <v>10</v>
      </c>
      <c r="AE3900">
        <v>0</v>
      </c>
      <c r="AF3900">
        <v>3</v>
      </c>
      <c r="AG3900">
        <v>2</v>
      </c>
      <c r="AH3900">
        <v>0</v>
      </c>
      <c r="AI3900" t="s">
        <v>2199</v>
      </c>
      <c r="AJ3900">
        <v>40.133699999999997</v>
      </c>
      <c r="AK3900" t="s">
        <v>2200</v>
      </c>
      <c r="AL3900">
        <v>-93.082159000000004</v>
      </c>
      <c r="AM3900">
        <v>100</v>
      </c>
      <c r="AN3900">
        <v>1300</v>
      </c>
      <c r="AO3900" t="s">
        <v>118</v>
      </c>
      <c r="AP3900">
        <v>-113</v>
      </c>
      <c r="AQ3900">
        <v>61</v>
      </c>
      <c r="AR3900">
        <v>-64</v>
      </c>
      <c r="AZ3900">
        <v>1200</v>
      </c>
      <c r="BA3900">
        <v>1</v>
      </c>
      <c r="BB3900" t="str">
        <f t="shared" si="195"/>
        <v xml:space="preserve">N8080G  </v>
      </c>
      <c r="BC3900">
        <v>1</v>
      </c>
      <c r="BE3900">
        <v>0</v>
      </c>
      <c r="BF3900">
        <v>0</v>
      </c>
      <c r="BG3900">
        <v>0</v>
      </c>
      <c r="BH3900">
        <v>1350</v>
      </c>
      <c r="BI3900">
        <v>1</v>
      </c>
      <c r="BJ3900">
        <v>1</v>
      </c>
      <c r="BK3900">
        <v>1</v>
      </c>
      <c r="BL3900">
        <v>0</v>
      </c>
      <c r="BO3900">
        <v>0</v>
      </c>
      <c r="BP3900">
        <v>0</v>
      </c>
      <c r="BW3900" t="str">
        <f>"20:36:07.521"</f>
        <v>20:36:07.521</v>
      </c>
      <c r="BZ3900">
        <v>0</v>
      </c>
      <c r="CA3900">
        <v>1600</v>
      </c>
      <c r="CB3900">
        <v>224</v>
      </c>
      <c r="CD3900">
        <v>1</v>
      </c>
      <c r="CE3900">
        <v>0</v>
      </c>
      <c r="CF3900">
        <v>0</v>
      </c>
      <c r="CG3900">
        <v>1</v>
      </c>
      <c r="CH3900">
        <v>0</v>
      </c>
      <c r="CI3900">
        <v>0</v>
      </c>
      <c r="CJ3900">
        <v>0</v>
      </c>
      <c r="CK3900">
        <v>2</v>
      </c>
      <c r="CL3900">
        <v>0</v>
      </c>
      <c r="CM3900">
        <v>2</v>
      </c>
      <c r="CN3900">
        <v>0</v>
      </c>
      <c r="CO3900">
        <v>6</v>
      </c>
      <c r="CP3900" t="s">
        <v>119</v>
      </c>
      <c r="CQ3900">
        <v>180</v>
      </c>
      <c r="CR3900">
        <v>3</v>
      </c>
      <c r="CW3900">
        <v>1293907</v>
      </c>
      <c r="CY3900">
        <v>0</v>
      </c>
      <c r="CZ3900">
        <v>0</v>
      </c>
      <c r="DA3900">
        <v>1</v>
      </c>
      <c r="DB3900">
        <v>0</v>
      </c>
      <c r="DC3900">
        <v>0</v>
      </c>
      <c r="DD3900">
        <v>0</v>
      </c>
      <c r="DE3900">
        <v>0</v>
      </c>
      <c r="DF3900">
        <v>0</v>
      </c>
      <c r="DG3900">
        <v>0</v>
      </c>
      <c r="DH3900">
        <v>0</v>
      </c>
      <c r="DI3900">
        <v>0</v>
      </c>
    </row>
    <row r="3901" spans="1:113" x14ac:dyDescent="0.3">
      <c r="A3901" t="str">
        <f>"02/08/2021 20:36:05.178"</f>
        <v>02/08/2021 20:36:05.178</v>
      </c>
      <c r="C3901" t="str">
        <f t="shared" si="194"/>
        <v>FFDFD7C0</v>
      </c>
      <c r="D3901" t="s">
        <v>124</v>
      </c>
      <c r="E3901">
        <v>11</v>
      </c>
      <c r="F3901">
        <v>1011</v>
      </c>
      <c r="G3901" t="s">
        <v>590</v>
      </c>
      <c r="J3901" t="s">
        <v>125</v>
      </c>
      <c r="K3901">
        <v>0</v>
      </c>
      <c r="L3901">
        <v>3</v>
      </c>
      <c r="M3901">
        <v>0</v>
      </c>
      <c r="N3901">
        <v>2</v>
      </c>
      <c r="O3901">
        <v>1</v>
      </c>
      <c r="P3901">
        <v>0</v>
      </c>
      <c r="Q3901">
        <v>0</v>
      </c>
      <c r="S3901" t="str">
        <f>"20:36:07.516"</f>
        <v>20:36:07.516</v>
      </c>
      <c r="T3901" t="str">
        <f>"20:36:07.116"</f>
        <v>20:36:07.116</v>
      </c>
      <c r="U3901" t="str">
        <f t="shared" si="193"/>
        <v>AB01F4</v>
      </c>
      <c r="V3901">
        <v>0</v>
      </c>
      <c r="W3901">
        <v>0</v>
      </c>
      <c r="X3901">
        <v>2</v>
      </c>
      <c r="Z3901">
        <v>0</v>
      </c>
      <c r="AA3901">
        <v>9</v>
      </c>
      <c r="AB3901">
        <v>3</v>
      </c>
      <c r="AC3901">
        <v>0</v>
      </c>
      <c r="AD3901">
        <v>10</v>
      </c>
      <c r="AE3901">
        <v>0</v>
      </c>
      <c r="AF3901">
        <v>3</v>
      </c>
      <c r="AG3901">
        <v>2</v>
      </c>
      <c r="AH3901">
        <v>0</v>
      </c>
      <c r="AI3901" t="s">
        <v>2199</v>
      </c>
      <c r="AJ3901">
        <v>40.133699999999997</v>
      </c>
      <c r="AK3901" t="s">
        <v>2200</v>
      </c>
      <c r="AL3901">
        <v>-93.082159000000004</v>
      </c>
      <c r="AM3901">
        <v>100</v>
      </c>
      <c r="AN3901">
        <v>1300</v>
      </c>
      <c r="AO3901" t="s">
        <v>118</v>
      </c>
      <c r="AP3901">
        <v>-113</v>
      </c>
      <c r="AQ3901">
        <v>61</v>
      </c>
      <c r="AR3901">
        <v>-64</v>
      </c>
      <c r="AZ3901">
        <v>1200</v>
      </c>
      <c r="BA3901">
        <v>1</v>
      </c>
      <c r="BB3901" t="str">
        <f t="shared" si="195"/>
        <v xml:space="preserve">N8080G  </v>
      </c>
      <c r="BC3901">
        <v>1</v>
      </c>
      <c r="BE3901">
        <v>0</v>
      </c>
      <c r="BF3901">
        <v>0</v>
      </c>
      <c r="BG3901">
        <v>0</v>
      </c>
      <c r="BH3901">
        <v>1350</v>
      </c>
      <c r="BI3901">
        <v>1</v>
      </c>
      <c r="BJ3901">
        <v>1</v>
      </c>
      <c r="BK3901">
        <v>1</v>
      </c>
      <c r="BL3901">
        <v>0</v>
      </c>
      <c r="BO3901">
        <v>0</v>
      </c>
      <c r="BP3901">
        <v>0</v>
      </c>
      <c r="BW3901" t="str">
        <f>"20:36:07.521"</f>
        <v>20:36:07.521</v>
      </c>
      <c r="BZ3901">
        <v>0</v>
      </c>
      <c r="CA3901">
        <v>1600</v>
      </c>
      <c r="CB3901">
        <v>224</v>
      </c>
      <c r="CD3901">
        <v>1</v>
      </c>
      <c r="CE3901">
        <v>0</v>
      </c>
      <c r="CF3901">
        <v>0</v>
      </c>
      <c r="CG3901">
        <v>1</v>
      </c>
      <c r="CH3901">
        <v>0</v>
      </c>
      <c r="CI3901">
        <v>0</v>
      </c>
      <c r="CJ3901">
        <v>0</v>
      </c>
      <c r="CK3901">
        <v>2</v>
      </c>
      <c r="CL3901">
        <v>0</v>
      </c>
      <c r="CM3901">
        <v>2</v>
      </c>
      <c r="CN3901">
        <v>0</v>
      </c>
      <c r="CO3901">
        <v>6</v>
      </c>
      <c r="CP3901" t="s">
        <v>119</v>
      </c>
      <c r="CQ3901">
        <v>180</v>
      </c>
      <c r="CR3901">
        <v>3</v>
      </c>
      <c r="CW3901">
        <v>1293907</v>
      </c>
      <c r="CY3901">
        <v>0</v>
      </c>
      <c r="CZ3901">
        <v>0</v>
      </c>
      <c r="DA3901">
        <v>1</v>
      </c>
      <c r="DB3901">
        <v>0</v>
      </c>
      <c r="DC3901">
        <v>0</v>
      </c>
      <c r="DD3901">
        <v>0</v>
      </c>
      <c r="DE3901">
        <v>0</v>
      </c>
      <c r="DF3901">
        <v>0</v>
      </c>
      <c r="DG3901">
        <v>0</v>
      </c>
      <c r="DH3901">
        <v>0</v>
      </c>
      <c r="DI3901">
        <v>0</v>
      </c>
    </row>
    <row r="3902" spans="1:113" x14ac:dyDescent="0.3">
      <c r="A3902" t="str">
        <f>"02/08/2021 20:36:05.178"</f>
        <v>02/08/2021 20:36:05.178</v>
      </c>
      <c r="C3902" t="str">
        <f t="shared" si="194"/>
        <v>FFDFD7C0</v>
      </c>
      <c r="D3902" t="s">
        <v>113</v>
      </c>
      <c r="E3902">
        <v>6</v>
      </c>
      <c r="H3902">
        <v>165</v>
      </c>
      <c r="I3902" t="s">
        <v>114</v>
      </c>
      <c r="J3902" t="s">
        <v>115</v>
      </c>
      <c r="K3902">
        <v>0</v>
      </c>
      <c r="L3902">
        <v>3</v>
      </c>
      <c r="M3902">
        <v>0</v>
      </c>
      <c r="N3902">
        <v>2</v>
      </c>
      <c r="O3902">
        <v>1</v>
      </c>
      <c r="P3902">
        <v>0</v>
      </c>
      <c r="Q3902">
        <v>0</v>
      </c>
      <c r="S3902" t="str">
        <f>"20:36:07.516"</f>
        <v>20:36:07.516</v>
      </c>
      <c r="T3902" t="str">
        <f>"20:36:07.116"</f>
        <v>20:36:07.116</v>
      </c>
      <c r="U3902" t="str">
        <f t="shared" si="193"/>
        <v>AB01F4</v>
      </c>
      <c r="V3902">
        <v>0</v>
      </c>
      <c r="W3902">
        <v>0</v>
      </c>
      <c r="X3902">
        <v>2</v>
      </c>
      <c r="Z3902">
        <v>0</v>
      </c>
      <c r="AA3902">
        <v>9</v>
      </c>
      <c r="AB3902">
        <v>3</v>
      </c>
      <c r="AC3902">
        <v>0</v>
      </c>
      <c r="AD3902">
        <v>10</v>
      </c>
      <c r="AE3902">
        <v>0</v>
      </c>
      <c r="AF3902">
        <v>3</v>
      </c>
      <c r="AG3902">
        <v>2</v>
      </c>
      <c r="AH3902">
        <v>0</v>
      </c>
      <c r="AI3902" t="s">
        <v>2199</v>
      </c>
      <c r="AJ3902">
        <v>40.133699999999997</v>
      </c>
      <c r="AK3902" t="s">
        <v>2200</v>
      </c>
      <c r="AL3902">
        <v>-93.082159000000004</v>
      </c>
      <c r="AM3902">
        <v>100</v>
      </c>
      <c r="AN3902">
        <v>1300</v>
      </c>
      <c r="AO3902" t="s">
        <v>118</v>
      </c>
      <c r="AP3902">
        <v>-113</v>
      </c>
      <c r="AQ3902">
        <v>61</v>
      </c>
      <c r="AR3902">
        <v>-64</v>
      </c>
      <c r="AZ3902">
        <v>1200</v>
      </c>
      <c r="BA3902">
        <v>1</v>
      </c>
      <c r="BB3902" t="str">
        <f t="shared" si="195"/>
        <v xml:space="preserve">N8080G  </v>
      </c>
      <c r="BC3902">
        <v>1</v>
      </c>
      <c r="BE3902">
        <v>0</v>
      </c>
      <c r="BF3902">
        <v>0</v>
      </c>
      <c r="BG3902">
        <v>0</v>
      </c>
      <c r="BH3902">
        <v>1350</v>
      </c>
      <c r="BI3902">
        <v>1</v>
      </c>
      <c r="BJ3902">
        <v>1</v>
      </c>
      <c r="BK3902">
        <v>1</v>
      </c>
      <c r="BL3902">
        <v>0</v>
      </c>
      <c r="BO3902">
        <v>0</v>
      </c>
      <c r="BP3902">
        <v>0</v>
      </c>
      <c r="BW3902" t="str">
        <f>"20:36:07.521"</f>
        <v>20:36:07.521</v>
      </c>
      <c r="BZ3902">
        <v>0</v>
      </c>
      <c r="CA3902">
        <v>1600</v>
      </c>
      <c r="CB3902">
        <v>224</v>
      </c>
      <c r="CD3902">
        <v>1</v>
      </c>
      <c r="CE3902">
        <v>0</v>
      </c>
      <c r="CF3902">
        <v>0</v>
      </c>
      <c r="CG3902">
        <v>1</v>
      </c>
      <c r="CH3902">
        <v>0</v>
      </c>
      <c r="CI3902">
        <v>0</v>
      </c>
      <c r="CJ3902">
        <v>0</v>
      </c>
      <c r="CK3902">
        <v>2</v>
      </c>
      <c r="CL3902">
        <v>0</v>
      </c>
      <c r="CM3902">
        <v>2</v>
      </c>
      <c r="CN3902">
        <v>0</v>
      </c>
      <c r="CO3902">
        <v>6</v>
      </c>
      <c r="CP3902" t="s">
        <v>119</v>
      </c>
      <c r="CQ3902">
        <v>180</v>
      </c>
      <c r="CR3902">
        <v>3</v>
      </c>
      <c r="CW3902">
        <v>1293907</v>
      </c>
      <c r="CY3902">
        <v>0</v>
      </c>
      <c r="CZ3902">
        <v>0</v>
      </c>
      <c r="DA3902">
        <v>1</v>
      </c>
      <c r="DB3902">
        <v>0</v>
      </c>
      <c r="DC3902">
        <v>0</v>
      </c>
      <c r="DD3902">
        <v>0</v>
      </c>
      <c r="DE3902">
        <v>0</v>
      </c>
      <c r="DF3902">
        <v>0</v>
      </c>
      <c r="DG3902">
        <v>0</v>
      </c>
      <c r="DH3902">
        <v>0</v>
      </c>
      <c r="DI3902">
        <v>0</v>
      </c>
    </row>
    <row r="3903" spans="1:113" x14ac:dyDescent="0.3">
      <c r="A3903" t="str">
        <f>"02/08/2021 20:36:06.319"</f>
        <v>02/08/2021 20:36:06.319</v>
      </c>
      <c r="C3903" t="str">
        <f t="shared" si="194"/>
        <v>FFDFD7C0</v>
      </c>
      <c r="D3903" t="s">
        <v>113</v>
      </c>
      <c r="E3903">
        <v>6</v>
      </c>
      <c r="H3903">
        <v>165</v>
      </c>
      <c r="I3903" t="s">
        <v>114</v>
      </c>
      <c r="J3903" t="s">
        <v>115</v>
      </c>
      <c r="K3903">
        <v>0</v>
      </c>
      <c r="L3903">
        <v>3</v>
      </c>
      <c r="M3903">
        <v>0</v>
      </c>
      <c r="N3903">
        <v>2</v>
      </c>
      <c r="O3903">
        <v>1</v>
      </c>
      <c r="P3903">
        <v>0</v>
      </c>
      <c r="Q3903">
        <v>0</v>
      </c>
      <c r="S3903" t="str">
        <f>"20:36:08.641"</f>
        <v>20:36:08.641</v>
      </c>
      <c r="T3903" t="str">
        <f>"20:36:07.541"</f>
        <v>20:36:07.541</v>
      </c>
      <c r="U3903" t="str">
        <f t="shared" si="193"/>
        <v>AB01F4</v>
      </c>
      <c r="V3903">
        <v>0</v>
      </c>
      <c r="W3903">
        <v>0</v>
      </c>
      <c r="X3903">
        <v>2</v>
      </c>
      <c r="Z3903">
        <v>0</v>
      </c>
      <c r="AA3903">
        <v>9</v>
      </c>
      <c r="AB3903">
        <v>3</v>
      </c>
      <c r="AC3903">
        <v>0</v>
      </c>
      <c r="AD3903">
        <v>10</v>
      </c>
      <c r="AE3903">
        <v>0</v>
      </c>
      <c r="AF3903">
        <v>3</v>
      </c>
      <c r="AG3903">
        <v>2</v>
      </c>
      <c r="AH3903">
        <v>0</v>
      </c>
      <c r="AI3903" t="s">
        <v>2201</v>
      </c>
      <c r="AJ3903">
        <v>40.134044000000003</v>
      </c>
      <c r="AK3903" t="s">
        <v>2202</v>
      </c>
      <c r="AL3903">
        <v>-93.082973999999993</v>
      </c>
      <c r="AM3903">
        <v>100</v>
      </c>
      <c r="AN3903">
        <v>1300</v>
      </c>
      <c r="AO3903" t="s">
        <v>118</v>
      </c>
      <c r="AP3903">
        <v>-114</v>
      </c>
      <c r="AQ3903">
        <v>61</v>
      </c>
      <c r="AR3903">
        <v>-64</v>
      </c>
      <c r="AZ3903">
        <v>1200</v>
      </c>
      <c r="BA3903">
        <v>1</v>
      </c>
      <c r="BB3903" t="str">
        <f t="shared" si="195"/>
        <v xml:space="preserve">N8080G  </v>
      </c>
      <c r="BC3903">
        <v>1</v>
      </c>
      <c r="BE3903">
        <v>0</v>
      </c>
      <c r="BF3903">
        <v>0</v>
      </c>
      <c r="BG3903">
        <v>0</v>
      </c>
      <c r="BH3903">
        <v>1350</v>
      </c>
      <c r="BI3903">
        <v>1</v>
      </c>
      <c r="BJ3903">
        <v>1</v>
      </c>
      <c r="BK3903">
        <v>1</v>
      </c>
      <c r="BL3903">
        <v>0</v>
      </c>
      <c r="BO3903">
        <v>0</v>
      </c>
      <c r="BP3903">
        <v>0</v>
      </c>
      <c r="BW3903" t="str">
        <f>"20:36:08.642"</f>
        <v>20:36:08.642</v>
      </c>
      <c r="BZ3903">
        <v>0</v>
      </c>
      <c r="CA3903">
        <v>1600</v>
      </c>
      <c r="CB3903">
        <v>224</v>
      </c>
      <c r="CD3903">
        <v>1</v>
      </c>
      <c r="CE3903">
        <v>0</v>
      </c>
      <c r="CF3903">
        <v>0</v>
      </c>
      <c r="CG3903">
        <v>1</v>
      </c>
      <c r="CH3903">
        <v>0</v>
      </c>
      <c r="CI3903">
        <v>0</v>
      </c>
      <c r="CJ3903">
        <v>0</v>
      </c>
      <c r="CK3903">
        <v>2</v>
      </c>
      <c r="CL3903">
        <v>0</v>
      </c>
      <c r="CM3903">
        <v>2</v>
      </c>
      <c r="CN3903">
        <v>0</v>
      </c>
      <c r="CO3903">
        <v>3</v>
      </c>
      <c r="CP3903" t="s">
        <v>119</v>
      </c>
      <c r="CQ3903">
        <v>180</v>
      </c>
      <c r="CR3903">
        <v>0</v>
      </c>
      <c r="CW3903">
        <v>15142525</v>
      </c>
      <c r="CY3903">
        <v>0</v>
      </c>
      <c r="CZ3903">
        <v>0</v>
      </c>
      <c r="DA3903">
        <v>0</v>
      </c>
      <c r="DB3903">
        <v>0</v>
      </c>
      <c r="DC3903">
        <v>0</v>
      </c>
      <c r="DD3903">
        <v>0</v>
      </c>
      <c r="DE3903">
        <v>0</v>
      </c>
      <c r="DF3903">
        <v>0</v>
      </c>
      <c r="DG3903">
        <v>0</v>
      </c>
      <c r="DH3903">
        <v>0</v>
      </c>
      <c r="DI3903">
        <v>0</v>
      </c>
    </row>
    <row r="3904" spans="1:113" x14ac:dyDescent="0.3">
      <c r="A3904" t="str">
        <f>"02/08/2021 20:36:06.319"</f>
        <v>02/08/2021 20:36:06.319</v>
      </c>
      <c r="C3904" t="str">
        <f t="shared" si="194"/>
        <v>FFDFD7C0</v>
      </c>
      <c r="D3904" t="s">
        <v>124</v>
      </c>
      <c r="E3904">
        <v>12</v>
      </c>
      <c r="F3904">
        <v>1012</v>
      </c>
      <c r="G3904" t="s">
        <v>675</v>
      </c>
      <c r="J3904" t="s">
        <v>125</v>
      </c>
      <c r="K3904">
        <v>0</v>
      </c>
      <c r="L3904">
        <v>3</v>
      </c>
      <c r="M3904">
        <v>0</v>
      </c>
      <c r="N3904">
        <v>2</v>
      </c>
      <c r="O3904">
        <v>1</v>
      </c>
      <c r="P3904">
        <v>0</v>
      </c>
      <c r="Q3904">
        <v>0</v>
      </c>
      <c r="S3904" t="str">
        <f>"20:36:08.641"</f>
        <v>20:36:08.641</v>
      </c>
      <c r="T3904" t="str">
        <f>"20:36:07.541"</f>
        <v>20:36:07.541</v>
      </c>
      <c r="U3904" t="str">
        <f t="shared" si="193"/>
        <v>AB01F4</v>
      </c>
      <c r="V3904">
        <v>0</v>
      </c>
      <c r="W3904">
        <v>0</v>
      </c>
      <c r="X3904">
        <v>2</v>
      </c>
      <c r="Z3904">
        <v>0</v>
      </c>
      <c r="AA3904">
        <v>9</v>
      </c>
      <c r="AB3904">
        <v>3</v>
      </c>
      <c r="AC3904">
        <v>0</v>
      </c>
      <c r="AD3904">
        <v>10</v>
      </c>
      <c r="AE3904">
        <v>0</v>
      </c>
      <c r="AF3904">
        <v>3</v>
      </c>
      <c r="AG3904">
        <v>2</v>
      </c>
      <c r="AH3904">
        <v>0</v>
      </c>
      <c r="AI3904" t="s">
        <v>2201</v>
      </c>
      <c r="AJ3904">
        <v>40.134044000000003</v>
      </c>
      <c r="AK3904" t="s">
        <v>2202</v>
      </c>
      <c r="AL3904">
        <v>-93.082973999999993</v>
      </c>
      <c r="AM3904">
        <v>100</v>
      </c>
      <c r="AN3904">
        <v>1300</v>
      </c>
      <c r="AO3904" t="s">
        <v>118</v>
      </c>
      <c r="AP3904">
        <v>-114</v>
      </c>
      <c r="AQ3904">
        <v>61</v>
      </c>
      <c r="AR3904">
        <v>-64</v>
      </c>
      <c r="AZ3904">
        <v>1200</v>
      </c>
      <c r="BA3904">
        <v>1</v>
      </c>
      <c r="BB3904" t="str">
        <f t="shared" si="195"/>
        <v xml:space="preserve">N8080G  </v>
      </c>
      <c r="BC3904">
        <v>1</v>
      </c>
      <c r="BE3904">
        <v>0</v>
      </c>
      <c r="BF3904">
        <v>0</v>
      </c>
      <c r="BG3904">
        <v>0</v>
      </c>
      <c r="BH3904">
        <v>1350</v>
      </c>
      <c r="BI3904">
        <v>1</v>
      </c>
      <c r="BJ3904">
        <v>1</v>
      </c>
      <c r="BK3904">
        <v>1</v>
      </c>
      <c r="BL3904">
        <v>0</v>
      </c>
      <c r="BO3904">
        <v>0</v>
      </c>
      <c r="BP3904">
        <v>0</v>
      </c>
      <c r="BW3904" t="str">
        <f>"20:36:08.642"</f>
        <v>20:36:08.642</v>
      </c>
      <c r="BZ3904">
        <v>0</v>
      </c>
      <c r="CA3904">
        <v>1600</v>
      </c>
      <c r="CB3904">
        <v>224</v>
      </c>
      <c r="CD3904">
        <v>1</v>
      </c>
      <c r="CE3904">
        <v>0</v>
      </c>
      <c r="CF3904">
        <v>0</v>
      </c>
      <c r="CG3904">
        <v>1</v>
      </c>
      <c r="CH3904">
        <v>0</v>
      </c>
      <c r="CI3904">
        <v>0</v>
      </c>
      <c r="CJ3904">
        <v>0</v>
      </c>
      <c r="CK3904">
        <v>2</v>
      </c>
      <c r="CL3904">
        <v>0</v>
      </c>
      <c r="CM3904">
        <v>2</v>
      </c>
      <c r="CN3904">
        <v>0</v>
      </c>
      <c r="CO3904">
        <v>3</v>
      </c>
      <c r="CP3904" t="s">
        <v>119</v>
      </c>
      <c r="CQ3904">
        <v>180</v>
      </c>
      <c r="CR3904">
        <v>0</v>
      </c>
      <c r="CW3904">
        <v>15142525</v>
      </c>
      <c r="CY3904">
        <v>0</v>
      </c>
      <c r="CZ3904">
        <v>0</v>
      </c>
      <c r="DA3904">
        <v>1</v>
      </c>
      <c r="DB3904">
        <v>0</v>
      </c>
      <c r="DC3904">
        <v>0</v>
      </c>
      <c r="DD3904">
        <v>0</v>
      </c>
      <c r="DE3904">
        <v>0</v>
      </c>
      <c r="DF3904">
        <v>0</v>
      </c>
      <c r="DG3904">
        <v>0</v>
      </c>
      <c r="DH3904">
        <v>0</v>
      </c>
      <c r="DI3904">
        <v>0</v>
      </c>
    </row>
    <row r="3905" spans="1:113" x14ac:dyDescent="0.3">
      <c r="A3905" t="str">
        <f>"02/08/2021 20:36:06.319"</f>
        <v>02/08/2021 20:36:06.319</v>
      </c>
      <c r="C3905" t="str">
        <f t="shared" si="194"/>
        <v>FFDFD7C0</v>
      </c>
      <c r="D3905" t="s">
        <v>124</v>
      </c>
      <c r="E3905">
        <v>13</v>
      </c>
      <c r="F3905">
        <v>1013</v>
      </c>
      <c r="G3905" t="s">
        <v>114</v>
      </c>
      <c r="J3905" t="s">
        <v>125</v>
      </c>
      <c r="K3905">
        <v>0</v>
      </c>
      <c r="L3905">
        <v>3</v>
      </c>
      <c r="M3905">
        <v>0</v>
      </c>
      <c r="N3905">
        <v>2</v>
      </c>
      <c r="O3905">
        <v>1</v>
      </c>
      <c r="P3905">
        <v>0</v>
      </c>
      <c r="Q3905">
        <v>0</v>
      </c>
      <c r="S3905" t="str">
        <f>"20:36:08.641"</f>
        <v>20:36:08.641</v>
      </c>
      <c r="T3905" t="str">
        <f>"20:36:07.541"</f>
        <v>20:36:07.541</v>
      </c>
      <c r="U3905" t="str">
        <f t="shared" si="193"/>
        <v>AB01F4</v>
      </c>
      <c r="V3905">
        <v>0</v>
      </c>
      <c r="W3905">
        <v>0</v>
      </c>
      <c r="X3905">
        <v>2</v>
      </c>
      <c r="Z3905">
        <v>0</v>
      </c>
      <c r="AA3905">
        <v>9</v>
      </c>
      <c r="AB3905">
        <v>3</v>
      </c>
      <c r="AC3905">
        <v>0</v>
      </c>
      <c r="AD3905">
        <v>10</v>
      </c>
      <c r="AE3905">
        <v>0</v>
      </c>
      <c r="AF3905">
        <v>3</v>
      </c>
      <c r="AG3905">
        <v>2</v>
      </c>
      <c r="AH3905">
        <v>0</v>
      </c>
      <c r="AI3905" t="s">
        <v>2201</v>
      </c>
      <c r="AJ3905">
        <v>40.134044000000003</v>
      </c>
      <c r="AK3905" t="s">
        <v>2202</v>
      </c>
      <c r="AL3905">
        <v>-93.082973999999993</v>
      </c>
      <c r="AM3905">
        <v>100</v>
      </c>
      <c r="AN3905">
        <v>1300</v>
      </c>
      <c r="AO3905" t="s">
        <v>118</v>
      </c>
      <c r="AP3905">
        <v>-114</v>
      </c>
      <c r="AQ3905">
        <v>61</v>
      </c>
      <c r="AR3905">
        <v>-64</v>
      </c>
      <c r="AZ3905">
        <v>1200</v>
      </c>
      <c r="BA3905">
        <v>1</v>
      </c>
      <c r="BB3905" t="str">
        <f t="shared" si="195"/>
        <v xml:space="preserve">N8080G  </v>
      </c>
      <c r="BC3905">
        <v>1</v>
      </c>
      <c r="BE3905">
        <v>0</v>
      </c>
      <c r="BF3905">
        <v>0</v>
      </c>
      <c r="BG3905">
        <v>0</v>
      </c>
      <c r="BH3905">
        <v>1350</v>
      </c>
      <c r="BI3905">
        <v>1</v>
      </c>
      <c r="BJ3905">
        <v>1</v>
      </c>
      <c r="BK3905">
        <v>1</v>
      </c>
      <c r="BL3905">
        <v>0</v>
      </c>
      <c r="BO3905">
        <v>0</v>
      </c>
      <c r="BP3905">
        <v>0</v>
      </c>
      <c r="BW3905" t="str">
        <f>"20:36:08.642"</f>
        <v>20:36:08.642</v>
      </c>
      <c r="BZ3905">
        <v>0</v>
      </c>
      <c r="CA3905">
        <v>1600</v>
      </c>
      <c r="CB3905">
        <v>224</v>
      </c>
      <c r="CD3905">
        <v>1</v>
      </c>
      <c r="CE3905">
        <v>0</v>
      </c>
      <c r="CF3905">
        <v>0</v>
      </c>
      <c r="CG3905">
        <v>1</v>
      </c>
      <c r="CH3905">
        <v>0</v>
      </c>
      <c r="CI3905">
        <v>0</v>
      </c>
      <c r="CJ3905">
        <v>0</v>
      </c>
      <c r="CK3905">
        <v>2</v>
      </c>
      <c r="CL3905">
        <v>0</v>
      </c>
      <c r="CM3905">
        <v>2</v>
      </c>
      <c r="CN3905">
        <v>0</v>
      </c>
      <c r="CO3905">
        <v>3</v>
      </c>
      <c r="CP3905" t="s">
        <v>119</v>
      </c>
      <c r="CQ3905">
        <v>180</v>
      </c>
      <c r="CR3905">
        <v>0</v>
      </c>
      <c r="CW3905">
        <v>15142525</v>
      </c>
      <c r="CY3905">
        <v>0</v>
      </c>
      <c r="CZ3905">
        <v>0</v>
      </c>
      <c r="DA3905">
        <v>1</v>
      </c>
      <c r="DB3905">
        <v>0</v>
      </c>
      <c r="DC3905">
        <v>0</v>
      </c>
      <c r="DD3905">
        <v>0</v>
      </c>
      <c r="DE3905">
        <v>0</v>
      </c>
      <c r="DF3905">
        <v>0</v>
      </c>
      <c r="DG3905">
        <v>0</v>
      </c>
      <c r="DH3905">
        <v>0</v>
      </c>
      <c r="DI3905">
        <v>0</v>
      </c>
    </row>
    <row r="3906" spans="1:113" x14ac:dyDescent="0.3">
      <c r="A3906" t="str">
        <f>"02/08/2021 20:36:06.319"</f>
        <v>02/08/2021 20:36:06.319</v>
      </c>
      <c r="C3906" t="str">
        <f t="shared" si="194"/>
        <v>FFDFD7C0</v>
      </c>
      <c r="D3906" t="s">
        <v>124</v>
      </c>
      <c r="E3906">
        <v>11</v>
      </c>
      <c r="F3906">
        <v>1011</v>
      </c>
      <c r="G3906" t="s">
        <v>590</v>
      </c>
      <c r="J3906" t="s">
        <v>125</v>
      </c>
      <c r="K3906">
        <v>0</v>
      </c>
      <c r="L3906">
        <v>3</v>
      </c>
      <c r="M3906">
        <v>0</v>
      </c>
      <c r="N3906">
        <v>2</v>
      </c>
      <c r="O3906">
        <v>1</v>
      </c>
      <c r="P3906">
        <v>0</v>
      </c>
      <c r="Q3906">
        <v>0</v>
      </c>
      <c r="S3906" t="str">
        <f>"20:36:08.641"</f>
        <v>20:36:08.641</v>
      </c>
      <c r="T3906" t="str">
        <f>"20:36:07.541"</f>
        <v>20:36:07.541</v>
      </c>
      <c r="U3906" t="str">
        <f t="shared" ref="U3906:U3969" si="196">"AB01F4"</f>
        <v>AB01F4</v>
      </c>
      <c r="V3906">
        <v>0</v>
      </c>
      <c r="W3906">
        <v>0</v>
      </c>
      <c r="X3906">
        <v>2</v>
      </c>
      <c r="Z3906">
        <v>0</v>
      </c>
      <c r="AA3906">
        <v>9</v>
      </c>
      <c r="AB3906">
        <v>3</v>
      </c>
      <c r="AC3906">
        <v>0</v>
      </c>
      <c r="AD3906">
        <v>10</v>
      </c>
      <c r="AE3906">
        <v>0</v>
      </c>
      <c r="AF3906">
        <v>3</v>
      </c>
      <c r="AG3906">
        <v>2</v>
      </c>
      <c r="AH3906">
        <v>0</v>
      </c>
      <c r="AI3906" t="s">
        <v>2201</v>
      </c>
      <c r="AJ3906">
        <v>40.134044000000003</v>
      </c>
      <c r="AK3906" t="s">
        <v>2202</v>
      </c>
      <c r="AL3906">
        <v>-93.082973999999993</v>
      </c>
      <c r="AM3906">
        <v>100</v>
      </c>
      <c r="AN3906">
        <v>1300</v>
      </c>
      <c r="AO3906" t="s">
        <v>118</v>
      </c>
      <c r="AP3906">
        <v>-114</v>
      </c>
      <c r="AQ3906">
        <v>61</v>
      </c>
      <c r="AR3906">
        <v>-64</v>
      </c>
      <c r="AZ3906">
        <v>1200</v>
      </c>
      <c r="BA3906">
        <v>1</v>
      </c>
      <c r="BB3906" t="str">
        <f t="shared" si="195"/>
        <v xml:space="preserve">N8080G  </v>
      </c>
      <c r="BC3906">
        <v>1</v>
      </c>
      <c r="BE3906">
        <v>0</v>
      </c>
      <c r="BF3906">
        <v>0</v>
      </c>
      <c r="BG3906">
        <v>0</v>
      </c>
      <c r="BH3906">
        <v>1350</v>
      </c>
      <c r="BI3906">
        <v>1</v>
      </c>
      <c r="BJ3906">
        <v>1</v>
      </c>
      <c r="BK3906">
        <v>1</v>
      </c>
      <c r="BL3906">
        <v>0</v>
      </c>
      <c r="BO3906">
        <v>0</v>
      </c>
      <c r="BP3906">
        <v>0</v>
      </c>
      <c r="BW3906" t="str">
        <f>"20:36:08.642"</f>
        <v>20:36:08.642</v>
      </c>
      <c r="BZ3906">
        <v>0</v>
      </c>
      <c r="CA3906">
        <v>1600</v>
      </c>
      <c r="CB3906">
        <v>224</v>
      </c>
      <c r="CD3906">
        <v>1</v>
      </c>
      <c r="CE3906">
        <v>0</v>
      </c>
      <c r="CF3906">
        <v>0</v>
      </c>
      <c r="CG3906">
        <v>1</v>
      </c>
      <c r="CH3906">
        <v>0</v>
      </c>
      <c r="CI3906">
        <v>0</v>
      </c>
      <c r="CJ3906">
        <v>0</v>
      </c>
      <c r="CK3906">
        <v>2</v>
      </c>
      <c r="CL3906">
        <v>0</v>
      </c>
      <c r="CM3906">
        <v>2</v>
      </c>
      <c r="CN3906">
        <v>0</v>
      </c>
      <c r="CO3906">
        <v>3</v>
      </c>
      <c r="CP3906" t="s">
        <v>119</v>
      </c>
      <c r="CQ3906">
        <v>180</v>
      </c>
      <c r="CR3906">
        <v>0</v>
      </c>
      <c r="CW3906">
        <v>15142525</v>
      </c>
      <c r="CY3906">
        <v>0</v>
      </c>
      <c r="CZ3906">
        <v>0</v>
      </c>
      <c r="DA3906">
        <v>1</v>
      </c>
      <c r="DB3906">
        <v>0</v>
      </c>
      <c r="DC3906">
        <v>0</v>
      </c>
      <c r="DD3906">
        <v>0</v>
      </c>
      <c r="DE3906">
        <v>0</v>
      </c>
      <c r="DF3906">
        <v>0</v>
      </c>
      <c r="DG3906">
        <v>0</v>
      </c>
      <c r="DH3906">
        <v>0</v>
      </c>
      <c r="DI3906">
        <v>0</v>
      </c>
    </row>
    <row r="3907" spans="1:113" x14ac:dyDescent="0.3">
      <c r="A3907" t="str">
        <f>"02/08/2021 20:36:07.241"</f>
        <v>02/08/2021 20:36:07.241</v>
      </c>
      <c r="C3907" t="str">
        <f t="shared" si="194"/>
        <v>FFDFD7C0</v>
      </c>
      <c r="D3907" t="s">
        <v>124</v>
      </c>
      <c r="E3907">
        <v>12</v>
      </c>
      <c r="F3907">
        <v>1012</v>
      </c>
      <c r="G3907" t="s">
        <v>675</v>
      </c>
      <c r="J3907" t="s">
        <v>125</v>
      </c>
      <c r="K3907">
        <v>0</v>
      </c>
      <c r="L3907">
        <v>3</v>
      </c>
      <c r="M3907">
        <v>0</v>
      </c>
      <c r="N3907">
        <v>2</v>
      </c>
      <c r="O3907">
        <v>1</v>
      </c>
      <c r="P3907">
        <v>0</v>
      </c>
      <c r="Q3907">
        <v>0</v>
      </c>
      <c r="S3907" t="str">
        <f>"20:36:09.547"</f>
        <v>20:36:09.547</v>
      </c>
      <c r="T3907" t="str">
        <f>"20:36:09.147"</f>
        <v>20:36:09.147</v>
      </c>
      <c r="U3907" t="str">
        <f t="shared" si="196"/>
        <v>AB01F4</v>
      </c>
      <c r="V3907">
        <v>0</v>
      </c>
      <c r="W3907">
        <v>0</v>
      </c>
      <c r="X3907">
        <v>2</v>
      </c>
      <c r="Z3907">
        <v>0</v>
      </c>
      <c r="AA3907">
        <v>9</v>
      </c>
      <c r="AB3907">
        <v>3</v>
      </c>
      <c r="AC3907">
        <v>0</v>
      </c>
      <c r="AD3907">
        <v>10</v>
      </c>
      <c r="AE3907">
        <v>0</v>
      </c>
      <c r="AF3907">
        <v>3</v>
      </c>
      <c r="AG3907">
        <v>2</v>
      </c>
      <c r="AH3907">
        <v>0</v>
      </c>
      <c r="AI3907" t="s">
        <v>2203</v>
      </c>
      <c r="AJ3907">
        <v>40.134301000000001</v>
      </c>
      <c r="AK3907" t="s">
        <v>2204</v>
      </c>
      <c r="AL3907">
        <v>-93.083552999999995</v>
      </c>
      <c r="AM3907">
        <v>100</v>
      </c>
      <c r="AN3907">
        <v>1300</v>
      </c>
      <c r="AO3907" t="s">
        <v>118</v>
      </c>
      <c r="AP3907">
        <v>-114</v>
      </c>
      <c r="AQ3907">
        <v>61</v>
      </c>
      <c r="AR3907">
        <v>-64</v>
      </c>
      <c r="AZ3907">
        <v>1200</v>
      </c>
      <c r="BA3907">
        <v>1</v>
      </c>
      <c r="BB3907" t="str">
        <f t="shared" si="195"/>
        <v xml:space="preserve">N8080G  </v>
      </c>
      <c r="BC3907">
        <v>1</v>
      </c>
      <c r="BE3907">
        <v>0</v>
      </c>
      <c r="BF3907">
        <v>0</v>
      </c>
      <c r="BG3907">
        <v>0</v>
      </c>
      <c r="BH3907">
        <v>1350</v>
      </c>
      <c r="BI3907">
        <v>1</v>
      </c>
      <c r="BJ3907">
        <v>1</v>
      </c>
      <c r="BK3907">
        <v>1</v>
      </c>
      <c r="BL3907">
        <v>0</v>
      </c>
      <c r="BO3907">
        <v>0</v>
      </c>
      <c r="BP3907">
        <v>0</v>
      </c>
      <c r="BW3907" t="str">
        <f>"20:36:09.548"</f>
        <v>20:36:09.548</v>
      </c>
      <c r="BZ3907">
        <v>0</v>
      </c>
      <c r="CA3907">
        <v>1600</v>
      </c>
      <c r="CB3907">
        <v>224</v>
      </c>
      <c r="CD3907">
        <v>1</v>
      </c>
      <c r="CE3907">
        <v>0</v>
      </c>
      <c r="CF3907">
        <v>0</v>
      </c>
      <c r="CG3907">
        <v>1</v>
      </c>
      <c r="CH3907">
        <v>0</v>
      </c>
      <c r="CI3907">
        <v>0</v>
      </c>
      <c r="CJ3907">
        <v>0</v>
      </c>
      <c r="CK3907">
        <v>2</v>
      </c>
      <c r="CL3907">
        <v>0</v>
      </c>
      <c r="CM3907">
        <v>2</v>
      </c>
      <c r="CN3907">
        <v>0</v>
      </c>
      <c r="CO3907">
        <v>6</v>
      </c>
      <c r="CP3907" t="s">
        <v>119</v>
      </c>
      <c r="CQ3907">
        <v>180</v>
      </c>
      <c r="CR3907">
        <v>3</v>
      </c>
      <c r="CW3907">
        <v>1295475</v>
      </c>
      <c r="CY3907">
        <v>0</v>
      </c>
      <c r="CZ3907">
        <v>0</v>
      </c>
      <c r="DA3907">
        <v>0</v>
      </c>
      <c r="DB3907">
        <v>0</v>
      </c>
      <c r="DC3907">
        <v>0</v>
      </c>
      <c r="DD3907">
        <v>0</v>
      </c>
      <c r="DE3907">
        <v>0</v>
      </c>
      <c r="DF3907">
        <v>0</v>
      </c>
      <c r="DG3907">
        <v>0</v>
      </c>
      <c r="DH3907">
        <v>0</v>
      </c>
      <c r="DI3907">
        <v>0</v>
      </c>
    </row>
    <row r="3908" spans="1:113" x14ac:dyDescent="0.3">
      <c r="A3908" t="str">
        <f>"02/08/2021 20:36:07.241"</f>
        <v>02/08/2021 20:36:07.241</v>
      </c>
      <c r="C3908" t="str">
        <f t="shared" si="194"/>
        <v>FFDFD7C0</v>
      </c>
      <c r="D3908" t="s">
        <v>124</v>
      </c>
      <c r="E3908">
        <v>13</v>
      </c>
      <c r="F3908">
        <v>1013</v>
      </c>
      <c r="G3908" t="s">
        <v>114</v>
      </c>
      <c r="J3908" t="s">
        <v>125</v>
      </c>
      <c r="K3908">
        <v>0</v>
      </c>
      <c r="L3908">
        <v>3</v>
      </c>
      <c r="M3908">
        <v>0</v>
      </c>
      <c r="N3908">
        <v>2</v>
      </c>
      <c r="O3908">
        <v>1</v>
      </c>
      <c r="P3908">
        <v>0</v>
      </c>
      <c r="Q3908">
        <v>0</v>
      </c>
      <c r="S3908" t="str">
        <f>"20:36:09.547"</f>
        <v>20:36:09.547</v>
      </c>
      <c r="T3908" t="str">
        <f>"20:36:09.147"</f>
        <v>20:36:09.147</v>
      </c>
      <c r="U3908" t="str">
        <f t="shared" si="196"/>
        <v>AB01F4</v>
      </c>
      <c r="V3908">
        <v>0</v>
      </c>
      <c r="W3908">
        <v>0</v>
      </c>
      <c r="X3908">
        <v>2</v>
      </c>
      <c r="Z3908">
        <v>0</v>
      </c>
      <c r="AA3908">
        <v>9</v>
      </c>
      <c r="AB3908">
        <v>3</v>
      </c>
      <c r="AC3908">
        <v>0</v>
      </c>
      <c r="AD3908">
        <v>10</v>
      </c>
      <c r="AE3908">
        <v>0</v>
      </c>
      <c r="AF3908">
        <v>3</v>
      </c>
      <c r="AG3908">
        <v>2</v>
      </c>
      <c r="AH3908">
        <v>0</v>
      </c>
      <c r="AI3908" t="s">
        <v>2203</v>
      </c>
      <c r="AJ3908">
        <v>40.134301000000001</v>
      </c>
      <c r="AK3908" t="s">
        <v>2204</v>
      </c>
      <c r="AL3908">
        <v>-93.083552999999995</v>
      </c>
      <c r="AM3908">
        <v>100</v>
      </c>
      <c r="AN3908">
        <v>1300</v>
      </c>
      <c r="AO3908" t="s">
        <v>118</v>
      </c>
      <c r="AP3908">
        <v>-114</v>
      </c>
      <c r="AQ3908">
        <v>61</v>
      </c>
      <c r="AR3908">
        <v>-64</v>
      </c>
      <c r="AZ3908">
        <v>1200</v>
      </c>
      <c r="BA3908">
        <v>1</v>
      </c>
      <c r="BB3908" t="str">
        <f t="shared" si="195"/>
        <v xml:space="preserve">N8080G  </v>
      </c>
      <c r="BC3908">
        <v>1</v>
      </c>
      <c r="BE3908">
        <v>0</v>
      </c>
      <c r="BF3908">
        <v>0</v>
      </c>
      <c r="BG3908">
        <v>0</v>
      </c>
      <c r="BH3908">
        <v>1350</v>
      </c>
      <c r="BI3908">
        <v>1</v>
      </c>
      <c r="BJ3908">
        <v>1</v>
      </c>
      <c r="BK3908">
        <v>1</v>
      </c>
      <c r="BL3908">
        <v>0</v>
      </c>
      <c r="BO3908">
        <v>0</v>
      </c>
      <c r="BP3908">
        <v>0</v>
      </c>
      <c r="BW3908" t="str">
        <f>"20:36:09.548"</f>
        <v>20:36:09.548</v>
      </c>
      <c r="BZ3908">
        <v>0</v>
      </c>
      <c r="CA3908">
        <v>1600</v>
      </c>
      <c r="CB3908">
        <v>224</v>
      </c>
      <c r="CD3908">
        <v>1</v>
      </c>
      <c r="CE3908">
        <v>0</v>
      </c>
      <c r="CF3908">
        <v>0</v>
      </c>
      <c r="CG3908">
        <v>1</v>
      </c>
      <c r="CH3908">
        <v>0</v>
      </c>
      <c r="CI3908">
        <v>0</v>
      </c>
      <c r="CJ3908">
        <v>0</v>
      </c>
      <c r="CK3908">
        <v>2</v>
      </c>
      <c r="CL3908">
        <v>0</v>
      </c>
      <c r="CM3908">
        <v>2</v>
      </c>
      <c r="CN3908">
        <v>0</v>
      </c>
      <c r="CO3908">
        <v>6</v>
      </c>
      <c r="CP3908" t="s">
        <v>119</v>
      </c>
      <c r="CQ3908">
        <v>180</v>
      </c>
      <c r="CR3908">
        <v>3</v>
      </c>
      <c r="CW3908">
        <v>1295475</v>
      </c>
      <c r="CY3908">
        <v>0</v>
      </c>
      <c r="CZ3908">
        <v>0</v>
      </c>
      <c r="DA3908">
        <v>1</v>
      </c>
      <c r="DB3908">
        <v>0</v>
      </c>
      <c r="DC3908">
        <v>0</v>
      </c>
      <c r="DD3908">
        <v>0</v>
      </c>
      <c r="DE3908">
        <v>0</v>
      </c>
      <c r="DF3908">
        <v>0</v>
      </c>
      <c r="DG3908">
        <v>0</v>
      </c>
      <c r="DH3908">
        <v>0</v>
      </c>
      <c r="DI3908">
        <v>0</v>
      </c>
    </row>
    <row r="3909" spans="1:113" x14ac:dyDescent="0.3">
      <c r="A3909" t="str">
        <f>"02/08/2021 20:36:07.241"</f>
        <v>02/08/2021 20:36:07.241</v>
      </c>
      <c r="C3909" t="str">
        <f t="shared" si="194"/>
        <v>FFDFD7C0</v>
      </c>
      <c r="D3909" t="s">
        <v>124</v>
      </c>
      <c r="E3909">
        <v>11</v>
      </c>
      <c r="F3909">
        <v>1011</v>
      </c>
      <c r="G3909" t="s">
        <v>590</v>
      </c>
      <c r="J3909" t="s">
        <v>125</v>
      </c>
      <c r="K3909">
        <v>0</v>
      </c>
      <c r="L3909">
        <v>3</v>
      </c>
      <c r="M3909">
        <v>0</v>
      </c>
      <c r="N3909">
        <v>2</v>
      </c>
      <c r="O3909">
        <v>1</v>
      </c>
      <c r="P3909">
        <v>0</v>
      </c>
      <c r="Q3909">
        <v>0</v>
      </c>
      <c r="S3909" t="str">
        <f>"20:36:09.547"</f>
        <v>20:36:09.547</v>
      </c>
      <c r="T3909" t="str">
        <f>"20:36:09.147"</f>
        <v>20:36:09.147</v>
      </c>
      <c r="U3909" t="str">
        <f t="shared" si="196"/>
        <v>AB01F4</v>
      </c>
      <c r="V3909">
        <v>0</v>
      </c>
      <c r="W3909">
        <v>0</v>
      </c>
      <c r="X3909">
        <v>2</v>
      </c>
      <c r="Z3909">
        <v>0</v>
      </c>
      <c r="AA3909">
        <v>9</v>
      </c>
      <c r="AB3909">
        <v>3</v>
      </c>
      <c r="AC3909">
        <v>0</v>
      </c>
      <c r="AD3909">
        <v>10</v>
      </c>
      <c r="AE3909">
        <v>0</v>
      </c>
      <c r="AF3909">
        <v>3</v>
      </c>
      <c r="AG3909">
        <v>2</v>
      </c>
      <c r="AH3909">
        <v>0</v>
      </c>
      <c r="AI3909" t="s">
        <v>2203</v>
      </c>
      <c r="AJ3909">
        <v>40.134301000000001</v>
      </c>
      <c r="AK3909" t="s">
        <v>2204</v>
      </c>
      <c r="AL3909">
        <v>-93.083552999999995</v>
      </c>
      <c r="AM3909">
        <v>100</v>
      </c>
      <c r="AN3909">
        <v>1300</v>
      </c>
      <c r="AO3909" t="s">
        <v>118</v>
      </c>
      <c r="AP3909">
        <v>-114</v>
      </c>
      <c r="AQ3909">
        <v>61</v>
      </c>
      <c r="AR3909">
        <v>-64</v>
      </c>
      <c r="AZ3909">
        <v>1200</v>
      </c>
      <c r="BA3909">
        <v>1</v>
      </c>
      <c r="BB3909" t="str">
        <f t="shared" si="195"/>
        <v xml:space="preserve">N8080G  </v>
      </c>
      <c r="BC3909">
        <v>1</v>
      </c>
      <c r="BE3909">
        <v>0</v>
      </c>
      <c r="BF3909">
        <v>0</v>
      </c>
      <c r="BG3909">
        <v>0</v>
      </c>
      <c r="BH3909">
        <v>1350</v>
      </c>
      <c r="BI3909">
        <v>1</v>
      </c>
      <c r="BJ3909">
        <v>1</v>
      </c>
      <c r="BK3909">
        <v>1</v>
      </c>
      <c r="BL3909">
        <v>0</v>
      </c>
      <c r="BO3909">
        <v>0</v>
      </c>
      <c r="BP3909">
        <v>0</v>
      </c>
      <c r="BW3909" t="str">
        <f>"20:36:09.548"</f>
        <v>20:36:09.548</v>
      </c>
      <c r="BZ3909">
        <v>0</v>
      </c>
      <c r="CA3909">
        <v>1600</v>
      </c>
      <c r="CB3909">
        <v>224</v>
      </c>
      <c r="CD3909">
        <v>1</v>
      </c>
      <c r="CE3909">
        <v>0</v>
      </c>
      <c r="CF3909">
        <v>0</v>
      </c>
      <c r="CG3909">
        <v>1</v>
      </c>
      <c r="CH3909">
        <v>0</v>
      </c>
      <c r="CI3909">
        <v>0</v>
      </c>
      <c r="CJ3909">
        <v>0</v>
      </c>
      <c r="CK3909">
        <v>2</v>
      </c>
      <c r="CL3909">
        <v>0</v>
      </c>
      <c r="CM3909">
        <v>2</v>
      </c>
      <c r="CN3909">
        <v>0</v>
      </c>
      <c r="CO3909">
        <v>6</v>
      </c>
      <c r="CP3909" t="s">
        <v>119</v>
      </c>
      <c r="CQ3909">
        <v>180</v>
      </c>
      <c r="CR3909">
        <v>3</v>
      </c>
      <c r="CW3909">
        <v>1295475</v>
      </c>
      <c r="CY3909">
        <v>0</v>
      </c>
      <c r="CZ3909">
        <v>0</v>
      </c>
      <c r="DA3909">
        <v>1</v>
      </c>
      <c r="DB3909">
        <v>0</v>
      </c>
      <c r="DC3909">
        <v>0</v>
      </c>
      <c r="DD3909">
        <v>0</v>
      </c>
      <c r="DE3909">
        <v>0</v>
      </c>
      <c r="DF3909">
        <v>0</v>
      </c>
      <c r="DG3909">
        <v>0</v>
      </c>
      <c r="DH3909">
        <v>0</v>
      </c>
      <c r="DI3909">
        <v>0</v>
      </c>
    </row>
    <row r="3910" spans="1:113" x14ac:dyDescent="0.3">
      <c r="A3910" t="str">
        <f>"02/08/2021 20:36:07.241"</f>
        <v>02/08/2021 20:36:07.241</v>
      </c>
      <c r="C3910" t="str">
        <f t="shared" si="194"/>
        <v>FFDFD7C0</v>
      </c>
      <c r="D3910" t="s">
        <v>113</v>
      </c>
      <c r="E3910">
        <v>6</v>
      </c>
      <c r="H3910">
        <v>165</v>
      </c>
      <c r="I3910" t="s">
        <v>114</v>
      </c>
      <c r="J3910" t="s">
        <v>115</v>
      </c>
      <c r="K3910">
        <v>0</v>
      </c>
      <c r="L3910">
        <v>3</v>
      </c>
      <c r="M3910">
        <v>0</v>
      </c>
      <c r="N3910">
        <v>2</v>
      </c>
      <c r="O3910">
        <v>1</v>
      </c>
      <c r="P3910">
        <v>0</v>
      </c>
      <c r="Q3910">
        <v>0</v>
      </c>
      <c r="S3910" t="str">
        <f>"20:36:09.547"</f>
        <v>20:36:09.547</v>
      </c>
      <c r="T3910" t="str">
        <f>"20:36:09.147"</f>
        <v>20:36:09.147</v>
      </c>
      <c r="U3910" t="str">
        <f t="shared" si="196"/>
        <v>AB01F4</v>
      </c>
      <c r="V3910">
        <v>0</v>
      </c>
      <c r="W3910">
        <v>0</v>
      </c>
      <c r="X3910">
        <v>2</v>
      </c>
      <c r="Z3910">
        <v>0</v>
      </c>
      <c r="AA3910">
        <v>9</v>
      </c>
      <c r="AB3910">
        <v>3</v>
      </c>
      <c r="AC3910">
        <v>0</v>
      </c>
      <c r="AD3910">
        <v>10</v>
      </c>
      <c r="AE3910">
        <v>0</v>
      </c>
      <c r="AF3910">
        <v>3</v>
      </c>
      <c r="AG3910">
        <v>2</v>
      </c>
      <c r="AH3910">
        <v>0</v>
      </c>
      <c r="AI3910" t="s">
        <v>2203</v>
      </c>
      <c r="AJ3910">
        <v>40.134301000000001</v>
      </c>
      <c r="AK3910" t="s">
        <v>2204</v>
      </c>
      <c r="AL3910">
        <v>-93.083552999999995</v>
      </c>
      <c r="AM3910">
        <v>100</v>
      </c>
      <c r="AN3910">
        <v>1300</v>
      </c>
      <c r="AO3910" t="s">
        <v>118</v>
      </c>
      <c r="AP3910">
        <v>-114</v>
      </c>
      <c r="AQ3910">
        <v>61</v>
      </c>
      <c r="AR3910">
        <v>-64</v>
      </c>
      <c r="AZ3910">
        <v>1200</v>
      </c>
      <c r="BA3910">
        <v>1</v>
      </c>
      <c r="BB3910" t="str">
        <f t="shared" si="195"/>
        <v xml:space="preserve">N8080G  </v>
      </c>
      <c r="BC3910">
        <v>1</v>
      </c>
      <c r="BE3910">
        <v>0</v>
      </c>
      <c r="BF3910">
        <v>0</v>
      </c>
      <c r="BG3910">
        <v>0</v>
      </c>
      <c r="BH3910">
        <v>1350</v>
      </c>
      <c r="BI3910">
        <v>1</v>
      </c>
      <c r="BJ3910">
        <v>1</v>
      </c>
      <c r="BK3910">
        <v>1</v>
      </c>
      <c r="BL3910">
        <v>0</v>
      </c>
      <c r="BO3910">
        <v>0</v>
      </c>
      <c r="BP3910">
        <v>0</v>
      </c>
      <c r="BW3910" t="str">
        <f>"20:36:09.548"</f>
        <v>20:36:09.548</v>
      </c>
      <c r="BZ3910">
        <v>0</v>
      </c>
      <c r="CA3910">
        <v>1600</v>
      </c>
      <c r="CB3910">
        <v>224</v>
      </c>
      <c r="CD3910">
        <v>1</v>
      </c>
      <c r="CE3910">
        <v>0</v>
      </c>
      <c r="CF3910">
        <v>0</v>
      </c>
      <c r="CG3910">
        <v>1</v>
      </c>
      <c r="CH3910">
        <v>0</v>
      </c>
      <c r="CI3910">
        <v>0</v>
      </c>
      <c r="CJ3910">
        <v>0</v>
      </c>
      <c r="CK3910">
        <v>2</v>
      </c>
      <c r="CL3910">
        <v>0</v>
      </c>
      <c r="CM3910">
        <v>2</v>
      </c>
      <c r="CN3910">
        <v>0</v>
      </c>
      <c r="CO3910">
        <v>6</v>
      </c>
      <c r="CP3910" t="s">
        <v>119</v>
      </c>
      <c r="CQ3910">
        <v>180</v>
      </c>
      <c r="CR3910">
        <v>3</v>
      </c>
      <c r="CW3910">
        <v>1295475</v>
      </c>
      <c r="CY3910">
        <v>0</v>
      </c>
      <c r="CZ3910">
        <v>0</v>
      </c>
      <c r="DA3910">
        <v>1</v>
      </c>
      <c r="DB3910">
        <v>0</v>
      </c>
      <c r="DC3910">
        <v>0</v>
      </c>
      <c r="DD3910">
        <v>0</v>
      </c>
      <c r="DE3910">
        <v>0</v>
      </c>
      <c r="DF3910">
        <v>0</v>
      </c>
      <c r="DG3910">
        <v>0</v>
      </c>
      <c r="DH3910">
        <v>0</v>
      </c>
      <c r="DI3910">
        <v>0</v>
      </c>
    </row>
    <row r="3911" spans="1:113" x14ac:dyDescent="0.3">
      <c r="A3911" t="str">
        <f>"02/08/2021 20:36:08.253"</f>
        <v>02/08/2021 20:36:08.253</v>
      </c>
      <c r="C3911" t="str">
        <f t="shared" si="194"/>
        <v>FFDFD7C0</v>
      </c>
      <c r="D3911" t="s">
        <v>124</v>
      </c>
      <c r="E3911">
        <v>13</v>
      </c>
      <c r="F3911">
        <v>1013</v>
      </c>
      <c r="G3911" t="s">
        <v>114</v>
      </c>
      <c r="J3911" t="s">
        <v>125</v>
      </c>
      <c r="K3911">
        <v>0</v>
      </c>
      <c r="L3911">
        <v>3</v>
      </c>
      <c r="M3911">
        <v>0</v>
      </c>
      <c r="N3911">
        <v>2</v>
      </c>
      <c r="O3911">
        <v>1</v>
      </c>
      <c r="P3911">
        <v>0</v>
      </c>
      <c r="Q3911">
        <v>0</v>
      </c>
      <c r="S3911" t="str">
        <f>"20:36:10.578"</f>
        <v>20:36:10.578</v>
      </c>
      <c r="T3911" t="str">
        <f>"20:36:10.078"</f>
        <v>20:36:10.078</v>
      </c>
      <c r="U3911" t="str">
        <f t="shared" si="196"/>
        <v>AB01F4</v>
      </c>
      <c r="V3911">
        <v>0</v>
      </c>
      <c r="W3911">
        <v>0</v>
      </c>
      <c r="X3911">
        <v>2</v>
      </c>
      <c r="Z3911">
        <v>0</v>
      </c>
      <c r="AA3911">
        <v>9</v>
      </c>
      <c r="AB3911">
        <v>3</v>
      </c>
      <c r="AC3911">
        <v>0</v>
      </c>
      <c r="AD3911">
        <v>10</v>
      </c>
      <c r="AE3911">
        <v>0</v>
      </c>
      <c r="AF3911">
        <v>3</v>
      </c>
      <c r="AG3911">
        <v>2</v>
      </c>
      <c r="AH3911">
        <v>0</v>
      </c>
      <c r="AI3911" t="s">
        <v>2205</v>
      </c>
      <c r="AJ3911">
        <v>40.134559000000003</v>
      </c>
      <c r="AK3911" t="s">
        <v>2206</v>
      </c>
      <c r="AL3911">
        <v>-93.084282999999999</v>
      </c>
      <c r="AM3911">
        <v>100</v>
      </c>
      <c r="AN3911">
        <v>1300</v>
      </c>
      <c r="AO3911" t="s">
        <v>118</v>
      </c>
      <c r="AP3911">
        <v>-113</v>
      </c>
      <c r="AQ3911">
        <v>61</v>
      </c>
      <c r="AR3911">
        <v>0</v>
      </c>
      <c r="AZ3911">
        <v>1200</v>
      </c>
      <c r="BA3911">
        <v>1</v>
      </c>
      <c r="BB3911" t="str">
        <f t="shared" si="195"/>
        <v xml:space="preserve">N8080G  </v>
      </c>
      <c r="BC3911">
        <v>1</v>
      </c>
      <c r="BE3911">
        <v>0</v>
      </c>
      <c r="BF3911">
        <v>0</v>
      </c>
      <c r="BG3911">
        <v>0</v>
      </c>
      <c r="BH3911">
        <v>1350</v>
      </c>
      <c r="BI3911">
        <v>1</v>
      </c>
      <c r="BJ3911">
        <v>1</v>
      </c>
      <c r="BK3911">
        <v>1</v>
      </c>
      <c r="BL3911">
        <v>0</v>
      </c>
      <c r="BO3911">
        <v>0</v>
      </c>
      <c r="BP3911">
        <v>0</v>
      </c>
      <c r="BW3911" t="str">
        <f>"20:36:10.583"</f>
        <v>20:36:10.583</v>
      </c>
      <c r="BZ3911">
        <v>0</v>
      </c>
      <c r="CA3911">
        <v>1600</v>
      </c>
      <c r="CB3911">
        <v>224</v>
      </c>
      <c r="CD3911">
        <v>1</v>
      </c>
      <c r="CE3911">
        <v>0</v>
      </c>
      <c r="CF3911">
        <v>0</v>
      </c>
      <c r="CG3911">
        <v>1</v>
      </c>
      <c r="CH3911">
        <v>0</v>
      </c>
      <c r="CI3911">
        <v>0</v>
      </c>
      <c r="CJ3911">
        <v>0</v>
      </c>
      <c r="CK3911">
        <v>2</v>
      </c>
      <c r="CL3911">
        <v>0</v>
      </c>
      <c r="CM3911">
        <v>2</v>
      </c>
      <c r="CN3911">
        <v>0</v>
      </c>
      <c r="CO3911">
        <v>6</v>
      </c>
      <c r="CP3911" t="s">
        <v>119</v>
      </c>
      <c r="CQ3911">
        <v>180</v>
      </c>
      <c r="CR3911">
        <v>2</v>
      </c>
      <c r="CW3911">
        <v>8968028</v>
      </c>
      <c r="CY3911">
        <v>0</v>
      </c>
      <c r="CZ3911">
        <v>0</v>
      </c>
      <c r="DA3911">
        <v>0</v>
      </c>
      <c r="DB3911">
        <v>0</v>
      </c>
      <c r="DC3911">
        <v>0</v>
      </c>
      <c r="DD3911">
        <v>0</v>
      </c>
      <c r="DE3911">
        <v>0</v>
      </c>
      <c r="DF3911">
        <v>0</v>
      </c>
      <c r="DG3911">
        <v>0</v>
      </c>
      <c r="DH3911">
        <v>0</v>
      </c>
      <c r="DI3911">
        <v>0</v>
      </c>
    </row>
    <row r="3912" spans="1:113" x14ac:dyDescent="0.3">
      <c r="A3912" t="str">
        <f>"02/08/2021 20:36:08.253"</f>
        <v>02/08/2021 20:36:08.253</v>
      </c>
      <c r="C3912" t="str">
        <f t="shared" si="194"/>
        <v>FFDFD7C0</v>
      </c>
      <c r="D3912" t="s">
        <v>124</v>
      </c>
      <c r="E3912">
        <v>11</v>
      </c>
      <c r="F3912">
        <v>1011</v>
      </c>
      <c r="G3912" t="s">
        <v>590</v>
      </c>
      <c r="J3912" t="s">
        <v>125</v>
      </c>
      <c r="K3912">
        <v>0</v>
      </c>
      <c r="L3912">
        <v>3</v>
      </c>
      <c r="M3912">
        <v>0</v>
      </c>
      <c r="N3912">
        <v>2</v>
      </c>
      <c r="O3912">
        <v>1</v>
      </c>
      <c r="P3912">
        <v>0</v>
      </c>
      <c r="Q3912">
        <v>0</v>
      </c>
      <c r="S3912" t="str">
        <f>"20:36:10.578"</f>
        <v>20:36:10.578</v>
      </c>
      <c r="T3912" t="str">
        <f>"20:36:10.078"</f>
        <v>20:36:10.078</v>
      </c>
      <c r="U3912" t="str">
        <f t="shared" si="196"/>
        <v>AB01F4</v>
      </c>
      <c r="V3912">
        <v>0</v>
      </c>
      <c r="W3912">
        <v>0</v>
      </c>
      <c r="X3912">
        <v>2</v>
      </c>
      <c r="Z3912">
        <v>0</v>
      </c>
      <c r="AA3912">
        <v>9</v>
      </c>
      <c r="AB3912">
        <v>3</v>
      </c>
      <c r="AC3912">
        <v>0</v>
      </c>
      <c r="AD3912">
        <v>10</v>
      </c>
      <c r="AE3912">
        <v>0</v>
      </c>
      <c r="AF3912">
        <v>3</v>
      </c>
      <c r="AG3912">
        <v>2</v>
      </c>
      <c r="AH3912">
        <v>0</v>
      </c>
      <c r="AI3912" t="s">
        <v>2205</v>
      </c>
      <c r="AJ3912">
        <v>40.134559000000003</v>
      </c>
      <c r="AK3912" t="s">
        <v>2206</v>
      </c>
      <c r="AL3912">
        <v>-93.084282999999999</v>
      </c>
      <c r="AM3912">
        <v>100</v>
      </c>
      <c r="AN3912">
        <v>1300</v>
      </c>
      <c r="AO3912" t="s">
        <v>118</v>
      </c>
      <c r="AP3912">
        <v>-113</v>
      </c>
      <c r="AQ3912">
        <v>61</v>
      </c>
      <c r="AR3912">
        <v>0</v>
      </c>
      <c r="AZ3912">
        <v>1200</v>
      </c>
      <c r="BA3912">
        <v>1</v>
      </c>
      <c r="BB3912" t="str">
        <f t="shared" si="195"/>
        <v xml:space="preserve">N8080G  </v>
      </c>
      <c r="BC3912">
        <v>1</v>
      </c>
      <c r="BE3912">
        <v>0</v>
      </c>
      <c r="BF3912">
        <v>0</v>
      </c>
      <c r="BG3912">
        <v>0</v>
      </c>
      <c r="BH3912">
        <v>1350</v>
      </c>
      <c r="BI3912">
        <v>1</v>
      </c>
      <c r="BJ3912">
        <v>1</v>
      </c>
      <c r="BK3912">
        <v>1</v>
      </c>
      <c r="BL3912">
        <v>0</v>
      </c>
      <c r="BO3912">
        <v>0</v>
      </c>
      <c r="BP3912">
        <v>0</v>
      </c>
      <c r="BW3912" t="str">
        <f>"20:36:10.583"</f>
        <v>20:36:10.583</v>
      </c>
      <c r="BZ3912">
        <v>0</v>
      </c>
      <c r="CA3912">
        <v>1600</v>
      </c>
      <c r="CB3912">
        <v>224</v>
      </c>
      <c r="CD3912">
        <v>1</v>
      </c>
      <c r="CE3912">
        <v>0</v>
      </c>
      <c r="CF3912">
        <v>0</v>
      </c>
      <c r="CG3912">
        <v>1</v>
      </c>
      <c r="CH3912">
        <v>0</v>
      </c>
      <c r="CI3912">
        <v>0</v>
      </c>
      <c r="CJ3912">
        <v>0</v>
      </c>
      <c r="CK3912">
        <v>2</v>
      </c>
      <c r="CL3912">
        <v>0</v>
      </c>
      <c r="CM3912">
        <v>2</v>
      </c>
      <c r="CN3912">
        <v>0</v>
      </c>
      <c r="CO3912">
        <v>6</v>
      </c>
      <c r="CP3912" t="s">
        <v>119</v>
      </c>
      <c r="CQ3912">
        <v>180</v>
      </c>
      <c r="CR3912">
        <v>2</v>
      </c>
      <c r="CW3912">
        <v>8968028</v>
      </c>
      <c r="CY3912">
        <v>0</v>
      </c>
      <c r="CZ3912">
        <v>0</v>
      </c>
      <c r="DA3912">
        <v>1</v>
      </c>
      <c r="DB3912">
        <v>0</v>
      </c>
      <c r="DC3912">
        <v>0</v>
      </c>
      <c r="DD3912">
        <v>0</v>
      </c>
      <c r="DE3912">
        <v>0</v>
      </c>
      <c r="DF3912">
        <v>0</v>
      </c>
      <c r="DG3912">
        <v>0</v>
      </c>
      <c r="DH3912">
        <v>0</v>
      </c>
      <c r="DI3912">
        <v>0</v>
      </c>
    </row>
    <row r="3913" spans="1:113" x14ac:dyDescent="0.3">
      <c r="A3913" t="str">
        <f>"02/08/2021 20:36:08.253"</f>
        <v>02/08/2021 20:36:08.253</v>
      </c>
      <c r="C3913" t="str">
        <f t="shared" si="194"/>
        <v>FFDFD7C0</v>
      </c>
      <c r="D3913" t="s">
        <v>113</v>
      </c>
      <c r="E3913">
        <v>6</v>
      </c>
      <c r="H3913">
        <v>165</v>
      </c>
      <c r="I3913" t="s">
        <v>114</v>
      </c>
      <c r="J3913" t="s">
        <v>115</v>
      </c>
      <c r="K3913">
        <v>0</v>
      </c>
      <c r="L3913">
        <v>3</v>
      </c>
      <c r="M3913">
        <v>0</v>
      </c>
      <c r="N3913">
        <v>2</v>
      </c>
      <c r="O3913">
        <v>1</v>
      </c>
      <c r="P3913">
        <v>0</v>
      </c>
      <c r="Q3913">
        <v>0</v>
      </c>
      <c r="S3913" t="str">
        <f>"20:36:10.578"</f>
        <v>20:36:10.578</v>
      </c>
      <c r="T3913" t="str">
        <f>"20:36:10.078"</f>
        <v>20:36:10.078</v>
      </c>
      <c r="U3913" t="str">
        <f t="shared" si="196"/>
        <v>AB01F4</v>
      </c>
      <c r="V3913">
        <v>0</v>
      </c>
      <c r="W3913">
        <v>0</v>
      </c>
      <c r="X3913">
        <v>2</v>
      </c>
      <c r="Z3913">
        <v>0</v>
      </c>
      <c r="AA3913">
        <v>9</v>
      </c>
      <c r="AB3913">
        <v>3</v>
      </c>
      <c r="AC3913">
        <v>0</v>
      </c>
      <c r="AD3913">
        <v>10</v>
      </c>
      <c r="AE3913">
        <v>0</v>
      </c>
      <c r="AF3913">
        <v>3</v>
      </c>
      <c r="AG3913">
        <v>2</v>
      </c>
      <c r="AH3913">
        <v>0</v>
      </c>
      <c r="AI3913" t="s">
        <v>2205</v>
      </c>
      <c r="AJ3913">
        <v>40.134559000000003</v>
      </c>
      <c r="AK3913" t="s">
        <v>2206</v>
      </c>
      <c r="AL3913">
        <v>-93.084282999999999</v>
      </c>
      <c r="AM3913">
        <v>100</v>
      </c>
      <c r="AN3913">
        <v>1300</v>
      </c>
      <c r="AO3913" t="s">
        <v>118</v>
      </c>
      <c r="AP3913">
        <v>-113</v>
      </c>
      <c r="AQ3913">
        <v>61</v>
      </c>
      <c r="AR3913">
        <v>0</v>
      </c>
      <c r="AZ3913">
        <v>1200</v>
      </c>
      <c r="BA3913">
        <v>1</v>
      </c>
      <c r="BB3913" t="str">
        <f t="shared" si="195"/>
        <v xml:space="preserve">N8080G  </v>
      </c>
      <c r="BC3913">
        <v>1</v>
      </c>
      <c r="BE3913">
        <v>0</v>
      </c>
      <c r="BF3913">
        <v>0</v>
      </c>
      <c r="BG3913">
        <v>0</v>
      </c>
      <c r="BH3913">
        <v>1350</v>
      </c>
      <c r="BI3913">
        <v>1</v>
      </c>
      <c r="BJ3913">
        <v>1</v>
      </c>
      <c r="BK3913">
        <v>1</v>
      </c>
      <c r="BL3913">
        <v>0</v>
      </c>
      <c r="BO3913">
        <v>0</v>
      </c>
      <c r="BP3913">
        <v>0</v>
      </c>
      <c r="BW3913" t="str">
        <f>"20:36:10.583"</f>
        <v>20:36:10.583</v>
      </c>
      <c r="BZ3913">
        <v>0</v>
      </c>
      <c r="CA3913">
        <v>1600</v>
      </c>
      <c r="CB3913">
        <v>224</v>
      </c>
      <c r="CD3913">
        <v>1</v>
      </c>
      <c r="CE3913">
        <v>0</v>
      </c>
      <c r="CF3913">
        <v>0</v>
      </c>
      <c r="CG3913">
        <v>1</v>
      </c>
      <c r="CH3913">
        <v>0</v>
      </c>
      <c r="CI3913">
        <v>0</v>
      </c>
      <c r="CJ3913">
        <v>0</v>
      </c>
      <c r="CK3913">
        <v>2</v>
      </c>
      <c r="CL3913">
        <v>0</v>
      </c>
      <c r="CM3913">
        <v>2</v>
      </c>
      <c r="CN3913">
        <v>0</v>
      </c>
      <c r="CO3913">
        <v>6</v>
      </c>
      <c r="CP3913" t="s">
        <v>119</v>
      </c>
      <c r="CQ3913">
        <v>180</v>
      </c>
      <c r="CR3913">
        <v>2</v>
      </c>
      <c r="CW3913">
        <v>8968028</v>
      </c>
      <c r="CY3913">
        <v>0</v>
      </c>
      <c r="CZ3913">
        <v>0</v>
      </c>
      <c r="DA3913">
        <v>1</v>
      </c>
      <c r="DB3913">
        <v>0</v>
      </c>
      <c r="DC3913">
        <v>0</v>
      </c>
      <c r="DD3913">
        <v>0</v>
      </c>
      <c r="DE3913">
        <v>0</v>
      </c>
      <c r="DF3913">
        <v>0</v>
      </c>
      <c r="DG3913">
        <v>0</v>
      </c>
      <c r="DH3913">
        <v>0</v>
      </c>
      <c r="DI3913">
        <v>0</v>
      </c>
    </row>
    <row r="3914" spans="1:113" x14ac:dyDescent="0.3">
      <c r="A3914" t="str">
        <f>"02/08/2021 20:36:08.253"</f>
        <v>02/08/2021 20:36:08.253</v>
      </c>
      <c r="C3914" t="str">
        <f t="shared" si="194"/>
        <v>FFDFD7C0</v>
      </c>
      <c r="D3914" t="s">
        <v>124</v>
      </c>
      <c r="E3914">
        <v>12</v>
      </c>
      <c r="F3914">
        <v>1012</v>
      </c>
      <c r="G3914" t="s">
        <v>675</v>
      </c>
      <c r="J3914" t="s">
        <v>125</v>
      </c>
      <c r="K3914">
        <v>0</v>
      </c>
      <c r="L3914">
        <v>3</v>
      </c>
      <c r="M3914">
        <v>0</v>
      </c>
      <c r="N3914">
        <v>2</v>
      </c>
      <c r="O3914">
        <v>1</v>
      </c>
      <c r="P3914">
        <v>0</v>
      </c>
      <c r="Q3914">
        <v>0</v>
      </c>
      <c r="S3914" t="str">
        <f>"20:36:10.578"</f>
        <v>20:36:10.578</v>
      </c>
      <c r="T3914" t="str">
        <f>"20:36:10.078"</f>
        <v>20:36:10.078</v>
      </c>
      <c r="U3914" t="str">
        <f t="shared" si="196"/>
        <v>AB01F4</v>
      </c>
      <c r="V3914">
        <v>0</v>
      </c>
      <c r="W3914">
        <v>0</v>
      </c>
      <c r="X3914">
        <v>2</v>
      </c>
      <c r="Z3914">
        <v>0</v>
      </c>
      <c r="AA3914">
        <v>9</v>
      </c>
      <c r="AB3914">
        <v>3</v>
      </c>
      <c r="AC3914">
        <v>0</v>
      </c>
      <c r="AD3914">
        <v>10</v>
      </c>
      <c r="AE3914">
        <v>0</v>
      </c>
      <c r="AF3914">
        <v>3</v>
      </c>
      <c r="AG3914">
        <v>2</v>
      </c>
      <c r="AH3914">
        <v>0</v>
      </c>
      <c r="AI3914" t="s">
        <v>2205</v>
      </c>
      <c r="AJ3914">
        <v>40.134559000000003</v>
      </c>
      <c r="AK3914" t="s">
        <v>2206</v>
      </c>
      <c r="AL3914">
        <v>-93.084282999999999</v>
      </c>
      <c r="AM3914">
        <v>100</v>
      </c>
      <c r="AN3914">
        <v>1300</v>
      </c>
      <c r="AO3914" t="s">
        <v>118</v>
      </c>
      <c r="AP3914">
        <v>-113</v>
      </c>
      <c r="AQ3914">
        <v>61</v>
      </c>
      <c r="AR3914">
        <v>0</v>
      </c>
      <c r="AZ3914">
        <v>1200</v>
      </c>
      <c r="BA3914">
        <v>1</v>
      </c>
      <c r="BB3914" t="str">
        <f t="shared" si="195"/>
        <v xml:space="preserve">N8080G  </v>
      </c>
      <c r="BC3914">
        <v>1</v>
      </c>
      <c r="BE3914">
        <v>0</v>
      </c>
      <c r="BF3914">
        <v>0</v>
      </c>
      <c r="BG3914">
        <v>0</v>
      </c>
      <c r="BH3914">
        <v>1350</v>
      </c>
      <c r="BI3914">
        <v>1</v>
      </c>
      <c r="BJ3914">
        <v>1</v>
      </c>
      <c r="BK3914">
        <v>1</v>
      </c>
      <c r="BL3914">
        <v>0</v>
      </c>
      <c r="BO3914">
        <v>0</v>
      </c>
      <c r="BP3914">
        <v>0</v>
      </c>
      <c r="BW3914" t="str">
        <f>"20:36:10.583"</f>
        <v>20:36:10.583</v>
      </c>
      <c r="BZ3914">
        <v>0</v>
      </c>
      <c r="CA3914">
        <v>1600</v>
      </c>
      <c r="CB3914">
        <v>224</v>
      </c>
      <c r="CD3914">
        <v>1</v>
      </c>
      <c r="CE3914">
        <v>0</v>
      </c>
      <c r="CF3914">
        <v>0</v>
      </c>
      <c r="CG3914">
        <v>1</v>
      </c>
      <c r="CH3914">
        <v>0</v>
      </c>
      <c r="CI3914">
        <v>0</v>
      </c>
      <c r="CJ3914">
        <v>0</v>
      </c>
      <c r="CK3914">
        <v>2</v>
      </c>
      <c r="CL3914">
        <v>0</v>
      </c>
      <c r="CM3914">
        <v>2</v>
      </c>
      <c r="CN3914">
        <v>0</v>
      </c>
      <c r="CO3914">
        <v>6</v>
      </c>
      <c r="CP3914" t="s">
        <v>119</v>
      </c>
      <c r="CQ3914">
        <v>180</v>
      </c>
      <c r="CR3914">
        <v>2</v>
      </c>
      <c r="CW3914">
        <v>8968028</v>
      </c>
      <c r="CY3914">
        <v>0</v>
      </c>
      <c r="CZ3914">
        <v>0</v>
      </c>
      <c r="DA3914">
        <v>1</v>
      </c>
      <c r="DB3914">
        <v>0</v>
      </c>
      <c r="DC3914">
        <v>0</v>
      </c>
      <c r="DD3914">
        <v>0</v>
      </c>
      <c r="DE3914">
        <v>0</v>
      </c>
      <c r="DF3914">
        <v>0</v>
      </c>
      <c r="DG3914">
        <v>0</v>
      </c>
      <c r="DH3914">
        <v>0</v>
      </c>
      <c r="DI3914">
        <v>0</v>
      </c>
    </row>
    <row r="3915" spans="1:113" x14ac:dyDescent="0.3">
      <c r="A3915" t="str">
        <f>"02/08/2021 20:36:09.202"</f>
        <v>02/08/2021 20:36:09.202</v>
      </c>
      <c r="C3915" t="str">
        <f t="shared" si="194"/>
        <v>FFDFD7C0</v>
      </c>
      <c r="D3915" t="s">
        <v>124</v>
      </c>
      <c r="E3915">
        <v>12</v>
      </c>
      <c r="F3915">
        <v>1012</v>
      </c>
      <c r="G3915" t="s">
        <v>675</v>
      </c>
      <c r="J3915" t="s">
        <v>125</v>
      </c>
      <c r="K3915">
        <v>0</v>
      </c>
      <c r="L3915">
        <v>3</v>
      </c>
      <c r="M3915">
        <v>0</v>
      </c>
      <c r="N3915">
        <v>2</v>
      </c>
      <c r="O3915">
        <v>1</v>
      </c>
      <c r="P3915">
        <v>0</v>
      </c>
      <c r="Q3915">
        <v>0</v>
      </c>
      <c r="S3915" t="str">
        <f>"20:36:11.516"</f>
        <v>20:36:11.516</v>
      </c>
      <c r="T3915" t="str">
        <f>"20:36:11.216"</f>
        <v>20:36:11.216</v>
      </c>
      <c r="U3915" t="str">
        <f t="shared" si="196"/>
        <v>AB01F4</v>
      </c>
      <c r="V3915">
        <v>0</v>
      </c>
      <c r="W3915">
        <v>0</v>
      </c>
      <c r="X3915">
        <v>2</v>
      </c>
      <c r="Z3915">
        <v>0</v>
      </c>
      <c r="AA3915">
        <v>9</v>
      </c>
      <c r="AB3915">
        <v>3</v>
      </c>
      <c r="AC3915">
        <v>0</v>
      </c>
      <c r="AD3915">
        <v>10</v>
      </c>
      <c r="AE3915">
        <v>0</v>
      </c>
      <c r="AF3915">
        <v>3</v>
      </c>
      <c r="AG3915">
        <v>2</v>
      </c>
      <c r="AH3915">
        <v>0</v>
      </c>
      <c r="AI3915" t="s">
        <v>2207</v>
      </c>
      <c r="AJ3915">
        <v>40.134816000000001</v>
      </c>
      <c r="AK3915" t="s">
        <v>2208</v>
      </c>
      <c r="AL3915">
        <v>-93.084840999999997</v>
      </c>
      <c r="AM3915">
        <v>100</v>
      </c>
      <c r="AN3915">
        <v>1300</v>
      </c>
      <c r="AO3915" t="s">
        <v>118</v>
      </c>
      <c r="AP3915">
        <v>-113</v>
      </c>
      <c r="AQ3915">
        <v>61</v>
      </c>
      <c r="AR3915">
        <v>0</v>
      </c>
      <c r="AZ3915">
        <v>1200</v>
      </c>
      <c r="BA3915">
        <v>1</v>
      </c>
      <c r="BB3915" t="str">
        <f t="shared" si="195"/>
        <v xml:space="preserve">N8080G  </v>
      </c>
      <c r="BC3915">
        <v>1</v>
      </c>
      <c r="BE3915">
        <v>0</v>
      </c>
      <c r="BF3915">
        <v>0</v>
      </c>
      <c r="BG3915">
        <v>0</v>
      </c>
      <c r="BH3915">
        <v>1350</v>
      </c>
      <c r="BI3915">
        <v>1</v>
      </c>
      <c r="BJ3915">
        <v>1</v>
      </c>
      <c r="BK3915">
        <v>1</v>
      </c>
      <c r="BL3915">
        <v>0</v>
      </c>
      <c r="BO3915">
        <v>0</v>
      </c>
      <c r="BP3915">
        <v>0</v>
      </c>
      <c r="BW3915" t="str">
        <f>"20:36:11.520"</f>
        <v>20:36:11.520</v>
      </c>
      <c r="BZ3915">
        <v>0</v>
      </c>
      <c r="CA3915">
        <v>1600</v>
      </c>
      <c r="CB3915">
        <v>224</v>
      </c>
      <c r="CD3915">
        <v>1</v>
      </c>
      <c r="CE3915">
        <v>0</v>
      </c>
      <c r="CF3915">
        <v>0</v>
      </c>
      <c r="CG3915">
        <v>1</v>
      </c>
      <c r="CH3915">
        <v>0</v>
      </c>
      <c r="CI3915">
        <v>0</v>
      </c>
      <c r="CJ3915">
        <v>0</v>
      </c>
      <c r="CK3915">
        <v>2</v>
      </c>
      <c r="CL3915">
        <v>0</v>
      </c>
      <c r="CM3915">
        <v>2</v>
      </c>
      <c r="CN3915">
        <v>0</v>
      </c>
      <c r="CO3915">
        <v>6</v>
      </c>
      <c r="CP3915" t="s">
        <v>119</v>
      </c>
      <c r="CQ3915">
        <v>180</v>
      </c>
      <c r="CR3915">
        <v>3</v>
      </c>
      <c r="CW3915">
        <v>1297063</v>
      </c>
      <c r="CY3915">
        <v>0</v>
      </c>
      <c r="CZ3915">
        <v>0</v>
      </c>
      <c r="DA3915">
        <v>0</v>
      </c>
      <c r="DB3915">
        <v>0</v>
      </c>
      <c r="DC3915">
        <v>0</v>
      </c>
      <c r="DD3915">
        <v>0</v>
      </c>
      <c r="DE3915">
        <v>0</v>
      </c>
      <c r="DF3915">
        <v>0</v>
      </c>
      <c r="DG3915">
        <v>0</v>
      </c>
      <c r="DH3915">
        <v>0</v>
      </c>
      <c r="DI3915">
        <v>0</v>
      </c>
    </row>
    <row r="3916" spans="1:113" x14ac:dyDescent="0.3">
      <c r="A3916" t="str">
        <f>"02/08/2021 20:36:09.202"</f>
        <v>02/08/2021 20:36:09.202</v>
      </c>
      <c r="C3916" t="str">
        <f t="shared" si="194"/>
        <v>FFDFD7C0</v>
      </c>
      <c r="D3916" t="s">
        <v>113</v>
      </c>
      <c r="E3916">
        <v>6</v>
      </c>
      <c r="H3916">
        <v>165</v>
      </c>
      <c r="I3916" t="s">
        <v>114</v>
      </c>
      <c r="J3916" t="s">
        <v>115</v>
      </c>
      <c r="K3916">
        <v>0</v>
      </c>
      <c r="L3916">
        <v>3</v>
      </c>
      <c r="M3916">
        <v>0</v>
      </c>
      <c r="N3916">
        <v>2</v>
      </c>
      <c r="O3916">
        <v>1</v>
      </c>
      <c r="P3916">
        <v>0</v>
      </c>
      <c r="Q3916">
        <v>0</v>
      </c>
      <c r="S3916" t="str">
        <f>"20:36:11.516"</f>
        <v>20:36:11.516</v>
      </c>
      <c r="T3916" t="str">
        <f>"20:36:11.216"</f>
        <v>20:36:11.216</v>
      </c>
      <c r="U3916" t="str">
        <f t="shared" si="196"/>
        <v>AB01F4</v>
      </c>
      <c r="V3916">
        <v>0</v>
      </c>
      <c r="W3916">
        <v>0</v>
      </c>
      <c r="X3916">
        <v>2</v>
      </c>
      <c r="Z3916">
        <v>0</v>
      </c>
      <c r="AA3916">
        <v>9</v>
      </c>
      <c r="AB3916">
        <v>3</v>
      </c>
      <c r="AC3916">
        <v>0</v>
      </c>
      <c r="AD3916">
        <v>10</v>
      </c>
      <c r="AE3916">
        <v>0</v>
      </c>
      <c r="AF3916">
        <v>3</v>
      </c>
      <c r="AG3916">
        <v>2</v>
      </c>
      <c r="AH3916">
        <v>0</v>
      </c>
      <c r="AI3916" t="s">
        <v>2207</v>
      </c>
      <c r="AJ3916">
        <v>40.134816000000001</v>
      </c>
      <c r="AK3916" t="s">
        <v>2208</v>
      </c>
      <c r="AL3916">
        <v>-93.084840999999997</v>
      </c>
      <c r="AM3916">
        <v>100</v>
      </c>
      <c r="AN3916">
        <v>1300</v>
      </c>
      <c r="AO3916" t="s">
        <v>118</v>
      </c>
      <c r="AP3916">
        <v>-113</v>
      </c>
      <c r="AQ3916">
        <v>61</v>
      </c>
      <c r="AR3916">
        <v>0</v>
      </c>
      <c r="AZ3916">
        <v>1200</v>
      </c>
      <c r="BA3916">
        <v>1</v>
      </c>
      <c r="BB3916" t="str">
        <f t="shared" si="195"/>
        <v xml:space="preserve">N8080G  </v>
      </c>
      <c r="BC3916">
        <v>1</v>
      </c>
      <c r="BE3916">
        <v>0</v>
      </c>
      <c r="BF3916">
        <v>0</v>
      </c>
      <c r="BG3916">
        <v>0</v>
      </c>
      <c r="BH3916">
        <v>1350</v>
      </c>
      <c r="BI3916">
        <v>1</v>
      </c>
      <c r="BJ3916">
        <v>1</v>
      </c>
      <c r="BK3916">
        <v>1</v>
      </c>
      <c r="BL3916">
        <v>0</v>
      </c>
      <c r="BO3916">
        <v>0</v>
      </c>
      <c r="BP3916">
        <v>0</v>
      </c>
      <c r="BW3916" t="str">
        <f>"20:36:11.520"</f>
        <v>20:36:11.520</v>
      </c>
      <c r="BZ3916">
        <v>0</v>
      </c>
      <c r="CA3916">
        <v>1600</v>
      </c>
      <c r="CB3916">
        <v>224</v>
      </c>
      <c r="CD3916">
        <v>1</v>
      </c>
      <c r="CE3916">
        <v>0</v>
      </c>
      <c r="CF3916">
        <v>0</v>
      </c>
      <c r="CG3916">
        <v>1</v>
      </c>
      <c r="CH3916">
        <v>0</v>
      </c>
      <c r="CI3916">
        <v>0</v>
      </c>
      <c r="CJ3916">
        <v>0</v>
      </c>
      <c r="CK3916">
        <v>2</v>
      </c>
      <c r="CL3916">
        <v>0</v>
      </c>
      <c r="CM3916">
        <v>2</v>
      </c>
      <c r="CN3916">
        <v>0</v>
      </c>
      <c r="CO3916">
        <v>6</v>
      </c>
      <c r="CP3916" t="s">
        <v>119</v>
      </c>
      <c r="CQ3916">
        <v>180</v>
      </c>
      <c r="CR3916">
        <v>3</v>
      </c>
      <c r="CW3916">
        <v>1297063</v>
      </c>
      <c r="CY3916">
        <v>0</v>
      </c>
      <c r="CZ3916">
        <v>0</v>
      </c>
      <c r="DA3916">
        <v>1</v>
      </c>
      <c r="DB3916">
        <v>0</v>
      </c>
      <c r="DC3916">
        <v>0</v>
      </c>
      <c r="DD3916">
        <v>0</v>
      </c>
      <c r="DE3916">
        <v>0</v>
      </c>
      <c r="DF3916">
        <v>0</v>
      </c>
      <c r="DG3916">
        <v>0</v>
      </c>
      <c r="DH3916">
        <v>0</v>
      </c>
      <c r="DI3916">
        <v>0</v>
      </c>
    </row>
    <row r="3917" spans="1:113" x14ac:dyDescent="0.3">
      <c r="A3917" t="str">
        <f>"02/08/2021 20:36:09.202"</f>
        <v>02/08/2021 20:36:09.202</v>
      </c>
      <c r="C3917" t="str">
        <f t="shared" si="194"/>
        <v>FFDFD7C0</v>
      </c>
      <c r="D3917" t="s">
        <v>124</v>
      </c>
      <c r="E3917">
        <v>13</v>
      </c>
      <c r="F3917">
        <v>1013</v>
      </c>
      <c r="G3917" t="s">
        <v>114</v>
      </c>
      <c r="J3917" t="s">
        <v>125</v>
      </c>
      <c r="K3917">
        <v>0</v>
      </c>
      <c r="L3917">
        <v>3</v>
      </c>
      <c r="M3917">
        <v>0</v>
      </c>
      <c r="N3917">
        <v>2</v>
      </c>
      <c r="O3917">
        <v>1</v>
      </c>
      <c r="P3917">
        <v>0</v>
      </c>
      <c r="Q3917">
        <v>0</v>
      </c>
      <c r="S3917" t="str">
        <f>"20:36:11.516"</f>
        <v>20:36:11.516</v>
      </c>
      <c r="T3917" t="str">
        <f>"20:36:11.216"</f>
        <v>20:36:11.216</v>
      </c>
      <c r="U3917" t="str">
        <f t="shared" si="196"/>
        <v>AB01F4</v>
      </c>
      <c r="V3917">
        <v>0</v>
      </c>
      <c r="W3917">
        <v>0</v>
      </c>
      <c r="X3917">
        <v>2</v>
      </c>
      <c r="Z3917">
        <v>0</v>
      </c>
      <c r="AA3917">
        <v>9</v>
      </c>
      <c r="AB3917">
        <v>3</v>
      </c>
      <c r="AC3917">
        <v>0</v>
      </c>
      <c r="AD3917">
        <v>10</v>
      </c>
      <c r="AE3917">
        <v>0</v>
      </c>
      <c r="AF3917">
        <v>3</v>
      </c>
      <c r="AG3917">
        <v>2</v>
      </c>
      <c r="AH3917">
        <v>0</v>
      </c>
      <c r="AI3917" t="s">
        <v>2207</v>
      </c>
      <c r="AJ3917">
        <v>40.134816000000001</v>
      </c>
      <c r="AK3917" t="s">
        <v>2208</v>
      </c>
      <c r="AL3917">
        <v>-93.084840999999997</v>
      </c>
      <c r="AM3917">
        <v>100</v>
      </c>
      <c r="AN3917">
        <v>1300</v>
      </c>
      <c r="AO3917" t="s">
        <v>118</v>
      </c>
      <c r="AP3917">
        <v>-113</v>
      </c>
      <c r="AQ3917">
        <v>61</v>
      </c>
      <c r="AR3917">
        <v>0</v>
      </c>
      <c r="AZ3917">
        <v>1200</v>
      </c>
      <c r="BA3917">
        <v>1</v>
      </c>
      <c r="BB3917" t="str">
        <f t="shared" si="195"/>
        <v xml:space="preserve">N8080G  </v>
      </c>
      <c r="BC3917">
        <v>1</v>
      </c>
      <c r="BE3917">
        <v>0</v>
      </c>
      <c r="BF3917">
        <v>0</v>
      </c>
      <c r="BG3917">
        <v>0</v>
      </c>
      <c r="BH3917">
        <v>1350</v>
      </c>
      <c r="BI3917">
        <v>1</v>
      </c>
      <c r="BJ3917">
        <v>1</v>
      </c>
      <c r="BK3917">
        <v>1</v>
      </c>
      <c r="BL3917">
        <v>0</v>
      </c>
      <c r="BO3917">
        <v>0</v>
      </c>
      <c r="BP3917">
        <v>0</v>
      </c>
      <c r="BW3917" t="str">
        <f>"20:36:11.520"</f>
        <v>20:36:11.520</v>
      </c>
      <c r="BZ3917">
        <v>0</v>
      </c>
      <c r="CA3917">
        <v>1600</v>
      </c>
      <c r="CB3917">
        <v>224</v>
      </c>
      <c r="CD3917">
        <v>1</v>
      </c>
      <c r="CE3917">
        <v>0</v>
      </c>
      <c r="CF3917">
        <v>0</v>
      </c>
      <c r="CG3917">
        <v>1</v>
      </c>
      <c r="CH3917">
        <v>0</v>
      </c>
      <c r="CI3917">
        <v>0</v>
      </c>
      <c r="CJ3917">
        <v>0</v>
      </c>
      <c r="CK3917">
        <v>2</v>
      </c>
      <c r="CL3917">
        <v>0</v>
      </c>
      <c r="CM3917">
        <v>2</v>
      </c>
      <c r="CN3917">
        <v>0</v>
      </c>
      <c r="CO3917">
        <v>6</v>
      </c>
      <c r="CP3917" t="s">
        <v>119</v>
      </c>
      <c r="CQ3917">
        <v>180</v>
      </c>
      <c r="CR3917">
        <v>3</v>
      </c>
      <c r="CW3917">
        <v>1297063</v>
      </c>
      <c r="CY3917">
        <v>0</v>
      </c>
      <c r="CZ3917">
        <v>0</v>
      </c>
      <c r="DA3917">
        <v>1</v>
      </c>
      <c r="DB3917">
        <v>0</v>
      </c>
      <c r="DC3917">
        <v>0</v>
      </c>
      <c r="DD3917">
        <v>0</v>
      </c>
      <c r="DE3917">
        <v>0</v>
      </c>
      <c r="DF3917">
        <v>0</v>
      </c>
      <c r="DG3917">
        <v>0</v>
      </c>
      <c r="DH3917">
        <v>0</v>
      </c>
      <c r="DI3917">
        <v>0</v>
      </c>
    </row>
    <row r="3918" spans="1:113" x14ac:dyDescent="0.3">
      <c r="A3918" t="str">
        <f>"02/08/2021 20:36:09.202"</f>
        <v>02/08/2021 20:36:09.202</v>
      </c>
      <c r="C3918" t="str">
        <f t="shared" si="194"/>
        <v>FFDFD7C0</v>
      </c>
      <c r="D3918" t="s">
        <v>124</v>
      </c>
      <c r="E3918">
        <v>11</v>
      </c>
      <c r="F3918">
        <v>1011</v>
      </c>
      <c r="G3918" t="s">
        <v>590</v>
      </c>
      <c r="J3918" t="s">
        <v>125</v>
      </c>
      <c r="K3918">
        <v>0</v>
      </c>
      <c r="L3918">
        <v>3</v>
      </c>
      <c r="M3918">
        <v>0</v>
      </c>
      <c r="N3918">
        <v>2</v>
      </c>
      <c r="O3918">
        <v>1</v>
      </c>
      <c r="P3918">
        <v>0</v>
      </c>
      <c r="Q3918">
        <v>0</v>
      </c>
      <c r="S3918" t="str">
        <f>"20:36:11.516"</f>
        <v>20:36:11.516</v>
      </c>
      <c r="T3918" t="str">
        <f>"20:36:11.216"</f>
        <v>20:36:11.216</v>
      </c>
      <c r="U3918" t="str">
        <f t="shared" si="196"/>
        <v>AB01F4</v>
      </c>
      <c r="V3918">
        <v>0</v>
      </c>
      <c r="W3918">
        <v>0</v>
      </c>
      <c r="X3918">
        <v>2</v>
      </c>
      <c r="Z3918">
        <v>0</v>
      </c>
      <c r="AA3918">
        <v>9</v>
      </c>
      <c r="AB3918">
        <v>3</v>
      </c>
      <c r="AC3918">
        <v>0</v>
      </c>
      <c r="AD3918">
        <v>10</v>
      </c>
      <c r="AE3918">
        <v>0</v>
      </c>
      <c r="AF3918">
        <v>3</v>
      </c>
      <c r="AG3918">
        <v>2</v>
      </c>
      <c r="AH3918">
        <v>0</v>
      </c>
      <c r="AI3918" t="s">
        <v>2207</v>
      </c>
      <c r="AJ3918">
        <v>40.134816000000001</v>
      </c>
      <c r="AK3918" t="s">
        <v>2208</v>
      </c>
      <c r="AL3918">
        <v>-93.084840999999997</v>
      </c>
      <c r="AM3918">
        <v>100</v>
      </c>
      <c r="AN3918">
        <v>1300</v>
      </c>
      <c r="AO3918" t="s">
        <v>118</v>
      </c>
      <c r="AP3918">
        <v>-113</v>
      </c>
      <c r="AQ3918">
        <v>61</v>
      </c>
      <c r="AR3918">
        <v>0</v>
      </c>
      <c r="AZ3918">
        <v>1200</v>
      </c>
      <c r="BA3918">
        <v>1</v>
      </c>
      <c r="BB3918" t="str">
        <f t="shared" si="195"/>
        <v xml:space="preserve">N8080G  </v>
      </c>
      <c r="BC3918">
        <v>1</v>
      </c>
      <c r="BE3918">
        <v>0</v>
      </c>
      <c r="BF3918">
        <v>0</v>
      </c>
      <c r="BG3918">
        <v>0</v>
      </c>
      <c r="BH3918">
        <v>1350</v>
      </c>
      <c r="BI3918">
        <v>1</v>
      </c>
      <c r="BJ3918">
        <v>1</v>
      </c>
      <c r="BK3918">
        <v>1</v>
      </c>
      <c r="BL3918">
        <v>0</v>
      </c>
      <c r="BO3918">
        <v>0</v>
      </c>
      <c r="BP3918">
        <v>0</v>
      </c>
      <c r="BW3918" t="str">
        <f>"20:36:11.520"</f>
        <v>20:36:11.520</v>
      </c>
      <c r="BZ3918">
        <v>0</v>
      </c>
      <c r="CA3918">
        <v>1600</v>
      </c>
      <c r="CB3918">
        <v>224</v>
      </c>
      <c r="CD3918">
        <v>1</v>
      </c>
      <c r="CE3918">
        <v>0</v>
      </c>
      <c r="CF3918">
        <v>0</v>
      </c>
      <c r="CG3918">
        <v>1</v>
      </c>
      <c r="CH3918">
        <v>0</v>
      </c>
      <c r="CI3918">
        <v>0</v>
      </c>
      <c r="CJ3918">
        <v>0</v>
      </c>
      <c r="CK3918">
        <v>2</v>
      </c>
      <c r="CL3918">
        <v>0</v>
      </c>
      <c r="CM3918">
        <v>2</v>
      </c>
      <c r="CN3918">
        <v>0</v>
      </c>
      <c r="CO3918">
        <v>6</v>
      </c>
      <c r="CP3918" t="s">
        <v>119</v>
      </c>
      <c r="CQ3918">
        <v>180</v>
      </c>
      <c r="CR3918">
        <v>3</v>
      </c>
      <c r="CW3918">
        <v>1297063</v>
      </c>
      <c r="CY3918">
        <v>0</v>
      </c>
      <c r="CZ3918">
        <v>0</v>
      </c>
      <c r="DA3918">
        <v>1</v>
      </c>
      <c r="DB3918">
        <v>0</v>
      </c>
      <c r="DC3918">
        <v>0</v>
      </c>
      <c r="DD3918">
        <v>0</v>
      </c>
      <c r="DE3918">
        <v>0</v>
      </c>
      <c r="DF3918">
        <v>0</v>
      </c>
      <c r="DG3918">
        <v>0</v>
      </c>
      <c r="DH3918">
        <v>0</v>
      </c>
      <c r="DI3918">
        <v>0</v>
      </c>
    </row>
    <row r="3919" spans="1:113" x14ac:dyDescent="0.3">
      <c r="A3919" t="str">
        <f>"02/08/2021 20:36:10.133"</f>
        <v>02/08/2021 20:36:10.133</v>
      </c>
      <c r="C3919" t="str">
        <f t="shared" si="194"/>
        <v>FFDFD7C0</v>
      </c>
      <c r="D3919" t="s">
        <v>124</v>
      </c>
      <c r="E3919">
        <v>11</v>
      </c>
      <c r="F3919">
        <v>1011</v>
      </c>
      <c r="G3919" t="s">
        <v>590</v>
      </c>
      <c r="J3919" t="s">
        <v>125</v>
      </c>
      <c r="K3919">
        <v>0</v>
      </c>
      <c r="L3919">
        <v>3</v>
      </c>
      <c r="M3919">
        <v>0</v>
      </c>
      <c r="N3919">
        <v>2</v>
      </c>
      <c r="O3919">
        <v>1</v>
      </c>
      <c r="P3919">
        <v>0</v>
      </c>
      <c r="Q3919">
        <v>0</v>
      </c>
      <c r="S3919" t="str">
        <f>"20:36:12.477"</f>
        <v>20:36:12.477</v>
      </c>
      <c r="T3919" t="str">
        <f>"20:36:12.077"</f>
        <v>20:36:12.077</v>
      </c>
      <c r="U3919" t="str">
        <f t="shared" si="196"/>
        <v>AB01F4</v>
      </c>
      <c r="V3919">
        <v>0</v>
      </c>
      <c r="W3919">
        <v>0</v>
      </c>
      <c r="X3919">
        <v>2</v>
      </c>
      <c r="Z3919">
        <v>0</v>
      </c>
      <c r="AA3919">
        <v>9</v>
      </c>
      <c r="AB3919">
        <v>3</v>
      </c>
      <c r="AC3919">
        <v>0</v>
      </c>
      <c r="AD3919">
        <v>10</v>
      </c>
      <c r="AE3919">
        <v>0</v>
      </c>
      <c r="AF3919">
        <v>3</v>
      </c>
      <c r="AG3919">
        <v>2</v>
      </c>
      <c r="AH3919">
        <v>0</v>
      </c>
      <c r="AI3919" t="s">
        <v>2209</v>
      </c>
      <c r="AJ3919">
        <v>40.135095</v>
      </c>
      <c r="AK3919" t="s">
        <v>2210</v>
      </c>
      <c r="AL3919">
        <v>-93.085526999999999</v>
      </c>
      <c r="AM3919">
        <v>100</v>
      </c>
      <c r="AN3919">
        <v>1300</v>
      </c>
      <c r="AO3919" t="s">
        <v>118</v>
      </c>
      <c r="AP3919">
        <v>-113</v>
      </c>
      <c r="AQ3919">
        <v>61</v>
      </c>
      <c r="AR3919">
        <v>64</v>
      </c>
      <c r="AZ3919">
        <v>1200</v>
      </c>
      <c r="BA3919">
        <v>1</v>
      </c>
      <c r="BB3919" t="str">
        <f t="shared" si="195"/>
        <v xml:space="preserve">N8080G  </v>
      </c>
      <c r="BC3919">
        <v>1</v>
      </c>
      <c r="BE3919">
        <v>0</v>
      </c>
      <c r="BF3919">
        <v>0</v>
      </c>
      <c r="BG3919">
        <v>0</v>
      </c>
      <c r="BH3919">
        <v>1350</v>
      </c>
      <c r="BI3919">
        <v>1</v>
      </c>
      <c r="BJ3919">
        <v>1</v>
      </c>
      <c r="BK3919">
        <v>1</v>
      </c>
      <c r="BL3919">
        <v>0</v>
      </c>
      <c r="BO3919">
        <v>0</v>
      </c>
      <c r="BP3919">
        <v>0</v>
      </c>
      <c r="BW3919" t="str">
        <f>"20:36:12.484"</f>
        <v>20:36:12.484</v>
      </c>
      <c r="BZ3919">
        <v>0</v>
      </c>
      <c r="CA3919">
        <v>1600</v>
      </c>
      <c r="CB3919">
        <v>224</v>
      </c>
      <c r="CD3919">
        <v>1</v>
      </c>
      <c r="CE3919">
        <v>0</v>
      </c>
      <c r="CF3919">
        <v>0</v>
      </c>
      <c r="CG3919">
        <v>1</v>
      </c>
      <c r="CH3919">
        <v>0</v>
      </c>
      <c r="CI3919">
        <v>0</v>
      </c>
      <c r="CJ3919">
        <v>0</v>
      </c>
      <c r="CK3919">
        <v>2</v>
      </c>
      <c r="CL3919">
        <v>0</v>
      </c>
      <c r="CM3919">
        <v>2</v>
      </c>
      <c r="CN3919">
        <v>0</v>
      </c>
      <c r="CO3919">
        <v>6</v>
      </c>
      <c r="CP3919" t="s">
        <v>119</v>
      </c>
      <c r="CQ3919">
        <v>180</v>
      </c>
      <c r="CR3919">
        <v>3</v>
      </c>
      <c r="CW3919">
        <v>1297727</v>
      </c>
      <c r="CY3919">
        <v>0</v>
      </c>
      <c r="CZ3919">
        <v>0</v>
      </c>
      <c r="DA3919">
        <v>0</v>
      </c>
      <c r="DB3919">
        <v>0</v>
      </c>
      <c r="DC3919">
        <v>0</v>
      </c>
      <c r="DD3919">
        <v>0</v>
      </c>
      <c r="DE3919">
        <v>0</v>
      </c>
      <c r="DF3919">
        <v>0</v>
      </c>
      <c r="DG3919">
        <v>0</v>
      </c>
      <c r="DH3919">
        <v>0</v>
      </c>
      <c r="DI3919">
        <v>0</v>
      </c>
    </row>
    <row r="3920" spans="1:113" x14ac:dyDescent="0.3">
      <c r="A3920" t="str">
        <f>"02/08/2021 20:36:10.133"</f>
        <v>02/08/2021 20:36:10.133</v>
      </c>
      <c r="C3920" t="str">
        <f t="shared" si="194"/>
        <v>FFDFD7C0</v>
      </c>
      <c r="D3920" t="s">
        <v>124</v>
      </c>
      <c r="E3920">
        <v>12</v>
      </c>
      <c r="F3920">
        <v>1012</v>
      </c>
      <c r="G3920" t="s">
        <v>675</v>
      </c>
      <c r="J3920" t="s">
        <v>125</v>
      </c>
      <c r="K3920">
        <v>0</v>
      </c>
      <c r="L3920">
        <v>3</v>
      </c>
      <c r="M3920">
        <v>0</v>
      </c>
      <c r="N3920">
        <v>2</v>
      </c>
      <c r="O3920">
        <v>1</v>
      </c>
      <c r="P3920">
        <v>0</v>
      </c>
      <c r="Q3920">
        <v>0</v>
      </c>
      <c r="S3920" t="str">
        <f>"20:36:12.477"</f>
        <v>20:36:12.477</v>
      </c>
      <c r="T3920" t="str">
        <f>"20:36:12.077"</f>
        <v>20:36:12.077</v>
      </c>
      <c r="U3920" t="str">
        <f t="shared" si="196"/>
        <v>AB01F4</v>
      </c>
      <c r="V3920">
        <v>0</v>
      </c>
      <c r="W3920">
        <v>0</v>
      </c>
      <c r="X3920">
        <v>2</v>
      </c>
      <c r="Z3920">
        <v>0</v>
      </c>
      <c r="AA3920">
        <v>9</v>
      </c>
      <c r="AB3920">
        <v>3</v>
      </c>
      <c r="AC3920">
        <v>0</v>
      </c>
      <c r="AD3920">
        <v>10</v>
      </c>
      <c r="AE3920">
        <v>0</v>
      </c>
      <c r="AF3920">
        <v>3</v>
      </c>
      <c r="AG3920">
        <v>2</v>
      </c>
      <c r="AH3920">
        <v>0</v>
      </c>
      <c r="AI3920" t="s">
        <v>2209</v>
      </c>
      <c r="AJ3920">
        <v>40.135095</v>
      </c>
      <c r="AK3920" t="s">
        <v>2210</v>
      </c>
      <c r="AL3920">
        <v>-93.085526999999999</v>
      </c>
      <c r="AM3920">
        <v>100</v>
      </c>
      <c r="AN3920">
        <v>1300</v>
      </c>
      <c r="AO3920" t="s">
        <v>118</v>
      </c>
      <c r="AP3920">
        <v>-113</v>
      </c>
      <c r="AQ3920">
        <v>61</v>
      </c>
      <c r="AR3920">
        <v>64</v>
      </c>
      <c r="AZ3920">
        <v>1200</v>
      </c>
      <c r="BA3920">
        <v>1</v>
      </c>
      <c r="BB3920" t="str">
        <f t="shared" si="195"/>
        <v xml:space="preserve">N8080G  </v>
      </c>
      <c r="BC3920">
        <v>1</v>
      </c>
      <c r="BE3920">
        <v>0</v>
      </c>
      <c r="BF3920">
        <v>0</v>
      </c>
      <c r="BG3920">
        <v>0</v>
      </c>
      <c r="BH3920">
        <v>1350</v>
      </c>
      <c r="BI3920">
        <v>1</v>
      </c>
      <c r="BJ3920">
        <v>1</v>
      </c>
      <c r="BK3920">
        <v>1</v>
      </c>
      <c r="BL3920">
        <v>0</v>
      </c>
      <c r="BO3920">
        <v>0</v>
      </c>
      <c r="BP3920">
        <v>0</v>
      </c>
      <c r="BW3920" t="str">
        <f>"20:36:12.484"</f>
        <v>20:36:12.484</v>
      </c>
      <c r="BZ3920">
        <v>0</v>
      </c>
      <c r="CA3920">
        <v>1600</v>
      </c>
      <c r="CB3920">
        <v>224</v>
      </c>
      <c r="CD3920">
        <v>1</v>
      </c>
      <c r="CE3920">
        <v>0</v>
      </c>
      <c r="CF3920">
        <v>0</v>
      </c>
      <c r="CG3920">
        <v>1</v>
      </c>
      <c r="CH3920">
        <v>0</v>
      </c>
      <c r="CI3920">
        <v>0</v>
      </c>
      <c r="CJ3920">
        <v>0</v>
      </c>
      <c r="CK3920">
        <v>2</v>
      </c>
      <c r="CL3920">
        <v>0</v>
      </c>
      <c r="CM3920">
        <v>2</v>
      </c>
      <c r="CN3920">
        <v>0</v>
      </c>
      <c r="CO3920">
        <v>6</v>
      </c>
      <c r="CP3920" t="s">
        <v>119</v>
      </c>
      <c r="CQ3920">
        <v>180</v>
      </c>
      <c r="CR3920">
        <v>3</v>
      </c>
      <c r="CW3920">
        <v>1297727</v>
      </c>
      <c r="CY3920">
        <v>0</v>
      </c>
      <c r="CZ3920">
        <v>0</v>
      </c>
      <c r="DA3920">
        <v>1</v>
      </c>
      <c r="DB3920">
        <v>0</v>
      </c>
      <c r="DC3920">
        <v>0</v>
      </c>
      <c r="DD3920">
        <v>0</v>
      </c>
      <c r="DE3920">
        <v>0</v>
      </c>
      <c r="DF3920">
        <v>0</v>
      </c>
      <c r="DG3920">
        <v>0</v>
      </c>
      <c r="DH3920">
        <v>0</v>
      </c>
      <c r="DI3920">
        <v>0</v>
      </c>
    </row>
    <row r="3921" spans="1:113" x14ac:dyDescent="0.3">
      <c r="A3921" t="str">
        <f>"02/08/2021 20:36:10.133"</f>
        <v>02/08/2021 20:36:10.133</v>
      </c>
      <c r="C3921" t="str">
        <f t="shared" si="194"/>
        <v>FFDFD7C0</v>
      </c>
      <c r="D3921" t="s">
        <v>113</v>
      </c>
      <c r="E3921">
        <v>6</v>
      </c>
      <c r="H3921">
        <v>165</v>
      </c>
      <c r="I3921" t="s">
        <v>114</v>
      </c>
      <c r="J3921" t="s">
        <v>115</v>
      </c>
      <c r="K3921">
        <v>0</v>
      </c>
      <c r="L3921">
        <v>3</v>
      </c>
      <c r="M3921">
        <v>0</v>
      </c>
      <c r="N3921">
        <v>2</v>
      </c>
      <c r="O3921">
        <v>1</v>
      </c>
      <c r="P3921">
        <v>0</v>
      </c>
      <c r="Q3921">
        <v>0</v>
      </c>
      <c r="S3921" t="str">
        <f>"20:36:12.477"</f>
        <v>20:36:12.477</v>
      </c>
      <c r="T3921" t="str">
        <f>"20:36:12.077"</f>
        <v>20:36:12.077</v>
      </c>
      <c r="U3921" t="str">
        <f t="shared" si="196"/>
        <v>AB01F4</v>
      </c>
      <c r="V3921">
        <v>0</v>
      </c>
      <c r="W3921">
        <v>0</v>
      </c>
      <c r="X3921">
        <v>2</v>
      </c>
      <c r="Z3921">
        <v>0</v>
      </c>
      <c r="AA3921">
        <v>9</v>
      </c>
      <c r="AB3921">
        <v>3</v>
      </c>
      <c r="AC3921">
        <v>0</v>
      </c>
      <c r="AD3921">
        <v>10</v>
      </c>
      <c r="AE3921">
        <v>0</v>
      </c>
      <c r="AF3921">
        <v>3</v>
      </c>
      <c r="AG3921">
        <v>2</v>
      </c>
      <c r="AH3921">
        <v>0</v>
      </c>
      <c r="AI3921" t="s">
        <v>2209</v>
      </c>
      <c r="AJ3921">
        <v>40.135095</v>
      </c>
      <c r="AK3921" t="s">
        <v>2210</v>
      </c>
      <c r="AL3921">
        <v>-93.085526999999999</v>
      </c>
      <c r="AM3921">
        <v>100</v>
      </c>
      <c r="AN3921">
        <v>1300</v>
      </c>
      <c r="AO3921" t="s">
        <v>118</v>
      </c>
      <c r="AP3921">
        <v>-113</v>
      </c>
      <c r="AQ3921">
        <v>61</v>
      </c>
      <c r="AR3921">
        <v>64</v>
      </c>
      <c r="AZ3921">
        <v>1200</v>
      </c>
      <c r="BA3921">
        <v>1</v>
      </c>
      <c r="BB3921" t="str">
        <f t="shared" si="195"/>
        <v xml:space="preserve">N8080G  </v>
      </c>
      <c r="BC3921">
        <v>1</v>
      </c>
      <c r="BE3921">
        <v>0</v>
      </c>
      <c r="BF3921">
        <v>0</v>
      </c>
      <c r="BG3921">
        <v>0</v>
      </c>
      <c r="BH3921">
        <v>1350</v>
      </c>
      <c r="BI3921">
        <v>1</v>
      </c>
      <c r="BJ3921">
        <v>1</v>
      </c>
      <c r="BK3921">
        <v>1</v>
      </c>
      <c r="BL3921">
        <v>0</v>
      </c>
      <c r="BO3921">
        <v>0</v>
      </c>
      <c r="BP3921">
        <v>0</v>
      </c>
      <c r="BW3921" t="str">
        <f>"20:36:12.484"</f>
        <v>20:36:12.484</v>
      </c>
      <c r="BZ3921">
        <v>0</v>
      </c>
      <c r="CA3921">
        <v>1600</v>
      </c>
      <c r="CB3921">
        <v>224</v>
      </c>
      <c r="CD3921">
        <v>1</v>
      </c>
      <c r="CE3921">
        <v>0</v>
      </c>
      <c r="CF3921">
        <v>0</v>
      </c>
      <c r="CG3921">
        <v>1</v>
      </c>
      <c r="CH3921">
        <v>0</v>
      </c>
      <c r="CI3921">
        <v>0</v>
      </c>
      <c r="CJ3921">
        <v>0</v>
      </c>
      <c r="CK3921">
        <v>2</v>
      </c>
      <c r="CL3921">
        <v>0</v>
      </c>
      <c r="CM3921">
        <v>2</v>
      </c>
      <c r="CN3921">
        <v>0</v>
      </c>
      <c r="CO3921">
        <v>6</v>
      </c>
      <c r="CP3921" t="s">
        <v>119</v>
      </c>
      <c r="CQ3921">
        <v>180</v>
      </c>
      <c r="CR3921">
        <v>3</v>
      </c>
      <c r="CW3921">
        <v>1297727</v>
      </c>
      <c r="CY3921">
        <v>0</v>
      </c>
      <c r="CZ3921">
        <v>0</v>
      </c>
      <c r="DA3921">
        <v>1</v>
      </c>
      <c r="DB3921">
        <v>0</v>
      </c>
      <c r="DC3921">
        <v>0</v>
      </c>
      <c r="DD3921">
        <v>0</v>
      </c>
      <c r="DE3921">
        <v>0</v>
      </c>
      <c r="DF3921">
        <v>0</v>
      </c>
      <c r="DG3921">
        <v>0</v>
      </c>
      <c r="DH3921">
        <v>0</v>
      </c>
      <c r="DI3921">
        <v>0</v>
      </c>
    </row>
    <row r="3922" spans="1:113" x14ac:dyDescent="0.3">
      <c r="A3922" t="str">
        <f>"02/08/2021 20:36:10.133"</f>
        <v>02/08/2021 20:36:10.133</v>
      </c>
      <c r="C3922" t="str">
        <f t="shared" si="194"/>
        <v>FFDFD7C0</v>
      </c>
      <c r="D3922" t="s">
        <v>124</v>
      </c>
      <c r="E3922">
        <v>13</v>
      </c>
      <c r="F3922">
        <v>1013</v>
      </c>
      <c r="G3922" t="s">
        <v>114</v>
      </c>
      <c r="J3922" t="s">
        <v>125</v>
      </c>
      <c r="K3922">
        <v>0</v>
      </c>
      <c r="L3922">
        <v>3</v>
      </c>
      <c r="M3922">
        <v>0</v>
      </c>
      <c r="N3922">
        <v>2</v>
      </c>
      <c r="O3922">
        <v>1</v>
      </c>
      <c r="P3922">
        <v>0</v>
      </c>
      <c r="Q3922">
        <v>0</v>
      </c>
      <c r="S3922" t="str">
        <f>"20:36:12.477"</f>
        <v>20:36:12.477</v>
      </c>
      <c r="T3922" t="str">
        <f>"20:36:12.077"</f>
        <v>20:36:12.077</v>
      </c>
      <c r="U3922" t="str">
        <f t="shared" si="196"/>
        <v>AB01F4</v>
      </c>
      <c r="V3922">
        <v>0</v>
      </c>
      <c r="W3922">
        <v>0</v>
      </c>
      <c r="X3922">
        <v>2</v>
      </c>
      <c r="Z3922">
        <v>0</v>
      </c>
      <c r="AA3922">
        <v>9</v>
      </c>
      <c r="AB3922">
        <v>3</v>
      </c>
      <c r="AC3922">
        <v>0</v>
      </c>
      <c r="AD3922">
        <v>10</v>
      </c>
      <c r="AE3922">
        <v>0</v>
      </c>
      <c r="AF3922">
        <v>3</v>
      </c>
      <c r="AG3922">
        <v>2</v>
      </c>
      <c r="AH3922">
        <v>0</v>
      </c>
      <c r="AI3922" t="s">
        <v>2209</v>
      </c>
      <c r="AJ3922">
        <v>40.135095</v>
      </c>
      <c r="AK3922" t="s">
        <v>2210</v>
      </c>
      <c r="AL3922">
        <v>-93.085526999999999</v>
      </c>
      <c r="AM3922">
        <v>100</v>
      </c>
      <c r="AN3922">
        <v>1300</v>
      </c>
      <c r="AO3922" t="s">
        <v>118</v>
      </c>
      <c r="AP3922">
        <v>-113</v>
      </c>
      <c r="AQ3922">
        <v>61</v>
      </c>
      <c r="AR3922">
        <v>64</v>
      </c>
      <c r="AZ3922">
        <v>1200</v>
      </c>
      <c r="BA3922">
        <v>1</v>
      </c>
      <c r="BB3922" t="str">
        <f t="shared" si="195"/>
        <v xml:space="preserve">N8080G  </v>
      </c>
      <c r="BC3922">
        <v>1</v>
      </c>
      <c r="BE3922">
        <v>0</v>
      </c>
      <c r="BF3922">
        <v>0</v>
      </c>
      <c r="BG3922">
        <v>0</v>
      </c>
      <c r="BH3922">
        <v>1350</v>
      </c>
      <c r="BI3922">
        <v>1</v>
      </c>
      <c r="BJ3922">
        <v>1</v>
      </c>
      <c r="BK3922">
        <v>1</v>
      </c>
      <c r="BL3922">
        <v>0</v>
      </c>
      <c r="BO3922">
        <v>0</v>
      </c>
      <c r="BP3922">
        <v>0</v>
      </c>
      <c r="BW3922" t="str">
        <f>"20:36:12.484"</f>
        <v>20:36:12.484</v>
      </c>
      <c r="BZ3922">
        <v>0</v>
      </c>
      <c r="CA3922">
        <v>1600</v>
      </c>
      <c r="CB3922">
        <v>224</v>
      </c>
      <c r="CD3922">
        <v>1</v>
      </c>
      <c r="CE3922">
        <v>0</v>
      </c>
      <c r="CF3922">
        <v>0</v>
      </c>
      <c r="CG3922">
        <v>1</v>
      </c>
      <c r="CH3922">
        <v>0</v>
      </c>
      <c r="CI3922">
        <v>0</v>
      </c>
      <c r="CJ3922">
        <v>0</v>
      </c>
      <c r="CK3922">
        <v>2</v>
      </c>
      <c r="CL3922">
        <v>0</v>
      </c>
      <c r="CM3922">
        <v>2</v>
      </c>
      <c r="CN3922">
        <v>0</v>
      </c>
      <c r="CO3922">
        <v>6</v>
      </c>
      <c r="CP3922" t="s">
        <v>119</v>
      </c>
      <c r="CQ3922">
        <v>180</v>
      </c>
      <c r="CR3922">
        <v>3</v>
      </c>
      <c r="CW3922">
        <v>1297727</v>
      </c>
      <c r="CY3922">
        <v>0</v>
      </c>
      <c r="CZ3922">
        <v>0</v>
      </c>
      <c r="DA3922">
        <v>1</v>
      </c>
      <c r="DB3922">
        <v>0</v>
      </c>
      <c r="DC3922">
        <v>0</v>
      </c>
      <c r="DD3922">
        <v>0</v>
      </c>
      <c r="DE3922">
        <v>0</v>
      </c>
      <c r="DF3922">
        <v>0</v>
      </c>
      <c r="DG3922">
        <v>0</v>
      </c>
      <c r="DH3922">
        <v>0</v>
      </c>
      <c r="DI3922">
        <v>0</v>
      </c>
    </row>
    <row r="3923" spans="1:113" x14ac:dyDescent="0.3">
      <c r="A3923" t="str">
        <f>"02/08/2021 20:36:11.093"</f>
        <v>02/08/2021 20:36:11.093</v>
      </c>
      <c r="C3923" t="str">
        <f t="shared" si="194"/>
        <v>FFDFD7C0</v>
      </c>
      <c r="D3923" t="s">
        <v>124</v>
      </c>
      <c r="E3923">
        <v>11</v>
      </c>
      <c r="F3923">
        <v>1011</v>
      </c>
      <c r="G3923" t="s">
        <v>590</v>
      </c>
      <c r="J3923" t="s">
        <v>125</v>
      </c>
      <c r="K3923">
        <v>0</v>
      </c>
      <c r="L3923">
        <v>3</v>
      </c>
      <c r="M3923">
        <v>0</v>
      </c>
      <c r="N3923">
        <v>2</v>
      </c>
      <c r="O3923">
        <v>1</v>
      </c>
      <c r="P3923">
        <v>0</v>
      </c>
      <c r="Q3923">
        <v>0</v>
      </c>
      <c r="S3923" t="str">
        <f>"20:36:13.398"</f>
        <v>20:36:13.398</v>
      </c>
      <c r="T3923" t="str">
        <f>"20:36:12.998"</f>
        <v>20:36:12.998</v>
      </c>
      <c r="U3923" t="str">
        <f t="shared" si="196"/>
        <v>AB01F4</v>
      </c>
      <c r="V3923">
        <v>0</v>
      </c>
      <c r="W3923">
        <v>0</v>
      </c>
      <c r="X3923">
        <v>2</v>
      </c>
      <c r="Z3923">
        <v>0</v>
      </c>
      <c r="AA3923">
        <v>9</v>
      </c>
      <c r="AB3923">
        <v>3</v>
      </c>
      <c r="AC3923">
        <v>0</v>
      </c>
      <c r="AD3923">
        <v>10</v>
      </c>
      <c r="AE3923">
        <v>0</v>
      </c>
      <c r="AF3923">
        <v>3</v>
      </c>
      <c r="AG3923">
        <v>2</v>
      </c>
      <c r="AH3923">
        <v>0</v>
      </c>
      <c r="AI3923" t="s">
        <v>2211</v>
      </c>
      <c r="AJ3923">
        <v>40.135396</v>
      </c>
      <c r="AK3923" t="s">
        <v>2212</v>
      </c>
      <c r="AL3923">
        <v>-93.086170999999993</v>
      </c>
      <c r="AM3923">
        <v>100</v>
      </c>
      <c r="AN3923">
        <v>1300</v>
      </c>
      <c r="AO3923" t="s">
        <v>118</v>
      </c>
      <c r="AP3923">
        <v>-114</v>
      </c>
      <c r="AQ3923">
        <v>61</v>
      </c>
      <c r="AR3923">
        <v>64</v>
      </c>
      <c r="AZ3923">
        <v>1200</v>
      </c>
      <c r="BA3923">
        <v>1</v>
      </c>
      <c r="BB3923" t="str">
        <f t="shared" si="195"/>
        <v xml:space="preserve">N8080G  </v>
      </c>
      <c r="BC3923">
        <v>1</v>
      </c>
      <c r="BE3923">
        <v>0</v>
      </c>
      <c r="BF3923">
        <v>0</v>
      </c>
      <c r="BG3923">
        <v>0</v>
      </c>
      <c r="BH3923">
        <v>1350</v>
      </c>
      <c r="BI3923">
        <v>1</v>
      </c>
      <c r="BJ3923">
        <v>1</v>
      </c>
      <c r="BK3923">
        <v>1</v>
      </c>
      <c r="BL3923">
        <v>0</v>
      </c>
      <c r="BO3923">
        <v>0</v>
      </c>
      <c r="BP3923">
        <v>0</v>
      </c>
      <c r="BW3923" t="str">
        <f>"20:36:13.406"</f>
        <v>20:36:13.406</v>
      </c>
      <c r="BZ3923">
        <v>0</v>
      </c>
      <c r="CA3923">
        <v>1600</v>
      </c>
      <c r="CB3923">
        <v>224</v>
      </c>
      <c r="CD3923">
        <v>1</v>
      </c>
      <c r="CE3923">
        <v>0</v>
      </c>
      <c r="CF3923">
        <v>0</v>
      </c>
      <c r="CG3923">
        <v>1</v>
      </c>
      <c r="CH3923">
        <v>0</v>
      </c>
      <c r="CI3923">
        <v>0</v>
      </c>
      <c r="CJ3923">
        <v>0</v>
      </c>
      <c r="CK3923">
        <v>2</v>
      </c>
      <c r="CL3923">
        <v>0</v>
      </c>
      <c r="CM3923">
        <v>2</v>
      </c>
      <c r="CN3923">
        <v>0</v>
      </c>
      <c r="CO3923">
        <v>6</v>
      </c>
      <c r="CP3923" t="s">
        <v>119</v>
      </c>
      <c r="CQ3923">
        <v>180</v>
      </c>
      <c r="CR3923">
        <v>3</v>
      </c>
      <c r="CW3923">
        <v>1298419</v>
      </c>
      <c r="CY3923">
        <v>0</v>
      </c>
      <c r="CZ3923">
        <v>0</v>
      </c>
      <c r="DA3923">
        <v>0</v>
      </c>
      <c r="DB3923">
        <v>0</v>
      </c>
      <c r="DC3923">
        <v>0</v>
      </c>
      <c r="DD3923">
        <v>0</v>
      </c>
      <c r="DE3923">
        <v>0</v>
      </c>
      <c r="DF3923">
        <v>0</v>
      </c>
      <c r="DG3923">
        <v>0</v>
      </c>
      <c r="DH3923">
        <v>0</v>
      </c>
      <c r="DI3923">
        <v>0</v>
      </c>
    </row>
    <row r="3924" spans="1:113" x14ac:dyDescent="0.3">
      <c r="A3924" t="str">
        <f>"02/08/2021 20:36:11.093"</f>
        <v>02/08/2021 20:36:11.093</v>
      </c>
      <c r="C3924" t="str">
        <f t="shared" si="194"/>
        <v>FFDFD7C0</v>
      </c>
      <c r="D3924" t="s">
        <v>124</v>
      </c>
      <c r="E3924">
        <v>12</v>
      </c>
      <c r="F3924">
        <v>1012</v>
      </c>
      <c r="G3924" t="s">
        <v>675</v>
      </c>
      <c r="J3924" t="s">
        <v>125</v>
      </c>
      <c r="K3924">
        <v>0</v>
      </c>
      <c r="L3924">
        <v>3</v>
      </c>
      <c r="M3924">
        <v>0</v>
      </c>
      <c r="N3924">
        <v>2</v>
      </c>
      <c r="O3924">
        <v>1</v>
      </c>
      <c r="P3924">
        <v>0</v>
      </c>
      <c r="Q3924">
        <v>0</v>
      </c>
      <c r="S3924" t="str">
        <f>"20:36:13.398"</f>
        <v>20:36:13.398</v>
      </c>
      <c r="T3924" t="str">
        <f>"20:36:12.998"</f>
        <v>20:36:12.998</v>
      </c>
      <c r="U3924" t="str">
        <f t="shared" si="196"/>
        <v>AB01F4</v>
      </c>
      <c r="V3924">
        <v>0</v>
      </c>
      <c r="W3924">
        <v>0</v>
      </c>
      <c r="X3924">
        <v>2</v>
      </c>
      <c r="Z3924">
        <v>0</v>
      </c>
      <c r="AA3924">
        <v>9</v>
      </c>
      <c r="AB3924">
        <v>3</v>
      </c>
      <c r="AC3924">
        <v>0</v>
      </c>
      <c r="AD3924">
        <v>10</v>
      </c>
      <c r="AE3924">
        <v>0</v>
      </c>
      <c r="AF3924">
        <v>3</v>
      </c>
      <c r="AG3924">
        <v>2</v>
      </c>
      <c r="AH3924">
        <v>0</v>
      </c>
      <c r="AI3924" t="s">
        <v>2211</v>
      </c>
      <c r="AJ3924">
        <v>40.135396</v>
      </c>
      <c r="AK3924" t="s">
        <v>2212</v>
      </c>
      <c r="AL3924">
        <v>-93.086170999999993</v>
      </c>
      <c r="AM3924">
        <v>100</v>
      </c>
      <c r="AN3924">
        <v>1300</v>
      </c>
      <c r="AO3924" t="s">
        <v>118</v>
      </c>
      <c r="AP3924">
        <v>-114</v>
      </c>
      <c r="AQ3924">
        <v>61</v>
      </c>
      <c r="AR3924">
        <v>64</v>
      </c>
      <c r="AZ3924">
        <v>1200</v>
      </c>
      <c r="BA3924">
        <v>1</v>
      </c>
      <c r="BB3924" t="str">
        <f t="shared" si="195"/>
        <v xml:space="preserve">N8080G  </v>
      </c>
      <c r="BC3924">
        <v>1</v>
      </c>
      <c r="BE3924">
        <v>0</v>
      </c>
      <c r="BF3924">
        <v>0</v>
      </c>
      <c r="BG3924">
        <v>0</v>
      </c>
      <c r="BH3924">
        <v>1350</v>
      </c>
      <c r="BI3924">
        <v>1</v>
      </c>
      <c r="BJ3924">
        <v>1</v>
      </c>
      <c r="BK3924">
        <v>1</v>
      </c>
      <c r="BL3924">
        <v>0</v>
      </c>
      <c r="BO3924">
        <v>0</v>
      </c>
      <c r="BP3924">
        <v>0</v>
      </c>
      <c r="BW3924" t="str">
        <f>"20:36:13.406"</f>
        <v>20:36:13.406</v>
      </c>
      <c r="BZ3924">
        <v>0</v>
      </c>
      <c r="CA3924">
        <v>1600</v>
      </c>
      <c r="CB3924">
        <v>224</v>
      </c>
      <c r="CD3924">
        <v>1</v>
      </c>
      <c r="CE3924">
        <v>0</v>
      </c>
      <c r="CF3924">
        <v>0</v>
      </c>
      <c r="CG3924">
        <v>1</v>
      </c>
      <c r="CH3924">
        <v>0</v>
      </c>
      <c r="CI3924">
        <v>0</v>
      </c>
      <c r="CJ3924">
        <v>0</v>
      </c>
      <c r="CK3924">
        <v>2</v>
      </c>
      <c r="CL3924">
        <v>0</v>
      </c>
      <c r="CM3924">
        <v>2</v>
      </c>
      <c r="CN3924">
        <v>0</v>
      </c>
      <c r="CO3924">
        <v>6</v>
      </c>
      <c r="CP3924" t="s">
        <v>119</v>
      </c>
      <c r="CQ3924">
        <v>180</v>
      </c>
      <c r="CR3924">
        <v>3</v>
      </c>
      <c r="CW3924">
        <v>1298419</v>
      </c>
      <c r="CY3924">
        <v>0</v>
      </c>
      <c r="CZ3924">
        <v>0</v>
      </c>
      <c r="DA3924">
        <v>1</v>
      </c>
      <c r="DB3924">
        <v>0</v>
      </c>
      <c r="DC3924">
        <v>0</v>
      </c>
      <c r="DD3924">
        <v>0</v>
      </c>
      <c r="DE3924">
        <v>0</v>
      </c>
      <c r="DF3924">
        <v>0</v>
      </c>
      <c r="DG3924">
        <v>0</v>
      </c>
      <c r="DH3924">
        <v>0</v>
      </c>
      <c r="DI3924">
        <v>0</v>
      </c>
    </row>
    <row r="3925" spans="1:113" x14ac:dyDescent="0.3">
      <c r="A3925" t="str">
        <f>"02/08/2021 20:36:11.093"</f>
        <v>02/08/2021 20:36:11.093</v>
      </c>
      <c r="C3925" t="str">
        <f t="shared" si="194"/>
        <v>FFDFD7C0</v>
      </c>
      <c r="D3925" t="s">
        <v>124</v>
      </c>
      <c r="E3925">
        <v>13</v>
      </c>
      <c r="F3925">
        <v>1013</v>
      </c>
      <c r="G3925" t="s">
        <v>114</v>
      </c>
      <c r="J3925" t="s">
        <v>125</v>
      </c>
      <c r="K3925">
        <v>0</v>
      </c>
      <c r="L3925">
        <v>3</v>
      </c>
      <c r="M3925">
        <v>0</v>
      </c>
      <c r="N3925">
        <v>2</v>
      </c>
      <c r="O3925">
        <v>1</v>
      </c>
      <c r="P3925">
        <v>0</v>
      </c>
      <c r="Q3925">
        <v>0</v>
      </c>
      <c r="S3925" t="str">
        <f>"20:36:13.398"</f>
        <v>20:36:13.398</v>
      </c>
      <c r="T3925" t="str">
        <f>"20:36:12.998"</f>
        <v>20:36:12.998</v>
      </c>
      <c r="U3925" t="str">
        <f t="shared" si="196"/>
        <v>AB01F4</v>
      </c>
      <c r="V3925">
        <v>0</v>
      </c>
      <c r="W3925">
        <v>0</v>
      </c>
      <c r="X3925">
        <v>2</v>
      </c>
      <c r="Z3925">
        <v>0</v>
      </c>
      <c r="AA3925">
        <v>9</v>
      </c>
      <c r="AB3925">
        <v>3</v>
      </c>
      <c r="AC3925">
        <v>0</v>
      </c>
      <c r="AD3925">
        <v>10</v>
      </c>
      <c r="AE3925">
        <v>0</v>
      </c>
      <c r="AF3925">
        <v>3</v>
      </c>
      <c r="AG3925">
        <v>2</v>
      </c>
      <c r="AH3925">
        <v>0</v>
      </c>
      <c r="AI3925" t="s">
        <v>2211</v>
      </c>
      <c r="AJ3925">
        <v>40.135396</v>
      </c>
      <c r="AK3925" t="s">
        <v>2212</v>
      </c>
      <c r="AL3925">
        <v>-93.086170999999993</v>
      </c>
      <c r="AM3925">
        <v>100</v>
      </c>
      <c r="AN3925">
        <v>1300</v>
      </c>
      <c r="AO3925" t="s">
        <v>118</v>
      </c>
      <c r="AP3925">
        <v>-114</v>
      </c>
      <c r="AQ3925">
        <v>61</v>
      </c>
      <c r="AR3925">
        <v>64</v>
      </c>
      <c r="AZ3925">
        <v>1200</v>
      </c>
      <c r="BA3925">
        <v>1</v>
      </c>
      <c r="BB3925" t="str">
        <f t="shared" si="195"/>
        <v xml:space="preserve">N8080G  </v>
      </c>
      <c r="BC3925">
        <v>1</v>
      </c>
      <c r="BE3925">
        <v>0</v>
      </c>
      <c r="BF3925">
        <v>0</v>
      </c>
      <c r="BG3925">
        <v>0</v>
      </c>
      <c r="BH3925">
        <v>1350</v>
      </c>
      <c r="BI3925">
        <v>1</v>
      </c>
      <c r="BJ3925">
        <v>1</v>
      </c>
      <c r="BK3925">
        <v>1</v>
      </c>
      <c r="BL3925">
        <v>0</v>
      </c>
      <c r="BO3925">
        <v>0</v>
      </c>
      <c r="BP3925">
        <v>0</v>
      </c>
      <c r="BW3925" t="str">
        <f>"20:36:13.406"</f>
        <v>20:36:13.406</v>
      </c>
      <c r="BZ3925">
        <v>0</v>
      </c>
      <c r="CA3925">
        <v>1600</v>
      </c>
      <c r="CB3925">
        <v>224</v>
      </c>
      <c r="CD3925">
        <v>1</v>
      </c>
      <c r="CE3925">
        <v>0</v>
      </c>
      <c r="CF3925">
        <v>0</v>
      </c>
      <c r="CG3925">
        <v>1</v>
      </c>
      <c r="CH3925">
        <v>0</v>
      </c>
      <c r="CI3925">
        <v>0</v>
      </c>
      <c r="CJ3925">
        <v>0</v>
      </c>
      <c r="CK3925">
        <v>2</v>
      </c>
      <c r="CL3925">
        <v>0</v>
      </c>
      <c r="CM3925">
        <v>2</v>
      </c>
      <c r="CN3925">
        <v>0</v>
      </c>
      <c r="CO3925">
        <v>6</v>
      </c>
      <c r="CP3925" t="s">
        <v>119</v>
      </c>
      <c r="CQ3925">
        <v>180</v>
      </c>
      <c r="CR3925">
        <v>3</v>
      </c>
      <c r="CW3925">
        <v>1298419</v>
      </c>
      <c r="CY3925">
        <v>0</v>
      </c>
      <c r="CZ3925">
        <v>0</v>
      </c>
      <c r="DA3925">
        <v>1</v>
      </c>
      <c r="DB3925">
        <v>0</v>
      </c>
      <c r="DC3925">
        <v>0</v>
      </c>
      <c r="DD3925">
        <v>0</v>
      </c>
      <c r="DE3925">
        <v>0</v>
      </c>
      <c r="DF3925">
        <v>0</v>
      </c>
      <c r="DG3925">
        <v>0</v>
      </c>
      <c r="DH3925">
        <v>0</v>
      </c>
      <c r="DI3925">
        <v>0</v>
      </c>
    </row>
    <row r="3926" spans="1:113" x14ac:dyDescent="0.3">
      <c r="A3926" t="str">
        <f>"02/08/2021 20:36:11.093"</f>
        <v>02/08/2021 20:36:11.093</v>
      </c>
      <c r="C3926" t="str">
        <f t="shared" si="194"/>
        <v>FFDFD7C0</v>
      </c>
      <c r="D3926" t="s">
        <v>113</v>
      </c>
      <c r="E3926">
        <v>6</v>
      </c>
      <c r="H3926">
        <v>165</v>
      </c>
      <c r="I3926" t="s">
        <v>114</v>
      </c>
      <c r="J3926" t="s">
        <v>115</v>
      </c>
      <c r="K3926">
        <v>0</v>
      </c>
      <c r="L3926">
        <v>3</v>
      </c>
      <c r="M3926">
        <v>0</v>
      </c>
      <c r="N3926">
        <v>2</v>
      </c>
      <c r="O3926">
        <v>1</v>
      </c>
      <c r="P3926">
        <v>0</v>
      </c>
      <c r="Q3926">
        <v>0</v>
      </c>
      <c r="S3926" t="str">
        <f>"20:36:13.398"</f>
        <v>20:36:13.398</v>
      </c>
      <c r="T3926" t="str">
        <f>"20:36:12.998"</f>
        <v>20:36:12.998</v>
      </c>
      <c r="U3926" t="str">
        <f t="shared" si="196"/>
        <v>AB01F4</v>
      </c>
      <c r="V3926">
        <v>0</v>
      </c>
      <c r="W3926">
        <v>0</v>
      </c>
      <c r="X3926">
        <v>2</v>
      </c>
      <c r="Z3926">
        <v>0</v>
      </c>
      <c r="AA3926">
        <v>9</v>
      </c>
      <c r="AB3926">
        <v>3</v>
      </c>
      <c r="AC3926">
        <v>0</v>
      </c>
      <c r="AD3926">
        <v>10</v>
      </c>
      <c r="AE3926">
        <v>0</v>
      </c>
      <c r="AF3926">
        <v>3</v>
      </c>
      <c r="AG3926">
        <v>2</v>
      </c>
      <c r="AH3926">
        <v>0</v>
      </c>
      <c r="AI3926" t="s">
        <v>2211</v>
      </c>
      <c r="AJ3926">
        <v>40.135396</v>
      </c>
      <c r="AK3926" t="s">
        <v>2212</v>
      </c>
      <c r="AL3926">
        <v>-93.086170999999993</v>
      </c>
      <c r="AM3926">
        <v>100</v>
      </c>
      <c r="AN3926">
        <v>1300</v>
      </c>
      <c r="AO3926" t="s">
        <v>118</v>
      </c>
      <c r="AP3926">
        <v>-114</v>
      </c>
      <c r="AQ3926">
        <v>61</v>
      </c>
      <c r="AR3926">
        <v>64</v>
      </c>
      <c r="AZ3926">
        <v>1200</v>
      </c>
      <c r="BA3926">
        <v>1</v>
      </c>
      <c r="BB3926" t="str">
        <f t="shared" si="195"/>
        <v xml:space="preserve">N8080G  </v>
      </c>
      <c r="BC3926">
        <v>1</v>
      </c>
      <c r="BE3926">
        <v>0</v>
      </c>
      <c r="BF3926">
        <v>0</v>
      </c>
      <c r="BG3926">
        <v>0</v>
      </c>
      <c r="BH3926">
        <v>1350</v>
      </c>
      <c r="BI3926">
        <v>1</v>
      </c>
      <c r="BJ3926">
        <v>1</v>
      </c>
      <c r="BK3926">
        <v>1</v>
      </c>
      <c r="BL3926">
        <v>0</v>
      </c>
      <c r="BO3926">
        <v>0</v>
      </c>
      <c r="BP3926">
        <v>0</v>
      </c>
      <c r="BW3926" t="str">
        <f>"20:36:13.406"</f>
        <v>20:36:13.406</v>
      </c>
      <c r="BZ3926">
        <v>0</v>
      </c>
      <c r="CA3926">
        <v>1600</v>
      </c>
      <c r="CB3926">
        <v>224</v>
      </c>
      <c r="CD3926">
        <v>1</v>
      </c>
      <c r="CE3926">
        <v>0</v>
      </c>
      <c r="CF3926">
        <v>0</v>
      </c>
      <c r="CG3926">
        <v>1</v>
      </c>
      <c r="CH3926">
        <v>0</v>
      </c>
      <c r="CI3926">
        <v>0</v>
      </c>
      <c r="CJ3926">
        <v>0</v>
      </c>
      <c r="CK3926">
        <v>2</v>
      </c>
      <c r="CL3926">
        <v>0</v>
      </c>
      <c r="CM3926">
        <v>2</v>
      </c>
      <c r="CN3926">
        <v>0</v>
      </c>
      <c r="CO3926">
        <v>6</v>
      </c>
      <c r="CP3926" t="s">
        <v>119</v>
      </c>
      <c r="CQ3926">
        <v>180</v>
      </c>
      <c r="CR3926">
        <v>3</v>
      </c>
      <c r="CW3926">
        <v>1298419</v>
      </c>
      <c r="CY3926">
        <v>0</v>
      </c>
      <c r="CZ3926">
        <v>0</v>
      </c>
      <c r="DA3926">
        <v>1</v>
      </c>
      <c r="DB3926">
        <v>0</v>
      </c>
      <c r="DC3926">
        <v>0</v>
      </c>
      <c r="DD3926">
        <v>0</v>
      </c>
      <c r="DE3926">
        <v>0</v>
      </c>
      <c r="DF3926">
        <v>0</v>
      </c>
      <c r="DG3926">
        <v>0</v>
      </c>
      <c r="DH3926">
        <v>0</v>
      </c>
      <c r="DI3926">
        <v>0</v>
      </c>
    </row>
    <row r="3927" spans="1:113" x14ac:dyDescent="0.3">
      <c r="A3927" t="str">
        <f>"02/08/2021 20:36:12.001"</f>
        <v>02/08/2021 20:36:12.001</v>
      </c>
      <c r="C3927" t="str">
        <f t="shared" si="194"/>
        <v>FFDFD7C0</v>
      </c>
      <c r="D3927" t="s">
        <v>124</v>
      </c>
      <c r="E3927">
        <v>11</v>
      </c>
      <c r="F3927">
        <v>1011</v>
      </c>
      <c r="G3927" t="s">
        <v>590</v>
      </c>
      <c r="J3927" t="s">
        <v>125</v>
      </c>
      <c r="K3927">
        <v>0</v>
      </c>
      <c r="L3927">
        <v>3</v>
      </c>
      <c r="M3927">
        <v>0</v>
      </c>
      <c r="N3927">
        <v>2</v>
      </c>
      <c r="O3927">
        <v>1</v>
      </c>
      <c r="P3927">
        <v>0</v>
      </c>
      <c r="Q3927">
        <v>0</v>
      </c>
      <c r="S3927" t="str">
        <f>"20:36:14.352"</f>
        <v>20:36:14.352</v>
      </c>
      <c r="T3927" t="str">
        <f>"20:36:13.952"</f>
        <v>20:36:13.952</v>
      </c>
      <c r="U3927" t="str">
        <f t="shared" si="196"/>
        <v>AB01F4</v>
      </c>
      <c r="V3927">
        <v>0</v>
      </c>
      <c r="W3927">
        <v>0</v>
      </c>
      <c r="X3927">
        <v>2</v>
      </c>
      <c r="Z3927">
        <v>0</v>
      </c>
      <c r="AA3927">
        <v>9</v>
      </c>
      <c r="AB3927">
        <v>3</v>
      </c>
      <c r="AC3927">
        <v>0</v>
      </c>
      <c r="AD3927">
        <v>10</v>
      </c>
      <c r="AE3927">
        <v>0</v>
      </c>
      <c r="AF3927">
        <v>3</v>
      </c>
      <c r="AG3927">
        <v>2</v>
      </c>
      <c r="AH3927">
        <v>0</v>
      </c>
      <c r="AI3927" t="s">
        <v>2213</v>
      </c>
      <c r="AJ3927">
        <v>40.135674000000002</v>
      </c>
      <c r="AK3927" t="s">
        <v>2214</v>
      </c>
      <c r="AL3927">
        <v>-93.086858000000007</v>
      </c>
      <c r="AM3927">
        <v>100</v>
      </c>
      <c r="AN3927">
        <v>1300</v>
      </c>
      <c r="AO3927" t="s">
        <v>118</v>
      </c>
      <c r="AP3927">
        <v>-114</v>
      </c>
      <c r="AQ3927">
        <v>61</v>
      </c>
      <c r="AR3927">
        <v>0</v>
      </c>
      <c r="AZ3927">
        <v>1200</v>
      </c>
      <c r="BA3927">
        <v>1</v>
      </c>
      <c r="BB3927" t="str">
        <f t="shared" si="195"/>
        <v xml:space="preserve">N8080G  </v>
      </c>
      <c r="BC3927">
        <v>1</v>
      </c>
      <c r="BE3927">
        <v>0</v>
      </c>
      <c r="BF3927">
        <v>0</v>
      </c>
      <c r="BG3927">
        <v>0</v>
      </c>
      <c r="BH3927">
        <v>1350</v>
      </c>
      <c r="BI3927">
        <v>1</v>
      </c>
      <c r="BJ3927">
        <v>1</v>
      </c>
      <c r="BK3927">
        <v>1</v>
      </c>
      <c r="BL3927">
        <v>0</v>
      </c>
      <c r="BO3927">
        <v>0</v>
      </c>
      <c r="BP3927">
        <v>0</v>
      </c>
      <c r="BW3927" t="str">
        <f>"20:36:14.355"</f>
        <v>20:36:14.355</v>
      </c>
      <c r="BZ3927">
        <v>0</v>
      </c>
      <c r="CA3927">
        <v>1600</v>
      </c>
      <c r="CB3927">
        <v>224</v>
      </c>
      <c r="CD3927">
        <v>1</v>
      </c>
      <c r="CE3927">
        <v>0</v>
      </c>
      <c r="CF3927">
        <v>0</v>
      </c>
      <c r="CG3927">
        <v>1</v>
      </c>
      <c r="CH3927">
        <v>0</v>
      </c>
      <c r="CI3927">
        <v>0</v>
      </c>
      <c r="CJ3927">
        <v>0</v>
      </c>
      <c r="CK3927">
        <v>2</v>
      </c>
      <c r="CL3927">
        <v>0</v>
      </c>
      <c r="CM3927">
        <v>2</v>
      </c>
      <c r="CN3927">
        <v>0</v>
      </c>
      <c r="CO3927">
        <v>6</v>
      </c>
      <c r="CP3927" t="s">
        <v>119</v>
      </c>
      <c r="CQ3927">
        <v>180</v>
      </c>
      <c r="CR3927">
        <v>3</v>
      </c>
      <c r="CW3927">
        <v>1299216</v>
      </c>
      <c r="CY3927">
        <v>0</v>
      </c>
      <c r="CZ3927">
        <v>0</v>
      </c>
      <c r="DA3927">
        <v>0</v>
      </c>
      <c r="DB3927">
        <v>0</v>
      </c>
      <c r="DC3927">
        <v>0</v>
      </c>
      <c r="DD3927">
        <v>0</v>
      </c>
      <c r="DE3927">
        <v>0</v>
      </c>
      <c r="DF3927">
        <v>0</v>
      </c>
      <c r="DG3927">
        <v>0</v>
      </c>
      <c r="DH3927">
        <v>0</v>
      </c>
      <c r="DI3927">
        <v>0</v>
      </c>
    </row>
    <row r="3928" spans="1:113" x14ac:dyDescent="0.3">
      <c r="A3928" t="str">
        <f>"02/08/2021 20:36:12.001"</f>
        <v>02/08/2021 20:36:12.001</v>
      </c>
      <c r="C3928" t="str">
        <f t="shared" si="194"/>
        <v>FFDFD7C0</v>
      </c>
      <c r="D3928" t="s">
        <v>124</v>
      </c>
      <c r="E3928">
        <v>12</v>
      </c>
      <c r="F3928">
        <v>1012</v>
      </c>
      <c r="G3928" t="s">
        <v>675</v>
      </c>
      <c r="J3928" t="s">
        <v>125</v>
      </c>
      <c r="K3928">
        <v>0</v>
      </c>
      <c r="L3928">
        <v>3</v>
      </c>
      <c r="M3928">
        <v>0</v>
      </c>
      <c r="N3928">
        <v>2</v>
      </c>
      <c r="O3928">
        <v>1</v>
      </c>
      <c r="P3928">
        <v>0</v>
      </c>
      <c r="Q3928">
        <v>0</v>
      </c>
      <c r="S3928" t="str">
        <f>"20:36:14.352"</f>
        <v>20:36:14.352</v>
      </c>
      <c r="T3928" t="str">
        <f>"20:36:13.952"</f>
        <v>20:36:13.952</v>
      </c>
      <c r="U3928" t="str">
        <f t="shared" si="196"/>
        <v>AB01F4</v>
      </c>
      <c r="V3928">
        <v>0</v>
      </c>
      <c r="W3928">
        <v>0</v>
      </c>
      <c r="X3928">
        <v>2</v>
      </c>
      <c r="Z3928">
        <v>0</v>
      </c>
      <c r="AA3928">
        <v>9</v>
      </c>
      <c r="AB3928">
        <v>3</v>
      </c>
      <c r="AC3928">
        <v>0</v>
      </c>
      <c r="AD3928">
        <v>10</v>
      </c>
      <c r="AE3928">
        <v>0</v>
      </c>
      <c r="AF3928">
        <v>3</v>
      </c>
      <c r="AG3928">
        <v>2</v>
      </c>
      <c r="AH3928">
        <v>0</v>
      </c>
      <c r="AI3928" t="s">
        <v>2213</v>
      </c>
      <c r="AJ3928">
        <v>40.135674000000002</v>
      </c>
      <c r="AK3928" t="s">
        <v>2214</v>
      </c>
      <c r="AL3928">
        <v>-93.086858000000007</v>
      </c>
      <c r="AM3928">
        <v>100</v>
      </c>
      <c r="AN3928">
        <v>1300</v>
      </c>
      <c r="AO3928" t="s">
        <v>118</v>
      </c>
      <c r="AP3928">
        <v>-114</v>
      </c>
      <c r="AQ3928">
        <v>61</v>
      </c>
      <c r="AR3928">
        <v>0</v>
      </c>
      <c r="AZ3928">
        <v>1200</v>
      </c>
      <c r="BA3928">
        <v>1</v>
      </c>
      <c r="BB3928" t="str">
        <f t="shared" si="195"/>
        <v xml:space="preserve">N8080G  </v>
      </c>
      <c r="BC3928">
        <v>1</v>
      </c>
      <c r="BE3928">
        <v>0</v>
      </c>
      <c r="BF3928">
        <v>0</v>
      </c>
      <c r="BG3928">
        <v>0</v>
      </c>
      <c r="BH3928">
        <v>1350</v>
      </c>
      <c r="BI3928">
        <v>1</v>
      </c>
      <c r="BJ3928">
        <v>1</v>
      </c>
      <c r="BK3928">
        <v>1</v>
      </c>
      <c r="BL3928">
        <v>0</v>
      </c>
      <c r="BO3928">
        <v>0</v>
      </c>
      <c r="BP3928">
        <v>0</v>
      </c>
      <c r="BW3928" t="str">
        <f>"20:36:14.355"</f>
        <v>20:36:14.355</v>
      </c>
      <c r="BZ3928">
        <v>0</v>
      </c>
      <c r="CA3928">
        <v>1600</v>
      </c>
      <c r="CB3928">
        <v>224</v>
      </c>
      <c r="CD3928">
        <v>1</v>
      </c>
      <c r="CE3928">
        <v>0</v>
      </c>
      <c r="CF3928">
        <v>0</v>
      </c>
      <c r="CG3928">
        <v>1</v>
      </c>
      <c r="CH3928">
        <v>0</v>
      </c>
      <c r="CI3928">
        <v>0</v>
      </c>
      <c r="CJ3928">
        <v>0</v>
      </c>
      <c r="CK3928">
        <v>2</v>
      </c>
      <c r="CL3928">
        <v>0</v>
      </c>
      <c r="CM3928">
        <v>2</v>
      </c>
      <c r="CN3928">
        <v>0</v>
      </c>
      <c r="CO3928">
        <v>6</v>
      </c>
      <c r="CP3928" t="s">
        <v>119</v>
      </c>
      <c r="CQ3928">
        <v>180</v>
      </c>
      <c r="CR3928">
        <v>3</v>
      </c>
      <c r="CW3928">
        <v>1299216</v>
      </c>
      <c r="CY3928">
        <v>0</v>
      </c>
      <c r="CZ3928">
        <v>0</v>
      </c>
      <c r="DA3928">
        <v>1</v>
      </c>
      <c r="DB3928">
        <v>0</v>
      </c>
      <c r="DC3928">
        <v>0</v>
      </c>
      <c r="DD3928">
        <v>0</v>
      </c>
      <c r="DE3928">
        <v>0</v>
      </c>
      <c r="DF3928">
        <v>0</v>
      </c>
      <c r="DG3928">
        <v>0</v>
      </c>
      <c r="DH3928">
        <v>0</v>
      </c>
      <c r="DI3928">
        <v>0</v>
      </c>
    </row>
    <row r="3929" spans="1:113" x14ac:dyDescent="0.3">
      <c r="A3929" t="str">
        <f>"02/08/2021 20:36:12.001"</f>
        <v>02/08/2021 20:36:12.001</v>
      </c>
      <c r="C3929" t="str">
        <f t="shared" si="194"/>
        <v>FFDFD7C0</v>
      </c>
      <c r="D3929" t="s">
        <v>124</v>
      </c>
      <c r="E3929">
        <v>13</v>
      </c>
      <c r="F3929">
        <v>1013</v>
      </c>
      <c r="G3929" t="s">
        <v>114</v>
      </c>
      <c r="J3929" t="s">
        <v>125</v>
      </c>
      <c r="K3929">
        <v>0</v>
      </c>
      <c r="L3929">
        <v>3</v>
      </c>
      <c r="M3929">
        <v>0</v>
      </c>
      <c r="N3929">
        <v>2</v>
      </c>
      <c r="O3929">
        <v>1</v>
      </c>
      <c r="P3929">
        <v>0</v>
      </c>
      <c r="Q3929">
        <v>0</v>
      </c>
      <c r="S3929" t="str">
        <f>"20:36:14.352"</f>
        <v>20:36:14.352</v>
      </c>
      <c r="T3929" t="str">
        <f>"20:36:13.952"</f>
        <v>20:36:13.952</v>
      </c>
      <c r="U3929" t="str">
        <f t="shared" si="196"/>
        <v>AB01F4</v>
      </c>
      <c r="V3929">
        <v>0</v>
      </c>
      <c r="W3929">
        <v>0</v>
      </c>
      <c r="X3929">
        <v>2</v>
      </c>
      <c r="Z3929">
        <v>0</v>
      </c>
      <c r="AA3929">
        <v>9</v>
      </c>
      <c r="AB3929">
        <v>3</v>
      </c>
      <c r="AC3929">
        <v>0</v>
      </c>
      <c r="AD3929">
        <v>10</v>
      </c>
      <c r="AE3929">
        <v>0</v>
      </c>
      <c r="AF3929">
        <v>3</v>
      </c>
      <c r="AG3929">
        <v>2</v>
      </c>
      <c r="AH3929">
        <v>0</v>
      </c>
      <c r="AI3929" t="s">
        <v>2213</v>
      </c>
      <c r="AJ3929">
        <v>40.135674000000002</v>
      </c>
      <c r="AK3929" t="s">
        <v>2214</v>
      </c>
      <c r="AL3929">
        <v>-93.086858000000007</v>
      </c>
      <c r="AM3929">
        <v>100</v>
      </c>
      <c r="AN3929">
        <v>1300</v>
      </c>
      <c r="AO3929" t="s">
        <v>118</v>
      </c>
      <c r="AP3929">
        <v>-114</v>
      </c>
      <c r="AQ3929">
        <v>61</v>
      </c>
      <c r="AR3929">
        <v>0</v>
      </c>
      <c r="AZ3929">
        <v>1200</v>
      </c>
      <c r="BA3929">
        <v>1</v>
      </c>
      <c r="BB3929" t="str">
        <f t="shared" si="195"/>
        <v xml:space="preserve">N8080G  </v>
      </c>
      <c r="BC3929">
        <v>1</v>
      </c>
      <c r="BE3929">
        <v>0</v>
      </c>
      <c r="BF3929">
        <v>0</v>
      </c>
      <c r="BG3929">
        <v>0</v>
      </c>
      <c r="BH3929">
        <v>1350</v>
      </c>
      <c r="BI3929">
        <v>1</v>
      </c>
      <c r="BJ3929">
        <v>1</v>
      </c>
      <c r="BK3929">
        <v>1</v>
      </c>
      <c r="BL3929">
        <v>0</v>
      </c>
      <c r="BO3929">
        <v>0</v>
      </c>
      <c r="BP3929">
        <v>0</v>
      </c>
      <c r="BW3929" t="str">
        <f>"20:36:14.355"</f>
        <v>20:36:14.355</v>
      </c>
      <c r="BZ3929">
        <v>0</v>
      </c>
      <c r="CA3929">
        <v>1600</v>
      </c>
      <c r="CB3929">
        <v>224</v>
      </c>
      <c r="CD3929">
        <v>1</v>
      </c>
      <c r="CE3929">
        <v>0</v>
      </c>
      <c r="CF3929">
        <v>0</v>
      </c>
      <c r="CG3929">
        <v>1</v>
      </c>
      <c r="CH3929">
        <v>0</v>
      </c>
      <c r="CI3929">
        <v>0</v>
      </c>
      <c r="CJ3929">
        <v>0</v>
      </c>
      <c r="CK3929">
        <v>2</v>
      </c>
      <c r="CL3929">
        <v>0</v>
      </c>
      <c r="CM3929">
        <v>2</v>
      </c>
      <c r="CN3929">
        <v>0</v>
      </c>
      <c r="CO3929">
        <v>6</v>
      </c>
      <c r="CP3929" t="s">
        <v>119</v>
      </c>
      <c r="CQ3929">
        <v>180</v>
      </c>
      <c r="CR3929">
        <v>3</v>
      </c>
      <c r="CW3929">
        <v>1299216</v>
      </c>
      <c r="CY3929">
        <v>0</v>
      </c>
      <c r="CZ3929">
        <v>0</v>
      </c>
      <c r="DA3929">
        <v>1</v>
      </c>
      <c r="DB3929">
        <v>0</v>
      </c>
      <c r="DC3929">
        <v>0</v>
      </c>
      <c r="DD3929">
        <v>0</v>
      </c>
      <c r="DE3929">
        <v>0</v>
      </c>
      <c r="DF3929">
        <v>0</v>
      </c>
      <c r="DG3929">
        <v>0</v>
      </c>
      <c r="DH3929">
        <v>0</v>
      </c>
      <c r="DI3929">
        <v>0</v>
      </c>
    </row>
    <row r="3930" spans="1:113" x14ac:dyDescent="0.3">
      <c r="A3930" t="str">
        <f>"02/08/2021 20:36:12.001"</f>
        <v>02/08/2021 20:36:12.001</v>
      </c>
      <c r="C3930" t="str">
        <f t="shared" si="194"/>
        <v>FFDFD7C0</v>
      </c>
      <c r="D3930" t="s">
        <v>113</v>
      </c>
      <c r="E3930">
        <v>6</v>
      </c>
      <c r="H3930">
        <v>165</v>
      </c>
      <c r="I3930" t="s">
        <v>114</v>
      </c>
      <c r="J3930" t="s">
        <v>115</v>
      </c>
      <c r="K3930">
        <v>0</v>
      </c>
      <c r="L3930">
        <v>3</v>
      </c>
      <c r="M3930">
        <v>0</v>
      </c>
      <c r="N3930">
        <v>2</v>
      </c>
      <c r="O3930">
        <v>1</v>
      </c>
      <c r="P3930">
        <v>0</v>
      </c>
      <c r="Q3930">
        <v>0</v>
      </c>
      <c r="S3930" t="str">
        <f>"20:36:14.352"</f>
        <v>20:36:14.352</v>
      </c>
      <c r="T3930" t="str">
        <f>"20:36:13.952"</f>
        <v>20:36:13.952</v>
      </c>
      <c r="U3930" t="str">
        <f t="shared" si="196"/>
        <v>AB01F4</v>
      </c>
      <c r="V3930">
        <v>0</v>
      </c>
      <c r="W3930">
        <v>0</v>
      </c>
      <c r="X3930">
        <v>2</v>
      </c>
      <c r="Z3930">
        <v>0</v>
      </c>
      <c r="AA3930">
        <v>9</v>
      </c>
      <c r="AB3930">
        <v>3</v>
      </c>
      <c r="AC3930">
        <v>0</v>
      </c>
      <c r="AD3930">
        <v>10</v>
      </c>
      <c r="AE3930">
        <v>0</v>
      </c>
      <c r="AF3930">
        <v>3</v>
      </c>
      <c r="AG3930">
        <v>2</v>
      </c>
      <c r="AH3930">
        <v>0</v>
      </c>
      <c r="AI3930" t="s">
        <v>2213</v>
      </c>
      <c r="AJ3930">
        <v>40.135674000000002</v>
      </c>
      <c r="AK3930" t="s">
        <v>2214</v>
      </c>
      <c r="AL3930">
        <v>-93.086858000000007</v>
      </c>
      <c r="AM3930">
        <v>100</v>
      </c>
      <c r="AN3930">
        <v>1300</v>
      </c>
      <c r="AO3930" t="s">
        <v>118</v>
      </c>
      <c r="AP3930">
        <v>-114</v>
      </c>
      <c r="AQ3930">
        <v>61</v>
      </c>
      <c r="AR3930">
        <v>0</v>
      </c>
      <c r="AZ3930">
        <v>1200</v>
      </c>
      <c r="BA3930">
        <v>1</v>
      </c>
      <c r="BB3930" t="str">
        <f t="shared" si="195"/>
        <v xml:space="preserve">N8080G  </v>
      </c>
      <c r="BC3930">
        <v>1</v>
      </c>
      <c r="BE3930">
        <v>0</v>
      </c>
      <c r="BF3930">
        <v>0</v>
      </c>
      <c r="BG3930">
        <v>0</v>
      </c>
      <c r="BH3930">
        <v>1350</v>
      </c>
      <c r="BI3930">
        <v>1</v>
      </c>
      <c r="BJ3930">
        <v>1</v>
      </c>
      <c r="BK3930">
        <v>1</v>
      </c>
      <c r="BL3930">
        <v>0</v>
      </c>
      <c r="BO3930">
        <v>0</v>
      </c>
      <c r="BP3930">
        <v>0</v>
      </c>
      <c r="BW3930" t="str">
        <f>"20:36:14.355"</f>
        <v>20:36:14.355</v>
      </c>
      <c r="BZ3930">
        <v>0</v>
      </c>
      <c r="CA3930">
        <v>1600</v>
      </c>
      <c r="CB3930">
        <v>224</v>
      </c>
      <c r="CD3930">
        <v>1</v>
      </c>
      <c r="CE3930">
        <v>0</v>
      </c>
      <c r="CF3930">
        <v>0</v>
      </c>
      <c r="CG3930">
        <v>1</v>
      </c>
      <c r="CH3930">
        <v>0</v>
      </c>
      <c r="CI3930">
        <v>0</v>
      </c>
      <c r="CJ3930">
        <v>0</v>
      </c>
      <c r="CK3930">
        <v>2</v>
      </c>
      <c r="CL3930">
        <v>0</v>
      </c>
      <c r="CM3930">
        <v>2</v>
      </c>
      <c r="CN3930">
        <v>0</v>
      </c>
      <c r="CO3930">
        <v>6</v>
      </c>
      <c r="CP3930" t="s">
        <v>119</v>
      </c>
      <c r="CQ3930">
        <v>180</v>
      </c>
      <c r="CR3930">
        <v>3</v>
      </c>
      <c r="CW3930">
        <v>1299216</v>
      </c>
      <c r="CY3930">
        <v>0</v>
      </c>
      <c r="CZ3930">
        <v>0</v>
      </c>
      <c r="DA3930">
        <v>1</v>
      </c>
      <c r="DB3930">
        <v>0</v>
      </c>
      <c r="DC3930">
        <v>0</v>
      </c>
      <c r="DD3930">
        <v>0</v>
      </c>
      <c r="DE3930">
        <v>0</v>
      </c>
      <c r="DF3930">
        <v>0</v>
      </c>
      <c r="DG3930">
        <v>0</v>
      </c>
      <c r="DH3930">
        <v>0</v>
      </c>
      <c r="DI3930">
        <v>0</v>
      </c>
    </row>
    <row r="3931" spans="1:113" x14ac:dyDescent="0.3">
      <c r="A3931" t="str">
        <f>"02/08/2021 20:36:14.977"</f>
        <v>02/08/2021 20:36:14.977</v>
      </c>
      <c r="C3931" t="str">
        <f t="shared" si="194"/>
        <v>FFDFD7C0</v>
      </c>
      <c r="D3931" t="s">
        <v>124</v>
      </c>
      <c r="E3931">
        <v>11</v>
      </c>
      <c r="F3931">
        <v>1011</v>
      </c>
      <c r="G3931" t="s">
        <v>590</v>
      </c>
      <c r="J3931" t="s">
        <v>125</v>
      </c>
      <c r="K3931">
        <v>0</v>
      </c>
      <c r="L3931">
        <v>3</v>
      </c>
      <c r="M3931">
        <v>0</v>
      </c>
      <c r="N3931">
        <v>2</v>
      </c>
      <c r="O3931">
        <v>1</v>
      </c>
      <c r="P3931">
        <v>0</v>
      </c>
      <c r="Q3931">
        <v>0</v>
      </c>
      <c r="S3931" t="str">
        <f>"20:36:17.320"</f>
        <v>20:36:17.320</v>
      </c>
      <c r="T3931" t="str">
        <f>"20:36:16.920"</f>
        <v>20:36:16.920</v>
      </c>
      <c r="U3931" t="str">
        <f t="shared" si="196"/>
        <v>AB01F4</v>
      </c>
      <c r="V3931">
        <v>0</v>
      </c>
      <c r="W3931">
        <v>0</v>
      </c>
      <c r="X3931">
        <v>2</v>
      </c>
      <c r="Z3931">
        <v>0</v>
      </c>
      <c r="AA3931">
        <v>9</v>
      </c>
      <c r="AB3931">
        <v>3</v>
      </c>
      <c r="AC3931">
        <v>0</v>
      </c>
      <c r="AD3931">
        <v>10</v>
      </c>
      <c r="AE3931">
        <v>0</v>
      </c>
      <c r="AF3931">
        <v>3</v>
      </c>
      <c r="AG3931">
        <v>2</v>
      </c>
      <c r="AH3931">
        <v>0</v>
      </c>
      <c r="AI3931" t="s">
        <v>2215</v>
      </c>
      <c r="AJ3931">
        <v>40.136510999999999</v>
      </c>
      <c r="AK3931" t="s">
        <v>2216</v>
      </c>
      <c r="AL3931">
        <v>-93.088853</v>
      </c>
      <c r="AM3931">
        <v>100</v>
      </c>
      <c r="AN3931">
        <v>1300</v>
      </c>
      <c r="AO3931" t="s">
        <v>118</v>
      </c>
      <c r="AP3931">
        <v>-114</v>
      </c>
      <c r="AQ3931">
        <v>61</v>
      </c>
      <c r="AR3931">
        <v>64</v>
      </c>
      <c r="AZ3931">
        <v>1200</v>
      </c>
      <c r="BA3931">
        <v>1</v>
      </c>
      <c r="BB3931" t="str">
        <f t="shared" si="195"/>
        <v xml:space="preserve">N8080G  </v>
      </c>
      <c r="BC3931">
        <v>1</v>
      </c>
      <c r="BE3931">
        <v>0</v>
      </c>
      <c r="BF3931">
        <v>0</v>
      </c>
      <c r="BG3931">
        <v>0</v>
      </c>
      <c r="BH3931">
        <v>1350</v>
      </c>
      <c r="BI3931">
        <v>1</v>
      </c>
      <c r="BJ3931">
        <v>1</v>
      </c>
      <c r="BK3931">
        <v>1</v>
      </c>
      <c r="BL3931">
        <v>0</v>
      </c>
      <c r="BO3931">
        <v>0</v>
      </c>
      <c r="BP3931">
        <v>0</v>
      </c>
      <c r="BW3931" t="str">
        <f>"20:36:17.325"</f>
        <v>20:36:17.325</v>
      </c>
      <c r="BZ3931">
        <v>0</v>
      </c>
      <c r="CA3931">
        <v>1600</v>
      </c>
      <c r="CB3931">
        <v>224</v>
      </c>
      <c r="CD3931">
        <v>1</v>
      </c>
      <c r="CE3931">
        <v>0</v>
      </c>
      <c r="CF3931">
        <v>0</v>
      </c>
      <c r="CG3931">
        <v>1</v>
      </c>
      <c r="CH3931">
        <v>0</v>
      </c>
      <c r="CI3931">
        <v>0</v>
      </c>
      <c r="CJ3931">
        <v>0</v>
      </c>
      <c r="CK3931">
        <v>2</v>
      </c>
      <c r="CL3931">
        <v>0</v>
      </c>
      <c r="CM3931">
        <v>2</v>
      </c>
      <c r="CN3931">
        <v>0</v>
      </c>
      <c r="CO3931">
        <v>6</v>
      </c>
      <c r="CP3931" t="s">
        <v>119</v>
      </c>
      <c r="CQ3931">
        <v>180</v>
      </c>
      <c r="CR3931">
        <v>3</v>
      </c>
      <c r="CW3931">
        <v>1301462</v>
      </c>
      <c r="CY3931">
        <v>0</v>
      </c>
      <c r="CZ3931">
        <v>0</v>
      </c>
      <c r="DA3931">
        <v>0</v>
      </c>
      <c r="DB3931">
        <v>0</v>
      </c>
      <c r="DC3931">
        <v>0</v>
      </c>
      <c r="DD3931">
        <v>0</v>
      </c>
      <c r="DE3931">
        <v>0</v>
      </c>
      <c r="DF3931">
        <v>0</v>
      </c>
      <c r="DG3931">
        <v>0</v>
      </c>
      <c r="DH3931">
        <v>0</v>
      </c>
      <c r="DI3931">
        <v>0</v>
      </c>
    </row>
    <row r="3932" spans="1:113" x14ac:dyDescent="0.3">
      <c r="A3932" t="str">
        <f>"02/08/2021 20:36:14.977"</f>
        <v>02/08/2021 20:36:14.977</v>
      </c>
      <c r="C3932" t="str">
        <f t="shared" si="194"/>
        <v>FFDFD7C0</v>
      </c>
      <c r="D3932" t="s">
        <v>124</v>
      </c>
      <c r="E3932">
        <v>12</v>
      </c>
      <c r="F3932">
        <v>1012</v>
      </c>
      <c r="G3932" t="s">
        <v>675</v>
      </c>
      <c r="J3932" t="s">
        <v>125</v>
      </c>
      <c r="K3932">
        <v>0</v>
      </c>
      <c r="L3932">
        <v>3</v>
      </c>
      <c r="M3932">
        <v>0</v>
      </c>
      <c r="N3932">
        <v>2</v>
      </c>
      <c r="O3932">
        <v>1</v>
      </c>
      <c r="P3932">
        <v>0</v>
      </c>
      <c r="Q3932">
        <v>0</v>
      </c>
      <c r="S3932" t="str">
        <f>"20:36:17.320"</f>
        <v>20:36:17.320</v>
      </c>
      <c r="T3932" t="str">
        <f>"20:36:16.920"</f>
        <v>20:36:16.920</v>
      </c>
      <c r="U3932" t="str">
        <f t="shared" si="196"/>
        <v>AB01F4</v>
      </c>
      <c r="V3932">
        <v>0</v>
      </c>
      <c r="W3932">
        <v>0</v>
      </c>
      <c r="X3932">
        <v>2</v>
      </c>
      <c r="Z3932">
        <v>0</v>
      </c>
      <c r="AA3932">
        <v>9</v>
      </c>
      <c r="AB3932">
        <v>3</v>
      </c>
      <c r="AC3932">
        <v>0</v>
      </c>
      <c r="AD3932">
        <v>10</v>
      </c>
      <c r="AE3932">
        <v>0</v>
      </c>
      <c r="AF3932">
        <v>3</v>
      </c>
      <c r="AG3932">
        <v>2</v>
      </c>
      <c r="AH3932">
        <v>0</v>
      </c>
      <c r="AI3932" t="s">
        <v>2215</v>
      </c>
      <c r="AJ3932">
        <v>40.136510999999999</v>
      </c>
      <c r="AK3932" t="s">
        <v>2216</v>
      </c>
      <c r="AL3932">
        <v>-93.088853</v>
      </c>
      <c r="AM3932">
        <v>100</v>
      </c>
      <c r="AN3932">
        <v>1300</v>
      </c>
      <c r="AO3932" t="s">
        <v>118</v>
      </c>
      <c r="AP3932">
        <v>-114</v>
      </c>
      <c r="AQ3932">
        <v>61</v>
      </c>
      <c r="AR3932">
        <v>64</v>
      </c>
      <c r="AZ3932">
        <v>1200</v>
      </c>
      <c r="BA3932">
        <v>1</v>
      </c>
      <c r="BB3932" t="str">
        <f t="shared" si="195"/>
        <v xml:space="preserve">N8080G  </v>
      </c>
      <c r="BC3932">
        <v>1</v>
      </c>
      <c r="BE3932">
        <v>0</v>
      </c>
      <c r="BF3932">
        <v>0</v>
      </c>
      <c r="BG3932">
        <v>0</v>
      </c>
      <c r="BH3932">
        <v>1350</v>
      </c>
      <c r="BI3932">
        <v>1</v>
      </c>
      <c r="BJ3932">
        <v>1</v>
      </c>
      <c r="BK3932">
        <v>1</v>
      </c>
      <c r="BL3932">
        <v>0</v>
      </c>
      <c r="BO3932">
        <v>0</v>
      </c>
      <c r="BP3932">
        <v>0</v>
      </c>
      <c r="BW3932" t="str">
        <f>"20:36:17.325"</f>
        <v>20:36:17.325</v>
      </c>
      <c r="BZ3932">
        <v>0</v>
      </c>
      <c r="CA3932">
        <v>1600</v>
      </c>
      <c r="CB3932">
        <v>224</v>
      </c>
      <c r="CD3932">
        <v>1</v>
      </c>
      <c r="CE3932">
        <v>0</v>
      </c>
      <c r="CF3932">
        <v>0</v>
      </c>
      <c r="CG3932">
        <v>1</v>
      </c>
      <c r="CH3932">
        <v>0</v>
      </c>
      <c r="CI3932">
        <v>0</v>
      </c>
      <c r="CJ3932">
        <v>0</v>
      </c>
      <c r="CK3932">
        <v>2</v>
      </c>
      <c r="CL3932">
        <v>0</v>
      </c>
      <c r="CM3932">
        <v>2</v>
      </c>
      <c r="CN3932">
        <v>0</v>
      </c>
      <c r="CO3932">
        <v>6</v>
      </c>
      <c r="CP3932" t="s">
        <v>119</v>
      </c>
      <c r="CQ3932">
        <v>180</v>
      </c>
      <c r="CR3932">
        <v>3</v>
      </c>
      <c r="CW3932">
        <v>1301462</v>
      </c>
      <c r="CY3932">
        <v>0</v>
      </c>
      <c r="CZ3932">
        <v>0</v>
      </c>
      <c r="DA3932">
        <v>1</v>
      </c>
      <c r="DB3932">
        <v>0</v>
      </c>
      <c r="DC3932">
        <v>0</v>
      </c>
      <c r="DD3932">
        <v>0</v>
      </c>
      <c r="DE3932">
        <v>0</v>
      </c>
      <c r="DF3932">
        <v>0</v>
      </c>
      <c r="DG3932">
        <v>0</v>
      </c>
      <c r="DH3932">
        <v>0</v>
      </c>
      <c r="DI3932">
        <v>0</v>
      </c>
    </row>
    <row r="3933" spans="1:113" x14ac:dyDescent="0.3">
      <c r="A3933" t="str">
        <f>"02/08/2021 20:36:14.977"</f>
        <v>02/08/2021 20:36:14.977</v>
      </c>
      <c r="C3933" t="str">
        <f t="shared" si="194"/>
        <v>FFDFD7C0</v>
      </c>
      <c r="D3933" t="s">
        <v>124</v>
      </c>
      <c r="E3933">
        <v>13</v>
      </c>
      <c r="F3933">
        <v>1013</v>
      </c>
      <c r="G3933" t="s">
        <v>114</v>
      </c>
      <c r="J3933" t="s">
        <v>125</v>
      </c>
      <c r="K3933">
        <v>0</v>
      </c>
      <c r="L3933">
        <v>3</v>
      </c>
      <c r="M3933">
        <v>0</v>
      </c>
      <c r="N3933">
        <v>2</v>
      </c>
      <c r="O3933">
        <v>1</v>
      </c>
      <c r="P3933">
        <v>0</v>
      </c>
      <c r="Q3933">
        <v>0</v>
      </c>
      <c r="S3933" t="str">
        <f>"20:36:17.320"</f>
        <v>20:36:17.320</v>
      </c>
      <c r="T3933" t="str">
        <f>"20:36:16.920"</f>
        <v>20:36:16.920</v>
      </c>
      <c r="U3933" t="str">
        <f t="shared" si="196"/>
        <v>AB01F4</v>
      </c>
      <c r="V3933">
        <v>0</v>
      </c>
      <c r="W3933">
        <v>0</v>
      </c>
      <c r="X3933">
        <v>2</v>
      </c>
      <c r="Z3933">
        <v>0</v>
      </c>
      <c r="AA3933">
        <v>9</v>
      </c>
      <c r="AB3933">
        <v>3</v>
      </c>
      <c r="AC3933">
        <v>0</v>
      </c>
      <c r="AD3933">
        <v>10</v>
      </c>
      <c r="AE3933">
        <v>0</v>
      </c>
      <c r="AF3933">
        <v>3</v>
      </c>
      <c r="AG3933">
        <v>2</v>
      </c>
      <c r="AH3933">
        <v>0</v>
      </c>
      <c r="AI3933" t="s">
        <v>2215</v>
      </c>
      <c r="AJ3933">
        <v>40.136510999999999</v>
      </c>
      <c r="AK3933" t="s">
        <v>2216</v>
      </c>
      <c r="AL3933">
        <v>-93.088853</v>
      </c>
      <c r="AM3933">
        <v>100</v>
      </c>
      <c r="AN3933">
        <v>1300</v>
      </c>
      <c r="AO3933" t="s">
        <v>118</v>
      </c>
      <c r="AP3933">
        <v>-114</v>
      </c>
      <c r="AQ3933">
        <v>61</v>
      </c>
      <c r="AR3933">
        <v>64</v>
      </c>
      <c r="AZ3933">
        <v>1200</v>
      </c>
      <c r="BA3933">
        <v>1</v>
      </c>
      <c r="BB3933" t="str">
        <f t="shared" si="195"/>
        <v xml:space="preserve">N8080G  </v>
      </c>
      <c r="BC3933">
        <v>1</v>
      </c>
      <c r="BE3933">
        <v>0</v>
      </c>
      <c r="BF3933">
        <v>0</v>
      </c>
      <c r="BG3933">
        <v>0</v>
      </c>
      <c r="BH3933">
        <v>1350</v>
      </c>
      <c r="BI3933">
        <v>1</v>
      </c>
      <c r="BJ3933">
        <v>1</v>
      </c>
      <c r="BK3933">
        <v>1</v>
      </c>
      <c r="BL3933">
        <v>0</v>
      </c>
      <c r="BO3933">
        <v>0</v>
      </c>
      <c r="BP3933">
        <v>0</v>
      </c>
      <c r="BW3933" t="str">
        <f>"20:36:17.325"</f>
        <v>20:36:17.325</v>
      </c>
      <c r="BZ3933">
        <v>0</v>
      </c>
      <c r="CA3933">
        <v>1600</v>
      </c>
      <c r="CB3933">
        <v>224</v>
      </c>
      <c r="CD3933">
        <v>1</v>
      </c>
      <c r="CE3933">
        <v>0</v>
      </c>
      <c r="CF3933">
        <v>0</v>
      </c>
      <c r="CG3933">
        <v>1</v>
      </c>
      <c r="CH3933">
        <v>0</v>
      </c>
      <c r="CI3933">
        <v>0</v>
      </c>
      <c r="CJ3933">
        <v>0</v>
      </c>
      <c r="CK3933">
        <v>2</v>
      </c>
      <c r="CL3933">
        <v>0</v>
      </c>
      <c r="CM3933">
        <v>2</v>
      </c>
      <c r="CN3933">
        <v>0</v>
      </c>
      <c r="CO3933">
        <v>6</v>
      </c>
      <c r="CP3933" t="s">
        <v>119</v>
      </c>
      <c r="CQ3933">
        <v>180</v>
      </c>
      <c r="CR3933">
        <v>3</v>
      </c>
      <c r="CW3933">
        <v>1301462</v>
      </c>
      <c r="CY3933">
        <v>0</v>
      </c>
      <c r="CZ3933">
        <v>0</v>
      </c>
      <c r="DA3933">
        <v>1</v>
      </c>
      <c r="DB3933">
        <v>0</v>
      </c>
      <c r="DC3933">
        <v>0</v>
      </c>
      <c r="DD3933">
        <v>0</v>
      </c>
      <c r="DE3933">
        <v>0</v>
      </c>
      <c r="DF3933">
        <v>0</v>
      </c>
      <c r="DG3933">
        <v>0</v>
      </c>
      <c r="DH3933">
        <v>0</v>
      </c>
      <c r="DI3933">
        <v>0</v>
      </c>
    </row>
    <row r="3934" spans="1:113" x14ac:dyDescent="0.3">
      <c r="A3934" t="str">
        <f>"02/08/2021 20:36:14.977"</f>
        <v>02/08/2021 20:36:14.977</v>
      </c>
      <c r="C3934" t="str">
        <f t="shared" si="194"/>
        <v>FFDFD7C0</v>
      </c>
      <c r="D3934" t="s">
        <v>113</v>
      </c>
      <c r="E3934">
        <v>6</v>
      </c>
      <c r="H3934">
        <v>165</v>
      </c>
      <c r="I3934" t="s">
        <v>114</v>
      </c>
      <c r="J3934" t="s">
        <v>115</v>
      </c>
      <c r="K3934">
        <v>0</v>
      </c>
      <c r="L3934">
        <v>3</v>
      </c>
      <c r="M3934">
        <v>0</v>
      </c>
      <c r="N3934">
        <v>2</v>
      </c>
      <c r="O3934">
        <v>1</v>
      </c>
      <c r="P3934">
        <v>0</v>
      </c>
      <c r="Q3934">
        <v>0</v>
      </c>
      <c r="S3934" t="str">
        <f>"20:36:17.320"</f>
        <v>20:36:17.320</v>
      </c>
      <c r="T3934" t="str">
        <f>"20:36:16.920"</f>
        <v>20:36:16.920</v>
      </c>
      <c r="U3934" t="str">
        <f t="shared" si="196"/>
        <v>AB01F4</v>
      </c>
      <c r="V3934">
        <v>0</v>
      </c>
      <c r="W3934">
        <v>0</v>
      </c>
      <c r="X3934">
        <v>2</v>
      </c>
      <c r="Z3934">
        <v>0</v>
      </c>
      <c r="AA3934">
        <v>9</v>
      </c>
      <c r="AB3934">
        <v>3</v>
      </c>
      <c r="AC3934">
        <v>0</v>
      </c>
      <c r="AD3934">
        <v>10</v>
      </c>
      <c r="AE3934">
        <v>0</v>
      </c>
      <c r="AF3934">
        <v>3</v>
      </c>
      <c r="AG3934">
        <v>2</v>
      </c>
      <c r="AH3934">
        <v>0</v>
      </c>
      <c r="AI3934" t="s">
        <v>2215</v>
      </c>
      <c r="AJ3934">
        <v>40.136510999999999</v>
      </c>
      <c r="AK3934" t="s">
        <v>2216</v>
      </c>
      <c r="AL3934">
        <v>-93.088853</v>
      </c>
      <c r="AM3934">
        <v>100</v>
      </c>
      <c r="AN3934">
        <v>1300</v>
      </c>
      <c r="AO3934" t="s">
        <v>118</v>
      </c>
      <c r="AP3934">
        <v>-114</v>
      </c>
      <c r="AQ3934">
        <v>61</v>
      </c>
      <c r="AR3934">
        <v>64</v>
      </c>
      <c r="AZ3934">
        <v>1200</v>
      </c>
      <c r="BA3934">
        <v>1</v>
      </c>
      <c r="BB3934" t="str">
        <f t="shared" si="195"/>
        <v xml:space="preserve">N8080G  </v>
      </c>
      <c r="BC3934">
        <v>1</v>
      </c>
      <c r="BE3934">
        <v>0</v>
      </c>
      <c r="BF3934">
        <v>0</v>
      </c>
      <c r="BG3934">
        <v>0</v>
      </c>
      <c r="BH3934">
        <v>1350</v>
      </c>
      <c r="BI3934">
        <v>1</v>
      </c>
      <c r="BJ3934">
        <v>1</v>
      </c>
      <c r="BK3934">
        <v>1</v>
      </c>
      <c r="BL3934">
        <v>0</v>
      </c>
      <c r="BO3934">
        <v>0</v>
      </c>
      <c r="BP3934">
        <v>0</v>
      </c>
      <c r="BW3934" t="str">
        <f>"20:36:17.325"</f>
        <v>20:36:17.325</v>
      </c>
      <c r="BZ3934">
        <v>0</v>
      </c>
      <c r="CA3934">
        <v>1600</v>
      </c>
      <c r="CB3934">
        <v>224</v>
      </c>
      <c r="CD3934">
        <v>1</v>
      </c>
      <c r="CE3934">
        <v>0</v>
      </c>
      <c r="CF3934">
        <v>0</v>
      </c>
      <c r="CG3934">
        <v>1</v>
      </c>
      <c r="CH3934">
        <v>0</v>
      </c>
      <c r="CI3934">
        <v>0</v>
      </c>
      <c r="CJ3934">
        <v>0</v>
      </c>
      <c r="CK3934">
        <v>2</v>
      </c>
      <c r="CL3934">
        <v>0</v>
      </c>
      <c r="CM3934">
        <v>2</v>
      </c>
      <c r="CN3934">
        <v>0</v>
      </c>
      <c r="CO3934">
        <v>6</v>
      </c>
      <c r="CP3934" t="s">
        <v>119</v>
      </c>
      <c r="CQ3934">
        <v>180</v>
      </c>
      <c r="CR3934">
        <v>3</v>
      </c>
      <c r="CW3934">
        <v>1301462</v>
      </c>
      <c r="CY3934">
        <v>0</v>
      </c>
      <c r="CZ3934">
        <v>0</v>
      </c>
      <c r="DA3934">
        <v>1</v>
      </c>
      <c r="DB3934">
        <v>0</v>
      </c>
      <c r="DC3934">
        <v>0</v>
      </c>
      <c r="DD3934">
        <v>0</v>
      </c>
      <c r="DE3934">
        <v>0</v>
      </c>
      <c r="DF3934">
        <v>0</v>
      </c>
      <c r="DG3934">
        <v>0</v>
      </c>
      <c r="DH3934">
        <v>0</v>
      </c>
      <c r="DI3934">
        <v>0</v>
      </c>
    </row>
    <row r="3935" spans="1:113" x14ac:dyDescent="0.3">
      <c r="A3935" t="str">
        <f>"02/08/2021 20:36:16.082"</f>
        <v>02/08/2021 20:36:16.082</v>
      </c>
      <c r="C3935" t="str">
        <f t="shared" si="194"/>
        <v>FFDFD7C0</v>
      </c>
      <c r="D3935" t="s">
        <v>113</v>
      </c>
      <c r="E3935">
        <v>6</v>
      </c>
      <c r="H3935">
        <v>165</v>
      </c>
      <c r="I3935" t="s">
        <v>114</v>
      </c>
      <c r="J3935" t="s">
        <v>115</v>
      </c>
      <c r="K3935">
        <v>0</v>
      </c>
      <c r="L3935">
        <v>3</v>
      </c>
      <c r="M3935">
        <v>0</v>
      </c>
      <c r="N3935">
        <v>2</v>
      </c>
      <c r="O3935">
        <v>1</v>
      </c>
      <c r="P3935">
        <v>0</v>
      </c>
      <c r="Q3935">
        <v>0</v>
      </c>
      <c r="S3935" t="str">
        <f>"20:36:18.430"</f>
        <v>20:36:18.430</v>
      </c>
      <c r="T3935" t="str">
        <f>"20:36:17.930"</f>
        <v>20:36:17.930</v>
      </c>
      <c r="U3935" t="str">
        <f t="shared" si="196"/>
        <v>AB01F4</v>
      </c>
      <c r="V3935">
        <v>0</v>
      </c>
      <c r="W3935">
        <v>0</v>
      </c>
      <c r="X3935">
        <v>2</v>
      </c>
      <c r="Z3935">
        <v>0</v>
      </c>
      <c r="AA3935">
        <v>9</v>
      </c>
      <c r="AB3935">
        <v>3</v>
      </c>
      <c r="AC3935">
        <v>0</v>
      </c>
      <c r="AD3935">
        <v>10</v>
      </c>
      <c r="AE3935">
        <v>0</v>
      </c>
      <c r="AF3935">
        <v>3</v>
      </c>
      <c r="AG3935">
        <v>2</v>
      </c>
      <c r="AH3935">
        <v>0</v>
      </c>
      <c r="AI3935" t="s">
        <v>2217</v>
      </c>
      <c r="AJ3935">
        <v>40.136833000000003</v>
      </c>
      <c r="AK3935" t="s">
        <v>2218</v>
      </c>
      <c r="AL3935">
        <v>-93.089646999999999</v>
      </c>
      <c r="AM3935">
        <v>100</v>
      </c>
      <c r="AN3935">
        <v>1300</v>
      </c>
      <c r="AO3935" t="s">
        <v>118</v>
      </c>
      <c r="AP3935">
        <v>-114</v>
      </c>
      <c r="AQ3935">
        <v>61</v>
      </c>
      <c r="AR3935">
        <v>64</v>
      </c>
      <c r="AZ3935">
        <v>1200</v>
      </c>
      <c r="BA3935">
        <v>1</v>
      </c>
      <c r="BB3935" t="str">
        <f t="shared" si="195"/>
        <v xml:space="preserve">N8080G  </v>
      </c>
      <c r="BC3935">
        <v>1</v>
      </c>
      <c r="BE3935">
        <v>0</v>
      </c>
      <c r="BF3935">
        <v>0</v>
      </c>
      <c r="BG3935">
        <v>0</v>
      </c>
      <c r="BH3935">
        <v>1350</v>
      </c>
      <c r="BI3935">
        <v>1</v>
      </c>
      <c r="BJ3935">
        <v>1</v>
      </c>
      <c r="BK3935">
        <v>1</v>
      </c>
      <c r="BL3935">
        <v>0</v>
      </c>
      <c r="BO3935">
        <v>0</v>
      </c>
      <c r="BP3935">
        <v>0</v>
      </c>
      <c r="BW3935" t="str">
        <f>"20:36:18.434"</f>
        <v>20:36:18.434</v>
      </c>
      <c r="BZ3935">
        <v>0</v>
      </c>
      <c r="CA3935">
        <v>1600</v>
      </c>
      <c r="CB3935">
        <v>224</v>
      </c>
      <c r="CD3935">
        <v>1</v>
      </c>
      <c r="CE3935">
        <v>0</v>
      </c>
      <c r="CF3935">
        <v>0</v>
      </c>
      <c r="CG3935">
        <v>1</v>
      </c>
      <c r="CH3935">
        <v>0</v>
      </c>
      <c r="CI3935">
        <v>0</v>
      </c>
      <c r="CJ3935">
        <v>0</v>
      </c>
      <c r="CK3935">
        <v>2</v>
      </c>
      <c r="CL3935">
        <v>0</v>
      </c>
      <c r="CM3935">
        <v>2</v>
      </c>
      <c r="CN3935">
        <v>0</v>
      </c>
      <c r="CO3935">
        <v>6</v>
      </c>
      <c r="CP3935" t="s">
        <v>119</v>
      </c>
      <c r="CQ3935">
        <v>180</v>
      </c>
      <c r="CR3935">
        <v>3</v>
      </c>
      <c r="CW3935">
        <v>1302368</v>
      </c>
      <c r="CY3935">
        <v>0</v>
      </c>
      <c r="CZ3935">
        <v>0</v>
      </c>
      <c r="DA3935">
        <v>0</v>
      </c>
      <c r="DB3935">
        <v>0</v>
      </c>
      <c r="DC3935">
        <v>0</v>
      </c>
      <c r="DD3935">
        <v>0</v>
      </c>
      <c r="DE3935">
        <v>0</v>
      </c>
      <c r="DF3935">
        <v>0</v>
      </c>
      <c r="DG3935">
        <v>0</v>
      </c>
      <c r="DH3935">
        <v>0</v>
      </c>
      <c r="DI3935">
        <v>0</v>
      </c>
    </row>
    <row r="3936" spans="1:113" x14ac:dyDescent="0.3">
      <c r="A3936" t="str">
        <f>"02/08/2021 20:36:16.082"</f>
        <v>02/08/2021 20:36:16.082</v>
      </c>
      <c r="C3936" t="str">
        <f t="shared" si="194"/>
        <v>FFDFD7C0</v>
      </c>
      <c r="D3936" t="s">
        <v>124</v>
      </c>
      <c r="E3936">
        <v>11</v>
      </c>
      <c r="F3936">
        <v>1011</v>
      </c>
      <c r="G3936" t="s">
        <v>590</v>
      </c>
      <c r="J3936" t="s">
        <v>125</v>
      </c>
      <c r="K3936">
        <v>0</v>
      </c>
      <c r="L3936">
        <v>3</v>
      </c>
      <c r="M3936">
        <v>0</v>
      </c>
      <c r="N3936">
        <v>2</v>
      </c>
      <c r="O3936">
        <v>1</v>
      </c>
      <c r="P3936">
        <v>0</v>
      </c>
      <c r="Q3936">
        <v>0</v>
      </c>
      <c r="S3936" t="str">
        <f>"20:36:18.430"</f>
        <v>20:36:18.430</v>
      </c>
      <c r="T3936" t="str">
        <f>"20:36:17.930"</f>
        <v>20:36:17.930</v>
      </c>
      <c r="U3936" t="str">
        <f t="shared" si="196"/>
        <v>AB01F4</v>
      </c>
      <c r="V3936">
        <v>0</v>
      </c>
      <c r="W3936">
        <v>0</v>
      </c>
      <c r="X3936">
        <v>2</v>
      </c>
      <c r="Z3936">
        <v>0</v>
      </c>
      <c r="AA3936">
        <v>9</v>
      </c>
      <c r="AB3936">
        <v>3</v>
      </c>
      <c r="AC3936">
        <v>0</v>
      </c>
      <c r="AD3936">
        <v>10</v>
      </c>
      <c r="AE3936">
        <v>0</v>
      </c>
      <c r="AF3936">
        <v>3</v>
      </c>
      <c r="AG3936">
        <v>2</v>
      </c>
      <c r="AH3936">
        <v>0</v>
      </c>
      <c r="AI3936" t="s">
        <v>2217</v>
      </c>
      <c r="AJ3936">
        <v>40.136833000000003</v>
      </c>
      <c r="AK3936" t="s">
        <v>2218</v>
      </c>
      <c r="AL3936">
        <v>-93.089646999999999</v>
      </c>
      <c r="AM3936">
        <v>100</v>
      </c>
      <c r="AN3936">
        <v>1300</v>
      </c>
      <c r="AO3936" t="s">
        <v>118</v>
      </c>
      <c r="AP3936">
        <v>-114</v>
      </c>
      <c r="AQ3936">
        <v>61</v>
      </c>
      <c r="AR3936">
        <v>64</v>
      </c>
      <c r="AZ3936">
        <v>1200</v>
      </c>
      <c r="BA3936">
        <v>1</v>
      </c>
      <c r="BB3936" t="str">
        <f t="shared" si="195"/>
        <v xml:space="preserve">N8080G  </v>
      </c>
      <c r="BC3936">
        <v>1</v>
      </c>
      <c r="BE3936">
        <v>0</v>
      </c>
      <c r="BF3936">
        <v>0</v>
      </c>
      <c r="BG3936">
        <v>0</v>
      </c>
      <c r="BH3936">
        <v>1350</v>
      </c>
      <c r="BI3936">
        <v>1</v>
      </c>
      <c r="BJ3936">
        <v>1</v>
      </c>
      <c r="BK3936">
        <v>1</v>
      </c>
      <c r="BL3936">
        <v>0</v>
      </c>
      <c r="BO3936">
        <v>0</v>
      </c>
      <c r="BP3936">
        <v>0</v>
      </c>
      <c r="BW3936" t="str">
        <f>"20:36:18.434"</f>
        <v>20:36:18.434</v>
      </c>
      <c r="BZ3936">
        <v>0</v>
      </c>
      <c r="CA3936">
        <v>1600</v>
      </c>
      <c r="CB3936">
        <v>224</v>
      </c>
      <c r="CD3936">
        <v>1</v>
      </c>
      <c r="CE3936">
        <v>0</v>
      </c>
      <c r="CF3936">
        <v>0</v>
      </c>
      <c r="CG3936">
        <v>1</v>
      </c>
      <c r="CH3936">
        <v>0</v>
      </c>
      <c r="CI3936">
        <v>0</v>
      </c>
      <c r="CJ3936">
        <v>0</v>
      </c>
      <c r="CK3936">
        <v>2</v>
      </c>
      <c r="CL3936">
        <v>0</v>
      </c>
      <c r="CM3936">
        <v>2</v>
      </c>
      <c r="CN3936">
        <v>0</v>
      </c>
      <c r="CO3936">
        <v>6</v>
      </c>
      <c r="CP3936" t="s">
        <v>119</v>
      </c>
      <c r="CQ3936">
        <v>180</v>
      </c>
      <c r="CR3936">
        <v>3</v>
      </c>
      <c r="CW3936">
        <v>1302368</v>
      </c>
      <c r="CY3936">
        <v>0</v>
      </c>
      <c r="CZ3936">
        <v>0</v>
      </c>
      <c r="DA3936">
        <v>1</v>
      </c>
      <c r="DB3936">
        <v>0</v>
      </c>
      <c r="DC3936">
        <v>0</v>
      </c>
      <c r="DD3936">
        <v>0</v>
      </c>
      <c r="DE3936">
        <v>0</v>
      </c>
      <c r="DF3936">
        <v>0</v>
      </c>
      <c r="DG3936">
        <v>0</v>
      </c>
      <c r="DH3936">
        <v>0</v>
      </c>
      <c r="DI3936">
        <v>0</v>
      </c>
    </row>
    <row r="3937" spans="1:113" x14ac:dyDescent="0.3">
      <c r="A3937" t="str">
        <f>"02/08/2021 20:36:16.082"</f>
        <v>02/08/2021 20:36:16.082</v>
      </c>
      <c r="C3937" t="str">
        <f t="shared" si="194"/>
        <v>FFDFD7C0</v>
      </c>
      <c r="D3937" t="s">
        <v>124</v>
      </c>
      <c r="E3937">
        <v>12</v>
      </c>
      <c r="F3937">
        <v>1012</v>
      </c>
      <c r="G3937" t="s">
        <v>675</v>
      </c>
      <c r="J3937" t="s">
        <v>125</v>
      </c>
      <c r="K3937">
        <v>0</v>
      </c>
      <c r="L3937">
        <v>3</v>
      </c>
      <c r="M3937">
        <v>0</v>
      </c>
      <c r="N3937">
        <v>2</v>
      </c>
      <c r="O3937">
        <v>1</v>
      </c>
      <c r="P3937">
        <v>0</v>
      </c>
      <c r="Q3937">
        <v>0</v>
      </c>
      <c r="S3937" t="str">
        <f>"20:36:18.430"</f>
        <v>20:36:18.430</v>
      </c>
      <c r="T3937" t="str">
        <f>"20:36:17.930"</f>
        <v>20:36:17.930</v>
      </c>
      <c r="U3937" t="str">
        <f t="shared" si="196"/>
        <v>AB01F4</v>
      </c>
      <c r="V3937">
        <v>0</v>
      </c>
      <c r="W3937">
        <v>0</v>
      </c>
      <c r="X3937">
        <v>2</v>
      </c>
      <c r="Z3937">
        <v>0</v>
      </c>
      <c r="AA3937">
        <v>9</v>
      </c>
      <c r="AB3937">
        <v>3</v>
      </c>
      <c r="AC3937">
        <v>0</v>
      </c>
      <c r="AD3937">
        <v>10</v>
      </c>
      <c r="AE3937">
        <v>0</v>
      </c>
      <c r="AF3937">
        <v>3</v>
      </c>
      <c r="AG3937">
        <v>2</v>
      </c>
      <c r="AH3937">
        <v>0</v>
      </c>
      <c r="AI3937" t="s">
        <v>2217</v>
      </c>
      <c r="AJ3937">
        <v>40.136833000000003</v>
      </c>
      <c r="AK3937" t="s">
        <v>2218</v>
      </c>
      <c r="AL3937">
        <v>-93.089646999999999</v>
      </c>
      <c r="AM3937">
        <v>100</v>
      </c>
      <c r="AN3937">
        <v>1300</v>
      </c>
      <c r="AO3937" t="s">
        <v>118</v>
      </c>
      <c r="AP3937">
        <v>-114</v>
      </c>
      <c r="AQ3937">
        <v>61</v>
      </c>
      <c r="AR3937">
        <v>64</v>
      </c>
      <c r="AZ3937">
        <v>1200</v>
      </c>
      <c r="BA3937">
        <v>1</v>
      </c>
      <c r="BB3937" t="str">
        <f t="shared" si="195"/>
        <v xml:space="preserve">N8080G  </v>
      </c>
      <c r="BC3937">
        <v>1</v>
      </c>
      <c r="BE3937">
        <v>0</v>
      </c>
      <c r="BF3937">
        <v>0</v>
      </c>
      <c r="BG3937">
        <v>0</v>
      </c>
      <c r="BH3937">
        <v>1350</v>
      </c>
      <c r="BI3937">
        <v>1</v>
      </c>
      <c r="BJ3937">
        <v>1</v>
      </c>
      <c r="BK3937">
        <v>1</v>
      </c>
      <c r="BL3937">
        <v>0</v>
      </c>
      <c r="BO3937">
        <v>0</v>
      </c>
      <c r="BP3937">
        <v>0</v>
      </c>
      <c r="BW3937" t="str">
        <f>"20:36:18.434"</f>
        <v>20:36:18.434</v>
      </c>
      <c r="BZ3937">
        <v>0</v>
      </c>
      <c r="CA3937">
        <v>1600</v>
      </c>
      <c r="CB3937">
        <v>224</v>
      </c>
      <c r="CD3937">
        <v>1</v>
      </c>
      <c r="CE3937">
        <v>0</v>
      </c>
      <c r="CF3937">
        <v>0</v>
      </c>
      <c r="CG3937">
        <v>1</v>
      </c>
      <c r="CH3937">
        <v>0</v>
      </c>
      <c r="CI3937">
        <v>0</v>
      </c>
      <c r="CJ3937">
        <v>0</v>
      </c>
      <c r="CK3937">
        <v>2</v>
      </c>
      <c r="CL3937">
        <v>0</v>
      </c>
      <c r="CM3937">
        <v>2</v>
      </c>
      <c r="CN3937">
        <v>0</v>
      </c>
      <c r="CO3937">
        <v>6</v>
      </c>
      <c r="CP3937" t="s">
        <v>119</v>
      </c>
      <c r="CQ3937">
        <v>180</v>
      </c>
      <c r="CR3937">
        <v>3</v>
      </c>
      <c r="CW3937">
        <v>1302368</v>
      </c>
      <c r="CY3937">
        <v>0</v>
      </c>
      <c r="CZ3937">
        <v>0</v>
      </c>
      <c r="DA3937">
        <v>1</v>
      </c>
      <c r="DB3937">
        <v>0</v>
      </c>
      <c r="DC3937">
        <v>0</v>
      </c>
      <c r="DD3937">
        <v>0</v>
      </c>
      <c r="DE3937">
        <v>0</v>
      </c>
      <c r="DF3937">
        <v>0</v>
      </c>
      <c r="DG3937">
        <v>0</v>
      </c>
      <c r="DH3937">
        <v>0</v>
      </c>
      <c r="DI3937">
        <v>0</v>
      </c>
    </row>
    <row r="3938" spans="1:113" x14ac:dyDescent="0.3">
      <c r="A3938" t="str">
        <f>"02/08/2021 20:36:16.082"</f>
        <v>02/08/2021 20:36:16.082</v>
      </c>
      <c r="C3938" t="str">
        <f t="shared" si="194"/>
        <v>FFDFD7C0</v>
      </c>
      <c r="D3938" t="s">
        <v>124</v>
      </c>
      <c r="E3938">
        <v>13</v>
      </c>
      <c r="F3938">
        <v>1013</v>
      </c>
      <c r="G3938" t="s">
        <v>114</v>
      </c>
      <c r="J3938" t="s">
        <v>125</v>
      </c>
      <c r="K3938">
        <v>0</v>
      </c>
      <c r="L3938">
        <v>3</v>
      </c>
      <c r="M3938">
        <v>0</v>
      </c>
      <c r="N3938">
        <v>2</v>
      </c>
      <c r="O3938">
        <v>1</v>
      </c>
      <c r="P3938">
        <v>0</v>
      </c>
      <c r="Q3938">
        <v>0</v>
      </c>
      <c r="S3938" t="str">
        <f>"20:36:18.430"</f>
        <v>20:36:18.430</v>
      </c>
      <c r="T3938" t="str">
        <f>"20:36:17.930"</f>
        <v>20:36:17.930</v>
      </c>
      <c r="U3938" t="str">
        <f t="shared" si="196"/>
        <v>AB01F4</v>
      </c>
      <c r="V3938">
        <v>0</v>
      </c>
      <c r="W3938">
        <v>0</v>
      </c>
      <c r="X3938">
        <v>2</v>
      </c>
      <c r="Z3938">
        <v>0</v>
      </c>
      <c r="AA3938">
        <v>9</v>
      </c>
      <c r="AB3938">
        <v>3</v>
      </c>
      <c r="AC3938">
        <v>0</v>
      </c>
      <c r="AD3938">
        <v>10</v>
      </c>
      <c r="AE3938">
        <v>0</v>
      </c>
      <c r="AF3938">
        <v>3</v>
      </c>
      <c r="AG3938">
        <v>2</v>
      </c>
      <c r="AH3938">
        <v>0</v>
      </c>
      <c r="AI3938" t="s">
        <v>2217</v>
      </c>
      <c r="AJ3938">
        <v>40.136833000000003</v>
      </c>
      <c r="AK3938" t="s">
        <v>2218</v>
      </c>
      <c r="AL3938">
        <v>-93.089646999999999</v>
      </c>
      <c r="AM3938">
        <v>100</v>
      </c>
      <c r="AN3938">
        <v>1300</v>
      </c>
      <c r="AO3938" t="s">
        <v>118</v>
      </c>
      <c r="AP3938">
        <v>-114</v>
      </c>
      <c r="AQ3938">
        <v>61</v>
      </c>
      <c r="AR3938">
        <v>64</v>
      </c>
      <c r="AZ3938">
        <v>1200</v>
      </c>
      <c r="BA3938">
        <v>1</v>
      </c>
      <c r="BB3938" t="str">
        <f t="shared" si="195"/>
        <v xml:space="preserve">N8080G  </v>
      </c>
      <c r="BC3938">
        <v>1</v>
      </c>
      <c r="BE3938">
        <v>0</v>
      </c>
      <c r="BF3938">
        <v>0</v>
      </c>
      <c r="BG3938">
        <v>0</v>
      </c>
      <c r="BH3938">
        <v>1350</v>
      </c>
      <c r="BI3938">
        <v>1</v>
      </c>
      <c r="BJ3938">
        <v>1</v>
      </c>
      <c r="BK3938">
        <v>1</v>
      </c>
      <c r="BL3938">
        <v>0</v>
      </c>
      <c r="BO3938">
        <v>0</v>
      </c>
      <c r="BP3938">
        <v>0</v>
      </c>
      <c r="BW3938" t="str">
        <f>"20:36:18.434"</f>
        <v>20:36:18.434</v>
      </c>
      <c r="BZ3938">
        <v>0</v>
      </c>
      <c r="CA3938">
        <v>1600</v>
      </c>
      <c r="CB3938">
        <v>224</v>
      </c>
      <c r="CD3938">
        <v>1</v>
      </c>
      <c r="CE3938">
        <v>0</v>
      </c>
      <c r="CF3938">
        <v>0</v>
      </c>
      <c r="CG3938">
        <v>1</v>
      </c>
      <c r="CH3938">
        <v>0</v>
      </c>
      <c r="CI3938">
        <v>0</v>
      </c>
      <c r="CJ3938">
        <v>0</v>
      </c>
      <c r="CK3938">
        <v>2</v>
      </c>
      <c r="CL3938">
        <v>0</v>
      </c>
      <c r="CM3938">
        <v>2</v>
      </c>
      <c r="CN3938">
        <v>0</v>
      </c>
      <c r="CO3938">
        <v>6</v>
      </c>
      <c r="CP3938" t="s">
        <v>119</v>
      </c>
      <c r="CQ3938">
        <v>180</v>
      </c>
      <c r="CR3938">
        <v>3</v>
      </c>
      <c r="CW3938">
        <v>1302368</v>
      </c>
      <c r="CY3938">
        <v>0</v>
      </c>
      <c r="CZ3938">
        <v>0</v>
      </c>
      <c r="DA3938">
        <v>1</v>
      </c>
      <c r="DB3938">
        <v>0</v>
      </c>
      <c r="DC3938">
        <v>0</v>
      </c>
      <c r="DD3938">
        <v>0</v>
      </c>
      <c r="DE3938">
        <v>0</v>
      </c>
      <c r="DF3938">
        <v>0</v>
      </c>
      <c r="DG3938">
        <v>0</v>
      </c>
      <c r="DH3938">
        <v>0</v>
      </c>
      <c r="DI3938">
        <v>0</v>
      </c>
    </row>
    <row r="3939" spans="1:113" x14ac:dyDescent="0.3">
      <c r="A3939" t="str">
        <f>"02/08/2021 20:36:17.106"</f>
        <v>02/08/2021 20:36:17.106</v>
      </c>
      <c r="C3939" t="str">
        <f t="shared" si="194"/>
        <v>FFDFD7C0</v>
      </c>
      <c r="D3939" t="s">
        <v>124</v>
      </c>
      <c r="E3939">
        <v>13</v>
      </c>
      <c r="F3939">
        <v>1013</v>
      </c>
      <c r="G3939" t="s">
        <v>114</v>
      </c>
      <c r="J3939" t="s">
        <v>125</v>
      </c>
      <c r="K3939">
        <v>0</v>
      </c>
      <c r="L3939">
        <v>3</v>
      </c>
      <c r="M3939">
        <v>0</v>
      </c>
      <c r="N3939">
        <v>2</v>
      </c>
      <c r="O3939">
        <v>1</v>
      </c>
      <c r="P3939">
        <v>0</v>
      </c>
      <c r="Q3939">
        <v>0</v>
      </c>
      <c r="S3939" t="str">
        <f>"20:36:19.453"</f>
        <v>20:36:19.453</v>
      </c>
      <c r="T3939" t="str">
        <f>"20:36:18.953"</f>
        <v>20:36:18.953</v>
      </c>
      <c r="U3939" t="str">
        <f t="shared" si="196"/>
        <v>AB01F4</v>
      </c>
      <c r="V3939">
        <v>0</v>
      </c>
      <c r="W3939">
        <v>0</v>
      </c>
      <c r="X3939">
        <v>2</v>
      </c>
      <c r="Z3939">
        <v>0</v>
      </c>
      <c r="AA3939">
        <v>9</v>
      </c>
      <c r="AB3939">
        <v>3</v>
      </c>
      <c r="AC3939">
        <v>0</v>
      </c>
      <c r="AD3939">
        <v>10</v>
      </c>
      <c r="AE3939">
        <v>0</v>
      </c>
      <c r="AF3939">
        <v>3</v>
      </c>
      <c r="AG3939">
        <v>2</v>
      </c>
      <c r="AH3939">
        <v>0</v>
      </c>
      <c r="AI3939" t="s">
        <v>2219</v>
      </c>
      <c r="AJ3939">
        <v>40.137112000000002</v>
      </c>
      <c r="AK3939" t="s">
        <v>2220</v>
      </c>
      <c r="AL3939">
        <v>-93.090333999999999</v>
      </c>
      <c r="AM3939">
        <v>100</v>
      </c>
      <c r="AN3939">
        <v>1300</v>
      </c>
      <c r="AO3939" t="s">
        <v>118</v>
      </c>
      <c r="AP3939">
        <v>-114</v>
      </c>
      <c r="AQ3939">
        <v>60</v>
      </c>
      <c r="AR3939">
        <v>128</v>
      </c>
      <c r="AZ3939">
        <v>1200</v>
      </c>
      <c r="BA3939">
        <v>1</v>
      </c>
      <c r="BB3939" t="str">
        <f t="shared" si="195"/>
        <v xml:space="preserve">N8080G  </v>
      </c>
      <c r="BC3939">
        <v>1</v>
      </c>
      <c r="BE3939">
        <v>0</v>
      </c>
      <c r="BF3939">
        <v>0</v>
      </c>
      <c r="BG3939">
        <v>0</v>
      </c>
      <c r="BH3939">
        <v>1350</v>
      </c>
      <c r="BI3939">
        <v>1</v>
      </c>
      <c r="BJ3939">
        <v>1</v>
      </c>
      <c r="BK3939">
        <v>1</v>
      </c>
      <c r="BL3939">
        <v>0</v>
      </c>
      <c r="BO3939">
        <v>0</v>
      </c>
      <c r="BP3939">
        <v>0</v>
      </c>
      <c r="BW3939" t="str">
        <f>"20:36:19.454"</f>
        <v>20:36:19.454</v>
      </c>
      <c r="BZ3939">
        <v>0</v>
      </c>
      <c r="CA3939">
        <v>1600</v>
      </c>
      <c r="CB3939">
        <v>224</v>
      </c>
      <c r="CD3939">
        <v>1</v>
      </c>
      <c r="CE3939">
        <v>0</v>
      </c>
      <c r="CF3939">
        <v>0</v>
      </c>
      <c r="CG3939">
        <v>1</v>
      </c>
      <c r="CH3939">
        <v>0</v>
      </c>
      <c r="CI3939">
        <v>0</v>
      </c>
      <c r="CJ3939">
        <v>0</v>
      </c>
      <c r="CK3939">
        <v>2</v>
      </c>
      <c r="CL3939">
        <v>0</v>
      </c>
      <c r="CM3939">
        <v>2</v>
      </c>
      <c r="CN3939">
        <v>0</v>
      </c>
      <c r="CO3939">
        <v>6</v>
      </c>
      <c r="CP3939" t="s">
        <v>119</v>
      </c>
      <c r="CQ3939">
        <v>180</v>
      </c>
      <c r="CR3939">
        <v>3</v>
      </c>
      <c r="CW3939">
        <v>1303220</v>
      </c>
      <c r="CY3939">
        <v>0</v>
      </c>
      <c r="CZ3939">
        <v>0</v>
      </c>
      <c r="DA3939">
        <v>0</v>
      </c>
      <c r="DB3939">
        <v>0</v>
      </c>
      <c r="DC3939">
        <v>0</v>
      </c>
      <c r="DD3939">
        <v>0</v>
      </c>
      <c r="DE3939">
        <v>0</v>
      </c>
      <c r="DF3939">
        <v>0</v>
      </c>
      <c r="DG3939">
        <v>0</v>
      </c>
      <c r="DH3939">
        <v>0</v>
      </c>
      <c r="DI3939">
        <v>0</v>
      </c>
    </row>
    <row r="3940" spans="1:113" x14ac:dyDescent="0.3">
      <c r="A3940" t="str">
        <f>"02/08/2021 20:36:17.106"</f>
        <v>02/08/2021 20:36:17.106</v>
      </c>
      <c r="C3940" t="str">
        <f t="shared" si="194"/>
        <v>FFDFD7C0</v>
      </c>
      <c r="D3940" t="s">
        <v>113</v>
      </c>
      <c r="E3940">
        <v>6</v>
      </c>
      <c r="H3940">
        <v>165</v>
      </c>
      <c r="I3940" t="s">
        <v>114</v>
      </c>
      <c r="J3940" t="s">
        <v>115</v>
      </c>
      <c r="K3940">
        <v>0</v>
      </c>
      <c r="L3940">
        <v>3</v>
      </c>
      <c r="M3940">
        <v>0</v>
      </c>
      <c r="N3940">
        <v>2</v>
      </c>
      <c r="O3940">
        <v>1</v>
      </c>
      <c r="P3940">
        <v>0</v>
      </c>
      <c r="Q3940">
        <v>0</v>
      </c>
      <c r="S3940" t="str">
        <f>"20:36:19.453"</f>
        <v>20:36:19.453</v>
      </c>
      <c r="T3940" t="str">
        <f>"20:36:18.953"</f>
        <v>20:36:18.953</v>
      </c>
      <c r="U3940" t="str">
        <f t="shared" si="196"/>
        <v>AB01F4</v>
      </c>
      <c r="V3940">
        <v>0</v>
      </c>
      <c r="W3940">
        <v>0</v>
      </c>
      <c r="X3940">
        <v>2</v>
      </c>
      <c r="Z3940">
        <v>0</v>
      </c>
      <c r="AA3940">
        <v>9</v>
      </c>
      <c r="AB3940">
        <v>3</v>
      </c>
      <c r="AC3940">
        <v>0</v>
      </c>
      <c r="AD3940">
        <v>10</v>
      </c>
      <c r="AE3940">
        <v>0</v>
      </c>
      <c r="AF3940">
        <v>3</v>
      </c>
      <c r="AG3940">
        <v>2</v>
      </c>
      <c r="AH3940">
        <v>0</v>
      </c>
      <c r="AI3940" t="s">
        <v>2219</v>
      </c>
      <c r="AJ3940">
        <v>40.137112000000002</v>
      </c>
      <c r="AK3940" t="s">
        <v>2220</v>
      </c>
      <c r="AL3940">
        <v>-93.090333999999999</v>
      </c>
      <c r="AM3940">
        <v>100</v>
      </c>
      <c r="AN3940">
        <v>1300</v>
      </c>
      <c r="AO3940" t="s">
        <v>118</v>
      </c>
      <c r="AP3940">
        <v>-114</v>
      </c>
      <c r="AQ3940">
        <v>60</v>
      </c>
      <c r="AR3940">
        <v>128</v>
      </c>
      <c r="AZ3940">
        <v>1200</v>
      </c>
      <c r="BA3940">
        <v>1</v>
      </c>
      <c r="BB3940" t="str">
        <f t="shared" si="195"/>
        <v xml:space="preserve">N8080G  </v>
      </c>
      <c r="BC3940">
        <v>1</v>
      </c>
      <c r="BE3940">
        <v>0</v>
      </c>
      <c r="BF3940">
        <v>0</v>
      </c>
      <c r="BG3940">
        <v>0</v>
      </c>
      <c r="BH3940">
        <v>1350</v>
      </c>
      <c r="BI3940">
        <v>1</v>
      </c>
      <c r="BJ3940">
        <v>1</v>
      </c>
      <c r="BK3940">
        <v>1</v>
      </c>
      <c r="BL3940">
        <v>0</v>
      </c>
      <c r="BO3940">
        <v>0</v>
      </c>
      <c r="BP3940">
        <v>0</v>
      </c>
      <c r="BW3940" t="str">
        <f>"20:36:19.454"</f>
        <v>20:36:19.454</v>
      </c>
      <c r="BZ3940">
        <v>0</v>
      </c>
      <c r="CA3940">
        <v>1600</v>
      </c>
      <c r="CB3940">
        <v>224</v>
      </c>
      <c r="CD3940">
        <v>1</v>
      </c>
      <c r="CE3940">
        <v>0</v>
      </c>
      <c r="CF3940">
        <v>0</v>
      </c>
      <c r="CG3940">
        <v>1</v>
      </c>
      <c r="CH3940">
        <v>0</v>
      </c>
      <c r="CI3940">
        <v>0</v>
      </c>
      <c r="CJ3940">
        <v>0</v>
      </c>
      <c r="CK3940">
        <v>2</v>
      </c>
      <c r="CL3940">
        <v>0</v>
      </c>
      <c r="CM3940">
        <v>2</v>
      </c>
      <c r="CN3940">
        <v>0</v>
      </c>
      <c r="CO3940">
        <v>6</v>
      </c>
      <c r="CP3940" t="s">
        <v>119</v>
      </c>
      <c r="CQ3940">
        <v>180</v>
      </c>
      <c r="CR3940">
        <v>3</v>
      </c>
      <c r="CW3940">
        <v>1303220</v>
      </c>
      <c r="CY3940">
        <v>0</v>
      </c>
      <c r="CZ3940">
        <v>0</v>
      </c>
      <c r="DA3940">
        <v>1</v>
      </c>
      <c r="DB3940">
        <v>0</v>
      </c>
      <c r="DC3940">
        <v>0</v>
      </c>
      <c r="DD3940">
        <v>0</v>
      </c>
      <c r="DE3940">
        <v>0</v>
      </c>
      <c r="DF3940">
        <v>0</v>
      </c>
      <c r="DG3940">
        <v>0</v>
      </c>
      <c r="DH3940">
        <v>0</v>
      </c>
      <c r="DI3940">
        <v>0</v>
      </c>
    </row>
    <row r="3941" spans="1:113" x14ac:dyDescent="0.3">
      <c r="A3941" t="str">
        <f>"02/08/2021 20:36:17.106"</f>
        <v>02/08/2021 20:36:17.106</v>
      </c>
      <c r="C3941" t="str">
        <f t="shared" si="194"/>
        <v>FFDFD7C0</v>
      </c>
      <c r="D3941" t="s">
        <v>124</v>
      </c>
      <c r="E3941">
        <v>11</v>
      </c>
      <c r="F3941">
        <v>1011</v>
      </c>
      <c r="G3941" t="s">
        <v>590</v>
      </c>
      <c r="J3941" t="s">
        <v>125</v>
      </c>
      <c r="K3941">
        <v>0</v>
      </c>
      <c r="L3941">
        <v>3</v>
      </c>
      <c r="M3941">
        <v>0</v>
      </c>
      <c r="N3941">
        <v>2</v>
      </c>
      <c r="O3941">
        <v>1</v>
      </c>
      <c r="P3941">
        <v>0</v>
      </c>
      <c r="Q3941">
        <v>0</v>
      </c>
      <c r="S3941" t="str">
        <f>"20:36:19.453"</f>
        <v>20:36:19.453</v>
      </c>
      <c r="T3941" t="str">
        <f>"20:36:18.953"</f>
        <v>20:36:18.953</v>
      </c>
      <c r="U3941" t="str">
        <f t="shared" si="196"/>
        <v>AB01F4</v>
      </c>
      <c r="V3941">
        <v>0</v>
      </c>
      <c r="W3941">
        <v>0</v>
      </c>
      <c r="X3941">
        <v>2</v>
      </c>
      <c r="Z3941">
        <v>0</v>
      </c>
      <c r="AA3941">
        <v>9</v>
      </c>
      <c r="AB3941">
        <v>3</v>
      </c>
      <c r="AC3941">
        <v>0</v>
      </c>
      <c r="AD3941">
        <v>10</v>
      </c>
      <c r="AE3941">
        <v>0</v>
      </c>
      <c r="AF3941">
        <v>3</v>
      </c>
      <c r="AG3941">
        <v>2</v>
      </c>
      <c r="AH3941">
        <v>0</v>
      </c>
      <c r="AI3941" t="s">
        <v>2219</v>
      </c>
      <c r="AJ3941">
        <v>40.137112000000002</v>
      </c>
      <c r="AK3941" t="s">
        <v>2220</v>
      </c>
      <c r="AL3941">
        <v>-93.090333999999999</v>
      </c>
      <c r="AM3941">
        <v>100</v>
      </c>
      <c r="AN3941">
        <v>1300</v>
      </c>
      <c r="AO3941" t="s">
        <v>118</v>
      </c>
      <c r="AP3941">
        <v>-114</v>
      </c>
      <c r="AQ3941">
        <v>60</v>
      </c>
      <c r="AR3941">
        <v>128</v>
      </c>
      <c r="AZ3941">
        <v>1200</v>
      </c>
      <c r="BA3941">
        <v>1</v>
      </c>
      <c r="BB3941" t="str">
        <f t="shared" si="195"/>
        <v xml:space="preserve">N8080G  </v>
      </c>
      <c r="BC3941">
        <v>1</v>
      </c>
      <c r="BE3941">
        <v>0</v>
      </c>
      <c r="BF3941">
        <v>0</v>
      </c>
      <c r="BG3941">
        <v>0</v>
      </c>
      <c r="BH3941">
        <v>1350</v>
      </c>
      <c r="BI3941">
        <v>1</v>
      </c>
      <c r="BJ3941">
        <v>1</v>
      </c>
      <c r="BK3941">
        <v>1</v>
      </c>
      <c r="BL3941">
        <v>0</v>
      </c>
      <c r="BO3941">
        <v>0</v>
      </c>
      <c r="BP3941">
        <v>0</v>
      </c>
      <c r="BW3941" t="str">
        <f>"20:36:19.454"</f>
        <v>20:36:19.454</v>
      </c>
      <c r="BZ3941">
        <v>0</v>
      </c>
      <c r="CA3941">
        <v>1600</v>
      </c>
      <c r="CB3941">
        <v>224</v>
      </c>
      <c r="CD3941">
        <v>1</v>
      </c>
      <c r="CE3941">
        <v>0</v>
      </c>
      <c r="CF3941">
        <v>0</v>
      </c>
      <c r="CG3941">
        <v>1</v>
      </c>
      <c r="CH3941">
        <v>0</v>
      </c>
      <c r="CI3941">
        <v>0</v>
      </c>
      <c r="CJ3941">
        <v>0</v>
      </c>
      <c r="CK3941">
        <v>2</v>
      </c>
      <c r="CL3941">
        <v>0</v>
      </c>
      <c r="CM3941">
        <v>2</v>
      </c>
      <c r="CN3941">
        <v>0</v>
      </c>
      <c r="CO3941">
        <v>6</v>
      </c>
      <c r="CP3941" t="s">
        <v>119</v>
      </c>
      <c r="CQ3941">
        <v>180</v>
      </c>
      <c r="CR3941">
        <v>3</v>
      </c>
      <c r="CW3941">
        <v>1303220</v>
      </c>
      <c r="CY3941">
        <v>0</v>
      </c>
      <c r="CZ3941">
        <v>0</v>
      </c>
      <c r="DA3941">
        <v>1</v>
      </c>
      <c r="DB3941">
        <v>0</v>
      </c>
      <c r="DC3941">
        <v>0</v>
      </c>
      <c r="DD3941">
        <v>0</v>
      </c>
      <c r="DE3941">
        <v>0</v>
      </c>
      <c r="DF3941">
        <v>0</v>
      </c>
      <c r="DG3941">
        <v>0</v>
      </c>
      <c r="DH3941">
        <v>0</v>
      </c>
      <c r="DI3941">
        <v>0</v>
      </c>
    </row>
    <row r="3942" spans="1:113" x14ac:dyDescent="0.3">
      <c r="A3942" t="str">
        <f>"02/08/2021 20:36:17.106"</f>
        <v>02/08/2021 20:36:17.106</v>
      </c>
      <c r="C3942" t="str">
        <f t="shared" si="194"/>
        <v>FFDFD7C0</v>
      </c>
      <c r="D3942" t="s">
        <v>124</v>
      </c>
      <c r="E3942">
        <v>12</v>
      </c>
      <c r="F3942">
        <v>1012</v>
      </c>
      <c r="G3942" t="s">
        <v>675</v>
      </c>
      <c r="J3942" t="s">
        <v>125</v>
      </c>
      <c r="K3942">
        <v>0</v>
      </c>
      <c r="L3942">
        <v>3</v>
      </c>
      <c r="M3942">
        <v>0</v>
      </c>
      <c r="N3942">
        <v>2</v>
      </c>
      <c r="O3942">
        <v>1</v>
      </c>
      <c r="P3942">
        <v>0</v>
      </c>
      <c r="Q3942">
        <v>0</v>
      </c>
      <c r="S3942" t="str">
        <f>"20:36:19.453"</f>
        <v>20:36:19.453</v>
      </c>
      <c r="T3942" t="str">
        <f>"20:36:18.953"</f>
        <v>20:36:18.953</v>
      </c>
      <c r="U3942" t="str">
        <f t="shared" si="196"/>
        <v>AB01F4</v>
      </c>
      <c r="V3942">
        <v>0</v>
      </c>
      <c r="W3942">
        <v>0</v>
      </c>
      <c r="X3942">
        <v>2</v>
      </c>
      <c r="Z3942">
        <v>0</v>
      </c>
      <c r="AA3942">
        <v>9</v>
      </c>
      <c r="AB3942">
        <v>3</v>
      </c>
      <c r="AC3942">
        <v>0</v>
      </c>
      <c r="AD3942">
        <v>10</v>
      </c>
      <c r="AE3942">
        <v>0</v>
      </c>
      <c r="AF3942">
        <v>3</v>
      </c>
      <c r="AG3942">
        <v>2</v>
      </c>
      <c r="AH3942">
        <v>0</v>
      </c>
      <c r="AI3942" t="s">
        <v>2219</v>
      </c>
      <c r="AJ3942">
        <v>40.137112000000002</v>
      </c>
      <c r="AK3942" t="s">
        <v>2220</v>
      </c>
      <c r="AL3942">
        <v>-93.090333999999999</v>
      </c>
      <c r="AM3942">
        <v>100</v>
      </c>
      <c r="AN3942">
        <v>1300</v>
      </c>
      <c r="AO3942" t="s">
        <v>118</v>
      </c>
      <c r="AP3942">
        <v>-114</v>
      </c>
      <c r="AQ3942">
        <v>60</v>
      </c>
      <c r="AR3942">
        <v>128</v>
      </c>
      <c r="AZ3942">
        <v>1200</v>
      </c>
      <c r="BA3942">
        <v>1</v>
      </c>
      <c r="BB3942" t="str">
        <f t="shared" si="195"/>
        <v xml:space="preserve">N8080G  </v>
      </c>
      <c r="BC3942">
        <v>1</v>
      </c>
      <c r="BE3942">
        <v>0</v>
      </c>
      <c r="BF3942">
        <v>0</v>
      </c>
      <c r="BG3942">
        <v>0</v>
      </c>
      <c r="BH3942">
        <v>1350</v>
      </c>
      <c r="BI3942">
        <v>1</v>
      </c>
      <c r="BJ3942">
        <v>1</v>
      </c>
      <c r="BK3942">
        <v>1</v>
      </c>
      <c r="BL3942">
        <v>0</v>
      </c>
      <c r="BO3942">
        <v>0</v>
      </c>
      <c r="BP3942">
        <v>0</v>
      </c>
      <c r="BW3942" t="str">
        <f>"20:36:19.454"</f>
        <v>20:36:19.454</v>
      </c>
      <c r="BZ3942">
        <v>0</v>
      </c>
      <c r="CA3942">
        <v>1600</v>
      </c>
      <c r="CB3942">
        <v>224</v>
      </c>
      <c r="CD3942">
        <v>1</v>
      </c>
      <c r="CE3942">
        <v>0</v>
      </c>
      <c r="CF3942">
        <v>0</v>
      </c>
      <c r="CG3942">
        <v>1</v>
      </c>
      <c r="CH3942">
        <v>0</v>
      </c>
      <c r="CI3942">
        <v>0</v>
      </c>
      <c r="CJ3942">
        <v>0</v>
      </c>
      <c r="CK3942">
        <v>2</v>
      </c>
      <c r="CL3942">
        <v>0</v>
      </c>
      <c r="CM3942">
        <v>2</v>
      </c>
      <c r="CN3942">
        <v>0</v>
      </c>
      <c r="CO3942">
        <v>6</v>
      </c>
      <c r="CP3942" t="s">
        <v>119</v>
      </c>
      <c r="CQ3942">
        <v>180</v>
      </c>
      <c r="CR3942">
        <v>3</v>
      </c>
      <c r="CW3942">
        <v>1303220</v>
      </c>
      <c r="CY3942">
        <v>0</v>
      </c>
      <c r="CZ3942">
        <v>0</v>
      </c>
      <c r="DA3942">
        <v>1</v>
      </c>
      <c r="DB3942">
        <v>0</v>
      </c>
      <c r="DC3942">
        <v>0</v>
      </c>
      <c r="DD3942">
        <v>0</v>
      </c>
      <c r="DE3942">
        <v>0</v>
      </c>
      <c r="DF3942">
        <v>0</v>
      </c>
      <c r="DG3942">
        <v>0</v>
      </c>
      <c r="DH3942">
        <v>0</v>
      </c>
      <c r="DI3942">
        <v>0</v>
      </c>
    </row>
    <row r="3943" spans="1:113" x14ac:dyDescent="0.3">
      <c r="A3943" t="str">
        <f>"02/08/2021 20:36:18.151"</f>
        <v>02/08/2021 20:36:18.151</v>
      </c>
      <c r="C3943" t="str">
        <f t="shared" ref="C3943:C4006" si="197">"FFDFD7C0"</f>
        <v>FFDFD7C0</v>
      </c>
      <c r="D3943" t="s">
        <v>124</v>
      </c>
      <c r="E3943">
        <v>12</v>
      </c>
      <c r="F3943">
        <v>1012</v>
      </c>
      <c r="G3943" t="s">
        <v>675</v>
      </c>
      <c r="J3943" t="s">
        <v>125</v>
      </c>
      <c r="K3943">
        <v>0</v>
      </c>
      <c r="L3943">
        <v>3</v>
      </c>
      <c r="M3943">
        <v>0</v>
      </c>
      <c r="N3943">
        <v>2</v>
      </c>
      <c r="O3943">
        <v>1</v>
      </c>
      <c r="P3943">
        <v>0</v>
      </c>
      <c r="Q3943">
        <v>0</v>
      </c>
      <c r="S3943" t="str">
        <f>"20:36:20.445"</f>
        <v>20:36:20.445</v>
      </c>
      <c r="T3943" t="str">
        <f>"20:36:20.045"</f>
        <v>20:36:20.045</v>
      </c>
      <c r="U3943" t="str">
        <f t="shared" si="196"/>
        <v>AB01F4</v>
      </c>
      <c r="V3943">
        <v>0</v>
      </c>
      <c r="W3943">
        <v>0</v>
      </c>
      <c r="X3943">
        <v>2</v>
      </c>
      <c r="Z3943">
        <v>0</v>
      </c>
      <c r="AA3943">
        <v>9</v>
      </c>
      <c r="AB3943">
        <v>3</v>
      </c>
      <c r="AC3943">
        <v>0</v>
      </c>
      <c r="AD3943">
        <v>10</v>
      </c>
      <c r="AE3943">
        <v>0</v>
      </c>
      <c r="AF3943">
        <v>3</v>
      </c>
      <c r="AG3943">
        <v>2</v>
      </c>
      <c r="AH3943">
        <v>0</v>
      </c>
      <c r="AI3943" t="s">
        <v>2221</v>
      </c>
      <c r="AJ3943">
        <v>40.137391000000001</v>
      </c>
      <c r="AK3943" t="s">
        <v>2222</v>
      </c>
      <c r="AL3943">
        <v>-93.091020999999998</v>
      </c>
      <c r="AM3943">
        <v>100</v>
      </c>
      <c r="AN3943">
        <v>1300</v>
      </c>
      <c r="AO3943" t="s">
        <v>118</v>
      </c>
      <c r="AP3943">
        <v>-114</v>
      </c>
      <c r="AQ3943">
        <v>60</v>
      </c>
      <c r="AR3943">
        <v>64</v>
      </c>
      <c r="AZ3943">
        <v>1200</v>
      </c>
      <c r="BA3943">
        <v>1</v>
      </c>
      <c r="BB3943" t="str">
        <f t="shared" si="195"/>
        <v xml:space="preserve">N8080G  </v>
      </c>
      <c r="BC3943">
        <v>1</v>
      </c>
      <c r="BE3943">
        <v>0</v>
      </c>
      <c r="BF3943">
        <v>0</v>
      </c>
      <c r="BG3943">
        <v>0</v>
      </c>
      <c r="BH3943">
        <v>1350</v>
      </c>
      <c r="BI3943">
        <v>1</v>
      </c>
      <c r="BJ3943">
        <v>1</v>
      </c>
      <c r="BK3943">
        <v>1</v>
      </c>
      <c r="BL3943">
        <v>0</v>
      </c>
      <c r="BO3943">
        <v>0</v>
      </c>
      <c r="BP3943">
        <v>0</v>
      </c>
      <c r="BW3943" t="str">
        <f>"20:36:20.453"</f>
        <v>20:36:20.453</v>
      </c>
      <c r="BZ3943">
        <v>0</v>
      </c>
      <c r="CA3943">
        <v>1600</v>
      </c>
      <c r="CB3943">
        <v>224</v>
      </c>
      <c r="CD3943">
        <v>1</v>
      </c>
      <c r="CE3943">
        <v>0</v>
      </c>
      <c r="CF3943">
        <v>0</v>
      </c>
      <c r="CG3943">
        <v>1</v>
      </c>
      <c r="CH3943">
        <v>0</v>
      </c>
      <c r="CI3943">
        <v>0</v>
      </c>
      <c r="CJ3943">
        <v>0</v>
      </c>
      <c r="CK3943">
        <v>2</v>
      </c>
      <c r="CL3943">
        <v>0</v>
      </c>
      <c r="CM3943">
        <v>2</v>
      </c>
      <c r="CN3943">
        <v>0</v>
      </c>
      <c r="CO3943">
        <v>6</v>
      </c>
      <c r="CP3943" t="s">
        <v>119</v>
      </c>
      <c r="CQ3943">
        <v>180</v>
      </c>
      <c r="CR3943">
        <v>3</v>
      </c>
      <c r="CW3943">
        <v>1304063</v>
      </c>
      <c r="CY3943">
        <v>0</v>
      </c>
      <c r="CZ3943">
        <v>0</v>
      </c>
      <c r="DA3943">
        <v>0</v>
      </c>
      <c r="DB3943">
        <v>0</v>
      </c>
      <c r="DC3943">
        <v>0</v>
      </c>
      <c r="DD3943">
        <v>0</v>
      </c>
      <c r="DE3943">
        <v>0</v>
      </c>
      <c r="DF3943">
        <v>0</v>
      </c>
      <c r="DG3943">
        <v>0</v>
      </c>
      <c r="DH3943">
        <v>0</v>
      </c>
      <c r="DI3943">
        <v>0</v>
      </c>
    </row>
    <row r="3944" spans="1:113" x14ac:dyDescent="0.3">
      <c r="A3944" t="str">
        <f>"02/08/2021 20:36:18.151"</f>
        <v>02/08/2021 20:36:18.151</v>
      </c>
      <c r="C3944" t="str">
        <f t="shared" si="197"/>
        <v>FFDFD7C0</v>
      </c>
      <c r="D3944" t="s">
        <v>113</v>
      </c>
      <c r="E3944">
        <v>6</v>
      </c>
      <c r="H3944">
        <v>165</v>
      </c>
      <c r="I3944" t="s">
        <v>114</v>
      </c>
      <c r="J3944" t="s">
        <v>115</v>
      </c>
      <c r="K3944">
        <v>0</v>
      </c>
      <c r="L3944">
        <v>3</v>
      </c>
      <c r="M3944">
        <v>0</v>
      </c>
      <c r="N3944">
        <v>2</v>
      </c>
      <c r="O3944">
        <v>1</v>
      </c>
      <c r="P3944">
        <v>0</v>
      </c>
      <c r="Q3944">
        <v>0</v>
      </c>
      <c r="S3944" t="str">
        <f>"20:36:20.445"</f>
        <v>20:36:20.445</v>
      </c>
      <c r="T3944" t="str">
        <f>"20:36:20.045"</f>
        <v>20:36:20.045</v>
      </c>
      <c r="U3944" t="str">
        <f t="shared" si="196"/>
        <v>AB01F4</v>
      </c>
      <c r="V3944">
        <v>0</v>
      </c>
      <c r="W3944">
        <v>0</v>
      </c>
      <c r="X3944">
        <v>2</v>
      </c>
      <c r="Z3944">
        <v>0</v>
      </c>
      <c r="AA3944">
        <v>9</v>
      </c>
      <c r="AB3944">
        <v>3</v>
      </c>
      <c r="AC3944">
        <v>0</v>
      </c>
      <c r="AD3944">
        <v>10</v>
      </c>
      <c r="AE3944">
        <v>0</v>
      </c>
      <c r="AF3944">
        <v>3</v>
      </c>
      <c r="AG3944">
        <v>2</v>
      </c>
      <c r="AH3944">
        <v>0</v>
      </c>
      <c r="AI3944" t="s">
        <v>2221</v>
      </c>
      <c r="AJ3944">
        <v>40.137391000000001</v>
      </c>
      <c r="AK3944" t="s">
        <v>2222</v>
      </c>
      <c r="AL3944">
        <v>-93.091020999999998</v>
      </c>
      <c r="AM3944">
        <v>100</v>
      </c>
      <c r="AN3944">
        <v>1300</v>
      </c>
      <c r="AO3944" t="s">
        <v>118</v>
      </c>
      <c r="AP3944">
        <v>-114</v>
      </c>
      <c r="AQ3944">
        <v>60</v>
      </c>
      <c r="AR3944">
        <v>64</v>
      </c>
      <c r="AZ3944">
        <v>1200</v>
      </c>
      <c r="BA3944">
        <v>1</v>
      </c>
      <c r="BB3944" t="str">
        <f t="shared" si="195"/>
        <v xml:space="preserve">N8080G  </v>
      </c>
      <c r="BC3944">
        <v>1</v>
      </c>
      <c r="BE3944">
        <v>0</v>
      </c>
      <c r="BF3944">
        <v>0</v>
      </c>
      <c r="BG3944">
        <v>0</v>
      </c>
      <c r="BH3944">
        <v>1350</v>
      </c>
      <c r="BI3944">
        <v>1</v>
      </c>
      <c r="BJ3944">
        <v>1</v>
      </c>
      <c r="BK3944">
        <v>1</v>
      </c>
      <c r="BL3944">
        <v>0</v>
      </c>
      <c r="BO3944">
        <v>0</v>
      </c>
      <c r="BP3944">
        <v>0</v>
      </c>
      <c r="BW3944" t="str">
        <f>"20:36:20.453"</f>
        <v>20:36:20.453</v>
      </c>
      <c r="BZ3944">
        <v>0</v>
      </c>
      <c r="CA3944">
        <v>1600</v>
      </c>
      <c r="CB3944">
        <v>224</v>
      </c>
      <c r="CD3944">
        <v>1</v>
      </c>
      <c r="CE3944">
        <v>0</v>
      </c>
      <c r="CF3944">
        <v>0</v>
      </c>
      <c r="CG3944">
        <v>1</v>
      </c>
      <c r="CH3944">
        <v>0</v>
      </c>
      <c r="CI3944">
        <v>0</v>
      </c>
      <c r="CJ3944">
        <v>0</v>
      </c>
      <c r="CK3944">
        <v>2</v>
      </c>
      <c r="CL3944">
        <v>0</v>
      </c>
      <c r="CM3944">
        <v>2</v>
      </c>
      <c r="CN3944">
        <v>0</v>
      </c>
      <c r="CO3944">
        <v>6</v>
      </c>
      <c r="CP3944" t="s">
        <v>119</v>
      </c>
      <c r="CQ3944">
        <v>180</v>
      </c>
      <c r="CR3944">
        <v>3</v>
      </c>
      <c r="CW3944">
        <v>1304063</v>
      </c>
      <c r="CY3944">
        <v>0</v>
      </c>
      <c r="CZ3944">
        <v>0</v>
      </c>
      <c r="DA3944">
        <v>1</v>
      </c>
      <c r="DB3944">
        <v>0</v>
      </c>
      <c r="DC3944">
        <v>0</v>
      </c>
      <c r="DD3944">
        <v>0</v>
      </c>
      <c r="DE3944">
        <v>0</v>
      </c>
      <c r="DF3944">
        <v>0</v>
      </c>
      <c r="DG3944">
        <v>0</v>
      </c>
      <c r="DH3944">
        <v>0</v>
      </c>
      <c r="DI3944">
        <v>0</v>
      </c>
    </row>
    <row r="3945" spans="1:113" x14ac:dyDescent="0.3">
      <c r="A3945" t="str">
        <f>"02/08/2021 20:36:18.151"</f>
        <v>02/08/2021 20:36:18.151</v>
      </c>
      <c r="C3945" t="str">
        <f t="shared" si="197"/>
        <v>FFDFD7C0</v>
      </c>
      <c r="D3945" t="s">
        <v>124</v>
      </c>
      <c r="E3945">
        <v>11</v>
      </c>
      <c r="F3945">
        <v>1011</v>
      </c>
      <c r="G3945" t="s">
        <v>590</v>
      </c>
      <c r="J3945" t="s">
        <v>125</v>
      </c>
      <c r="K3945">
        <v>0</v>
      </c>
      <c r="L3945">
        <v>3</v>
      </c>
      <c r="M3945">
        <v>0</v>
      </c>
      <c r="N3945">
        <v>2</v>
      </c>
      <c r="O3945">
        <v>1</v>
      </c>
      <c r="P3945">
        <v>0</v>
      </c>
      <c r="Q3945">
        <v>0</v>
      </c>
      <c r="S3945" t="str">
        <f>"20:36:20.445"</f>
        <v>20:36:20.445</v>
      </c>
      <c r="T3945" t="str">
        <f>"20:36:20.045"</f>
        <v>20:36:20.045</v>
      </c>
      <c r="U3945" t="str">
        <f t="shared" si="196"/>
        <v>AB01F4</v>
      </c>
      <c r="V3945">
        <v>0</v>
      </c>
      <c r="W3945">
        <v>0</v>
      </c>
      <c r="X3945">
        <v>2</v>
      </c>
      <c r="Z3945">
        <v>0</v>
      </c>
      <c r="AA3945">
        <v>9</v>
      </c>
      <c r="AB3945">
        <v>3</v>
      </c>
      <c r="AC3945">
        <v>0</v>
      </c>
      <c r="AD3945">
        <v>10</v>
      </c>
      <c r="AE3945">
        <v>0</v>
      </c>
      <c r="AF3945">
        <v>3</v>
      </c>
      <c r="AG3945">
        <v>2</v>
      </c>
      <c r="AH3945">
        <v>0</v>
      </c>
      <c r="AI3945" t="s">
        <v>2221</v>
      </c>
      <c r="AJ3945">
        <v>40.137391000000001</v>
      </c>
      <c r="AK3945" t="s">
        <v>2222</v>
      </c>
      <c r="AL3945">
        <v>-93.091020999999998</v>
      </c>
      <c r="AM3945">
        <v>100</v>
      </c>
      <c r="AN3945">
        <v>1300</v>
      </c>
      <c r="AO3945" t="s">
        <v>118</v>
      </c>
      <c r="AP3945">
        <v>-114</v>
      </c>
      <c r="AQ3945">
        <v>60</v>
      </c>
      <c r="AR3945">
        <v>64</v>
      </c>
      <c r="AZ3945">
        <v>1200</v>
      </c>
      <c r="BA3945">
        <v>1</v>
      </c>
      <c r="BB3945" t="str">
        <f t="shared" si="195"/>
        <v xml:space="preserve">N8080G  </v>
      </c>
      <c r="BC3945">
        <v>1</v>
      </c>
      <c r="BE3945">
        <v>0</v>
      </c>
      <c r="BF3945">
        <v>0</v>
      </c>
      <c r="BG3945">
        <v>0</v>
      </c>
      <c r="BH3945">
        <v>1350</v>
      </c>
      <c r="BI3945">
        <v>1</v>
      </c>
      <c r="BJ3945">
        <v>1</v>
      </c>
      <c r="BK3945">
        <v>1</v>
      </c>
      <c r="BL3945">
        <v>0</v>
      </c>
      <c r="BO3945">
        <v>0</v>
      </c>
      <c r="BP3945">
        <v>0</v>
      </c>
      <c r="BW3945" t="str">
        <f>"20:36:20.453"</f>
        <v>20:36:20.453</v>
      </c>
      <c r="BZ3945">
        <v>0</v>
      </c>
      <c r="CA3945">
        <v>1600</v>
      </c>
      <c r="CB3945">
        <v>224</v>
      </c>
      <c r="CD3945">
        <v>1</v>
      </c>
      <c r="CE3945">
        <v>0</v>
      </c>
      <c r="CF3945">
        <v>0</v>
      </c>
      <c r="CG3945">
        <v>1</v>
      </c>
      <c r="CH3945">
        <v>0</v>
      </c>
      <c r="CI3945">
        <v>0</v>
      </c>
      <c r="CJ3945">
        <v>0</v>
      </c>
      <c r="CK3945">
        <v>2</v>
      </c>
      <c r="CL3945">
        <v>0</v>
      </c>
      <c r="CM3945">
        <v>2</v>
      </c>
      <c r="CN3945">
        <v>0</v>
      </c>
      <c r="CO3945">
        <v>6</v>
      </c>
      <c r="CP3945" t="s">
        <v>119</v>
      </c>
      <c r="CQ3945">
        <v>180</v>
      </c>
      <c r="CR3945">
        <v>3</v>
      </c>
      <c r="CW3945">
        <v>1304063</v>
      </c>
      <c r="CY3945">
        <v>0</v>
      </c>
      <c r="CZ3945">
        <v>0</v>
      </c>
      <c r="DA3945">
        <v>1</v>
      </c>
      <c r="DB3945">
        <v>0</v>
      </c>
      <c r="DC3945">
        <v>0</v>
      </c>
      <c r="DD3945">
        <v>0</v>
      </c>
      <c r="DE3945">
        <v>0</v>
      </c>
      <c r="DF3945">
        <v>0</v>
      </c>
      <c r="DG3945">
        <v>0</v>
      </c>
      <c r="DH3945">
        <v>0</v>
      </c>
      <c r="DI3945">
        <v>0</v>
      </c>
    </row>
    <row r="3946" spans="1:113" x14ac:dyDescent="0.3">
      <c r="A3946" t="str">
        <f>"02/08/2021 20:36:18.151"</f>
        <v>02/08/2021 20:36:18.151</v>
      </c>
      <c r="C3946" t="str">
        <f t="shared" si="197"/>
        <v>FFDFD7C0</v>
      </c>
      <c r="D3946" t="s">
        <v>124</v>
      </c>
      <c r="E3946">
        <v>13</v>
      </c>
      <c r="F3946">
        <v>1013</v>
      </c>
      <c r="G3946" t="s">
        <v>114</v>
      </c>
      <c r="J3946" t="s">
        <v>125</v>
      </c>
      <c r="K3946">
        <v>0</v>
      </c>
      <c r="L3946">
        <v>3</v>
      </c>
      <c r="M3946">
        <v>0</v>
      </c>
      <c r="N3946">
        <v>2</v>
      </c>
      <c r="O3946">
        <v>1</v>
      </c>
      <c r="P3946">
        <v>0</v>
      </c>
      <c r="Q3946">
        <v>0</v>
      </c>
      <c r="S3946" t="str">
        <f>"20:36:20.445"</f>
        <v>20:36:20.445</v>
      </c>
      <c r="T3946" t="str">
        <f>"20:36:20.045"</f>
        <v>20:36:20.045</v>
      </c>
      <c r="U3946" t="str">
        <f t="shared" si="196"/>
        <v>AB01F4</v>
      </c>
      <c r="V3946">
        <v>0</v>
      </c>
      <c r="W3946">
        <v>0</v>
      </c>
      <c r="X3946">
        <v>2</v>
      </c>
      <c r="Z3946">
        <v>0</v>
      </c>
      <c r="AA3946">
        <v>9</v>
      </c>
      <c r="AB3946">
        <v>3</v>
      </c>
      <c r="AC3946">
        <v>0</v>
      </c>
      <c r="AD3946">
        <v>10</v>
      </c>
      <c r="AE3946">
        <v>0</v>
      </c>
      <c r="AF3946">
        <v>3</v>
      </c>
      <c r="AG3946">
        <v>2</v>
      </c>
      <c r="AH3946">
        <v>0</v>
      </c>
      <c r="AI3946" t="s">
        <v>2221</v>
      </c>
      <c r="AJ3946">
        <v>40.137391000000001</v>
      </c>
      <c r="AK3946" t="s">
        <v>2222</v>
      </c>
      <c r="AL3946">
        <v>-93.091020999999998</v>
      </c>
      <c r="AM3946">
        <v>100</v>
      </c>
      <c r="AN3946">
        <v>1300</v>
      </c>
      <c r="AO3946" t="s">
        <v>118</v>
      </c>
      <c r="AP3946">
        <v>-114</v>
      </c>
      <c r="AQ3946">
        <v>60</v>
      </c>
      <c r="AR3946">
        <v>64</v>
      </c>
      <c r="AZ3946">
        <v>1200</v>
      </c>
      <c r="BA3946">
        <v>1</v>
      </c>
      <c r="BB3946" t="str">
        <f t="shared" si="195"/>
        <v xml:space="preserve">N8080G  </v>
      </c>
      <c r="BC3946">
        <v>1</v>
      </c>
      <c r="BE3946">
        <v>0</v>
      </c>
      <c r="BF3946">
        <v>0</v>
      </c>
      <c r="BG3946">
        <v>0</v>
      </c>
      <c r="BH3946">
        <v>1350</v>
      </c>
      <c r="BI3946">
        <v>1</v>
      </c>
      <c r="BJ3946">
        <v>1</v>
      </c>
      <c r="BK3946">
        <v>1</v>
      </c>
      <c r="BL3946">
        <v>0</v>
      </c>
      <c r="BO3946">
        <v>0</v>
      </c>
      <c r="BP3946">
        <v>0</v>
      </c>
      <c r="BW3946" t="str">
        <f>"20:36:20.453"</f>
        <v>20:36:20.453</v>
      </c>
      <c r="BZ3946">
        <v>0</v>
      </c>
      <c r="CA3946">
        <v>1600</v>
      </c>
      <c r="CB3946">
        <v>224</v>
      </c>
      <c r="CD3946">
        <v>1</v>
      </c>
      <c r="CE3946">
        <v>0</v>
      </c>
      <c r="CF3946">
        <v>0</v>
      </c>
      <c r="CG3946">
        <v>1</v>
      </c>
      <c r="CH3946">
        <v>0</v>
      </c>
      <c r="CI3946">
        <v>0</v>
      </c>
      <c r="CJ3946">
        <v>0</v>
      </c>
      <c r="CK3946">
        <v>2</v>
      </c>
      <c r="CL3946">
        <v>0</v>
      </c>
      <c r="CM3946">
        <v>2</v>
      </c>
      <c r="CN3946">
        <v>0</v>
      </c>
      <c r="CO3946">
        <v>6</v>
      </c>
      <c r="CP3946" t="s">
        <v>119</v>
      </c>
      <c r="CQ3946">
        <v>180</v>
      </c>
      <c r="CR3946">
        <v>3</v>
      </c>
      <c r="CW3946">
        <v>1304063</v>
      </c>
      <c r="CY3946">
        <v>0</v>
      </c>
      <c r="CZ3946">
        <v>0</v>
      </c>
      <c r="DA3946">
        <v>1</v>
      </c>
      <c r="DB3946">
        <v>0</v>
      </c>
      <c r="DC3946">
        <v>0</v>
      </c>
      <c r="DD3946">
        <v>0</v>
      </c>
      <c r="DE3946">
        <v>0</v>
      </c>
      <c r="DF3946">
        <v>0</v>
      </c>
      <c r="DG3946">
        <v>0</v>
      </c>
      <c r="DH3946">
        <v>0</v>
      </c>
      <c r="DI3946">
        <v>0</v>
      </c>
    </row>
    <row r="3947" spans="1:113" x14ac:dyDescent="0.3">
      <c r="A3947" t="str">
        <f>"02/08/2021 20:36:19.055"</f>
        <v>02/08/2021 20:36:19.055</v>
      </c>
      <c r="C3947" t="str">
        <f t="shared" si="197"/>
        <v>FFDFD7C0</v>
      </c>
      <c r="D3947" t="s">
        <v>124</v>
      </c>
      <c r="E3947">
        <v>12</v>
      </c>
      <c r="F3947">
        <v>1012</v>
      </c>
      <c r="G3947" t="s">
        <v>675</v>
      </c>
      <c r="J3947" t="s">
        <v>125</v>
      </c>
      <c r="K3947">
        <v>0</v>
      </c>
      <c r="L3947">
        <v>3</v>
      </c>
      <c r="M3947">
        <v>0</v>
      </c>
      <c r="N3947">
        <v>2</v>
      </c>
      <c r="O3947">
        <v>1</v>
      </c>
      <c r="P3947">
        <v>0</v>
      </c>
      <c r="Q3947">
        <v>0</v>
      </c>
      <c r="S3947" t="str">
        <f>"20:36:21.391"</f>
        <v>20:36:21.391</v>
      </c>
      <c r="T3947" t="str">
        <f>"20:36:20.891"</f>
        <v>20:36:20.891</v>
      </c>
      <c r="U3947" t="str">
        <f t="shared" si="196"/>
        <v>AB01F4</v>
      </c>
      <c r="V3947">
        <v>0</v>
      </c>
      <c r="W3947">
        <v>0</v>
      </c>
      <c r="X3947">
        <v>2</v>
      </c>
      <c r="Z3947">
        <v>0</v>
      </c>
      <c r="AA3947">
        <v>9</v>
      </c>
      <c r="AB3947">
        <v>3</v>
      </c>
      <c r="AC3947">
        <v>0</v>
      </c>
      <c r="AD3947">
        <v>10</v>
      </c>
      <c r="AE3947">
        <v>0</v>
      </c>
      <c r="AF3947">
        <v>3</v>
      </c>
      <c r="AG3947">
        <v>2</v>
      </c>
      <c r="AH3947">
        <v>0</v>
      </c>
      <c r="AI3947" t="s">
        <v>2223</v>
      </c>
      <c r="AJ3947">
        <v>40.137627000000002</v>
      </c>
      <c r="AK3947" t="s">
        <v>2224</v>
      </c>
      <c r="AL3947">
        <v>-93.091663999999994</v>
      </c>
      <c r="AM3947">
        <v>100</v>
      </c>
      <c r="AN3947">
        <v>1300</v>
      </c>
      <c r="AO3947" t="s">
        <v>118</v>
      </c>
      <c r="AP3947">
        <v>-114</v>
      </c>
      <c r="AQ3947">
        <v>60</v>
      </c>
      <c r="AR3947">
        <v>64</v>
      </c>
      <c r="AZ3947">
        <v>1200</v>
      </c>
      <c r="BA3947">
        <v>1</v>
      </c>
      <c r="BB3947" t="str">
        <f t="shared" si="195"/>
        <v xml:space="preserve">N8080G  </v>
      </c>
      <c r="BC3947">
        <v>1</v>
      </c>
      <c r="BE3947">
        <v>0</v>
      </c>
      <c r="BF3947">
        <v>0</v>
      </c>
      <c r="BG3947">
        <v>0</v>
      </c>
      <c r="BH3947">
        <v>1350</v>
      </c>
      <c r="BI3947">
        <v>1</v>
      </c>
      <c r="BJ3947">
        <v>1</v>
      </c>
      <c r="BK3947">
        <v>1</v>
      </c>
      <c r="BL3947">
        <v>0</v>
      </c>
      <c r="BO3947">
        <v>0</v>
      </c>
      <c r="BP3947">
        <v>0</v>
      </c>
      <c r="BW3947" t="str">
        <f>"20:36:21.392"</f>
        <v>20:36:21.392</v>
      </c>
      <c r="BZ3947">
        <v>0</v>
      </c>
      <c r="CA3947">
        <v>1600</v>
      </c>
      <c r="CB3947">
        <v>224</v>
      </c>
      <c r="CD3947">
        <v>1</v>
      </c>
      <c r="CE3947">
        <v>0</v>
      </c>
      <c r="CF3947">
        <v>0</v>
      </c>
      <c r="CG3947">
        <v>1</v>
      </c>
      <c r="CH3947">
        <v>0</v>
      </c>
      <c r="CI3947">
        <v>0</v>
      </c>
      <c r="CJ3947">
        <v>0</v>
      </c>
      <c r="CK3947">
        <v>2</v>
      </c>
      <c r="CL3947">
        <v>0</v>
      </c>
      <c r="CM3947">
        <v>2</v>
      </c>
      <c r="CN3947">
        <v>0</v>
      </c>
      <c r="CO3947">
        <v>6</v>
      </c>
      <c r="CP3947" t="s">
        <v>119</v>
      </c>
      <c r="CQ3947">
        <v>180</v>
      </c>
      <c r="CR3947">
        <v>3</v>
      </c>
      <c r="CW3947">
        <v>1304719</v>
      </c>
      <c r="CY3947">
        <v>0</v>
      </c>
      <c r="CZ3947">
        <v>0</v>
      </c>
      <c r="DA3947">
        <v>0</v>
      </c>
      <c r="DB3947">
        <v>0</v>
      </c>
      <c r="DC3947">
        <v>0</v>
      </c>
      <c r="DD3947">
        <v>0</v>
      </c>
      <c r="DE3947">
        <v>0</v>
      </c>
      <c r="DF3947">
        <v>0</v>
      </c>
      <c r="DG3947">
        <v>0</v>
      </c>
      <c r="DH3947">
        <v>0</v>
      </c>
      <c r="DI3947">
        <v>0</v>
      </c>
    </row>
    <row r="3948" spans="1:113" x14ac:dyDescent="0.3">
      <c r="A3948" t="str">
        <f>"02/08/2021 20:36:19.055"</f>
        <v>02/08/2021 20:36:19.055</v>
      </c>
      <c r="C3948" t="str">
        <f t="shared" si="197"/>
        <v>FFDFD7C0</v>
      </c>
      <c r="D3948" t="s">
        <v>124</v>
      </c>
      <c r="E3948">
        <v>11</v>
      </c>
      <c r="F3948">
        <v>1011</v>
      </c>
      <c r="G3948" t="s">
        <v>590</v>
      </c>
      <c r="J3948" t="s">
        <v>125</v>
      </c>
      <c r="K3948">
        <v>0</v>
      </c>
      <c r="L3948">
        <v>3</v>
      </c>
      <c r="M3948">
        <v>0</v>
      </c>
      <c r="N3948">
        <v>2</v>
      </c>
      <c r="O3948">
        <v>1</v>
      </c>
      <c r="P3948">
        <v>0</v>
      </c>
      <c r="Q3948">
        <v>0</v>
      </c>
      <c r="S3948" t="str">
        <f>"20:36:21.391"</f>
        <v>20:36:21.391</v>
      </c>
      <c r="T3948" t="str">
        <f>"20:36:20.891"</f>
        <v>20:36:20.891</v>
      </c>
      <c r="U3948" t="str">
        <f t="shared" si="196"/>
        <v>AB01F4</v>
      </c>
      <c r="V3948">
        <v>0</v>
      </c>
      <c r="W3948">
        <v>0</v>
      </c>
      <c r="X3948">
        <v>2</v>
      </c>
      <c r="Z3948">
        <v>0</v>
      </c>
      <c r="AA3948">
        <v>9</v>
      </c>
      <c r="AB3948">
        <v>3</v>
      </c>
      <c r="AC3948">
        <v>0</v>
      </c>
      <c r="AD3948">
        <v>10</v>
      </c>
      <c r="AE3948">
        <v>0</v>
      </c>
      <c r="AF3948">
        <v>3</v>
      </c>
      <c r="AG3948">
        <v>2</v>
      </c>
      <c r="AH3948">
        <v>0</v>
      </c>
      <c r="AI3948" t="s">
        <v>2223</v>
      </c>
      <c r="AJ3948">
        <v>40.137627000000002</v>
      </c>
      <c r="AK3948" t="s">
        <v>2224</v>
      </c>
      <c r="AL3948">
        <v>-93.091663999999994</v>
      </c>
      <c r="AM3948">
        <v>100</v>
      </c>
      <c r="AN3948">
        <v>1300</v>
      </c>
      <c r="AO3948" t="s">
        <v>118</v>
      </c>
      <c r="AP3948">
        <v>-114</v>
      </c>
      <c r="AQ3948">
        <v>60</v>
      </c>
      <c r="AR3948">
        <v>64</v>
      </c>
      <c r="AZ3948">
        <v>1200</v>
      </c>
      <c r="BA3948">
        <v>1</v>
      </c>
      <c r="BB3948" t="str">
        <f t="shared" si="195"/>
        <v xml:space="preserve">N8080G  </v>
      </c>
      <c r="BC3948">
        <v>1</v>
      </c>
      <c r="BE3948">
        <v>0</v>
      </c>
      <c r="BF3948">
        <v>0</v>
      </c>
      <c r="BG3948">
        <v>0</v>
      </c>
      <c r="BH3948">
        <v>1350</v>
      </c>
      <c r="BI3948">
        <v>1</v>
      </c>
      <c r="BJ3948">
        <v>1</v>
      </c>
      <c r="BK3948">
        <v>1</v>
      </c>
      <c r="BL3948">
        <v>0</v>
      </c>
      <c r="BO3948">
        <v>0</v>
      </c>
      <c r="BP3948">
        <v>0</v>
      </c>
      <c r="BW3948" t="str">
        <f>"20:36:21.392"</f>
        <v>20:36:21.392</v>
      </c>
      <c r="BZ3948">
        <v>0</v>
      </c>
      <c r="CA3948">
        <v>1600</v>
      </c>
      <c r="CB3948">
        <v>224</v>
      </c>
      <c r="CD3948">
        <v>1</v>
      </c>
      <c r="CE3948">
        <v>0</v>
      </c>
      <c r="CF3948">
        <v>0</v>
      </c>
      <c r="CG3948">
        <v>1</v>
      </c>
      <c r="CH3948">
        <v>0</v>
      </c>
      <c r="CI3948">
        <v>0</v>
      </c>
      <c r="CJ3948">
        <v>0</v>
      </c>
      <c r="CK3948">
        <v>2</v>
      </c>
      <c r="CL3948">
        <v>0</v>
      </c>
      <c r="CM3948">
        <v>2</v>
      </c>
      <c r="CN3948">
        <v>0</v>
      </c>
      <c r="CO3948">
        <v>6</v>
      </c>
      <c r="CP3948" t="s">
        <v>119</v>
      </c>
      <c r="CQ3948">
        <v>180</v>
      </c>
      <c r="CR3948">
        <v>3</v>
      </c>
      <c r="CW3948">
        <v>1304719</v>
      </c>
      <c r="CY3948">
        <v>0</v>
      </c>
      <c r="CZ3948">
        <v>0</v>
      </c>
      <c r="DA3948">
        <v>1</v>
      </c>
      <c r="DB3948">
        <v>0</v>
      </c>
      <c r="DC3948">
        <v>0</v>
      </c>
      <c r="DD3948">
        <v>0</v>
      </c>
      <c r="DE3948">
        <v>0</v>
      </c>
      <c r="DF3948">
        <v>0</v>
      </c>
      <c r="DG3948">
        <v>0</v>
      </c>
      <c r="DH3948">
        <v>0</v>
      </c>
      <c r="DI3948">
        <v>0</v>
      </c>
    </row>
    <row r="3949" spans="1:113" x14ac:dyDescent="0.3">
      <c r="A3949" t="str">
        <f>"02/08/2021 20:36:19.055"</f>
        <v>02/08/2021 20:36:19.055</v>
      </c>
      <c r="C3949" t="str">
        <f t="shared" si="197"/>
        <v>FFDFD7C0</v>
      </c>
      <c r="D3949" t="s">
        <v>113</v>
      </c>
      <c r="E3949">
        <v>6</v>
      </c>
      <c r="H3949">
        <v>165</v>
      </c>
      <c r="I3949" t="s">
        <v>114</v>
      </c>
      <c r="J3949" t="s">
        <v>115</v>
      </c>
      <c r="K3949">
        <v>0</v>
      </c>
      <c r="L3949">
        <v>3</v>
      </c>
      <c r="M3949">
        <v>0</v>
      </c>
      <c r="N3949">
        <v>2</v>
      </c>
      <c r="O3949">
        <v>1</v>
      </c>
      <c r="P3949">
        <v>0</v>
      </c>
      <c r="Q3949">
        <v>0</v>
      </c>
      <c r="S3949" t="str">
        <f>"20:36:21.391"</f>
        <v>20:36:21.391</v>
      </c>
      <c r="T3949" t="str">
        <f>"20:36:20.891"</f>
        <v>20:36:20.891</v>
      </c>
      <c r="U3949" t="str">
        <f t="shared" si="196"/>
        <v>AB01F4</v>
      </c>
      <c r="V3949">
        <v>0</v>
      </c>
      <c r="W3949">
        <v>0</v>
      </c>
      <c r="X3949">
        <v>2</v>
      </c>
      <c r="Z3949">
        <v>0</v>
      </c>
      <c r="AA3949">
        <v>9</v>
      </c>
      <c r="AB3949">
        <v>3</v>
      </c>
      <c r="AC3949">
        <v>0</v>
      </c>
      <c r="AD3949">
        <v>10</v>
      </c>
      <c r="AE3949">
        <v>0</v>
      </c>
      <c r="AF3949">
        <v>3</v>
      </c>
      <c r="AG3949">
        <v>2</v>
      </c>
      <c r="AH3949">
        <v>0</v>
      </c>
      <c r="AI3949" t="s">
        <v>2223</v>
      </c>
      <c r="AJ3949">
        <v>40.137627000000002</v>
      </c>
      <c r="AK3949" t="s">
        <v>2224</v>
      </c>
      <c r="AL3949">
        <v>-93.091663999999994</v>
      </c>
      <c r="AM3949">
        <v>100</v>
      </c>
      <c r="AN3949">
        <v>1300</v>
      </c>
      <c r="AO3949" t="s">
        <v>118</v>
      </c>
      <c r="AP3949">
        <v>-114</v>
      </c>
      <c r="AQ3949">
        <v>60</v>
      </c>
      <c r="AR3949">
        <v>64</v>
      </c>
      <c r="AZ3949">
        <v>1200</v>
      </c>
      <c r="BA3949">
        <v>1</v>
      </c>
      <c r="BB3949" t="str">
        <f t="shared" si="195"/>
        <v xml:space="preserve">N8080G  </v>
      </c>
      <c r="BC3949">
        <v>1</v>
      </c>
      <c r="BE3949">
        <v>0</v>
      </c>
      <c r="BF3949">
        <v>0</v>
      </c>
      <c r="BG3949">
        <v>0</v>
      </c>
      <c r="BH3949">
        <v>1350</v>
      </c>
      <c r="BI3949">
        <v>1</v>
      </c>
      <c r="BJ3949">
        <v>1</v>
      </c>
      <c r="BK3949">
        <v>1</v>
      </c>
      <c r="BL3949">
        <v>0</v>
      </c>
      <c r="BO3949">
        <v>0</v>
      </c>
      <c r="BP3949">
        <v>0</v>
      </c>
      <c r="BW3949" t="str">
        <f>"20:36:21.392"</f>
        <v>20:36:21.392</v>
      </c>
      <c r="BZ3949">
        <v>0</v>
      </c>
      <c r="CA3949">
        <v>1600</v>
      </c>
      <c r="CB3949">
        <v>224</v>
      </c>
      <c r="CD3949">
        <v>1</v>
      </c>
      <c r="CE3949">
        <v>0</v>
      </c>
      <c r="CF3949">
        <v>0</v>
      </c>
      <c r="CG3949">
        <v>1</v>
      </c>
      <c r="CH3949">
        <v>0</v>
      </c>
      <c r="CI3949">
        <v>0</v>
      </c>
      <c r="CJ3949">
        <v>0</v>
      </c>
      <c r="CK3949">
        <v>2</v>
      </c>
      <c r="CL3949">
        <v>0</v>
      </c>
      <c r="CM3949">
        <v>2</v>
      </c>
      <c r="CN3949">
        <v>0</v>
      </c>
      <c r="CO3949">
        <v>6</v>
      </c>
      <c r="CP3949" t="s">
        <v>119</v>
      </c>
      <c r="CQ3949">
        <v>180</v>
      </c>
      <c r="CR3949">
        <v>3</v>
      </c>
      <c r="CW3949">
        <v>1304719</v>
      </c>
      <c r="CY3949">
        <v>0</v>
      </c>
      <c r="CZ3949">
        <v>0</v>
      </c>
      <c r="DA3949">
        <v>1</v>
      </c>
      <c r="DB3949">
        <v>0</v>
      </c>
      <c r="DC3949">
        <v>0</v>
      </c>
      <c r="DD3949">
        <v>0</v>
      </c>
      <c r="DE3949">
        <v>0</v>
      </c>
      <c r="DF3949">
        <v>0</v>
      </c>
      <c r="DG3949">
        <v>0</v>
      </c>
      <c r="DH3949">
        <v>0</v>
      </c>
      <c r="DI3949">
        <v>0</v>
      </c>
    </row>
    <row r="3950" spans="1:113" x14ac:dyDescent="0.3">
      <c r="A3950" t="str">
        <f>"02/08/2021 20:36:19.055"</f>
        <v>02/08/2021 20:36:19.055</v>
      </c>
      <c r="C3950" t="str">
        <f t="shared" si="197"/>
        <v>FFDFD7C0</v>
      </c>
      <c r="D3950" t="s">
        <v>124</v>
      </c>
      <c r="E3950">
        <v>13</v>
      </c>
      <c r="F3950">
        <v>1013</v>
      </c>
      <c r="G3950" t="s">
        <v>114</v>
      </c>
      <c r="J3950" t="s">
        <v>125</v>
      </c>
      <c r="K3950">
        <v>0</v>
      </c>
      <c r="L3950">
        <v>3</v>
      </c>
      <c r="M3950">
        <v>0</v>
      </c>
      <c r="N3950">
        <v>2</v>
      </c>
      <c r="O3950">
        <v>1</v>
      </c>
      <c r="P3950">
        <v>0</v>
      </c>
      <c r="Q3950">
        <v>0</v>
      </c>
      <c r="S3950" t="str">
        <f>"20:36:21.391"</f>
        <v>20:36:21.391</v>
      </c>
      <c r="T3950" t="str">
        <f>"20:36:20.891"</f>
        <v>20:36:20.891</v>
      </c>
      <c r="U3950" t="str">
        <f t="shared" si="196"/>
        <v>AB01F4</v>
      </c>
      <c r="V3950">
        <v>0</v>
      </c>
      <c r="W3950">
        <v>0</v>
      </c>
      <c r="X3950">
        <v>2</v>
      </c>
      <c r="Z3950">
        <v>0</v>
      </c>
      <c r="AA3950">
        <v>9</v>
      </c>
      <c r="AB3950">
        <v>3</v>
      </c>
      <c r="AC3950">
        <v>0</v>
      </c>
      <c r="AD3950">
        <v>10</v>
      </c>
      <c r="AE3950">
        <v>0</v>
      </c>
      <c r="AF3950">
        <v>3</v>
      </c>
      <c r="AG3950">
        <v>2</v>
      </c>
      <c r="AH3950">
        <v>0</v>
      </c>
      <c r="AI3950" t="s">
        <v>2223</v>
      </c>
      <c r="AJ3950">
        <v>40.137627000000002</v>
      </c>
      <c r="AK3950" t="s">
        <v>2224</v>
      </c>
      <c r="AL3950">
        <v>-93.091663999999994</v>
      </c>
      <c r="AM3950">
        <v>100</v>
      </c>
      <c r="AN3950">
        <v>1300</v>
      </c>
      <c r="AO3950" t="s">
        <v>118</v>
      </c>
      <c r="AP3950">
        <v>-114</v>
      </c>
      <c r="AQ3950">
        <v>60</v>
      </c>
      <c r="AR3950">
        <v>64</v>
      </c>
      <c r="AZ3950">
        <v>1200</v>
      </c>
      <c r="BA3950">
        <v>1</v>
      </c>
      <c r="BB3950" t="str">
        <f t="shared" si="195"/>
        <v xml:space="preserve">N8080G  </v>
      </c>
      <c r="BC3950">
        <v>1</v>
      </c>
      <c r="BE3950">
        <v>0</v>
      </c>
      <c r="BF3950">
        <v>0</v>
      </c>
      <c r="BG3950">
        <v>0</v>
      </c>
      <c r="BH3950">
        <v>1350</v>
      </c>
      <c r="BI3950">
        <v>1</v>
      </c>
      <c r="BJ3950">
        <v>1</v>
      </c>
      <c r="BK3950">
        <v>1</v>
      </c>
      <c r="BL3950">
        <v>0</v>
      </c>
      <c r="BO3950">
        <v>0</v>
      </c>
      <c r="BP3950">
        <v>0</v>
      </c>
      <c r="BW3950" t="str">
        <f>"20:36:21.392"</f>
        <v>20:36:21.392</v>
      </c>
      <c r="BZ3950">
        <v>0</v>
      </c>
      <c r="CA3950">
        <v>1600</v>
      </c>
      <c r="CB3950">
        <v>224</v>
      </c>
      <c r="CD3950">
        <v>1</v>
      </c>
      <c r="CE3950">
        <v>0</v>
      </c>
      <c r="CF3950">
        <v>0</v>
      </c>
      <c r="CG3950">
        <v>1</v>
      </c>
      <c r="CH3950">
        <v>0</v>
      </c>
      <c r="CI3950">
        <v>0</v>
      </c>
      <c r="CJ3950">
        <v>0</v>
      </c>
      <c r="CK3950">
        <v>2</v>
      </c>
      <c r="CL3950">
        <v>0</v>
      </c>
      <c r="CM3950">
        <v>2</v>
      </c>
      <c r="CN3950">
        <v>0</v>
      </c>
      <c r="CO3950">
        <v>6</v>
      </c>
      <c r="CP3950" t="s">
        <v>119</v>
      </c>
      <c r="CQ3950">
        <v>180</v>
      </c>
      <c r="CR3950">
        <v>3</v>
      </c>
      <c r="CW3950">
        <v>1304719</v>
      </c>
      <c r="CY3950">
        <v>0</v>
      </c>
      <c r="CZ3950">
        <v>0</v>
      </c>
      <c r="DA3950">
        <v>1</v>
      </c>
      <c r="DB3950">
        <v>0</v>
      </c>
      <c r="DC3950">
        <v>0</v>
      </c>
      <c r="DD3950">
        <v>0</v>
      </c>
      <c r="DE3950">
        <v>0</v>
      </c>
      <c r="DF3950">
        <v>0</v>
      </c>
      <c r="DG3950">
        <v>0</v>
      </c>
      <c r="DH3950">
        <v>0</v>
      </c>
      <c r="DI3950">
        <v>0</v>
      </c>
    </row>
    <row r="3951" spans="1:113" x14ac:dyDescent="0.3">
      <c r="A3951" t="str">
        <f>"02/08/2021 20:36:20.109"</f>
        <v>02/08/2021 20:36:20.109</v>
      </c>
      <c r="C3951" t="str">
        <f t="shared" si="197"/>
        <v>FFDFD7C0</v>
      </c>
      <c r="D3951" t="s">
        <v>124</v>
      </c>
      <c r="E3951">
        <v>12</v>
      </c>
      <c r="F3951">
        <v>1012</v>
      </c>
      <c r="G3951" t="s">
        <v>675</v>
      </c>
      <c r="J3951" t="s">
        <v>125</v>
      </c>
      <c r="K3951">
        <v>0</v>
      </c>
      <c r="L3951">
        <v>3</v>
      </c>
      <c r="M3951">
        <v>0</v>
      </c>
      <c r="N3951">
        <v>2</v>
      </c>
      <c r="O3951">
        <v>1</v>
      </c>
      <c r="P3951">
        <v>0</v>
      </c>
      <c r="Q3951">
        <v>0</v>
      </c>
      <c r="S3951" t="str">
        <f>"20:36:22.438"</f>
        <v>20:36:22.438</v>
      </c>
      <c r="T3951" t="str">
        <f>"20:36:21.938"</f>
        <v>20:36:21.938</v>
      </c>
      <c r="U3951" t="str">
        <f t="shared" si="196"/>
        <v>AB01F4</v>
      </c>
      <c r="V3951">
        <v>0</v>
      </c>
      <c r="W3951">
        <v>0</v>
      </c>
      <c r="X3951">
        <v>2</v>
      </c>
      <c r="Z3951">
        <v>0</v>
      </c>
      <c r="AA3951">
        <v>9</v>
      </c>
      <c r="AB3951">
        <v>3</v>
      </c>
      <c r="AC3951">
        <v>0</v>
      </c>
      <c r="AD3951">
        <v>10</v>
      </c>
      <c r="AE3951">
        <v>0</v>
      </c>
      <c r="AF3951">
        <v>3</v>
      </c>
      <c r="AG3951">
        <v>2</v>
      </c>
      <c r="AH3951">
        <v>0</v>
      </c>
      <c r="AI3951" t="s">
        <v>2225</v>
      </c>
      <c r="AJ3951">
        <v>40.137948999999999</v>
      </c>
      <c r="AK3951" t="s">
        <v>2226</v>
      </c>
      <c r="AL3951">
        <v>-93.092393999999999</v>
      </c>
      <c r="AM3951">
        <v>100</v>
      </c>
      <c r="AN3951">
        <v>1300</v>
      </c>
      <c r="AO3951" t="s">
        <v>118</v>
      </c>
      <c r="AP3951">
        <v>-114</v>
      </c>
      <c r="AQ3951">
        <v>60</v>
      </c>
      <c r="AR3951">
        <v>0</v>
      </c>
      <c r="AZ3951">
        <v>1200</v>
      </c>
      <c r="BA3951">
        <v>1</v>
      </c>
      <c r="BB3951" t="str">
        <f t="shared" ref="BB3951:BB4014" si="198">"N8080G  "</f>
        <v xml:space="preserve">N8080G  </v>
      </c>
      <c r="BC3951">
        <v>1</v>
      </c>
      <c r="BE3951">
        <v>0</v>
      </c>
      <c r="BF3951">
        <v>0</v>
      </c>
      <c r="BG3951">
        <v>0</v>
      </c>
      <c r="BH3951">
        <v>1350</v>
      </c>
      <c r="BI3951">
        <v>1</v>
      </c>
      <c r="BJ3951">
        <v>1</v>
      </c>
      <c r="BK3951">
        <v>1</v>
      </c>
      <c r="BL3951">
        <v>0</v>
      </c>
      <c r="BO3951">
        <v>0</v>
      </c>
      <c r="BP3951">
        <v>0</v>
      </c>
      <c r="BW3951" t="str">
        <f>"20:36:22.445"</f>
        <v>20:36:22.445</v>
      </c>
      <c r="BZ3951">
        <v>0</v>
      </c>
      <c r="CA3951">
        <v>1600</v>
      </c>
      <c r="CB3951">
        <v>224</v>
      </c>
      <c r="CD3951">
        <v>1</v>
      </c>
      <c r="CE3951">
        <v>0</v>
      </c>
      <c r="CF3951">
        <v>0</v>
      </c>
      <c r="CG3951">
        <v>1</v>
      </c>
      <c r="CH3951">
        <v>0</v>
      </c>
      <c r="CI3951">
        <v>0</v>
      </c>
      <c r="CJ3951">
        <v>0</v>
      </c>
      <c r="CK3951">
        <v>2</v>
      </c>
      <c r="CL3951">
        <v>0</v>
      </c>
      <c r="CM3951">
        <v>2</v>
      </c>
      <c r="CN3951">
        <v>0</v>
      </c>
      <c r="CO3951">
        <v>6</v>
      </c>
      <c r="CP3951" t="s">
        <v>119</v>
      </c>
      <c r="CQ3951">
        <v>180</v>
      </c>
      <c r="CR3951">
        <v>3</v>
      </c>
      <c r="CW3951">
        <v>1305482</v>
      </c>
      <c r="CY3951">
        <v>0</v>
      </c>
      <c r="CZ3951">
        <v>0</v>
      </c>
      <c r="DA3951">
        <v>0</v>
      </c>
      <c r="DB3951">
        <v>0</v>
      </c>
      <c r="DC3951">
        <v>0</v>
      </c>
      <c r="DD3951">
        <v>0</v>
      </c>
      <c r="DE3951">
        <v>0</v>
      </c>
      <c r="DF3951">
        <v>0</v>
      </c>
      <c r="DG3951">
        <v>0</v>
      </c>
      <c r="DH3951">
        <v>0</v>
      </c>
      <c r="DI3951">
        <v>0</v>
      </c>
    </row>
    <row r="3952" spans="1:113" x14ac:dyDescent="0.3">
      <c r="A3952" t="str">
        <f>"02/08/2021 20:36:20.109"</f>
        <v>02/08/2021 20:36:20.109</v>
      </c>
      <c r="C3952" t="str">
        <f t="shared" si="197"/>
        <v>FFDFD7C0</v>
      </c>
      <c r="D3952" t="s">
        <v>124</v>
      </c>
      <c r="E3952">
        <v>11</v>
      </c>
      <c r="F3952">
        <v>1011</v>
      </c>
      <c r="G3952" t="s">
        <v>590</v>
      </c>
      <c r="J3952" t="s">
        <v>125</v>
      </c>
      <c r="K3952">
        <v>0</v>
      </c>
      <c r="L3952">
        <v>3</v>
      </c>
      <c r="M3952">
        <v>0</v>
      </c>
      <c r="N3952">
        <v>2</v>
      </c>
      <c r="O3952">
        <v>1</v>
      </c>
      <c r="P3952">
        <v>0</v>
      </c>
      <c r="Q3952">
        <v>0</v>
      </c>
      <c r="S3952" t="str">
        <f>"20:36:22.438"</f>
        <v>20:36:22.438</v>
      </c>
      <c r="T3952" t="str">
        <f>"20:36:21.938"</f>
        <v>20:36:21.938</v>
      </c>
      <c r="U3952" t="str">
        <f t="shared" si="196"/>
        <v>AB01F4</v>
      </c>
      <c r="V3952">
        <v>0</v>
      </c>
      <c r="W3952">
        <v>0</v>
      </c>
      <c r="X3952">
        <v>2</v>
      </c>
      <c r="Z3952">
        <v>0</v>
      </c>
      <c r="AA3952">
        <v>9</v>
      </c>
      <c r="AB3952">
        <v>3</v>
      </c>
      <c r="AC3952">
        <v>0</v>
      </c>
      <c r="AD3952">
        <v>10</v>
      </c>
      <c r="AE3952">
        <v>0</v>
      </c>
      <c r="AF3952">
        <v>3</v>
      </c>
      <c r="AG3952">
        <v>2</v>
      </c>
      <c r="AH3952">
        <v>0</v>
      </c>
      <c r="AI3952" t="s">
        <v>2225</v>
      </c>
      <c r="AJ3952">
        <v>40.137948999999999</v>
      </c>
      <c r="AK3952" t="s">
        <v>2226</v>
      </c>
      <c r="AL3952">
        <v>-93.092393999999999</v>
      </c>
      <c r="AM3952">
        <v>100</v>
      </c>
      <c r="AN3952">
        <v>1300</v>
      </c>
      <c r="AO3952" t="s">
        <v>118</v>
      </c>
      <c r="AP3952">
        <v>-114</v>
      </c>
      <c r="AQ3952">
        <v>60</v>
      </c>
      <c r="AR3952">
        <v>0</v>
      </c>
      <c r="AZ3952">
        <v>1200</v>
      </c>
      <c r="BA3952">
        <v>1</v>
      </c>
      <c r="BB3952" t="str">
        <f t="shared" si="198"/>
        <v xml:space="preserve">N8080G  </v>
      </c>
      <c r="BC3952">
        <v>1</v>
      </c>
      <c r="BE3952">
        <v>0</v>
      </c>
      <c r="BF3952">
        <v>0</v>
      </c>
      <c r="BG3952">
        <v>0</v>
      </c>
      <c r="BH3952">
        <v>1350</v>
      </c>
      <c r="BI3952">
        <v>1</v>
      </c>
      <c r="BJ3952">
        <v>1</v>
      </c>
      <c r="BK3952">
        <v>1</v>
      </c>
      <c r="BL3952">
        <v>0</v>
      </c>
      <c r="BO3952">
        <v>0</v>
      </c>
      <c r="BP3952">
        <v>0</v>
      </c>
      <c r="BW3952" t="str">
        <f>"20:36:22.445"</f>
        <v>20:36:22.445</v>
      </c>
      <c r="BZ3952">
        <v>0</v>
      </c>
      <c r="CA3952">
        <v>1600</v>
      </c>
      <c r="CB3952">
        <v>224</v>
      </c>
      <c r="CD3952">
        <v>1</v>
      </c>
      <c r="CE3952">
        <v>0</v>
      </c>
      <c r="CF3952">
        <v>0</v>
      </c>
      <c r="CG3952">
        <v>1</v>
      </c>
      <c r="CH3952">
        <v>0</v>
      </c>
      <c r="CI3952">
        <v>0</v>
      </c>
      <c r="CJ3952">
        <v>0</v>
      </c>
      <c r="CK3952">
        <v>2</v>
      </c>
      <c r="CL3952">
        <v>0</v>
      </c>
      <c r="CM3952">
        <v>2</v>
      </c>
      <c r="CN3952">
        <v>0</v>
      </c>
      <c r="CO3952">
        <v>6</v>
      </c>
      <c r="CP3952" t="s">
        <v>119</v>
      </c>
      <c r="CQ3952">
        <v>180</v>
      </c>
      <c r="CR3952">
        <v>3</v>
      </c>
      <c r="CW3952">
        <v>1305482</v>
      </c>
      <c r="CY3952">
        <v>0</v>
      </c>
      <c r="CZ3952">
        <v>0</v>
      </c>
      <c r="DA3952">
        <v>1</v>
      </c>
      <c r="DB3952">
        <v>0</v>
      </c>
      <c r="DC3952">
        <v>0</v>
      </c>
      <c r="DD3952">
        <v>0</v>
      </c>
      <c r="DE3952">
        <v>0</v>
      </c>
      <c r="DF3952">
        <v>0</v>
      </c>
      <c r="DG3952">
        <v>0</v>
      </c>
      <c r="DH3952">
        <v>0</v>
      </c>
      <c r="DI3952">
        <v>0</v>
      </c>
    </row>
    <row r="3953" spans="1:113" x14ac:dyDescent="0.3">
      <c r="A3953" t="str">
        <f>"02/08/2021 20:36:20.109"</f>
        <v>02/08/2021 20:36:20.109</v>
      </c>
      <c r="C3953" t="str">
        <f t="shared" si="197"/>
        <v>FFDFD7C0</v>
      </c>
      <c r="D3953" t="s">
        <v>124</v>
      </c>
      <c r="E3953">
        <v>13</v>
      </c>
      <c r="F3953">
        <v>1013</v>
      </c>
      <c r="G3953" t="s">
        <v>114</v>
      </c>
      <c r="J3953" t="s">
        <v>125</v>
      </c>
      <c r="K3953">
        <v>0</v>
      </c>
      <c r="L3953">
        <v>3</v>
      </c>
      <c r="M3953">
        <v>0</v>
      </c>
      <c r="N3953">
        <v>2</v>
      </c>
      <c r="O3953">
        <v>1</v>
      </c>
      <c r="P3953">
        <v>0</v>
      </c>
      <c r="Q3953">
        <v>0</v>
      </c>
      <c r="S3953" t="str">
        <f>"20:36:22.438"</f>
        <v>20:36:22.438</v>
      </c>
      <c r="T3953" t="str">
        <f>"20:36:21.938"</f>
        <v>20:36:21.938</v>
      </c>
      <c r="U3953" t="str">
        <f t="shared" si="196"/>
        <v>AB01F4</v>
      </c>
      <c r="V3953">
        <v>0</v>
      </c>
      <c r="W3953">
        <v>0</v>
      </c>
      <c r="X3953">
        <v>2</v>
      </c>
      <c r="Z3953">
        <v>0</v>
      </c>
      <c r="AA3953">
        <v>9</v>
      </c>
      <c r="AB3953">
        <v>3</v>
      </c>
      <c r="AC3953">
        <v>0</v>
      </c>
      <c r="AD3953">
        <v>10</v>
      </c>
      <c r="AE3953">
        <v>0</v>
      </c>
      <c r="AF3953">
        <v>3</v>
      </c>
      <c r="AG3953">
        <v>2</v>
      </c>
      <c r="AH3953">
        <v>0</v>
      </c>
      <c r="AI3953" t="s">
        <v>2225</v>
      </c>
      <c r="AJ3953">
        <v>40.137948999999999</v>
      </c>
      <c r="AK3953" t="s">
        <v>2226</v>
      </c>
      <c r="AL3953">
        <v>-93.092393999999999</v>
      </c>
      <c r="AM3953">
        <v>100</v>
      </c>
      <c r="AN3953">
        <v>1300</v>
      </c>
      <c r="AO3953" t="s">
        <v>118</v>
      </c>
      <c r="AP3953">
        <v>-114</v>
      </c>
      <c r="AQ3953">
        <v>60</v>
      </c>
      <c r="AR3953">
        <v>0</v>
      </c>
      <c r="AZ3953">
        <v>1200</v>
      </c>
      <c r="BA3953">
        <v>1</v>
      </c>
      <c r="BB3953" t="str">
        <f t="shared" si="198"/>
        <v xml:space="preserve">N8080G  </v>
      </c>
      <c r="BC3953">
        <v>1</v>
      </c>
      <c r="BE3953">
        <v>0</v>
      </c>
      <c r="BF3953">
        <v>0</v>
      </c>
      <c r="BG3953">
        <v>0</v>
      </c>
      <c r="BH3953">
        <v>1350</v>
      </c>
      <c r="BI3953">
        <v>1</v>
      </c>
      <c r="BJ3953">
        <v>1</v>
      </c>
      <c r="BK3953">
        <v>1</v>
      </c>
      <c r="BL3953">
        <v>0</v>
      </c>
      <c r="BO3953">
        <v>0</v>
      </c>
      <c r="BP3953">
        <v>0</v>
      </c>
      <c r="BW3953" t="str">
        <f>"20:36:22.445"</f>
        <v>20:36:22.445</v>
      </c>
      <c r="BZ3953">
        <v>0</v>
      </c>
      <c r="CA3953">
        <v>1600</v>
      </c>
      <c r="CB3953">
        <v>224</v>
      </c>
      <c r="CD3953">
        <v>1</v>
      </c>
      <c r="CE3953">
        <v>0</v>
      </c>
      <c r="CF3953">
        <v>0</v>
      </c>
      <c r="CG3953">
        <v>1</v>
      </c>
      <c r="CH3953">
        <v>0</v>
      </c>
      <c r="CI3953">
        <v>0</v>
      </c>
      <c r="CJ3953">
        <v>0</v>
      </c>
      <c r="CK3953">
        <v>2</v>
      </c>
      <c r="CL3953">
        <v>0</v>
      </c>
      <c r="CM3953">
        <v>2</v>
      </c>
      <c r="CN3953">
        <v>0</v>
      </c>
      <c r="CO3953">
        <v>6</v>
      </c>
      <c r="CP3953" t="s">
        <v>119</v>
      </c>
      <c r="CQ3953">
        <v>180</v>
      </c>
      <c r="CR3953">
        <v>3</v>
      </c>
      <c r="CW3953">
        <v>1305482</v>
      </c>
      <c r="CY3953">
        <v>0</v>
      </c>
      <c r="CZ3953">
        <v>0</v>
      </c>
      <c r="DA3953">
        <v>1</v>
      </c>
      <c r="DB3953">
        <v>0</v>
      </c>
      <c r="DC3953">
        <v>0</v>
      </c>
      <c r="DD3953">
        <v>0</v>
      </c>
      <c r="DE3953">
        <v>0</v>
      </c>
      <c r="DF3953">
        <v>0</v>
      </c>
      <c r="DG3953">
        <v>0</v>
      </c>
      <c r="DH3953">
        <v>0</v>
      </c>
      <c r="DI3953">
        <v>0</v>
      </c>
    </row>
    <row r="3954" spans="1:113" x14ac:dyDescent="0.3">
      <c r="A3954" t="str">
        <f>"02/08/2021 20:36:20.109"</f>
        <v>02/08/2021 20:36:20.109</v>
      </c>
      <c r="C3954" t="str">
        <f t="shared" si="197"/>
        <v>FFDFD7C0</v>
      </c>
      <c r="D3954" t="s">
        <v>113</v>
      </c>
      <c r="E3954">
        <v>6</v>
      </c>
      <c r="H3954">
        <v>165</v>
      </c>
      <c r="I3954" t="s">
        <v>114</v>
      </c>
      <c r="J3954" t="s">
        <v>115</v>
      </c>
      <c r="K3954">
        <v>0</v>
      </c>
      <c r="L3954">
        <v>3</v>
      </c>
      <c r="M3954">
        <v>0</v>
      </c>
      <c r="N3954">
        <v>2</v>
      </c>
      <c r="O3954">
        <v>1</v>
      </c>
      <c r="P3954">
        <v>0</v>
      </c>
      <c r="Q3954">
        <v>0</v>
      </c>
      <c r="S3954" t="str">
        <f>"20:36:22.438"</f>
        <v>20:36:22.438</v>
      </c>
      <c r="T3954" t="str">
        <f>"20:36:21.938"</f>
        <v>20:36:21.938</v>
      </c>
      <c r="U3954" t="str">
        <f t="shared" si="196"/>
        <v>AB01F4</v>
      </c>
      <c r="V3954">
        <v>0</v>
      </c>
      <c r="W3954">
        <v>0</v>
      </c>
      <c r="X3954">
        <v>2</v>
      </c>
      <c r="Z3954">
        <v>0</v>
      </c>
      <c r="AA3954">
        <v>9</v>
      </c>
      <c r="AB3954">
        <v>3</v>
      </c>
      <c r="AC3954">
        <v>0</v>
      </c>
      <c r="AD3954">
        <v>10</v>
      </c>
      <c r="AE3954">
        <v>0</v>
      </c>
      <c r="AF3954">
        <v>3</v>
      </c>
      <c r="AG3954">
        <v>2</v>
      </c>
      <c r="AH3954">
        <v>0</v>
      </c>
      <c r="AI3954" t="s">
        <v>2225</v>
      </c>
      <c r="AJ3954">
        <v>40.137948999999999</v>
      </c>
      <c r="AK3954" t="s">
        <v>2226</v>
      </c>
      <c r="AL3954">
        <v>-93.092393999999999</v>
      </c>
      <c r="AM3954">
        <v>100</v>
      </c>
      <c r="AN3954">
        <v>1300</v>
      </c>
      <c r="AO3954" t="s">
        <v>118</v>
      </c>
      <c r="AP3954">
        <v>-114</v>
      </c>
      <c r="AQ3954">
        <v>60</v>
      </c>
      <c r="AR3954">
        <v>0</v>
      </c>
      <c r="AZ3954">
        <v>1200</v>
      </c>
      <c r="BA3954">
        <v>1</v>
      </c>
      <c r="BB3954" t="str">
        <f t="shared" si="198"/>
        <v xml:space="preserve">N8080G  </v>
      </c>
      <c r="BC3954">
        <v>1</v>
      </c>
      <c r="BE3954">
        <v>0</v>
      </c>
      <c r="BF3954">
        <v>0</v>
      </c>
      <c r="BG3954">
        <v>0</v>
      </c>
      <c r="BH3954">
        <v>1350</v>
      </c>
      <c r="BI3954">
        <v>1</v>
      </c>
      <c r="BJ3954">
        <v>1</v>
      </c>
      <c r="BK3954">
        <v>1</v>
      </c>
      <c r="BL3954">
        <v>0</v>
      </c>
      <c r="BO3954">
        <v>0</v>
      </c>
      <c r="BP3954">
        <v>0</v>
      </c>
      <c r="BW3954" t="str">
        <f>"20:36:22.445"</f>
        <v>20:36:22.445</v>
      </c>
      <c r="BZ3954">
        <v>0</v>
      </c>
      <c r="CA3954">
        <v>1600</v>
      </c>
      <c r="CB3954">
        <v>224</v>
      </c>
      <c r="CD3954">
        <v>1</v>
      </c>
      <c r="CE3954">
        <v>0</v>
      </c>
      <c r="CF3954">
        <v>0</v>
      </c>
      <c r="CG3954">
        <v>1</v>
      </c>
      <c r="CH3954">
        <v>0</v>
      </c>
      <c r="CI3954">
        <v>0</v>
      </c>
      <c r="CJ3954">
        <v>0</v>
      </c>
      <c r="CK3954">
        <v>2</v>
      </c>
      <c r="CL3954">
        <v>0</v>
      </c>
      <c r="CM3954">
        <v>2</v>
      </c>
      <c r="CN3954">
        <v>0</v>
      </c>
      <c r="CO3954">
        <v>6</v>
      </c>
      <c r="CP3954" t="s">
        <v>119</v>
      </c>
      <c r="CQ3954">
        <v>180</v>
      </c>
      <c r="CR3954">
        <v>3</v>
      </c>
      <c r="CW3954">
        <v>1305482</v>
      </c>
      <c r="CY3954">
        <v>0</v>
      </c>
      <c r="CZ3954">
        <v>0</v>
      </c>
      <c r="DA3954">
        <v>1</v>
      </c>
      <c r="DB3954">
        <v>0</v>
      </c>
      <c r="DC3954">
        <v>0</v>
      </c>
      <c r="DD3954">
        <v>0</v>
      </c>
      <c r="DE3954">
        <v>0</v>
      </c>
      <c r="DF3954">
        <v>0</v>
      </c>
      <c r="DG3954">
        <v>0</v>
      </c>
      <c r="DH3954">
        <v>0</v>
      </c>
      <c r="DI3954">
        <v>0</v>
      </c>
    </row>
    <row r="3955" spans="1:113" x14ac:dyDescent="0.3">
      <c r="A3955" t="str">
        <f>"02/08/2021 20:36:23.058"</f>
        <v>02/08/2021 20:36:23.058</v>
      </c>
      <c r="C3955" t="str">
        <f t="shared" si="197"/>
        <v>FFDFD7C0</v>
      </c>
      <c r="D3955" t="s">
        <v>113</v>
      </c>
      <c r="E3955">
        <v>6</v>
      </c>
      <c r="H3955">
        <v>165</v>
      </c>
      <c r="I3955" t="s">
        <v>114</v>
      </c>
      <c r="J3955" t="s">
        <v>115</v>
      </c>
      <c r="K3955">
        <v>0</v>
      </c>
      <c r="L3955">
        <v>3</v>
      </c>
      <c r="M3955">
        <v>0</v>
      </c>
      <c r="N3955">
        <v>2</v>
      </c>
      <c r="O3955">
        <v>1</v>
      </c>
      <c r="P3955">
        <v>0</v>
      </c>
      <c r="Q3955">
        <v>0</v>
      </c>
      <c r="S3955" t="str">
        <f>"20:36:25.375"</f>
        <v>20:36:25.375</v>
      </c>
      <c r="T3955" t="str">
        <f>"20:36:24.975"</f>
        <v>20:36:24.975</v>
      </c>
      <c r="U3955" t="str">
        <f t="shared" si="196"/>
        <v>AB01F4</v>
      </c>
      <c r="V3955">
        <v>0</v>
      </c>
      <c r="W3955">
        <v>0</v>
      </c>
      <c r="X3955">
        <v>2</v>
      </c>
      <c r="Z3955">
        <v>0</v>
      </c>
      <c r="AA3955">
        <v>9</v>
      </c>
      <c r="AB3955">
        <v>3</v>
      </c>
      <c r="AC3955">
        <v>0</v>
      </c>
      <c r="AD3955">
        <v>10</v>
      </c>
      <c r="AE3955">
        <v>0</v>
      </c>
      <c r="AF3955">
        <v>3</v>
      </c>
      <c r="AG3955">
        <v>2</v>
      </c>
      <c r="AH3955">
        <v>0</v>
      </c>
      <c r="AI3955" t="s">
        <v>2227</v>
      </c>
      <c r="AJ3955">
        <v>40.138742999999998</v>
      </c>
      <c r="AK3955" t="s">
        <v>2228</v>
      </c>
      <c r="AL3955">
        <v>-93.094410999999994</v>
      </c>
      <c r="AM3955">
        <v>100</v>
      </c>
      <c r="AN3955">
        <v>1300</v>
      </c>
      <c r="AO3955" t="s">
        <v>118</v>
      </c>
      <c r="AP3955">
        <v>-114</v>
      </c>
      <c r="AQ3955">
        <v>60</v>
      </c>
      <c r="AR3955">
        <v>-64</v>
      </c>
      <c r="AZ3955">
        <v>1200</v>
      </c>
      <c r="BA3955">
        <v>1</v>
      </c>
      <c r="BB3955" t="str">
        <f t="shared" si="198"/>
        <v xml:space="preserve">N8080G  </v>
      </c>
      <c r="BC3955">
        <v>1</v>
      </c>
      <c r="BE3955">
        <v>0</v>
      </c>
      <c r="BF3955">
        <v>0</v>
      </c>
      <c r="BG3955">
        <v>0</v>
      </c>
      <c r="BH3955">
        <v>1350</v>
      </c>
      <c r="BI3955">
        <v>1</v>
      </c>
      <c r="BJ3955">
        <v>1</v>
      </c>
      <c r="BK3955">
        <v>1</v>
      </c>
      <c r="BL3955">
        <v>0</v>
      </c>
      <c r="BO3955">
        <v>0</v>
      </c>
      <c r="BP3955">
        <v>0</v>
      </c>
      <c r="BW3955" t="str">
        <f>"20:36:25.380"</f>
        <v>20:36:25.380</v>
      </c>
      <c r="BZ3955">
        <v>0</v>
      </c>
      <c r="CA3955">
        <v>1600</v>
      </c>
      <c r="CB3955">
        <v>224</v>
      </c>
      <c r="CD3955">
        <v>1</v>
      </c>
      <c r="CE3955">
        <v>0</v>
      </c>
      <c r="CF3955">
        <v>0</v>
      </c>
      <c r="CG3955">
        <v>1</v>
      </c>
      <c r="CH3955">
        <v>0</v>
      </c>
      <c r="CI3955">
        <v>0</v>
      </c>
      <c r="CJ3955">
        <v>0</v>
      </c>
      <c r="CK3955">
        <v>2</v>
      </c>
      <c r="CL3955">
        <v>0</v>
      </c>
      <c r="CM3955">
        <v>2</v>
      </c>
      <c r="CN3955">
        <v>0</v>
      </c>
      <c r="CO3955">
        <v>1</v>
      </c>
      <c r="CP3955" t="s">
        <v>119</v>
      </c>
      <c r="CQ3955">
        <v>179</v>
      </c>
      <c r="CR3955">
        <v>2</v>
      </c>
      <c r="CW3955">
        <v>12576851</v>
      </c>
      <c r="CY3955">
        <v>0</v>
      </c>
      <c r="CZ3955">
        <v>0</v>
      </c>
      <c r="DA3955">
        <v>0</v>
      </c>
      <c r="DB3955">
        <v>0</v>
      </c>
      <c r="DC3955">
        <v>0</v>
      </c>
      <c r="DD3955">
        <v>0</v>
      </c>
      <c r="DE3955">
        <v>0</v>
      </c>
      <c r="DF3955">
        <v>0</v>
      </c>
      <c r="DG3955">
        <v>0</v>
      </c>
      <c r="DH3955">
        <v>0</v>
      </c>
      <c r="DI3955">
        <v>0</v>
      </c>
    </row>
    <row r="3956" spans="1:113" x14ac:dyDescent="0.3">
      <c r="A3956" t="str">
        <f>"02/08/2021 20:36:23.058"</f>
        <v>02/08/2021 20:36:23.058</v>
      </c>
      <c r="C3956" t="str">
        <f t="shared" si="197"/>
        <v>FFDFD7C0</v>
      </c>
      <c r="D3956" t="s">
        <v>124</v>
      </c>
      <c r="E3956">
        <v>12</v>
      </c>
      <c r="F3956">
        <v>1012</v>
      </c>
      <c r="G3956" t="s">
        <v>675</v>
      </c>
      <c r="J3956" t="s">
        <v>125</v>
      </c>
      <c r="K3956">
        <v>0</v>
      </c>
      <c r="L3956">
        <v>3</v>
      </c>
      <c r="M3956">
        <v>0</v>
      </c>
      <c r="N3956">
        <v>2</v>
      </c>
      <c r="O3956">
        <v>1</v>
      </c>
      <c r="P3956">
        <v>0</v>
      </c>
      <c r="Q3956">
        <v>0</v>
      </c>
      <c r="S3956" t="str">
        <f>"20:36:25.375"</f>
        <v>20:36:25.375</v>
      </c>
      <c r="T3956" t="str">
        <f>"20:36:24.975"</f>
        <v>20:36:24.975</v>
      </c>
      <c r="U3956" t="str">
        <f t="shared" si="196"/>
        <v>AB01F4</v>
      </c>
      <c r="V3956">
        <v>0</v>
      </c>
      <c r="W3956">
        <v>0</v>
      </c>
      <c r="X3956">
        <v>2</v>
      </c>
      <c r="Z3956">
        <v>0</v>
      </c>
      <c r="AA3956">
        <v>9</v>
      </c>
      <c r="AB3956">
        <v>3</v>
      </c>
      <c r="AC3956">
        <v>0</v>
      </c>
      <c r="AD3956">
        <v>10</v>
      </c>
      <c r="AE3956">
        <v>0</v>
      </c>
      <c r="AF3956">
        <v>3</v>
      </c>
      <c r="AG3956">
        <v>2</v>
      </c>
      <c r="AH3956">
        <v>0</v>
      </c>
      <c r="AI3956" t="s">
        <v>2227</v>
      </c>
      <c r="AJ3956">
        <v>40.138742999999998</v>
      </c>
      <c r="AK3956" t="s">
        <v>2228</v>
      </c>
      <c r="AL3956">
        <v>-93.094410999999994</v>
      </c>
      <c r="AM3956">
        <v>100</v>
      </c>
      <c r="AN3956">
        <v>1300</v>
      </c>
      <c r="AO3956" t="s">
        <v>118</v>
      </c>
      <c r="AP3956">
        <v>-114</v>
      </c>
      <c r="AQ3956">
        <v>60</v>
      </c>
      <c r="AR3956">
        <v>-64</v>
      </c>
      <c r="AZ3956">
        <v>1200</v>
      </c>
      <c r="BA3956">
        <v>1</v>
      </c>
      <c r="BB3956" t="str">
        <f t="shared" si="198"/>
        <v xml:space="preserve">N8080G  </v>
      </c>
      <c r="BC3956">
        <v>1</v>
      </c>
      <c r="BE3956">
        <v>0</v>
      </c>
      <c r="BF3956">
        <v>0</v>
      </c>
      <c r="BG3956">
        <v>0</v>
      </c>
      <c r="BH3956">
        <v>1350</v>
      </c>
      <c r="BI3956">
        <v>1</v>
      </c>
      <c r="BJ3956">
        <v>1</v>
      </c>
      <c r="BK3956">
        <v>1</v>
      </c>
      <c r="BL3956">
        <v>0</v>
      </c>
      <c r="BO3956">
        <v>0</v>
      </c>
      <c r="BP3956">
        <v>0</v>
      </c>
      <c r="BW3956" t="str">
        <f>"20:36:25.380"</f>
        <v>20:36:25.380</v>
      </c>
      <c r="BZ3956">
        <v>0</v>
      </c>
      <c r="CA3956">
        <v>1600</v>
      </c>
      <c r="CB3956">
        <v>224</v>
      </c>
      <c r="CD3956">
        <v>1</v>
      </c>
      <c r="CE3956">
        <v>0</v>
      </c>
      <c r="CF3956">
        <v>0</v>
      </c>
      <c r="CG3956">
        <v>1</v>
      </c>
      <c r="CH3956">
        <v>0</v>
      </c>
      <c r="CI3956">
        <v>0</v>
      </c>
      <c r="CJ3956">
        <v>0</v>
      </c>
      <c r="CK3956">
        <v>2</v>
      </c>
      <c r="CL3956">
        <v>0</v>
      </c>
      <c r="CM3956">
        <v>2</v>
      </c>
      <c r="CN3956">
        <v>0</v>
      </c>
      <c r="CO3956">
        <v>1</v>
      </c>
      <c r="CP3956" t="s">
        <v>119</v>
      </c>
      <c r="CQ3956">
        <v>179</v>
      </c>
      <c r="CR3956">
        <v>2</v>
      </c>
      <c r="CW3956">
        <v>12576851</v>
      </c>
      <c r="CY3956">
        <v>0</v>
      </c>
      <c r="CZ3956">
        <v>0</v>
      </c>
      <c r="DA3956">
        <v>1</v>
      </c>
      <c r="DB3956">
        <v>0</v>
      </c>
      <c r="DC3956">
        <v>0</v>
      </c>
      <c r="DD3956">
        <v>0</v>
      </c>
      <c r="DE3956">
        <v>0</v>
      </c>
      <c r="DF3956">
        <v>0</v>
      </c>
      <c r="DG3956">
        <v>0</v>
      </c>
      <c r="DH3956">
        <v>0</v>
      </c>
      <c r="DI3956">
        <v>0</v>
      </c>
    </row>
    <row r="3957" spans="1:113" x14ac:dyDescent="0.3">
      <c r="A3957" t="str">
        <f>"02/08/2021 20:36:23.058"</f>
        <v>02/08/2021 20:36:23.058</v>
      </c>
      <c r="C3957" t="str">
        <f t="shared" si="197"/>
        <v>FFDFD7C0</v>
      </c>
      <c r="D3957" t="s">
        <v>124</v>
      </c>
      <c r="E3957">
        <v>13</v>
      </c>
      <c r="F3957">
        <v>1013</v>
      </c>
      <c r="G3957" t="s">
        <v>114</v>
      </c>
      <c r="J3957" t="s">
        <v>125</v>
      </c>
      <c r="K3957">
        <v>0</v>
      </c>
      <c r="L3957">
        <v>3</v>
      </c>
      <c r="M3957">
        <v>0</v>
      </c>
      <c r="N3957">
        <v>2</v>
      </c>
      <c r="O3957">
        <v>1</v>
      </c>
      <c r="P3957">
        <v>0</v>
      </c>
      <c r="Q3957">
        <v>0</v>
      </c>
      <c r="S3957" t="str">
        <f>"20:36:25.375"</f>
        <v>20:36:25.375</v>
      </c>
      <c r="T3957" t="str">
        <f>"20:36:24.975"</f>
        <v>20:36:24.975</v>
      </c>
      <c r="U3957" t="str">
        <f t="shared" si="196"/>
        <v>AB01F4</v>
      </c>
      <c r="V3957">
        <v>0</v>
      </c>
      <c r="W3957">
        <v>0</v>
      </c>
      <c r="X3957">
        <v>2</v>
      </c>
      <c r="Z3957">
        <v>0</v>
      </c>
      <c r="AA3957">
        <v>9</v>
      </c>
      <c r="AB3957">
        <v>3</v>
      </c>
      <c r="AC3957">
        <v>0</v>
      </c>
      <c r="AD3957">
        <v>10</v>
      </c>
      <c r="AE3957">
        <v>0</v>
      </c>
      <c r="AF3957">
        <v>3</v>
      </c>
      <c r="AG3957">
        <v>2</v>
      </c>
      <c r="AH3957">
        <v>0</v>
      </c>
      <c r="AI3957" t="s">
        <v>2227</v>
      </c>
      <c r="AJ3957">
        <v>40.138742999999998</v>
      </c>
      <c r="AK3957" t="s">
        <v>2228</v>
      </c>
      <c r="AL3957">
        <v>-93.094410999999994</v>
      </c>
      <c r="AM3957">
        <v>100</v>
      </c>
      <c r="AN3957">
        <v>1300</v>
      </c>
      <c r="AO3957" t="s">
        <v>118</v>
      </c>
      <c r="AP3957">
        <v>-114</v>
      </c>
      <c r="AQ3957">
        <v>60</v>
      </c>
      <c r="AR3957">
        <v>-64</v>
      </c>
      <c r="AZ3957">
        <v>1200</v>
      </c>
      <c r="BA3957">
        <v>1</v>
      </c>
      <c r="BB3957" t="str">
        <f t="shared" si="198"/>
        <v xml:space="preserve">N8080G  </v>
      </c>
      <c r="BC3957">
        <v>1</v>
      </c>
      <c r="BE3957">
        <v>0</v>
      </c>
      <c r="BF3957">
        <v>0</v>
      </c>
      <c r="BG3957">
        <v>0</v>
      </c>
      <c r="BH3957">
        <v>1350</v>
      </c>
      <c r="BI3957">
        <v>1</v>
      </c>
      <c r="BJ3957">
        <v>1</v>
      </c>
      <c r="BK3957">
        <v>1</v>
      </c>
      <c r="BL3957">
        <v>0</v>
      </c>
      <c r="BO3957">
        <v>0</v>
      </c>
      <c r="BP3957">
        <v>0</v>
      </c>
      <c r="BW3957" t="str">
        <f>"20:36:25.380"</f>
        <v>20:36:25.380</v>
      </c>
      <c r="BZ3957">
        <v>0</v>
      </c>
      <c r="CA3957">
        <v>1600</v>
      </c>
      <c r="CB3957">
        <v>224</v>
      </c>
      <c r="CD3957">
        <v>1</v>
      </c>
      <c r="CE3957">
        <v>0</v>
      </c>
      <c r="CF3957">
        <v>0</v>
      </c>
      <c r="CG3957">
        <v>1</v>
      </c>
      <c r="CH3957">
        <v>0</v>
      </c>
      <c r="CI3957">
        <v>0</v>
      </c>
      <c r="CJ3957">
        <v>0</v>
      </c>
      <c r="CK3957">
        <v>2</v>
      </c>
      <c r="CL3957">
        <v>0</v>
      </c>
      <c r="CM3957">
        <v>2</v>
      </c>
      <c r="CN3957">
        <v>0</v>
      </c>
      <c r="CO3957">
        <v>1</v>
      </c>
      <c r="CP3957" t="s">
        <v>119</v>
      </c>
      <c r="CQ3957">
        <v>179</v>
      </c>
      <c r="CR3957">
        <v>2</v>
      </c>
      <c r="CW3957">
        <v>12576851</v>
      </c>
      <c r="CY3957">
        <v>0</v>
      </c>
      <c r="CZ3957">
        <v>0</v>
      </c>
      <c r="DA3957">
        <v>1</v>
      </c>
      <c r="DB3957">
        <v>0</v>
      </c>
      <c r="DC3957">
        <v>0</v>
      </c>
      <c r="DD3957">
        <v>0</v>
      </c>
      <c r="DE3957">
        <v>0</v>
      </c>
      <c r="DF3957">
        <v>0</v>
      </c>
      <c r="DG3957">
        <v>0</v>
      </c>
      <c r="DH3957">
        <v>0</v>
      </c>
      <c r="DI3957">
        <v>0</v>
      </c>
    </row>
    <row r="3958" spans="1:113" x14ac:dyDescent="0.3">
      <c r="A3958" t="str">
        <f>"02/08/2021 20:36:23.058"</f>
        <v>02/08/2021 20:36:23.058</v>
      </c>
      <c r="C3958" t="str">
        <f t="shared" si="197"/>
        <v>FFDFD7C0</v>
      </c>
      <c r="D3958" t="s">
        <v>124</v>
      </c>
      <c r="E3958">
        <v>11</v>
      </c>
      <c r="F3958">
        <v>1011</v>
      </c>
      <c r="G3958" t="s">
        <v>590</v>
      </c>
      <c r="J3958" t="s">
        <v>125</v>
      </c>
      <c r="K3958">
        <v>0</v>
      </c>
      <c r="L3958">
        <v>3</v>
      </c>
      <c r="M3958">
        <v>0</v>
      </c>
      <c r="N3958">
        <v>2</v>
      </c>
      <c r="O3958">
        <v>1</v>
      </c>
      <c r="P3958">
        <v>0</v>
      </c>
      <c r="Q3958">
        <v>0</v>
      </c>
      <c r="S3958" t="str">
        <f>"20:36:25.375"</f>
        <v>20:36:25.375</v>
      </c>
      <c r="T3958" t="str">
        <f>"20:36:24.975"</f>
        <v>20:36:24.975</v>
      </c>
      <c r="U3958" t="str">
        <f t="shared" si="196"/>
        <v>AB01F4</v>
      </c>
      <c r="V3958">
        <v>0</v>
      </c>
      <c r="W3958">
        <v>0</v>
      </c>
      <c r="X3958">
        <v>2</v>
      </c>
      <c r="Z3958">
        <v>0</v>
      </c>
      <c r="AA3958">
        <v>9</v>
      </c>
      <c r="AB3958">
        <v>3</v>
      </c>
      <c r="AC3958">
        <v>0</v>
      </c>
      <c r="AD3958">
        <v>10</v>
      </c>
      <c r="AE3958">
        <v>0</v>
      </c>
      <c r="AF3958">
        <v>3</v>
      </c>
      <c r="AG3958">
        <v>2</v>
      </c>
      <c r="AH3958">
        <v>0</v>
      </c>
      <c r="AI3958" t="s">
        <v>2227</v>
      </c>
      <c r="AJ3958">
        <v>40.138742999999998</v>
      </c>
      <c r="AK3958" t="s">
        <v>2228</v>
      </c>
      <c r="AL3958">
        <v>-93.094410999999994</v>
      </c>
      <c r="AM3958">
        <v>100</v>
      </c>
      <c r="AN3958">
        <v>1300</v>
      </c>
      <c r="AO3958" t="s">
        <v>118</v>
      </c>
      <c r="AP3958">
        <v>-114</v>
      </c>
      <c r="AQ3958">
        <v>60</v>
      </c>
      <c r="AR3958">
        <v>-64</v>
      </c>
      <c r="AZ3958">
        <v>1200</v>
      </c>
      <c r="BA3958">
        <v>1</v>
      </c>
      <c r="BB3958" t="str">
        <f t="shared" si="198"/>
        <v xml:space="preserve">N8080G  </v>
      </c>
      <c r="BC3958">
        <v>1</v>
      </c>
      <c r="BE3958">
        <v>0</v>
      </c>
      <c r="BF3958">
        <v>0</v>
      </c>
      <c r="BG3958">
        <v>0</v>
      </c>
      <c r="BH3958">
        <v>1350</v>
      </c>
      <c r="BI3958">
        <v>1</v>
      </c>
      <c r="BJ3958">
        <v>1</v>
      </c>
      <c r="BK3958">
        <v>1</v>
      </c>
      <c r="BL3958">
        <v>0</v>
      </c>
      <c r="BO3958">
        <v>0</v>
      </c>
      <c r="BP3958">
        <v>0</v>
      </c>
      <c r="BW3958" t="str">
        <f>"20:36:25.380"</f>
        <v>20:36:25.380</v>
      </c>
      <c r="BZ3958">
        <v>0</v>
      </c>
      <c r="CA3958">
        <v>1600</v>
      </c>
      <c r="CB3958">
        <v>224</v>
      </c>
      <c r="CD3958">
        <v>1</v>
      </c>
      <c r="CE3958">
        <v>0</v>
      </c>
      <c r="CF3958">
        <v>0</v>
      </c>
      <c r="CG3958">
        <v>1</v>
      </c>
      <c r="CH3958">
        <v>0</v>
      </c>
      <c r="CI3958">
        <v>0</v>
      </c>
      <c r="CJ3958">
        <v>0</v>
      </c>
      <c r="CK3958">
        <v>2</v>
      </c>
      <c r="CL3958">
        <v>0</v>
      </c>
      <c r="CM3958">
        <v>2</v>
      </c>
      <c r="CN3958">
        <v>0</v>
      </c>
      <c r="CO3958">
        <v>1</v>
      </c>
      <c r="CP3958" t="s">
        <v>119</v>
      </c>
      <c r="CQ3958">
        <v>179</v>
      </c>
      <c r="CR3958">
        <v>2</v>
      </c>
      <c r="CW3958">
        <v>12576851</v>
      </c>
      <c r="CY3958">
        <v>0</v>
      </c>
      <c r="CZ3958">
        <v>0</v>
      </c>
      <c r="DA3958">
        <v>1</v>
      </c>
      <c r="DB3958">
        <v>0</v>
      </c>
      <c r="DC3958">
        <v>0</v>
      </c>
      <c r="DD3958">
        <v>0</v>
      </c>
      <c r="DE3958">
        <v>0</v>
      </c>
      <c r="DF3958">
        <v>0</v>
      </c>
      <c r="DG3958">
        <v>0</v>
      </c>
      <c r="DH3958">
        <v>0</v>
      </c>
      <c r="DI3958">
        <v>0</v>
      </c>
    </row>
    <row r="3959" spans="1:113" x14ac:dyDescent="0.3">
      <c r="A3959" t="str">
        <f>"02/08/2021 20:36:24.119"</f>
        <v>02/08/2021 20:36:24.119</v>
      </c>
      <c r="C3959" t="str">
        <f t="shared" si="197"/>
        <v>FFDFD7C0</v>
      </c>
      <c r="D3959" t="s">
        <v>113</v>
      </c>
      <c r="E3959">
        <v>6</v>
      </c>
      <c r="H3959">
        <v>165</v>
      </c>
      <c r="I3959" t="s">
        <v>114</v>
      </c>
      <c r="J3959" t="s">
        <v>115</v>
      </c>
      <c r="K3959">
        <v>0</v>
      </c>
      <c r="L3959">
        <v>3</v>
      </c>
      <c r="M3959">
        <v>0</v>
      </c>
      <c r="N3959">
        <v>2</v>
      </c>
      <c r="O3959">
        <v>1</v>
      </c>
      <c r="P3959">
        <v>0</v>
      </c>
      <c r="Q3959">
        <v>0</v>
      </c>
      <c r="S3959" t="str">
        <f>"20:36:26.461"</f>
        <v>20:36:26.461</v>
      </c>
      <c r="T3959" t="str">
        <f>"20:36:25.961"</f>
        <v>20:36:25.961</v>
      </c>
      <c r="U3959" t="str">
        <f t="shared" si="196"/>
        <v>AB01F4</v>
      </c>
      <c r="V3959">
        <v>0</v>
      </c>
      <c r="W3959">
        <v>0</v>
      </c>
      <c r="X3959">
        <v>2</v>
      </c>
      <c r="Z3959">
        <v>0</v>
      </c>
      <c r="AA3959">
        <v>9</v>
      </c>
      <c r="AB3959">
        <v>3</v>
      </c>
      <c r="AC3959">
        <v>0</v>
      </c>
      <c r="AD3959">
        <v>10</v>
      </c>
      <c r="AE3959">
        <v>0</v>
      </c>
      <c r="AF3959">
        <v>3</v>
      </c>
      <c r="AG3959">
        <v>2</v>
      </c>
      <c r="AH3959">
        <v>0</v>
      </c>
      <c r="AI3959" t="s">
        <v>2229</v>
      </c>
      <c r="AJ3959">
        <v>40.139065000000002</v>
      </c>
      <c r="AK3959" t="s">
        <v>2230</v>
      </c>
      <c r="AL3959">
        <v>-93.095140000000001</v>
      </c>
      <c r="AM3959">
        <v>100</v>
      </c>
      <c r="AN3959">
        <v>1300</v>
      </c>
      <c r="AO3959" t="s">
        <v>118</v>
      </c>
      <c r="AP3959">
        <v>-114</v>
      </c>
      <c r="AQ3959">
        <v>60</v>
      </c>
      <c r="AR3959">
        <v>-128</v>
      </c>
      <c r="AZ3959">
        <v>1200</v>
      </c>
      <c r="BA3959">
        <v>1</v>
      </c>
      <c r="BB3959" t="str">
        <f t="shared" si="198"/>
        <v xml:space="preserve">N8080G  </v>
      </c>
      <c r="BC3959">
        <v>1</v>
      </c>
      <c r="BE3959">
        <v>0</v>
      </c>
      <c r="BF3959">
        <v>0</v>
      </c>
      <c r="BG3959">
        <v>0</v>
      </c>
      <c r="BH3959">
        <v>1325</v>
      </c>
      <c r="BI3959">
        <v>1</v>
      </c>
      <c r="BJ3959">
        <v>1</v>
      </c>
      <c r="BK3959">
        <v>1</v>
      </c>
      <c r="BL3959">
        <v>0</v>
      </c>
      <c r="BO3959">
        <v>0</v>
      </c>
      <c r="BP3959">
        <v>0</v>
      </c>
      <c r="BW3959" t="str">
        <f>"20:36:26.461"</f>
        <v>20:36:26.461</v>
      </c>
      <c r="BZ3959">
        <v>0</v>
      </c>
      <c r="CA3959">
        <v>1600</v>
      </c>
      <c r="CB3959">
        <v>224</v>
      </c>
      <c r="CD3959">
        <v>1</v>
      </c>
      <c r="CE3959">
        <v>0</v>
      </c>
      <c r="CF3959">
        <v>0</v>
      </c>
      <c r="CG3959">
        <v>1</v>
      </c>
      <c r="CH3959">
        <v>0</v>
      </c>
      <c r="CI3959">
        <v>0</v>
      </c>
      <c r="CJ3959">
        <v>0</v>
      </c>
      <c r="CK3959">
        <v>2</v>
      </c>
      <c r="CL3959">
        <v>0</v>
      </c>
      <c r="CM3959">
        <v>2</v>
      </c>
      <c r="CN3959">
        <v>0</v>
      </c>
      <c r="CO3959">
        <v>6</v>
      </c>
      <c r="CP3959" t="s">
        <v>119</v>
      </c>
      <c r="CQ3959">
        <v>180</v>
      </c>
      <c r="CR3959">
        <v>3</v>
      </c>
      <c r="CW3959">
        <v>1308612</v>
      </c>
      <c r="CY3959">
        <v>0</v>
      </c>
      <c r="CZ3959">
        <v>0</v>
      </c>
      <c r="DA3959">
        <v>0</v>
      </c>
      <c r="DB3959">
        <v>0</v>
      </c>
      <c r="DC3959">
        <v>0</v>
      </c>
      <c r="DD3959">
        <v>0</v>
      </c>
      <c r="DE3959">
        <v>0</v>
      </c>
      <c r="DF3959">
        <v>0</v>
      </c>
      <c r="DG3959">
        <v>0</v>
      </c>
      <c r="DH3959">
        <v>0</v>
      </c>
      <c r="DI3959">
        <v>0</v>
      </c>
    </row>
    <row r="3960" spans="1:113" x14ac:dyDescent="0.3">
      <c r="A3960" t="str">
        <f>"02/08/2021 20:36:24.119"</f>
        <v>02/08/2021 20:36:24.119</v>
      </c>
      <c r="C3960" t="str">
        <f t="shared" si="197"/>
        <v>FFDFD7C0</v>
      </c>
      <c r="D3960" t="s">
        <v>124</v>
      </c>
      <c r="E3960">
        <v>12</v>
      </c>
      <c r="F3960">
        <v>1012</v>
      </c>
      <c r="G3960" t="s">
        <v>675</v>
      </c>
      <c r="J3960" t="s">
        <v>125</v>
      </c>
      <c r="K3960">
        <v>0</v>
      </c>
      <c r="L3960">
        <v>3</v>
      </c>
      <c r="M3960">
        <v>0</v>
      </c>
      <c r="N3960">
        <v>2</v>
      </c>
      <c r="O3960">
        <v>1</v>
      </c>
      <c r="P3960">
        <v>0</v>
      </c>
      <c r="Q3960">
        <v>0</v>
      </c>
      <c r="S3960" t="str">
        <f>"20:36:26.461"</f>
        <v>20:36:26.461</v>
      </c>
      <c r="T3960" t="str">
        <f>"20:36:25.961"</f>
        <v>20:36:25.961</v>
      </c>
      <c r="U3960" t="str">
        <f t="shared" si="196"/>
        <v>AB01F4</v>
      </c>
      <c r="V3960">
        <v>0</v>
      </c>
      <c r="W3960">
        <v>0</v>
      </c>
      <c r="X3960">
        <v>2</v>
      </c>
      <c r="Z3960">
        <v>0</v>
      </c>
      <c r="AA3960">
        <v>9</v>
      </c>
      <c r="AB3960">
        <v>3</v>
      </c>
      <c r="AC3960">
        <v>0</v>
      </c>
      <c r="AD3960">
        <v>10</v>
      </c>
      <c r="AE3960">
        <v>0</v>
      </c>
      <c r="AF3960">
        <v>3</v>
      </c>
      <c r="AG3960">
        <v>2</v>
      </c>
      <c r="AH3960">
        <v>0</v>
      </c>
      <c r="AI3960" t="s">
        <v>2229</v>
      </c>
      <c r="AJ3960">
        <v>40.139065000000002</v>
      </c>
      <c r="AK3960" t="s">
        <v>2230</v>
      </c>
      <c r="AL3960">
        <v>-93.095140000000001</v>
      </c>
      <c r="AM3960">
        <v>100</v>
      </c>
      <c r="AN3960">
        <v>1300</v>
      </c>
      <c r="AO3960" t="s">
        <v>118</v>
      </c>
      <c r="AP3960">
        <v>-114</v>
      </c>
      <c r="AQ3960">
        <v>60</v>
      </c>
      <c r="AR3960">
        <v>-128</v>
      </c>
      <c r="AZ3960">
        <v>1200</v>
      </c>
      <c r="BA3960">
        <v>1</v>
      </c>
      <c r="BB3960" t="str">
        <f t="shared" si="198"/>
        <v xml:space="preserve">N8080G  </v>
      </c>
      <c r="BC3960">
        <v>1</v>
      </c>
      <c r="BE3960">
        <v>0</v>
      </c>
      <c r="BF3960">
        <v>0</v>
      </c>
      <c r="BG3960">
        <v>0</v>
      </c>
      <c r="BH3960">
        <v>1325</v>
      </c>
      <c r="BI3960">
        <v>1</v>
      </c>
      <c r="BJ3960">
        <v>1</v>
      </c>
      <c r="BK3960">
        <v>1</v>
      </c>
      <c r="BL3960">
        <v>0</v>
      </c>
      <c r="BO3960">
        <v>0</v>
      </c>
      <c r="BP3960">
        <v>0</v>
      </c>
      <c r="BW3960" t="str">
        <f>"20:36:26.461"</f>
        <v>20:36:26.461</v>
      </c>
      <c r="BZ3960">
        <v>0</v>
      </c>
      <c r="CA3960">
        <v>1600</v>
      </c>
      <c r="CB3960">
        <v>224</v>
      </c>
      <c r="CD3960">
        <v>1</v>
      </c>
      <c r="CE3960">
        <v>0</v>
      </c>
      <c r="CF3960">
        <v>0</v>
      </c>
      <c r="CG3960">
        <v>1</v>
      </c>
      <c r="CH3960">
        <v>0</v>
      </c>
      <c r="CI3960">
        <v>0</v>
      </c>
      <c r="CJ3960">
        <v>0</v>
      </c>
      <c r="CK3960">
        <v>2</v>
      </c>
      <c r="CL3960">
        <v>0</v>
      </c>
      <c r="CM3960">
        <v>2</v>
      </c>
      <c r="CN3960">
        <v>0</v>
      </c>
      <c r="CO3960">
        <v>6</v>
      </c>
      <c r="CP3960" t="s">
        <v>119</v>
      </c>
      <c r="CQ3960">
        <v>180</v>
      </c>
      <c r="CR3960">
        <v>3</v>
      </c>
      <c r="CW3960">
        <v>1308612</v>
      </c>
      <c r="CY3960">
        <v>0</v>
      </c>
      <c r="CZ3960">
        <v>0</v>
      </c>
      <c r="DA3960">
        <v>1</v>
      </c>
      <c r="DB3960">
        <v>0</v>
      </c>
      <c r="DC3960">
        <v>0</v>
      </c>
      <c r="DD3960">
        <v>0</v>
      </c>
      <c r="DE3960">
        <v>0</v>
      </c>
      <c r="DF3960">
        <v>0</v>
      </c>
      <c r="DG3960">
        <v>0</v>
      </c>
      <c r="DH3960">
        <v>0</v>
      </c>
      <c r="DI3960">
        <v>0</v>
      </c>
    </row>
    <row r="3961" spans="1:113" x14ac:dyDescent="0.3">
      <c r="A3961" t="str">
        <f>"02/08/2021 20:36:24.119"</f>
        <v>02/08/2021 20:36:24.119</v>
      </c>
      <c r="C3961" t="str">
        <f t="shared" si="197"/>
        <v>FFDFD7C0</v>
      </c>
      <c r="D3961" t="s">
        <v>124</v>
      </c>
      <c r="E3961">
        <v>13</v>
      </c>
      <c r="F3961">
        <v>1013</v>
      </c>
      <c r="G3961" t="s">
        <v>114</v>
      </c>
      <c r="J3961" t="s">
        <v>125</v>
      </c>
      <c r="K3961">
        <v>0</v>
      </c>
      <c r="L3961">
        <v>3</v>
      </c>
      <c r="M3961">
        <v>0</v>
      </c>
      <c r="N3961">
        <v>2</v>
      </c>
      <c r="O3961">
        <v>1</v>
      </c>
      <c r="P3961">
        <v>0</v>
      </c>
      <c r="Q3961">
        <v>0</v>
      </c>
      <c r="S3961" t="str">
        <f>"20:36:26.461"</f>
        <v>20:36:26.461</v>
      </c>
      <c r="T3961" t="str">
        <f>"20:36:25.961"</f>
        <v>20:36:25.961</v>
      </c>
      <c r="U3961" t="str">
        <f t="shared" si="196"/>
        <v>AB01F4</v>
      </c>
      <c r="V3961">
        <v>0</v>
      </c>
      <c r="W3961">
        <v>0</v>
      </c>
      <c r="X3961">
        <v>2</v>
      </c>
      <c r="Z3961">
        <v>0</v>
      </c>
      <c r="AA3961">
        <v>9</v>
      </c>
      <c r="AB3961">
        <v>3</v>
      </c>
      <c r="AC3961">
        <v>0</v>
      </c>
      <c r="AD3961">
        <v>10</v>
      </c>
      <c r="AE3961">
        <v>0</v>
      </c>
      <c r="AF3961">
        <v>3</v>
      </c>
      <c r="AG3961">
        <v>2</v>
      </c>
      <c r="AH3961">
        <v>0</v>
      </c>
      <c r="AI3961" t="s">
        <v>2229</v>
      </c>
      <c r="AJ3961">
        <v>40.139065000000002</v>
      </c>
      <c r="AK3961" t="s">
        <v>2230</v>
      </c>
      <c r="AL3961">
        <v>-93.095140000000001</v>
      </c>
      <c r="AM3961">
        <v>100</v>
      </c>
      <c r="AN3961">
        <v>1300</v>
      </c>
      <c r="AO3961" t="s">
        <v>118</v>
      </c>
      <c r="AP3961">
        <v>-114</v>
      </c>
      <c r="AQ3961">
        <v>60</v>
      </c>
      <c r="AR3961">
        <v>-128</v>
      </c>
      <c r="AZ3961">
        <v>1200</v>
      </c>
      <c r="BA3961">
        <v>1</v>
      </c>
      <c r="BB3961" t="str">
        <f t="shared" si="198"/>
        <v xml:space="preserve">N8080G  </v>
      </c>
      <c r="BC3961">
        <v>1</v>
      </c>
      <c r="BE3961">
        <v>0</v>
      </c>
      <c r="BF3961">
        <v>0</v>
      </c>
      <c r="BG3961">
        <v>0</v>
      </c>
      <c r="BH3961">
        <v>1325</v>
      </c>
      <c r="BI3961">
        <v>1</v>
      </c>
      <c r="BJ3961">
        <v>1</v>
      </c>
      <c r="BK3961">
        <v>1</v>
      </c>
      <c r="BL3961">
        <v>0</v>
      </c>
      <c r="BO3961">
        <v>0</v>
      </c>
      <c r="BP3961">
        <v>0</v>
      </c>
      <c r="BW3961" t="str">
        <f>"20:36:26.461"</f>
        <v>20:36:26.461</v>
      </c>
      <c r="BZ3961">
        <v>0</v>
      </c>
      <c r="CA3961">
        <v>1600</v>
      </c>
      <c r="CB3961">
        <v>224</v>
      </c>
      <c r="CD3961">
        <v>1</v>
      </c>
      <c r="CE3961">
        <v>0</v>
      </c>
      <c r="CF3961">
        <v>0</v>
      </c>
      <c r="CG3961">
        <v>1</v>
      </c>
      <c r="CH3961">
        <v>0</v>
      </c>
      <c r="CI3961">
        <v>0</v>
      </c>
      <c r="CJ3961">
        <v>0</v>
      </c>
      <c r="CK3961">
        <v>2</v>
      </c>
      <c r="CL3961">
        <v>0</v>
      </c>
      <c r="CM3961">
        <v>2</v>
      </c>
      <c r="CN3961">
        <v>0</v>
      </c>
      <c r="CO3961">
        <v>6</v>
      </c>
      <c r="CP3961" t="s">
        <v>119</v>
      </c>
      <c r="CQ3961">
        <v>180</v>
      </c>
      <c r="CR3961">
        <v>3</v>
      </c>
      <c r="CW3961">
        <v>1308612</v>
      </c>
      <c r="CY3961">
        <v>0</v>
      </c>
      <c r="CZ3961">
        <v>0</v>
      </c>
      <c r="DA3961">
        <v>1</v>
      </c>
      <c r="DB3961">
        <v>0</v>
      </c>
      <c r="DC3961">
        <v>0</v>
      </c>
      <c r="DD3961">
        <v>0</v>
      </c>
      <c r="DE3961">
        <v>0</v>
      </c>
      <c r="DF3961">
        <v>0</v>
      </c>
      <c r="DG3961">
        <v>0</v>
      </c>
      <c r="DH3961">
        <v>0</v>
      </c>
      <c r="DI3961">
        <v>0</v>
      </c>
    </row>
    <row r="3962" spans="1:113" x14ac:dyDescent="0.3">
      <c r="A3962" t="str">
        <f>"02/08/2021 20:36:24.119"</f>
        <v>02/08/2021 20:36:24.119</v>
      </c>
      <c r="C3962" t="str">
        <f t="shared" si="197"/>
        <v>FFDFD7C0</v>
      </c>
      <c r="D3962" t="s">
        <v>124</v>
      </c>
      <c r="E3962">
        <v>11</v>
      </c>
      <c r="F3962">
        <v>1011</v>
      </c>
      <c r="G3962" t="s">
        <v>590</v>
      </c>
      <c r="J3962" t="s">
        <v>125</v>
      </c>
      <c r="K3962">
        <v>0</v>
      </c>
      <c r="L3962">
        <v>3</v>
      </c>
      <c r="M3962">
        <v>0</v>
      </c>
      <c r="N3962">
        <v>2</v>
      </c>
      <c r="O3962">
        <v>1</v>
      </c>
      <c r="P3962">
        <v>0</v>
      </c>
      <c r="Q3962">
        <v>0</v>
      </c>
      <c r="S3962" t="str">
        <f>"20:36:26.461"</f>
        <v>20:36:26.461</v>
      </c>
      <c r="T3962" t="str">
        <f>"20:36:25.961"</f>
        <v>20:36:25.961</v>
      </c>
      <c r="U3962" t="str">
        <f t="shared" si="196"/>
        <v>AB01F4</v>
      </c>
      <c r="V3962">
        <v>0</v>
      </c>
      <c r="W3962">
        <v>0</v>
      </c>
      <c r="X3962">
        <v>2</v>
      </c>
      <c r="Z3962">
        <v>0</v>
      </c>
      <c r="AA3962">
        <v>9</v>
      </c>
      <c r="AB3962">
        <v>3</v>
      </c>
      <c r="AC3962">
        <v>0</v>
      </c>
      <c r="AD3962">
        <v>10</v>
      </c>
      <c r="AE3962">
        <v>0</v>
      </c>
      <c r="AF3962">
        <v>3</v>
      </c>
      <c r="AG3962">
        <v>2</v>
      </c>
      <c r="AH3962">
        <v>0</v>
      </c>
      <c r="AI3962" t="s">
        <v>2229</v>
      </c>
      <c r="AJ3962">
        <v>40.139065000000002</v>
      </c>
      <c r="AK3962" t="s">
        <v>2230</v>
      </c>
      <c r="AL3962">
        <v>-93.095140000000001</v>
      </c>
      <c r="AM3962">
        <v>100</v>
      </c>
      <c r="AN3962">
        <v>1300</v>
      </c>
      <c r="AO3962" t="s">
        <v>118</v>
      </c>
      <c r="AP3962">
        <v>-114</v>
      </c>
      <c r="AQ3962">
        <v>60</v>
      </c>
      <c r="AR3962">
        <v>-128</v>
      </c>
      <c r="AZ3962">
        <v>1200</v>
      </c>
      <c r="BA3962">
        <v>1</v>
      </c>
      <c r="BB3962" t="str">
        <f t="shared" si="198"/>
        <v xml:space="preserve">N8080G  </v>
      </c>
      <c r="BC3962">
        <v>1</v>
      </c>
      <c r="BE3962">
        <v>0</v>
      </c>
      <c r="BF3962">
        <v>0</v>
      </c>
      <c r="BG3962">
        <v>0</v>
      </c>
      <c r="BH3962">
        <v>1325</v>
      </c>
      <c r="BI3962">
        <v>1</v>
      </c>
      <c r="BJ3962">
        <v>1</v>
      </c>
      <c r="BK3962">
        <v>1</v>
      </c>
      <c r="BL3962">
        <v>0</v>
      </c>
      <c r="BO3962">
        <v>0</v>
      </c>
      <c r="BP3962">
        <v>0</v>
      </c>
      <c r="BW3962" t="str">
        <f>"20:36:26.461"</f>
        <v>20:36:26.461</v>
      </c>
      <c r="BZ3962">
        <v>0</v>
      </c>
      <c r="CA3962">
        <v>1600</v>
      </c>
      <c r="CB3962">
        <v>224</v>
      </c>
      <c r="CD3962">
        <v>1</v>
      </c>
      <c r="CE3962">
        <v>0</v>
      </c>
      <c r="CF3962">
        <v>0</v>
      </c>
      <c r="CG3962">
        <v>1</v>
      </c>
      <c r="CH3962">
        <v>0</v>
      </c>
      <c r="CI3962">
        <v>0</v>
      </c>
      <c r="CJ3962">
        <v>0</v>
      </c>
      <c r="CK3962">
        <v>2</v>
      </c>
      <c r="CL3962">
        <v>0</v>
      </c>
      <c r="CM3962">
        <v>2</v>
      </c>
      <c r="CN3962">
        <v>0</v>
      </c>
      <c r="CO3962">
        <v>6</v>
      </c>
      <c r="CP3962" t="s">
        <v>119</v>
      </c>
      <c r="CQ3962">
        <v>180</v>
      </c>
      <c r="CR3962">
        <v>3</v>
      </c>
      <c r="CW3962">
        <v>1308612</v>
      </c>
      <c r="CY3962">
        <v>0</v>
      </c>
      <c r="CZ3962">
        <v>0</v>
      </c>
      <c r="DA3962">
        <v>1</v>
      </c>
      <c r="DB3962">
        <v>0</v>
      </c>
      <c r="DC3962">
        <v>0</v>
      </c>
      <c r="DD3962">
        <v>0</v>
      </c>
      <c r="DE3962">
        <v>0</v>
      </c>
      <c r="DF3962">
        <v>0</v>
      </c>
      <c r="DG3962">
        <v>0</v>
      </c>
      <c r="DH3962">
        <v>0</v>
      </c>
      <c r="DI3962">
        <v>0</v>
      </c>
    </row>
    <row r="3963" spans="1:113" x14ac:dyDescent="0.3">
      <c r="A3963" t="str">
        <f>"02/08/2021 20:36:24.997"</f>
        <v>02/08/2021 20:36:24.997</v>
      </c>
      <c r="C3963" t="str">
        <f t="shared" si="197"/>
        <v>FFDFD7C0</v>
      </c>
      <c r="D3963" t="s">
        <v>124</v>
      </c>
      <c r="E3963">
        <v>13</v>
      </c>
      <c r="F3963">
        <v>1013</v>
      </c>
      <c r="G3963" t="s">
        <v>114</v>
      </c>
      <c r="J3963" t="s">
        <v>125</v>
      </c>
      <c r="K3963">
        <v>0</v>
      </c>
      <c r="L3963">
        <v>3</v>
      </c>
      <c r="M3963">
        <v>0</v>
      </c>
      <c r="N3963">
        <v>2</v>
      </c>
      <c r="O3963">
        <v>1</v>
      </c>
      <c r="P3963">
        <v>0</v>
      </c>
      <c r="Q3963">
        <v>0</v>
      </c>
      <c r="S3963" t="str">
        <f>"20:36:27.352"</f>
        <v>20:36:27.352</v>
      </c>
      <c r="T3963" t="str">
        <f>"20:36:26.952"</f>
        <v>20:36:26.952</v>
      </c>
      <c r="U3963" t="str">
        <f t="shared" si="196"/>
        <v>AB01F4</v>
      </c>
      <c r="V3963">
        <v>0</v>
      </c>
      <c r="W3963">
        <v>0</v>
      </c>
      <c r="X3963">
        <v>2</v>
      </c>
      <c r="Z3963">
        <v>0</v>
      </c>
      <c r="AA3963">
        <v>9</v>
      </c>
      <c r="AB3963">
        <v>3</v>
      </c>
      <c r="AC3963">
        <v>0</v>
      </c>
      <c r="AD3963">
        <v>10</v>
      </c>
      <c r="AE3963">
        <v>0</v>
      </c>
      <c r="AF3963">
        <v>3</v>
      </c>
      <c r="AG3963">
        <v>2</v>
      </c>
      <c r="AH3963">
        <v>0</v>
      </c>
      <c r="AI3963" t="s">
        <v>2231</v>
      </c>
      <c r="AJ3963">
        <v>40.139279000000002</v>
      </c>
      <c r="AK3963" t="s">
        <v>2232</v>
      </c>
      <c r="AL3963">
        <v>-93.095763000000005</v>
      </c>
      <c r="AM3963">
        <v>100</v>
      </c>
      <c r="AN3963">
        <v>1300</v>
      </c>
      <c r="AO3963" t="s">
        <v>118</v>
      </c>
      <c r="AP3963">
        <v>-114</v>
      </c>
      <c r="AQ3963">
        <v>60</v>
      </c>
      <c r="AR3963">
        <v>-128</v>
      </c>
      <c r="AZ3963">
        <v>1200</v>
      </c>
      <c r="BA3963">
        <v>1</v>
      </c>
      <c r="BB3963" t="str">
        <f t="shared" si="198"/>
        <v xml:space="preserve">N8080G  </v>
      </c>
      <c r="BC3963">
        <v>1</v>
      </c>
      <c r="BE3963">
        <v>0</v>
      </c>
      <c r="BF3963">
        <v>0</v>
      </c>
      <c r="BG3963">
        <v>0</v>
      </c>
      <c r="BH3963">
        <v>1325</v>
      </c>
      <c r="BI3963">
        <v>1</v>
      </c>
      <c r="BJ3963">
        <v>1</v>
      </c>
      <c r="BK3963">
        <v>1</v>
      </c>
      <c r="BL3963">
        <v>0</v>
      </c>
      <c r="BO3963">
        <v>0</v>
      </c>
      <c r="BP3963">
        <v>0</v>
      </c>
      <c r="BW3963" t="str">
        <f>"20:36:27.354"</f>
        <v>20:36:27.354</v>
      </c>
      <c r="BZ3963">
        <v>0</v>
      </c>
      <c r="CA3963">
        <v>1600</v>
      </c>
      <c r="CB3963">
        <v>224</v>
      </c>
      <c r="CD3963">
        <v>1</v>
      </c>
      <c r="CE3963">
        <v>0</v>
      </c>
      <c r="CF3963">
        <v>0</v>
      </c>
      <c r="CG3963">
        <v>1</v>
      </c>
      <c r="CH3963">
        <v>0</v>
      </c>
      <c r="CI3963">
        <v>0</v>
      </c>
      <c r="CJ3963">
        <v>0</v>
      </c>
      <c r="CK3963">
        <v>2</v>
      </c>
      <c r="CL3963">
        <v>0</v>
      </c>
      <c r="CM3963">
        <v>2</v>
      </c>
      <c r="CN3963">
        <v>0</v>
      </c>
      <c r="CO3963">
        <v>1</v>
      </c>
      <c r="CP3963" t="s">
        <v>119</v>
      </c>
      <c r="CQ3963">
        <v>179</v>
      </c>
      <c r="CR3963">
        <v>2</v>
      </c>
      <c r="CW3963">
        <v>12578388</v>
      </c>
      <c r="CY3963">
        <v>0</v>
      </c>
      <c r="CZ3963">
        <v>0</v>
      </c>
      <c r="DA3963">
        <v>0</v>
      </c>
      <c r="DB3963">
        <v>0</v>
      </c>
      <c r="DC3963">
        <v>0</v>
      </c>
      <c r="DD3963">
        <v>0</v>
      </c>
      <c r="DE3963">
        <v>0</v>
      </c>
      <c r="DF3963">
        <v>0</v>
      </c>
      <c r="DG3963">
        <v>0</v>
      </c>
      <c r="DH3963">
        <v>0</v>
      </c>
      <c r="DI3963">
        <v>0</v>
      </c>
    </row>
    <row r="3964" spans="1:113" x14ac:dyDescent="0.3">
      <c r="A3964" t="str">
        <f>"02/08/2021 20:36:24.997"</f>
        <v>02/08/2021 20:36:24.997</v>
      </c>
      <c r="C3964" t="str">
        <f t="shared" si="197"/>
        <v>FFDFD7C0</v>
      </c>
      <c r="D3964" t="s">
        <v>124</v>
      </c>
      <c r="E3964">
        <v>11</v>
      </c>
      <c r="F3964">
        <v>1011</v>
      </c>
      <c r="G3964" t="s">
        <v>590</v>
      </c>
      <c r="J3964" t="s">
        <v>125</v>
      </c>
      <c r="K3964">
        <v>0</v>
      </c>
      <c r="L3964">
        <v>3</v>
      </c>
      <c r="M3964">
        <v>0</v>
      </c>
      <c r="N3964">
        <v>2</v>
      </c>
      <c r="O3964">
        <v>1</v>
      </c>
      <c r="P3964">
        <v>0</v>
      </c>
      <c r="Q3964">
        <v>0</v>
      </c>
      <c r="S3964" t="str">
        <f>"20:36:27.352"</f>
        <v>20:36:27.352</v>
      </c>
      <c r="T3964" t="str">
        <f>"20:36:26.952"</f>
        <v>20:36:26.952</v>
      </c>
      <c r="U3964" t="str">
        <f t="shared" si="196"/>
        <v>AB01F4</v>
      </c>
      <c r="V3964">
        <v>0</v>
      </c>
      <c r="W3964">
        <v>0</v>
      </c>
      <c r="X3964">
        <v>2</v>
      </c>
      <c r="Z3964">
        <v>0</v>
      </c>
      <c r="AA3964">
        <v>9</v>
      </c>
      <c r="AB3964">
        <v>3</v>
      </c>
      <c r="AC3964">
        <v>0</v>
      </c>
      <c r="AD3964">
        <v>10</v>
      </c>
      <c r="AE3964">
        <v>0</v>
      </c>
      <c r="AF3964">
        <v>3</v>
      </c>
      <c r="AG3964">
        <v>2</v>
      </c>
      <c r="AH3964">
        <v>0</v>
      </c>
      <c r="AI3964" t="s">
        <v>2231</v>
      </c>
      <c r="AJ3964">
        <v>40.139279000000002</v>
      </c>
      <c r="AK3964" t="s">
        <v>2232</v>
      </c>
      <c r="AL3964">
        <v>-93.095763000000005</v>
      </c>
      <c r="AM3964">
        <v>100</v>
      </c>
      <c r="AN3964">
        <v>1300</v>
      </c>
      <c r="AO3964" t="s">
        <v>118</v>
      </c>
      <c r="AP3964">
        <v>-114</v>
      </c>
      <c r="AQ3964">
        <v>60</v>
      </c>
      <c r="AR3964">
        <v>-128</v>
      </c>
      <c r="AZ3964">
        <v>1200</v>
      </c>
      <c r="BA3964">
        <v>1</v>
      </c>
      <c r="BB3964" t="str">
        <f t="shared" si="198"/>
        <v xml:space="preserve">N8080G  </v>
      </c>
      <c r="BC3964">
        <v>1</v>
      </c>
      <c r="BE3964">
        <v>0</v>
      </c>
      <c r="BF3964">
        <v>0</v>
      </c>
      <c r="BG3964">
        <v>0</v>
      </c>
      <c r="BH3964">
        <v>1325</v>
      </c>
      <c r="BI3964">
        <v>1</v>
      </c>
      <c r="BJ3964">
        <v>1</v>
      </c>
      <c r="BK3964">
        <v>1</v>
      </c>
      <c r="BL3964">
        <v>0</v>
      </c>
      <c r="BO3964">
        <v>0</v>
      </c>
      <c r="BP3964">
        <v>0</v>
      </c>
      <c r="BW3964" t="str">
        <f>"20:36:27.354"</f>
        <v>20:36:27.354</v>
      </c>
      <c r="BZ3964">
        <v>0</v>
      </c>
      <c r="CA3964">
        <v>1600</v>
      </c>
      <c r="CB3964">
        <v>224</v>
      </c>
      <c r="CD3964">
        <v>1</v>
      </c>
      <c r="CE3964">
        <v>0</v>
      </c>
      <c r="CF3964">
        <v>0</v>
      </c>
      <c r="CG3964">
        <v>1</v>
      </c>
      <c r="CH3964">
        <v>0</v>
      </c>
      <c r="CI3964">
        <v>0</v>
      </c>
      <c r="CJ3964">
        <v>0</v>
      </c>
      <c r="CK3964">
        <v>2</v>
      </c>
      <c r="CL3964">
        <v>0</v>
      </c>
      <c r="CM3964">
        <v>2</v>
      </c>
      <c r="CN3964">
        <v>0</v>
      </c>
      <c r="CO3964">
        <v>1</v>
      </c>
      <c r="CP3964" t="s">
        <v>119</v>
      </c>
      <c r="CQ3964">
        <v>179</v>
      </c>
      <c r="CR3964">
        <v>2</v>
      </c>
      <c r="CW3964">
        <v>12578388</v>
      </c>
      <c r="CY3964">
        <v>0</v>
      </c>
      <c r="CZ3964">
        <v>0</v>
      </c>
      <c r="DA3964">
        <v>1</v>
      </c>
      <c r="DB3964">
        <v>0</v>
      </c>
      <c r="DC3964">
        <v>0</v>
      </c>
      <c r="DD3964">
        <v>0</v>
      </c>
      <c r="DE3964">
        <v>0</v>
      </c>
      <c r="DF3964">
        <v>0</v>
      </c>
      <c r="DG3964">
        <v>0</v>
      </c>
      <c r="DH3964">
        <v>0</v>
      </c>
      <c r="DI3964">
        <v>0</v>
      </c>
    </row>
    <row r="3965" spans="1:113" x14ac:dyDescent="0.3">
      <c r="A3965" t="str">
        <f>"02/08/2021 20:36:24.997"</f>
        <v>02/08/2021 20:36:24.997</v>
      </c>
      <c r="C3965" t="str">
        <f t="shared" si="197"/>
        <v>FFDFD7C0</v>
      </c>
      <c r="D3965" t="s">
        <v>113</v>
      </c>
      <c r="E3965">
        <v>6</v>
      </c>
      <c r="H3965">
        <v>165</v>
      </c>
      <c r="I3965" t="s">
        <v>114</v>
      </c>
      <c r="J3965" t="s">
        <v>115</v>
      </c>
      <c r="K3965">
        <v>0</v>
      </c>
      <c r="L3965">
        <v>3</v>
      </c>
      <c r="M3965">
        <v>0</v>
      </c>
      <c r="N3965">
        <v>2</v>
      </c>
      <c r="O3965">
        <v>1</v>
      </c>
      <c r="P3965">
        <v>0</v>
      </c>
      <c r="Q3965">
        <v>0</v>
      </c>
      <c r="S3965" t="str">
        <f>"20:36:27.352"</f>
        <v>20:36:27.352</v>
      </c>
      <c r="T3965" t="str">
        <f>"20:36:26.952"</f>
        <v>20:36:26.952</v>
      </c>
      <c r="U3965" t="str">
        <f t="shared" si="196"/>
        <v>AB01F4</v>
      </c>
      <c r="V3965">
        <v>0</v>
      </c>
      <c r="W3965">
        <v>0</v>
      </c>
      <c r="X3965">
        <v>2</v>
      </c>
      <c r="Z3965">
        <v>0</v>
      </c>
      <c r="AA3965">
        <v>9</v>
      </c>
      <c r="AB3965">
        <v>3</v>
      </c>
      <c r="AC3965">
        <v>0</v>
      </c>
      <c r="AD3965">
        <v>10</v>
      </c>
      <c r="AE3965">
        <v>0</v>
      </c>
      <c r="AF3965">
        <v>3</v>
      </c>
      <c r="AG3965">
        <v>2</v>
      </c>
      <c r="AH3965">
        <v>0</v>
      </c>
      <c r="AI3965" t="s">
        <v>2231</v>
      </c>
      <c r="AJ3965">
        <v>40.139279000000002</v>
      </c>
      <c r="AK3965" t="s">
        <v>2232</v>
      </c>
      <c r="AL3965">
        <v>-93.095763000000005</v>
      </c>
      <c r="AM3965">
        <v>100</v>
      </c>
      <c r="AN3965">
        <v>1300</v>
      </c>
      <c r="AO3965" t="s">
        <v>118</v>
      </c>
      <c r="AP3965">
        <v>-114</v>
      </c>
      <c r="AQ3965">
        <v>60</v>
      </c>
      <c r="AR3965">
        <v>-128</v>
      </c>
      <c r="AZ3965">
        <v>1200</v>
      </c>
      <c r="BA3965">
        <v>1</v>
      </c>
      <c r="BB3965" t="str">
        <f t="shared" si="198"/>
        <v xml:space="preserve">N8080G  </v>
      </c>
      <c r="BC3965">
        <v>1</v>
      </c>
      <c r="BE3965">
        <v>0</v>
      </c>
      <c r="BF3965">
        <v>0</v>
      </c>
      <c r="BG3965">
        <v>0</v>
      </c>
      <c r="BH3965">
        <v>1325</v>
      </c>
      <c r="BI3965">
        <v>1</v>
      </c>
      <c r="BJ3965">
        <v>1</v>
      </c>
      <c r="BK3965">
        <v>1</v>
      </c>
      <c r="BL3965">
        <v>0</v>
      </c>
      <c r="BO3965">
        <v>0</v>
      </c>
      <c r="BP3965">
        <v>0</v>
      </c>
      <c r="BW3965" t="str">
        <f>"20:36:27.354"</f>
        <v>20:36:27.354</v>
      </c>
      <c r="BZ3965">
        <v>0</v>
      </c>
      <c r="CA3965">
        <v>1600</v>
      </c>
      <c r="CB3965">
        <v>224</v>
      </c>
      <c r="CD3965">
        <v>1</v>
      </c>
      <c r="CE3965">
        <v>0</v>
      </c>
      <c r="CF3965">
        <v>0</v>
      </c>
      <c r="CG3965">
        <v>1</v>
      </c>
      <c r="CH3965">
        <v>0</v>
      </c>
      <c r="CI3965">
        <v>0</v>
      </c>
      <c r="CJ3965">
        <v>0</v>
      </c>
      <c r="CK3965">
        <v>2</v>
      </c>
      <c r="CL3965">
        <v>0</v>
      </c>
      <c r="CM3965">
        <v>2</v>
      </c>
      <c r="CN3965">
        <v>0</v>
      </c>
      <c r="CO3965">
        <v>1</v>
      </c>
      <c r="CP3965" t="s">
        <v>119</v>
      </c>
      <c r="CQ3965">
        <v>179</v>
      </c>
      <c r="CR3965">
        <v>2</v>
      </c>
      <c r="CW3965">
        <v>12578388</v>
      </c>
      <c r="CY3965">
        <v>0</v>
      </c>
      <c r="CZ3965">
        <v>0</v>
      </c>
      <c r="DA3965">
        <v>1</v>
      </c>
      <c r="DB3965">
        <v>0</v>
      </c>
      <c r="DC3965">
        <v>0</v>
      </c>
      <c r="DD3965">
        <v>0</v>
      </c>
      <c r="DE3965">
        <v>0</v>
      </c>
      <c r="DF3965">
        <v>0</v>
      </c>
      <c r="DG3965">
        <v>0</v>
      </c>
      <c r="DH3965">
        <v>0</v>
      </c>
      <c r="DI3965">
        <v>0</v>
      </c>
    </row>
    <row r="3966" spans="1:113" x14ac:dyDescent="0.3">
      <c r="A3966" t="str">
        <f>"02/08/2021 20:36:24.997"</f>
        <v>02/08/2021 20:36:24.997</v>
      </c>
      <c r="C3966" t="str">
        <f t="shared" si="197"/>
        <v>FFDFD7C0</v>
      </c>
      <c r="D3966" t="s">
        <v>124</v>
      </c>
      <c r="E3966">
        <v>12</v>
      </c>
      <c r="F3966">
        <v>1012</v>
      </c>
      <c r="G3966" t="s">
        <v>675</v>
      </c>
      <c r="J3966" t="s">
        <v>125</v>
      </c>
      <c r="K3966">
        <v>0</v>
      </c>
      <c r="L3966">
        <v>3</v>
      </c>
      <c r="M3966">
        <v>0</v>
      </c>
      <c r="N3966">
        <v>2</v>
      </c>
      <c r="O3966">
        <v>1</v>
      </c>
      <c r="P3966">
        <v>0</v>
      </c>
      <c r="Q3966">
        <v>0</v>
      </c>
      <c r="S3966" t="str">
        <f>"20:36:27.352"</f>
        <v>20:36:27.352</v>
      </c>
      <c r="T3966" t="str">
        <f>"20:36:26.952"</f>
        <v>20:36:26.952</v>
      </c>
      <c r="U3966" t="str">
        <f t="shared" si="196"/>
        <v>AB01F4</v>
      </c>
      <c r="V3966">
        <v>0</v>
      </c>
      <c r="W3966">
        <v>0</v>
      </c>
      <c r="X3966">
        <v>2</v>
      </c>
      <c r="Z3966">
        <v>0</v>
      </c>
      <c r="AA3966">
        <v>9</v>
      </c>
      <c r="AB3966">
        <v>3</v>
      </c>
      <c r="AC3966">
        <v>0</v>
      </c>
      <c r="AD3966">
        <v>10</v>
      </c>
      <c r="AE3966">
        <v>0</v>
      </c>
      <c r="AF3966">
        <v>3</v>
      </c>
      <c r="AG3966">
        <v>2</v>
      </c>
      <c r="AH3966">
        <v>0</v>
      </c>
      <c r="AI3966" t="s">
        <v>2231</v>
      </c>
      <c r="AJ3966">
        <v>40.139279000000002</v>
      </c>
      <c r="AK3966" t="s">
        <v>2232</v>
      </c>
      <c r="AL3966">
        <v>-93.095763000000005</v>
      </c>
      <c r="AM3966">
        <v>100</v>
      </c>
      <c r="AN3966">
        <v>1300</v>
      </c>
      <c r="AO3966" t="s">
        <v>118</v>
      </c>
      <c r="AP3966">
        <v>-114</v>
      </c>
      <c r="AQ3966">
        <v>60</v>
      </c>
      <c r="AR3966">
        <v>-128</v>
      </c>
      <c r="AZ3966">
        <v>1200</v>
      </c>
      <c r="BA3966">
        <v>1</v>
      </c>
      <c r="BB3966" t="str">
        <f t="shared" si="198"/>
        <v xml:space="preserve">N8080G  </v>
      </c>
      <c r="BC3966">
        <v>1</v>
      </c>
      <c r="BE3966">
        <v>0</v>
      </c>
      <c r="BF3966">
        <v>0</v>
      </c>
      <c r="BG3966">
        <v>0</v>
      </c>
      <c r="BH3966">
        <v>1325</v>
      </c>
      <c r="BI3966">
        <v>1</v>
      </c>
      <c r="BJ3966">
        <v>1</v>
      </c>
      <c r="BK3966">
        <v>1</v>
      </c>
      <c r="BL3966">
        <v>0</v>
      </c>
      <c r="BO3966">
        <v>0</v>
      </c>
      <c r="BP3966">
        <v>0</v>
      </c>
      <c r="BW3966" t="str">
        <f>"20:36:27.354"</f>
        <v>20:36:27.354</v>
      </c>
      <c r="BZ3966">
        <v>0</v>
      </c>
      <c r="CA3966">
        <v>1600</v>
      </c>
      <c r="CB3966">
        <v>224</v>
      </c>
      <c r="CD3966">
        <v>1</v>
      </c>
      <c r="CE3966">
        <v>0</v>
      </c>
      <c r="CF3966">
        <v>0</v>
      </c>
      <c r="CG3966">
        <v>1</v>
      </c>
      <c r="CH3966">
        <v>0</v>
      </c>
      <c r="CI3966">
        <v>0</v>
      </c>
      <c r="CJ3966">
        <v>0</v>
      </c>
      <c r="CK3966">
        <v>2</v>
      </c>
      <c r="CL3966">
        <v>0</v>
      </c>
      <c r="CM3966">
        <v>2</v>
      </c>
      <c r="CN3966">
        <v>0</v>
      </c>
      <c r="CO3966">
        <v>1</v>
      </c>
      <c r="CP3966" t="s">
        <v>119</v>
      </c>
      <c r="CQ3966">
        <v>179</v>
      </c>
      <c r="CR3966">
        <v>2</v>
      </c>
      <c r="CW3966">
        <v>12578388</v>
      </c>
      <c r="CY3966">
        <v>0</v>
      </c>
      <c r="CZ3966">
        <v>0</v>
      </c>
      <c r="DA3966">
        <v>1</v>
      </c>
      <c r="DB3966">
        <v>0</v>
      </c>
      <c r="DC3966">
        <v>0</v>
      </c>
      <c r="DD3966">
        <v>0</v>
      </c>
      <c r="DE3966">
        <v>0</v>
      </c>
      <c r="DF3966">
        <v>0</v>
      </c>
      <c r="DG3966">
        <v>0</v>
      </c>
      <c r="DH3966">
        <v>0</v>
      </c>
      <c r="DI3966">
        <v>0</v>
      </c>
    </row>
    <row r="3967" spans="1:113" x14ac:dyDescent="0.3">
      <c r="A3967" t="str">
        <f>"02/08/2021 20:36:26.068"</f>
        <v>02/08/2021 20:36:26.068</v>
      </c>
      <c r="C3967" t="str">
        <f t="shared" si="197"/>
        <v>FFDFD7C0</v>
      </c>
      <c r="D3967" t="s">
        <v>124</v>
      </c>
      <c r="E3967">
        <v>11</v>
      </c>
      <c r="F3967">
        <v>1011</v>
      </c>
      <c r="G3967" t="s">
        <v>590</v>
      </c>
      <c r="J3967" t="s">
        <v>125</v>
      </c>
      <c r="K3967">
        <v>0</v>
      </c>
      <c r="L3967">
        <v>3</v>
      </c>
      <c r="M3967">
        <v>0</v>
      </c>
      <c r="N3967">
        <v>2</v>
      </c>
      <c r="O3967">
        <v>1</v>
      </c>
      <c r="P3967">
        <v>0</v>
      </c>
      <c r="Q3967">
        <v>0</v>
      </c>
      <c r="S3967" t="str">
        <f>"20:36:28.375"</f>
        <v>20:36:28.375</v>
      </c>
      <c r="T3967" t="str">
        <f>"20:36:27.875"</f>
        <v>20:36:27.875</v>
      </c>
      <c r="U3967" t="str">
        <f t="shared" si="196"/>
        <v>AB01F4</v>
      </c>
      <c r="V3967">
        <v>0</v>
      </c>
      <c r="W3967">
        <v>0</v>
      </c>
      <c r="X3967">
        <v>2</v>
      </c>
      <c r="Z3967">
        <v>0</v>
      </c>
      <c r="AA3967">
        <v>9</v>
      </c>
      <c r="AB3967">
        <v>3</v>
      </c>
      <c r="AC3967">
        <v>0</v>
      </c>
      <c r="AD3967">
        <v>10</v>
      </c>
      <c r="AE3967">
        <v>0</v>
      </c>
      <c r="AF3967">
        <v>3</v>
      </c>
      <c r="AG3967">
        <v>2</v>
      </c>
      <c r="AH3967">
        <v>0</v>
      </c>
      <c r="AI3967" t="s">
        <v>2233</v>
      </c>
      <c r="AJ3967">
        <v>40.139558000000001</v>
      </c>
      <c r="AK3967" t="s">
        <v>2234</v>
      </c>
      <c r="AL3967">
        <v>-93.096491999999998</v>
      </c>
      <c r="AM3967">
        <v>100</v>
      </c>
      <c r="AN3967">
        <v>1300</v>
      </c>
      <c r="AO3967" t="s">
        <v>118</v>
      </c>
      <c r="AP3967">
        <v>-114</v>
      </c>
      <c r="AQ3967">
        <v>59</v>
      </c>
      <c r="AR3967">
        <v>-128</v>
      </c>
      <c r="AZ3967">
        <v>1200</v>
      </c>
      <c r="BA3967">
        <v>1</v>
      </c>
      <c r="BB3967" t="str">
        <f t="shared" si="198"/>
        <v xml:space="preserve">N8080G  </v>
      </c>
      <c r="BC3967">
        <v>1</v>
      </c>
      <c r="BE3967">
        <v>0</v>
      </c>
      <c r="BF3967">
        <v>0</v>
      </c>
      <c r="BG3967">
        <v>0</v>
      </c>
      <c r="BH3967">
        <v>1325</v>
      </c>
      <c r="BI3967">
        <v>1</v>
      </c>
      <c r="BJ3967">
        <v>1</v>
      </c>
      <c r="BK3967">
        <v>1</v>
      </c>
      <c r="BL3967">
        <v>0</v>
      </c>
      <c r="BO3967">
        <v>0</v>
      </c>
      <c r="BP3967">
        <v>0</v>
      </c>
      <c r="BW3967" t="str">
        <f>"20:36:28.381"</f>
        <v>20:36:28.381</v>
      </c>
      <c r="BZ3967">
        <v>0</v>
      </c>
      <c r="CA3967">
        <v>1600</v>
      </c>
      <c r="CB3967">
        <v>224</v>
      </c>
      <c r="CD3967">
        <v>1</v>
      </c>
      <c r="CE3967">
        <v>0</v>
      </c>
      <c r="CF3967">
        <v>0</v>
      </c>
      <c r="CG3967">
        <v>1</v>
      </c>
      <c r="CH3967">
        <v>0</v>
      </c>
      <c r="CI3967">
        <v>0</v>
      </c>
      <c r="CJ3967">
        <v>0</v>
      </c>
      <c r="CK3967">
        <v>2</v>
      </c>
      <c r="CL3967">
        <v>0</v>
      </c>
      <c r="CM3967">
        <v>2</v>
      </c>
      <c r="CN3967">
        <v>0</v>
      </c>
      <c r="CO3967">
        <v>1</v>
      </c>
      <c r="CP3967" t="s">
        <v>119</v>
      </c>
      <c r="CQ3967">
        <v>179</v>
      </c>
      <c r="CR3967">
        <v>2</v>
      </c>
      <c r="CW3967">
        <v>12579250</v>
      </c>
      <c r="CY3967">
        <v>0</v>
      </c>
      <c r="CZ3967">
        <v>0</v>
      </c>
      <c r="DA3967">
        <v>0</v>
      </c>
      <c r="DB3967">
        <v>0</v>
      </c>
      <c r="DC3967">
        <v>0</v>
      </c>
      <c r="DD3967">
        <v>0</v>
      </c>
      <c r="DE3967">
        <v>0</v>
      </c>
      <c r="DF3967">
        <v>0</v>
      </c>
      <c r="DG3967">
        <v>0</v>
      </c>
      <c r="DH3967">
        <v>0</v>
      </c>
      <c r="DI3967">
        <v>0</v>
      </c>
    </row>
    <row r="3968" spans="1:113" x14ac:dyDescent="0.3">
      <c r="A3968" t="str">
        <f>"02/08/2021 20:36:26.068"</f>
        <v>02/08/2021 20:36:26.068</v>
      </c>
      <c r="C3968" t="str">
        <f t="shared" si="197"/>
        <v>FFDFD7C0</v>
      </c>
      <c r="D3968" t="s">
        <v>124</v>
      </c>
      <c r="E3968">
        <v>12</v>
      </c>
      <c r="F3968">
        <v>1012</v>
      </c>
      <c r="G3968" t="s">
        <v>675</v>
      </c>
      <c r="J3968" t="s">
        <v>125</v>
      </c>
      <c r="K3968">
        <v>0</v>
      </c>
      <c r="L3968">
        <v>3</v>
      </c>
      <c r="M3968">
        <v>0</v>
      </c>
      <c r="N3968">
        <v>2</v>
      </c>
      <c r="O3968">
        <v>1</v>
      </c>
      <c r="P3968">
        <v>0</v>
      </c>
      <c r="Q3968">
        <v>0</v>
      </c>
      <c r="S3968" t="str">
        <f>"20:36:28.375"</f>
        <v>20:36:28.375</v>
      </c>
      <c r="T3968" t="str">
        <f>"20:36:27.875"</f>
        <v>20:36:27.875</v>
      </c>
      <c r="U3968" t="str">
        <f t="shared" si="196"/>
        <v>AB01F4</v>
      </c>
      <c r="V3968">
        <v>0</v>
      </c>
      <c r="W3968">
        <v>0</v>
      </c>
      <c r="X3968">
        <v>2</v>
      </c>
      <c r="Z3968">
        <v>0</v>
      </c>
      <c r="AA3968">
        <v>9</v>
      </c>
      <c r="AB3968">
        <v>3</v>
      </c>
      <c r="AC3968">
        <v>0</v>
      </c>
      <c r="AD3968">
        <v>10</v>
      </c>
      <c r="AE3968">
        <v>0</v>
      </c>
      <c r="AF3968">
        <v>3</v>
      </c>
      <c r="AG3968">
        <v>2</v>
      </c>
      <c r="AH3968">
        <v>0</v>
      </c>
      <c r="AI3968" t="s">
        <v>2233</v>
      </c>
      <c r="AJ3968">
        <v>40.139558000000001</v>
      </c>
      <c r="AK3968" t="s">
        <v>2234</v>
      </c>
      <c r="AL3968">
        <v>-93.096491999999998</v>
      </c>
      <c r="AM3968">
        <v>100</v>
      </c>
      <c r="AN3968">
        <v>1300</v>
      </c>
      <c r="AO3968" t="s">
        <v>118</v>
      </c>
      <c r="AP3968">
        <v>-114</v>
      </c>
      <c r="AQ3968">
        <v>59</v>
      </c>
      <c r="AR3968">
        <v>-128</v>
      </c>
      <c r="AZ3968">
        <v>1200</v>
      </c>
      <c r="BA3968">
        <v>1</v>
      </c>
      <c r="BB3968" t="str">
        <f t="shared" si="198"/>
        <v xml:space="preserve">N8080G  </v>
      </c>
      <c r="BC3968">
        <v>1</v>
      </c>
      <c r="BE3968">
        <v>0</v>
      </c>
      <c r="BF3968">
        <v>0</v>
      </c>
      <c r="BG3968">
        <v>0</v>
      </c>
      <c r="BH3968">
        <v>1325</v>
      </c>
      <c r="BI3968">
        <v>1</v>
      </c>
      <c r="BJ3968">
        <v>1</v>
      </c>
      <c r="BK3968">
        <v>1</v>
      </c>
      <c r="BL3968">
        <v>0</v>
      </c>
      <c r="BO3968">
        <v>0</v>
      </c>
      <c r="BP3968">
        <v>0</v>
      </c>
      <c r="BW3968" t="str">
        <f>"20:36:28.381"</f>
        <v>20:36:28.381</v>
      </c>
      <c r="BZ3968">
        <v>0</v>
      </c>
      <c r="CA3968">
        <v>1600</v>
      </c>
      <c r="CB3968">
        <v>224</v>
      </c>
      <c r="CD3968">
        <v>1</v>
      </c>
      <c r="CE3968">
        <v>0</v>
      </c>
      <c r="CF3968">
        <v>0</v>
      </c>
      <c r="CG3968">
        <v>1</v>
      </c>
      <c r="CH3968">
        <v>0</v>
      </c>
      <c r="CI3968">
        <v>0</v>
      </c>
      <c r="CJ3968">
        <v>0</v>
      </c>
      <c r="CK3968">
        <v>2</v>
      </c>
      <c r="CL3968">
        <v>0</v>
      </c>
      <c r="CM3968">
        <v>2</v>
      </c>
      <c r="CN3968">
        <v>0</v>
      </c>
      <c r="CO3968">
        <v>1</v>
      </c>
      <c r="CP3968" t="s">
        <v>119</v>
      </c>
      <c r="CQ3968">
        <v>179</v>
      </c>
      <c r="CR3968">
        <v>2</v>
      </c>
      <c r="CW3968">
        <v>12579250</v>
      </c>
      <c r="CY3968">
        <v>0</v>
      </c>
      <c r="CZ3968">
        <v>0</v>
      </c>
      <c r="DA3968">
        <v>1</v>
      </c>
      <c r="DB3968">
        <v>0</v>
      </c>
      <c r="DC3968">
        <v>0</v>
      </c>
      <c r="DD3968">
        <v>0</v>
      </c>
      <c r="DE3968">
        <v>0</v>
      </c>
      <c r="DF3968">
        <v>0</v>
      </c>
      <c r="DG3968">
        <v>0</v>
      </c>
      <c r="DH3968">
        <v>0</v>
      </c>
      <c r="DI3968">
        <v>0</v>
      </c>
    </row>
    <row r="3969" spans="1:113" x14ac:dyDescent="0.3">
      <c r="A3969" t="str">
        <f>"02/08/2021 20:36:26.068"</f>
        <v>02/08/2021 20:36:26.068</v>
      </c>
      <c r="C3969" t="str">
        <f t="shared" si="197"/>
        <v>FFDFD7C0</v>
      </c>
      <c r="D3969" t="s">
        <v>113</v>
      </c>
      <c r="E3969">
        <v>6</v>
      </c>
      <c r="H3969">
        <v>165</v>
      </c>
      <c r="I3969" t="s">
        <v>114</v>
      </c>
      <c r="J3969" t="s">
        <v>115</v>
      </c>
      <c r="K3969">
        <v>0</v>
      </c>
      <c r="L3969">
        <v>3</v>
      </c>
      <c r="M3969">
        <v>0</v>
      </c>
      <c r="N3969">
        <v>2</v>
      </c>
      <c r="O3969">
        <v>1</v>
      </c>
      <c r="P3969">
        <v>0</v>
      </c>
      <c r="Q3969">
        <v>0</v>
      </c>
      <c r="S3969" t="str">
        <f>"20:36:28.375"</f>
        <v>20:36:28.375</v>
      </c>
      <c r="T3969" t="str">
        <f>"20:36:27.875"</f>
        <v>20:36:27.875</v>
      </c>
      <c r="U3969" t="str">
        <f t="shared" si="196"/>
        <v>AB01F4</v>
      </c>
      <c r="V3969">
        <v>0</v>
      </c>
      <c r="W3969">
        <v>0</v>
      </c>
      <c r="X3969">
        <v>2</v>
      </c>
      <c r="Z3969">
        <v>0</v>
      </c>
      <c r="AA3969">
        <v>9</v>
      </c>
      <c r="AB3969">
        <v>3</v>
      </c>
      <c r="AC3969">
        <v>0</v>
      </c>
      <c r="AD3969">
        <v>10</v>
      </c>
      <c r="AE3969">
        <v>0</v>
      </c>
      <c r="AF3969">
        <v>3</v>
      </c>
      <c r="AG3969">
        <v>2</v>
      </c>
      <c r="AH3969">
        <v>0</v>
      </c>
      <c r="AI3969" t="s">
        <v>2233</v>
      </c>
      <c r="AJ3969">
        <v>40.139558000000001</v>
      </c>
      <c r="AK3969" t="s">
        <v>2234</v>
      </c>
      <c r="AL3969">
        <v>-93.096491999999998</v>
      </c>
      <c r="AM3969">
        <v>100</v>
      </c>
      <c r="AN3969">
        <v>1300</v>
      </c>
      <c r="AO3969" t="s">
        <v>118</v>
      </c>
      <c r="AP3969">
        <v>-114</v>
      </c>
      <c r="AQ3969">
        <v>59</v>
      </c>
      <c r="AR3969">
        <v>-128</v>
      </c>
      <c r="AZ3969">
        <v>1200</v>
      </c>
      <c r="BA3969">
        <v>1</v>
      </c>
      <c r="BB3969" t="str">
        <f t="shared" si="198"/>
        <v xml:space="preserve">N8080G  </v>
      </c>
      <c r="BC3969">
        <v>1</v>
      </c>
      <c r="BE3969">
        <v>0</v>
      </c>
      <c r="BF3969">
        <v>0</v>
      </c>
      <c r="BG3969">
        <v>0</v>
      </c>
      <c r="BH3969">
        <v>1325</v>
      </c>
      <c r="BI3969">
        <v>1</v>
      </c>
      <c r="BJ3969">
        <v>1</v>
      </c>
      <c r="BK3969">
        <v>1</v>
      </c>
      <c r="BL3969">
        <v>0</v>
      </c>
      <c r="BO3969">
        <v>0</v>
      </c>
      <c r="BP3969">
        <v>0</v>
      </c>
      <c r="BW3969" t="str">
        <f>"20:36:28.381"</f>
        <v>20:36:28.381</v>
      </c>
      <c r="BZ3969">
        <v>0</v>
      </c>
      <c r="CA3969">
        <v>1600</v>
      </c>
      <c r="CB3969">
        <v>224</v>
      </c>
      <c r="CD3969">
        <v>1</v>
      </c>
      <c r="CE3969">
        <v>0</v>
      </c>
      <c r="CF3969">
        <v>0</v>
      </c>
      <c r="CG3969">
        <v>1</v>
      </c>
      <c r="CH3969">
        <v>0</v>
      </c>
      <c r="CI3969">
        <v>0</v>
      </c>
      <c r="CJ3969">
        <v>0</v>
      </c>
      <c r="CK3969">
        <v>2</v>
      </c>
      <c r="CL3969">
        <v>0</v>
      </c>
      <c r="CM3969">
        <v>2</v>
      </c>
      <c r="CN3969">
        <v>0</v>
      </c>
      <c r="CO3969">
        <v>1</v>
      </c>
      <c r="CP3969" t="s">
        <v>119</v>
      </c>
      <c r="CQ3969">
        <v>179</v>
      </c>
      <c r="CR3969">
        <v>2</v>
      </c>
      <c r="CW3969">
        <v>12579250</v>
      </c>
      <c r="CY3969">
        <v>0</v>
      </c>
      <c r="CZ3969">
        <v>0</v>
      </c>
      <c r="DA3969">
        <v>1</v>
      </c>
      <c r="DB3969">
        <v>0</v>
      </c>
      <c r="DC3969">
        <v>0</v>
      </c>
      <c r="DD3969">
        <v>0</v>
      </c>
      <c r="DE3969">
        <v>0</v>
      </c>
      <c r="DF3969">
        <v>0</v>
      </c>
      <c r="DG3969">
        <v>0</v>
      </c>
      <c r="DH3969">
        <v>0</v>
      </c>
      <c r="DI3969">
        <v>0</v>
      </c>
    </row>
    <row r="3970" spans="1:113" x14ac:dyDescent="0.3">
      <c r="A3970" t="str">
        <f>"02/08/2021 20:36:26.068"</f>
        <v>02/08/2021 20:36:26.068</v>
      </c>
      <c r="C3970" t="str">
        <f t="shared" si="197"/>
        <v>FFDFD7C0</v>
      </c>
      <c r="D3970" t="s">
        <v>124</v>
      </c>
      <c r="E3970">
        <v>13</v>
      </c>
      <c r="F3970">
        <v>1013</v>
      </c>
      <c r="G3970" t="s">
        <v>114</v>
      </c>
      <c r="J3970" t="s">
        <v>125</v>
      </c>
      <c r="K3970">
        <v>0</v>
      </c>
      <c r="L3970">
        <v>3</v>
      </c>
      <c r="M3970">
        <v>0</v>
      </c>
      <c r="N3970">
        <v>2</v>
      </c>
      <c r="O3970">
        <v>1</v>
      </c>
      <c r="P3970">
        <v>0</v>
      </c>
      <c r="Q3970">
        <v>0</v>
      </c>
      <c r="S3970" t="str">
        <f>"20:36:28.375"</f>
        <v>20:36:28.375</v>
      </c>
      <c r="T3970" t="str">
        <f>"20:36:27.875"</f>
        <v>20:36:27.875</v>
      </c>
      <c r="U3970" t="str">
        <f t="shared" ref="U3970:U4033" si="199">"AB01F4"</f>
        <v>AB01F4</v>
      </c>
      <c r="V3970">
        <v>0</v>
      </c>
      <c r="W3970">
        <v>0</v>
      </c>
      <c r="X3970">
        <v>2</v>
      </c>
      <c r="Z3970">
        <v>0</v>
      </c>
      <c r="AA3970">
        <v>9</v>
      </c>
      <c r="AB3970">
        <v>3</v>
      </c>
      <c r="AC3970">
        <v>0</v>
      </c>
      <c r="AD3970">
        <v>10</v>
      </c>
      <c r="AE3970">
        <v>0</v>
      </c>
      <c r="AF3970">
        <v>3</v>
      </c>
      <c r="AG3970">
        <v>2</v>
      </c>
      <c r="AH3970">
        <v>0</v>
      </c>
      <c r="AI3970" t="s">
        <v>2233</v>
      </c>
      <c r="AJ3970">
        <v>40.139558000000001</v>
      </c>
      <c r="AK3970" t="s">
        <v>2234</v>
      </c>
      <c r="AL3970">
        <v>-93.096491999999998</v>
      </c>
      <c r="AM3970">
        <v>100</v>
      </c>
      <c r="AN3970">
        <v>1300</v>
      </c>
      <c r="AO3970" t="s">
        <v>118</v>
      </c>
      <c r="AP3970">
        <v>-114</v>
      </c>
      <c r="AQ3970">
        <v>59</v>
      </c>
      <c r="AR3970">
        <v>-128</v>
      </c>
      <c r="AZ3970">
        <v>1200</v>
      </c>
      <c r="BA3970">
        <v>1</v>
      </c>
      <c r="BB3970" t="str">
        <f t="shared" si="198"/>
        <v xml:space="preserve">N8080G  </v>
      </c>
      <c r="BC3970">
        <v>1</v>
      </c>
      <c r="BE3970">
        <v>0</v>
      </c>
      <c r="BF3970">
        <v>0</v>
      </c>
      <c r="BG3970">
        <v>0</v>
      </c>
      <c r="BH3970">
        <v>1325</v>
      </c>
      <c r="BI3970">
        <v>1</v>
      </c>
      <c r="BJ3970">
        <v>1</v>
      </c>
      <c r="BK3970">
        <v>1</v>
      </c>
      <c r="BL3970">
        <v>0</v>
      </c>
      <c r="BO3970">
        <v>0</v>
      </c>
      <c r="BP3970">
        <v>0</v>
      </c>
      <c r="BW3970" t="str">
        <f>"20:36:28.381"</f>
        <v>20:36:28.381</v>
      </c>
      <c r="BZ3970">
        <v>0</v>
      </c>
      <c r="CA3970">
        <v>1600</v>
      </c>
      <c r="CB3970">
        <v>224</v>
      </c>
      <c r="CD3970">
        <v>1</v>
      </c>
      <c r="CE3970">
        <v>0</v>
      </c>
      <c r="CF3970">
        <v>0</v>
      </c>
      <c r="CG3970">
        <v>1</v>
      </c>
      <c r="CH3970">
        <v>0</v>
      </c>
      <c r="CI3970">
        <v>0</v>
      </c>
      <c r="CJ3970">
        <v>0</v>
      </c>
      <c r="CK3970">
        <v>2</v>
      </c>
      <c r="CL3970">
        <v>0</v>
      </c>
      <c r="CM3970">
        <v>2</v>
      </c>
      <c r="CN3970">
        <v>0</v>
      </c>
      <c r="CO3970">
        <v>1</v>
      </c>
      <c r="CP3970" t="s">
        <v>119</v>
      </c>
      <c r="CQ3970">
        <v>179</v>
      </c>
      <c r="CR3970">
        <v>2</v>
      </c>
      <c r="CW3970">
        <v>12579250</v>
      </c>
      <c r="CY3970">
        <v>0</v>
      </c>
      <c r="CZ3970">
        <v>0</v>
      </c>
      <c r="DA3970">
        <v>1</v>
      </c>
      <c r="DB3970">
        <v>0</v>
      </c>
      <c r="DC3970">
        <v>0</v>
      </c>
      <c r="DD3970">
        <v>0</v>
      </c>
      <c r="DE3970">
        <v>0</v>
      </c>
      <c r="DF3970">
        <v>0</v>
      </c>
      <c r="DG3970">
        <v>0</v>
      </c>
      <c r="DH3970">
        <v>0</v>
      </c>
      <c r="DI3970">
        <v>0</v>
      </c>
    </row>
    <row r="3971" spans="1:113" x14ac:dyDescent="0.3">
      <c r="A3971" t="str">
        <f>"02/08/2021 20:36:27.026"</f>
        <v>02/08/2021 20:36:27.026</v>
      </c>
      <c r="C3971" t="str">
        <f t="shared" si="197"/>
        <v>FFDFD7C0</v>
      </c>
      <c r="D3971" t="s">
        <v>124</v>
      </c>
      <c r="E3971">
        <v>11</v>
      </c>
      <c r="F3971">
        <v>1011</v>
      </c>
      <c r="G3971" t="s">
        <v>590</v>
      </c>
      <c r="J3971" t="s">
        <v>125</v>
      </c>
      <c r="K3971">
        <v>0</v>
      </c>
      <c r="L3971">
        <v>3</v>
      </c>
      <c r="M3971">
        <v>0</v>
      </c>
      <c r="N3971">
        <v>2</v>
      </c>
      <c r="O3971">
        <v>1</v>
      </c>
      <c r="P3971">
        <v>0</v>
      </c>
      <c r="Q3971">
        <v>0</v>
      </c>
      <c r="S3971" t="str">
        <f>"20:36:29.336"</f>
        <v>20:36:29.336</v>
      </c>
      <c r="T3971" t="str">
        <f>"20:36:28.836"</f>
        <v>20:36:28.836</v>
      </c>
      <c r="U3971" t="str">
        <f t="shared" si="199"/>
        <v>AB01F4</v>
      </c>
      <c r="V3971">
        <v>0</v>
      </c>
      <c r="W3971">
        <v>0</v>
      </c>
      <c r="X3971">
        <v>2</v>
      </c>
      <c r="Z3971">
        <v>0</v>
      </c>
      <c r="AA3971">
        <v>9</v>
      </c>
      <c r="AB3971">
        <v>3</v>
      </c>
      <c r="AC3971">
        <v>0</v>
      </c>
      <c r="AD3971">
        <v>10</v>
      </c>
      <c r="AE3971">
        <v>0</v>
      </c>
      <c r="AF3971">
        <v>3</v>
      </c>
      <c r="AG3971">
        <v>2</v>
      </c>
      <c r="AH3971">
        <v>0</v>
      </c>
      <c r="AI3971" t="s">
        <v>2235</v>
      </c>
      <c r="AJ3971">
        <v>40.139837</v>
      </c>
      <c r="AK3971" t="s">
        <v>2236</v>
      </c>
      <c r="AL3971">
        <v>-93.097156999999996</v>
      </c>
      <c r="AM3971">
        <v>100</v>
      </c>
      <c r="AN3971">
        <v>1300</v>
      </c>
      <c r="AO3971" t="s">
        <v>118</v>
      </c>
      <c r="AP3971">
        <v>-114</v>
      </c>
      <c r="AQ3971">
        <v>59</v>
      </c>
      <c r="AR3971">
        <v>0</v>
      </c>
      <c r="AZ3971">
        <v>1200</v>
      </c>
      <c r="BA3971">
        <v>1</v>
      </c>
      <c r="BB3971" t="str">
        <f t="shared" si="198"/>
        <v xml:space="preserve">N8080G  </v>
      </c>
      <c r="BC3971">
        <v>1</v>
      </c>
      <c r="BE3971">
        <v>0</v>
      </c>
      <c r="BF3971">
        <v>0</v>
      </c>
      <c r="BG3971">
        <v>0</v>
      </c>
      <c r="BH3971">
        <v>1350</v>
      </c>
      <c r="BI3971">
        <v>1</v>
      </c>
      <c r="BJ3971">
        <v>1</v>
      </c>
      <c r="BK3971">
        <v>1</v>
      </c>
      <c r="BL3971">
        <v>0</v>
      </c>
      <c r="BO3971">
        <v>0</v>
      </c>
      <c r="BP3971">
        <v>0</v>
      </c>
      <c r="BW3971" t="str">
        <f>"20:36:29.343"</f>
        <v>20:36:29.343</v>
      </c>
      <c r="BZ3971">
        <v>0</v>
      </c>
      <c r="CA3971">
        <v>1600</v>
      </c>
      <c r="CB3971">
        <v>224</v>
      </c>
      <c r="CD3971">
        <v>1</v>
      </c>
      <c r="CE3971">
        <v>0</v>
      </c>
      <c r="CF3971">
        <v>0</v>
      </c>
      <c r="CG3971">
        <v>1</v>
      </c>
      <c r="CH3971">
        <v>0</v>
      </c>
      <c r="CI3971">
        <v>0</v>
      </c>
      <c r="CJ3971">
        <v>0</v>
      </c>
      <c r="CK3971">
        <v>2</v>
      </c>
      <c r="CL3971">
        <v>0</v>
      </c>
      <c r="CM3971">
        <v>2</v>
      </c>
      <c r="CN3971">
        <v>0</v>
      </c>
      <c r="CO3971">
        <v>6</v>
      </c>
      <c r="CP3971" t="s">
        <v>119</v>
      </c>
      <c r="CQ3971">
        <v>180</v>
      </c>
      <c r="CR3971">
        <v>3</v>
      </c>
      <c r="CW3971">
        <v>1310910</v>
      </c>
      <c r="CY3971">
        <v>0</v>
      </c>
      <c r="CZ3971">
        <v>0</v>
      </c>
      <c r="DA3971">
        <v>0</v>
      </c>
      <c r="DB3971">
        <v>0</v>
      </c>
      <c r="DC3971">
        <v>0</v>
      </c>
      <c r="DD3971">
        <v>0</v>
      </c>
      <c r="DE3971">
        <v>0</v>
      </c>
      <c r="DF3971">
        <v>0</v>
      </c>
      <c r="DG3971">
        <v>0</v>
      </c>
      <c r="DH3971">
        <v>0</v>
      </c>
      <c r="DI3971">
        <v>0</v>
      </c>
    </row>
    <row r="3972" spans="1:113" x14ac:dyDescent="0.3">
      <c r="A3972" t="str">
        <f>"02/08/2021 20:36:27.026"</f>
        <v>02/08/2021 20:36:27.026</v>
      </c>
      <c r="C3972" t="str">
        <f t="shared" si="197"/>
        <v>FFDFD7C0</v>
      </c>
      <c r="D3972" t="s">
        <v>124</v>
      </c>
      <c r="E3972">
        <v>12</v>
      </c>
      <c r="F3972">
        <v>1012</v>
      </c>
      <c r="G3972" t="s">
        <v>675</v>
      </c>
      <c r="J3972" t="s">
        <v>125</v>
      </c>
      <c r="K3972">
        <v>0</v>
      </c>
      <c r="L3972">
        <v>3</v>
      </c>
      <c r="M3972">
        <v>0</v>
      </c>
      <c r="N3972">
        <v>2</v>
      </c>
      <c r="O3972">
        <v>1</v>
      </c>
      <c r="P3972">
        <v>0</v>
      </c>
      <c r="Q3972">
        <v>0</v>
      </c>
      <c r="S3972" t="str">
        <f>"20:36:29.336"</f>
        <v>20:36:29.336</v>
      </c>
      <c r="T3972" t="str">
        <f>"20:36:28.836"</f>
        <v>20:36:28.836</v>
      </c>
      <c r="U3972" t="str">
        <f t="shared" si="199"/>
        <v>AB01F4</v>
      </c>
      <c r="V3972">
        <v>0</v>
      </c>
      <c r="W3972">
        <v>0</v>
      </c>
      <c r="X3972">
        <v>2</v>
      </c>
      <c r="Z3972">
        <v>0</v>
      </c>
      <c r="AA3972">
        <v>9</v>
      </c>
      <c r="AB3972">
        <v>3</v>
      </c>
      <c r="AC3972">
        <v>0</v>
      </c>
      <c r="AD3972">
        <v>10</v>
      </c>
      <c r="AE3972">
        <v>0</v>
      </c>
      <c r="AF3972">
        <v>3</v>
      </c>
      <c r="AG3972">
        <v>2</v>
      </c>
      <c r="AH3972">
        <v>0</v>
      </c>
      <c r="AI3972" t="s">
        <v>2235</v>
      </c>
      <c r="AJ3972">
        <v>40.139837</v>
      </c>
      <c r="AK3972" t="s">
        <v>2236</v>
      </c>
      <c r="AL3972">
        <v>-93.097156999999996</v>
      </c>
      <c r="AM3972">
        <v>100</v>
      </c>
      <c r="AN3972">
        <v>1300</v>
      </c>
      <c r="AO3972" t="s">
        <v>118</v>
      </c>
      <c r="AP3972">
        <v>-114</v>
      </c>
      <c r="AQ3972">
        <v>59</v>
      </c>
      <c r="AR3972">
        <v>0</v>
      </c>
      <c r="AZ3972">
        <v>1200</v>
      </c>
      <c r="BA3972">
        <v>1</v>
      </c>
      <c r="BB3972" t="str">
        <f t="shared" si="198"/>
        <v xml:space="preserve">N8080G  </v>
      </c>
      <c r="BC3972">
        <v>1</v>
      </c>
      <c r="BE3972">
        <v>0</v>
      </c>
      <c r="BF3972">
        <v>0</v>
      </c>
      <c r="BG3972">
        <v>0</v>
      </c>
      <c r="BH3972">
        <v>1350</v>
      </c>
      <c r="BI3972">
        <v>1</v>
      </c>
      <c r="BJ3972">
        <v>1</v>
      </c>
      <c r="BK3972">
        <v>1</v>
      </c>
      <c r="BL3972">
        <v>0</v>
      </c>
      <c r="BO3972">
        <v>0</v>
      </c>
      <c r="BP3972">
        <v>0</v>
      </c>
      <c r="BW3972" t="str">
        <f>"20:36:29.343"</f>
        <v>20:36:29.343</v>
      </c>
      <c r="BZ3972">
        <v>0</v>
      </c>
      <c r="CA3972">
        <v>1600</v>
      </c>
      <c r="CB3972">
        <v>224</v>
      </c>
      <c r="CD3972">
        <v>1</v>
      </c>
      <c r="CE3972">
        <v>0</v>
      </c>
      <c r="CF3972">
        <v>0</v>
      </c>
      <c r="CG3972">
        <v>1</v>
      </c>
      <c r="CH3972">
        <v>0</v>
      </c>
      <c r="CI3972">
        <v>0</v>
      </c>
      <c r="CJ3972">
        <v>0</v>
      </c>
      <c r="CK3972">
        <v>2</v>
      </c>
      <c r="CL3972">
        <v>0</v>
      </c>
      <c r="CM3972">
        <v>2</v>
      </c>
      <c r="CN3972">
        <v>0</v>
      </c>
      <c r="CO3972">
        <v>6</v>
      </c>
      <c r="CP3972" t="s">
        <v>119</v>
      </c>
      <c r="CQ3972">
        <v>180</v>
      </c>
      <c r="CR3972">
        <v>3</v>
      </c>
      <c r="CW3972">
        <v>1310910</v>
      </c>
      <c r="CY3972">
        <v>0</v>
      </c>
      <c r="CZ3972">
        <v>0</v>
      </c>
      <c r="DA3972">
        <v>1</v>
      </c>
      <c r="DB3972">
        <v>0</v>
      </c>
      <c r="DC3972">
        <v>0</v>
      </c>
      <c r="DD3972">
        <v>0</v>
      </c>
      <c r="DE3972">
        <v>0</v>
      </c>
      <c r="DF3972">
        <v>0</v>
      </c>
      <c r="DG3972">
        <v>0</v>
      </c>
      <c r="DH3972">
        <v>0</v>
      </c>
      <c r="DI3972">
        <v>0</v>
      </c>
    </row>
    <row r="3973" spans="1:113" x14ac:dyDescent="0.3">
      <c r="A3973" t="str">
        <f>"02/08/2021 20:36:27.026"</f>
        <v>02/08/2021 20:36:27.026</v>
      </c>
      <c r="C3973" t="str">
        <f t="shared" si="197"/>
        <v>FFDFD7C0</v>
      </c>
      <c r="D3973" t="s">
        <v>113</v>
      </c>
      <c r="E3973">
        <v>6</v>
      </c>
      <c r="H3973">
        <v>165</v>
      </c>
      <c r="I3973" t="s">
        <v>114</v>
      </c>
      <c r="J3973" t="s">
        <v>115</v>
      </c>
      <c r="K3973">
        <v>0</v>
      </c>
      <c r="L3973">
        <v>3</v>
      </c>
      <c r="M3973">
        <v>0</v>
      </c>
      <c r="N3973">
        <v>2</v>
      </c>
      <c r="O3973">
        <v>1</v>
      </c>
      <c r="P3973">
        <v>0</v>
      </c>
      <c r="Q3973">
        <v>0</v>
      </c>
      <c r="S3973" t="str">
        <f>"20:36:29.336"</f>
        <v>20:36:29.336</v>
      </c>
      <c r="T3973" t="str">
        <f>"20:36:28.836"</f>
        <v>20:36:28.836</v>
      </c>
      <c r="U3973" t="str">
        <f t="shared" si="199"/>
        <v>AB01F4</v>
      </c>
      <c r="V3973">
        <v>0</v>
      </c>
      <c r="W3973">
        <v>0</v>
      </c>
      <c r="X3973">
        <v>2</v>
      </c>
      <c r="Z3973">
        <v>0</v>
      </c>
      <c r="AA3973">
        <v>9</v>
      </c>
      <c r="AB3973">
        <v>3</v>
      </c>
      <c r="AC3973">
        <v>0</v>
      </c>
      <c r="AD3973">
        <v>10</v>
      </c>
      <c r="AE3973">
        <v>0</v>
      </c>
      <c r="AF3973">
        <v>3</v>
      </c>
      <c r="AG3973">
        <v>2</v>
      </c>
      <c r="AH3973">
        <v>0</v>
      </c>
      <c r="AI3973" t="s">
        <v>2235</v>
      </c>
      <c r="AJ3973">
        <v>40.139837</v>
      </c>
      <c r="AK3973" t="s">
        <v>2236</v>
      </c>
      <c r="AL3973">
        <v>-93.097156999999996</v>
      </c>
      <c r="AM3973">
        <v>100</v>
      </c>
      <c r="AN3973">
        <v>1300</v>
      </c>
      <c r="AO3973" t="s">
        <v>118</v>
      </c>
      <c r="AP3973">
        <v>-114</v>
      </c>
      <c r="AQ3973">
        <v>59</v>
      </c>
      <c r="AR3973">
        <v>0</v>
      </c>
      <c r="AZ3973">
        <v>1200</v>
      </c>
      <c r="BA3973">
        <v>1</v>
      </c>
      <c r="BB3973" t="str">
        <f t="shared" si="198"/>
        <v xml:space="preserve">N8080G  </v>
      </c>
      <c r="BC3973">
        <v>1</v>
      </c>
      <c r="BE3973">
        <v>0</v>
      </c>
      <c r="BF3973">
        <v>0</v>
      </c>
      <c r="BG3973">
        <v>0</v>
      </c>
      <c r="BH3973">
        <v>1350</v>
      </c>
      <c r="BI3973">
        <v>1</v>
      </c>
      <c r="BJ3973">
        <v>1</v>
      </c>
      <c r="BK3973">
        <v>1</v>
      </c>
      <c r="BL3973">
        <v>0</v>
      </c>
      <c r="BO3973">
        <v>0</v>
      </c>
      <c r="BP3973">
        <v>0</v>
      </c>
      <c r="BW3973" t="str">
        <f>"20:36:29.343"</f>
        <v>20:36:29.343</v>
      </c>
      <c r="BZ3973">
        <v>0</v>
      </c>
      <c r="CA3973">
        <v>1600</v>
      </c>
      <c r="CB3973">
        <v>224</v>
      </c>
      <c r="CD3973">
        <v>1</v>
      </c>
      <c r="CE3973">
        <v>0</v>
      </c>
      <c r="CF3973">
        <v>0</v>
      </c>
      <c r="CG3973">
        <v>1</v>
      </c>
      <c r="CH3973">
        <v>0</v>
      </c>
      <c r="CI3973">
        <v>0</v>
      </c>
      <c r="CJ3973">
        <v>0</v>
      </c>
      <c r="CK3973">
        <v>2</v>
      </c>
      <c r="CL3973">
        <v>0</v>
      </c>
      <c r="CM3973">
        <v>2</v>
      </c>
      <c r="CN3973">
        <v>0</v>
      </c>
      <c r="CO3973">
        <v>6</v>
      </c>
      <c r="CP3973" t="s">
        <v>119</v>
      </c>
      <c r="CQ3973">
        <v>180</v>
      </c>
      <c r="CR3973">
        <v>3</v>
      </c>
      <c r="CW3973">
        <v>1310910</v>
      </c>
      <c r="CY3973">
        <v>0</v>
      </c>
      <c r="CZ3973">
        <v>0</v>
      </c>
      <c r="DA3973">
        <v>1</v>
      </c>
      <c r="DB3973">
        <v>0</v>
      </c>
      <c r="DC3973">
        <v>0</v>
      </c>
      <c r="DD3973">
        <v>0</v>
      </c>
      <c r="DE3973">
        <v>0</v>
      </c>
      <c r="DF3973">
        <v>0</v>
      </c>
      <c r="DG3973">
        <v>0</v>
      </c>
      <c r="DH3973">
        <v>0</v>
      </c>
      <c r="DI3973">
        <v>0</v>
      </c>
    </row>
    <row r="3974" spans="1:113" x14ac:dyDescent="0.3">
      <c r="A3974" t="str">
        <f>"02/08/2021 20:36:27.026"</f>
        <v>02/08/2021 20:36:27.026</v>
      </c>
      <c r="C3974" t="str">
        <f t="shared" si="197"/>
        <v>FFDFD7C0</v>
      </c>
      <c r="D3974" t="s">
        <v>124</v>
      </c>
      <c r="E3974">
        <v>13</v>
      </c>
      <c r="F3974">
        <v>1013</v>
      </c>
      <c r="G3974" t="s">
        <v>114</v>
      </c>
      <c r="J3974" t="s">
        <v>125</v>
      </c>
      <c r="K3974">
        <v>0</v>
      </c>
      <c r="L3974">
        <v>3</v>
      </c>
      <c r="M3974">
        <v>0</v>
      </c>
      <c r="N3974">
        <v>2</v>
      </c>
      <c r="O3974">
        <v>1</v>
      </c>
      <c r="P3974">
        <v>0</v>
      </c>
      <c r="Q3974">
        <v>0</v>
      </c>
      <c r="S3974" t="str">
        <f>"20:36:29.336"</f>
        <v>20:36:29.336</v>
      </c>
      <c r="T3974" t="str">
        <f>"20:36:28.836"</f>
        <v>20:36:28.836</v>
      </c>
      <c r="U3974" t="str">
        <f t="shared" si="199"/>
        <v>AB01F4</v>
      </c>
      <c r="V3974">
        <v>0</v>
      </c>
      <c r="W3974">
        <v>0</v>
      </c>
      <c r="X3974">
        <v>2</v>
      </c>
      <c r="Z3974">
        <v>0</v>
      </c>
      <c r="AA3974">
        <v>9</v>
      </c>
      <c r="AB3974">
        <v>3</v>
      </c>
      <c r="AC3974">
        <v>0</v>
      </c>
      <c r="AD3974">
        <v>10</v>
      </c>
      <c r="AE3974">
        <v>0</v>
      </c>
      <c r="AF3974">
        <v>3</v>
      </c>
      <c r="AG3974">
        <v>2</v>
      </c>
      <c r="AH3974">
        <v>0</v>
      </c>
      <c r="AI3974" t="s">
        <v>2235</v>
      </c>
      <c r="AJ3974">
        <v>40.139837</v>
      </c>
      <c r="AK3974" t="s">
        <v>2236</v>
      </c>
      <c r="AL3974">
        <v>-93.097156999999996</v>
      </c>
      <c r="AM3974">
        <v>100</v>
      </c>
      <c r="AN3974">
        <v>1300</v>
      </c>
      <c r="AO3974" t="s">
        <v>118</v>
      </c>
      <c r="AP3974">
        <v>-114</v>
      </c>
      <c r="AQ3974">
        <v>59</v>
      </c>
      <c r="AR3974">
        <v>0</v>
      </c>
      <c r="AZ3974">
        <v>1200</v>
      </c>
      <c r="BA3974">
        <v>1</v>
      </c>
      <c r="BB3974" t="str">
        <f t="shared" si="198"/>
        <v xml:space="preserve">N8080G  </v>
      </c>
      <c r="BC3974">
        <v>1</v>
      </c>
      <c r="BE3974">
        <v>0</v>
      </c>
      <c r="BF3974">
        <v>0</v>
      </c>
      <c r="BG3974">
        <v>0</v>
      </c>
      <c r="BH3974">
        <v>1350</v>
      </c>
      <c r="BI3974">
        <v>1</v>
      </c>
      <c r="BJ3974">
        <v>1</v>
      </c>
      <c r="BK3974">
        <v>1</v>
      </c>
      <c r="BL3974">
        <v>0</v>
      </c>
      <c r="BO3974">
        <v>0</v>
      </c>
      <c r="BP3974">
        <v>0</v>
      </c>
      <c r="BW3974" t="str">
        <f>"20:36:29.343"</f>
        <v>20:36:29.343</v>
      </c>
      <c r="BZ3974">
        <v>0</v>
      </c>
      <c r="CA3974">
        <v>1600</v>
      </c>
      <c r="CB3974">
        <v>224</v>
      </c>
      <c r="CD3974">
        <v>1</v>
      </c>
      <c r="CE3974">
        <v>0</v>
      </c>
      <c r="CF3974">
        <v>0</v>
      </c>
      <c r="CG3974">
        <v>1</v>
      </c>
      <c r="CH3974">
        <v>0</v>
      </c>
      <c r="CI3974">
        <v>0</v>
      </c>
      <c r="CJ3974">
        <v>0</v>
      </c>
      <c r="CK3974">
        <v>2</v>
      </c>
      <c r="CL3974">
        <v>0</v>
      </c>
      <c r="CM3974">
        <v>2</v>
      </c>
      <c r="CN3974">
        <v>0</v>
      </c>
      <c r="CO3974">
        <v>6</v>
      </c>
      <c r="CP3974" t="s">
        <v>119</v>
      </c>
      <c r="CQ3974">
        <v>180</v>
      </c>
      <c r="CR3974">
        <v>3</v>
      </c>
      <c r="CW3974">
        <v>1310910</v>
      </c>
      <c r="CY3974">
        <v>0</v>
      </c>
      <c r="CZ3974">
        <v>0</v>
      </c>
      <c r="DA3974">
        <v>1</v>
      </c>
      <c r="DB3974">
        <v>0</v>
      </c>
      <c r="DC3974">
        <v>0</v>
      </c>
      <c r="DD3974">
        <v>0</v>
      </c>
      <c r="DE3974">
        <v>0</v>
      </c>
      <c r="DF3974">
        <v>0</v>
      </c>
      <c r="DG3974">
        <v>0</v>
      </c>
      <c r="DH3974">
        <v>0</v>
      </c>
      <c r="DI3974">
        <v>0</v>
      </c>
    </row>
    <row r="3975" spans="1:113" x14ac:dyDescent="0.3">
      <c r="A3975" t="str">
        <f>"02/08/2021 20:36:28.063"</f>
        <v>02/08/2021 20:36:28.063</v>
      </c>
      <c r="C3975" t="str">
        <f t="shared" si="197"/>
        <v>FFDFD7C0</v>
      </c>
      <c r="D3975" t="s">
        <v>113</v>
      </c>
      <c r="E3975">
        <v>6</v>
      </c>
      <c r="H3975">
        <v>165</v>
      </c>
      <c r="I3975" t="s">
        <v>114</v>
      </c>
      <c r="J3975" t="s">
        <v>115</v>
      </c>
      <c r="K3975">
        <v>0</v>
      </c>
      <c r="L3975">
        <v>3</v>
      </c>
      <c r="M3975">
        <v>0</v>
      </c>
      <c r="N3975">
        <v>2</v>
      </c>
      <c r="O3975">
        <v>1</v>
      </c>
      <c r="P3975">
        <v>0</v>
      </c>
      <c r="Q3975">
        <v>0</v>
      </c>
      <c r="S3975" t="str">
        <f>"20:36:30.414"</f>
        <v>20:36:30.414</v>
      </c>
      <c r="T3975" t="str">
        <f>"20:36:29.914"</f>
        <v>20:36:29.914</v>
      </c>
      <c r="U3975" t="str">
        <f t="shared" si="199"/>
        <v>AB01F4</v>
      </c>
      <c r="V3975">
        <v>0</v>
      </c>
      <c r="W3975">
        <v>0</v>
      </c>
      <c r="X3975">
        <v>2</v>
      </c>
      <c r="Z3975">
        <v>0</v>
      </c>
      <c r="AA3975">
        <v>9</v>
      </c>
      <c r="AB3975">
        <v>3</v>
      </c>
      <c r="AC3975">
        <v>0</v>
      </c>
      <c r="AD3975">
        <v>10</v>
      </c>
      <c r="AE3975">
        <v>0</v>
      </c>
      <c r="AF3975">
        <v>3</v>
      </c>
      <c r="AG3975">
        <v>2</v>
      </c>
      <c r="AH3975">
        <v>0</v>
      </c>
      <c r="AI3975" t="s">
        <v>2237</v>
      </c>
      <c r="AJ3975">
        <v>40.140115999999999</v>
      </c>
      <c r="AK3975" t="s">
        <v>2238</v>
      </c>
      <c r="AL3975">
        <v>-93.097843999999995</v>
      </c>
      <c r="AM3975">
        <v>100</v>
      </c>
      <c r="AN3975">
        <v>1300</v>
      </c>
      <c r="AO3975" t="s">
        <v>118</v>
      </c>
      <c r="AP3975">
        <v>-114</v>
      </c>
      <c r="AQ3975">
        <v>59</v>
      </c>
      <c r="AR3975">
        <v>64</v>
      </c>
      <c r="AZ3975">
        <v>1200</v>
      </c>
      <c r="BA3975">
        <v>1</v>
      </c>
      <c r="BB3975" t="str">
        <f t="shared" si="198"/>
        <v xml:space="preserve">N8080G  </v>
      </c>
      <c r="BC3975">
        <v>1</v>
      </c>
      <c r="BE3975">
        <v>0</v>
      </c>
      <c r="BF3975">
        <v>0</v>
      </c>
      <c r="BG3975">
        <v>0</v>
      </c>
      <c r="BH3975">
        <v>1350</v>
      </c>
      <c r="BI3975">
        <v>1</v>
      </c>
      <c r="BJ3975">
        <v>1</v>
      </c>
      <c r="BK3975">
        <v>1</v>
      </c>
      <c r="BL3975">
        <v>0</v>
      </c>
      <c r="BO3975">
        <v>0</v>
      </c>
      <c r="BP3975">
        <v>0</v>
      </c>
      <c r="BW3975" t="str">
        <f>"20:36:30.420"</f>
        <v>20:36:30.420</v>
      </c>
      <c r="BZ3975">
        <v>0</v>
      </c>
      <c r="CA3975">
        <v>1600</v>
      </c>
      <c r="CB3975">
        <v>224</v>
      </c>
      <c r="CD3975">
        <v>1</v>
      </c>
      <c r="CE3975">
        <v>0</v>
      </c>
      <c r="CF3975">
        <v>0</v>
      </c>
      <c r="CG3975">
        <v>1</v>
      </c>
      <c r="CH3975">
        <v>0</v>
      </c>
      <c r="CI3975">
        <v>0</v>
      </c>
      <c r="CJ3975">
        <v>0</v>
      </c>
      <c r="CK3975">
        <v>2</v>
      </c>
      <c r="CL3975">
        <v>0</v>
      </c>
      <c r="CM3975">
        <v>2</v>
      </c>
      <c r="CN3975">
        <v>0</v>
      </c>
      <c r="CO3975">
        <v>6</v>
      </c>
      <c r="CP3975" t="s">
        <v>119</v>
      </c>
      <c r="CQ3975">
        <v>180</v>
      </c>
      <c r="CR3975">
        <v>3</v>
      </c>
      <c r="CW3975">
        <v>1311725</v>
      </c>
      <c r="CY3975">
        <v>0</v>
      </c>
      <c r="CZ3975">
        <v>0</v>
      </c>
      <c r="DA3975">
        <v>0</v>
      </c>
      <c r="DB3975">
        <v>0</v>
      </c>
      <c r="DC3975">
        <v>0</v>
      </c>
      <c r="DD3975">
        <v>0</v>
      </c>
      <c r="DE3975">
        <v>0</v>
      </c>
      <c r="DF3975">
        <v>0</v>
      </c>
      <c r="DG3975">
        <v>0</v>
      </c>
      <c r="DH3975">
        <v>0</v>
      </c>
      <c r="DI3975">
        <v>0</v>
      </c>
    </row>
    <row r="3976" spans="1:113" x14ac:dyDescent="0.3">
      <c r="A3976" t="str">
        <f>"02/08/2021 20:36:28.063"</f>
        <v>02/08/2021 20:36:28.063</v>
      </c>
      <c r="C3976" t="str">
        <f t="shared" si="197"/>
        <v>FFDFD7C0</v>
      </c>
      <c r="D3976" t="s">
        <v>124</v>
      </c>
      <c r="E3976">
        <v>13</v>
      </c>
      <c r="F3976">
        <v>1013</v>
      </c>
      <c r="G3976" t="s">
        <v>114</v>
      </c>
      <c r="J3976" t="s">
        <v>125</v>
      </c>
      <c r="K3976">
        <v>0</v>
      </c>
      <c r="L3976">
        <v>3</v>
      </c>
      <c r="M3976">
        <v>0</v>
      </c>
      <c r="N3976">
        <v>2</v>
      </c>
      <c r="O3976">
        <v>1</v>
      </c>
      <c r="P3976">
        <v>0</v>
      </c>
      <c r="Q3976">
        <v>0</v>
      </c>
      <c r="S3976" t="str">
        <f>"20:36:30.414"</f>
        <v>20:36:30.414</v>
      </c>
      <c r="T3976" t="str">
        <f>"20:36:29.914"</f>
        <v>20:36:29.914</v>
      </c>
      <c r="U3976" t="str">
        <f t="shared" si="199"/>
        <v>AB01F4</v>
      </c>
      <c r="V3976">
        <v>0</v>
      </c>
      <c r="W3976">
        <v>0</v>
      </c>
      <c r="X3976">
        <v>2</v>
      </c>
      <c r="Z3976">
        <v>0</v>
      </c>
      <c r="AA3976">
        <v>9</v>
      </c>
      <c r="AB3976">
        <v>3</v>
      </c>
      <c r="AC3976">
        <v>0</v>
      </c>
      <c r="AD3976">
        <v>10</v>
      </c>
      <c r="AE3976">
        <v>0</v>
      </c>
      <c r="AF3976">
        <v>3</v>
      </c>
      <c r="AG3976">
        <v>2</v>
      </c>
      <c r="AH3976">
        <v>0</v>
      </c>
      <c r="AI3976" t="s">
        <v>2237</v>
      </c>
      <c r="AJ3976">
        <v>40.140115999999999</v>
      </c>
      <c r="AK3976" t="s">
        <v>2238</v>
      </c>
      <c r="AL3976">
        <v>-93.097843999999995</v>
      </c>
      <c r="AM3976">
        <v>100</v>
      </c>
      <c r="AN3976">
        <v>1300</v>
      </c>
      <c r="AO3976" t="s">
        <v>118</v>
      </c>
      <c r="AP3976">
        <v>-114</v>
      </c>
      <c r="AQ3976">
        <v>59</v>
      </c>
      <c r="AR3976">
        <v>64</v>
      </c>
      <c r="AZ3976">
        <v>1200</v>
      </c>
      <c r="BA3976">
        <v>1</v>
      </c>
      <c r="BB3976" t="str">
        <f t="shared" si="198"/>
        <v xml:space="preserve">N8080G  </v>
      </c>
      <c r="BC3976">
        <v>1</v>
      </c>
      <c r="BE3976">
        <v>0</v>
      </c>
      <c r="BF3976">
        <v>0</v>
      </c>
      <c r="BG3976">
        <v>0</v>
      </c>
      <c r="BH3976">
        <v>1350</v>
      </c>
      <c r="BI3976">
        <v>1</v>
      </c>
      <c r="BJ3976">
        <v>1</v>
      </c>
      <c r="BK3976">
        <v>1</v>
      </c>
      <c r="BL3976">
        <v>0</v>
      </c>
      <c r="BO3976">
        <v>0</v>
      </c>
      <c r="BP3976">
        <v>0</v>
      </c>
      <c r="BW3976" t="str">
        <f>"20:36:30.420"</f>
        <v>20:36:30.420</v>
      </c>
      <c r="BZ3976">
        <v>0</v>
      </c>
      <c r="CA3976">
        <v>1600</v>
      </c>
      <c r="CB3976">
        <v>224</v>
      </c>
      <c r="CD3976">
        <v>1</v>
      </c>
      <c r="CE3976">
        <v>0</v>
      </c>
      <c r="CF3976">
        <v>0</v>
      </c>
      <c r="CG3976">
        <v>1</v>
      </c>
      <c r="CH3976">
        <v>0</v>
      </c>
      <c r="CI3976">
        <v>0</v>
      </c>
      <c r="CJ3976">
        <v>0</v>
      </c>
      <c r="CK3976">
        <v>2</v>
      </c>
      <c r="CL3976">
        <v>0</v>
      </c>
      <c r="CM3976">
        <v>2</v>
      </c>
      <c r="CN3976">
        <v>0</v>
      </c>
      <c r="CO3976">
        <v>6</v>
      </c>
      <c r="CP3976" t="s">
        <v>119</v>
      </c>
      <c r="CQ3976">
        <v>180</v>
      </c>
      <c r="CR3976">
        <v>3</v>
      </c>
      <c r="CW3976">
        <v>1311725</v>
      </c>
      <c r="CY3976">
        <v>0</v>
      </c>
      <c r="CZ3976">
        <v>0</v>
      </c>
      <c r="DA3976">
        <v>1</v>
      </c>
      <c r="DB3976">
        <v>0</v>
      </c>
      <c r="DC3976">
        <v>0</v>
      </c>
      <c r="DD3976">
        <v>0</v>
      </c>
      <c r="DE3976">
        <v>0</v>
      </c>
      <c r="DF3976">
        <v>0</v>
      </c>
      <c r="DG3976">
        <v>0</v>
      </c>
      <c r="DH3976">
        <v>0</v>
      </c>
      <c r="DI3976">
        <v>0</v>
      </c>
    </row>
    <row r="3977" spans="1:113" x14ac:dyDescent="0.3">
      <c r="A3977" t="str">
        <f>"02/08/2021 20:36:28.063"</f>
        <v>02/08/2021 20:36:28.063</v>
      </c>
      <c r="C3977" t="str">
        <f t="shared" si="197"/>
        <v>FFDFD7C0</v>
      </c>
      <c r="D3977" t="s">
        <v>124</v>
      </c>
      <c r="E3977">
        <v>11</v>
      </c>
      <c r="F3977">
        <v>1011</v>
      </c>
      <c r="G3977" t="s">
        <v>590</v>
      </c>
      <c r="J3977" t="s">
        <v>125</v>
      </c>
      <c r="K3977">
        <v>0</v>
      </c>
      <c r="L3977">
        <v>3</v>
      </c>
      <c r="M3977">
        <v>0</v>
      </c>
      <c r="N3977">
        <v>2</v>
      </c>
      <c r="O3977">
        <v>1</v>
      </c>
      <c r="P3977">
        <v>0</v>
      </c>
      <c r="Q3977">
        <v>0</v>
      </c>
      <c r="S3977" t="str">
        <f>"20:36:30.414"</f>
        <v>20:36:30.414</v>
      </c>
      <c r="T3977" t="str">
        <f>"20:36:29.914"</f>
        <v>20:36:29.914</v>
      </c>
      <c r="U3977" t="str">
        <f t="shared" si="199"/>
        <v>AB01F4</v>
      </c>
      <c r="V3977">
        <v>0</v>
      </c>
      <c r="W3977">
        <v>0</v>
      </c>
      <c r="X3977">
        <v>2</v>
      </c>
      <c r="Z3977">
        <v>0</v>
      </c>
      <c r="AA3977">
        <v>9</v>
      </c>
      <c r="AB3977">
        <v>3</v>
      </c>
      <c r="AC3977">
        <v>0</v>
      </c>
      <c r="AD3977">
        <v>10</v>
      </c>
      <c r="AE3977">
        <v>0</v>
      </c>
      <c r="AF3977">
        <v>3</v>
      </c>
      <c r="AG3977">
        <v>2</v>
      </c>
      <c r="AH3977">
        <v>0</v>
      </c>
      <c r="AI3977" t="s">
        <v>2237</v>
      </c>
      <c r="AJ3977">
        <v>40.140115999999999</v>
      </c>
      <c r="AK3977" t="s">
        <v>2238</v>
      </c>
      <c r="AL3977">
        <v>-93.097843999999995</v>
      </c>
      <c r="AM3977">
        <v>100</v>
      </c>
      <c r="AN3977">
        <v>1300</v>
      </c>
      <c r="AO3977" t="s">
        <v>118</v>
      </c>
      <c r="AP3977">
        <v>-114</v>
      </c>
      <c r="AQ3977">
        <v>59</v>
      </c>
      <c r="AR3977">
        <v>64</v>
      </c>
      <c r="AZ3977">
        <v>1200</v>
      </c>
      <c r="BA3977">
        <v>1</v>
      </c>
      <c r="BB3977" t="str">
        <f t="shared" si="198"/>
        <v xml:space="preserve">N8080G  </v>
      </c>
      <c r="BC3977">
        <v>1</v>
      </c>
      <c r="BE3977">
        <v>0</v>
      </c>
      <c r="BF3977">
        <v>0</v>
      </c>
      <c r="BG3977">
        <v>0</v>
      </c>
      <c r="BH3977">
        <v>1350</v>
      </c>
      <c r="BI3977">
        <v>1</v>
      </c>
      <c r="BJ3977">
        <v>1</v>
      </c>
      <c r="BK3977">
        <v>1</v>
      </c>
      <c r="BL3977">
        <v>0</v>
      </c>
      <c r="BO3977">
        <v>0</v>
      </c>
      <c r="BP3977">
        <v>0</v>
      </c>
      <c r="BW3977" t="str">
        <f>"20:36:30.420"</f>
        <v>20:36:30.420</v>
      </c>
      <c r="BZ3977">
        <v>0</v>
      </c>
      <c r="CA3977">
        <v>1600</v>
      </c>
      <c r="CB3977">
        <v>224</v>
      </c>
      <c r="CD3977">
        <v>1</v>
      </c>
      <c r="CE3977">
        <v>0</v>
      </c>
      <c r="CF3977">
        <v>0</v>
      </c>
      <c r="CG3977">
        <v>1</v>
      </c>
      <c r="CH3977">
        <v>0</v>
      </c>
      <c r="CI3977">
        <v>0</v>
      </c>
      <c r="CJ3977">
        <v>0</v>
      </c>
      <c r="CK3977">
        <v>2</v>
      </c>
      <c r="CL3977">
        <v>0</v>
      </c>
      <c r="CM3977">
        <v>2</v>
      </c>
      <c r="CN3977">
        <v>0</v>
      </c>
      <c r="CO3977">
        <v>6</v>
      </c>
      <c r="CP3977" t="s">
        <v>119</v>
      </c>
      <c r="CQ3977">
        <v>180</v>
      </c>
      <c r="CR3977">
        <v>3</v>
      </c>
      <c r="CW3977">
        <v>1311725</v>
      </c>
      <c r="CY3977">
        <v>0</v>
      </c>
      <c r="CZ3977">
        <v>0</v>
      </c>
      <c r="DA3977">
        <v>1</v>
      </c>
      <c r="DB3977">
        <v>0</v>
      </c>
      <c r="DC3977">
        <v>0</v>
      </c>
      <c r="DD3977">
        <v>0</v>
      </c>
      <c r="DE3977">
        <v>0</v>
      </c>
      <c r="DF3977">
        <v>0</v>
      </c>
      <c r="DG3977">
        <v>0</v>
      </c>
      <c r="DH3977">
        <v>0</v>
      </c>
      <c r="DI3977">
        <v>0</v>
      </c>
    </row>
    <row r="3978" spans="1:113" x14ac:dyDescent="0.3">
      <c r="A3978" t="str">
        <f>"02/08/2021 20:36:28.063"</f>
        <v>02/08/2021 20:36:28.063</v>
      </c>
      <c r="C3978" t="str">
        <f t="shared" si="197"/>
        <v>FFDFD7C0</v>
      </c>
      <c r="D3978" t="s">
        <v>124</v>
      </c>
      <c r="E3978">
        <v>12</v>
      </c>
      <c r="F3978">
        <v>1012</v>
      </c>
      <c r="G3978" t="s">
        <v>675</v>
      </c>
      <c r="J3978" t="s">
        <v>125</v>
      </c>
      <c r="K3978">
        <v>0</v>
      </c>
      <c r="L3978">
        <v>3</v>
      </c>
      <c r="M3978">
        <v>0</v>
      </c>
      <c r="N3978">
        <v>2</v>
      </c>
      <c r="O3978">
        <v>1</v>
      </c>
      <c r="P3978">
        <v>0</v>
      </c>
      <c r="Q3978">
        <v>0</v>
      </c>
      <c r="S3978" t="str">
        <f>"20:36:30.414"</f>
        <v>20:36:30.414</v>
      </c>
      <c r="T3978" t="str">
        <f>"20:36:29.914"</f>
        <v>20:36:29.914</v>
      </c>
      <c r="U3978" t="str">
        <f t="shared" si="199"/>
        <v>AB01F4</v>
      </c>
      <c r="V3978">
        <v>0</v>
      </c>
      <c r="W3978">
        <v>0</v>
      </c>
      <c r="X3978">
        <v>2</v>
      </c>
      <c r="Z3978">
        <v>0</v>
      </c>
      <c r="AA3978">
        <v>9</v>
      </c>
      <c r="AB3978">
        <v>3</v>
      </c>
      <c r="AC3978">
        <v>0</v>
      </c>
      <c r="AD3978">
        <v>10</v>
      </c>
      <c r="AE3978">
        <v>0</v>
      </c>
      <c r="AF3978">
        <v>3</v>
      </c>
      <c r="AG3978">
        <v>2</v>
      </c>
      <c r="AH3978">
        <v>0</v>
      </c>
      <c r="AI3978" t="s">
        <v>2237</v>
      </c>
      <c r="AJ3978">
        <v>40.140115999999999</v>
      </c>
      <c r="AK3978" t="s">
        <v>2238</v>
      </c>
      <c r="AL3978">
        <v>-93.097843999999995</v>
      </c>
      <c r="AM3978">
        <v>100</v>
      </c>
      <c r="AN3978">
        <v>1300</v>
      </c>
      <c r="AO3978" t="s">
        <v>118</v>
      </c>
      <c r="AP3978">
        <v>-114</v>
      </c>
      <c r="AQ3978">
        <v>59</v>
      </c>
      <c r="AR3978">
        <v>64</v>
      </c>
      <c r="AZ3978">
        <v>1200</v>
      </c>
      <c r="BA3978">
        <v>1</v>
      </c>
      <c r="BB3978" t="str">
        <f t="shared" si="198"/>
        <v xml:space="preserve">N8080G  </v>
      </c>
      <c r="BC3978">
        <v>1</v>
      </c>
      <c r="BE3978">
        <v>0</v>
      </c>
      <c r="BF3978">
        <v>0</v>
      </c>
      <c r="BG3978">
        <v>0</v>
      </c>
      <c r="BH3978">
        <v>1350</v>
      </c>
      <c r="BI3978">
        <v>1</v>
      </c>
      <c r="BJ3978">
        <v>1</v>
      </c>
      <c r="BK3978">
        <v>1</v>
      </c>
      <c r="BL3978">
        <v>0</v>
      </c>
      <c r="BO3978">
        <v>0</v>
      </c>
      <c r="BP3978">
        <v>0</v>
      </c>
      <c r="BW3978" t="str">
        <f>"20:36:30.420"</f>
        <v>20:36:30.420</v>
      </c>
      <c r="BZ3978">
        <v>0</v>
      </c>
      <c r="CA3978">
        <v>1600</v>
      </c>
      <c r="CB3978">
        <v>224</v>
      </c>
      <c r="CD3978">
        <v>1</v>
      </c>
      <c r="CE3978">
        <v>0</v>
      </c>
      <c r="CF3978">
        <v>0</v>
      </c>
      <c r="CG3978">
        <v>1</v>
      </c>
      <c r="CH3978">
        <v>0</v>
      </c>
      <c r="CI3978">
        <v>0</v>
      </c>
      <c r="CJ3978">
        <v>0</v>
      </c>
      <c r="CK3978">
        <v>2</v>
      </c>
      <c r="CL3978">
        <v>0</v>
      </c>
      <c r="CM3978">
        <v>2</v>
      </c>
      <c r="CN3978">
        <v>0</v>
      </c>
      <c r="CO3978">
        <v>6</v>
      </c>
      <c r="CP3978" t="s">
        <v>119</v>
      </c>
      <c r="CQ3978">
        <v>180</v>
      </c>
      <c r="CR3978">
        <v>3</v>
      </c>
      <c r="CW3978">
        <v>1311725</v>
      </c>
      <c r="CY3978">
        <v>0</v>
      </c>
      <c r="CZ3978">
        <v>0</v>
      </c>
      <c r="DA3978">
        <v>1</v>
      </c>
      <c r="DB3978">
        <v>0</v>
      </c>
      <c r="DC3978">
        <v>0</v>
      </c>
      <c r="DD3978">
        <v>0</v>
      </c>
      <c r="DE3978">
        <v>0</v>
      </c>
      <c r="DF3978">
        <v>0</v>
      </c>
      <c r="DG3978">
        <v>0</v>
      </c>
      <c r="DH3978">
        <v>0</v>
      </c>
      <c r="DI3978">
        <v>0</v>
      </c>
    </row>
    <row r="3979" spans="1:113" x14ac:dyDescent="0.3">
      <c r="A3979" t="str">
        <f>"02/08/2021 20:36:30.832"</f>
        <v>02/08/2021 20:36:30.832</v>
      </c>
      <c r="C3979" t="str">
        <f t="shared" si="197"/>
        <v>FFDFD7C0</v>
      </c>
      <c r="D3979" t="s">
        <v>124</v>
      </c>
      <c r="E3979">
        <v>13</v>
      </c>
      <c r="F3979">
        <v>1013</v>
      </c>
      <c r="G3979" t="s">
        <v>114</v>
      </c>
      <c r="J3979" t="s">
        <v>125</v>
      </c>
      <c r="K3979">
        <v>0</v>
      </c>
      <c r="L3979">
        <v>3</v>
      </c>
      <c r="M3979">
        <v>0</v>
      </c>
      <c r="N3979">
        <v>2</v>
      </c>
      <c r="O3979">
        <v>1</v>
      </c>
      <c r="P3979">
        <v>0</v>
      </c>
      <c r="Q3979">
        <v>0</v>
      </c>
      <c r="S3979" t="str">
        <f>"20:36:33.180"</f>
        <v>20:36:33.180</v>
      </c>
      <c r="T3979" t="str">
        <f>"20:36:32.780"</f>
        <v>20:36:32.780</v>
      </c>
      <c r="U3979" t="str">
        <f t="shared" si="199"/>
        <v>AB01F4</v>
      </c>
      <c r="V3979">
        <v>0</v>
      </c>
      <c r="W3979">
        <v>0</v>
      </c>
      <c r="X3979">
        <v>2</v>
      </c>
      <c r="Z3979">
        <v>0</v>
      </c>
      <c r="AA3979">
        <v>9</v>
      </c>
      <c r="AB3979">
        <v>3</v>
      </c>
      <c r="AC3979">
        <v>0</v>
      </c>
      <c r="AD3979">
        <v>10</v>
      </c>
      <c r="AE3979">
        <v>0</v>
      </c>
      <c r="AF3979">
        <v>3</v>
      </c>
      <c r="AG3979">
        <v>2</v>
      </c>
      <c r="AH3979">
        <v>0</v>
      </c>
      <c r="AI3979" t="s">
        <v>2239</v>
      </c>
      <c r="AJ3979">
        <v>40.140889000000001</v>
      </c>
      <c r="AK3979" t="s">
        <v>2240</v>
      </c>
      <c r="AL3979">
        <v>-93.099796999999995</v>
      </c>
      <c r="AM3979">
        <v>100</v>
      </c>
      <c r="AN3979">
        <v>1300</v>
      </c>
      <c r="AO3979" t="s">
        <v>118</v>
      </c>
      <c r="AP3979">
        <v>-114</v>
      </c>
      <c r="AQ3979">
        <v>59</v>
      </c>
      <c r="AR3979">
        <v>0</v>
      </c>
      <c r="AZ3979">
        <v>1200</v>
      </c>
      <c r="BA3979">
        <v>1</v>
      </c>
      <c r="BB3979" t="str">
        <f t="shared" si="198"/>
        <v xml:space="preserve">N8080G  </v>
      </c>
      <c r="BC3979">
        <v>1</v>
      </c>
      <c r="BE3979">
        <v>0</v>
      </c>
      <c r="BF3979">
        <v>0</v>
      </c>
      <c r="BG3979">
        <v>0</v>
      </c>
      <c r="BH3979">
        <v>1350</v>
      </c>
      <c r="BI3979">
        <v>1</v>
      </c>
      <c r="BJ3979">
        <v>1</v>
      </c>
      <c r="BK3979">
        <v>1</v>
      </c>
      <c r="BL3979">
        <v>0</v>
      </c>
      <c r="BO3979">
        <v>0</v>
      </c>
      <c r="BP3979">
        <v>0</v>
      </c>
      <c r="BW3979" t="str">
        <f>"20:36:33.187"</f>
        <v>20:36:33.187</v>
      </c>
      <c r="BZ3979">
        <v>0</v>
      </c>
      <c r="CA3979">
        <v>1600</v>
      </c>
      <c r="CB3979">
        <v>224</v>
      </c>
      <c r="CD3979">
        <v>1</v>
      </c>
      <c r="CE3979">
        <v>0</v>
      </c>
      <c r="CF3979">
        <v>0</v>
      </c>
      <c r="CG3979">
        <v>1</v>
      </c>
      <c r="CH3979">
        <v>0</v>
      </c>
      <c r="CI3979">
        <v>0</v>
      </c>
      <c r="CJ3979">
        <v>0</v>
      </c>
      <c r="CK3979">
        <v>2</v>
      </c>
      <c r="CL3979">
        <v>0</v>
      </c>
      <c r="CM3979">
        <v>2</v>
      </c>
      <c r="CN3979">
        <v>0</v>
      </c>
      <c r="CO3979">
        <v>6</v>
      </c>
      <c r="CP3979" t="s">
        <v>119</v>
      </c>
      <c r="CQ3979">
        <v>180</v>
      </c>
      <c r="CR3979">
        <v>3</v>
      </c>
      <c r="CW3979">
        <v>1313835</v>
      </c>
      <c r="CY3979">
        <v>0</v>
      </c>
      <c r="CZ3979">
        <v>0</v>
      </c>
      <c r="DA3979">
        <v>0</v>
      </c>
      <c r="DB3979">
        <v>0</v>
      </c>
      <c r="DC3979">
        <v>0</v>
      </c>
      <c r="DD3979">
        <v>0</v>
      </c>
      <c r="DE3979">
        <v>0</v>
      </c>
      <c r="DF3979">
        <v>0</v>
      </c>
      <c r="DG3979">
        <v>0</v>
      </c>
      <c r="DH3979">
        <v>0</v>
      </c>
      <c r="DI3979">
        <v>0</v>
      </c>
    </row>
    <row r="3980" spans="1:113" x14ac:dyDescent="0.3">
      <c r="A3980" t="str">
        <f>"02/08/2021 20:36:30.832"</f>
        <v>02/08/2021 20:36:30.832</v>
      </c>
      <c r="C3980" t="str">
        <f t="shared" si="197"/>
        <v>FFDFD7C0</v>
      </c>
      <c r="D3980" t="s">
        <v>113</v>
      </c>
      <c r="E3980">
        <v>6</v>
      </c>
      <c r="H3980">
        <v>165</v>
      </c>
      <c r="I3980" t="s">
        <v>114</v>
      </c>
      <c r="J3980" t="s">
        <v>115</v>
      </c>
      <c r="K3980">
        <v>0</v>
      </c>
      <c r="L3980">
        <v>3</v>
      </c>
      <c r="M3980">
        <v>0</v>
      </c>
      <c r="N3980">
        <v>2</v>
      </c>
      <c r="O3980">
        <v>1</v>
      </c>
      <c r="P3980">
        <v>0</v>
      </c>
      <c r="Q3980">
        <v>0</v>
      </c>
      <c r="S3980" t="str">
        <f>"20:36:33.180"</f>
        <v>20:36:33.180</v>
      </c>
      <c r="T3980" t="str">
        <f>"20:36:32.780"</f>
        <v>20:36:32.780</v>
      </c>
      <c r="U3980" t="str">
        <f t="shared" si="199"/>
        <v>AB01F4</v>
      </c>
      <c r="V3980">
        <v>0</v>
      </c>
      <c r="W3980">
        <v>0</v>
      </c>
      <c r="X3980">
        <v>2</v>
      </c>
      <c r="Z3980">
        <v>0</v>
      </c>
      <c r="AA3980">
        <v>9</v>
      </c>
      <c r="AB3980">
        <v>3</v>
      </c>
      <c r="AC3980">
        <v>0</v>
      </c>
      <c r="AD3980">
        <v>10</v>
      </c>
      <c r="AE3980">
        <v>0</v>
      </c>
      <c r="AF3980">
        <v>3</v>
      </c>
      <c r="AG3980">
        <v>2</v>
      </c>
      <c r="AH3980">
        <v>0</v>
      </c>
      <c r="AI3980" t="s">
        <v>2239</v>
      </c>
      <c r="AJ3980">
        <v>40.140889000000001</v>
      </c>
      <c r="AK3980" t="s">
        <v>2240</v>
      </c>
      <c r="AL3980">
        <v>-93.099796999999995</v>
      </c>
      <c r="AM3980">
        <v>100</v>
      </c>
      <c r="AN3980">
        <v>1300</v>
      </c>
      <c r="AO3980" t="s">
        <v>118</v>
      </c>
      <c r="AP3980">
        <v>-114</v>
      </c>
      <c r="AQ3980">
        <v>59</v>
      </c>
      <c r="AR3980">
        <v>0</v>
      </c>
      <c r="AZ3980">
        <v>1200</v>
      </c>
      <c r="BA3980">
        <v>1</v>
      </c>
      <c r="BB3980" t="str">
        <f t="shared" si="198"/>
        <v xml:space="preserve">N8080G  </v>
      </c>
      <c r="BC3980">
        <v>1</v>
      </c>
      <c r="BE3980">
        <v>0</v>
      </c>
      <c r="BF3980">
        <v>0</v>
      </c>
      <c r="BG3980">
        <v>0</v>
      </c>
      <c r="BH3980">
        <v>1350</v>
      </c>
      <c r="BI3980">
        <v>1</v>
      </c>
      <c r="BJ3980">
        <v>1</v>
      </c>
      <c r="BK3980">
        <v>1</v>
      </c>
      <c r="BL3980">
        <v>0</v>
      </c>
      <c r="BO3980">
        <v>0</v>
      </c>
      <c r="BP3980">
        <v>0</v>
      </c>
      <c r="BW3980" t="str">
        <f>"20:36:33.187"</f>
        <v>20:36:33.187</v>
      </c>
      <c r="BZ3980">
        <v>0</v>
      </c>
      <c r="CA3980">
        <v>1600</v>
      </c>
      <c r="CB3980">
        <v>224</v>
      </c>
      <c r="CD3980">
        <v>1</v>
      </c>
      <c r="CE3980">
        <v>0</v>
      </c>
      <c r="CF3980">
        <v>0</v>
      </c>
      <c r="CG3980">
        <v>1</v>
      </c>
      <c r="CH3980">
        <v>0</v>
      </c>
      <c r="CI3980">
        <v>0</v>
      </c>
      <c r="CJ3980">
        <v>0</v>
      </c>
      <c r="CK3980">
        <v>2</v>
      </c>
      <c r="CL3980">
        <v>0</v>
      </c>
      <c r="CM3980">
        <v>2</v>
      </c>
      <c r="CN3980">
        <v>0</v>
      </c>
      <c r="CO3980">
        <v>6</v>
      </c>
      <c r="CP3980" t="s">
        <v>119</v>
      </c>
      <c r="CQ3980">
        <v>180</v>
      </c>
      <c r="CR3980">
        <v>3</v>
      </c>
      <c r="CW3980">
        <v>1313835</v>
      </c>
      <c r="CY3980">
        <v>0</v>
      </c>
      <c r="CZ3980">
        <v>0</v>
      </c>
      <c r="DA3980">
        <v>1</v>
      </c>
      <c r="DB3980">
        <v>0</v>
      </c>
      <c r="DC3980">
        <v>0</v>
      </c>
      <c r="DD3980">
        <v>0</v>
      </c>
      <c r="DE3980">
        <v>0</v>
      </c>
      <c r="DF3980">
        <v>0</v>
      </c>
      <c r="DG3980">
        <v>0</v>
      </c>
      <c r="DH3980">
        <v>0</v>
      </c>
      <c r="DI3980">
        <v>0</v>
      </c>
    </row>
    <row r="3981" spans="1:113" x14ac:dyDescent="0.3">
      <c r="A3981" t="str">
        <f>"02/08/2021 20:36:30.832"</f>
        <v>02/08/2021 20:36:30.832</v>
      </c>
      <c r="C3981" t="str">
        <f t="shared" si="197"/>
        <v>FFDFD7C0</v>
      </c>
      <c r="D3981" t="s">
        <v>124</v>
      </c>
      <c r="E3981">
        <v>12</v>
      </c>
      <c r="F3981">
        <v>1012</v>
      </c>
      <c r="G3981" t="s">
        <v>675</v>
      </c>
      <c r="J3981" t="s">
        <v>125</v>
      </c>
      <c r="K3981">
        <v>0</v>
      </c>
      <c r="L3981">
        <v>3</v>
      </c>
      <c r="M3981">
        <v>0</v>
      </c>
      <c r="N3981">
        <v>2</v>
      </c>
      <c r="O3981">
        <v>1</v>
      </c>
      <c r="P3981">
        <v>0</v>
      </c>
      <c r="Q3981">
        <v>0</v>
      </c>
      <c r="S3981" t="str">
        <f>"20:36:33.180"</f>
        <v>20:36:33.180</v>
      </c>
      <c r="T3981" t="str">
        <f>"20:36:32.780"</f>
        <v>20:36:32.780</v>
      </c>
      <c r="U3981" t="str">
        <f t="shared" si="199"/>
        <v>AB01F4</v>
      </c>
      <c r="V3981">
        <v>0</v>
      </c>
      <c r="W3981">
        <v>0</v>
      </c>
      <c r="X3981">
        <v>2</v>
      </c>
      <c r="Z3981">
        <v>0</v>
      </c>
      <c r="AA3981">
        <v>9</v>
      </c>
      <c r="AB3981">
        <v>3</v>
      </c>
      <c r="AC3981">
        <v>0</v>
      </c>
      <c r="AD3981">
        <v>10</v>
      </c>
      <c r="AE3981">
        <v>0</v>
      </c>
      <c r="AF3981">
        <v>3</v>
      </c>
      <c r="AG3981">
        <v>2</v>
      </c>
      <c r="AH3981">
        <v>0</v>
      </c>
      <c r="AI3981" t="s">
        <v>2239</v>
      </c>
      <c r="AJ3981">
        <v>40.140889000000001</v>
      </c>
      <c r="AK3981" t="s">
        <v>2240</v>
      </c>
      <c r="AL3981">
        <v>-93.099796999999995</v>
      </c>
      <c r="AM3981">
        <v>100</v>
      </c>
      <c r="AN3981">
        <v>1300</v>
      </c>
      <c r="AO3981" t="s">
        <v>118</v>
      </c>
      <c r="AP3981">
        <v>-114</v>
      </c>
      <c r="AQ3981">
        <v>59</v>
      </c>
      <c r="AR3981">
        <v>0</v>
      </c>
      <c r="AZ3981">
        <v>1200</v>
      </c>
      <c r="BA3981">
        <v>1</v>
      </c>
      <c r="BB3981" t="str">
        <f t="shared" si="198"/>
        <v xml:space="preserve">N8080G  </v>
      </c>
      <c r="BC3981">
        <v>1</v>
      </c>
      <c r="BE3981">
        <v>0</v>
      </c>
      <c r="BF3981">
        <v>0</v>
      </c>
      <c r="BG3981">
        <v>0</v>
      </c>
      <c r="BH3981">
        <v>1350</v>
      </c>
      <c r="BI3981">
        <v>1</v>
      </c>
      <c r="BJ3981">
        <v>1</v>
      </c>
      <c r="BK3981">
        <v>1</v>
      </c>
      <c r="BL3981">
        <v>0</v>
      </c>
      <c r="BO3981">
        <v>0</v>
      </c>
      <c r="BP3981">
        <v>0</v>
      </c>
      <c r="BW3981" t="str">
        <f>"20:36:33.187"</f>
        <v>20:36:33.187</v>
      </c>
      <c r="BZ3981">
        <v>0</v>
      </c>
      <c r="CA3981">
        <v>1600</v>
      </c>
      <c r="CB3981">
        <v>224</v>
      </c>
      <c r="CD3981">
        <v>1</v>
      </c>
      <c r="CE3981">
        <v>0</v>
      </c>
      <c r="CF3981">
        <v>0</v>
      </c>
      <c r="CG3981">
        <v>1</v>
      </c>
      <c r="CH3981">
        <v>0</v>
      </c>
      <c r="CI3981">
        <v>0</v>
      </c>
      <c r="CJ3981">
        <v>0</v>
      </c>
      <c r="CK3981">
        <v>2</v>
      </c>
      <c r="CL3981">
        <v>0</v>
      </c>
      <c r="CM3981">
        <v>2</v>
      </c>
      <c r="CN3981">
        <v>0</v>
      </c>
      <c r="CO3981">
        <v>6</v>
      </c>
      <c r="CP3981" t="s">
        <v>119</v>
      </c>
      <c r="CQ3981">
        <v>180</v>
      </c>
      <c r="CR3981">
        <v>3</v>
      </c>
      <c r="CW3981">
        <v>1313835</v>
      </c>
      <c r="CY3981">
        <v>0</v>
      </c>
      <c r="CZ3981">
        <v>0</v>
      </c>
      <c r="DA3981">
        <v>1</v>
      </c>
      <c r="DB3981">
        <v>0</v>
      </c>
      <c r="DC3981">
        <v>0</v>
      </c>
      <c r="DD3981">
        <v>0</v>
      </c>
      <c r="DE3981">
        <v>0</v>
      </c>
      <c r="DF3981">
        <v>0</v>
      </c>
      <c r="DG3981">
        <v>0</v>
      </c>
      <c r="DH3981">
        <v>0</v>
      </c>
      <c r="DI3981">
        <v>0</v>
      </c>
    </row>
    <row r="3982" spans="1:113" x14ac:dyDescent="0.3">
      <c r="A3982" t="str">
        <f>"02/08/2021 20:36:30.832"</f>
        <v>02/08/2021 20:36:30.832</v>
      </c>
      <c r="C3982" t="str">
        <f t="shared" si="197"/>
        <v>FFDFD7C0</v>
      </c>
      <c r="D3982" t="s">
        <v>124</v>
      </c>
      <c r="E3982">
        <v>11</v>
      </c>
      <c r="F3982">
        <v>1011</v>
      </c>
      <c r="G3982" t="s">
        <v>590</v>
      </c>
      <c r="J3982" t="s">
        <v>125</v>
      </c>
      <c r="K3982">
        <v>0</v>
      </c>
      <c r="L3982">
        <v>3</v>
      </c>
      <c r="M3982">
        <v>0</v>
      </c>
      <c r="N3982">
        <v>2</v>
      </c>
      <c r="O3982">
        <v>1</v>
      </c>
      <c r="P3982">
        <v>0</v>
      </c>
      <c r="Q3982">
        <v>0</v>
      </c>
      <c r="S3982" t="str">
        <f>"20:36:33.180"</f>
        <v>20:36:33.180</v>
      </c>
      <c r="T3982" t="str">
        <f>"20:36:32.780"</f>
        <v>20:36:32.780</v>
      </c>
      <c r="U3982" t="str">
        <f t="shared" si="199"/>
        <v>AB01F4</v>
      </c>
      <c r="V3982">
        <v>0</v>
      </c>
      <c r="W3982">
        <v>0</v>
      </c>
      <c r="X3982">
        <v>2</v>
      </c>
      <c r="Z3982">
        <v>0</v>
      </c>
      <c r="AA3982">
        <v>9</v>
      </c>
      <c r="AB3982">
        <v>3</v>
      </c>
      <c r="AC3982">
        <v>0</v>
      </c>
      <c r="AD3982">
        <v>10</v>
      </c>
      <c r="AE3982">
        <v>0</v>
      </c>
      <c r="AF3982">
        <v>3</v>
      </c>
      <c r="AG3982">
        <v>2</v>
      </c>
      <c r="AH3982">
        <v>0</v>
      </c>
      <c r="AI3982" t="s">
        <v>2239</v>
      </c>
      <c r="AJ3982">
        <v>40.140889000000001</v>
      </c>
      <c r="AK3982" t="s">
        <v>2240</v>
      </c>
      <c r="AL3982">
        <v>-93.099796999999995</v>
      </c>
      <c r="AM3982">
        <v>100</v>
      </c>
      <c r="AN3982">
        <v>1300</v>
      </c>
      <c r="AO3982" t="s">
        <v>118</v>
      </c>
      <c r="AP3982">
        <v>-114</v>
      </c>
      <c r="AQ3982">
        <v>59</v>
      </c>
      <c r="AR3982">
        <v>0</v>
      </c>
      <c r="AZ3982">
        <v>1200</v>
      </c>
      <c r="BA3982">
        <v>1</v>
      </c>
      <c r="BB3982" t="str">
        <f t="shared" si="198"/>
        <v xml:space="preserve">N8080G  </v>
      </c>
      <c r="BC3982">
        <v>1</v>
      </c>
      <c r="BE3982">
        <v>0</v>
      </c>
      <c r="BF3982">
        <v>0</v>
      </c>
      <c r="BG3982">
        <v>0</v>
      </c>
      <c r="BH3982">
        <v>1350</v>
      </c>
      <c r="BI3982">
        <v>1</v>
      </c>
      <c r="BJ3982">
        <v>1</v>
      </c>
      <c r="BK3982">
        <v>1</v>
      </c>
      <c r="BL3982">
        <v>0</v>
      </c>
      <c r="BO3982">
        <v>0</v>
      </c>
      <c r="BP3982">
        <v>0</v>
      </c>
      <c r="BW3982" t="str">
        <f>"20:36:33.187"</f>
        <v>20:36:33.187</v>
      </c>
      <c r="BZ3982">
        <v>0</v>
      </c>
      <c r="CA3982">
        <v>1600</v>
      </c>
      <c r="CB3982">
        <v>224</v>
      </c>
      <c r="CD3982">
        <v>1</v>
      </c>
      <c r="CE3982">
        <v>0</v>
      </c>
      <c r="CF3982">
        <v>0</v>
      </c>
      <c r="CG3982">
        <v>1</v>
      </c>
      <c r="CH3982">
        <v>0</v>
      </c>
      <c r="CI3982">
        <v>0</v>
      </c>
      <c r="CJ3982">
        <v>0</v>
      </c>
      <c r="CK3982">
        <v>2</v>
      </c>
      <c r="CL3982">
        <v>0</v>
      </c>
      <c r="CM3982">
        <v>2</v>
      </c>
      <c r="CN3982">
        <v>0</v>
      </c>
      <c r="CO3982">
        <v>6</v>
      </c>
      <c r="CP3982" t="s">
        <v>119</v>
      </c>
      <c r="CQ3982">
        <v>180</v>
      </c>
      <c r="CR3982">
        <v>3</v>
      </c>
      <c r="CW3982">
        <v>1313835</v>
      </c>
      <c r="CY3982">
        <v>0</v>
      </c>
      <c r="CZ3982">
        <v>0</v>
      </c>
      <c r="DA3982">
        <v>1</v>
      </c>
      <c r="DB3982">
        <v>0</v>
      </c>
      <c r="DC3982">
        <v>0</v>
      </c>
      <c r="DD3982">
        <v>0</v>
      </c>
      <c r="DE3982">
        <v>0</v>
      </c>
      <c r="DF3982">
        <v>0</v>
      </c>
      <c r="DG3982">
        <v>0</v>
      </c>
      <c r="DH3982">
        <v>0</v>
      </c>
      <c r="DI3982">
        <v>0</v>
      </c>
    </row>
    <row r="3983" spans="1:113" x14ac:dyDescent="0.3">
      <c r="A3983" t="str">
        <f>"02/08/2021 20:36:31.873"</f>
        <v>02/08/2021 20:36:31.873</v>
      </c>
      <c r="C3983" t="str">
        <f t="shared" si="197"/>
        <v>FFDFD7C0</v>
      </c>
      <c r="D3983" t="s">
        <v>124</v>
      </c>
      <c r="E3983">
        <v>12</v>
      </c>
      <c r="F3983">
        <v>1012</v>
      </c>
      <c r="G3983" t="s">
        <v>675</v>
      </c>
      <c r="J3983" t="s">
        <v>125</v>
      </c>
      <c r="K3983">
        <v>0</v>
      </c>
      <c r="L3983">
        <v>3</v>
      </c>
      <c r="M3983">
        <v>0</v>
      </c>
      <c r="N3983">
        <v>2</v>
      </c>
      <c r="O3983">
        <v>1</v>
      </c>
      <c r="P3983">
        <v>0</v>
      </c>
      <c r="Q3983">
        <v>0</v>
      </c>
      <c r="S3983" t="str">
        <f>"20:36:34.188"</f>
        <v>20:36:34.188</v>
      </c>
      <c r="T3983" t="str">
        <f>"20:36:33.688"</f>
        <v>20:36:33.688</v>
      </c>
      <c r="U3983" t="str">
        <f t="shared" si="199"/>
        <v>AB01F4</v>
      </c>
      <c r="V3983">
        <v>0</v>
      </c>
      <c r="W3983">
        <v>0</v>
      </c>
      <c r="X3983">
        <v>2</v>
      </c>
      <c r="Z3983">
        <v>0</v>
      </c>
      <c r="AA3983">
        <v>9</v>
      </c>
      <c r="AB3983">
        <v>3</v>
      </c>
      <c r="AC3983">
        <v>0</v>
      </c>
      <c r="AD3983">
        <v>10</v>
      </c>
      <c r="AE3983">
        <v>0</v>
      </c>
      <c r="AF3983">
        <v>3</v>
      </c>
      <c r="AG3983">
        <v>2</v>
      </c>
      <c r="AH3983">
        <v>0</v>
      </c>
      <c r="AI3983" t="s">
        <v>2241</v>
      </c>
      <c r="AJ3983">
        <v>40.141168</v>
      </c>
      <c r="AK3983" t="s">
        <v>2242</v>
      </c>
      <c r="AL3983">
        <v>-93.100461999999993</v>
      </c>
      <c r="AM3983">
        <v>100</v>
      </c>
      <c r="AN3983">
        <v>1300</v>
      </c>
      <c r="AO3983" t="s">
        <v>118</v>
      </c>
      <c r="AP3983">
        <v>-113</v>
      </c>
      <c r="AQ3983">
        <v>59</v>
      </c>
      <c r="AR3983">
        <v>0</v>
      </c>
      <c r="AZ3983">
        <v>1200</v>
      </c>
      <c r="BA3983">
        <v>1</v>
      </c>
      <c r="BB3983" t="str">
        <f t="shared" si="198"/>
        <v xml:space="preserve">N8080G  </v>
      </c>
      <c r="BC3983">
        <v>1</v>
      </c>
      <c r="BE3983">
        <v>0</v>
      </c>
      <c r="BF3983">
        <v>0</v>
      </c>
      <c r="BG3983">
        <v>0</v>
      </c>
      <c r="BH3983">
        <v>1350</v>
      </c>
      <c r="BI3983">
        <v>1</v>
      </c>
      <c r="BJ3983">
        <v>1</v>
      </c>
      <c r="BK3983">
        <v>1</v>
      </c>
      <c r="BL3983">
        <v>0</v>
      </c>
      <c r="BO3983">
        <v>0</v>
      </c>
      <c r="BP3983">
        <v>0</v>
      </c>
      <c r="BW3983" t="str">
        <f>"20:36:34.193"</f>
        <v>20:36:34.193</v>
      </c>
      <c r="BZ3983">
        <v>0</v>
      </c>
      <c r="CA3983">
        <v>1600</v>
      </c>
      <c r="CB3983">
        <v>224</v>
      </c>
      <c r="CD3983">
        <v>1</v>
      </c>
      <c r="CE3983">
        <v>0</v>
      </c>
      <c r="CF3983">
        <v>0</v>
      </c>
      <c r="CG3983">
        <v>1</v>
      </c>
      <c r="CH3983">
        <v>0</v>
      </c>
      <c r="CI3983">
        <v>0</v>
      </c>
      <c r="CJ3983">
        <v>0</v>
      </c>
      <c r="CK3983">
        <v>2</v>
      </c>
      <c r="CL3983">
        <v>0</v>
      </c>
      <c r="CM3983">
        <v>2</v>
      </c>
      <c r="CN3983">
        <v>0</v>
      </c>
      <c r="CO3983">
        <v>5</v>
      </c>
      <c r="CP3983" t="s">
        <v>119</v>
      </c>
      <c r="CQ3983">
        <v>180</v>
      </c>
      <c r="CR3983">
        <v>3</v>
      </c>
      <c r="CW3983">
        <v>1314677</v>
      </c>
      <c r="CY3983">
        <v>0</v>
      </c>
      <c r="CZ3983">
        <v>0</v>
      </c>
      <c r="DA3983">
        <v>0</v>
      </c>
      <c r="DB3983">
        <v>0</v>
      </c>
      <c r="DC3983">
        <v>0</v>
      </c>
      <c r="DD3983">
        <v>0</v>
      </c>
      <c r="DE3983">
        <v>0</v>
      </c>
      <c r="DF3983">
        <v>0</v>
      </c>
      <c r="DG3983">
        <v>0</v>
      </c>
      <c r="DH3983">
        <v>0</v>
      </c>
      <c r="DI3983">
        <v>0</v>
      </c>
    </row>
    <row r="3984" spans="1:113" x14ac:dyDescent="0.3">
      <c r="A3984" t="str">
        <f>"02/08/2021 20:36:31.873"</f>
        <v>02/08/2021 20:36:31.873</v>
      </c>
      <c r="C3984" t="str">
        <f t="shared" si="197"/>
        <v>FFDFD7C0</v>
      </c>
      <c r="D3984" t="s">
        <v>124</v>
      </c>
      <c r="E3984">
        <v>11</v>
      </c>
      <c r="F3984">
        <v>1011</v>
      </c>
      <c r="G3984" t="s">
        <v>590</v>
      </c>
      <c r="J3984" t="s">
        <v>125</v>
      </c>
      <c r="K3984">
        <v>0</v>
      </c>
      <c r="L3984">
        <v>3</v>
      </c>
      <c r="M3984">
        <v>0</v>
      </c>
      <c r="N3984">
        <v>2</v>
      </c>
      <c r="O3984">
        <v>1</v>
      </c>
      <c r="P3984">
        <v>0</v>
      </c>
      <c r="Q3984">
        <v>0</v>
      </c>
      <c r="S3984" t="str">
        <f>"20:36:34.188"</f>
        <v>20:36:34.188</v>
      </c>
      <c r="T3984" t="str">
        <f>"20:36:33.688"</f>
        <v>20:36:33.688</v>
      </c>
      <c r="U3984" t="str">
        <f t="shared" si="199"/>
        <v>AB01F4</v>
      </c>
      <c r="V3984">
        <v>0</v>
      </c>
      <c r="W3984">
        <v>0</v>
      </c>
      <c r="X3984">
        <v>2</v>
      </c>
      <c r="Z3984">
        <v>0</v>
      </c>
      <c r="AA3984">
        <v>9</v>
      </c>
      <c r="AB3984">
        <v>3</v>
      </c>
      <c r="AC3984">
        <v>0</v>
      </c>
      <c r="AD3984">
        <v>10</v>
      </c>
      <c r="AE3984">
        <v>0</v>
      </c>
      <c r="AF3984">
        <v>3</v>
      </c>
      <c r="AG3984">
        <v>2</v>
      </c>
      <c r="AH3984">
        <v>0</v>
      </c>
      <c r="AI3984" t="s">
        <v>2241</v>
      </c>
      <c r="AJ3984">
        <v>40.141168</v>
      </c>
      <c r="AK3984" t="s">
        <v>2242</v>
      </c>
      <c r="AL3984">
        <v>-93.100461999999993</v>
      </c>
      <c r="AM3984">
        <v>100</v>
      </c>
      <c r="AN3984">
        <v>1300</v>
      </c>
      <c r="AO3984" t="s">
        <v>118</v>
      </c>
      <c r="AP3984">
        <v>-113</v>
      </c>
      <c r="AQ3984">
        <v>59</v>
      </c>
      <c r="AR3984">
        <v>0</v>
      </c>
      <c r="AZ3984">
        <v>1200</v>
      </c>
      <c r="BA3984">
        <v>1</v>
      </c>
      <c r="BB3984" t="str">
        <f t="shared" si="198"/>
        <v xml:space="preserve">N8080G  </v>
      </c>
      <c r="BC3984">
        <v>1</v>
      </c>
      <c r="BE3984">
        <v>0</v>
      </c>
      <c r="BF3984">
        <v>0</v>
      </c>
      <c r="BG3984">
        <v>0</v>
      </c>
      <c r="BH3984">
        <v>1350</v>
      </c>
      <c r="BI3984">
        <v>1</v>
      </c>
      <c r="BJ3984">
        <v>1</v>
      </c>
      <c r="BK3984">
        <v>1</v>
      </c>
      <c r="BL3984">
        <v>0</v>
      </c>
      <c r="BO3984">
        <v>0</v>
      </c>
      <c r="BP3984">
        <v>0</v>
      </c>
      <c r="BW3984" t="str">
        <f>"20:36:34.193"</f>
        <v>20:36:34.193</v>
      </c>
      <c r="BZ3984">
        <v>0</v>
      </c>
      <c r="CA3984">
        <v>1600</v>
      </c>
      <c r="CB3984">
        <v>224</v>
      </c>
      <c r="CD3984">
        <v>1</v>
      </c>
      <c r="CE3984">
        <v>0</v>
      </c>
      <c r="CF3984">
        <v>0</v>
      </c>
      <c r="CG3984">
        <v>1</v>
      </c>
      <c r="CH3984">
        <v>0</v>
      </c>
      <c r="CI3984">
        <v>0</v>
      </c>
      <c r="CJ3984">
        <v>0</v>
      </c>
      <c r="CK3984">
        <v>2</v>
      </c>
      <c r="CL3984">
        <v>0</v>
      </c>
      <c r="CM3984">
        <v>2</v>
      </c>
      <c r="CN3984">
        <v>0</v>
      </c>
      <c r="CO3984">
        <v>5</v>
      </c>
      <c r="CP3984" t="s">
        <v>119</v>
      </c>
      <c r="CQ3984">
        <v>180</v>
      </c>
      <c r="CR3984">
        <v>3</v>
      </c>
      <c r="CW3984">
        <v>1314677</v>
      </c>
      <c r="CY3984">
        <v>0</v>
      </c>
      <c r="CZ3984">
        <v>0</v>
      </c>
      <c r="DA3984">
        <v>1</v>
      </c>
      <c r="DB3984">
        <v>0</v>
      </c>
      <c r="DC3984">
        <v>0</v>
      </c>
      <c r="DD3984">
        <v>0</v>
      </c>
      <c r="DE3984">
        <v>0</v>
      </c>
      <c r="DF3984">
        <v>0</v>
      </c>
      <c r="DG3984">
        <v>0</v>
      </c>
      <c r="DH3984">
        <v>0</v>
      </c>
      <c r="DI3984">
        <v>0</v>
      </c>
    </row>
    <row r="3985" spans="1:113" x14ac:dyDescent="0.3">
      <c r="A3985" t="str">
        <f>"02/08/2021 20:36:31.873"</f>
        <v>02/08/2021 20:36:31.873</v>
      </c>
      <c r="C3985" t="str">
        <f t="shared" si="197"/>
        <v>FFDFD7C0</v>
      </c>
      <c r="D3985" t="s">
        <v>124</v>
      </c>
      <c r="E3985">
        <v>13</v>
      </c>
      <c r="F3985">
        <v>1013</v>
      </c>
      <c r="G3985" t="s">
        <v>114</v>
      </c>
      <c r="J3985" t="s">
        <v>125</v>
      </c>
      <c r="K3985">
        <v>0</v>
      </c>
      <c r="L3985">
        <v>3</v>
      </c>
      <c r="M3985">
        <v>0</v>
      </c>
      <c r="N3985">
        <v>2</v>
      </c>
      <c r="O3985">
        <v>1</v>
      </c>
      <c r="P3985">
        <v>0</v>
      </c>
      <c r="Q3985">
        <v>0</v>
      </c>
      <c r="S3985" t="str">
        <f>"20:36:34.188"</f>
        <v>20:36:34.188</v>
      </c>
      <c r="T3985" t="str">
        <f>"20:36:33.688"</f>
        <v>20:36:33.688</v>
      </c>
      <c r="U3985" t="str">
        <f t="shared" si="199"/>
        <v>AB01F4</v>
      </c>
      <c r="V3985">
        <v>0</v>
      </c>
      <c r="W3985">
        <v>0</v>
      </c>
      <c r="X3985">
        <v>2</v>
      </c>
      <c r="Z3985">
        <v>0</v>
      </c>
      <c r="AA3985">
        <v>9</v>
      </c>
      <c r="AB3985">
        <v>3</v>
      </c>
      <c r="AC3985">
        <v>0</v>
      </c>
      <c r="AD3985">
        <v>10</v>
      </c>
      <c r="AE3985">
        <v>0</v>
      </c>
      <c r="AF3985">
        <v>3</v>
      </c>
      <c r="AG3985">
        <v>2</v>
      </c>
      <c r="AH3985">
        <v>0</v>
      </c>
      <c r="AI3985" t="s">
        <v>2241</v>
      </c>
      <c r="AJ3985">
        <v>40.141168</v>
      </c>
      <c r="AK3985" t="s">
        <v>2242</v>
      </c>
      <c r="AL3985">
        <v>-93.100461999999993</v>
      </c>
      <c r="AM3985">
        <v>100</v>
      </c>
      <c r="AN3985">
        <v>1300</v>
      </c>
      <c r="AO3985" t="s">
        <v>118</v>
      </c>
      <c r="AP3985">
        <v>-113</v>
      </c>
      <c r="AQ3985">
        <v>59</v>
      </c>
      <c r="AR3985">
        <v>0</v>
      </c>
      <c r="AZ3985">
        <v>1200</v>
      </c>
      <c r="BA3985">
        <v>1</v>
      </c>
      <c r="BB3985" t="str">
        <f t="shared" si="198"/>
        <v xml:space="preserve">N8080G  </v>
      </c>
      <c r="BC3985">
        <v>1</v>
      </c>
      <c r="BE3985">
        <v>0</v>
      </c>
      <c r="BF3985">
        <v>0</v>
      </c>
      <c r="BG3985">
        <v>0</v>
      </c>
      <c r="BH3985">
        <v>1350</v>
      </c>
      <c r="BI3985">
        <v>1</v>
      </c>
      <c r="BJ3985">
        <v>1</v>
      </c>
      <c r="BK3985">
        <v>1</v>
      </c>
      <c r="BL3985">
        <v>0</v>
      </c>
      <c r="BO3985">
        <v>0</v>
      </c>
      <c r="BP3985">
        <v>0</v>
      </c>
      <c r="BW3985" t="str">
        <f>"20:36:34.193"</f>
        <v>20:36:34.193</v>
      </c>
      <c r="BZ3985">
        <v>0</v>
      </c>
      <c r="CA3985">
        <v>1600</v>
      </c>
      <c r="CB3985">
        <v>224</v>
      </c>
      <c r="CD3985">
        <v>1</v>
      </c>
      <c r="CE3985">
        <v>0</v>
      </c>
      <c r="CF3985">
        <v>0</v>
      </c>
      <c r="CG3985">
        <v>1</v>
      </c>
      <c r="CH3985">
        <v>0</v>
      </c>
      <c r="CI3985">
        <v>0</v>
      </c>
      <c r="CJ3985">
        <v>0</v>
      </c>
      <c r="CK3985">
        <v>2</v>
      </c>
      <c r="CL3985">
        <v>0</v>
      </c>
      <c r="CM3985">
        <v>2</v>
      </c>
      <c r="CN3985">
        <v>0</v>
      </c>
      <c r="CO3985">
        <v>5</v>
      </c>
      <c r="CP3985" t="s">
        <v>119</v>
      </c>
      <c r="CQ3985">
        <v>180</v>
      </c>
      <c r="CR3985">
        <v>3</v>
      </c>
      <c r="CW3985">
        <v>1314677</v>
      </c>
      <c r="CY3985">
        <v>0</v>
      </c>
      <c r="CZ3985">
        <v>0</v>
      </c>
      <c r="DA3985">
        <v>1</v>
      </c>
      <c r="DB3985">
        <v>0</v>
      </c>
      <c r="DC3985">
        <v>0</v>
      </c>
      <c r="DD3985">
        <v>0</v>
      </c>
      <c r="DE3985">
        <v>0</v>
      </c>
      <c r="DF3985">
        <v>0</v>
      </c>
      <c r="DG3985">
        <v>0</v>
      </c>
      <c r="DH3985">
        <v>0</v>
      </c>
      <c r="DI3985">
        <v>0</v>
      </c>
    </row>
    <row r="3986" spans="1:113" x14ac:dyDescent="0.3">
      <c r="A3986" t="str">
        <f>"02/08/2021 20:36:31.873"</f>
        <v>02/08/2021 20:36:31.873</v>
      </c>
      <c r="C3986" t="str">
        <f t="shared" si="197"/>
        <v>FFDFD7C0</v>
      </c>
      <c r="D3986" t="s">
        <v>113</v>
      </c>
      <c r="E3986">
        <v>6</v>
      </c>
      <c r="H3986">
        <v>165</v>
      </c>
      <c r="I3986" t="s">
        <v>114</v>
      </c>
      <c r="J3986" t="s">
        <v>115</v>
      </c>
      <c r="K3986">
        <v>0</v>
      </c>
      <c r="L3986">
        <v>3</v>
      </c>
      <c r="M3986">
        <v>0</v>
      </c>
      <c r="N3986">
        <v>2</v>
      </c>
      <c r="O3986">
        <v>1</v>
      </c>
      <c r="P3986">
        <v>0</v>
      </c>
      <c r="Q3986">
        <v>0</v>
      </c>
      <c r="S3986" t="str">
        <f>"20:36:34.188"</f>
        <v>20:36:34.188</v>
      </c>
      <c r="T3986" t="str">
        <f>"20:36:33.688"</f>
        <v>20:36:33.688</v>
      </c>
      <c r="U3986" t="str">
        <f t="shared" si="199"/>
        <v>AB01F4</v>
      </c>
      <c r="V3986">
        <v>0</v>
      </c>
      <c r="W3986">
        <v>0</v>
      </c>
      <c r="X3986">
        <v>2</v>
      </c>
      <c r="Z3986">
        <v>0</v>
      </c>
      <c r="AA3986">
        <v>9</v>
      </c>
      <c r="AB3986">
        <v>3</v>
      </c>
      <c r="AC3986">
        <v>0</v>
      </c>
      <c r="AD3986">
        <v>10</v>
      </c>
      <c r="AE3986">
        <v>0</v>
      </c>
      <c r="AF3986">
        <v>3</v>
      </c>
      <c r="AG3986">
        <v>2</v>
      </c>
      <c r="AH3986">
        <v>0</v>
      </c>
      <c r="AI3986" t="s">
        <v>2241</v>
      </c>
      <c r="AJ3986">
        <v>40.141168</v>
      </c>
      <c r="AK3986" t="s">
        <v>2242</v>
      </c>
      <c r="AL3986">
        <v>-93.100461999999993</v>
      </c>
      <c r="AM3986">
        <v>100</v>
      </c>
      <c r="AN3986">
        <v>1300</v>
      </c>
      <c r="AO3986" t="s">
        <v>118</v>
      </c>
      <c r="AP3986">
        <v>-113</v>
      </c>
      <c r="AQ3986">
        <v>59</v>
      </c>
      <c r="AR3986">
        <v>0</v>
      </c>
      <c r="AZ3986">
        <v>1200</v>
      </c>
      <c r="BA3986">
        <v>1</v>
      </c>
      <c r="BB3986" t="str">
        <f t="shared" si="198"/>
        <v xml:space="preserve">N8080G  </v>
      </c>
      <c r="BC3986">
        <v>1</v>
      </c>
      <c r="BE3986">
        <v>0</v>
      </c>
      <c r="BF3986">
        <v>0</v>
      </c>
      <c r="BG3986">
        <v>0</v>
      </c>
      <c r="BH3986">
        <v>1350</v>
      </c>
      <c r="BI3986">
        <v>1</v>
      </c>
      <c r="BJ3986">
        <v>1</v>
      </c>
      <c r="BK3986">
        <v>1</v>
      </c>
      <c r="BL3986">
        <v>0</v>
      </c>
      <c r="BO3986">
        <v>0</v>
      </c>
      <c r="BP3986">
        <v>0</v>
      </c>
      <c r="BW3986" t="str">
        <f>"20:36:34.193"</f>
        <v>20:36:34.193</v>
      </c>
      <c r="BZ3986">
        <v>0</v>
      </c>
      <c r="CA3986">
        <v>1600</v>
      </c>
      <c r="CB3986">
        <v>224</v>
      </c>
      <c r="CD3986">
        <v>1</v>
      </c>
      <c r="CE3986">
        <v>0</v>
      </c>
      <c r="CF3986">
        <v>0</v>
      </c>
      <c r="CG3986">
        <v>1</v>
      </c>
      <c r="CH3986">
        <v>0</v>
      </c>
      <c r="CI3986">
        <v>0</v>
      </c>
      <c r="CJ3986">
        <v>0</v>
      </c>
      <c r="CK3986">
        <v>2</v>
      </c>
      <c r="CL3986">
        <v>0</v>
      </c>
      <c r="CM3986">
        <v>2</v>
      </c>
      <c r="CN3986">
        <v>0</v>
      </c>
      <c r="CO3986">
        <v>5</v>
      </c>
      <c r="CP3986" t="s">
        <v>119</v>
      </c>
      <c r="CQ3986">
        <v>180</v>
      </c>
      <c r="CR3986">
        <v>3</v>
      </c>
      <c r="CW3986">
        <v>1314677</v>
      </c>
      <c r="CY3986">
        <v>0</v>
      </c>
      <c r="CZ3986">
        <v>0</v>
      </c>
      <c r="DA3986">
        <v>1</v>
      </c>
      <c r="DB3986">
        <v>0</v>
      </c>
      <c r="DC3986">
        <v>0</v>
      </c>
      <c r="DD3986">
        <v>0</v>
      </c>
      <c r="DE3986">
        <v>0</v>
      </c>
      <c r="DF3986">
        <v>0</v>
      </c>
      <c r="DG3986">
        <v>0</v>
      </c>
      <c r="DH3986">
        <v>0</v>
      </c>
      <c r="DI3986">
        <v>0</v>
      </c>
    </row>
    <row r="3987" spans="1:113" x14ac:dyDescent="0.3">
      <c r="A3987" t="str">
        <f>"02/08/2021 20:36:32.818"</f>
        <v>02/08/2021 20:36:32.818</v>
      </c>
      <c r="C3987" t="str">
        <f t="shared" si="197"/>
        <v>FFDFD7C0</v>
      </c>
      <c r="D3987" t="s">
        <v>113</v>
      </c>
      <c r="E3987">
        <v>6</v>
      </c>
      <c r="H3987">
        <v>165</v>
      </c>
      <c r="I3987" t="s">
        <v>114</v>
      </c>
      <c r="J3987" t="s">
        <v>115</v>
      </c>
      <c r="K3987">
        <v>0</v>
      </c>
      <c r="L3987">
        <v>3</v>
      </c>
      <c r="M3987">
        <v>0</v>
      </c>
      <c r="N3987">
        <v>2</v>
      </c>
      <c r="O3987">
        <v>1</v>
      </c>
      <c r="P3987">
        <v>0</v>
      </c>
      <c r="Q3987">
        <v>0</v>
      </c>
      <c r="S3987" t="str">
        <f>"20:36:35.164"</f>
        <v>20:36:35.164</v>
      </c>
      <c r="T3987" t="str">
        <f>"20:36:34.764"</f>
        <v>20:36:34.764</v>
      </c>
      <c r="U3987" t="str">
        <f t="shared" si="199"/>
        <v>AB01F4</v>
      </c>
      <c r="V3987">
        <v>0</v>
      </c>
      <c r="W3987">
        <v>0</v>
      </c>
      <c r="X3987">
        <v>2</v>
      </c>
      <c r="Z3987">
        <v>0</v>
      </c>
      <c r="AA3987">
        <v>9</v>
      </c>
      <c r="AB3987">
        <v>3</v>
      </c>
      <c r="AC3987">
        <v>0</v>
      </c>
      <c r="AD3987">
        <v>10</v>
      </c>
      <c r="AE3987">
        <v>0</v>
      </c>
      <c r="AF3987">
        <v>3</v>
      </c>
      <c r="AG3987">
        <v>2</v>
      </c>
      <c r="AH3987">
        <v>0</v>
      </c>
      <c r="AI3987" t="s">
        <v>2243</v>
      </c>
      <c r="AJ3987">
        <v>40.141424999999998</v>
      </c>
      <c r="AK3987" t="s">
        <v>2244</v>
      </c>
      <c r="AL3987">
        <v>-93.101127000000005</v>
      </c>
      <c r="AM3987">
        <v>100</v>
      </c>
      <c r="AN3987">
        <v>1300</v>
      </c>
      <c r="AO3987" t="s">
        <v>118</v>
      </c>
      <c r="AP3987">
        <v>-113</v>
      </c>
      <c r="AQ3987">
        <v>59</v>
      </c>
      <c r="AR3987">
        <v>0</v>
      </c>
      <c r="AZ3987">
        <v>1200</v>
      </c>
      <c r="BA3987">
        <v>1</v>
      </c>
      <c r="BB3987" t="str">
        <f t="shared" si="198"/>
        <v xml:space="preserve">N8080G  </v>
      </c>
      <c r="BC3987">
        <v>1</v>
      </c>
      <c r="BE3987">
        <v>0</v>
      </c>
      <c r="BF3987">
        <v>0</v>
      </c>
      <c r="BG3987">
        <v>0</v>
      </c>
      <c r="BH3987">
        <v>1350</v>
      </c>
      <c r="BI3987">
        <v>1</v>
      </c>
      <c r="BJ3987">
        <v>1</v>
      </c>
      <c r="BK3987">
        <v>1</v>
      </c>
      <c r="BL3987">
        <v>0</v>
      </c>
      <c r="BO3987">
        <v>0</v>
      </c>
      <c r="BP3987">
        <v>0</v>
      </c>
      <c r="BW3987" t="str">
        <f>"20:36:35.171"</f>
        <v>20:36:35.171</v>
      </c>
      <c r="BZ3987">
        <v>0</v>
      </c>
      <c r="CA3987">
        <v>1600</v>
      </c>
      <c r="CB3987">
        <v>224</v>
      </c>
      <c r="CD3987">
        <v>1</v>
      </c>
      <c r="CE3987">
        <v>0</v>
      </c>
      <c r="CF3987">
        <v>0</v>
      </c>
      <c r="CG3987">
        <v>1</v>
      </c>
      <c r="CH3987">
        <v>0</v>
      </c>
      <c r="CI3987">
        <v>0</v>
      </c>
      <c r="CJ3987">
        <v>0</v>
      </c>
      <c r="CK3987">
        <v>2</v>
      </c>
      <c r="CL3987">
        <v>0</v>
      </c>
      <c r="CM3987">
        <v>2</v>
      </c>
      <c r="CN3987">
        <v>0</v>
      </c>
      <c r="CO3987">
        <v>6</v>
      </c>
      <c r="CP3987" t="s">
        <v>119</v>
      </c>
      <c r="CQ3987">
        <v>180</v>
      </c>
      <c r="CR3987">
        <v>3</v>
      </c>
      <c r="CW3987">
        <v>1315361</v>
      </c>
      <c r="CY3987">
        <v>0</v>
      </c>
      <c r="CZ3987">
        <v>0</v>
      </c>
      <c r="DA3987">
        <v>0</v>
      </c>
      <c r="DB3987">
        <v>0</v>
      </c>
      <c r="DC3987">
        <v>0</v>
      </c>
      <c r="DD3987">
        <v>0</v>
      </c>
      <c r="DE3987">
        <v>0</v>
      </c>
      <c r="DF3987">
        <v>0</v>
      </c>
      <c r="DG3987">
        <v>0</v>
      </c>
      <c r="DH3987">
        <v>0</v>
      </c>
      <c r="DI3987">
        <v>0</v>
      </c>
    </row>
    <row r="3988" spans="1:113" x14ac:dyDescent="0.3">
      <c r="A3988" t="str">
        <f>"02/08/2021 20:36:32.818"</f>
        <v>02/08/2021 20:36:32.818</v>
      </c>
      <c r="C3988" t="str">
        <f t="shared" si="197"/>
        <v>FFDFD7C0</v>
      </c>
      <c r="D3988" t="s">
        <v>124</v>
      </c>
      <c r="E3988">
        <v>12</v>
      </c>
      <c r="F3988">
        <v>1012</v>
      </c>
      <c r="G3988" t="s">
        <v>675</v>
      </c>
      <c r="J3988" t="s">
        <v>125</v>
      </c>
      <c r="K3988">
        <v>0</v>
      </c>
      <c r="L3988">
        <v>3</v>
      </c>
      <c r="M3988">
        <v>0</v>
      </c>
      <c r="N3988">
        <v>2</v>
      </c>
      <c r="O3988">
        <v>1</v>
      </c>
      <c r="P3988">
        <v>0</v>
      </c>
      <c r="Q3988">
        <v>0</v>
      </c>
      <c r="S3988" t="str">
        <f>"20:36:35.164"</f>
        <v>20:36:35.164</v>
      </c>
      <c r="T3988" t="str">
        <f>"20:36:34.764"</f>
        <v>20:36:34.764</v>
      </c>
      <c r="U3988" t="str">
        <f t="shared" si="199"/>
        <v>AB01F4</v>
      </c>
      <c r="V3988">
        <v>0</v>
      </c>
      <c r="W3988">
        <v>0</v>
      </c>
      <c r="X3988">
        <v>2</v>
      </c>
      <c r="Z3988">
        <v>0</v>
      </c>
      <c r="AA3988">
        <v>9</v>
      </c>
      <c r="AB3988">
        <v>3</v>
      </c>
      <c r="AC3988">
        <v>0</v>
      </c>
      <c r="AD3988">
        <v>10</v>
      </c>
      <c r="AE3988">
        <v>0</v>
      </c>
      <c r="AF3988">
        <v>3</v>
      </c>
      <c r="AG3988">
        <v>2</v>
      </c>
      <c r="AH3988">
        <v>0</v>
      </c>
      <c r="AI3988" t="s">
        <v>2243</v>
      </c>
      <c r="AJ3988">
        <v>40.141424999999998</v>
      </c>
      <c r="AK3988" t="s">
        <v>2244</v>
      </c>
      <c r="AL3988">
        <v>-93.101127000000005</v>
      </c>
      <c r="AM3988">
        <v>100</v>
      </c>
      <c r="AN3988">
        <v>1300</v>
      </c>
      <c r="AO3988" t="s">
        <v>118</v>
      </c>
      <c r="AP3988">
        <v>-113</v>
      </c>
      <c r="AQ3988">
        <v>59</v>
      </c>
      <c r="AR3988">
        <v>0</v>
      </c>
      <c r="AZ3988">
        <v>1200</v>
      </c>
      <c r="BA3988">
        <v>1</v>
      </c>
      <c r="BB3988" t="str">
        <f t="shared" si="198"/>
        <v xml:space="preserve">N8080G  </v>
      </c>
      <c r="BC3988">
        <v>1</v>
      </c>
      <c r="BE3988">
        <v>0</v>
      </c>
      <c r="BF3988">
        <v>0</v>
      </c>
      <c r="BG3988">
        <v>0</v>
      </c>
      <c r="BH3988">
        <v>1350</v>
      </c>
      <c r="BI3988">
        <v>1</v>
      </c>
      <c r="BJ3988">
        <v>1</v>
      </c>
      <c r="BK3988">
        <v>1</v>
      </c>
      <c r="BL3988">
        <v>0</v>
      </c>
      <c r="BO3988">
        <v>0</v>
      </c>
      <c r="BP3988">
        <v>0</v>
      </c>
      <c r="BW3988" t="str">
        <f>"20:36:35.171"</f>
        <v>20:36:35.171</v>
      </c>
      <c r="BZ3988">
        <v>0</v>
      </c>
      <c r="CA3988">
        <v>1600</v>
      </c>
      <c r="CB3988">
        <v>224</v>
      </c>
      <c r="CD3988">
        <v>1</v>
      </c>
      <c r="CE3988">
        <v>0</v>
      </c>
      <c r="CF3988">
        <v>0</v>
      </c>
      <c r="CG3988">
        <v>1</v>
      </c>
      <c r="CH3988">
        <v>0</v>
      </c>
      <c r="CI3988">
        <v>0</v>
      </c>
      <c r="CJ3988">
        <v>0</v>
      </c>
      <c r="CK3988">
        <v>2</v>
      </c>
      <c r="CL3988">
        <v>0</v>
      </c>
      <c r="CM3988">
        <v>2</v>
      </c>
      <c r="CN3988">
        <v>0</v>
      </c>
      <c r="CO3988">
        <v>6</v>
      </c>
      <c r="CP3988" t="s">
        <v>119</v>
      </c>
      <c r="CQ3988">
        <v>180</v>
      </c>
      <c r="CR3988">
        <v>3</v>
      </c>
      <c r="CW3988">
        <v>1315361</v>
      </c>
      <c r="CY3988">
        <v>0</v>
      </c>
      <c r="CZ3988">
        <v>0</v>
      </c>
      <c r="DA3988">
        <v>1</v>
      </c>
      <c r="DB3988">
        <v>0</v>
      </c>
      <c r="DC3988">
        <v>0</v>
      </c>
      <c r="DD3988">
        <v>0</v>
      </c>
      <c r="DE3988">
        <v>0</v>
      </c>
      <c r="DF3988">
        <v>0</v>
      </c>
      <c r="DG3988">
        <v>0</v>
      </c>
      <c r="DH3988">
        <v>0</v>
      </c>
      <c r="DI3988">
        <v>0</v>
      </c>
    </row>
    <row r="3989" spans="1:113" x14ac:dyDescent="0.3">
      <c r="A3989" t="str">
        <f>"02/08/2021 20:36:32.818"</f>
        <v>02/08/2021 20:36:32.818</v>
      </c>
      <c r="C3989" t="str">
        <f t="shared" si="197"/>
        <v>FFDFD7C0</v>
      </c>
      <c r="D3989" t="s">
        <v>124</v>
      </c>
      <c r="E3989">
        <v>11</v>
      </c>
      <c r="F3989">
        <v>1011</v>
      </c>
      <c r="G3989" t="s">
        <v>590</v>
      </c>
      <c r="J3989" t="s">
        <v>125</v>
      </c>
      <c r="K3989">
        <v>0</v>
      </c>
      <c r="L3989">
        <v>3</v>
      </c>
      <c r="M3989">
        <v>0</v>
      </c>
      <c r="N3989">
        <v>2</v>
      </c>
      <c r="O3989">
        <v>1</v>
      </c>
      <c r="P3989">
        <v>0</v>
      </c>
      <c r="Q3989">
        <v>0</v>
      </c>
      <c r="S3989" t="str">
        <f>"20:36:35.164"</f>
        <v>20:36:35.164</v>
      </c>
      <c r="T3989" t="str">
        <f>"20:36:34.764"</f>
        <v>20:36:34.764</v>
      </c>
      <c r="U3989" t="str">
        <f t="shared" si="199"/>
        <v>AB01F4</v>
      </c>
      <c r="V3989">
        <v>0</v>
      </c>
      <c r="W3989">
        <v>0</v>
      </c>
      <c r="X3989">
        <v>2</v>
      </c>
      <c r="Z3989">
        <v>0</v>
      </c>
      <c r="AA3989">
        <v>9</v>
      </c>
      <c r="AB3989">
        <v>3</v>
      </c>
      <c r="AC3989">
        <v>0</v>
      </c>
      <c r="AD3989">
        <v>10</v>
      </c>
      <c r="AE3989">
        <v>0</v>
      </c>
      <c r="AF3989">
        <v>3</v>
      </c>
      <c r="AG3989">
        <v>2</v>
      </c>
      <c r="AH3989">
        <v>0</v>
      </c>
      <c r="AI3989" t="s">
        <v>2243</v>
      </c>
      <c r="AJ3989">
        <v>40.141424999999998</v>
      </c>
      <c r="AK3989" t="s">
        <v>2244</v>
      </c>
      <c r="AL3989">
        <v>-93.101127000000005</v>
      </c>
      <c r="AM3989">
        <v>100</v>
      </c>
      <c r="AN3989">
        <v>1300</v>
      </c>
      <c r="AO3989" t="s">
        <v>118</v>
      </c>
      <c r="AP3989">
        <v>-113</v>
      </c>
      <c r="AQ3989">
        <v>59</v>
      </c>
      <c r="AR3989">
        <v>0</v>
      </c>
      <c r="AZ3989">
        <v>1200</v>
      </c>
      <c r="BA3989">
        <v>1</v>
      </c>
      <c r="BB3989" t="str">
        <f t="shared" si="198"/>
        <v xml:space="preserve">N8080G  </v>
      </c>
      <c r="BC3989">
        <v>1</v>
      </c>
      <c r="BE3989">
        <v>0</v>
      </c>
      <c r="BF3989">
        <v>0</v>
      </c>
      <c r="BG3989">
        <v>0</v>
      </c>
      <c r="BH3989">
        <v>1350</v>
      </c>
      <c r="BI3989">
        <v>1</v>
      </c>
      <c r="BJ3989">
        <v>1</v>
      </c>
      <c r="BK3989">
        <v>1</v>
      </c>
      <c r="BL3989">
        <v>0</v>
      </c>
      <c r="BO3989">
        <v>0</v>
      </c>
      <c r="BP3989">
        <v>0</v>
      </c>
      <c r="BW3989" t="str">
        <f>"20:36:35.171"</f>
        <v>20:36:35.171</v>
      </c>
      <c r="BZ3989">
        <v>0</v>
      </c>
      <c r="CA3989">
        <v>1600</v>
      </c>
      <c r="CB3989">
        <v>224</v>
      </c>
      <c r="CD3989">
        <v>1</v>
      </c>
      <c r="CE3989">
        <v>0</v>
      </c>
      <c r="CF3989">
        <v>0</v>
      </c>
      <c r="CG3989">
        <v>1</v>
      </c>
      <c r="CH3989">
        <v>0</v>
      </c>
      <c r="CI3989">
        <v>0</v>
      </c>
      <c r="CJ3989">
        <v>0</v>
      </c>
      <c r="CK3989">
        <v>2</v>
      </c>
      <c r="CL3989">
        <v>0</v>
      </c>
      <c r="CM3989">
        <v>2</v>
      </c>
      <c r="CN3989">
        <v>0</v>
      </c>
      <c r="CO3989">
        <v>6</v>
      </c>
      <c r="CP3989" t="s">
        <v>119</v>
      </c>
      <c r="CQ3989">
        <v>180</v>
      </c>
      <c r="CR3989">
        <v>3</v>
      </c>
      <c r="CW3989">
        <v>1315361</v>
      </c>
      <c r="CY3989">
        <v>0</v>
      </c>
      <c r="CZ3989">
        <v>0</v>
      </c>
      <c r="DA3989">
        <v>1</v>
      </c>
      <c r="DB3989">
        <v>0</v>
      </c>
      <c r="DC3989">
        <v>0</v>
      </c>
      <c r="DD3989">
        <v>0</v>
      </c>
      <c r="DE3989">
        <v>0</v>
      </c>
      <c r="DF3989">
        <v>0</v>
      </c>
      <c r="DG3989">
        <v>0</v>
      </c>
      <c r="DH3989">
        <v>0</v>
      </c>
      <c r="DI3989">
        <v>0</v>
      </c>
    </row>
    <row r="3990" spans="1:113" x14ac:dyDescent="0.3">
      <c r="A3990" t="str">
        <f>"02/08/2021 20:36:32.818"</f>
        <v>02/08/2021 20:36:32.818</v>
      </c>
      <c r="C3990" t="str">
        <f t="shared" si="197"/>
        <v>FFDFD7C0</v>
      </c>
      <c r="D3990" t="s">
        <v>124</v>
      </c>
      <c r="E3990">
        <v>13</v>
      </c>
      <c r="F3990">
        <v>1013</v>
      </c>
      <c r="G3990" t="s">
        <v>114</v>
      </c>
      <c r="J3990" t="s">
        <v>125</v>
      </c>
      <c r="K3990">
        <v>0</v>
      </c>
      <c r="L3990">
        <v>3</v>
      </c>
      <c r="M3990">
        <v>0</v>
      </c>
      <c r="N3990">
        <v>2</v>
      </c>
      <c r="O3990">
        <v>1</v>
      </c>
      <c r="P3990">
        <v>0</v>
      </c>
      <c r="Q3990">
        <v>0</v>
      </c>
      <c r="S3990" t="str">
        <f>"20:36:35.164"</f>
        <v>20:36:35.164</v>
      </c>
      <c r="T3990" t="str">
        <f>"20:36:34.764"</f>
        <v>20:36:34.764</v>
      </c>
      <c r="U3990" t="str">
        <f t="shared" si="199"/>
        <v>AB01F4</v>
      </c>
      <c r="V3990">
        <v>0</v>
      </c>
      <c r="W3990">
        <v>0</v>
      </c>
      <c r="X3990">
        <v>2</v>
      </c>
      <c r="Z3990">
        <v>0</v>
      </c>
      <c r="AA3990">
        <v>9</v>
      </c>
      <c r="AB3990">
        <v>3</v>
      </c>
      <c r="AC3990">
        <v>0</v>
      </c>
      <c r="AD3990">
        <v>10</v>
      </c>
      <c r="AE3990">
        <v>0</v>
      </c>
      <c r="AF3990">
        <v>3</v>
      </c>
      <c r="AG3990">
        <v>2</v>
      </c>
      <c r="AH3990">
        <v>0</v>
      </c>
      <c r="AI3990" t="s">
        <v>2243</v>
      </c>
      <c r="AJ3990">
        <v>40.141424999999998</v>
      </c>
      <c r="AK3990" t="s">
        <v>2244</v>
      </c>
      <c r="AL3990">
        <v>-93.101127000000005</v>
      </c>
      <c r="AM3990">
        <v>100</v>
      </c>
      <c r="AN3990">
        <v>1300</v>
      </c>
      <c r="AO3990" t="s">
        <v>118</v>
      </c>
      <c r="AP3990">
        <v>-113</v>
      </c>
      <c r="AQ3990">
        <v>59</v>
      </c>
      <c r="AR3990">
        <v>0</v>
      </c>
      <c r="AZ3990">
        <v>1200</v>
      </c>
      <c r="BA3990">
        <v>1</v>
      </c>
      <c r="BB3990" t="str">
        <f t="shared" si="198"/>
        <v xml:space="preserve">N8080G  </v>
      </c>
      <c r="BC3990">
        <v>1</v>
      </c>
      <c r="BE3990">
        <v>0</v>
      </c>
      <c r="BF3990">
        <v>0</v>
      </c>
      <c r="BG3990">
        <v>0</v>
      </c>
      <c r="BH3990">
        <v>1350</v>
      </c>
      <c r="BI3990">
        <v>1</v>
      </c>
      <c r="BJ3990">
        <v>1</v>
      </c>
      <c r="BK3990">
        <v>1</v>
      </c>
      <c r="BL3990">
        <v>0</v>
      </c>
      <c r="BO3990">
        <v>0</v>
      </c>
      <c r="BP3990">
        <v>0</v>
      </c>
      <c r="BW3990" t="str">
        <f>"20:36:35.171"</f>
        <v>20:36:35.171</v>
      </c>
      <c r="BZ3990">
        <v>0</v>
      </c>
      <c r="CA3990">
        <v>1600</v>
      </c>
      <c r="CB3990">
        <v>224</v>
      </c>
      <c r="CD3990">
        <v>1</v>
      </c>
      <c r="CE3990">
        <v>0</v>
      </c>
      <c r="CF3990">
        <v>0</v>
      </c>
      <c r="CG3990">
        <v>1</v>
      </c>
      <c r="CH3990">
        <v>0</v>
      </c>
      <c r="CI3990">
        <v>0</v>
      </c>
      <c r="CJ3990">
        <v>0</v>
      </c>
      <c r="CK3990">
        <v>2</v>
      </c>
      <c r="CL3990">
        <v>0</v>
      </c>
      <c r="CM3990">
        <v>2</v>
      </c>
      <c r="CN3990">
        <v>0</v>
      </c>
      <c r="CO3990">
        <v>6</v>
      </c>
      <c r="CP3990" t="s">
        <v>119</v>
      </c>
      <c r="CQ3990">
        <v>180</v>
      </c>
      <c r="CR3990">
        <v>3</v>
      </c>
      <c r="CW3990">
        <v>1315361</v>
      </c>
      <c r="CY3990">
        <v>0</v>
      </c>
      <c r="CZ3990">
        <v>0</v>
      </c>
      <c r="DA3990">
        <v>1</v>
      </c>
      <c r="DB3990">
        <v>0</v>
      </c>
      <c r="DC3990">
        <v>0</v>
      </c>
      <c r="DD3990">
        <v>0</v>
      </c>
      <c r="DE3990">
        <v>0</v>
      </c>
      <c r="DF3990">
        <v>0</v>
      </c>
      <c r="DG3990">
        <v>0</v>
      </c>
      <c r="DH3990">
        <v>0</v>
      </c>
      <c r="DI3990">
        <v>0</v>
      </c>
    </row>
    <row r="3991" spans="1:113" x14ac:dyDescent="0.3">
      <c r="A3991" t="str">
        <f>"02/08/2021 20:36:33.779"</f>
        <v>02/08/2021 20:36:33.779</v>
      </c>
      <c r="C3991" t="str">
        <f t="shared" si="197"/>
        <v>FFDFD7C0</v>
      </c>
      <c r="D3991" t="s">
        <v>113</v>
      </c>
      <c r="E3991">
        <v>6</v>
      </c>
      <c r="H3991">
        <v>165</v>
      </c>
      <c r="I3991" t="s">
        <v>114</v>
      </c>
      <c r="J3991" t="s">
        <v>115</v>
      </c>
      <c r="K3991">
        <v>0</v>
      </c>
      <c r="L3991">
        <v>3</v>
      </c>
      <c r="M3991">
        <v>0</v>
      </c>
      <c r="N3991">
        <v>2</v>
      </c>
      <c r="O3991">
        <v>1</v>
      </c>
      <c r="P3991">
        <v>0</v>
      </c>
      <c r="Q3991">
        <v>0</v>
      </c>
      <c r="S3991" t="str">
        <f>"20:36:36.102"</f>
        <v>20:36:36.102</v>
      </c>
      <c r="T3991" t="str">
        <f>"20:36:35.702"</f>
        <v>20:36:35.702</v>
      </c>
      <c r="U3991" t="str">
        <f t="shared" si="199"/>
        <v>AB01F4</v>
      </c>
      <c r="V3991">
        <v>0</v>
      </c>
      <c r="W3991">
        <v>0</v>
      </c>
      <c r="X3991">
        <v>2</v>
      </c>
      <c r="Z3991">
        <v>0</v>
      </c>
      <c r="AA3991">
        <v>9</v>
      </c>
      <c r="AB3991">
        <v>3</v>
      </c>
      <c r="AC3991">
        <v>0</v>
      </c>
      <c r="AD3991">
        <v>10</v>
      </c>
      <c r="AE3991">
        <v>0</v>
      </c>
      <c r="AF3991">
        <v>3</v>
      </c>
      <c r="AG3991">
        <v>2</v>
      </c>
      <c r="AH3991">
        <v>0</v>
      </c>
      <c r="AI3991" t="s">
        <v>2245</v>
      </c>
      <c r="AJ3991">
        <v>40.141660999999999</v>
      </c>
      <c r="AK3991" t="s">
        <v>2246</v>
      </c>
      <c r="AL3991">
        <v>-93.101770999999999</v>
      </c>
      <c r="AM3991">
        <v>100</v>
      </c>
      <c r="AN3991">
        <v>1300</v>
      </c>
      <c r="AO3991" t="s">
        <v>118</v>
      </c>
      <c r="AP3991">
        <v>-113</v>
      </c>
      <c r="AQ3991">
        <v>59</v>
      </c>
      <c r="AR3991">
        <v>64</v>
      </c>
      <c r="AZ3991">
        <v>1200</v>
      </c>
      <c r="BA3991">
        <v>1</v>
      </c>
      <c r="BB3991" t="str">
        <f t="shared" si="198"/>
        <v xml:space="preserve">N8080G  </v>
      </c>
      <c r="BC3991">
        <v>1</v>
      </c>
      <c r="BE3991">
        <v>0</v>
      </c>
      <c r="BF3991">
        <v>0</v>
      </c>
      <c r="BG3991">
        <v>0</v>
      </c>
      <c r="BH3991">
        <v>1350</v>
      </c>
      <c r="BI3991">
        <v>1</v>
      </c>
      <c r="BJ3991">
        <v>1</v>
      </c>
      <c r="BK3991">
        <v>1</v>
      </c>
      <c r="BL3991">
        <v>0</v>
      </c>
      <c r="BO3991">
        <v>0</v>
      </c>
      <c r="BP3991">
        <v>0</v>
      </c>
      <c r="BW3991" t="str">
        <f>"20:36:36.105"</f>
        <v>20:36:36.105</v>
      </c>
      <c r="BZ3991">
        <v>0</v>
      </c>
      <c r="CA3991">
        <v>1600</v>
      </c>
      <c r="CB3991">
        <v>224</v>
      </c>
      <c r="CD3991">
        <v>1</v>
      </c>
      <c r="CE3991">
        <v>0</v>
      </c>
      <c r="CF3991">
        <v>0</v>
      </c>
      <c r="CG3991">
        <v>1</v>
      </c>
      <c r="CH3991">
        <v>0</v>
      </c>
      <c r="CI3991">
        <v>0</v>
      </c>
      <c r="CJ3991">
        <v>0</v>
      </c>
      <c r="CK3991">
        <v>2</v>
      </c>
      <c r="CL3991">
        <v>0</v>
      </c>
      <c r="CM3991">
        <v>2</v>
      </c>
      <c r="CN3991">
        <v>0</v>
      </c>
      <c r="CO3991">
        <v>6</v>
      </c>
      <c r="CP3991" t="s">
        <v>119</v>
      </c>
      <c r="CQ3991">
        <v>180</v>
      </c>
      <c r="CR3991">
        <v>3</v>
      </c>
      <c r="CW3991">
        <v>1316032</v>
      </c>
      <c r="CY3991">
        <v>0</v>
      </c>
      <c r="CZ3991">
        <v>0</v>
      </c>
      <c r="DA3991">
        <v>0</v>
      </c>
      <c r="DB3991">
        <v>0</v>
      </c>
      <c r="DC3991">
        <v>0</v>
      </c>
      <c r="DD3991">
        <v>0</v>
      </c>
      <c r="DE3991">
        <v>0</v>
      </c>
      <c r="DF3991">
        <v>0</v>
      </c>
      <c r="DG3991">
        <v>0</v>
      </c>
      <c r="DH3991">
        <v>0</v>
      </c>
      <c r="DI3991">
        <v>0</v>
      </c>
    </row>
    <row r="3992" spans="1:113" x14ac:dyDescent="0.3">
      <c r="A3992" t="str">
        <f>"02/08/2021 20:36:33.779"</f>
        <v>02/08/2021 20:36:33.779</v>
      </c>
      <c r="C3992" t="str">
        <f t="shared" si="197"/>
        <v>FFDFD7C0</v>
      </c>
      <c r="D3992" t="s">
        <v>124</v>
      </c>
      <c r="E3992">
        <v>12</v>
      </c>
      <c r="F3992">
        <v>1012</v>
      </c>
      <c r="G3992" t="s">
        <v>675</v>
      </c>
      <c r="J3992" t="s">
        <v>125</v>
      </c>
      <c r="K3992">
        <v>0</v>
      </c>
      <c r="L3992">
        <v>3</v>
      </c>
      <c r="M3992">
        <v>0</v>
      </c>
      <c r="N3992">
        <v>2</v>
      </c>
      <c r="O3992">
        <v>1</v>
      </c>
      <c r="P3992">
        <v>0</v>
      </c>
      <c r="Q3992">
        <v>0</v>
      </c>
      <c r="S3992" t="str">
        <f>"20:36:36.102"</f>
        <v>20:36:36.102</v>
      </c>
      <c r="T3992" t="str">
        <f>"20:36:35.702"</f>
        <v>20:36:35.702</v>
      </c>
      <c r="U3992" t="str">
        <f t="shared" si="199"/>
        <v>AB01F4</v>
      </c>
      <c r="V3992">
        <v>0</v>
      </c>
      <c r="W3992">
        <v>0</v>
      </c>
      <c r="X3992">
        <v>2</v>
      </c>
      <c r="Z3992">
        <v>0</v>
      </c>
      <c r="AA3992">
        <v>9</v>
      </c>
      <c r="AB3992">
        <v>3</v>
      </c>
      <c r="AC3992">
        <v>0</v>
      </c>
      <c r="AD3992">
        <v>10</v>
      </c>
      <c r="AE3992">
        <v>0</v>
      </c>
      <c r="AF3992">
        <v>3</v>
      </c>
      <c r="AG3992">
        <v>2</v>
      </c>
      <c r="AH3992">
        <v>0</v>
      </c>
      <c r="AI3992" t="s">
        <v>2245</v>
      </c>
      <c r="AJ3992">
        <v>40.141660999999999</v>
      </c>
      <c r="AK3992" t="s">
        <v>2246</v>
      </c>
      <c r="AL3992">
        <v>-93.101770999999999</v>
      </c>
      <c r="AM3992">
        <v>100</v>
      </c>
      <c r="AN3992">
        <v>1300</v>
      </c>
      <c r="AO3992" t="s">
        <v>118</v>
      </c>
      <c r="AP3992">
        <v>-113</v>
      </c>
      <c r="AQ3992">
        <v>59</v>
      </c>
      <c r="AR3992">
        <v>64</v>
      </c>
      <c r="AZ3992">
        <v>1200</v>
      </c>
      <c r="BA3992">
        <v>1</v>
      </c>
      <c r="BB3992" t="str">
        <f t="shared" si="198"/>
        <v xml:space="preserve">N8080G  </v>
      </c>
      <c r="BC3992">
        <v>1</v>
      </c>
      <c r="BE3992">
        <v>0</v>
      </c>
      <c r="BF3992">
        <v>0</v>
      </c>
      <c r="BG3992">
        <v>0</v>
      </c>
      <c r="BH3992">
        <v>1350</v>
      </c>
      <c r="BI3992">
        <v>1</v>
      </c>
      <c r="BJ3992">
        <v>1</v>
      </c>
      <c r="BK3992">
        <v>1</v>
      </c>
      <c r="BL3992">
        <v>0</v>
      </c>
      <c r="BO3992">
        <v>0</v>
      </c>
      <c r="BP3992">
        <v>0</v>
      </c>
      <c r="BW3992" t="str">
        <f>"20:36:36.105"</f>
        <v>20:36:36.105</v>
      </c>
      <c r="BZ3992">
        <v>0</v>
      </c>
      <c r="CA3992">
        <v>1600</v>
      </c>
      <c r="CB3992">
        <v>224</v>
      </c>
      <c r="CD3992">
        <v>1</v>
      </c>
      <c r="CE3992">
        <v>0</v>
      </c>
      <c r="CF3992">
        <v>0</v>
      </c>
      <c r="CG3992">
        <v>1</v>
      </c>
      <c r="CH3992">
        <v>0</v>
      </c>
      <c r="CI3992">
        <v>0</v>
      </c>
      <c r="CJ3992">
        <v>0</v>
      </c>
      <c r="CK3992">
        <v>2</v>
      </c>
      <c r="CL3992">
        <v>0</v>
      </c>
      <c r="CM3992">
        <v>2</v>
      </c>
      <c r="CN3992">
        <v>0</v>
      </c>
      <c r="CO3992">
        <v>6</v>
      </c>
      <c r="CP3992" t="s">
        <v>119</v>
      </c>
      <c r="CQ3992">
        <v>180</v>
      </c>
      <c r="CR3992">
        <v>3</v>
      </c>
      <c r="CW3992">
        <v>1316032</v>
      </c>
      <c r="CY3992">
        <v>0</v>
      </c>
      <c r="CZ3992">
        <v>0</v>
      </c>
      <c r="DA3992">
        <v>1</v>
      </c>
      <c r="DB3992">
        <v>0</v>
      </c>
      <c r="DC3992">
        <v>0</v>
      </c>
      <c r="DD3992">
        <v>0</v>
      </c>
      <c r="DE3992">
        <v>0</v>
      </c>
      <c r="DF3992">
        <v>0</v>
      </c>
      <c r="DG3992">
        <v>0</v>
      </c>
      <c r="DH3992">
        <v>0</v>
      </c>
      <c r="DI3992">
        <v>0</v>
      </c>
    </row>
    <row r="3993" spans="1:113" x14ac:dyDescent="0.3">
      <c r="A3993" t="str">
        <f>"02/08/2021 20:36:33.779"</f>
        <v>02/08/2021 20:36:33.779</v>
      </c>
      <c r="C3993" t="str">
        <f t="shared" si="197"/>
        <v>FFDFD7C0</v>
      </c>
      <c r="D3993" t="s">
        <v>124</v>
      </c>
      <c r="E3993">
        <v>11</v>
      </c>
      <c r="F3993">
        <v>1011</v>
      </c>
      <c r="G3993" t="s">
        <v>590</v>
      </c>
      <c r="J3993" t="s">
        <v>125</v>
      </c>
      <c r="K3993">
        <v>0</v>
      </c>
      <c r="L3993">
        <v>3</v>
      </c>
      <c r="M3993">
        <v>0</v>
      </c>
      <c r="N3993">
        <v>2</v>
      </c>
      <c r="O3993">
        <v>1</v>
      </c>
      <c r="P3993">
        <v>0</v>
      </c>
      <c r="Q3993">
        <v>0</v>
      </c>
      <c r="S3993" t="str">
        <f>"20:36:36.102"</f>
        <v>20:36:36.102</v>
      </c>
      <c r="T3993" t="str">
        <f>"20:36:35.702"</f>
        <v>20:36:35.702</v>
      </c>
      <c r="U3993" t="str">
        <f t="shared" si="199"/>
        <v>AB01F4</v>
      </c>
      <c r="V3993">
        <v>0</v>
      </c>
      <c r="W3993">
        <v>0</v>
      </c>
      <c r="X3993">
        <v>2</v>
      </c>
      <c r="Z3993">
        <v>0</v>
      </c>
      <c r="AA3993">
        <v>9</v>
      </c>
      <c r="AB3993">
        <v>3</v>
      </c>
      <c r="AC3993">
        <v>0</v>
      </c>
      <c r="AD3993">
        <v>10</v>
      </c>
      <c r="AE3993">
        <v>0</v>
      </c>
      <c r="AF3993">
        <v>3</v>
      </c>
      <c r="AG3993">
        <v>2</v>
      </c>
      <c r="AH3993">
        <v>0</v>
      </c>
      <c r="AI3993" t="s">
        <v>2245</v>
      </c>
      <c r="AJ3993">
        <v>40.141660999999999</v>
      </c>
      <c r="AK3993" t="s">
        <v>2246</v>
      </c>
      <c r="AL3993">
        <v>-93.101770999999999</v>
      </c>
      <c r="AM3993">
        <v>100</v>
      </c>
      <c r="AN3993">
        <v>1300</v>
      </c>
      <c r="AO3993" t="s">
        <v>118</v>
      </c>
      <c r="AP3993">
        <v>-113</v>
      </c>
      <c r="AQ3993">
        <v>59</v>
      </c>
      <c r="AR3993">
        <v>64</v>
      </c>
      <c r="AZ3993">
        <v>1200</v>
      </c>
      <c r="BA3993">
        <v>1</v>
      </c>
      <c r="BB3993" t="str">
        <f t="shared" si="198"/>
        <v xml:space="preserve">N8080G  </v>
      </c>
      <c r="BC3993">
        <v>1</v>
      </c>
      <c r="BE3993">
        <v>0</v>
      </c>
      <c r="BF3993">
        <v>0</v>
      </c>
      <c r="BG3993">
        <v>0</v>
      </c>
      <c r="BH3993">
        <v>1350</v>
      </c>
      <c r="BI3993">
        <v>1</v>
      </c>
      <c r="BJ3993">
        <v>1</v>
      </c>
      <c r="BK3993">
        <v>1</v>
      </c>
      <c r="BL3993">
        <v>0</v>
      </c>
      <c r="BO3993">
        <v>0</v>
      </c>
      <c r="BP3993">
        <v>0</v>
      </c>
      <c r="BW3993" t="str">
        <f>"20:36:36.105"</f>
        <v>20:36:36.105</v>
      </c>
      <c r="BZ3993">
        <v>0</v>
      </c>
      <c r="CA3993">
        <v>1600</v>
      </c>
      <c r="CB3993">
        <v>224</v>
      </c>
      <c r="CD3993">
        <v>1</v>
      </c>
      <c r="CE3993">
        <v>0</v>
      </c>
      <c r="CF3993">
        <v>0</v>
      </c>
      <c r="CG3993">
        <v>1</v>
      </c>
      <c r="CH3993">
        <v>0</v>
      </c>
      <c r="CI3993">
        <v>0</v>
      </c>
      <c r="CJ3993">
        <v>0</v>
      </c>
      <c r="CK3993">
        <v>2</v>
      </c>
      <c r="CL3993">
        <v>0</v>
      </c>
      <c r="CM3993">
        <v>2</v>
      </c>
      <c r="CN3993">
        <v>0</v>
      </c>
      <c r="CO3993">
        <v>6</v>
      </c>
      <c r="CP3993" t="s">
        <v>119</v>
      </c>
      <c r="CQ3993">
        <v>180</v>
      </c>
      <c r="CR3993">
        <v>3</v>
      </c>
      <c r="CW3993">
        <v>1316032</v>
      </c>
      <c r="CY3993">
        <v>0</v>
      </c>
      <c r="CZ3993">
        <v>0</v>
      </c>
      <c r="DA3993">
        <v>1</v>
      </c>
      <c r="DB3993">
        <v>0</v>
      </c>
      <c r="DC3993">
        <v>0</v>
      </c>
      <c r="DD3993">
        <v>0</v>
      </c>
      <c r="DE3993">
        <v>0</v>
      </c>
      <c r="DF3993">
        <v>0</v>
      </c>
      <c r="DG3993">
        <v>0</v>
      </c>
      <c r="DH3993">
        <v>0</v>
      </c>
      <c r="DI3993">
        <v>0</v>
      </c>
    </row>
    <row r="3994" spans="1:113" x14ac:dyDescent="0.3">
      <c r="A3994" t="str">
        <f>"02/08/2021 20:36:33.779"</f>
        <v>02/08/2021 20:36:33.779</v>
      </c>
      <c r="C3994" t="str">
        <f t="shared" si="197"/>
        <v>FFDFD7C0</v>
      </c>
      <c r="D3994" t="s">
        <v>124</v>
      </c>
      <c r="E3994">
        <v>13</v>
      </c>
      <c r="F3994">
        <v>1013</v>
      </c>
      <c r="G3994" t="s">
        <v>114</v>
      </c>
      <c r="J3994" t="s">
        <v>125</v>
      </c>
      <c r="K3994">
        <v>0</v>
      </c>
      <c r="L3994">
        <v>3</v>
      </c>
      <c r="M3994">
        <v>0</v>
      </c>
      <c r="N3994">
        <v>2</v>
      </c>
      <c r="O3994">
        <v>1</v>
      </c>
      <c r="P3994">
        <v>0</v>
      </c>
      <c r="Q3994">
        <v>0</v>
      </c>
      <c r="S3994" t="str">
        <f>"20:36:36.102"</f>
        <v>20:36:36.102</v>
      </c>
      <c r="T3994" t="str">
        <f>"20:36:35.702"</f>
        <v>20:36:35.702</v>
      </c>
      <c r="U3994" t="str">
        <f t="shared" si="199"/>
        <v>AB01F4</v>
      </c>
      <c r="V3994">
        <v>0</v>
      </c>
      <c r="W3994">
        <v>0</v>
      </c>
      <c r="X3994">
        <v>2</v>
      </c>
      <c r="Z3994">
        <v>0</v>
      </c>
      <c r="AA3994">
        <v>9</v>
      </c>
      <c r="AB3994">
        <v>3</v>
      </c>
      <c r="AC3994">
        <v>0</v>
      </c>
      <c r="AD3994">
        <v>10</v>
      </c>
      <c r="AE3994">
        <v>0</v>
      </c>
      <c r="AF3994">
        <v>3</v>
      </c>
      <c r="AG3994">
        <v>2</v>
      </c>
      <c r="AH3994">
        <v>0</v>
      </c>
      <c r="AI3994" t="s">
        <v>2245</v>
      </c>
      <c r="AJ3994">
        <v>40.141660999999999</v>
      </c>
      <c r="AK3994" t="s">
        <v>2246</v>
      </c>
      <c r="AL3994">
        <v>-93.101770999999999</v>
      </c>
      <c r="AM3994">
        <v>100</v>
      </c>
      <c r="AN3994">
        <v>1300</v>
      </c>
      <c r="AO3994" t="s">
        <v>118</v>
      </c>
      <c r="AP3994">
        <v>-113</v>
      </c>
      <c r="AQ3994">
        <v>59</v>
      </c>
      <c r="AR3994">
        <v>64</v>
      </c>
      <c r="AZ3994">
        <v>1200</v>
      </c>
      <c r="BA3994">
        <v>1</v>
      </c>
      <c r="BB3994" t="str">
        <f t="shared" si="198"/>
        <v xml:space="preserve">N8080G  </v>
      </c>
      <c r="BC3994">
        <v>1</v>
      </c>
      <c r="BE3994">
        <v>0</v>
      </c>
      <c r="BF3994">
        <v>0</v>
      </c>
      <c r="BG3994">
        <v>0</v>
      </c>
      <c r="BH3994">
        <v>1350</v>
      </c>
      <c r="BI3994">
        <v>1</v>
      </c>
      <c r="BJ3994">
        <v>1</v>
      </c>
      <c r="BK3994">
        <v>1</v>
      </c>
      <c r="BL3994">
        <v>0</v>
      </c>
      <c r="BO3994">
        <v>0</v>
      </c>
      <c r="BP3994">
        <v>0</v>
      </c>
      <c r="BW3994" t="str">
        <f>"20:36:36.105"</f>
        <v>20:36:36.105</v>
      </c>
      <c r="BZ3994">
        <v>0</v>
      </c>
      <c r="CA3994">
        <v>1600</v>
      </c>
      <c r="CB3994">
        <v>224</v>
      </c>
      <c r="CD3994">
        <v>1</v>
      </c>
      <c r="CE3994">
        <v>0</v>
      </c>
      <c r="CF3994">
        <v>0</v>
      </c>
      <c r="CG3994">
        <v>1</v>
      </c>
      <c r="CH3994">
        <v>0</v>
      </c>
      <c r="CI3994">
        <v>0</v>
      </c>
      <c r="CJ3994">
        <v>0</v>
      </c>
      <c r="CK3994">
        <v>2</v>
      </c>
      <c r="CL3994">
        <v>0</v>
      </c>
      <c r="CM3994">
        <v>2</v>
      </c>
      <c r="CN3994">
        <v>0</v>
      </c>
      <c r="CO3994">
        <v>6</v>
      </c>
      <c r="CP3994" t="s">
        <v>119</v>
      </c>
      <c r="CQ3994">
        <v>180</v>
      </c>
      <c r="CR3994">
        <v>3</v>
      </c>
      <c r="CW3994">
        <v>1316032</v>
      </c>
      <c r="CY3994">
        <v>0</v>
      </c>
      <c r="CZ3994">
        <v>0</v>
      </c>
      <c r="DA3994">
        <v>1</v>
      </c>
      <c r="DB3994">
        <v>0</v>
      </c>
      <c r="DC3994">
        <v>0</v>
      </c>
      <c r="DD3994">
        <v>0</v>
      </c>
      <c r="DE3994">
        <v>0</v>
      </c>
      <c r="DF3994">
        <v>0</v>
      </c>
      <c r="DG3994">
        <v>0</v>
      </c>
      <c r="DH3994">
        <v>0</v>
      </c>
      <c r="DI3994">
        <v>0</v>
      </c>
    </row>
    <row r="3995" spans="1:113" x14ac:dyDescent="0.3">
      <c r="A3995" t="str">
        <f>"02/08/2021 20:36:34.660"</f>
        <v>02/08/2021 20:36:34.660</v>
      </c>
      <c r="C3995" t="str">
        <f t="shared" si="197"/>
        <v>FFDFD7C0</v>
      </c>
      <c r="D3995" t="s">
        <v>124</v>
      </c>
      <c r="E3995">
        <v>11</v>
      </c>
      <c r="F3995">
        <v>1011</v>
      </c>
      <c r="G3995" t="s">
        <v>590</v>
      </c>
      <c r="J3995" t="s">
        <v>125</v>
      </c>
      <c r="K3995">
        <v>0</v>
      </c>
      <c r="L3995">
        <v>3</v>
      </c>
      <c r="M3995">
        <v>0</v>
      </c>
      <c r="N3995">
        <v>2</v>
      </c>
      <c r="O3995">
        <v>1</v>
      </c>
      <c r="P3995">
        <v>0</v>
      </c>
      <c r="Q3995">
        <v>0</v>
      </c>
      <c r="S3995" t="str">
        <f>"20:36:36.969"</f>
        <v>20:36:36.969</v>
      </c>
      <c r="T3995" t="str">
        <f>"20:36:36.569"</f>
        <v>20:36:36.569</v>
      </c>
      <c r="U3995" t="str">
        <f t="shared" si="199"/>
        <v>AB01F4</v>
      </c>
      <c r="V3995">
        <v>0</v>
      </c>
      <c r="W3995">
        <v>0</v>
      </c>
      <c r="X3995">
        <v>2</v>
      </c>
      <c r="Z3995">
        <v>0</v>
      </c>
      <c r="AA3995">
        <v>9</v>
      </c>
      <c r="AB3995">
        <v>3</v>
      </c>
      <c r="AC3995">
        <v>0</v>
      </c>
      <c r="AD3995">
        <v>10</v>
      </c>
      <c r="AE3995">
        <v>0</v>
      </c>
      <c r="AF3995">
        <v>3</v>
      </c>
      <c r="AG3995">
        <v>2</v>
      </c>
      <c r="AH3995">
        <v>0</v>
      </c>
      <c r="AI3995" t="s">
        <v>2247</v>
      </c>
      <c r="AJ3995">
        <v>40.141897</v>
      </c>
      <c r="AK3995" t="s">
        <v>2248</v>
      </c>
      <c r="AL3995">
        <v>-93.102350000000001</v>
      </c>
      <c r="AM3995">
        <v>100</v>
      </c>
      <c r="AN3995">
        <v>1300</v>
      </c>
      <c r="AO3995" t="s">
        <v>118</v>
      </c>
      <c r="AP3995">
        <v>-113</v>
      </c>
      <c r="AQ3995">
        <v>59</v>
      </c>
      <c r="AR3995">
        <v>64</v>
      </c>
      <c r="AZ3995">
        <v>1200</v>
      </c>
      <c r="BA3995">
        <v>1</v>
      </c>
      <c r="BB3995" t="str">
        <f t="shared" si="198"/>
        <v xml:space="preserve">N8080G  </v>
      </c>
      <c r="BC3995">
        <v>1</v>
      </c>
      <c r="BE3995">
        <v>0</v>
      </c>
      <c r="BF3995">
        <v>0</v>
      </c>
      <c r="BG3995">
        <v>0</v>
      </c>
      <c r="BH3995">
        <v>1350</v>
      </c>
      <c r="BI3995">
        <v>1</v>
      </c>
      <c r="BJ3995">
        <v>1</v>
      </c>
      <c r="BK3995">
        <v>1</v>
      </c>
      <c r="BL3995">
        <v>0</v>
      </c>
      <c r="BO3995">
        <v>0</v>
      </c>
      <c r="BP3995">
        <v>0</v>
      </c>
      <c r="BW3995" t="str">
        <f>"20:36:36.975"</f>
        <v>20:36:36.975</v>
      </c>
      <c r="BZ3995">
        <v>0</v>
      </c>
      <c r="CA3995">
        <v>1600</v>
      </c>
      <c r="CB3995">
        <v>224</v>
      </c>
      <c r="CD3995">
        <v>1</v>
      </c>
      <c r="CE3995">
        <v>0</v>
      </c>
      <c r="CF3995">
        <v>0</v>
      </c>
      <c r="CG3995">
        <v>1</v>
      </c>
      <c r="CH3995">
        <v>0</v>
      </c>
      <c r="CI3995">
        <v>0</v>
      </c>
      <c r="CJ3995">
        <v>0</v>
      </c>
      <c r="CK3995">
        <v>2</v>
      </c>
      <c r="CL3995">
        <v>0</v>
      </c>
      <c r="CM3995">
        <v>2</v>
      </c>
      <c r="CN3995">
        <v>0</v>
      </c>
      <c r="CO3995">
        <v>2</v>
      </c>
      <c r="CP3995" t="s">
        <v>119</v>
      </c>
      <c r="CQ3995">
        <v>179</v>
      </c>
      <c r="CR3995">
        <v>2</v>
      </c>
      <c r="CW3995">
        <v>12586360</v>
      </c>
      <c r="CY3995">
        <v>0</v>
      </c>
      <c r="CZ3995">
        <v>0</v>
      </c>
      <c r="DA3995">
        <v>0</v>
      </c>
      <c r="DB3995">
        <v>0</v>
      </c>
      <c r="DC3995">
        <v>0</v>
      </c>
      <c r="DD3995">
        <v>0</v>
      </c>
      <c r="DE3995">
        <v>0</v>
      </c>
      <c r="DF3995">
        <v>0</v>
      </c>
      <c r="DG3995">
        <v>0</v>
      </c>
      <c r="DH3995">
        <v>0</v>
      </c>
      <c r="DI3995">
        <v>0</v>
      </c>
    </row>
    <row r="3996" spans="1:113" x14ac:dyDescent="0.3">
      <c r="A3996" t="str">
        <f>"02/08/2021 20:36:34.660"</f>
        <v>02/08/2021 20:36:34.660</v>
      </c>
      <c r="C3996" t="str">
        <f t="shared" si="197"/>
        <v>FFDFD7C0</v>
      </c>
      <c r="D3996" t="s">
        <v>124</v>
      </c>
      <c r="E3996">
        <v>13</v>
      </c>
      <c r="F3996">
        <v>1013</v>
      </c>
      <c r="G3996" t="s">
        <v>114</v>
      </c>
      <c r="J3996" t="s">
        <v>125</v>
      </c>
      <c r="K3996">
        <v>0</v>
      </c>
      <c r="L3996">
        <v>3</v>
      </c>
      <c r="M3996">
        <v>0</v>
      </c>
      <c r="N3996">
        <v>2</v>
      </c>
      <c r="O3996">
        <v>1</v>
      </c>
      <c r="P3996">
        <v>0</v>
      </c>
      <c r="Q3996">
        <v>0</v>
      </c>
      <c r="S3996" t="str">
        <f>"20:36:36.969"</f>
        <v>20:36:36.969</v>
      </c>
      <c r="T3996" t="str">
        <f>"20:36:36.569"</f>
        <v>20:36:36.569</v>
      </c>
      <c r="U3996" t="str">
        <f t="shared" si="199"/>
        <v>AB01F4</v>
      </c>
      <c r="V3996">
        <v>0</v>
      </c>
      <c r="W3996">
        <v>0</v>
      </c>
      <c r="X3996">
        <v>2</v>
      </c>
      <c r="Z3996">
        <v>0</v>
      </c>
      <c r="AA3996">
        <v>9</v>
      </c>
      <c r="AB3996">
        <v>3</v>
      </c>
      <c r="AC3996">
        <v>0</v>
      </c>
      <c r="AD3996">
        <v>10</v>
      </c>
      <c r="AE3996">
        <v>0</v>
      </c>
      <c r="AF3996">
        <v>3</v>
      </c>
      <c r="AG3996">
        <v>2</v>
      </c>
      <c r="AH3996">
        <v>0</v>
      </c>
      <c r="AI3996" t="s">
        <v>2247</v>
      </c>
      <c r="AJ3996">
        <v>40.141897</v>
      </c>
      <c r="AK3996" t="s">
        <v>2248</v>
      </c>
      <c r="AL3996">
        <v>-93.102350000000001</v>
      </c>
      <c r="AM3996">
        <v>100</v>
      </c>
      <c r="AN3996">
        <v>1300</v>
      </c>
      <c r="AO3996" t="s">
        <v>118</v>
      </c>
      <c r="AP3996">
        <v>-113</v>
      </c>
      <c r="AQ3996">
        <v>59</v>
      </c>
      <c r="AR3996">
        <v>64</v>
      </c>
      <c r="AZ3996">
        <v>1200</v>
      </c>
      <c r="BA3996">
        <v>1</v>
      </c>
      <c r="BB3996" t="str">
        <f t="shared" si="198"/>
        <v xml:space="preserve">N8080G  </v>
      </c>
      <c r="BC3996">
        <v>1</v>
      </c>
      <c r="BE3996">
        <v>0</v>
      </c>
      <c r="BF3996">
        <v>0</v>
      </c>
      <c r="BG3996">
        <v>0</v>
      </c>
      <c r="BH3996">
        <v>1350</v>
      </c>
      <c r="BI3996">
        <v>1</v>
      </c>
      <c r="BJ3996">
        <v>1</v>
      </c>
      <c r="BK3996">
        <v>1</v>
      </c>
      <c r="BL3996">
        <v>0</v>
      </c>
      <c r="BO3996">
        <v>0</v>
      </c>
      <c r="BP3996">
        <v>0</v>
      </c>
      <c r="BW3996" t="str">
        <f>"20:36:36.975"</f>
        <v>20:36:36.975</v>
      </c>
      <c r="BZ3996">
        <v>0</v>
      </c>
      <c r="CA3996">
        <v>1600</v>
      </c>
      <c r="CB3996">
        <v>224</v>
      </c>
      <c r="CD3996">
        <v>1</v>
      </c>
      <c r="CE3996">
        <v>0</v>
      </c>
      <c r="CF3996">
        <v>0</v>
      </c>
      <c r="CG3996">
        <v>1</v>
      </c>
      <c r="CH3996">
        <v>0</v>
      </c>
      <c r="CI3996">
        <v>0</v>
      </c>
      <c r="CJ3996">
        <v>0</v>
      </c>
      <c r="CK3996">
        <v>2</v>
      </c>
      <c r="CL3996">
        <v>0</v>
      </c>
      <c r="CM3996">
        <v>2</v>
      </c>
      <c r="CN3996">
        <v>0</v>
      </c>
      <c r="CO3996">
        <v>2</v>
      </c>
      <c r="CP3996" t="s">
        <v>119</v>
      </c>
      <c r="CQ3996">
        <v>179</v>
      </c>
      <c r="CR3996">
        <v>2</v>
      </c>
      <c r="CW3996">
        <v>12586360</v>
      </c>
      <c r="CY3996">
        <v>0</v>
      </c>
      <c r="CZ3996">
        <v>0</v>
      </c>
      <c r="DA3996">
        <v>1</v>
      </c>
      <c r="DB3996">
        <v>0</v>
      </c>
      <c r="DC3996">
        <v>0</v>
      </c>
      <c r="DD3996">
        <v>0</v>
      </c>
      <c r="DE3996">
        <v>0</v>
      </c>
      <c r="DF3996">
        <v>0</v>
      </c>
      <c r="DG3996">
        <v>0</v>
      </c>
      <c r="DH3996">
        <v>0</v>
      </c>
      <c r="DI3996">
        <v>0</v>
      </c>
    </row>
    <row r="3997" spans="1:113" x14ac:dyDescent="0.3">
      <c r="A3997" t="str">
        <f>"02/08/2021 20:36:34.660"</f>
        <v>02/08/2021 20:36:34.660</v>
      </c>
      <c r="C3997" t="str">
        <f t="shared" si="197"/>
        <v>FFDFD7C0</v>
      </c>
      <c r="D3997" t="s">
        <v>113</v>
      </c>
      <c r="E3997">
        <v>6</v>
      </c>
      <c r="H3997">
        <v>165</v>
      </c>
      <c r="I3997" t="s">
        <v>114</v>
      </c>
      <c r="J3997" t="s">
        <v>115</v>
      </c>
      <c r="K3997">
        <v>0</v>
      </c>
      <c r="L3997">
        <v>3</v>
      </c>
      <c r="M3997">
        <v>0</v>
      </c>
      <c r="N3997">
        <v>2</v>
      </c>
      <c r="O3997">
        <v>1</v>
      </c>
      <c r="P3997">
        <v>0</v>
      </c>
      <c r="Q3997">
        <v>0</v>
      </c>
      <c r="S3997" t="str">
        <f>"20:36:36.969"</f>
        <v>20:36:36.969</v>
      </c>
      <c r="T3997" t="str">
        <f>"20:36:36.569"</f>
        <v>20:36:36.569</v>
      </c>
      <c r="U3997" t="str">
        <f t="shared" si="199"/>
        <v>AB01F4</v>
      </c>
      <c r="V3997">
        <v>0</v>
      </c>
      <c r="W3997">
        <v>0</v>
      </c>
      <c r="X3997">
        <v>2</v>
      </c>
      <c r="Z3997">
        <v>0</v>
      </c>
      <c r="AA3997">
        <v>9</v>
      </c>
      <c r="AB3997">
        <v>3</v>
      </c>
      <c r="AC3997">
        <v>0</v>
      </c>
      <c r="AD3997">
        <v>10</v>
      </c>
      <c r="AE3997">
        <v>0</v>
      </c>
      <c r="AF3997">
        <v>3</v>
      </c>
      <c r="AG3997">
        <v>2</v>
      </c>
      <c r="AH3997">
        <v>0</v>
      </c>
      <c r="AI3997" t="s">
        <v>2247</v>
      </c>
      <c r="AJ3997">
        <v>40.141897</v>
      </c>
      <c r="AK3997" t="s">
        <v>2248</v>
      </c>
      <c r="AL3997">
        <v>-93.102350000000001</v>
      </c>
      <c r="AM3997">
        <v>100</v>
      </c>
      <c r="AN3997">
        <v>1300</v>
      </c>
      <c r="AO3997" t="s">
        <v>118</v>
      </c>
      <c r="AP3997">
        <v>-113</v>
      </c>
      <c r="AQ3997">
        <v>59</v>
      </c>
      <c r="AR3997">
        <v>64</v>
      </c>
      <c r="AZ3997">
        <v>1200</v>
      </c>
      <c r="BA3997">
        <v>1</v>
      </c>
      <c r="BB3997" t="str">
        <f t="shared" si="198"/>
        <v xml:space="preserve">N8080G  </v>
      </c>
      <c r="BC3997">
        <v>1</v>
      </c>
      <c r="BE3997">
        <v>0</v>
      </c>
      <c r="BF3997">
        <v>0</v>
      </c>
      <c r="BG3997">
        <v>0</v>
      </c>
      <c r="BH3997">
        <v>1350</v>
      </c>
      <c r="BI3997">
        <v>1</v>
      </c>
      <c r="BJ3997">
        <v>1</v>
      </c>
      <c r="BK3997">
        <v>1</v>
      </c>
      <c r="BL3997">
        <v>0</v>
      </c>
      <c r="BO3997">
        <v>0</v>
      </c>
      <c r="BP3997">
        <v>0</v>
      </c>
      <c r="BW3997" t="str">
        <f>"20:36:36.975"</f>
        <v>20:36:36.975</v>
      </c>
      <c r="BZ3997">
        <v>0</v>
      </c>
      <c r="CA3997">
        <v>1600</v>
      </c>
      <c r="CB3997">
        <v>224</v>
      </c>
      <c r="CD3997">
        <v>1</v>
      </c>
      <c r="CE3997">
        <v>0</v>
      </c>
      <c r="CF3997">
        <v>0</v>
      </c>
      <c r="CG3997">
        <v>1</v>
      </c>
      <c r="CH3997">
        <v>0</v>
      </c>
      <c r="CI3997">
        <v>0</v>
      </c>
      <c r="CJ3997">
        <v>0</v>
      </c>
      <c r="CK3997">
        <v>2</v>
      </c>
      <c r="CL3997">
        <v>0</v>
      </c>
      <c r="CM3997">
        <v>2</v>
      </c>
      <c r="CN3997">
        <v>0</v>
      </c>
      <c r="CO3997">
        <v>2</v>
      </c>
      <c r="CP3997" t="s">
        <v>119</v>
      </c>
      <c r="CQ3997">
        <v>179</v>
      </c>
      <c r="CR3997">
        <v>2</v>
      </c>
      <c r="CW3997">
        <v>12586360</v>
      </c>
      <c r="CY3997">
        <v>0</v>
      </c>
      <c r="CZ3997">
        <v>0</v>
      </c>
      <c r="DA3997">
        <v>1</v>
      </c>
      <c r="DB3997">
        <v>0</v>
      </c>
      <c r="DC3997">
        <v>0</v>
      </c>
      <c r="DD3997">
        <v>0</v>
      </c>
      <c r="DE3997">
        <v>0</v>
      </c>
      <c r="DF3997">
        <v>0</v>
      </c>
      <c r="DG3997">
        <v>0</v>
      </c>
      <c r="DH3997">
        <v>0</v>
      </c>
      <c r="DI3997">
        <v>0</v>
      </c>
    </row>
    <row r="3998" spans="1:113" x14ac:dyDescent="0.3">
      <c r="A3998" t="str">
        <f>"02/08/2021 20:36:34.660"</f>
        <v>02/08/2021 20:36:34.660</v>
      </c>
      <c r="C3998" t="str">
        <f t="shared" si="197"/>
        <v>FFDFD7C0</v>
      </c>
      <c r="D3998" t="s">
        <v>124</v>
      </c>
      <c r="E3998">
        <v>12</v>
      </c>
      <c r="F3998">
        <v>1012</v>
      </c>
      <c r="G3998" t="s">
        <v>675</v>
      </c>
      <c r="J3998" t="s">
        <v>125</v>
      </c>
      <c r="K3998">
        <v>0</v>
      </c>
      <c r="L3998">
        <v>3</v>
      </c>
      <c r="M3998">
        <v>0</v>
      </c>
      <c r="N3998">
        <v>2</v>
      </c>
      <c r="O3998">
        <v>1</v>
      </c>
      <c r="P3998">
        <v>0</v>
      </c>
      <c r="Q3998">
        <v>0</v>
      </c>
      <c r="S3998" t="str">
        <f>"20:36:36.969"</f>
        <v>20:36:36.969</v>
      </c>
      <c r="T3998" t="str">
        <f>"20:36:36.569"</f>
        <v>20:36:36.569</v>
      </c>
      <c r="U3998" t="str">
        <f t="shared" si="199"/>
        <v>AB01F4</v>
      </c>
      <c r="V3998">
        <v>0</v>
      </c>
      <c r="W3998">
        <v>0</v>
      </c>
      <c r="X3998">
        <v>2</v>
      </c>
      <c r="Z3998">
        <v>0</v>
      </c>
      <c r="AA3998">
        <v>9</v>
      </c>
      <c r="AB3998">
        <v>3</v>
      </c>
      <c r="AC3998">
        <v>0</v>
      </c>
      <c r="AD3998">
        <v>10</v>
      </c>
      <c r="AE3998">
        <v>0</v>
      </c>
      <c r="AF3998">
        <v>3</v>
      </c>
      <c r="AG3998">
        <v>2</v>
      </c>
      <c r="AH3998">
        <v>0</v>
      </c>
      <c r="AI3998" t="s">
        <v>2247</v>
      </c>
      <c r="AJ3998">
        <v>40.141897</v>
      </c>
      <c r="AK3998" t="s">
        <v>2248</v>
      </c>
      <c r="AL3998">
        <v>-93.102350000000001</v>
      </c>
      <c r="AM3998">
        <v>100</v>
      </c>
      <c r="AN3998">
        <v>1300</v>
      </c>
      <c r="AO3998" t="s">
        <v>118</v>
      </c>
      <c r="AP3998">
        <v>-113</v>
      </c>
      <c r="AQ3998">
        <v>59</v>
      </c>
      <c r="AR3998">
        <v>64</v>
      </c>
      <c r="AZ3998">
        <v>1200</v>
      </c>
      <c r="BA3998">
        <v>1</v>
      </c>
      <c r="BB3998" t="str">
        <f t="shared" si="198"/>
        <v xml:space="preserve">N8080G  </v>
      </c>
      <c r="BC3998">
        <v>1</v>
      </c>
      <c r="BE3998">
        <v>0</v>
      </c>
      <c r="BF3998">
        <v>0</v>
      </c>
      <c r="BG3998">
        <v>0</v>
      </c>
      <c r="BH3998">
        <v>1350</v>
      </c>
      <c r="BI3998">
        <v>1</v>
      </c>
      <c r="BJ3998">
        <v>1</v>
      </c>
      <c r="BK3998">
        <v>1</v>
      </c>
      <c r="BL3998">
        <v>0</v>
      </c>
      <c r="BO3998">
        <v>0</v>
      </c>
      <c r="BP3998">
        <v>0</v>
      </c>
      <c r="BW3998" t="str">
        <f>"20:36:36.975"</f>
        <v>20:36:36.975</v>
      </c>
      <c r="BZ3998">
        <v>0</v>
      </c>
      <c r="CA3998">
        <v>1600</v>
      </c>
      <c r="CB3998">
        <v>224</v>
      </c>
      <c r="CD3998">
        <v>1</v>
      </c>
      <c r="CE3998">
        <v>0</v>
      </c>
      <c r="CF3998">
        <v>0</v>
      </c>
      <c r="CG3998">
        <v>1</v>
      </c>
      <c r="CH3998">
        <v>0</v>
      </c>
      <c r="CI3998">
        <v>0</v>
      </c>
      <c r="CJ3998">
        <v>0</v>
      </c>
      <c r="CK3998">
        <v>2</v>
      </c>
      <c r="CL3998">
        <v>0</v>
      </c>
      <c r="CM3998">
        <v>2</v>
      </c>
      <c r="CN3998">
        <v>0</v>
      </c>
      <c r="CO3998">
        <v>2</v>
      </c>
      <c r="CP3998" t="s">
        <v>119</v>
      </c>
      <c r="CQ3998">
        <v>179</v>
      </c>
      <c r="CR3998">
        <v>2</v>
      </c>
      <c r="CW3998">
        <v>12586360</v>
      </c>
      <c r="CY3998">
        <v>0</v>
      </c>
      <c r="CZ3998">
        <v>0</v>
      </c>
      <c r="DA3998">
        <v>1</v>
      </c>
      <c r="DB3998">
        <v>0</v>
      </c>
      <c r="DC3998">
        <v>0</v>
      </c>
      <c r="DD3998">
        <v>0</v>
      </c>
      <c r="DE3998">
        <v>0</v>
      </c>
      <c r="DF3998">
        <v>0</v>
      </c>
      <c r="DG3998">
        <v>0</v>
      </c>
      <c r="DH3998">
        <v>0</v>
      </c>
      <c r="DI3998">
        <v>0</v>
      </c>
    </row>
    <row r="3999" spans="1:113" x14ac:dyDescent="0.3">
      <c r="A3999" t="str">
        <f>"02/08/2021 20:36:35.450"</f>
        <v>02/08/2021 20:36:35.450</v>
      </c>
      <c r="C3999" t="str">
        <f t="shared" si="197"/>
        <v>FFDFD7C0</v>
      </c>
      <c r="D3999" t="s">
        <v>113</v>
      </c>
      <c r="E3999">
        <v>6</v>
      </c>
      <c r="H3999">
        <v>165</v>
      </c>
      <c r="I3999" t="s">
        <v>114</v>
      </c>
      <c r="J3999" t="s">
        <v>115</v>
      </c>
      <c r="K3999">
        <v>0</v>
      </c>
      <c r="L3999">
        <v>3</v>
      </c>
      <c r="M3999">
        <v>0</v>
      </c>
      <c r="N3999">
        <v>2</v>
      </c>
      <c r="O3999">
        <v>1</v>
      </c>
      <c r="P3999">
        <v>0</v>
      </c>
      <c r="Q3999">
        <v>0</v>
      </c>
      <c r="S3999" t="str">
        <f>"20:36:37.781"</f>
        <v>20:36:37.781</v>
      </c>
      <c r="T3999" t="str">
        <f>"20:36:37.381"</f>
        <v>20:36:37.381</v>
      </c>
      <c r="U3999" t="str">
        <f t="shared" si="199"/>
        <v>AB01F4</v>
      </c>
      <c r="V3999">
        <v>0</v>
      </c>
      <c r="W3999">
        <v>0</v>
      </c>
      <c r="X3999">
        <v>2</v>
      </c>
      <c r="Z3999">
        <v>0</v>
      </c>
      <c r="AA3999">
        <v>9</v>
      </c>
      <c r="AB3999">
        <v>3</v>
      </c>
      <c r="AC3999">
        <v>0</v>
      </c>
      <c r="AD3999">
        <v>10</v>
      </c>
      <c r="AE3999">
        <v>0</v>
      </c>
      <c r="AF3999">
        <v>3</v>
      </c>
      <c r="AG3999">
        <v>2</v>
      </c>
      <c r="AH3999">
        <v>0</v>
      </c>
      <c r="AI3999" t="s">
        <v>2249</v>
      </c>
      <c r="AJ3999">
        <v>40.142111999999997</v>
      </c>
      <c r="AK3999" t="s">
        <v>2250</v>
      </c>
      <c r="AL3999">
        <v>-93.102907999999999</v>
      </c>
      <c r="AM3999">
        <v>100</v>
      </c>
      <c r="AN3999">
        <v>1300</v>
      </c>
      <c r="AO3999" t="s">
        <v>118</v>
      </c>
      <c r="AP3999">
        <v>-113</v>
      </c>
      <c r="AQ3999">
        <v>59</v>
      </c>
      <c r="AR3999">
        <v>64</v>
      </c>
      <c r="AZ3999">
        <v>1200</v>
      </c>
      <c r="BA3999">
        <v>1</v>
      </c>
      <c r="BB3999" t="str">
        <f t="shared" si="198"/>
        <v xml:space="preserve">N8080G  </v>
      </c>
      <c r="BC3999">
        <v>1</v>
      </c>
      <c r="BE3999">
        <v>0</v>
      </c>
      <c r="BF3999">
        <v>0</v>
      </c>
      <c r="BG3999">
        <v>0</v>
      </c>
      <c r="BH3999">
        <v>1350</v>
      </c>
      <c r="BI3999">
        <v>1</v>
      </c>
      <c r="BJ3999">
        <v>1</v>
      </c>
      <c r="BK3999">
        <v>1</v>
      </c>
      <c r="BL3999">
        <v>0</v>
      </c>
      <c r="BO3999">
        <v>0</v>
      </c>
      <c r="BP3999">
        <v>0</v>
      </c>
      <c r="BW3999" t="str">
        <f>"20:36:37.786"</f>
        <v>20:36:37.786</v>
      </c>
      <c r="BZ3999">
        <v>0</v>
      </c>
      <c r="CA3999">
        <v>1600</v>
      </c>
      <c r="CB3999">
        <v>224</v>
      </c>
      <c r="CD3999">
        <v>1</v>
      </c>
      <c r="CE3999">
        <v>0</v>
      </c>
      <c r="CF3999">
        <v>0</v>
      </c>
      <c r="CG3999">
        <v>1</v>
      </c>
      <c r="CH3999">
        <v>0</v>
      </c>
      <c r="CI3999">
        <v>0</v>
      </c>
      <c r="CJ3999">
        <v>0</v>
      </c>
      <c r="CK3999">
        <v>2</v>
      </c>
      <c r="CL3999">
        <v>0</v>
      </c>
      <c r="CM3999">
        <v>2</v>
      </c>
      <c r="CN3999">
        <v>0</v>
      </c>
      <c r="CO3999">
        <v>2</v>
      </c>
      <c r="CP3999" t="s">
        <v>119</v>
      </c>
      <c r="CQ3999">
        <v>179</v>
      </c>
      <c r="CR3999">
        <v>2</v>
      </c>
      <c r="CW3999">
        <v>12587059</v>
      </c>
      <c r="CY3999">
        <v>0</v>
      </c>
      <c r="CZ3999">
        <v>0</v>
      </c>
      <c r="DA3999">
        <v>0</v>
      </c>
      <c r="DB3999">
        <v>0</v>
      </c>
      <c r="DC3999">
        <v>0</v>
      </c>
      <c r="DD3999">
        <v>0</v>
      </c>
      <c r="DE3999">
        <v>0</v>
      </c>
      <c r="DF3999">
        <v>0</v>
      </c>
      <c r="DG3999">
        <v>0</v>
      </c>
      <c r="DH3999">
        <v>0</v>
      </c>
      <c r="DI3999">
        <v>0</v>
      </c>
    </row>
    <row r="4000" spans="1:113" x14ac:dyDescent="0.3">
      <c r="A4000" t="str">
        <f>"02/08/2021 20:36:35.450"</f>
        <v>02/08/2021 20:36:35.450</v>
      </c>
      <c r="C4000" t="str">
        <f t="shared" si="197"/>
        <v>FFDFD7C0</v>
      </c>
      <c r="D4000" t="s">
        <v>124</v>
      </c>
      <c r="E4000">
        <v>12</v>
      </c>
      <c r="F4000">
        <v>1012</v>
      </c>
      <c r="G4000" t="s">
        <v>675</v>
      </c>
      <c r="J4000" t="s">
        <v>125</v>
      </c>
      <c r="K4000">
        <v>0</v>
      </c>
      <c r="L4000">
        <v>3</v>
      </c>
      <c r="M4000">
        <v>0</v>
      </c>
      <c r="N4000">
        <v>2</v>
      </c>
      <c r="O4000">
        <v>1</v>
      </c>
      <c r="P4000">
        <v>0</v>
      </c>
      <c r="Q4000">
        <v>0</v>
      </c>
      <c r="S4000" t="str">
        <f>"20:36:37.781"</f>
        <v>20:36:37.781</v>
      </c>
      <c r="T4000" t="str">
        <f>"20:36:37.381"</f>
        <v>20:36:37.381</v>
      </c>
      <c r="U4000" t="str">
        <f t="shared" si="199"/>
        <v>AB01F4</v>
      </c>
      <c r="V4000">
        <v>0</v>
      </c>
      <c r="W4000">
        <v>0</v>
      </c>
      <c r="X4000">
        <v>2</v>
      </c>
      <c r="Z4000">
        <v>0</v>
      </c>
      <c r="AA4000">
        <v>9</v>
      </c>
      <c r="AB4000">
        <v>3</v>
      </c>
      <c r="AC4000">
        <v>0</v>
      </c>
      <c r="AD4000">
        <v>10</v>
      </c>
      <c r="AE4000">
        <v>0</v>
      </c>
      <c r="AF4000">
        <v>3</v>
      </c>
      <c r="AG4000">
        <v>2</v>
      </c>
      <c r="AH4000">
        <v>0</v>
      </c>
      <c r="AI4000" t="s">
        <v>2249</v>
      </c>
      <c r="AJ4000">
        <v>40.142111999999997</v>
      </c>
      <c r="AK4000" t="s">
        <v>2250</v>
      </c>
      <c r="AL4000">
        <v>-93.102907999999999</v>
      </c>
      <c r="AM4000">
        <v>100</v>
      </c>
      <c r="AN4000">
        <v>1300</v>
      </c>
      <c r="AO4000" t="s">
        <v>118</v>
      </c>
      <c r="AP4000">
        <v>-113</v>
      </c>
      <c r="AQ4000">
        <v>59</v>
      </c>
      <c r="AR4000">
        <v>64</v>
      </c>
      <c r="AZ4000">
        <v>1200</v>
      </c>
      <c r="BA4000">
        <v>1</v>
      </c>
      <c r="BB4000" t="str">
        <f t="shared" si="198"/>
        <v xml:space="preserve">N8080G  </v>
      </c>
      <c r="BC4000">
        <v>1</v>
      </c>
      <c r="BE4000">
        <v>0</v>
      </c>
      <c r="BF4000">
        <v>0</v>
      </c>
      <c r="BG4000">
        <v>0</v>
      </c>
      <c r="BH4000">
        <v>1350</v>
      </c>
      <c r="BI4000">
        <v>1</v>
      </c>
      <c r="BJ4000">
        <v>1</v>
      </c>
      <c r="BK4000">
        <v>1</v>
      </c>
      <c r="BL4000">
        <v>0</v>
      </c>
      <c r="BO4000">
        <v>0</v>
      </c>
      <c r="BP4000">
        <v>0</v>
      </c>
      <c r="BW4000" t="str">
        <f>"20:36:37.786"</f>
        <v>20:36:37.786</v>
      </c>
      <c r="BZ4000">
        <v>0</v>
      </c>
      <c r="CA4000">
        <v>1600</v>
      </c>
      <c r="CB4000">
        <v>224</v>
      </c>
      <c r="CD4000">
        <v>1</v>
      </c>
      <c r="CE4000">
        <v>0</v>
      </c>
      <c r="CF4000">
        <v>0</v>
      </c>
      <c r="CG4000">
        <v>1</v>
      </c>
      <c r="CH4000">
        <v>0</v>
      </c>
      <c r="CI4000">
        <v>0</v>
      </c>
      <c r="CJ4000">
        <v>0</v>
      </c>
      <c r="CK4000">
        <v>2</v>
      </c>
      <c r="CL4000">
        <v>0</v>
      </c>
      <c r="CM4000">
        <v>2</v>
      </c>
      <c r="CN4000">
        <v>0</v>
      </c>
      <c r="CO4000">
        <v>2</v>
      </c>
      <c r="CP4000" t="s">
        <v>119</v>
      </c>
      <c r="CQ4000">
        <v>179</v>
      </c>
      <c r="CR4000">
        <v>2</v>
      </c>
      <c r="CW4000">
        <v>12587059</v>
      </c>
      <c r="CY4000">
        <v>0</v>
      </c>
      <c r="CZ4000">
        <v>0</v>
      </c>
      <c r="DA4000">
        <v>1</v>
      </c>
      <c r="DB4000">
        <v>0</v>
      </c>
      <c r="DC4000">
        <v>0</v>
      </c>
      <c r="DD4000">
        <v>0</v>
      </c>
      <c r="DE4000">
        <v>0</v>
      </c>
      <c r="DF4000">
        <v>0</v>
      </c>
      <c r="DG4000">
        <v>0</v>
      </c>
      <c r="DH4000">
        <v>0</v>
      </c>
      <c r="DI4000">
        <v>0</v>
      </c>
    </row>
    <row r="4001" spans="1:113" x14ac:dyDescent="0.3">
      <c r="A4001" t="str">
        <f>"02/08/2021 20:36:35.450"</f>
        <v>02/08/2021 20:36:35.450</v>
      </c>
      <c r="C4001" t="str">
        <f t="shared" si="197"/>
        <v>FFDFD7C0</v>
      </c>
      <c r="D4001" t="s">
        <v>124</v>
      </c>
      <c r="E4001">
        <v>11</v>
      </c>
      <c r="F4001">
        <v>1011</v>
      </c>
      <c r="G4001" t="s">
        <v>590</v>
      </c>
      <c r="J4001" t="s">
        <v>125</v>
      </c>
      <c r="K4001">
        <v>0</v>
      </c>
      <c r="L4001">
        <v>3</v>
      </c>
      <c r="M4001">
        <v>0</v>
      </c>
      <c r="N4001">
        <v>2</v>
      </c>
      <c r="O4001">
        <v>1</v>
      </c>
      <c r="P4001">
        <v>0</v>
      </c>
      <c r="Q4001">
        <v>0</v>
      </c>
      <c r="S4001" t="str">
        <f>"20:36:37.781"</f>
        <v>20:36:37.781</v>
      </c>
      <c r="T4001" t="str">
        <f>"20:36:37.381"</f>
        <v>20:36:37.381</v>
      </c>
      <c r="U4001" t="str">
        <f t="shared" si="199"/>
        <v>AB01F4</v>
      </c>
      <c r="V4001">
        <v>0</v>
      </c>
      <c r="W4001">
        <v>0</v>
      </c>
      <c r="X4001">
        <v>2</v>
      </c>
      <c r="Z4001">
        <v>0</v>
      </c>
      <c r="AA4001">
        <v>9</v>
      </c>
      <c r="AB4001">
        <v>3</v>
      </c>
      <c r="AC4001">
        <v>0</v>
      </c>
      <c r="AD4001">
        <v>10</v>
      </c>
      <c r="AE4001">
        <v>0</v>
      </c>
      <c r="AF4001">
        <v>3</v>
      </c>
      <c r="AG4001">
        <v>2</v>
      </c>
      <c r="AH4001">
        <v>0</v>
      </c>
      <c r="AI4001" t="s">
        <v>2249</v>
      </c>
      <c r="AJ4001">
        <v>40.142111999999997</v>
      </c>
      <c r="AK4001" t="s">
        <v>2250</v>
      </c>
      <c r="AL4001">
        <v>-93.102907999999999</v>
      </c>
      <c r="AM4001">
        <v>100</v>
      </c>
      <c r="AN4001">
        <v>1300</v>
      </c>
      <c r="AO4001" t="s">
        <v>118</v>
      </c>
      <c r="AP4001">
        <v>-113</v>
      </c>
      <c r="AQ4001">
        <v>59</v>
      </c>
      <c r="AR4001">
        <v>64</v>
      </c>
      <c r="AZ4001">
        <v>1200</v>
      </c>
      <c r="BA4001">
        <v>1</v>
      </c>
      <c r="BB4001" t="str">
        <f t="shared" si="198"/>
        <v xml:space="preserve">N8080G  </v>
      </c>
      <c r="BC4001">
        <v>1</v>
      </c>
      <c r="BE4001">
        <v>0</v>
      </c>
      <c r="BF4001">
        <v>0</v>
      </c>
      <c r="BG4001">
        <v>0</v>
      </c>
      <c r="BH4001">
        <v>1350</v>
      </c>
      <c r="BI4001">
        <v>1</v>
      </c>
      <c r="BJ4001">
        <v>1</v>
      </c>
      <c r="BK4001">
        <v>1</v>
      </c>
      <c r="BL4001">
        <v>0</v>
      </c>
      <c r="BO4001">
        <v>0</v>
      </c>
      <c r="BP4001">
        <v>0</v>
      </c>
      <c r="BW4001" t="str">
        <f>"20:36:37.786"</f>
        <v>20:36:37.786</v>
      </c>
      <c r="BZ4001">
        <v>0</v>
      </c>
      <c r="CA4001">
        <v>1600</v>
      </c>
      <c r="CB4001">
        <v>224</v>
      </c>
      <c r="CD4001">
        <v>1</v>
      </c>
      <c r="CE4001">
        <v>0</v>
      </c>
      <c r="CF4001">
        <v>0</v>
      </c>
      <c r="CG4001">
        <v>1</v>
      </c>
      <c r="CH4001">
        <v>0</v>
      </c>
      <c r="CI4001">
        <v>0</v>
      </c>
      <c r="CJ4001">
        <v>0</v>
      </c>
      <c r="CK4001">
        <v>2</v>
      </c>
      <c r="CL4001">
        <v>0</v>
      </c>
      <c r="CM4001">
        <v>2</v>
      </c>
      <c r="CN4001">
        <v>0</v>
      </c>
      <c r="CO4001">
        <v>2</v>
      </c>
      <c r="CP4001" t="s">
        <v>119</v>
      </c>
      <c r="CQ4001">
        <v>179</v>
      </c>
      <c r="CR4001">
        <v>2</v>
      </c>
      <c r="CW4001">
        <v>12587059</v>
      </c>
      <c r="CY4001">
        <v>0</v>
      </c>
      <c r="CZ4001">
        <v>0</v>
      </c>
      <c r="DA4001">
        <v>1</v>
      </c>
      <c r="DB4001">
        <v>0</v>
      </c>
      <c r="DC4001">
        <v>0</v>
      </c>
      <c r="DD4001">
        <v>0</v>
      </c>
      <c r="DE4001">
        <v>0</v>
      </c>
      <c r="DF4001">
        <v>0</v>
      </c>
      <c r="DG4001">
        <v>0</v>
      </c>
      <c r="DH4001">
        <v>0</v>
      </c>
      <c r="DI4001">
        <v>0</v>
      </c>
    </row>
    <row r="4002" spans="1:113" x14ac:dyDescent="0.3">
      <c r="A4002" t="str">
        <f>"02/08/2021 20:36:35.450"</f>
        <v>02/08/2021 20:36:35.450</v>
      </c>
      <c r="C4002" t="str">
        <f t="shared" si="197"/>
        <v>FFDFD7C0</v>
      </c>
      <c r="D4002" t="s">
        <v>124</v>
      </c>
      <c r="E4002">
        <v>13</v>
      </c>
      <c r="F4002">
        <v>1013</v>
      </c>
      <c r="G4002" t="s">
        <v>114</v>
      </c>
      <c r="J4002" t="s">
        <v>125</v>
      </c>
      <c r="K4002">
        <v>0</v>
      </c>
      <c r="L4002">
        <v>3</v>
      </c>
      <c r="M4002">
        <v>0</v>
      </c>
      <c r="N4002">
        <v>2</v>
      </c>
      <c r="O4002">
        <v>1</v>
      </c>
      <c r="P4002">
        <v>0</v>
      </c>
      <c r="Q4002">
        <v>0</v>
      </c>
      <c r="S4002" t="str">
        <f>"20:36:37.781"</f>
        <v>20:36:37.781</v>
      </c>
      <c r="T4002" t="str">
        <f>"20:36:37.381"</f>
        <v>20:36:37.381</v>
      </c>
      <c r="U4002" t="str">
        <f t="shared" si="199"/>
        <v>AB01F4</v>
      </c>
      <c r="V4002">
        <v>0</v>
      </c>
      <c r="W4002">
        <v>0</v>
      </c>
      <c r="X4002">
        <v>2</v>
      </c>
      <c r="Z4002">
        <v>0</v>
      </c>
      <c r="AA4002">
        <v>9</v>
      </c>
      <c r="AB4002">
        <v>3</v>
      </c>
      <c r="AC4002">
        <v>0</v>
      </c>
      <c r="AD4002">
        <v>10</v>
      </c>
      <c r="AE4002">
        <v>0</v>
      </c>
      <c r="AF4002">
        <v>3</v>
      </c>
      <c r="AG4002">
        <v>2</v>
      </c>
      <c r="AH4002">
        <v>0</v>
      </c>
      <c r="AI4002" t="s">
        <v>2249</v>
      </c>
      <c r="AJ4002">
        <v>40.142111999999997</v>
      </c>
      <c r="AK4002" t="s">
        <v>2250</v>
      </c>
      <c r="AL4002">
        <v>-93.102907999999999</v>
      </c>
      <c r="AM4002">
        <v>100</v>
      </c>
      <c r="AN4002">
        <v>1300</v>
      </c>
      <c r="AO4002" t="s">
        <v>118</v>
      </c>
      <c r="AP4002">
        <v>-113</v>
      </c>
      <c r="AQ4002">
        <v>59</v>
      </c>
      <c r="AR4002">
        <v>64</v>
      </c>
      <c r="AZ4002">
        <v>1200</v>
      </c>
      <c r="BA4002">
        <v>1</v>
      </c>
      <c r="BB4002" t="str">
        <f t="shared" si="198"/>
        <v xml:space="preserve">N8080G  </v>
      </c>
      <c r="BC4002">
        <v>1</v>
      </c>
      <c r="BE4002">
        <v>0</v>
      </c>
      <c r="BF4002">
        <v>0</v>
      </c>
      <c r="BG4002">
        <v>0</v>
      </c>
      <c r="BH4002">
        <v>1350</v>
      </c>
      <c r="BI4002">
        <v>1</v>
      </c>
      <c r="BJ4002">
        <v>1</v>
      </c>
      <c r="BK4002">
        <v>1</v>
      </c>
      <c r="BL4002">
        <v>0</v>
      </c>
      <c r="BO4002">
        <v>0</v>
      </c>
      <c r="BP4002">
        <v>0</v>
      </c>
      <c r="BW4002" t="str">
        <f>"20:36:37.786"</f>
        <v>20:36:37.786</v>
      </c>
      <c r="BZ4002">
        <v>0</v>
      </c>
      <c r="CA4002">
        <v>1600</v>
      </c>
      <c r="CB4002">
        <v>224</v>
      </c>
      <c r="CD4002">
        <v>1</v>
      </c>
      <c r="CE4002">
        <v>0</v>
      </c>
      <c r="CF4002">
        <v>0</v>
      </c>
      <c r="CG4002">
        <v>1</v>
      </c>
      <c r="CH4002">
        <v>0</v>
      </c>
      <c r="CI4002">
        <v>0</v>
      </c>
      <c r="CJ4002">
        <v>0</v>
      </c>
      <c r="CK4002">
        <v>2</v>
      </c>
      <c r="CL4002">
        <v>0</v>
      </c>
      <c r="CM4002">
        <v>2</v>
      </c>
      <c r="CN4002">
        <v>0</v>
      </c>
      <c r="CO4002">
        <v>2</v>
      </c>
      <c r="CP4002" t="s">
        <v>119</v>
      </c>
      <c r="CQ4002">
        <v>179</v>
      </c>
      <c r="CR4002">
        <v>2</v>
      </c>
      <c r="CW4002">
        <v>12587059</v>
      </c>
      <c r="CY4002">
        <v>0</v>
      </c>
      <c r="CZ4002">
        <v>0</v>
      </c>
      <c r="DA4002">
        <v>1</v>
      </c>
      <c r="DB4002">
        <v>0</v>
      </c>
      <c r="DC4002">
        <v>0</v>
      </c>
      <c r="DD4002">
        <v>0</v>
      </c>
      <c r="DE4002">
        <v>0</v>
      </c>
      <c r="DF4002">
        <v>0</v>
      </c>
      <c r="DG4002">
        <v>0</v>
      </c>
      <c r="DH4002">
        <v>0</v>
      </c>
      <c r="DI4002">
        <v>0</v>
      </c>
    </row>
    <row r="4003" spans="1:113" x14ac:dyDescent="0.3">
      <c r="A4003" t="str">
        <f>"02/08/2021 20:36:36.506"</f>
        <v>02/08/2021 20:36:36.506</v>
      </c>
      <c r="C4003" t="str">
        <f t="shared" si="197"/>
        <v>FFDFD7C0</v>
      </c>
      <c r="D4003" t="s">
        <v>124</v>
      </c>
      <c r="E4003">
        <v>12</v>
      </c>
      <c r="F4003">
        <v>1012</v>
      </c>
      <c r="G4003" t="s">
        <v>675</v>
      </c>
      <c r="J4003" t="s">
        <v>125</v>
      </c>
      <c r="K4003">
        <v>0</v>
      </c>
      <c r="L4003">
        <v>3</v>
      </c>
      <c r="M4003">
        <v>0</v>
      </c>
      <c r="N4003">
        <v>2</v>
      </c>
      <c r="O4003">
        <v>1</v>
      </c>
      <c r="P4003">
        <v>0</v>
      </c>
      <c r="Q4003">
        <v>0</v>
      </c>
      <c r="S4003" t="str">
        <f>"20:36:38.852"</f>
        <v>20:36:38.852</v>
      </c>
      <c r="T4003" t="str">
        <f>"20:36:38.352"</f>
        <v>20:36:38.352</v>
      </c>
      <c r="U4003" t="str">
        <f t="shared" si="199"/>
        <v>AB01F4</v>
      </c>
      <c r="V4003">
        <v>0</v>
      </c>
      <c r="W4003">
        <v>0</v>
      </c>
      <c r="X4003">
        <v>2</v>
      </c>
      <c r="Z4003">
        <v>0</v>
      </c>
      <c r="AA4003">
        <v>9</v>
      </c>
      <c r="AB4003">
        <v>3</v>
      </c>
      <c r="AC4003">
        <v>0</v>
      </c>
      <c r="AD4003">
        <v>10</v>
      </c>
      <c r="AE4003">
        <v>0</v>
      </c>
      <c r="AF4003">
        <v>3</v>
      </c>
      <c r="AG4003">
        <v>2</v>
      </c>
      <c r="AH4003">
        <v>0</v>
      </c>
      <c r="AI4003" t="s">
        <v>2251</v>
      </c>
      <c r="AJ4003">
        <v>40.142412</v>
      </c>
      <c r="AK4003" t="s">
        <v>2252</v>
      </c>
      <c r="AL4003">
        <v>-93.103701999999998</v>
      </c>
      <c r="AM4003">
        <v>100</v>
      </c>
      <c r="AN4003">
        <v>1300</v>
      </c>
      <c r="AO4003" t="s">
        <v>118</v>
      </c>
      <c r="AP4003">
        <v>-113</v>
      </c>
      <c r="AQ4003">
        <v>59</v>
      </c>
      <c r="AR4003">
        <v>64</v>
      </c>
      <c r="AZ4003">
        <v>1200</v>
      </c>
      <c r="BA4003">
        <v>1</v>
      </c>
      <c r="BB4003" t="str">
        <f t="shared" si="198"/>
        <v xml:space="preserve">N8080G  </v>
      </c>
      <c r="BC4003">
        <v>1</v>
      </c>
      <c r="BE4003">
        <v>0</v>
      </c>
      <c r="BF4003">
        <v>0</v>
      </c>
      <c r="BG4003">
        <v>0</v>
      </c>
      <c r="BH4003">
        <v>1350</v>
      </c>
      <c r="BI4003">
        <v>1</v>
      </c>
      <c r="BJ4003">
        <v>1</v>
      </c>
      <c r="BK4003">
        <v>1</v>
      </c>
      <c r="BL4003">
        <v>0</v>
      </c>
      <c r="BO4003">
        <v>0</v>
      </c>
      <c r="BP4003">
        <v>0</v>
      </c>
      <c r="BW4003" t="str">
        <f>"20:36:38.857"</f>
        <v>20:36:38.857</v>
      </c>
      <c r="BZ4003">
        <v>0</v>
      </c>
      <c r="CA4003">
        <v>1600</v>
      </c>
      <c r="CB4003">
        <v>224</v>
      </c>
      <c r="CD4003">
        <v>1</v>
      </c>
      <c r="CE4003">
        <v>0</v>
      </c>
      <c r="CF4003">
        <v>0</v>
      </c>
      <c r="CG4003">
        <v>1</v>
      </c>
      <c r="CH4003">
        <v>0</v>
      </c>
      <c r="CI4003">
        <v>0</v>
      </c>
      <c r="CJ4003">
        <v>0</v>
      </c>
      <c r="CK4003">
        <v>2</v>
      </c>
      <c r="CL4003">
        <v>0</v>
      </c>
      <c r="CM4003">
        <v>2</v>
      </c>
      <c r="CN4003">
        <v>0</v>
      </c>
      <c r="CO4003">
        <v>6</v>
      </c>
      <c r="CP4003" t="s">
        <v>119</v>
      </c>
      <c r="CQ4003">
        <v>180</v>
      </c>
      <c r="CR4003">
        <v>3</v>
      </c>
      <c r="CW4003">
        <v>1318241</v>
      </c>
      <c r="CY4003">
        <v>0</v>
      </c>
      <c r="CZ4003">
        <v>0</v>
      </c>
      <c r="DA4003">
        <v>0</v>
      </c>
      <c r="DB4003">
        <v>0</v>
      </c>
      <c r="DC4003">
        <v>0</v>
      </c>
      <c r="DD4003">
        <v>0</v>
      </c>
      <c r="DE4003">
        <v>0</v>
      </c>
      <c r="DF4003">
        <v>0</v>
      </c>
      <c r="DG4003">
        <v>0</v>
      </c>
      <c r="DH4003">
        <v>0</v>
      </c>
      <c r="DI4003">
        <v>0</v>
      </c>
    </row>
    <row r="4004" spans="1:113" x14ac:dyDescent="0.3">
      <c r="A4004" t="str">
        <f>"02/08/2021 20:36:36.506"</f>
        <v>02/08/2021 20:36:36.506</v>
      </c>
      <c r="C4004" t="str">
        <f t="shared" si="197"/>
        <v>FFDFD7C0</v>
      </c>
      <c r="D4004" t="s">
        <v>113</v>
      </c>
      <c r="E4004">
        <v>6</v>
      </c>
      <c r="H4004">
        <v>165</v>
      </c>
      <c r="I4004" t="s">
        <v>114</v>
      </c>
      <c r="J4004" t="s">
        <v>115</v>
      </c>
      <c r="K4004">
        <v>0</v>
      </c>
      <c r="L4004">
        <v>3</v>
      </c>
      <c r="M4004">
        <v>0</v>
      </c>
      <c r="N4004">
        <v>2</v>
      </c>
      <c r="O4004">
        <v>1</v>
      </c>
      <c r="P4004">
        <v>0</v>
      </c>
      <c r="Q4004">
        <v>0</v>
      </c>
      <c r="S4004" t="str">
        <f>"20:36:38.852"</f>
        <v>20:36:38.852</v>
      </c>
      <c r="T4004" t="str">
        <f>"20:36:38.352"</f>
        <v>20:36:38.352</v>
      </c>
      <c r="U4004" t="str">
        <f t="shared" si="199"/>
        <v>AB01F4</v>
      </c>
      <c r="V4004">
        <v>0</v>
      </c>
      <c r="W4004">
        <v>0</v>
      </c>
      <c r="X4004">
        <v>2</v>
      </c>
      <c r="Z4004">
        <v>0</v>
      </c>
      <c r="AA4004">
        <v>9</v>
      </c>
      <c r="AB4004">
        <v>3</v>
      </c>
      <c r="AC4004">
        <v>0</v>
      </c>
      <c r="AD4004">
        <v>10</v>
      </c>
      <c r="AE4004">
        <v>0</v>
      </c>
      <c r="AF4004">
        <v>3</v>
      </c>
      <c r="AG4004">
        <v>2</v>
      </c>
      <c r="AH4004">
        <v>0</v>
      </c>
      <c r="AI4004" t="s">
        <v>2251</v>
      </c>
      <c r="AJ4004">
        <v>40.142412</v>
      </c>
      <c r="AK4004" t="s">
        <v>2252</v>
      </c>
      <c r="AL4004">
        <v>-93.103701999999998</v>
      </c>
      <c r="AM4004">
        <v>100</v>
      </c>
      <c r="AN4004">
        <v>1300</v>
      </c>
      <c r="AO4004" t="s">
        <v>118</v>
      </c>
      <c r="AP4004">
        <v>-113</v>
      </c>
      <c r="AQ4004">
        <v>59</v>
      </c>
      <c r="AR4004">
        <v>64</v>
      </c>
      <c r="AZ4004">
        <v>1200</v>
      </c>
      <c r="BA4004">
        <v>1</v>
      </c>
      <c r="BB4004" t="str">
        <f t="shared" si="198"/>
        <v xml:space="preserve">N8080G  </v>
      </c>
      <c r="BC4004">
        <v>1</v>
      </c>
      <c r="BE4004">
        <v>0</v>
      </c>
      <c r="BF4004">
        <v>0</v>
      </c>
      <c r="BG4004">
        <v>0</v>
      </c>
      <c r="BH4004">
        <v>1350</v>
      </c>
      <c r="BI4004">
        <v>1</v>
      </c>
      <c r="BJ4004">
        <v>1</v>
      </c>
      <c r="BK4004">
        <v>1</v>
      </c>
      <c r="BL4004">
        <v>0</v>
      </c>
      <c r="BO4004">
        <v>0</v>
      </c>
      <c r="BP4004">
        <v>0</v>
      </c>
      <c r="BW4004" t="str">
        <f>"20:36:38.857"</f>
        <v>20:36:38.857</v>
      </c>
      <c r="BZ4004">
        <v>0</v>
      </c>
      <c r="CA4004">
        <v>1600</v>
      </c>
      <c r="CB4004">
        <v>224</v>
      </c>
      <c r="CD4004">
        <v>1</v>
      </c>
      <c r="CE4004">
        <v>0</v>
      </c>
      <c r="CF4004">
        <v>0</v>
      </c>
      <c r="CG4004">
        <v>1</v>
      </c>
      <c r="CH4004">
        <v>0</v>
      </c>
      <c r="CI4004">
        <v>0</v>
      </c>
      <c r="CJ4004">
        <v>0</v>
      </c>
      <c r="CK4004">
        <v>2</v>
      </c>
      <c r="CL4004">
        <v>0</v>
      </c>
      <c r="CM4004">
        <v>2</v>
      </c>
      <c r="CN4004">
        <v>0</v>
      </c>
      <c r="CO4004">
        <v>6</v>
      </c>
      <c r="CP4004" t="s">
        <v>119</v>
      </c>
      <c r="CQ4004">
        <v>180</v>
      </c>
      <c r="CR4004">
        <v>3</v>
      </c>
      <c r="CW4004">
        <v>1318241</v>
      </c>
      <c r="CY4004">
        <v>0</v>
      </c>
      <c r="CZ4004">
        <v>0</v>
      </c>
      <c r="DA4004">
        <v>1</v>
      </c>
      <c r="DB4004">
        <v>0</v>
      </c>
      <c r="DC4004">
        <v>0</v>
      </c>
      <c r="DD4004">
        <v>0</v>
      </c>
      <c r="DE4004">
        <v>0</v>
      </c>
      <c r="DF4004">
        <v>0</v>
      </c>
      <c r="DG4004">
        <v>0</v>
      </c>
      <c r="DH4004">
        <v>0</v>
      </c>
      <c r="DI4004">
        <v>0</v>
      </c>
    </row>
    <row r="4005" spans="1:113" x14ac:dyDescent="0.3">
      <c r="A4005" t="str">
        <f>"02/08/2021 20:36:36.506"</f>
        <v>02/08/2021 20:36:36.506</v>
      </c>
      <c r="C4005" t="str">
        <f t="shared" si="197"/>
        <v>FFDFD7C0</v>
      </c>
      <c r="D4005" t="s">
        <v>124</v>
      </c>
      <c r="E4005">
        <v>11</v>
      </c>
      <c r="F4005">
        <v>1011</v>
      </c>
      <c r="G4005" t="s">
        <v>590</v>
      </c>
      <c r="J4005" t="s">
        <v>125</v>
      </c>
      <c r="K4005">
        <v>0</v>
      </c>
      <c r="L4005">
        <v>3</v>
      </c>
      <c r="M4005">
        <v>0</v>
      </c>
      <c r="N4005">
        <v>2</v>
      </c>
      <c r="O4005">
        <v>1</v>
      </c>
      <c r="P4005">
        <v>0</v>
      </c>
      <c r="Q4005">
        <v>0</v>
      </c>
      <c r="S4005" t="str">
        <f>"20:36:38.852"</f>
        <v>20:36:38.852</v>
      </c>
      <c r="T4005" t="str">
        <f>"20:36:38.352"</f>
        <v>20:36:38.352</v>
      </c>
      <c r="U4005" t="str">
        <f t="shared" si="199"/>
        <v>AB01F4</v>
      </c>
      <c r="V4005">
        <v>0</v>
      </c>
      <c r="W4005">
        <v>0</v>
      </c>
      <c r="X4005">
        <v>2</v>
      </c>
      <c r="Z4005">
        <v>0</v>
      </c>
      <c r="AA4005">
        <v>9</v>
      </c>
      <c r="AB4005">
        <v>3</v>
      </c>
      <c r="AC4005">
        <v>0</v>
      </c>
      <c r="AD4005">
        <v>10</v>
      </c>
      <c r="AE4005">
        <v>0</v>
      </c>
      <c r="AF4005">
        <v>3</v>
      </c>
      <c r="AG4005">
        <v>2</v>
      </c>
      <c r="AH4005">
        <v>0</v>
      </c>
      <c r="AI4005" t="s">
        <v>2251</v>
      </c>
      <c r="AJ4005">
        <v>40.142412</v>
      </c>
      <c r="AK4005" t="s">
        <v>2252</v>
      </c>
      <c r="AL4005">
        <v>-93.103701999999998</v>
      </c>
      <c r="AM4005">
        <v>100</v>
      </c>
      <c r="AN4005">
        <v>1300</v>
      </c>
      <c r="AO4005" t="s">
        <v>118</v>
      </c>
      <c r="AP4005">
        <v>-113</v>
      </c>
      <c r="AQ4005">
        <v>59</v>
      </c>
      <c r="AR4005">
        <v>64</v>
      </c>
      <c r="AZ4005">
        <v>1200</v>
      </c>
      <c r="BA4005">
        <v>1</v>
      </c>
      <c r="BB4005" t="str">
        <f t="shared" si="198"/>
        <v xml:space="preserve">N8080G  </v>
      </c>
      <c r="BC4005">
        <v>1</v>
      </c>
      <c r="BE4005">
        <v>0</v>
      </c>
      <c r="BF4005">
        <v>0</v>
      </c>
      <c r="BG4005">
        <v>0</v>
      </c>
      <c r="BH4005">
        <v>1350</v>
      </c>
      <c r="BI4005">
        <v>1</v>
      </c>
      <c r="BJ4005">
        <v>1</v>
      </c>
      <c r="BK4005">
        <v>1</v>
      </c>
      <c r="BL4005">
        <v>0</v>
      </c>
      <c r="BO4005">
        <v>0</v>
      </c>
      <c r="BP4005">
        <v>0</v>
      </c>
      <c r="BW4005" t="str">
        <f>"20:36:38.857"</f>
        <v>20:36:38.857</v>
      </c>
      <c r="BZ4005">
        <v>0</v>
      </c>
      <c r="CA4005">
        <v>1600</v>
      </c>
      <c r="CB4005">
        <v>224</v>
      </c>
      <c r="CD4005">
        <v>1</v>
      </c>
      <c r="CE4005">
        <v>0</v>
      </c>
      <c r="CF4005">
        <v>0</v>
      </c>
      <c r="CG4005">
        <v>1</v>
      </c>
      <c r="CH4005">
        <v>0</v>
      </c>
      <c r="CI4005">
        <v>0</v>
      </c>
      <c r="CJ4005">
        <v>0</v>
      </c>
      <c r="CK4005">
        <v>2</v>
      </c>
      <c r="CL4005">
        <v>0</v>
      </c>
      <c r="CM4005">
        <v>2</v>
      </c>
      <c r="CN4005">
        <v>0</v>
      </c>
      <c r="CO4005">
        <v>6</v>
      </c>
      <c r="CP4005" t="s">
        <v>119</v>
      </c>
      <c r="CQ4005">
        <v>180</v>
      </c>
      <c r="CR4005">
        <v>3</v>
      </c>
      <c r="CW4005">
        <v>1318241</v>
      </c>
      <c r="CY4005">
        <v>0</v>
      </c>
      <c r="CZ4005">
        <v>0</v>
      </c>
      <c r="DA4005">
        <v>1</v>
      </c>
      <c r="DB4005">
        <v>0</v>
      </c>
      <c r="DC4005">
        <v>0</v>
      </c>
      <c r="DD4005">
        <v>0</v>
      </c>
      <c r="DE4005">
        <v>0</v>
      </c>
      <c r="DF4005">
        <v>0</v>
      </c>
      <c r="DG4005">
        <v>0</v>
      </c>
      <c r="DH4005">
        <v>0</v>
      </c>
      <c r="DI4005">
        <v>0</v>
      </c>
    </row>
    <row r="4006" spans="1:113" x14ac:dyDescent="0.3">
      <c r="A4006" t="str">
        <f>"02/08/2021 20:36:36.506"</f>
        <v>02/08/2021 20:36:36.506</v>
      </c>
      <c r="C4006" t="str">
        <f t="shared" si="197"/>
        <v>FFDFD7C0</v>
      </c>
      <c r="D4006" t="s">
        <v>124</v>
      </c>
      <c r="E4006">
        <v>13</v>
      </c>
      <c r="F4006">
        <v>1013</v>
      </c>
      <c r="G4006" t="s">
        <v>114</v>
      </c>
      <c r="J4006" t="s">
        <v>125</v>
      </c>
      <c r="K4006">
        <v>0</v>
      </c>
      <c r="L4006">
        <v>3</v>
      </c>
      <c r="M4006">
        <v>0</v>
      </c>
      <c r="N4006">
        <v>2</v>
      </c>
      <c r="O4006">
        <v>1</v>
      </c>
      <c r="P4006">
        <v>0</v>
      </c>
      <c r="Q4006">
        <v>0</v>
      </c>
      <c r="S4006" t="str">
        <f>"20:36:38.852"</f>
        <v>20:36:38.852</v>
      </c>
      <c r="T4006" t="str">
        <f>"20:36:38.352"</f>
        <v>20:36:38.352</v>
      </c>
      <c r="U4006" t="str">
        <f t="shared" si="199"/>
        <v>AB01F4</v>
      </c>
      <c r="V4006">
        <v>0</v>
      </c>
      <c r="W4006">
        <v>0</v>
      </c>
      <c r="X4006">
        <v>2</v>
      </c>
      <c r="Z4006">
        <v>0</v>
      </c>
      <c r="AA4006">
        <v>9</v>
      </c>
      <c r="AB4006">
        <v>3</v>
      </c>
      <c r="AC4006">
        <v>0</v>
      </c>
      <c r="AD4006">
        <v>10</v>
      </c>
      <c r="AE4006">
        <v>0</v>
      </c>
      <c r="AF4006">
        <v>3</v>
      </c>
      <c r="AG4006">
        <v>2</v>
      </c>
      <c r="AH4006">
        <v>0</v>
      </c>
      <c r="AI4006" t="s">
        <v>2251</v>
      </c>
      <c r="AJ4006">
        <v>40.142412</v>
      </c>
      <c r="AK4006" t="s">
        <v>2252</v>
      </c>
      <c r="AL4006">
        <v>-93.103701999999998</v>
      </c>
      <c r="AM4006">
        <v>100</v>
      </c>
      <c r="AN4006">
        <v>1300</v>
      </c>
      <c r="AO4006" t="s">
        <v>118</v>
      </c>
      <c r="AP4006">
        <v>-113</v>
      </c>
      <c r="AQ4006">
        <v>59</v>
      </c>
      <c r="AR4006">
        <v>64</v>
      </c>
      <c r="AZ4006">
        <v>1200</v>
      </c>
      <c r="BA4006">
        <v>1</v>
      </c>
      <c r="BB4006" t="str">
        <f t="shared" si="198"/>
        <v xml:space="preserve">N8080G  </v>
      </c>
      <c r="BC4006">
        <v>1</v>
      </c>
      <c r="BE4006">
        <v>0</v>
      </c>
      <c r="BF4006">
        <v>0</v>
      </c>
      <c r="BG4006">
        <v>0</v>
      </c>
      <c r="BH4006">
        <v>1350</v>
      </c>
      <c r="BI4006">
        <v>1</v>
      </c>
      <c r="BJ4006">
        <v>1</v>
      </c>
      <c r="BK4006">
        <v>1</v>
      </c>
      <c r="BL4006">
        <v>0</v>
      </c>
      <c r="BO4006">
        <v>0</v>
      </c>
      <c r="BP4006">
        <v>0</v>
      </c>
      <c r="BW4006" t="str">
        <f>"20:36:38.857"</f>
        <v>20:36:38.857</v>
      </c>
      <c r="BZ4006">
        <v>0</v>
      </c>
      <c r="CA4006">
        <v>1600</v>
      </c>
      <c r="CB4006">
        <v>224</v>
      </c>
      <c r="CD4006">
        <v>1</v>
      </c>
      <c r="CE4006">
        <v>0</v>
      </c>
      <c r="CF4006">
        <v>0</v>
      </c>
      <c r="CG4006">
        <v>1</v>
      </c>
      <c r="CH4006">
        <v>0</v>
      </c>
      <c r="CI4006">
        <v>0</v>
      </c>
      <c r="CJ4006">
        <v>0</v>
      </c>
      <c r="CK4006">
        <v>2</v>
      </c>
      <c r="CL4006">
        <v>0</v>
      </c>
      <c r="CM4006">
        <v>2</v>
      </c>
      <c r="CN4006">
        <v>0</v>
      </c>
      <c r="CO4006">
        <v>6</v>
      </c>
      <c r="CP4006" t="s">
        <v>119</v>
      </c>
      <c r="CQ4006">
        <v>180</v>
      </c>
      <c r="CR4006">
        <v>3</v>
      </c>
      <c r="CW4006">
        <v>1318241</v>
      </c>
      <c r="CY4006">
        <v>0</v>
      </c>
      <c r="CZ4006">
        <v>0</v>
      </c>
      <c r="DA4006">
        <v>1</v>
      </c>
      <c r="DB4006">
        <v>0</v>
      </c>
      <c r="DC4006">
        <v>0</v>
      </c>
      <c r="DD4006">
        <v>0</v>
      </c>
      <c r="DE4006">
        <v>0</v>
      </c>
      <c r="DF4006">
        <v>0</v>
      </c>
      <c r="DG4006">
        <v>0</v>
      </c>
      <c r="DH4006">
        <v>0</v>
      </c>
      <c r="DI4006">
        <v>0</v>
      </c>
    </row>
    <row r="4007" spans="1:113" x14ac:dyDescent="0.3">
      <c r="A4007" t="str">
        <f>"02/08/2021 20:36:37.520"</f>
        <v>02/08/2021 20:36:37.520</v>
      </c>
      <c r="C4007" t="str">
        <f t="shared" ref="C4007:C4070" si="200">"FFDFD7C0"</f>
        <v>FFDFD7C0</v>
      </c>
      <c r="D4007" t="s">
        <v>113</v>
      </c>
      <c r="E4007">
        <v>6</v>
      </c>
      <c r="H4007">
        <v>165</v>
      </c>
      <c r="I4007" t="s">
        <v>114</v>
      </c>
      <c r="J4007" t="s">
        <v>115</v>
      </c>
      <c r="K4007">
        <v>0</v>
      </c>
      <c r="L4007">
        <v>3</v>
      </c>
      <c r="M4007">
        <v>0</v>
      </c>
      <c r="N4007">
        <v>2</v>
      </c>
      <c r="O4007">
        <v>1</v>
      </c>
      <c r="P4007">
        <v>0</v>
      </c>
      <c r="Q4007">
        <v>0</v>
      </c>
      <c r="S4007" t="str">
        <f>"20:36:39.859"</f>
        <v>20:36:39.859</v>
      </c>
      <c r="T4007" t="str">
        <f>"20:36:39.359"</f>
        <v>20:36:39.359</v>
      </c>
      <c r="U4007" t="str">
        <f t="shared" si="199"/>
        <v>AB01F4</v>
      </c>
      <c r="V4007">
        <v>0</v>
      </c>
      <c r="W4007">
        <v>0</v>
      </c>
      <c r="X4007">
        <v>2</v>
      </c>
      <c r="Z4007">
        <v>0</v>
      </c>
      <c r="AA4007">
        <v>9</v>
      </c>
      <c r="AB4007">
        <v>3</v>
      </c>
      <c r="AC4007">
        <v>0</v>
      </c>
      <c r="AD4007">
        <v>10</v>
      </c>
      <c r="AE4007">
        <v>0</v>
      </c>
      <c r="AF4007">
        <v>3</v>
      </c>
      <c r="AG4007">
        <v>2</v>
      </c>
      <c r="AH4007">
        <v>0</v>
      </c>
      <c r="AI4007" t="s">
        <v>2253</v>
      </c>
      <c r="AJ4007">
        <v>40.142690999999999</v>
      </c>
      <c r="AK4007" t="s">
        <v>2254</v>
      </c>
      <c r="AL4007">
        <v>-93.104388999999998</v>
      </c>
      <c r="AM4007">
        <v>100</v>
      </c>
      <c r="AN4007">
        <v>1300</v>
      </c>
      <c r="AO4007" t="s">
        <v>118</v>
      </c>
      <c r="AP4007">
        <v>-113</v>
      </c>
      <c r="AQ4007">
        <v>59</v>
      </c>
      <c r="AR4007">
        <v>0</v>
      </c>
      <c r="AZ4007">
        <v>1200</v>
      </c>
      <c r="BA4007">
        <v>1</v>
      </c>
      <c r="BB4007" t="str">
        <f t="shared" si="198"/>
        <v xml:space="preserve">N8080G  </v>
      </c>
      <c r="BC4007">
        <v>1</v>
      </c>
      <c r="BE4007">
        <v>0</v>
      </c>
      <c r="BF4007">
        <v>0</v>
      </c>
      <c r="BG4007">
        <v>0</v>
      </c>
      <c r="BH4007">
        <v>1350</v>
      </c>
      <c r="BI4007">
        <v>1</v>
      </c>
      <c r="BJ4007">
        <v>1</v>
      </c>
      <c r="BK4007">
        <v>1</v>
      </c>
      <c r="BL4007">
        <v>0</v>
      </c>
      <c r="BO4007">
        <v>0</v>
      </c>
      <c r="BP4007">
        <v>0</v>
      </c>
      <c r="BW4007" t="str">
        <f>"20:36:39.863"</f>
        <v>20:36:39.863</v>
      </c>
      <c r="BZ4007">
        <v>0</v>
      </c>
      <c r="CA4007">
        <v>1600</v>
      </c>
      <c r="CB4007">
        <v>224</v>
      </c>
      <c r="CD4007">
        <v>1</v>
      </c>
      <c r="CE4007">
        <v>0</v>
      </c>
      <c r="CF4007">
        <v>0</v>
      </c>
      <c r="CG4007">
        <v>1</v>
      </c>
      <c r="CH4007">
        <v>0</v>
      </c>
      <c r="CI4007">
        <v>0</v>
      </c>
      <c r="CJ4007">
        <v>0</v>
      </c>
      <c r="CK4007">
        <v>2</v>
      </c>
      <c r="CL4007">
        <v>0</v>
      </c>
      <c r="CM4007">
        <v>2</v>
      </c>
      <c r="CN4007">
        <v>0</v>
      </c>
      <c r="CO4007">
        <v>6</v>
      </c>
      <c r="CP4007" t="s">
        <v>119</v>
      </c>
      <c r="CQ4007">
        <v>180</v>
      </c>
      <c r="CR4007">
        <v>3</v>
      </c>
      <c r="CW4007">
        <v>1318967</v>
      </c>
      <c r="CY4007">
        <v>0</v>
      </c>
      <c r="CZ4007">
        <v>0</v>
      </c>
      <c r="DA4007">
        <v>0</v>
      </c>
      <c r="DB4007">
        <v>0</v>
      </c>
      <c r="DC4007">
        <v>0</v>
      </c>
      <c r="DD4007">
        <v>0</v>
      </c>
      <c r="DE4007">
        <v>0</v>
      </c>
      <c r="DF4007">
        <v>0</v>
      </c>
      <c r="DG4007">
        <v>0</v>
      </c>
      <c r="DH4007">
        <v>0</v>
      </c>
      <c r="DI4007">
        <v>0</v>
      </c>
    </row>
    <row r="4008" spans="1:113" x14ac:dyDescent="0.3">
      <c r="A4008" t="str">
        <f>"02/08/2021 20:36:37.520"</f>
        <v>02/08/2021 20:36:37.520</v>
      </c>
      <c r="C4008" t="str">
        <f t="shared" si="200"/>
        <v>FFDFD7C0</v>
      </c>
      <c r="D4008" t="s">
        <v>124</v>
      </c>
      <c r="E4008">
        <v>11</v>
      </c>
      <c r="F4008">
        <v>1011</v>
      </c>
      <c r="G4008" t="s">
        <v>590</v>
      </c>
      <c r="J4008" t="s">
        <v>125</v>
      </c>
      <c r="K4008">
        <v>0</v>
      </c>
      <c r="L4008">
        <v>3</v>
      </c>
      <c r="M4008">
        <v>0</v>
      </c>
      <c r="N4008">
        <v>2</v>
      </c>
      <c r="O4008">
        <v>1</v>
      </c>
      <c r="P4008">
        <v>0</v>
      </c>
      <c r="Q4008">
        <v>0</v>
      </c>
      <c r="S4008" t="str">
        <f>"20:36:39.859"</f>
        <v>20:36:39.859</v>
      </c>
      <c r="T4008" t="str">
        <f>"20:36:39.359"</f>
        <v>20:36:39.359</v>
      </c>
      <c r="U4008" t="str">
        <f t="shared" si="199"/>
        <v>AB01F4</v>
      </c>
      <c r="V4008">
        <v>0</v>
      </c>
      <c r="W4008">
        <v>0</v>
      </c>
      <c r="X4008">
        <v>2</v>
      </c>
      <c r="Z4008">
        <v>0</v>
      </c>
      <c r="AA4008">
        <v>9</v>
      </c>
      <c r="AB4008">
        <v>3</v>
      </c>
      <c r="AC4008">
        <v>0</v>
      </c>
      <c r="AD4008">
        <v>10</v>
      </c>
      <c r="AE4008">
        <v>0</v>
      </c>
      <c r="AF4008">
        <v>3</v>
      </c>
      <c r="AG4008">
        <v>2</v>
      </c>
      <c r="AH4008">
        <v>0</v>
      </c>
      <c r="AI4008" t="s">
        <v>2253</v>
      </c>
      <c r="AJ4008">
        <v>40.142690999999999</v>
      </c>
      <c r="AK4008" t="s">
        <v>2254</v>
      </c>
      <c r="AL4008">
        <v>-93.104388999999998</v>
      </c>
      <c r="AM4008">
        <v>100</v>
      </c>
      <c r="AN4008">
        <v>1300</v>
      </c>
      <c r="AO4008" t="s">
        <v>118</v>
      </c>
      <c r="AP4008">
        <v>-113</v>
      </c>
      <c r="AQ4008">
        <v>59</v>
      </c>
      <c r="AR4008">
        <v>0</v>
      </c>
      <c r="AZ4008">
        <v>1200</v>
      </c>
      <c r="BA4008">
        <v>1</v>
      </c>
      <c r="BB4008" t="str">
        <f t="shared" si="198"/>
        <v xml:space="preserve">N8080G  </v>
      </c>
      <c r="BC4008">
        <v>1</v>
      </c>
      <c r="BE4008">
        <v>0</v>
      </c>
      <c r="BF4008">
        <v>0</v>
      </c>
      <c r="BG4008">
        <v>0</v>
      </c>
      <c r="BH4008">
        <v>1350</v>
      </c>
      <c r="BI4008">
        <v>1</v>
      </c>
      <c r="BJ4008">
        <v>1</v>
      </c>
      <c r="BK4008">
        <v>1</v>
      </c>
      <c r="BL4008">
        <v>0</v>
      </c>
      <c r="BO4008">
        <v>0</v>
      </c>
      <c r="BP4008">
        <v>0</v>
      </c>
      <c r="BW4008" t="str">
        <f>"20:36:39.863"</f>
        <v>20:36:39.863</v>
      </c>
      <c r="BZ4008">
        <v>0</v>
      </c>
      <c r="CA4008">
        <v>1600</v>
      </c>
      <c r="CB4008">
        <v>224</v>
      </c>
      <c r="CD4008">
        <v>1</v>
      </c>
      <c r="CE4008">
        <v>0</v>
      </c>
      <c r="CF4008">
        <v>0</v>
      </c>
      <c r="CG4008">
        <v>1</v>
      </c>
      <c r="CH4008">
        <v>0</v>
      </c>
      <c r="CI4008">
        <v>0</v>
      </c>
      <c r="CJ4008">
        <v>0</v>
      </c>
      <c r="CK4008">
        <v>2</v>
      </c>
      <c r="CL4008">
        <v>0</v>
      </c>
      <c r="CM4008">
        <v>2</v>
      </c>
      <c r="CN4008">
        <v>0</v>
      </c>
      <c r="CO4008">
        <v>6</v>
      </c>
      <c r="CP4008" t="s">
        <v>119</v>
      </c>
      <c r="CQ4008">
        <v>180</v>
      </c>
      <c r="CR4008">
        <v>3</v>
      </c>
      <c r="CW4008">
        <v>1318967</v>
      </c>
      <c r="CY4008">
        <v>0</v>
      </c>
      <c r="CZ4008">
        <v>0</v>
      </c>
      <c r="DA4008">
        <v>1</v>
      </c>
      <c r="DB4008">
        <v>0</v>
      </c>
      <c r="DC4008">
        <v>0</v>
      </c>
      <c r="DD4008">
        <v>0</v>
      </c>
      <c r="DE4008">
        <v>0</v>
      </c>
      <c r="DF4008">
        <v>0</v>
      </c>
      <c r="DG4008">
        <v>0</v>
      </c>
      <c r="DH4008">
        <v>0</v>
      </c>
      <c r="DI4008">
        <v>0</v>
      </c>
    </row>
    <row r="4009" spans="1:113" x14ac:dyDescent="0.3">
      <c r="A4009" t="str">
        <f>"02/08/2021 20:36:37.520"</f>
        <v>02/08/2021 20:36:37.520</v>
      </c>
      <c r="C4009" t="str">
        <f t="shared" si="200"/>
        <v>FFDFD7C0</v>
      </c>
      <c r="D4009" t="s">
        <v>124</v>
      </c>
      <c r="E4009">
        <v>13</v>
      </c>
      <c r="F4009">
        <v>1013</v>
      </c>
      <c r="G4009" t="s">
        <v>114</v>
      </c>
      <c r="J4009" t="s">
        <v>125</v>
      </c>
      <c r="K4009">
        <v>0</v>
      </c>
      <c r="L4009">
        <v>3</v>
      </c>
      <c r="M4009">
        <v>0</v>
      </c>
      <c r="N4009">
        <v>2</v>
      </c>
      <c r="O4009">
        <v>1</v>
      </c>
      <c r="P4009">
        <v>0</v>
      </c>
      <c r="Q4009">
        <v>0</v>
      </c>
      <c r="S4009" t="str">
        <f>"20:36:39.859"</f>
        <v>20:36:39.859</v>
      </c>
      <c r="T4009" t="str">
        <f>"20:36:39.359"</f>
        <v>20:36:39.359</v>
      </c>
      <c r="U4009" t="str">
        <f t="shared" si="199"/>
        <v>AB01F4</v>
      </c>
      <c r="V4009">
        <v>0</v>
      </c>
      <c r="W4009">
        <v>0</v>
      </c>
      <c r="X4009">
        <v>2</v>
      </c>
      <c r="Z4009">
        <v>0</v>
      </c>
      <c r="AA4009">
        <v>9</v>
      </c>
      <c r="AB4009">
        <v>3</v>
      </c>
      <c r="AC4009">
        <v>0</v>
      </c>
      <c r="AD4009">
        <v>10</v>
      </c>
      <c r="AE4009">
        <v>0</v>
      </c>
      <c r="AF4009">
        <v>3</v>
      </c>
      <c r="AG4009">
        <v>2</v>
      </c>
      <c r="AH4009">
        <v>0</v>
      </c>
      <c r="AI4009" t="s">
        <v>2253</v>
      </c>
      <c r="AJ4009">
        <v>40.142690999999999</v>
      </c>
      <c r="AK4009" t="s">
        <v>2254</v>
      </c>
      <c r="AL4009">
        <v>-93.104388999999998</v>
      </c>
      <c r="AM4009">
        <v>100</v>
      </c>
      <c r="AN4009">
        <v>1300</v>
      </c>
      <c r="AO4009" t="s">
        <v>118</v>
      </c>
      <c r="AP4009">
        <v>-113</v>
      </c>
      <c r="AQ4009">
        <v>59</v>
      </c>
      <c r="AR4009">
        <v>0</v>
      </c>
      <c r="AZ4009">
        <v>1200</v>
      </c>
      <c r="BA4009">
        <v>1</v>
      </c>
      <c r="BB4009" t="str">
        <f t="shared" si="198"/>
        <v xml:space="preserve">N8080G  </v>
      </c>
      <c r="BC4009">
        <v>1</v>
      </c>
      <c r="BE4009">
        <v>0</v>
      </c>
      <c r="BF4009">
        <v>0</v>
      </c>
      <c r="BG4009">
        <v>0</v>
      </c>
      <c r="BH4009">
        <v>1350</v>
      </c>
      <c r="BI4009">
        <v>1</v>
      </c>
      <c r="BJ4009">
        <v>1</v>
      </c>
      <c r="BK4009">
        <v>1</v>
      </c>
      <c r="BL4009">
        <v>0</v>
      </c>
      <c r="BO4009">
        <v>0</v>
      </c>
      <c r="BP4009">
        <v>0</v>
      </c>
      <c r="BW4009" t="str">
        <f>"20:36:39.863"</f>
        <v>20:36:39.863</v>
      </c>
      <c r="BZ4009">
        <v>0</v>
      </c>
      <c r="CA4009">
        <v>1600</v>
      </c>
      <c r="CB4009">
        <v>224</v>
      </c>
      <c r="CD4009">
        <v>1</v>
      </c>
      <c r="CE4009">
        <v>0</v>
      </c>
      <c r="CF4009">
        <v>0</v>
      </c>
      <c r="CG4009">
        <v>1</v>
      </c>
      <c r="CH4009">
        <v>0</v>
      </c>
      <c r="CI4009">
        <v>0</v>
      </c>
      <c r="CJ4009">
        <v>0</v>
      </c>
      <c r="CK4009">
        <v>2</v>
      </c>
      <c r="CL4009">
        <v>0</v>
      </c>
      <c r="CM4009">
        <v>2</v>
      </c>
      <c r="CN4009">
        <v>0</v>
      </c>
      <c r="CO4009">
        <v>6</v>
      </c>
      <c r="CP4009" t="s">
        <v>119</v>
      </c>
      <c r="CQ4009">
        <v>180</v>
      </c>
      <c r="CR4009">
        <v>3</v>
      </c>
      <c r="CW4009">
        <v>1318967</v>
      </c>
      <c r="CY4009">
        <v>0</v>
      </c>
      <c r="CZ4009">
        <v>0</v>
      </c>
      <c r="DA4009">
        <v>1</v>
      </c>
      <c r="DB4009">
        <v>0</v>
      </c>
      <c r="DC4009">
        <v>0</v>
      </c>
      <c r="DD4009">
        <v>0</v>
      </c>
      <c r="DE4009">
        <v>0</v>
      </c>
      <c r="DF4009">
        <v>0</v>
      </c>
      <c r="DG4009">
        <v>0</v>
      </c>
      <c r="DH4009">
        <v>0</v>
      </c>
      <c r="DI4009">
        <v>0</v>
      </c>
    </row>
    <row r="4010" spans="1:113" x14ac:dyDescent="0.3">
      <c r="A4010" t="str">
        <f>"02/08/2021 20:36:37.520"</f>
        <v>02/08/2021 20:36:37.520</v>
      </c>
      <c r="C4010" t="str">
        <f t="shared" si="200"/>
        <v>FFDFD7C0</v>
      </c>
      <c r="D4010" t="s">
        <v>124</v>
      </c>
      <c r="E4010">
        <v>12</v>
      </c>
      <c r="F4010">
        <v>1012</v>
      </c>
      <c r="G4010" t="s">
        <v>675</v>
      </c>
      <c r="J4010" t="s">
        <v>125</v>
      </c>
      <c r="K4010">
        <v>0</v>
      </c>
      <c r="L4010">
        <v>3</v>
      </c>
      <c r="M4010">
        <v>0</v>
      </c>
      <c r="N4010">
        <v>2</v>
      </c>
      <c r="O4010">
        <v>1</v>
      </c>
      <c r="P4010">
        <v>0</v>
      </c>
      <c r="Q4010">
        <v>0</v>
      </c>
      <c r="S4010" t="str">
        <f>"20:36:39.859"</f>
        <v>20:36:39.859</v>
      </c>
      <c r="T4010" t="str">
        <f>"20:36:39.359"</f>
        <v>20:36:39.359</v>
      </c>
      <c r="U4010" t="str">
        <f t="shared" si="199"/>
        <v>AB01F4</v>
      </c>
      <c r="V4010">
        <v>0</v>
      </c>
      <c r="W4010">
        <v>0</v>
      </c>
      <c r="X4010">
        <v>2</v>
      </c>
      <c r="Z4010">
        <v>0</v>
      </c>
      <c r="AA4010">
        <v>9</v>
      </c>
      <c r="AB4010">
        <v>3</v>
      </c>
      <c r="AC4010">
        <v>0</v>
      </c>
      <c r="AD4010">
        <v>10</v>
      </c>
      <c r="AE4010">
        <v>0</v>
      </c>
      <c r="AF4010">
        <v>3</v>
      </c>
      <c r="AG4010">
        <v>2</v>
      </c>
      <c r="AH4010">
        <v>0</v>
      </c>
      <c r="AI4010" t="s">
        <v>2253</v>
      </c>
      <c r="AJ4010">
        <v>40.142690999999999</v>
      </c>
      <c r="AK4010" t="s">
        <v>2254</v>
      </c>
      <c r="AL4010">
        <v>-93.104388999999998</v>
      </c>
      <c r="AM4010">
        <v>100</v>
      </c>
      <c r="AN4010">
        <v>1300</v>
      </c>
      <c r="AO4010" t="s">
        <v>118</v>
      </c>
      <c r="AP4010">
        <v>-113</v>
      </c>
      <c r="AQ4010">
        <v>59</v>
      </c>
      <c r="AR4010">
        <v>0</v>
      </c>
      <c r="AZ4010">
        <v>1200</v>
      </c>
      <c r="BA4010">
        <v>1</v>
      </c>
      <c r="BB4010" t="str">
        <f t="shared" si="198"/>
        <v xml:space="preserve">N8080G  </v>
      </c>
      <c r="BC4010">
        <v>1</v>
      </c>
      <c r="BE4010">
        <v>0</v>
      </c>
      <c r="BF4010">
        <v>0</v>
      </c>
      <c r="BG4010">
        <v>0</v>
      </c>
      <c r="BH4010">
        <v>1350</v>
      </c>
      <c r="BI4010">
        <v>1</v>
      </c>
      <c r="BJ4010">
        <v>1</v>
      </c>
      <c r="BK4010">
        <v>1</v>
      </c>
      <c r="BL4010">
        <v>0</v>
      </c>
      <c r="BO4010">
        <v>0</v>
      </c>
      <c r="BP4010">
        <v>0</v>
      </c>
      <c r="BW4010" t="str">
        <f>"20:36:39.863"</f>
        <v>20:36:39.863</v>
      </c>
      <c r="BZ4010">
        <v>0</v>
      </c>
      <c r="CA4010">
        <v>1600</v>
      </c>
      <c r="CB4010">
        <v>224</v>
      </c>
      <c r="CD4010">
        <v>1</v>
      </c>
      <c r="CE4010">
        <v>0</v>
      </c>
      <c r="CF4010">
        <v>0</v>
      </c>
      <c r="CG4010">
        <v>1</v>
      </c>
      <c r="CH4010">
        <v>0</v>
      </c>
      <c r="CI4010">
        <v>0</v>
      </c>
      <c r="CJ4010">
        <v>0</v>
      </c>
      <c r="CK4010">
        <v>2</v>
      </c>
      <c r="CL4010">
        <v>0</v>
      </c>
      <c r="CM4010">
        <v>2</v>
      </c>
      <c r="CN4010">
        <v>0</v>
      </c>
      <c r="CO4010">
        <v>6</v>
      </c>
      <c r="CP4010" t="s">
        <v>119</v>
      </c>
      <c r="CQ4010">
        <v>180</v>
      </c>
      <c r="CR4010">
        <v>3</v>
      </c>
      <c r="CW4010">
        <v>1318967</v>
      </c>
      <c r="CY4010">
        <v>0</v>
      </c>
      <c r="CZ4010">
        <v>0</v>
      </c>
      <c r="DA4010">
        <v>1</v>
      </c>
      <c r="DB4010">
        <v>0</v>
      </c>
      <c r="DC4010">
        <v>0</v>
      </c>
      <c r="DD4010">
        <v>0</v>
      </c>
      <c r="DE4010">
        <v>0</v>
      </c>
      <c r="DF4010">
        <v>0</v>
      </c>
      <c r="DG4010">
        <v>0</v>
      </c>
      <c r="DH4010">
        <v>0</v>
      </c>
      <c r="DI4010">
        <v>0</v>
      </c>
    </row>
    <row r="4011" spans="1:113" x14ac:dyDescent="0.3">
      <c r="A4011" t="str">
        <f>"02/08/2021 20:36:39.825"</f>
        <v>02/08/2021 20:36:39.825</v>
      </c>
      <c r="C4011" t="str">
        <f t="shared" si="200"/>
        <v>FFDFD7C0</v>
      </c>
      <c r="D4011" t="s">
        <v>124</v>
      </c>
      <c r="E4011">
        <v>12</v>
      </c>
      <c r="F4011">
        <v>1012</v>
      </c>
      <c r="G4011" t="s">
        <v>675</v>
      </c>
      <c r="J4011" t="s">
        <v>125</v>
      </c>
      <c r="K4011">
        <v>0</v>
      </c>
      <c r="L4011">
        <v>3</v>
      </c>
      <c r="M4011">
        <v>0</v>
      </c>
      <c r="N4011">
        <v>2</v>
      </c>
      <c r="O4011">
        <v>1</v>
      </c>
      <c r="P4011">
        <v>0</v>
      </c>
      <c r="Q4011">
        <v>0</v>
      </c>
      <c r="S4011" t="str">
        <f>"20:36:42.156"</f>
        <v>20:36:42.156</v>
      </c>
      <c r="T4011" t="str">
        <f>"20:36:41.756"</f>
        <v>20:36:41.756</v>
      </c>
      <c r="U4011" t="str">
        <f t="shared" si="199"/>
        <v>AB01F4</v>
      </c>
      <c r="V4011">
        <v>0</v>
      </c>
      <c r="W4011">
        <v>0</v>
      </c>
      <c r="X4011">
        <v>2</v>
      </c>
      <c r="Z4011">
        <v>0</v>
      </c>
      <c r="AA4011">
        <v>9</v>
      </c>
      <c r="AB4011">
        <v>3</v>
      </c>
      <c r="AC4011">
        <v>0</v>
      </c>
      <c r="AD4011">
        <v>10</v>
      </c>
      <c r="AE4011">
        <v>0</v>
      </c>
      <c r="AF4011">
        <v>3</v>
      </c>
      <c r="AG4011">
        <v>2</v>
      </c>
      <c r="AH4011">
        <v>0</v>
      </c>
      <c r="AI4011" t="s">
        <v>2255</v>
      </c>
      <c r="AJ4011">
        <v>40.143355999999997</v>
      </c>
      <c r="AK4011" t="s">
        <v>2256</v>
      </c>
      <c r="AL4011">
        <v>-93.105954999999994</v>
      </c>
      <c r="AM4011">
        <v>100</v>
      </c>
      <c r="AN4011">
        <v>1300</v>
      </c>
      <c r="AO4011" t="s">
        <v>118</v>
      </c>
      <c r="AP4011">
        <v>-114</v>
      </c>
      <c r="AQ4011">
        <v>59</v>
      </c>
      <c r="AR4011">
        <v>64</v>
      </c>
      <c r="AZ4011">
        <v>1200</v>
      </c>
      <c r="BA4011">
        <v>1</v>
      </c>
      <c r="BB4011" t="str">
        <f t="shared" si="198"/>
        <v xml:space="preserve">N8080G  </v>
      </c>
      <c r="BC4011">
        <v>1</v>
      </c>
      <c r="BE4011">
        <v>0</v>
      </c>
      <c r="BF4011">
        <v>0</v>
      </c>
      <c r="BG4011">
        <v>0</v>
      </c>
      <c r="BH4011">
        <v>1350</v>
      </c>
      <c r="BI4011">
        <v>1</v>
      </c>
      <c r="BJ4011">
        <v>1</v>
      </c>
      <c r="BK4011">
        <v>1</v>
      </c>
      <c r="BL4011">
        <v>0</v>
      </c>
      <c r="BO4011">
        <v>0</v>
      </c>
      <c r="BP4011">
        <v>0</v>
      </c>
      <c r="BW4011" t="str">
        <f>"20:36:42.162"</f>
        <v>20:36:42.162</v>
      </c>
      <c r="BZ4011">
        <v>0</v>
      </c>
      <c r="CA4011">
        <v>1600</v>
      </c>
      <c r="CB4011">
        <v>224</v>
      </c>
      <c r="CD4011">
        <v>1</v>
      </c>
      <c r="CE4011">
        <v>0</v>
      </c>
      <c r="CF4011">
        <v>0</v>
      </c>
      <c r="CG4011">
        <v>1</v>
      </c>
      <c r="CH4011">
        <v>0</v>
      </c>
      <c r="CI4011">
        <v>0</v>
      </c>
      <c r="CJ4011">
        <v>0</v>
      </c>
      <c r="CK4011">
        <v>2</v>
      </c>
      <c r="CL4011">
        <v>0</v>
      </c>
      <c r="CM4011">
        <v>2</v>
      </c>
      <c r="CN4011">
        <v>0</v>
      </c>
      <c r="CO4011">
        <v>1</v>
      </c>
      <c r="CP4011" t="s">
        <v>119</v>
      </c>
      <c r="CQ4011">
        <v>179</v>
      </c>
      <c r="CR4011">
        <v>1</v>
      </c>
      <c r="CW4011">
        <v>9472676</v>
      </c>
      <c r="CY4011">
        <v>0</v>
      </c>
      <c r="CZ4011">
        <v>0</v>
      </c>
      <c r="DA4011">
        <v>0</v>
      </c>
      <c r="DB4011">
        <v>0</v>
      </c>
      <c r="DC4011">
        <v>0</v>
      </c>
      <c r="DD4011">
        <v>0</v>
      </c>
      <c r="DE4011">
        <v>0</v>
      </c>
      <c r="DF4011">
        <v>0</v>
      </c>
      <c r="DG4011">
        <v>0</v>
      </c>
      <c r="DH4011">
        <v>0</v>
      </c>
      <c r="DI4011">
        <v>0</v>
      </c>
    </row>
    <row r="4012" spans="1:113" x14ac:dyDescent="0.3">
      <c r="A4012" t="str">
        <f>"02/08/2021 20:36:39.825"</f>
        <v>02/08/2021 20:36:39.825</v>
      </c>
      <c r="C4012" t="str">
        <f t="shared" si="200"/>
        <v>FFDFD7C0</v>
      </c>
      <c r="D4012" t="s">
        <v>113</v>
      </c>
      <c r="E4012">
        <v>6</v>
      </c>
      <c r="H4012">
        <v>165</v>
      </c>
      <c r="I4012" t="s">
        <v>114</v>
      </c>
      <c r="J4012" t="s">
        <v>115</v>
      </c>
      <c r="K4012">
        <v>0</v>
      </c>
      <c r="L4012">
        <v>3</v>
      </c>
      <c r="M4012">
        <v>0</v>
      </c>
      <c r="N4012">
        <v>2</v>
      </c>
      <c r="O4012">
        <v>1</v>
      </c>
      <c r="P4012">
        <v>0</v>
      </c>
      <c r="Q4012">
        <v>0</v>
      </c>
      <c r="S4012" t="str">
        <f>"20:36:42.156"</f>
        <v>20:36:42.156</v>
      </c>
      <c r="T4012" t="str">
        <f>"20:36:41.756"</f>
        <v>20:36:41.756</v>
      </c>
      <c r="U4012" t="str">
        <f t="shared" si="199"/>
        <v>AB01F4</v>
      </c>
      <c r="V4012">
        <v>0</v>
      </c>
      <c r="W4012">
        <v>0</v>
      </c>
      <c r="X4012">
        <v>2</v>
      </c>
      <c r="Z4012">
        <v>0</v>
      </c>
      <c r="AA4012">
        <v>9</v>
      </c>
      <c r="AB4012">
        <v>3</v>
      </c>
      <c r="AC4012">
        <v>0</v>
      </c>
      <c r="AD4012">
        <v>10</v>
      </c>
      <c r="AE4012">
        <v>0</v>
      </c>
      <c r="AF4012">
        <v>3</v>
      </c>
      <c r="AG4012">
        <v>2</v>
      </c>
      <c r="AH4012">
        <v>0</v>
      </c>
      <c r="AI4012" t="s">
        <v>2255</v>
      </c>
      <c r="AJ4012">
        <v>40.143355999999997</v>
      </c>
      <c r="AK4012" t="s">
        <v>2256</v>
      </c>
      <c r="AL4012">
        <v>-93.105954999999994</v>
      </c>
      <c r="AM4012">
        <v>100</v>
      </c>
      <c r="AN4012">
        <v>1300</v>
      </c>
      <c r="AO4012" t="s">
        <v>118</v>
      </c>
      <c r="AP4012">
        <v>-114</v>
      </c>
      <c r="AQ4012">
        <v>59</v>
      </c>
      <c r="AR4012">
        <v>64</v>
      </c>
      <c r="AZ4012">
        <v>1200</v>
      </c>
      <c r="BA4012">
        <v>1</v>
      </c>
      <c r="BB4012" t="str">
        <f t="shared" si="198"/>
        <v xml:space="preserve">N8080G  </v>
      </c>
      <c r="BC4012">
        <v>1</v>
      </c>
      <c r="BE4012">
        <v>0</v>
      </c>
      <c r="BF4012">
        <v>0</v>
      </c>
      <c r="BG4012">
        <v>0</v>
      </c>
      <c r="BH4012">
        <v>1350</v>
      </c>
      <c r="BI4012">
        <v>1</v>
      </c>
      <c r="BJ4012">
        <v>1</v>
      </c>
      <c r="BK4012">
        <v>1</v>
      </c>
      <c r="BL4012">
        <v>0</v>
      </c>
      <c r="BO4012">
        <v>0</v>
      </c>
      <c r="BP4012">
        <v>0</v>
      </c>
      <c r="BW4012" t="str">
        <f>"20:36:42.162"</f>
        <v>20:36:42.162</v>
      </c>
      <c r="BZ4012">
        <v>0</v>
      </c>
      <c r="CA4012">
        <v>1600</v>
      </c>
      <c r="CB4012">
        <v>224</v>
      </c>
      <c r="CD4012">
        <v>1</v>
      </c>
      <c r="CE4012">
        <v>0</v>
      </c>
      <c r="CF4012">
        <v>0</v>
      </c>
      <c r="CG4012">
        <v>1</v>
      </c>
      <c r="CH4012">
        <v>0</v>
      </c>
      <c r="CI4012">
        <v>0</v>
      </c>
      <c r="CJ4012">
        <v>0</v>
      </c>
      <c r="CK4012">
        <v>2</v>
      </c>
      <c r="CL4012">
        <v>0</v>
      </c>
      <c r="CM4012">
        <v>2</v>
      </c>
      <c r="CN4012">
        <v>0</v>
      </c>
      <c r="CO4012">
        <v>1</v>
      </c>
      <c r="CP4012" t="s">
        <v>119</v>
      </c>
      <c r="CQ4012">
        <v>179</v>
      </c>
      <c r="CR4012">
        <v>1</v>
      </c>
      <c r="CW4012">
        <v>9472676</v>
      </c>
      <c r="CY4012">
        <v>0</v>
      </c>
      <c r="CZ4012">
        <v>0</v>
      </c>
      <c r="DA4012">
        <v>1</v>
      </c>
      <c r="DB4012">
        <v>0</v>
      </c>
      <c r="DC4012">
        <v>0</v>
      </c>
      <c r="DD4012">
        <v>0</v>
      </c>
      <c r="DE4012">
        <v>0</v>
      </c>
      <c r="DF4012">
        <v>0</v>
      </c>
      <c r="DG4012">
        <v>0</v>
      </c>
      <c r="DH4012">
        <v>0</v>
      </c>
      <c r="DI4012">
        <v>0</v>
      </c>
    </row>
    <row r="4013" spans="1:113" x14ac:dyDescent="0.3">
      <c r="A4013" t="str">
        <f>"02/08/2021 20:36:39.825"</f>
        <v>02/08/2021 20:36:39.825</v>
      </c>
      <c r="C4013" t="str">
        <f t="shared" si="200"/>
        <v>FFDFD7C0</v>
      </c>
      <c r="D4013" t="s">
        <v>124</v>
      </c>
      <c r="E4013">
        <v>13</v>
      </c>
      <c r="F4013">
        <v>1013</v>
      </c>
      <c r="G4013" t="s">
        <v>114</v>
      </c>
      <c r="J4013" t="s">
        <v>125</v>
      </c>
      <c r="K4013">
        <v>0</v>
      </c>
      <c r="L4013">
        <v>3</v>
      </c>
      <c r="M4013">
        <v>0</v>
      </c>
      <c r="N4013">
        <v>2</v>
      </c>
      <c r="O4013">
        <v>1</v>
      </c>
      <c r="P4013">
        <v>0</v>
      </c>
      <c r="Q4013">
        <v>0</v>
      </c>
      <c r="S4013" t="str">
        <f>"20:36:42.156"</f>
        <v>20:36:42.156</v>
      </c>
      <c r="T4013" t="str">
        <f>"20:36:41.756"</f>
        <v>20:36:41.756</v>
      </c>
      <c r="U4013" t="str">
        <f t="shared" si="199"/>
        <v>AB01F4</v>
      </c>
      <c r="V4013">
        <v>0</v>
      </c>
      <c r="W4013">
        <v>0</v>
      </c>
      <c r="X4013">
        <v>2</v>
      </c>
      <c r="Z4013">
        <v>0</v>
      </c>
      <c r="AA4013">
        <v>9</v>
      </c>
      <c r="AB4013">
        <v>3</v>
      </c>
      <c r="AC4013">
        <v>0</v>
      </c>
      <c r="AD4013">
        <v>10</v>
      </c>
      <c r="AE4013">
        <v>0</v>
      </c>
      <c r="AF4013">
        <v>3</v>
      </c>
      <c r="AG4013">
        <v>2</v>
      </c>
      <c r="AH4013">
        <v>0</v>
      </c>
      <c r="AI4013" t="s">
        <v>2255</v>
      </c>
      <c r="AJ4013">
        <v>40.143355999999997</v>
      </c>
      <c r="AK4013" t="s">
        <v>2256</v>
      </c>
      <c r="AL4013">
        <v>-93.105954999999994</v>
      </c>
      <c r="AM4013">
        <v>100</v>
      </c>
      <c r="AN4013">
        <v>1300</v>
      </c>
      <c r="AO4013" t="s">
        <v>118</v>
      </c>
      <c r="AP4013">
        <v>-114</v>
      </c>
      <c r="AQ4013">
        <v>59</v>
      </c>
      <c r="AR4013">
        <v>64</v>
      </c>
      <c r="AZ4013">
        <v>1200</v>
      </c>
      <c r="BA4013">
        <v>1</v>
      </c>
      <c r="BB4013" t="str">
        <f t="shared" si="198"/>
        <v xml:space="preserve">N8080G  </v>
      </c>
      <c r="BC4013">
        <v>1</v>
      </c>
      <c r="BE4013">
        <v>0</v>
      </c>
      <c r="BF4013">
        <v>0</v>
      </c>
      <c r="BG4013">
        <v>0</v>
      </c>
      <c r="BH4013">
        <v>1350</v>
      </c>
      <c r="BI4013">
        <v>1</v>
      </c>
      <c r="BJ4013">
        <v>1</v>
      </c>
      <c r="BK4013">
        <v>1</v>
      </c>
      <c r="BL4013">
        <v>0</v>
      </c>
      <c r="BO4013">
        <v>0</v>
      </c>
      <c r="BP4013">
        <v>0</v>
      </c>
      <c r="BW4013" t="str">
        <f>"20:36:42.162"</f>
        <v>20:36:42.162</v>
      </c>
      <c r="BZ4013">
        <v>0</v>
      </c>
      <c r="CA4013">
        <v>1600</v>
      </c>
      <c r="CB4013">
        <v>224</v>
      </c>
      <c r="CD4013">
        <v>1</v>
      </c>
      <c r="CE4013">
        <v>0</v>
      </c>
      <c r="CF4013">
        <v>0</v>
      </c>
      <c r="CG4013">
        <v>1</v>
      </c>
      <c r="CH4013">
        <v>0</v>
      </c>
      <c r="CI4013">
        <v>0</v>
      </c>
      <c r="CJ4013">
        <v>0</v>
      </c>
      <c r="CK4013">
        <v>2</v>
      </c>
      <c r="CL4013">
        <v>0</v>
      </c>
      <c r="CM4013">
        <v>2</v>
      </c>
      <c r="CN4013">
        <v>0</v>
      </c>
      <c r="CO4013">
        <v>1</v>
      </c>
      <c r="CP4013" t="s">
        <v>119</v>
      </c>
      <c r="CQ4013">
        <v>179</v>
      </c>
      <c r="CR4013">
        <v>1</v>
      </c>
      <c r="CW4013">
        <v>9472676</v>
      </c>
      <c r="CY4013">
        <v>0</v>
      </c>
      <c r="CZ4013">
        <v>0</v>
      </c>
      <c r="DA4013">
        <v>1</v>
      </c>
      <c r="DB4013">
        <v>0</v>
      </c>
      <c r="DC4013">
        <v>0</v>
      </c>
      <c r="DD4013">
        <v>0</v>
      </c>
      <c r="DE4013">
        <v>0</v>
      </c>
      <c r="DF4013">
        <v>0</v>
      </c>
      <c r="DG4013">
        <v>0</v>
      </c>
      <c r="DH4013">
        <v>0</v>
      </c>
      <c r="DI4013">
        <v>0</v>
      </c>
    </row>
    <row r="4014" spans="1:113" x14ac:dyDescent="0.3">
      <c r="A4014" t="str">
        <f>"02/08/2021 20:36:39.825"</f>
        <v>02/08/2021 20:36:39.825</v>
      </c>
      <c r="C4014" t="str">
        <f t="shared" si="200"/>
        <v>FFDFD7C0</v>
      </c>
      <c r="D4014" t="s">
        <v>124</v>
      </c>
      <c r="E4014">
        <v>11</v>
      </c>
      <c r="F4014">
        <v>1011</v>
      </c>
      <c r="G4014" t="s">
        <v>590</v>
      </c>
      <c r="J4014" t="s">
        <v>125</v>
      </c>
      <c r="K4014">
        <v>0</v>
      </c>
      <c r="L4014">
        <v>3</v>
      </c>
      <c r="M4014">
        <v>0</v>
      </c>
      <c r="N4014">
        <v>2</v>
      </c>
      <c r="O4014">
        <v>1</v>
      </c>
      <c r="P4014">
        <v>0</v>
      </c>
      <c r="Q4014">
        <v>0</v>
      </c>
      <c r="S4014" t="str">
        <f>"20:36:42.156"</f>
        <v>20:36:42.156</v>
      </c>
      <c r="T4014" t="str">
        <f>"20:36:41.756"</f>
        <v>20:36:41.756</v>
      </c>
      <c r="U4014" t="str">
        <f t="shared" si="199"/>
        <v>AB01F4</v>
      </c>
      <c r="V4014">
        <v>0</v>
      </c>
      <c r="W4014">
        <v>0</v>
      </c>
      <c r="X4014">
        <v>2</v>
      </c>
      <c r="Z4014">
        <v>0</v>
      </c>
      <c r="AA4014">
        <v>9</v>
      </c>
      <c r="AB4014">
        <v>3</v>
      </c>
      <c r="AC4014">
        <v>0</v>
      </c>
      <c r="AD4014">
        <v>10</v>
      </c>
      <c r="AE4014">
        <v>0</v>
      </c>
      <c r="AF4014">
        <v>3</v>
      </c>
      <c r="AG4014">
        <v>2</v>
      </c>
      <c r="AH4014">
        <v>0</v>
      </c>
      <c r="AI4014" t="s">
        <v>2255</v>
      </c>
      <c r="AJ4014">
        <v>40.143355999999997</v>
      </c>
      <c r="AK4014" t="s">
        <v>2256</v>
      </c>
      <c r="AL4014">
        <v>-93.105954999999994</v>
      </c>
      <c r="AM4014">
        <v>100</v>
      </c>
      <c r="AN4014">
        <v>1300</v>
      </c>
      <c r="AO4014" t="s">
        <v>118</v>
      </c>
      <c r="AP4014">
        <v>-114</v>
      </c>
      <c r="AQ4014">
        <v>59</v>
      </c>
      <c r="AR4014">
        <v>64</v>
      </c>
      <c r="AZ4014">
        <v>1200</v>
      </c>
      <c r="BA4014">
        <v>1</v>
      </c>
      <c r="BB4014" t="str">
        <f t="shared" si="198"/>
        <v xml:space="preserve">N8080G  </v>
      </c>
      <c r="BC4014">
        <v>1</v>
      </c>
      <c r="BE4014">
        <v>0</v>
      </c>
      <c r="BF4014">
        <v>0</v>
      </c>
      <c r="BG4014">
        <v>0</v>
      </c>
      <c r="BH4014">
        <v>1350</v>
      </c>
      <c r="BI4014">
        <v>1</v>
      </c>
      <c r="BJ4014">
        <v>1</v>
      </c>
      <c r="BK4014">
        <v>1</v>
      </c>
      <c r="BL4014">
        <v>0</v>
      </c>
      <c r="BO4014">
        <v>0</v>
      </c>
      <c r="BP4014">
        <v>0</v>
      </c>
      <c r="BW4014" t="str">
        <f>"20:36:42.162"</f>
        <v>20:36:42.162</v>
      </c>
      <c r="BZ4014">
        <v>0</v>
      </c>
      <c r="CA4014">
        <v>1600</v>
      </c>
      <c r="CB4014">
        <v>224</v>
      </c>
      <c r="CD4014">
        <v>1</v>
      </c>
      <c r="CE4014">
        <v>0</v>
      </c>
      <c r="CF4014">
        <v>0</v>
      </c>
      <c r="CG4014">
        <v>1</v>
      </c>
      <c r="CH4014">
        <v>0</v>
      </c>
      <c r="CI4014">
        <v>0</v>
      </c>
      <c r="CJ4014">
        <v>0</v>
      </c>
      <c r="CK4014">
        <v>2</v>
      </c>
      <c r="CL4014">
        <v>0</v>
      </c>
      <c r="CM4014">
        <v>2</v>
      </c>
      <c r="CN4014">
        <v>0</v>
      </c>
      <c r="CO4014">
        <v>1</v>
      </c>
      <c r="CP4014" t="s">
        <v>119</v>
      </c>
      <c r="CQ4014">
        <v>179</v>
      </c>
      <c r="CR4014">
        <v>1</v>
      </c>
      <c r="CW4014">
        <v>9472676</v>
      </c>
      <c r="CY4014">
        <v>0</v>
      </c>
      <c r="CZ4014">
        <v>0</v>
      </c>
      <c r="DA4014">
        <v>1</v>
      </c>
      <c r="DB4014">
        <v>0</v>
      </c>
      <c r="DC4014">
        <v>0</v>
      </c>
      <c r="DD4014">
        <v>0</v>
      </c>
      <c r="DE4014">
        <v>0</v>
      </c>
      <c r="DF4014">
        <v>0</v>
      </c>
      <c r="DG4014">
        <v>0</v>
      </c>
      <c r="DH4014">
        <v>0</v>
      </c>
      <c r="DI4014">
        <v>0</v>
      </c>
    </row>
    <row r="4015" spans="1:113" x14ac:dyDescent="0.3">
      <c r="A4015" t="str">
        <f>"02/08/2021 20:36:40.880"</f>
        <v>02/08/2021 20:36:40.880</v>
      </c>
      <c r="C4015" t="str">
        <f t="shared" si="200"/>
        <v>FFDFD7C0</v>
      </c>
      <c r="D4015" t="s">
        <v>124</v>
      </c>
      <c r="E4015">
        <v>12</v>
      </c>
      <c r="F4015">
        <v>1012</v>
      </c>
      <c r="G4015" t="s">
        <v>675</v>
      </c>
      <c r="J4015" t="s">
        <v>125</v>
      </c>
      <c r="K4015">
        <v>0</v>
      </c>
      <c r="L4015">
        <v>3</v>
      </c>
      <c r="M4015">
        <v>0</v>
      </c>
      <c r="N4015">
        <v>2</v>
      </c>
      <c r="O4015">
        <v>1</v>
      </c>
      <c r="P4015">
        <v>0</v>
      </c>
      <c r="Q4015">
        <v>0</v>
      </c>
      <c r="S4015" t="str">
        <f>"20:36:43.227"</f>
        <v>20:36:43.227</v>
      </c>
      <c r="T4015" t="str">
        <f>"20:36:42.827"</f>
        <v>20:36:42.827</v>
      </c>
      <c r="U4015" t="str">
        <f t="shared" si="199"/>
        <v>AB01F4</v>
      </c>
      <c r="V4015">
        <v>0</v>
      </c>
      <c r="W4015">
        <v>0</v>
      </c>
      <c r="X4015">
        <v>2</v>
      </c>
      <c r="Z4015">
        <v>0</v>
      </c>
      <c r="AA4015">
        <v>9</v>
      </c>
      <c r="AB4015">
        <v>3</v>
      </c>
      <c r="AC4015">
        <v>0</v>
      </c>
      <c r="AD4015">
        <v>10</v>
      </c>
      <c r="AE4015">
        <v>0</v>
      </c>
      <c r="AF4015">
        <v>3</v>
      </c>
      <c r="AG4015">
        <v>2</v>
      </c>
      <c r="AH4015">
        <v>0</v>
      </c>
      <c r="AI4015" t="s">
        <v>2257</v>
      </c>
      <c r="AJ4015">
        <v>40.143678000000001</v>
      </c>
      <c r="AK4015" t="s">
        <v>2258</v>
      </c>
      <c r="AL4015">
        <v>-93.106706000000003</v>
      </c>
      <c r="AM4015">
        <v>100</v>
      </c>
      <c r="AN4015">
        <v>1300</v>
      </c>
      <c r="AO4015" t="s">
        <v>118</v>
      </c>
      <c r="AP4015">
        <v>-114</v>
      </c>
      <c r="AQ4015">
        <v>60</v>
      </c>
      <c r="AR4015">
        <v>0</v>
      </c>
      <c r="AZ4015">
        <v>1200</v>
      </c>
      <c r="BA4015">
        <v>1</v>
      </c>
      <c r="BB4015" t="str">
        <f t="shared" ref="BB4015:BB4078" si="201">"N8080G  "</f>
        <v xml:space="preserve">N8080G  </v>
      </c>
      <c r="BC4015">
        <v>1</v>
      </c>
      <c r="BE4015">
        <v>0</v>
      </c>
      <c r="BF4015">
        <v>0</v>
      </c>
      <c r="BG4015">
        <v>0</v>
      </c>
      <c r="BH4015">
        <v>1350</v>
      </c>
      <c r="BI4015">
        <v>1</v>
      </c>
      <c r="BJ4015">
        <v>1</v>
      </c>
      <c r="BK4015">
        <v>1</v>
      </c>
      <c r="BL4015">
        <v>0</v>
      </c>
      <c r="BO4015">
        <v>0</v>
      </c>
      <c r="BP4015">
        <v>0</v>
      </c>
      <c r="BW4015" t="str">
        <f>"20:36:43.229"</f>
        <v>20:36:43.229</v>
      </c>
      <c r="BZ4015">
        <v>0</v>
      </c>
      <c r="CA4015">
        <v>1600</v>
      </c>
      <c r="CB4015">
        <v>224</v>
      </c>
      <c r="CD4015">
        <v>1</v>
      </c>
      <c r="CE4015">
        <v>0</v>
      </c>
      <c r="CF4015">
        <v>0</v>
      </c>
      <c r="CG4015">
        <v>1</v>
      </c>
      <c r="CH4015">
        <v>0</v>
      </c>
      <c r="CI4015">
        <v>0</v>
      </c>
      <c r="CJ4015">
        <v>0</v>
      </c>
      <c r="CK4015">
        <v>2</v>
      </c>
      <c r="CL4015">
        <v>0</v>
      </c>
      <c r="CM4015">
        <v>2</v>
      </c>
      <c r="CN4015">
        <v>0</v>
      </c>
      <c r="CO4015">
        <v>2</v>
      </c>
      <c r="CP4015" t="s">
        <v>119</v>
      </c>
      <c r="CQ4015">
        <v>179</v>
      </c>
      <c r="CR4015">
        <v>2</v>
      </c>
      <c r="CW4015">
        <v>12591696</v>
      </c>
      <c r="CY4015">
        <v>0</v>
      </c>
      <c r="CZ4015">
        <v>0</v>
      </c>
      <c r="DA4015">
        <v>0</v>
      </c>
      <c r="DB4015">
        <v>0</v>
      </c>
      <c r="DC4015">
        <v>0</v>
      </c>
      <c r="DD4015">
        <v>0</v>
      </c>
      <c r="DE4015">
        <v>0</v>
      </c>
      <c r="DF4015">
        <v>0</v>
      </c>
      <c r="DG4015">
        <v>0</v>
      </c>
      <c r="DH4015">
        <v>0</v>
      </c>
      <c r="DI4015">
        <v>0</v>
      </c>
    </row>
    <row r="4016" spans="1:113" x14ac:dyDescent="0.3">
      <c r="A4016" t="str">
        <f>"02/08/2021 20:36:40.880"</f>
        <v>02/08/2021 20:36:40.880</v>
      </c>
      <c r="C4016" t="str">
        <f t="shared" si="200"/>
        <v>FFDFD7C0</v>
      </c>
      <c r="D4016" t="s">
        <v>113</v>
      </c>
      <c r="E4016">
        <v>6</v>
      </c>
      <c r="H4016">
        <v>165</v>
      </c>
      <c r="I4016" t="s">
        <v>114</v>
      </c>
      <c r="J4016" t="s">
        <v>115</v>
      </c>
      <c r="K4016">
        <v>0</v>
      </c>
      <c r="L4016">
        <v>3</v>
      </c>
      <c r="M4016">
        <v>0</v>
      </c>
      <c r="N4016">
        <v>2</v>
      </c>
      <c r="O4016">
        <v>1</v>
      </c>
      <c r="P4016">
        <v>0</v>
      </c>
      <c r="Q4016">
        <v>0</v>
      </c>
      <c r="S4016" t="str">
        <f>"20:36:43.227"</f>
        <v>20:36:43.227</v>
      </c>
      <c r="T4016" t="str">
        <f>"20:36:42.827"</f>
        <v>20:36:42.827</v>
      </c>
      <c r="U4016" t="str">
        <f t="shared" si="199"/>
        <v>AB01F4</v>
      </c>
      <c r="V4016">
        <v>0</v>
      </c>
      <c r="W4016">
        <v>0</v>
      </c>
      <c r="X4016">
        <v>2</v>
      </c>
      <c r="Z4016">
        <v>0</v>
      </c>
      <c r="AA4016">
        <v>9</v>
      </c>
      <c r="AB4016">
        <v>3</v>
      </c>
      <c r="AC4016">
        <v>0</v>
      </c>
      <c r="AD4016">
        <v>10</v>
      </c>
      <c r="AE4016">
        <v>0</v>
      </c>
      <c r="AF4016">
        <v>3</v>
      </c>
      <c r="AG4016">
        <v>2</v>
      </c>
      <c r="AH4016">
        <v>0</v>
      </c>
      <c r="AI4016" t="s">
        <v>2257</v>
      </c>
      <c r="AJ4016">
        <v>40.143678000000001</v>
      </c>
      <c r="AK4016" t="s">
        <v>2258</v>
      </c>
      <c r="AL4016">
        <v>-93.106706000000003</v>
      </c>
      <c r="AM4016">
        <v>100</v>
      </c>
      <c r="AN4016">
        <v>1300</v>
      </c>
      <c r="AO4016" t="s">
        <v>118</v>
      </c>
      <c r="AP4016">
        <v>-114</v>
      </c>
      <c r="AQ4016">
        <v>60</v>
      </c>
      <c r="AR4016">
        <v>0</v>
      </c>
      <c r="AZ4016">
        <v>1200</v>
      </c>
      <c r="BA4016">
        <v>1</v>
      </c>
      <c r="BB4016" t="str">
        <f t="shared" si="201"/>
        <v xml:space="preserve">N8080G  </v>
      </c>
      <c r="BC4016">
        <v>1</v>
      </c>
      <c r="BE4016">
        <v>0</v>
      </c>
      <c r="BF4016">
        <v>0</v>
      </c>
      <c r="BG4016">
        <v>0</v>
      </c>
      <c r="BH4016">
        <v>1350</v>
      </c>
      <c r="BI4016">
        <v>1</v>
      </c>
      <c r="BJ4016">
        <v>1</v>
      </c>
      <c r="BK4016">
        <v>1</v>
      </c>
      <c r="BL4016">
        <v>0</v>
      </c>
      <c r="BO4016">
        <v>0</v>
      </c>
      <c r="BP4016">
        <v>0</v>
      </c>
      <c r="BW4016" t="str">
        <f>"20:36:43.229"</f>
        <v>20:36:43.229</v>
      </c>
      <c r="BZ4016">
        <v>0</v>
      </c>
      <c r="CA4016">
        <v>1600</v>
      </c>
      <c r="CB4016">
        <v>224</v>
      </c>
      <c r="CD4016">
        <v>1</v>
      </c>
      <c r="CE4016">
        <v>0</v>
      </c>
      <c r="CF4016">
        <v>0</v>
      </c>
      <c r="CG4016">
        <v>1</v>
      </c>
      <c r="CH4016">
        <v>0</v>
      </c>
      <c r="CI4016">
        <v>0</v>
      </c>
      <c r="CJ4016">
        <v>0</v>
      </c>
      <c r="CK4016">
        <v>2</v>
      </c>
      <c r="CL4016">
        <v>0</v>
      </c>
      <c r="CM4016">
        <v>2</v>
      </c>
      <c r="CN4016">
        <v>0</v>
      </c>
      <c r="CO4016">
        <v>2</v>
      </c>
      <c r="CP4016" t="s">
        <v>119</v>
      </c>
      <c r="CQ4016">
        <v>179</v>
      </c>
      <c r="CR4016">
        <v>2</v>
      </c>
      <c r="CW4016">
        <v>12591696</v>
      </c>
      <c r="CY4016">
        <v>0</v>
      </c>
      <c r="CZ4016">
        <v>0</v>
      </c>
      <c r="DA4016">
        <v>1</v>
      </c>
      <c r="DB4016">
        <v>0</v>
      </c>
      <c r="DC4016">
        <v>0</v>
      </c>
      <c r="DD4016">
        <v>0</v>
      </c>
      <c r="DE4016">
        <v>0</v>
      </c>
      <c r="DF4016">
        <v>0</v>
      </c>
      <c r="DG4016">
        <v>0</v>
      </c>
      <c r="DH4016">
        <v>0</v>
      </c>
      <c r="DI4016">
        <v>0</v>
      </c>
    </row>
    <row r="4017" spans="1:113" x14ac:dyDescent="0.3">
      <c r="A4017" t="str">
        <f>"02/08/2021 20:36:40.880"</f>
        <v>02/08/2021 20:36:40.880</v>
      </c>
      <c r="C4017" t="str">
        <f t="shared" si="200"/>
        <v>FFDFD7C0</v>
      </c>
      <c r="D4017" t="s">
        <v>124</v>
      </c>
      <c r="E4017">
        <v>13</v>
      </c>
      <c r="F4017">
        <v>1013</v>
      </c>
      <c r="G4017" t="s">
        <v>114</v>
      </c>
      <c r="J4017" t="s">
        <v>125</v>
      </c>
      <c r="K4017">
        <v>0</v>
      </c>
      <c r="L4017">
        <v>3</v>
      </c>
      <c r="M4017">
        <v>0</v>
      </c>
      <c r="N4017">
        <v>2</v>
      </c>
      <c r="O4017">
        <v>1</v>
      </c>
      <c r="P4017">
        <v>0</v>
      </c>
      <c r="Q4017">
        <v>0</v>
      </c>
      <c r="S4017" t="str">
        <f>"20:36:43.227"</f>
        <v>20:36:43.227</v>
      </c>
      <c r="T4017" t="str">
        <f>"20:36:42.827"</f>
        <v>20:36:42.827</v>
      </c>
      <c r="U4017" t="str">
        <f t="shared" si="199"/>
        <v>AB01F4</v>
      </c>
      <c r="V4017">
        <v>0</v>
      </c>
      <c r="W4017">
        <v>0</v>
      </c>
      <c r="X4017">
        <v>2</v>
      </c>
      <c r="Z4017">
        <v>0</v>
      </c>
      <c r="AA4017">
        <v>9</v>
      </c>
      <c r="AB4017">
        <v>3</v>
      </c>
      <c r="AC4017">
        <v>0</v>
      </c>
      <c r="AD4017">
        <v>10</v>
      </c>
      <c r="AE4017">
        <v>0</v>
      </c>
      <c r="AF4017">
        <v>3</v>
      </c>
      <c r="AG4017">
        <v>2</v>
      </c>
      <c r="AH4017">
        <v>0</v>
      </c>
      <c r="AI4017" t="s">
        <v>2257</v>
      </c>
      <c r="AJ4017">
        <v>40.143678000000001</v>
      </c>
      <c r="AK4017" t="s">
        <v>2258</v>
      </c>
      <c r="AL4017">
        <v>-93.106706000000003</v>
      </c>
      <c r="AM4017">
        <v>100</v>
      </c>
      <c r="AN4017">
        <v>1300</v>
      </c>
      <c r="AO4017" t="s">
        <v>118</v>
      </c>
      <c r="AP4017">
        <v>-114</v>
      </c>
      <c r="AQ4017">
        <v>60</v>
      </c>
      <c r="AR4017">
        <v>0</v>
      </c>
      <c r="AZ4017">
        <v>1200</v>
      </c>
      <c r="BA4017">
        <v>1</v>
      </c>
      <c r="BB4017" t="str">
        <f t="shared" si="201"/>
        <v xml:space="preserve">N8080G  </v>
      </c>
      <c r="BC4017">
        <v>1</v>
      </c>
      <c r="BE4017">
        <v>0</v>
      </c>
      <c r="BF4017">
        <v>0</v>
      </c>
      <c r="BG4017">
        <v>0</v>
      </c>
      <c r="BH4017">
        <v>1350</v>
      </c>
      <c r="BI4017">
        <v>1</v>
      </c>
      <c r="BJ4017">
        <v>1</v>
      </c>
      <c r="BK4017">
        <v>1</v>
      </c>
      <c r="BL4017">
        <v>0</v>
      </c>
      <c r="BO4017">
        <v>0</v>
      </c>
      <c r="BP4017">
        <v>0</v>
      </c>
      <c r="BW4017" t="str">
        <f>"20:36:43.229"</f>
        <v>20:36:43.229</v>
      </c>
      <c r="BZ4017">
        <v>0</v>
      </c>
      <c r="CA4017">
        <v>1600</v>
      </c>
      <c r="CB4017">
        <v>224</v>
      </c>
      <c r="CD4017">
        <v>1</v>
      </c>
      <c r="CE4017">
        <v>0</v>
      </c>
      <c r="CF4017">
        <v>0</v>
      </c>
      <c r="CG4017">
        <v>1</v>
      </c>
      <c r="CH4017">
        <v>0</v>
      </c>
      <c r="CI4017">
        <v>0</v>
      </c>
      <c r="CJ4017">
        <v>0</v>
      </c>
      <c r="CK4017">
        <v>2</v>
      </c>
      <c r="CL4017">
        <v>0</v>
      </c>
      <c r="CM4017">
        <v>2</v>
      </c>
      <c r="CN4017">
        <v>0</v>
      </c>
      <c r="CO4017">
        <v>2</v>
      </c>
      <c r="CP4017" t="s">
        <v>119</v>
      </c>
      <c r="CQ4017">
        <v>179</v>
      </c>
      <c r="CR4017">
        <v>2</v>
      </c>
      <c r="CW4017">
        <v>12591696</v>
      </c>
      <c r="CY4017">
        <v>0</v>
      </c>
      <c r="CZ4017">
        <v>0</v>
      </c>
      <c r="DA4017">
        <v>1</v>
      </c>
      <c r="DB4017">
        <v>0</v>
      </c>
      <c r="DC4017">
        <v>0</v>
      </c>
      <c r="DD4017">
        <v>0</v>
      </c>
      <c r="DE4017">
        <v>0</v>
      </c>
      <c r="DF4017">
        <v>0</v>
      </c>
      <c r="DG4017">
        <v>0</v>
      </c>
      <c r="DH4017">
        <v>0</v>
      </c>
      <c r="DI4017">
        <v>0</v>
      </c>
    </row>
    <row r="4018" spans="1:113" x14ac:dyDescent="0.3">
      <c r="A4018" t="str">
        <f>"02/08/2021 20:36:40.880"</f>
        <v>02/08/2021 20:36:40.880</v>
      </c>
      <c r="C4018" t="str">
        <f t="shared" si="200"/>
        <v>FFDFD7C0</v>
      </c>
      <c r="D4018" t="s">
        <v>124</v>
      </c>
      <c r="E4018">
        <v>11</v>
      </c>
      <c r="F4018">
        <v>1011</v>
      </c>
      <c r="G4018" t="s">
        <v>590</v>
      </c>
      <c r="J4018" t="s">
        <v>125</v>
      </c>
      <c r="K4018">
        <v>0</v>
      </c>
      <c r="L4018">
        <v>3</v>
      </c>
      <c r="M4018">
        <v>0</v>
      </c>
      <c r="N4018">
        <v>2</v>
      </c>
      <c r="O4018">
        <v>1</v>
      </c>
      <c r="P4018">
        <v>0</v>
      </c>
      <c r="Q4018">
        <v>0</v>
      </c>
      <c r="S4018" t="str">
        <f>"20:36:43.227"</f>
        <v>20:36:43.227</v>
      </c>
      <c r="T4018" t="str">
        <f>"20:36:42.827"</f>
        <v>20:36:42.827</v>
      </c>
      <c r="U4018" t="str">
        <f t="shared" si="199"/>
        <v>AB01F4</v>
      </c>
      <c r="V4018">
        <v>0</v>
      </c>
      <c r="W4018">
        <v>0</v>
      </c>
      <c r="X4018">
        <v>2</v>
      </c>
      <c r="Z4018">
        <v>0</v>
      </c>
      <c r="AA4018">
        <v>9</v>
      </c>
      <c r="AB4018">
        <v>3</v>
      </c>
      <c r="AC4018">
        <v>0</v>
      </c>
      <c r="AD4018">
        <v>10</v>
      </c>
      <c r="AE4018">
        <v>0</v>
      </c>
      <c r="AF4018">
        <v>3</v>
      </c>
      <c r="AG4018">
        <v>2</v>
      </c>
      <c r="AH4018">
        <v>0</v>
      </c>
      <c r="AI4018" t="s">
        <v>2257</v>
      </c>
      <c r="AJ4018">
        <v>40.143678000000001</v>
      </c>
      <c r="AK4018" t="s">
        <v>2258</v>
      </c>
      <c r="AL4018">
        <v>-93.106706000000003</v>
      </c>
      <c r="AM4018">
        <v>100</v>
      </c>
      <c r="AN4018">
        <v>1300</v>
      </c>
      <c r="AO4018" t="s">
        <v>118</v>
      </c>
      <c r="AP4018">
        <v>-114</v>
      </c>
      <c r="AQ4018">
        <v>60</v>
      </c>
      <c r="AR4018">
        <v>0</v>
      </c>
      <c r="AZ4018">
        <v>1200</v>
      </c>
      <c r="BA4018">
        <v>1</v>
      </c>
      <c r="BB4018" t="str">
        <f t="shared" si="201"/>
        <v xml:space="preserve">N8080G  </v>
      </c>
      <c r="BC4018">
        <v>1</v>
      </c>
      <c r="BE4018">
        <v>0</v>
      </c>
      <c r="BF4018">
        <v>0</v>
      </c>
      <c r="BG4018">
        <v>0</v>
      </c>
      <c r="BH4018">
        <v>1350</v>
      </c>
      <c r="BI4018">
        <v>1</v>
      </c>
      <c r="BJ4018">
        <v>1</v>
      </c>
      <c r="BK4018">
        <v>1</v>
      </c>
      <c r="BL4018">
        <v>0</v>
      </c>
      <c r="BO4018">
        <v>0</v>
      </c>
      <c r="BP4018">
        <v>0</v>
      </c>
      <c r="BW4018" t="str">
        <f>"20:36:43.229"</f>
        <v>20:36:43.229</v>
      </c>
      <c r="BZ4018">
        <v>0</v>
      </c>
      <c r="CA4018">
        <v>1600</v>
      </c>
      <c r="CB4018">
        <v>224</v>
      </c>
      <c r="CD4018">
        <v>1</v>
      </c>
      <c r="CE4018">
        <v>0</v>
      </c>
      <c r="CF4018">
        <v>0</v>
      </c>
      <c r="CG4018">
        <v>1</v>
      </c>
      <c r="CH4018">
        <v>0</v>
      </c>
      <c r="CI4018">
        <v>0</v>
      </c>
      <c r="CJ4018">
        <v>0</v>
      </c>
      <c r="CK4018">
        <v>2</v>
      </c>
      <c r="CL4018">
        <v>0</v>
      </c>
      <c r="CM4018">
        <v>2</v>
      </c>
      <c r="CN4018">
        <v>0</v>
      </c>
      <c r="CO4018">
        <v>2</v>
      </c>
      <c r="CP4018" t="s">
        <v>119</v>
      </c>
      <c r="CQ4018">
        <v>179</v>
      </c>
      <c r="CR4018">
        <v>2</v>
      </c>
      <c r="CW4018">
        <v>12591696</v>
      </c>
      <c r="CY4018">
        <v>0</v>
      </c>
      <c r="CZ4018">
        <v>0</v>
      </c>
      <c r="DA4018">
        <v>1</v>
      </c>
      <c r="DB4018">
        <v>0</v>
      </c>
      <c r="DC4018">
        <v>0</v>
      </c>
      <c r="DD4018">
        <v>0</v>
      </c>
      <c r="DE4018">
        <v>0</v>
      </c>
      <c r="DF4018">
        <v>0</v>
      </c>
      <c r="DG4018">
        <v>0</v>
      </c>
      <c r="DH4018">
        <v>0</v>
      </c>
      <c r="DI4018">
        <v>0</v>
      </c>
    </row>
    <row r="4019" spans="1:113" x14ac:dyDescent="0.3">
      <c r="A4019" t="str">
        <f>"02/08/2021 20:36:41.763"</f>
        <v>02/08/2021 20:36:41.763</v>
      </c>
      <c r="C4019" t="str">
        <f t="shared" si="200"/>
        <v>FFDFD7C0</v>
      </c>
      <c r="D4019" t="s">
        <v>113</v>
      </c>
      <c r="E4019">
        <v>6</v>
      </c>
      <c r="H4019">
        <v>165</v>
      </c>
      <c r="I4019" t="s">
        <v>114</v>
      </c>
      <c r="J4019" t="s">
        <v>115</v>
      </c>
      <c r="K4019">
        <v>0</v>
      </c>
      <c r="L4019">
        <v>3</v>
      </c>
      <c r="M4019">
        <v>0</v>
      </c>
      <c r="N4019">
        <v>2</v>
      </c>
      <c r="O4019">
        <v>1</v>
      </c>
      <c r="P4019">
        <v>0</v>
      </c>
      <c r="Q4019">
        <v>0</v>
      </c>
      <c r="S4019" t="str">
        <f>"20:36:44.063"</f>
        <v>20:36:44.063</v>
      </c>
      <c r="T4019" t="str">
        <f>"20:36:43.663"</f>
        <v>20:36:43.663</v>
      </c>
      <c r="U4019" t="str">
        <f t="shared" si="199"/>
        <v>AB01F4</v>
      </c>
      <c r="V4019">
        <v>0</v>
      </c>
      <c r="W4019">
        <v>0</v>
      </c>
      <c r="X4019">
        <v>2</v>
      </c>
      <c r="Z4019">
        <v>0</v>
      </c>
      <c r="AA4019">
        <v>9</v>
      </c>
      <c r="AB4019">
        <v>3</v>
      </c>
      <c r="AC4019">
        <v>0</v>
      </c>
      <c r="AD4019">
        <v>10</v>
      </c>
      <c r="AE4019">
        <v>0</v>
      </c>
      <c r="AF4019">
        <v>3</v>
      </c>
      <c r="AG4019">
        <v>2</v>
      </c>
      <c r="AH4019">
        <v>0</v>
      </c>
      <c r="AI4019" t="s">
        <v>2259</v>
      </c>
      <c r="AJ4019">
        <v>40.14385</v>
      </c>
      <c r="AK4019" t="s">
        <v>2260</v>
      </c>
      <c r="AL4019">
        <v>-93.107264000000001</v>
      </c>
      <c r="AM4019">
        <v>100</v>
      </c>
      <c r="AN4019">
        <v>1300</v>
      </c>
      <c r="AO4019" t="s">
        <v>118</v>
      </c>
      <c r="AP4019">
        <v>-113</v>
      </c>
      <c r="AQ4019">
        <v>61</v>
      </c>
      <c r="AR4019">
        <v>128</v>
      </c>
      <c r="AZ4019">
        <v>1200</v>
      </c>
      <c r="BA4019">
        <v>1</v>
      </c>
      <c r="BB4019" t="str">
        <f t="shared" si="201"/>
        <v xml:space="preserve">N8080G  </v>
      </c>
      <c r="BC4019">
        <v>1</v>
      </c>
      <c r="BE4019">
        <v>0</v>
      </c>
      <c r="BF4019">
        <v>0</v>
      </c>
      <c r="BG4019">
        <v>0</v>
      </c>
      <c r="BH4019">
        <v>1350</v>
      </c>
      <c r="BI4019">
        <v>1</v>
      </c>
      <c r="BJ4019">
        <v>1</v>
      </c>
      <c r="BK4019">
        <v>1</v>
      </c>
      <c r="BL4019">
        <v>0</v>
      </c>
      <c r="BO4019">
        <v>0</v>
      </c>
      <c r="BP4019">
        <v>0</v>
      </c>
      <c r="BW4019" t="str">
        <f>"20:36:44.066"</f>
        <v>20:36:44.066</v>
      </c>
      <c r="BZ4019">
        <v>0</v>
      </c>
      <c r="CA4019">
        <v>1600</v>
      </c>
      <c r="CB4019">
        <v>224</v>
      </c>
      <c r="CD4019">
        <v>1</v>
      </c>
      <c r="CE4019">
        <v>0</v>
      </c>
      <c r="CF4019">
        <v>0</v>
      </c>
      <c r="CG4019">
        <v>1</v>
      </c>
      <c r="CH4019">
        <v>0</v>
      </c>
      <c r="CI4019">
        <v>0</v>
      </c>
      <c r="CJ4019">
        <v>0</v>
      </c>
      <c r="CK4019">
        <v>2</v>
      </c>
      <c r="CL4019">
        <v>0</v>
      </c>
      <c r="CM4019">
        <v>2</v>
      </c>
      <c r="CN4019">
        <v>0</v>
      </c>
      <c r="CO4019">
        <v>2</v>
      </c>
      <c r="CP4019" t="s">
        <v>119</v>
      </c>
      <c r="CQ4019">
        <v>179</v>
      </c>
      <c r="CR4019">
        <v>2</v>
      </c>
      <c r="CW4019">
        <v>12592432</v>
      </c>
      <c r="CY4019">
        <v>0</v>
      </c>
      <c r="CZ4019">
        <v>0</v>
      </c>
      <c r="DA4019">
        <v>0</v>
      </c>
      <c r="DB4019">
        <v>0</v>
      </c>
      <c r="DC4019">
        <v>0</v>
      </c>
      <c r="DD4019">
        <v>0</v>
      </c>
      <c r="DE4019">
        <v>0</v>
      </c>
      <c r="DF4019">
        <v>0</v>
      </c>
      <c r="DG4019">
        <v>0</v>
      </c>
      <c r="DH4019">
        <v>0</v>
      </c>
      <c r="DI4019">
        <v>0</v>
      </c>
    </row>
    <row r="4020" spans="1:113" x14ac:dyDescent="0.3">
      <c r="A4020" t="str">
        <f>"02/08/2021 20:36:41.763"</f>
        <v>02/08/2021 20:36:41.763</v>
      </c>
      <c r="C4020" t="str">
        <f t="shared" si="200"/>
        <v>FFDFD7C0</v>
      </c>
      <c r="D4020" t="s">
        <v>124</v>
      </c>
      <c r="E4020">
        <v>13</v>
      </c>
      <c r="F4020">
        <v>1013</v>
      </c>
      <c r="G4020" t="s">
        <v>114</v>
      </c>
      <c r="J4020" t="s">
        <v>125</v>
      </c>
      <c r="K4020">
        <v>0</v>
      </c>
      <c r="L4020">
        <v>3</v>
      </c>
      <c r="M4020">
        <v>0</v>
      </c>
      <c r="N4020">
        <v>2</v>
      </c>
      <c r="O4020">
        <v>1</v>
      </c>
      <c r="P4020">
        <v>0</v>
      </c>
      <c r="Q4020">
        <v>0</v>
      </c>
      <c r="S4020" t="str">
        <f>"20:36:44.063"</f>
        <v>20:36:44.063</v>
      </c>
      <c r="T4020" t="str">
        <f>"20:36:43.663"</f>
        <v>20:36:43.663</v>
      </c>
      <c r="U4020" t="str">
        <f t="shared" si="199"/>
        <v>AB01F4</v>
      </c>
      <c r="V4020">
        <v>0</v>
      </c>
      <c r="W4020">
        <v>0</v>
      </c>
      <c r="X4020">
        <v>2</v>
      </c>
      <c r="Z4020">
        <v>0</v>
      </c>
      <c r="AA4020">
        <v>9</v>
      </c>
      <c r="AB4020">
        <v>3</v>
      </c>
      <c r="AC4020">
        <v>0</v>
      </c>
      <c r="AD4020">
        <v>10</v>
      </c>
      <c r="AE4020">
        <v>0</v>
      </c>
      <c r="AF4020">
        <v>3</v>
      </c>
      <c r="AG4020">
        <v>2</v>
      </c>
      <c r="AH4020">
        <v>0</v>
      </c>
      <c r="AI4020" t="s">
        <v>2259</v>
      </c>
      <c r="AJ4020">
        <v>40.14385</v>
      </c>
      <c r="AK4020" t="s">
        <v>2260</v>
      </c>
      <c r="AL4020">
        <v>-93.107264000000001</v>
      </c>
      <c r="AM4020">
        <v>100</v>
      </c>
      <c r="AN4020">
        <v>1300</v>
      </c>
      <c r="AO4020" t="s">
        <v>118</v>
      </c>
      <c r="AP4020">
        <v>-113</v>
      </c>
      <c r="AQ4020">
        <v>61</v>
      </c>
      <c r="AR4020">
        <v>128</v>
      </c>
      <c r="AZ4020">
        <v>1200</v>
      </c>
      <c r="BA4020">
        <v>1</v>
      </c>
      <c r="BB4020" t="str">
        <f t="shared" si="201"/>
        <v xml:space="preserve">N8080G  </v>
      </c>
      <c r="BC4020">
        <v>1</v>
      </c>
      <c r="BE4020">
        <v>0</v>
      </c>
      <c r="BF4020">
        <v>0</v>
      </c>
      <c r="BG4020">
        <v>0</v>
      </c>
      <c r="BH4020">
        <v>1350</v>
      </c>
      <c r="BI4020">
        <v>1</v>
      </c>
      <c r="BJ4020">
        <v>1</v>
      </c>
      <c r="BK4020">
        <v>1</v>
      </c>
      <c r="BL4020">
        <v>0</v>
      </c>
      <c r="BO4020">
        <v>0</v>
      </c>
      <c r="BP4020">
        <v>0</v>
      </c>
      <c r="BW4020" t="str">
        <f>"20:36:44.066"</f>
        <v>20:36:44.066</v>
      </c>
      <c r="BZ4020">
        <v>0</v>
      </c>
      <c r="CA4020">
        <v>1600</v>
      </c>
      <c r="CB4020">
        <v>224</v>
      </c>
      <c r="CD4020">
        <v>1</v>
      </c>
      <c r="CE4020">
        <v>0</v>
      </c>
      <c r="CF4020">
        <v>0</v>
      </c>
      <c r="CG4020">
        <v>1</v>
      </c>
      <c r="CH4020">
        <v>0</v>
      </c>
      <c r="CI4020">
        <v>0</v>
      </c>
      <c r="CJ4020">
        <v>0</v>
      </c>
      <c r="CK4020">
        <v>2</v>
      </c>
      <c r="CL4020">
        <v>0</v>
      </c>
      <c r="CM4020">
        <v>2</v>
      </c>
      <c r="CN4020">
        <v>0</v>
      </c>
      <c r="CO4020">
        <v>2</v>
      </c>
      <c r="CP4020" t="s">
        <v>119</v>
      </c>
      <c r="CQ4020">
        <v>179</v>
      </c>
      <c r="CR4020">
        <v>2</v>
      </c>
      <c r="CW4020">
        <v>12592432</v>
      </c>
      <c r="CY4020">
        <v>0</v>
      </c>
      <c r="CZ4020">
        <v>0</v>
      </c>
      <c r="DA4020">
        <v>1</v>
      </c>
      <c r="DB4020">
        <v>0</v>
      </c>
      <c r="DC4020">
        <v>0</v>
      </c>
      <c r="DD4020">
        <v>0</v>
      </c>
      <c r="DE4020">
        <v>0</v>
      </c>
      <c r="DF4020">
        <v>0</v>
      </c>
      <c r="DG4020">
        <v>0</v>
      </c>
      <c r="DH4020">
        <v>0</v>
      </c>
      <c r="DI4020">
        <v>0</v>
      </c>
    </row>
    <row r="4021" spans="1:113" x14ac:dyDescent="0.3">
      <c r="A4021" t="str">
        <f>"02/08/2021 20:36:41.763"</f>
        <v>02/08/2021 20:36:41.763</v>
      </c>
      <c r="C4021" t="str">
        <f t="shared" si="200"/>
        <v>FFDFD7C0</v>
      </c>
      <c r="D4021" t="s">
        <v>124</v>
      </c>
      <c r="E4021">
        <v>11</v>
      </c>
      <c r="F4021">
        <v>1011</v>
      </c>
      <c r="G4021" t="s">
        <v>590</v>
      </c>
      <c r="J4021" t="s">
        <v>125</v>
      </c>
      <c r="K4021">
        <v>0</v>
      </c>
      <c r="L4021">
        <v>3</v>
      </c>
      <c r="M4021">
        <v>0</v>
      </c>
      <c r="N4021">
        <v>2</v>
      </c>
      <c r="O4021">
        <v>1</v>
      </c>
      <c r="P4021">
        <v>0</v>
      </c>
      <c r="Q4021">
        <v>0</v>
      </c>
      <c r="S4021" t="str">
        <f>"20:36:44.063"</f>
        <v>20:36:44.063</v>
      </c>
      <c r="T4021" t="str">
        <f>"20:36:43.663"</f>
        <v>20:36:43.663</v>
      </c>
      <c r="U4021" t="str">
        <f t="shared" si="199"/>
        <v>AB01F4</v>
      </c>
      <c r="V4021">
        <v>0</v>
      </c>
      <c r="W4021">
        <v>0</v>
      </c>
      <c r="X4021">
        <v>2</v>
      </c>
      <c r="Z4021">
        <v>0</v>
      </c>
      <c r="AA4021">
        <v>9</v>
      </c>
      <c r="AB4021">
        <v>3</v>
      </c>
      <c r="AC4021">
        <v>0</v>
      </c>
      <c r="AD4021">
        <v>10</v>
      </c>
      <c r="AE4021">
        <v>0</v>
      </c>
      <c r="AF4021">
        <v>3</v>
      </c>
      <c r="AG4021">
        <v>2</v>
      </c>
      <c r="AH4021">
        <v>0</v>
      </c>
      <c r="AI4021" t="s">
        <v>2259</v>
      </c>
      <c r="AJ4021">
        <v>40.14385</v>
      </c>
      <c r="AK4021" t="s">
        <v>2260</v>
      </c>
      <c r="AL4021">
        <v>-93.107264000000001</v>
      </c>
      <c r="AM4021">
        <v>100</v>
      </c>
      <c r="AN4021">
        <v>1300</v>
      </c>
      <c r="AO4021" t="s">
        <v>118</v>
      </c>
      <c r="AP4021">
        <v>-113</v>
      </c>
      <c r="AQ4021">
        <v>61</v>
      </c>
      <c r="AR4021">
        <v>128</v>
      </c>
      <c r="AZ4021">
        <v>1200</v>
      </c>
      <c r="BA4021">
        <v>1</v>
      </c>
      <c r="BB4021" t="str">
        <f t="shared" si="201"/>
        <v xml:space="preserve">N8080G  </v>
      </c>
      <c r="BC4021">
        <v>1</v>
      </c>
      <c r="BE4021">
        <v>0</v>
      </c>
      <c r="BF4021">
        <v>0</v>
      </c>
      <c r="BG4021">
        <v>0</v>
      </c>
      <c r="BH4021">
        <v>1350</v>
      </c>
      <c r="BI4021">
        <v>1</v>
      </c>
      <c r="BJ4021">
        <v>1</v>
      </c>
      <c r="BK4021">
        <v>1</v>
      </c>
      <c r="BL4021">
        <v>0</v>
      </c>
      <c r="BO4021">
        <v>0</v>
      </c>
      <c r="BP4021">
        <v>0</v>
      </c>
      <c r="BW4021" t="str">
        <f>"20:36:44.066"</f>
        <v>20:36:44.066</v>
      </c>
      <c r="BZ4021">
        <v>0</v>
      </c>
      <c r="CA4021">
        <v>1600</v>
      </c>
      <c r="CB4021">
        <v>224</v>
      </c>
      <c r="CD4021">
        <v>1</v>
      </c>
      <c r="CE4021">
        <v>0</v>
      </c>
      <c r="CF4021">
        <v>0</v>
      </c>
      <c r="CG4021">
        <v>1</v>
      </c>
      <c r="CH4021">
        <v>0</v>
      </c>
      <c r="CI4021">
        <v>0</v>
      </c>
      <c r="CJ4021">
        <v>0</v>
      </c>
      <c r="CK4021">
        <v>2</v>
      </c>
      <c r="CL4021">
        <v>0</v>
      </c>
      <c r="CM4021">
        <v>2</v>
      </c>
      <c r="CN4021">
        <v>0</v>
      </c>
      <c r="CO4021">
        <v>2</v>
      </c>
      <c r="CP4021" t="s">
        <v>119</v>
      </c>
      <c r="CQ4021">
        <v>179</v>
      </c>
      <c r="CR4021">
        <v>2</v>
      </c>
      <c r="CW4021">
        <v>12592432</v>
      </c>
      <c r="CY4021">
        <v>0</v>
      </c>
      <c r="CZ4021">
        <v>0</v>
      </c>
      <c r="DA4021">
        <v>1</v>
      </c>
      <c r="DB4021">
        <v>0</v>
      </c>
      <c r="DC4021">
        <v>0</v>
      </c>
      <c r="DD4021">
        <v>0</v>
      </c>
      <c r="DE4021">
        <v>0</v>
      </c>
      <c r="DF4021">
        <v>0</v>
      </c>
      <c r="DG4021">
        <v>0</v>
      </c>
      <c r="DH4021">
        <v>0</v>
      </c>
      <c r="DI4021">
        <v>0</v>
      </c>
    </row>
    <row r="4022" spans="1:113" x14ac:dyDescent="0.3">
      <c r="A4022" t="str">
        <f>"02/08/2021 20:36:41.763"</f>
        <v>02/08/2021 20:36:41.763</v>
      </c>
      <c r="C4022" t="str">
        <f t="shared" si="200"/>
        <v>FFDFD7C0</v>
      </c>
      <c r="D4022" t="s">
        <v>124</v>
      </c>
      <c r="E4022">
        <v>12</v>
      </c>
      <c r="F4022">
        <v>1012</v>
      </c>
      <c r="G4022" t="s">
        <v>675</v>
      </c>
      <c r="J4022" t="s">
        <v>125</v>
      </c>
      <c r="K4022">
        <v>0</v>
      </c>
      <c r="L4022">
        <v>3</v>
      </c>
      <c r="M4022">
        <v>0</v>
      </c>
      <c r="N4022">
        <v>2</v>
      </c>
      <c r="O4022">
        <v>1</v>
      </c>
      <c r="P4022">
        <v>0</v>
      </c>
      <c r="Q4022">
        <v>0</v>
      </c>
      <c r="S4022" t="str">
        <f>"20:36:44.063"</f>
        <v>20:36:44.063</v>
      </c>
      <c r="T4022" t="str">
        <f>"20:36:43.663"</f>
        <v>20:36:43.663</v>
      </c>
      <c r="U4022" t="str">
        <f t="shared" si="199"/>
        <v>AB01F4</v>
      </c>
      <c r="V4022">
        <v>0</v>
      </c>
      <c r="W4022">
        <v>0</v>
      </c>
      <c r="X4022">
        <v>2</v>
      </c>
      <c r="Z4022">
        <v>0</v>
      </c>
      <c r="AA4022">
        <v>9</v>
      </c>
      <c r="AB4022">
        <v>3</v>
      </c>
      <c r="AC4022">
        <v>0</v>
      </c>
      <c r="AD4022">
        <v>10</v>
      </c>
      <c r="AE4022">
        <v>0</v>
      </c>
      <c r="AF4022">
        <v>3</v>
      </c>
      <c r="AG4022">
        <v>2</v>
      </c>
      <c r="AH4022">
        <v>0</v>
      </c>
      <c r="AI4022" t="s">
        <v>2259</v>
      </c>
      <c r="AJ4022">
        <v>40.14385</v>
      </c>
      <c r="AK4022" t="s">
        <v>2260</v>
      </c>
      <c r="AL4022">
        <v>-93.107264000000001</v>
      </c>
      <c r="AM4022">
        <v>100</v>
      </c>
      <c r="AN4022">
        <v>1300</v>
      </c>
      <c r="AO4022" t="s">
        <v>118</v>
      </c>
      <c r="AP4022">
        <v>-113</v>
      </c>
      <c r="AQ4022">
        <v>61</v>
      </c>
      <c r="AR4022">
        <v>128</v>
      </c>
      <c r="AZ4022">
        <v>1200</v>
      </c>
      <c r="BA4022">
        <v>1</v>
      </c>
      <c r="BB4022" t="str">
        <f t="shared" si="201"/>
        <v xml:space="preserve">N8080G  </v>
      </c>
      <c r="BC4022">
        <v>1</v>
      </c>
      <c r="BE4022">
        <v>0</v>
      </c>
      <c r="BF4022">
        <v>0</v>
      </c>
      <c r="BG4022">
        <v>0</v>
      </c>
      <c r="BH4022">
        <v>1350</v>
      </c>
      <c r="BI4022">
        <v>1</v>
      </c>
      <c r="BJ4022">
        <v>1</v>
      </c>
      <c r="BK4022">
        <v>1</v>
      </c>
      <c r="BL4022">
        <v>0</v>
      </c>
      <c r="BO4022">
        <v>0</v>
      </c>
      <c r="BP4022">
        <v>0</v>
      </c>
      <c r="BW4022" t="str">
        <f>"20:36:44.066"</f>
        <v>20:36:44.066</v>
      </c>
      <c r="BZ4022">
        <v>0</v>
      </c>
      <c r="CA4022">
        <v>1600</v>
      </c>
      <c r="CB4022">
        <v>224</v>
      </c>
      <c r="CD4022">
        <v>1</v>
      </c>
      <c r="CE4022">
        <v>0</v>
      </c>
      <c r="CF4022">
        <v>0</v>
      </c>
      <c r="CG4022">
        <v>1</v>
      </c>
      <c r="CH4022">
        <v>0</v>
      </c>
      <c r="CI4022">
        <v>0</v>
      </c>
      <c r="CJ4022">
        <v>0</v>
      </c>
      <c r="CK4022">
        <v>2</v>
      </c>
      <c r="CL4022">
        <v>0</v>
      </c>
      <c r="CM4022">
        <v>2</v>
      </c>
      <c r="CN4022">
        <v>0</v>
      </c>
      <c r="CO4022">
        <v>2</v>
      </c>
      <c r="CP4022" t="s">
        <v>119</v>
      </c>
      <c r="CQ4022">
        <v>179</v>
      </c>
      <c r="CR4022">
        <v>2</v>
      </c>
      <c r="CW4022">
        <v>12592432</v>
      </c>
      <c r="CY4022">
        <v>0</v>
      </c>
      <c r="CZ4022">
        <v>0</v>
      </c>
      <c r="DA4022">
        <v>1</v>
      </c>
      <c r="DB4022">
        <v>0</v>
      </c>
      <c r="DC4022">
        <v>0</v>
      </c>
      <c r="DD4022">
        <v>0</v>
      </c>
      <c r="DE4022">
        <v>0</v>
      </c>
      <c r="DF4022">
        <v>0</v>
      </c>
      <c r="DG4022">
        <v>0</v>
      </c>
      <c r="DH4022">
        <v>0</v>
      </c>
      <c r="DI4022">
        <v>0</v>
      </c>
    </row>
    <row r="4023" spans="1:113" x14ac:dyDescent="0.3">
      <c r="A4023" t="str">
        <f>"02/08/2021 20:36:42.570"</f>
        <v>02/08/2021 20:36:42.570</v>
      </c>
      <c r="C4023" t="str">
        <f t="shared" si="200"/>
        <v>FFDFD7C0</v>
      </c>
      <c r="D4023" t="s">
        <v>113</v>
      </c>
      <c r="E4023">
        <v>6</v>
      </c>
      <c r="H4023">
        <v>165</v>
      </c>
      <c r="I4023" t="s">
        <v>114</v>
      </c>
      <c r="J4023" t="s">
        <v>115</v>
      </c>
      <c r="K4023">
        <v>0</v>
      </c>
      <c r="L4023">
        <v>3</v>
      </c>
      <c r="M4023">
        <v>0</v>
      </c>
      <c r="N4023">
        <v>2</v>
      </c>
      <c r="O4023">
        <v>1</v>
      </c>
      <c r="P4023">
        <v>0</v>
      </c>
      <c r="Q4023">
        <v>0</v>
      </c>
      <c r="S4023" t="str">
        <f>"20:36:44.906"</f>
        <v>20:36:44.906</v>
      </c>
      <c r="T4023" t="str">
        <f>"20:36:44.506"</f>
        <v>20:36:44.506</v>
      </c>
      <c r="U4023" t="str">
        <f t="shared" si="199"/>
        <v>AB01F4</v>
      </c>
      <c r="V4023">
        <v>0</v>
      </c>
      <c r="W4023">
        <v>0</v>
      </c>
      <c r="X4023">
        <v>2</v>
      </c>
      <c r="Z4023">
        <v>0</v>
      </c>
      <c r="AA4023">
        <v>9</v>
      </c>
      <c r="AB4023">
        <v>3</v>
      </c>
      <c r="AC4023">
        <v>0</v>
      </c>
      <c r="AD4023">
        <v>10</v>
      </c>
      <c r="AE4023">
        <v>0</v>
      </c>
      <c r="AF4023">
        <v>3</v>
      </c>
      <c r="AG4023">
        <v>2</v>
      </c>
      <c r="AH4023">
        <v>0</v>
      </c>
      <c r="AI4023" t="s">
        <v>2261</v>
      </c>
      <c r="AJ4023">
        <v>40.144086000000001</v>
      </c>
      <c r="AK4023" t="s">
        <v>2262</v>
      </c>
      <c r="AL4023">
        <v>-93.107758000000004</v>
      </c>
      <c r="AM4023">
        <v>100</v>
      </c>
      <c r="AN4023">
        <v>1300</v>
      </c>
      <c r="AO4023" t="s">
        <v>118</v>
      </c>
      <c r="AP4023">
        <v>-113</v>
      </c>
      <c r="AQ4023">
        <v>61</v>
      </c>
      <c r="AR4023">
        <v>-64</v>
      </c>
      <c r="AZ4023">
        <v>1200</v>
      </c>
      <c r="BA4023">
        <v>1</v>
      </c>
      <c r="BB4023" t="str">
        <f t="shared" si="201"/>
        <v xml:space="preserve">N8080G  </v>
      </c>
      <c r="BC4023">
        <v>1</v>
      </c>
      <c r="BE4023">
        <v>0</v>
      </c>
      <c r="BF4023">
        <v>0</v>
      </c>
      <c r="BG4023">
        <v>0</v>
      </c>
      <c r="BH4023">
        <v>1350</v>
      </c>
      <c r="BI4023">
        <v>1</v>
      </c>
      <c r="BJ4023">
        <v>1</v>
      </c>
      <c r="BK4023">
        <v>1</v>
      </c>
      <c r="BL4023">
        <v>0</v>
      </c>
      <c r="BO4023">
        <v>0</v>
      </c>
      <c r="BP4023">
        <v>0</v>
      </c>
      <c r="BW4023" t="str">
        <f>"20:36:44.908"</f>
        <v>20:36:44.908</v>
      </c>
      <c r="BZ4023">
        <v>0</v>
      </c>
      <c r="CA4023">
        <v>1600</v>
      </c>
      <c r="CB4023">
        <v>224</v>
      </c>
      <c r="CD4023">
        <v>1</v>
      </c>
      <c r="CE4023">
        <v>0</v>
      </c>
      <c r="CF4023">
        <v>0</v>
      </c>
      <c r="CG4023">
        <v>1</v>
      </c>
      <c r="CH4023">
        <v>0</v>
      </c>
      <c r="CI4023">
        <v>0</v>
      </c>
      <c r="CJ4023">
        <v>0</v>
      </c>
      <c r="CK4023">
        <v>2</v>
      </c>
      <c r="CL4023">
        <v>0</v>
      </c>
      <c r="CM4023">
        <v>2</v>
      </c>
      <c r="CN4023">
        <v>0</v>
      </c>
      <c r="CO4023">
        <v>6</v>
      </c>
      <c r="CP4023" t="s">
        <v>119</v>
      </c>
      <c r="CQ4023">
        <v>180</v>
      </c>
      <c r="CR4023">
        <v>3</v>
      </c>
      <c r="CW4023">
        <v>1322879</v>
      </c>
      <c r="CY4023">
        <v>0</v>
      </c>
      <c r="CZ4023">
        <v>0</v>
      </c>
      <c r="DA4023">
        <v>0</v>
      </c>
      <c r="DB4023">
        <v>0</v>
      </c>
      <c r="DC4023">
        <v>0</v>
      </c>
      <c r="DD4023">
        <v>0</v>
      </c>
      <c r="DE4023">
        <v>0</v>
      </c>
      <c r="DF4023">
        <v>0</v>
      </c>
      <c r="DG4023">
        <v>0</v>
      </c>
      <c r="DH4023">
        <v>0</v>
      </c>
      <c r="DI4023">
        <v>0</v>
      </c>
    </row>
    <row r="4024" spans="1:113" x14ac:dyDescent="0.3">
      <c r="A4024" t="str">
        <f>"02/08/2021 20:36:42.570"</f>
        <v>02/08/2021 20:36:42.570</v>
      </c>
      <c r="C4024" t="str">
        <f t="shared" si="200"/>
        <v>FFDFD7C0</v>
      </c>
      <c r="D4024" t="s">
        <v>124</v>
      </c>
      <c r="E4024">
        <v>13</v>
      </c>
      <c r="F4024">
        <v>1013</v>
      </c>
      <c r="G4024" t="s">
        <v>114</v>
      </c>
      <c r="J4024" t="s">
        <v>125</v>
      </c>
      <c r="K4024">
        <v>0</v>
      </c>
      <c r="L4024">
        <v>3</v>
      </c>
      <c r="M4024">
        <v>0</v>
      </c>
      <c r="N4024">
        <v>2</v>
      </c>
      <c r="O4024">
        <v>1</v>
      </c>
      <c r="P4024">
        <v>0</v>
      </c>
      <c r="Q4024">
        <v>0</v>
      </c>
      <c r="S4024" t="str">
        <f>"20:36:44.906"</f>
        <v>20:36:44.906</v>
      </c>
      <c r="T4024" t="str">
        <f>"20:36:44.506"</f>
        <v>20:36:44.506</v>
      </c>
      <c r="U4024" t="str">
        <f t="shared" si="199"/>
        <v>AB01F4</v>
      </c>
      <c r="V4024">
        <v>0</v>
      </c>
      <c r="W4024">
        <v>0</v>
      </c>
      <c r="X4024">
        <v>2</v>
      </c>
      <c r="Z4024">
        <v>0</v>
      </c>
      <c r="AA4024">
        <v>9</v>
      </c>
      <c r="AB4024">
        <v>3</v>
      </c>
      <c r="AC4024">
        <v>0</v>
      </c>
      <c r="AD4024">
        <v>10</v>
      </c>
      <c r="AE4024">
        <v>0</v>
      </c>
      <c r="AF4024">
        <v>3</v>
      </c>
      <c r="AG4024">
        <v>2</v>
      </c>
      <c r="AH4024">
        <v>0</v>
      </c>
      <c r="AI4024" t="s">
        <v>2261</v>
      </c>
      <c r="AJ4024">
        <v>40.144086000000001</v>
      </c>
      <c r="AK4024" t="s">
        <v>2262</v>
      </c>
      <c r="AL4024">
        <v>-93.107758000000004</v>
      </c>
      <c r="AM4024">
        <v>100</v>
      </c>
      <c r="AN4024">
        <v>1300</v>
      </c>
      <c r="AO4024" t="s">
        <v>118</v>
      </c>
      <c r="AP4024">
        <v>-113</v>
      </c>
      <c r="AQ4024">
        <v>61</v>
      </c>
      <c r="AR4024">
        <v>-64</v>
      </c>
      <c r="AZ4024">
        <v>1200</v>
      </c>
      <c r="BA4024">
        <v>1</v>
      </c>
      <c r="BB4024" t="str">
        <f t="shared" si="201"/>
        <v xml:space="preserve">N8080G  </v>
      </c>
      <c r="BC4024">
        <v>1</v>
      </c>
      <c r="BE4024">
        <v>0</v>
      </c>
      <c r="BF4024">
        <v>0</v>
      </c>
      <c r="BG4024">
        <v>0</v>
      </c>
      <c r="BH4024">
        <v>1350</v>
      </c>
      <c r="BI4024">
        <v>1</v>
      </c>
      <c r="BJ4024">
        <v>1</v>
      </c>
      <c r="BK4024">
        <v>1</v>
      </c>
      <c r="BL4024">
        <v>0</v>
      </c>
      <c r="BO4024">
        <v>0</v>
      </c>
      <c r="BP4024">
        <v>0</v>
      </c>
      <c r="BW4024" t="str">
        <f>"20:36:44.908"</f>
        <v>20:36:44.908</v>
      </c>
      <c r="BZ4024">
        <v>0</v>
      </c>
      <c r="CA4024">
        <v>1600</v>
      </c>
      <c r="CB4024">
        <v>224</v>
      </c>
      <c r="CD4024">
        <v>1</v>
      </c>
      <c r="CE4024">
        <v>0</v>
      </c>
      <c r="CF4024">
        <v>0</v>
      </c>
      <c r="CG4024">
        <v>1</v>
      </c>
      <c r="CH4024">
        <v>0</v>
      </c>
      <c r="CI4024">
        <v>0</v>
      </c>
      <c r="CJ4024">
        <v>0</v>
      </c>
      <c r="CK4024">
        <v>2</v>
      </c>
      <c r="CL4024">
        <v>0</v>
      </c>
      <c r="CM4024">
        <v>2</v>
      </c>
      <c r="CN4024">
        <v>0</v>
      </c>
      <c r="CO4024">
        <v>6</v>
      </c>
      <c r="CP4024" t="s">
        <v>119</v>
      </c>
      <c r="CQ4024">
        <v>180</v>
      </c>
      <c r="CR4024">
        <v>3</v>
      </c>
      <c r="CW4024">
        <v>1322879</v>
      </c>
      <c r="CY4024">
        <v>0</v>
      </c>
      <c r="CZ4024">
        <v>0</v>
      </c>
      <c r="DA4024">
        <v>1</v>
      </c>
      <c r="DB4024">
        <v>0</v>
      </c>
      <c r="DC4024">
        <v>0</v>
      </c>
      <c r="DD4024">
        <v>0</v>
      </c>
      <c r="DE4024">
        <v>0</v>
      </c>
      <c r="DF4024">
        <v>0</v>
      </c>
      <c r="DG4024">
        <v>0</v>
      </c>
      <c r="DH4024">
        <v>0</v>
      </c>
      <c r="DI4024">
        <v>0</v>
      </c>
    </row>
    <row r="4025" spans="1:113" x14ac:dyDescent="0.3">
      <c r="A4025" t="str">
        <f>"02/08/2021 20:36:42.570"</f>
        <v>02/08/2021 20:36:42.570</v>
      </c>
      <c r="C4025" t="str">
        <f t="shared" si="200"/>
        <v>FFDFD7C0</v>
      </c>
      <c r="D4025" t="s">
        <v>124</v>
      </c>
      <c r="E4025">
        <v>11</v>
      </c>
      <c r="F4025">
        <v>1011</v>
      </c>
      <c r="G4025" t="s">
        <v>590</v>
      </c>
      <c r="J4025" t="s">
        <v>125</v>
      </c>
      <c r="K4025">
        <v>0</v>
      </c>
      <c r="L4025">
        <v>3</v>
      </c>
      <c r="M4025">
        <v>0</v>
      </c>
      <c r="N4025">
        <v>2</v>
      </c>
      <c r="O4025">
        <v>1</v>
      </c>
      <c r="P4025">
        <v>0</v>
      </c>
      <c r="Q4025">
        <v>0</v>
      </c>
      <c r="S4025" t="str">
        <f>"20:36:44.906"</f>
        <v>20:36:44.906</v>
      </c>
      <c r="T4025" t="str">
        <f>"20:36:44.506"</f>
        <v>20:36:44.506</v>
      </c>
      <c r="U4025" t="str">
        <f t="shared" si="199"/>
        <v>AB01F4</v>
      </c>
      <c r="V4025">
        <v>0</v>
      </c>
      <c r="W4025">
        <v>0</v>
      </c>
      <c r="X4025">
        <v>2</v>
      </c>
      <c r="Z4025">
        <v>0</v>
      </c>
      <c r="AA4025">
        <v>9</v>
      </c>
      <c r="AB4025">
        <v>3</v>
      </c>
      <c r="AC4025">
        <v>0</v>
      </c>
      <c r="AD4025">
        <v>10</v>
      </c>
      <c r="AE4025">
        <v>0</v>
      </c>
      <c r="AF4025">
        <v>3</v>
      </c>
      <c r="AG4025">
        <v>2</v>
      </c>
      <c r="AH4025">
        <v>0</v>
      </c>
      <c r="AI4025" t="s">
        <v>2261</v>
      </c>
      <c r="AJ4025">
        <v>40.144086000000001</v>
      </c>
      <c r="AK4025" t="s">
        <v>2262</v>
      </c>
      <c r="AL4025">
        <v>-93.107758000000004</v>
      </c>
      <c r="AM4025">
        <v>100</v>
      </c>
      <c r="AN4025">
        <v>1300</v>
      </c>
      <c r="AO4025" t="s">
        <v>118</v>
      </c>
      <c r="AP4025">
        <v>-113</v>
      </c>
      <c r="AQ4025">
        <v>61</v>
      </c>
      <c r="AR4025">
        <v>-64</v>
      </c>
      <c r="AZ4025">
        <v>1200</v>
      </c>
      <c r="BA4025">
        <v>1</v>
      </c>
      <c r="BB4025" t="str">
        <f t="shared" si="201"/>
        <v xml:space="preserve">N8080G  </v>
      </c>
      <c r="BC4025">
        <v>1</v>
      </c>
      <c r="BE4025">
        <v>0</v>
      </c>
      <c r="BF4025">
        <v>0</v>
      </c>
      <c r="BG4025">
        <v>0</v>
      </c>
      <c r="BH4025">
        <v>1350</v>
      </c>
      <c r="BI4025">
        <v>1</v>
      </c>
      <c r="BJ4025">
        <v>1</v>
      </c>
      <c r="BK4025">
        <v>1</v>
      </c>
      <c r="BL4025">
        <v>0</v>
      </c>
      <c r="BO4025">
        <v>0</v>
      </c>
      <c r="BP4025">
        <v>0</v>
      </c>
      <c r="BW4025" t="str">
        <f>"20:36:44.908"</f>
        <v>20:36:44.908</v>
      </c>
      <c r="BZ4025">
        <v>0</v>
      </c>
      <c r="CA4025">
        <v>1600</v>
      </c>
      <c r="CB4025">
        <v>224</v>
      </c>
      <c r="CD4025">
        <v>1</v>
      </c>
      <c r="CE4025">
        <v>0</v>
      </c>
      <c r="CF4025">
        <v>0</v>
      </c>
      <c r="CG4025">
        <v>1</v>
      </c>
      <c r="CH4025">
        <v>0</v>
      </c>
      <c r="CI4025">
        <v>0</v>
      </c>
      <c r="CJ4025">
        <v>0</v>
      </c>
      <c r="CK4025">
        <v>2</v>
      </c>
      <c r="CL4025">
        <v>0</v>
      </c>
      <c r="CM4025">
        <v>2</v>
      </c>
      <c r="CN4025">
        <v>0</v>
      </c>
      <c r="CO4025">
        <v>6</v>
      </c>
      <c r="CP4025" t="s">
        <v>119</v>
      </c>
      <c r="CQ4025">
        <v>180</v>
      </c>
      <c r="CR4025">
        <v>3</v>
      </c>
      <c r="CW4025">
        <v>1322879</v>
      </c>
      <c r="CY4025">
        <v>0</v>
      </c>
      <c r="CZ4025">
        <v>0</v>
      </c>
      <c r="DA4025">
        <v>1</v>
      </c>
      <c r="DB4025">
        <v>0</v>
      </c>
      <c r="DC4025">
        <v>0</v>
      </c>
      <c r="DD4025">
        <v>0</v>
      </c>
      <c r="DE4025">
        <v>0</v>
      </c>
      <c r="DF4025">
        <v>0</v>
      </c>
      <c r="DG4025">
        <v>0</v>
      </c>
      <c r="DH4025">
        <v>0</v>
      </c>
      <c r="DI4025">
        <v>0</v>
      </c>
    </row>
    <row r="4026" spans="1:113" x14ac:dyDescent="0.3">
      <c r="A4026" t="str">
        <f>"02/08/2021 20:36:42.570"</f>
        <v>02/08/2021 20:36:42.570</v>
      </c>
      <c r="C4026" t="str">
        <f t="shared" si="200"/>
        <v>FFDFD7C0</v>
      </c>
      <c r="D4026" t="s">
        <v>124</v>
      </c>
      <c r="E4026">
        <v>12</v>
      </c>
      <c r="F4026">
        <v>1012</v>
      </c>
      <c r="G4026" t="s">
        <v>675</v>
      </c>
      <c r="J4026" t="s">
        <v>125</v>
      </c>
      <c r="K4026">
        <v>0</v>
      </c>
      <c r="L4026">
        <v>3</v>
      </c>
      <c r="M4026">
        <v>0</v>
      </c>
      <c r="N4026">
        <v>2</v>
      </c>
      <c r="O4026">
        <v>1</v>
      </c>
      <c r="P4026">
        <v>0</v>
      </c>
      <c r="Q4026">
        <v>0</v>
      </c>
      <c r="S4026" t="str">
        <f>"20:36:44.906"</f>
        <v>20:36:44.906</v>
      </c>
      <c r="T4026" t="str">
        <f>"20:36:44.506"</f>
        <v>20:36:44.506</v>
      </c>
      <c r="U4026" t="str">
        <f t="shared" si="199"/>
        <v>AB01F4</v>
      </c>
      <c r="V4026">
        <v>0</v>
      </c>
      <c r="W4026">
        <v>0</v>
      </c>
      <c r="X4026">
        <v>2</v>
      </c>
      <c r="Z4026">
        <v>0</v>
      </c>
      <c r="AA4026">
        <v>9</v>
      </c>
      <c r="AB4026">
        <v>3</v>
      </c>
      <c r="AC4026">
        <v>0</v>
      </c>
      <c r="AD4026">
        <v>10</v>
      </c>
      <c r="AE4026">
        <v>0</v>
      </c>
      <c r="AF4026">
        <v>3</v>
      </c>
      <c r="AG4026">
        <v>2</v>
      </c>
      <c r="AH4026">
        <v>0</v>
      </c>
      <c r="AI4026" t="s">
        <v>2261</v>
      </c>
      <c r="AJ4026">
        <v>40.144086000000001</v>
      </c>
      <c r="AK4026" t="s">
        <v>2262</v>
      </c>
      <c r="AL4026">
        <v>-93.107758000000004</v>
      </c>
      <c r="AM4026">
        <v>100</v>
      </c>
      <c r="AN4026">
        <v>1300</v>
      </c>
      <c r="AO4026" t="s">
        <v>118</v>
      </c>
      <c r="AP4026">
        <v>-113</v>
      </c>
      <c r="AQ4026">
        <v>61</v>
      </c>
      <c r="AR4026">
        <v>-64</v>
      </c>
      <c r="AZ4026">
        <v>1200</v>
      </c>
      <c r="BA4026">
        <v>1</v>
      </c>
      <c r="BB4026" t="str">
        <f t="shared" si="201"/>
        <v xml:space="preserve">N8080G  </v>
      </c>
      <c r="BC4026">
        <v>1</v>
      </c>
      <c r="BE4026">
        <v>0</v>
      </c>
      <c r="BF4026">
        <v>0</v>
      </c>
      <c r="BG4026">
        <v>0</v>
      </c>
      <c r="BH4026">
        <v>1350</v>
      </c>
      <c r="BI4026">
        <v>1</v>
      </c>
      <c r="BJ4026">
        <v>1</v>
      </c>
      <c r="BK4026">
        <v>1</v>
      </c>
      <c r="BL4026">
        <v>0</v>
      </c>
      <c r="BO4026">
        <v>0</v>
      </c>
      <c r="BP4026">
        <v>0</v>
      </c>
      <c r="BW4026" t="str">
        <f>"20:36:44.908"</f>
        <v>20:36:44.908</v>
      </c>
      <c r="BZ4026">
        <v>0</v>
      </c>
      <c r="CA4026">
        <v>1600</v>
      </c>
      <c r="CB4026">
        <v>224</v>
      </c>
      <c r="CD4026">
        <v>1</v>
      </c>
      <c r="CE4026">
        <v>0</v>
      </c>
      <c r="CF4026">
        <v>0</v>
      </c>
      <c r="CG4026">
        <v>1</v>
      </c>
      <c r="CH4026">
        <v>0</v>
      </c>
      <c r="CI4026">
        <v>0</v>
      </c>
      <c r="CJ4026">
        <v>0</v>
      </c>
      <c r="CK4026">
        <v>2</v>
      </c>
      <c r="CL4026">
        <v>0</v>
      </c>
      <c r="CM4026">
        <v>2</v>
      </c>
      <c r="CN4026">
        <v>0</v>
      </c>
      <c r="CO4026">
        <v>6</v>
      </c>
      <c r="CP4026" t="s">
        <v>119</v>
      </c>
      <c r="CQ4026">
        <v>180</v>
      </c>
      <c r="CR4026">
        <v>3</v>
      </c>
      <c r="CW4026">
        <v>1322879</v>
      </c>
      <c r="CY4026">
        <v>0</v>
      </c>
      <c r="CZ4026">
        <v>0</v>
      </c>
      <c r="DA4026">
        <v>1</v>
      </c>
      <c r="DB4026">
        <v>0</v>
      </c>
      <c r="DC4026">
        <v>0</v>
      </c>
      <c r="DD4026">
        <v>0</v>
      </c>
      <c r="DE4026">
        <v>0</v>
      </c>
      <c r="DF4026">
        <v>0</v>
      </c>
      <c r="DG4026">
        <v>0</v>
      </c>
      <c r="DH4026">
        <v>0</v>
      </c>
      <c r="DI4026">
        <v>0</v>
      </c>
    </row>
    <row r="4027" spans="1:113" x14ac:dyDescent="0.3">
      <c r="A4027" t="str">
        <f>"02/08/2021 20:36:43.679"</f>
        <v>02/08/2021 20:36:43.679</v>
      </c>
      <c r="C4027" t="str">
        <f t="shared" si="200"/>
        <v>FFDFD7C0</v>
      </c>
      <c r="D4027" t="s">
        <v>124</v>
      </c>
      <c r="E4027">
        <v>13</v>
      </c>
      <c r="F4027">
        <v>1013</v>
      </c>
      <c r="G4027" t="s">
        <v>114</v>
      </c>
      <c r="J4027" t="s">
        <v>125</v>
      </c>
      <c r="K4027">
        <v>0</v>
      </c>
      <c r="L4027">
        <v>3</v>
      </c>
      <c r="M4027">
        <v>0</v>
      </c>
      <c r="N4027">
        <v>2</v>
      </c>
      <c r="O4027">
        <v>1</v>
      </c>
      <c r="P4027">
        <v>0</v>
      </c>
      <c r="Q4027">
        <v>0</v>
      </c>
      <c r="S4027" t="str">
        <f>"20:36:46.008"</f>
        <v>20:36:46.008</v>
      </c>
      <c r="T4027" t="str">
        <f>"20:36:45.508"</f>
        <v>20:36:45.508</v>
      </c>
      <c r="U4027" t="str">
        <f t="shared" si="199"/>
        <v>AB01F4</v>
      </c>
      <c r="V4027">
        <v>0</v>
      </c>
      <c r="W4027">
        <v>0</v>
      </c>
      <c r="X4027">
        <v>2</v>
      </c>
      <c r="Z4027">
        <v>0</v>
      </c>
      <c r="AA4027">
        <v>9</v>
      </c>
      <c r="AB4027">
        <v>3</v>
      </c>
      <c r="AC4027">
        <v>0</v>
      </c>
      <c r="AD4027">
        <v>10</v>
      </c>
      <c r="AE4027">
        <v>0</v>
      </c>
      <c r="AF4027">
        <v>3</v>
      </c>
      <c r="AG4027">
        <v>2</v>
      </c>
      <c r="AH4027">
        <v>0</v>
      </c>
      <c r="AI4027" t="s">
        <v>2263</v>
      </c>
      <c r="AJ4027">
        <v>40.144407999999999</v>
      </c>
      <c r="AK4027" t="s">
        <v>2264</v>
      </c>
      <c r="AL4027">
        <v>-93.108530000000002</v>
      </c>
      <c r="AM4027">
        <v>100</v>
      </c>
      <c r="AN4027">
        <v>1300</v>
      </c>
      <c r="AO4027" t="s">
        <v>118</v>
      </c>
      <c r="AP4027">
        <v>-114</v>
      </c>
      <c r="AQ4027">
        <v>60</v>
      </c>
      <c r="AR4027">
        <v>-192</v>
      </c>
      <c r="AZ4027">
        <v>1200</v>
      </c>
      <c r="BA4027">
        <v>1</v>
      </c>
      <c r="BB4027" t="str">
        <f t="shared" si="201"/>
        <v xml:space="preserve">N8080G  </v>
      </c>
      <c r="BC4027">
        <v>1</v>
      </c>
      <c r="BE4027">
        <v>0</v>
      </c>
      <c r="BF4027">
        <v>0</v>
      </c>
      <c r="BG4027">
        <v>0</v>
      </c>
      <c r="BH4027">
        <v>1350</v>
      </c>
      <c r="BI4027">
        <v>1</v>
      </c>
      <c r="BJ4027">
        <v>1</v>
      </c>
      <c r="BK4027">
        <v>1</v>
      </c>
      <c r="BL4027">
        <v>0</v>
      </c>
      <c r="BO4027">
        <v>0</v>
      </c>
      <c r="BP4027">
        <v>0</v>
      </c>
      <c r="BW4027" t="str">
        <f>"20:36:46.014"</f>
        <v>20:36:46.014</v>
      </c>
      <c r="BZ4027">
        <v>0</v>
      </c>
      <c r="CA4027">
        <v>1600</v>
      </c>
      <c r="CB4027">
        <v>224</v>
      </c>
      <c r="CD4027">
        <v>1</v>
      </c>
      <c r="CE4027">
        <v>0</v>
      </c>
      <c r="CF4027">
        <v>0</v>
      </c>
      <c r="CG4027">
        <v>1</v>
      </c>
      <c r="CH4027">
        <v>0</v>
      </c>
      <c r="CI4027">
        <v>0</v>
      </c>
      <c r="CJ4027">
        <v>0</v>
      </c>
      <c r="CK4027">
        <v>2</v>
      </c>
      <c r="CL4027">
        <v>0</v>
      </c>
      <c r="CM4027">
        <v>2</v>
      </c>
      <c r="CN4027">
        <v>0</v>
      </c>
      <c r="CO4027">
        <v>6</v>
      </c>
      <c r="CP4027" t="s">
        <v>119</v>
      </c>
      <c r="CQ4027">
        <v>180</v>
      </c>
      <c r="CR4027">
        <v>3</v>
      </c>
      <c r="CW4027">
        <v>1323713</v>
      </c>
      <c r="CY4027">
        <v>0</v>
      </c>
      <c r="CZ4027">
        <v>0</v>
      </c>
      <c r="DA4027">
        <v>0</v>
      </c>
      <c r="DB4027">
        <v>0</v>
      </c>
      <c r="DC4027">
        <v>0</v>
      </c>
      <c r="DD4027">
        <v>0</v>
      </c>
      <c r="DE4027">
        <v>0</v>
      </c>
      <c r="DF4027">
        <v>0</v>
      </c>
      <c r="DG4027">
        <v>0</v>
      </c>
      <c r="DH4027">
        <v>0</v>
      </c>
      <c r="DI4027">
        <v>0</v>
      </c>
    </row>
    <row r="4028" spans="1:113" x14ac:dyDescent="0.3">
      <c r="A4028" t="str">
        <f>"02/08/2021 20:36:43.679"</f>
        <v>02/08/2021 20:36:43.679</v>
      </c>
      <c r="C4028" t="str">
        <f t="shared" si="200"/>
        <v>FFDFD7C0</v>
      </c>
      <c r="D4028" t="s">
        <v>113</v>
      </c>
      <c r="E4028">
        <v>6</v>
      </c>
      <c r="H4028">
        <v>165</v>
      </c>
      <c r="I4028" t="s">
        <v>114</v>
      </c>
      <c r="J4028" t="s">
        <v>115</v>
      </c>
      <c r="K4028">
        <v>0</v>
      </c>
      <c r="L4028">
        <v>3</v>
      </c>
      <c r="M4028">
        <v>0</v>
      </c>
      <c r="N4028">
        <v>2</v>
      </c>
      <c r="O4028">
        <v>1</v>
      </c>
      <c r="P4028">
        <v>0</v>
      </c>
      <c r="Q4028">
        <v>0</v>
      </c>
      <c r="S4028" t="str">
        <f>"20:36:46.008"</f>
        <v>20:36:46.008</v>
      </c>
      <c r="T4028" t="str">
        <f>"20:36:45.508"</f>
        <v>20:36:45.508</v>
      </c>
      <c r="U4028" t="str">
        <f t="shared" si="199"/>
        <v>AB01F4</v>
      </c>
      <c r="V4028">
        <v>0</v>
      </c>
      <c r="W4028">
        <v>0</v>
      </c>
      <c r="X4028">
        <v>2</v>
      </c>
      <c r="Z4028">
        <v>0</v>
      </c>
      <c r="AA4028">
        <v>9</v>
      </c>
      <c r="AB4028">
        <v>3</v>
      </c>
      <c r="AC4028">
        <v>0</v>
      </c>
      <c r="AD4028">
        <v>10</v>
      </c>
      <c r="AE4028">
        <v>0</v>
      </c>
      <c r="AF4028">
        <v>3</v>
      </c>
      <c r="AG4028">
        <v>2</v>
      </c>
      <c r="AH4028">
        <v>0</v>
      </c>
      <c r="AI4028" t="s">
        <v>2263</v>
      </c>
      <c r="AJ4028">
        <v>40.144407999999999</v>
      </c>
      <c r="AK4028" t="s">
        <v>2264</v>
      </c>
      <c r="AL4028">
        <v>-93.108530000000002</v>
      </c>
      <c r="AM4028">
        <v>100</v>
      </c>
      <c r="AN4028">
        <v>1300</v>
      </c>
      <c r="AO4028" t="s">
        <v>118</v>
      </c>
      <c r="AP4028">
        <v>-114</v>
      </c>
      <c r="AQ4028">
        <v>60</v>
      </c>
      <c r="AR4028">
        <v>-192</v>
      </c>
      <c r="AZ4028">
        <v>1200</v>
      </c>
      <c r="BA4028">
        <v>1</v>
      </c>
      <c r="BB4028" t="str">
        <f t="shared" si="201"/>
        <v xml:space="preserve">N8080G  </v>
      </c>
      <c r="BC4028">
        <v>1</v>
      </c>
      <c r="BE4028">
        <v>0</v>
      </c>
      <c r="BF4028">
        <v>0</v>
      </c>
      <c r="BG4028">
        <v>0</v>
      </c>
      <c r="BH4028">
        <v>1350</v>
      </c>
      <c r="BI4028">
        <v>1</v>
      </c>
      <c r="BJ4028">
        <v>1</v>
      </c>
      <c r="BK4028">
        <v>1</v>
      </c>
      <c r="BL4028">
        <v>0</v>
      </c>
      <c r="BO4028">
        <v>0</v>
      </c>
      <c r="BP4028">
        <v>0</v>
      </c>
      <c r="BW4028" t="str">
        <f>"20:36:46.014"</f>
        <v>20:36:46.014</v>
      </c>
      <c r="BZ4028">
        <v>0</v>
      </c>
      <c r="CA4028">
        <v>1600</v>
      </c>
      <c r="CB4028">
        <v>224</v>
      </c>
      <c r="CD4028">
        <v>1</v>
      </c>
      <c r="CE4028">
        <v>0</v>
      </c>
      <c r="CF4028">
        <v>0</v>
      </c>
      <c r="CG4028">
        <v>1</v>
      </c>
      <c r="CH4028">
        <v>0</v>
      </c>
      <c r="CI4028">
        <v>0</v>
      </c>
      <c r="CJ4028">
        <v>0</v>
      </c>
      <c r="CK4028">
        <v>2</v>
      </c>
      <c r="CL4028">
        <v>0</v>
      </c>
      <c r="CM4028">
        <v>2</v>
      </c>
      <c r="CN4028">
        <v>0</v>
      </c>
      <c r="CO4028">
        <v>6</v>
      </c>
      <c r="CP4028" t="s">
        <v>119</v>
      </c>
      <c r="CQ4028">
        <v>180</v>
      </c>
      <c r="CR4028">
        <v>3</v>
      </c>
      <c r="CW4028">
        <v>1323713</v>
      </c>
      <c r="CY4028">
        <v>0</v>
      </c>
      <c r="CZ4028">
        <v>0</v>
      </c>
      <c r="DA4028">
        <v>1</v>
      </c>
      <c r="DB4028">
        <v>0</v>
      </c>
      <c r="DC4028">
        <v>0</v>
      </c>
      <c r="DD4028">
        <v>0</v>
      </c>
      <c r="DE4028">
        <v>0</v>
      </c>
      <c r="DF4028">
        <v>0</v>
      </c>
      <c r="DG4028">
        <v>0</v>
      </c>
      <c r="DH4028">
        <v>0</v>
      </c>
      <c r="DI4028">
        <v>0</v>
      </c>
    </row>
    <row r="4029" spans="1:113" x14ac:dyDescent="0.3">
      <c r="A4029" t="str">
        <f>"02/08/2021 20:36:43.679"</f>
        <v>02/08/2021 20:36:43.679</v>
      </c>
      <c r="C4029" t="str">
        <f t="shared" si="200"/>
        <v>FFDFD7C0</v>
      </c>
      <c r="D4029" t="s">
        <v>124</v>
      </c>
      <c r="E4029">
        <v>11</v>
      </c>
      <c r="F4029">
        <v>1011</v>
      </c>
      <c r="G4029" t="s">
        <v>590</v>
      </c>
      <c r="J4029" t="s">
        <v>125</v>
      </c>
      <c r="K4029">
        <v>0</v>
      </c>
      <c r="L4029">
        <v>3</v>
      </c>
      <c r="M4029">
        <v>0</v>
      </c>
      <c r="N4029">
        <v>2</v>
      </c>
      <c r="O4029">
        <v>1</v>
      </c>
      <c r="P4029">
        <v>0</v>
      </c>
      <c r="Q4029">
        <v>0</v>
      </c>
      <c r="S4029" t="str">
        <f>"20:36:46.008"</f>
        <v>20:36:46.008</v>
      </c>
      <c r="T4029" t="str">
        <f>"20:36:45.508"</f>
        <v>20:36:45.508</v>
      </c>
      <c r="U4029" t="str">
        <f t="shared" si="199"/>
        <v>AB01F4</v>
      </c>
      <c r="V4029">
        <v>0</v>
      </c>
      <c r="W4029">
        <v>0</v>
      </c>
      <c r="X4029">
        <v>2</v>
      </c>
      <c r="Z4029">
        <v>0</v>
      </c>
      <c r="AA4029">
        <v>9</v>
      </c>
      <c r="AB4029">
        <v>3</v>
      </c>
      <c r="AC4029">
        <v>0</v>
      </c>
      <c r="AD4029">
        <v>10</v>
      </c>
      <c r="AE4029">
        <v>0</v>
      </c>
      <c r="AF4029">
        <v>3</v>
      </c>
      <c r="AG4029">
        <v>2</v>
      </c>
      <c r="AH4029">
        <v>0</v>
      </c>
      <c r="AI4029" t="s">
        <v>2263</v>
      </c>
      <c r="AJ4029">
        <v>40.144407999999999</v>
      </c>
      <c r="AK4029" t="s">
        <v>2264</v>
      </c>
      <c r="AL4029">
        <v>-93.108530000000002</v>
      </c>
      <c r="AM4029">
        <v>100</v>
      </c>
      <c r="AN4029">
        <v>1300</v>
      </c>
      <c r="AO4029" t="s">
        <v>118</v>
      </c>
      <c r="AP4029">
        <v>-114</v>
      </c>
      <c r="AQ4029">
        <v>60</v>
      </c>
      <c r="AR4029">
        <v>-192</v>
      </c>
      <c r="AZ4029">
        <v>1200</v>
      </c>
      <c r="BA4029">
        <v>1</v>
      </c>
      <c r="BB4029" t="str">
        <f t="shared" si="201"/>
        <v xml:space="preserve">N8080G  </v>
      </c>
      <c r="BC4029">
        <v>1</v>
      </c>
      <c r="BE4029">
        <v>0</v>
      </c>
      <c r="BF4029">
        <v>0</v>
      </c>
      <c r="BG4029">
        <v>0</v>
      </c>
      <c r="BH4029">
        <v>1350</v>
      </c>
      <c r="BI4029">
        <v>1</v>
      </c>
      <c r="BJ4029">
        <v>1</v>
      </c>
      <c r="BK4029">
        <v>1</v>
      </c>
      <c r="BL4029">
        <v>0</v>
      </c>
      <c r="BO4029">
        <v>0</v>
      </c>
      <c r="BP4029">
        <v>0</v>
      </c>
      <c r="BW4029" t="str">
        <f>"20:36:46.014"</f>
        <v>20:36:46.014</v>
      </c>
      <c r="BZ4029">
        <v>0</v>
      </c>
      <c r="CA4029">
        <v>1600</v>
      </c>
      <c r="CB4029">
        <v>224</v>
      </c>
      <c r="CD4029">
        <v>1</v>
      </c>
      <c r="CE4029">
        <v>0</v>
      </c>
      <c r="CF4029">
        <v>0</v>
      </c>
      <c r="CG4029">
        <v>1</v>
      </c>
      <c r="CH4029">
        <v>0</v>
      </c>
      <c r="CI4029">
        <v>0</v>
      </c>
      <c r="CJ4029">
        <v>0</v>
      </c>
      <c r="CK4029">
        <v>2</v>
      </c>
      <c r="CL4029">
        <v>0</v>
      </c>
      <c r="CM4029">
        <v>2</v>
      </c>
      <c r="CN4029">
        <v>0</v>
      </c>
      <c r="CO4029">
        <v>6</v>
      </c>
      <c r="CP4029" t="s">
        <v>119</v>
      </c>
      <c r="CQ4029">
        <v>180</v>
      </c>
      <c r="CR4029">
        <v>3</v>
      </c>
      <c r="CW4029">
        <v>1323713</v>
      </c>
      <c r="CY4029">
        <v>0</v>
      </c>
      <c r="CZ4029">
        <v>0</v>
      </c>
      <c r="DA4029">
        <v>1</v>
      </c>
      <c r="DB4029">
        <v>0</v>
      </c>
      <c r="DC4029">
        <v>0</v>
      </c>
      <c r="DD4029">
        <v>0</v>
      </c>
      <c r="DE4029">
        <v>0</v>
      </c>
      <c r="DF4029">
        <v>0</v>
      </c>
      <c r="DG4029">
        <v>0</v>
      </c>
      <c r="DH4029">
        <v>0</v>
      </c>
      <c r="DI4029">
        <v>0</v>
      </c>
    </row>
    <row r="4030" spans="1:113" x14ac:dyDescent="0.3">
      <c r="A4030" t="str">
        <f>"02/08/2021 20:36:43.679"</f>
        <v>02/08/2021 20:36:43.679</v>
      </c>
      <c r="C4030" t="str">
        <f t="shared" si="200"/>
        <v>FFDFD7C0</v>
      </c>
      <c r="D4030" t="s">
        <v>124</v>
      </c>
      <c r="E4030">
        <v>12</v>
      </c>
      <c r="F4030">
        <v>1012</v>
      </c>
      <c r="G4030" t="s">
        <v>675</v>
      </c>
      <c r="J4030" t="s">
        <v>125</v>
      </c>
      <c r="K4030">
        <v>0</v>
      </c>
      <c r="L4030">
        <v>3</v>
      </c>
      <c r="M4030">
        <v>0</v>
      </c>
      <c r="N4030">
        <v>2</v>
      </c>
      <c r="O4030">
        <v>1</v>
      </c>
      <c r="P4030">
        <v>0</v>
      </c>
      <c r="Q4030">
        <v>0</v>
      </c>
      <c r="S4030" t="str">
        <f>"20:36:46.008"</f>
        <v>20:36:46.008</v>
      </c>
      <c r="T4030" t="str">
        <f>"20:36:45.508"</f>
        <v>20:36:45.508</v>
      </c>
      <c r="U4030" t="str">
        <f t="shared" si="199"/>
        <v>AB01F4</v>
      </c>
      <c r="V4030">
        <v>0</v>
      </c>
      <c r="W4030">
        <v>0</v>
      </c>
      <c r="X4030">
        <v>2</v>
      </c>
      <c r="Z4030">
        <v>0</v>
      </c>
      <c r="AA4030">
        <v>9</v>
      </c>
      <c r="AB4030">
        <v>3</v>
      </c>
      <c r="AC4030">
        <v>0</v>
      </c>
      <c r="AD4030">
        <v>10</v>
      </c>
      <c r="AE4030">
        <v>0</v>
      </c>
      <c r="AF4030">
        <v>3</v>
      </c>
      <c r="AG4030">
        <v>2</v>
      </c>
      <c r="AH4030">
        <v>0</v>
      </c>
      <c r="AI4030" t="s">
        <v>2263</v>
      </c>
      <c r="AJ4030">
        <v>40.144407999999999</v>
      </c>
      <c r="AK4030" t="s">
        <v>2264</v>
      </c>
      <c r="AL4030">
        <v>-93.108530000000002</v>
      </c>
      <c r="AM4030">
        <v>100</v>
      </c>
      <c r="AN4030">
        <v>1300</v>
      </c>
      <c r="AO4030" t="s">
        <v>118</v>
      </c>
      <c r="AP4030">
        <v>-114</v>
      </c>
      <c r="AQ4030">
        <v>60</v>
      </c>
      <c r="AR4030">
        <v>-192</v>
      </c>
      <c r="AZ4030">
        <v>1200</v>
      </c>
      <c r="BA4030">
        <v>1</v>
      </c>
      <c r="BB4030" t="str">
        <f t="shared" si="201"/>
        <v xml:space="preserve">N8080G  </v>
      </c>
      <c r="BC4030">
        <v>1</v>
      </c>
      <c r="BE4030">
        <v>0</v>
      </c>
      <c r="BF4030">
        <v>0</v>
      </c>
      <c r="BG4030">
        <v>0</v>
      </c>
      <c r="BH4030">
        <v>1350</v>
      </c>
      <c r="BI4030">
        <v>1</v>
      </c>
      <c r="BJ4030">
        <v>1</v>
      </c>
      <c r="BK4030">
        <v>1</v>
      </c>
      <c r="BL4030">
        <v>0</v>
      </c>
      <c r="BO4030">
        <v>0</v>
      </c>
      <c r="BP4030">
        <v>0</v>
      </c>
      <c r="BW4030" t="str">
        <f>"20:36:46.014"</f>
        <v>20:36:46.014</v>
      </c>
      <c r="BZ4030">
        <v>0</v>
      </c>
      <c r="CA4030">
        <v>1600</v>
      </c>
      <c r="CB4030">
        <v>224</v>
      </c>
      <c r="CD4030">
        <v>1</v>
      </c>
      <c r="CE4030">
        <v>0</v>
      </c>
      <c r="CF4030">
        <v>0</v>
      </c>
      <c r="CG4030">
        <v>1</v>
      </c>
      <c r="CH4030">
        <v>0</v>
      </c>
      <c r="CI4030">
        <v>0</v>
      </c>
      <c r="CJ4030">
        <v>0</v>
      </c>
      <c r="CK4030">
        <v>2</v>
      </c>
      <c r="CL4030">
        <v>0</v>
      </c>
      <c r="CM4030">
        <v>2</v>
      </c>
      <c r="CN4030">
        <v>0</v>
      </c>
      <c r="CO4030">
        <v>6</v>
      </c>
      <c r="CP4030" t="s">
        <v>119</v>
      </c>
      <c r="CQ4030">
        <v>180</v>
      </c>
      <c r="CR4030">
        <v>3</v>
      </c>
      <c r="CW4030">
        <v>1323713</v>
      </c>
      <c r="CY4030">
        <v>0</v>
      </c>
      <c r="CZ4030">
        <v>0</v>
      </c>
      <c r="DA4030">
        <v>1</v>
      </c>
      <c r="DB4030">
        <v>0</v>
      </c>
      <c r="DC4030">
        <v>0</v>
      </c>
      <c r="DD4030">
        <v>0</v>
      </c>
      <c r="DE4030">
        <v>0</v>
      </c>
      <c r="DF4030">
        <v>0</v>
      </c>
      <c r="DG4030">
        <v>0</v>
      </c>
      <c r="DH4030">
        <v>0</v>
      </c>
      <c r="DI4030">
        <v>0</v>
      </c>
    </row>
    <row r="4031" spans="1:113" x14ac:dyDescent="0.3">
      <c r="A4031" t="str">
        <f>"02/08/2021 20:36:44.796"</f>
        <v>02/08/2021 20:36:44.796</v>
      </c>
      <c r="C4031" t="str">
        <f t="shared" si="200"/>
        <v>FFDFD7C0</v>
      </c>
      <c r="D4031" t="s">
        <v>113</v>
      </c>
      <c r="E4031">
        <v>6</v>
      </c>
      <c r="H4031">
        <v>165</v>
      </c>
      <c r="I4031" t="s">
        <v>114</v>
      </c>
      <c r="J4031" t="s">
        <v>115</v>
      </c>
      <c r="K4031">
        <v>0</v>
      </c>
      <c r="L4031">
        <v>3</v>
      </c>
      <c r="M4031">
        <v>0</v>
      </c>
      <c r="N4031">
        <v>2</v>
      </c>
      <c r="O4031">
        <v>1</v>
      </c>
      <c r="P4031">
        <v>0</v>
      </c>
      <c r="Q4031">
        <v>0</v>
      </c>
      <c r="S4031" t="str">
        <f>"20:36:47.125"</f>
        <v>20:36:47.125</v>
      </c>
      <c r="T4031" t="str">
        <f>"20:36:46.625"</f>
        <v>20:36:46.625</v>
      </c>
      <c r="U4031" t="str">
        <f t="shared" si="199"/>
        <v>AB01F4</v>
      </c>
      <c r="V4031">
        <v>0</v>
      </c>
      <c r="W4031">
        <v>0</v>
      </c>
      <c r="X4031">
        <v>2</v>
      </c>
      <c r="Z4031">
        <v>0</v>
      </c>
      <c r="AA4031">
        <v>9</v>
      </c>
      <c r="AB4031">
        <v>3</v>
      </c>
      <c r="AC4031">
        <v>0</v>
      </c>
      <c r="AD4031">
        <v>10</v>
      </c>
      <c r="AE4031">
        <v>0</v>
      </c>
      <c r="AF4031">
        <v>3</v>
      </c>
      <c r="AG4031">
        <v>2</v>
      </c>
      <c r="AH4031">
        <v>0</v>
      </c>
      <c r="AI4031" t="s">
        <v>2265</v>
      </c>
      <c r="AJ4031">
        <v>40.144730000000003</v>
      </c>
      <c r="AK4031" t="s">
        <v>2266</v>
      </c>
      <c r="AL4031">
        <v>-93.109367000000006</v>
      </c>
      <c r="AM4031">
        <v>100</v>
      </c>
      <c r="AN4031">
        <v>1300</v>
      </c>
      <c r="AO4031" t="s">
        <v>118</v>
      </c>
      <c r="AP4031">
        <v>-114</v>
      </c>
      <c r="AQ4031">
        <v>60</v>
      </c>
      <c r="AR4031">
        <v>0</v>
      </c>
      <c r="AZ4031">
        <v>1200</v>
      </c>
      <c r="BA4031">
        <v>1</v>
      </c>
      <c r="BB4031" t="str">
        <f t="shared" si="201"/>
        <v xml:space="preserve">N8080G  </v>
      </c>
      <c r="BC4031">
        <v>1</v>
      </c>
      <c r="BE4031">
        <v>0</v>
      </c>
      <c r="BF4031">
        <v>0</v>
      </c>
      <c r="BG4031">
        <v>0</v>
      </c>
      <c r="BH4031">
        <v>1350</v>
      </c>
      <c r="BI4031">
        <v>1</v>
      </c>
      <c r="BJ4031">
        <v>1</v>
      </c>
      <c r="BK4031">
        <v>1</v>
      </c>
      <c r="BL4031">
        <v>0</v>
      </c>
      <c r="BO4031">
        <v>0</v>
      </c>
      <c r="BP4031">
        <v>0</v>
      </c>
      <c r="BW4031" t="str">
        <f>"20:36:47.131"</f>
        <v>20:36:47.131</v>
      </c>
      <c r="BZ4031">
        <v>0</v>
      </c>
      <c r="CA4031">
        <v>1600</v>
      </c>
      <c r="CB4031">
        <v>224</v>
      </c>
      <c r="CD4031">
        <v>1</v>
      </c>
      <c r="CE4031">
        <v>0</v>
      </c>
      <c r="CF4031">
        <v>0</v>
      </c>
      <c r="CG4031">
        <v>1</v>
      </c>
      <c r="CH4031">
        <v>0</v>
      </c>
      <c r="CI4031">
        <v>0</v>
      </c>
      <c r="CJ4031">
        <v>0</v>
      </c>
      <c r="CK4031">
        <v>2</v>
      </c>
      <c r="CL4031">
        <v>0</v>
      </c>
      <c r="CM4031">
        <v>2</v>
      </c>
      <c r="CN4031">
        <v>0</v>
      </c>
      <c r="CO4031">
        <v>6</v>
      </c>
      <c r="CP4031" t="s">
        <v>119</v>
      </c>
      <c r="CQ4031">
        <v>180</v>
      </c>
      <c r="CR4031">
        <v>3</v>
      </c>
      <c r="CW4031">
        <v>1324616</v>
      </c>
      <c r="CY4031">
        <v>0</v>
      </c>
      <c r="CZ4031">
        <v>0</v>
      </c>
      <c r="DA4031">
        <v>0</v>
      </c>
      <c r="DB4031">
        <v>0</v>
      </c>
      <c r="DC4031">
        <v>0</v>
      </c>
      <c r="DD4031">
        <v>0</v>
      </c>
      <c r="DE4031">
        <v>0</v>
      </c>
      <c r="DF4031">
        <v>0</v>
      </c>
      <c r="DG4031">
        <v>0</v>
      </c>
      <c r="DH4031">
        <v>0</v>
      </c>
      <c r="DI4031">
        <v>0</v>
      </c>
    </row>
    <row r="4032" spans="1:113" x14ac:dyDescent="0.3">
      <c r="A4032" t="str">
        <f>"02/08/2021 20:36:44.796"</f>
        <v>02/08/2021 20:36:44.796</v>
      </c>
      <c r="C4032" t="str">
        <f t="shared" si="200"/>
        <v>FFDFD7C0</v>
      </c>
      <c r="D4032" t="s">
        <v>124</v>
      </c>
      <c r="E4032">
        <v>11</v>
      </c>
      <c r="F4032">
        <v>1011</v>
      </c>
      <c r="G4032" t="s">
        <v>590</v>
      </c>
      <c r="J4032" t="s">
        <v>125</v>
      </c>
      <c r="K4032">
        <v>0</v>
      </c>
      <c r="L4032">
        <v>3</v>
      </c>
      <c r="M4032">
        <v>0</v>
      </c>
      <c r="N4032">
        <v>2</v>
      </c>
      <c r="O4032">
        <v>1</v>
      </c>
      <c r="P4032">
        <v>0</v>
      </c>
      <c r="Q4032">
        <v>0</v>
      </c>
      <c r="S4032" t="str">
        <f>"20:36:47.125"</f>
        <v>20:36:47.125</v>
      </c>
      <c r="T4032" t="str">
        <f>"20:36:46.625"</f>
        <v>20:36:46.625</v>
      </c>
      <c r="U4032" t="str">
        <f t="shared" si="199"/>
        <v>AB01F4</v>
      </c>
      <c r="V4032">
        <v>0</v>
      </c>
      <c r="W4032">
        <v>0</v>
      </c>
      <c r="X4032">
        <v>2</v>
      </c>
      <c r="Z4032">
        <v>0</v>
      </c>
      <c r="AA4032">
        <v>9</v>
      </c>
      <c r="AB4032">
        <v>3</v>
      </c>
      <c r="AC4032">
        <v>0</v>
      </c>
      <c r="AD4032">
        <v>10</v>
      </c>
      <c r="AE4032">
        <v>0</v>
      </c>
      <c r="AF4032">
        <v>3</v>
      </c>
      <c r="AG4032">
        <v>2</v>
      </c>
      <c r="AH4032">
        <v>0</v>
      </c>
      <c r="AI4032" t="s">
        <v>2265</v>
      </c>
      <c r="AJ4032">
        <v>40.144730000000003</v>
      </c>
      <c r="AK4032" t="s">
        <v>2266</v>
      </c>
      <c r="AL4032">
        <v>-93.109367000000006</v>
      </c>
      <c r="AM4032">
        <v>100</v>
      </c>
      <c r="AN4032">
        <v>1300</v>
      </c>
      <c r="AO4032" t="s">
        <v>118</v>
      </c>
      <c r="AP4032">
        <v>-114</v>
      </c>
      <c r="AQ4032">
        <v>60</v>
      </c>
      <c r="AR4032">
        <v>0</v>
      </c>
      <c r="AZ4032">
        <v>1200</v>
      </c>
      <c r="BA4032">
        <v>1</v>
      </c>
      <c r="BB4032" t="str">
        <f t="shared" si="201"/>
        <v xml:space="preserve">N8080G  </v>
      </c>
      <c r="BC4032">
        <v>1</v>
      </c>
      <c r="BE4032">
        <v>0</v>
      </c>
      <c r="BF4032">
        <v>0</v>
      </c>
      <c r="BG4032">
        <v>0</v>
      </c>
      <c r="BH4032">
        <v>1350</v>
      </c>
      <c r="BI4032">
        <v>1</v>
      </c>
      <c r="BJ4032">
        <v>1</v>
      </c>
      <c r="BK4032">
        <v>1</v>
      </c>
      <c r="BL4032">
        <v>0</v>
      </c>
      <c r="BO4032">
        <v>0</v>
      </c>
      <c r="BP4032">
        <v>0</v>
      </c>
      <c r="BW4032" t="str">
        <f>"20:36:47.131"</f>
        <v>20:36:47.131</v>
      </c>
      <c r="BZ4032">
        <v>0</v>
      </c>
      <c r="CA4032">
        <v>1600</v>
      </c>
      <c r="CB4032">
        <v>224</v>
      </c>
      <c r="CD4032">
        <v>1</v>
      </c>
      <c r="CE4032">
        <v>0</v>
      </c>
      <c r="CF4032">
        <v>0</v>
      </c>
      <c r="CG4032">
        <v>1</v>
      </c>
      <c r="CH4032">
        <v>0</v>
      </c>
      <c r="CI4032">
        <v>0</v>
      </c>
      <c r="CJ4032">
        <v>0</v>
      </c>
      <c r="CK4032">
        <v>2</v>
      </c>
      <c r="CL4032">
        <v>0</v>
      </c>
      <c r="CM4032">
        <v>2</v>
      </c>
      <c r="CN4032">
        <v>0</v>
      </c>
      <c r="CO4032">
        <v>6</v>
      </c>
      <c r="CP4032" t="s">
        <v>119</v>
      </c>
      <c r="CQ4032">
        <v>180</v>
      </c>
      <c r="CR4032">
        <v>3</v>
      </c>
      <c r="CW4032">
        <v>1324616</v>
      </c>
      <c r="CY4032">
        <v>0</v>
      </c>
      <c r="CZ4032">
        <v>0</v>
      </c>
      <c r="DA4032">
        <v>1</v>
      </c>
      <c r="DB4032">
        <v>0</v>
      </c>
      <c r="DC4032">
        <v>0</v>
      </c>
      <c r="DD4032">
        <v>0</v>
      </c>
      <c r="DE4032">
        <v>0</v>
      </c>
      <c r="DF4032">
        <v>0</v>
      </c>
      <c r="DG4032">
        <v>0</v>
      </c>
      <c r="DH4032">
        <v>0</v>
      </c>
      <c r="DI4032">
        <v>0</v>
      </c>
    </row>
    <row r="4033" spans="1:113" x14ac:dyDescent="0.3">
      <c r="A4033" t="str">
        <f>"02/08/2021 20:36:44.796"</f>
        <v>02/08/2021 20:36:44.796</v>
      </c>
      <c r="C4033" t="str">
        <f t="shared" si="200"/>
        <v>FFDFD7C0</v>
      </c>
      <c r="D4033" t="s">
        <v>124</v>
      </c>
      <c r="E4033">
        <v>12</v>
      </c>
      <c r="F4033">
        <v>1012</v>
      </c>
      <c r="G4033" t="s">
        <v>675</v>
      </c>
      <c r="J4033" t="s">
        <v>125</v>
      </c>
      <c r="K4033">
        <v>0</v>
      </c>
      <c r="L4033">
        <v>3</v>
      </c>
      <c r="M4033">
        <v>0</v>
      </c>
      <c r="N4033">
        <v>2</v>
      </c>
      <c r="O4033">
        <v>1</v>
      </c>
      <c r="P4033">
        <v>0</v>
      </c>
      <c r="Q4033">
        <v>0</v>
      </c>
      <c r="S4033" t="str">
        <f>"20:36:47.125"</f>
        <v>20:36:47.125</v>
      </c>
      <c r="T4033" t="str">
        <f>"20:36:46.625"</f>
        <v>20:36:46.625</v>
      </c>
      <c r="U4033" t="str">
        <f t="shared" si="199"/>
        <v>AB01F4</v>
      </c>
      <c r="V4033">
        <v>0</v>
      </c>
      <c r="W4033">
        <v>0</v>
      </c>
      <c r="X4033">
        <v>2</v>
      </c>
      <c r="Z4033">
        <v>0</v>
      </c>
      <c r="AA4033">
        <v>9</v>
      </c>
      <c r="AB4033">
        <v>3</v>
      </c>
      <c r="AC4033">
        <v>0</v>
      </c>
      <c r="AD4033">
        <v>10</v>
      </c>
      <c r="AE4033">
        <v>0</v>
      </c>
      <c r="AF4033">
        <v>3</v>
      </c>
      <c r="AG4033">
        <v>2</v>
      </c>
      <c r="AH4033">
        <v>0</v>
      </c>
      <c r="AI4033" t="s">
        <v>2265</v>
      </c>
      <c r="AJ4033">
        <v>40.144730000000003</v>
      </c>
      <c r="AK4033" t="s">
        <v>2266</v>
      </c>
      <c r="AL4033">
        <v>-93.109367000000006</v>
      </c>
      <c r="AM4033">
        <v>100</v>
      </c>
      <c r="AN4033">
        <v>1300</v>
      </c>
      <c r="AO4033" t="s">
        <v>118</v>
      </c>
      <c r="AP4033">
        <v>-114</v>
      </c>
      <c r="AQ4033">
        <v>60</v>
      </c>
      <c r="AR4033">
        <v>0</v>
      </c>
      <c r="AZ4033">
        <v>1200</v>
      </c>
      <c r="BA4033">
        <v>1</v>
      </c>
      <c r="BB4033" t="str">
        <f t="shared" si="201"/>
        <v xml:space="preserve">N8080G  </v>
      </c>
      <c r="BC4033">
        <v>1</v>
      </c>
      <c r="BE4033">
        <v>0</v>
      </c>
      <c r="BF4033">
        <v>0</v>
      </c>
      <c r="BG4033">
        <v>0</v>
      </c>
      <c r="BH4033">
        <v>1350</v>
      </c>
      <c r="BI4033">
        <v>1</v>
      </c>
      <c r="BJ4033">
        <v>1</v>
      </c>
      <c r="BK4033">
        <v>1</v>
      </c>
      <c r="BL4033">
        <v>0</v>
      </c>
      <c r="BO4033">
        <v>0</v>
      </c>
      <c r="BP4033">
        <v>0</v>
      </c>
      <c r="BW4033" t="str">
        <f>"20:36:47.131"</f>
        <v>20:36:47.131</v>
      </c>
      <c r="BZ4033">
        <v>0</v>
      </c>
      <c r="CA4033">
        <v>1600</v>
      </c>
      <c r="CB4033">
        <v>224</v>
      </c>
      <c r="CD4033">
        <v>1</v>
      </c>
      <c r="CE4033">
        <v>0</v>
      </c>
      <c r="CF4033">
        <v>0</v>
      </c>
      <c r="CG4033">
        <v>1</v>
      </c>
      <c r="CH4033">
        <v>0</v>
      </c>
      <c r="CI4033">
        <v>0</v>
      </c>
      <c r="CJ4033">
        <v>0</v>
      </c>
      <c r="CK4033">
        <v>2</v>
      </c>
      <c r="CL4033">
        <v>0</v>
      </c>
      <c r="CM4033">
        <v>2</v>
      </c>
      <c r="CN4033">
        <v>0</v>
      </c>
      <c r="CO4033">
        <v>6</v>
      </c>
      <c r="CP4033" t="s">
        <v>119</v>
      </c>
      <c r="CQ4033">
        <v>180</v>
      </c>
      <c r="CR4033">
        <v>3</v>
      </c>
      <c r="CW4033">
        <v>1324616</v>
      </c>
      <c r="CY4033">
        <v>0</v>
      </c>
      <c r="CZ4033">
        <v>0</v>
      </c>
      <c r="DA4033">
        <v>1</v>
      </c>
      <c r="DB4033">
        <v>0</v>
      </c>
      <c r="DC4033">
        <v>0</v>
      </c>
      <c r="DD4033">
        <v>0</v>
      </c>
      <c r="DE4033">
        <v>0</v>
      </c>
      <c r="DF4033">
        <v>0</v>
      </c>
      <c r="DG4033">
        <v>0</v>
      </c>
      <c r="DH4033">
        <v>0</v>
      </c>
      <c r="DI4033">
        <v>0</v>
      </c>
    </row>
    <row r="4034" spans="1:113" x14ac:dyDescent="0.3">
      <c r="A4034" t="str">
        <f>"02/08/2021 20:36:44.796"</f>
        <v>02/08/2021 20:36:44.796</v>
      </c>
      <c r="C4034" t="str">
        <f t="shared" si="200"/>
        <v>FFDFD7C0</v>
      </c>
      <c r="D4034" t="s">
        <v>124</v>
      </c>
      <c r="E4034">
        <v>13</v>
      </c>
      <c r="F4034">
        <v>1013</v>
      </c>
      <c r="G4034" t="s">
        <v>114</v>
      </c>
      <c r="J4034" t="s">
        <v>125</v>
      </c>
      <c r="K4034">
        <v>0</v>
      </c>
      <c r="L4034">
        <v>3</v>
      </c>
      <c r="M4034">
        <v>0</v>
      </c>
      <c r="N4034">
        <v>2</v>
      </c>
      <c r="O4034">
        <v>1</v>
      </c>
      <c r="P4034">
        <v>0</v>
      </c>
      <c r="Q4034">
        <v>0</v>
      </c>
      <c r="S4034" t="str">
        <f>"20:36:47.125"</f>
        <v>20:36:47.125</v>
      </c>
      <c r="T4034" t="str">
        <f>"20:36:46.625"</f>
        <v>20:36:46.625</v>
      </c>
      <c r="U4034" t="str">
        <f t="shared" ref="U4034:U4097" si="202">"AB01F4"</f>
        <v>AB01F4</v>
      </c>
      <c r="V4034">
        <v>0</v>
      </c>
      <c r="W4034">
        <v>0</v>
      </c>
      <c r="X4034">
        <v>2</v>
      </c>
      <c r="Z4034">
        <v>0</v>
      </c>
      <c r="AA4034">
        <v>9</v>
      </c>
      <c r="AB4034">
        <v>3</v>
      </c>
      <c r="AC4034">
        <v>0</v>
      </c>
      <c r="AD4034">
        <v>10</v>
      </c>
      <c r="AE4034">
        <v>0</v>
      </c>
      <c r="AF4034">
        <v>3</v>
      </c>
      <c r="AG4034">
        <v>2</v>
      </c>
      <c r="AH4034">
        <v>0</v>
      </c>
      <c r="AI4034" t="s">
        <v>2265</v>
      </c>
      <c r="AJ4034">
        <v>40.144730000000003</v>
      </c>
      <c r="AK4034" t="s">
        <v>2266</v>
      </c>
      <c r="AL4034">
        <v>-93.109367000000006</v>
      </c>
      <c r="AM4034">
        <v>100</v>
      </c>
      <c r="AN4034">
        <v>1300</v>
      </c>
      <c r="AO4034" t="s">
        <v>118</v>
      </c>
      <c r="AP4034">
        <v>-114</v>
      </c>
      <c r="AQ4034">
        <v>60</v>
      </c>
      <c r="AR4034">
        <v>0</v>
      </c>
      <c r="AZ4034">
        <v>1200</v>
      </c>
      <c r="BA4034">
        <v>1</v>
      </c>
      <c r="BB4034" t="str">
        <f t="shared" si="201"/>
        <v xml:space="preserve">N8080G  </v>
      </c>
      <c r="BC4034">
        <v>1</v>
      </c>
      <c r="BE4034">
        <v>0</v>
      </c>
      <c r="BF4034">
        <v>0</v>
      </c>
      <c r="BG4034">
        <v>0</v>
      </c>
      <c r="BH4034">
        <v>1350</v>
      </c>
      <c r="BI4034">
        <v>1</v>
      </c>
      <c r="BJ4034">
        <v>1</v>
      </c>
      <c r="BK4034">
        <v>1</v>
      </c>
      <c r="BL4034">
        <v>0</v>
      </c>
      <c r="BO4034">
        <v>0</v>
      </c>
      <c r="BP4034">
        <v>0</v>
      </c>
      <c r="BW4034" t="str">
        <f>"20:36:47.131"</f>
        <v>20:36:47.131</v>
      </c>
      <c r="BZ4034">
        <v>0</v>
      </c>
      <c r="CA4034">
        <v>1600</v>
      </c>
      <c r="CB4034">
        <v>224</v>
      </c>
      <c r="CD4034">
        <v>1</v>
      </c>
      <c r="CE4034">
        <v>0</v>
      </c>
      <c r="CF4034">
        <v>0</v>
      </c>
      <c r="CG4034">
        <v>1</v>
      </c>
      <c r="CH4034">
        <v>0</v>
      </c>
      <c r="CI4034">
        <v>0</v>
      </c>
      <c r="CJ4034">
        <v>0</v>
      </c>
      <c r="CK4034">
        <v>2</v>
      </c>
      <c r="CL4034">
        <v>0</v>
      </c>
      <c r="CM4034">
        <v>2</v>
      </c>
      <c r="CN4034">
        <v>0</v>
      </c>
      <c r="CO4034">
        <v>6</v>
      </c>
      <c r="CP4034" t="s">
        <v>119</v>
      </c>
      <c r="CQ4034">
        <v>180</v>
      </c>
      <c r="CR4034">
        <v>3</v>
      </c>
      <c r="CW4034">
        <v>1324616</v>
      </c>
      <c r="CY4034">
        <v>0</v>
      </c>
      <c r="CZ4034">
        <v>0</v>
      </c>
      <c r="DA4034">
        <v>1</v>
      </c>
      <c r="DB4034">
        <v>0</v>
      </c>
      <c r="DC4034">
        <v>0</v>
      </c>
      <c r="DD4034">
        <v>0</v>
      </c>
      <c r="DE4034">
        <v>0</v>
      </c>
      <c r="DF4034">
        <v>0</v>
      </c>
      <c r="DG4034">
        <v>0</v>
      </c>
      <c r="DH4034">
        <v>0</v>
      </c>
      <c r="DI4034">
        <v>0</v>
      </c>
    </row>
    <row r="4035" spans="1:113" x14ac:dyDescent="0.3">
      <c r="A4035" t="str">
        <f>"02/08/2021 20:36:46.895"</f>
        <v>02/08/2021 20:36:46.895</v>
      </c>
      <c r="C4035" t="str">
        <f t="shared" si="200"/>
        <v>FFDFD7C0</v>
      </c>
      <c r="D4035" t="s">
        <v>124</v>
      </c>
      <c r="E4035">
        <v>13</v>
      </c>
      <c r="F4035">
        <v>1013</v>
      </c>
      <c r="G4035" t="s">
        <v>114</v>
      </c>
      <c r="J4035" t="s">
        <v>125</v>
      </c>
      <c r="K4035">
        <v>0</v>
      </c>
      <c r="L4035">
        <v>3</v>
      </c>
      <c r="M4035">
        <v>0</v>
      </c>
      <c r="N4035">
        <v>2</v>
      </c>
      <c r="O4035">
        <v>1</v>
      </c>
      <c r="P4035">
        <v>0</v>
      </c>
      <c r="Q4035">
        <v>0</v>
      </c>
      <c r="S4035" t="str">
        <f>"20:36:49.211"</f>
        <v>20:36:49.211</v>
      </c>
      <c r="T4035" t="str">
        <f>"20:36:48.711"</f>
        <v>20:36:48.711</v>
      </c>
      <c r="U4035" t="str">
        <f t="shared" si="202"/>
        <v>AB01F4</v>
      </c>
      <c r="V4035">
        <v>0</v>
      </c>
      <c r="W4035">
        <v>0</v>
      </c>
      <c r="X4035">
        <v>2</v>
      </c>
      <c r="Z4035">
        <v>0</v>
      </c>
      <c r="AA4035">
        <v>9</v>
      </c>
      <c r="AB4035">
        <v>3</v>
      </c>
      <c r="AC4035">
        <v>0</v>
      </c>
      <c r="AD4035">
        <v>10</v>
      </c>
      <c r="AE4035">
        <v>0</v>
      </c>
      <c r="AF4035">
        <v>3</v>
      </c>
      <c r="AG4035">
        <v>2</v>
      </c>
      <c r="AH4035">
        <v>0</v>
      </c>
      <c r="AI4035" t="s">
        <v>2267</v>
      </c>
      <c r="AJ4035">
        <v>40.145330000000001</v>
      </c>
      <c r="AK4035" t="s">
        <v>2268</v>
      </c>
      <c r="AL4035">
        <v>-93.110719000000003</v>
      </c>
      <c r="AM4035">
        <v>100</v>
      </c>
      <c r="AN4035">
        <v>1300</v>
      </c>
      <c r="AO4035" t="s">
        <v>118</v>
      </c>
      <c r="AP4035">
        <v>-114</v>
      </c>
      <c r="AQ4035">
        <v>61</v>
      </c>
      <c r="AR4035">
        <v>-128</v>
      </c>
      <c r="AZ4035">
        <v>1200</v>
      </c>
      <c r="BA4035">
        <v>1</v>
      </c>
      <c r="BB4035" t="str">
        <f t="shared" si="201"/>
        <v xml:space="preserve">N8080G  </v>
      </c>
      <c r="BC4035">
        <v>1</v>
      </c>
      <c r="BE4035">
        <v>0</v>
      </c>
      <c r="BF4035">
        <v>0</v>
      </c>
      <c r="BG4035">
        <v>0</v>
      </c>
      <c r="BH4035">
        <v>1350</v>
      </c>
      <c r="BI4035">
        <v>1</v>
      </c>
      <c r="BJ4035">
        <v>1</v>
      </c>
      <c r="BK4035">
        <v>1</v>
      </c>
      <c r="BL4035">
        <v>0</v>
      </c>
      <c r="BO4035">
        <v>0</v>
      </c>
      <c r="BP4035">
        <v>0</v>
      </c>
      <c r="BW4035" t="str">
        <f>"20:36:49.214"</f>
        <v>20:36:49.214</v>
      </c>
      <c r="BZ4035">
        <v>0</v>
      </c>
      <c r="CA4035">
        <v>1600</v>
      </c>
      <c r="CB4035">
        <v>224</v>
      </c>
      <c r="CD4035">
        <v>1</v>
      </c>
      <c r="CE4035">
        <v>0</v>
      </c>
      <c r="CF4035">
        <v>0</v>
      </c>
      <c r="CG4035">
        <v>1</v>
      </c>
      <c r="CH4035">
        <v>0</v>
      </c>
      <c r="CI4035">
        <v>0</v>
      </c>
      <c r="CJ4035">
        <v>0</v>
      </c>
      <c r="CK4035">
        <v>2</v>
      </c>
      <c r="CL4035">
        <v>0</v>
      </c>
      <c r="CM4035">
        <v>2</v>
      </c>
      <c r="CN4035">
        <v>0</v>
      </c>
      <c r="CO4035">
        <v>1</v>
      </c>
      <c r="CP4035" t="s">
        <v>119</v>
      </c>
      <c r="CQ4035">
        <v>179</v>
      </c>
      <c r="CR4035">
        <v>2</v>
      </c>
      <c r="CW4035">
        <v>12596676</v>
      </c>
      <c r="CY4035">
        <v>0</v>
      </c>
      <c r="CZ4035">
        <v>0</v>
      </c>
      <c r="DA4035">
        <v>0</v>
      </c>
      <c r="DB4035">
        <v>0</v>
      </c>
      <c r="DC4035">
        <v>0</v>
      </c>
      <c r="DD4035">
        <v>0</v>
      </c>
      <c r="DE4035">
        <v>0</v>
      </c>
      <c r="DF4035">
        <v>0</v>
      </c>
      <c r="DG4035">
        <v>0</v>
      </c>
      <c r="DH4035">
        <v>0</v>
      </c>
      <c r="DI4035">
        <v>0</v>
      </c>
    </row>
    <row r="4036" spans="1:113" x14ac:dyDescent="0.3">
      <c r="A4036" t="str">
        <f>"02/08/2021 20:36:46.895"</f>
        <v>02/08/2021 20:36:46.895</v>
      </c>
      <c r="C4036" t="str">
        <f t="shared" si="200"/>
        <v>FFDFD7C0</v>
      </c>
      <c r="D4036" t="s">
        <v>124</v>
      </c>
      <c r="E4036">
        <v>12</v>
      </c>
      <c r="F4036">
        <v>1012</v>
      </c>
      <c r="G4036" t="s">
        <v>675</v>
      </c>
      <c r="J4036" t="s">
        <v>125</v>
      </c>
      <c r="K4036">
        <v>0</v>
      </c>
      <c r="L4036">
        <v>3</v>
      </c>
      <c r="M4036">
        <v>0</v>
      </c>
      <c r="N4036">
        <v>2</v>
      </c>
      <c r="O4036">
        <v>1</v>
      </c>
      <c r="P4036">
        <v>0</v>
      </c>
      <c r="Q4036">
        <v>0</v>
      </c>
      <c r="S4036" t="str">
        <f>"20:36:49.211"</f>
        <v>20:36:49.211</v>
      </c>
      <c r="T4036" t="str">
        <f>"20:36:48.711"</f>
        <v>20:36:48.711</v>
      </c>
      <c r="U4036" t="str">
        <f t="shared" si="202"/>
        <v>AB01F4</v>
      </c>
      <c r="V4036">
        <v>0</v>
      </c>
      <c r="W4036">
        <v>0</v>
      </c>
      <c r="X4036">
        <v>2</v>
      </c>
      <c r="Z4036">
        <v>0</v>
      </c>
      <c r="AA4036">
        <v>9</v>
      </c>
      <c r="AB4036">
        <v>3</v>
      </c>
      <c r="AC4036">
        <v>0</v>
      </c>
      <c r="AD4036">
        <v>10</v>
      </c>
      <c r="AE4036">
        <v>0</v>
      </c>
      <c r="AF4036">
        <v>3</v>
      </c>
      <c r="AG4036">
        <v>2</v>
      </c>
      <c r="AH4036">
        <v>0</v>
      </c>
      <c r="AI4036" t="s">
        <v>2267</v>
      </c>
      <c r="AJ4036">
        <v>40.145330000000001</v>
      </c>
      <c r="AK4036" t="s">
        <v>2268</v>
      </c>
      <c r="AL4036">
        <v>-93.110719000000003</v>
      </c>
      <c r="AM4036">
        <v>100</v>
      </c>
      <c r="AN4036">
        <v>1300</v>
      </c>
      <c r="AO4036" t="s">
        <v>118</v>
      </c>
      <c r="AP4036">
        <v>-114</v>
      </c>
      <c r="AQ4036">
        <v>61</v>
      </c>
      <c r="AR4036">
        <v>-128</v>
      </c>
      <c r="AZ4036">
        <v>1200</v>
      </c>
      <c r="BA4036">
        <v>1</v>
      </c>
      <c r="BB4036" t="str">
        <f t="shared" si="201"/>
        <v xml:space="preserve">N8080G  </v>
      </c>
      <c r="BC4036">
        <v>1</v>
      </c>
      <c r="BE4036">
        <v>0</v>
      </c>
      <c r="BF4036">
        <v>0</v>
      </c>
      <c r="BG4036">
        <v>0</v>
      </c>
      <c r="BH4036">
        <v>1350</v>
      </c>
      <c r="BI4036">
        <v>1</v>
      </c>
      <c r="BJ4036">
        <v>1</v>
      </c>
      <c r="BK4036">
        <v>1</v>
      </c>
      <c r="BL4036">
        <v>0</v>
      </c>
      <c r="BO4036">
        <v>0</v>
      </c>
      <c r="BP4036">
        <v>0</v>
      </c>
      <c r="BW4036" t="str">
        <f>"20:36:49.214"</f>
        <v>20:36:49.214</v>
      </c>
      <c r="BZ4036">
        <v>0</v>
      </c>
      <c r="CA4036">
        <v>1600</v>
      </c>
      <c r="CB4036">
        <v>224</v>
      </c>
      <c r="CD4036">
        <v>1</v>
      </c>
      <c r="CE4036">
        <v>0</v>
      </c>
      <c r="CF4036">
        <v>0</v>
      </c>
      <c r="CG4036">
        <v>1</v>
      </c>
      <c r="CH4036">
        <v>0</v>
      </c>
      <c r="CI4036">
        <v>0</v>
      </c>
      <c r="CJ4036">
        <v>0</v>
      </c>
      <c r="CK4036">
        <v>2</v>
      </c>
      <c r="CL4036">
        <v>0</v>
      </c>
      <c r="CM4036">
        <v>2</v>
      </c>
      <c r="CN4036">
        <v>0</v>
      </c>
      <c r="CO4036">
        <v>1</v>
      </c>
      <c r="CP4036" t="s">
        <v>119</v>
      </c>
      <c r="CQ4036">
        <v>179</v>
      </c>
      <c r="CR4036">
        <v>2</v>
      </c>
      <c r="CW4036">
        <v>12596676</v>
      </c>
      <c r="CY4036">
        <v>0</v>
      </c>
      <c r="CZ4036">
        <v>0</v>
      </c>
      <c r="DA4036">
        <v>1</v>
      </c>
      <c r="DB4036">
        <v>0</v>
      </c>
      <c r="DC4036">
        <v>0</v>
      </c>
      <c r="DD4036">
        <v>0</v>
      </c>
      <c r="DE4036">
        <v>0</v>
      </c>
      <c r="DF4036">
        <v>0</v>
      </c>
      <c r="DG4036">
        <v>0</v>
      </c>
      <c r="DH4036">
        <v>0</v>
      </c>
      <c r="DI4036">
        <v>0</v>
      </c>
    </row>
    <row r="4037" spans="1:113" x14ac:dyDescent="0.3">
      <c r="A4037" t="str">
        <f>"02/08/2021 20:36:46.895"</f>
        <v>02/08/2021 20:36:46.895</v>
      </c>
      <c r="C4037" t="str">
        <f t="shared" si="200"/>
        <v>FFDFD7C0</v>
      </c>
      <c r="D4037" t="s">
        <v>124</v>
      </c>
      <c r="E4037">
        <v>11</v>
      </c>
      <c r="F4037">
        <v>1011</v>
      </c>
      <c r="G4037" t="s">
        <v>590</v>
      </c>
      <c r="J4037" t="s">
        <v>125</v>
      </c>
      <c r="K4037">
        <v>0</v>
      </c>
      <c r="L4037">
        <v>3</v>
      </c>
      <c r="M4037">
        <v>0</v>
      </c>
      <c r="N4037">
        <v>2</v>
      </c>
      <c r="O4037">
        <v>1</v>
      </c>
      <c r="P4037">
        <v>0</v>
      </c>
      <c r="Q4037">
        <v>0</v>
      </c>
      <c r="S4037" t="str">
        <f>"20:36:49.211"</f>
        <v>20:36:49.211</v>
      </c>
      <c r="T4037" t="str">
        <f>"20:36:48.711"</f>
        <v>20:36:48.711</v>
      </c>
      <c r="U4037" t="str">
        <f t="shared" si="202"/>
        <v>AB01F4</v>
      </c>
      <c r="V4037">
        <v>0</v>
      </c>
      <c r="W4037">
        <v>0</v>
      </c>
      <c r="X4037">
        <v>2</v>
      </c>
      <c r="Z4037">
        <v>0</v>
      </c>
      <c r="AA4037">
        <v>9</v>
      </c>
      <c r="AB4037">
        <v>3</v>
      </c>
      <c r="AC4037">
        <v>0</v>
      </c>
      <c r="AD4037">
        <v>10</v>
      </c>
      <c r="AE4037">
        <v>0</v>
      </c>
      <c r="AF4037">
        <v>3</v>
      </c>
      <c r="AG4037">
        <v>2</v>
      </c>
      <c r="AH4037">
        <v>0</v>
      </c>
      <c r="AI4037" t="s">
        <v>2267</v>
      </c>
      <c r="AJ4037">
        <v>40.145330000000001</v>
      </c>
      <c r="AK4037" t="s">
        <v>2268</v>
      </c>
      <c r="AL4037">
        <v>-93.110719000000003</v>
      </c>
      <c r="AM4037">
        <v>100</v>
      </c>
      <c r="AN4037">
        <v>1300</v>
      </c>
      <c r="AO4037" t="s">
        <v>118</v>
      </c>
      <c r="AP4037">
        <v>-114</v>
      </c>
      <c r="AQ4037">
        <v>61</v>
      </c>
      <c r="AR4037">
        <v>-128</v>
      </c>
      <c r="AZ4037">
        <v>1200</v>
      </c>
      <c r="BA4037">
        <v>1</v>
      </c>
      <c r="BB4037" t="str">
        <f t="shared" si="201"/>
        <v xml:space="preserve">N8080G  </v>
      </c>
      <c r="BC4037">
        <v>1</v>
      </c>
      <c r="BE4037">
        <v>0</v>
      </c>
      <c r="BF4037">
        <v>0</v>
      </c>
      <c r="BG4037">
        <v>0</v>
      </c>
      <c r="BH4037">
        <v>1350</v>
      </c>
      <c r="BI4037">
        <v>1</v>
      </c>
      <c r="BJ4037">
        <v>1</v>
      </c>
      <c r="BK4037">
        <v>1</v>
      </c>
      <c r="BL4037">
        <v>0</v>
      </c>
      <c r="BO4037">
        <v>0</v>
      </c>
      <c r="BP4037">
        <v>0</v>
      </c>
      <c r="BW4037" t="str">
        <f>"20:36:49.214"</f>
        <v>20:36:49.214</v>
      </c>
      <c r="BZ4037">
        <v>0</v>
      </c>
      <c r="CA4037">
        <v>1600</v>
      </c>
      <c r="CB4037">
        <v>224</v>
      </c>
      <c r="CD4037">
        <v>1</v>
      </c>
      <c r="CE4037">
        <v>0</v>
      </c>
      <c r="CF4037">
        <v>0</v>
      </c>
      <c r="CG4037">
        <v>1</v>
      </c>
      <c r="CH4037">
        <v>0</v>
      </c>
      <c r="CI4037">
        <v>0</v>
      </c>
      <c r="CJ4037">
        <v>0</v>
      </c>
      <c r="CK4037">
        <v>2</v>
      </c>
      <c r="CL4037">
        <v>0</v>
      </c>
      <c r="CM4037">
        <v>2</v>
      </c>
      <c r="CN4037">
        <v>0</v>
      </c>
      <c r="CO4037">
        <v>1</v>
      </c>
      <c r="CP4037" t="s">
        <v>119</v>
      </c>
      <c r="CQ4037">
        <v>179</v>
      </c>
      <c r="CR4037">
        <v>2</v>
      </c>
      <c r="CW4037">
        <v>12596676</v>
      </c>
      <c r="CY4037">
        <v>0</v>
      </c>
      <c r="CZ4037">
        <v>0</v>
      </c>
      <c r="DA4037">
        <v>1</v>
      </c>
      <c r="DB4037">
        <v>0</v>
      </c>
      <c r="DC4037">
        <v>0</v>
      </c>
      <c r="DD4037">
        <v>0</v>
      </c>
      <c r="DE4037">
        <v>0</v>
      </c>
      <c r="DF4037">
        <v>0</v>
      </c>
      <c r="DG4037">
        <v>0</v>
      </c>
      <c r="DH4037">
        <v>0</v>
      </c>
      <c r="DI4037">
        <v>0</v>
      </c>
    </row>
    <row r="4038" spans="1:113" x14ac:dyDescent="0.3">
      <c r="A4038" t="str">
        <f>"02/08/2021 20:36:46.895"</f>
        <v>02/08/2021 20:36:46.895</v>
      </c>
      <c r="C4038" t="str">
        <f t="shared" si="200"/>
        <v>FFDFD7C0</v>
      </c>
      <c r="D4038" t="s">
        <v>113</v>
      </c>
      <c r="E4038">
        <v>6</v>
      </c>
      <c r="H4038">
        <v>165</v>
      </c>
      <c r="I4038" t="s">
        <v>114</v>
      </c>
      <c r="J4038" t="s">
        <v>115</v>
      </c>
      <c r="K4038">
        <v>0</v>
      </c>
      <c r="L4038">
        <v>3</v>
      </c>
      <c r="M4038">
        <v>0</v>
      </c>
      <c r="N4038">
        <v>2</v>
      </c>
      <c r="O4038">
        <v>1</v>
      </c>
      <c r="P4038">
        <v>0</v>
      </c>
      <c r="Q4038">
        <v>0</v>
      </c>
      <c r="S4038" t="str">
        <f>"20:36:49.211"</f>
        <v>20:36:49.211</v>
      </c>
      <c r="T4038" t="str">
        <f>"20:36:48.711"</f>
        <v>20:36:48.711</v>
      </c>
      <c r="U4038" t="str">
        <f t="shared" si="202"/>
        <v>AB01F4</v>
      </c>
      <c r="V4038">
        <v>0</v>
      </c>
      <c r="W4038">
        <v>0</v>
      </c>
      <c r="X4038">
        <v>2</v>
      </c>
      <c r="Z4038">
        <v>0</v>
      </c>
      <c r="AA4038">
        <v>9</v>
      </c>
      <c r="AB4038">
        <v>3</v>
      </c>
      <c r="AC4038">
        <v>0</v>
      </c>
      <c r="AD4038">
        <v>10</v>
      </c>
      <c r="AE4038">
        <v>0</v>
      </c>
      <c r="AF4038">
        <v>3</v>
      </c>
      <c r="AG4038">
        <v>2</v>
      </c>
      <c r="AH4038">
        <v>0</v>
      </c>
      <c r="AI4038" t="s">
        <v>2267</v>
      </c>
      <c r="AJ4038">
        <v>40.145330000000001</v>
      </c>
      <c r="AK4038" t="s">
        <v>2268</v>
      </c>
      <c r="AL4038">
        <v>-93.110719000000003</v>
      </c>
      <c r="AM4038">
        <v>100</v>
      </c>
      <c r="AN4038">
        <v>1300</v>
      </c>
      <c r="AO4038" t="s">
        <v>118</v>
      </c>
      <c r="AP4038">
        <v>-114</v>
      </c>
      <c r="AQ4038">
        <v>61</v>
      </c>
      <c r="AR4038">
        <v>-128</v>
      </c>
      <c r="AZ4038">
        <v>1200</v>
      </c>
      <c r="BA4038">
        <v>1</v>
      </c>
      <c r="BB4038" t="str">
        <f t="shared" si="201"/>
        <v xml:space="preserve">N8080G  </v>
      </c>
      <c r="BC4038">
        <v>1</v>
      </c>
      <c r="BE4038">
        <v>0</v>
      </c>
      <c r="BF4038">
        <v>0</v>
      </c>
      <c r="BG4038">
        <v>0</v>
      </c>
      <c r="BH4038">
        <v>1350</v>
      </c>
      <c r="BI4038">
        <v>1</v>
      </c>
      <c r="BJ4038">
        <v>1</v>
      </c>
      <c r="BK4038">
        <v>1</v>
      </c>
      <c r="BL4038">
        <v>0</v>
      </c>
      <c r="BO4038">
        <v>0</v>
      </c>
      <c r="BP4038">
        <v>0</v>
      </c>
      <c r="BW4038" t="str">
        <f>"20:36:49.214"</f>
        <v>20:36:49.214</v>
      </c>
      <c r="BZ4038">
        <v>0</v>
      </c>
      <c r="CA4038">
        <v>1600</v>
      </c>
      <c r="CB4038">
        <v>224</v>
      </c>
      <c r="CD4038">
        <v>1</v>
      </c>
      <c r="CE4038">
        <v>0</v>
      </c>
      <c r="CF4038">
        <v>0</v>
      </c>
      <c r="CG4038">
        <v>1</v>
      </c>
      <c r="CH4038">
        <v>0</v>
      </c>
      <c r="CI4038">
        <v>0</v>
      </c>
      <c r="CJ4038">
        <v>0</v>
      </c>
      <c r="CK4038">
        <v>2</v>
      </c>
      <c r="CL4038">
        <v>0</v>
      </c>
      <c r="CM4038">
        <v>2</v>
      </c>
      <c r="CN4038">
        <v>0</v>
      </c>
      <c r="CO4038">
        <v>1</v>
      </c>
      <c r="CP4038" t="s">
        <v>119</v>
      </c>
      <c r="CQ4038">
        <v>179</v>
      </c>
      <c r="CR4038">
        <v>2</v>
      </c>
      <c r="CW4038">
        <v>12596676</v>
      </c>
      <c r="CY4038">
        <v>0</v>
      </c>
      <c r="CZ4038">
        <v>0</v>
      </c>
      <c r="DA4038">
        <v>1</v>
      </c>
      <c r="DB4038">
        <v>0</v>
      </c>
      <c r="DC4038">
        <v>0</v>
      </c>
      <c r="DD4038">
        <v>0</v>
      </c>
      <c r="DE4038">
        <v>0</v>
      </c>
      <c r="DF4038">
        <v>0</v>
      </c>
      <c r="DG4038">
        <v>0</v>
      </c>
      <c r="DH4038">
        <v>0</v>
      </c>
      <c r="DI4038">
        <v>0</v>
      </c>
    </row>
    <row r="4039" spans="1:113" x14ac:dyDescent="0.3">
      <c r="A4039" t="str">
        <f>"02/08/2021 20:36:47.819"</f>
        <v>02/08/2021 20:36:47.819</v>
      </c>
      <c r="C4039" t="str">
        <f t="shared" si="200"/>
        <v>FFDFD7C0</v>
      </c>
      <c r="D4039" t="s">
        <v>124</v>
      </c>
      <c r="E4039">
        <v>12</v>
      </c>
      <c r="F4039">
        <v>1012</v>
      </c>
      <c r="G4039" t="s">
        <v>675</v>
      </c>
      <c r="J4039" t="s">
        <v>125</v>
      </c>
      <c r="K4039">
        <v>0</v>
      </c>
      <c r="L4039">
        <v>3</v>
      </c>
      <c r="M4039">
        <v>0</v>
      </c>
      <c r="N4039">
        <v>2</v>
      </c>
      <c r="O4039">
        <v>1</v>
      </c>
      <c r="P4039">
        <v>0</v>
      </c>
      <c r="Q4039">
        <v>0</v>
      </c>
      <c r="S4039" t="str">
        <f>"20:36:50.148"</f>
        <v>20:36:50.148</v>
      </c>
      <c r="T4039" t="str">
        <f>"20:36:49.748"</f>
        <v>20:36:49.748</v>
      </c>
      <c r="U4039" t="str">
        <f t="shared" si="202"/>
        <v>AB01F4</v>
      </c>
      <c r="V4039">
        <v>0</v>
      </c>
      <c r="W4039">
        <v>0</v>
      </c>
      <c r="X4039">
        <v>2</v>
      </c>
      <c r="Z4039">
        <v>0</v>
      </c>
      <c r="AA4039">
        <v>9</v>
      </c>
      <c r="AB4039">
        <v>3</v>
      </c>
      <c r="AC4039">
        <v>0</v>
      </c>
      <c r="AD4039">
        <v>10</v>
      </c>
      <c r="AE4039">
        <v>0</v>
      </c>
      <c r="AF4039">
        <v>3</v>
      </c>
      <c r="AG4039">
        <v>2</v>
      </c>
      <c r="AH4039">
        <v>0</v>
      </c>
      <c r="AI4039" t="s">
        <v>2269</v>
      </c>
      <c r="AJ4039">
        <v>40.145609</v>
      </c>
      <c r="AK4039" t="s">
        <v>2270</v>
      </c>
      <c r="AL4039">
        <v>-93.111447999999996</v>
      </c>
      <c r="AM4039">
        <v>100</v>
      </c>
      <c r="AN4039">
        <v>1300</v>
      </c>
      <c r="AO4039" t="s">
        <v>118</v>
      </c>
      <c r="AP4039">
        <v>-114</v>
      </c>
      <c r="AQ4039">
        <v>60</v>
      </c>
      <c r="AR4039">
        <v>-64</v>
      </c>
      <c r="AZ4039">
        <v>1200</v>
      </c>
      <c r="BA4039">
        <v>1</v>
      </c>
      <c r="BB4039" t="str">
        <f t="shared" si="201"/>
        <v xml:space="preserve">N8080G  </v>
      </c>
      <c r="BC4039">
        <v>1</v>
      </c>
      <c r="BE4039">
        <v>0</v>
      </c>
      <c r="BF4039">
        <v>0</v>
      </c>
      <c r="BG4039">
        <v>0</v>
      </c>
      <c r="BH4039">
        <v>1350</v>
      </c>
      <c r="BI4039">
        <v>1</v>
      </c>
      <c r="BJ4039">
        <v>1</v>
      </c>
      <c r="BK4039">
        <v>1</v>
      </c>
      <c r="BL4039">
        <v>0</v>
      </c>
      <c r="BO4039">
        <v>0</v>
      </c>
      <c r="BP4039">
        <v>0</v>
      </c>
      <c r="BW4039" t="str">
        <f>"20:36:50.154"</f>
        <v>20:36:50.154</v>
      </c>
      <c r="BZ4039">
        <v>0</v>
      </c>
      <c r="CA4039">
        <v>1600</v>
      </c>
      <c r="CB4039">
        <v>224</v>
      </c>
      <c r="CD4039">
        <v>1</v>
      </c>
      <c r="CE4039">
        <v>0</v>
      </c>
      <c r="CF4039">
        <v>0</v>
      </c>
      <c r="CG4039">
        <v>1</v>
      </c>
      <c r="CH4039">
        <v>0</v>
      </c>
      <c r="CI4039">
        <v>0</v>
      </c>
      <c r="CJ4039">
        <v>0</v>
      </c>
      <c r="CK4039">
        <v>2</v>
      </c>
      <c r="CL4039">
        <v>0</v>
      </c>
      <c r="CM4039">
        <v>2</v>
      </c>
      <c r="CN4039">
        <v>0</v>
      </c>
      <c r="CO4039">
        <v>6</v>
      </c>
      <c r="CP4039" t="s">
        <v>119</v>
      </c>
      <c r="CQ4039">
        <v>180</v>
      </c>
      <c r="CR4039">
        <v>3</v>
      </c>
      <c r="CW4039">
        <v>1326868</v>
      </c>
      <c r="CY4039">
        <v>0</v>
      </c>
      <c r="CZ4039">
        <v>0</v>
      </c>
      <c r="DA4039">
        <v>0</v>
      </c>
      <c r="DB4039">
        <v>0</v>
      </c>
      <c r="DC4039">
        <v>0</v>
      </c>
      <c r="DD4039">
        <v>0</v>
      </c>
      <c r="DE4039">
        <v>0</v>
      </c>
      <c r="DF4039">
        <v>0</v>
      </c>
      <c r="DG4039">
        <v>0</v>
      </c>
      <c r="DH4039">
        <v>0</v>
      </c>
      <c r="DI4039">
        <v>0</v>
      </c>
    </row>
    <row r="4040" spans="1:113" x14ac:dyDescent="0.3">
      <c r="A4040" t="str">
        <f>"02/08/2021 20:36:47.819"</f>
        <v>02/08/2021 20:36:47.819</v>
      </c>
      <c r="C4040" t="str">
        <f t="shared" si="200"/>
        <v>FFDFD7C0</v>
      </c>
      <c r="D4040" t="s">
        <v>124</v>
      </c>
      <c r="E4040">
        <v>11</v>
      </c>
      <c r="F4040">
        <v>1011</v>
      </c>
      <c r="G4040" t="s">
        <v>590</v>
      </c>
      <c r="J4040" t="s">
        <v>125</v>
      </c>
      <c r="K4040">
        <v>0</v>
      </c>
      <c r="L4040">
        <v>3</v>
      </c>
      <c r="M4040">
        <v>0</v>
      </c>
      <c r="N4040">
        <v>2</v>
      </c>
      <c r="O4040">
        <v>1</v>
      </c>
      <c r="P4040">
        <v>0</v>
      </c>
      <c r="Q4040">
        <v>0</v>
      </c>
      <c r="S4040" t="str">
        <f>"20:36:50.148"</f>
        <v>20:36:50.148</v>
      </c>
      <c r="T4040" t="str">
        <f>"20:36:49.748"</f>
        <v>20:36:49.748</v>
      </c>
      <c r="U4040" t="str">
        <f t="shared" si="202"/>
        <v>AB01F4</v>
      </c>
      <c r="V4040">
        <v>0</v>
      </c>
      <c r="W4040">
        <v>0</v>
      </c>
      <c r="X4040">
        <v>2</v>
      </c>
      <c r="Z4040">
        <v>0</v>
      </c>
      <c r="AA4040">
        <v>9</v>
      </c>
      <c r="AB4040">
        <v>3</v>
      </c>
      <c r="AC4040">
        <v>0</v>
      </c>
      <c r="AD4040">
        <v>10</v>
      </c>
      <c r="AE4040">
        <v>0</v>
      </c>
      <c r="AF4040">
        <v>3</v>
      </c>
      <c r="AG4040">
        <v>2</v>
      </c>
      <c r="AH4040">
        <v>0</v>
      </c>
      <c r="AI4040" t="s">
        <v>2269</v>
      </c>
      <c r="AJ4040">
        <v>40.145609</v>
      </c>
      <c r="AK4040" t="s">
        <v>2270</v>
      </c>
      <c r="AL4040">
        <v>-93.111447999999996</v>
      </c>
      <c r="AM4040">
        <v>100</v>
      </c>
      <c r="AN4040">
        <v>1300</v>
      </c>
      <c r="AO4040" t="s">
        <v>118</v>
      </c>
      <c r="AP4040">
        <v>-114</v>
      </c>
      <c r="AQ4040">
        <v>60</v>
      </c>
      <c r="AR4040">
        <v>-64</v>
      </c>
      <c r="AZ4040">
        <v>1200</v>
      </c>
      <c r="BA4040">
        <v>1</v>
      </c>
      <c r="BB4040" t="str">
        <f t="shared" si="201"/>
        <v xml:space="preserve">N8080G  </v>
      </c>
      <c r="BC4040">
        <v>1</v>
      </c>
      <c r="BE4040">
        <v>0</v>
      </c>
      <c r="BF4040">
        <v>0</v>
      </c>
      <c r="BG4040">
        <v>0</v>
      </c>
      <c r="BH4040">
        <v>1350</v>
      </c>
      <c r="BI4040">
        <v>1</v>
      </c>
      <c r="BJ4040">
        <v>1</v>
      </c>
      <c r="BK4040">
        <v>1</v>
      </c>
      <c r="BL4040">
        <v>0</v>
      </c>
      <c r="BO4040">
        <v>0</v>
      </c>
      <c r="BP4040">
        <v>0</v>
      </c>
      <c r="BW4040" t="str">
        <f>"20:36:50.154"</f>
        <v>20:36:50.154</v>
      </c>
      <c r="BZ4040">
        <v>0</v>
      </c>
      <c r="CA4040">
        <v>1600</v>
      </c>
      <c r="CB4040">
        <v>224</v>
      </c>
      <c r="CD4040">
        <v>1</v>
      </c>
      <c r="CE4040">
        <v>0</v>
      </c>
      <c r="CF4040">
        <v>0</v>
      </c>
      <c r="CG4040">
        <v>1</v>
      </c>
      <c r="CH4040">
        <v>0</v>
      </c>
      <c r="CI4040">
        <v>0</v>
      </c>
      <c r="CJ4040">
        <v>0</v>
      </c>
      <c r="CK4040">
        <v>2</v>
      </c>
      <c r="CL4040">
        <v>0</v>
      </c>
      <c r="CM4040">
        <v>2</v>
      </c>
      <c r="CN4040">
        <v>0</v>
      </c>
      <c r="CO4040">
        <v>6</v>
      </c>
      <c r="CP4040" t="s">
        <v>119</v>
      </c>
      <c r="CQ4040">
        <v>180</v>
      </c>
      <c r="CR4040">
        <v>3</v>
      </c>
      <c r="CW4040">
        <v>1326868</v>
      </c>
      <c r="CY4040">
        <v>0</v>
      </c>
      <c r="CZ4040">
        <v>0</v>
      </c>
      <c r="DA4040">
        <v>1</v>
      </c>
      <c r="DB4040">
        <v>0</v>
      </c>
      <c r="DC4040">
        <v>0</v>
      </c>
      <c r="DD4040">
        <v>0</v>
      </c>
      <c r="DE4040">
        <v>0</v>
      </c>
      <c r="DF4040">
        <v>0</v>
      </c>
      <c r="DG4040">
        <v>0</v>
      </c>
      <c r="DH4040">
        <v>0</v>
      </c>
      <c r="DI4040">
        <v>0</v>
      </c>
    </row>
    <row r="4041" spans="1:113" x14ac:dyDescent="0.3">
      <c r="A4041" t="str">
        <f>"02/08/2021 20:36:47.819"</f>
        <v>02/08/2021 20:36:47.819</v>
      </c>
      <c r="C4041" t="str">
        <f t="shared" si="200"/>
        <v>FFDFD7C0</v>
      </c>
      <c r="D4041" t="s">
        <v>113</v>
      </c>
      <c r="E4041">
        <v>6</v>
      </c>
      <c r="H4041">
        <v>165</v>
      </c>
      <c r="I4041" t="s">
        <v>114</v>
      </c>
      <c r="J4041" t="s">
        <v>115</v>
      </c>
      <c r="K4041">
        <v>0</v>
      </c>
      <c r="L4041">
        <v>3</v>
      </c>
      <c r="M4041">
        <v>0</v>
      </c>
      <c r="N4041">
        <v>2</v>
      </c>
      <c r="O4041">
        <v>1</v>
      </c>
      <c r="P4041">
        <v>0</v>
      </c>
      <c r="Q4041">
        <v>0</v>
      </c>
      <c r="S4041" t="str">
        <f>"20:36:50.148"</f>
        <v>20:36:50.148</v>
      </c>
      <c r="T4041" t="str">
        <f>"20:36:49.748"</f>
        <v>20:36:49.748</v>
      </c>
      <c r="U4041" t="str">
        <f t="shared" si="202"/>
        <v>AB01F4</v>
      </c>
      <c r="V4041">
        <v>0</v>
      </c>
      <c r="W4041">
        <v>0</v>
      </c>
      <c r="X4041">
        <v>2</v>
      </c>
      <c r="Z4041">
        <v>0</v>
      </c>
      <c r="AA4041">
        <v>9</v>
      </c>
      <c r="AB4041">
        <v>3</v>
      </c>
      <c r="AC4041">
        <v>0</v>
      </c>
      <c r="AD4041">
        <v>10</v>
      </c>
      <c r="AE4041">
        <v>0</v>
      </c>
      <c r="AF4041">
        <v>3</v>
      </c>
      <c r="AG4041">
        <v>2</v>
      </c>
      <c r="AH4041">
        <v>0</v>
      </c>
      <c r="AI4041" t="s">
        <v>2269</v>
      </c>
      <c r="AJ4041">
        <v>40.145609</v>
      </c>
      <c r="AK4041" t="s">
        <v>2270</v>
      </c>
      <c r="AL4041">
        <v>-93.111447999999996</v>
      </c>
      <c r="AM4041">
        <v>100</v>
      </c>
      <c r="AN4041">
        <v>1300</v>
      </c>
      <c r="AO4041" t="s">
        <v>118</v>
      </c>
      <c r="AP4041">
        <v>-114</v>
      </c>
      <c r="AQ4041">
        <v>60</v>
      </c>
      <c r="AR4041">
        <v>-64</v>
      </c>
      <c r="AZ4041">
        <v>1200</v>
      </c>
      <c r="BA4041">
        <v>1</v>
      </c>
      <c r="BB4041" t="str">
        <f t="shared" si="201"/>
        <v xml:space="preserve">N8080G  </v>
      </c>
      <c r="BC4041">
        <v>1</v>
      </c>
      <c r="BE4041">
        <v>0</v>
      </c>
      <c r="BF4041">
        <v>0</v>
      </c>
      <c r="BG4041">
        <v>0</v>
      </c>
      <c r="BH4041">
        <v>1350</v>
      </c>
      <c r="BI4041">
        <v>1</v>
      </c>
      <c r="BJ4041">
        <v>1</v>
      </c>
      <c r="BK4041">
        <v>1</v>
      </c>
      <c r="BL4041">
        <v>0</v>
      </c>
      <c r="BO4041">
        <v>0</v>
      </c>
      <c r="BP4041">
        <v>0</v>
      </c>
      <c r="BW4041" t="str">
        <f>"20:36:50.154"</f>
        <v>20:36:50.154</v>
      </c>
      <c r="BZ4041">
        <v>0</v>
      </c>
      <c r="CA4041">
        <v>1600</v>
      </c>
      <c r="CB4041">
        <v>224</v>
      </c>
      <c r="CD4041">
        <v>1</v>
      </c>
      <c r="CE4041">
        <v>0</v>
      </c>
      <c r="CF4041">
        <v>0</v>
      </c>
      <c r="CG4041">
        <v>1</v>
      </c>
      <c r="CH4041">
        <v>0</v>
      </c>
      <c r="CI4041">
        <v>0</v>
      </c>
      <c r="CJ4041">
        <v>0</v>
      </c>
      <c r="CK4041">
        <v>2</v>
      </c>
      <c r="CL4041">
        <v>0</v>
      </c>
      <c r="CM4041">
        <v>2</v>
      </c>
      <c r="CN4041">
        <v>0</v>
      </c>
      <c r="CO4041">
        <v>6</v>
      </c>
      <c r="CP4041" t="s">
        <v>119</v>
      </c>
      <c r="CQ4041">
        <v>180</v>
      </c>
      <c r="CR4041">
        <v>3</v>
      </c>
      <c r="CW4041">
        <v>1326868</v>
      </c>
      <c r="CY4041">
        <v>0</v>
      </c>
      <c r="CZ4041">
        <v>0</v>
      </c>
      <c r="DA4041">
        <v>1</v>
      </c>
      <c r="DB4041">
        <v>0</v>
      </c>
      <c r="DC4041">
        <v>0</v>
      </c>
      <c r="DD4041">
        <v>0</v>
      </c>
      <c r="DE4041">
        <v>0</v>
      </c>
      <c r="DF4041">
        <v>0</v>
      </c>
      <c r="DG4041">
        <v>0</v>
      </c>
      <c r="DH4041">
        <v>0</v>
      </c>
      <c r="DI4041">
        <v>0</v>
      </c>
    </row>
    <row r="4042" spans="1:113" x14ac:dyDescent="0.3">
      <c r="A4042" t="str">
        <f>"02/08/2021 20:36:47.819"</f>
        <v>02/08/2021 20:36:47.819</v>
      </c>
      <c r="C4042" t="str">
        <f t="shared" si="200"/>
        <v>FFDFD7C0</v>
      </c>
      <c r="D4042" t="s">
        <v>124</v>
      </c>
      <c r="E4042">
        <v>13</v>
      </c>
      <c r="F4042">
        <v>1013</v>
      </c>
      <c r="G4042" t="s">
        <v>114</v>
      </c>
      <c r="J4042" t="s">
        <v>125</v>
      </c>
      <c r="K4042">
        <v>0</v>
      </c>
      <c r="L4042">
        <v>3</v>
      </c>
      <c r="M4042">
        <v>0</v>
      </c>
      <c r="N4042">
        <v>2</v>
      </c>
      <c r="O4042">
        <v>1</v>
      </c>
      <c r="P4042">
        <v>0</v>
      </c>
      <c r="Q4042">
        <v>0</v>
      </c>
      <c r="S4042" t="str">
        <f>"20:36:50.148"</f>
        <v>20:36:50.148</v>
      </c>
      <c r="T4042" t="str">
        <f>"20:36:49.748"</f>
        <v>20:36:49.748</v>
      </c>
      <c r="U4042" t="str">
        <f t="shared" si="202"/>
        <v>AB01F4</v>
      </c>
      <c r="V4042">
        <v>0</v>
      </c>
      <c r="W4042">
        <v>0</v>
      </c>
      <c r="X4042">
        <v>2</v>
      </c>
      <c r="Z4042">
        <v>0</v>
      </c>
      <c r="AA4042">
        <v>9</v>
      </c>
      <c r="AB4042">
        <v>3</v>
      </c>
      <c r="AC4042">
        <v>0</v>
      </c>
      <c r="AD4042">
        <v>10</v>
      </c>
      <c r="AE4042">
        <v>0</v>
      </c>
      <c r="AF4042">
        <v>3</v>
      </c>
      <c r="AG4042">
        <v>2</v>
      </c>
      <c r="AH4042">
        <v>0</v>
      </c>
      <c r="AI4042" t="s">
        <v>2269</v>
      </c>
      <c r="AJ4042">
        <v>40.145609</v>
      </c>
      <c r="AK4042" t="s">
        <v>2270</v>
      </c>
      <c r="AL4042">
        <v>-93.111447999999996</v>
      </c>
      <c r="AM4042">
        <v>100</v>
      </c>
      <c r="AN4042">
        <v>1300</v>
      </c>
      <c r="AO4042" t="s">
        <v>118</v>
      </c>
      <c r="AP4042">
        <v>-114</v>
      </c>
      <c r="AQ4042">
        <v>60</v>
      </c>
      <c r="AR4042">
        <v>-64</v>
      </c>
      <c r="AZ4042">
        <v>1200</v>
      </c>
      <c r="BA4042">
        <v>1</v>
      </c>
      <c r="BB4042" t="str">
        <f t="shared" si="201"/>
        <v xml:space="preserve">N8080G  </v>
      </c>
      <c r="BC4042">
        <v>1</v>
      </c>
      <c r="BE4042">
        <v>0</v>
      </c>
      <c r="BF4042">
        <v>0</v>
      </c>
      <c r="BG4042">
        <v>0</v>
      </c>
      <c r="BH4042">
        <v>1350</v>
      </c>
      <c r="BI4042">
        <v>1</v>
      </c>
      <c r="BJ4042">
        <v>1</v>
      </c>
      <c r="BK4042">
        <v>1</v>
      </c>
      <c r="BL4042">
        <v>0</v>
      </c>
      <c r="BO4042">
        <v>0</v>
      </c>
      <c r="BP4042">
        <v>0</v>
      </c>
      <c r="BW4042" t="str">
        <f>"20:36:50.154"</f>
        <v>20:36:50.154</v>
      </c>
      <c r="BZ4042">
        <v>0</v>
      </c>
      <c r="CA4042">
        <v>1600</v>
      </c>
      <c r="CB4042">
        <v>224</v>
      </c>
      <c r="CD4042">
        <v>1</v>
      </c>
      <c r="CE4042">
        <v>0</v>
      </c>
      <c r="CF4042">
        <v>0</v>
      </c>
      <c r="CG4042">
        <v>1</v>
      </c>
      <c r="CH4042">
        <v>0</v>
      </c>
      <c r="CI4042">
        <v>0</v>
      </c>
      <c r="CJ4042">
        <v>0</v>
      </c>
      <c r="CK4042">
        <v>2</v>
      </c>
      <c r="CL4042">
        <v>0</v>
      </c>
      <c r="CM4042">
        <v>2</v>
      </c>
      <c r="CN4042">
        <v>0</v>
      </c>
      <c r="CO4042">
        <v>6</v>
      </c>
      <c r="CP4042" t="s">
        <v>119</v>
      </c>
      <c r="CQ4042">
        <v>180</v>
      </c>
      <c r="CR4042">
        <v>3</v>
      </c>
      <c r="CW4042">
        <v>1326868</v>
      </c>
      <c r="CY4042">
        <v>0</v>
      </c>
      <c r="CZ4042">
        <v>0</v>
      </c>
      <c r="DA4042">
        <v>1</v>
      </c>
      <c r="DB4042">
        <v>0</v>
      </c>
      <c r="DC4042">
        <v>0</v>
      </c>
      <c r="DD4042">
        <v>0</v>
      </c>
      <c r="DE4042">
        <v>0</v>
      </c>
      <c r="DF4042">
        <v>0</v>
      </c>
      <c r="DG4042">
        <v>0</v>
      </c>
      <c r="DH4042">
        <v>0</v>
      </c>
      <c r="DI4042">
        <v>0</v>
      </c>
    </row>
    <row r="4043" spans="1:113" x14ac:dyDescent="0.3">
      <c r="A4043" t="str">
        <f>"02/08/2021 20:36:48.773"</f>
        <v>02/08/2021 20:36:48.773</v>
      </c>
      <c r="C4043" t="str">
        <f t="shared" si="200"/>
        <v>FFDFD7C0</v>
      </c>
      <c r="D4043" t="s">
        <v>124</v>
      </c>
      <c r="E4043">
        <v>12</v>
      </c>
      <c r="F4043">
        <v>1012</v>
      </c>
      <c r="G4043" t="s">
        <v>675</v>
      </c>
      <c r="J4043" t="s">
        <v>125</v>
      </c>
      <c r="K4043">
        <v>0</v>
      </c>
      <c r="L4043">
        <v>3</v>
      </c>
      <c r="M4043">
        <v>0</v>
      </c>
      <c r="N4043">
        <v>2</v>
      </c>
      <c r="O4043">
        <v>1</v>
      </c>
      <c r="P4043">
        <v>0</v>
      </c>
      <c r="Q4043">
        <v>0</v>
      </c>
      <c r="S4043" t="str">
        <f>"20:36:51.125"</f>
        <v>20:36:51.125</v>
      </c>
      <c r="T4043" t="str">
        <f>"20:36:50.625"</f>
        <v>20:36:50.625</v>
      </c>
      <c r="U4043" t="str">
        <f t="shared" si="202"/>
        <v>AB01F4</v>
      </c>
      <c r="V4043">
        <v>0</v>
      </c>
      <c r="W4043">
        <v>0</v>
      </c>
      <c r="X4043">
        <v>2</v>
      </c>
      <c r="Z4043">
        <v>0</v>
      </c>
      <c r="AA4043">
        <v>9</v>
      </c>
      <c r="AB4043">
        <v>3</v>
      </c>
      <c r="AC4043">
        <v>0</v>
      </c>
      <c r="AD4043">
        <v>10</v>
      </c>
      <c r="AE4043">
        <v>0</v>
      </c>
      <c r="AF4043">
        <v>3</v>
      </c>
      <c r="AG4043">
        <v>2</v>
      </c>
      <c r="AH4043">
        <v>0</v>
      </c>
      <c r="AI4043" t="s">
        <v>2271</v>
      </c>
      <c r="AJ4043">
        <v>40.145867000000003</v>
      </c>
      <c r="AK4043" t="s">
        <v>2272</v>
      </c>
      <c r="AL4043">
        <v>-93.112112999999994</v>
      </c>
      <c r="AM4043">
        <v>100</v>
      </c>
      <c r="AN4043">
        <v>1300</v>
      </c>
      <c r="AO4043" t="s">
        <v>118</v>
      </c>
      <c r="AP4043">
        <v>-114</v>
      </c>
      <c r="AQ4043">
        <v>60</v>
      </c>
      <c r="AR4043">
        <v>0</v>
      </c>
      <c r="AZ4043">
        <v>1200</v>
      </c>
      <c r="BA4043">
        <v>1</v>
      </c>
      <c r="BB4043" t="str">
        <f t="shared" si="201"/>
        <v xml:space="preserve">N8080G  </v>
      </c>
      <c r="BC4043">
        <v>1</v>
      </c>
      <c r="BE4043">
        <v>0</v>
      </c>
      <c r="BF4043">
        <v>0</v>
      </c>
      <c r="BG4043">
        <v>0</v>
      </c>
      <c r="BH4043">
        <v>1350</v>
      </c>
      <c r="BI4043">
        <v>1</v>
      </c>
      <c r="BJ4043">
        <v>1</v>
      </c>
      <c r="BK4043">
        <v>1</v>
      </c>
      <c r="BL4043">
        <v>0</v>
      </c>
      <c r="BO4043">
        <v>0</v>
      </c>
      <c r="BP4043">
        <v>0</v>
      </c>
      <c r="BW4043" t="str">
        <f>"20:36:51.131"</f>
        <v>20:36:51.131</v>
      </c>
      <c r="BZ4043">
        <v>0</v>
      </c>
      <c r="CA4043">
        <v>1600</v>
      </c>
      <c r="CB4043">
        <v>224</v>
      </c>
      <c r="CD4043">
        <v>1</v>
      </c>
      <c r="CE4043">
        <v>0</v>
      </c>
      <c r="CF4043">
        <v>0</v>
      </c>
      <c r="CG4043">
        <v>1</v>
      </c>
      <c r="CH4043">
        <v>0</v>
      </c>
      <c r="CI4043">
        <v>0</v>
      </c>
      <c r="CJ4043">
        <v>0</v>
      </c>
      <c r="CK4043">
        <v>2</v>
      </c>
      <c r="CL4043">
        <v>0</v>
      </c>
      <c r="CM4043">
        <v>2</v>
      </c>
      <c r="CN4043">
        <v>0</v>
      </c>
      <c r="CO4043">
        <v>6</v>
      </c>
      <c r="CP4043" t="s">
        <v>119</v>
      </c>
      <c r="CQ4043">
        <v>180</v>
      </c>
      <c r="CR4043">
        <v>3</v>
      </c>
      <c r="CW4043">
        <v>1327649</v>
      </c>
      <c r="CY4043">
        <v>0</v>
      </c>
      <c r="CZ4043">
        <v>0</v>
      </c>
      <c r="DA4043">
        <v>0</v>
      </c>
      <c r="DB4043">
        <v>0</v>
      </c>
      <c r="DC4043">
        <v>0</v>
      </c>
      <c r="DD4043">
        <v>0</v>
      </c>
      <c r="DE4043">
        <v>0</v>
      </c>
      <c r="DF4043">
        <v>0</v>
      </c>
      <c r="DG4043">
        <v>0</v>
      </c>
      <c r="DH4043">
        <v>0</v>
      </c>
      <c r="DI4043">
        <v>0</v>
      </c>
    </row>
    <row r="4044" spans="1:113" x14ac:dyDescent="0.3">
      <c r="A4044" t="str">
        <f>"02/08/2021 20:36:48.773"</f>
        <v>02/08/2021 20:36:48.773</v>
      </c>
      <c r="C4044" t="str">
        <f t="shared" si="200"/>
        <v>FFDFD7C0</v>
      </c>
      <c r="D4044" t="s">
        <v>124</v>
      </c>
      <c r="E4044">
        <v>11</v>
      </c>
      <c r="F4044">
        <v>1011</v>
      </c>
      <c r="G4044" t="s">
        <v>590</v>
      </c>
      <c r="J4044" t="s">
        <v>125</v>
      </c>
      <c r="K4044">
        <v>0</v>
      </c>
      <c r="L4044">
        <v>3</v>
      </c>
      <c r="M4044">
        <v>0</v>
      </c>
      <c r="N4044">
        <v>2</v>
      </c>
      <c r="O4044">
        <v>1</v>
      </c>
      <c r="P4044">
        <v>0</v>
      </c>
      <c r="Q4044">
        <v>0</v>
      </c>
      <c r="S4044" t="str">
        <f>"20:36:51.125"</f>
        <v>20:36:51.125</v>
      </c>
      <c r="T4044" t="str">
        <f>"20:36:50.625"</f>
        <v>20:36:50.625</v>
      </c>
      <c r="U4044" t="str">
        <f t="shared" si="202"/>
        <v>AB01F4</v>
      </c>
      <c r="V4044">
        <v>0</v>
      </c>
      <c r="W4044">
        <v>0</v>
      </c>
      <c r="X4044">
        <v>2</v>
      </c>
      <c r="Z4044">
        <v>0</v>
      </c>
      <c r="AA4044">
        <v>9</v>
      </c>
      <c r="AB4044">
        <v>3</v>
      </c>
      <c r="AC4044">
        <v>0</v>
      </c>
      <c r="AD4044">
        <v>10</v>
      </c>
      <c r="AE4044">
        <v>0</v>
      </c>
      <c r="AF4044">
        <v>3</v>
      </c>
      <c r="AG4044">
        <v>2</v>
      </c>
      <c r="AH4044">
        <v>0</v>
      </c>
      <c r="AI4044" t="s">
        <v>2271</v>
      </c>
      <c r="AJ4044">
        <v>40.145867000000003</v>
      </c>
      <c r="AK4044" t="s">
        <v>2272</v>
      </c>
      <c r="AL4044">
        <v>-93.112112999999994</v>
      </c>
      <c r="AM4044">
        <v>100</v>
      </c>
      <c r="AN4044">
        <v>1300</v>
      </c>
      <c r="AO4044" t="s">
        <v>118</v>
      </c>
      <c r="AP4044">
        <v>-114</v>
      </c>
      <c r="AQ4044">
        <v>60</v>
      </c>
      <c r="AR4044">
        <v>0</v>
      </c>
      <c r="AZ4044">
        <v>1200</v>
      </c>
      <c r="BA4044">
        <v>1</v>
      </c>
      <c r="BB4044" t="str">
        <f t="shared" si="201"/>
        <v xml:space="preserve">N8080G  </v>
      </c>
      <c r="BC4044">
        <v>1</v>
      </c>
      <c r="BE4044">
        <v>0</v>
      </c>
      <c r="BF4044">
        <v>0</v>
      </c>
      <c r="BG4044">
        <v>0</v>
      </c>
      <c r="BH4044">
        <v>1350</v>
      </c>
      <c r="BI4044">
        <v>1</v>
      </c>
      <c r="BJ4044">
        <v>1</v>
      </c>
      <c r="BK4044">
        <v>1</v>
      </c>
      <c r="BL4044">
        <v>0</v>
      </c>
      <c r="BO4044">
        <v>0</v>
      </c>
      <c r="BP4044">
        <v>0</v>
      </c>
      <c r="BW4044" t="str">
        <f>"20:36:51.131"</f>
        <v>20:36:51.131</v>
      </c>
      <c r="BZ4044">
        <v>0</v>
      </c>
      <c r="CA4044">
        <v>1600</v>
      </c>
      <c r="CB4044">
        <v>224</v>
      </c>
      <c r="CD4044">
        <v>1</v>
      </c>
      <c r="CE4044">
        <v>0</v>
      </c>
      <c r="CF4044">
        <v>0</v>
      </c>
      <c r="CG4044">
        <v>1</v>
      </c>
      <c r="CH4044">
        <v>0</v>
      </c>
      <c r="CI4044">
        <v>0</v>
      </c>
      <c r="CJ4044">
        <v>0</v>
      </c>
      <c r="CK4044">
        <v>2</v>
      </c>
      <c r="CL4044">
        <v>0</v>
      </c>
      <c r="CM4044">
        <v>2</v>
      </c>
      <c r="CN4044">
        <v>0</v>
      </c>
      <c r="CO4044">
        <v>6</v>
      </c>
      <c r="CP4044" t="s">
        <v>119</v>
      </c>
      <c r="CQ4044">
        <v>180</v>
      </c>
      <c r="CR4044">
        <v>3</v>
      </c>
      <c r="CW4044">
        <v>1327649</v>
      </c>
      <c r="CY4044">
        <v>0</v>
      </c>
      <c r="CZ4044">
        <v>0</v>
      </c>
      <c r="DA4044">
        <v>1</v>
      </c>
      <c r="DB4044">
        <v>0</v>
      </c>
      <c r="DC4044">
        <v>0</v>
      </c>
      <c r="DD4044">
        <v>0</v>
      </c>
      <c r="DE4044">
        <v>0</v>
      </c>
      <c r="DF4044">
        <v>0</v>
      </c>
      <c r="DG4044">
        <v>0</v>
      </c>
      <c r="DH4044">
        <v>0</v>
      </c>
      <c r="DI4044">
        <v>0</v>
      </c>
    </row>
    <row r="4045" spans="1:113" x14ac:dyDescent="0.3">
      <c r="A4045" t="str">
        <f>"02/08/2021 20:36:48.773"</f>
        <v>02/08/2021 20:36:48.773</v>
      </c>
      <c r="C4045" t="str">
        <f t="shared" si="200"/>
        <v>FFDFD7C0</v>
      </c>
      <c r="D4045" t="s">
        <v>113</v>
      </c>
      <c r="E4045">
        <v>6</v>
      </c>
      <c r="H4045">
        <v>165</v>
      </c>
      <c r="I4045" t="s">
        <v>114</v>
      </c>
      <c r="J4045" t="s">
        <v>115</v>
      </c>
      <c r="K4045">
        <v>0</v>
      </c>
      <c r="L4045">
        <v>3</v>
      </c>
      <c r="M4045">
        <v>0</v>
      </c>
      <c r="N4045">
        <v>2</v>
      </c>
      <c r="O4045">
        <v>1</v>
      </c>
      <c r="P4045">
        <v>0</v>
      </c>
      <c r="Q4045">
        <v>0</v>
      </c>
      <c r="S4045" t="str">
        <f>"20:36:51.125"</f>
        <v>20:36:51.125</v>
      </c>
      <c r="T4045" t="str">
        <f>"20:36:50.625"</f>
        <v>20:36:50.625</v>
      </c>
      <c r="U4045" t="str">
        <f t="shared" si="202"/>
        <v>AB01F4</v>
      </c>
      <c r="V4045">
        <v>0</v>
      </c>
      <c r="W4045">
        <v>0</v>
      </c>
      <c r="X4045">
        <v>2</v>
      </c>
      <c r="Z4045">
        <v>0</v>
      </c>
      <c r="AA4045">
        <v>9</v>
      </c>
      <c r="AB4045">
        <v>3</v>
      </c>
      <c r="AC4045">
        <v>0</v>
      </c>
      <c r="AD4045">
        <v>10</v>
      </c>
      <c r="AE4045">
        <v>0</v>
      </c>
      <c r="AF4045">
        <v>3</v>
      </c>
      <c r="AG4045">
        <v>2</v>
      </c>
      <c r="AH4045">
        <v>0</v>
      </c>
      <c r="AI4045" t="s">
        <v>2271</v>
      </c>
      <c r="AJ4045">
        <v>40.145867000000003</v>
      </c>
      <c r="AK4045" t="s">
        <v>2272</v>
      </c>
      <c r="AL4045">
        <v>-93.112112999999994</v>
      </c>
      <c r="AM4045">
        <v>100</v>
      </c>
      <c r="AN4045">
        <v>1300</v>
      </c>
      <c r="AO4045" t="s">
        <v>118</v>
      </c>
      <c r="AP4045">
        <v>-114</v>
      </c>
      <c r="AQ4045">
        <v>60</v>
      </c>
      <c r="AR4045">
        <v>0</v>
      </c>
      <c r="AZ4045">
        <v>1200</v>
      </c>
      <c r="BA4045">
        <v>1</v>
      </c>
      <c r="BB4045" t="str">
        <f t="shared" si="201"/>
        <v xml:space="preserve">N8080G  </v>
      </c>
      <c r="BC4045">
        <v>1</v>
      </c>
      <c r="BE4045">
        <v>0</v>
      </c>
      <c r="BF4045">
        <v>0</v>
      </c>
      <c r="BG4045">
        <v>0</v>
      </c>
      <c r="BH4045">
        <v>1350</v>
      </c>
      <c r="BI4045">
        <v>1</v>
      </c>
      <c r="BJ4045">
        <v>1</v>
      </c>
      <c r="BK4045">
        <v>1</v>
      </c>
      <c r="BL4045">
        <v>0</v>
      </c>
      <c r="BO4045">
        <v>0</v>
      </c>
      <c r="BP4045">
        <v>0</v>
      </c>
      <c r="BW4045" t="str">
        <f>"20:36:51.131"</f>
        <v>20:36:51.131</v>
      </c>
      <c r="BZ4045">
        <v>0</v>
      </c>
      <c r="CA4045">
        <v>1600</v>
      </c>
      <c r="CB4045">
        <v>224</v>
      </c>
      <c r="CD4045">
        <v>1</v>
      </c>
      <c r="CE4045">
        <v>0</v>
      </c>
      <c r="CF4045">
        <v>0</v>
      </c>
      <c r="CG4045">
        <v>1</v>
      </c>
      <c r="CH4045">
        <v>0</v>
      </c>
      <c r="CI4045">
        <v>0</v>
      </c>
      <c r="CJ4045">
        <v>0</v>
      </c>
      <c r="CK4045">
        <v>2</v>
      </c>
      <c r="CL4045">
        <v>0</v>
      </c>
      <c r="CM4045">
        <v>2</v>
      </c>
      <c r="CN4045">
        <v>0</v>
      </c>
      <c r="CO4045">
        <v>6</v>
      </c>
      <c r="CP4045" t="s">
        <v>119</v>
      </c>
      <c r="CQ4045">
        <v>180</v>
      </c>
      <c r="CR4045">
        <v>3</v>
      </c>
      <c r="CW4045">
        <v>1327649</v>
      </c>
      <c r="CY4045">
        <v>0</v>
      </c>
      <c r="CZ4045">
        <v>0</v>
      </c>
      <c r="DA4045">
        <v>1</v>
      </c>
      <c r="DB4045">
        <v>0</v>
      </c>
      <c r="DC4045">
        <v>0</v>
      </c>
      <c r="DD4045">
        <v>0</v>
      </c>
      <c r="DE4045">
        <v>0</v>
      </c>
      <c r="DF4045">
        <v>0</v>
      </c>
      <c r="DG4045">
        <v>0</v>
      </c>
      <c r="DH4045">
        <v>0</v>
      </c>
      <c r="DI4045">
        <v>0</v>
      </c>
    </row>
    <row r="4046" spans="1:113" x14ac:dyDescent="0.3">
      <c r="A4046" t="str">
        <f>"02/08/2021 20:36:48.773"</f>
        <v>02/08/2021 20:36:48.773</v>
      </c>
      <c r="C4046" t="str">
        <f t="shared" si="200"/>
        <v>FFDFD7C0</v>
      </c>
      <c r="D4046" t="s">
        <v>124</v>
      </c>
      <c r="E4046">
        <v>13</v>
      </c>
      <c r="F4046">
        <v>1013</v>
      </c>
      <c r="G4046" t="s">
        <v>114</v>
      </c>
      <c r="J4046" t="s">
        <v>125</v>
      </c>
      <c r="K4046">
        <v>0</v>
      </c>
      <c r="L4046">
        <v>3</v>
      </c>
      <c r="M4046">
        <v>0</v>
      </c>
      <c r="N4046">
        <v>2</v>
      </c>
      <c r="O4046">
        <v>1</v>
      </c>
      <c r="P4046">
        <v>0</v>
      </c>
      <c r="Q4046">
        <v>0</v>
      </c>
      <c r="S4046" t="str">
        <f>"20:36:51.125"</f>
        <v>20:36:51.125</v>
      </c>
      <c r="T4046" t="str">
        <f>"20:36:50.625"</f>
        <v>20:36:50.625</v>
      </c>
      <c r="U4046" t="str">
        <f t="shared" si="202"/>
        <v>AB01F4</v>
      </c>
      <c r="V4046">
        <v>0</v>
      </c>
      <c r="W4046">
        <v>0</v>
      </c>
      <c r="X4046">
        <v>2</v>
      </c>
      <c r="Z4046">
        <v>0</v>
      </c>
      <c r="AA4046">
        <v>9</v>
      </c>
      <c r="AB4046">
        <v>3</v>
      </c>
      <c r="AC4046">
        <v>0</v>
      </c>
      <c r="AD4046">
        <v>10</v>
      </c>
      <c r="AE4046">
        <v>0</v>
      </c>
      <c r="AF4046">
        <v>3</v>
      </c>
      <c r="AG4046">
        <v>2</v>
      </c>
      <c r="AH4046">
        <v>0</v>
      </c>
      <c r="AI4046" t="s">
        <v>2271</v>
      </c>
      <c r="AJ4046">
        <v>40.145867000000003</v>
      </c>
      <c r="AK4046" t="s">
        <v>2272</v>
      </c>
      <c r="AL4046">
        <v>-93.112112999999994</v>
      </c>
      <c r="AM4046">
        <v>100</v>
      </c>
      <c r="AN4046">
        <v>1300</v>
      </c>
      <c r="AO4046" t="s">
        <v>118</v>
      </c>
      <c r="AP4046">
        <v>-114</v>
      </c>
      <c r="AQ4046">
        <v>60</v>
      </c>
      <c r="AR4046">
        <v>0</v>
      </c>
      <c r="AZ4046">
        <v>1200</v>
      </c>
      <c r="BA4046">
        <v>1</v>
      </c>
      <c r="BB4046" t="str">
        <f t="shared" si="201"/>
        <v xml:space="preserve">N8080G  </v>
      </c>
      <c r="BC4046">
        <v>1</v>
      </c>
      <c r="BE4046">
        <v>0</v>
      </c>
      <c r="BF4046">
        <v>0</v>
      </c>
      <c r="BG4046">
        <v>0</v>
      </c>
      <c r="BH4046">
        <v>1350</v>
      </c>
      <c r="BI4046">
        <v>1</v>
      </c>
      <c r="BJ4046">
        <v>1</v>
      </c>
      <c r="BK4046">
        <v>1</v>
      </c>
      <c r="BL4046">
        <v>0</v>
      </c>
      <c r="BO4046">
        <v>0</v>
      </c>
      <c r="BP4046">
        <v>0</v>
      </c>
      <c r="BW4046" t="str">
        <f>"20:36:51.131"</f>
        <v>20:36:51.131</v>
      </c>
      <c r="BZ4046">
        <v>0</v>
      </c>
      <c r="CA4046">
        <v>1600</v>
      </c>
      <c r="CB4046">
        <v>224</v>
      </c>
      <c r="CD4046">
        <v>1</v>
      </c>
      <c r="CE4046">
        <v>0</v>
      </c>
      <c r="CF4046">
        <v>0</v>
      </c>
      <c r="CG4046">
        <v>1</v>
      </c>
      <c r="CH4046">
        <v>0</v>
      </c>
      <c r="CI4046">
        <v>0</v>
      </c>
      <c r="CJ4046">
        <v>0</v>
      </c>
      <c r="CK4046">
        <v>2</v>
      </c>
      <c r="CL4046">
        <v>0</v>
      </c>
      <c r="CM4046">
        <v>2</v>
      </c>
      <c r="CN4046">
        <v>0</v>
      </c>
      <c r="CO4046">
        <v>6</v>
      </c>
      <c r="CP4046" t="s">
        <v>119</v>
      </c>
      <c r="CQ4046">
        <v>180</v>
      </c>
      <c r="CR4046">
        <v>3</v>
      </c>
      <c r="CW4046">
        <v>1327649</v>
      </c>
      <c r="CY4046">
        <v>0</v>
      </c>
      <c r="CZ4046">
        <v>0</v>
      </c>
      <c r="DA4046">
        <v>1</v>
      </c>
      <c r="DB4046">
        <v>0</v>
      </c>
      <c r="DC4046">
        <v>0</v>
      </c>
      <c r="DD4046">
        <v>0</v>
      </c>
      <c r="DE4046">
        <v>0</v>
      </c>
      <c r="DF4046">
        <v>0</v>
      </c>
      <c r="DG4046">
        <v>0</v>
      </c>
      <c r="DH4046">
        <v>0</v>
      </c>
      <c r="DI4046">
        <v>0</v>
      </c>
    </row>
    <row r="4047" spans="1:113" x14ac:dyDescent="0.3">
      <c r="A4047" t="str">
        <f>"02/08/2021 20:36:49.750"</f>
        <v>02/08/2021 20:36:49.750</v>
      </c>
      <c r="C4047" t="str">
        <f t="shared" si="200"/>
        <v>FFDFD7C0</v>
      </c>
      <c r="D4047" t="s">
        <v>113</v>
      </c>
      <c r="E4047">
        <v>6</v>
      </c>
      <c r="H4047">
        <v>165</v>
      </c>
      <c r="I4047" t="s">
        <v>114</v>
      </c>
      <c r="J4047" t="s">
        <v>115</v>
      </c>
      <c r="K4047">
        <v>0</v>
      </c>
      <c r="L4047">
        <v>3</v>
      </c>
      <c r="M4047">
        <v>0</v>
      </c>
      <c r="N4047">
        <v>2</v>
      </c>
      <c r="O4047">
        <v>1</v>
      </c>
      <c r="P4047">
        <v>0</v>
      </c>
      <c r="Q4047">
        <v>0</v>
      </c>
      <c r="S4047" t="str">
        <f>"20:36:52.055"</f>
        <v>20:36:52.055</v>
      </c>
      <c r="T4047" t="str">
        <f>"20:36:51.655"</f>
        <v>20:36:51.655</v>
      </c>
      <c r="U4047" t="str">
        <f t="shared" si="202"/>
        <v>AB01F4</v>
      </c>
      <c r="V4047">
        <v>0</v>
      </c>
      <c r="W4047">
        <v>0</v>
      </c>
      <c r="X4047">
        <v>2</v>
      </c>
      <c r="Z4047">
        <v>0</v>
      </c>
      <c r="AA4047">
        <v>9</v>
      </c>
      <c r="AB4047">
        <v>3</v>
      </c>
      <c r="AC4047">
        <v>0</v>
      </c>
      <c r="AD4047">
        <v>10</v>
      </c>
      <c r="AE4047">
        <v>0</v>
      </c>
      <c r="AF4047">
        <v>3</v>
      </c>
      <c r="AG4047">
        <v>2</v>
      </c>
      <c r="AH4047">
        <v>0</v>
      </c>
      <c r="AI4047" t="s">
        <v>2273</v>
      </c>
      <c r="AJ4047">
        <v>40.146081000000002</v>
      </c>
      <c r="AK4047" t="s">
        <v>2274</v>
      </c>
      <c r="AL4047">
        <v>-93.112757000000002</v>
      </c>
      <c r="AM4047">
        <v>100</v>
      </c>
      <c r="AN4047">
        <v>1300</v>
      </c>
      <c r="AO4047" t="s">
        <v>118</v>
      </c>
      <c r="AP4047">
        <v>-114</v>
      </c>
      <c r="AQ4047">
        <v>60</v>
      </c>
      <c r="AR4047">
        <v>0</v>
      </c>
      <c r="AZ4047">
        <v>1200</v>
      </c>
      <c r="BA4047">
        <v>1</v>
      </c>
      <c r="BB4047" t="str">
        <f t="shared" si="201"/>
        <v xml:space="preserve">N8080G  </v>
      </c>
      <c r="BC4047">
        <v>1</v>
      </c>
      <c r="BE4047">
        <v>0</v>
      </c>
      <c r="BF4047">
        <v>0</v>
      </c>
      <c r="BG4047">
        <v>0</v>
      </c>
      <c r="BH4047">
        <v>1350</v>
      </c>
      <c r="BI4047">
        <v>1</v>
      </c>
      <c r="BJ4047">
        <v>1</v>
      </c>
      <c r="BK4047">
        <v>1</v>
      </c>
      <c r="BL4047">
        <v>0</v>
      </c>
      <c r="BO4047">
        <v>0</v>
      </c>
      <c r="BP4047">
        <v>0</v>
      </c>
      <c r="BW4047" t="str">
        <f>"20:36:52.061"</f>
        <v>20:36:52.061</v>
      </c>
      <c r="BZ4047">
        <v>0</v>
      </c>
      <c r="CA4047">
        <v>1600</v>
      </c>
      <c r="CB4047">
        <v>224</v>
      </c>
      <c r="CD4047">
        <v>1</v>
      </c>
      <c r="CE4047">
        <v>0</v>
      </c>
      <c r="CF4047">
        <v>0</v>
      </c>
      <c r="CG4047">
        <v>1</v>
      </c>
      <c r="CH4047">
        <v>0</v>
      </c>
      <c r="CI4047">
        <v>0</v>
      </c>
      <c r="CJ4047">
        <v>0</v>
      </c>
      <c r="CK4047">
        <v>2</v>
      </c>
      <c r="CL4047">
        <v>0</v>
      </c>
      <c r="CM4047">
        <v>2</v>
      </c>
      <c r="CN4047">
        <v>0</v>
      </c>
      <c r="CO4047">
        <v>6</v>
      </c>
      <c r="CP4047" t="s">
        <v>119</v>
      </c>
      <c r="CQ4047">
        <v>180</v>
      </c>
      <c r="CR4047">
        <v>3</v>
      </c>
      <c r="CW4047">
        <v>1328426</v>
      </c>
      <c r="CY4047">
        <v>0</v>
      </c>
      <c r="CZ4047">
        <v>0</v>
      </c>
      <c r="DA4047">
        <v>0</v>
      </c>
      <c r="DB4047">
        <v>0</v>
      </c>
      <c r="DC4047">
        <v>0</v>
      </c>
      <c r="DD4047">
        <v>0</v>
      </c>
      <c r="DE4047">
        <v>0</v>
      </c>
      <c r="DF4047">
        <v>0</v>
      </c>
      <c r="DG4047">
        <v>0</v>
      </c>
      <c r="DH4047">
        <v>0</v>
      </c>
      <c r="DI4047">
        <v>0</v>
      </c>
    </row>
    <row r="4048" spans="1:113" x14ac:dyDescent="0.3">
      <c r="A4048" t="str">
        <f>"02/08/2021 20:36:49.750"</f>
        <v>02/08/2021 20:36:49.750</v>
      </c>
      <c r="C4048" t="str">
        <f t="shared" si="200"/>
        <v>FFDFD7C0</v>
      </c>
      <c r="D4048" t="s">
        <v>124</v>
      </c>
      <c r="E4048">
        <v>13</v>
      </c>
      <c r="F4048">
        <v>1013</v>
      </c>
      <c r="G4048" t="s">
        <v>114</v>
      </c>
      <c r="J4048" t="s">
        <v>125</v>
      </c>
      <c r="K4048">
        <v>0</v>
      </c>
      <c r="L4048">
        <v>3</v>
      </c>
      <c r="M4048">
        <v>0</v>
      </c>
      <c r="N4048">
        <v>2</v>
      </c>
      <c r="O4048">
        <v>1</v>
      </c>
      <c r="P4048">
        <v>0</v>
      </c>
      <c r="Q4048">
        <v>0</v>
      </c>
      <c r="S4048" t="str">
        <f>"20:36:52.055"</f>
        <v>20:36:52.055</v>
      </c>
      <c r="T4048" t="str">
        <f>"20:36:51.655"</f>
        <v>20:36:51.655</v>
      </c>
      <c r="U4048" t="str">
        <f t="shared" si="202"/>
        <v>AB01F4</v>
      </c>
      <c r="V4048">
        <v>0</v>
      </c>
      <c r="W4048">
        <v>0</v>
      </c>
      <c r="X4048">
        <v>2</v>
      </c>
      <c r="Z4048">
        <v>0</v>
      </c>
      <c r="AA4048">
        <v>9</v>
      </c>
      <c r="AB4048">
        <v>3</v>
      </c>
      <c r="AC4048">
        <v>0</v>
      </c>
      <c r="AD4048">
        <v>10</v>
      </c>
      <c r="AE4048">
        <v>0</v>
      </c>
      <c r="AF4048">
        <v>3</v>
      </c>
      <c r="AG4048">
        <v>2</v>
      </c>
      <c r="AH4048">
        <v>0</v>
      </c>
      <c r="AI4048" t="s">
        <v>2273</v>
      </c>
      <c r="AJ4048">
        <v>40.146081000000002</v>
      </c>
      <c r="AK4048" t="s">
        <v>2274</v>
      </c>
      <c r="AL4048">
        <v>-93.112757000000002</v>
      </c>
      <c r="AM4048">
        <v>100</v>
      </c>
      <c r="AN4048">
        <v>1300</v>
      </c>
      <c r="AO4048" t="s">
        <v>118</v>
      </c>
      <c r="AP4048">
        <v>-114</v>
      </c>
      <c r="AQ4048">
        <v>60</v>
      </c>
      <c r="AR4048">
        <v>0</v>
      </c>
      <c r="AZ4048">
        <v>1200</v>
      </c>
      <c r="BA4048">
        <v>1</v>
      </c>
      <c r="BB4048" t="str">
        <f t="shared" si="201"/>
        <v xml:space="preserve">N8080G  </v>
      </c>
      <c r="BC4048">
        <v>1</v>
      </c>
      <c r="BE4048">
        <v>0</v>
      </c>
      <c r="BF4048">
        <v>0</v>
      </c>
      <c r="BG4048">
        <v>0</v>
      </c>
      <c r="BH4048">
        <v>1350</v>
      </c>
      <c r="BI4048">
        <v>1</v>
      </c>
      <c r="BJ4048">
        <v>1</v>
      </c>
      <c r="BK4048">
        <v>1</v>
      </c>
      <c r="BL4048">
        <v>0</v>
      </c>
      <c r="BO4048">
        <v>0</v>
      </c>
      <c r="BP4048">
        <v>0</v>
      </c>
      <c r="BW4048" t="str">
        <f>"20:36:52.061"</f>
        <v>20:36:52.061</v>
      </c>
      <c r="BZ4048">
        <v>0</v>
      </c>
      <c r="CA4048">
        <v>1600</v>
      </c>
      <c r="CB4048">
        <v>224</v>
      </c>
      <c r="CD4048">
        <v>1</v>
      </c>
      <c r="CE4048">
        <v>0</v>
      </c>
      <c r="CF4048">
        <v>0</v>
      </c>
      <c r="CG4048">
        <v>1</v>
      </c>
      <c r="CH4048">
        <v>0</v>
      </c>
      <c r="CI4048">
        <v>0</v>
      </c>
      <c r="CJ4048">
        <v>0</v>
      </c>
      <c r="CK4048">
        <v>2</v>
      </c>
      <c r="CL4048">
        <v>0</v>
      </c>
      <c r="CM4048">
        <v>2</v>
      </c>
      <c r="CN4048">
        <v>0</v>
      </c>
      <c r="CO4048">
        <v>6</v>
      </c>
      <c r="CP4048" t="s">
        <v>119</v>
      </c>
      <c r="CQ4048">
        <v>180</v>
      </c>
      <c r="CR4048">
        <v>3</v>
      </c>
      <c r="CW4048">
        <v>1328426</v>
      </c>
      <c r="CY4048">
        <v>0</v>
      </c>
      <c r="CZ4048">
        <v>0</v>
      </c>
      <c r="DA4048">
        <v>1</v>
      </c>
      <c r="DB4048">
        <v>0</v>
      </c>
      <c r="DC4048">
        <v>0</v>
      </c>
      <c r="DD4048">
        <v>0</v>
      </c>
      <c r="DE4048">
        <v>0</v>
      </c>
      <c r="DF4048">
        <v>0</v>
      </c>
      <c r="DG4048">
        <v>0</v>
      </c>
      <c r="DH4048">
        <v>0</v>
      </c>
      <c r="DI4048">
        <v>0</v>
      </c>
    </row>
    <row r="4049" spans="1:113" x14ac:dyDescent="0.3">
      <c r="A4049" t="str">
        <f>"02/08/2021 20:36:49.750"</f>
        <v>02/08/2021 20:36:49.750</v>
      </c>
      <c r="C4049" t="str">
        <f t="shared" si="200"/>
        <v>FFDFD7C0</v>
      </c>
      <c r="D4049" t="s">
        <v>124</v>
      </c>
      <c r="E4049">
        <v>12</v>
      </c>
      <c r="F4049">
        <v>1012</v>
      </c>
      <c r="G4049" t="s">
        <v>675</v>
      </c>
      <c r="J4049" t="s">
        <v>125</v>
      </c>
      <c r="K4049">
        <v>0</v>
      </c>
      <c r="L4049">
        <v>3</v>
      </c>
      <c r="M4049">
        <v>0</v>
      </c>
      <c r="N4049">
        <v>2</v>
      </c>
      <c r="O4049">
        <v>1</v>
      </c>
      <c r="P4049">
        <v>0</v>
      </c>
      <c r="Q4049">
        <v>0</v>
      </c>
      <c r="S4049" t="str">
        <f>"20:36:52.055"</f>
        <v>20:36:52.055</v>
      </c>
      <c r="T4049" t="str">
        <f>"20:36:51.655"</f>
        <v>20:36:51.655</v>
      </c>
      <c r="U4049" t="str">
        <f t="shared" si="202"/>
        <v>AB01F4</v>
      </c>
      <c r="V4049">
        <v>0</v>
      </c>
      <c r="W4049">
        <v>0</v>
      </c>
      <c r="X4049">
        <v>2</v>
      </c>
      <c r="Z4049">
        <v>0</v>
      </c>
      <c r="AA4049">
        <v>9</v>
      </c>
      <c r="AB4049">
        <v>3</v>
      </c>
      <c r="AC4049">
        <v>0</v>
      </c>
      <c r="AD4049">
        <v>10</v>
      </c>
      <c r="AE4049">
        <v>0</v>
      </c>
      <c r="AF4049">
        <v>3</v>
      </c>
      <c r="AG4049">
        <v>2</v>
      </c>
      <c r="AH4049">
        <v>0</v>
      </c>
      <c r="AI4049" t="s">
        <v>2273</v>
      </c>
      <c r="AJ4049">
        <v>40.146081000000002</v>
      </c>
      <c r="AK4049" t="s">
        <v>2274</v>
      </c>
      <c r="AL4049">
        <v>-93.112757000000002</v>
      </c>
      <c r="AM4049">
        <v>100</v>
      </c>
      <c r="AN4049">
        <v>1300</v>
      </c>
      <c r="AO4049" t="s">
        <v>118</v>
      </c>
      <c r="AP4049">
        <v>-114</v>
      </c>
      <c r="AQ4049">
        <v>60</v>
      </c>
      <c r="AR4049">
        <v>0</v>
      </c>
      <c r="AZ4049">
        <v>1200</v>
      </c>
      <c r="BA4049">
        <v>1</v>
      </c>
      <c r="BB4049" t="str">
        <f t="shared" si="201"/>
        <v xml:space="preserve">N8080G  </v>
      </c>
      <c r="BC4049">
        <v>1</v>
      </c>
      <c r="BE4049">
        <v>0</v>
      </c>
      <c r="BF4049">
        <v>0</v>
      </c>
      <c r="BG4049">
        <v>0</v>
      </c>
      <c r="BH4049">
        <v>1350</v>
      </c>
      <c r="BI4049">
        <v>1</v>
      </c>
      <c r="BJ4049">
        <v>1</v>
      </c>
      <c r="BK4049">
        <v>1</v>
      </c>
      <c r="BL4049">
        <v>0</v>
      </c>
      <c r="BO4049">
        <v>0</v>
      </c>
      <c r="BP4049">
        <v>0</v>
      </c>
      <c r="BW4049" t="str">
        <f>"20:36:52.061"</f>
        <v>20:36:52.061</v>
      </c>
      <c r="BZ4049">
        <v>0</v>
      </c>
      <c r="CA4049">
        <v>1600</v>
      </c>
      <c r="CB4049">
        <v>224</v>
      </c>
      <c r="CD4049">
        <v>1</v>
      </c>
      <c r="CE4049">
        <v>0</v>
      </c>
      <c r="CF4049">
        <v>0</v>
      </c>
      <c r="CG4049">
        <v>1</v>
      </c>
      <c r="CH4049">
        <v>0</v>
      </c>
      <c r="CI4049">
        <v>0</v>
      </c>
      <c r="CJ4049">
        <v>0</v>
      </c>
      <c r="CK4049">
        <v>2</v>
      </c>
      <c r="CL4049">
        <v>0</v>
      </c>
      <c r="CM4049">
        <v>2</v>
      </c>
      <c r="CN4049">
        <v>0</v>
      </c>
      <c r="CO4049">
        <v>6</v>
      </c>
      <c r="CP4049" t="s">
        <v>119</v>
      </c>
      <c r="CQ4049">
        <v>180</v>
      </c>
      <c r="CR4049">
        <v>3</v>
      </c>
      <c r="CW4049">
        <v>1328426</v>
      </c>
      <c r="CY4049">
        <v>0</v>
      </c>
      <c r="CZ4049">
        <v>0</v>
      </c>
      <c r="DA4049">
        <v>1</v>
      </c>
      <c r="DB4049">
        <v>0</v>
      </c>
      <c r="DC4049">
        <v>0</v>
      </c>
      <c r="DD4049">
        <v>0</v>
      </c>
      <c r="DE4049">
        <v>0</v>
      </c>
      <c r="DF4049">
        <v>0</v>
      </c>
      <c r="DG4049">
        <v>0</v>
      </c>
      <c r="DH4049">
        <v>0</v>
      </c>
      <c r="DI4049">
        <v>0</v>
      </c>
    </row>
    <row r="4050" spans="1:113" x14ac:dyDescent="0.3">
      <c r="A4050" t="str">
        <f>"02/08/2021 20:36:49.750"</f>
        <v>02/08/2021 20:36:49.750</v>
      </c>
      <c r="C4050" t="str">
        <f t="shared" si="200"/>
        <v>FFDFD7C0</v>
      </c>
      <c r="D4050" t="s">
        <v>124</v>
      </c>
      <c r="E4050">
        <v>11</v>
      </c>
      <c r="F4050">
        <v>1011</v>
      </c>
      <c r="G4050" t="s">
        <v>590</v>
      </c>
      <c r="J4050" t="s">
        <v>125</v>
      </c>
      <c r="K4050">
        <v>0</v>
      </c>
      <c r="L4050">
        <v>3</v>
      </c>
      <c r="M4050">
        <v>0</v>
      </c>
      <c r="N4050">
        <v>2</v>
      </c>
      <c r="O4050">
        <v>1</v>
      </c>
      <c r="P4050">
        <v>0</v>
      </c>
      <c r="Q4050">
        <v>0</v>
      </c>
      <c r="S4050" t="str">
        <f>"20:36:52.055"</f>
        <v>20:36:52.055</v>
      </c>
      <c r="T4050" t="str">
        <f>"20:36:51.655"</f>
        <v>20:36:51.655</v>
      </c>
      <c r="U4050" t="str">
        <f t="shared" si="202"/>
        <v>AB01F4</v>
      </c>
      <c r="V4050">
        <v>0</v>
      </c>
      <c r="W4050">
        <v>0</v>
      </c>
      <c r="X4050">
        <v>2</v>
      </c>
      <c r="Z4050">
        <v>0</v>
      </c>
      <c r="AA4050">
        <v>9</v>
      </c>
      <c r="AB4050">
        <v>3</v>
      </c>
      <c r="AC4050">
        <v>0</v>
      </c>
      <c r="AD4050">
        <v>10</v>
      </c>
      <c r="AE4050">
        <v>0</v>
      </c>
      <c r="AF4050">
        <v>3</v>
      </c>
      <c r="AG4050">
        <v>2</v>
      </c>
      <c r="AH4050">
        <v>0</v>
      </c>
      <c r="AI4050" t="s">
        <v>2273</v>
      </c>
      <c r="AJ4050">
        <v>40.146081000000002</v>
      </c>
      <c r="AK4050" t="s">
        <v>2274</v>
      </c>
      <c r="AL4050">
        <v>-93.112757000000002</v>
      </c>
      <c r="AM4050">
        <v>100</v>
      </c>
      <c r="AN4050">
        <v>1300</v>
      </c>
      <c r="AO4050" t="s">
        <v>118</v>
      </c>
      <c r="AP4050">
        <v>-114</v>
      </c>
      <c r="AQ4050">
        <v>60</v>
      </c>
      <c r="AR4050">
        <v>0</v>
      </c>
      <c r="AZ4050">
        <v>1200</v>
      </c>
      <c r="BA4050">
        <v>1</v>
      </c>
      <c r="BB4050" t="str">
        <f t="shared" si="201"/>
        <v xml:space="preserve">N8080G  </v>
      </c>
      <c r="BC4050">
        <v>1</v>
      </c>
      <c r="BE4050">
        <v>0</v>
      </c>
      <c r="BF4050">
        <v>0</v>
      </c>
      <c r="BG4050">
        <v>0</v>
      </c>
      <c r="BH4050">
        <v>1350</v>
      </c>
      <c r="BI4050">
        <v>1</v>
      </c>
      <c r="BJ4050">
        <v>1</v>
      </c>
      <c r="BK4050">
        <v>1</v>
      </c>
      <c r="BL4050">
        <v>0</v>
      </c>
      <c r="BO4050">
        <v>0</v>
      </c>
      <c r="BP4050">
        <v>0</v>
      </c>
      <c r="BW4050" t="str">
        <f>"20:36:52.061"</f>
        <v>20:36:52.061</v>
      </c>
      <c r="BZ4050">
        <v>0</v>
      </c>
      <c r="CA4050">
        <v>1600</v>
      </c>
      <c r="CB4050">
        <v>224</v>
      </c>
      <c r="CD4050">
        <v>1</v>
      </c>
      <c r="CE4050">
        <v>0</v>
      </c>
      <c r="CF4050">
        <v>0</v>
      </c>
      <c r="CG4050">
        <v>1</v>
      </c>
      <c r="CH4050">
        <v>0</v>
      </c>
      <c r="CI4050">
        <v>0</v>
      </c>
      <c r="CJ4050">
        <v>0</v>
      </c>
      <c r="CK4050">
        <v>2</v>
      </c>
      <c r="CL4050">
        <v>0</v>
      </c>
      <c r="CM4050">
        <v>2</v>
      </c>
      <c r="CN4050">
        <v>0</v>
      </c>
      <c r="CO4050">
        <v>6</v>
      </c>
      <c r="CP4050" t="s">
        <v>119</v>
      </c>
      <c r="CQ4050">
        <v>180</v>
      </c>
      <c r="CR4050">
        <v>3</v>
      </c>
      <c r="CW4050">
        <v>1328426</v>
      </c>
      <c r="CY4050">
        <v>0</v>
      </c>
      <c r="CZ4050">
        <v>0</v>
      </c>
      <c r="DA4050">
        <v>1</v>
      </c>
      <c r="DB4050">
        <v>0</v>
      </c>
      <c r="DC4050">
        <v>0</v>
      </c>
      <c r="DD4050">
        <v>0</v>
      </c>
      <c r="DE4050">
        <v>0</v>
      </c>
      <c r="DF4050">
        <v>0</v>
      </c>
      <c r="DG4050">
        <v>0</v>
      </c>
      <c r="DH4050">
        <v>0</v>
      </c>
      <c r="DI4050">
        <v>0</v>
      </c>
    </row>
    <row r="4051" spans="1:113" x14ac:dyDescent="0.3">
      <c r="A4051" t="str">
        <f>"02/08/2021 20:36:50.883"</f>
        <v>02/08/2021 20:36:50.883</v>
      </c>
      <c r="C4051" t="str">
        <f t="shared" si="200"/>
        <v>FFDFD7C0</v>
      </c>
      <c r="D4051" t="s">
        <v>124</v>
      </c>
      <c r="E4051">
        <v>12</v>
      </c>
      <c r="F4051">
        <v>1012</v>
      </c>
      <c r="G4051" t="s">
        <v>675</v>
      </c>
      <c r="J4051" t="s">
        <v>125</v>
      </c>
      <c r="K4051">
        <v>0</v>
      </c>
      <c r="L4051">
        <v>3</v>
      </c>
      <c r="M4051">
        <v>0</v>
      </c>
      <c r="N4051">
        <v>2</v>
      </c>
      <c r="O4051">
        <v>1</v>
      </c>
      <c r="P4051">
        <v>0</v>
      </c>
      <c r="Q4051">
        <v>0</v>
      </c>
      <c r="S4051" t="str">
        <f>"20:36:53.227"</f>
        <v>20:36:53.227</v>
      </c>
      <c r="T4051" t="str">
        <f>"20:36:52.727"</f>
        <v>20:36:52.727</v>
      </c>
      <c r="U4051" t="str">
        <f t="shared" si="202"/>
        <v>AB01F4</v>
      </c>
      <c r="V4051">
        <v>0</v>
      </c>
      <c r="W4051">
        <v>0</v>
      </c>
      <c r="X4051">
        <v>2</v>
      </c>
      <c r="Z4051">
        <v>0</v>
      </c>
      <c r="AA4051">
        <v>9</v>
      </c>
      <c r="AB4051">
        <v>3</v>
      </c>
      <c r="AC4051">
        <v>0</v>
      </c>
      <c r="AD4051">
        <v>10</v>
      </c>
      <c r="AE4051">
        <v>0</v>
      </c>
      <c r="AF4051">
        <v>3</v>
      </c>
      <c r="AG4051">
        <v>2</v>
      </c>
      <c r="AH4051">
        <v>0</v>
      </c>
      <c r="AI4051" t="s">
        <v>2275</v>
      </c>
      <c r="AJ4051">
        <v>40.146467999999999</v>
      </c>
      <c r="AK4051" t="s">
        <v>2276</v>
      </c>
      <c r="AL4051">
        <v>-93.113573000000002</v>
      </c>
      <c r="AM4051">
        <v>100</v>
      </c>
      <c r="AN4051">
        <v>1300</v>
      </c>
      <c r="AO4051" t="s">
        <v>118</v>
      </c>
      <c r="AP4051">
        <v>-114</v>
      </c>
      <c r="AQ4051">
        <v>60</v>
      </c>
      <c r="AR4051">
        <v>0</v>
      </c>
      <c r="AZ4051">
        <v>1200</v>
      </c>
      <c r="BA4051">
        <v>1</v>
      </c>
      <c r="BB4051" t="str">
        <f t="shared" si="201"/>
        <v xml:space="preserve">N8080G  </v>
      </c>
      <c r="BC4051">
        <v>1</v>
      </c>
      <c r="BE4051">
        <v>0</v>
      </c>
      <c r="BF4051">
        <v>0</v>
      </c>
      <c r="BG4051">
        <v>0</v>
      </c>
      <c r="BH4051">
        <v>1350</v>
      </c>
      <c r="BI4051">
        <v>1</v>
      </c>
      <c r="BJ4051">
        <v>1</v>
      </c>
      <c r="BK4051">
        <v>1</v>
      </c>
      <c r="BL4051">
        <v>0</v>
      </c>
      <c r="BO4051">
        <v>0</v>
      </c>
      <c r="BP4051">
        <v>0</v>
      </c>
      <c r="BW4051" t="str">
        <f>"20:36:53.228"</f>
        <v>20:36:53.228</v>
      </c>
      <c r="BZ4051">
        <v>0</v>
      </c>
      <c r="CA4051">
        <v>1600</v>
      </c>
      <c r="CB4051">
        <v>224</v>
      </c>
      <c r="CD4051">
        <v>1</v>
      </c>
      <c r="CE4051">
        <v>0</v>
      </c>
      <c r="CF4051">
        <v>0</v>
      </c>
      <c r="CG4051">
        <v>1</v>
      </c>
      <c r="CH4051">
        <v>0</v>
      </c>
      <c r="CI4051">
        <v>0</v>
      </c>
      <c r="CJ4051">
        <v>0</v>
      </c>
      <c r="CK4051">
        <v>2</v>
      </c>
      <c r="CL4051">
        <v>0</v>
      </c>
      <c r="CM4051">
        <v>2</v>
      </c>
      <c r="CN4051">
        <v>0</v>
      </c>
      <c r="CO4051">
        <v>6</v>
      </c>
      <c r="CP4051" t="s">
        <v>119</v>
      </c>
      <c r="CQ4051">
        <v>180</v>
      </c>
      <c r="CR4051">
        <v>3</v>
      </c>
      <c r="CW4051">
        <v>1329326</v>
      </c>
      <c r="CY4051">
        <v>0</v>
      </c>
      <c r="CZ4051">
        <v>0</v>
      </c>
      <c r="DA4051">
        <v>0</v>
      </c>
      <c r="DB4051">
        <v>0</v>
      </c>
      <c r="DC4051">
        <v>0</v>
      </c>
      <c r="DD4051">
        <v>0</v>
      </c>
      <c r="DE4051">
        <v>0</v>
      </c>
      <c r="DF4051">
        <v>0</v>
      </c>
      <c r="DG4051">
        <v>0</v>
      </c>
      <c r="DH4051">
        <v>0</v>
      </c>
      <c r="DI4051">
        <v>0</v>
      </c>
    </row>
    <row r="4052" spans="1:113" x14ac:dyDescent="0.3">
      <c r="A4052" t="str">
        <f>"02/08/2021 20:36:50.883"</f>
        <v>02/08/2021 20:36:50.883</v>
      </c>
      <c r="C4052" t="str">
        <f t="shared" si="200"/>
        <v>FFDFD7C0</v>
      </c>
      <c r="D4052" t="s">
        <v>124</v>
      </c>
      <c r="E4052">
        <v>11</v>
      </c>
      <c r="F4052">
        <v>1011</v>
      </c>
      <c r="G4052" t="s">
        <v>590</v>
      </c>
      <c r="J4052" t="s">
        <v>125</v>
      </c>
      <c r="K4052">
        <v>0</v>
      </c>
      <c r="L4052">
        <v>3</v>
      </c>
      <c r="M4052">
        <v>0</v>
      </c>
      <c r="N4052">
        <v>2</v>
      </c>
      <c r="O4052">
        <v>1</v>
      </c>
      <c r="P4052">
        <v>0</v>
      </c>
      <c r="Q4052">
        <v>0</v>
      </c>
      <c r="S4052" t="str">
        <f>"20:36:53.227"</f>
        <v>20:36:53.227</v>
      </c>
      <c r="T4052" t="str">
        <f>"20:36:52.727"</f>
        <v>20:36:52.727</v>
      </c>
      <c r="U4052" t="str">
        <f t="shared" si="202"/>
        <v>AB01F4</v>
      </c>
      <c r="V4052">
        <v>0</v>
      </c>
      <c r="W4052">
        <v>0</v>
      </c>
      <c r="X4052">
        <v>2</v>
      </c>
      <c r="Z4052">
        <v>0</v>
      </c>
      <c r="AA4052">
        <v>9</v>
      </c>
      <c r="AB4052">
        <v>3</v>
      </c>
      <c r="AC4052">
        <v>0</v>
      </c>
      <c r="AD4052">
        <v>10</v>
      </c>
      <c r="AE4052">
        <v>0</v>
      </c>
      <c r="AF4052">
        <v>3</v>
      </c>
      <c r="AG4052">
        <v>2</v>
      </c>
      <c r="AH4052">
        <v>0</v>
      </c>
      <c r="AI4052" t="s">
        <v>2275</v>
      </c>
      <c r="AJ4052">
        <v>40.146467999999999</v>
      </c>
      <c r="AK4052" t="s">
        <v>2276</v>
      </c>
      <c r="AL4052">
        <v>-93.113573000000002</v>
      </c>
      <c r="AM4052">
        <v>100</v>
      </c>
      <c r="AN4052">
        <v>1300</v>
      </c>
      <c r="AO4052" t="s">
        <v>118</v>
      </c>
      <c r="AP4052">
        <v>-114</v>
      </c>
      <c r="AQ4052">
        <v>60</v>
      </c>
      <c r="AR4052">
        <v>0</v>
      </c>
      <c r="AZ4052">
        <v>1200</v>
      </c>
      <c r="BA4052">
        <v>1</v>
      </c>
      <c r="BB4052" t="str">
        <f t="shared" si="201"/>
        <v xml:space="preserve">N8080G  </v>
      </c>
      <c r="BC4052">
        <v>1</v>
      </c>
      <c r="BE4052">
        <v>0</v>
      </c>
      <c r="BF4052">
        <v>0</v>
      </c>
      <c r="BG4052">
        <v>0</v>
      </c>
      <c r="BH4052">
        <v>1350</v>
      </c>
      <c r="BI4052">
        <v>1</v>
      </c>
      <c r="BJ4052">
        <v>1</v>
      </c>
      <c r="BK4052">
        <v>1</v>
      </c>
      <c r="BL4052">
        <v>0</v>
      </c>
      <c r="BO4052">
        <v>0</v>
      </c>
      <c r="BP4052">
        <v>0</v>
      </c>
      <c r="BW4052" t="str">
        <f>"20:36:53.228"</f>
        <v>20:36:53.228</v>
      </c>
      <c r="BZ4052">
        <v>0</v>
      </c>
      <c r="CA4052">
        <v>1600</v>
      </c>
      <c r="CB4052">
        <v>224</v>
      </c>
      <c r="CD4052">
        <v>1</v>
      </c>
      <c r="CE4052">
        <v>0</v>
      </c>
      <c r="CF4052">
        <v>0</v>
      </c>
      <c r="CG4052">
        <v>1</v>
      </c>
      <c r="CH4052">
        <v>0</v>
      </c>
      <c r="CI4052">
        <v>0</v>
      </c>
      <c r="CJ4052">
        <v>0</v>
      </c>
      <c r="CK4052">
        <v>2</v>
      </c>
      <c r="CL4052">
        <v>0</v>
      </c>
      <c r="CM4052">
        <v>2</v>
      </c>
      <c r="CN4052">
        <v>0</v>
      </c>
      <c r="CO4052">
        <v>6</v>
      </c>
      <c r="CP4052" t="s">
        <v>119</v>
      </c>
      <c r="CQ4052">
        <v>180</v>
      </c>
      <c r="CR4052">
        <v>3</v>
      </c>
      <c r="CW4052">
        <v>1329326</v>
      </c>
      <c r="CY4052">
        <v>0</v>
      </c>
      <c r="CZ4052">
        <v>0</v>
      </c>
      <c r="DA4052">
        <v>1</v>
      </c>
      <c r="DB4052">
        <v>0</v>
      </c>
      <c r="DC4052">
        <v>0</v>
      </c>
      <c r="DD4052">
        <v>0</v>
      </c>
      <c r="DE4052">
        <v>0</v>
      </c>
      <c r="DF4052">
        <v>0</v>
      </c>
      <c r="DG4052">
        <v>0</v>
      </c>
      <c r="DH4052">
        <v>0</v>
      </c>
      <c r="DI4052">
        <v>0</v>
      </c>
    </row>
    <row r="4053" spans="1:113" x14ac:dyDescent="0.3">
      <c r="A4053" t="str">
        <f>"02/08/2021 20:36:50.883"</f>
        <v>02/08/2021 20:36:50.883</v>
      </c>
      <c r="C4053" t="str">
        <f t="shared" si="200"/>
        <v>FFDFD7C0</v>
      </c>
      <c r="D4053" t="s">
        <v>113</v>
      </c>
      <c r="E4053">
        <v>6</v>
      </c>
      <c r="H4053">
        <v>165</v>
      </c>
      <c r="I4053" t="s">
        <v>114</v>
      </c>
      <c r="J4053" t="s">
        <v>115</v>
      </c>
      <c r="K4053">
        <v>0</v>
      </c>
      <c r="L4053">
        <v>3</v>
      </c>
      <c r="M4053">
        <v>0</v>
      </c>
      <c r="N4053">
        <v>2</v>
      </c>
      <c r="O4053">
        <v>1</v>
      </c>
      <c r="P4053">
        <v>0</v>
      </c>
      <c r="Q4053">
        <v>0</v>
      </c>
      <c r="S4053" t="str">
        <f>"20:36:53.227"</f>
        <v>20:36:53.227</v>
      </c>
      <c r="T4053" t="str">
        <f>"20:36:52.727"</f>
        <v>20:36:52.727</v>
      </c>
      <c r="U4053" t="str">
        <f t="shared" si="202"/>
        <v>AB01F4</v>
      </c>
      <c r="V4053">
        <v>0</v>
      </c>
      <c r="W4053">
        <v>0</v>
      </c>
      <c r="X4053">
        <v>2</v>
      </c>
      <c r="Z4053">
        <v>0</v>
      </c>
      <c r="AA4053">
        <v>9</v>
      </c>
      <c r="AB4053">
        <v>3</v>
      </c>
      <c r="AC4053">
        <v>0</v>
      </c>
      <c r="AD4053">
        <v>10</v>
      </c>
      <c r="AE4053">
        <v>0</v>
      </c>
      <c r="AF4053">
        <v>3</v>
      </c>
      <c r="AG4053">
        <v>2</v>
      </c>
      <c r="AH4053">
        <v>0</v>
      </c>
      <c r="AI4053" t="s">
        <v>2275</v>
      </c>
      <c r="AJ4053">
        <v>40.146467999999999</v>
      </c>
      <c r="AK4053" t="s">
        <v>2276</v>
      </c>
      <c r="AL4053">
        <v>-93.113573000000002</v>
      </c>
      <c r="AM4053">
        <v>100</v>
      </c>
      <c r="AN4053">
        <v>1300</v>
      </c>
      <c r="AO4053" t="s">
        <v>118</v>
      </c>
      <c r="AP4053">
        <v>-114</v>
      </c>
      <c r="AQ4053">
        <v>60</v>
      </c>
      <c r="AR4053">
        <v>0</v>
      </c>
      <c r="AZ4053">
        <v>1200</v>
      </c>
      <c r="BA4053">
        <v>1</v>
      </c>
      <c r="BB4053" t="str">
        <f t="shared" si="201"/>
        <v xml:space="preserve">N8080G  </v>
      </c>
      <c r="BC4053">
        <v>1</v>
      </c>
      <c r="BE4053">
        <v>0</v>
      </c>
      <c r="BF4053">
        <v>0</v>
      </c>
      <c r="BG4053">
        <v>0</v>
      </c>
      <c r="BH4053">
        <v>1350</v>
      </c>
      <c r="BI4053">
        <v>1</v>
      </c>
      <c r="BJ4053">
        <v>1</v>
      </c>
      <c r="BK4053">
        <v>1</v>
      </c>
      <c r="BL4053">
        <v>0</v>
      </c>
      <c r="BO4053">
        <v>0</v>
      </c>
      <c r="BP4053">
        <v>0</v>
      </c>
      <c r="BW4053" t="str">
        <f>"20:36:53.228"</f>
        <v>20:36:53.228</v>
      </c>
      <c r="BZ4053">
        <v>0</v>
      </c>
      <c r="CA4053">
        <v>1600</v>
      </c>
      <c r="CB4053">
        <v>224</v>
      </c>
      <c r="CD4053">
        <v>1</v>
      </c>
      <c r="CE4053">
        <v>0</v>
      </c>
      <c r="CF4053">
        <v>0</v>
      </c>
      <c r="CG4053">
        <v>1</v>
      </c>
      <c r="CH4053">
        <v>0</v>
      </c>
      <c r="CI4053">
        <v>0</v>
      </c>
      <c r="CJ4053">
        <v>0</v>
      </c>
      <c r="CK4053">
        <v>2</v>
      </c>
      <c r="CL4053">
        <v>0</v>
      </c>
      <c r="CM4053">
        <v>2</v>
      </c>
      <c r="CN4053">
        <v>0</v>
      </c>
      <c r="CO4053">
        <v>6</v>
      </c>
      <c r="CP4053" t="s">
        <v>119</v>
      </c>
      <c r="CQ4053">
        <v>180</v>
      </c>
      <c r="CR4053">
        <v>3</v>
      </c>
      <c r="CW4053">
        <v>1329326</v>
      </c>
      <c r="CY4053">
        <v>0</v>
      </c>
      <c r="CZ4053">
        <v>0</v>
      </c>
      <c r="DA4053">
        <v>1</v>
      </c>
      <c r="DB4053">
        <v>0</v>
      </c>
      <c r="DC4053">
        <v>0</v>
      </c>
      <c r="DD4053">
        <v>0</v>
      </c>
      <c r="DE4053">
        <v>0</v>
      </c>
      <c r="DF4053">
        <v>0</v>
      </c>
      <c r="DG4053">
        <v>0</v>
      </c>
      <c r="DH4053">
        <v>0</v>
      </c>
      <c r="DI4053">
        <v>0</v>
      </c>
    </row>
    <row r="4054" spans="1:113" x14ac:dyDescent="0.3">
      <c r="A4054" t="str">
        <f>"02/08/2021 20:36:50.883"</f>
        <v>02/08/2021 20:36:50.883</v>
      </c>
      <c r="C4054" t="str">
        <f t="shared" si="200"/>
        <v>FFDFD7C0</v>
      </c>
      <c r="D4054" t="s">
        <v>124</v>
      </c>
      <c r="E4054">
        <v>13</v>
      </c>
      <c r="F4054">
        <v>1013</v>
      </c>
      <c r="G4054" t="s">
        <v>114</v>
      </c>
      <c r="J4054" t="s">
        <v>125</v>
      </c>
      <c r="K4054">
        <v>0</v>
      </c>
      <c r="L4054">
        <v>3</v>
      </c>
      <c r="M4054">
        <v>0</v>
      </c>
      <c r="N4054">
        <v>2</v>
      </c>
      <c r="O4054">
        <v>1</v>
      </c>
      <c r="P4054">
        <v>0</v>
      </c>
      <c r="Q4054">
        <v>0</v>
      </c>
      <c r="S4054" t="str">
        <f>"20:36:53.227"</f>
        <v>20:36:53.227</v>
      </c>
      <c r="T4054" t="str">
        <f>"20:36:52.727"</f>
        <v>20:36:52.727</v>
      </c>
      <c r="U4054" t="str">
        <f t="shared" si="202"/>
        <v>AB01F4</v>
      </c>
      <c r="V4054">
        <v>0</v>
      </c>
      <c r="W4054">
        <v>0</v>
      </c>
      <c r="X4054">
        <v>2</v>
      </c>
      <c r="Z4054">
        <v>0</v>
      </c>
      <c r="AA4054">
        <v>9</v>
      </c>
      <c r="AB4054">
        <v>3</v>
      </c>
      <c r="AC4054">
        <v>0</v>
      </c>
      <c r="AD4054">
        <v>10</v>
      </c>
      <c r="AE4054">
        <v>0</v>
      </c>
      <c r="AF4054">
        <v>3</v>
      </c>
      <c r="AG4054">
        <v>2</v>
      </c>
      <c r="AH4054">
        <v>0</v>
      </c>
      <c r="AI4054" t="s">
        <v>2275</v>
      </c>
      <c r="AJ4054">
        <v>40.146467999999999</v>
      </c>
      <c r="AK4054" t="s">
        <v>2276</v>
      </c>
      <c r="AL4054">
        <v>-93.113573000000002</v>
      </c>
      <c r="AM4054">
        <v>100</v>
      </c>
      <c r="AN4054">
        <v>1300</v>
      </c>
      <c r="AO4054" t="s">
        <v>118</v>
      </c>
      <c r="AP4054">
        <v>-114</v>
      </c>
      <c r="AQ4054">
        <v>60</v>
      </c>
      <c r="AR4054">
        <v>0</v>
      </c>
      <c r="AZ4054">
        <v>1200</v>
      </c>
      <c r="BA4054">
        <v>1</v>
      </c>
      <c r="BB4054" t="str">
        <f t="shared" si="201"/>
        <v xml:space="preserve">N8080G  </v>
      </c>
      <c r="BC4054">
        <v>1</v>
      </c>
      <c r="BE4054">
        <v>0</v>
      </c>
      <c r="BF4054">
        <v>0</v>
      </c>
      <c r="BG4054">
        <v>0</v>
      </c>
      <c r="BH4054">
        <v>1350</v>
      </c>
      <c r="BI4054">
        <v>1</v>
      </c>
      <c r="BJ4054">
        <v>1</v>
      </c>
      <c r="BK4054">
        <v>1</v>
      </c>
      <c r="BL4054">
        <v>0</v>
      </c>
      <c r="BO4054">
        <v>0</v>
      </c>
      <c r="BP4054">
        <v>0</v>
      </c>
      <c r="BW4054" t="str">
        <f>"20:36:53.228"</f>
        <v>20:36:53.228</v>
      </c>
      <c r="BZ4054">
        <v>0</v>
      </c>
      <c r="CA4054">
        <v>1600</v>
      </c>
      <c r="CB4054">
        <v>224</v>
      </c>
      <c r="CD4054">
        <v>1</v>
      </c>
      <c r="CE4054">
        <v>0</v>
      </c>
      <c r="CF4054">
        <v>0</v>
      </c>
      <c r="CG4054">
        <v>1</v>
      </c>
      <c r="CH4054">
        <v>0</v>
      </c>
      <c r="CI4054">
        <v>0</v>
      </c>
      <c r="CJ4054">
        <v>0</v>
      </c>
      <c r="CK4054">
        <v>2</v>
      </c>
      <c r="CL4054">
        <v>0</v>
      </c>
      <c r="CM4054">
        <v>2</v>
      </c>
      <c r="CN4054">
        <v>0</v>
      </c>
      <c r="CO4054">
        <v>6</v>
      </c>
      <c r="CP4054" t="s">
        <v>119</v>
      </c>
      <c r="CQ4054">
        <v>180</v>
      </c>
      <c r="CR4054">
        <v>3</v>
      </c>
      <c r="CW4054">
        <v>1329326</v>
      </c>
      <c r="CY4054">
        <v>0</v>
      </c>
      <c r="CZ4054">
        <v>0</v>
      </c>
      <c r="DA4054">
        <v>1</v>
      </c>
      <c r="DB4054">
        <v>0</v>
      </c>
      <c r="DC4054">
        <v>0</v>
      </c>
      <c r="DD4054">
        <v>0</v>
      </c>
      <c r="DE4054">
        <v>0</v>
      </c>
      <c r="DF4054">
        <v>0</v>
      </c>
      <c r="DG4054">
        <v>0</v>
      </c>
      <c r="DH4054">
        <v>0</v>
      </c>
      <c r="DI4054">
        <v>0</v>
      </c>
    </row>
    <row r="4055" spans="1:113" x14ac:dyDescent="0.3">
      <c r="A4055" t="str">
        <f>"02/08/2021 20:36:51.870"</f>
        <v>02/08/2021 20:36:51.870</v>
      </c>
      <c r="C4055" t="str">
        <f t="shared" si="200"/>
        <v>FFDFD7C0</v>
      </c>
      <c r="D4055" t="s">
        <v>124</v>
      </c>
      <c r="E4055">
        <v>13</v>
      </c>
      <c r="F4055">
        <v>1013</v>
      </c>
      <c r="G4055" t="s">
        <v>114</v>
      </c>
      <c r="J4055" t="s">
        <v>125</v>
      </c>
      <c r="K4055">
        <v>0</v>
      </c>
      <c r="L4055">
        <v>3</v>
      </c>
      <c r="M4055">
        <v>0</v>
      </c>
      <c r="N4055">
        <v>2</v>
      </c>
      <c r="O4055">
        <v>1</v>
      </c>
      <c r="P4055">
        <v>0</v>
      </c>
      <c r="Q4055">
        <v>0</v>
      </c>
      <c r="S4055" t="str">
        <f>"20:36:54.219"</f>
        <v>20:36:54.219</v>
      </c>
      <c r="T4055" t="str">
        <f>"20:36:53.819"</f>
        <v>20:36:53.819</v>
      </c>
      <c r="U4055" t="str">
        <f t="shared" si="202"/>
        <v>AB01F4</v>
      </c>
      <c r="V4055">
        <v>0</v>
      </c>
      <c r="W4055">
        <v>0</v>
      </c>
      <c r="X4055">
        <v>2</v>
      </c>
      <c r="Z4055">
        <v>0</v>
      </c>
      <c r="AA4055">
        <v>9</v>
      </c>
      <c r="AB4055">
        <v>3</v>
      </c>
      <c r="AC4055">
        <v>0</v>
      </c>
      <c r="AD4055">
        <v>10</v>
      </c>
      <c r="AE4055">
        <v>0</v>
      </c>
      <c r="AF4055">
        <v>3</v>
      </c>
      <c r="AG4055">
        <v>2</v>
      </c>
      <c r="AH4055">
        <v>0</v>
      </c>
      <c r="AI4055" t="s">
        <v>2277</v>
      </c>
      <c r="AJ4055">
        <v>40.146704</v>
      </c>
      <c r="AK4055" t="s">
        <v>2278</v>
      </c>
      <c r="AL4055">
        <v>-93.114194999999995</v>
      </c>
      <c r="AM4055">
        <v>100</v>
      </c>
      <c r="AN4055">
        <v>1300</v>
      </c>
      <c r="AO4055" t="s">
        <v>118</v>
      </c>
      <c r="AP4055">
        <v>-114</v>
      </c>
      <c r="AQ4055">
        <v>60</v>
      </c>
      <c r="AR4055">
        <v>0</v>
      </c>
      <c r="AZ4055">
        <v>1200</v>
      </c>
      <c r="BA4055">
        <v>1</v>
      </c>
      <c r="BB4055" t="str">
        <f t="shared" si="201"/>
        <v xml:space="preserve">N8080G  </v>
      </c>
      <c r="BC4055">
        <v>1</v>
      </c>
      <c r="BE4055">
        <v>0</v>
      </c>
      <c r="BF4055">
        <v>0</v>
      </c>
      <c r="BG4055">
        <v>0</v>
      </c>
      <c r="BH4055">
        <v>1350</v>
      </c>
      <c r="BI4055">
        <v>1</v>
      </c>
      <c r="BJ4055">
        <v>1</v>
      </c>
      <c r="BK4055">
        <v>1</v>
      </c>
      <c r="BL4055">
        <v>0</v>
      </c>
      <c r="BO4055">
        <v>0</v>
      </c>
      <c r="BP4055">
        <v>0</v>
      </c>
      <c r="BW4055" t="str">
        <f>"20:36:54.221"</f>
        <v>20:36:54.221</v>
      </c>
      <c r="BZ4055">
        <v>0</v>
      </c>
      <c r="CA4055">
        <v>1600</v>
      </c>
      <c r="CB4055">
        <v>224</v>
      </c>
      <c r="CD4055">
        <v>1</v>
      </c>
      <c r="CE4055">
        <v>0</v>
      </c>
      <c r="CF4055">
        <v>0</v>
      </c>
      <c r="CG4055">
        <v>1</v>
      </c>
      <c r="CH4055">
        <v>0</v>
      </c>
      <c r="CI4055">
        <v>0</v>
      </c>
      <c r="CJ4055">
        <v>0</v>
      </c>
      <c r="CK4055">
        <v>2</v>
      </c>
      <c r="CL4055">
        <v>0</v>
      </c>
      <c r="CM4055">
        <v>2</v>
      </c>
      <c r="CN4055">
        <v>0</v>
      </c>
      <c r="CO4055">
        <v>6</v>
      </c>
      <c r="CP4055" t="s">
        <v>119</v>
      </c>
      <c r="CQ4055">
        <v>180</v>
      </c>
      <c r="CR4055">
        <v>3</v>
      </c>
      <c r="CW4055">
        <v>1330054</v>
      </c>
      <c r="CY4055">
        <v>0</v>
      </c>
      <c r="CZ4055">
        <v>0</v>
      </c>
      <c r="DA4055">
        <v>0</v>
      </c>
      <c r="DB4055">
        <v>0</v>
      </c>
      <c r="DC4055">
        <v>0</v>
      </c>
      <c r="DD4055">
        <v>0</v>
      </c>
      <c r="DE4055">
        <v>0</v>
      </c>
      <c r="DF4055">
        <v>0</v>
      </c>
      <c r="DG4055">
        <v>0</v>
      </c>
      <c r="DH4055">
        <v>0</v>
      </c>
      <c r="DI4055">
        <v>0</v>
      </c>
    </row>
    <row r="4056" spans="1:113" x14ac:dyDescent="0.3">
      <c r="A4056" t="str">
        <f>"02/08/2021 20:36:51.870"</f>
        <v>02/08/2021 20:36:51.870</v>
      </c>
      <c r="C4056" t="str">
        <f t="shared" si="200"/>
        <v>FFDFD7C0</v>
      </c>
      <c r="D4056" t="s">
        <v>113</v>
      </c>
      <c r="E4056">
        <v>6</v>
      </c>
      <c r="H4056">
        <v>165</v>
      </c>
      <c r="I4056" t="s">
        <v>114</v>
      </c>
      <c r="J4056" t="s">
        <v>115</v>
      </c>
      <c r="K4056">
        <v>0</v>
      </c>
      <c r="L4056">
        <v>3</v>
      </c>
      <c r="M4056">
        <v>0</v>
      </c>
      <c r="N4056">
        <v>2</v>
      </c>
      <c r="O4056">
        <v>1</v>
      </c>
      <c r="P4056">
        <v>0</v>
      </c>
      <c r="Q4056">
        <v>0</v>
      </c>
      <c r="S4056" t="str">
        <f>"20:36:54.219"</f>
        <v>20:36:54.219</v>
      </c>
      <c r="T4056" t="str">
        <f>"20:36:53.819"</f>
        <v>20:36:53.819</v>
      </c>
      <c r="U4056" t="str">
        <f t="shared" si="202"/>
        <v>AB01F4</v>
      </c>
      <c r="V4056">
        <v>0</v>
      </c>
      <c r="W4056">
        <v>0</v>
      </c>
      <c r="X4056">
        <v>2</v>
      </c>
      <c r="Z4056">
        <v>0</v>
      </c>
      <c r="AA4056">
        <v>9</v>
      </c>
      <c r="AB4056">
        <v>3</v>
      </c>
      <c r="AC4056">
        <v>0</v>
      </c>
      <c r="AD4056">
        <v>10</v>
      </c>
      <c r="AE4056">
        <v>0</v>
      </c>
      <c r="AF4056">
        <v>3</v>
      </c>
      <c r="AG4056">
        <v>2</v>
      </c>
      <c r="AH4056">
        <v>0</v>
      </c>
      <c r="AI4056" t="s">
        <v>2277</v>
      </c>
      <c r="AJ4056">
        <v>40.146704</v>
      </c>
      <c r="AK4056" t="s">
        <v>2278</v>
      </c>
      <c r="AL4056">
        <v>-93.114194999999995</v>
      </c>
      <c r="AM4056">
        <v>100</v>
      </c>
      <c r="AN4056">
        <v>1300</v>
      </c>
      <c r="AO4056" t="s">
        <v>118</v>
      </c>
      <c r="AP4056">
        <v>-114</v>
      </c>
      <c r="AQ4056">
        <v>60</v>
      </c>
      <c r="AR4056">
        <v>0</v>
      </c>
      <c r="AZ4056">
        <v>1200</v>
      </c>
      <c r="BA4056">
        <v>1</v>
      </c>
      <c r="BB4056" t="str">
        <f t="shared" si="201"/>
        <v xml:space="preserve">N8080G  </v>
      </c>
      <c r="BC4056">
        <v>1</v>
      </c>
      <c r="BE4056">
        <v>0</v>
      </c>
      <c r="BF4056">
        <v>0</v>
      </c>
      <c r="BG4056">
        <v>0</v>
      </c>
      <c r="BH4056">
        <v>1350</v>
      </c>
      <c r="BI4056">
        <v>1</v>
      </c>
      <c r="BJ4056">
        <v>1</v>
      </c>
      <c r="BK4056">
        <v>1</v>
      </c>
      <c r="BL4056">
        <v>0</v>
      </c>
      <c r="BO4056">
        <v>0</v>
      </c>
      <c r="BP4056">
        <v>0</v>
      </c>
      <c r="BW4056" t="str">
        <f>"20:36:54.221"</f>
        <v>20:36:54.221</v>
      </c>
      <c r="BZ4056">
        <v>0</v>
      </c>
      <c r="CA4056">
        <v>1600</v>
      </c>
      <c r="CB4056">
        <v>224</v>
      </c>
      <c r="CD4056">
        <v>1</v>
      </c>
      <c r="CE4056">
        <v>0</v>
      </c>
      <c r="CF4056">
        <v>0</v>
      </c>
      <c r="CG4056">
        <v>1</v>
      </c>
      <c r="CH4056">
        <v>0</v>
      </c>
      <c r="CI4056">
        <v>0</v>
      </c>
      <c r="CJ4056">
        <v>0</v>
      </c>
      <c r="CK4056">
        <v>2</v>
      </c>
      <c r="CL4056">
        <v>0</v>
      </c>
      <c r="CM4056">
        <v>2</v>
      </c>
      <c r="CN4056">
        <v>0</v>
      </c>
      <c r="CO4056">
        <v>6</v>
      </c>
      <c r="CP4056" t="s">
        <v>119</v>
      </c>
      <c r="CQ4056">
        <v>180</v>
      </c>
      <c r="CR4056">
        <v>3</v>
      </c>
      <c r="CW4056">
        <v>1330054</v>
      </c>
      <c r="CY4056">
        <v>0</v>
      </c>
      <c r="CZ4056">
        <v>0</v>
      </c>
      <c r="DA4056">
        <v>1</v>
      </c>
      <c r="DB4056">
        <v>0</v>
      </c>
      <c r="DC4056">
        <v>0</v>
      </c>
      <c r="DD4056">
        <v>0</v>
      </c>
      <c r="DE4056">
        <v>0</v>
      </c>
      <c r="DF4056">
        <v>0</v>
      </c>
      <c r="DG4056">
        <v>0</v>
      </c>
      <c r="DH4056">
        <v>0</v>
      </c>
      <c r="DI4056">
        <v>0</v>
      </c>
    </row>
    <row r="4057" spans="1:113" x14ac:dyDescent="0.3">
      <c r="A4057" t="str">
        <f>"02/08/2021 20:36:51.870"</f>
        <v>02/08/2021 20:36:51.870</v>
      </c>
      <c r="C4057" t="str">
        <f t="shared" si="200"/>
        <v>FFDFD7C0</v>
      </c>
      <c r="D4057" t="s">
        <v>124</v>
      </c>
      <c r="E4057">
        <v>12</v>
      </c>
      <c r="F4057">
        <v>1012</v>
      </c>
      <c r="G4057" t="s">
        <v>675</v>
      </c>
      <c r="J4057" t="s">
        <v>125</v>
      </c>
      <c r="K4057">
        <v>0</v>
      </c>
      <c r="L4057">
        <v>3</v>
      </c>
      <c r="M4057">
        <v>0</v>
      </c>
      <c r="N4057">
        <v>2</v>
      </c>
      <c r="O4057">
        <v>1</v>
      </c>
      <c r="P4057">
        <v>0</v>
      </c>
      <c r="Q4057">
        <v>0</v>
      </c>
      <c r="S4057" t="str">
        <f>"20:36:54.219"</f>
        <v>20:36:54.219</v>
      </c>
      <c r="T4057" t="str">
        <f>"20:36:53.819"</f>
        <v>20:36:53.819</v>
      </c>
      <c r="U4057" t="str">
        <f t="shared" si="202"/>
        <v>AB01F4</v>
      </c>
      <c r="V4057">
        <v>0</v>
      </c>
      <c r="W4057">
        <v>0</v>
      </c>
      <c r="X4057">
        <v>2</v>
      </c>
      <c r="Z4057">
        <v>0</v>
      </c>
      <c r="AA4057">
        <v>9</v>
      </c>
      <c r="AB4057">
        <v>3</v>
      </c>
      <c r="AC4057">
        <v>0</v>
      </c>
      <c r="AD4057">
        <v>10</v>
      </c>
      <c r="AE4057">
        <v>0</v>
      </c>
      <c r="AF4057">
        <v>3</v>
      </c>
      <c r="AG4057">
        <v>2</v>
      </c>
      <c r="AH4057">
        <v>0</v>
      </c>
      <c r="AI4057" t="s">
        <v>2277</v>
      </c>
      <c r="AJ4057">
        <v>40.146704</v>
      </c>
      <c r="AK4057" t="s">
        <v>2278</v>
      </c>
      <c r="AL4057">
        <v>-93.114194999999995</v>
      </c>
      <c r="AM4057">
        <v>100</v>
      </c>
      <c r="AN4057">
        <v>1300</v>
      </c>
      <c r="AO4057" t="s">
        <v>118</v>
      </c>
      <c r="AP4057">
        <v>-114</v>
      </c>
      <c r="AQ4057">
        <v>60</v>
      </c>
      <c r="AR4057">
        <v>0</v>
      </c>
      <c r="AZ4057">
        <v>1200</v>
      </c>
      <c r="BA4057">
        <v>1</v>
      </c>
      <c r="BB4057" t="str">
        <f t="shared" si="201"/>
        <v xml:space="preserve">N8080G  </v>
      </c>
      <c r="BC4057">
        <v>1</v>
      </c>
      <c r="BE4057">
        <v>0</v>
      </c>
      <c r="BF4057">
        <v>0</v>
      </c>
      <c r="BG4057">
        <v>0</v>
      </c>
      <c r="BH4057">
        <v>1350</v>
      </c>
      <c r="BI4057">
        <v>1</v>
      </c>
      <c r="BJ4057">
        <v>1</v>
      </c>
      <c r="BK4057">
        <v>1</v>
      </c>
      <c r="BL4057">
        <v>0</v>
      </c>
      <c r="BO4057">
        <v>0</v>
      </c>
      <c r="BP4057">
        <v>0</v>
      </c>
      <c r="BW4057" t="str">
        <f>"20:36:54.221"</f>
        <v>20:36:54.221</v>
      </c>
      <c r="BZ4057">
        <v>0</v>
      </c>
      <c r="CA4057">
        <v>1600</v>
      </c>
      <c r="CB4057">
        <v>224</v>
      </c>
      <c r="CD4057">
        <v>1</v>
      </c>
      <c r="CE4057">
        <v>0</v>
      </c>
      <c r="CF4057">
        <v>0</v>
      </c>
      <c r="CG4057">
        <v>1</v>
      </c>
      <c r="CH4057">
        <v>0</v>
      </c>
      <c r="CI4057">
        <v>0</v>
      </c>
      <c r="CJ4057">
        <v>0</v>
      </c>
      <c r="CK4057">
        <v>2</v>
      </c>
      <c r="CL4057">
        <v>0</v>
      </c>
      <c r="CM4057">
        <v>2</v>
      </c>
      <c r="CN4057">
        <v>0</v>
      </c>
      <c r="CO4057">
        <v>6</v>
      </c>
      <c r="CP4057" t="s">
        <v>119</v>
      </c>
      <c r="CQ4057">
        <v>180</v>
      </c>
      <c r="CR4057">
        <v>3</v>
      </c>
      <c r="CW4057">
        <v>1330054</v>
      </c>
      <c r="CY4057">
        <v>0</v>
      </c>
      <c r="CZ4057">
        <v>0</v>
      </c>
      <c r="DA4057">
        <v>1</v>
      </c>
      <c r="DB4057">
        <v>0</v>
      </c>
      <c r="DC4057">
        <v>0</v>
      </c>
      <c r="DD4057">
        <v>0</v>
      </c>
      <c r="DE4057">
        <v>0</v>
      </c>
      <c r="DF4057">
        <v>0</v>
      </c>
      <c r="DG4057">
        <v>0</v>
      </c>
      <c r="DH4057">
        <v>0</v>
      </c>
      <c r="DI4057">
        <v>0</v>
      </c>
    </row>
    <row r="4058" spans="1:113" x14ac:dyDescent="0.3">
      <c r="A4058" t="str">
        <f>"02/08/2021 20:36:51.870"</f>
        <v>02/08/2021 20:36:51.870</v>
      </c>
      <c r="C4058" t="str">
        <f t="shared" si="200"/>
        <v>FFDFD7C0</v>
      </c>
      <c r="D4058" t="s">
        <v>124</v>
      </c>
      <c r="E4058">
        <v>11</v>
      </c>
      <c r="F4058">
        <v>1011</v>
      </c>
      <c r="G4058" t="s">
        <v>590</v>
      </c>
      <c r="J4058" t="s">
        <v>125</v>
      </c>
      <c r="K4058">
        <v>0</v>
      </c>
      <c r="L4058">
        <v>3</v>
      </c>
      <c r="M4058">
        <v>0</v>
      </c>
      <c r="N4058">
        <v>2</v>
      </c>
      <c r="O4058">
        <v>1</v>
      </c>
      <c r="P4058">
        <v>0</v>
      </c>
      <c r="Q4058">
        <v>0</v>
      </c>
      <c r="S4058" t="str">
        <f>"20:36:54.219"</f>
        <v>20:36:54.219</v>
      </c>
      <c r="T4058" t="str">
        <f>"20:36:53.819"</f>
        <v>20:36:53.819</v>
      </c>
      <c r="U4058" t="str">
        <f t="shared" si="202"/>
        <v>AB01F4</v>
      </c>
      <c r="V4058">
        <v>0</v>
      </c>
      <c r="W4058">
        <v>0</v>
      </c>
      <c r="X4058">
        <v>2</v>
      </c>
      <c r="Z4058">
        <v>0</v>
      </c>
      <c r="AA4058">
        <v>9</v>
      </c>
      <c r="AB4058">
        <v>3</v>
      </c>
      <c r="AC4058">
        <v>0</v>
      </c>
      <c r="AD4058">
        <v>10</v>
      </c>
      <c r="AE4058">
        <v>0</v>
      </c>
      <c r="AF4058">
        <v>3</v>
      </c>
      <c r="AG4058">
        <v>2</v>
      </c>
      <c r="AH4058">
        <v>0</v>
      </c>
      <c r="AI4058" t="s">
        <v>2277</v>
      </c>
      <c r="AJ4058">
        <v>40.146704</v>
      </c>
      <c r="AK4058" t="s">
        <v>2278</v>
      </c>
      <c r="AL4058">
        <v>-93.114194999999995</v>
      </c>
      <c r="AM4058">
        <v>100</v>
      </c>
      <c r="AN4058">
        <v>1300</v>
      </c>
      <c r="AO4058" t="s">
        <v>118</v>
      </c>
      <c r="AP4058">
        <v>-114</v>
      </c>
      <c r="AQ4058">
        <v>60</v>
      </c>
      <c r="AR4058">
        <v>0</v>
      </c>
      <c r="AZ4058">
        <v>1200</v>
      </c>
      <c r="BA4058">
        <v>1</v>
      </c>
      <c r="BB4058" t="str">
        <f t="shared" si="201"/>
        <v xml:space="preserve">N8080G  </v>
      </c>
      <c r="BC4058">
        <v>1</v>
      </c>
      <c r="BE4058">
        <v>0</v>
      </c>
      <c r="BF4058">
        <v>0</v>
      </c>
      <c r="BG4058">
        <v>0</v>
      </c>
      <c r="BH4058">
        <v>1350</v>
      </c>
      <c r="BI4058">
        <v>1</v>
      </c>
      <c r="BJ4058">
        <v>1</v>
      </c>
      <c r="BK4058">
        <v>1</v>
      </c>
      <c r="BL4058">
        <v>0</v>
      </c>
      <c r="BO4058">
        <v>0</v>
      </c>
      <c r="BP4058">
        <v>0</v>
      </c>
      <c r="BW4058" t="str">
        <f>"20:36:54.221"</f>
        <v>20:36:54.221</v>
      </c>
      <c r="BZ4058">
        <v>0</v>
      </c>
      <c r="CA4058">
        <v>1600</v>
      </c>
      <c r="CB4058">
        <v>224</v>
      </c>
      <c r="CD4058">
        <v>1</v>
      </c>
      <c r="CE4058">
        <v>0</v>
      </c>
      <c r="CF4058">
        <v>0</v>
      </c>
      <c r="CG4058">
        <v>1</v>
      </c>
      <c r="CH4058">
        <v>0</v>
      </c>
      <c r="CI4058">
        <v>0</v>
      </c>
      <c r="CJ4058">
        <v>0</v>
      </c>
      <c r="CK4058">
        <v>2</v>
      </c>
      <c r="CL4058">
        <v>0</v>
      </c>
      <c r="CM4058">
        <v>2</v>
      </c>
      <c r="CN4058">
        <v>0</v>
      </c>
      <c r="CO4058">
        <v>6</v>
      </c>
      <c r="CP4058" t="s">
        <v>119</v>
      </c>
      <c r="CQ4058">
        <v>180</v>
      </c>
      <c r="CR4058">
        <v>3</v>
      </c>
      <c r="CW4058">
        <v>1330054</v>
      </c>
      <c r="CY4058">
        <v>0</v>
      </c>
      <c r="CZ4058">
        <v>0</v>
      </c>
      <c r="DA4058">
        <v>1</v>
      </c>
      <c r="DB4058">
        <v>0</v>
      </c>
      <c r="DC4058">
        <v>0</v>
      </c>
      <c r="DD4058">
        <v>0</v>
      </c>
      <c r="DE4058">
        <v>0</v>
      </c>
      <c r="DF4058">
        <v>0</v>
      </c>
      <c r="DG4058">
        <v>0</v>
      </c>
      <c r="DH4058">
        <v>0</v>
      </c>
      <c r="DI4058">
        <v>0</v>
      </c>
    </row>
    <row r="4059" spans="1:113" x14ac:dyDescent="0.3">
      <c r="A4059" t="str">
        <f>"02/08/2021 20:36:52.867"</f>
        <v>02/08/2021 20:36:52.867</v>
      </c>
      <c r="C4059" t="str">
        <f t="shared" si="200"/>
        <v>FFDFD7C0</v>
      </c>
      <c r="D4059" t="s">
        <v>124</v>
      </c>
      <c r="E4059">
        <v>11</v>
      </c>
      <c r="F4059">
        <v>1011</v>
      </c>
      <c r="G4059" t="s">
        <v>590</v>
      </c>
      <c r="J4059" t="s">
        <v>125</v>
      </c>
      <c r="K4059">
        <v>0</v>
      </c>
      <c r="L4059">
        <v>3</v>
      </c>
      <c r="M4059">
        <v>0</v>
      </c>
      <c r="N4059">
        <v>2</v>
      </c>
      <c r="O4059">
        <v>1</v>
      </c>
      <c r="P4059">
        <v>0</v>
      </c>
      <c r="Q4059">
        <v>0</v>
      </c>
      <c r="S4059" t="str">
        <f>"20:36:55.188"</f>
        <v>20:36:55.188</v>
      </c>
      <c r="T4059" t="str">
        <f>"20:36:54.688"</f>
        <v>20:36:54.688</v>
      </c>
      <c r="U4059" t="str">
        <f t="shared" si="202"/>
        <v>AB01F4</v>
      </c>
      <c r="V4059">
        <v>0</v>
      </c>
      <c r="W4059">
        <v>0</v>
      </c>
      <c r="X4059">
        <v>2</v>
      </c>
      <c r="Z4059">
        <v>0</v>
      </c>
      <c r="AA4059">
        <v>9</v>
      </c>
      <c r="AB4059">
        <v>3</v>
      </c>
      <c r="AC4059">
        <v>0</v>
      </c>
      <c r="AD4059">
        <v>10</v>
      </c>
      <c r="AE4059">
        <v>0</v>
      </c>
      <c r="AF4059">
        <v>3</v>
      </c>
      <c r="AG4059">
        <v>2</v>
      </c>
      <c r="AH4059">
        <v>0</v>
      </c>
      <c r="AI4059" t="s">
        <v>2279</v>
      </c>
      <c r="AJ4059">
        <v>40.146982999999999</v>
      </c>
      <c r="AK4059" t="s">
        <v>2280</v>
      </c>
      <c r="AL4059">
        <v>-93.114859999999993</v>
      </c>
      <c r="AM4059">
        <v>100</v>
      </c>
      <c r="AN4059">
        <v>1300</v>
      </c>
      <c r="AO4059" t="s">
        <v>118</v>
      </c>
      <c r="AP4059">
        <v>-114</v>
      </c>
      <c r="AQ4059">
        <v>60</v>
      </c>
      <c r="AR4059">
        <v>64</v>
      </c>
      <c r="AZ4059">
        <v>1200</v>
      </c>
      <c r="BA4059">
        <v>1</v>
      </c>
      <c r="BB4059" t="str">
        <f t="shared" si="201"/>
        <v xml:space="preserve">N8080G  </v>
      </c>
      <c r="BC4059">
        <v>1</v>
      </c>
      <c r="BE4059">
        <v>0</v>
      </c>
      <c r="BF4059">
        <v>0</v>
      </c>
      <c r="BG4059">
        <v>0</v>
      </c>
      <c r="BH4059">
        <v>1350</v>
      </c>
      <c r="BI4059">
        <v>1</v>
      </c>
      <c r="BJ4059">
        <v>1</v>
      </c>
      <c r="BK4059">
        <v>1</v>
      </c>
      <c r="BL4059">
        <v>0</v>
      </c>
      <c r="BO4059">
        <v>0</v>
      </c>
      <c r="BP4059">
        <v>0</v>
      </c>
      <c r="BW4059" t="str">
        <f>"20:36:55.191"</f>
        <v>20:36:55.191</v>
      </c>
      <c r="BZ4059">
        <v>0</v>
      </c>
      <c r="CA4059">
        <v>1600</v>
      </c>
      <c r="CB4059">
        <v>224</v>
      </c>
      <c r="CD4059">
        <v>1</v>
      </c>
      <c r="CE4059">
        <v>0</v>
      </c>
      <c r="CF4059">
        <v>0</v>
      </c>
      <c r="CG4059">
        <v>1</v>
      </c>
      <c r="CH4059">
        <v>0</v>
      </c>
      <c r="CI4059">
        <v>0</v>
      </c>
      <c r="CJ4059">
        <v>0</v>
      </c>
      <c r="CK4059">
        <v>2</v>
      </c>
      <c r="CL4059">
        <v>0</v>
      </c>
      <c r="CM4059">
        <v>2</v>
      </c>
      <c r="CN4059">
        <v>0</v>
      </c>
      <c r="CO4059">
        <v>6</v>
      </c>
      <c r="CP4059" t="s">
        <v>119</v>
      </c>
      <c r="CQ4059">
        <v>180</v>
      </c>
      <c r="CR4059">
        <v>3</v>
      </c>
      <c r="CW4059">
        <v>1330800</v>
      </c>
      <c r="CY4059">
        <v>0</v>
      </c>
      <c r="CZ4059">
        <v>0</v>
      </c>
      <c r="DA4059">
        <v>0</v>
      </c>
      <c r="DB4059">
        <v>0</v>
      </c>
      <c r="DC4059">
        <v>0</v>
      </c>
      <c r="DD4059">
        <v>0</v>
      </c>
      <c r="DE4059">
        <v>0</v>
      </c>
      <c r="DF4059">
        <v>0</v>
      </c>
      <c r="DG4059">
        <v>0</v>
      </c>
      <c r="DH4059">
        <v>0</v>
      </c>
      <c r="DI4059">
        <v>0</v>
      </c>
    </row>
    <row r="4060" spans="1:113" x14ac:dyDescent="0.3">
      <c r="A4060" t="str">
        <f>"02/08/2021 20:36:52.867"</f>
        <v>02/08/2021 20:36:52.867</v>
      </c>
      <c r="C4060" t="str">
        <f t="shared" si="200"/>
        <v>FFDFD7C0</v>
      </c>
      <c r="D4060" t="s">
        <v>124</v>
      </c>
      <c r="E4060">
        <v>13</v>
      </c>
      <c r="F4060">
        <v>1013</v>
      </c>
      <c r="G4060" t="s">
        <v>114</v>
      </c>
      <c r="J4060" t="s">
        <v>125</v>
      </c>
      <c r="K4060">
        <v>0</v>
      </c>
      <c r="L4060">
        <v>3</v>
      </c>
      <c r="M4060">
        <v>0</v>
      </c>
      <c r="N4060">
        <v>2</v>
      </c>
      <c r="O4060">
        <v>1</v>
      </c>
      <c r="P4060">
        <v>0</v>
      </c>
      <c r="Q4060">
        <v>0</v>
      </c>
      <c r="S4060" t="str">
        <f>"20:36:55.188"</f>
        <v>20:36:55.188</v>
      </c>
      <c r="T4060" t="str">
        <f>"20:36:54.688"</f>
        <v>20:36:54.688</v>
      </c>
      <c r="U4060" t="str">
        <f t="shared" si="202"/>
        <v>AB01F4</v>
      </c>
      <c r="V4060">
        <v>0</v>
      </c>
      <c r="W4060">
        <v>0</v>
      </c>
      <c r="X4060">
        <v>2</v>
      </c>
      <c r="Z4060">
        <v>0</v>
      </c>
      <c r="AA4060">
        <v>9</v>
      </c>
      <c r="AB4060">
        <v>3</v>
      </c>
      <c r="AC4060">
        <v>0</v>
      </c>
      <c r="AD4060">
        <v>10</v>
      </c>
      <c r="AE4060">
        <v>0</v>
      </c>
      <c r="AF4060">
        <v>3</v>
      </c>
      <c r="AG4060">
        <v>2</v>
      </c>
      <c r="AH4060">
        <v>0</v>
      </c>
      <c r="AI4060" t="s">
        <v>2279</v>
      </c>
      <c r="AJ4060">
        <v>40.146982999999999</v>
      </c>
      <c r="AK4060" t="s">
        <v>2280</v>
      </c>
      <c r="AL4060">
        <v>-93.114859999999993</v>
      </c>
      <c r="AM4060">
        <v>100</v>
      </c>
      <c r="AN4060">
        <v>1300</v>
      </c>
      <c r="AO4060" t="s">
        <v>118</v>
      </c>
      <c r="AP4060">
        <v>-114</v>
      </c>
      <c r="AQ4060">
        <v>60</v>
      </c>
      <c r="AR4060">
        <v>64</v>
      </c>
      <c r="AZ4060">
        <v>1200</v>
      </c>
      <c r="BA4060">
        <v>1</v>
      </c>
      <c r="BB4060" t="str">
        <f t="shared" si="201"/>
        <v xml:space="preserve">N8080G  </v>
      </c>
      <c r="BC4060">
        <v>1</v>
      </c>
      <c r="BE4060">
        <v>0</v>
      </c>
      <c r="BF4060">
        <v>0</v>
      </c>
      <c r="BG4060">
        <v>0</v>
      </c>
      <c r="BH4060">
        <v>1350</v>
      </c>
      <c r="BI4060">
        <v>1</v>
      </c>
      <c r="BJ4060">
        <v>1</v>
      </c>
      <c r="BK4060">
        <v>1</v>
      </c>
      <c r="BL4060">
        <v>0</v>
      </c>
      <c r="BO4060">
        <v>0</v>
      </c>
      <c r="BP4060">
        <v>0</v>
      </c>
      <c r="BW4060" t="str">
        <f>"20:36:55.191"</f>
        <v>20:36:55.191</v>
      </c>
      <c r="BZ4060">
        <v>0</v>
      </c>
      <c r="CA4060">
        <v>1600</v>
      </c>
      <c r="CB4060">
        <v>224</v>
      </c>
      <c r="CD4060">
        <v>1</v>
      </c>
      <c r="CE4060">
        <v>0</v>
      </c>
      <c r="CF4060">
        <v>0</v>
      </c>
      <c r="CG4060">
        <v>1</v>
      </c>
      <c r="CH4060">
        <v>0</v>
      </c>
      <c r="CI4060">
        <v>0</v>
      </c>
      <c r="CJ4060">
        <v>0</v>
      </c>
      <c r="CK4060">
        <v>2</v>
      </c>
      <c r="CL4060">
        <v>0</v>
      </c>
      <c r="CM4060">
        <v>2</v>
      </c>
      <c r="CN4060">
        <v>0</v>
      </c>
      <c r="CO4060">
        <v>6</v>
      </c>
      <c r="CP4060" t="s">
        <v>119</v>
      </c>
      <c r="CQ4060">
        <v>180</v>
      </c>
      <c r="CR4060">
        <v>3</v>
      </c>
      <c r="CW4060">
        <v>1330800</v>
      </c>
      <c r="CY4060">
        <v>0</v>
      </c>
      <c r="CZ4060">
        <v>0</v>
      </c>
      <c r="DA4060">
        <v>1</v>
      </c>
      <c r="DB4060">
        <v>0</v>
      </c>
      <c r="DC4060">
        <v>0</v>
      </c>
      <c r="DD4060">
        <v>0</v>
      </c>
      <c r="DE4060">
        <v>0</v>
      </c>
      <c r="DF4060">
        <v>0</v>
      </c>
      <c r="DG4060">
        <v>0</v>
      </c>
      <c r="DH4060">
        <v>0</v>
      </c>
      <c r="DI4060">
        <v>0</v>
      </c>
    </row>
    <row r="4061" spans="1:113" x14ac:dyDescent="0.3">
      <c r="A4061" t="str">
        <f>"02/08/2021 20:36:52.867"</f>
        <v>02/08/2021 20:36:52.867</v>
      </c>
      <c r="C4061" t="str">
        <f t="shared" si="200"/>
        <v>FFDFD7C0</v>
      </c>
      <c r="D4061" t="s">
        <v>113</v>
      </c>
      <c r="E4061">
        <v>6</v>
      </c>
      <c r="H4061">
        <v>165</v>
      </c>
      <c r="I4061" t="s">
        <v>114</v>
      </c>
      <c r="J4061" t="s">
        <v>115</v>
      </c>
      <c r="K4061">
        <v>0</v>
      </c>
      <c r="L4061">
        <v>3</v>
      </c>
      <c r="M4061">
        <v>0</v>
      </c>
      <c r="N4061">
        <v>2</v>
      </c>
      <c r="O4061">
        <v>1</v>
      </c>
      <c r="P4061">
        <v>0</v>
      </c>
      <c r="Q4061">
        <v>0</v>
      </c>
      <c r="S4061" t="str">
        <f>"20:36:55.188"</f>
        <v>20:36:55.188</v>
      </c>
      <c r="T4061" t="str">
        <f>"20:36:54.688"</f>
        <v>20:36:54.688</v>
      </c>
      <c r="U4061" t="str">
        <f t="shared" si="202"/>
        <v>AB01F4</v>
      </c>
      <c r="V4061">
        <v>0</v>
      </c>
      <c r="W4061">
        <v>0</v>
      </c>
      <c r="X4061">
        <v>2</v>
      </c>
      <c r="Z4061">
        <v>0</v>
      </c>
      <c r="AA4061">
        <v>9</v>
      </c>
      <c r="AB4061">
        <v>3</v>
      </c>
      <c r="AC4061">
        <v>0</v>
      </c>
      <c r="AD4061">
        <v>10</v>
      </c>
      <c r="AE4061">
        <v>0</v>
      </c>
      <c r="AF4061">
        <v>3</v>
      </c>
      <c r="AG4061">
        <v>2</v>
      </c>
      <c r="AH4061">
        <v>0</v>
      </c>
      <c r="AI4061" t="s">
        <v>2279</v>
      </c>
      <c r="AJ4061">
        <v>40.146982999999999</v>
      </c>
      <c r="AK4061" t="s">
        <v>2280</v>
      </c>
      <c r="AL4061">
        <v>-93.114859999999993</v>
      </c>
      <c r="AM4061">
        <v>100</v>
      </c>
      <c r="AN4061">
        <v>1300</v>
      </c>
      <c r="AO4061" t="s">
        <v>118</v>
      </c>
      <c r="AP4061">
        <v>-114</v>
      </c>
      <c r="AQ4061">
        <v>60</v>
      </c>
      <c r="AR4061">
        <v>64</v>
      </c>
      <c r="AZ4061">
        <v>1200</v>
      </c>
      <c r="BA4061">
        <v>1</v>
      </c>
      <c r="BB4061" t="str">
        <f t="shared" si="201"/>
        <v xml:space="preserve">N8080G  </v>
      </c>
      <c r="BC4061">
        <v>1</v>
      </c>
      <c r="BE4061">
        <v>0</v>
      </c>
      <c r="BF4061">
        <v>0</v>
      </c>
      <c r="BG4061">
        <v>0</v>
      </c>
      <c r="BH4061">
        <v>1350</v>
      </c>
      <c r="BI4061">
        <v>1</v>
      </c>
      <c r="BJ4061">
        <v>1</v>
      </c>
      <c r="BK4061">
        <v>1</v>
      </c>
      <c r="BL4061">
        <v>0</v>
      </c>
      <c r="BO4061">
        <v>0</v>
      </c>
      <c r="BP4061">
        <v>0</v>
      </c>
      <c r="BW4061" t="str">
        <f>"20:36:55.191"</f>
        <v>20:36:55.191</v>
      </c>
      <c r="BZ4061">
        <v>0</v>
      </c>
      <c r="CA4061">
        <v>1600</v>
      </c>
      <c r="CB4061">
        <v>224</v>
      </c>
      <c r="CD4061">
        <v>1</v>
      </c>
      <c r="CE4061">
        <v>0</v>
      </c>
      <c r="CF4061">
        <v>0</v>
      </c>
      <c r="CG4061">
        <v>1</v>
      </c>
      <c r="CH4061">
        <v>0</v>
      </c>
      <c r="CI4061">
        <v>0</v>
      </c>
      <c r="CJ4061">
        <v>0</v>
      </c>
      <c r="CK4061">
        <v>2</v>
      </c>
      <c r="CL4061">
        <v>0</v>
      </c>
      <c r="CM4061">
        <v>2</v>
      </c>
      <c r="CN4061">
        <v>0</v>
      </c>
      <c r="CO4061">
        <v>6</v>
      </c>
      <c r="CP4061" t="s">
        <v>119</v>
      </c>
      <c r="CQ4061">
        <v>180</v>
      </c>
      <c r="CR4061">
        <v>3</v>
      </c>
      <c r="CW4061">
        <v>1330800</v>
      </c>
      <c r="CY4061">
        <v>0</v>
      </c>
      <c r="CZ4061">
        <v>0</v>
      </c>
      <c r="DA4061">
        <v>1</v>
      </c>
      <c r="DB4061">
        <v>0</v>
      </c>
      <c r="DC4061">
        <v>0</v>
      </c>
      <c r="DD4061">
        <v>0</v>
      </c>
      <c r="DE4061">
        <v>0</v>
      </c>
      <c r="DF4061">
        <v>0</v>
      </c>
      <c r="DG4061">
        <v>0</v>
      </c>
      <c r="DH4061">
        <v>0</v>
      </c>
      <c r="DI4061">
        <v>0</v>
      </c>
    </row>
    <row r="4062" spans="1:113" x14ac:dyDescent="0.3">
      <c r="A4062" t="str">
        <f>"02/08/2021 20:36:52.867"</f>
        <v>02/08/2021 20:36:52.867</v>
      </c>
      <c r="C4062" t="str">
        <f t="shared" si="200"/>
        <v>FFDFD7C0</v>
      </c>
      <c r="D4062" t="s">
        <v>124</v>
      </c>
      <c r="E4062">
        <v>12</v>
      </c>
      <c r="F4062">
        <v>1012</v>
      </c>
      <c r="G4062" t="s">
        <v>675</v>
      </c>
      <c r="J4062" t="s">
        <v>125</v>
      </c>
      <c r="K4062">
        <v>0</v>
      </c>
      <c r="L4062">
        <v>3</v>
      </c>
      <c r="M4062">
        <v>0</v>
      </c>
      <c r="N4062">
        <v>2</v>
      </c>
      <c r="O4062">
        <v>1</v>
      </c>
      <c r="P4062">
        <v>0</v>
      </c>
      <c r="Q4062">
        <v>0</v>
      </c>
      <c r="S4062" t="str">
        <f>"20:36:55.188"</f>
        <v>20:36:55.188</v>
      </c>
      <c r="T4062" t="str">
        <f>"20:36:54.688"</f>
        <v>20:36:54.688</v>
      </c>
      <c r="U4062" t="str">
        <f t="shared" si="202"/>
        <v>AB01F4</v>
      </c>
      <c r="V4062">
        <v>0</v>
      </c>
      <c r="W4062">
        <v>0</v>
      </c>
      <c r="X4062">
        <v>2</v>
      </c>
      <c r="Z4062">
        <v>0</v>
      </c>
      <c r="AA4062">
        <v>9</v>
      </c>
      <c r="AB4062">
        <v>3</v>
      </c>
      <c r="AC4062">
        <v>0</v>
      </c>
      <c r="AD4062">
        <v>10</v>
      </c>
      <c r="AE4062">
        <v>0</v>
      </c>
      <c r="AF4062">
        <v>3</v>
      </c>
      <c r="AG4062">
        <v>2</v>
      </c>
      <c r="AH4062">
        <v>0</v>
      </c>
      <c r="AI4062" t="s">
        <v>2279</v>
      </c>
      <c r="AJ4062">
        <v>40.146982999999999</v>
      </c>
      <c r="AK4062" t="s">
        <v>2280</v>
      </c>
      <c r="AL4062">
        <v>-93.114859999999993</v>
      </c>
      <c r="AM4062">
        <v>100</v>
      </c>
      <c r="AN4062">
        <v>1300</v>
      </c>
      <c r="AO4062" t="s">
        <v>118</v>
      </c>
      <c r="AP4062">
        <v>-114</v>
      </c>
      <c r="AQ4062">
        <v>60</v>
      </c>
      <c r="AR4062">
        <v>64</v>
      </c>
      <c r="AZ4062">
        <v>1200</v>
      </c>
      <c r="BA4062">
        <v>1</v>
      </c>
      <c r="BB4062" t="str">
        <f t="shared" si="201"/>
        <v xml:space="preserve">N8080G  </v>
      </c>
      <c r="BC4062">
        <v>1</v>
      </c>
      <c r="BE4062">
        <v>0</v>
      </c>
      <c r="BF4062">
        <v>0</v>
      </c>
      <c r="BG4062">
        <v>0</v>
      </c>
      <c r="BH4062">
        <v>1350</v>
      </c>
      <c r="BI4062">
        <v>1</v>
      </c>
      <c r="BJ4062">
        <v>1</v>
      </c>
      <c r="BK4062">
        <v>1</v>
      </c>
      <c r="BL4062">
        <v>0</v>
      </c>
      <c r="BO4062">
        <v>0</v>
      </c>
      <c r="BP4062">
        <v>0</v>
      </c>
      <c r="BW4062" t="str">
        <f>"20:36:55.191"</f>
        <v>20:36:55.191</v>
      </c>
      <c r="BZ4062">
        <v>0</v>
      </c>
      <c r="CA4062">
        <v>1600</v>
      </c>
      <c r="CB4062">
        <v>224</v>
      </c>
      <c r="CD4062">
        <v>1</v>
      </c>
      <c r="CE4062">
        <v>0</v>
      </c>
      <c r="CF4062">
        <v>0</v>
      </c>
      <c r="CG4062">
        <v>1</v>
      </c>
      <c r="CH4062">
        <v>0</v>
      </c>
      <c r="CI4062">
        <v>0</v>
      </c>
      <c r="CJ4062">
        <v>0</v>
      </c>
      <c r="CK4062">
        <v>2</v>
      </c>
      <c r="CL4062">
        <v>0</v>
      </c>
      <c r="CM4062">
        <v>2</v>
      </c>
      <c r="CN4062">
        <v>0</v>
      </c>
      <c r="CO4062">
        <v>6</v>
      </c>
      <c r="CP4062" t="s">
        <v>119</v>
      </c>
      <c r="CQ4062">
        <v>180</v>
      </c>
      <c r="CR4062">
        <v>3</v>
      </c>
      <c r="CW4062">
        <v>1330800</v>
      </c>
      <c r="CY4062">
        <v>0</v>
      </c>
      <c r="CZ4062">
        <v>0</v>
      </c>
      <c r="DA4062">
        <v>1</v>
      </c>
      <c r="DB4062">
        <v>0</v>
      </c>
      <c r="DC4062">
        <v>0</v>
      </c>
      <c r="DD4062">
        <v>0</v>
      </c>
      <c r="DE4062">
        <v>0</v>
      </c>
      <c r="DF4062">
        <v>0</v>
      </c>
      <c r="DG4062">
        <v>0</v>
      </c>
      <c r="DH4062">
        <v>0</v>
      </c>
      <c r="DI4062">
        <v>0</v>
      </c>
    </row>
    <row r="4063" spans="1:113" x14ac:dyDescent="0.3">
      <c r="A4063" t="str">
        <f>"02/08/2021 20:36:53.927"</f>
        <v>02/08/2021 20:36:53.927</v>
      </c>
      <c r="C4063" t="str">
        <f t="shared" si="200"/>
        <v>FFDFD7C0</v>
      </c>
      <c r="D4063" t="s">
        <v>124</v>
      </c>
      <c r="E4063">
        <v>11</v>
      </c>
      <c r="F4063">
        <v>1011</v>
      </c>
      <c r="G4063" t="s">
        <v>590</v>
      </c>
      <c r="J4063" t="s">
        <v>125</v>
      </c>
      <c r="K4063">
        <v>0</v>
      </c>
      <c r="L4063">
        <v>3</v>
      </c>
      <c r="M4063">
        <v>0</v>
      </c>
      <c r="N4063">
        <v>2</v>
      </c>
      <c r="O4063">
        <v>1</v>
      </c>
      <c r="P4063">
        <v>0</v>
      </c>
      <c r="Q4063">
        <v>0</v>
      </c>
      <c r="S4063" t="str">
        <f>"20:36:56.258"</f>
        <v>20:36:56.258</v>
      </c>
      <c r="T4063" t="str">
        <f>"20:36:55.758"</f>
        <v>20:36:55.758</v>
      </c>
      <c r="U4063" t="str">
        <f t="shared" si="202"/>
        <v>AB01F4</v>
      </c>
      <c r="V4063">
        <v>0</v>
      </c>
      <c r="W4063">
        <v>0</v>
      </c>
      <c r="X4063">
        <v>2</v>
      </c>
      <c r="Z4063">
        <v>0</v>
      </c>
      <c r="AA4063">
        <v>9</v>
      </c>
      <c r="AB4063">
        <v>3</v>
      </c>
      <c r="AC4063">
        <v>0</v>
      </c>
      <c r="AD4063">
        <v>10</v>
      </c>
      <c r="AE4063">
        <v>0</v>
      </c>
      <c r="AF4063">
        <v>3</v>
      </c>
      <c r="AG4063">
        <v>2</v>
      </c>
      <c r="AH4063">
        <v>0</v>
      </c>
      <c r="AI4063" t="s">
        <v>2281</v>
      </c>
      <c r="AJ4063">
        <v>40.147261999999998</v>
      </c>
      <c r="AK4063" t="s">
        <v>2282</v>
      </c>
      <c r="AL4063">
        <v>-93.115633000000003</v>
      </c>
      <c r="AM4063">
        <v>100</v>
      </c>
      <c r="AN4063">
        <v>1300</v>
      </c>
      <c r="AO4063" t="s">
        <v>118</v>
      </c>
      <c r="AP4063">
        <v>-115</v>
      </c>
      <c r="AQ4063">
        <v>60</v>
      </c>
      <c r="AR4063">
        <v>-64</v>
      </c>
      <c r="AZ4063">
        <v>1200</v>
      </c>
      <c r="BA4063">
        <v>1</v>
      </c>
      <c r="BB4063" t="str">
        <f t="shared" si="201"/>
        <v xml:space="preserve">N8080G  </v>
      </c>
      <c r="BC4063">
        <v>1</v>
      </c>
      <c r="BE4063">
        <v>0</v>
      </c>
      <c r="BF4063">
        <v>0</v>
      </c>
      <c r="BG4063">
        <v>0</v>
      </c>
      <c r="BH4063">
        <v>1350</v>
      </c>
      <c r="BI4063">
        <v>1</v>
      </c>
      <c r="BJ4063">
        <v>1</v>
      </c>
      <c r="BK4063">
        <v>1</v>
      </c>
      <c r="BL4063">
        <v>0</v>
      </c>
      <c r="BO4063">
        <v>0</v>
      </c>
      <c r="BP4063">
        <v>0</v>
      </c>
      <c r="BW4063" t="str">
        <f>"20:36:56.262"</f>
        <v>20:36:56.262</v>
      </c>
      <c r="BZ4063">
        <v>0</v>
      </c>
      <c r="CA4063">
        <v>1600</v>
      </c>
      <c r="CB4063">
        <v>224</v>
      </c>
      <c r="CD4063">
        <v>1</v>
      </c>
      <c r="CE4063">
        <v>0</v>
      </c>
      <c r="CF4063">
        <v>0</v>
      </c>
      <c r="CG4063">
        <v>1</v>
      </c>
      <c r="CH4063">
        <v>0</v>
      </c>
      <c r="CI4063">
        <v>0</v>
      </c>
      <c r="CJ4063">
        <v>0</v>
      </c>
      <c r="CK4063">
        <v>2</v>
      </c>
      <c r="CL4063">
        <v>0</v>
      </c>
      <c r="CM4063">
        <v>2</v>
      </c>
      <c r="CN4063">
        <v>0</v>
      </c>
      <c r="CO4063">
        <v>6</v>
      </c>
      <c r="CP4063" t="s">
        <v>119</v>
      </c>
      <c r="CQ4063">
        <v>180</v>
      </c>
      <c r="CR4063">
        <v>3</v>
      </c>
      <c r="CW4063">
        <v>1331651</v>
      </c>
      <c r="CY4063">
        <v>0</v>
      </c>
      <c r="CZ4063">
        <v>0</v>
      </c>
      <c r="DA4063">
        <v>0</v>
      </c>
      <c r="DB4063">
        <v>0</v>
      </c>
      <c r="DC4063">
        <v>0</v>
      </c>
      <c r="DD4063">
        <v>0</v>
      </c>
      <c r="DE4063">
        <v>0</v>
      </c>
      <c r="DF4063">
        <v>0</v>
      </c>
      <c r="DG4063">
        <v>0</v>
      </c>
      <c r="DH4063">
        <v>0</v>
      </c>
      <c r="DI4063">
        <v>0</v>
      </c>
    </row>
    <row r="4064" spans="1:113" x14ac:dyDescent="0.3">
      <c r="A4064" t="str">
        <f>"02/08/2021 20:36:53.927"</f>
        <v>02/08/2021 20:36:53.927</v>
      </c>
      <c r="C4064" t="str">
        <f t="shared" si="200"/>
        <v>FFDFD7C0</v>
      </c>
      <c r="D4064" t="s">
        <v>124</v>
      </c>
      <c r="E4064">
        <v>13</v>
      </c>
      <c r="F4064">
        <v>1013</v>
      </c>
      <c r="G4064" t="s">
        <v>114</v>
      </c>
      <c r="J4064" t="s">
        <v>125</v>
      </c>
      <c r="K4064">
        <v>0</v>
      </c>
      <c r="L4064">
        <v>3</v>
      </c>
      <c r="M4064">
        <v>0</v>
      </c>
      <c r="N4064">
        <v>2</v>
      </c>
      <c r="O4064">
        <v>1</v>
      </c>
      <c r="P4064">
        <v>0</v>
      </c>
      <c r="Q4064">
        <v>0</v>
      </c>
      <c r="S4064" t="str">
        <f>"20:36:56.258"</f>
        <v>20:36:56.258</v>
      </c>
      <c r="T4064" t="str">
        <f>"20:36:55.758"</f>
        <v>20:36:55.758</v>
      </c>
      <c r="U4064" t="str">
        <f t="shared" si="202"/>
        <v>AB01F4</v>
      </c>
      <c r="V4064">
        <v>0</v>
      </c>
      <c r="W4064">
        <v>0</v>
      </c>
      <c r="X4064">
        <v>2</v>
      </c>
      <c r="Z4064">
        <v>0</v>
      </c>
      <c r="AA4064">
        <v>9</v>
      </c>
      <c r="AB4064">
        <v>3</v>
      </c>
      <c r="AC4064">
        <v>0</v>
      </c>
      <c r="AD4064">
        <v>10</v>
      </c>
      <c r="AE4064">
        <v>0</v>
      </c>
      <c r="AF4064">
        <v>3</v>
      </c>
      <c r="AG4064">
        <v>2</v>
      </c>
      <c r="AH4064">
        <v>0</v>
      </c>
      <c r="AI4064" t="s">
        <v>2281</v>
      </c>
      <c r="AJ4064">
        <v>40.147261999999998</v>
      </c>
      <c r="AK4064" t="s">
        <v>2282</v>
      </c>
      <c r="AL4064">
        <v>-93.115633000000003</v>
      </c>
      <c r="AM4064">
        <v>100</v>
      </c>
      <c r="AN4064">
        <v>1300</v>
      </c>
      <c r="AO4064" t="s">
        <v>118</v>
      </c>
      <c r="AP4064">
        <v>-115</v>
      </c>
      <c r="AQ4064">
        <v>60</v>
      </c>
      <c r="AR4064">
        <v>-64</v>
      </c>
      <c r="AZ4064">
        <v>1200</v>
      </c>
      <c r="BA4064">
        <v>1</v>
      </c>
      <c r="BB4064" t="str">
        <f t="shared" si="201"/>
        <v xml:space="preserve">N8080G  </v>
      </c>
      <c r="BC4064">
        <v>1</v>
      </c>
      <c r="BE4064">
        <v>0</v>
      </c>
      <c r="BF4064">
        <v>0</v>
      </c>
      <c r="BG4064">
        <v>0</v>
      </c>
      <c r="BH4064">
        <v>1350</v>
      </c>
      <c r="BI4064">
        <v>1</v>
      </c>
      <c r="BJ4064">
        <v>1</v>
      </c>
      <c r="BK4064">
        <v>1</v>
      </c>
      <c r="BL4064">
        <v>0</v>
      </c>
      <c r="BO4064">
        <v>0</v>
      </c>
      <c r="BP4064">
        <v>0</v>
      </c>
      <c r="BW4064" t="str">
        <f>"20:36:56.262"</f>
        <v>20:36:56.262</v>
      </c>
      <c r="BZ4064">
        <v>0</v>
      </c>
      <c r="CA4064">
        <v>1600</v>
      </c>
      <c r="CB4064">
        <v>224</v>
      </c>
      <c r="CD4064">
        <v>1</v>
      </c>
      <c r="CE4064">
        <v>0</v>
      </c>
      <c r="CF4064">
        <v>0</v>
      </c>
      <c r="CG4064">
        <v>1</v>
      </c>
      <c r="CH4064">
        <v>0</v>
      </c>
      <c r="CI4064">
        <v>0</v>
      </c>
      <c r="CJ4064">
        <v>0</v>
      </c>
      <c r="CK4064">
        <v>2</v>
      </c>
      <c r="CL4064">
        <v>0</v>
      </c>
      <c r="CM4064">
        <v>2</v>
      </c>
      <c r="CN4064">
        <v>0</v>
      </c>
      <c r="CO4064">
        <v>6</v>
      </c>
      <c r="CP4064" t="s">
        <v>119</v>
      </c>
      <c r="CQ4064">
        <v>180</v>
      </c>
      <c r="CR4064">
        <v>3</v>
      </c>
      <c r="CW4064">
        <v>1331651</v>
      </c>
      <c r="CY4064">
        <v>0</v>
      </c>
      <c r="CZ4064">
        <v>0</v>
      </c>
      <c r="DA4064">
        <v>1</v>
      </c>
      <c r="DB4064">
        <v>0</v>
      </c>
      <c r="DC4064">
        <v>0</v>
      </c>
      <c r="DD4064">
        <v>0</v>
      </c>
      <c r="DE4064">
        <v>0</v>
      </c>
      <c r="DF4064">
        <v>0</v>
      </c>
      <c r="DG4064">
        <v>0</v>
      </c>
      <c r="DH4064">
        <v>0</v>
      </c>
      <c r="DI4064">
        <v>0</v>
      </c>
    </row>
    <row r="4065" spans="1:113" x14ac:dyDescent="0.3">
      <c r="A4065" t="str">
        <f>"02/08/2021 20:36:53.927"</f>
        <v>02/08/2021 20:36:53.927</v>
      </c>
      <c r="C4065" t="str">
        <f t="shared" si="200"/>
        <v>FFDFD7C0</v>
      </c>
      <c r="D4065" t="s">
        <v>113</v>
      </c>
      <c r="E4065">
        <v>6</v>
      </c>
      <c r="H4065">
        <v>165</v>
      </c>
      <c r="I4065" t="s">
        <v>114</v>
      </c>
      <c r="J4065" t="s">
        <v>115</v>
      </c>
      <c r="K4065">
        <v>0</v>
      </c>
      <c r="L4065">
        <v>3</v>
      </c>
      <c r="M4065">
        <v>0</v>
      </c>
      <c r="N4065">
        <v>2</v>
      </c>
      <c r="O4065">
        <v>1</v>
      </c>
      <c r="P4065">
        <v>0</v>
      </c>
      <c r="Q4065">
        <v>0</v>
      </c>
      <c r="S4065" t="str">
        <f>"20:36:56.258"</f>
        <v>20:36:56.258</v>
      </c>
      <c r="T4065" t="str">
        <f>"20:36:55.758"</f>
        <v>20:36:55.758</v>
      </c>
      <c r="U4065" t="str">
        <f t="shared" si="202"/>
        <v>AB01F4</v>
      </c>
      <c r="V4065">
        <v>0</v>
      </c>
      <c r="W4065">
        <v>0</v>
      </c>
      <c r="X4065">
        <v>2</v>
      </c>
      <c r="Z4065">
        <v>0</v>
      </c>
      <c r="AA4065">
        <v>9</v>
      </c>
      <c r="AB4065">
        <v>3</v>
      </c>
      <c r="AC4065">
        <v>0</v>
      </c>
      <c r="AD4065">
        <v>10</v>
      </c>
      <c r="AE4065">
        <v>0</v>
      </c>
      <c r="AF4065">
        <v>3</v>
      </c>
      <c r="AG4065">
        <v>2</v>
      </c>
      <c r="AH4065">
        <v>0</v>
      </c>
      <c r="AI4065" t="s">
        <v>2281</v>
      </c>
      <c r="AJ4065">
        <v>40.147261999999998</v>
      </c>
      <c r="AK4065" t="s">
        <v>2282</v>
      </c>
      <c r="AL4065">
        <v>-93.115633000000003</v>
      </c>
      <c r="AM4065">
        <v>100</v>
      </c>
      <c r="AN4065">
        <v>1300</v>
      </c>
      <c r="AO4065" t="s">
        <v>118</v>
      </c>
      <c r="AP4065">
        <v>-115</v>
      </c>
      <c r="AQ4065">
        <v>60</v>
      </c>
      <c r="AR4065">
        <v>-64</v>
      </c>
      <c r="AZ4065">
        <v>1200</v>
      </c>
      <c r="BA4065">
        <v>1</v>
      </c>
      <c r="BB4065" t="str">
        <f t="shared" si="201"/>
        <v xml:space="preserve">N8080G  </v>
      </c>
      <c r="BC4065">
        <v>1</v>
      </c>
      <c r="BE4065">
        <v>0</v>
      </c>
      <c r="BF4065">
        <v>0</v>
      </c>
      <c r="BG4065">
        <v>0</v>
      </c>
      <c r="BH4065">
        <v>1350</v>
      </c>
      <c r="BI4065">
        <v>1</v>
      </c>
      <c r="BJ4065">
        <v>1</v>
      </c>
      <c r="BK4065">
        <v>1</v>
      </c>
      <c r="BL4065">
        <v>0</v>
      </c>
      <c r="BO4065">
        <v>0</v>
      </c>
      <c r="BP4065">
        <v>0</v>
      </c>
      <c r="BW4065" t="str">
        <f>"20:36:56.262"</f>
        <v>20:36:56.262</v>
      </c>
      <c r="BZ4065">
        <v>0</v>
      </c>
      <c r="CA4065">
        <v>1600</v>
      </c>
      <c r="CB4065">
        <v>224</v>
      </c>
      <c r="CD4065">
        <v>1</v>
      </c>
      <c r="CE4065">
        <v>0</v>
      </c>
      <c r="CF4065">
        <v>0</v>
      </c>
      <c r="CG4065">
        <v>1</v>
      </c>
      <c r="CH4065">
        <v>0</v>
      </c>
      <c r="CI4065">
        <v>0</v>
      </c>
      <c r="CJ4065">
        <v>0</v>
      </c>
      <c r="CK4065">
        <v>2</v>
      </c>
      <c r="CL4065">
        <v>0</v>
      </c>
      <c r="CM4065">
        <v>2</v>
      </c>
      <c r="CN4065">
        <v>0</v>
      </c>
      <c r="CO4065">
        <v>6</v>
      </c>
      <c r="CP4065" t="s">
        <v>119</v>
      </c>
      <c r="CQ4065">
        <v>180</v>
      </c>
      <c r="CR4065">
        <v>3</v>
      </c>
      <c r="CW4065">
        <v>1331651</v>
      </c>
      <c r="CY4065">
        <v>0</v>
      </c>
      <c r="CZ4065">
        <v>0</v>
      </c>
      <c r="DA4065">
        <v>1</v>
      </c>
      <c r="DB4065">
        <v>0</v>
      </c>
      <c r="DC4065">
        <v>0</v>
      </c>
      <c r="DD4065">
        <v>0</v>
      </c>
      <c r="DE4065">
        <v>0</v>
      </c>
      <c r="DF4065">
        <v>0</v>
      </c>
      <c r="DG4065">
        <v>0</v>
      </c>
      <c r="DH4065">
        <v>0</v>
      </c>
      <c r="DI4065">
        <v>0</v>
      </c>
    </row>
    <row r="4066" spans="1:113" x14ac:dyDescent="0.3">
      <c r="A4066" t="str">
        <f>"02/08/2021 20:36:53.927"</f>
        <v>02/08/2021 20:36:53.927</v>
      </c>
      <c r="C4066" t="str">
        <f t="shared" si="200"/>
        <v>FFDFD7C0</v>
      </c>
      <c r="D4066" t="s">
        <v>124</v>
      </c>
      <c r="E4066">
        <v>12</v>
      </c>
      <c r="F4066">
        <v>1012</v>
      </c>
      <c r="G4066" t="s">
        <v>675</v>
      </c>
      <c r="J4066" t="s">
        <v>125</v>
      </c>
      <c r="K4066">
        <v>0</v>
      </c>
      <c r="L4066">
        <v>3</v>
      </c>
      <c r="M4066">
        <v>0</v>
      </c>
      <c r="N4066">
        <v>2</v>
      </c>
      <c r="O4066">
        <v>1</v>
      </c>
      <c r="P4066">
        <v>0</v>
      </c>
      <c r="Q4066">
        <v>0</v>
      </c>
      <c r="S4066" t="str">
        <f>"20:36:56.258"</f>
        <v>20:36:56.258</v>
      </c>
      <c r="T4066" t="str">
        <f>"20:36:55.758"</f>
        <v>20:36:55.758</v>
      </c>
      <c r="U4066" t="str">
        <f t="shared" si="202"/>
        <v>AB01F4</v>
      </c>
      <c r="V4066">
        <v>0</v>
      </c>
      <c r="W4066">
        <v>0</v>
      </c>
      <c r="X4066">
        <v>2</v>
      </c>
      <c r="Z4066">
        <v>0</v>
      </c>
      <c r="AA4066">
        <v>9</v>
      </c>
      <c r="AB4066">
        <v>3</v>
      </c>
      <c r="AC4066">
        <v>0</v>
      </c>
      <c r="AD4066">
        <v>10</v>
      </c>
      <c r="AE4066">
        <v>0</v>
      </c>
      <c r="AF4066">
        <v>3</v>
      </c>
      <c r="AG4066">
        <v>2</v>
      </c>
      <c r="AH4066">
        <v>0</v>
      </c>
      <c r="AI4066" t="s">
        <v>2281</v>
      </c>
      <c r="AJ4066">
        <v>40.147261999999998</v>
      </c>
      <c r="AK4066" t="s">
        <v>2282</v>
      </c>
      <c r="AL4066">
        <v>-93.115633000000003</v>
      </c>
      <c r="AM4066">
        <v>100</v>
      </c>
      <c r="AN4066">
        <v>1300</v>
      </c>
      <c r="AO4066" t="s">
        <v>118</v>
      </c>
      <c r="AP4066">
        <v>-115</v>
      </c>
      <c r="AQ4066">
        <v>60</v>
      </c>
      <c r="AR4066">
        <v>-64</v>
      </c>
      <c r="AZ4066">
        <v>1200</v>
      </c>
      <c r="BA4066">
        <v>1</v>
      </c>
      <c r="BB4066" t="str">
        <f t="shared" si="201"/>
        <v xml:space="preserve">N8080G  </v>
      </c>
      <c r="BC4066">
        <v>1</v>
      </c>
      <c r="BE4066">
        <v>0</v>
      </c>
      <c r="BF4066">
        <v>0</v>
      </c>
      <c r="BG4066">
        <v>0</v>
      </c>
      <c r="BH4066">
        <v>1350</v>
      </c>
      <c r="BI4066">
        <v>1</v>
      </c>
      <c r="BJ4066">
        <v>1</v>
      </c>
      <c r="BK4066">
        <v>1</v>
      </c>
      <c r="BL4066">
        <v>0</v>
      </c>
      <c r="BO4066">
        <v>0</v>
      </c>
      <c r="BP4066">
        <v>0</v>
      </c>
      <c r="BW4066" t="str">
        <f>"20:36:56.262"</f>
        <v>20:36:56.262</v>
      </c>
      <c r="BZ4066">
        <v>0</v>
      </c>
      <c r="CA4066">
        <v>1600</v>
      </c>
      <c r="CB4066">
        <v>224</v>
      </c>
      <c r="CD4066">
        <v>1</v>
      </c>
      <c r="CE4066">
        <v>0</v>
      </c>
      <c r="CF4066">
        <v>0</v>
      </c>
      <c r="CG4066">
        <v>1</v>
      </c>
      <c r="CH4066">
        <v>0</v>
      </c>
      <c r="CI4066">
        <v>0</v>
      </c>
      <c r="CJ4066">
        <v>0</v>
      </c>
      <c r="CK4066">
        <v>2</v>
      </c>
      <c r="CL4066">
        <v>0</v>
      </c>
      <c r="CM4066">
        <v>2</v>
      </c>
      <c r="CN4066">
        <v>0</v>
      </c>
      <c r="CO4066">
        <v>6</v>
      </c>
      <c r="CP4066" t="s">
        <v>119</v>
      </c>
      <c r="CQ4066">
        <v>180</v>
      </c>
      <c r="CR4066">
        <v>3</v>
      </c>
      <c r="CW4066">
        <v>1331651</v>
      </c>
      <c r="CY4066">
        <v>0</v>
      </c>
      <c r="CZ4066">
        <v>0</v>
      </c>
      <c r="DA4066">
        <v>1</v>
      </c>
      <c r="DB4066">
        <v>0</v>
      </c>
      <c r="DC4066">
        <v>0</v>
      </c>
      <c r="DD4066">
        <v>0</v>
      </c>
      <c r="DE4066">
        <v>0</v>
      </c>
      <c r="DF4066">
        <v>0</v>
      </c>
      <c r="DG4066">
        <v>0</v>
      </c>
      <c r="DH4066">
        <v>0</v>
      </c>
      <c r="DI4066">
        <v>0</v>
      </c>
    </row>
    <row r="4067" spans="1:113" x14ac:dyDescent="0.3">
      <c r="A4067" t="str">
        <f>"02/08/2021 20:36:56.059"</f>
        <v>02/08/2021 20:36:56.059</v>
      </c>
      <c r="C4067" t="str">
        <f t="shared" si="200"/>
        <v>FFDFD7C0</v>
      </c>
      <c r="D4067" t="s">
        <v>124</v>
      </c>
      <c r="E4067">
        <v>12</v>
      </c>
      <c r="F4067">
        <v>1012</v>
      </c>
      <c r="G4067" t="s">
        <v>675</v>
      </c>
      <c r="J4067" t="s">
        <v>125</v>
      </c>
      <c r="K4067">
        <v>0</v>
      </c>
      <c r="L4067">
        <v>3</v>
      </c>
      <c r="M4067">
        <v>0</v>
      </c>
      <c r="N4067">
        <v>2</v>
      </c>
      <c r="O4067">
        <v>1</v>
      </c>
      <c r="P4067">
        <v>0</v>
      </c>
      <c r="Q4067">
        <v>0</v>
      </c>
      <c r="S4067" t="str">
        <f>"20:36:58.367"</f>
        <v>20:36:58.367</v>
      </c>
      <c r="T4067" t="str">
        <f>"20:36:57.967"</f>
        <v>20:36:57.967</v>
      </c>
      <c r="U4067" t="str">
        <f t="shared" si="202"/>
        <v>AB01F4</v>
      </c>
      <c r="V4067">
        <v>0</v>
      </c>
      <c r="W4067">
        <v>0</v>
      </c>
      <c r="X4067">
        <v>2</v>
      </c>
      <c r="Z4067">
        <v>0</v>
      </c>
      <c r="AA4067">
        <v>9</v>
      </c>
      <c r="AB4067">
        <v>3</v>
      </c>
      <c r="AC4067">
        <v>0</v>
      </c>
      <c r="AD4067">
        <v>10</v>
      </c>
      <c r="AE4067">
        <v>0</v>
      </c>
      <c r="AF4067">
        <v>3</v>
      </c>
      <c r="AG4067">
        <v>2</v>
      </c>
      <c r="AH4067">
        <v>0</v>
      </c>
      <c r="AI4067" t="s">
        <v>2283</v>
      </c>
      <c r="AJ4067">
        <v>40.147841</v>
      </c>
      <c r="AK4067" t="s">
        <v>2284</v>
      </c>
      <c r="AL4067">
        <v>-93.117135000000005</v>
      </c>
      <c r="AM4067">
        <v>100</v>
      </c>
      <c r="AN4067">
        <v>1300</v>
      </c>
      <c r="AO4067" t="s">
        <v>118</v>
      </c>
      <c r="AP4067">
        <v>-115</v>
      </c>
      <c r="AQ4067">
        <v>59</v>
      </c>
      <c r="AR4067">
        <v>64</v>
      </c>
      <c r="AZ4067">
        <v>1200</v>
      </c>
      <c r="BA4067">
        <v>1</v>
      </c>
      <c r="BB4067" t="str">
        <f t="shared" si="201"/>
        <v xml:space="preserve">N8080G  </v>
      </c>
      <c r="BC4067">
        <v>1</v>
      </c>
      <c r="BE4067">
        <v>0</v>
      </c>
      <c r="BF4067">
        <v>0</v>
      </c>
      <c r="BG4067">
        <v>0</v>
      </c>
      <c r="BH4067">
        <v>1350</v>
      </c>
      <c r="BI4067">
        <v>1</v>
      </c>
      <c r="BJ4067">
        <v>1</v>
      </c>
      <c r="BK4067">
        <v>1</v>
      </c>
      <c r="BL4067">
        <v>0</v>
      </c>
      <c r="BO4067">
        <v>0</v>
      </c>
      <c r="BP4067">
        <v>0</v>
      </c>
      <c r="BW4067" t="str">
        <f>"20:36:58.369"</f>
        <v>20:36:58.369</v>
      </c>
      <c r="BZ4067">
        <v>0</v>
      </c>
      <c r="CA4067">
        <v>1600</v>
      </c>
      <c r="CB4067">
        <v>224</v>
      </c>
      <c r="CD4067">
        <v>1</v>
      </c>
      <c r="CE4067">
        <v>0</v>
      </c>
      <c r="CF4067">
        <v>0</v>
      </c>
      <c r="CG4067">
        <v>1</v>
      </c>
      <c r="CH4067">
        <v>0</v>
      </c>
      <c r="CI4067">
        <v>0</v>
      </c>
      <c r="CJ4067">
        <v>0</v>
      </c>
      <c r="CK4067">
        <v>2</v>
      </c>
      <c r="CL4067">
        <v>0</v>
      </c>
      <c r="CM4067">
        <v>2</v>
      </c>
      <c r="CN4067">
        <v>0</v>
      </c>
      <c r="CO4067">
        <v>6</v>
      </c>
      <c r="CP4067" t="s">
        <v>119</v>
      </c>
      <c r="CQ4067">
        <v>180</v>
      </c>
      <c r="CR4067">
        <v>3</v>
      </c>
      <c r="CW4067">
        <v>1333305</v>
      </c>
      <c r="CY4067">
        <v>0</v>
      </c>
      <c r="CZ4067">
        <v>0</v>
      </c>
      <c r="DA4067">
        <v>0</v>
      </c>
      <c r="DB4067">
        <v>0</v>
      </c>
      <c r="DC4067">
        <v>0</v>
      </c>
      <c r="DD4067">
        <v>0</v>
      </c>
      <c r="DE4067">
        <v>0</v>
      </c>
      <c r="DF4067">
        <v>0</v>
      </c>
      <c r="DG4067">
        <v>0</v>
      </c>
      <c r="DH4067">
        <v>0</v>
      </c>
      <c r="DI4067">
        <v>0</v>
      </c>
    </row>
    <row r="4068" spans="1:113" x14ac:dyDescent="0.3">
      <c r="A4068" t="str">
        <f>"02/08/2021 20:36:56.059"</f>
        <v>02/08/2021 20:36:56.059</v>
      </c>
      <c r="C4068" t="str">
        <f t="shared" si="200"/>
        <v>FFDFD7C0</v>
      </c>
      <c r="D4068" t="s">
        <v>113</v>
      </c>
      <c r="E4068">
        <v>6</v>
      </c>
      <c r="H4068">
        <v>165</v>
      </c>
      <c r="I4068" t="s">
        <v>114</v>
      </c>
      <c r="J4068" t="s">
        <v>115</v>
      </c>
      <c r="K4068">
        <v>0</v>
      </c>
      <c r="L4068">
        <v>3</v>
      </c>
      <c r="M4068">
        <v>0</v>
      </c>
      <c r="N4068">
        <v>2</v>
      </c>
      <c r="O4068">
        <v>1</v>
      </c>
      <c r="P4068">
        <v>0</v>
      </c>
      <c r="Q4068">
        <v>0</v>
      </c>
      <c r="S4068" t="str">
        <f>"20:36:58.367"</f>
        <v>20:36:58.367</v>
      </c>
      <c r="T4068" t="str">
        <f>"20:36:57.967"</f>
        <v>20:36:57.967</v>
      </c>
      <c r="U4068" t="str">
        <f t="shared" si="202"/>
        <v>AB01F4</v>
      </c>
      <c r="V4068">
        <v>0</v>
      </c>
      <c r="W4068">
        <v>0</v>
      </c>
      <c r="X4068">
        <v>2</v>
      </c>
      <c r="Z4068">
        <v>0</v>
      </c>
      <c r="AA4068">
        <v>9</v>
      </c>
      <c r="AB4068">
        <v>3</v>
      </c>
      <c r="AC4068">
        <v>0</v>
      </c>
      <c r="AD4068">
        <v>10</v>
      </c>
      <c r="AE4068">
        <v>0</v>
      </c>
      <c r="AF4068">
        <v>3</v>
      </c>
      <c r="AG4068">
        <v>2</v>
      </c>
      <c r="AH4068">
        <v>0</v>
      </c>
      <c r="AI4068" t="s">
        <v>2283</v>
      </c>
      <c r="AJ4068">
        <v>40.147841</v>
      </c>
      <c r="AK4068" t="s">
        <v>2284</v>
      </c>
      <c r="AL4068">
        <v>-93.117135000000005</v>
      </c>
      <c r="AM4068">
        <v>100</v>
      </c>
      <c r="AN4068">
        <v>1300</v>
      </c>
      <c r="AO4068" t="s">
        <v>118</v>
      </c>
      <c r="AP4068">
        <v>-115</v>
      </c>
      <c r="AQ4068">
        <v>59</v>
      </c>
      <c r="AR4068">
        <v>64</v>
      </c>
      <c r="AZ4068">
        <v>1200</v>
      </c>
      <c r="BA4068">
        <v>1</v>
      </c>
      <c r="BB4068" t="str">
        <f t="shared" si="201"/>
        <v xml:space="preserve">N8080G  </v>
      </c>
      <c r="BC4068">
        <v>1</v>
      </c>
      <c r="BE4068">
        <v>0</v>
      </c>
      <c r="BF4068">
        <v>0</v>
      </c>
      <c r="BG4068">
        <v>0</v>
      </c>
      <c r="BH4068">
        <v>1350</v>
      </c>
      <c r="BI4068">
        <v>1</v>
      </c>
      <c r="BJ4068">
        <v>1</v>
      </c>
      <c r="BK4068">
        <v>1</v>
      </c>
      <c r="BL4068">
        <v>0</v>
      </c>
      <c r="BO4068">
        <v>0</v>
      </c>
      <c r="BP4068">
        <v>0</v>
      </c>
      <c r="BW4068" t="str">
        <f>"20:36:58.369"</f>
        <v>20:36:58.369</v>
      </c>
      <c r="BZ4068">
        <v>0</v>
      </c>
      <c r="CA4068">
        <v>1600</v>
      </c>
      <c r="CB4068">
        <v>224</v>
      </c>
      <c r="CD4068">
        <v>1</v>
      </c>
      <c r="CE4068">
        <v>0</v>
      </c>
      <c r="CF4068">
        <v>0</v>
      </c>
      <c r="CG4068">
        <v>1</v>
      </c>
      <c r="CH4068">
        <v>0</v>
      </c>
      <c r="CI4068">
        <v>0</v>
      </c>
      <c r="CJ4068">
        <v>0</v>
      </c>
      <c r="CK4068">
        <v>2</v>
      </c>
      <c r="CL4068">
        <v>0</v>
      </c>
      <c r="CM4068">
        <v>2</v>
      </c>
      <c r="CN4068">
        <v>0</v>
      </c>
      <c r="CO4068">
        <v>6</v>
      </c>
      <c r="CP4068" t="s">
        <v>119</v>
      </c>
      <c r="CQ4068">
        <v>180</v>
      </c>
      <c r="CR4068">
        <v>3</v>
      </c>
      <c r="CW4068">
        <v>1333305</v>
      </c>
      <c r="CY4068">
        <v>0</v>
      </c>
      <c r="CZ4068">
        <v>0</v>
      </c>
      <c r="DA4068">
        <v>1</v>
      </c>
      <c r="DB4068">
        <v>0</v>
      </c>
      <c r="DC4068">
        <v>0</v>
      </c>
      <c r="DD4068">
        <v>0</v>
      </c>
      <c r="DE4068">
        <v>0</v>
      </c>
      <c r="DF4068">
        <v>0</v>
      </c>
      <c r="DG4068">
        <v>0</v>
      </c>
      <c r="DH4068">
        <v>0</v>
      </c>
      <c r="DI4068">
        <v>0</v>
      </c>
    </row>
    <row r="4069" spans="1:113" x14ac:dyDescent="0.3">
      <c r="A4069" t="str">
        <f>"02/08/2021 20:36:56.059"</f>
        <v>02/08/2021 20:36:56.059</v>
      </c>
      <c r="C4069" t="str">
        <f t="shared" si="200"/>
        <v>FFDFD7C0</v>
      </c>
      <c r="D4069" t="s">
        <v>124</v>
      </c>
      <c r="E4069">
        <v>13</v>
      </c>
      <c r="F4069">
        <v>1013</v>
      </c>
      <c r="G4069" t="s">
        <v>114</v>
      </c>
      <c r="J4069" t="s">
        <v>125</v>
      </c>
      <c r="K4069">
        <v>0</v>
      </c>
      <c r="L4069">
        <v>3</v>
      </c>
      <c r="M4069">
        <v>0</v>
      </c>
      <c r="N4069">
        <v>2</v>
      </c>
      <c r="O4069">
        <v>1</v>
      </c>
      <c r="P4069">
        <v>0</v>
      </c>
      <c r="Q4069">
        <v>0</v>
      </c>
      <c r="S4069" t="str">
        <f>"20:36:58.367"</f>
        <v>20:36:58.367</v>
      </c>
      <c r="T4069" t="str">
        <f>"20:36:57.967"</f>
        <v>20:36:57.967</v>
      </c>
      <c r="U4069" t="str">
        <f t="shared" si="202"/>
        <v>AB01F4</v>
      </c>
      <c r="V4069">
        <v>0</v>
      </c>
      <c r="W4069">
        <v>0</v>
      </c>
      <c r="X4069">
        <v>2</v>
      </c>
      <c r="Z4069">
        <v>0</v>
      </c>
      <c r="AA4069">
        <v>9</v>
      </c>
      <c r="AB4069">
        <v>3</v>
      </c>
      <c r="AC4069">
        <v>0</v>
      </c>
      <c r="AD4069">
        <v>10</v>
      </c>
      <c r="AE4069">
        <v>0</v>
      </c>
      <c r="AF4069">
        <v>3</v>
      </c>
      <c r="AG4069">
        <v>2</v>
      </c>
      <c r="AH4069">
        <v>0</v>
      </c>
      <c r="AI4069" t="s">
        <v>2283</v>
      </c>
      <c r="AJ4069">
        <v>40.147841</v>
      </c>
      <c r="AK4069" t="s">
        <v>2284</v>
      </c>
      <c r="AL4069">
        <v>-93.117135000000005</v>
      </c>
      <c r="AM4069">
        <v>100</v>
      </c>
      <c r="AN4069">
        <v>1300</v>
      </c>
      <c r="AO4069" t="s">
        <v>118</v>
      </c>
      <c r="AP4069">
        <v>-115</v>
      </c>
      <c r="AQ4069">
        <v>59</v>
      </c>
      <c r="AR4069">
        <v>64</v>
      </c>
      <c r="AZ4069">
        <v>1200</v>
      </c>
      <c r="BA4069">
        <v>1</v>
      </c>
      <c r="BB4069" t="str">
        <f t="shared" si="201"/>
        <v xml:space="preserve">N8080G  </v>
      </c>
      <c r="BC4069">
        <v>1</v>
      </c>
      <c r="BE4069">
        <v>0</v>
      </c>
      <c r="BF4069">
        <v>0</v>
      </c>
      <c r="BG4069">
        <v>0</v>
      </c>
      <c r="BH4069">
        <v>1350</v>
      </c>
      <c r="BI4069">
        <v>1</v>
      </c>
      <c r="BJ4069">
        <v>1</v>
      </c>
      <c r="BK4069">
        <v>1</v>
      </c>
      <c r="BL4069">
        <v>0</v>
      </c>
      <c r="BO4069">
        <v>0</v>
      </c>
      <c r="BP4069">
        <v>0</v>
      </c>
      <c r="BW4069" t="str">
        <f>"20:36:58.369"</f>
        <v>20:36:58.369</v>
      </c>
      <c r="BZ4069">
        <v>0</v>
      </c>
      <c r="CA4069">
        <v>1600</v>
      </c>
      <c r="CB4069">
        <v>224</v>
      </c>
      <c r="CD4069">
        <v>1</v>
      </c>
      <c r="CE4069">
        <v>0</v>
      </c>
      <c r="CF4069">
        <v>0</v>
      </c>
      <c r="CG4069">
        <v>1</v>
      </c>
      <c r="CH4069">
        <v>0</v>
      </c>
      <c r="CI4069">
        <v>0</v>
      </c>
      <c r="CJ4069">
        <v>0</v>
      </c>
      <c r="CK4069">
        <v>2</v>
      </c>
      <c r="CL4069">
        <v>0</v>
      </c>
      <c r="CM4069">
        <v>2</v>
      </c>
      <c r="CN4069">
        <v>0</v>
      </c>
      <c r="CO4069">
        <v>6</v>
      </c>
      <c r="CP4069" t="s">
        <v>119</v>
      </c>
      <c r="CQ4069">
        <v>180</v>
      </c>
      <c r="CR4069">
        <v>3</v>
      </c>
      <c r="CW4069">
        <v>1333305</v>
      </c>
      <c r="CY4069">
        <v>0</v>
      </c>
      <c r="CZ4069">
        <v>0</v>
      </c>
      <c r="DA4069">
        <v>1</v>
      </c>
      <c r="DB4069">
        <v>0</v>
      </c>
      <c r="DC4069">
        <v>0</v>
      </c>
      <c r="DD4069">
        <v>0</v>
      </c>
      <c r="DE4069">
        <v>0</v>
      </c>
      <c r="DF4069">
        <v>0</v>
      </c>
      <c r="DG4069">
        <v>0</v>
      </c>
      <c r="DH4069">
        <v>0</v>
      </c>
      <c r="DI4069">
        <v>0</v>
      </c>
    </row>
    <row r="4070" spans="1:113" x14ac:dyDescent="0.3">
      <c r="A4070" t="str">
        <f>"02/08/2021 20:36:56.059"</f>
        <v>02/08/2021 20:36:56.059</v>
      </c>
      <c r="C4070" t="str">
        <f t="shared" si="200"/>
        <v>FFDFD7C0</v>
      </c>
      <c r="D4070" t="s">
        <v>124</v>
      </c>
      <c r="E4070">
        <v>11</v>
      </c>
      <c r="F4070">
        <v>1011</v>
      </c>
      <c r="G4070" t="s">
        <v>590</v>
      </c>
      <c r="J4070" t="s">
        <v>125</v>
      </c>
      <c r="K4070">
        <v>0</v>
      </c>
      <c r="L4070">
        <v>3</v>
      </c>
      <c r="M4070">
        <v>0</v>
      </c>
      <c r="N4070">
        <v>2</v>
      </c>
      <c r="O4070">
        <v>1</v>
      </c>
      <c r="P4070">
        <v>0</v>
      </c>
      <c r="Q4070">
        <v>0</v>
      </c>
      <c r="S4070" t="str">
        <f>"20:36:58.367"</f>
        <v>20:36:58.367</v>
      </c>
      <c r="T4070" t="str">
        <f>"20:36:57.967"</f>
        <v>20:36:57.967</v>
      </c>
      <c r="U4070" t="str">
        <f t="shared" si="202"/>
        <v>AB01F4</v>
      </c>
      <c r="V4070">
        <v>0</v>
      </c>
      <c r="W4070">
        <v>0</v>
      </c>
      <c r="X4070">
        <v>2</v>
      </c>
      <c r="Z4070">
        <v>0</v>
      </c>
      <c r="AA4070">
        <v>9</v>
      </c>
      <c r="AB4070">
        <v>3</v>
      </c>
      <c r="AC4070">
        <v>0</v>
      </c>
      <c r="AD4070">
        <v>10</v>
      </c>
      <c r="AE4070">
        <v>0</v>
      </c>
      <c r="AF4070">
        <v>3</v>
      </c>
      <c r="AG4070">
        <v>2</v>
      </c>
      <c r="AH4070">
        <v>0</v>
      </c>
      <c r="AI4070" t="s">
        <v>2283</v>
      </c>
      <c r="AJ4070">
        <v>40.147841</v>
      </c>
      <c r="AK4070" t="s">
        <v>2284</v>
      </c>
      <c r="AL4070">
        <v>-93.117135000000005</v>
      </c>
      <c r="AM4070">
        <v>100</v>
      </c>
      <c r="AN4070">
        <v>1300</v>
      </c>
      <c r="AO4070" t="s">
        <v>118</v>
      </c>
      <c r="AP4070">
        <v>-115</v>
      </c>
      <c r="AQ4070">
        <v>59</v>
      </c>
      <c r="AR4070">
        <v>64</v>
      </c>
      <c r="AZ4070">
        <v>1200</v>
      </c>
      <c r="BA4070">
        <v>1</v>
      </c>
      <c r="BB4070" t="str">
        <f t="shared" si="201"/>
        <v xml:space="preserve">N8080G  </v>
      </c>
      <c r="BC4070">
        <v>1</v>
      </c>
      <c r="BE4070">
        <v>0</v>
      </c>
      <c r="BF4070">
        <v>0</v>
      </c>
      <c r="BG4070">
        <v>0</v>
      </c>
      <c r="BH4070">
        <v>1350</v>
      </c>
      <c r="BI4070">
        <v>1</v>
      </c>
      <c r="BJ4070">
        <v>1</v>
      </c>
      <c r="BK4070">
        <v>1</v>
      </c>
      <c r="BL4070">
        <v>0</v>
      </c>
      <c r="BO4070">
        <v>0</v>
      </c>
      <c r="BP4070">
        <v>0</v>
      </c>
      <c r="BW4070" t="str">
        <f>"20:36:58.369"</f>
        <v>20:36:58.369</v>
      </c>
      <c r="BZ4070">
        <v>0</v>
      </c>
      <c r="CA4070">
        <v>1600</v>
      </c>
      <c r="CB4070">
        <v>224</v>
      </c>
      <c r="CD4070">
        <v>1</v>
      </c>
      <c r="CE4070">
        <v>0</v>
      </c>
      <c r="CF4070">
        <v>0</v>
      </c>
      <c r="CG4070">
        <v>1</v>
      </c>
      <c r="CH4070">
        <v>0</v>
      </c>
      <c r="CI4070">
        <v>0</v>
      </c>
      <c r="CJ4070">
        <v>0</v>
      </c>
      <c r="CK4070">
        <v>2</v>
      </c>
      <c r="CL4070">
        <v>0</v>
      </c>
      <c r="CM4070">
        <v>2</v>
      </c>
      <c r="CN4070">
        <v>0</v>
      </c>
      <c r="CO4070">
        <v>6</v>
      </c>
      <c r="CP4070" t="s">
        <v>119</v>
      </c>
      <c r="CQ4070">
        <v>180</v>
      </c>
      <c r="CR4070">
        <v>3</v>
      </c>
      <c r="CW4070">
        <v>1333305</v>
      </c>
      <c r="CY4070">
        <v>0</v>
      </c>
      <c r="CZ4070">
        <v>0</v>
      </c>
      <c r="DA4070">
        <v>1</v>
      </c>
      <c r="DB4070">
        <v>0</v>
      </c>
      <c r="DC4070">
        <v>0</v>
      </c>
      <c r="DD4070">
        <v>0</v>
      </c>
      <c r="DE4070">
        <v>0</v>
      </c>
      <c r="DF4070">
        <v>0</v>
      </c>
      <c r="DG4070">
        <v>0</v>
      </c>
      <c r="DH4070">
        <v>0</v>
      </c>
      <c r="DI4070">
        <v>0</v>
      </c>
    </row>
    <row r="4071" spans="1:113" x14ac:dyDescent="0.3">
      <c r="A4071" t="str">
        <f>"02/08/2021 20:36:57.149"</f>
        <v>02/08/2021 20:36:57.149</v>
      </c>
      <c r="C4071" t="str">
        <f t="shared" ref="C4071:C4134" si="203">"FFDFD7C0"</f>
        <v>FFDFD7C0</v>
      </c>
      <c r="D4071" t="s">
        <v>124</v>
      </c>
      <c r="E4071">
        <v>13</v>
      </c>
      <c r="F4071">
        <v>1013</v>
      </c>
      <c r="G4071" t="s">
        <v>114</v>
      </c>
      <c r="J4071" t="s">
        <v>125</v>
      </c>
      <c r="K4071">
        <v>0</v>
      </c>
      <c r="L4071">
        <v>3</v>
      </c>
      <c r="M4071">
        <v>0</v>
      </c>
      <c r="N4071">
        <v>2</v>
      </c>
      <c r="O4071">
        <v>1</v>
      </c>
      <c r="P4071">
        <v>0</v>
      </c>
      <c r="Q4071">
        <v>0</v>
      </c>
      <c r="S4071" t="str">
        <f>"20:36:59.500"</f>
        <v>20:36:59.500</v>
      </c>
      <c r="T4071" t="str">
        <f>"20:36:59.000"</f>
        <v>20:36:59.000</v>
      </c>
      <c r="U4071" t="str">
        <f t="shared" si="202"/>
        <v>AB01F4</v>
      </c>
      <c r="V4071">
        <v>0</v>
      </c>
      <c r="W4071">
        <v>0</v>
      </c>
      <c r="X4071">
        <v>2</v>
      </c>
      <c r="Z4071">
        <v>0</v>
      </c>
      <c r="AA4071">
        <v>9</v>
      </c>
      <c r="AB4071">
        <v>3</v>
      </c>
      <c r="AC4071">
        <v>0</v>
      </c>
      <c r="AD4071">
        <v>10</v>
      </c>
      <c r="AE4071">
        <v>0</v>
      </c>
      <c r="AF4071">
        <v>3</v>
      </c>
      <c r="AG4071">
        <v>2</v>
      </c>
      <c r="AH4071">
        <v>0</v>
      </c>
      <c r="AI4071" t="s">
        <v>2285</v>
      </c>
      <c r="AJ4071">
        <v>40.148141000000003</v>
      </c>
      <c r="AK4071" t="s">
        <v>2286</v>
      </c>
      <c r="AL4071">
        <v>-93.117863999999997</v>
      </c>
      <c r="AM4071">
        <v>100</v>
      </c>
      <c r="AN4071">
        <v>1300</v>
      </c>
      <c r="AO4071" t="s">
        <v>118</v>
      </c>
      <c r="AP4071">
        <v>-115</v>
      </c>
      <c r="AQ4071">
        <v>60</v>
      </c>
      <c r="AR4071">
        <v>64</v>
      </c>
      <c r="AZ4071">
        <v>1200</v>
      </c>
      <c r="BA4071">
        <v>1</v>
      </c>
      <c r="BB4071" t="str">
        <f t="shared" si="201"/>
        <v xml:space="preserve">N8080G  </v>
      </c>
      <c r="BC4071">
        <v>1</v>
      </c>
      <c r="BE4071">
        <v>0</v>
      </c>
      <c r="BF4071">
        <v>0</v>
      </c>
      <c r="BG4071">
        <v>0</v>
      </c>
      <c r="BH4071">
        <v>1350</v>
      </c>
      <c r="BI4071">
        <v>1</v>
      </c>
      <c r="BJ4071">
        <v>1</v>
      </c>
      <c r="BK4071">
        <v>1</v>
      </c>
      <c r="BL4071">
        <v>0</v>
      </c>
      <c r="BO4071">
        <v>0</v>
      </c>
      <c r="BP4071">
        <v>0</v>
      </c>
      <c r="BW4071" t="str">
        <f>"20:36:59.502"</f>
        <v>20:36:59.502</v>
      </c>
      <c r="BZ4071">
        <v>0</v>
      </c>
      <c r="CA4071">
        <v>1600</v>
      </c>
      <c r="CB4071">
        <v>224</v>
      </c>
      <c r="CD4071">
        <v>1</v>
      </c>
      <c r="CE4071">
        <v>0</v>
      </c>
      <c r="CF4071">
        <v>0</v>
      </c>
      <c r="CG4071">
        <v>1</v>
      </c>
      <c r="CH4071">
        <v>0</v>
      </c>
      <c r="CI4071">
        <v>0</v>
      </c>
      <c r="CJ4071">
        <v>0</v>
      </c>
      <c r="CK4071">
        <v>2</v>
      </c>
      <c r="CL4071">
        <v>0</v>
      </c>
      <c r="CM4071">
        <v>2</v>
      </c>
      <c r="CN4071">
        <v>0</v>
      </c>
      <c r="CO4071">
        <v>6</v>
      </c>
      <c r="CP4071" t="s">
        <v>119</v>
      </c>
      <c r="CQ4071">
        <v>180</v>
      </c>
      <c r="CR4071">
        <v>3</v>
      </c>
      <c r="CW4071">
        <v>1334134</v>
      </c>
      <c r="CY4071">
        <v>0</v>
      </c>
      <c r="CZ4071">
        <v>0</v>
      </c>
      <c r="DA4071">
        <v>0</v>
      </c>
      <c r="DB4071">
        <v>0</v>
      </c>
      <c r="DC4071">
        <v>0</v>
      </c>
      <c r="DD4071">
        <v>0</v>
      </c>
      <c r="DE4071">
        <v>0</v>
      </c>
      <c r="DF4071">
        <v>0</v>
      </c>
      <c r="DG4071">
        <v>0</v>
      </c>
      <c r="DH4071">
        <v>0</v>
      </c>
      <c r="DI4071">
        <v>0</v>
      </c>
    </row>
    <row r="4072" spans="1:113" x14ac:dyDescent="0.3">
      <c r="A4072" t="str">
        <f>"02/08/2021 20:36:57.149"</f>
        <v>02/08/2021 20:36:57.149</v>
      </c>
      <c r="C4072" t="str">
        <f t="shared" si="203"/>
        <v>FFDFD7C0</v>
      </c>
      <c r="D4072" t="s">
        <v>124</v>
      </c>
      <c r="E4072">
        <v>11</v>
      </c>
      <c r="F4072">
        <v>1011</v>
      </c>
      <c r="G4072" t="s">
        <v>590</v>
      </c>
      <c r="J4072" t="s">
        <v>125</v>
      </c>
      <c r="K4072">
        <v>0</v>
      </c>
      <c r="L4072">
        <v>3</v>
      </c>
      <c r="M4072">
        <v>0</v>
      </c>
      <c r="N4072">
        <v>2</v>
      </c>
      <c r="O4072">
        <v>1</v>
      </c>
      <c r="P4072">
        <v>0</v>
      </c>
      <c r="Q4072">
        <v>0</v>
      </c>
      <c r="S4072" t="str">
        <f>"20:36:59.500"</f>
        <v>20:36:59.500</v>
      </c>
      <c r="T4072" t="str">
        <f>"20:36:59.000"</f>
        <v>20:36:59.000</v>
      </c>
      <c r="U4072" t="str">
        <f t="shared" si="202"/>
        <v>AB01F4</v>
      </c>
      <c r="V4072">
        <v>0</v>
      </c>
      <c r="W4072">
        <v>0</v>
      </c>
      <c r="X4072">
        <v>2</v>
      </c>
      <c r="Z4072">
        <v>0</v>
      </c>
      <c r="AA4072">
        <v>9</v>
      </c>
      <c r="AB4072">
        <v>3</v>
      </c>
      <c r="AC4072">
        <v>0</v>
      </c>
      <c r="AD4072">
        <v>10</v>
      </c>
      <c r="AE4072">
        <v>0</v>
      </c>
      <c r="AF4072">
        <v>3</v>
      </c>
      <c r="AG4072">
        <v>2</v>
      </c>
      <c r="AH4072">
        <v>0</v>
      </c>
      <c r="AI4072" t="s">
        <v>2285</v>
      </c>
      <c r="AJ4072">
        <v>40.148141000000003</v>
      </c>
      <c r="AK4072" t="s">
        <v>2286</v>
      </c>
      <c r="AL4072">
        <v>-93.117863999999997</v>
      </c>
      <c r="AM4072">
        <v>100</v>
      </c>
      <c r="AN4072">
        <v>1300</v>
      </c>
      <c r="AO4072" t="s">
        <v>118</v>
      </c>
      <c r="AP4072">
        <v>-115</v>
      </c>
      <c r="AQ4072">
        <v>60</v>
      </c>
      <c r="AR4072">
        <v>64</v>
      </c>
      <c r="AZ4072">
        <v>1200</v>
      </c>
      <c r="BA4072">
        <v>1</v>
      </c>
      <c r="BB4072" t="str">
        <f t="shared" si="201"/>
        <v xml:space="preserve">N8080G  </v>
      </c>
      <c r="BC4072">
        <v>1</v>
      </c>
      <c r="BE4072">
        <v>0</v>
      </c>
      <c r="BF4072">
        <v>0</v>
      </c>
      <c r="BG4072">
        <v>0</v>
      </c>
      <c r="BH4072">
        <v>1350</v>
      </c>
      <c r="BI4072">
        <v>1</v>
      </c>
      <c r="BJ4072">
        <v>1</v>
      </c>
      <c r="BK4072">
        <v>1</v>
      </c>
      <c r="BL4072">
        <v>0</v>
      </c>
      <c r="BO4072">
        <v>0</v>
      </c>
      <c r="BP4072">
        <v>0</v>
      </c>
      <c r="BW4072" t="str">
        <f>"20:36:59.502"</f>
        <v>20:36:59.502</v>
      </c>
      <c r="BZ4072">
        <v>0</v>
      </c>
      <c r="CA4072">
        <v>1600</v>
      </c>
      <c r="CB4072">
        <v>224</v>
      </c>
      <c r="CD4072">
        <v>1</v>
      </c>
      <c r="CE4072">
        <v>0</v>
      </c>
      <c r="CF4072">
        <v>0</v>
      </c>
      <c r="CG4072">
        <v>1</v>
      </c>
      <c r="CH4072">
        <v>0</v>
      </c>
      <c r="CI4072">
        <v>0</v>
      </c>
      <c r="CJ4072">
        <v>0</v>
      </c>
      <c r="CK4072">
        <v>2</v>
      </c>
      <c r="CL4072">
        <v>0</v>
      </c>
      <c r="CM4072">
        <v>2</v>
      </c>
      <c r="CN4072">
        <v>0</v>
      </c>
      <c r="CO4072">
        <v>6</v>
      </c>
      <c r="CP4072" t="s">
        <v>119</v>
      </c>
      <c r="CQ4072">
        <v>180</v>
      </c>
      <c r="CR4072">
        <v>3</v>
      </c>
      <c r="CW4072">
        <v>1334134</v>
      </c>
      <c r="CY4072">
        <v>0</v>
      </c>
      <c r="CZ4072">
        <v>0</v>
      </c>
      <c r="DA4072">
        <v>1</v>
      </c>
      <c r="DB4072">
        <v>0</v>
      </c>
      <c r="DC4072">
        <v>0</v>
      </c>
      <c r="DD4072">
        <v>0</v>
      </c>
      <c r="DE4072">
        <v>0</v>
      </c>
      <c r="DF4072">
        <v>0</v>
      </c>
      <c r="DG4072">
        <v>0</v>
      </c>
      <c r="DH4072">
        <v>0</v>
      </c>
      <c r="DI4072">
        <v>0</v>
      </c>
    </row>
    <row r="4073" spans="1:113" x14ac:dyDescent="0.3">
      <c r="A4073" t="str">
        <f>"02/08/2021 20:36:57.149"</f>
        <v>02/08/2021 20:36:57.149</v>
      </c>
      <c r="C4073" t="str">
        <f t="shared" si="203"/>
        <v>FFDFD7C0</v>
      </c>
      <c r="D4073" t="s">
        <v>124</v>
      </c>
      <c r="E4073">
        <v>12</v>
      </c>
      <c r="F4073">
        <v>1012</v>
      </c>
      <c r="G4073" t="s">
        <v>675</v>
      </c>
      <c r="J4073" t="s">
        <v>125</v>
      </c>
      <c r="K4073">
        <v>0</v>
      </c>
      <c r="L4073">
        <v>3</v>
      </c>
      <c r="M4073">
        <v>0</v>
      </c>
      <c r="N4073">
        <v>2</v>
      </c>
      <c r="O4073">
        <v>1</v>
      </c>
      <c r="P4073">
        <v>0</v>
      </c>
      <c r="Q4073">
        <v>0</v>
      </c>
      <c r="S4073" t="str">
        <f>"20:36:59.500"</f>
        <v>20:36:59.500</v>
      </c>
      <c r="T4073" t="str">
        <f>"20:36:59.000"</f>
        <v>20:36:59.000</v>
      </c>
      <c r="U4073" t="str">
        <f t="shared" si="202"/>
        <v>AB01F4</v>
      </c>
      <c r="V4073">
        <v>0</v>
      </c>
      <c r="W4073">
        <v>0</v>
      </c>
      <c r="X4073">
        <v>2</v>
      </c>
      <c r="Z4073">
        <v>0</v>
      </c>
      <c r="AA4073">
        <v>9</v>
      </c>
      <c r="AB4073">
        <v>3</v>
      </c>
      <c r="AC4073">
        <v>0</v>
      </c>
      <c r="AD4073">
        <v>10</v>
      </c>
      <c r="AE4073">
        <v>0</v>
      </c>
      <c r="AF4073">
        <v>3</v>
      </c>
      <c r="AG4073">
        <v>2</v>
      </c>
      <c r="AH4073">
        <v>0</v>
      </c>
      <c r="AI4073" t="s">
        <v>2285</v>
      </c>
      <c r="AJ4073">
        <v>40.148141000000003</v>
      </c>
      <c r="AK4073" t="s">
        <v>2286</v>
      </c>
      <c r="AL4073">
        <v>-93.117863999999997</v>
      </c>
      <c r="AM4073">
        <v>100</v>
      </c>
      <c r="AN4073">
        <v>1300</v>
      </c>
      <c r="AO4073" t="s">
        <v>118</v>
      </c>
      <c r="AP4073">
        <v>-115</v>
      </c>
      <c r="AQ4073">
        <v>60</v>
      </c>
      <c r="AR4073">
        <v>64</v>
      </c>
      <c r="AZ4073">
        <v>1200</v>
      </c>
      <c r="BA4073">
        <v>1</v>
      </c>
      <c r="BB4073" t="str">
        <f t="shared" si="201"/>
        <v xml:space="preserve">N8080G  </v>
      </c>
      <c r="BC4073">
        <v>1</v>
      </c>
      <c r="BE4073">
        <v>0</v>
      </c>
      <c r="BF4073">
        <v>0</v>
      </c>
      <c r="BG4073">
        <v>0</v>
      </c>
      <c r="BH4073">
        <v>1350</v>
      </c>
      <c r="BI4073">
        <v>1</v>
      </c>
      <c r="BJ4073">
        <v>1</v>
      </c>
      <c r="BK4073">
        <v>1</v>
      </c>
      <c r="BL4073">
        <v>0</v>
      </c>
      <c r="BO4073">
        <v>0</v>
      </c>
      <c r="BP4073">
        <v>0</v>
      </c>
      <c r="BW4073" t="str">
        <f>"20:36:59.502"</f>
        <v>20:36:59.502</v>
      </c>
      <c r="BZ4073">
        <v>0</v>
      </c>
      <c r="CA4073">
        <v>1600</v>
      </c>
      <c r="CB4073">
        <v>224</v>
      </c>
      <c r="CD4073">
        <v>1</v>
      </c>
      <c r="CE4073">
        <v>0</v>
      </c>
      <c r="CF4073">
        <v>0</v>
      </c>
      <c r="CG4073">
        <v>1</v>
      </c>
      <c r="CH4073">
        <v>0</v>
      </c>
      <c r="CI4073">
        <v>0</v>
      </c>
      <c r="CJ4073">
        <v>0</v>
      </c>
      <c r="CK4073">
        <v>2</v>
      </c>
      <c r="CL4073">
        <v>0</v>
      </c>
      <c r="CM4073">
        <v>2</v>
      </c>
      <c r="CN4073">
        <v>0</v>
      </c>
      <c r="CO4073">
        <v>6</v>
      </c>
      <c r="CP4073" t="s">
        <v>119</v>
      </c>
      <c r="CQ4073">
        <v>180</v>
      </c>
      <c r="CR4073">
        <v>3</v>
      </c>
      <c r="CW4073">
        <v>1334134</v>
      </c>
      <c r="CY4073">
        <v>0</v>
      </c>
      <c r="CZ4073">
        <v>0</v>
      </c>
      <c r="DA4073">
        <v>1</v>
      </c>
      <c r="DB4073">
        <v>0</v>
      </c>
      <c r="DC4073">
        <v>0</v>
      </c>
      <c r="DD4073">
        <v>0</v>
      </c>
      <c r="DE4073">
        <v>0</v>
      </c>
      <c r="DF4073">
        <v>0</v>
      </c>
      <c r="DG4073">
        <v>0</v>
      </c>
      <c r="DH4073">
        <v>0</v>
      </c>
      <c r="DI4073">
        <v>0</v>
      </c>
    </row>
    <row r="4074" spans="1:113" x14ac:dyDescent="0.3">
      <c r="A4074" t="str">
        <f>"02/08/2021 20:36:57.149"</f>
        <v>02/08/2021 20:36:57.149</v>
      </c>
      <c r="C4074" t="str">
        <f t="shared" si="203"/>
        <v>FFDFD7C0</v>
      </c>
      <c r="D4074" t="s">
        <v>113</v>
      </c>
      <c r="E4074">
        <v>6</v>
      </c>
      <c r="H4074">
        <v>165</v>
      </c>
      <c r="I4074" t="s">
        <v>114</v>
      </c>
      <c r="J4074" t="s">
        <v>115</v>
      </c>
      <c r="K4074">
        <v>0</v>
      </c>
      <c r="L4074">
        <v>3</v>
      </c>
      <c r="M4074">
        <v>0</v>
      </c>
      <c r="N4074">
        <v>2</v>
      </c>
      <c r="O4074">
        <v>1</v>
      </c>
      <c r="P4074">
        <v>0</v>
      </c>
      <c r="Q4074">
        <v>0</v>
      </c>
      <c r="S4074" t="str">
        <f>"20:36:59.500"</f>
        <v>20:36:59.500</v>
      </c>
      <c r="T4074" t="str">
        <f>"20:36:59.000"</f>
        <v>20:36:59.000</v>
      </c>
      <c r="U4074" t="str">
        <f t="shared" si="202"/>
        <v>AB01F4</v>
      </c>
      <c r="V4074">
        <v>0</v>
      </c>
      <c r="W4074">
        <v>0</v>
      </c>
      <c r="X4074">
        <v>2</v>
      </c>
      <c r="Z4074">
        <v>0</v>
      </c>
      <c r="AA4074">
        <v>9</v>
      </c>
      <c r="AB4074">
        <v>3</v>
      </c>
      <c r="AC4074">
        <v>0</v>
      </c>
      <c r="AD4074">
        <v>10</v>
      </c>
      <c r="AE4074">
        <v>0</v>
      </c>
      <c r="AF4074">
        <v>3</v>
      </c>
      <c r="AG4074">
        <v>2</v>
      </c>
      <c r="AH4074">
        <v>0</v>
      </c>
      <c r="AI4074" t="s">
        <v>2285</v>
      </c>
      <c r="AJ4074">
        <v>40.148141000000003</v>
      </c>
      <c r="AK4074" t="s">
        <v>2286</v>
      </c>
      <c r="AL4074">
        <v>-93.117863999999997</v>
      </c>
      <c r="AM4074">
        <v>100</v>
      </c>
      <c r="AN4074">
        <v>1300</v>
      </c>
      <c r="AO4074" t="s">
        <v>118</v>
      </c>
      <c r="AP4074">
        <v>-115</v>
      </c>
      <c r="AQ4074">
        <v>60</v>
      </c>
      <c r="AR4074">
        <v>64</v>
      </c>
      <c r="AZ4074">
        <v>1200</v>
      </c>
      <c r="BA4074">
        <v>1</v>
      </c>
      <c r="BB4074" t="str">
        <f t="shared" si="201"/>
        <v xml:space="preserve">N8080G  </v>
      </c>
      <c r="BC4074">
        <v>1</v>
      </c>
      <c r="BE4074">
        <v>0</v>
      </c>
      <c r="BF4074">
        <v>0</v>
      </c>
      <c r="BG4074">
        <v>0</v>
      </c>
      <c r="BH4074">
        <v>1350</v>
      </c>
      <c r="BI4074">
        <v>1</v>
      </c>
      <c r="BJ4074">
        <v>1</v>
      </c>
      <c r="BK4074">
        <v>1</v>
      </c>
      <c r="BL4074">
        <v>0</v>
      </c>
      <c r="BO4074">
        <v>0</v>
      </c>
      <c r="BP4074">
        <v>0</v>
      </c>
      <c r="BW4074" t="str">
        <f>"20:36:59.502"</f>
        <v>20:36:59.502</v>
      </c>
      <c r="BZ4074">
        <v>0</v>
      </c>
      <c r="CA4074">
        <v>1600</v>
      </c>
      <c r="CB4074">
        <v>224</v>
      </c>
      <c r="CD4074">
        <v>1</v>
      </c>
      <c r="CE4074">
        <v>0</v>
      </c>
      <c r="CF4074">
        <v>0</v>
      </c>
      <c r="CG4074">
        <v>1</v>
      </c>
      <c r="CH4074">
        <v>0</v>
      </c>
      <c r="CI4074">
        <v>0</v>
      </c>
      <c r="CJ4074">
        <v>0</v>
      </c>
      <c r="CK4074">
        <v>2</v>
      </c>
      <c r="CL4074">
        <v>0</v>
      </c>
      <c r="CM4074">
        <v>2</v>
      </c>
      <c r="CN4074">
        <v>0</v>
      </c>
      <c r="CO4074">
        <v>6</v>
      </c>
      <c r="CP4074" t="s">
        <v>119</v>
      </c>
      <c r="CQ4074">
        <v>180</v>
      </c>
      <c r="CR4074">
        <v>3</v>
      </c>
      <c r="CW4074">
        <v>1334134</v>
      </c>
      <c r="CY4074">
        <v>0</v>
      </c>
      <c r="CZ4074">
        <v>0</v>
      </c>
      <c r="DA4074">
        <v>1</v>
      </c>
      <c r="DB4074">
        <v>0</v>
      </c>
      <c r="DC4074">
        <v>0</v>
      </c>
      <c r="DD4074">
        <v>0</v>
      </c>
      <c r="DE4074">
        <v>0</v>
      </c>
      <c r="DF4074">
        <v>0</v>
      </c>
      <c r="DG4074">
        <v>0</v>
      </c>
      <c r="DH4074">
        <v>0</v>
      </c>
      <c r="DI4074">
        <v>0</v>
      </c>
    </row>
    <row r="4075" spans="1:113" x14ac:dyDescent="0.3">
      <c r="A4075" t="str">
        <f>"02/08/2021 20:36:58.292"</f>
        <v>02/08/2021 20:36:58.292</v>
      </c>
      <c r="C4075" t="str">
        <f t="shared" si="203"/>
        <v>FFDFD7C0</v>
      </c>
      <c r="D4075" t="s">
        <v>113</v>
      </c>
      <c r="E4075">
        <v>6</v>
      </c>
      <c r="H4075">
        <v>165</v>
      </c>
      <c r="I4075" t="s">
        <v>114</v>
      </c>
      <c r="J4075" t="s">
        <v>115</v>
      </c>
      <c r="K4075">
        <v>0</v>
      </c>
      <c r="L4075">
        <v>3</v>
      </c>
      <c r="M4075">
        <v>0</v>
      </c>
      <c r="N4075">
        <v>2</v>
      </c>
      <c r="O4075">
        <v>1</v>
      </c>
      <c r="P4075">
        <v>0</v>
      </c>
      <c r="Q4075">
        <v>0</v>
      </c>
      <c r="S4075" t="str">
        <f>"20:37:00.617"</f>
        <v>20:37:00.617</v>
      </c>
      <c r="T4075" t="str">
        <f>"20:37:00.117"</f>
        <v>20:37:00.117</v>
      </c>
      <c r="U4075" t="str">
        <f t="shared" si="202"/>
        <v>AB01F4</v>
      </c>
      <c r="V4075">
        <v>0</v>
      </c>
      <c r="W4075">
        <v>0</v>
      </c>
      <c r="X4075">
        <v>2</v>
      </c>
      <c r="Z4075">
        <v>0</v>
      </c>
      <c r="AA4075">
        <v>9</v>
      </c>
      <c r="AB4075">
        <v>3</v>
      </c>
      <c r="AC4075">
        <v>0</v>
      </c>
      <c r="AD4075">
        <v>10</v>
      </c>
      <c r="AE4075">
        <v>0</v>
      </c>
      <c r="AF4075">
        <v>3</v>
      </c>
      <c r="AG4075">
        <v>2</v>
      </c>
      <c r="AH4075">
        <v>0</v>
      </c>
      <c r="AI4075" t="s">
        <v>2287</v>
      </c>
      <c r="AJ4075">
        <v>40.148485000000001</v>
      </c>
      <c r="AK4075" t="s">
        <v>2288</v>
      </c>
      <c r="AL4075">
        <v>-93.118594000000002</v>
      </c>
      <c r="AM4075">
        <v>100</v>
      </c>
      <c r="AN4075">
        <v>1300</v>
      </c>
      <c r="AO4075" t="s">
        <v>118</v>
      </c>
      <c r="AP4075">
        <v>-114</v>
      </c>
      <c r="AQ4075">
        <v>60</v>
      </c>
      <c r="AR4075">
        <v>64</v>
      </c>
      <c r="AZ4075">
        <v>1200</v>
      </c>
      <c r="BA4075">
        <v>1</v>
      </c>
      <c r="BB4075" t="str">
        <f t="shared" si="201"/>
        <v xml:space="preserve">N8080G  </v>
      </c>
      <c r="BC4075">
        <v>1</v>
      </c>
      <c r="BE4075">
        <v>0</v>
      </c>
      <c r="BF4075">
        <v>0</v>
      </c>
      <c r="BG4075">
        <v>0</v>
      </c>
      <c r="BH4075">
        <v>1350</v>
      </c>
      <c r="BI4075">
        <v>1</v>
      </c>
      <c r="BJ4075">
        <v>1</v>
      </c>
      <c r="BK4075">
        <v>1</v>
      </c>
      <c r="BL4075">
        <v>0</v>
      </c>
      <c r="BO4075">
        <v>0</v>
      </c>
      <c r="BP4075">
        <v>0</v>
      </c>
      <c r="BW4075" t="str">
        <f>"20:37:00.617"</f>
        <v>20:37:00.617</v>
      </c>
      <c r="BZ4075">
        <v>0</v>
      </c>
      <c r="CA4075">
        <v>1600</v>
      </c>
      <c r="CB4075">
        <v>224</v>
      </c>
      <c r="CD4075">
        <v>1</v>
      </c>
      <c r="CE4075">
        <v>0</v>
      </c>
      <c r="CF4075">
        <v>0</v>
      </c>
      <c r="CG4075">
        <v>1</v>
      </c>
      <c r="CH4075">
        <v>0</v>
      </c>
      <c r="CI4075">
        <v>0</v>
      </c>
      <c r="CJ4075">
        <v>0</v>
      </c>
      <c r="CK4075">
        <v>2</v>
      </c>
      <c r="CL4075">
        <v>0</v>
      </c>
      <c r="CM4075">
        <v>2</v>
      </c>
      <c r="CN4075">
        <v>0</v>
      </c>
      <c r="CO4075">
        <v>6</v>
      </c>
      <c r="CP4075" t="s">
        <v>119</v>
      </c>
      <c r="CQ4075">
        <v>180</v>
      </c>
      <c r="CR4075">
        <v>3</v>
      </c>
      <c r="CW4075">
        <v>1335030</v>
      </c>
      <c r="CY4075">
        <v>0</v>
      </c>
      <c r="CZ4075">
        <v>0</v>
      </c>
      <c r="DA4075">
        <v>0</v>
      </c>
      <c r="DB4075">
        <v>0</v>
      </c>
      <c r="DC4075">
        <v>0</v>
      </c>
      <c r="DD4075">
        <v>0</v>
      </c>
      <c r="DE4075">
        <v>0</v>
      </c>
      <c r="DF4075">
        <v>0</v>
      </c>
      <c r="DG4075">
        <v>0</v>
      </c>
      <c r="DH4075">
        <v>0</v>
      </c>
      <c r="DI4075">
        <v>0</v>
      </c>
    </row>
    <row r="4076" spans="1:113" x14ac:dyDescent="0.3">
      <c r="A4076" t="str">
        <f>"02/08/2021 20:36:58.292"</f>
        <v>02/08/2021 20:36:58.292</v>
      </c>
      <c r="C4076" t="str">
        <f t="shared" si="203"/>
        <v>FFDFD7C0</v>
      </c>
      <c r="D4076" t="s">
        <v>124</v>
      </c>
      <c r="E4076">
        <v>13</v>
      </c>
      <c r="F4076">
        <v>1013</v>
      </c>
      <c r="G4076" t="s">
        <v>114</v>
      </c>
      <c r="J4076" t="s">
        <v>125</v>
      </c>
      <c r="K4076">
        <v>0</v>
      </c>
      <c r="L4076">
        <v>3</v>
      </c>
      <c r="M4076">
        <v>0</v>
      </c>
      <c r="N4076">
        <v>2</v>
      </c>
      <c r="O4076">
        <v>1</v>
      </c>
      <c r="P4076">
        <v>0</v>
      </c>
      <c r="Q4076">
        <v>0</v>
      </c>
      <c r="S4076" t="str">
        <f>"20:37:00.617"</f>
        <v>20:37:00.617</v>
      </c>
      <c r="T4076" t="str">
        <f>"20:37:00.117"</f>
        <v>20:37:00.117</v>
      </c>
      <c r="U4076" t="str">
        <f t="shared" si="202"/>
        <v>AB01F4</v>
      </c>
      <c r="V4076">
        <v>0</v>
      </c>
      <c r="W4076">
        <v>0</v>
      </c>
      <c r="X4076">
        <v>2</v>
      </c>
      <c r="Z4076">
        <v>0</v>
      </c>
      <c r="AA4076">
        <v>9</v>
      </c>
      <c r="AB4076">
        <v>3</v>
      </c>
      <c r="AC4076">
        <v>0</v>
      </c>
      <c r="AD4076">
        <v>10</v>
      </c>
      <c r="AE4076">
        <v>0</v>
      </c>
      <c r="AF4076">
        <v>3</v>
      </c>
      <c r="AG4076">
        <v>2</v>
      </c>
      <c r="AH4076">
        <v>0</v>
      </c>
      <c r="AI4076" t="s">
        <v>2287</v>
      </c>
      <c r="AJ4076">
        <v>40.148485000000001</v>
      </c>
      <c r="AK4076" t="s">
        <v>2288</v>
      </c>
      <c r="AL4076">
        <v>-93.118594000000002</v>
      </c>
      <c r="AM4076">
        <v>100</v>
      </c>
      <c r="AN4076">
        <v>1300</v>
      </c>
      <c r="AO4076" t="s">
        <v>118</v>
      </c>
      <c r="AP4076">
        <v>-114</v>
      </c>
      <c r="AQ4076">
        <v>60</v>
      </c>
      <c r="AR4076">
        <v>64</v>
      </c>
      <c r="AZ4076">
        <v>1200</v>
      </c>
      <c r="BA4076">
        <v>1</v>
      </c>
      <c r="BB4076" t="str">
        <f t="shared" si="201"/>
        <v xml:space="preserve">N8080G  </v>
      </c>
      <c r="BC4076">
        <v>1</v>
      </c>
      <c r="BE4076">
        <v>0</v>
      </c>
      <c r="BF4076">
        <v>0</v>
      </c>
      <c r="BG4076">
        <v>0</v>
      </c>
      <c r="BH4076">
        <v>1350</v>
      </c>
      <c r="BI4076">
        <v>1</v>
      </c>
      <c r="BJ4076">
        <v>1</v>
      </c>
      <c r="BK4076">
        <v>1</v>
      </c>
      <c r="BL4076">
        <v>0</v>
      </c>
      <c r="BO4076">
        <v>0</v>
      </c>
      <c r="BP4076">
        <v>0</v>
      </c>
      <c r="BW4076" t="str">
        <f>"20:37:00.617"</f>
        <v>20:37:00.617</v>
      </c>
      <c r="BZ4076">
        <v>0</v>
      </c>
      <c r="CA4076">
        <v>1600</v>
      </c>
      <c r="CB4076">
        <v>224</v>
      </c>
      <c r="CD4076">
        <v>1</v>
      </c>
      <c r="CE4076">
        <v>0</v>
      </c>
      <c r="CF4076">
        <v>0</v>
      </c>
      <c r="CG4076">
        <v>1</v>
      </c>
      <c r="CH4076">
        <v>0</v>
      </c>
      <c r="CI4076">
        <v>0</v>
      </c>
      <c r="CJ4076">
        <v>0</v>
      </c>
      <c r="CK4076">
        <v>2</v>
      </c>
      <c r="CL4076">
        <v>0</v>
      </c>
      <c r="CM4076">
        <v>2</v>
      </c>
      <c r="CN4076">
        <v>0</v>
      </c>
      <c r="CO4076">
        <v>6</v>
      </c>
      <c r="CP4076" t="s">
        <v>119</v>
      </c>
      <c r="CQ4076">
        <v>180</v>
      </c>
      <c r="CR4076">
        <v>3</v>
      </c>
      <c r="CW4076">
        <v>1335030</v>
      </c>
      <c r="CY4076">
        <v>0</v>
      </c>
      <c r="CZ4076">
        <v>0</v>
      </c>
      <c r="DA4076">
        <v>1</v>
      </c>
      <c r="DB4076">
        <v>0</v>
      </c>
      <c r="DC4076">
        <v>0</v>
      </c>
      <c r="DD4076">
        <v>0</v>
      </c>
      <c r="DE4076">
        <v>0</v>
      </c>
      <c r="DF4076">
        <v>0</v>
      </c>
      <c r="DG4076">
        <v>0</v>
      </c>
      <c r="DH4076">
        <v>0</v>
      </c>
      <c r="DI4076">
        <v>0</v>
      </c>
    </row>
    <row r="4077" spans="1:113" x14ac:dyDescent="0.3">
      <c r="A4077" t="str">
        <f>"02/08/2021 20:36:58.292"</f>
        <v>02/08/2021 20:36:58.292</v>
      </c>
      <c r="C4077" t="str">
        <f t="shared" si="203"/>
        <v>FFDFD7C0</v>
      </c>
      <c r="D4077" t="s">
        <v>124</v>
      </c>
      <c r="E4077">
        <v>11</v>
      </c>
      <c r="F4077">
        <v>1011</v>
      </c>
      <c r="G4077" t="s">
        <v>590</v>
      </c>
      <c r="J4077" t="s">
        <v>125</v>
      </c>
      <c r="K4077">
        <v>0</v>
      </c>
      <c r="L4077">
        <v>3</v>
      </c>
      <c r="M4077">
        <v>0</v>
      </c>
      <c r="N4077">
        <v>2</v>
      </c>
      <c r="O4077">
        <v>1</v>
      </c>
      <c r="P4077">
        <v>0</v>
      </c>
      <c r="Q4077">
        <v>0</v>
      </c>
      <c r="S4077" t="str">
        <f>"20:37:00.617"</f>
        <v>20:37:00.617</v>
      </c>
      <c r="T4077" t="str">
        <f>"20:37:00.117"</f>
        <v>20:37:00.117</v>
      </c>
      <c r="U4077" t="str">
        <f t="shared" si="202"/>
        <v>AB01F4</v>
      </c>
      <c r="V4077">
        <v>0</v>
      </c>
      <c r="W4077">
        <v>0</v>
      </c>
      <c r="X4077">
        <v>2</v>
      </c>
      <c r="Z4077">
        <v>0</v>
      </c>
      <c r="AA4077">
        <v>9</v>
      </c>
      <c r="AB4077">
        <v>3</v>
      </c>
      <c r="AC4077">
        <v>0</v>
      </c>
      <c r="AD4077">
        <v>10</v>
      </c>
      <c r="AE4077">
        <v>0</v>
      </c>
      <c r="AF4077">
        <v>3</v>
      </c>
      <c r="AG4077">
        <v>2</v>
      </c>
      <c r="AH4077">
        <v>0</v>
      </c>
      <c r="AI4077" t="s">
        <v>2287</v>
      </c>
      <c r="AJ4077">
        <v>40.148485000000001</v>
      </c>
      <c r="AK4077" t="s">
        <v>2288</v>
      </c>
      <c r="AL4077">
        <v>-93.118594000000002</v>
      </c>
      <c r="AM4077">
        <v>100</v>
      </c>
      <c r="AN4077">
        <v>1300</v>
      </c>
      <c r="AO4077" t="s">
        <v>118</v>
      </c>
      <c r="AP4077">
        <v>-114</v>
      </c>
      <c r="AQ4077">
        <v>60</v>
      </c>
      <c r="AR4077">
        <v>64</v>
      </c>
      <c r="AZ4077">
        <v>1200</v>
      </c>
      <c r="BA4077">
        <v>1</v>
      </c>
      <c r="BB4077" t="str">
        <f t="shared" si="201"/>
        <v xml:space="preserve">N8080G  </v>
      </c>
      <c r="BC4077">
        <v>1</v>
      </c>
      <c r="BE4077">
        <v>0</v>
      </c>
      <c r="BF4077">
        <v>0</v>
      </c>
      <c r="BG4077">
        <v>0</v>
      </c>
      <c r="BH4077">
        <v>1350</v>
      </c>
      <c r="BI4077">
        <v>1</v>
      </c>
      <c r="BJ4077">
        <v>1</v>
      </c>
      <c r="BK4077">
        <v>1</v>
      </c>
      <c r="BL4077">
        <v>0</v>
      </c>
      <c r="BO4077">
        <v>0</v>
      </c>
      <c r="BP4077">
        <v>0</v>
      </c>
      <c r="BW4077" t="str">
        <f>"20:37:00.617"</f>
        <v>20:37:00.617</v>
      </c>
      <c r="BZ4077">
        <v>0</v>
      </c>
      <c r="CA4077">
        <v>1600</v>
      </c>
      <c r="CB4077">
        <v>224</v>
      </c>
      <c r="CD4077">
        <v>1</v>
      </c>
      <c r="CE4077">
        <v>0</v>
      </c>
      <c r="CF4077">
        <v>0</v>
      </c>
      <c r="CG4077">
        <v>1</v>
      </c>
      <c r="CH4077">
        <v>0</v>
      </c>
      <c r="CI4077">
        <v>0</v>
      </c>
      <c r="CJ4077">
        <v>0</v>
      </c>
      <c r="CK4077">
        <v>2</v>
      </c>
      <c r="CL4077">
        <v>0</v>
      </c>
      <c r="CM4077">
        <v>2</v>
      </c>
      <c r="CN4077">
        <v>0</v>
      </c>
      <c r="CO4077">
        <v>6</v>
      </c>
      <c r="CP4077" t="s">
        <v>119</v>
      </c>
      <c r="CQ4077">
        <v>180</v>
      </c>
      <c r="CR4077">
        <v>3</v>
      </c>
      <c r="CW4077">
        <v>1335030</v>
      </c>
      <c r="CY4077">
        <v>0</v>
      </c>
      <c r="CZ4077">
        <v>0</v>
      </c>
      <c r="DA4077">
        <v>1</v>
      </c>
      <c r="DB4077">
        <v>0</v>
      </c>
      <c r="DC4077">
        <v>0</v>
      </c>
      <c r="DD4077">
        <v>0</v>
      </c>
      <c r="DE4077">
        <v>0</v>
      </c>
      <c r="DF4077">
        <v>0</v>
      </c>
      <c r="DG4077">
        <v>0</v>
      </c>
      <c r="DH4077">
        <v>0</v>
      </c>
      <c r="DI4077">
        <v>0</v>
      </c>
    </row>
    <row r="4078" spans="1:113" x14ac:dyDescent="0.3">
      <c r="A4078" t="str">
        <f>"02/08/2021 20:36:58.292"</f>
        <v>02/08/2021 20:36:58.292</v>
      </c>
      <c r="C4078" t="str">
        <f t="shared" si="203"/>
        <v>FFDFD7C0</v>
      </c>
      <c r="D4078" t="s">
        <v>124</v>
      </c>
      <c r="E4078">
        <v>12</v>
      </c>
      <c r="F4078">
        <v>1012</v>
      </c>
      <c r="G4078" t="s">
        <v>675</v>
      </c>
      <c r="J4078" t="s">
        <v>125</v>
      </c>
      <c r="K4078">
        <v>0</v>
      </c>
      <c r="L4078">
        <v>3</v>
      </c>
      <c r="M4078">
        <v>0</v>
      </c>
      <c r="N4078">
        <v>2</v>
      </c>
      <c r="O4078">
        <v>1</v>
      </c>
      <c r="P4078">
        <v>0</v>
      </c>
      <c r="Q4078">
        <v>0</v>
      </c>
      <c r="S4078" t="str">
        <f>"20:37:00.617"</f>
        <v>20:37:00.617</v>
      </c>
      <c r="T4078" t="str">
        <f>"20:37:00.117"</f>
        <v>20:37:00.117</v>
      </c>
      <c r="U4078" t="str">
        <f t="shared" si="202"/>
        <v>AB01F4</v>
      </c>
      <c r="V4078">
        <v>0</v>
      </c>
      <c r="W4078">
        <v>0</v>
      </c>
      <c r="X4078">
        <v>2</v>
      </c>
      <c r="Z4078">
        <v>0</v>
      </c>
      <c r="AA4078">
        <v>9</v>
      </c>
      <c r="AB4078">
        <v>3</v>
      </c>
      <c r="AC4078">
        <v>0</v>
      </c>
      <c r="AD4078">
        <v>10</v>
      </c>
      <c r="AE4078">
        <v>0</v>
      </c>
      <c r="AF4078">
        <v>3</v>
      </c>
      <c r="AG4078">
        <v>2</v>
      </c>
      <c r="AH4078">
        <v>0</v>
      </c>
      <c r="AI4078" t="s">
        <v>2287</v>
      </c>
      <c r="AJ4078">
        <v>40.148485000000001</v>
      </c>
      <c r="AK4078" t="s">
        <v>2288</v>
      </c>
      <c r="AL4078">
        <v>-93.118594000000002</v>
      </c>
      <c r="AM4078">
        <v>100</v>
      </c>
      <c r="AN4078">
        <v>1300</v>
      </c>
      <c r="AO4078" t="s">
        <v>118</v>
      </c>
      <c r="AP4078">
        <v>-114</v>
      </c>
      <c r="AQ4078">
        <v>60</v>
      </c>
      <c r="AR4078">
        <v>64</v>
      </c>
      <c r="AZ4078">
        <v>1200</v>
      </c>
      <c r="BA4078">
        <v>1</v>
      </c>
      <c r="BB4078" t="str">
        <f t="shared" si="201"/>
        <v xml:space="preserve">N8080G  </v>
      </c>
      <c r="BC4078">
        <v>1</v>
      </c>
      <c r="BE4078">
        <v>0</v>
      </c>
      <c r="BF4078">
        <v>0</v>
      </c>
      <c r="BG4078">
        <v>0</v>
      </c>
      <c r="BH4078">
        <v>1350</v>
      </c>
      <c r="BI4078">
        <v>1</v>
      </c>
      <c r="BJ4078">
        <v>1</v>
      </c>
      <c r="BK4078">
        <v>1</v>
      </c>
      <c r="BL4078">
        <v>0</v>
      </c>
      <c r="BO4078">
        <v>0</v>
      </c>
      <c r="BP4078">
        <v>0</v>
      </c>
      <c r="BW4078" t="str">
        <f>"20:37:00.617"</f>
        <v>20:37:00.617</v>
      </c>
      <c r="BZ4078">
        <v>0</v>
      </c>
      <c r="CA4078">
        <v>1600</v>
      </c>
      <c r="CB4078">
        <v>224</v>
      </c>
      <c r="CD4078">
        <v>1</v>
      </c>
      <c r="CE4078">
        <v>0</v>
      </c>
      <c r="CF4078">
        <v>0</v>
      </c>
      <c r="CG4078">
        <v>1</v>
      </c>
      <c r="CH4078">
        <v>0</v>
      </c>
      <c r="CI4078">
        <v>0</v>
      </c>
      <c r="CJ4078">
        <v>0</v>
      </c>
      <c r="CK4078">
        <v>2</v>
      </c>
      <c r="CL4078">
        <v>0</v>
      </c>
      <c r="CM4078">
        <v>2</v>
      </c>
      <c r="CN4078">
        <v>0</v>
      </c>
      <c r="CO4078">
        <v>6</v>
      </c>
      <c r="CP4078" t="s">
        <v>119</v>
      </c>
      <c r="CQ4078">
        <v>180</v>
      </c>
      <c r="CR4078">
        <v>3</v>
      </c>
      <c r="CW4078">
        <v>1335030</v>
      </c>
      <c r="CY4078">
        <v>0</v>
      </c>
      <c r="CZ4078">
        <v>0</v>
      </c>
      <c r="DA4078">
        <v>1</v>
      </c>
      <c r="DB4078">
        <v>0</v>
      </c>
      <c r="DC4078">
        <v>0</v>
      </c>
      <c r="DD4078">
        <v>0</v>
      </c>
      <c r="DE4078">
        <v>0</v>
      </c>
      <c r="DF4078">
        <v>0</v>
      </c>
      <c r="DG4078">
        <v>0</v>
      </c>
      <c r="DH4078">
        <v>0</v>
      </c>
      <c r="DI4078">
        <v>0</v>
      </c>
    </row>
    <row r="4079" spans="1:113" x14ac:dyDescent="0.3">
      <c r="A4079" t="str">
        <f>"02/08/2021 20:36:59.302"</f>
        <v>02/08/2021 20:36:59.302</v>
      </c>
      <c r="C4079" t="str">
        <f t="shared" si="203"/>
        <v>FFDFD7C0</v>
      </c>
      <c r="D4079" t="s">
        <v>113</v>
      </c>
      <c r="E4079">
        <v>6</v>
      </c>
      <c r="H4079">
        <v>165</v>
      </c>
      <c r="I4079" t="s">
        <v>114</v>
      </c>
      <c r="J4079" t="s">
        <v>115</v>
      </c>
      <c r="K4079">
        <v>0</v>
      </c>
      <c r="L4079">
        <v>3</v>
      </c>
      <c r="M4079">
        <v>0</v>
      </c>
      <c r="N4079">
        <v>2</v>
      </c>
      <c r="O4079">
        <v>1</v>
      </c>
      <c r="P4079">
        <v>0</v>
      </c>
      <c r="Q4079">
        <v>0</v>
      </c>
      <c r="S4079" t="str">
        <f>"20:37:01.641"</f>
        <v>20:37:01.641</v>
      </c>
      <c r="T4079" t="str">
        <f>"20:37:01.241"</f>
        <v>20:37:01.241</v>
      </c>
      <c r="U4079" t="str">
        <f t="shared" si="202"/>
        <v>AB01F4</v>
      </c>
      <c r="V4079">
        <v>0</v>
      </c>
      <c r="W4079">
        <v>0</v>
      </c>
      <c r="X4079">
        <v>2</v>
      </c>
      <c r="Z4079">
        <v>0</v>
      </c>
      <c r="AA4079">
        <v>9</v>
      </c>
      <c r="AB4079">
        <v>3</v>
      </c>
      <c r="AC4079">
        <v>0</v>
      </c>
      <c r="AD4079">
        <v>10</v>
      </c>
      <c r="AE4079">
        <v>0</v>
      </c>
      <c r="AF4079">
        <v>3</v>
      </c>
      <c r="AG4079">
        <v>2</v>
      </c>
      <c r="AH4079">
        <v>0</v>
      </c>
      <c r="AI4079" t="s">
        <v>2289</v>
      </c>
      <c r="AJ4079">
        <v>40.148741999999999</v>
      </c>
      <c r="AK4079" t="s">
        <v>2290</v>
      </c>
      <c r="AL4079">
        <v>-93.119365999999999</v>
      </c>
      <c r="AM4079">
        <v>100</v>
      </c>
      <c r="AN4079">
        <v>1300</v>
      </c>
      <c r="AO4079" t="s">
        <v>118</v>
      </c>
      <c r="AP4079">
        <v>-115</v>
      </c>
      <c r="AQ4079">
        <v>60</v>
      </c>
      <c r="AR4079">
        <v>64</v>
      </c>
      <c r="AZ4079">
        <v>1200</v>
      </c>
      <c r="BA4079">
        <v>1</v>
      </c>
      <c r="BB4079" t="str">
        <f t="shared" ref="BB4079:BB4142" si="204">"N8080G  "</f>
        <v xml:space="preserve">N8080G  </v>
      </c>
      <c r="BC4079">
        <v>1</v>
      </c>
      <c r="BE4079">
        <v>0</v>
      </c>
      <c r="BF4079">
        <v>0</v>
      </c>
      <c r="BG4079">
        <v>0</v>
      </c>
      <c r="BH4079">
        <v>1350</v>
      </c>
      <c r="BI4079">
        <v>1</v>
      </c>
      <c r="BJ4079">
        <v>1</v>
      </c>
      <c r="BK4079">
        <v>1</v>
      </c>
      <c r="BL4079">
        <v>0</v>
      </c>
      <c r="BO4079">
        <v>0</v>
      </c>
      <c r="BP4079">
        <v>0</v>
      </c>
      <c r="BW4079" t="str">
        <f>"20:37:01.648"</f>
        <v>20:37:01.648</v>
      </c>
      <c r="BZ4079">
        <v>0</v>
      </c>
      <c r="CA4079">
        <v>1600</v>
      </c>
      <c r="CB4079">
        <v>224</v>
      </c>
      <c r="CD4079">
        <v>1</v>
      </c>
      <c r="CE4079">
        <v>0</v>
      </c>
      <c r="CF4079">
        <v>0</v>
      </c>
      <c r="CG4079">
        <v>1</v>
      </c>
      <c r="CH4079">
        <v>0</v>
      </c>
      <c r="CI4079">
        <v>0</v>
      </c>
      <c r="CJ4079">
        <v>0</v>
      </c>
      <c r="CK4079">
        <v>2</v>
      </c>
      <c r="CL4079">
        <v>0</v>
      </c>
      <c r="CM4079">
        <v>2</v>
      </c>
      <c r="CN4079">
        <v>0</v>
      </c>
      <c r="CO4079">
        <v>6</v>
      </c>
      <c r="CP4079" t="s">
        <v>119</v>
      </c>
      <c r="CQ4079">
        <v>180</v>
      </c>
      <c r="CR4079">
        <v>3</v>
      </c>
      <c r="CW4079">
        <v>1335896</v>
      </c>
      <c r="CY4079">
        <v>0</v>
      </c>
      <c r="CZ4079">
        <v>0</v>
      </c>
      <c r="DA4079">
        <v>0</v>
      </c>
      <c r="DB4079">
        <v>0</v>
      </c>
      <c r="DC4079">
        <v>0</v>
      </c>
      <c r="DD4079">
        <v>0</v>
      </c>
      <c r="DE4079">
        <v>0</v>
      </c>
      <c r="DF4079">
        <v>0</v>
      </c>
      <c r="DG4079">
        <v>0</v>
      </c>
      <c r="DH4079">
        <v>0</v>
      </c>
      <c r="DI4079">
        <v>0</v>
      </c>
    </row>
    <row r="4080" spans="1:113" x14ac:dyDescent="0.3">
      <c r="A4080" t="str">
        <f>"02/08/2021 20:36:59.302"</f>
        <v>02/08/2021 20:36:59.302</v>
      </c>
      <c r="C4080" t="str">
        <f t="shared" si="203"/>
        <v>FFDFD7C0</v>
      </c>
      <c r="D4080" t="s">
        <v>124</v>
      </c>
      <c r="E4080">
        <v>13</v>
      </c>
      <c r="F4080">
        <v>1013</v>
      </c>
      <c r="G4080" t="s">
        <v>114</v>
      </c>
      <c r="J4080" t="s">
        <v>125</v>
      </c>
      <c r="K4080">
        <v>0</v>
      </c>
      <c r="L4080">
        <v>3</v>
      </c>
      <c r="M4080">
        <v>0</v>
      </c>
      <c r="N4080">
        <v>2</v>
      </c>
      <c r="O4080">
        <v>1</v>
      </c>
      <c r="P4080">
        <v>0</v>
      </c>
      <c r="Q4080">
        <v>0</v>
      </c>
      <c r="S4080" t="str">
        <f>"20:37:01.641"</f>
        <v>20:37:01.641</v>
      </c>
      <c r="T4080" t="str">
        <f>"20:37:01.241"</f>
        <v>20:37:01.241</v>
      </c>
      <c r="U4080" t="str">
        <f t="shared" si="202"/>
        <v>AB01F4</v>
      </c>
      <c r="V4080">
        <v>0</v>
      </c>
      <c r="W4080">
        <v>0</v>
      </c>
      <c r="X4080">
        <v>2</v>
      </c>
      <c r="Z4080">
        <v>0</v>
      </c>
      <c r="AA4080">
        <v>9</v>
      </c>
      <c r="AB4080">
        <v>3</v>
      </c>
      <c r="AC4080">
        <v>0</v>
      </c>
      <c r="AD4080">
        <v>10</v>
      </c>
      <c r="AE4080">
        <v>0</v>
      </c>
      <c r="AF4080">
        <v>3</v>
      </c>
      <c r="AG4080">
        <v>2</v>
      </c>
      <c r="AH4080">
        <v>0</v>
      </c>
      <c r="AI4080" t="s">
        <v>2289</v>
      </c>
      <c r="AJ4080">
        <v>40.148741999999999</v>
      </c>
      <c r="AK4080" t="s">
        <v>2290</v>
      </c>
      <c r="AL4080">
        <v>-93.119365999999999</v>
      </c>
      <c r="AM4080">
        <v>100</v>
      </c>
      <c r="AN4080">
        <v>1300</v>
      </c>
      <c r="AO4080" t="s">
        <v>118</v>
      </c>
      <c r="AP4080">
        <v>-115</v>
      </c>
      <c r="AQ4080">
        <v>60</v>
      </c>
      <c r="AR4080">
        <v>64</v>
      </c>
      <c r="AZ4080">
        <v>1200</v>
      </c>
      <c r="BA4080">
        <v>1</v>
      </c>
      <c r="BB4080" t="str">
        <f t="shared" si="204"/>
        <v xml:space="preserve">N8080G  </v>
      </c>
      <c r="BC4080">
        <v>1</v>
      </c>
      <c r="BE4080">
        <v>0</v>
      </c>
      <c r="BF4080">
        <v>0</v>
      </c>
      <c r="BG4080">
        <v>0</v>
      </c>
      <c r="BH4080">
        <v>1350</v>
      </c>
      <c r="BI4080">
        <v>1</v>
      </c>
      <c r="BJ4080">
        <v>1</v>
      </c>
      <c r="BK4080">
        <v>1</v>
      </c>
      <c r="BL4080">
        <v>0</v>
      </c>
      <c r="BO4080">
        <v>0</v>
      </c>
      <c r="BP4080">
        <v>0</v>
      </c>
      <c r="BW4080" t="str">
        <f>"20:37:01.648"</f>
        <v>20:37:01.648</v>
      </c>
      <c r="BZ4080">
        <v>0</v>
      </c>
      <c r="CA4080">
        <v>1600</v>
      </c>
      <c r="CB4080">
        <v>224</v>
      </c>
      <c r="CD4080">
        <v>1</v>
      </c>
      <c r="CE4080">
        <v>0</v>
      </c>
      <c r="CF4080">
        <v>0</v>
      </c>
      <c r="CG4080">
        <v>1</v>
      </c>
      <c r="CH4080">
        <v>0</v>
      </c>
      <c r="CI4080">
        <v>0</v>
      </c>
      <c r="CJ4080">
        <v>0</v>
      </c>
      <c r="CK4080">
        <v>2</v>
      </c>
      <c r="CL4080">
        <v>0</v>
      </c>
      <c r="CM4080">
        <v>2</v>
      </c>
      <c r="CN4080">
        <v>0</v>
      </c>
      <c r="CO4080">
        <v>6</v>
      </c>
      <c r="CP4080" t="s">
        <v>119</v>
      </c>
      <c r="CQ4080">
        <v>180</v>
      </c>
      <c r="CR4080">
        <v>3</v>
      </c>
      <c r="CW4080">
        <v>1335896</v>
      </c>
      <c r="CY4080">
        <v>0</v>
      </c>
      <c r="CZ4080">
        <v>0</v>
      </c>
      <c r="DA4080">
        <v>1</v>
      </c>
      <c r="DB4080">
        <v>0</v>
      </c>
      <c r="DC4080">
        <v>0</v>
      </c>
      <c r="DD4080">
        <v>0</v>
      </c>
      <c r="DE4080">
        <v>0</v>
      </c>
      <c r="DF4080">
        <v>0</v>
      </c>
      <c r="DG4080">
        <v>0</v>
      </c>
      <c r="DH4080">
        <v>0</v>
      </c>
      <c r="DI4080">
        <v>0</v>
      </c>
    </row>
    <row r="4081" spans="1:113" x14ac:dyDescent="0.3">
      <c r="A4081" t="str">
        <f>"02/08/2021 20:36:59.302"</f>
        <v>02/08/2021 20:36:59.302</v>
      </c>
      <c r="C4081" t="str">
        <f t="shared" si="203"/>
        <v>FFDFD7C0</v>
      </c>
      <c r="D4081" t="s">
        <v>124</v>
      </c>
      <c r="E4081">
        <v>11</v>
      </c>
      <c r="F4081">
        <v>1011</v>
      </c>
      <c r="G4081" t="s">
        <v>590</v>
      </c>
      <c r="J4081" t="s">
        <v>125</v>
      </c>
      <c r="K4081">
        <v>0</v>
      </c>
      <c r="L4081">
        <v>3</v>
      </c>
      <c r="M4081">
        <v>0</v>
      </c>
      <c r="N4081">
        <v>2</v>
      </c>
      <c r="O4081">
        <v>1</v>
      </c>
      <c r="P4081">
        <v>0</v>
      </c>
      <c r="Q4081">
        <v>0</v>
      </c>
      <c r="S4081" t="str">
        <f>"20:37:01.641"</f>
        <v>20:37:01.641</v>
      </c>
      <c r="T4081" t="str">
        <f>"20:37:01.241"</f>
        <v>20:37:01.241</v>
      </c>
      <c r="U4081" t="str">
        <f t="shared" si="202"/>
        <v>AB01F4</v>
      </c>
      <c r="V4081">
        <v>0</v>
      </c>
      <c r="W4081">
        <v>0</v>
      </c>
      <c r="X4081">
        <v>2</v>
      </c>
      <c r="Z4081">
        <v>0</v>
      </c>
      <c r="AA4081">
        <v>9</v>
      </c>
      <c r="AB4081">
        <v>3</v>
      </c>
      <c r="AC4081">
        <v>0</v>
      </c>
      <c r="AD4081">
        <v>10</v>
      </c>
      <c r="AE4081">
        <v>0</v>
      </c>
      <c r="AF4081">
        <v>3</v>
      </c>
      <c r="AG4081">
        <v>2</v>
      </c>
      <c r="AH4081">
        <v>0</v>
      </c>
      <c r="AI4081" t="s">
        <v>2289</v>
      </c>
      <c r="AJ4081">
        <v>40.148741999999999</v>
      </c>
      <c r="AK4081" t="s">
        <v>2290</v>
      </c>
      <c r="AL4081">
        <v>-93.119365999999999</v>
      </c>
      <c r="AM4081">
        <v>100</v>
      </c>
      <c r="AN4081">
        <v>1300</v>
      </c>
      <c r="AO4081" t="s">
        <v>118</v>
      </c>
      <c r="AP4081">
        <v>-115</v>
      </c>
      <c r="AQ4081">
        <v>60</v>
      </c>
      <c r="AR4081">
        <v>64</v>
      </c>
      <c r="AZ4081">
        <v>1200</v>
      </c>
      <c r="BA4081">
        <v>1</v>
      </c>
      <c r="BB4081" t="str">
        <f t="shared" si="204"/>
        <v xml:space="preserve">N8080G  </v>
      </c>
      <c r="BC4081">
        <v>1</v>
      </c>
      <c r="BE4081">
        <v>0</v>
      </c>
      <c r="BF4081">
        <v>0</v>
      </c>
      <c r="BG4081">
        <v>0</v>
      </c>
      <c r="BH4081">
        <v>1350</v>
      </c>
      <c r="BI4081">
        <v>1</v>
      </c>
      <c r="BJ4081">
        <v>1</v>
      </c>
      <c r="BK4081">
        <v>1</v>
      </c>
      <c r="BL4081">
        <v>0</v>
      </c>
      <c r="BO4081">
        <v>0</v>
      </c>
      <c r="BP4081">
        <v>0</v>
      </c>
      <c r="BW4081" t="str">
        <f>"20:37:01.648"</f>
        <v>20:37:01.648</v>
      </c>
      <c r="BZ4081">
        <v>0</v>
      </c>
      <c r="CA4081">
        <v>1600</v>
      </c>
      <c r="CB4081">
        <v>224</v>
      </c>
      <c r="CD4081">
        <v>1</v>
      </c>
      <c r="CE4081">
        <v>0</v>
      </c>
      <c r="CF4081">
        <v>0</v>
      </c>
      <c r="CG4081">
        <v>1</v>
      </c>
      <c r="CH4081">
        <v>0</v>
      </c>
      <c r="CI4081">
        <v>0</v>
      </c>
      <c r="CJ4081">
        <v>0</v>
      </c>
      <c r="CK4081">
        <v>2</v>
      </c>
      <c r="CL4081">
        <v>0</v>
      </c>
      <c r="CM4081">
        <v>2</v>
      </c>
      <c r="CN4081">
        <v>0</v>
      </c>
      <c r="CO4081">
        <v>6</v>
      </c>
      <c r="CP4081" t="s">
        <v>119</v>
      </c>
      <c r="CQ4081">
        <v>180</v>
      </c>
      <c r="CR4081">
        <v>3</v>
      </c>
      <c r="CW4081">
        <v>1335896</v>
      </c>
      <c r="CY4081">
        <v>0</v>
      </c>
      <c r="CZ4081">
        <v>0</v>
      </c>
      <c r="DA4081">
        <v>1</v>
      </c>
      <c r="DB4081">
        <v>0</v>
      </c>
      <c r="DC4081">
        <v>0</v>
      </c>
      <c r="DD4081">
        <v>0</v>
      </c>
      <c r="DE4081">
        <v>0</v>
      </c>
      <c r="DF4081">
        <v>0</v>
      </c>
      <c r="DG4081">
        <v>0</v>
      </c>
      <c r="DH4081">
        <v>0</v>
      </c>
      <c r="DI4081">
        <v>0</v>
      </c>
    </row>
    <row r="4082" spans="1:113" x14ac:dyDescent="0.3">
      <c r="A4082" t="str">
        <f>"02/08/2021 20:36:59.302"</f>
        <v>02/08/2021 20:36:59.302</v>
      </c>
      <c r="C4082" t="str">
        <f t="shared" si="203"/>
        <v>FFDFD7C0</v>
      </c>
      <c r="D4082" t="s">
        <v>124</v>
      </c>
      <c r="E4082">
        <v>12</v>
      </c>
      <c r="F4082">
        <v>1012</v>
      </c>
      <c r="G4082" t="s">
        <v>675</v>
      </c>
      <c r="J4082" t="s">
        <v>125</v>
      </c>
      <c r="K4082">
        <v>0</v>
      </c>
      <c r="L4082">
        <v>3</v>
      </c>
      <c r="M4082">
        <v>0</v>
      </c>
      <c r="N4082">
        <v>2</v>
      </c>
      <c r="O4082">
        <v>1</v>
      </c>
      <c r="P4082">
        <v>0</v>
      </c>
      <c r="Q4082">
        <v>0</v>
      </c>
      <c r="S4082" t="str">
        <f>"20:37:01.641"</f>
        <v>20:37:01.641</v>
      </c>
      <c r="T4082" t="str">
        <f>"20:37:01.241"</f>
        <v>20:37:01.241</v>
      </c>
      <c r="U4082" t="str">
        <f t="shared" si="202"/>
        <v>AB01F4</v>
      </c>
      <c r="V4082">
        <v>0</v>
      </c>
      <c r="W4082">
        <v>0</v>
      </c>
      <c r="X4082">
        <v>2</v>
      </c>
      <c r="Z4082">
        <v>0</v>
      </c>
      <c r="AA4082">
        <v>9</v>
      </c>
      <c r="AB4082">
        <v>3</v>
      </c>
      <c r="AC4082">
        <v>0</v>
      </c>
      <c r="AD4082">
        <v>10</v>
      </c>
      <c r="AE4082">
        <v>0</v>
      </c>
      <c r="AF4082">
        <v>3</v>
      </c>
      <c r="AG4082">
        <v>2</v>
      </c>
      <c r="AH4082">
        <v>0</v>
      </c>
      <c r="AI4082" t="s">
        <v>2289</v>
      </c>
      <c r="AJ4082">
        <v>40.148741999999999</v>
      </c>
      <c r="AK4082" t="s">
        <v>2290</v>
      </c>
      <c r="AL4082">
        <v>-93.119365999999999</v>
      </c>
      <c r="AM4082">
        <v>100</v>
      </c>
      <c r="AN4082">
        <v>1300</v>
      </c>
      <c r="AO4082" t="s">
        <v>118</v>
      </c>
      <c r="AP4082">
        <v>-115</v>
      </c>
      <c r="AQ4082">
        <v>60</v>
      </c>
      <c r="AR4082">
        <v>64</v>
      </c>
      <c r="AZ4082">
        <v>1200</v>
      </c>
      <c r="BA4082">
        <v>1</v>
      </c>
      <c r="BB4082" t="str">
        <f t="shared" si="204"/>
        <v xml:space="preserve">N8080G  </v>
      </c>
      <c r="BC4082">
        <v>1</v>
      </c>
      <c r="BE4082">
        <v>0</v>
      </c>
      <c r="BF4082">
        <v>0</v>
      </c>
      <c r="BG4082">
        <v>0</v>
      </c>
      <c r="BH4082">
        <v>1350</v>
      </c>
      <c r="BI4082">
        <v>1</v>
      </c>
      <c r="BJ4082">
        <v>1</v>
      </c>
      <c r="BK4082">
        <v>1</v>
      </c>
      <c r="BL4082">
        <v>0</v>
      </c>
      <c r="BO4082">
        <v>0</v>
      </c>
      <c r="BP4082">
        <v>0</v>
      </c>
      <c r="BW4082" t="str">
        <f>"20:37:01.648"</f>
        <v>20:37:01.648</v>
      </c>
      <c r="BZ4082">
        <v>0</v>
      </c>
      <c r="CA4082">
        <v>1600</v>
      </c>
      <c r="CB4082">
        <v>224</v>
      </c>
      <c r="CD4082">
        <v>1</v>
      </c>
      <c r="CE4082">
        <v>0</v>
      </c>
      <c r="CF4082">
        <v>0</v>
      </c>
      <c r="CG4082">
        <v>1</v>
      </c>
      <c r="CH4082">
        <v>0</v>
      </c>
      <c r="CI4082">
        <v>0</v>
      </c>
      <c r="CJ4082">
        <v>0</v>
      </c>
      <c r="CK4082">
        <v>2</v>
      </c>
      <c r="CL4082">
        <v>0</v>
      </c>
      <c r="CM4082">
        <v>2</v>
      </c>
      <c r="CN4082">
        <v>0</v>
      </c>
      <c r="CO4082">
        <v>6</v>
      </c>
      <c r="CP4082" t="s">
        <v>119</v>
      </c>
      <c r="CQ4082">
        <v>180</v>
      </c>
      <c r="CR4082">
        <v>3</v>
      </c>
      <c r="CW4082">
        <v>1335896</v>
      </c>
      <c r="CY4082">
        <v>0</v>
      </c>
      <c r="CZ4082">
        <v>0</v>
      </c>
      <c r="DA4082">
        <v>1</v>
      </c>
      <c r="DB4082">
        <v>0</v>
      </c>
      <c r="DC4082">
        <v>0</v>
      </c>
      <c r="DD4082">
        <v>0</v>
      </c>
      <c r="DE4082">
        <v>0</v>
      </c>
      <c r="DF4082">
        <v>0</v>
      </c>
      <c r="DG4082">
        <v>0</v>
      </c>
      <c r="DH4082">
        <v>0</v>
      </c>
      <c r="DI4082">
        <v>0</v>
      </c>
    </row>
    <row r="4083" spans="1:113" x14ac:dyDescent="0.3">
      <c r="A4083" t="str">
        <f>"02/08/2021 20:37:00.217"</f>
        <v>02/08/2021 20:37:00.217</v>
      </c>
      <c r="C4083" t="str">
        <f t="shared" si="203"/>
        <v>FFDFD7C0</v>
      </c>
      <c r="D4083" t="s">
        <v>124</v>
      </c>
      <c r="E4083">
        <v>13</v>
      </c>
      <c r="F4083">
        <v>1013</v>
      </c>
      <c r="G4083" t="s">
        <v>114</v>
      </c>
      <c r="J4083" t="s">
        <v>125</v>
      </c>
      <c r="K4083">
        <v>0</v>
      </c>
      <c r="L4083">
        <v>3</v>
      </c>
      <c r="M4083">
        <v>0</v>
      </c>
      <c r="N4083">
        <v>2</v>
      </c>
      <c r="O4083">
        <v>1</v>
      </c>
      <c r="P4083">
        <v>0</v>
      </c>
      <c r="Q4083">
        <v>0</v>
      </c>
      <c r="S4083" t="str">
        <f>"20:37:02.570"</f>
        <v>20:37:02.570</v>
      </c>
      <c r="T4083" t="str">
        <f>"20:37:02.170"</f>
        <v>20:37:02.170</v>
      </c>
      <c r="U4083" t="str">
        <f t="shared" si="202"/>
        <v>AB01F4</v>
      </c>
      <c r="V4083">
        <v>0</v>
      </c>
      <c r="W4083">
        <v>0</v>
      </c>
      <c r="X4083">
        <v>2</v>
      </c>
      <c r="Z4083">
        <v>0</v>
      </c>
      <c r="AA4083">
        <v>9</v>
      </c>
      <c r="AB4083">
        <v>3</v>
      </c>
      <c r="AC4083">
        <v>0</v>
      </c>
      <c r="AD4083">
        <v>10</v>
      </c>
      <c r="AE4083">
        <v>0</v>
      </c>
      <c r="AF4083">
        <v>3</v>
      </c>
      <c r="AG4083">
        <v>2</v>
      </c>
      <c r="AH4083">
        <v>0</v>
      </c>
      <c r="AI4083" t="s">
        <v>2291</v>
      </c>
      <c r="AJ4083">
        <v>40.149042999999999</v>
      </c>
      <c r="AK4083" t="s">
        <v>2292</v>
      </c>
      <c r="AL4083">
        <v>-93.119988000000006</v>
      </c>
      <c r="AM4083">
        <v>100</v>
      </c>
      <c r="AN4083">
        <v>1300</v>
      </c>
      <c r="AO4083" t="s">
        <v>118</v>
      </c>
      <c r="AP4083">
        <v>-115</v>
      </c>
      <c r="AQ4083">
        <v>60</v>
      </c>
      <c r="AR4083">
        <v>0</v>
      </c>
      <c r="AZ4083">
        <v>1200</v>
      </c>
      <c r="BA4083">
        <v>1</v>
      </c>
      <c r="BB4083" t="str">
        <f t="shared" si="204"/>
        <v xml:space="preserve">N8080G  </v>
      </c>
      <c r="BC4083">
        <v>1</v>
      </c>
      <c r="BE4083">
        <v>0</v>
      </c>
      <c r="BF4083">
        <v>0</v>
      </c>
      <c r="BG4083">
        <v>0</v>
      </c>
      <c r="BH4083">
        <v>1350</v>
      </c>
      <c r="BI4083">
        <v>1</v>
      </c>
      <c r="BJ4083">
        <v>1</v>
      </c>
      <c r="BK4083">
        <v>1</v>
      </c>
      <c r="BL4083">
        <v>0</v>
      </c>
      <c r="BO4083">
        <v>0</v>
      </c>
      <c r="BP4083">
        <v>0</v>
      </c>
      <c r="BW4083" t="str">
        <f>"20:37:02.572"</f>
        <v>20:37:02.572</v>
      </c>
      <c r="BZ4083">
        <v>0</v>
      </c>
      <c r="CA4083">
        <v>1600</v>
      </c>
      <c r="CB4083">
        <v>224</v>
      </c>
      <c r="CD4083">
        <v>1</v>
      </c>
      <c r="CE4083">
        <v>0</v>
      </c>
      <c r="CF4083">
        <v>0</v>
      </c>
      <c r="CG4083">
        <v>1</v>
      </c>
      <c r="CH4083">
        <v>0</v>
      </c>
      <c r="CI4083">
        <v>0</v>
      </c>
      <c r="CJ4083">
        <v>0</v>
      </c>
      <c r="CK4083">
        <v>2</v>
      </c>
      <c r="CL4083">
        <v>0</v>
      </c>
      <c r="CM4083">
        <v>2</v>
      </c>
      <c r="CN4083">
        <v>0</v>
      </c>
      <c r="CO4083">
        <v>5</v>
      </c>
      <c r="CP4083" t="s">
        <v>119</v>
      </c>
      <c r="CQ4083">
        <v>180</v>
      </c>
      <c r="CR4083">
        <v>3</v>
      </c>
      <c r="CW4083">
        <v>1336603</v>
      </c>
      <c r="CY4083">
        <v>0</v>
      </c>
      <c r="CZ4083">
        <v>0</v>
      </c>
      <c r="DA4083">
        <v>0</v>
      </c>
      <c r="DB4083">
        <v>0</v>
      </c>
      <c r="DC4083">
        <v>0</v>
      </c>
      <c r="DD4083">
        <v>0</v>
      </c>
      <c r="DE4083">
        <v>0</v>
      </c>
      <c r="DF4083">
        <v>0</v>
      </c>
      <c r="DG4083">
        <v>0</v>
      </c>
      <c r="DH4083">
        <v>0</v>
      </c>
      <c r="DI4083">
        <v>0</v>
      </c>
    </row>
    <row r="4084" spans="1:113" x14ac:dyDescent="0.3">
      <c r="A4084" t="str">
        <f>"02/08/2021 20:37:00.217"</f>
        <v>02/08/2021 20:37:00.217</v>
      </c>
      <c r="C4084" t="str">
        <f t="shared" si="203"/>
        <v>FFDFD7C0</v>
      </c>
      <c r="D4084" t="s">
        <v>124</v>
      </c>
      <c r="E4084">
        <v>11</v>
      </c>
      <c r="F4084">
        <v>1011</v>
      </c>
      <c r="G4084" t="s">
        <v>590</v>
      </c>
      <c r="J4084" t="s">
        <v>125</v>
      </c>
      <c r="K4084">
        <v>0</v>
      </c>
      <c r="L4084">
        <v>3</v>
      </c>
      <c r="M4084">
        <v>0</v>
      </c>
      <c r="N4084">
        <v>2</v>
      </c>
      <c r="O4084">
        <v>1</v>
      </c>
      <c r="P4084">
        <v>0</v>
      </c>
      <c r="Q4084">
        <v>0</v>
      </c>
      <c r="S4084" t="str">
        <f>"20:37:02.570"</f>
        <v>20:37:02.570</v>
      </c>
      <c r="T4084" t="str">
        <f>"20:37:02.170"</f>
        <v>20:37:02.170</v>
      </c>
      <c r="U4084" t="str">
        <f t="shared" si="202"/>
        <v>AB01F4</v>
      </c>
      <c r="V4084">
        <v>0</v>
      </c>
      <c r="W4084">
        <v>0</v>
      </c>
      <c r="X4084">
        <v>2</v>
      </c>
      <c r="Z4084">
        <v>0</v>
      </c>
      <c r="AA4084">
        <v>9</v>
      </c>
      <c r="AB4084">
        <v>3</v>
      </c>
      <c r="AC4084">
        <v>0</v>
      </c>
      <c r="AD4084">
        <v>10</v>
      </c>
      <c r="AE4084">
        <v>0</v>
      </c>
      <c r="AF4084">
        <v>3</v>
      </c>
      <c r="AG4084">
        <v>2</v>
      </c>
      <c r="AH4084">
        <v>0</v>
      </c>
      <c r="AI4084" t="s">
        <v>2291</v>
      </c>
      <c r="AJ4084">
        <v>40.149042999999999</v>
      </c>
      <c r="AK4084" t="s">
        <v>2292</v>
      </c>
      <c r="AL4084">
        <v>-93.119988000000006</v>
      </c>
      <c r="AM4084">
        <v>100</v>
      </c>
      <c r="AN4084">
        <v>1300</v>
      </c>
      <c r="AO4084" t="s">
        <v>118</v>
      </c>
      <c r="AP4084">
        <v>-115</v>
      </c>
      <c r="AQ4084">
        <v>60</v>
      </c>
      <c r="AR4084">
        <v>0</v>
      </c>
      <c r="AZ4084">
        <v>1200</v>
      </c>
      <c r="BA4084">
        <v>1</v>
      </c>
      <c r="BB4084" t="str">
        <f t="shared" si="204"/>
        <v xml:space="preserve">N8080G  </v>
      </c>
      <c r="BC4084">
        <v>1</v>
      </c>
      <c r="BE4084">
        <v>0</v>
      </c>
      <c r="BF4084">
        <v>0</v>
      </c>
      <c r="BG4084">
        <v>0</v>
      </c>
      <c r="BH4084">
        <v>1350</v>
      </c>
      <c r="BI4084">
        <v>1</v>
      </c>
      <c r="BJ4084">
        <v>1</v>
      </c>
      <c r="BK4084">
        <v>1</v>
      </c>
      <c r="BL4084">
        <v>0</v>
      </c>
      <c r="BO4084">
        <v>0</v>
      </c>
      <c r="BP4084">
        <v>0</v>
      </c>
      <c r="BW4084" t="str">
        <f>"20:37:02.572"</f>
        <v>20:37:02.572</v>
      </c>
      <c r="BZ4084">
        <v>0</v>
      </c>
      <c r="CA4084">
        <v>1600</v>
      </c>
      <c r="CB4084">
        <v>224</v>
      </c>
      <c r="CD4084">
        <v>1</v>
      </c>
      <c r="CE4084">
        <v>0</v>
      </c>
      <c r="CF4084">
        <v>0</v>
      </c>
      <c r="CG4084">
        <v>1</v>
      </c>
      <c r="CH4084">
        <v>0</v>
      </c>
      <c r="CI4084">
        <v>0</v>
      </c>
      <c r="CJ4084">
        <v>0</v>
      </c>
      <c r="CK4084">
        <v>2</v>
      </c>
      <c r="CL4084">
        <v>0</v>
      </c>
      <c r="CM4084">
        <v>2</v>
      </c>
      <c r="CN4084">
        <v>0</v>
      </c>
      <c r="CO4084">
        <v>5</v>
      </c>
      <c r="CP4084" t="s">
        <v>119</v>
      </c>
      <c r="CQ4084">
        <v>180</v>
      </c>
      <c r="CR4084">
        <v>3</v>
      </c>
      <c r="CW4084">
        <v>1336603</v>
      </c>
      <c r="CY4084">
        <v>0</v>
      </c>
      <c r="CZ4084">
        <v>0</v>
      </c>
      <c r="DA4084">
        <v>1</v>
      </c>
      <c r="DB4084">
        <v>0</v>
      </c>
      <c r="DC4084">
        <v>0</v>
      </c>
      <c r="DD4084">
        <v>0</v>
      </c>
      <c r="DE4084">
        <v>0</v>
      </c>
      <c r="DF4084">
        <v>0</v>
      </c>
      <c r="DG4084">
        <v>0</v>
      </c>
      <c r="DH4084">
        <v>0</v>
      </c>
      <c r="DI4084">
        <v>0</v>
      </c>
    </row>
    <row r="4085" spans="1:113" x14ac:dyDescent="0.3">
      <c r="A4085" t="str">
        <f>"02/08/2021 20:37:00.217"</f>
        <v>02/08/2021 20:37:00.217</v>
      </c>
      <c r="C4085" t="str">
        <f t="shared" si="203"/>
        <v>FFDFD7C0</v>
      </c>
      <c r="D4085" t="s">
        <v>124</v>
      </c>
      <c r="E4085">
        <v>12</v>
      </c>
      <c r="F4085">
        <v>1012</v>
      </c>
      <c r="G4085" t="s">
        <v>675</v>
      </c>
      <c r="J4085" t="s">
        <v>125</v>
      </c>
      <c r="K4085">
        <v>0</v>
      </c>
      <c r="L4085">
        <v>3</v>
      </c>
      <c r="M4085">
        <v>0</v>
      </c>
      <c r="N4085">
        <v>2</v>
      </c>
      <c r="O4085">
        <v>1</v>
      </c>
      <c r="P4085">
        <v>0</v>
      </c>
      <c r="Q4085">
        <v>0</v>
      </c>
      <c r="S4085" t="str">
        <f>"20:37:02.570"</f>
        <v>20:37:02.570</v>
      </c>
      <c r="T4085" t="str">
        <f>"20:37:02.170"</f>
        <v>20:37:02.170</v>
      </c>
      <c r="U4085" t="str">
        <f t="shared" si="202"/>
        <v>AB01F4</v>
      </c>
      <c r="V4085">
        <v>0</v>
      </c>
      <c r="W4085">
        <v>0</v>
      </c>
      <c r="X4085">
        <v>2</v>
      </c>
      <c r="Z4085">
        <v>0</v>
      </c>
      <c r="AA4085">
        <v>9</v>
      </c>
      <c r="AB4085">
        <v>3</v>
      </c>
      <c r="AC4085">
        <v>0</v>
      </c>
      <c r="AD4085">
        <v>10</v>
      </c>
      <c r="AE4085">
        <v>0</v>
      </c>
      <c r="AF4085">
        <v>3</v>
      </c>
      <c r="AG4085">
        <v>2</v>
      </c>
      <c r="AH4085">
        <v>0</v>
      </c>
      <c r="AI4085" t="s">
        <v>2291</v>
      </c>
      <c r="AJ4085">
        <v>40.149042999999999</v>
      </c>
      <c r="AK4085" t="s">
        <v>2292</v>
      </c>
      <c r="AL4085">
        <v>-93.119988000000006</v>
      </c>
      <c r="AM4085">
        <v>100</v>
      </c>
      <c r="AN4085">
        <v>1300</v>
      </c>
      <c r="AO4085" t="s">
        <v>118</v>
      </c>
      <c r="AP4085">
        <v>-115</v>
      </c>
      <c r="AQ4085">
        <v>60</v>
      </c>
      <c r="AR4085">
        <v>0</v>
      </c>
      <c r="AZ4085">
        <v>1200</v>
      </c>
      <c r="BA4085">
        <v>1</v>
      </c>
      <c r="BB4085" t="str">
        <f t="shared" si="204"/>
        <v xml:space="preserve">N8080G  </v>
      </c>
      <c r="BC4085">
        <v>1</v>
      </c>
      <c r="BE4085">
        <v>0</v>
      </c>
      <c r="BF4085">
        <v>0</v>
      </c>
      <c r="BG4085">
        <v>0</v>
      </c>
      <c r="BH4085">
        <v>1350</v>
      </c>
      <c r="BI4085">
        <v>1</v>
      </c>
      <c r="BJ4085">
        <v>1</v>
      </c>
      <c r="BK4085">
        <v>1</v>
      </c>
      <c r="BL4085">
        <v>0</v>
      </c>
      <c r="BO4085">
        <v>0</v>
      </c>
      <c r="BP4085">
        <v>0</v>
      </c>
      <c r="BW4085" t="str">
        <f>"20:37:02.572"</f>
        <v>20:37:02.572</v>
      </c>
      <c r="BZ4085">
        <v>0</v>
      </c>
      <c r="CA4085">
        <v>1600</v>
      </c>
      <c r="CB4085">
        <v>224</v>
      </c>
      <c r="CD4085">
        <v>1</v>
      </c>
      <c r="CE4085">
        <v>0</v>
      </c>
      <c r="CF4085">
        <v>0</v>
      </c>
      <c r="CG4085">
        <v>1</v>
      </c>
      <c r="CH4085">
        <v>0</v>
      </c>
      <c r="CI4085">
        <v>0</v>
      </c>
      <c r="CJ4085">
        <v>0</v>
      </c>
      <c r="CK4085">
        <v>2</v>
      </c>
      <c r="CL4085">
        <v>0</v>
      </c>
      <c r="CM4085">
        <v>2</v>
      </c>
      <c r="CN4085">
        <v>0</v>
      </c>
      <c r="CO4085">
        <v>5</v>
      </c>
      <c r="CP4085" t="s">
        <v>119</v>
      </c>
      <c r="CQ4085">
        <v>180</v>
      </c>
      <c r="CR4085">
        <v>3</v>
      </c>
      <c r="CW4085">
        <v>1336603</v>
      </c>
      <c r="CY4085">
        <v>0</v>
      </c>
      <c r="CZ4085">
        <v>0</v>
      </c>
      <c r="DA4085">
        <v>1</v>
      </c>
      <c r="DB4085">
        <v>0</v>
      </c>
      <c r="DC4085">
        <v>0</v>
      </c>
      <c r="DD4085">
        <v>0</v>
      </c>
      <c r="DE4085">
        <v>0</v>
      </c>
      <c r="DF4085">
        <v>0</v>
      </c>
      <c r="DG4085">
        <v>0</v>
      </c>
      <c r="DH4085">
        <v>0</v>
      </c>
      <c r="DI4085">
        <v>0</v>
      </c>
    </row>
    <row r="4086" spans="1:113" x14ac:dyDescent="0.3">
      <c r="A4086" t="str">
        <f>"02/08/2021 20:37:00.217"</f>
        <v>02/08/2021 20:37:00.217</v>
      </c>
      <c r="C4086" t="str">
        <f t="shared" si="203"/>
        <v>FFDFD7C0</v>
      </c>
      <c r="D4086" t="s">
        <v>113</v>
      </c>
      <c r="E4086">
        <v>6</v>
      </c>
      <c r="H4086">
        <v>165</v>
      </c>
      <c r="I4086" t="s">
        <v>114</v>
      </c>
      <c r="J4086" t="s">
        <v>115</v>
      </c>
      <c r="K4086">
        <v>0</v>
      </c>
      <c r="L4086">
        <v>3</v>
      </c>
      <c r="M4086">
        <v>0</v>
      </c>
      <c r="N4086">
        <v>2</v>
      </c>
      <c r="O4086">
        <v>1</v>
      </c>
      <c r="P4086">
        <v>0</v>
      </c>
      <c r="Q4086">
        <v>0</v>
      </c>
      <c r="S4086" t="str">
        <f>"20:37:02.570"</f>
        <v>20:37:02.570</v>
      </c>
      <c r="T4086" t="str">
        <f>"20:37:02.170"</f>
        <v>20:37:02.170</v>
      </c>
      <c r="U4086" t="str">
        <f t="shared" si="202"/>
        <v>AB01F4</v>
      </c>
      <c r="V4086">
        <v>0</v>
      </c>
      <c r="W4086">
        <v>0</v>
      </c>
      <c r="X4086">
        <v>2</v>
      </c>
      <c r="Z4086">
        <v>0</v>
      </c>
      <c r="AA4086">
        <v>9</v>
      </c>
      <c r="AB4086">
        <v>3</v>
      </c>
      <c r="AC4086">
        <v>0</v>
      </c>
      <c r="AD4086">
        <v>10</v>
      </c>
      <c r="AE4086">
        <v>0</v>
      </c>
      <c r="AF4086">
        <v>3</v>
      </c>
      <c r="AG4086">
        <v>2</v>
      </c>
      <c r="AH4086">
        <v>0</v>
      </c>
      <c r="AI4086" t="s">
        <v>2291</v>
      </c>
      <c r="AJ4086">
        <v>40.149042999999999</v>
      </c>
      <c r="AK4086" t="s">
        <v>2292</v>
      </c>
      <c r="AL4086">
        <v>-93.119988000000006</v>
      </c>
      <c r="AM4086">
        <v>100</v>
      </c>
      <c r="AN4086">
        <v>1300</v>
      </c>
      <c r="AO4086" t="s">
        <v>118</v>
      </c>
      <c r="AP4086">
        <v>-115</v>
      </c>
      <c r="AQ4086">
        <v>60</v>
      </c>
      <c r="AR4086">
        <v>0</v>
      </c>
      <c r="AZ4086">
        <v>1200</v>
      </c>
      <c r="BA4086">
        <v>1</v>
      </c>
      <c r="BB4086" t="str">
        <f t="shared" si="204"/>
        <v xml:space="preserve">N8080G  </v>
      </c>
      <c r="BC4086">
        <v>1</v>
      </c>
      <c r="BE4086">
        <v>0</v>
      </c>
      <c r="BF4086">
        <v>0</v>
      </c>
      <c r="BG4086">
        <v>0</v>
      </c>
      <c r="BH4086">
        <v>1350</v>
      </c>
      <c r="BI4086">
        <v>1</v>
      </c>
      <c r="BJ4086">
        <v>1</v>
      </c>
      <c r="BK4086">
        <v>1</v>
      </c>
      <c r="BL4086">
        <v>0</v>
      </c>
      <c r="BO4086">
        <v>0</v>
      </c>
      <c r="BP4086">
        <v>0</v>
      </c>
      <c r="BW4086" t="str">
        <f>"20:37:02.572"</f>
        <v>20:37:02.572</v>
      </c>
      <c r="BZ4086">
        <v>0</v>
      </c>
      <c r="CA4086">
        <v>1600</v>
      </c>
      <c r="CB4086">
        <v>224</v>
      </c>
      <c r="CD4086">
        <v>1</v>
      </c>
      <c r="CE4086">
        <v>0</v>
      </c>
      <c r="CF4086">
        <v>0</v>
      </c>
      <c r="CG4086">
        <v>1</v>
      </c>
      <c r="CH4086">
        <v>0</v>
      </c>
      <c r="CI4086">
        <v>0</v>
      </c>
      <c r="CJ4086">
        <v>0</v>
      </c>
      <c r="CK4086">
        <v>2</v>
      </c>
      <c r="CL4086">
        <v>0</v>
      </c>
      <c r="CM4086">
        <v>2</v>
      </c>
      <c r="CN4086">
        <v>0</v>
      </c>
      <c r="CO4086">
        <v>5</v>
      </c>
      <c r="CP4086" t="s">
        <v>119</v>
      </c>
      <c r="CQ4086">
        <v>180</v>
      </c>
      <c r="CR4086">
        <v>3</v>
      </c>
      <c r="CW4086">
        <v>1336603</v>
      </c>
      <c r="CY4086">
        <v>0</v>
      </c>
      <c r="CZ4086">
        <v>0</v>
      </c>
      <c r="DA4086">
        <v>1</v>
      </c>
      <c r="DB4086">
        <v>0</v>
      </c>
      <c r="DC4086">
        <v>0</v>
      </c>
      <c r="DD4086">
        <v>0</v>
      </c>
      <c r="DE4086">
        <v>0</v>
      </c>
      <c r="DF4086">
        <v>0</v>
      </c>
      <c r="DG4086">
        <v>0</v>
      </c>
      <c r="DH4086">
        <v>0</v>
      </c>
      <c r="DI4086">
        <v>0</v>
      </c>
    </row>
    <row r="4087" spans="1:113" x14ac:dyDescent="0.3">
      <c r="A4087" t="str">
        <f>"02/08/2021 20:37:01.187"</f>
        <v>02/08/2021 20:37:01.187</v>
      </c>
      <c r="C4087" t="str">
        <f t="shared" si="203"/>
        <v>FFDFD7C0</v>
      </c>
      <c r="D4087" t="s">
        <v>124</v>
      </c>
      <c r="E4087">
        <v>11</v>
      </c>
      <c r="F4087">
        <v>1011</v>
      </c>
      <c r="G4087" t="s">
        <v>590</v>
      </c>
      <c r="J4087" t="s">
        <v>125</v>
      </c>
      <c r="K4087">
        <v>0</v>
      </c>
      <c r="L4087">
        <v>3</v>
      </c>
      <c r="M4087">
        <v>0</v>
      </c>
      <c r="N4087">
        <v>2</v>
      </c>
      <c r="O4087">
        <v>1</v>
      </c>
      <c r="P4087">
        <v>0</v>
      </c>
      <c r="Q4087">
        <v>0</v>
      </c>
      <c r="S4087" t="str">
        <f>"20:37:03.523"</f>
        <v>20:37:03.523</v>
      </c>
      <c r="T4087" t="str">
        <f>"20:37:03.123"</f>
        <v>20:37:03.123</v>
      </c>
      <c r="U4087" t="str">
        <f t="shared" si="202"/>
        <v>AB01F4</v>
      </c>
      <c r="V4087">
        <v>0</v>
      </c>
      <c r="W4087">
        <v>0</v>
      </c>
      <c r="X4087">
        <v>2</v>
      </c>
      <c r="Z4087">
        <v>0</v>
      </c>
      <c r="AA4087">
        <v>9</v>
      </c>
      <c r="AB4087">
        <v>3</v>
      </c>
      <c r="AC4087">
        <v>0</v>
      </c>
      <c r="AD4087">
        <v>10</v>
      </c>
      <c r="AE4087">
        <v>0</v>
      </c>
      <c r="AF4087">
        <v>3</v>
      </c>
      <c r="AG4087">
        <v>2</v>
      </c>
      <c r="AH4087">
        <v>0</v>
      </c>
      <c r="AI4087" t="s">
        <v>2293</v>
      </c>
      <c r="AJ4087">
        <v>40.149256999999999</v>
      </c>
      <c r="AK4087" t="s">
        <v>2294</v>
      </c>
      <c r="AL4087">
        <v>-93.120610999999997</v>
      </c>
      <c r="AM4087">
        <v>100</v>
      </c>
      <c r="AN4087">
        <v>1300</v>
      </c>
      <c r="AO4087" t="s">
        <v>118</v>
      </c>
      <c r="AP4087">
        <v>-115</v>
      </c>
      <c r="AQ4087">
        <v>59</v>
      </c>
      <c r="AR4087">
        <v>0</v>
      </c>
      <c r="AZ4087">
        <v>1200</v>
      </c>
      <c r="BA4087">
        <v>1</v>
      </c>
      <c r="BB4087" t="str">
        <f t="shared" si="204"/>
        <v xml:space="preserve">N8080G  </v>
      </c>
      <c r="BC4087">
        <v>1</v>
      </c>
      <c r="BE4087">
        <v>0</v>
      </c>
      <c r="BF4087">
        <v>0</v>
      </c>
      <c r="BG4087">
        <v>0</v>
      </c>
      <c r="BH4087">
        <v>1350</v>
      </c>
      <c r="BI4087">
        <v>1</v>
      </c>
      <c r="BJ4087">
        <v>1</v>
      </c>
      <c r="BK4087">
        <v>1</v>
      </c>
      <c r="BL4087">
        <v>0</v>
      </c>
      <c r="BO4087">
        <v>0</v>
      </c>
      <c r="BP4087">
        <v>0</v>
      </c>
      <c r="BW4087" t="str">
        <f>"20:37:03.524"</f>
        <v>20:37:03.524</v>
      </c>
      <c r="BZ4087">
        <v>0</v>
      </c>
      <c r="CA4087">
        <v>1600</v>
      </c>
      <c r="CB4087">
        <v>224</v>
      </c>
      <c r="CD4087">
        <v>1</v>
      </c>
      <c r="CE4087">
        <v>0</v>
      </c>
      <c r="CF4087">
        <v>0</v>
      </c>
      <c r="CG4087">
        <v>1</v>
      </c>
      <c r="CH4087">
        <v>0</v>
      </c>
      <c r="CI4087">
        <v>0</v>
      </c>
      <c r="CJ4087">
        <v>0</v>
      </c>
      <c r="CK4087">
        <v>2</v>
      </c>
      <c r="CL4087">
        <v>0</v>
      </c>
      <c r="CM4087">
        <v>2</v>
      </c>
      <c r="CN4087">
        <v>0</v>
      </c>
      <c r="CO4087">
        <v>5</v>
      </c>
      <c r="CP4087" t="s">
        <v>119</v>
      </c>
      <c r="CQ4087">
        <v>180</v>
      </c>
      <c r="CR4087">
        <v>2</v>
      </c>
      <c r="CW4087">
        <v>9013319</v>
      </c>
      <c r="CY4087">
        <v>0</v>
      </c>
      <c r="CZ4087">
        <v>0</v>
      </c>
      <c r="DA4087">
        <v>0</v>
      </c>
      <c r="DB4087">
        <v>0</v>
      </c>
      <c r="DC4087">
        <v>0</v>
      </c>
      <c r="DD4087">
        <v>0</v>
      </c>
      <c r="DE4087">
        <v>0</v>
      </c>
      <c r="DF4087">
        <v>0</v>
      </c>
      <c r="DG4087">
        <v>0</v>
      </c>
      <c r="DH4087">
        <v>0</v>
      </c>
      <c r="DI4087">
        <v>0</v>
      </c>
    </row>
    <row r="4088" spans="1:113" x14ac:dyDescent="0.3">
      <c r="A4088" t="str">
        <f>"02/08/2021 20:37:01.187"</f>
        <v>02/08/2021 20:37:01.187</v>
      </c>
      <c r="C4088" t="str">
        <f t="shared" si="203"/>
        <v>FFDFD7C0</v>
      </c>
      <c r="D4088" t="s">
        <v>124</v>
      </c>
      <c r="E4088">
        <v>12</v>
      </c>
      <c r="F4088">
        <v>1012</v>
      </c>
      <c r="G4088" t="s">
        <v>675</v>
      </c>
      <c r="J4088" t="s">
        <v>125</v>
      </c>
      <c r="K4088">
        <v>0</v>
      </c>
      <c r="L4088">
        <v>3</v>
      </c>
      <c r="M4088">
        <v>0</v>
      </c>
      <c r="N4088">
        <v>2</v>
      </c>
      <c r="O4088">
        <v>1</v>
      </c>
      <c r="P4088">
        <v>0</v>
      </c>
      <c r="Q4088">
        <v>0</v>
      </c>
      <c r="S4088" t="str">
        <f>"20:37:03.523"</f>
        <v>20:37:03.523</v>
      </c>
      <c r="T4088" t="str">
        <f>"20:37:03.123"</f>
        <v>20:37:03.123</v>
      </c>
      <c r="U4088" t="str">
        <f t="shared" si="202"/>
        <v>AB01F4</v>
      </c>
      <c r="V4088">
        <v>0</v>
      </c>
      <c r="W4088">
        <v>0</v>
      </c>
      <c r="X4088">
        <v>2</v>
      </c>
      <c r="Z4088">
        <v>0</v>
      </c>
      <c r="AA4088">
        <v>9</v>
      </c>
      <c r="AB4088">
        <v>3</v>
      </c>
      <c r="AC4088">
        <v>0</v>
      </c>
      <c r="AD4088">
        <v>10</v>
      </c>
      <c r="AE4088">
        <v>0</v>
      </c>
      <c r="AF4088">
        <v>3</v>
      </c>
      <c r="AG4088">
        <v>2</v>
      </c>
      <c r="AH4088">
        <v>0</v>
      </c>
      <c r="AI4088" t="s">
        <v>2293</v>
      </c>
      <c r="AJ4088">
        <v>40.149256999999999</v>
      </c>
      <c r="AK4088" t="s">
        <v>2294</v>
      </c>
      <c r="AL4088">
        <v>-93.120610999999997</v>
      </c>
      <c r="AM4088">
        <v>100</v>
      </c>
      <c r="AN4088">
        <v>1300</v>
      </c>
      <c r="AO4088" t="s">
        <v>118</v>
      </c>
      <c r="AP4088">
        <v>-115</v>
      </c>
      <c r="AQ4088">
        <v>59</v>
      </c>
      <c r="AR4088">
        <v>0</v>
      </c>
      <c r="AZ4088">
        <v>1200</v>
      </c>
      <c r="BA4088">
        <v>1</v>
      </c>
      <c r="BB4088" t="str">
        <f t="shared" si="204"/>
        <v xml:space="preserve">N8080G  </v>
      </c>
      <c r="BC4088">
        <v>1</v>
      </c>
      <c r="BE4088">
        <v>0</v>
      </c>
      <c r="BF4088">
        <v>0</v>
      </c>
      <c r="BG4088">
        <v>0</v>
      </c>
      <c r="BH4088">
        <v>1350</v>
      </c>
      <c r="BI4088">
        <v>1</v>
      </c>
      <c r="BJ4088">
        <v>1</v>
      </c>
      <c r="BK4088">
        <v>1</v>
      </c>
      <c r="BL4088">
        <v>0</v>
      </c>
      <c r="BO4088">
        <v>0</v>
      </c>
      <c r="BP4088">
        <v>0</v>
      </c>
      <c r="BW4088" t="str">
        <f>"20:37:03.524"</f>
        <v>20:37:03.524</v>
      </c>
      <c r="BZ4088">
        <v>0</v>
      </c>
      <c r="CA4088">
        <v>1600</v>
      </c>
      <c r="CB4088">
        <v>224</v>
      </c>
      <c r="CD4088">
        <v>1</v>
      </c>
      <c r="CE4088">
        <v>0</v>
      </c>
      <c r="CF4088">
        <v>0</v>
      </c>
      <c r="CG4088">
        <v>1</v>
      </c>
      <c r="CH4088">
        <v>0</v>
      </c>
      <c r="CI4088">
        <v>0</v>
      </c>
      <c r="CJ4088">
        <v>0</v>
      </c>
      <c r="CK4088">
        <v>2</v>
      </c>
      <c r="CL4088">
        <v>0</v>
      </c>
      <c r="CM4088">
        <v>2</v>
      </c>
      <c r="CN4088">
        <v>0</v>
      </c>
      <c r="CO4088">
        <v>5</v>
      </c>
      <c r="CP4088" t="s">
        <v>119</v>
      </c>
      <c r="CQ4088">
        <v>180</v>
      </c>
      <c r="CR4088">
        <v>2</v>
      </c>
      <c r="CW4088">
        <v>9013319</v>
      </c>
      <c r="CY4088">
        <v>0</v>
      </c>
      <c r="CZ4088">
        <v>0</v>
      </c>
      <c r="DA4088">
        <v>1</v>
      </c>
      <c r="DB4088">
        <v>0</v>
      </c>
      <c r="DC4088">
        <v>0</v>
      </c>
      <c r="DD4088">
        <v>0</v>
      </c>
      <c r="DE4088">
        <v>0</v>
      </c>
      <c r="DF4088">
        <v>0</v>
      </c>
      <c r="DG4088">
        <v>0</v>
      </c>
      <c r="DH4088">
        <v>0</v>
      </c>
      <c r="DI4088">
        <v>0</v>
      </c>
    </row>
    <row r="4089" spans="1:113" x14ac:dyDescent="0.3">
      <c r="A4089" t="str">
        <f>"02/08/2021 20:37:01.187"</f>
        <v>02/08/2021 20:37:01.187</v>
      </c>
      <c r="C4089" t="str">
        <f t="shared" si="203"/>
        <v>FFDFD7C0</v>
      </c>
      <c r="D4089" t="s">
        <v>124</v>
      </c>
      <c r="E4089">
        <v>13</v>
      </c>
      <c r="F4089">
        <v>1013</v>
      </c>
      <c r="G4089" t="s">
        <v>114</v>
      </c>
      <c r="J4089" t="s">
        <v>125</v>
      </c>
      <c r="K4089">
        <v>0</v>
      </c>
      <c r="L4089">
        <v>3</v>
      </c>
      <c r="M4089">
        <v>0</v>
      </c>
      <c r="N4089">
        <v>2</v>
      </c>
      <c r="O4089">
        <v>1</v>
      </c>
      <c r="P4089">
        <v>0</v>
      </c>
      <c r="Q4089">
        <v>0</v>
      </c>
      <c r="S4089" t="str">
        <f>"20:37:03.523"</f>
        <v>20:37:03.523</v>
      </c>
      <c r="T4089" t="str">
        <f>"20:37:03.123"</f>
        <v>20:37:03.123</v>
      </c>
      <c r="U4089" t="str">
        <f t="shared" si="202"/>
        <v>AB01F4</v>
      </c>
      <c r="V4089">
        <v>0</v>
      </c>
      <c r="W4089">
        <v>0</v>
      </c>
      <c r="X4089">
        <v>2</v>
      </c>
      <c r="Z4089">
        <v>0</v>
      </c>
      <c r="AA4089">
        <v>9</v>
      </c>
      <c r="AB4089">
        <v>3</v>
      </c>
      <c r="AC4089">
        <v>0</v>
      </c>
      <c r="AD4089">
        <v>10</v>
      </c>
      <c r="AE4089">
        <v>0</v>
      </c>
      <c r="AF4089">
        <v>3</v>
      </c>
      <c r="AG4089">
        <v>2</v>
      </c>
      <c r="AH4089">
        <v>0</v>
      </c>
      <c r="AI4089" t="s">
        <v>2293</v>
      </c>
      <c r="AJ4089">
        <v>40.149256999999999</v>
      </c>
      <c r="AK4089" t="s">
        <v>2294</v>
      </c>
      <c r="AL4089">
        <v>-93.120610999999997</v>
      </c>
      <c r="AM4089">
        <v>100</v>
      </c>
      <c r="AN4089">
        <v>1300</v>
      </c>
      <c r="AO4089" t="s">
        <v>118</v>
      </c>
      <c r="AP4089">
        <v>-115</v>
      </c>
      <c r="AQ4089">
        <v>59</v>
      </c>
      <c r="AR4089">
        <v>0</v>
      </c>
      <c r="AZ4089">
        <v>1200</v>
      </c>
      <c r="BA4089">
        <v>1</v>
      </c>
      <c r="BB4089" t="str">
        <f t="shared" si="204"/>
        <v xml:space="preserve">N8080G  </v>
      </c>
      <c r="BC4089">
        <v>1</v>
      </c>
      <c r="BE4089">
        <v>0</v>
      </c>
      <c r="BF4089">
        <v>0</v>
      </c>
      <c r="BG4089">
        <v>0</v>
      </c>
      <c r="BH4089">
        <v>1350</v>
      </c>
      <c r="BI4089">
        <v>1</v>
      </c>
      <c r="BJ4089">
        <v>1</v>
      </c>
      <c r="BK4089">
        <v>1</v>
      </c>
      <c r="BL4089">
        <v>0</v>
      </c>
      <c r="BO4089">
        <v>0</v>
      </c>
      <c r="BP4089">
        <v>0</v>
      </c>
      <c r="BW4089" t="str">
        <f>"20:37:03.524"</f>
        <v>20:37:03.524</v>
      </c>
      <c r="BZ4089">
        <v>0</v>
      </c>
      <c r="CA4089">
        <v>1600</v>
      </c>
      <c r="CB4089">
        <v>224</v>
      </c>
      <c r="CD4089">
        <v>1</v>
      </c>
      <c r="CE4089">
        <v>0</v>
      </c>
      <c r="CF4089">
        <v>0</v>
      </c>
      <c r="CG4089">
        <v>1</v>
      </c>
      <c r="CH4089">
        <v>0</v>
      </c>
      <c r="CI4089">
        <v>0</v>
      </c>
      <c r="CJ4089">
        <v>0</v>
      </c>
      <c r="CK4089">
        <v>2</v>
      </c>
      <c r="CL4089">
        <v>0</v>
      </c>
      <c r="CM4089">
        <v>2</v>
      </c>
      <c r="CN4089">
        <v>0</v>
      </c>
      <c r="CO4089">
        <v>5</v>
      </c>
      <c r="CP4089" t="s">
        <v>119</v>
      </c>
      <c r="CQ4089">
        <v>180</v>
      </c>
      <c r="CR4089">
        <v>2</v>
      </c>
      <c r="CW4089">
        <v>9013319</v>
      </c>
      <c r="CY4089">
        <v>0</v>
      </c>
      <c r="CZ4089">
        <v>0</v>
      </c>
      <c r="DA4089">
        <v>1</v>
      </c>
      <c r="DB4089">
        <v>0</v>
      </c>
      <c r="DC4089">
        <v>0</v>
      </c>
      <c r="DD4089">
        <v>0</v>
      </c>
      <c r="DE4089">
        <v>0</v>
      </c>
      <c r="DF4089">
        <v>0</v>
      </c>
      <c r="DG4089">
        <v>0</v>
      </c>
      <c r="DH4089">
        <v>0</v>
      </c>
      <c r="DI4089">
        <v>0</v>
      </c>
    </row>
    <row r="4090" spans="1:113" x14ac:dyDescent="0.3">
      <c r="A4090" t="str">
        <f>"02/08/2021 20:37:01.187"</f>
        <v>02/08/2021 20:37:01.187</v>
      </c>
      <c r="C4090" t="str">
        <f t="shared" si="203"/>
        <v>FFDFD7C0</v>
      </c>
      <c r="D4090" t="s">
        <v>113</v>
      </c>
      <c r="E4090">
        <v>6</v>
      </c>
      <c r="H4090">
        <v>165</v>
      </c>
      <c r="I4090" t="s">
        <v>114</v>
      </c>
      <c r="J4090" t="s">
        <v>115</v>
      </c>
      <c r="K4090">
        <v>0</v>
      </c>
      <c r="L4090">
        <v>3</v>
      </c>
      <c r="M4090">
        <v>0</v>
      </c>
      <c r="N4090">
        <v>2</v>
      </c>
      <c r="O4090">
        <v>1</v>
      </c>
      <c r="P4090">
        <v>0</v>
      </c>
      <c r="Q4090">
        <v>0</v>
      </c>
      <c r="S4090" t="str">
        <f>"20:37:03.523"</f>
        <v>20:37:03.523</v>
      </c>
      <c r="T4090" t="str">
        <f>"20:37:03.123"</f>
        <v>20:37:03.123</v>
      </c>
      <c r="U4090" t="str">
        <f t="shared" si="202"/>
        <v>AB01F4</v>
      </c>
      <c r="V4090">
        <v>0</v>
      </c>
      <c r="W4090">
        <v>0</v>
      </c>
      <c r="X4090">
        <v>2</v>
      </c>
      <c r="Z4090">
        <v>0</v>
      </c>
      <c r="AA4090">
        <v>9</v>
      </c>
      <c r="AB4090">
        <v>3</v>
      </c>
      <c r="AC4090">
        <v>0</v>
      </c>
      <c r="AD4090">
        <v>10</v>
      </c>
      <c r="AE4090">
        <v>0</v>
      </c>
      <c r="AF4090">
        <v>3</v>
      </c>
      <c r="AG4090">
        <v>2</v>
      </c>
      <c r="AH4090">
        <v>0</v>
      </c>
      <c r="AI4090" t="s">
        <v>2293</v>
      </c>
      <c r="AJ4090">
        <v>40.149256999999999</v>
      </c>
      <c r="AK4090" t="s">
        <v>2294</v>
      </c>
      <c r="AL4090">
        <v>-93.120610999999997</v>
      </c>
      <c r="AM4090">
        <v>100</v>
      </c>
      <c r="AN4090">
        <v>1300</v>
      </c>
      <c r="AO4090" t="s">
        <v>118</v>
      </c>
      <c r="AP4090">
        <v>-115</v>
      </c>
      <c r="AQ4090">
        <v>59</v>
      </c>
      <c r="AR4090">
        <v>0</v>
      </c>
      <c r="AZ4090">
        <v>1200</v>
      </c>
      <c r="BA4090">
        <v>1</v>
      </c>
      <c r="BB4090" t="str">
        <f t="shared" si="204"/>
        <v xml:space="preserve">N8080G  </v>
      </c>
      <c r="BC4090">
        <v>1</v>
      </c>
      <c r="BE4090">
        <v>0</v>
      </c>
      <c r="BF4090">
        <v>0</v>
      </c>
      <c r="BG4090">
        <v>0</v>
      </c>
      <c r="BH4090">
        <v>1350</v>
      </c>
      <c r="BI4090">
        <v>1</v>
      </c>
      <c r="BJ4090">
        <v>1</v>
      </c>
      <c r="BK4090">
        <v>1</v>
      </c>
      <c r="BL4090">
        <v>0</v>
      </c>
      <c r="BO4090">
        <v>0</v>
      </c>
      <c r="BP4090">
        <v>0</v>
      </c>
      <c r="BW4090" t="str">
        <f>"20:37:03.524"</f>
        <v>20:37:03.524</v>
      </c>
      <c r="BZ4090">
        <v>0</v>
      </c>
      <c r="CA4090">
        <v>1600</v>
      </c>
      <c r="CB4090">
        <v>224</v>
      </c>
      <c r="CD4090">
        <v>1</v>
      </c>
      <c r="CE4090">
        <v>0</v>
      </c>
      <c r="CF4090">
        <v>0</v>
      </c>
      <c r="CG4090">
        <v>1</v>
      </c>
      <c r="CH4090">
        <v>0</v>
      </c>
      <c r="CI4090">
        <v>0</v>
      </c>
      <c r="CJ4090">
        <v>0</v>
      </c>
      <c r="CK4090">
        <v>2</v>
      </c>
      <c r="CL4090">
        <v>0</v>
      </c>
      <c r="CM4090">
        <v>2</v>
      </c>
      <c r="CN4090">
        <v>0</v>
      </c>
      <c r="CO4090">
        <v>5</v>
      </c>
      <c r="CP4090" t="s">
        <v>119</v>
      </c>
      <c r="CQ4090">
        <v>180</v>
      </c>
      <c r="CR4090">
        <v>2</v>
      </c>
      <c r="CW4090">
        <v>9013319</v>
      </c>
      <c r="CY4090">
        <v>0</v>
      </c>
      <c r="CZ4090">
        <v>0</v>
      </c>
      <c r="DA4090">
        <v>1</v>
      </c>
      <c r="DB4090">
        <v>0</v>
      </c>
      <c r="DC4090">
        <v>0</v>
      </c>
      <c r="DD4090">
        <v>0</v>
      </c>
      <c r="DE4090">
        <v>0</v>
      </c>
      <c r="DF4090">
        <v>0</v>
      </c>
      <c r="DG4090">
        <v>0</v>
      </c>
      <c r="DH4090">
        <v>0</v>
      </c>
      <c r="DI4090">
        <v>0</v>
      </c>
    </row>
    <row r="4091" spans="1:113" x14ac:dyDescent="0.3">
      <c r="A4091" t="str">
        <f>"02/08/2021 20:37:03.185"</f>
        <v>02/08/2021 20:37:03.185</v>
      </c>
      <c r="C4091" t="str">
        <f t="shared" si="203"/>
        <v>FFDFD7C0</v>
      </c>
      <c r="D4091" t="s">
        <v>124</v>
      </c>
      <c r="E4091">
        <v>13</v>
      </c>
      <c r="F4091">
        <v>1013</v>
      </c>
      <c r="G4091" t="s">
        <v>114</v>
      </c>
      <c r="J4091" t="s">
        <v>125</v>
      </c>
      <c r="K4091">
        <v>0</v>
      </c>
      <c r="L4091">
        <v>3</v>
      </c>
      <c r="M4091">
        <v>0</v>
      </c>
      <c r="N4091">
        <v>2</v>
      </c>
      <c r="O4091">
        <v>1</v>
      </c>
      <c r="P4091">
        <v>0</v>
      </c>
      <c r="Q4091">
        <v>0</v>
      </c>
      <c r="S4091" t="str">
        <f>"20:37:05.492"</f>
        <v>20:37:05.492</v>
      </c>
      <c r="T4091" t="str">
        <f>"20:37:04.992"</f>
        <v>20:37:04.992</v>
      </c>
      <c r="U4091" t="str">
        <f t="shared" si="202"/>
        <v>AB01F4</v>
      </c>
      <c r="V4091">
        <v>0</v>
      </c>
      <c r="W4091">
        <v>0</v>
      </c>
      <c r="X4091">
        <v>2</v>
      </c>
      <c r="Z4091">
        <v>0</v>
      </c>
      <c r="AA4091">
        <v>9</v>
      </c>
      <c r="AB4091">
        <v>3</v>
      </c>
      <c r="AC4091">
        <v>0</v>
      </c>
      <c r="AD4091">
        <v>10</v>
      </c>
      <c r="AE4091">
        <v>0</v>
      </c>
      <c r="AF4091">
        <v>3</v>
      </c>
      <c r="AG4091">
        <v>2</v>
      </c>
      <c r="AH4091">
        <v>0</v>
      </c>
      <c r="AI4091" t="s">
        <v>2295</v>
      </c>
      <c r="AJ4091">
        <v>40.149814999999997</v>
      </c>
      <c r="AK4091" t="s">
        <v>2296</v>
      </c>
      <c r="AL4091">
        <v>-93.121983999999998</v>
      </c>
      <c r="AM4091">
        <v>100</v>
      </c>
      <c r="AN4091">
        <v>1300</v>
      </c>
      <c r="AO4091" t="s">
        <v>118</v>
      </c>
      <c r="AP4091">
        <v>-114</v>
      </c>
      <c r="AQ4091">
        <v>59</v>
      </c>
      <c r="AR4091">
        <v>0</v>
      </c>
      <c r="AZ4091">
        <v>1200</v>
      </c>
      <c r="BA4091">
        <v>1</v>
      </c>
      <c r="BB4091" t="str">
        <f t="shared" si="204"/>
        <v xml:space="preserve">N8080G  </v>
      </c>
      <c r="BC4091">
        <v>1</v>
      </c>
      <c r="BE4091">
        <v>0</v>
      </c>
      <c r="BF4091">
        <v>0</v>
      </c>
      <c r="BG4091">
        <v>0</v>
      </c>
      <c r="BH4091">
        <v>1350</v>
      </c>
      <c r="BI4091">
        <v>1</v>
      </c>
      <c r="BJ4091">
        <v>1</v>
      </c>
      <c r="BK4091">
        <v>1</v>
      </c>
      <c r="BL4091">
        <v>0</v>
      </c>
      <c r="BO4091">
        <v>0</v>
      </c>
      <c r="BP4091">
        <v>0</v>
      </c>
      <c r="BW4091" t="str">
        <f>"20:37:05.495"</f>
        <v>20:37:05.495</v>
      </c>
      <c r="BZ4091">
        <v>0</v>
      </c>
      <c r="CA4091">
        <v>1600</v>
      </c>
      <c r="CB4091">
        <v>224</v>
      </c>
      <c r="CD4091">
        <v>1</v>
      </c>
      <c r="CE4091">
        <v>0</v>
      </c>
      <c r="CF4091">
        <v>0</v>
      </c>
      <c r="CG4091">
        <v>1</v>
      </c>
      <c r="CH4091">
        <v>0</v>
      </c>
      <c r="CI4091">
        <v>0</v>
      </c>
      <c r="CJ4091">
        <v>0</v>
      </c>
      <c r="CK4091">
        <v>2</v>
      </c>
      <c r="CL4091">
        <v>0</v>
      </c>
      <c r="CM4091">
        <v>2</v>
      </c>
      <c r="CN4091">
        <v>0</v>
      </c>
      <c r="CO4091">
        <v>5</v>
      </c>
      <c r="CP4091" t="s">
        <v>119</v>
      </c>
      <c r="CQ4091">
        <v>180</v>
      </c>
      <c r="CR4091">
        <v>3</v>
      </c>
      <c r="CW4091">
        <v>1338859</v>
      </c>
      <c r="CY4091">
        <v>0</v>
      </c>
      <c r="CZ4091">
        <v>0</v>
      </c>
      <c r="DA4091">
        <v>0</v>
      </c>
      <c r="DB4091">
        <v>0</v>
      </c>
      <c r="DC4091">
        <v>0</v>
      </c>
      <c r="DD4091">
        <v>0</v>
      </c>
      <c r="DE4091">
        <v>0</v>
      </c>
      <c r="DF4091">
        <v>0</v>
      </c>
      <c r="DG4091">
        <v>0</v>
      </c>
      <c r="DH4091">
        <v>0</v>
      </c>
      <c r="DI4091">
        <v>0</v>
      </c>
    </row>
    <row r="4092" spans="1:113" x14ac:dyDescent="0.3">
      <c r="A4092" t="str">
        <f>"02/08/2021 20:37:03.185"</f>
        <v>02/08/2021 20:37:03.185</v>
      </c>
      <c r="C4092" t="str">
        <f t="shared" si="203"/>
        <v>FFDFD7C0</v>
      </c>
      <c r="D4092" t="s">
        <v>113</v>
      </c>
      <c r="E4092">
        <v>6</v>
      </c>
      <c r="H4092">
        <v>165</v>
      </c>
      <c r="I4092" t="s">
        <v>114</v>
      </c>
      <c r="J4092" t="s">
        <v>115</v>
      </c>
      <c r="K4092">
        <v>0</v>
      </c>
      <c r="L4092">
        <v>3</v>
      </c>
      <c r="M4092">
        <v>0</v>
      </c>
      <c r="N4092">
        <v>2</v>
      </c>
      <c r="O4092">
        <v>1</v>
      </c>
      <c r="P4092">
        <v>0</v>
      </c>
      <c r="Q4092">
        <v>0</v>
      </c>
      <c r="S4092" t="str">
        <f>"20:37:05.492"</f>
        <v>20:37:05.492</v>
      </c>
      <c r="T4092" t="str">
        <f>"20:37:04.992"</f>
        <v>20:37:04.992</v>
      </c>
      <c r="U4092" t="str">
        <f t="shared" si="202"/>
        <v>AB01F4</v>
      </c>
      <c r="V4092">
        <v>0</v>
      </c>
      <c r="W4092">
        <v>0</v>
      </c>
      <c r="X4092">
        <v>2</v>
      </c>
      <c r="Z4092">
        <v>0</v>
      </c>
      <c r="AA4092">
        <v>9</v>
      </c>
      <c r="AB4092">
        <v>3</v>
      </c>
      <c r="AC4092">
        <v>0</v>
      </c>
      <c r="AD4092">
        <v>10</v>
      </c>
      <c r="AE4092">
        <v>0</v>
      </c>
      <c r="AF4092">
        <v>3</v>
      </c>
      <c r="AG4092">
        <v>2</v>
      </c>
      <c r="AH4092">
        <v>0</v>
      </c>
      <c r="AI4092" t="s">
        <v>2295</v>
      </c>
      <c r="AJ4092">
        <v>40.149814999999997</v>
      </c>
      <c r="AK4092" t="s">
        <v>2296</v>
      </c>
      <c r="AL4092">
        <v>-93.121983999999998</v>
      </c>
      <c r="AM4092">
        <v>100</v>
      </c>
      <c r="AN4092">
        <v>1300</v>
      </c>
      <c r="AO4092" t="s">
        <v>118</v>
      </c>
      <c r="AP4092">
        <v>-114</v>
      </c>
      <c r="AQ4092">
        <v>59</v>
      </c>
      <c r="AR4092">
        <v>0</v>
      </c>
      <c r="AZ4092">
        <v>1200</v>
      </c>
      <c r="BA4092">
        <v>1</v>
      </c>
      <c r="BB4092" t="str">
        <f t="shared" si="204"/>
        <v xml:space="preserve">N8080G  </v>
      </c>
      <c r="BC4092">
        <v>1</v>
      </c>
      <c r="BE4092">
        <v>0</v>
      </c>
      <c r="BF4092">
        <v>0</v>
      </c>
      <c r="BG4092">
        <v>0</v>
      </c>
      <c r="BH4092">
        <v>1350</v>
      </c>
      <c r="BI4092">
        <v>1</v>
      </c>
      <c r="BJ4092">
        <v>1</v>
      </c>
      <c r="BK4092">
        <v>1</v>
      </c>
      <c r="BL4092">
        <v>0</v>
      </c>
      <c r="BO4092">
        <v>0</v>
      </c>
      <c r="BP4092">
        <v>0</v>
      </c>
      <c r="BW4092" t="str">
        <f>"20:37:05.495"</f>
        <v>20:37:05.495</v>
      </c>
      <c r="BZ4092">
        <v>0</v>
      </c>
      <c r="CA4092">
        <v>1600</v>
      </c>
      <c r="CB4092">
        <v>224</v>
      </c>
      <c r="CD4092">
        <v>1</v>
      </c>
      <c r="CE4092">
        <v>0</v>
      </c>
      <c r="CF4092">
        <v>0</v>
      </c>
      <c r="CG4092">
        <v>1</v>
      </c>
      <c r="CH4092">
        <v>0</v>
      </c>
      <c r="CI4092">
        <v>0</v>
      </c>
      <c r="CJ4092">
        <v>0</v>
      </c>
      <c r="CK4092">
        <v>2</v>
      </c>
      <c r="CL4092">
        <v>0</v>
      </c>
      <c r="CM4092">
        <v>2</v>
      </c>
      <c r="CN4092">
        <v>0</v>
      </c>
      <c r="CO4092">
        <v>5</v>
      </c>
      <c r="CP4092" t="s">
        <v>119</v>
      </c>
      <c r="CQ4092">
        <v>180</v>
      </c>
      <c r="CR4092">
        <v>3</v>
      </c>
      <c r="CW4092">
        <v>1338859</v>
      </c>
      <c r="CY4092">
        <v>0</v>
      </c>
      <c r="CZ4092">
        <v>0</v>
      </c>
      <c r="DA4092">
        <v>1</v>
      </c>
      <c r="DB4092">
        <v>0</v>
      </c>
      <c r="DC4092">
        <v>0</v>
      </c>
      <c r="DD4092">
        <v>0</v>
      </c>
      <c r="DE4092">
        <v>0</v>
      </c>
      <c r="DF4092">
        <v>0</v>
      </c>
      <c r="DG4092">
        <v>0</v>
      </c>
      <c r="DH4092">
        <v>0</v>
      </c>
      <c r="DI4092">
        <v>0</v>
      </c>
    </row>
    <row r="4093" spans="1:113" x14ac:dyDescent="0.3">
      <c r="A4093" t="str">
        <f>"02/08/2021 20:37:03.185"</f>
        <v>02/08/2021 20:37:03.185</v>
      </c>
      <c r="C4093" t="str">
        <f t="shared" si="203"/>
        <v>FFDFD7C0</v>
      </c>
      <c r="D4093" t="s">
        <v>124</v>
      </c>
      <c r="E4093">
        <v>12</v>
      </c>
      <c r="F4093">
        <v>1012</v>
      </c>
      <c r="G4093" t="s">
        <v>675</v>
      </c>
      <c r="J4093" t="s">
        <v>125</v>
      </c>
      <c r="K4093">
        <v>0</v>
      </c>
      <c r="L4093">
        <v>3</v>
      </c>
      <c r="M4093">
        <v>0</v>
      </c>
      <c r="N4093">
        <v>2</v>
      </c>
      <c r="O4093">
        <v>1</v>
      </c>
      <c r="P4093">
        <v>0</v>
      </c>
      <c r="Q4093">
        <v>0</v>
      </c>
      <c r="S4093" t="str">
        <f>"20:37:05.492"</f>
        <v>20:37:05.492</v>
      </c>
      <c r="T4093" t="str">
        <f>"20:37:04.992"</f>
        <v>20:37:04.992</v>
      </c>
      <c r="U4093" t="str">
        <f t="shared" si="202"/>
        <v>AB01F4</v>
      </c>
      <c r="V4093">
        <v>0</v>
      </c>
      <c r="W4093">
        <v>0</v>
      </c>
      <c r="X4093">
        <v>2</v>
      </c>
      <c r="Z4093">
        <v>0</v>
      </c>
      <c r="AA4093">
        <v>9</v>
      </c>
      <c r="AB4093">
        <v>3</v>
      </c>
      <c r="AC4093">
        <v>0</v>
      </c>
      <c r="AD4093">
        <v>10</v>
      </c>
      <c r="AE4093">
        <v>0</v>
      </c>
      <c r="AF4093">
        <v>3</v>
      </c>
      <c r="AG4093">
        <v>2</v>
      </c>
      <c r="AH4093">
        <v>0</v>
      </c>
      <c r="AI4093" t="s">
        <v>2295</v>
      </c>
      <c r="AJ4093">
        <v>40.149814999999997</v>
      </c>
      <c r="AK4093" t="s">
        <v>2296</v>
      </c>
      <c r="AL4093">
        <v>-93.121983999999998</v>
      </c>
      <c r="AM4093">
        <v>100</v>
      </c>
      <c r="AN4093">
        <v>1300</v>
      </c>
      <c r="AO4093" t="s">
        <v>118</v>
      </c>
      <c r="AP4093">
        <v>-114</v>
      </c>
      <c r="AQ4093">
        <v>59</v>
      </c>
      <c r="AR4093">
        <v>0</v>
      </c>
      <c r="AZ4093">
        <v>1200</v>
      </c>
      <c r="BA4093">
        <v>1</v>
      </c>
      <c r="BB4093" t="str">
        <f t="shared" si="204"/>
        <v xml:space="preserve">N8080G  </v>
      </c>
      <c r="BC4093">
        <v>1</v>
      </c>
      <c r="BE4093">
        <v>0</v>
      </c>
      <c r="BF4093">
        <v>0</v>
      </c>
      <c r="BG4093">
        <v>0</v>
      </c>
      <c r="BH4093">
        <v>1350</v>
      </c>
      <c r="BI4093">
        <v>1</v>
      </c>
      <c r="BJ4093">
        <v>1</v>
      </c>
      <c r="BK4093">
        <v>1</v>
      </c>
      <c r="BL4093">
        <v>0</v>
      </c>
      <c r="BO4093">
        <v>0</v>
      </c>
      <c r="BP4093">
        <v>0</v>
      </c>
      <c r="BW4093" t="str">
        <f>"20:37:05.495"</f>
        <v>20:37:05.495</v>
      </c>
      <c r="BZ4093">
        <v>0</v>
      </c>
      <c r="CA4093">
        <v>1600</v>
      </c>
      <c r="CB4093">
        <v>224</v>
      </c>
      <c r="CD4093">
        <v>1</v>
      </c>
      <c r="CE4093">
        <v>0</v>
      </c>
      <c r="CF4093">
        <v>0</v>
      </c>
      <c r="CG4093">
        <v>1</v>
      </c>
      <c r="CH4093">
        <v>0</v>
      </c>
      <c r="CI4093">
        <v>0</v>
      </c>
      <c r="CJ4093">
        <v>0</v>
      </c>
      <c r="CK4093">
        <v>2</v>
      </c>
      <c r="CL4093">
        <v>0</v>
      </c>
      <c r="CM4093">
        <v>2</v>
      </c>
      <c r="CN4093">
        <v>0</v>
      </c>
      <c r="CO4093">
        <v>5</v>
      </c>
      <c r="CP4093" t="s">
        <v>119</v>
      </c>
      <c r="CQ4093">
        <v>180</v>
      </c>
      <c r="CR4093">
        <v>3</v>
      </c>
      <c r="CW4093">
        <v>1338859</v>
      </c>
      <c r="CY4093">
        <v>0</v>
      </c>
      <c r="CZ4093">
        <v>0</v>
      </c>
      <c r="DA4093">
        <v>1</v>
      </c>
      <c r="DB4093">
        <v>0</v>
      </c>
      <c r="DC4093">
        <v>0</v>
      </c>
      <c r="DD4093">
        <v>0</v>
      </c>
      <c r="DE4093">
        <v>0</v>
      </c>
      <c r="DF4093">
        <v>0</v>
      </c>
      <c r="DG4093">
        <v>0</v>
      </c>
      <c r="DH4093">
        <v>0</v>
      </c>
      <c r="DI4093">
        <v>0</v>
      </c>
    </row>
    <row r="4094" spans="1:113" x14ac:dyDescent="0.3">
      <c r="A4094" t="str">
        <f>"02/08/2021 20:37:03.185"</f>
        <v>02/08/2021 20:37:03.185</v>
      </c>
      <c r="C4094" t="str">
        <f t="shared" si="203"/>
        <v>FFDFD7C0</v>
      </c>
      <c r="D4094" t="s">
        <v>124</v>
      </c>
      <c r="E4094">
        <v>11</v>
      </c>
      <c r="F4094">
        <v>1011</v>
      </c>
      <c r="G4094" t="s">
        <v>590</v>
      </c>
      <c r="J4094" t="s">
        <v>125</v>
      </c>
      <c r="K4094">
        <v>0</v>
      </c>
      <c r="L4094">
        <v>3</v>
      </c>
      <c r="M4094">
        <v>0</v>
      </c>
      <c r="N4094">
        <v>2</v>
      </c>
      <c r="O4094">
        <v>1</v>
      </c>
      <c r="P4094">
        <v>0</v>
      </c>
      <c r="Q4094">
        <v>0</v>
      </c>
      <c r="S4094" t="str">
        <f>"20:37:05.492"</f>
        <v>20:37:05.492</v>
      </c>
      <c r="T4094" t="str">
        <f>"20:37:04.992"</f>
        <v>20:37:04.992</v>
      </c>
      <c r="U4094" t="str">
        <f t="shared" si="202"/>
        <v>AB01F4</v>
      </c>
      <c r="V4094">
        <v>0</v>
      </c>
      <c r="W4094">
        <v>0</v>
      </c>
      <c r="X4094">
        <v>2</v>
      </c>
      <c r="Z4094">
        <v>0</v>
      </c>
      <c r="AA4094">
        <v>9</v>
      </c>
      <c r="AB4094">
        <v>3</v>
      </c>
      <c r="AC4094">
        <v>0</v>
      </c>
      <c r="AD4094">
        <v>10</v>
      </c>
      <c r="AE4094">
        <v>0</v>
      </c>
      <c r="AF4094">
        <v>3</v>
      </c>
      <c r="AG4094">
        <v>2</v>
      </c>
      <c r="AH4094">
        <v>0</v>
      </c>
      <c r="AI4094" t="s">
        <v>2295</v>
      </c>
      <c r="AJ4094">
        <v>40.149814999999997</v>
      </c>
      <c r="AK4094" t="s">
        <v>2296</v>
      </c>
      <c r="AL4094">
        <v>-93.121983999999998</v>
      </c>
      <c r="AM4094">
        <v>100</v>
      </c>
      <c r="AN4094">
        <v>1300</v>
      </c>
      <c r="AO4094" t="s">
        <v>118</v>
      </c>
      <c r="AP4094">
        <v>-114</v>
      </c>
      <c r="AQ4094">
        <v>59</v>
      </c>
      <c r="AR4094">
        <v>0</v>
      </c>
      <c r="AZ4094">
        <v>1200</v>
      </c>
      <c r="BA4094">
        <v>1</v>
      </c>
      <c r="BB4094" t="str">
        <f t="shared" si="204"/>
        <v xml:space="preserve">N8080G  </v>
      </c>
      <c r="BC4094">
        <v>1</v>
      </c>
      <c r="BE4094">
        <v>0</v>
      </c>
      <c r="BF4094">
        <v>0</v>
      </c>
      <c r="BG4094">
        <v>0</v>
      </c>
      <c r="BH4094">
        <v>1350</v>
      </c>
      <c r="BI4094">
        <v>1</v>
      </c>
      <c r="BJ4094">
        <v>1</v>
      </c>
      <c r="BK4094">
        <v>1</v>
      </c>
      <c r="BL4094">
        <v>0</v>
      </c>
      <c r="BO4094">
        <v>0</v>
      </c>
      <c r="BP4094">
        <v>0</v>
      </c>
      <c r="BW4094" t="str">
        <f>"20:37:05.495"</f>
        <v>20:37:05.495</v>
      </c>
      <c r="BZ4094">
        <v>0</v>
      </c>
      <c r="CA4094">
        <v>1600</v>
      </c>
      <c r="CB4094">
        <v>224</v>
      </c>
      <c r="CD4094">
        <v>1</v>
      </c>
      <c r="CE4094">
        <v>0</v>
      </c>
      <c r="CF4094">
        <v>0</v>
      </c>
      <c r="CG4094">
        <v>1</v>
      </c>
      <c r="CH4094">
        <v>0</v>
      </c>
      <c r="CI4094">
        <v>0</v>
      </c>
      <c r="CJ4094">
        <v>0</v>
      </c>
      <c r="CK4094">
        <v>2</v>
      </c>
      <c r="CL4094">
        <v>0</v>
      </c>
      <c r="CM4094">
        <v>2</v>
      </c>
      <c r="CN4094">
        <v>0</v>
      </c>
      <c r="CO4094">
        <v>5</v>
      </c>
      <c r="CP4094" t="s">
        <v>119</v>
      </c>
      <c r="CQ4094">
        <v>180</v>
      </c>
      <c r="CR4094">
        <v>3</v>
      </c>
      <c r="CW4094">
        <v>1338859</v>
      </c>
      <c r="CY4094">
        <v>0</v>
      </c>
      <c r="CZ4094">
        <v>0</v>
      </c>
      <c r="DA4094">
        <v>1</v>
      </c>
      <c r="DB4094">
        <v>0</v>
      </c>
      <c r="DC4094">
        <v>0</v>
      </c>
      <c r="DD4094">
        <v>0</v>
      </c>
      <c r="DE4094">
        <v>0</v>
      </c>
      <c r="DF4094">
        <v>0</v>
      </c>
      <c r="DG4094">
        <v>0</v>
      </c>
      <c r="DH4094">
        <v>0</v>
      </c>
      <c r="DI4094">
        <v>0</v>
      </c>
    </row>
    <row r="4095" spans="1:113" x14ac:dyDescent="0.3">
      <c r="A4095" t="str">
        <f>"02/08/2021 20:37:04.193"</f>
        <v>02/08/2021 20:37:04.193</v>
      </c>
      <c r="C4095" t="str">
        <f t="shared" si="203"/>
        <v>FFDFD7C0</v>
      </c>
      <c r="D4095" t="s">
        <v>124</v>
      </c>
      <c r="E4095">
        <v>13</v>
      </c>
      <c r="F4095">
        <v>1013</v>
      </c>
      <c r="G4095" t="s">
        <v>114</v>
      </c>
      <c r="J4095" t="s">
        <v>125</v>
      </c>
      <c r="K4095">
        <v>0</v>
      </c>
      <c r="L4095">
        <v>3</v>
      </c>
      <c r="M4095">
        <v>0</v>
      </c>
      <c r="N4095">
        <v>2</v>
      </c>
      <c r="O4095">
        <v>1</v>
      </c>
      <c r="P4095">
        <v>0</v>
      </c>
      <c r="Q4095">
        <v>0</v>
      </c>
      <c r="S4095" t="str">
        <f>"20:37:06.508"</f>
        <v>20:37:06.508</v>
      </c>
      <c r="T4095" t="str">
        <f>"20:37:06.008"</f>
        <v>20:37:06.008</v>
      </c>
      <c r="U4095" t="str">
        <f t="shared" si="202"/>
        <v>AB01F4</v>
      </c>
      <c r="V4095">
        <v>0</v>
      </c>
      <c r="W4095">
        <v>0</v>
      </c>
      <c r="X4095">
        <v>2</v>
      </c>
      <c r="Z4095">
        <v>0</v>
      </c>
      <c r="AA4095">
        <v>9</v>
      </c>
      <c r="AB4095">
        <v>3</v>
      </c>
      <c r="AC4095">
        <v>0</v>
      </c>
      <c r="AD4095">
        <v>10</v>
      </c>
      <c r="AE4095">
        <v>0</v>
      </c>
      <c r="AF4095">
        <v>3</v>
      </c>
      <c r="AG4095">
        <v>2</v>
      </c>
      <c r="AH4095">
        <v>0</v>
      </c>
      <c r="AI4095" t="s">
        <v>2297</v>
      </c>
      <c r="AJ4095">
        <v>40.150094000000003</v>
      </c>
      <c r="AK4095" t="s">
        <v>2298</v>
      </c>
      <c r="AL4095">
        <v>-93.122670999999997</v>
      </c>
      <c r="AM4095">
        <v>100</v>
      </c>
      <c r="AN4095">
        <v>1300</v>
      </c>
      <c r="AO4095" t="s">
        <v>118</v>
      </c>
      <c r="AP4095">
        <v>-114</v>
      </c>
      <c r="AQ4095">
        <v>59</v>
      </c>
      <c r="AR4095">
        <v>-64</v>
      </c>
      <c r="AZ4095">
        <v>1200</v>
      </c>
      <c r="BA4095">
        <v>1</v>
      </c>
      <c r="BB4095" t="str">
        <f t="shared" si="204"/>
        <v xml:space="preserve">N8080G  </v>
      </c>
      <c r="BC4095">
        <v>1</v>
      </c>
      <c r="BE4095">
        <v>0</v>
      </c>
      <c r="BF4095">
        <v>0</v>
      </c>
      <c r="BG4095">
        <v>0</v>
      </c>
      <c r="BH4095">
        <v>1350</v>
      </c>
      <c r="BI4095">
        <v>1</v>
      </c>
      <c r="BJ4095">
        <v>1</v>
      </c>
      <c r="BK4095">
        <v>1</v>
      </c>
      <c r="BL4095">
        <v>0</v>
      </c>
      <c r="BO4095">
        <v>0</v>
      </c>
      <c r="BP4095">
        <v>0</v>
      </c>
      <c r="BW4095" t="str">
        <f>"20:37:06.509"</f>
        <v>20:37:06.509</v>
      </c>
      <c r="BZ4095">
        <v>0</v>
      </c>
      <c r="CA4095">
        <v>1600</v>
      </c>
      <c r="CB4095">
        <v>224</v>
      </c>
      <c r="CD4095">
        <v>1</v>
      </c>
      <c r="CE4095">
        <v>0</v>
      </c>
      <c r="CF4095">
        <v>0</v>
      </c>
      <c r="CG4095">
        <v>1</v>
      </c>
      <c r="CH4095">
        <v>0</v>
      </c>
      <c r="CI4095">
        <v>0</v>
      </c>
      <c r="CJ4095">
        <v>0</v>
      </c>
      <c r="CK4095">
        <v>2</v>
      </c>
      <c r="CL4095">
        <v>0</v>
      </c>
      <c r="CM4095">
        <v>2</v>
      </c>
      <c r="CN4095">
        <v>0</v>
      </c>
      <c r="CO4095">
        <v>6</v>
      </c>
      <c r="CP4095" t="s">
        <v>119</v>
      </c>
      <c r="CQ4095">
        <v>180</v>
      </c>
      <c r="CR4095">
        <v>3</v>
      </c>
      <c r="CW4095">
        <v>1339702</v>
      </c>
      <c r="CY4095">
        <v>0</v>
      </c>
      <c r="CZ4095">
        <v>0</v>
      </c>
      <c r="DA4095">
        <v>0</v>
      </c>
      <c r="DB4095">
        <v>0</v>
      </c>
      <c r="DC4095">
        <v>0</v>
      </c>
      <c r="DD4095">
        <v>0</v>
      </c>
      <c r="DE4095">
        <v>0</v>
      </c>
      <c r="DF4095">
        <v>0</v>
      </c>
      <c r="DG4095">
        <v>0</v>
      </c>
      <c r="DH4095">
        <v>0</v>
      </c>
      <c r="DI4095">
        <v>0</v>
      </c>
    </row>
    <row r="4096" spans="1:113" x14ac:dyDescent="0.3">
      <c r="A4096" t="str">
        <f>"02/08/2021 20:37:04.193"</f>
        <v>02/08/2021 20:37:04.193</v>
      </c>
      <c r="C4096" t="str">
        <f t="shared" si="203"/>
        <v>FFDFD7C0</v>
      </c>
      <c r="D4096" t="s">
        <v>124</v>
      </c>
      <c r="E4096">
        <v>12</v>
      </c>
      <c r="F4096">
        <v>1012</v>
      </c>
      <c r="G4096" t="s">
        <v>675</v>
      </c>
      <c r="J4096" t="s">
        <v>125</v>
      </c>
      <c r="K4096">
        <v>0</v>
      </c>
      <c r="L4096">
        <v>3</v>
      </c>
      <c r="M4096">
        <v>0</v>
      </c>
      <c r="N4096">
        <v>2</v>
      </c>
      <c r="O4096">
        <v>1</v>
      </c>
      <c r="P4096">
        <v>0</v>
      </c>
      <c r="Q4096">
        <v>0</v>
      </c>
      <c r="S4096" t="str">
        <f>"20:37:06.508"</f>
        <v>20:37:06.508</v>
      </c>
      <c r="T4096" t="str">
        <f>"20:37:06.008"</f>
        <v>20:37:06.008</v>
      </c>
      <c r="U4096" t="str">
        <f t="shared" si="202"/>
        <v>AB01F4</v>
      </c>
      <c r="V4096">
        <v>0</v>
      </c>
      <c r="W4096">
        <v>0</v>
      </c>
      <c r="X4096">
        <v>2</v>
      </c>
      <c r="Z4096">
        <v>0</v>
      </c>
      <c r="AA4096">
        <v>9</v>
      </c>
      <c r="AB4096">
        <v>3</v>
      </c>
      <c r="AC4096">
        <v>0</v>
      </c>
      <c r="AD4096">
        <v>10</v>
      </c>
      <c r="AE4096">
        <v>0</v>
      </c>
      <c r="AF4096">
        <v>3</v>
      </c>
      <c r="AG4096">
        <v>2</v>
      </c>
      <c r="AH4096">
        <v>0</v>
      </c>
      <c r="AI4096" t="s">
        <v>2297</v>
      </c>
      <c r="AJ4096">
        <v>40.150094000000003</v>
      </c>
      <c r="AK4096" t="s">
        <v>2298</v>
      </c>
      <c r="AL4096">
        <v>-93.122670999999997</v>
      </c>
      <c r="AM4096">
        <v>100</v>
      </c>
      <c r="AN4096">
        <v>1300</v>
      </c>
      <c r="AO4096" t="s">
        <v>118</v>
      </c>
      <c r="AP4096">
        <v>-114</v>
      </c>
      <c r="AQ4096">
        <v>59</v>
      </c>
      <c r="AR4096">
        <v>-64</v>
      </c>
      <c r="AZ4096">
        <v>1200</v>
      </c>
      <c r="BA4096">
        <v>1</v>
      </c>
      <c r="BB4096" t="str">
        <f t="shared" si="204"/>
        <v xml:space="preserve">N8080G  </v>
      </c>
      <c r="BC4096">
        <v>1</v>
      </c>
      <c r="BE4096">
        <v>0</v>
      </c>
      <c r="BF4096">
        <v>0</v>
      </c>
      <c r="BG4096">
        <v>0</v>
      </c>
      <c r="BH4096">
        <v>1350</v>
      </c>
      <c r="BI4096">
        <v>1</v>
      </c>
      <c r="BJ4096">
        <v>1</v>
      </c>
      <c r="BK4096">
        <v>1</v>
      </c>
      <c r="BL4096">
        <v>0</v>
      </c>
      <c r="BO4096">
        <v>0</v>
      </c>
      <c r="BP4096">
        <v>0</v>
      </c>
      <c r="BW4096" t="str">
        <f>"20:37:06.509"</f>
        <v>20:37:06.509</v>
      </c>
      <c r="BZ4096">
        <v>0</v>
      </c>
      <c r="CA4096">
        <v>1600</v>
      </c>
      <c r="CB4096">
        <v>224</v>
      </c>
      <c r="CD4096">
        <v>1</v>
      </c>
      <c r="CE4096">
        <v>0</v>
      </c>
      <c r="CF4096">
        <v>0</v>
      </c>
      <c r="CG4096">
        <v>1</v>
      </c>
      <c r="CH4096">
        <v>0</v>
      </c>
      <c r="CI4096">
        <v>0</v>
      </c>
      <c r="CJ4096">
        <v>0</v>
      </c>
      <c r="CK4096">
        <v>2</v>
      </c>
      <c r="CL4096">
        <v>0</v>
      </c>
      <c r="CM4096">
        <v>2</v>
      </c>
      <c r="CN4096">
        <v>0</v>
      </c>
      <c r="CO4096">
        <v>6</v>
      </c>
      <c r="CP4096" t="s">
        <v>119</v>
      </c>
      <c r="CQ4096">
        <v>180</v>
      </c>
      <c r="CR4096">
        <v>3</v>
      </c>
      <c r="CW4096">
        <v>1339702</v>
      </c>
      <c r="CY4096">
        <v>0</v>
      </c>
      <c r="CZ4096">
        <v>0</v>
      </c>
      <c r="DA4096">
        <v>1</v>
      </c>
      <c r="DB4096">
        <v>0</v>
      </c>
      <c r="DC4096">
        <v>0</v>
      </c>
      <c r="DD4096">
        <v>0</v>
      </c>
      <c r="DE4096">
        <v>0</v>
      </c>
      <c r="DF4096">
        <v>0</v>
      </c>
      <c r="DG4096">
        <v>0</v>
      </c>
      <c r="DH4096">
        <v>0</v>
      </c>
      <c r="DI4096">
        <v>0</v>
      </c>
    </row>
    <row r="4097" spans="1:113" x14ac:dyDescent="0.3">
      <c r="A4097" t="str">
        <f>"02/08/2021 20:37:04.193"</f>
        <v>02/08/2021 20:37:04.193</v>
      </c>
      <c r="C4097" t="str">
        <f t="shared" si="203"/>
        <v>FFDFD7C0</v>
      </c>
      <c r="D4097" t="s">
        <v>113</v>
      </c>
      <c r="E4097">
        <v>6</v>
      </c>
      <c r="H4097">
        <v>165</v>
      </c>
      <c r="I4097" t="s">
        <v>114</v>
      </c>
      <c r="J4097" t="s">
        <v>115</v>
      </c>
      <c r="K4097">
        <v>0</v>
      </c>
      <c r="L4097">
        <v>3</v>
      </c>
      <c r="M4097">
        <v>0</v>
      </c>
      <c r="N4097">
        <v>2</v>
      </c>
      <c r="O4097">
        <v>1</v>
      </c>
      <c r="P4097">
        <v>0</v>
      </c>
      <c r="Q4097">
        <v>0</v>
      </c>
      <c r="S4097" t="str">
        <f>"20:37:06.508"</f>
        <v>20:37:06.508</v>
      </c>
      <c r="T4097" t="str">
        <f>"20:37:06.008"</f>
        <v>20:37:06.008</v>
      </c>
      <c r="U4097" t="str">
        <f t="shared" si="202"/>
        <v>AB01F4</v>
      </c>
      <c r="V4097">
        <v>0</v>
      </c>
      <c r="W4097">
        <v>0</v>
      </c>
      <c r="X4097">
        <v>2</v>
      </c>
      <c r="Z4097">
        <v>0</v>
      </c>
      <c r="AA4097">
        <v>9</v>
      </c>
      <c r="AB4097">
        <v>3</v>
      </c>
      <c r="AC4097">
        <v>0</v>
      </c>
      <c r="AD4097">
        <v>10</v>
      </c>
      <c r="AE4097">
        <v>0</v>
      </c>
      <c r="AF4097">
        <v>3</v>
      </c>
      <c r="AG4097">
        <v>2</v>
      </c>
      <c r="AH4097">
        <v>0</v>
      </c>
      <c r="AI4097" t="s">
        <v>2297</v>
      </c>
      <c r="AJ4097">
        <v>40.150094000000003</v>
      </c>
      <c r="AK4097" t="s">
        <v>2298</v>
      </c>
      <c r="AL4097">
        <v>-93.122670999999997</v>
      </c>
      <c r="AM4097">
        <v>100</v>
      </c>
      <c r="AN4097">
        <v>1300</v>
      </c>
      <c r="AO4097" t="s">
        <v>118</v>
      </c>
      <c r="AP4097">
        <v>-114</v>
      </c>
      <c r="AQ4097">
        <v>59</v>
      </c>
      <c r="AR4097">
        <v>-64</v>
      </c>
      <c r="AZ4097">
        <v>1200</v>
      </c>
      <c r="BA4097">
        <v>1</v>
      </c>
      <c r="BB4097" t="str">
        <f t="shared" si="204"/>
        <v xml:space="preserve">N8080G  </v>
      </c>
      <c r="BC4097">
        <v>1</v>
      </c>
      <c r="BE4097">
        <v>0</v>
      </c>
      <c r="BF4097">
        <v>0</v>
      </c>
      <c r="BG4097">
        <v>0</v>
      </c>
      <c r="BH4097">
        <v>1350</v>
      </c>
      <c r="BI4097">
        <v>1</v>
      </c>
      <c r="BJ4097">
        <v>1</v>
      </c>
      <c r="BK4097">
        <v>1</v>
      </c>
      <c r="BL4097">
        <v>0</v>
      </c>
      <c r="BO4097">
        <v>0</v>
      </c>
      <c r="BP4097">
        <v>0</v>
      </c>
      <c r="BW4097" t="str">
        <f>"20:37:06.509"</f>
        <v>20:37:06.509</v>
      </c>
      <c r="BZ4097">
        <v>0</v>
      </c>
      <c r="CA4097">
        <v>1600</v>
      </c>
      <c r="CB4097">
        <v>224</v>
      </c>
      <c r="CD4097">
        <v>1</v>
      </c>
      <c r="CE4097">
        <v>0</v>
      </c>
      <c r="CF4097">
        <v>0</v>
      </c>
      <c r="CG4097">
        <v>1</v>
      </c>
      <c r="CH4097">
        <v>0</v>
      </c>
      <c r="CI4097">
        <v>0</v>
      </c>
      <c r="CJ4097">
        <v>0</v>
      </c>
      <c r="CK4097">
        <v>2</v>
      </c>
      <c r="CL4097">
        <v>0</v>
      </c>
      <c r="CM4097">
        <v>2</v>
      </c>
      <c r="CN4097">
        <v>0</v>
      </c>
      <c r="CO4097">
        <v>6</v>
      </c>
      <c r="CP4097" t="s">
        <v>119</v>
      </c>
      <c r="CQ4097">
        <v>180</v>
      </c>
      <c r="CR4097">
        <v>3</v>
      </c>
      <c r="CW4097">
        <v>1339702</v>
      </c>
      <c r="CY4097">
        <v>0</v>
      </c>
      <c r="CZ4097">
        <v>0</v>
      </c>
      <c r="DA4097">
        <v>1</v>
      </c>
      <c r="DB4097">
        <v>0</v>
      </c>
      <c r="DC4097">
        <v>0</v>
      </c>
      <c r="DD4097">
        <v>0</v>
      </c>
      <c r="DE4097">
        <v>0</v>
      </c>
      <c r="DF4097">
        <v>0</v>
      </c>
      <c r="DG4097">
        <v>0</v>
      </c>
      <c r="DH4097">
        <v>0</v>
      </c>
      <c r="DI4097">
        <v>0</v>
      </c>
    </row>
    <row r="4098" spans="1:113" x14ac:dyDescent="0.3">
      <c r="A4098" t="str">
        <f>"02/08/2021 20:37:04.193"</f>
        <v>02/08/2021 20:37:04.193</v>
      </c>
      <c r="C4098" t="str">
        <f t="shared" si="203"/>
        <v>FFDFD7C0</v>
      </c>
      <c r="D4098" t="s">
        <v>124</v>
      </c>
      <c r="E4098">
        <v>11</v>
      </c>
      <c r="F4098">
        <v>1011</v>
      </c>
      <c r="G4098" t="s">
        <v>590</v>
      </c>
      <c r="J4098" t="s">
        <v>125</v>
      </c>
      <c r="K4098">
        <v>0</v>
      </c>
      <c r="L4098">
        <v>3</v>
      </c>
      <c r="M4098">
        <v>0</v>
      </c>
      <c r="N4098">
        <v>2</v>
      </c>
      <c r="O4098">
        <v>1</v>
      </c>
      <c r="P4098">
        <v>0</v>
      </c>
      <c r="Q4098">
        <v>0</v>
      </c>
      <c r="S4098" t="str">
        <f>"20:37:06.508"</f>
        <v>20:37:06.508</v>
      </c>
      <c r="T4098" t="str">
        <f>"20:37:06.008"</f>
        <v>20:37:06.008</v>
      </c>
      <c r="U4098" t="str">
        <f t="shared" ref="U4098:U4161" si="205">"AB01F4"</f>
        <v>AB01F4</v>
      </c>
      <c r="V4098">
        <v>0</v>
      </c>
      <c r="W4098">
        <v>0</v>
      </c>
      <c r="X4098">
        <v>2</v>
      </c>
      <c r="Z4098">
        <v>0</v>
      </c>
      <c r="AA4098">
        <v>9</v>
      </c>
      <c r="AB4098">
        <v>3</v>
      </c>
      <c r="AC4098">
        <v>0</v>
      </c>
      <c r="AD4098">
        <v>10</v>
      </c>
      <c r="AE4098">
        <v>0</v>
      </c>
      <c r="AF4098">
        <v>3</v>
      </c>
      <c r="AG4098">
        <v>2</v>
      </c>
      <c r="AH4098">
        <v>0</v>
      </c>
      <c r="AI4098" t="s">
        <v>2297</v>
      </c>
      <c r="AJ4098">
        <v>40.150094000000003</v>
      </c>
      <c r="AK4098" t="s">
        <v>2298</v>
      </c>
      <c r="AL4098">
        <v>-93.122670999999997</v>
      </c>
      <c r="AM4098">
        <v>100</v>
      </c>
      <c r="AN4098">
        <v>1300</v>
      </c>
      <c r="AO4098" t="s">
        <v>118</v>
      </c>
      <c r="AP4098">
        <v>-114</v>
      </c>
      <c r="AQ4098">
        <v>59</v>
      </c>
      <c r="AR4098">
        <v>-64</v>
      </c>
      <c r="AZ4098">
        <v>1200</v>
      </c>
      <c r="BA4098">
        <v>1</v>
      </c>
      <c r="BB4098" t="str">
        <f t="shared" si="204"/>
        <v xml:space="preserve">N8080G  </v>
      </c>
      <c r="BC4098">
        <v>1</v>
      </c>
      <c r="BE4098">
        <v>0</v>
      </c>
      <c r="BF4098">
        <v>0</v>
      </c>
      <c r="BG4098">
        <v>0</v>
      </c>
      <c r="BH4098">
        <v>1350</v>
      </c>
      <c r="BI4098">
        <v>1</v>
      </c>
      <c r="BJ4098">
        <v>1</v>
      </c>
      <c r="BK4098">
        <v>1</v>
      </c>
      <c r="BL4098">
        <v>0</v>
      </c>
      <c r="BO4098">
        <v>0</v>
      </c>
      <c r="BP4098">
        <v>0</v>
      </c>
      <c r="BW4098" t="str">
        <f>"20:37:06.509"</f>
        <v>20:37:06.509</v>
      </c>
      <c r="BZ4098">
        <v>0</v>
      </c>
      <c r="CA4098">
        <v>1600</v>
      </c>
      <c r="CB4098">
        <v>224</v>
      </c>
      <c r="CD4098">
        <v>1</v>
      </c>
      <c r="CE4098">
        <v>0</v>
      </c>
      <c r="CF4098">
        <v>0</v>
      </c>
      <c r="CG4098">
        <v>1</v>
      </c>
      <c r="CH4098">
        <v>0</v>
      </c>
      <c r="CI4098">
        <v>0</v>
      </c>
      <c r="CJ4098">
        <v>0</v>
      </c>
      <c r="CK4098">
        <v>2</v>
      </c>
      <c r="CL4098">
        <v>0</v>
      </c>
      <c r="CM4098">
        <v>2</v>
      </c>
      <c r="CN4098">
        <v>0</v>
      </c>
      <c r="CO4098">
        <v>6</v>
      </c>
      <c r="CP4098" t="s">
        <v>119</v>
      </c>
      <c r="CQ4098">
        <v>180</v>
      </c>
      <c r="CR4098">
        <v>3</v>
      </c>
      <c r="CW4098">
        <v>1339702</v>
      </c>
      <c r="CY4098">
        <v>0</v>
      </c>
      <c r="CZ4098">
        <v>0</v>
      </c>
      <c r="DA4098">
        <v>1</v>
      </c>
      <c r="DB4098">
        <v>0</v>
      </c>
      <c r="DC4098">
        <v>0</v>
      </c>
      <c r="DD4098">
        <v>0</v>
      </c>
      <c r="DE4098">
        <v>0</v>
      </c>
      <c r="DF4098">
        <v>0</v>
      </c>
      <c r="DG4098">
        <v>0</v>
      </c>
      <c r="DH4098">
        <v>0</v>
      </c>
      <c r="DI4098">
        <v>0</v>
      </c>
    </row>
    <row r="4099" spans="1:113" x14ac:dyDescent="0.3">
      <c r="A4099" t="str">
        <f>"02/08/2021 20:37:05.197"</f>
        <v>02/08/2021 20:37:05.197</v>
      </c>
      <c r="C4099" t="str">
        <f t="shared" si="203"/>
        <v>FFDFD7C0</v>
      </c>
      <c r="D4099" t="s">
        <v>124</v>
      </c>
      <c r="E4099">
        <v>13</v>
      </c>
      <c r="F4099">
        <v>1013</v>
      </c>
      <c r="G4099" t="s">
        <v>114</v>
      </c>
      <c r="J4099" t="s">
        <v>125</v>
      </c>
      <c r="K4099">
        <v>0</v>
      </c>
      <c r="L4099">
        <v>3</v>
      </c>
      <c r="M4099">
        <v>0</v>
      </c>
      <c r="N4099">
        <v>2</v>
      </c>
      <c r="O4099">
        <v>1</v>
      </c>
      <c r="P4099">
        <v>0</v>
      </c>
      <c r="Q4099">
        <v>0</v>
      </c>
      <c r="S4099" t="str">
        <f>"20:37:07.484"</f>
        <v>20:37:07.484</v>
      </c>
      <c r="T4099" t="str">
        <f>"20:37:06.984"</f>
        <v>20:37:06.984</v>
      </c>
      <c r="U4099" t="str">
        <f t="shared" si="205"/>
        <v>AB01F4</v>
      </c>
      <c r="V4099">
        <v>0</v>
      </c>
      <c r="W4099">
        <v>0</v>
      </c>
      <c r="X4099">
        <v>2</v>
      </c>
      <c r="Z4099">
        <v>0</v>
      </c>
      <c r="AA4099">
        <v>9</v>
      </c>
      <c r="AB4099">
        <v>3</v>
      </c>
      <c r="AC4099">
        <v>0</v>
      </c>
      <c r="AD4099">
        <v>10</v>
      </c>
      <c r="AE4099">
        <v>0</v>
      </c>
      <c r="AF4099">
        <v>3</v>
      </c>
      <c r="AG4099">
        <v>2</v>
      </c>
      <c r="AH4099">
        <v>0</v>
      </c>
      <c r="AI4099" t="s">
        <v>2299</v>
      </c>
      <c r="AJ4099">
        <v>40.150373000000002</v>
      </c>
      <c r="AK4099" t="s">
        <v>2300</v>
      </c>
      <c r="AL4099">
        <v>-93.123356999999999</v>
      </c>
      <c r="AM4099">
        <v>100</v>
      </c>
      <c r="AN4099">
        <v>1300</v>
      </c>
      <c r="AO4099" t="s">
        <v>118</v>
      </c>
      <c r="AP4099">
        <v>-114</v>
      </c>
      <c r="AQ4099">
        <v>59</v>
      </c>
      <c r="AR4099">
        <v>-64</v>
      </c>
      <c r="AZ4099">
        <v>1200</v>
      </c>
      <c r="BA4099">
        <v>1</v>
      </c>
      <c r="BB4099" t="str">
        <f t="shared" si="204"/>
        <v xml:space="preserve">N8080G  </v>
      </c>
      <c r="BC4099">
        <v>1</v>
      </c>
      <c r="BE4099">
        <v>0</v>
      </c>
      <c r="BF4099">
        <v>0</v>
      </c>
      <c r="BG4099">
        <v>0</v>
      </c>
      <c r="BH4099">
        <v>1350</v>
      </c>
      <c r="BI4099">
        <v>1</v>
      </c>
      <c r="BJ4099">
        <v>1</v>
      </c>
      <c r="BK4099">
        <v>1</v>
      </c>
      <c r="BL4099">
        <v>0</v>
      </c>
      <c r="BO4099">
        <v>0</v>
      </c>
      <c r="BP4099">
        <v>0</v>
      </c>
      <c r="BW4099" t="str">
        <f>"20:37:07.492"</f>
        <v>20:37:07.492</v>
      </c>
      <c r="BZ4099">
        <v>0</v>
      </c>
      <c r="CA4099">
        <v>1600</v>
      </c>
      <c r="CB4099">
        <v>224</v>
      </c>
      <c r="CD4099">
        <v>1</v>
      </c>
      <c r="CE4099">
        <v>0</v>
      </c>
      <c r="CF4099">
        <v>0</v>
      </c>
      <c r="CG4099">
        <v>1</v>
      </c>
      <c r="CH4099">
        <v>0</v>
      </c>
      <c r="CI4099">
        <v>0</v>
      </c>
      <c r="CJ4099">
        <v>0</v>
      </c>
      <c r="CK4099">
        <v>2</v>
      </c>
      <c r="CL4099">
        <v>0</v>
      </c>
      <c r="CM4099">
        <v>2</v>
      </c>
      <c r="CN4099">
        <v>0</v>
      </c>
      <c r="CO4099">
        <v>6</v>
      </c>
      <c r="CP4099" t="s">
        <v>119</v>
      </c>
      <c r="CQ4099">
        <v>180</v>
      </c>
      <c r="CR4099">
        <v>3</v>
      </c>
      <c r="CW4099">
        <v>1340442</v>
      </c>
      <c r="CY4099">
        <v>0</v>
      </c>
      <c r="CZ4099">
        <v>0</v>
      </c>
      <c r="DA4099">
        <v>0</v>
      </c>
      <c r="DB4099">
        <v>0</v>
      </c>
      <c r="DC4099">
        <v>0</v>
      </c>
      <c r="DD4099">
        <v>0</v>
      </c>
      <c r="DE4099">
        <v>0</v>
      </c>
      <c r="DF4099">
        <v>0</v>
      </c>
      <c r="DG4099">
        <v>0</v>
      </c>
      <c r="DH4099">
        <v>0</v>
      </c>
      <c r="DI4099">
        <v>0</v>
      </c>
    </row>
    <row r="4100" spans="1:113" x14ac:dyDescent="0.3">
      <c r="A4100" t="str">
        <f>"02/08/2021 20:37:05.197"</f>
        <v>02/08/2021 20:37:05.197</v>
      </c>
      <c r="C4100" t="str">
        <f t="shared" si="203"/>
        <v>FFDFD7C0</v>
      </c>
      <c r="D4100" t="s">
        <v>124</v>
      </c>
      <c r="E4100">
        <v>12</v>
      </c>
      <c r="F4100">
        <v>1012</v>
      </c>
      <c r="G4100" t="s">
        <v>675</v>
      </c>
      <c r="J4100" t="s">
        <v>125</v>
      </c>
      <c r="K4100">
        <v>0</v>
      </c>
      <c r="L4100">
        <v>3</v>
      </c>
      <c r="M4100">
        <v>0</v>
      </c>
      <c r="N4100">
        <v>2</v>
      </c>
      <c r="O4100">
        <v>1</v>
      </c>
      <c r="P4100">
        <v>0</v>
      </c>
      <c r="Q4100">
        <v>0</v>
      </c>
      <c r="S4100" t="str">
        <f>"20:37:07.484"</f>
        <v>20:37:07.484</v>
      </c>
      <c r="T4100" t="str">
        <f>"20:37:06.984"</f>
        <v>20:37:06.984</v>
      </c>
      <c r="U4100" t="str">
        <f t="shared" si="205"/>
        <v>AB01F4</v>
      </c>
      <c r="V4100">
        <v>0</v>
      </c>
      <c r="W4100">
        <v>0</v>
      </c>
      <c r="X4100">
        <v>2</v>
      </c>
      <c r="Z4100">
        <v>0</v>
      </c>
      <c r="AA4100">
        <v>9</v>
      </c>
      <c r="AB4100">
        <v>3</v>
      </c>
      <c r="AC4100">
        <v>0</v>
      </c>
      <c r="AD4100">
        <v>10</v>
      </c>
      <c r="AE4100">
        <v>0</v>
      </c>
      <c r="AF4100">
        <v>3</v>
      </c>
      <c r="AG4100">
        <v>2</v>
      </c>
      <c r="AH4100">
        <v>0</v>
      </c>
      <c r="AI4100" t="s">
        <v>2299</v>
      </c>
      <c r="AJ4100">
        <v>40.150373000000002</v>
      </c>
      <c r="AK4100" t="s">
        <v>2300</v>
      </c>
      <c r="AL4100">
        <v>-93.123356999999999</v>
      </c>
      <c r="AM4100">
        <v>100</v>
      </c>
      <c r="AN4100">
        <v>1300</v>
      </c>
      <c r="AO4100" t="s">
        <v>118</v>
      </c>
      <c r="AP4100">
        <v>-114</v>
      </c>
      <c r="AQ4100">
        <v>59</v>
      </c>
      <c r="AR4100">
        <v>-64</v>
      </c>
      <c r="AZ4100">
        <v>1200</v>
      </c>
      <c r="BA4100">
        <v>1</v>
      </c>
      <c r="BB4100" t="str">
        <f t="shared" si="204"/>
        <v xml:space="preserve">N8080G  </v>
      </c>
      <c r="BC4100">
        <v>1</v>
      </c>
      <c r="BE4100">
        <v>0</v>
      </c>
      <c r="BF4100">
        <v>0</v>
      </c>
      <c r="BG4100">
        <v>0</v>
      </c>
      <c r="BH4100">
        <v>1350</v>
      </c>
      <c r="BI4100">
        <v>1</v>
      </c>
      <c r="BJ4100">
        <v>1</v>
      </c>
      <c r="BK4100">
        <v>1</v>
      </c>
      <c r="BL4100">
        <v>0</v>
      </c>
      <c r="BO4100">
        <v>0</v>
      </c>
      <c r="BP4100">
        <v>0</v>
      </c>
      <c r="BW4100" t="str">
        <f>"20:37:07.492"</f>
        <v>20:37:07.492</v>
      </c>
      <c r="BZ4100">
        <v>0</v>
      </c>
      <c r="CA4100">
        <v>1600</v>
      </c>
      <c r="CB4100">
        <v>224</v>
      </c>
      <c r="CD4100">
        <v>1</v>
      </c>
      <c r="CE4100">
        <v>0</v>
      </c>
      <c r="CF4100">
        <v>0</v>
      </c>
      <c r="CG4100">
        <v>1</v>
      </c>
      <c r="CH4100">
        <v>0</v>
      </c>
      <c r="CI4100">
        <v>0</v>
      </c>
      <c r="CJ4100">
        <v>0</v>
      </c>
      <c r="CK4100">
        <v>2</v>
      </c>
      <c r="CL4100">
        <v>0</v>
      </c>
      <c r="CM4100">
        <v>2</v>
      </c>
      <c r="CN4100">
        <v>0</v>
      </c>
      <c r="CO4100">
        <v>6</v>
      </c>
      <c r="CP4100" t="s">
        <v>119</v>
      </c>
      <c r="CQ4100">
        <v>180</v>
      </c>
      <c r="CR4100">
        <v>3</v>
      </c>
      <c r="CW4100">
        <v>1340442</v>
      </c>
      <c r="CY4100">
        <v>0</v>
      </c>
      <c r="CZ4100">
        <v>0</v>
      </c>
      <c r="DA4100">
        <v>1</v>
      </c>
      <c r="DB4100">
        <v>0</v>
      </c>
      <c r="DC4100">
        <v>0</v>
      </c>
      <c r="DD4100">
        <v>0</v>
      </c>
      <c r="DE4100">
        <v>0</v>
      </c>
      <c r="DF4100">
        <v>0</v>
      </c>
      <c r="DG4100">
        <v>0</v>
      </c>
      <c r="DH4100">
        <v>0</v>
      </c>
      <c r="DI4100">
        <v>0</v>
      </c>
    </row>
    <row r="4101" spans="1:113" x14ac:dyDescent="0.3">
      <c r="A4101" t="str">
        <f>"02/08/2021 20:37:05.197"</f>
        <v>02/08/2021 20:37:05.197</v>
      </c>
      <c r="C4101" t="str">
        <f t="shared" si="203"/>
        <v>FFDFD7C0</v>
      </c>
      <c r="D4101" t="s">
        <v>113</v>
      </c>
      <c r="E4101">
        <v>6</v>
      </c>
      <c r="H4101">
        <v>165</v>
      </c>
      <c r="I4101" t="s">
        <v>114</v>
      </c>
      <c r="J4101" t="s">
        <v>115</v>
      </c>
      <c r="K4101">
        <v>0</v>
      </c>
      <c r="L4101">
        <v>3</v>
      </c>
      <c r="M4101">
        <v>0</v>
      </c>
      <c r="N4101">
        <v>2</v>
      </c>
      <c r="O4101">
        <v>1</v>
      </c>
      <c r="P4101">
        <v>0</v>
      </c>
      <c r="Q4101">
        <v>0</v>
      </c>
      <c r="S4101" t="str">
        <f>"20:37:07.484"</f>
        <v>20:37:07.484</v>
      </c>
      <c r="T4101" t="str">
        <f>"20:37:06.984"</f>
        <v>20:37:06.984</v>
      </c>
      <c r="U4101" t="str">
        <f t="shared" si="205"/>
        <v>AB01F4</v>
      </c>
      <c r="V4101">
        <v>0</v>
      </c>
      <c r="W4101">
        <v>0</v>
      </c>
      <c r="X4101">
        <v>2</v>
      </c>
      <c r="Z4101">
        <v>0</v>
      </c>
      <c r="AA4101">
        <v>9</v>
      </c>
      <c r="AB4101">
        <v>3</v>
      </c>
      <c r="AC4101">
        <v>0</v>
      </c>
      <c r="AD4101">
        <v>10</v>
      </c>
      <c r="AE4101">
        <v>0</v>
      </c>
      <c r="AF4101">
        <v>3</v>
      </c>
      <c r="AG4101">
        <v>2</v>
      </c>
      <c r="AH4101">
        <v>0</v>
      </c>
      <c r="AI4101" t="s">
        <v>2299</v>
      </c>
      <c r="AJ4101">
        <v>40.150373000000002</v>
      </c>
      <c r="AK4101" t="s">
        <v>2300</v>
      </c>
      <c r="AL4101">
        <v>-93.123356999999999</v>
      </c>
      <c r="AM4101">
        <v>100</v>
      </c>
      <c r="AN4101">
        <v>1300</v>
      </c>
      <c r="AO4101" t="s">
        <v>118</v>
      </c>
      <c r="AP4101">
        <v>-114</v>
      </c>
      <c r="AQ4101">
        <v>59</v>
      </c>
      <c r="AR4101">
        <v>-64</v>
      </c>
      <c r="AZ4101">
        <v>1200</v>
      </c>
      <c r="BA4101">
        <v>1</v>
      </c>
      <c r="BB4101" t="str">
        <f t="shared" si="204"/>
        <v xml:space="preserve">N8080G  </v>
      </c>
      <c r="BC4101">
        <v>1</v>
      </c>
      <c r="BE4101">
        <v>0</v>
      </c>
      <c r="BF4101">
        <v>0</v>
      </c>
      <c r="BG4101">
        <v>0</v>
      </c>
      <c r="BH4101">
        <v>1350</v>
      </c>
      <c r="BI4101">
        <v>1</v>
      </c>
      <c r="BJ4101">
        <v>1</v>
      </c>
      <c r="BK4101">
        <v>1</v>
      </c>
      <c r="BL4101">
        <v>0</v>
      </c>
      <c r="BO4101">
        <v>0</v>
      </c>
      <c r="BP4101">
        <v>0</v>
      </c>
      <c r="BW4101" t="str">
        <f>"20:37:07.492"</f>
        <v>20:37:07.492</v>
      </c>
      <c r="BZ4101">
        <v>0</v>
      </c>
      <c r="CA4101">
        <v>1600</v>
      </c>
      <c r="CB4101">
        <v>224</v>
      </c>
      <c r="CD4101">
        <v>1</v>
      </c>
      <c r="CE4101">
        <v>0</v>
      </c>
      <c r="CF4101">
        <v>0</v>
      </c>
      <c r="CG4101">
        <v>1</v>
      </c>
      <c r="CH4101">
        <v>0</v>
      </c>
      <c r="CI4101">
        <v>0</v>
      </c>
      <c r="CJ4101">
        <v>0</v>
      </c>
      <c r="CK4101">
        <v>2</v>
      </c>
      <c r="CL4101">
        <v>0</v>
      </c>
      <c r="CM4101">
        <v>2</v>
      </c>
      <c r="CN4101">
        <v>0</v>
      </c>
      <c r="CO4101">
        <v>6</v>
      </c>
      <c r="CP4101" t="s">
        <v>119</v>
      </c>
      <c r="CQ4101">
        <v>180</v>
      </c>
      <c r="CR4101">
        <v>3</v>
      </c>
      <c r="CW4101">
        <v>1340442</v>
      </c>
      <c r="CY4101">
        <v>0</v>
      </c>
      <c r="CZ4101">
        <v>0</v>
      </c>
      <c r="DA4101">
        <v>1</v>
      </c>
      <c r="DB4101">
        <v>0</v>
      </c>
      <c r="DC4101">
        <v>0</v>
      </c>
      <c r="DD4101">
        <v>0</v>
      </c>
      <c r="DE4101">
        <v>0</v>
      </c>
      <c r="DF4101">
        <v>0</v>
      </c>
      <c r="DG4101">
        <v>0</v>
      </c>
      <c r="DH4101">
        <v>0</v>
      </c>
      <c r="DI4101">
        <v>0</v>
      </c>
    </row>
    <row r="4102" spans="1:113" x14ac:dyDescent="0.3">
      <c r="A4102" t="str">
        <f>"02/08/2021 20:37:05.197"</f>
        <v>02/08/2021 20:37:05.197</v>
      </c>
      <c r="C4102" t="str">
        <f t="shared" si="203"/>
        <v>FFDFD7C0</v>
      </c>
      <c r="D4102" t="s">
        <v>124</v>
      </c>
      <c r="E4102">
        <v>11</v>
      </c>
      <c r="F4102">
        <v>1011</v>
      </c>
      <c r="G4102" t="s">
        <v>590</v>
      </c>
      <c r="J4102" t="s">
        <v>125</v>
      </c>
      <c r="K4102">
        <v>0</v>
      </c>
      <c r="L4102">
        <v>3</v>
      </c>
      <c r="M4102">
        <v>0</v>
      </c>
      <c r="N4102">
        <v>2</v>
      </c>
      <c r="O4102">
        <v>1</v>
      </c>
      <c r="P4102">
        <v>0</v>
      </c>
      <c r="Q4102">
        <v>0</v>
      </c>
      <c r="S4102" t="str">
        <f>"20:37:07.484"</f>
        <v>20:37:07.484</v>
      </c>
      <c r="T4102" t="str">
        <f>"20:37:06.984"</f>
        <v>20:37:06.984</v>
      </c>
      <c r="U4102" t="str">
        <f t="shared" si="205"/>
        <v>AB01F4</v>
      </c>
      <c r="V4102">
        <v>0</v>
      </c>
      <c r="W4102">
        <v>0</v>
      </c>
      <c r="X4102">
        <v>2</v>
      </c>
      <c r="Z4102">
        <v>0</v>
      </c>
      <c r="AA4102">
        <v>9</v>
      </c>
      <c r="AB4102">
        <v>3</v>
      </c>
      <c r="AC4102">
        <v>0</v>
      </c>
      <c r="AD4102">
        <v>10</v>
      </c>
      <c r="AE4102">
        <v>0</v>
      </c>
      <c r="AF4102">
        <v>3</v>
      </c>
      <c r="AG4102">
        <v>2</v>
      </c>
      <c r="AH4102">
        <v>0</v>
      </c>
      <c r="AI4102" t="s">
        <v>2299</v>
      </c>
      <c r="AJ4102">
        <v>40.150373000000002</v>
      </c>
      <c r="AK4102" t="s">
        <v>2300</v>
      </c>
      <c r="AL4102">
        <v>-93.123356999999999</v>
      </c>
      <c r="AM4102">
        <v>100</v>
      </c>
      <c r="AN4102">
        <v>1300</v>
      </c>
      <c r="AO4102" t="s">
        <v>118</v>
      </c>
      <c r="AP4102">
        <v>-114</v>
      </c>
      <c r="AQ4102">
        <v>59</v>
      </c>
      <c r="AR4102">
        <v>-64</v>
      </c>
      <c r="AZ4102">
        <v>1200</v>
      </c>
      <c r="BA4102">
        <v>1</v>
      </c>
      <c r="BB4102" t="str">
        <f t="shared" si="204"/>
        <v xml:space="preserve">N8080G  </v>
      </c>
      <c r="BC4102">
        <v>1</v>
      </c>
      <c r="BE4102">
        <v>0</v>
      </c>
      <c r="BF4102">
        <v>0</v>
      </c>
      <c r="BG4102">
        <v>0</v>
      </c>
      <c r="BH4102">
        <v>1350</v>
      </c>
      <c r="BI4102">
        <v>1</v>
      </c>
      <c r="BJ4102">
        <v>1</v>
      </c>
      <c r="BK4102">
        <v>1</v>
      </c>
      <c r="BL4102">
        <v>0</v>
      </c>
      <c r="BO4102">
        <v>0</v>
      </c>
      <c r="BP4102">
        <v>0</v>
      </c>
      <c r="BW4102" t="str">
        <f>"20:37:07.492"</f>
        <v>20:37:07.492</v>
      </c>
      <c r="BZ4102">
        <v>0</v>
      </c>
      <c r="CA4102">
        <v>1600</v>
      </c>
      <c r="CB4102">
        <v>224</v>
      </c>
      <c r="CD4102">
        <v>1</v>
      </c>
      <c r="CE4102">
        <v>0</v>
      </c>
      <c r="CF4102">
        <v>0</v>
      </c>
      <c r="CG4102">
        <v>1</v>
      </c>
      <c r="CH4102">
        <v>0</v>
      </c>
      <c r="CI4102">
        <v>0</v>
      </c>
      <c r="CJ4102">
        <v>0</v>
      </c>
      <c r="CK4102">
        <v>2</v>
      </c>
      <c r="CL4102">
        <v>0</v>
      </c>
      <c r="CM4102">
        <v>2</v>
      </c>
      <c r="CN4102">
        <v>0</v>
      </c>
      <c r="CO4102">
        <v>6</v>
      </c>
      <c r="CP4102" t="s">
        <v>119</v>
      </c>
      <c r="CQ4102">
        <v>180</v>
      </c>
      <c r="CR4102">
        <v>3</v>
      </c>
      <c r="CW4102">
        <v>1340442</v>
      </c>
      <c r="CY4102">
        <v>0</v>
      </c>
      <c r="CZ4102">
        <v>0</v>
      </c>
      <c r="DA4102">
        <v>1</v>
      </c>
      <c r="DB4102">
        <v>0</v>
      </c>
      <c r="DC4102">
        <v>0</v>
      </c>
      <c r="DD4102">
        <v>0</v>
      </c>
      <c r="DE4102">
        <v>0</v>
      </c>
      <c r="DF4102">
        <v>0</v>
      </c>
      <c r="DG4102">
        <v>0</v>
      </c>
      <c r="DH4102">
        <v>0</v>
      </c>
      <c r="DI4102">
        <v>0</v>
      </c>
    </row>
    <row r="4103" spans="1:113" x14ac:dyDescent="0.3">
      <c r="A4103" t="str">
        <f>"02/08/2021 20:37:06.278"</f>
        <v>02/08/2021 20:37:06.278</v>
      </c>
      <c r="C4103" t="str">
        <f t="shared" si="203"/>
        <v>FFDFD7C0</v>
      </c>
      <c r="D4103" t="s">
        <v>113</v>
      </c>
      <c r="E4103">
        <v>6</v>
      </c>
      <c r="H4103">
        <v>165</v>
      </c>
      <c r="I4103" t="s">
        <v>114</v>
      </c>
      <c r="J4103" t="s">
        <v>115</v>
      </c>
      <c r="K4103">
        <v>0</v>
      </c>
      <c r="L4103">
        <v>3</v>
      </c>
      <c r="M4103">
        <v>0</v>
      </c>
      <c r="N4103">
        <v>2</v>
      </c>
      <c r="O4103">
        <v>1</v>
      </c>
      <c r="P4103">
        <v>0</v>
      </c>
      <c r="Q4103">
        <v>0</v>
      </c>
      <c r="S4103" t="str">
        <f>"20:37:08.617"</f>
        <v>20:37:08.617</v>
      </c>
      <c r="T4103" t="str">
        <f>"20:37:08.117"</f>
        <v>20:37:08.117</v>
      </c>
      <c r="U4103" t="str">
        <f t="shared" si="205"/>
        <v>AB01F4</v>
      </c>
      <c r="V4103">
        <v>0</v>
      </c>
      <c r="W4103">
        <v>0</v>
      </c>
      <c r="X4103">
        <v>2</v>
      </c>
      <c r="Z4103">
        <v>0</v>
      </c>
      <c r="AA4103">
        <v>9</v>
      </c>
      <c r="AB4103">
        <v>3</v>
      </c>
      <c r="AC4103">
        <v>0</v>
      </c>
      <c r="AD4103">
        <v>10</v>
      </c>
      <c r="AE4103">
        <v>0</v>
      </c>
      <c r="AF4103">
        <v>3</v>
      </c>
      <c r="AG4103">
        <v>2</v>
      </c>
      <c r="AH4103">
        <v>0</v>
      </c>
      <c r="AI4103" t="s">
        <v>2301</v>
      </c>
      <c r="AJ4103">
        <v>40.150672999999998</v>
      </c>
      <c r="AK4103" t="s">
        <v>2302</v>
      </c>
      <c r="AL4103">
        <v>-93.124150999999998</v>
      </c>
      <c r="AM4103">
        <v>100</v>
      </c>
      <c r="AN4103">
        <v>1300</v>
      </c>
      <c r="AO4103" t="s">
        <v>118</v>
      </c>
      <c r="AP4103">
        <v>-114</v>
      </c>
      <c r="AQ4103">
        <v>60</v>
      </c>
      <c r="AR4103">
        <v>0</v>
      </c>
      <c r="AZ4103">
        <v>1200</v>
      </c>
      <c r="BA4103">
        <v>1</v>
      </c>
      <c r="BB4103" t="str">
        <f t="shared" si="204"/>
        <v xml:space="preserve">N8080G  </v>
      </c>
      <c r="BC4103">
        <v>1</v>
      </c>
      <c r="BE4103">
        <v>0</v>
      </c>
      <c r="BF4103">
        <v>0</v>
      </c>
      <c r="BG4103">
        <v>0</v>
      </c>
      <c r="BH4103">
        <v>1350</v>
      </c>
      <c r="BI4103">
        <v>1</v>
      </c>
      <c r="BJ4103">
        <v>1</v>
      </c>
      <c r="BK4103">
        <v>1</v>
      </c>
      <c r="BL4103">
        <v>0</v>
      </c>
      <c r="BO4103">
        <v>0</v>
      </c>
      <c r="BP4103">
        <v>0</v>
      </c>
      <c r="BW4103" t="str">
        <f>"20:37:08.621"</f>
        <v>20:37:08.621</v>
      </c>
      <c r="BZ4103">
        <v>0</v>
      </c>
      <c r="CA4103">
        <v>1600</v>
      </c>
      <c r="CB4103">
        <v>224</v>
      </c>
      <c r="CD4103">
        <v>1</v>
      </c>
      <c r="CE4103">
        <v>0</v>
      </c>
      <c r="CF4103">
        <v>0</v>
      </c>
      <c r="CG4103">
        <v>1</v>
      </c>
      <c r="CH4103">
        <v>0</v>
      </c>
      <c r="CI4103">
        <v>0</v>
      </c>
      <c r="CJ4103">
        <v>0</v>
      </c>
      <c r="CK4103">
        <v>2</v>
      </c>
      <c r="CL4103">
        <v>0</v>
      </c>
      <c r="CM4103">
        <v>2</v>
      </c>
      <c r="CN4103">
        <v>0</v>
      </c>
      <c r="CO4103">
        <v>6</v>
      </c>
      <c r="CP4103" t="s">
        <v>119</v>
      </c>
      <c r="CQ4103">
        <v>180</v>
      </c>
      <c r="CR4103">
        <v>3</v>
      </c>
      <c r="CW4103">
        <v>1341337</v>
      </c>
      <c r="CY4103">
        <v>0</v>
      </c>
      <c r="CZ4103">
        <v>0</v>
      </c>
      <c r="DA4103">
        <v>0</v>
      </c>
      <c r="DB4103">
        <v>0</v>
      </c>
      <c r="DC4103">
        <v>0</v>
      </c>
      <c r="DD4103">
        <v>0</v>
      </c>
      <c r="DE4103">
        <v>0</v>
      </c>
      <c r="DF4103">
        <v>0</v>
      </c>
      <c r="DG4103">
        <v>0</v>
      </c>
      <c r="DH4103">
        <v>0</v>
      </c>
      <c r="DI4103">
        <v>0</v>
      </c>
    </row>
    <row r="4104" spans="1:113" x14ac:dyDescent="0.3">
      <c r="A4104" t="str">
        <f>"02/08/2021 20:37:06.278"</f>
        <v>02/08/2021 20:37:06.278</v>
      </c>
      <c r="C4104" t="str">
        <f t="shared" si="203"/>
        <v>FFDFD7C0</v>
      </c>
      <c r="D4104" t="s">
        <v>124</v>
      </c>
      <c r="E4104">
        <v>11</v>
      </c>
      <c r="F4104">
        <v>1011</v>
      </c>
      <c r="G4104" t="s">
        <v>590</v>
      </c>
      <c r="J4104" t="s">
        <v>125</v>
      </c>
      <c r="K4104">
        <v>0</v>
      </c>
      <c r="L4104">
        <v>3</v>
      </c>
      <c r="M4104">
        <v>0</v>
      </c>
      <c r="N4104">
        <v>2</v>
      </c>
      <c r="O4104">
        <v>1</v>
      </c>
      <c r="P4104">
        <v>0</v>
      </c>
      <c r="Q4104">
        <v>0</v>
      </c>
      <c r="S4104" t="str">
        <f>"20:37:08.617"</f>
        <v>20:37:08.617</v>
      </c>
      <c r="T4104" t="str">
        <f>"20:37:08.117"</f>
        <v>20:37:08.117</v>
      </c>
      <c r="U4104" t="str">
        <f t="shared" si="205"/>
        <v>AB01F4</v>
      </c>
      <c r="V4104">
        <v>0</v>
      </c>
      <c r="W4104">
        <v>0</v>
      </c>
      <c r="X4104">
        <v>2</v>
      </c>
      <c r="Z4104">
        <v>0</v>
      </c>
      <c r="AA4104">
        <v>9</v>
      </c>
      <c r="AB4104">
        <v>3</v>
      </c>
      <c r="AC4104">
        <v>0</v>
      </c>
      <c r="AD4104">
        <v>10</v>
      </c>
      <c r="AE4104">
        <v>0</v>
      </c>
      <c r="AF4104">
        <v>3</v>
      </c>
      <c r="AG4104">
        <v>2</v>
      </c>
      <c r="AH4104">
        <v>0</v>
      </c>
      <c r="AI4104" t="s">
        <v>2301</v>
      </c>
      <c r="AJ4104">
        <v>40.150672999999998</v>
      </c>
      <c r="AK4104" t="s">
        <v>2302</v>
      </c>
      <c r="AL4104">
        <v>-93.124150999999998</v>
      </c>
      <c r="AM4104">
        <v>100</v>
      </c>
      <c r="AN4104">
        <v>1300</v>
      </c>
      <c r="AO4104" t="s">
        <v>118</v>
      </c>
      <c r="AP4104">
        <v>-114</v>
      </c>
      <c r="AQ4104">
        <v>60</v>
      </c>
      <c r="AR4104">
        <v>0</v>
      </c>
      <c r="AZ4104">
        <v>1200</v>
      </c>
      <c r="BA4104">
        <v>1</v>
      </c>
      <c r="BB4104" t="str">
        <f t="shared" si="204"/>
        <v xml:space="preserve">N8080G  </v>
      </c>
      <c r="BC4104">
        <v>1</v>
      </c>
      <c r="BE4104">
        <v>0</v>
      </c>
      <c r="BF4104">
        <v>0</v>
      </c>
      <c r="BG4104">
        <v>0</v>
      </c>
      <c r="BH4104">
        <v>1350</v>
      </c>
      <c r="BI4104">
        <v>1</v>
      </c>
      <c r="BJ4104">
        <v>1</v>
      </c>
      <c r="BK4104">
        <v>1</v>
      </c>
      <c r="BL4104">
        <v>0</v>
      </c>
      <c r="BO4104">
        <v>0</v>
      </c>
      <c r="BP4104">
        <v>0</v>
      </c>
      <c r="BW4104" t="str">
        <f>"20:37:08.621"</f>
        <v>20:37:08.621</v>
      </c>
      <c r="BZ4104">
        <v>0</v>
      </c>
      <c r="CA4104">
        <v>1600</v>
      </c>
      <c r="CB4104">
        <v>224</v>
      </c>
      <c r="CD4104">
        <v>1</v>
      </c>
      <c r="CE4104">
        <v>0</v>
      </c>
      <c r="CF4104">
        <v>0</v>
      </c>
      <c r="CG4104">
        <v>1</v>
      </c>
      <c r="CH4104">
        <v>0</v>
      </c>
      <c r="CI4104">
        <v>0</v>
      </c>
      <c r="CJ4104">
        <v>0</v>
      </c>
      <c r="CK4104">
        <v>2</v>
      </c>
      <c r="CL4104">
        <v>0</v>
      </c>
      <c r="CM4104">
        <v>2</v>
      </c>
      <c r="CN4104">
        <v>0</v>
      </c>
      <c r="CO4104">
        <v>6</v>
      </c>
      <c r="CP4104" t="s">
        <v>119</v>
      </c>
      <c r="CQ4104">
        <v>180</v>
      </c>
      <c r="CR4104">
        <v>3</v>
      </c>
      <c r="CW4104">
        <v>1341337</v>
      </c>
      <c r="CY4104">
        <v>0</v>
      </c>
      <c r="CZ4104">
        <v>0</v>
      </c>
      <c r="DA4104">
        <v>1</v>
      </c>
      <c r="DB4104">
        <v>0</v>
      </c>
      <c r="DC4104">
        <v>0</v>
      </c>
      <c r="DD4104">
        <v>0</v>
      </c>
      <c r="DE4104">
        <v>0</v>
      </c>
      <c r="DF4104">
        <v>0</v>
      </c>
      <c r="DG4104">
        <v>0</v>
      </c>
      <c r="DH4104">
        <v>0</v>
      </c>
      <c r="DI4104">
        <v>0</v>
      </c>
    </row>
    <row r="4105" spans="1:113" x14ac:dyDescent="0.3">
      <c r="A4105" t="str">
        <f>"02/08/2021 20:37:06.278"</f>
        <v>02/08/2021 20:37:06.278</v>
      </c>
      <c r="C4105" t="str">
        <f t="shared" si="203"/>
        <v>FFDFD7C0</v>
      </c>
      <c r="D4105" t="s">
        <v>124</v>
      </c>
      <c r="E4105">
        <v>13</v>
      </c>
      <c r="F4105">
        <v>1013</v>
      </c>
      <c r="G4105" t="s">
        <v>114</v>
      </c>
      <c r="J4105" t="s">
        <v>125</v>
      </c>
      <c r="K4105">
        <v>0</v>
      </c>
      <c r="L4105">
        <v>3</v>
      </c>
      <c r="M4105">
        <v>0</v>
      </c>
      <c r="N4105">
        <v>2</v>
      </c>
      <c r="O4105">
        <v>1</v>
      </c>
      <c r="P4105">
        <v>0</v>
      </c>
      <c r="Q4105">
        <v>0</v>
      </c>
      <c r="S4105" t="str">
        <f>"20:37:08.617"</f>
        <v>20:37:08.617</v>
      </c>
      <c r="T4105" t="str">
        <f>"20:37:08.117"</f>
        <v>20:37:08.117</v>
      </c>
      <c r="U4105" t="str">
        <f t="shared" si="205"/>
        <v>AB01F4</v>
      </c>
      <c r="V4105">
        <v>0</v>
      </c>
      <c r="W4105">
        <v>0</v>
      </c>
      <c r="X4105">
        <v>2</v>
      </c>
      <c r="Z4105">
        <v>0</v>
      </c>
      <c r="AA4105">
        <v>9</v>
      </c>
      <c r="AB4105">
        <v>3</v>
      </c>
      <c r="AC4105">
        <v>0</v>
      </c>
      <c r="AD4105">
        <v>10</v>
      </c>
      <c r="AE4105">
        <v>0</v>
      </c>
      <c r="AF4105">
        <v>3</v>
      </c>
      <c r="AG4105">
        <v>2</v>
      </c>
      <c r="AH4105">
        <v>0</v>
      </c>
      <c r="AI4105" t="s">
        <v>2301</v>
      </c>
      <c r="AJ4105">
        <v>40.150672999999998</v>
      </c>
      <c r="AK4105" t="s">
        <v>2302</v>
      </c>
      <c r="AL4105">
        <v>-93.124150999999998</v>
      </c>
      <c r="AM4105">
        <v>100</v>
      </c>
      <c r="AN4105">
        <v>1300</v>
      </c>
      <c r="AO4105" t="s">
        <v>118</v>
      </c>
      <c r="AP4105">
        <v>-114</v>
      </c>
      <c r="AQ4105">
        <v>60</v>
      </c>
      <c r="AR4105">
        <v>0</v>
      </c>
      <c r="AZ4105">
        <v>1200</v>
      </c>
      <c r="BA4105">
        <v>1</v>
      </c>
      <c r="BB4105" t="str">
        <f t="shared" si="204"/>
        <v xml:space="preserve">N8080G  </v>
      </c>
      <c r="BC4105">
        <v>1</v>
      </c>
      <c r="BE4105">
        <v>0</v>
      </c>
      <c r="BF4105">
        <v>0</v>
      </c>
      <c r="BG4105">
        <v>0</v>
      </c>
      <c r="BH4105">
        <v>1350</v>
      </c>
      <c r="BI4105">
        <v>1</v>
      </c>
      <c r="BJ4105">
        <v>1</v>
      </c>
      <c r="BK4105">
        <v>1</v>
      </c>
      <c r="BL4105">
        <v>0</v>
      </c>
      <c r="BO4105">
        <v>0</v>
      </c>
      <c r="BP4105">
        <v>0</v>
      </c>
      <c r="BW4105" t="str">
        <f>"20:37:08.621"</f>
        <v>20:37:08.621</v>
      </c>
      <c r="BZ4105">
        <v>0</v>
      </c>
      <c r="CA4105">
        <v>1600</v>
      </c>
      <c r="CB4105">
        <v>224</v>
      </c>
      <c r="CD4105">
        <v>1</v>
      </c>
      <c r="CE4105">
        <v>0</v>
      </c>
      <c r="CF4105">
        <v>0</v>
      </c>
      <c r="CG4105">
        <v>1</v>
      </c>
      <c r="CH4105">
        <v>0</v>
      </c>
      <c r="CI4105">
        <v>0</v>
      </c>
      <c r="CJ4105">
        <v>0</v>
      </c>
      <c r="CK4105">
        <v>2</v>
      </c>
      <c r="CL4105">
        <v>0</v>
      </c>
      <c r="CM4105">
        <v>2</v>
      </c>
      <c r="CN4105">
        <v>0</v>
      </c>
      <c r="CO4105">
        <v>6</v>
      </c>
      <c r="CP4105" t="s">
        <v>119</v>
      </c>
      <c r="CQ4105">
        <v>180</v>
      </c>
      <c r="CR4105">
        <v>3</v>
      </c>
      <c r="CW4105">
        <v>1341337</v>
      </c>
      <c r="CY4105">
        <v>0</v>
      </c>
      <c r="CZ4105">
        <v>0</v>
      </c>
      <c r="DA4105">
        <v>1</v>
      </c>
      <c r="DB4105">
        <v>0</v>
      </c>
      <c r="DC4105">
        <v>0</v>
      </c>
      <c r="DD4105">
        <v>0</v>
      </c>
      <c r="DE4105">
        <v>0</v>
      </c>
      <c r="DF4105">
        <v>0</v>
      </c>
      <c r="DG4105">
        <v>0</v>
      </c>
      <c r="DH4105">
        <v>0</v>
      </c>
      <c r="DI4105">
        <v>0</v>
      </c>
    </row>
    <row r="4106" spans="1:113" x14ac:dyDescent="0.3">
      <c r="A4106" t="str">
        <f>"02/08/2021 20:37:06.278"</f>
        <v>02/08/2021 20:37:06.278</v>
      </c>
      <c r="C4106" t="str">
        <f t="shared" si="203"/>
        <v>FFDFD7C0</v>
      </c>
      <c r="D4106" t="s">
        <v>124</v>
      </c>
      <c r="E4106">
        <v>12</v>
      </c>
      <c r="F4106">
        <v>1012</v>
      </c>
      <c r="G4106" t="s">
        <v>675</v>
      </c>
      <c r="J4106" t="s">
        <v>125</v>
      </c>
      <c r="K4106">
        <v>0</v>
      </c>
      <c r="L4106">
        <v>3</v>
      </c>
      <c r="M4106">
        <v>0</v>
      </c>
      <c r="N4106">
        <v>2</v>
      </c>
      <c r="O4106">
        <v>1</v>
      </c>
      <c r="P4106">
        <v>0</v>
      </c>
      <c r="Q4106">
        <v>0</v>
      </c>
      <c r="S4106" t="str">
        <f>"20:37:08.617"</f>
        <v>20:37:08.617</v>
      </c>
      <c r="T4106" t="str">
        <f>"20:37:08.117"</f>
        <v>20:37:08.117</v>
      </c>
      <c r="U4106" t="str">
        <f t="shared" si="205"/>
        <v>AB01F4</v>
      </c>
      <c r="V4106">
        <v>0</v>
      </c>
      <c r="W4106">
        <v>0</v>
      </c>
      <c r="X4106">
        <v>2</v>
      </c>
      <c r="Z4106">
        <v>0</v>
      </c>
      <c r="AA4106">
        <v>9</v>
      </c>
      <c r="AB4106">
        <v>3</v>
      </c>
      <c r="AC4106">
        <v>0</v>
      </c>
      <c r="AD4106">
        <v>10</v>
      </c>
      <c r="AE4106">
        <v>0</v>
      </c>
      <c r="AF4106">
        <v>3</v>
      </c>
      <c r="AG4106">
        <v>2</v>
      </c>
      <c r="AH4106">
        <v>0</v>
      </c>
      <c r="AI4106" t="s">
        <v>2301</v>
      </c>
      <c r="AJ4106">
        <v>40.150672999999998</v>
      </c>
      <c r="AK4106" t="s">
        <v>2302</v>
      </c>
      <c r="AL4106">
        <v>-93.124150999999998</v>
      </c>
      <c r="AM4106">
        <v>100</v>
      </c>
      <c r="AN4106">
        <v>1300</v>
      </c>
      <c r="AO4106" t="s">
        <v>118</v>
      </c>
      <c r="AP4106">
        <v>-114</v>
      </c>
      <c r="AQ4106">
        <v>60</v>
      </c>
      <c r="AR4106">
        <v>0</v>
      </c>
      <c r="AZ4106">
        <v>1200</v>
      </c>
      <c r="BA4106">
        <v>1</v>
      </c>
      <c r="BB4106" t="str">
        <f t="shared" si="204"/>
        <v xml:space="preserve">N8080G  </v>
      </c>
      <c r="BC4106">
        <v>1</v>
      </c>
      <c r="BE4106">
        <v>0</v>
      </c>
      <c r="BF4106">
        <v>0</v>
      </c>
      <c r="BG4106">
        <v>0</v>
      </c>
      <c r="BH4106">
        <v>1350</v>
      </c>
      <c r="BI4106">
        <v>1</v>
      </c>
      <c r="BJ4106">
        <v>1</v>
      </c>
      <c r="BK4106">
        <v>1</v>
      </c>
      <c r="BL4106">
        <v>0</v>
      </c>
      <c r="BO4106">
        <v>0</v>
      </c>
      <c r="BP4106">
        <v>0</v>
      </c>
      <c r="BW4106" t="str">
        <f>"20:37:08.621"</f>
        <v>20:37:08.621</v>
      </c>
      <c r="BZ4106">
        <v>0</v>
      </c>
      <c r="CA4106">
        <v>1600</v>
      </c>
      <c r="CB4106">
        <v>224</v>
      </c>
      <c r="CD4106">
        <v>1</v>
      </c>
      <c r="CE4106">
        <v>0</v>
      </c>
      <c r="CF4106">
        <v>0</v>
      </c>
      <c r="CG4106">
        <v>1</v>
      </c>
      <c r="CH4106">
        <v>0</v>
      </c>
      <c r="CI4106">
        <v>0</v>
      </c>
      <c r="CJ4106">
        <v>0</v>
      </c>
      <c r="CK4106">
        <v>2</v>
      </c>
      <c r="CL4106">
        <v>0</v>
      </c>
      <c r="CM4106">
        <v>2</v>
      </c>
      <c r="CN4106">
        <v>0</v>
      </c>
      <c r="CO4106">
        <v>6</v>
      </c>
      <c r="CP4106" t="s">
        <v>119</v>
      </c>
      <c r="CQ4106">
        <v>180</v>
      </c>
      <c r="CR4106">
        <v>3</v>
      </c>
      <c r="CW4106">
        <v>1341337</v>
      </c>
      <c r="CY4106">
        <v>0</v>
      </c>
      <c r="CZ4106">
        <v>0</v>
      </c>
      <c r="DA4106">
        <v>1</v>
      </c>
      <c r="DB4106">
        <v>0</v>
      </c>
      <c r="DC4106">
        <v>0</v>
      </c>
      <c r="DD4106">
        <v>0</v>
      </c>
      <c r="DE4106">
        <v>0</v>
      </c>
      <c r="DF4106">
        <v>0</v>
      </c>
      <c r="DG4106">
        <v>0</v>
      </c>
      <c r="DH4106">
        <v>0</v>
      </c>
      <c r="DI4106">
        <v>0</v>
      </c>
    </row>
    <row r="4107" spans="1:113" x14ac:dyDescent="0.3">
      <c r="A4107" t="str">
        <f>"02/08/2021 20:37:07.121"</f>
        <v>02/08/2021 20:37:07.121</v>
      </c>
      <c r="C4107" t="str">
        <f t="shared" si="203"/>
        <v>FFDFD7C0</v>
      </c>
      <c r="D4107" t="s">
        <v>124</v>
      </c>
      <c r="E4107">
        <v>12</v>
      </c>
      <c r="F4107">
        <v>1012</v>
      </c>
      <c r="G4107" t="s">
        <v>675</v>
      </c>
      <c r="J4107" t="s">
        <v>125</v>
      </c>
      <c r="K4107">
        <v>0</v>
      </c>
      <c r="L4107">
        <v>3</v>
      </c>
      <c r="M4107">
        <v>0</v>
      </c>
      <c r="N4107">
        <v>2</v>
      </c>
      <c r="O4107">
        <v>1</v>
      </c>
      <c r="P4107">
        <v>0</v>
      </c>
      <c r="Q4107">
        <v>0</v>
      </c>
      <c r="S4107" t="str">
        <f>"20:37:09.461"</f>
        <v>20:37:09.461</v>
      </c>
      <c r="T4107" t="str">
        <f>"20:37:08.661"</f>
        <v>20:37:08.661</v>
      </c>
      <c r="U4107" t="str">
        <f t="shared" si="205"/>
        <v>AB01F4</v>
      </c>
      <c r="V4107">
        <v>0</v>
      </c>
      <c r="W4107">
        <v>0</v>
      </c>
      <c r="X4107">
        <v>2</v>
      </c>
      <c r="Z4107">
        <v>0</v>
      </c>
      <c r="AA4107">
        <v>9</v>
      </c>
      <c r="AB4107">
        <v>3</v>
      </c>
      <c r="AC4107">
        <v>0</v>
      </c>
      <c r="AD4107">
        <v>10</v>
      </c>
      <c r="AE4107">
        <v>0</v>
      </c>
      <c r="AF4107">
        <v>3</v>
      </c>
      <c r="AG4107">
        <v>2</v>
      </c>
      <c r="AH4107">
        <v>0</v>
      </c>
      <c r="AI4107" t="s">
        <v>2303</v>
      </c>
      <c r="AJ4107">
        <v>40.150931</v>
      </c>
      <c r="AK4107" t="s">
        <v>2304</v>
      </c>
      <c r="AL4107">
        <v>-93.124730999999997</v>
      </c>
      <c r="AM4107">
        <v>100</v>
      </c>
      <c r="AN4107">
        <v>1300</v>
      </c>
      <c r="AO4107" t="s">
        <v>118</v>
      </c>
      <c r="AP4107">
        <v>-114</v>
      </c>
      <c r="AQ4107">
        <v>60</v>
      </c>
      <c r="AR4107">
        <v>0</v>
      </c>
      <c r="AZ4107">
        <v>1200</v>
      </c>
      <c r="BA4107">
        <v>1</v>
      </c>
      <c r="BB4107" t="str">
        <f t="shared" si="204"/>
        <v xml:space="preserve">N8080G  </v>
      </c>
      <c r="BC4107">
        <v>1</v>
      </c>
      <c r="BE4107">
        <v>0</v>
      </c>
      <c r="BF4107">
        <v>0</v>
      </c>
      <c r="BG4107">
        <v>0</v>
      </c>
      <c r="BH4107">
        <v>1350</v>
      </c>
      <c r="BI4107">
        <v>1</v>
      </c>
      <c r="BJ4107">
        <v>1</v>
      </c>
      <c r="BK4107">
        <v>1</v>
      </c>
      <c r="BL4107">
        <v>0</v>
      </c>
      <c r="BO4107">
        <v>0</v>
      </c>
      <c r="BP4107">
        <v>0</v>
      </c>
      <c r="BW4107" t="str">
        <f>"20:37:09.468"</f>
        <v>20:37:09.468</v>
      </c>
      <c r="BZ4107">
        <v>0</v>
      </c>
      <c r="CA4107">
        <v>1600</v>
      </c>
      <c r="CB4107">
        <v>224</v>
      </c>
      <c r="CD4107">
        <v>1</v>
      </c>
      <c r="CE4107">
        <v>0</v>
      </c>
      <c r="CF4107">
        <v>0</v>
      </c>
      <c r="CG4107">
        <v>1</v>
      </c>
      <c r="CH4107">
        <v>0</v>
      </c>
      <c r="CI4107">
        <v>0</v>
      </c>
      <c r="CJ4107">
        <v>0</v>
      </c>
      <c r="CK4107">
        <v>2</v>
      </c>
      <c r="CL4107">
        <v>0</v>
      </c>
      <c r="CM4107">
        <v>2</v>
      </c>
      <c r="CN4107">
        <v>0</v>
      </c>
      <c r="CO4107">
        <v>1</v>
      </c>
      <c r="CP4107" t="s">
        <v>119</v>
      </c>
      <c r="CQ4107">
        <v>179</v>
      </c>
      <c r="CR4107">
        <v>1</v>
      </c>
      <c r="CW4107">
        <v>9497385</v>
      </c>
      <c r="CY4107">
        <v>0</v>
      </c>
      <c r="CZ4107">
        <v>0</v>
      </c>
      <c r="DA4107">
        <v>0</v>
      </c>
      <c r="DB4107">
        <v>0</v>
      </c>
      <c r="DC4107">
        <v>0</v>
      </c>
      <c r="DD4107">
        <v>0</v>
      </c>
      <c r="DE4107">
        <v>0</v>
      </c>
      <c r="DF4107">
        <v>0</v>
      </c>
      <c r="DG4107">
        <v>0</v>
      </c>
      <c r="DH4107">
        <v>0</v>
      </c>
      <c r="DI4107">
        <v>0</v>
      </c>
    </row>
    <row r="4108" spans="1:113" x14ac:dyDescent="0.3">
      <c r="A4108" t="str">
        <f>"02/08/2021 20:37:07.121"</f>
        <v>02/08/2021 20:37:07.121</v>
      </c>
      <c r="C4108" t="str">
        <f t="shared" si="203"/>
        <v>FFDFD7C0</v>
      </c>
      <c r="D4108" t="s">
        <v>124</v>
      </c>
      <c r="E4108">
        <v>11</v>
      </c>
      <c r="F4108">
        <v>1011</v>
      </c>
      <c r="G4108" t="s">
        <v>590</v>
      </c>
      <c r="J4108" t="s">
        <v>125</v>
      </c>
      <c r="K4108">
        <v>0</v>
      </c>
      <c r="L4108">
        <v>3</v>
      </c>
      <c r="M4108">
        <v>0</v>
      </c>
      <c r="N4108">
        <v>2</v>
      </c>
      <c r="O4108">
        <v>1</v>
      </c>
      <c r="P4108">
        <v>0</v>
      </c>
      <c r="Q4108">
        <v>0</v>
      </c>
      <c r="S4108" t="str">
        <f>"20:37:09.461"</f>
        <v>20:37:09.461</v>
      </c>
      <c r="T4108" t="str">
        <f>"20:37:08.661"</f>
        <v>20:37:08.661</v>
      </c>
      <c r="U4108" t="str">
        <f t="shared" si="205"/>
        <v>AB01F4</v>
      </c>
      <c r="V4108">
        <v>0</v>
      </c>
      <c r="W4108">
        <v>0</v>
      </c>
      <c r="X4108">
        <v>2</v>
      </c>
      <c r="Z4108">
        <v>0</v>
      </c>
      <c r="AA4108">
        <v>9</v>
      </c>
      <c r="AB4108">
        <v>3</v>
      </c>
      <c r="AC4108">
        <v>0</v>
      </c>
      <c r="AD4108">
        <v>10</v>
      </c>
      <c r="AE4108">
        <v>0</v>
      </c>
      <c r="AF4108">
        <v>3</v>
      </c>
      <c r="AG4108">
        <v>2</v>
      </c>
      <c r="AH4108">
        <v>0</v>
      </c>
      <c r="AI4108" t="s">
        <v>2303</v>
      </c>
      <c r="AJ4108">
        <v>40.150931</v>
      </c>
      <c r="AK4108" t="s">
        <v>2304</v>
      </c>
      <c r="AL4108">
        <v>-93.124730999999997</v>
      </c>
      <c r="AM4108">
        <v>100</v>
      </c>
      <c r="AN4108">
        <v>1300</v>
      </c>
      <c r="AO4108" t="s">
        <v>118</v>
      </c>
      <c r="AP4108">
        <v>-114</v>
      </c>
      <c r="AQ4108">
        <v>60</v>
      </c>
      <c r="AR4108">
        <v>0</v>
      </c>
      <c r="AZ4108">
        <v>1200</v>
      </c>
      <c r="BA4108">
        <v>1</v>
      </c>
      <c r="BB4108" t="str">
        <f t="shared" si="204"/>
        <v xml:space="preserve">N8080G  </v>
      </c>
      <c r="BC4108">
        <v>1</v>
      </c>
      <c r="BE4108">
        <v>0</v>
      </c>
      <c r="BF4108">
        <v>0</v>
      </c>
      <c r="BG4108">
        <v>0</v>
      </c>
      <c r="BH4108">
        <v>1350</v>
      </c>
      <c r="BI4108">
        <v>1</v>
      </c>
      <c r="BJ4108">
        <v>1</v>
      </c>
      <c r="BK4108">
        <v>1</v>
      </c>
      <c r="BL4108">
        <v>0</v>
      </c>
      <c r="BO4108">
        <v>0</v>
      </c>
      <c r="BP4108">
        <v>0</v>
      </c>
      <c r="BW4108" t="str">
        <f>"20:37:09.468"</f>
        <v>20:37:09.468</v>
      </c>
      <c r="BZ4108">
        <v>0</v>
      </c>
      <c r="CA4108">
        <v>1600</v>
      </c>
      <c r="CB4108">
        <v>224</v>
      </c>
      <c r="CD4108">
        <v>1</v>
      </c>
      <c r="CE4108">
        <v>0</v>
      </c>
      <c r="CF4108">
        <v>0</v>
      </c>
      <c r="CG4108">
        <v>1</v>
      </c>
      <c r="CH4108">
        <v>0</v>
      </c>
      <c r="CI4108">
        <v>0</v>
      </c>
      <c r="CJ4108">
        <v>0</v>
      </c>
      <c r="CK4108">
        <v>2</v>
      </c>
      <c r="CL4108">
        <v>0</v>
      </c>
      <c r="CM4108">
        <v>2</v>
      </c>
      <c r="CN4108">
        <v>0</v>
      </c>
      <c r="CO4108">
        <v>1</v>
      </c>
      <c r="CP4108" t="s">
        <v>119</v>
      </c>
      <c r="CQ4108">
        <v>179</v>
      </c>
      <c r="CR4108">
        <v>1</v>
      </c>
      <c r="CW4108">
        <v>9497385</v>
      </c>
      <c r="CY4108">
        <v>0</v>
      </c>
      <c r="CZ4108">
        <v>0</v>
      </c>
      <c r="DA4108">
        <v>1</v>
      </c>
      <c r="DB4108">
        <v>0</v>
      </c>
      <c r="DC4108">
        <v>0</v>
      </c>
      <c r="DD4108">
        <v>0</v>
      </c>
      <c r="DE4108">
        <v>0</v>
      </c>
      <c r="DF4108">
        <v>0</v>
      </c>
      <c r="DG4108">
        <v>0</v>
      </c>
      <c r="DH4108">
        <v>0</v>
      </c>
      <c r="DI4108">
        <v>0</v>
      </c>
    </row>
    <row r="4109" spans="1:113" x14ac:dyDescent="0.3">
      <c r="A4109" t="str">
        <f>"02/08/2021 20:37:07.121"</f>
        <v>02/08/2021 20:37:07.121</v>
      </c>
      <c r="C4109" t="str">
        <f t="shared" si="203"/>
        <v>FFDFD7C0</v>
      </c>
      <c r="D4109" t="s">
        <v>113</v>
      </c>
      <c r="E4109">
        <v>6</v>
      </c>
      <c r="H4109">
        <v>165</v>
      </c>
      <c r="I4109" t="s">
        <v>114</v>
      </c>
      <c r="J4109" t="s">
        <v>115</v>
      </c>
      <c r="K4109">
        <v>0</v>
      </c>
      <c r="L4109">
        <v>3</v>
      </c>
      <c r="M4109">
        <v>0</v>
      </c>
      <c r="N4109">
        <v>2</v>
      </c>
      <c r="O4109">
        <v>1</v>
      </c>
      <c r="P4109">
        <v>0</v>
      </c>
      <c r="Q4109">
        <v>0</v>
      </c>
      <c r="S4109" t="str">
        <f>"20:37:09.461"</f>
        <v>20:37:09.461</v>
      </c>
      <c r="T4109" t="str">
        <f>"20:37:08.661"</f>
        <v>20:37:08.661</v>
      </c>
      <c r="U4109" t="str">
        <f t="shared" si="205"/>
        <v>AB01F4</v>
      </c>
      <c r="V4109">
        <v>0</v>
      </c>
      <c r="W4109">
        <v>0</v>
      </c>
      <c r="X4109">
        <v>2</v>
      </c>
      <c r="Z4109">
        <v>0</v>
      </c>
      <c r="AA4109">
        <v>9</v>
      </c>
      <c r="AB4109">
        <v>3</v>
      </c>
      <c r="AC4109">
        <v>0</v>
      </c>
      <c r="AD4109">
        <v>10</v>
      </c>
      <c r="AE4109">
        <v>0</v>
      </c>
      <c r="AF4109">
        <v>3</v>
      </c>
      <c r="AG4109">
        <v>2</v>
      </c>
      <c r="AH4109">
        <v>0</v>
      </c>
      <c r="AI4109" t="s">
        <v>2303</v>
      </c>
      <c r="AJ4109">
        <v>40.150931</v>
      </c>
      <c r="AK4109" t="s">
        <v>2304</v>
      </c>
      <c r="AL4109">
        <v>-93.124730999999997</v>
      </c>
      <c r="AM4109">
        <v>100</v>
      </c>
      <c r="AN4109">
        <v>1300</v>
      </c>
      <c r="AO4109" t="s">
        <v>118</v>
      </c>
      <c r="AP4109">
        <v>-114</v>
      </c>
      <c r="AQ4109">
        <v>60</v>
      </c>
      <c r="AR4109">
        <v>0</v>
      </c>
      <c r="AZ4109">
        <v>1200</v>
      </c>
      <c r="BA4109">
        <v>1</v>
      </c>
      <c r="BB4109" t="str">
        <f t="shared" si="204"/>
        <v xml:space="preserve">N8080G  </v>
      </c>
      <c r="BC4109">
        <v>1</v>
      </c>
      <c r="BE4109">
        <v>0</v>
      </c>
      <c r="BF4109">
        <v>0</v>
      </c>
      <c r="BG4109">
        <v>0</v>
      </c>
      <c r="BH4109">
        <v>1350</v>
      </c>
      <c r="BI4109">
        <v>1</v>
      </c>
      <c r="BJ4109">
        <v>1</v>
      </c>
      <c r="BK4109">
        <v>1</v>
      </c>
      <c r="BL4109">
        <v>0</v>
      </c>
      <c r="BO4109">
        <v>0</v>
      </c>
      <c r="BP4109">
        <v>0</v>
      </c>
      <c r="BW4109" t="str">
        <f>"20:37:09.468"</f>
        <v>20:37:09.468</v>
      </c>
      <c r="BZ4109">
        <v>0</v>
      </c>
      <c r="CA4109">
        <v>1600</v>
      </c>
      <c r="CB4109">
        <v>224</v>
      </c>
      <c r="CD4109">
        <v>1</v>
      </c>
      <c r="CE4109">
        <v>0</v>
      </c>
      <c r="CF4109">
        <v>0</v>
      </c>
      <c r="CG4109">
        <v>1</v>
      </c>
      <c r="CH4109">
        <v>0</v>
      </c>
      <c r="CI4109">
        <v>0</v>
      </c>
      <c r="CJ4109">
        <v>0</v>
      </c>
      <c r="CK4109">
        <v>2</v>
      </c>
      <c r="CL4109">
        <v>0</v>
      </c>
      <c r="CM4109">
        <v>2</v>
      </c>
      <c r="CN4109">
        <v>0</v>
      </c>
      <c r="CO4109">
        <v>1</v>
      </c>
      <c r="CP4109" t="s">
        <v>119</v>
      </c>
      <c r="CQ4109">
        <v>179</v>
      </c>
      <c r="CR4109">
        <v>1</v>
      </c>
      <c r="CW4109">
        <v>9497385</v>
      </c>
      <c r="CY4109">
        <v>0</v>
      </c>
      <c r="CZ4109">
        <v>0</v>
      </c>
      <c r="DA4109">
        <v>1</v>
      </c>
      <c r="DB4109">
        <v>0</v>
      </c>
      <c r="DC4109">
        <v>0</v>
      </c>
      <c r="DD4109">
        <v>0</v>
      </c>
      <c r="DE4109">
        <v>0</v>
      </c>
      <c r="DF4109">
        <v>0</v>
      </c>
      <c r="DG4109">
        <v>0</v>
      </c>
      <c r="DH4109">
        <v>0</v>
      </c>
      <c r="DI4109">
        <v>0</v>
      </c>
    </row>
    <row r="4110" spans="1:113" x14ac:dyDescent="0.3">
      <c r="A4110" t="str">
        <f>"02/08/2021 20:37:07.121"</f>
        <v>02/08/2021 20:37:07.121</v>
      </c>
      <c r="C4110" t="str">
        <f t="shared" si="203"/>
        <v>FFDFD7C0</v>
      </c>
      <c r="D4110" t="s">
        <v>124</v>
      </c>
      <c r="E4110">
        <v>13</v>
      </c>
      <c r="F4110">
        <v>1013</v>
      </c>
      <c r="G4110" t="s">
        <v>114</v>
      </c>
      <c r="J4110" t="s">
        <v>125</v>
      </c>
      <c r="K4110">
        <v>0</v>
      </c>
      <c r="L4110">
        <v>3</v>
      </c>
      <c r="M4110">
        <v>0</v>
      </c>
      <c r="N4110">
        <v>2</v>
      </c>
      <c r="O4110">
        <v>1</v>
      </c>
      <c r="P4110">
        <v>0</v>
      </c>
      <c r="Q4110">
        <v>0</v>
      </c>
      <c r="S4110" t="str">
        <f>"20:37:09.461"</f>
        <v>20:37:09.461</v>
      </c>
      <c r="T4110" t="str">
        <f>"20:37:08.661"</f>
        <v>20:37:08.661</v>
      </c>
      <c r="U4110" t="str">
        <f t="shared" si="205"/>
        <v>AB01F4</v>
      </c>
      <c r="V4110">
        <v>0</v>
      </c>
      <c r="W4110">
        <v>0</v>
      </c>
      <c r="X4110">
        <v>2</v>
      </c>
      <c r="Z4110">
        <v>0</v>
      </c>
      <c r="AA4110">
        <v>9</v>
      </c>
      <c r="AB4110">
        <v>3</v>
      </c>
      <c r="AC4110">
        <v>0</v>
      </c>
      <c r="AD4110">
        <v>10</v>
      </c>
      <c r="AE4110">
        <v>0</v>
      </c>
      <c r="AF4110">
        <v>3</v>
      </c>
      <c r="AG4110">
        <v>2</v>
      </c>
      <c r="AH4110">
        <v>0</v>
      </c>
      <c r="AI4110" t="s">
        <v>2303</v>
      </c>
      <c r="AJ4110">
        <v>40.150931</v>
      </c>
      <c r="AK4110" t="s">
        <v>2304</v>
      </c>
      <c r="AL4110">
        <v>-93.124730999999997</v>
      </c>
      <c r="AM4110">
        <v>100</v>
      </c>
      <c r="AN4110">
        <v>1300</v>
      </c>
      <c r="AO4110" t="s">
        <v>118</v>
      </c>
      <c r="AP4110">
        <v>-114</v>
      </c>
      <c r="AQ4110">
        <v>60</v>
      </c>
      <c r="AR4110">
        <v>0</v>
      </c>
      <c r="AZ4110">
        <v>1200</v>
      </c>
      <c r="BA4110">
        <v>1</v>
      </c>
      <c r="BB4110" t="str">
        <f t="shared" si="204"/>
        <v xml:space="preserve">N8080G  </v>
      </c>
      <c r="BC4110">
        <v>1</v>
      </c>
      <c r="BE4110">
        <v>0</v>
      </c>
      <c r="BF4110">
        <v>0</v>
      </c>
      <c r="BG4110">
        <v>0</v>
      </c>
      <c r="BH4110">
        <v>1350</v>
      </c>
      <c r="BI4110">
        <v>1</v>
      </c>
      <c r="BJ4110">
        <v>1</v>
      </c>
      <c r="BK4110">
        <v>1</v>
      </c>
      <c r="BL4110">
        <v>0</v>
      </c>
      <c r="BO4110">
        <v>0</v>
      </c>
      <c r="BP4110">
        <v>0</v>
      </c>
      <c r="BW4110" t="str">
        <f>"20:37:09.468"</f>
        <v>20:37:09.468</v>
      </c>
      <c r="BZ4110">
        <v>0</v>
      </c>
      <c r="CA4110">
        <v>1600</v>
      </c>
      <c r="CB4110">
        <v>224</v>
      </c>
      <c r="CD4110">
        <v>1</v>
      </c>
      <c r="CE4110">
        <v>0</v>
      </c>
      <c r="CF4110">
        <v>0</v>
      </c>
      <c r="CG4110">
        <v>1</v>
      </c>
      <c r="CH4110">
        <v>0</v>
      </c>
      <c r="CI4110">
        <v>0</v>
      </c>
      <c r="CJ4110">
        <v>0</v>
      </c>
      <c r="CK4110">
        <v>2</v>
      </c>
      <c r="CL4110">
        <v>0</v>
      </c>
      <c r="CM4110">
        <v>2</v>
      </c>
      <c r="CN4110">
        <v>0</v>
      </c>
      <c r="CO4110">
        <v>1</v>
      </c>
      <c r="CP4110" t="s">
        <v>119</v>
      </c>
      <c r="CQ4110">
        <v>179</v>
      </c>
      <c r="CR4110">
        <v>1</v>
      </c>
      <c r="CW4110">
        <v>9497385</v>
      </c>
      <c r="CY4110">
        <v>0</v>
      </c>
      <c r="CZ4110">
        <v>0</v>
      </c>
      <c r="DA4110">
        <v>1</v>
      </c>
      <c r="DB4110">
        <v>0</v>
      </c>
      <c r="DC4110">
        <v>0</v>
      </c>
      <c r="DD4110">
        <v>0</v>
      </c>
      <c r="DE4110">
        <v>0</v>
      </c>
      <c r="DF4110">
        <v>0</v>
      </c>
      <c r="DG4110">
        <v>0</v>
      </c>
      <c r="DH4110">
        <v>0</v>
      </c>
      <c r="DI4110">
        <v>0</v>
      </c>
    </row>
    <row r="4111" spans="1:113" x14ac:dyDescent="0.3">
      <c r="A4111" t="str">
        <f>"02/08/2021 20:37:08.246"</f>
        <v>02/08/2021 20:37:08.246</v>
      </c>
      <c r="C4111" t="str">
        <f t="shared" si="203"/>
        <v>FFDFD7C0</v>
      </c>
      <c r="D4111" t="s">
        <v>124</v>
      </c>
      <c r="E4111">
        <v>11</v>
      </c>
      <c r="F4111">
        <v>1011</v>
      </c>
      <c r="G4111" t="s">
        <v>590</v>
      </c>
      <c r="J4111" t="s">
        <v>125</v>
      </c>
      <c r="K4111">
        <v>0</v>
      </c>
      <c r="L4111">
        <v>3</v>
      </c>
      <c r="M4111">
        <v>0</v>
      </c>
      <c r="N4111">
        <v>2</v>
      </c>
      <c r="O4111">
        <v>1</v>
      </c>
      <c r="P4111">
        <v>0</v>
      </c>
      <c r="Q4111">
        <v>0</v>
      </c>
      <c r="S4111" t="str">
        <f>"20:37:10.563"</f>
        <v>20:37:10.563</v>
      </c>
      <c r="T4111" t="str">
        <f>"20:37:09.563"</f>
        <v>20:37:09.563</v>
      </c>
      <c r="U4111" t="str">
        <f t="shared" si="205"/>
        <v>AB01F4</v>
      </c>
      <c r="V4111">
        <v>0</v>
      </c>
      <c r="W4111">
        <v>0</v>
      </c>
      <c r="X4111">
        <v>2</v>
      </c>
      <c r="Z4111">
        <v>0</v>
      </c>
      <c r="AA4111">
        <v>9</v>
      </c>
      <c r="AB4111">
        <v>3</v>
      </c>
      <c r="AC4111">
        <v>0</v>
      </c>
      <c r="AD4111">
        <v>10</v>
      </c>
      <c r="AE4111">
        <v>0</v>
      </c>
      <c r="AF4111">
        <v>3</v>
      </c>
      <c r="AG4111">
        <v>2</v>
      </c>
      <c r="AH4111">
        <v>0</v>
      </c>
      <c r="AI4111" t="s">
        <v>2305</v>
      </c>
      <c r="AJ4111">
        <v>40.151231000000003</v>
      </c>
      <c r="AK4111" t="s">
        <v>2306</v>
      </c>
      <c r="AL4111">
        <v>-93.125482000000005</v>
      </c>
      <c r="AM4111">
        <v>100</v>
      </c>
      <c r="AN4111">
        <v>1300</v>
      </c>
      <c r="AO4111" t="s">
        <v>118</v>
      </c>
      <c r="AP4111">
        <v>-114</v>
      </c>
      <c r="AQ4111">
        <v>60</v>
      </c>
      <c r="AR4111">
        <v>0</v>
      </c>
      <c r="AZ4111">
        <v>1200</v>
      </c>
      <c r="BA4111">
        <v>1</v>
      </c>
      <c r="BB4111" t="str">
        <f t="shared" si="204"/>
        <v xml:space="preserve">N8080G  </v>
      </c>
      <c r="BC4111">
        <v>1</v>
      </c>
      <c r="BE4111">
        <v>0</v>
      </c>
      <c r="BF4111">
        <v>0</v>
      </c>
      <c r="BG4111">
        <v>0</v>
      </c>
      <c r="BH4111">
        <v>1350</v>
      </c>
      <c r="BI4111">
        <v>1</v>
      </c>
      <c r="BJ4111">
        <v>1</v>
      </c>
      <c r="BK4111">
        <v>1</v>
      </c>
      <c r="BL4111">
        <v>0</v>
      </c>
      <c r="BO4111">
        <v>0</v>
      </c>
      <c r="BP4111">
        <v>0</v>
      </c>
      <c r="BW4111" t="str">
        <f>"20:37:10.564"</f>
        <v>20:37:10.564</v>
      </c>
      <c r="BZ4111">
        <v>0</v>
      </c>
      <c r="CA4111">
        <v>1600</v>
      </c>
      <c r="CB4111">
        <v>224</v>
      </c>
      <c r="CD4111">
        <v>1</v>
      </c>
      <c r="CE4111">
        <v>0</v>
      </c>
      <c r="CF4111">
        <v>0</v>
      </c>
      <c r="CG4111">
        <v>1</v>
      </c>
      <c r="CH4111">
        <v>0</v>
      </c>
      <c r="CI4111">
        <v>0</v>
      </c>
      <c r="CJ4111">
        <v>0</v>
      </c>
      <c r="CK4111">
        <v>2</v>
      </c>
      <c r="CL4111">
        <v>0</v>
      </c>
      <c r="CM4111">
        <v>2</v>
      </c>
      <c r="CN4111">
        <v>0</v>
      </c>
      <c r="CO4111">
        <v>1</v>
      </c>
      <c r="CP4111" t="s">
        <v>119</v>
      </c>
      <c r="CQ4111">
        <v>179</v>
      </c>
      <c r="CR4111">
        <v>2</v>
      </c>
      <c r="CW4111">
        <v>12614186</v>
      </c>
      <c r="CY4111">
        <v>0</v>
      </c>
      <c r="CZ4111">
        <v>0</v>
      </c>
      <c r="DA4111">
        <v>0</v>
      </c>
      <c r="DB4111">
        <v>0</v>
      </c>
      <c r="DC4111">
        <v>0</v>
      </c>
      <c r="DD4111">
        <v>0</v>
      </c>
      <c r="DE4111">
        <v>0</v>
      </c>
      <c r="DF4111">
        <v>0</v>
      </c>
      <c r="DG4111">
        <v>0</v>
      </c>
      <c r="DH4111">
        <v>0</v>
      </c>
      <c r="DI4111">
        <v>0</v>
      </c>
    </row>
    <row r="4112" spans="1:113" x14ac:dyDescent="0.3">
      <c r="A4112" t="str">
        <f>"02/08/2021 20:37:08.246"</f>
        <v>02/08/2021 20:37:08.246</v>
      </c>
      <c r="C4112" t="str">
        <f t="shared" si="203"/>
        <v>FFDFD7C0</v>
      </c>
      <c r="D4112" t="s">
        <v>113</v>
      </c>
      <c r="E4112">
        <v>6</v>
      </c>
      <c r="H4112">
        <v>165</v>
      </c>
      <c r="I4112" t="s">
        <v>114</v>
      </c>
      <c r="J4112" t="s">
        <v>115</v>
      </c>
      <c r="K4112">
        <v>0</v>
      </c>
      <c r="L4112">
        <v>3</v>
      </c>
      <c r="M4112">
        <v>0</v>
      </c>
      <c r="N4112">
        <v>2</v>
      </c>
      <c r="O4112">
        <v>1</v>
      </c>
      <c r="P4112">
        <v>0</v>
      </c>
      <c r="Q4112">
        <v>0</v>
      </c>
      <c r="S4112" t="str">
        <f>"20:37:10.563"</f>
        <v>20:37:10.563</v>
      </c>
      <c r="T4112" t="str">
        <f>"20:37:09.563"</f>
        <v>20:37:09.563</v>
      </c>
      <c r="U4112" t="str">
        <f t="shared" si="205"/>
        <v>AB01F4</v>
      </c>
      <c r="V4112">
        <v>0</v>
      </c>
      <c r="W4112">
        <v>0</v>
      </c>
      <c r="X4112">
        <v>2</v>
      </c>
      <c r="Z4112">
        <v>0</v>
      </c>
      <c r="AA4112">
        <v>9</v>
      </c>
      <c r="AB4112">
        <v>3</v>
      </c>
      <c r="AC4112">
        <v>0</v>
      </c>
      <c r="AD4112">
        <v>10</v>
      </c>
      <c r="AE4112">
        <v>0</v>
      </c>
      <c r="AF4112">
        <v>3</v>
      </c>
      <c r="AG4112">
        <v>2</v>
      </c>
      <c r="AH4112">
        <v>0</v>
      </c>
      <c r="AI4112" t="s">
        <v>2305</v>
      </c>
      <c r="AJ4112">
        <v>40.151231000000003</v>
      </c>
      <c r="AK4112" t="s">
        <v>2306</v>
      </c>
      <c r="AL4112">
        <v>-93.125482000000005</v>
      </c>
      <c r="AM4112">
        <v>100</v>
      </c>
      <c r="AN4112">
        <v>1300</v>
      </c>
      <c r="AO4112" t="s">
        <v>118</v>
      </c>
      <c r="AP4112">
        <v>-114</v>
      </c>
      <c r="AQ4112">
        <v>60</v>
      </c>
      <c r="AR4112">
        <v>0</v>
      </c>
      <c r="AZ4112">
        <v>1200</v>
      </c>
      <c r="BA4112">
        <v>1</v>
      </c>
      <c r="BB4112" t="str">
        <f t="shared" si="204"/>
        <v xml:space="preserve">N8080G  </v>
      </c>
      <c r="BC4112">
        <v>1</v>
      </c>
      <c r="BE4112">
        <v>0</v>
      </c>
      <c r="BF4112">
        <v>0</v>
      </c>
      <c r="BG4112">
        <v>0</v>
      </c>
      <c r="BH4112">
        <v>1350</v>
      </c>
      <c r="BI4112">
        <v>1</v>
      </c>
      <c r="BJ4112">
        <v>1</v>
      </c>
      <c r="BK4112">
        <v>1</v>
      </c>
      <c r="BL4112">
        <v>0</v>
      </c>
      <c r="BO4112">
        <v>0</v>
      </c>
      <c r="BP4112">
        <v>0</v>
      </c>
      <c r="BW4112" t="str">
        <f>"20:37:10.564"</f>
        <v>20:37:10.564</v>
      </c>
      <c r="BZ4112">
        <v>0</v>
      </c>
      <c r="CA4112">
        <v>1600</v>
      </c>
      <c r="CB4112">
        <v>224</v>
      </c>
      <c r="CD4112">
        <v>1</v>
      </c>
      <c r="CE4112">
        <v>0</v>
      </c>
      <c r="CF4112">
        <v>0</v>
      </c>
      <c r="CG4112">
        <v>1</v>
      </c>
      <c r="CH4112">
        <v>0</v>
      </c>
      <c r="CI4112">
        <v>0</v>
      </c>
      <c r="CJ4112">
        <v>0</v>
      </c>
      <c r="CK4112">
        <v>2</v>
      </c>
      <c r="CL4112">
        <v>0</v>
      </c>
      <c r="CM4112">
        <v>2</v>
      </c>
      <c r="CN4112">
        <v>0</v>
      </c>
      <c r="CO4112">
        <v>1</v>
      </c>
      <c r="CP4112" t="s">
        <v>119</v>
      </c>
      <c r="CQ4112">
        <v>179</v>
      </c>
      <c r="CR4112">
        <v>2</v>
      </c>
      <c r="CW4112">
        <v>12614186</v>
      </c>
      <c r="CY4112">
        <v>0</v>
      </c>
      <c r="CZ4112">
        <v>0</v>
      </c>
      <c r="DA4112">
        <v>1</v>
      </c>
      <c r="DB4112">
        <v>0</v>
      </c>
      <c r="DC4112">
        <v>0</v>
      </c>
      <c r="DD4112">
        <v>0</v>
      </c>
      <c r="DE4112">
        <v>0</v>
      </c>
      <c r="DF4112">
        <v>0</v>
      </c>
      <c r="DG4112">
        <v>0</v>
      </c>
      <c r="DH4112">
        <v>0</v>
      </c>
      <c r="DI4112">
        <v>0</v>
      </c>
    </row>
    <row r="4113" spans="1:113" x14ac:dyDescent="0.3">
      <c r="A4113" t="str">
        <f>"02/08/2021 20:37:08.246"</f>
        <v>02/08/2021 20:37:08.246</v>
      </c>
      <c r="C4113" t="str">
        <f t="shared" si="203"/>
        <v>FFDFD7C0</v>
      </c>
      <c r="D4113" t="s">
        <v>124</v>
      </c>
      <c r="E4113">
        <v>13</v>
      </c>
      <c r="F4113">
        <v>1013</v>
      </c>
      <c r="G4113" t="s">
        <v>114</v>
      </c>
      <c r="J4113" t="s">
        <v>125</v>
      </c>
      <c r="K4113">
        <v>0</v>
      </c>
      <c r="L4113">
        <v>3</v>
      </c>
      <c r="M4113">
        <v>0</v>
      </c>
      <c r="N4113">
        <v>2</v>
      </c>
      <c r="O4113">
        <v>1</v>
      </c>
      <c r="P4113">
        <v>0</v>
      </c>
      <c r="Q4113">
        <v>0</v>
      </c>
      <c r="S4113" t="str">
        <f>"20:37:10.563"</f>
        <v>20:37:10.563</v>
      </c>
      <c r="T4113" t="str">
        <f>"20:37:09.563"</f>
        <v>20:37:09.563</v>
      </c>
      <c r="U4113" t="str">
        <f t="shared" si="205"/>
        <v>AB01F4</v>
      </c>
      <c r="V4113">
        <v>0</v>
      </c>
      <c r="W4113">
        <v>0</v>
      </c>
      <c r="X4113">
        <v>2</v>
      </c>
      <c r="Z4113">
        <v>0</v>
      </c>
      <c r="AA4113">
        <v>9</v>
      </c>
      <c r="AB4113">
        <v>3</v>
      </c>
      <c r="AC4113">
        <v>0</v>
      </c>
      <c r="AD4113">
        <v>10</v>
      </c>
      <c r="AE4113">
        <v>0</v>
      </c>
      <c r="AF4113">
        <v>3</v>
      </c>
      <c r="AG4113">
        <v>2</v>
      </c>
      <c r="AH4113">
        <v>0</v>
      </c>
      <c r="AI4113" t="s">
        <v>2305</v>
      </c>
      <c r="AJ4113">
        <v>40.151231000000003</v>
      </c>
      <c r="AK4113" t="s">
        <v>2306</v>
      </c>
      <c r="AL4113">
        <v>-93.125482000000005</v>
      </c>
      <c r="AM4113">
        <v>100</v>
      </c>
      <c r="AN4113">
        <v>1300</v>
      </c>
      <c r="AO4113" t="s">
        <v>118</v>
      </c>
      <c r="AP4113">
        <v>-114</v>
      </c>
      <c r="AQ4113">
        <v>60</v>
      </c>
      <c r="AR4113">
        <v>0</v>
      </c>
      <c r="AZ4113">
        <v>1200</v>
      </c>
      <c r="BA4113">
        <v>1</v>
      </c>
      <c r="BB4113" t="str">
        <f t="shared" si="204"/>
        <v xml:space="preserve">N8080G  </v>
      </c>
      <c r="BC4113">
        <v>1</v>
      </c>
      <c r="BE4113">
        <v>0</v>
      </c>
      <c r="BF4113">
        <v>0</v>
      </c>
      <c r="BG4113">
        <v>0</v>
      </c>
      <c r="BH4113">
        <v>1350</v>
      </c>
      <c r="BI4113">
        <v>1</v>
      </c>
      <c r="BJ4113">
        <v>1</v>
      </c>
      <c r="BK4113">
        <v>1</v>
      </c>
      <c r="BL4113">
        <v>0</v>
      </c>
      <c r="BO4113">
        <v>0</v>
      </c>
      <c r="BP4113">
        <v>0</v>
      </c>
      <c r="BW4113" t="str">
        <f>"20:37:10.564"</f>
        <v>20:37:10.564</v>
      </c>
      <c r="BZ4113">
        <v>0</v>
      </c>
      <c r="CA4113">
        <v>1600</v>
      </c>
      <c r="CB4113">
        <v>224</v>
      </c>
      <c r="CD4113">
        <v>1</v>
      </c>
      <c r="CE4113">
        <v>0</v>
      </c>
      <c r="CF4113">
        <v>0</v>
      </c>
      <c r="CG4113">
        <v>1</v>
      </c>
      <c r="CH4113">
        <v>0</v>
      </c>
      <c r="CI4113">
        <v>0</v>
      </c>
      <c r="CJ4113">
        <v>0</v>
      </c>
      <c r="CK4113">
        <v>2</v>
      </c>
      <c r="CL4113">
        <v>0</v>
      </c>
      <c r="CM4113">
        <v>2</v>
      </c>
      <c r="CN4113">
        <v>0</v>
      </c>
      <c r="CO4113">
        <v>1</v>
      </c>
      <c r="CP4113" t="s">
        <v>119</v>
      </c>
      <c r="CQ4113">
        <v>179</v>
      </c>
      <c r="CR4113">
        <v>2</v>
      </c>
      <c r="CW4113">
        <v>12614186</v>
      </c>
      <c r="CY4113">
        <v>0</v>
      </c>
      <c r="CZ4113">
        <v>0</v>
      </c>
      <c r="DA4113">
        <v>1</v>
      </c>
      <c r="DB4113">
        <v>0</v>
      </c>
      <c r="DC4113">
        <v>0</v>
      </c>
      <c r="DD4113">
        <v>0</v>
      </c>
      <c r="DE4113">
        <v>0</v>
      </c>
      <c r="DF4113">
        <v>0</v>
      </c>
      <c r="DG4113">
        <v>0</v>
      </c>
      <c r="DH4113">
        <v>0</v>
      </c>
      <c r="DI4113">
        <v>0</v>
      </c>
    </row>
    <row r="4114" spans="1:113" x14ac:dyDescent="0.3">
      <c r="A4114" t="str">
        <f>"02/08/2021 20:37:08.246"</f>
        <v>02/08/2021 20:37:08.246</v>
      </c>
      <c r="C4114" t="str">
        <f t="shared" si="203"/>
        <v>FFDFD7C0</v>
      </c>
      <c r="D4114" t="s">
        <v>124</v>
      </c>
      <c r="E4114">
        <v>12</v>
      </c>
      <c r="F4114">
        <v>1012</v>
      </c>
      <c r="G4114" t="s">
        <v>675</v>
      </c>
      <c r="J4114" t="s">
        <v>125</v>
      </c>
      <c r="K4114">
        <v>0</v>
      </c>
      <c r="L4114">
        <v>3</v>
      </c>
      <c r="M4114">
        <v>0</v>
      </c>
      <c r="N4114">
        <v>2</v>
      </c>
      <c r="O4114">
        <v>1</v>
      </c>
      <c r="P4114">
        <v>0</v>
      </c>
      <c r="Q4114">
        <v>0</v>
      </c>
      <c r="S4114" t="str">
        <f>"20:37:10.563"</f>
        <v>20:37:10.563</v>
      </c>
      <c r="T4114" t="str">
        <f>"20:37:09.563"</f>
        <v>20:37:09.563</v>
      </c>
      <c r="U4114" t="str">
        <f t="shared" si="205"/>
        <v>AB01F4</v>
      </c>
      <c r="V4114">
        <v>0</v>
      </c>
      <c r="W4114">
        <v>0</v>
      </c>
      <c r="X4114">
        <v>2</v>
      </c>
      <c r="Z4114">
        <v>0</v>
      </c>
      <c r="AA4114">
        <v>9</v>
      </c>
      <c r="AB4114">
        <v>3</v>
      </c>
      <c r="AC4114">
        <v>0</v>
      </c>
      <c r="AD4114">
        <v>10</v>
      </c>
      <c r="AE4114">
        <v>0</v>
      </c>
      <c r="AF4114">
        <v>3</v>
      </c>
      <c r="AG4114">
        <v>2</v>
      </c>
      <c r="AH4114">
        <v>0</v>
      </c>
      <c r="AI4114" t="s">
        <v>2305</v>
      </c>
      <c r="AJ4114">
        <v>40.151231000000003</v>
      </c>
      <c r="AK4114" t="s">
        <v>2306</v>
      </c>
      <c r="AL4114">
        <v>-93.125482000000005</v>
      </c>
      <c r="AM4114">
        <v>100</v>
      </c>
      <c r="AN4114">
        <v>1300</v>
      </c>
      <c r="AO4114" t="s">
        <v>118</v>
      </c>
      <c r="AP4114">
        <v>-114</v>
      </c>
      <c r="AQ4114">
        <v>60</v>
      </c>
      <c r="AR4114">
        <v>0</v>
      </c>
      <c r="AZ4114">
        <v>1200</v>
      </c>
      <c r="BA4114">
        <v>1</v>
      </c>
      <c r="BB4114" t="str">
        <f t="shared" si="204"/>
        <v xml:space="preserve">N8080G  </v>
      </c>
      <c r="BC4114">
        <v>1</v>
      </c>
      <c r="BE4114">
        <v>0</v>
      </c>
      <c r="BF4114">
        <v>0</v>
      </c>
      <c r="BG4114">
        <v>0</v>
      </c>
      <c r="BH4114">
        <v>1350</v>
      </c>
      <c r="BI4114">
        <v>1</v>
      </c>
      <c r="BJ4114">
        <v>1</v>
      </c>
      <c r="BK4114">
        <v>1</v>
      </c>
      <c r="BL4114">
        <v>0</v>
      </c>
      <c r="BO4114">
        <v>0</v>
      </c>
      <c r="BP4114">
        <v>0</v>
      </c>
      <c r="BW4114" t="str">
        <f>"20:37:10.564"</f>
        <v>20:37:10.564</v>
      </c>
      <c r="BZ4114">
        <v>0</v>
      </c>
      <c r="CA4114">
        <v>1600</v>
      </c>
      <c r="CB4114">
        <v>224</v>
      </c>
      <c r="CD4114">
        <v>1</v>
      </c>
      <c r="CE4114">
        <v>0</v>
      </c>
      <c r="CF4114">
        <v>0</v>
      </c>
      <c r="CG4114">
        <v>1</v>
      </c>
      <c r="CH4114">
        <v>0</v>
      </c>
      <c r="CI4114">
        <v>0</v>
      </c>
      <c r="CJ4114">
        <v>0</v>
      </c>
      <c r="CK4114">
        <v>2</v>
      </c>
      <c r="CL4114">
        <v>0</v>
      </c>
      <c r="CM4114">
        <v>2</v>
      </c>
      <c r="CN4114">
        <v>0</v>
      </c>
      <c r="CO4114">
        <v>1</v>
      </c>
      <c r="CP4114" t="s">
        <v>119</v>
      </c>
      <c r="CQ4114">
        <v>179</v>
      </c>
      <c r="CR4114">
        <v>2</v>
      </c>
      <c r="CW4114">
        <v>12614186</v>
      </c>
      <c r="CY4114">
        <v>0</v>
      </c>
      <c r="CZ4114">
        <v>0</v>
      </c>
      <c r="DA4114">
        <v>1</v>
      </c>
      <c r="DB4114">
        <v>0</v>
      </c>
      <c r="DC4114">
        <v>0</v>
      </c>
      <c r="DD4114">
        <v>0</v>
      </c>
      <c r="DE4114">
        <v>0</v>
      </c>
      <c r="DF4114">
        <v>0</v>
      </c>
      <c r="DG4114">
        <v>0</v>
      </c>
      <c r="DH4114">
        <v>0</v>
      </c>
      <c r="DI4114">
        <v>0</v>
      </c>
    </row>
    <row r="4115" spans="1:113" x14ac:dyDescent="0.3">
      <c r="A4115" t="str">
        <f>"02/08/2021 20:37:09.305"</f>
        <v>02/08/2021 20:37:09.305</v>
      </c>
      <c r="C4115" t="str">
        <f t="shared" si="203"/>
        <v>FFDFD7C0</v>
      </c>
      <c r="D4115" t="s">
        <v>124</v>
      </c>
      <c r="E4115">
        <v>11</v>
      </c>
      <c r="F4115">
        <v>1011</v>
      </c>
      <c r="G4115" t="s">
        <v>590</v>
      </c>
      <c r="J4115" t="s">
        <v>125</v>
      </c>
      <c r="K4115">
        <v>0</v>
      </c>
      <c r="L4115">
        <v>3</v>
      </c>
      <c r="M4115">
        <v>0</v>
      </c>
      <c r="N4115">
        <v>2</v>
      </c>
      <c r="O4115">
        <v>1</v>
      </c>
      <c r="P4115">
        <v>0</v>
      </c>
      <c r="Q4115">
        <v>0</v>
      </c>
      <c r="S4115" t="str">
        <f>"20:37:11.633"</f>
        <v>20:37:11.633</v>
      </c>
      <c r="T4115" t="str">
        <f>"20:37:11.133"</f>
        <v>20:37:11.133</v>
      </c>
      <c r="U4115" t="str">
        <f t="shared" si="205"/>
        <v>AB01F4</v>
      </c>
      <c r="V4115">
        <v>0</v>
      </c>
      <c r="W4115">
        <v>0</v>
      </c>
      <c r="X4115">
        <v>2</v>
      </c>
      <c r="Z4115">
        <v>0</v>
      </c>
      <c r="AA4115">
        <v>9</v>
      </c>
      <c r="AB4115">
        <v>3</v>
      </c>
      <c r="AC4115">
        <v>0</v>
      </c>
      <c r="AD4115">
        <v>10</v>
      </c>
      <c r="AE4115">
        <v>0</v>
      </c>
      <c r="AF4115">
        <v>3</v>
      </c>
      <c r="AG4115">
        <v>2</v>
      </c>
      <c r="AH4115">
        <v>0</v>
      </c>
      <c r="AI4115" t="s">
        <v>2307</v>
      </c>
      <c r="AJ4115">
        <v>40.151532000000003</v>
      </c>
      <c r="AK4115" t="s">
        <v>2308</v>
      </c>
      <c r="AL4115">
        <v>-93.126296999999994</v>
      </c>
      <c r="AM4115">
        <v>100</v>
      </c>
      <c r="AN4115">
        <v>1300</v>
      </c>
      <c r="AO4115" t="s">
        <v>118</v>
      </c>
      <c r="AP4115">
        <v>-113</v>
      </c>
      <c r="AQ4115">
        <v>61</v>
      </c>
      <c r="AR4115">
        <v>-128</v>
      </c>
      <c r="AZ4115">
        <v>1200</v>
      </c>
      <c r="BA4115">
        <v>1</v>
      </c>
      <c r="BB4115" t="str">
        <f t="shared" si="204"/>
        <v xml:space="preserve">N8080G  </v>
      </c>
      <c r="BC4115">
        <v>1</v>
      </c>
      <c r="BE4115">
        <v>0</v>
      </c>
      <c r="BF4115">
        <v>0</v>
      </c>
      <c r="BG4115">
        <v>0</v>
      </c>
      <c r="BH4115">
        <v>1350</v>
      </c>
      <c r="BI4115">
        <v>1</v>
      </c>
      <c r="BJ4115">
        <v>1</v>
      </c>
      <c r="BK4115">
        <v>1</v>
      </c>
      <c r="BL4115">
        <v>0</v>
      </c>
      <c r="BO4115">
        <v>0</v>
      </c>
      <c r="BP4115">
        <v>0</v>
      </c>
      <c r="BW4115" t="str">
        <f>"20:37:11.639"</f>
        <v>20:37:11.639</v>
      </c>
      <c r="BZ4115">
        <v>0</v>
      </c>
      <c r="CA4115">
        <v>1600</v>
      </c>
      <c r="CB4115">
        <v>224</v>
      </c>
      <c r="CD4115">
        <v>1</v>
      </c>
      <c r="CE4115">
        <v>0</v>
      </c>
      <c r="CF4115">
        <v>0</v>
      </c>
      <c r="CG4115">
        <v>1</v>
      </c>
      <c r="CH4115">
        <v>0</v>
      </c>
      <c r="CI4115">
        <v>0</v>
      </c>
      <c r="CJ4115">
        <v>0</v>
      </c>
      <c r="CK4115">
        <v>2</v>
      </c>
      <c r="CL4115">
        <v>0</v>
      </c>
      <c r="CM4115">
        <v>2</v>
      </c>
      <c r="CN4115">
        <v>0</v>
      </c>
      <c r="CO4115">
        <v>6</v>
      </c>
      <c r="CP4115" t="s">
        <v>119</v>
      </c>
      <c r="CQ4115">
        <v>180</v>
      </c>
      <c r="CR4115">
        <v>3</v>
      </c>
      <c r="CW4115">
        <v>1343687</v>
      </c>
      <c r="CY4115">
        <v>0</v>
      </c>
      <c r="CZ4115">
        <v>0</v>
      </c>
      <c r="DA4115">
        <v>0</v>
      </c>
      <c r="DB4115">
        <v>0</v>
      </c>
      <c r="DC4115">
        <v>0</v>
      </c>
      <c r="DD4115">
        <v>0</v>
      </c>
      <c r="DE4115">
        <v>0</v>
      </c>
      <c r="DF4115">
        <v>0</v>
      </c>
      <c r="DG4115">
        <v>0</v>
      </c>
      <c r="DH4115">
        <v>0</v>
      </c>
      <c r="DI4115">
        <v>0</v>
      </c>
    </row>
    <row r="4116" spans="1:113" x14ac:dyDescent="0.3">
      <c r="A4116" t="str">
        <f>"02/08/2021 20:37:09.305"</f>
        <v>02/08/2021 20:37:09.305</v>
      </c>
      <c r="C4116" t="str">
        <f t="shared" si="203"/>
        <v>FFDFD7C0</v>
      </c>
      <c r="D4116" t="s">
        <v>113</v>
      </c>
      <c r="E4116">
        <v>6</v>
      </c>
      <c r="H4116">
        <v>165</v>
      </c>
      <c r="I4116" t="s">
        <v>114</v>
      </c>
      <c r="J4116" t="s">
        <v>115</v>
      </c>
      <c r="K4116">
        <v>0</v>
      </c>
      <c r="L4116">
        <v>3</v>
      </c>
      <c r="M4116">
        <v>0</v>
      </c>
      <c r="N4116">
        <v>2</v>
      </c>
      <c r="O4116">
        <v>1</v>
      </c>
      <c r="P4116">
        <v>0</v>
      </c>
      <c r="Q4116">
        <v>0</v>
      </c>
      <c r="S4116" t="str">
        <f>"20:37:11.633"</f>
        <v>20:37:11.633</v>
      </c>
      <c r="T4116" t="str">
        <f>"20:37:11.133"</f>
        <v>20:37:11.133</v>
      </c>
      <c r="U4116" t="str">
        <f t="shared" si="205"/>
        <v>AB01F4</v>
      </c>
      <c r="V4116">
        <v>0</v>
      </c>
      <c r="W4116">
        <v>0</v>
      </c>
      <c r="X4116">
        <v>2</v>
      </c>
      <c r="Z4116">
        <v>0</v>
      </c>
      <c r="AA4116">
        <v>9</v>
      </c>
      <c r="AB4116">
        <v>3</v>
      </c>
      <c r="AC4116">
        <v>0</v>
      </c>
      <c r="AD4116">
        <v>10</v>
      </c>
      <c r="AE4116">
        <v>0</v>
      </c>
      <c r="AF4116">
        <v>3</v>
      </c>
      <c r="AG4116">
        <v>2</v>
      </c>
      <c r="AH4116">
        <v>0</v>
      </c>
      <c r="AI4116" t="s">
        <v>2307</v>
      </c>
      <c r="AJ4116">
        <v>40.151532000000003</v>
      </c>
      <c r="AK4116" t="s">
        <v>2308</v>
      </c>
      <c r="AL4116">
        <v>-93.126296999999994</v>
      </c>
      <c r="AM4116">
        <v>100</v>
      </c>
      <c r="AN4116">
        <v>1300</v>
      </c>
      <c r="AO4116" t="s">
        <v>118</v>
      </c>
      <c r="AP4116">
        <v>-113</v>
      </c>
      <c r="AQ4116">
        <v>61</v>
      </c>
      <c r="AR4116">
        <v>-128</v>
      </c>
      <c r="AZ4116">
        <v>1200</v>
      </c>
      <c r="BA4116">
        <v>1</v>
      </c>
      <c r="BB4116" t="str">
        <f t="shared" si="204"/>
        <v xml:space="preserve">N8080G  </v>
      </c>
      <c r="BC4116">
        <v>1</v>
      </c>
      <c r="BE4116">
        <v>0</v>
      </c>
      <c r="BF4116">
        <v>0</v>
      </c>
      <c r="BG4116">
        <v>0</v>
      </c>
      <c r="BH4116">
        <v>1350</v>
      </c>
      <c r="BI4116">
        <v>1</v>
      </c>
      <c r="BJ4116">
        <v>1</v>
      </c>
      <c r="BK4116">
        <v>1</v>
      </c>
      <c r="BL4116">
        <v>0</v>
      </c>
      <c r="BO4116">
        <v>0</v>
      </c>
      <c r="BP4116">
        <v>0</v>
      </c>
      <c r="BW4116" t="str">
        <f>"20:37:11.639"</f>
        <v>20:37:11.639</v>
      </c>
      <c r="BZ4116">
        <v>0</v>
      </c>
      <c r="CA4116">
        <v>1600</v>
      </c>
      <c r="CB4116">
        <v>224</v>
      </c>
      <c r="CD4116">
        <v>1</v>
      </c>
      <c r="CE4116">
        <v>0</v>
      </c>
      <c r="CF4116">
        <v>0</v>
      </c>
      <c r="CG4116">
        <v>1</v>
      </c>
      <c r="CH4116">
        <v>0</v>
      </c>
      <c r="CI4116">
        <v>0</v>
      </c>
      <c r="CJ4116">
        <v>0</v>
      </c>
      <c r="CK4116">
        <v>2</v>
      </c>
      <c r="CL4116">
        <v>0</v>
      </c>
      <c r="CM4116">
        <v>2</v>
      </c>
      <c r="CN4116">
        <v>0</v>
      </c>
      <c r="CO4116">
        <v>6</v>
      </c>
      <c r="CP4116" t="s">
        <v>119</v>
      </c>
      <c r="CQ4116">
        <v>180</v>
      </c>
      <c r="CR4116">
        <v>3</v>
      </c>
      <c r="CW4116">
        <v>1343687</v>
      </c>
      <c r="CY4116">
        <v>0</v>
      </c>
      <c r="CZ4116">
        <v>0</v>
      </c>
      <c r="DA4116">
        <v>1</v>
      </c>
      <c r="DB4116">
        <v>0</v>
      </c>
      <c r="DC4116">
        <v>0</v>
      </c>
      <c r="DD4116">
        <v>0</v>
      </c>
      <c r="DE4116">
        <v>0</v>
      </c>
      <c r="DF4116">
        <v>0</v>
      </c>
      <c r="DG4116">
        <v>0</v>
      </c>
      <c r="DH4116">
        <v>0</v>
      </c>
      <c r="DI4116">
        <v>0</v>
      </c>
    </row>
    <row r="4117" spans="1:113" x14ac:dyDescent="0.3">
      <c r="A4117" t="str">
        <f>"02/08/2021 20:37:09.305"</f>
        <v>02/08/2021 20:37:09.305</v>
      </c>
      <c r="C4117" t="str">
        <f t="shared" si="203"/>
        <v>FFDFD7C0</v>
      </c>
      <c r="D4117" t="s">
        <v>124</v>
      </c>
      <c r="E4117">
        <v>13</v>
      </c>
      <c r="F4117">
        <v>1013</v>
      </c>
      <c r="G4117" t="s">
        <v>114</v>
      </c>
      <c r="J4117" t="s">
        <v>125</v>
      </c>
      <c r="K4117">
        <v>0</v>
      </c>
      <c r="L4117">
        <v>3</v>
      </c>
      <c r="M4117">
        <v>0</v>
      </c>
      <c r="N4117">
        <v>2</v>
      </c>
      <c r="O4117">
        <v>1</v>
      </c>
      <c r="P4117">
        <v>0</v>
      </c>
      <c r="Q4117">
        <v>0</v>
      </c>
      <c r="S4117" t="str">
        <f>"20:37:11.633"</f>
        <v>20:37:11.633</v>
      </c>
      <c r="T4117" t="str">
        <f>"20:37:11.133"</f>
        <v>20:37:11.133</v>
      </c>
      <c r="U4117" t="str">
        <f t="shared" si="205"/>
        <v>AB01F4</v>
      </c>
      <c r="V4117">
        <v>0</v>
      </c>
      <c r="W4117">
        <v>0</v>
      </c>
      <c r="X4117">
        <v>2</v>
      </c>
      <c r="Z4117">
        <v>0</v>
      </c>
      <c r="AA4117">
        <v>9</v>
      </c>
      <c r="AB4117">
        <v>3</v>
      </c>
      <c r="AC4117">
        <v>0</v>
      </c>
      <c r="AD4117">
        <v>10</v>
      </c>
      <c r="AE4117">
        <v>0</v>
      </c>
      <c r="AF4117">
        <v>3</v>
      </c>
      <c r="AG4117">
        <v>2</v>
      </c>
      <c r="AH4117">
        <v>0</v>
      </c>
      <c r="AI4117" t="s">
        <v>2307</v>
      </c>
      <c r="AJ4117">
        <v>40.151532000000003</v>
      </c>
      <c r="AK4117" t="s">
        <v>2308</v>
      </c>
      <c r="AL4117">
        <v>-93.126296999999994</v>
      </c>
      <c r="AM4117">
        <v>100</v>
      </c>
      <c r="AN4117">
        <v>1300</v>
      </c>
      <c r="AO4117" t="s">
        <v>118</v>
      </c>
      <c r="AP4117">
        <v>-113</v>
      </c>
      <c r="AQ4117">
        <v>61</v>
      </c>
      <c r="AR4117">
        <v>-128</v>
      </c>
      <c r="AZ4117">
        <v>1200</v>
      </c>
      <c r="BA4117">
        <v>1</v>
      </c>
      <c r="BB4117" t="str">
        <f t="shared" si="204"/>
        <v xml:space="preserve">N8080G  </v>
      </c>
      <c r="BC4117">
        <v>1</v>
      </c>
      <c r="BE4117">
        <v>0</v>
      </c>
      <c r="BF4117">
        <v>0</v>
      </c>
      <c r="BG4117">
        <v>0</v>
      </c>
      <c r="BH4117">
        <v>1350</v>
      </c>
      <c r="BI4117">
        <v>1</v>
      </c>
      <c r="BJ4117">
        <v>1</v>
      </c>
      <c r="BK4117">
        <v>1</v>
      </c>
      <c r="BL4117">
        <v>0</v>
      </c>
      <c r="BO4117">
        <v>0</v>
      </c>
      <c r="BP4117">
        <v>0</v>
      </c>
      <c r="BW4117" t="str">
        <f>"20:37:11.639"</f>
        <v>20:37:11.639</v>
      </c>
      <c r="BZ4117">
        <v>0</v>
      </c>
      <c r="CA4117">
        <v>1600</v>
      </c>
      <c r="CB4117">
        <v>224</v>
      </c>
      <c r="CD4117">
        <v>1</v>
      </c>
      <c r="CE4117">
        <v>0</v>
      </c>
      <c r="CF4117">
        <v>0</v>
      </c>
      <c r="CG4117">
        <v>1</v>
      </c>
      <c r="CH4117">
        <v>0</v>
      </c>
      <c r="CI4117">
        <v>0</v>
      </c>
      <c r="CJ4117">
        <v>0</v>
      </c>
      <c r="CK4117">
        <v>2</v>
      </c>
      <c r="CL4117">
        <v>0</v>
      </c>
      <c r="CM4117">
        <v>2</v>
      </c>
      <c r="CN4117">
        <v>0</v>
      </c>
      <c r="CO4117">
        <v>6</v>
      </c>
      <c r="CP4117" t="s">
        <v>119</v>
      </c>
      <c r="CQ4117">
        <v>180</v>
      </c>
      <c r="CR4117">
        <v>3</v>
      </c>
      <c r="CW4117">
        <v>1343687</v>
      </c>
      <c r="CY4117">
        <v>0</v>
      </c>
      <c r="CZ4117">
        <v>0</v>
      </c>
      <c r="DA4117">
        <v>1</v>
      </c>
      <c r="DB4117">
        <v>0</v>
      </c>
      <c r="DC4117">
        <v>0</v>
      </c>
      <c r="DD4117">
        <v>0</v>
      </c>
      <c r="DE4117">
        <v>0</v>
      </c>
      <c r="DF4117">
        <v>0</v>
      </c>
      <c r="DG4117">
        <v>0</v>
      </c>
      <c r="DH4117">
        <v>0</v>
      </c>
      <c r="DI4117">
        <v>0</v>
      </c>
    </row>
    <row r="4118" spans="1:113" x14ac:dyDescent="0.3">
      <c r="A4118" t="str">
        <f>"02/08/2021 20:37:09.305"</f>
        <v>02/08/2021 20:37:09.305</v>
      </c>
      <c r="C4118" t="str">
        <f t="shared" si="203"/>
        <v>FFDFD7C0</v>
      </c>
      <c r="D4118" t="s">
        <v>124</v>
      </c>
      <c r="E4118">
        <v>12</v>
      </c>
      <c r="F4118">
        <v>1012</v>
      </c>
      <c r="G4118" t="s">
        <v>675</v>
      </c>
      <c r="J4118" t="s">
        <v>125</v>
      </c>
      <c r="K4118">
        <v>0</v>
      </c>
      <c r="L4118">
        <v>3</v>
      </c>
      <c r="M4118">
        <v>0</v>
      </c>
      <c r="N4118">
        <v>2</v>
      </c>
      <c r="O4118">
        <v>1</v>
      </c>
      <c r="P4118">
        <v>0</v>
      </c>
      <c r="Q4118">
        <v>0</v>
      </c>
      <c r="S4118" t="str">
        <f>"20:37:11.633"</f>
        <v>20:37:11.633</v>
      </c>
      <c r="T4118" t="str">
        <f>"20:37:11.133"</f>
        <v>20:37:11.133</v>
      </c>
      <c r="U4118" t="str">
        <f t="shared" si="205"/>
        <v>AB01F4</v>
      </c>
      <c r="V4118">
        <v>0</v>
      </c>
      <c r="W4118">
        <v>0</v>
      </c>
      <c r="X4118">
        <v>2</v>
      </c>
      <c r="Z4118">
        <v>0</v>
      </c>
      <c r="AA4118">
        <v>9</v>
      </c>
      <c r="AB4118">
        <v>3</v>
      </c>
      <c r="AC4118">
        <v>0</v>
      </c>
      <c r="AD4118">
        <v>10</v>
      </c>
      <c r="AE4118">
        <v>0</v>
      </c>
      <c r="AF4118">
        <v>3</v>
      </c>
      <c r="AG4118">
        <v>2</v>
      </c>
      <c r="AH4118">
        <v>0</v>
      </c>
      <c r="AI4118" t="s">
        <v>2307</v>
      </c>
      <c r="AJ4118">
        <v>40.151532000000003</v>
      </c>
      <c r="AK4118" t="s">
        <v>2308</v>
      </c>
      <c r="AL4118">
        <v>-93.126296999999994</v>
      </c>
      <c r="AM4118">
        <v>100</v>
      </c>
      <c r="AN4118">
        <v>1300</v>
      </c>
      <c r="AO4118" t="s">
        <v>118</v>
      </c>
      <c r="AP4118">
        <v>-113</v>
      </c>
      <c r="AQ4118">
        <v>61</v>
      </c>
      <c r="AR4118">
        <v>-128</v>
      </c>
      <c r="AZ4118">
        <v>1200</v>
      </c>
      <c r="BA4118">
        <v>1</v>
      </c>
      <c r="BB4118" t="str">
        <f t="shared" si="204"/>
        <v xml:space="preserve">N8080G  </v>
      </c>
      <c r="BC4118">
        <v>1</v>
      </c>
      <c r="BE4118">
        <v>0</v>
      </c>
      <c r="BF4118">
        <v>0</v>
      </c>
      <c r="BG4118">
        <v>0</v>
      </c>
      <c r="BH4118">
        <v>1350</v>
      </c>
      <c r="BI4118">
        <v>1</v>
      </c>
      <c r="BJ4118">
        <v>1</v>
      </c>
      <c r="BK4118">
        <v>1</v>
      </c>
      <c r="BL4118">
        <v>0</v>
      </c>
      <c r="BO4118">
        <v>0</v>
      </c>
      <c r="BP4118">
        <v>0</v>
      </c>
      <c r="BW4118" t="str">
        <f>"20:37:11.639"</f>
        <v>20:37:11.639</v>
      </c>
      <c r="BZ4118">
        <v>0</v>
      </c>
      <c r="CA4118">
        <v>1600</v>
      </c>
      <c r="CB4118">
        <v>224</v>
      </c>
      <c r="CD4118">
        <v>1</v>
      </c>
      <c r="CE4118">
        <v>0</v>
      </c>
      <c r="CF4118">
        <v>0</v>
      </c>
      <c r="CG4118">
        <v>1</v>
      </c>
      <c r="CH4118">
        <v>0</v>
      </c>
      <c r="CI4118">
        <v>0</v>
      </c>
      <c r="CJ4118">
        <v>0</v>
      </c>
      <c r="CK4118">
        <v>2</v>
      </c>
      <c r="CL4118">
        <v>0</v>
      </c>
      <c r="CM4118">
        <v>2</v>
      </c>
      <c r="CN4118">
        <v>0</v>
      </c>
      <c r="CO4118">
        <v>6</v>
      </c>
      <c r="CP4118" t="s">
        <v>119</v>
      </c>
      <c r="CQ4118">
        <v>180</v>
      </c>
      <c r="CR4118">
        <v>3</v>
      </c>
      <c r="CW4118">
        <v>1343687</v>
      </c>
      <c r="CY4118">
        <v>0</v>
      </c>
      <c r="CZ4118">
        <v>0</v>
      </c>
      <c r="DA4118">
        <v>1</v>
      </c>
      <c r="DB4118">
        <v>0</v>
      </c>
      <c r="DC4118">
        <v>0</v>
      </c>
      <c r="DD4118">
        <v>0</v>
      </c>
      <c r="DE4118">
        <v>0</v>
      </c>
      <c r="DF4118">
        <v>0</v>
      </c>
      <c r="DG4118">
        <v>0</v>
      </c>
      <c r="DH4118">
        <v>0</v>
      </c>
      <c r="DI4118">
        <v>0</v>
      </c>
    </row>
    <row r="4119" spans="1:113" x14ac:dyDescent="0.3">
      <c r="A4119" t="str">
        <f>"02/08/2021 20:37:12.479"</f>
        <v>02/08/2021 20:37:12.479</v>
      </c>
      <c r="C4119" t="str">
        <f t="shared" si="203"/>
        <v>FFDFD7C0</v>
      </c>
      <c r="D4119" t="s">
        <v>124</v>
      </c>
      <c r="E4119">
        <v>11</v>
      </c>
      <c r="F4119">
        <v>1011</v>
      </c>
      <c r="G4119" t="s">
        <v>590</v>
      </c>
      <c r="J4119" t="s">
        <v>125</v>
      </c>
      <c r="K4119">
        <v>0</v>
      </c>
      <c r="L4119">
        <v>3</v>
      </c>
      <c r="M4119">
        <v>0</v>
      </c>
      <c r="N4119">
        <v>2</v>
      </c>
      <c r="O4119">
        <v>1</v>
      </c>
      <c r="P4119">
        <v>0</v>
      </c>
      <c r="Q4119">
        <v>0</v>
      </c>
      <c r="S4119" t="str">
        <f>"20:37:14.805"</f>
        <v>20:37:14.805</v>
      </c>
      <c r="T4119" t="str">
        <f>"20:37:14.405"</f>
        <v>20:37:14.405</v>
      </c>
      <c r="U4119" t="str">
        <f t="shared" si="205"/>
        <v>AB01F4</v>
      </c>
      <c r="V4119">
        <v>0</v>
      </c>
      <c r="W4119">
        <v>0</v>
      </c>
      <c r="X4119">
        <v>2</v>
      </c>
      <c r="Z4119">
        <v>0</v>
      </c>
      <c r="AA4119">
        <v>9</v>
      </c>
      <c r="AB4119">
        <v>3</v>
      </c>
      <c r="AC4119">
        <v>0</v>
      </c>
      <c r="AD4119">
        <v>10</v>
      </c>
      <c r="AE4119">
        <v>0</v>
      </c>
      <c r="AF4119">
        <v>3</v>
      </c>
      <c r="AG4119">
        <v>2</v>
      </c>
      <c r="AH4119">
        <v>0</v>
      </c>
      <c r="AI4119" t="s">
        <v>2309</v>
      </c>
      <c r="AJ4119">
        <v>40.152411000000001</v>
      </c>
      <c r="AK4119" t="s">
        <v>2310</v>
      </c>
      <c r="AL4119">
        <v>-93.128421000000003</v>
      </c>
      <c r="AM4119">
        <v>100</v>
      </c>
      <c r="AN4119">
        <v>1300</v>
      </c>
      <c r="AO4119" t="s">
        <v>118</v>
      </c>
      <c r="AP4119">
        <v>-114</v>
      </c>
      <c r="AQ4119">
        <v>60</v>
      </c>
      <c r="AR4119">
        <v>-64</v>
      </c>
      <c r="AZ4119">
        <v>1200</v>
      </c>
      <c r="BA4119">
        <v>1</v>
      </c>
      <c r="BB4119" t="str">
        <f t="shared" si="204"/>
        <v xml:space="preserve">N8080G  </v>
      </c>
      <c r="BC4119">
        <v>1</v>
      </c>
      <c r="BE4119">
        <v>0</v>
      </c>
      <c r="BF4119">
        <v>0</v>
      </c>
      <c r="BG4119">
        <v>0</v>
      </c>
      <c r="BH4119">
        <v>1350</v>
      </c>
      <c r="BI4119">
        <v>1</v>
      </c>
      <c r="BJ4119">
        <v>1</v>
      </c>
      <c r="BK4119">
        <v>1</v>
      </c>
      <c r="BL4119">
        <v>0</v>
      </c>
      <c r="BO4119">
        <v>0</v>
      </c>
      <c r="BP4119">
        <v>0</v>
      </c>
      <c r="BW4119" t="str">
        <f>"20:37:14.809"</f>
        <v>20:37:14.809</v>
      </c>
      <c r="BZ4119">
        <v>0</v>
      </c>
      <c r="CA4119">
        <v>1600</v>
      </c>
      <c r="CB4119">
        <v>224</v>
      </c>
      <c r="CD4119">
        <v>1</v>
      </c>
      <c r="CE4119">
        <v>0</v>
      </c>
      <c r="CF4119">
        <v>0</v>
      </c>
      <c r="CG4119">
        <v>1</v>
      </c>
      <c r="CH4119">
        <v>0</v>
      </c>
      <c r="CI4119">
        <v>0</v>
      </c>
      <c r="CJ4119">
        <v>0</v>
      </c>
      <c r="CK4119">
        <v>2</v>
      </c>
      <c r="CL4119">
        <v>0</v>
      </c>
      <c r="CM4119">
        <v>2</v>
      </c>
      <c r="CN4119">
        <v>0</v>
      </c>
      <c r="CO4119">
        <v>5</v>
      </c>
      <c r="CP4119" t="s">
        <v>119</v>
      </c>
      <c r="CQ4119">
        <v>180</v>
      </c>
      <c r="CR4119">
        <v>3</v>
      </c>
      <c r="CW4119">
        <v>1346133</v>
      </c>
      <c r="CY4119">
        <v>0</v>
      </c>
      <c r="CZ4119">
        <v>0</v>
      </c>
      <c r="DA4119">
        <v>0</v>
      </c>
      <c r="DB4119">
        <v>0</v>
      </c>
      <c r="DC4119">
        <v>0</v>
      </c>
      <c r="DD4119">
        <v>0</v>
      </c>
      <c r="DE4119">
        <v>0</v>
      </c>
      <c r="DF4119">
        <v>0</v>
      </c>
      <c r="DG4119">
        <v>0</v>
      </c>
      <c r="DH4119">
        <v>0</v>
      </c>
      <c r="DI4119">
        <v>0</v>
      </c>
    </row>
    <row r="4120" spans="1:113" x14ac:dyDescent="0.3">
      <c r="A4120" t="str">
        <f>"02/08/2021 20:37:12.479"</f>
        <v>02/08/2021 20:37:12.479</v>
      </c>
      <c r="C4120" t="str">
        <f t="shared" si="203"/>
        <v>FFDFD7C0</v>
      </c>
      <c r="D4120" t="s">
        <v>124</v>
      </c>
      <c r="E4120">
        <v>13</v>
      </c>
      <c r="F4120">
        <v>1013</v>
      </c>
      <c r="G4120" t="s">
        <v>114</v>
      </c>
      <c r="J4120" t="s">
        <v>125</v>
      </c>
      <c r="K4120">
        <v>0</v>
      </c>
      <c r="L4120">
        <v>3</v>
      </c>
      <c r="M4120">
        <v>0</v>
      </c>
      <c r="N4120">
        <v>2</v>
      </c>
      <c r="O4120">
        <v>1</v>
      </c>
      <c r="P4120">
        <v>0</v>
      </c>
      <c r="Q4120">
        <v>0</v>
      </c>
      <c r="S4120" t="str">
        <f>"20:37:14.805"</f>
        <v>20:37:14.805</v>
      </c>
      <c r="T4120" t="str">
        <f>"20:37:14.405"</f>
        <v>20:37:14.405</v>
      </c>
      <c r="U4120" t="str">
        <f t="shared" si="205"/>
        <v>AB01F4</v>
      </c>
      <c r="V4120">
        <v>0</v>
      </c>
      <c r="W4120">
        <v>0</v>
      </c>
      <c r="X4120">
        <v>2</v>
      </c>
      <c r="Z4120">
        <v>0</v>
      </c>
      <c r="AA4120">
        <v>9</v>
      </c>
      <c r="AB4120">
        <v>3</v>
      </c>
      <c r="AC4120">
        <v>0</v>
      </c>
      <c r="AD4120">
        <v>10</v>
      </c>
      <c r="AE4120">
        <v>0</v>
      </c>
      <c r="AF4120">
        <v>3</v>
      </c>
      <c r="AG4120">
        <v>2</v>
      </c>
      <c r="AH4120">
        <v>0</v>
      </c>
      <c r="AI4120" t="s">
        <v>2309</v>
      </c>
      <c r="AJ4120">
        <v>40.152411000000001</v>
      </c>
      <c r="AK4120" t="s">
        <v>2310</v>
      </c>
      <c r="AL4120">
        <v>-93.128421000000003</v>
      </c>
      <c r="AM4120">
        <v>100</v>
      </c>
      <c r="AN4120">
        <v>1300</v>
      </c>
      <c r="AO4120" t="s">
        <v>118</v>
      </c>
      <c r="AP4120">
        <v>-114</v>
      </c>
      <c r="AQ4120">
        <v>60</v>
      </c>
      <c r="AR4120">
        <v>-64</v>
      </c>
      <c r="AZ4120">
        <v>1200</v>
      </c>
      <c r="BA4120">
        <v>1</v>
      </c>
      <c r="BB4120" t="str">
        <f t="shared" si="204"/>
        <v xml:space="preserve">N8080G  </v>
      </c>
      <c r="BC4120">
        <v>1</v>
      </c>
      <c r="BE4120">
        <v>0</v>
      </c>
      <c r="BF4120">
        <v>0</v>
      </c>
      <c r="BG4120">
        <v>0</v>
      </c>
      <c r="BH4120">
        <v>1350</v>
      </c>
      <c r="BI4120">
        <v>1</v>
      </c>
      <c r="BJ4120">
        <v>1</v>
      </c>
      <c r="BK4120">
        <v>1</v>
      </c>
      <c r="BL4120">
        <v>0</v>
      </c>
      <c r="BO4120">
        <v>0</v>
      </c>
      <c r="BP4120">
        <v>0</v>
      </c>
      <c r="BW4120" t="str">
        <f>"20:37:14.809"</f>
        <v>20:37:14.809</v>
      </c>
      <c r="BZ4120">
        <v>0</v>
      </c>
      <c r="CA4120">
        <v>1600</v>
      </c>
      <c r="CB4120">
        <v>224</v>
      </c>
      <c r="CD4120">
        <v>1</v>
      </c>
      <c r="CE4120">
        <v>0</v>
      </c>
      <c r="CF4120">
        <v>0</v>
      </c>
      <c r="CG4120">
        <v>1</v>
      </c>
      <c r="CH4120">
        <v>0</v>
      </c>
      <c r="CI4120">
        <v>0</v>
      </c>
      <c r="CJ4120">
        <v>0</v>
      </c>
      <c r="CK4120">
        <v>2</v>
      </c>
      <c r="CL4120">
        <v>0</v>
      </c>
      <c r="CM4120">
        <v>2</v>
      </c>
      <c r="CN4120">
        <v>0</v>
      </c>
      <c r="CO4120">
        <v>5</v>
      </c>
      <c r="CP4120" t="s">
        <v>119</v>
      </c>
      <c r="CQ4120">
        <v>180</v>
      </c>
      <c r="CR4120">
        <v>3</v>
      </c>
      <c r="CW4120">
        <v>1346133</v>
      </c>
      <c r="CY4120">
        <v>0</v>
      </c>
      <c r="CZ4120">
        <v>0</v>
      </c>
      <c r="DA4120">
        <v>1</v>
      </c>
      <c r="DB4120">
        <v>0</v>
      </c>
      <c r="DC4120">
        <v>0</v>
      </c>
      <c r="DD4120">
        <v>0</v>
      </c>
      <c r="DE4120">
        <v>0</v>
      </c>
      <c r="DF4120">
        <v>0</v>
      </c>
      <c r="DG4120">
        <v>0</v>
      </c>
      <c r="DH4120">
        <v>0</v>
      </c>
      <c r="DI4120">
        <v>0</v>
      </c>
    </row>
    <row r="4121" spans="1:113" x14ac:dyDescent="0.3">
      <c r="A4121" t="str">
        <f>"02/08/2021 20:37:12.479"</f>
        <v>02/08/2021 20:37:12.479</v>
      </c>
      <c r="C4121" t="str">
        <f t="shared" si="203"/>
        <v>FFDFD7C0</v>
      </c>
      <c r="D4121" t="s">
        <v>113</v>
      </c>
      <c r="E4121">
        <v>6</v>
      </c>
      <c r="H4121">
        <v>165</v>
      </c>
      <c r="I4121" t="s">
        <v>114</v>
      </c>
      <c r="J4121" t="s">
        <v>115</v>
      </c>
      <c r="K4121">
        <v>0</v>
      </c>
      <c r="L4121">
        <v>3</v>
      </c>
      <c r="M4121">
        <v>0</v>
      </c>
      <c r="N4121">
        <v>2</v>
      </c>
      <c r="O4121">
        <v>1</v>
      </c>
      <c r="P4121">
        <v>0</v>
      </c>
      <c r="Q4121">
        <v>0</v>
      </c>
      <c r="S4121" t="str">
        <f>"20:37:14.805"</f>
        <v>20:37:14.805</v>
      </c>
      <c r="T4121" t="str">
        <f>"20:37:14.405"</f>
        <v>20:37:14.405</v>
      </c>
      <c r="U4121" t="str">
        <f t="shared" si="205"/>
        <v>AB01F4</v>
      </c>
      <c r="V4121">
        <v>0</v>
      </c>
      <c r="W4121">
        <v>0</v>
      </c>
      <c r="X4121">
        <v>2</v>
      </c>
      <c r="Z4121">
        <v>0</v>
      </c>
      <c r="AA4121">
        <v>9</v>
      </c>
      <c r="AB4121">
        <v>3</v>
      </c>
      <c r="AC4121">
        <v>0</v>
      </c>
      <c r="AD4121">
        <v>10</v>
      </c>
      <c r="AE4121">
        <v>0</v>
      </c>
      <c r="AF4121">
        <v>3</v>
      </c>
      <c r="AG4121">
        <v>2</v>
      </c>
      <c r="AH4121">
        <v>0</v>
      </c>
      <c r="AI4121" t="s">
        <v>2309</v>
      </c>
      <c r="AJ4121">
        <v>40.152411000000001</v>
      </c>
      <c r="AK4121" t="s">
        <v>2310</v>
      </c>
      <c r="AL4121">
        <v>-93.128421000000003</v>
      </c>
      <c r="AM4121">
        <v>100</v>
      </c>
      <c r="AN4121">
        <v>1300</v>
      </c>
      <c r="AO4121" t="s">
        <v>118</v>
      </c>
      <c r="AP4121">
        <v>-114</v>
      </c>
      <c r="AQ4121">
        <v>60</v>
      </c>
      <c r="AR4121">
        <v>-64</v>
      </c>
      <c r="AZ4121">
        <v>1200</v>
      </c>
      <c r="BA4121">
        <v>1</v>
      </c>
      <c r="BB4121" t="str">
        <f t="shared" si="204"/>
        <v xml:space="preserve">N8080G  </v>
      </c>
      <c r="BC4121">
        <v>1</v>
      </c>
      <c r="BE4121">
        <v>0</v>
      </c>
      <c r="BF4121">
        <v>0</v>
      </c>
      <c r="BG4121">
        <v>0</v>
      </c>
      <c r="BH4121">
        <v>1350</v>
      </c>
      <c r="BI4121">
        <v>1</v>
      </c>
      <c r="BJ4121">
        <v>1</v>
      </c>
      <c r="BK4121">
        <v>1</v>
      </c>
      <c r="BL4121">
        <v>0</v>
      </c>
      <c r="BO4121">
        <v>0</v>
      </c>
      <c r="BP4121">
        <v>0</v>
      </c>
      <c r="BW4121" t="str">
        <f>"20:37:14.809"</f>
        <v>20:37:14.809</v>
      </c>
      <c r="BZ4121">
        <v>0</v>
      </c>
      <c r="CA4121">
        <v>1600</v>
      </c>
      <c r="CB4121">
        <v>224</v>
      </c>
      <c r="CD4121">
        <v>1</v>
      </c>
      <c r="CE4121">
        <v>0</v>
      </c>
      <c r="CF4121">
        <v>0</v>
      </c>
      <c r="CG4121">
        <v>1</v>
      </c>
      <c r="CH4121">
        <v>0</v>
      </c>
      <c r="CI4121">
        <v>0</v>
      </c>
      <c r="CJ4121">
        <v>0</v>
      </c>
      <c r="CK4121">
        <v>2</v>
      </c>
      <c r="CL4121">
        <v>0</v>
      </c>
      <c r="CM4121">
        <v>2</v>
      </c>
      <c r="CN4121">
        <v>0</v>
      </c>
      <c r="CO4121">
        <v>5</v>
      </c>
      <c r="CP4121" t="s">
        <v>119</v>
      </c>
      <c r="CQ4121">
        <v>180</v>
      </c>
      <c r="CR4121">
        <v>3</v>
      </c>
      <c r="CW4121">
        <v>1346133</v>
      </c>
      <c r="CY4121">
        <v>0</v>
      </c>
      <c r="CZ4121">
        <v>0</v>
      </c>
      <c r="DA4121">
        <v>1</v>
      </c>
      <c r="DB4121">
        <v>0</v>
      </c>
      <c r="DC4121">
        <v>0</v>
      </c>
      <c r="DD4121">
        <v>0</v>
      </c>
      <c r="DE4121">
        <v>0</v>
      </c>
      <c r="DF4121">
        <v>0</v>
      </c>
      <c r="DG4121">
        <v>0</v>
      </c>
      <c r="DH4121">
        <v>0</v>
      </c>
      <c r="DI4121">
        <v>0</v>
      </c>
    </row>
    <row r="4122" spans="1:113" x14ac:dyDescent="0.3">
      <c r="A4122" t="str">
        <f>"02/08/2021 20:37:12.479"</f>
        <v>02/08/2021 20:37:12.479</v>
      </c>
      <c r="C4122" t="str">
        <f t="shared" si="203"/>
        <v>FFDFD7C0</v>
      </c>
      <c r="D4122" t="s">
        <v>124</v>
      </c>
      <c r="E4122">
        <v>12</v>
      </c>
      <c r="F4122">
        <v>1012</v>
      </c>
      <c r="G4122" t="s">
        <v>675</v>
      </c>
      <c r="J4122" t="s">
        <v>125</v>
      </c>
      <c r="K4122">
        <v>0</v>
      </c>
      <c r="L4122">
        <v>3</v>
      </c>
      <c r="M4122">
        <v>0</v>
      </c>
      <c r="N4122">
        <v>2</v>
      </c>
      <c r="O4122">
        <v>1</v>
      </c>
      <c r="P4122">
        <v>0</v>
      </c>
      <c r="Q4122">
        <v>0</v>
      </c>
      <c r="S4122" t="str">
        <f>"20:37:14.805"</f>
        <v>20:37:14.805</v>
      </c>
      <c r="T4122" t="str">
        <f>"20:37:14.405"</f>
        <v>20:37:14.405</v>
      </c>
      <c r="U4122" t="str">
        <f t="shared" si="205"/>
        <v>AB01F4</v>
      </c>
      <c r="V4122">
        <v>0</v>
      </c>
      <c r="W4122">
        <v>0</v>
      </c>
      <c r="X4122">
        <v>2</v>
      </c>
      <c r="Z4122">
        <v>0</v>
      </c>
      <c r="AA4122">
        <v>9</v>
      </c>
      <c r="AB4122">
        <v>3</v>
      </c>
      <c r="AC4122">
        <v>0</v>
      </c>
      <c r="AD4122">
        <v>10</v>
      </c>
      <c r="AE4122">
        <v>0</v>
      </c>
      <c r="AF4122">
        <v>3</v>
      </c>
      <c r="AG4122">
        <v>2</v>
      </c>
      <c r="AH4122">
        <v>0</v>
      </c>
      <c r="AI4122" t="s">
        <v>2309</v>
      </c>
      <c r="AJ4122">
        <v>40.152411000000001</v>
      </c>
      <c r="AK4122" t="s">
        <v>2310</v>
      </c>
      <c r="AL4122">
        <v>-93.128421000000003</v>
      </c>
      <c r="AM4122">
        <v>100</v>
      </c>
      <c r="AN4122">
        <v>1300</v>
      </c>
      <c r="AO4122" t="s">
        <v>118</v>
      </c>
      <c r="AP4122">
        <v>-114</v>
      </c>
      <c r="AQ4122">
        <v>60</v>
      </c>
      <c r="AR4122">
        <v>-64</v>
      </c>
      <c r="AZ4122">
        <v>1200</v>
      </c>
      <c r="BA4122">
        <v>1</v>
      </c>
      <c r="BB4122" t="str">
        <f t="shared" si="204"/>
        <v xml:space="preserve">N8080G  </v>
      </c>
      <c r="BC4122">
        <v>1</v>
      </c>
      <c r="BE4122">
        <v>0</v>
      </c>
      <c r="BF4122">
        <v>0</v>
      </c>
      <c r="BG4122">
        <v>0</v>
      </c>
      <c r="BH4122">
        <v>1350</v>
      </c>
      <c r="BI4122">
        <v>1</v>
      </c>
      <c r="BJ4122">
        <v>1</v>
      </c>
      <c r="BK4122">
        <v>1</v>
      </c>
      <c r="BL4122">
        <v>0</v>
      </c>
      <c r="BO4122">
        <v>0</v>
      </c>
      <c r="BP4122">
        <v>0</v>
      </c>
      <c r="BW4122" t="str">
        <f>"20:37:14.809"</f>
        <v>20:37:14.809</v>
      </c>
      <c r="BZ4122">
        <v>0</v>
      </c>
      <c r="CA4122">
        <v>1600</v>
      </c>
      <c r="CB4122">
        <v>224</v>
      </c>
      <c r="CD4122">
        <v>1</v>
      </c>
      <c r="CE4122">
        <v>0</v>
      </c>
      <c r="CF4122">
        <v>0</v>
      </c>
      <c r="CG4122">
        <v>1</v>
      </c>
      <c r="CH4122">
        <v>0</v>
      </c>
      <c r="CI4122">
        <v>0</v>
      </c>
      <c r="CJ4122">
        <v>0</v>
      </c>
      <c r="CK4122">
        <v>2</v>
      </c>
      <c r="CL4122">
        <v>0</v>
      </c>
      <c r="CM4122">
        <v>2</v>
      </c>
      <c r="CN4122">
        <v>0</v>
      </c>
      <c r="CO4122">
        <v>5</v>
      </c>
      <c r="CP4122" t="s">
        <v>119</v>
      </c>
      <c r="CQ4122">
        <v>180</v>
      </c>
      <c r="CR4122">
        <v>3</v>
      </c>
      <c r="CW4122">
        <v>1346133</v>
      </c>
      <c r="CY4122">
        <v>0</v>
      </c>
      <c r="CZ4122">
        <v>0</v>
      </c>
      <c r="DA4122">
        <v>1</v>
      </c>
      <c r="DB4122">
        <v>0</v>
      </c>
      <c r="DC4122">
        <v>0</v>
      </c>
      <c r="DD4122">
        <v>0</v>
      </c>
      <c r="DE4122">
        <v>0</v>
      </c>
      <c r="DF4122">
        <v>0</v>
      </c>
      <c r="DG4122">
        <v>0</v>
      </c>
      <c r="DH4122">
        <v>0</v>
      </c>
      <c r="DI4122">
        <v>0</v>
      </c>
    </row>
    <row r="4123" spans="1:113" x14ac:dyDescent="0.3">
      <c r="A4123" t="str">
        <f>"02/08/2021 20:37:13.352"</f>
        <v>02/08/2021 20:37:13.352</v>
      </c>
      <c r="C4123" t="str">
        <f t="shared" si="203"/>
        <v>FFDFD7C0</v>
      </c>
      <c r="D4123" t="s">
        <v>113</v>
      </c>
      <c r="E4123">
        <v>6</v>
      </c>
      <c r="H4123">
        <v>165</v>
      </c>
      <c r="I4123" t="s">
        <v>114</v>
      </c>
      <c r="J4123" t="s">
        <v>115</v>
      </c>
      <c r="K4123">
        <v>0</v>
      </c>
      <c r="L4123">
        <v>3</v>
      </c>
      <c r="M4123">
        <v>0</v>
      </c>
      <c r="N4123">
        <v>2</v>
      </c>
      <c r="O4123">
        <v>1</v>
      </c>
      <c r="P4123">
        <v>0</v>
      </c>
      <c r="Q4123">
        <v>0</v>
      </c>
      <c r="S4123" t="str">
        <f>"20:37:15.695"</f>
        <v>20:37:15.695</v>
      </c>
      <c r="T4123" t="str">
        <f>"20:37:15.295"</f>
        <v>20:37:15.295</v>
      </c>
      <c r="U4123" t="str">
        <f t="shared" si="205"/>
        <v>AB01F4</v>
      </c>
      <c r="V4123">
        <v>0</v>
      </c>
      <c r="W4123">
        <v>0</v>
      </c>
      <c r="X4123">
        <v>2</v>
      </c>
      <c r="Z4123">
        <v>0</v>
      </c>
      <c r="AA4123">
        <v>9</v>
      </c>
      <c r="AB4123">
        <v>3</v>
      </c>
      <c r="AC4123">
        <v>0</v>
      </c>
      <c r="AD4123">
        <v>10</v>
      </c>
      <c r="AE4123">
        <v>0</v>
      </c>
      <c r="AF4123">
        <v>3</v>
      </c>
      <c r="AG4123">
        <v>2</v>
      </c>
      <c r="AH4123">
        <v>0</v>
      </c>
      <c r="AI4123" t="s">
        <v>2311</v>
      </c>
      <c r="AJ4123">
        <v>40.152647000000002</v>
      </c>
      <c r="AK4123" t="s">
        <v>2312</v>
      </c>
      <c r="AL4123">
        <v>-93.129043999999993</v>
      </c>
      <c r="AM4123">
        <v>100</v>
      </c>
      <c r="AN4123">
        <v>1300</v>
      </c>
      <c r="AO4123" t="s">
        <v>118</v>
      </c>
      <c r="AP4123">
        <v>-113</v>
      </c>
      <c r="AQ4123">
        <v>61</v>
      </c>
      <c r="AR4123">
        <v>0</v>
      </c>
      <c r="AZ4123">
        <v>1200</v>
      </c>
      <c r="BA4123">
        <v>1</v>
      </c>
      <c r="BB4123" t="str">
        <f t="shared" si="204"/>
        <v xml:space="preserve">N8080G  </v>
      </c>
      <c r="BC4123">
        <v>1</v>
      </c>
      <c r="BE4123">
        <v>0</v>
      </c>
      <c r="BF4123">
        <v>0</v>
      </c>
      <c r="BG4123">
        <v>0</v>
      </c>
      <c r="BH4123">
        <v>1350</v>
      </c>
      <c r="BI4123">
        <v>1</v>
      </c>
      <c r="BJ4123">
        <v>1</v>
      </c>
      <c r="BK4123">
        <v>1</v>
      </c>
      <c r="BL4123">
        <v>0</v>
      </c>
      <c r="BO4123">
        <v>0</v>
      </c>
      <c r="BP4123">
        <v>0</v>
      </c>
      <c r="BW4123" t="str">
        <f>"20:37:15.702"</f>
        <v>20:37:15.702</v>
      </c>
      <c r="BZ4123">
        <v>0</v>
      </c>
      <c r="CA4123">
        <v>1600</v>
      </c>
      <c r="CB4123">
        <v>224</v>
      </c>
      <c r="CD4123">
        <v>1</v>
      </c>
      <c r="CE4123">
        <v>0</v>
      </c>
      <c r="CF4123">
        <v>0</v>
      </c>
      <c r="CG4123">
        <v>1</v>
      </c>
      <c r="CH4123">
        <v>0</v>
      </c>
      <c r="CI4123">
        <v>0</v>
      </c>
      <c r="CJ4123">
        <v>0</v>
      </c>
      <c r="CK4123">
        <v>2</v>
      </c>
      <c r="CL4123">
        <v>0</v>
      </c>
      <c r="CM4123">
        <v>2</v>
      </c>
      <c r="CN4123">
        <v>0</v>
      </c>
      <c r="CO4123">
        <v>2</v>
      </c>
      <c r="CP4123" t="s">
        <v>119</v>
      </c>
      <c r="CQ4123">
        <v>179</v>
      </c>
      <c r="CR4123">
        <v>2</v>
      </c>
      <c r="CW4123">
        <v>12618290</v>
      </c>
      <c r="CY4123">
        <v>0</v>
      </c>
      <c r="CZ4123">
        <v>0</v>
      </c>
      <c r="DA4123">
        <v>0</v>
      </c>
      <c r="DB4123">
        <v>0</v>
      </c>
      <c r="DC4123">
        <v>0</v>
      </c>
      <c r="DD4123">
        <v>0</v>
      </c>
      <c r="DE4123">
        <v>0</v>
      </c>
      <c r="DF4123">
        <v>0</v>
      </c>
      <c r="DG4123">
        <v>0</v>
      </c>
      <c r="DH4123">
        <v>0</v>
      </c>
      <c r="DI4123">
        <v>0</v>
      </c>
    </row>
    <row r="4124" spans="1:113" x14ac:dyDescent="0.3">
      <c r="A4124" t="str">
        <f>"02/08/2021 20:37:13.352"</f>
        <v>02/08/2021 20:37:13.352</v>
      </c>
      <c r="C4124" t="str">
        <f t="shared" si="203"/>
        <v>FFDFD7C0</v>
      </c>
      <c r="D4124" t="s">
        <v>124</v>
      </c>
      <c r="E4124">
        <v>12</v>
      </c>
      <c r="F4124">
        <v>1012</v>
      </c>
      <c r="G4124" t="s">
        <v>675</v>
      </c>
      <c r="J4124" t="s">
        <v>125</v>
      </c>
      <c r="K4124">
        <v>0</v>
      </c>
      <c r="L4124">
        <v>3</v>
      </c>
      <c r="M4124">
        <v>0</v>
      </c>
      <c r="N4124">
        <v>2</v>
      </c>
      <c r="O4124">
        <v>1</v>
      </c>
      <c r="P4124">
        <v>0</v>
      </c>
      <c r="Q4124">
        <v>0</v>
      </c>
      <c r="S4124" t="str">
        <f>"20:37:15.695"</f>
        <v>20:37:15.695</v>
      </c>
      <c r="T4124" t="str">
        <f>"20:37:15.295"</f>
        <v>20:37:15.295</v>
      </c>
      <c r="U4124" t="str">
        <f t="shared" si="205"/>
        <v>AB01F4</v>
      </c>
      <c r="V4124">
        <v>0</v>
      </c>
      <c r="W4124">
        <v>0</v>
      </c>
      <c r="X4124">
        <v>2</v>
      </c>
      <c r="Z4124">
        <v>0</v>
      </c>
      <c r="AA4124">
        <v>9</v>
      </c>
      <c r="AB4124">
        <v>3</v>
      </c>
      <c r="AC4124">
        <v>0</v>
      </c>
      <c r="AD4124">
        <v>10</v>
      </c>
      <c r="AE4124">
        <v>0</v>
      </c>
      <c r="AF4124">
        <v>3</v>
      </c>
      <c r="AG4124">
        <v>2</v>
      </c>
      <c r="AH4124">
        <v>0</v>
      </c>
      <c r="AI4124" t="s">
        <v>2311</v>
      </c>
      <c r="AJ4124">
        <v>40.152647000000002</v>
      </c>
      <c r="AK4124" t="s">
        <v>2312</v>
      </c>
      <c r="AL4124">
        <v>-93.129043999999993</v>
      </c>
      <c r="AM4124">
        <v>100</v>
      </c>
      <c r="AN4124">
        <v>1300</v>
      </c>
      <c r="AO4124" t="s">
        <v>118</v>
      </c>
      <c r="AP4124">
        <v>-113</v>
      </c>
      <c r="AQ4124">
        <v>61</v>
      </c>
      <c r="AR4124">
        <v>0</v>
      </c>
      <c r="AZ4124">
        <v>1200</v>
      </c>
      <c r="BA4124">
        <v>1</v>
      </c>
      <c r="BB4124" t="str">
        <f t="shared" si="204"/>
        <v xml:space="preserve">N8080G  </v>
      </c>
      <c r="BC4124">
        <v>1</v>
      </c>
      <c r="BE4124">
        <v>0</v>
      </c>
      <c r="BF4124">
        <v>0</v>
      </c>
      <c r="BG4124">
        <v>0</v>
      </c>
      <c r="BH4124">
        <v>1350</v>
      </c>
      <c r="BI4124">
        <v>1</v>
      </c>
      <c r="BJ4124">
        <v>1</v>
      </c>
      <c r="BK4124">
        <v>1</v>
      </c>
      <c r="BL4124">
        <v>0</v>
      </c>
      <c r="BO4124">
        <v>0</v>
      </c>
      <c r="BP4124">
        <v>0</v>
      </c>
      <c r="BW4124" t="str">
        <f>"20:37:15.702"</f>
        <v>20:37:15.702</v>
      </c>
      <c r="BZ4124">
        <v>0</v>
      </c>
      <c r="CA4124">
        <v>1600</v>
      </c>
      <c r="CB4124">
        <v>224</v>
      </c>
      <c r="CD4124">
        <v>1</v>
      </c>
      <c r="CE4124">
        <v>0</v>
      </c>
      <c r="CF4124">
        <v>0</v>
      </c>
      <c r="CG4124">
        <v>1</v>
      </c>
      <c r="CH4124">
        <v>0</v>
      </c>
      <c r="CI4124">
        <v>0</v>
      </c>
      <c r="CJ4124">
        <v>0</v>
      </c>
      <c r="CK4124">
        <v>2</v>
      </c>
      <c r="CL4124">
        <v>0</v>
      </c>
      <c r="CM4124">
        <v>2</v>
      </c>
      <c r="CN4124">
        <v>0</v>
      </c>
      <c r="CO4124">
        <v>2</v>
      </c>
      <c r="CP4124" t="s">
        <v>119</v>
      </c>
      <c r="CQ4124">
        <v>179</v>
      </c>
      <c r="CR4124">
        <v>2</v>
      </c>
      <c r="CW4124">
        <v>12618290</v>
      </c>
      <c r="CY4124">
        <v>0</v>
      </c>
      <c r="CZ4124">
        <v>0</v>
      </c>
      <c r="DA4124">
        <v>1</v>
      </c>
      <c r="DB4124">
        <v>0</v>
      </c>
      <c r="DC4124">
        <v>0</v>
      </c>
      <c r="DD4124">
        <v>0</v>
      </c>
      <c r="DE4124">
        <v>0</v>
      </c>
      <c r="DF4124">
        <v>0</v>
      </c>
      <c r="DG4124">
        <v>0</v>
      </c>
      <c r="DH4124">
        <v>0</v>
      </c>
      <c r="DI4124">
        <v>0</v>
      </c>
    </row>
    <row r="4125" spans="1:113" x14ac:dyDescent="0.3">
      <c r="A4125" t="str">
        <f>"02/08/2021 20:37:13.352"</f>
        <v>02/08/2021 20:37:13.352</v>
      </c>
      <c r="C4125" t="str">
        <f t="shared" si="203"/>
        <v>FFDFD7C0</v>
      </c>
      <c r="D4125" t="s">
        <v>124</v>
      </c>
      <c r="E4125">
        <v>13</v>
      </c>
      <c r="F4125">
        <v>1013</v>
      </c>
      <c r="G4125" t="s">
        <v>114</v>
      </c>
      <c r="J4125" t="s">
        <v>125</v>
      </c>
      <c r="K4125">
        <v>0</v>
      </c>
      <c r="L4125">
        <v>3</v>
      </c>
      <c r="M4125">
        <v>0</v>
      </c>
      <c r="N4125">
        <v>2</v>
      </c>
      <c r="O4125">
        <v>1</v>
      </c>
      <c r="P4125">
        <v>0</v>
      </c>
      <c r="Q4125">
        <v>0</v>
      </c>
      <c r="S4125" t="str">
        <f>"20:37:15.695"</f>
        <v>20:37:15.695</v>
      </c>
      <c r="T4125" t="str">
        <f>"20:37:15.295"</f>
        <v>20:37:15.295</v>
      </c>
      <c r="U4125" t="str">
        <f t="shared" si="205"/>
        <v>AB01F4</v>
      </c>
      <c r="V4125">
        <v>0</v>
      </c>
      <c r="W4125">
        <v>0</v>
      </c>
      <c r="X4125">
        <v>2</v>
      </c>
      <c r="Z4125">
        <v>0</v>
      </c>
      <c r="AA4125">
        <v>9</v>
      </c>
      <c r="AB4125">
        <v>3</v>
      </c>
      <c r="AC4125">
        <v>0</v>
      </c>
      <c r="AD4125">
        <v>10</v>
      </c>
      <c r="AE4125">
        <v>0</v>
      </c>
      <c r="AF4125">
        <v>3</v>
      </c>
      <c r="AG4125">
        <v>2</v>
      </c>
      <c r="AH4125">
        <v>0</v>
      </c>
      <c r="AI4125" t="s">
        <v>2311</v>
      </c>
      <c r="AJ4125">
        <v>40.152647000000002</v>
      </c>
      <c r="AK4125" t="s">
        <v>2312</v>
      </c>
      <c r="AL4125">
        <v>-93.129043999999993</v>
      </c>
      <c r="AM4125">
        <v>100</v>
      </c>
      <c r="AN4125">
        <v>1300</v>
      </c>
      <c r="AO4125" t="s">
        <v>118</v>
      </c>
      <c r="AP4125">
        <v>-113</v>
      </c>
      <c r="AQ4125">
        <v>61</v>
      </c>
      <c r="AR4125">
        <v>0</v>
      </c>
      <c r="AZ4125">
        <v>1200</v>
      </c>
      <c r="BA4125">
        <v>1</v>
      </c>
      <c r="BB4125" t="str">
        <f t="shared" si="204"/>
        <v xml:space="preserve">N8080G  </v>
      </c>
      <c r="BC4125">
        <v>1</v>
      </c>
      <c r="BE4125">
        <v>0</v>
      </c>
      <c r="BF4125">
        <v>0</v>
      </c>
      <c r="BG4125">
        <v>0</v>
      </c>
      <c r="BH4125">
        <v>1350</v>
      </c>
      <c r="BI4125">
        <v>1</v>
      </c>
      <c r="BJ4125">
        <v>1</v>
      </c>
      <c r="BK4125">
        <v>1</v>
      </c>
      <c r="BL4125">
        <v>0</v>
      </c>
      <c r="BO4125">
        <v>0</v>
      </c>
      <c r="BP4125">
        <v>0</v>
      </c>
      <c r="BW4125" t="str">
        <f>"20:37:15.702"</f>
        <v>20:37:15.702</v>
      </c>
      <c r="BZ4125">
        <v>0</v>
      </c>
      <c r="CA4125">
        <v>1600</v>
      </c>
      <c r="CB4125">
        <v>224</v>
      </c>
      <c r="CD4125">
        <v>1</v>
      </c>
      <c r="CE4125">
        <v>0</v>
      </c>
      <c r="CF4125">
        <v>0</v>
      </c>
      <c r="CG4125">
        <v>1</v>
      </c>
      <c r="CH4125">
        <v>0</v>
      </c>
      <c r="CI4125">
        <v>0</v>
      </c>
      <c r="CJ4125">
        <v>0</v>
      </c>
      <c r="CK4125">
        <v>2</v>
      </c>
      <c r="CL4125">
        <v>0</v>
      </c>
      <c r="CM4125">
        <v>2</v>
      </c>
      <c r="CN4125">
        <v>0</v>
      </c>
      <c r="CO4125">
        <v>2</v>
      </c>
      <c r="CP4125" t="s">
        <v>119</v>
      </c>
      <c r="CQ4125">
        <v>179</v>
      </c>
      <c r="CR4125">
        <v>2</v>
      </c>
      <c r="CW4125">
        <v>12618290</v>
      </c>
      <c r="CY4125">
        <v>0</v>
      </c>
      <c r="CZ4125">
        <v>0</v>
      </c>
      <c r="DA4125">
        <v>1</v>
      </c>
      <c r="DB4125">
        <v>0</v>
      </c>
      <c r="DC4125">
        <v>0</v>
      </c>
      <c r="DD4125">
        <v>0</v>
      </c>
      <c r="DE4125">
        <v>0</v>
      </c>
      <c r="DF4125">
        <v>0</v>
      </c>
      <c r="DG4125">
        <v>0</v>
      </c>
      <c r="DH4125">
        <v>0</v>
      </c>
      <c r="DI4125">
        <v>0</v>
      </c>
    </row>
    <row r="4126" spans="1:113" x14ac:dyDescent="0.3">
      <c r="A4126" t="str">
        <f>"02/08/2021 20:37:13.352"</f>
        <v>02/08/2021 20:37:13.352</v>
      </c>
      <c r="C4126" t="str">
        <f t="shared" si="203"/>
        <v>FFDFD7C0</v>
      </c>
      <c r="D4126" t="s">
        <v>124</v>
      </c>
      <c r="E4126">
        <v>11</v>
      </c>
      <c r="F4126">
        <v>1011</v>
      </c>
      <c r="G4126" t="s">
        <v>590</v>
      </c>
      <c r="J4126" t="s">
        <v>125</v>
      </c>
      <c r="K4126">
        <v>0</v>
      </c>
      <c r="L4126">
        <v>3</v>
      </c>
      <c r="M4126">
        <v>0</v>
      </c>
      <c r="N4126">
        <v>2</v>
      </c>
      <c r="O4126">
        <v>1</v>
      </c>
      <c r="P4126">
        <v>0</v>
      </c>
      <c r="Q4126">
        <v>0</v>
      </c>
      <c r="S4126" t="str">
        <f>"20:37:15.695"</f>
        <v>20:37:15.695</v>
      </c>
      <c r="T4126" t="str">
        <f>"20:37:15.295"</f>
        <v>20:37:15.295</v>
      </c>
      <c r="U4126" t="str">
        <f t="shared" si="205"/>
        <v>AB01F4</v>
      </c>
      <c r="V4126">
        <v>0</v>
      </c>
      <c r="W4126">
        <v>0</v>
      </c>
      <c r="X4126">
        <v>2</v>
      </c>
      <c r="Z4126">
        <v>0</v>
      </c>
      <c r="AA4126">
        <v>9</v>
      </c>
      <c r="AB4126">
        <v>3</v>
      </c>
      <c r="AC4126">
        <v>0</v>
      </c>
      <c r="AD4126">
        <v>10</v>
      </c>
      <c r="AE4126">
        <v>0</v>
      </c>
      <c r="AF4126">
        <v>3</v>
      </c>
      <c r="AG4126">
        <v>2</v>
      </c>
      <c r="AH4126">
        <v>0</v>
      </c>
      <c r="AI4126" t="s">
        <v>2311</v>
      </c>
      <c r="AJ4126">
        <v>40.152647000000002</v>
      </c>
      <c r="AK4126" t="s">
        <v>2312</v>
      </c>
      <c r="AL4126">
        <v>-93.129043999999993</v>
      </c>
      <c r="AM4126">
        <v>100</v>
      </c>
      <c r="AN4126">
        <v>1300</v>
      </c>
      <c r="AO4126" t="s">
        <v>118</v>
      </c>
      <c r="AP4126">
        <v>-113</v>
      </c>
      <c r="AQ4126">
        <v>61</v>
      </c>
      <c r="AR4126">
        <v>0</v>
      </c>
      <c r="AZ4126">
        <v>1200</v>
      </c>
      <c r="BA4126">
        <v>1</v>
      </c>
      <c r="BB4126" t="str">
        <f t="shared" si="204"/>
        <v xml:space="preserve">N8080G  </v>
      </c>
      <c r="BC4126">
        <v>1</v>
      </c>
      <c r="BE4126">
        <v>0</v>
      </c>
      <c r="BF4126">
        <v>0</v>
      </c>
      <c r="BG4126">
        <v>0</v>
      </c>
      <c r="BH4126">
        <v>1350</v>
      </c>
      <c r="BI4126">
        <v>1</v>
      </c>
      <c r="BJ4126">
        <v>1</v>
      </c>
      <c r="BK4126">
        <v>1</v>
      </c>
      <c r="BL4126">
        <v>0</v>
      </c>
      <c r="BO4126">
        <v>0</v>
      </c>
      <c r="BP4126">
        <v>0</v>
      </c>
      <c r="BW4126" t="str">
        <f>"20:37:15.702"</f>
        <v>20:37:15.702</v>
      </c>
      <c r="BZ4126">
        <v>0</v>
      </c>
      <c r="CA4126">
        <v>1600</v>
      </c>
      <c r="CB4126">
        <v>224</v>
      </c>
      <c r="CD4126">
        <v>1</v>
      </c>
      <c r="CE4126">
        <v>0</v>
      </c>
      <c r="CF4126">
        <v>0</v>
      </c>
      <c r="CG4126">
        <v>1</v>
      </c>
      <c r="CH4126">
        <v>0</v>
      </c>
      <c r="CI4126">
        <v>0</v>
      </c>
      <c r="CJ4126">
        <v>0</v>
      </c>
      <c r="CK4126">
        <v>2</v>
      </c>
      <c r="CL4126">
        <v>0</v>
      </c>
      <c r="CM4126">
        <v>2</v>
      </c>
      <c r="CN4126">
        <v>0</v>
      </c>
      <c r="CO4126">
        <v>2</v>
      </c>
      <c r="CP4126" t="s">
        <v>119</v>
      </c>
      <c r="CQ4126">
        <v>179</v>
      </c>
      <c r="CR4126">
        <v>2</v>
      </c>
      <c r="CW4126">
        <v>12618290</v>
      </c>
      <c r="CY4126">
        <v>0</v>
      </c>
      <c r="CZ4126">
        <v>0</v>
      </c>
      <c r="DA4126">
        <v>1</v>
      </c>
      <c r="DB4126">
        <v>0</v>
      </c>
      <c r="DC4126">
        <v>0</v>
      </c>
      <c r="DD4126">
        <v>0</v>
      </c>
      <c r="DE4126">
        <v>0</v>
      </c>
      <c r="DF4126">
        <v>0</v>
      </c>
      <c r="DG4126">
        <v>0</v>
      </c>
      <c r="DH4126">
        <v>0</v>
      </c>
      <c r="DI4126">
        <v>0</v>
      </c>
    </row>
    <row r="4127" spans="1:113" x14ac:dyDescent="0.3">
      <c r="A4127" t="str">
        <f>"02/08/2021 20:37:14.395"</f>
        <v>02/08/2021 20:37:14.395</v>
      </c>
      <c r="C4127" t="str">
        <f t="shared" si="203"/>
        <v>FFDFD7C0</v>
      </c>
      <c r="D4127" t="s">
        <v>124</v>
      </c>
      <c r="E4127">
        <v>11</v>
      </c>
      <c r="F4127">
        <v>1011</v>
      </c>
      <c r="G4127" t="s">
        <v>590</v>
      </c>
      <c r="J4127" t="s">
        <v>125</v>
      </c>
      <c r="K4127">
        <v>0</v>
      </c>
      <c r="L4127">
        <v>3</v>
      </c>
      <c r="M4127">
        <v>0</v>
      </c>
      <c r="N4127">
        <v>2</v>
      </c>
      <c r="O4127">
        <v>1</v>
      </c>
      <c r="P4127">
        <v>0</v>
      </c>
      <c r="Q4127">
        <v>0</v>
      </c>
      <c r="S4127" t="str">
        <f>"20:37:16.703"</f>
        <v>20:37:16.703</v>
      </c>
      <c r="T4127" t="str">
        <f>"20:37:16.203"</f>
        <v>20:37:16.203</v>
      </c>
      <c r="U4127" t="str">
        <f t="shared" si="205"/>
        <v>AB01F4</v>
      </c>
      <c r="V4127">
        <v>0</v>
      </c>
      <c r="W4127">
        <v>0</v>
      </c>
      <c r="X4127">
        <v>2</v>
      </c>
      <c r="Z4127">
        <v>0</v>
      </c>
      <c r="AA4127">
        <v>9</v>
      </c>
      <c r="AB4127">
        <v>3</v>
      </c>
      <c r="AC4127">
        <v>0</v>
      </c>
      <c r="AD4127">
        <v>10</v>
      </c>
      <c r="AE4127">
        <v>0</v>
      </c>
      <c r="AF4127">
        <v>3</v>
      </c>
      <c r="AG4127">
        <v>2</v>
      </c>
      <c r="AH4127">
        <v>0</v>
      </c>
      <c r="AI4127" t="s">
        <v>2313</v>
      </c>
      <c r="AJ4127">
        <v>40.152926000000001</v>
      </c>
      <c r="AK4127" t="s">
        <v>2314</v>
      </c>
      <c r="AL4127">
        <v>-93.129666</v>
      </c>
      <c r="AM4127">
        <v>100</v>
      </c>
      <c r="AN4127">
        <v>1300</v>
      </c>
      <c r="AO4127" t="s">
        <v>118</v>
      </c>
      <c r="AP4127">
        <v>-113</v>
      </c>
      <c r="AQ4127">
        <v>61</v>
      </c>
      <c r="AR4127">
        <v>64</v>
      </c>
      <c r="AZ4127">
        <v>1200</v>
      </c>
      <c r="BA4127">
        <v>1</v>
      </c>
      <c r="BB4127" t="str">
        <f t="shared" si="204"/>
        <v xml:space="preserve">N8080G  </v>
      </c>
      <c r="BC4127">
        <v>1</v>
      </c>
      <c r="BE4127">
        <v>0</v>
      </c>
      <c r="BF4127">
        <v>0</v>
      </c>
      <c r="BG4127">
        <v>0</v>
      </c>
      <c r="BH4127">
        <v>1350</v>
      </c>
      <c r="BI4127">
        <v>1</v>
      </c>
      <c r="BJ4127">
        <v>1</v>
      </c>
      <c r="BK4127">
        <v>1</v>
      </c>
      <c r="BL4127">
        <v>0</v>
      </c>
      <c r="BO4127">
        <v>0</v>
      </c>
      <c r="BP4127">
        <v>0</v>
      </c>
      <c r="BW4127" t="str">
        <f>"20:37:16.708"</f>
        <v>20:37:16.708</v>
      </c>
      <c r="BZ4127">
        <v>0</v>
      </c>
      <c r="CA4127">
        <v>1600</v>
      </c>
      <c r="CB4127">
        <v>224</v>
      </c>
      <c r="CD4127">
        <v>1</v>
      </c>
      <c r="CE4127">
        <v>0</v>
      </c>
      <c r="CF4127">
        <v>0</v>
      </c>
      <c r="CG4127">
        <v>1</v>
      </c>
      <c r="CH4127">
        <v>0</v>
      </c>
      <c r="CI4127">
        <v>0</v>
      </c>
      <c r="CJ4127">
        <v>0</v>
      </c>
      <c r="CK4127">
        <v>2</v>
      </c>
      <c r="CL4127">
        <v>0</v>
      </c>
      <c r="CM4127">
        <v>2</v>
      </c>
      <c r="CN4127">
        <v>0</v>
      </c>
      <c r="CO4127">
        <v>2</v>
      </c>
      <c r="CP4127" t="s">
        <v>119</v>
      </c>
      <c r="CQ4127">
        <v>179</v>
      </c>
      <c r="CR4127">
        <v>2</v>
      </c>
      <c r="CW4127">
        <v>12619092</v>
      </c>
      <c r="CY4127">
        <v>0</v>
      </c>
      <c r="CZ4127">
        <v>0</v>
      </c>
      <c r="DA4127">
        <v>0</v>
      </c>
      <c r="DB4127">
        <v>0</v>
      </c>
      <c r="DC4127">
        <v>0</v>
      </c>
      <c r="DD4127">
        <v>0</v>
      </c>
      <c r="DE4127">
        <v>0</v>
      </c>
      <c r="DF4127">
        <v>0</v>
      </c>
      <c r="DG4127">
        <v>0</v>
      </c>
      <c r="DH4127">
        <v>0</v>
      </c>
      <c r="DI4127">
        <v>0</v>
      </c>
    </row>
    <row r="4128" spans="1:113" x14ac:dyDescent="0.3">
      <c r="A4128" t="str">
        <f>"02/08/2021 20:37:14.395"</f>
        <v>02/08/2021 20:37:14.395</v>
      </c>
      <c r="C4128" t="str">
        <f t="shared" si="203"/>
        <v>FFDFD7C0</v>
      </c>
      <c r="D4128" t="s">
        <v>124</v>
      </c>
      <c r="E4128">
        <v>12</v>
      </c>
      <c r="F4128">
        <v>1012</v>
      </c>
      <c r="G4128" t="s">
        <v>675</v>
      </c>
      <c r="J4128" t="s">
        <v>125</v>
      </c>
      <c r="K4128">
        <v>0</v>
      </c>
      <c r="L4128">
        <v>3</v>
      </c>
      <c r="M4128">
        <v>0</v>
      </c>
      <c r="N4128">
        <v>2</v>
      </c>
      <c r="O4128">
        <v>1</v>
      </c>
      <c r="P4128">
        <v>0</v>
      </c>
      <c r="Q4128">
        <v>0</v>
      </c>
      <c r="S4128" t="str">
        <f>"20:37:16.703"</f>
        <v>20:37:16.703</v>
      </c>
      <c r="T4128" t="str">
        <f>"20:37:16.203"</f>
        <v>20:37:16.203</v>
      </c>
      <c r="U4128" t="str">
        <f t="shared" si="205"/>
        <v>AB01F4</v>
      </c>
      <c r="V4128">
        <v>0</v>
      </c>
      <c r="W4128">
        <v>0</v>
      </c>
      <c r="X4128">
        <v>2</v>
      </c>
      <c r="Z4128">
        <v>0</v>
      </c>
      <c r="AA4128">
        <v>9</v>
      </c>
      <c r="AB4128">
        <v>3</v>
      </c>
      <c r="AC4128">
        <v>0</v>
      </c>
      <c r="AD4128">
        <v>10</v>
      </c>
      <c r="AE4128">
        <v>0</v>
      </c>
      <c r="AF4128">
        <v>3</v>
      </c>
      <c r="AG4128">
        <v>2</v>
      </c>
      <c r="AH4128">
        <v>0</v>
      </c>
      <c r="AI4128" t="s">
        <v>2313</v>
      </c>
      <c r="AJ4128">
        <v>40.152926000000001</v>
      </c>
      <c r="AK4128" t="s">
        <v>2314</v>
      </c>
      <c r="AL4128">
        <v>-93.129666</v>
      </c>
      <c r="AM4128">
        <v>100</v>
      </c>
      <c r="AN4128">
        <v>1300</v>
      </c>
      <c r="AO4128" t="s">
        <v>118</v>
      </c>
      <c r="AP4128">
        <v>-113</v>
      </c>
      <c r="AQ4128">
        <v>61</v>
      </c>
      <c r="AR4128">
        <v>64</v>
      </c>
      <c r="AZ4128">
        <v>1200</v>
      </c>
      <c r="BA4128">
        <v>1</v>
      </c>
      <c r="BB4128" t="str">
        <f t="shared" si="204"/>
        <v xml:space="preserve">N8080G  </v>
      </c>
      <c r="BC4128">
        <v>1</v>
      </c>
      <c r="BE4128">
        <v>0</v>
      </c>
      <c r="BF4128">
        <v>0</v>
      </c>
      <c r="BG4128">
        <v>0</v>
      </c>
      <c r="BH4128">
        <v>1350</v>
      </c>
      <c r="BI4128">
        <v>1</v>
      </c>
      <c r="BJ4128">
        <v>1</v>
      </c>
      <c r="BK4128">
        <v>1</v>
      </c>
      <c r="BL4128">
        <v>0</v>
      </c>
      <c r="BO4128">
        <v>0</v>
      </c>
      <c r="BP4128">
        <v>0</v>
      </c>
      <c r="BW4128" t="str">
        <f>"20:37:16.708"</f>
        <v>20:37:16.708</v>
      </c>
      <c r="BZ4128">
        <v>0</v>
      </c>
      <c r="CA4128">
        <v>1600</v>
      </c>
      <c r="CB4128">
        <v>224</v>
      </c>
      <c r="CD4128">
        <v>1</v>
      </c>
      <c r="CE4128">
        <v>0</v>
      </c>
      <c r="CF4128">
        <v>0</v>
      </c>
      <c r="CG4128">
        <v>1</v>
      </c>
      <c r="CH4128">
        <v>0</v>
      </c>
      <c r="CI4128">
        <v>0</v>
      </c>
      <c r="CJ4128">
        <v>0</v>
      </c>
      <c r="CK4128">
        <v>2</v>
      </c>
      <c r="CL4128">
        <v>0</v>
      </c>
      <c r="CM4128">
        <v>2</v>
      </c>
      <c r="CN4128">
        <v>0</v>
      </c>
      <c r="CO4128">
        <v>2</v>
      </c>
      <c r="CP4128" t="s">
        <v>119</v>
      </c>
      <c r="CQ4128">
        <v>179</v>
      </c>
      <c r="CR4128">
        <v>2</v>
      </c>
      <c r="CW4128">
        <v>12619092</v>
      </c>
      <c r="CY4128">
        <v>0</v>
      </c>
      <c r="CZ4128">
        <v>0</v>
      </c>
      <c r="DA4128">
        <v>1</v>
      </c>
      <c r="DB4128">
        <v>0</v>
      </c>
      <c r="DC4128">
        <v>0</v>
      </c>
      <c r="DD4128">
        <v>0</v>
      </c>
      <c r="DE4128">
        <v>0</v>
      </c>
      <c r="DF4128">
        <v>0</v>
      </c>
      <c r="DG4128">
        <v>0</v>
      </c>
      <c r="DH4128">
        <v>0</v>
      </c>
      <c r="DI4128">
        <v>0</v>
      </c>
    </row>
    <row r="4129" spans="1:113" x14ac:dyDescent="0.3">
      <c r="A4129" t="str">
        <f>"02/08/2021 20:37:14.395"</f>
        <v>02/08/2021 20:37:14.395</v>
      </c>
      <c r="C4129" t="str">
        <f t="shared" si="203"/>
        <v>FFDFD7C0</v>
      </c>
      <c r="D4129" t="s">
        <v>113</v>
      </c>
      <c r="E4129">
        <v>6</v>
      </c>
      <c r="H4129">
        <v>165</v>
      </c>
      <c r="I4129" t="s">
        <v>114</v>
      </c>
      <c r="J4129" t="s">
        <v>115</v>
      </c>
      <c r="K4129">
        <v>0</v>
      </c>
      <c r="L4129">
        <v>3</v>
      </c>
      <c r="M4129">
        <v>0</v>
      </c>
      <c r="N4129">
        <v>2</v>
      </c>
      <c r="O4129">
        <v>1</v>
      </c>
      <c r="P4129">
        <v>0</v>
      </c>
      <c r="Q4129">
        <v>0</v>
      </c>
      <c r="S4129" t="str">
        <f>"20:37:16.703"</f>
        <v>20:37:16.703</v>
      </c>
      <c r="T4129" t="str">
        <f>"20:37:16.203"</f>
        <v>20:37:16.203</v>
      </c>
      <c r="U4129" t="str">
        <f t="shared" si="205"/>
        <v>AB01F4</v>
      </c>
      <c r="V4129">
        <v>0</v>
      </c>
      <c r="W4129">
        <v>0</v>
      </c>
      <c r="X4129">
        <v>2</v>
      </c>
      <c r="Z4129">
        <v>0</v>
      </c>
      <c r="AA4129">
        <v>9</v>
      </c>
      <c r="AB4129">
        <v>3</v>
      </c>
      <c r="AC4129">
        <v>0</v>
      </c>
      <c r="AD4129">
        <v>10</v>
      </c>
      <c r="AE4129">
        <v>0</v>
      </c>
      <c r="AF4129">
        <v>3</v>
      </c>
      <c r="AG4129">
        <v>2</v>
      </c>
      <c r="AH4129">
        <v>0</v>
      </c>
      <c r="AI4129" t="s">
        <v>2313</v>
      </c>
      <c r="AJ4129">
        <v>40.152926000000001</v>
      </c>
      <c r="AK4129" t="s">
        <v>2314</v>
      </c>
      <c r="AL4129">
        <v>-93.129666</v>
      </c>
      <c r="AM4129">
        <v>100</v>
      </c>
      <c r="AN4129">
        <v>1300</v>
      </c>
      <c r="AO4129" t="s">
        <v>118</v>
      </c>
      <c r="AP4129">
        <v>-113</v>
      </c>
      <c r="AQ4129">
        <v>61</v>
      </c>
      <c r="AR4129">
        <v>64</v>
      </c>
      <c r="AZ4129">
        <v>1200</v>
      </c>
      <c r="BA4129">
        <v>1</v>
      </c>
      <c r="BB4129" t="str">
        <f t="shared" si="204"/>
        <v xml:space="preserve">N8080G  </v>
      </c>
      <c r="BC4129">
        <v>1</v>
      </c>
      <c r="BE4129">
        <v>0</v>
      </c>
      <c r="BF4129">
        <v>0</v>
      </c>
      <c r="BG4129">
        <v>0</v>
      </c>
      <c r="BH4129">
        <v>1350</v>
      </c>
      <c r="BI4129">
        <v>1</v>
      </c>
      <c r="BJ4129">
        <v>1</v>
      </c>
      <c r="BK4129">
        <v>1</v>
      </c>
      <c r="BL4129">
        <v>0</v>
      </c>
      <c r="BO4129">
        <v>0</v>
      </c>
      <c r="BP4129">
        <v>0</v>
      </c>
      <c r="BW4129" t="str">
        <f>"20:37:16.708"</f>
        <v>20:37:16.708</v>
      </c>
      <c r="BZ4129">
        <v>0</v>
      </c>
      <c r="CA4129">
        <v>1600</v>
      </c>
      <c r="CB4129">
        <v>224</v>
      </c>
      <c r="CD4129">
        <v>1</v>
      </c>
      <c r="CE4129">
        <v>0</v>
      </c>
      <c r="CF4129">
        <v>0</v>
      </c>
      <c r="CG4129">
        <v>1</v>
      </c>
      <c r="CH4129">
        <v>0</v>
      </c>
      <c r="CI4129">
        <v>0</v>
      </c>
      <c r="CJ4129">
        <v>0</v>
      </c>
      <c r="CK4129">
        <v>2</v>
      </c>
      <c r="CL4129">
        <v>0</v>
      </c>
      <c r="CM4129">
        <v>2</v>
      </c>
      <c r="CN4129">
        <v>0</v>
      </c>
      <c r="CO4129">
        <v>2</v>
      </c>
      <c r="CP4129" t="s">
        <v>119</v>
      </c>
      <c r="CQ4129">
        <v>179</v>
      </c>
      <c r="CR4129">
        <v>2</v>
      </c>
      <c r="CW4129">
        <v>12619092</v>
      </c>
      <c r="CY4129">
        <v>0</v>
      </c>
      <c r="CZ4129">
        <v>0</v>
      </c>
      <c r="DA4129">
        <v>1</v>
      </c>
      <c r="DB4129">
        <v>0</v>
      </c>
      <c r="DC4129">
        <v>0</v>
      </c>
      <c r="DD4129">
        <v>0</v>
      </c>
      <c r="DE4129">
        <v>0</v>
      </c>
      <c r="DF4129">
        <v>0</v>
      </c>
      <c r="DG4129">
        <v>0</v>
      </c>
      <c r="DH4129">
        <v>0</v>
      </c>
      <c r="DI4129">
        <v>0</v>
      </c>
    </row>
    <row r="4130" spans="1:113" x14ac:dyDescent="0.3">
      <c r="A4130" t="str">
        <f>"02/08/2021 20:37:14.395"</f>
        <v>02/08/2021 20:37:14.395</v>
      </c>
      <c r="C4130" t="str">
        <f t="shared" si="203"/>
        <v>FFDFD7C0</v>
      </c>
      <c r="D4130" t="s">
        <v>124</v>
      </c>
      <c r="E4130">
        <v>13</v>
      </c>
      <c r="F4130">
        <v>1013</v>
      </c>
      <c r="G4130" t="s">
        <v>114</v>
      </c>
      <c r="J4130" t="s">
        <v>125</v>
      </c>
      <c r="K4130">
        <v>0</v>
      </c>
      <c r="L4130">
        <v>3</v>
      </c>
      <c r="M4130">
        <v>0</v>
      </c>
      <c r="N4130">
        <v>2</v>
      </c>
      <c r="O4130">
        <v>1</v>
      </c>
      <c r="P4130">
        <v>0</v>
      </c>
      <c r="Q4130">
        <v>0</v>
      </c>
      <c r="S4130" t="str">
        <f>"20:37:16.703"</f>
        <v>20:37:16.703</v>
      </c>
      <c r="T4130" t="str">
        <f>"20:37:16.203"</f>
        <v>20:37:16.203</v>
      </c>
      <c r="U4130" t="str">
        <f t="shared" si="205"/>
        <v>AB01F4</v>
      </c>
      <c r="V4130">
        <v>0</v>
      </c>
      <c r="W4130">
        <v>0</v>
      </c>
      <c r="X4130">
        <v>2</v>
      </c>
      <c r="Z4130">
        <v>0</v>
      </c>
      <c r="AA4130">
        <v>9</v>
      </c>
      <c r="AB4130">
        <v>3</v>
      </c>
      <c r="AC4130">
        <v>0</v>
      </c>
      <c r="AD4130">
        <v>10</v>
      </c>
      <c r="AE4130">
        <v>0</v>
      </c>
      <c r="AF4130">
        <v>3</v>
      </c>
      <c r="AG4130">
        <v>2</v>
      </c>
      <c r="AH4130">
        <v>0</v>
      </c>
      <c r="AI4130" t="s">
        <v>2313</v>
      </c>
      <c r="AJ4130">
        <v>40.152926000000001</v>
      </c>
      <c r="AK4130" t="s">
        <v>2314</v>
      </c>
      <c r="AL4130">
        <v>-93.129666</v>
      </c>
      <c r="AM4130">
        <v>100</v>
      </c>
      <c r="AN4130">
        <v>1300</v>
      </c>
      <c r="AO4130" t="s">
        <v>118</v>
      </c>
      <c r="AP4130">
        <v>-113</v>
      </c>
      <c r="AQ4130">
        <v>61</v>
      </c>
      <c r="AR4130">
        <v>64</v>
      </c>
      <c r="AZ4130">
        <v>1200</v>
      </c>
      <c r="BA4130">
        <v>1</v>
      </c>
      <c r="BB4130" t="str">
        <f t="shared" si="204"/>
        <v xml:space="preserve">N8080G  </v>
      </c>
      <c r="BC4130">
        <v>1</v>
      </c>
      <c r="BE4130">
        <v>0</v>
      </c>
      <c r="BF4130">
        <v>0</v>
      </c>
      <c r="BG4130">
        <v>0</v>
      </c>
      <c r="BH4130">
        <v>1350</v>
      </c>
      <c r="BI4130">
        <v>1</v>
      </c>
      <c r="BJ4130">
        <v>1</v>
      </c>
      <c r="BK4130">
        <v>1</v>
      </c>
      <c r="BL4130">
        <v>0</v>
      </c>
      <c r="BO4130">
        <v>0</v>
      </c>
      <c r="BP4130">
        <v>0</v>
      </c>
      <c r="BW4130" t="str">
        <f>"20:37:16.708"</f>
        <v>20:37:16.708</v>
      </c>
      <c r="BZ4130">
        <v>0</v>
      </c>
      <c r="CA4130">
        <v>1600</v>
      </c>
      <c r="CB4130">
        <v>224</v>
      </c>
      <c r="CD4130">
        <v>1</v>
      </c>
      <c r="CE4130">
        <v>0</v>
      </c>
      <c r="CF4130">
        <v>0</v>
      </c>
      <c r="CG4130">
        <v>1</v>
      </c>
      <c r="CH4130">
        <v>0</v>
      </c>
      <c r="CI4130">
        <v>0</v>
      </c>
      <c r="CJ4130">
        <v>0</v>
      </c>
      <c r="CK4130">
        <v>2</v>
      </c>
      <c r="CL4130">
        <v>0</v>
      </c>
      <c r="CM4130">
        <v>2</v>
      </c>
      <c r="CN4130">
        <v>0</v>
      </c>
      <c r="CO4130">
        <v>2</v>
      </c>
      <c r="CP4130" t="s">
        <v>119</v>
      </c>
      <c r="CQ4130">
        <v>179</v>
      </c>
      <c r="CR4130">
        <v>2</v>
      </c>
      <c r="CW4130">
        <v>12619092</v>
      </c>
      <c r="CY4130">
        <v>0</v>
      </c>
      <c r="CZ4130">
        <v>0</v>
      </c>
      <c r="DA4130">
        <v>1</v>
      </c>
      <c r="DB4130">
        <v>0</v>
      </c>
      <c r="DC4130">
        <v>0</v>
      </c>
      <c r="DD4130">
        <v>0</v>
      </c>
      <c r="DE4130">
        <v>0</v>
      </c>
      <c r="DF4130">
        <v>0</v>
      </c>
      <c r="DG4130">
        <v>0</v>
      </c>
      <c r="DH4130">
        <v>0</v>
      </c>
      <c r="DI4130">
        <v>0</v>
      </c>
    </row>
    <row r="4131" spans="1:113" x14ac:dyDescent="0.3">
      <c r="A4131" t="str">
        <f>"02/08/2021 20:37:15.297"</f>
        <v>02/08/2021 20:37:15.297</v>
      </c>
      <c r="C4131" t="str">
        <f t="shared" si="203"/>
        <v>FFDFD7C0</v>
      </c>
      <c r="D4131" t="s">
        <v>124</v>
      </c>
      <c r="E4131">
        <v>13</v>
      </c>
      <c r="F4131">
        <v>1013</v>
      </c>
      <c r="G4131" t="s">
        <v>114</v>
      </c>
      <c r="J4131" t="s">
        <v>125</v>
      </c>
      <c r="K4131">
        <v>0</v>
      </c>
      <c r="L4131">
        <v>3</v>
      </c>
      <c r="M4131">
        <v>0</v>
      </c>
      <c r="N4131">
        <v>2</v>
      </c>
      <c r="O4131">
        <v>1</v>
      </c>
      <c r="P4131">
        <v>0</v>
      </c>
      <c r="Q4131">
        <v>0</v>
      </c>
      <c r="S4131" t="str">
        <f>"20:37:17.633"</f>
        <v>20:37:17.633</v>
      </c>
      <c r="T4131" t="str">
        <f>"20:37:17.233"</f>
        <v>20:37:17.233</v>
      </c>
      <c r="U4131" t="str">
        <f t="shared" si="205"/>
        <v>AB01F4</v>
      </c>
      <c r="V4131">
        <v>0</v>
      </c>
      <c r="W4131">
        <v>0</v>
      </c>
      <c r="X4131">
        <v>2</v>
      </c>
      <c r="Z4131">
        <v>0</v>
      </c>
      <c r="AA4131">
        <v>9</v>
      </c>
      <c r="AB4131">
        <v>3</v>
      </c>
      <c r="AC4131">
        <v>0</v>
      </c>
      <c r="AD4131">
        <v>10</v>
      </c>
      <c r="AE4131">
        <v>0</v>
      </c>
      <c r="AF4131">
        <v>3</v>
      </c>
      <c r="AG4131">
        <v>2</v>
      </c>
      <c r="AH4131">
        <v>0</v>
      </c>
      <c r="AI4131" t="s">
        <v>2315</v>
      </c>
      <c r="AJ4131">
        <v>40.153205</v>
      </c>
      <c r="AK4131" t="s">
        <v>2316</v>
      </c>
      <c r="AL4131">
        <v>-93.130352000000002</v>
      </c>
      <c r="AM4131">
        <v>100</v>
      </c>
      <c r="AN4131">
        <v>1300</v>
      </c>
      <c r="AO4131" t="s">
        <v>118</v>
      </c>
      <c r="AP4131">
        <v>-113</v>
      </c>
      <c r="AQ4131">
        <v>60</v>
      </c>
      <c r="AR4131">
        <v>64</v>
      </c>
      <c r="AZ4131">
        <v>1200</v>
      </c>
      <c r="BA4131">
        <v>1</v>
      </c>
      <c r="BB4131" t="str">
        <f t="shared" si="204"/>
        <v xml:space="preserve">N8080G  </v>
      </c>
      <c r="BC4131">
        <v>1</v>
      </c>
      <c r="BE4131">
        <v>0</v>
      </c>
      <c r="BF4131">
        <v>0</v>
      </c>
      <c r="BG4131">
        <v>0</v>
      </c>
      <c r="BH4131">
        <v>1350</v>
      </c>
      <c r="BI4131">
        <v>1</v>
      </c>
      <c r="BJ4131">
        <v>1</v>
      </c>
      <c r="BK4131">
        <v>1</v>
      </c>
      <c r="BL4131">
        <v>0</v>
      </c>
      <c r="BO4131">
        <v>0</v>
      </c>
      <c r="BP4131">
        <v>0</v>
      </c>
      <c r="BW4131" t="str">
        <f>"20:37:17.637"</f>
        <v>20:37:17.637</v>
      </c>
      <c r="BZ4131">
        <v>0</v>
      </c>
      <c r="CA4131">
        <v>1600</v>
      </c>
      <c r="CB4131">
        <v>224</v>
      </c>
      <c r="CD4131">
        <v>1</v>
      </c>
      <c r="CE4131">
        <v>0</v>
      </c>
      <c r="CF4131">
        <v>0</v>
      </c>
      <c r="CG4131">
        <v>1</v>
      </c>
      <c r="CH4131">
        <v>0</v>
      </c>
      <c r="CI4131">
        <v>0</v>
      </c>
      <c r="CJ4131">
        <v>0</v>
      </c>
      <c r="CK4131">
        <v>2</v>
      </c>
      <c r="CL4131">
        <v>0</v>
      </c>
      <c r="CM4131">
        <v>2</v>
      </c>
      <c r="CN4131">
        <v>0</v>
      </c>
      <c r="CO4131">
        <v>5</v>
      </c>
      <c r="CP4131" t="s">
        <v>119</v>
      </c>
      <c r="CQ4131">
        <v>180</v>
      </c>
      <c r="CR4131">
        <v>3</v>
      </c>
      <c r="CW4131">
        <v>1348306</v>
      </c>
      <c r="CY4131">
        <v>0</v>
      </c>
      <c r="CZ4131">
        <v>0</v>
      </c>
      <c r="DA4131">
        <v>0</v>
      </c>
      <c r="DB4131">
        <v>0</v>
      </c>
      <c r="DC4131">
        <v>0</v>
      </c>
      <c r="DD4131">
        <v>0</v>
      </c>
      <c r="DE4131">
        <v>0</v>
      </c>
      <c r="DF4131">
        <v>0</v>
      </c>
      <c r="DG4131">
        <v>0</v>
      </c>
      <c r="DH4131">
        <v>0</v>
      </c>
      <c r="DI4131">
        <v>0</v>
      </c>
    </row>
    <row r="4132" spans="1:113" x14ac:dyDescent="0.3">
      <c r="A4132" t="str">
        <f>"02/08/2021 20:37:15.297"</f>
        <v>02/08/2021 20:37:15.297</v>
      </c>
      <c r="C4132" t="str">
        <f t="shared" si="203"/>
        <v>FFDFD7C0</v>
      </c>
      <c r="D4132" t="s">
        <v>124</v>
      </c>
      <c r="E4132">
        <v>11</v>
      </c>
      <c r="F4132">
        <v>1011</v>
      </c>
      <c r="G4132" t="s">
        <v>590</v>
      </c>
      <c r="J4132" t="s">
        <v>125</v>
      </c>
      <c r="K4132">
        <v>0</v>
      </c>
      <c r="L4132">
        <v>3</v>
      </c>
      <c r="M4132">
        <v>0</v>
      </c>
      <c r="N4132">
        <v>2</v>
      </c>
      <c r="O4132">
        <v>1</v>
      </c>
      <c r="P4132">
        <v>0</v>
      </c>
      <c r="Q4132">
        <v>0</v>
      </c>
      <c r="S4132" t="str">
        <f>"20:37:17.633"</f>
        <v>20:37:17.633</v>
      </c>
      <c r="T4132" t="str">
        <f>"20:37:17.233"</f>
        <v>20:37:17.233</v>
      </c>
      <c r="U4132" t="str">
        <f t="shared" si="205"/>
        <v>AB01F4</v>
      </c>
      <c r="V4132">
        <v>0</v>
      </c>
      <c r="W4132">
        <v>0</v>
      </c>
      <c r="X4132">
        <v>2</v>
      </c>
      <c r="Z4132">
        <v>0</v>
      </c>
      <c r="AA4132">
        <v>9</v>
      </c>
      <c r="AB4132">
        <v>3</v>
      </c>
      <c r="AC4132">
        <v>0</v>
      </c>
      <c r="AD4132">
        <v>10</v>
      </c>
      <c r="AE4132">
        <v>0</v>
      </c>
      <c r="AF4132">
        <v>3</v>
      </c>
      <c r="AG4132">
        <v>2</v>
      </c>
      <c r="AH4132">
        <v>0</v>
      </c>
      <c r="AI4132" t="s">
        <v>2315</v>
      </c>
      <c r="AJ4132">
        <v>40.153205</v>
      </c>
      <c r="AK4132" t="s">
        <v>2316</v>
      </c>
      <c r="AL4132">
        <v>-93.130352000000002</v>
      </c>
      <c r="AM4132">
        <v>100</v>
      </c>
      <c r="AN4132">
        <v>1300</v>
      </c>
      <c r="AO4132" t="s">
        <v>118</v>
      </c>
      <c r="AP4132">
        <v>-113</v>
      </c>
      <c r="AQ4132">
        <v>60</v>
      </c>
      <c r="AR4132">
        <v>64</v>
      </c>
      <c r="AZ4132">
        <v>1200</v>
      </c>
      <c r="BA4132">
        <v>1</v>
      </c>
      <c r="BB4132" t="str">
        <f t="shared" si="204"/>
        <v xml:space="preserve">N8080G  </v>
      </c>
      <c r="BC4132">
        <v>1</v>
      </c>
      <c r="BE4132">
        <v>0</v>
      </c>
      <c r="BF4132">
        <v>0</v>
      </c>
      <c r="BG4132">
        <v>0</v>
      </c>
      <c r="BH4132">
        <v>1350</v>
      </c>
      <c r="BI4132">
        <v>1</v>
      </c>
      <c r="BJ4132">
        <v>1</v>
      </c>
      <c r="BK4132">
        <v>1</v>
      </c>
      <c r="BL4132">
        <v>0</v>
      </c>
      <c r="BO4132">
        <v>0</v>
      </c>
      <c r="BP4132">
        <v>0</v>
      </c>
      <c r="BW4132" t="str">
        <f>"20:37:17.637"</f>
        <v>20:37:17.637</v>
      </c>
      <c r="BZ4132">
        <v>0</v>
      </c>
      <c r="CA4132">
        <v>1600</v>
      </c>
      <c r="CB4132">
        <v>224</v>
      </c>
      <c r="CD4132">
        <v>1</v>
      </c>
      <c r="CE4132">
        <v>0</v>
      </c>
      <c r="CF4132">
        <v>0</v>
      </c>
      <c r="CG4132">
        <v>1</v>
      </c>
      <c r="CH4132">
        <v>0</v>
      </c>
      <c r="CI4132">
        <v>0</v>
      </c>
      <c r="CJ4132">
        <v>0</v>
      </c>
      <c r="CK4132">
        <v>2</v>
      </c>
      <c r="CL4132">
        <v>0</v>
      </c>
      <c r="CM4132">
        <v>2</v>
      </c>
      <c r="CN4132">
        <v>0</v>
      </c>
      <c r="CO4132">
        <v>5</v>
      </c>
      <c r="CP4132" t="s">
        <v>119</v>
      </c>
      <c r="CQ4132">
        <v>180</v>
      </c>
      <c r="CR4132">
        <v>3</v>
      </c>
      <c r="CW4132">
        <v>1348306</v>
      </c>
      <c r="CY4132">
        <v>0</v>
      </c>
      <c r="CZ4132">
        <v>0</v>
      </c>
      <c r="DA4132">
        <v>1</v>
      </c>
      <c r="DB4132">
        <v>0</v>
      </c>
      <c r="DC4132">
        <v>0</v>
      </c>
      <c r="DD4132">
        <v>0</v>
      </c>
      <c r="DE4132">
        <v>0</v>
      </c>
      <c r="DF4132">
        <v>0</v>
      </c>
      <c r="DG4132">
        <v>0</v>
      </c>
      <c r="DH4132">
        <v>0</v>
      </c>
      <c r="DI4132">
        <v>0</v>
      </c>
    </row>
    <row r="4133" spans="1:113" x14ac:dyDescent="0.3">
      <c r="A4133" t="str">
        <f>"02/08/2021 20:37:15.297"</f>
        <v>02/08/2021 20:37:15.297</v>
      </c>
      <c r="C4133" t="str">
        <f t="shared" si="203"/>
        <v>FFDFD7C0</v>
      </c>
      <c r="D4133" t="s">
        <v>124</v>
      </c>
      <c r="E4133">
        <v>12</v>
      </c>
      <c r="F4133">
        <v>1012</v>
      </c>
      <c r="G4133" t="s">
        <v>675</v>
      </c>
      <c r="J4133" t="s">
        <v>125</v>
      </c>
      <c r="K4133">
        <v>0</v>
      </c>
      <c r="L4133">
        <v>3</v>
      </c>
      <c r="M4133">
        <v>0</v>
      </c>
      <c r="N4133">
        <v>2</v>
      </c>
      <c r="O4133">
        <v>1</v>
      </c>
      <c r="P4133">
        <v>0</v>
      </c>
      <c r="Q4133">
        <v>0</v>
      </c>
      <c r="S4133" t="str">
        <f>"20:37:17.633"</f>
        <v>20:37:17.633</v>
      </c>
      <c r="T4133" t="str">
        <f>"20:37:17.233"</f>
        <v>20:37:17.233</v>
      </c>
      <c r="U4133" t="str">
        <f t="shared" si="205"/>
        <v>AB01F4</v>
      </c>
      <c r="V4133">
        <v>0</v>
      </c>
      <c r="W4133">
        <v>0</v>
      </c>
      <c r="X4133">
        <v>2</v>
      </c>
      <c r="Z4133">
        <v>0</v>
      </c>
      <c r="AA4133">
        <v>9</v>
      </c>
      <c r="AB4133">
        <v>3</v>
      </c>
      <c r="AC4133">
        <v>0</v>
      </c>
      <c r="AD4133">
        <v>10</v>
      </c>
      <c r="AE4133">
        <v>0</v>
      </c>
      <c r="AF4133">
        <v>3</v>
      </c>
      <c r="AG4133">
        <v>2</v>
      </c>
      <c r="AH4133">
        <v>0</v>
      </c>
      <c r="AI4133" t="s">
        <v>2315</v>
      </c>
      <c r="AJ4133">
        <v>40.153205</v>
      </c>
      <c r="AK4133" t="s">
        <v>2316</v>
      </c>
      <c r="AL4133">
        <v>-93.130352000000002</v>
      </c>
      <c r="AM4133">
        <v>100</v>
      </c>
      <c r="AN4133">
        <v>1300</v>
      </c>
      <c r="AO4133" t="s">
        <v>118</v>
      </c>
      <c r="AP4133">
        <v>-113</v>
      </c>
      <c r="AQ4133">
        <v>60</v>
      </c>
      <c r="AR4133">
        <v>64</v>
      </c>
      <c r="AZ4133">
        <v>1200</v>
      </c>
      <c r="BA4133">
        <v>1</v>
      </c>
      <c r="BB4133" t="str">
        <f t="shared" si="204"/>
        <v xml:space="preserve">N8080G  </v>
      </c>
      <c r="BC4133">
        <v>1</v>
      </c>
      <c r="BE4133">
        <v>0</v>
      </c>
      <c r="BF4133">
        <v>0</v>
      </c>
      <c r="BG4133">
        <v>0</v>
      </c>
      <c r="BH4133">
        <v>1350</v>
      </c>
      <c r="BI4133">
        <v>1</v>
      </c>
      <c r="BJ4133">
        <v>1</v>
      </c>
      <c r="BK4133">
        <v>1</v>
      </c>
      <c r="BL4133">
        <v>0</v>
      </c>
      <c r="BO4133">
        <v>0</v>
      </c>
      <c r="BP4133">
        <v>0</v>
      </c>
      <c r="BW4133" t="str">
        <f>"20:37:17.637"</f>
        <v>20:37:17.637</v>
      </c>
      <c r="BZ4133">
        <v>0</v>
      </c>
      <c r="CA4133">
        <v>1600</v>
      </c>
      <c r="CB4133">
        <v>224</v>
      </c>
      <c r="CD4133">
        <v>1</v>
      </c>
      <c r="CE4133">
        <v>0</v>
      </c>
      <c r="CF4133">
        <v>0</v>
      </c>
      <c r="CG4133">
        <v>1</v>
      </c>
      <c r="CH4133">
        <v>0</v>
      </c>
      <c r="CI4133">
        <v>0</v>
      </c>
      <c r="CJ4133">
        <v>0</v>
      </c>
      <c r="CK4133">
        <v>2</v>
      </c>
      <c r="CL4133">
        <v>0</v>
      </c>
      <c r="CM4133">
        <v>2</v>
      </c>
      <c r="CN4133">
        <v>0</v>
      </c>
      <c r="CO4133">
        <v>5</v>
      </c>
      <c r="CP4133" t="s">
        <v>119</v>
      </c>
      <c r="CQ4133">
        <v>180</v>
      </c>
      <c r="CR4133">
        <v>3</v>
      </c>
      <c r="CW4133">
        <v>1348306</v>
      </c>
      <c r="CY4133">
        <v>0</v>
      </c>
      <c r="CZ4133">
        <v>0</v>
      </c>
      <c r="DA4133">
        <v>1</v>
      </c>
      <c r="DB4133">
        <v>0</v>
      </c>
      <c r="DC4133">
        <v>0</v>
      </c>
      <c r="DD4133">
        <v>0</v>
      </c>
      <c r="DE4133">
        <v>0</v>
      </c>
      <c r="DF4133">
        <v>0</v>
      </c>
      <c r="DG4133">
        <v>0</v>
      </c>
      <c r="DH4133">
        <v>0</v>
      </c>
      <c r="DI4133">
        <v>0</v>
      </c>
    </row>
    <row r="4134" spans="1:113" x14ac:dyDescent="0.3">
      <c r="A4134" t="str">
        <f>"02/08/2021 20:37:15.297"</f>
        <v>02/08/2021 20:37:15.297</v>
      </c>
      <c r="C4134" t="str">
        <f t="shared" si="203"/>
        <v>FFDFD7C0</v>
      </c>
      <c r="D4134" t="s">
        <v>113</v>
      </c>
      <c r="E4134">
        <v>6</v>
      </c>
      <c r="H4134">
        <v>165</v>
      </c>
      <c r="I4134" t="s">
        <v>114</v>
      </c>
      <c r="J4134" t="s">
        <v>115</v>
      </c>
      <c r="K4134">
        <v>0</v>
      </c>
      <c r="L4134">
        <v>3</v>
      </c>
      <c r="M4134">
        <v>0</v>
      </c>
      <c r="N4134">
        <v>2</v>
      </c>
      <c r="O4134">
        <v>1</v>
      </c>
      <c r="P4134">
        <v>0</v>
      </c>
      <c r="Q4134">
        <v>0</v>
      </c>
      <c r="S4134" t="str">
        <f>"20:37:17.633"</f>
        <v>20:37:17.633</v>
      </c>
      <c r="T4134" t="str">
        <f>"20:37:17.233"</f>
        <v>20:37:17.233</v>
      </c>
      <c r="U4134" t="str">
        <f t="shared" si="205"/>
        <v>AB01F4</v>
      </c>
      <c r="V4134">
        <v>0</v>
      </c>
      <c r="W4134">
        <v>0</v>
      </c>
      <c r="X4134">
        <v>2</v>
      </c>
      <c r="Z4134">
        <v>0</v>
      </c>
      <c r="AA4134">
        <v>9</v>
      </c>
      <c r="AB4134">
        <v>3</v>
      </c>
      <c r="AC4134">
        <v>0</v>
      </c>
      <c r="AD4134">
        <v>10</v>
      </c>
      <c r="AE4134">
        <v>0</v>
      </c>
      <c r="AF4134">
        <v>3</v>
      </c>
      <c r="AG4134">
        <v>2</v>
      </c>
      <c r="AH4134">
        <v>0</v>
      </c>
      <c r="AI4134" t="s">
        <v>2315</v>
      </c>
      <c r="AJ4134">
        <v>40.153205</v>
      </c>
      <c r="AK4134" t="s">
        <v>2316</v>
      </c>
      <c r="AL4134">
        <v>-93.130352000000002</v>
      </c>
      <c r="AM4134">
        <v>100</v>
      </c>
      <c r="AN4134">
        <v>1300</v>
      </c>
      <c r="AO4134" t="s">
        <v>118</v>
      </c>
      <c r="AP4134">
        <v>-113</v>
      </c>
      <c r="AQ4134">
        <v>60</v>
      </c>
      <c r="AR4134">
        <v>64</v>
      </c>
      <c r="AZ4134">
        <v>1200</v>
      </c>
      <c r="BA4134">
        <v>1</v>
      </c>
      <c r="BB4134" t="str">
        <f t="shared" si="204"/>
        <v xml:space="preserve">N8080G  </v>
      </c>
      <c r="BC4134">
        <v>1</v>
      </c>
      <c r="BE4134">
        <v>0</v>
      </c>
      <c r="BF4134">
        <v>0</v>
      </c>
      <c r="BG4134">
        <v>0</v>
      </c>
      <c r="BH4134">
        <v>1350</v>
      </c>
      <c r="BI4134">
        <v>1</v>
      </c>
      <c r="BJ4134">
        <v>1</v>
      </c>
      <c r="BK4134">
        <v>1</v>
      </c>
      <c r="BL4134">
        <v>0</v>
      </c>
      <c r="BO4134">
        <v>0</v>
      </c>
      <c r="BP4134">
        <v>0</v>
      </c>
      <c r="BW4134" t="str">
        <f>"20:37:17.637"</f>
        <v>20:37:17.637</v>
      </c>
      <c r="BZ4134">
        <v>0</v>
      </c>
      <c r="CA4134">
        <v>1600</v>
      </c>
      <c r="CB4134">
        <v>224</v>
      </c>
      <c r="CD4134">
        <v>1</v>
      </c>
      <c r="CE4134">
        <v>0</v>
      </c>
      <c r="CF4134">
        <v>0</v>
      </c>
      <c r="CG4134">
        <v>1</v>
      </c>
      <c r="CH4134">
        <v>0</v>
      </c>
      <c r="CI4134">
        <v>0</v>
      </c>
      <c r="CJ4134">
        <v>0</v>
      </c>
      <c r="CK4134">
        <v>2</v>
      </c>
      <c r="CL4134">
        <v>0</v>
      </c>
      <c r="CM4134">
        <v>2</v>
      </c>
      <c r="CN4134">
        <v>0</v>
      </c>
      <c r="CO4134">
        <v>5</v>
      </c>
      <c r="CP4134" t="s">
        <v>119</v>
      </c>
      <c r="CQ4134">
        <v>180</v>
      </c>
      <c r="CR4134">
        <v>3</v>
      </c>
      <c r="CW4134">
        <v>1348306</v>
      </c>
      <c r="CY4134">
        <v>0</v>
      </c>
      <c r="CZ4134">
        <v>0</v>
      </c>
      <c r="DA4134">
        <v>1</v>
      </c>
      <c r="DB4134">
        <v>0</v>
      </c>
      <c r="DC4134">
        <v>0</v>
      </c>
      <c r="DD4134">
        <v>0</v>
      </c>
      <c r="DE4134">
        <v>0</v>
      </c>
      <c r="DF4134">
        <v>0</v>
      </c>
      <c r="DG4134">
        <v>0</v>
      </c>
      <c r="DH4134">
        <v>0</v>
      </c>
      <c r="DI4134">
        <v>0</v>
      </c>
    </row>
    <row r="4135" spans="1:113" x14ac:dyDescent="0.3">
      <c r="A4135" t="str">
        <f>"02/08/2021 20:37:16.354"</f>
        <v>02/08/2021 20:37:16.354</v>
      </c>
      <c r="C4135" t="str">
        <f t="shared" ref="C4135:C4198" si="206">"FFDFD7C0"</f>
        <v>FFDFD7C0</v>
      </c>
      <c r="D4135" t="s">
        <v>124</v>
      </c>
      <c r="E4135">
        <v>13</v>
      </c>
      <c r="F4135">
        <v>1013</v>
      </c>
      <c r="G4135" t="s">
        <v>114</v>
      </c>
      <c r="J4135" t="s">
        <v>125</v>
      </c>
      <c r="K4135">
        <v>0</v>
      </c>
      <c r="L4135">
        <v>3</v>
      </c>
      <c r="M4135">
        <v>0</v>
      </c>
      <c r="N4135">
        <v>2</v>
      </c>
      <c r="O4135">
        <v>1</v>
      </c>
      <c r="P4135">
        <v>0</v>
      </c>
      <c r="Q4135">
        <v>0</v>
      </c>
      <c r="S4135" t="str">
        <f>"20:37:18.688"</f>
        <v>20:37:18.688</v>
      </c>
      <c r="T4135" t="str">
        <f>"20:37:17.688"</f>
        <v>20:37:17.688</v>
      </c>
      <c r="U4135" t="str">
        <f t="shared" si="205"/>
        <v>AB01F4</v>
      </c>
      <c r="V4135">
        <v>0</v>
      </c>
      <c r="W4135">
        <v>0</v>
      </c>
      <c r="X4135">
        <v>2</v>
      </c>
      <c r="Z4135">
        <v>0</v>
      </c>
      <c r="AA4135">
        <v>9</v>
      </c>
      <c r="AB4135">
        <v>3</v>
      </c>
      <c r="AC4135">
        <v>0</v>
      </c>
      <c r="AD4135">
        <v>10</v>
      </c>
      <c r="AE4135">
        <v>0</v>
      </c>
      <c r="AF4135">
        <v>3</v>
      </c>
      <c r="AG4135">
        <v>2</v>
      </c>
      <c r="AH4135">
        <v>0</v>
      </c>
      <c r="AI4135" t="s">
        <v>2317</v>
      </c>
      <c r="AJ4135">
        <v>40.153483999999999</v>
      </c>
      <c r="AK4135" t="s">
        <v>2318</v>
      </c>
      <c r="AL4135">
        <v>-93.131039000000001</v>
      </c>
      <c r="AM4135">
        <v>100</v>
      </c>
      <c r="AN4135">
        <v>1300</v>
      </c>
      <c r="AO4135" t="s">
        <v>118</v>
      </c>
      <c r="AP4135">
        <v>-113</v>
      </c>
      <c r="AQ4135">
        <v>60</v>
      </c>
      <c r="AR4135">
        <v>64</v>
      </c>
      <c r="AZ4135">
        <v>1200</v>
      </c>
      <c r="BA4135">
        <v>1</v>
      </c>
      <c r="BB4135" t="str">
        <f t="shared" si="204"/>
        <v xml:space="preserve">N8080G  </v>
      </c>
      <c r="BC4135">
        <v>1</v>
      </c>
      <c r="BE4135">
        <v>0</v>
      </c>
      <c r="BF4135">
        <v>0</v>
      </c>
      <c r="BG4135">
        <v>0</v>
      </c>
      <c r="BH4135">
        <v>1350</v>
      </c>
      <c r="BI4135">
        <v>1</v>
      </c>
      <c r="BJ4135">
        <v>1</v>
      </c>
      <c r="BK4135">
        <v>1</v>
      </c>
      <c r="BL4135">
        <v>0</v>
      </c>
      <c r="BO4135">
        <v>0</v>
      </c>
      <c r="BP4135">
        <v>0</v>
      </c>
      <c r="BW4135" t="str">
        <f>"20:37:18.689"</f>
        <v>20:37:18.689</v>
      </c>
      <c r="BZ4135">
        <v>0</v>
      </c>
      <c r="CA4135">
        <v>1600</v>
      </c>
      <c r="CB4135">
        <v>224</v>
      </c>
      <c r="CD4135">
        <v>1</v>
      </c>
      <c r="CE4135">
        <v>0</v>
      </c>
      <c r="CF4135">
        <v>0</v>
      </c>
      <c r="CG4135">
        <v>1</v>
      </c>
      <c r="CH4135">
        <v>0</v>
      </c>
      <c r="CI4135">
        <v>0</v>
      </c>
      <c r="CJ4135">
        <v>0</v>
      </c>
      <c r="CK4135">
        <v>2</v>
      </c>
      <c r="CL4135">
        <v>0</v>
      </c>
      <c r="CM4135">
        <v>2</v>
      </c>
      <c r="CN4135">
        <v>0</v>
      </c>
      <c r="CO4135">
        <v>1</v>
      </c>
      <c r="CP4135" t="s">
        <v>119</v>
      </c>
      <c r="CQ4135">
        <v>179</v>
      </c>
      <c r="CR4135">
        <v>2</v>
      </c>
      <c r="CW4135">
        <v>12620661</v>
      </c>
      <c r="CY4135">
        <v>0</v>
      </c>
      <c r="CZ4135">
        <v>0</v>
      </c>
      <c r="DA4135">
        <v>0</v>
      </c>
      <c r="DB4135">
        <v>0</v>
      </c>
      <c r="DC4135">
        <v>0</v>
      </c>
      <c r="DD4135">
        <v>0</v>
      </c>
      <c r="DE4135">
        <v>0</v>
      </c>
      <c r="DF4135">
        <v>0</v>
      </c>
      <c r="DG4135">
        <v>0</v>
      </c>
      <c r="DH4135">
        <v>0</v>
      </c>
      <c r="DI4135">
        <v>0</v>
      </c>
    </row>
    <row r="4136" spans="1:113" x14ac:dyDescent="0.3">
      <c r="A4136" t="str">
        <f>"02/08/2021 20:37:16.354"</f>
        <v>02/08/2021 20:37:16.354</v>
      </c>
      <c r="C4136" t="str">
        <f t="shared" si="206"/>
        <v>FFDFD7C0</v>
      </c>
      <c r="D4136" t="s">
        <v>124</v>
      </c>
      <c r="E4136">
        <v>11</v>
      </c>
      <c r="F4136">
        <v>1011</v>
      </c>
      <c r="G4136" t="s">
        <v>590</v>
      </c>
      <c r="J4136" t="s">
        <v>125</v>
      </c>
      <c r="K4136">
        <v>0</v>
      </c>
      <c r="L4136">
        <v>3</v>
      </c>
      <c r="M4136">
        <v>0</v>
      </c>
      <c r="N4136">
        <v>2</v>
      </c>
      <c r="O4136">
        <v>1</v>
      </c>
      <c r="P4136">
        <v>0</v>
      </c>
      <c r="Q4136">
        <v>0</v>
      </c>
      <c r="S4136" t="str">
        <f>"20:37:18.688"</f>
        <v>20:37:18.688</v>
      </c>
      <c r="T4136" t="str">
        <f>"20:37:17.688"</f>
        <v>20:37:17.688</v>
      </c>
      <c r="U4136" t="str">
        <f t="shared" si="205"/>
        <v>AB01F4</v>
      </c>
      <c r="V4136">
        <v>0</v>
      </c>
      <c r="W4136">
        <v>0</v>
      </c>
      <c r="X4136">
        <v>2</v>
      </c>
      <c r="Z4136">
        <v>0</v>
      </c>
      <c r="AA4136">
        <v>9</v>
      </c>
      <c r="AB4136">
        <v>3</v>
      </c>
      <c r="AC4136">
        <v>0</v>
      </c>
      <c r="AD4136">
        <v>10</v>
      </c>
      <c r="AE4136">
        <v>0</v>
      </c>
      <c r="AF4136">
        <v>3</v>
      </c>
      <c r="AG4136">
        <v>2</v>
      </c>
      <c r="AH4136">
        <v>0</v>
      </c>
      <c r="AI4136" t="s">
        <v>2317</v>
      </c>
      <c r="AJ4136">
        <v>40.153483999999999</v>
      </c>
      <c r="AK4136" t="s">
        <v>2318</v>
      </c>
      <c r="AL4136">
        <v>-93.131039000000001</v>
      </c>
      <c r="AM4136">
        <v>100</v>
      </c>
      <c r="AN4136">
        <v>1300</v>
      </c>
      <c r="AO4136" t="s">
        <v>118</v>
      </c>
      <c r="AP4136">
        <v>-113</v>
      </c>
      <c r="AQ4136">
        <v>60</v>
      </c>
      <c r="AR4136">
        <v>64</v>
      </c>
      <c r="AZ4136">
        <v>1200</v>
      </c>
      <c r="BA4136">
        <v>1</v>
      </c>
      <c r="BB4136" t="str">
        <f t="shared" si="204"/>
        <v xml:space="preserve">N8080G  </v>
      </c>
      <c r="BC4136">
        <v>1</v>
      </c>
      <c r="BE4136">
        <v>0</v>
      </c>
      <c r="BF4136">
        <v>0</v>
      </c>
      <c r="BG4136">
        <v>0</v>
      </c>
      <c r="BH4136">
        <v>1350</v>
      </c>
      <c r="BI4136">
        <v>1</v>
      </c>
      <c r="BJ4136">
        <v>1</v>
      </c>
      <c r="BK4136">
        <v>1</v>
      </c>
      <c r="BL4136">
        <v>0</v>
      </c>
      <c r="BO4136">
        <v>0</v>
      </c>
      <c r="BP4136">
        <v>0</v>
      </c>
      <c r="BW4136" t="str">
        <f>"20:37:18.689"</f>
        <v>20:37:18.689</v>
      </c>
      <c r="BZ4136">
        <v>0</v>
      </c>
      <c r="CA4136">
        <v>1600</v>
      </c>
      <c r="CB4136">
        <v>224</v>
      </c>
      <c r="CD4136">
        <v>1</v>
      </c>
      <c r="CE4136">
        <v>0</v>
      </c>
      <c r="CF4136">
        <v>0</v>
      </c>
      <c r="CG4136">
        <v>1</v>
      </c>
      <c r="CH4136">
        <v>0</v>
      </c>
      <c r="CI4136">
        <v>0</v>
      </c>
      <c r="CJ4136">
        <v>0</v>
      </c>
      <c r="CK4136">
        <v>2</v>
      </c>
      <c r="CL4136">
        <v>0</v>
      </c>
      <c r="CM4136">
        <v>2</v>
      </c>
      <c r="CN4136">
        <v>0</v>
      </c>
      <c r="CO4136">
        <v>1</v>
      </c>
      <c r="CP4136" t="s">
        <v>119</v>
      </c>
      <c r="CQ4136">
        <v>179</v>
      </c>
      <c r="CR4136">
        <v>2</v>
      </c>
      <c r="CW4136">
        <v>12620661</v>
      </c>
      <c r="CY4136">
        <v>0</v>
      </c>
      <c r="CZ4136">
        <v>0</v>
      </c>
      <c r="DA4136">
        <v>1</v>
      </c>
      <c r="DB4136">
        <v>0</v>
      </c>
      <c r="DC4136">
        <v>0</v>
      </c>
      <c r="DD4136">
        <v>0</v>
      </c>
      <c r="DE4136">
        <v>0</v>
      </c>
      <c r="DF4136">
        <v>0</v>
      </c>
      <c r="DG4136">
        <v>0</v>
      </c>
      <c r="DH4136">
        <v>0</v>
      </c>
      <c r="DI4136">
        <v>0</v>
      </c>
    </row>
    <row r="4137" spans="1:113" x14ac:dyDescent="0.3">
      <c r="A4137" t="str">
        <f>"02/08/2021 20:37:16.354"</f>
        <v>02/08/2021 20:37:16.354</v>
      </c>
      <c r="C4137" t="str">
        <f t="shared" si="206"/>
        <v>FFDFD7C0</v>
      </c>
      <c r="D4137" t="s">
        <v>124</v>
      </c>
      <c r="E4137">
        <v>12</v>
      </c>
      <c r="F4137">
        <v>1012</v>
      </c>
      <c r="G4137" t="s">
        <v>675</v>
      </c>
      <c r="J4137" t="s">
        <v>125</v>
      </c>
      <c r="K4137">
        <v>0</v>
      </c>
      <c r="L4137">
        <v>3</v>
      </c>
      <c r="M4137">
        <v>0</v>
      </c>
      <c r="N4137">
        <v>2</v>
      </c>
      <c r="O4137">
        <v>1</v>
      </c>
      <c r="P4137">
        <v>0</v>
      </c>
      <c r="Q4137">
        <v>0</v>
      </c>
      <c r="S4137" t="str">
        <f>"20:37:18.688"</f>
        <v>20:37:18.688</v>
      </c>
      <c r="T4137" t="str">
        <f>"20:37:17.688"</f>
        <v>20:37:17.688</v>
      </c>
      <c r="U4137" t="str">
        <f t="shared" si="205"/>
        <v>AB01F4</v>
      </c>
      <c r="V4137">
        <v>0</v>
      </c>
      <c r="W4137">
        <v>0</v>
      </c>
      <c r="X4137">
        <v>2</v>
      </c>
      <c r="Z4137">
        <v>0</v>
      </c>
      <c r="AA4137">
        <v>9</v>
      </c>
      <c r="AB4137">
        <v>3</v>
      </c>
      <c r="AC4137">
        <v>0</v>
      </c>
      <c r="AD4137">
        <v>10</v>
      </c>
      <c r="AE4137">
        <v>0</v>
      </c>
      <c r="AF4137">
        <v>3</v>
      </c>
      <c r="AG4137">
        <v>2</v>
      </c>
      <c r="AH4137">
        <v>0</v>
      </c>
      <c r="AI4137" t="s">
        <v>2317</v>
      </c>
      <c r="AJ4137">
        <v>40.153483999999999</v>
      </c>
      <c r="AK4137" t="s">
        <v>2318</v>
      </c>
      <c r="AL4137">
        <v>-93.131039000000001</v>
      </c>
      <c r="AM4137">
        <v>100</v>
      </c>
      <c r="AN4137">
        <v>1300</v>
      </c>
      <c r="AO4137" t="s">
        <v>118</v>
      </c>
      <c r="AP4137">
        <v>-113</v>
      </c>
      <c r="AQ4137">
        <v>60</v>
      </c>
      <c r="AR4137">
        <v>64</v>
      </c>
      <c r="AZ4137">
        <v>1200</v>
      </c>
      <c r="BA4137">
        <v>1</v>
      </c>
      <c r="BB4137" t="str">
        <f t="shared" si="204"/>
        <v xml:space="preserve">N8080G  </v>
      </c>
      <c r="BC4137">
        <v>1</v>
      </c>
      <c r="BE4137">
        <v>0</v>
      </c>
      <c r="BF4137">
        <v>0</v>
      </c>
      <c r="BG4137">
        <v>0</v>
      </c>
      <c r="BH4137">
        <v>1350</v>
      </c>
      <c r="BI4137">
        <v>1</v>
      </c>
      <c r="BJ4137">
        <v>1</v>
      </c>
      <c r="BK4137">
        <v>1</v>
      </c>
      <c r="BL4137">
        <v>0</v>
      </c>
      <c r="BO4137">
        <v>0</v>
      </c>
      <c r="BP4137">
        <v>0</v>
      </c>
      <c r="BW4137" t="str">
        <f>"20:37:18.689"</f>
        <v>20:37:18.689</v>
      </c>
      <c r="BZ4137">
        <v>0</v>
      </c>
      <c r="CA4137">
        <v>1600</v>
      </c>
      <c r="CB4137">
        <v>224</v>
      </c>
      <c r="CD4137">
        <v>1</v>
      </c>
      <c r="CE4137">
        <v>0</v>
      </c>
      <c r="CF4137">
        <v>0</v>
      </c>
      <c r="CG4137">
        <v>1</v>
      </c>
      <c r="CH4137">
        <v>0</v>
      </c>
      <c r="CI4137">
        <v>0</v>
      </c>
      <c r="CJ4137">
        <v>0</v>
      </c>
      <c r="CK4137">
        <v>2</v>
      </c>
      <c r="CL4137">
        <v>0</v>
      </c>
      <c r="CM4137">
        <v>2</v>
      </c>
      <c r="CN4137">
        <v>0</v>
      </c>
      <c r="CO4137">
        <v>1</v>
      </c>
      <c r="CP4137" t="s">
        <v>119</v>
      </c>
      <c r="CQ4137">
        <v>179</v>
      </c>
      <c r="CR4137">
        <v>2</v>
      </c>
      <c r="CW4137">
        <v>12620661</v>
      </c>
      <c r="CY4137">
        <v>0</v>
      </c>
      <c r="CZ4137">
        <v>0</v>
      </c>
      <c r="DA4137">
        <v>1</v>
      </c>
      <c r="DB4137">
        <v>0</v>
      </c>
      <c r="DC4137">
        <v>0</v>
      </c>
      <c r="DD4137">
        <v>0</v>
      </c>
      <c r="DE4137">
        <v>0</v>
      </c>
      <c r="DF4137">
        <v>0</v>
      </c>
      <c r="DG4137">
        <v>0</v>
      </c>
      <c r="DH4137">
        <v>0</v>
      </c>
      <c r="DI4137">
        <v>0</v>
      </c>
    </row>
    <row r="4138" spans="1:113" x14ac:dyDescent="0.3">
      <c r="A4138" t="str">
        <f>"02/08/2021 20:37:16.354"</f>
        <v>02/08/2021 20:37:16.354</v>
      </c>
      <c r="C4138" t="str">
        <f t="shared" si="206"/>
        <v>FFDFD7C0</v>
      </c>
      <c r="D4138" t="s">
        <v>113</v>
      </c>
      <c r="E4138">
        <v>6</v>
      </c>
      <c r="H4138">
        <v>165</v>
      </c>
      <c r="I4138" t="s">
        <v>114</v>
      </c>
      <c r="J4138" t="s">
        <v>115</v>
      </c>
      <c r="K4138">
        <v>0</v>
      </c>
      <c r="L4138">
        <v>3</v>
      </c>
      <c r="M4138">
        <v>0</v>
      </c>
      <c r="N4138">
        <v>2</v>
      </c>
      <c r="O4138">
        <v>1</v>
      </c>
      <c r="P4138">
        <v>0</v>
      </c>
      <c r="Q4138">
        <v>0</v>
      </c>
      <c r="S4138" t="str">
        <f>"20:37:18.688"</f>
        <v>20:37:18.688</v>
      </c>
      <c r="T4138" t="str">
        <f>"20:37:17.688"</f>
        <v>20:37:17.688</v>
      </c>
      <c r="U4138" t="str">
        <f t="shared" si="205"/>
        <v>AB01F4</v>
      </c>
      <c r="V4138">
        <v>0</v>
      </c>
      <c r="W4138">
        <v>0</v>
      </c>
      <c r="X4138">
        <v>2</v>
      </c>
      <c r="Z4138">
        <v>0</v>
      </c>
      <c r="AA4138">
        <v>9</v>
      </c>
      <c r="AB4138">
        <v>3</v>
      </c>
      <c r="AC4138">
        <v>0</v>
      </c>
      <c r="AD4138">
        <v>10</v>
      </c>
      <c r="AE4138">
        <v>0</v>
      </c>
      <c r="AF4138">
        <v>3</v>
      </c>
      <c r="AG4138">
        <v>2</v>
      </c>
      <c r="AH4138">
        <v>0</v>
      </c>
      <c r="AI4138" t="s">
        <v>2317</v>
      </c>
      <c r="AJ4138">
        <v>40.153483999999999</v>
      </c>
      <c r="AK4138" t="s">
        <v>2318</v>
      </c>
      <c r="AL4138">
        <v>-93.131039000000001</v>
      </c>
      <c r="AM4138">
        <v>100</v>
      </c>
      <c r="AN4138">
        <v>1300</v>
      </c>
      <c r="AO4138" t="s">
        <v>118</v>
      </c>
      <c r="AP4138">
        <v>-113</v>
      </c>
      <c r="AQ4138">
        <v>60</v>
      </c>
      <c r="AR4138">
        <v>64</v>
      </c>
      <c r="AZ4138">
        <v>1200</v>
      </c>
      <c r="BA4138">
        <v>1</v>
      </c>
      <c r="BB4138" t="str">
        <f t="shared" si="204"/>
        <v xml:space="preserve">N8080G  </v>
      </c>
      <c r="BC4138">
        <v>1</v>
      </c>
      <c r="BE4138">
        <v>0</v>
      </c>
      <c r="BF4138">
        <v>0</v>
      </c>
      <c r="BG4138">
        <v>0</v>
      </c>
      <c r="BH4138">
        <v>1350</v>
      </c>
      <c r="BI4138">
        <v>1</v>
      </c>
      <c r="BJ4138">
        <v>1</v>
      </c>
      <c r="BK4138">
        <v>1</v>
      </c>
      <c r="BL4138">
        <v>0</v>
      </c>
      <c r="BO4138">
        <v>0</v>
      </c>
      <c r="BP4138">
        <v>0</v>
      </c>
      <c r="BW4138" t="str">
        <f>"20:37:18.689"</f>
        <v>20:37:18.689</v>
      </c>
      <c r="BZ4138">
        <v>0</v>
      </c>
      <c r="CA4138">
        <v>1600</v>
      </c>
      <c r="CB4138">
        <v>224</v>
      </c>
      <c r="CD4138">
        <v>1</v>
      </c>
      <c r="CE4138">
        <v>0</v>
      </c>
      <c r="CF4138">
        <v>0</v>
      </c>
      <c r="CG4138">
        <v>1</v>
      </c>
      <c r="CH4138">
        <v>0</v>
      </c>
      <c r="CI4138">
        <v>0</v>
      </c>
      <c r="CJ4138">
        <v>0</v>
      </c>
      <c r="CK4138">
        <v>2</v>
      </c>
      <c r="CL4138">
        <v>0</v>
      </c>
      <c r="CM4138">
        <v>2</v>
      </c>
      <c r="CN4138">
        <v>0</v>
      </c>
      <c r="CO4138">
        <v>1</v>
      </c>
      <c r="CP4138" t="s">
        <v>119</v>
      </c>
      <c r="CQ4138">
        <v>179</v>
      </c>
      <c r="CR4138">
        <v>2</v>
      </c>
      <c r="CW4138">
        <v>12620661</v>
      </c>
      <c r="CY4138">
        <v>0</v>
      </c>
      <c r="CZ4138">
        <v>0</v>
      </c>
      <c r="DA4138">
        <v>1</v>
      </c>
      <c r="DB4138">
        <v>0</v>
      </c>
      <c r="DC4138">
        <v>0</v>
      </c>
      <c r="DD4138">
        <v>0</v>
      </c>
      <c r="DE4138">
        <v>0</v>
      </c>
      <c r="DF4138">
        <v>0</v>
      </c>
      <c r="DG4138">
        <v>0</v>
      </c>
      <c r="DH4138">
        <v>0</v>
      </c>
      <c r="DI4138">
        <v>0</v>
      </c>
    </row>
    <row r="4139" spans="1:113" x14ac:dyDescent="0.3">
      <c r="A4139" t="str">
        <f>"02/08/2021 20:37:17.345"</f>
        <v>02/08/2021 20:37:17.345</v>
      </c>
      <c r="C4139" t="str">
        <f t="shared" si="206"/>
        <v>FFDFD7C0</v>
      </c>
      <c r="D4139" t="s">
        <v>113</v>
      </c>
      <c r="E4139">
        <v>6</v>
      </c>
      <c r="H4139">
        <v>165</v>
      </c>
      <c r="I4139" t="s">
        <v>114</v>
      </c>
      <c r="J4139" t="s">
        <v>115</v>
      </c>
      <c r="K4139">
        <v>0</v>
      </c>
      <c r="L4139">
        <v>3</v>
      </c>
      <c r="M4139">
        <v>0</v>
      </c>
      <c r="N4139">
        <v>2</v>
      </c>
      <c r="O4139">
        <v>1</v>
      </c>
      <c r="P4139">
        <v>0</v>
      </c>
      <c r="Q4139">
        <v>0</v>
      </c>
      <c r="S4139" t="str">
        <f>"20:37:19.680"</f>
        <v>20:37:19.680</v>
      </c>
      <c r="T4139" t="str">
        <f>"20:37:19.180"</f>
        <v>20:37:19.180</v>
      </c>
      <c r="U4139" t="str">
        <f t="shared" si="205"/>
        <v>AB01F4</v>
      </c>
      <c r="V4139">
        <v>0</v>
      </c>
      <c r="W4139">
        <v>0</v>
      </c>
      <c r="X4139">
        <v>2</v>
      </c>
      <c r="Z4139">
        <v>0</v>
      </c>
      <c r="AA4139">
        <v>9</v>
      </c>
      <c r="AB4139">
        <v>3</v>
      </c>
      <c r="AC4139">
        <v>0</v>
      </c>
      <c r="AD4139">
        <v>10</v>
      </c>
      <c r="AE4139">
        <v>0</v>
      </c>
      <c r="AF4139">
        <v>3</v>
      </c>
      <c r="AG4139">
        <v>2</v>
      </c>
      <c r="AH4139">
        <v>0</v>
      </c>
      <c r="AI4139" t="s">
        <v>2319</v>
      </c>
      <c r="AJ4139">
        <v>40.153762999999998</v>
      </c>
      <c r="AK4139" t="s">
        <v>2320</v>
      </c>
      <c r="AL4139">
        <v>-93.131726</v>
      </c>
      <c r="AM4139">
        <v>100</v>
      </c>
      <c r="AN4139">
        <v>1300</v>
      </c>
      <c r="AO4139" t="s">
        <v>118</v>
      </c>
      <c r="AP4139">
        <v>-113</v>
      </c>
      <c r="AQ4139">
        <v>60</v>
      </c>
      <c r="AR4139">
        <v>64</v>
      </c>
      <c r="AZ4139">
        <v>1200</v>
      </c>
      <c r="BA4139">
        <v>1</v>
      </c>
      <c r="BB4139" t="str">
        <f t="shared" si="204"/>
        <v xml:space="preserve">N8080G  </v>
      </c>
      <c r="BC4139">
        <v>1</v>
      </c>
      <c r="BE4139">
        <v>0</v>
      </c>
      <c r="BF4139">
        <v>0</v>
      </c>
      <c r="BG4139">
        <v>0</v>
      </c>
      <c r="BH4139">
        <v>1350</v>
      </c>
      <c r="BI4139">
        <v>1</v>
      </c>
      <c r="BJ4139">
        <v>1</v>
      </c>
      <c r="BK4139">
        <v>1</v>
      </c>
      <c r="BL4139">
        <v>0</v>
      </c>
      <c r="BO4139">
        <v>0</v>
      </c>
      <c r="BP4139">
        <v>0</v>
      </c>
      <c r="BW4139" t="str">
        <f>"20:37:19.687"</f>
        <v>20:37:19.687</v>
      </c>
      <c r="BZ4139">
        <v>0</v>
      </c>
      <c r="CA4139">
        <v>1600</v>
      </c>
      <c r="CB4139">
        <v>224</v>
      </c>
      <c r="CD4139">
        <v>1</v>
      </c>
      <c r="CE4139">
        <v>0</v>
      </c>
      <c r="CF4139">
        <v>0</v>
      </c>
      <c r="CG4139">
        <v>1</v>
      </c>
      <c r="CH4139">
        <v>0</v>
      </c>
      <c r="CI4139">
        <v>0</v>
      </c>
      <c r="CJ4139">
        <v>0</v>
      </c>
      <c r="CK4139">
        <v>2</v>
      </c>
      <c r="CL4139">
        <v>0</v>
      </c>
      <c r="CM4139">
        <v>2</v>
      </c>
      <c r="CN4139">
        <v>0</v>
      </c>
      <c r="CO4139">
        <v>1</v>
      </c>
      <c r="CP4139" t="s">
        <v>119</v>
      </c>
      <c r="CQ4139">
        <v>179</v>
      </c>
      <c r="CR4139">
        <v>1</v>
      </c>
      <c r="CW4139">
        <v>9506678</v>
      </c>
      <c r="CY4139">
        <v>0</v>
      </c>
      <c r="CZ4139">
        <v>0</v>
      </c>
      <c r="DA4139">
        <v>0</v>
      </c>
      <c r="DB4139">
        <v>0</v>
      </c>
      <c r="DC4139">
        <v>0</v>
      </c>
      <c r="DD4139">
        <v>0</v>
      </c>
      <c r="DE4139">
        <v>0</v>
      </c>
      <c r="DF4139">
        <v>0</v>
      </c>
      <c r="DG4139">
        <v>0</v>
      </c>
      <c r="DH4139">
        <v>0</v>
      </c>
      <c r="DI4139">
        <v>0</v>
      </c>
    </row>
    <row r="4140" spans="1:113" x14ac:dyDescent="0.3">
      <c r="A4140" t="str">
        <f>"02/08/2021 20:37:17.345"</f>
        <v>02/08/2021 20:37:17.345</v>
      </c>
      <c r="C4140" t="str">
        <f t="shared" si="206"/>
        <v>FFDFD7C0</v>
      </c>
      <c r="D4140" t="s">
        <v>124</v>
      </c>
      <c r="E4140">
        <v>13</v>
      </c>
      <c r="F4140">
        <v>1013</v>
      </c>
      <c r="G4140" t="s">
        <v>114</v>
      </c>
      <c r="J4140" t="s">
        <v>125</v>
      </c>
      <c r="K4140">
        <v>0</v>
      </c>
      <c r="L4140">
        <v>3</v>
      </c>
      <c r="M4140">
        <v>0</v>
      </c>
      <c r="N4140">
        <v>2</v>
      </c>
      <c r="O4140">
        <v>1</v>
      </c>
      <c r="P4140">
        <v>0</v>
      </c>
      <c r="Q4140">
        <v>0</v>
      </c>
      <c r="S4140" t="str">
        <f>"20:37:19.680"</f>
        <v>20:37:19.680</v>
      </c>
      <c r="T4140" t="str">
        <f>"20:37:19.180"</f>
        <v>20:37:19.180</v>
      </c>
      <c r="U4140" t="str">
        <f t="shared" si="205"/>
        <v>AB01F4</v>
      </c>
      <c r="V4140">
        <v>0</v>
      </c>
      <c r="W4140">
        <v>0</v>
      </c>
      <c r="X4140">
        <v>2</v>
      </c>
      <c r="Z4140">
        <v>0</v>
      </c>
      <c r="AA4140">
        <v>9</v>
      </c>
      <c r="AB4140">
        <v>3</v>
      </c>
      <c r="AC4140">
        <v>0</v>
      </c>
      <c r="AD4140">
        <v>10</v>
      </c>
      <c r="AE4140">
        <v>0</v>
      </c>
      <c r="AF4140">
        <v>3</v>
      </c>
      <c r="AG4140">
        <v>2</v>
      </c>
      <c r="AH4140">
        <v>0</v>
      </c>
      <c r="AI4140" t="s">
        <v>2319</v>
      </c>
      <c r="AJ4140">
        <v>40.153762999999998</v>
      </c>
      <c r="AK4140" t="s">
        <v>2320</v>
      </c>
      <c r="AL4140">
        <v>-93.131726</v>
      </c>
      <c r="AM4140">
        <v>100</v>
      </c>
      <c r="AN4140">
        <v>1300</v>
      </c>
      <c r="AO4140" t="s">
        <v>118</v>
      </c>
      <c r="AP4140">
        <v>-113</v>
      </c>
      <c r="AQ4140">
        <v>60</v>
      </c>
      <c r="AR4140">
        <v>64</v>
      </c>
      <c r="AZ4140">
        <v>1200</v>
      </c>
      <c r="BA4140">
        <v>1</v>
      </c>
      <c r="BB4140" t="str">
        <f t="shared" si="204"/>
        <v xml:space="preserve">N8080G  </v>
      </c>
      <c r="BC4140">
        <v>1</v>
      </c>
      <c r="BE4140">
        <v>0</v>
      </c>
      <c r="BF4140">
        <v>0</v>
      </c>
      <c r="BG4140">
        <v>0</v>
      </c>
      <c r="BH4140">
        <v>1350</v>
      </c>
      <c r="BI4140">
        <v>1</v>
      </c>
      <c r="BJ4140">
        <v>1</v>
      </c>
      <c r="BK4140">
        <v>1</v>
      </c>
      <c r="BL4140">
        <v>0</v>
      </c>
      <c r="BO4140">
        <v>0</v>
      </c>
      <c r="BP4140">
        <v>0</v>
      </c>
      <c r="BW4140" t="str">
        <f>"20:37:19.687"</f>
        <v>20:37:19.687</v>
      </c>
      <c r="BZ4140">
        <v>0</v>
      </c>
      <c r="CA4140">
        <v>1600</v>
      </c>
      <c r="CB4140">
        <v>224</v>
      </c>
      <c r="CD4140">
        <v>1</v>
      </c>
      <c r="CE4140">
        <v>0</v>
      </c>
      <c r="CF4140">
        <v>0</v>
      </c>
      <c r="CG4140">
        <v>1</v>
      </c>
      <c r="CH4140">
        <v>0</v>
      </c>
      <c r="CI4140">
        <v>0</v>
      </c>
      <c r="CJ4140">
        <v>0</v>
      </c>
      <c r="CK4140">
        <v>2</v>
      </c>
      <c r="CL4140">
        <v>0</v>
      </c>
      <c r="CM4140">
        <v>2</v>
      </c>
      <c r="CN4140">
        <v>0</v>
      </c>
      <c r="CO4140">
        <v>1</v>
      </c>
      <c r="CP4140" t="s">
        <v>119</v>
      </c>
      <c r="CQ4140">
        <v>179</v>
      </c>
      <c r="CR4140">
        <v>1</v>
      </c>
      <c r="CW4140">
        <v>9506678</v>
      </c>
      <c r="CY4140">
        <v>0</v>
      </c>
      <c r="CZ4140">
        <v>0</v>
      </c>
      <c r="DA4140">
        <v>1</v>
      </c>
      <c r="DB4140">
        <v>0</v>
      </c>
      <c r="DC4140">
        <v>0</v>
      </c>
      <c r="DD4140">
        <v>0</v>
      </c>
      <c r="DE4140">
        <v>0</v>
      </c>
      <c r="DF4140">
        <v>0</v>
      </c>
      <c r="DG4140">
        <v>0</v>
      </c>
      <c r="DH4140">
        <v>0</v>
      </c>
      <c r="DI4140">
        <v>0</v>
      </c>
    </row>
    <row r="4141" spans="1:113" x14ac:dyDescent="0.3">
      <c r="A4141" t="str">
        <f>"02/08/2021 20:37:17.345"</f>
        <v>02/08/2021 20:37:17.345</v>
      </c>
      <c r="C4141" t="str">
        <f t="shared" si="206"/>
        <v>FFDFD7C0</v>
      </c>
      <c r="D4141" t="s">
        <v>124</v>
      </c>
      <c r="E4141">
        <v>11</v>
      </c>
      <c r="F4141">
        <v>1011</v>
      </c>
      <c r="G4141" t="s">
        <v>590</v>
      </c>
      <c r="J4141" t="s">
        <v>125</v>
      </c>
      <c r="K4141">
        <v>0</v>
      </c>
      <c r="L4141">
        <v>3</v>
      </c>
      <c r="M4141">
        <v>0</v>
      </c>
      <c r="N4141">
        <v>2</v>
      </c>
      <c r="O4141">
        <v>1</v>
      </c>
      <c r="P4141">
        <v>0</v>
      </c>
      <c r="Q4141">
        <v>0</v>
      </c>
      <c r="S4141" t="str">
        <f>"20:37:19.680"</f>
        <v>20:37:19.680</v>
      </c>
      <c r="T4141" t="str">
        <f>"20:37:19.180"</f>
        <v>20:37:19.180</v>
      </c>
      <c r="U4141" t="str">
        <f t="shared" si="205"/>
        <v>AB01F4</v>
      </c>
      <c r="V4141">
        <v>0</v>
      </c>
      <c r="W4141">
        <v>0</v>
      </c>
      <c r="X4141">
        <v>2</v>
      </c>
      <c r="Z4141">
        <v>0</v>
      </c>
      <c r="AA4141">
        <v>9</v>
      </c>
      <c r="AB4141">
        <v>3</v>
      </c>
      <c r="AC4141">
        <v>0</v>
      </c>
      <c r="AD4141">
        <v>10</v>
      </c>
      <c r="AE4141">
        <v>0</v>
      </c>
      <c r="AF4141">
        <v>3</v>
      </c>
      <c r="AG4141">
        <v>2</v>
      </c>
      <c r="AH4141">
        <v>0</v>
      </c>
      <c r="AI4141" t="s">
        <v>2319</v>
      </c>
      <c r="AJ4141">
        <v>40.153762999999998</v>
      </c>
      <c r="AK4141" t="s">
        <v>2320</v>
      </c>
      <c r="AL4141">
        <v>-93.131726</v>
      </c>
      <c r="AM4141">
        <v>100</v>
      </c>
      <c r="AN4141">
        <v>1300</v>
      </c>
      <c r="AO4141" t="s">
        <v>118</v>
      </c>
      <c r="AP4141">
        <v>-113</v>
      </c>
      <c r="AQ4141">
        <v>60</v>
      </c>
      <c r="AR4141">
        <v>64</v>
      </c>
      <c r="AZ4141">
        <v>1200</v>
      </c>
      <c r="BA4141">
        <v>1</v>
      </c>
      <c r="BB4141" t="str">
        <f t="shared" si="204"/>
        <v xml:space="preserve">N8080G  </v>
      </c>
      <c r="BC4141">
        <v>1</v>
      </c>
      <c r="BE4141">
        <v>0</v>
      </c>
      <c r="BF4141">
        <v>0</v>
      </c>
      <c r="BG4141">
        <v>0</v>
      </c>
      <c r="BH4141">
        <v>1350</v>
      </c>
      <c r="BI4141">
        <v>1</v>
      </c>
      <c r="BJ4141">
        <v>1</v>
      </c>
      <c r="BK4141">
        <v>1</v>
      </c>
      <c r="BL4141">
        <v>0</v>
      </c>
      <c r="BO4141">
        <v>0</v>
      </c>
      <c r="BP4141">
        <v>0</v>
      </c>
      <c r="BW4141" t="str">
        <f>"20:37:19.687"</f>
        <v>20:37:19.687</v>
      </c>
      <c r="BZ4141">
        <v>0</v>
      </c>
      <c r="CA4141">
        <v>1600</v>
      </c>
      <c r="CB4141">
        <v>224</v>
      </c>
      <c r="CD4141">
        <v>1</v>
      </c>
      <c r="CE4141">
        <v>0</v>
      </c>
      <c r="CF4141">
        <v>0</v>
      </c>
      <c r="CG4141">
        <v>1</v>
      </c>
      <c r="CH4141">
        <v>0</v>
      </c>
      <c r="CI4141">
        <v>0</v>
      </c>
      <c r="CJ4141">
        <v>0</v>
      </c>
      <c r="CK4141">
        <v>2</v>
      </c>
      <c r="CL4141">
        <v>0</v>
      </c>
      <c r="CM4141">
        <v>2</v>
      </c>
      <c r="CN4141">
        <v>0</v>
      </c>
      <c r="CO4141">
        <v>1</v>
      </c>
      <c r="CP4141" t="s">
        <v>119</v>
      </c>
      <c r="CQ4141">
        <v>179</v>
      </c>
      <c r="CR4141">
        <v>1</v>
      </c>
      <c r="CW4141">
        <v>9506678</v>
      </c>
      <c r="CY4141">
        <v>0</v>
      </c>
      <c r="CZ4141">
        <v>0</v>
      </c>
      <c r="DA4141">
        <v>1</v>
      </c>
      <c r="DB4141">
        <v>0</v>
      </c>
      <c r="DC4141">
        <v>0</v>
      </c>
      <c r="DD4141">
        <v>0</v>
      </c>
      <c r="DE4141">
        <v>0</v>
      </c>
      <c r="DF4141">
        <v>0</v>
      </c>
      <c r="DG4141">
        <v>0</v>
      </c>
      <c r="DH4141">
        <v>0</v>
      </c>
      <c r="DI4141">
        <v>0</v>
      </c>
    </row>
    <row r="4142" spans="1:113" x14ac:dyDescent="0.3">
      <c r="A4142" t="str">
        <f>"02/08/2021 20:37:17.345"</f>
        <v>02/08/2021 20:37:17.345</v>
      </c>
      <c r="C4142" t="str">
        <f t="shared" si="206"/>
        <v>FFDFD7C0</v>
      </c>
      <c r="D4142" t="s">
        <v>124</v>
      </c>
      <c r="E4142">
        <v>12</v>
      </c>
      <c r="F4142">
        <v>1012</v>
      </c>
      <c r="G4142" t="s">
        <v>675</v>
      </c>
      <c r="J4142" t="s">
        <v>125</v>
      </c>
      <c r="K4142">
        <v>0</v>
      </c>
      <c r="L4142">
        <v>3</v>
      </c>
      <c r="M4142">
        <v>0</v>
      </c>
      <c r="N4142">
        <v>2</v>
      </c>
      <c r="O4142">
        <v>1</v>
      </c>
      <c r="P4142">
        <v>0</v>
      </c>
      <c r="Q4142">
        <v>0</v>
      </c>
      <c r="S4142" t="str">
        <f>"20:37:19.680"</f>
        <v>20:37:19.680</v>
      </c>
      <c r="T4142" t="str">
        <f>"20:37:19.180"</f>
        <v>20:37:19.180</v>
      </c>
      <c r="U4142" t="str">
        <f t="shared" si="205"/>
        <v>AB01F4</v>
      </c>
      <c r="V4142">
        <v>0</v>
      </c>
      <c r="W4142">
        <v>0</v>
      </c>
      <c r="X4142">
        <v>2</v>
      </c>
      <c r="Z4142">
        <v>0</v>
      </c>
      <c r="AA4142">
        <v>9</v>
      </c>
      <c r="AB4142">
        <v>3</v>
      </c>
      <c r="AC4142">
        <v>0</v>
      </c>
      <c r="AD4142">
        <v>10</v>
      </c>
      <c r="AE4142">
        <v>0</v>
      </c>
      <c r="AF4142">
        <v>3</v>
      </c>
      <c r="AG4142">
        <v>2</v>
      </c>
      <c r="AH4142">
        <v>0</v>
      </c>
      <c r="AI4142" t="s">
        <v>2319</v>
      </c>
      <c r="AJ4142">
        <v>40.153762999999998</v>
      </c>
      <c r="AK4142" t="s">
        <v>2320</v>
      </c>
      <c r="AL4142">
        <v>-93.131726</v>
      </c>
      <c r="AM4142">
        <v>100</v>
      </c>
      <c r="AN4142">
        <v>1300</v>
      </c>
      <c r="AO4142" t="s">
        <v>118</v>
      </c>
      <c r="AP4142">
        <v>-113</v>
      </c>
      <c r="AQ4142">
        <v>60</v>
      </c>
      <c r="AR4142">
        <v>64</v>
      </c>
      <c r="AZ4142">
        <v>1200</v>
      </c>
      <c r="BA4142">
        <v>1</v>
      </c>
      <c r="BB4142" t="str">
        <f t="shared" si="204"/>
        <v xml:space="preserve">N8080G  </v>
      </c>
      <c r="BC4142">
        <v>1</v>
      </c>
      <c r="BE4142">
        <v>0</v>
      </c>
      <c r="BF4142">
        <v>0</v>
      </c>
      <c r="BG4142">
        <v>0</v>
      </c>
      <c r="BH4142">
        <v>1350</v>
      </c>
      <c r="BI4142">
        <v>1</v>
      </c>
      <c r="BJ4142">
        <v>1</v>
      </c>
      <c r="BK4142">
        <v>1</v>
      </c>
      <c r="BL4142">
        <v>0</v>
      </c>
      <c r="BO4142">
        <v>0</v>
      </c>
      <c r="BP4142">
        <v>0</v>
      </c>
      <c r="BW4142" t="str">
        <f>"20:37:19.687"</f>
        <v>20:37:19.687</v>
      </c>
      <c r="BZ4142">
        <v>0</v>
      </c>
      <c r="CA4142">
        <v>1600</v>
      </c>
      <c r="CB4142">
        <v>224</v>
      </c>
      <c r="CD4142">
        <v>1</v>
      </c>
      <c r="CE4142">
        <v>0</v>
      </c>
      <c r="CF4142">
        <v>0</v>
      </c>
      <c r="CG4142">
        <v>1</v>
      </c>
      <c r="CH4142">
        <v>0</v>
      </c>
      <c r="CI4142">
        <v>0</v>
      </c>
      <c r="CJ4142">
        <v>0</v>
      </c>
      <c r="CK4142">
        <v>2</v>
      </c>
      <c r="CL4142">
        <v>0</v>
      </c>
      <c r="CM4142">
        <v>2</v>
      </c>
      <c r="CN4142">
        <v>0</v>
      </c>
      <c r="CO4142">
        <v>1</v>
      </c>
      <c r="CP4142" t="s">
        <v>119</v>
      </c>
      <c r="CQ4142">
        <v>179</v>
      </c>
      <c r="CR4142">
        <v>1</v>
      </c>
      <c r="CW4142">
        <v>9506678</v>
      </c>
      <c r="CY4142">
        <v>0</v>
      </c>
      <c r="CZ4142">
        <v>0</v>
      </c>
      <c r="DA4142">
        <v>1</v>
      </c>
      <c r="DB4142">
        <v>0</v>
      </c>
      <c r="DC4142">
        <v>0</v>
      </c>
      <c r="DD4142">
        <v>0</v>
      </c>
      <c r="DE4142">
        <v>0</v>
      </c>
      <c r="DF4142">
        <v>0</v>
      </c>
      <c r="DG4142">
        <v>0</v>
      </c>
      <c r="DH4142">
        <v>0</v>
      </c>
      <c r="DI4142">
        <v>0</v>
      </c>
    </row>
    <row r="4143" spans="1:113" x14ac:dyDescent="0.3">
      <c r="A4143" t="str">
        <f>"02/08/2021 20:37:20.327"</f>
        <v>02/08/2021 20:37:20.327</v>
      </c>
      <c r="C4143" t="str">
        <f t="shared" si="206"/>
        <v>FFDFD7C0</v>
      </c>
      <c r="D4143" t="s">
        <v>124</v>
      </c>
      <c r="E4143">
        <v>13</v>
      </c>
      <c r="F4143">
        <v>1013</v>
      </c>
      <c r="G4143" t="s">
        <v>114</v>
      </c>
      <c r="J4143" t="s">
        <v>125</v>
      </c>
      <c r="K4143">
        <v>0</v>
      </c>
      <c r="L4143">
        <v>3</v>
      </c>
      <c r="M4143">
        <v>0</v>
      </c>
      <c r="N4143">
        <v>2</v>
      </c>
      <c r="O4143">
        <v>1</v>
      </c>
      <c r="P4143">
        <v>0</v>
      </c>
      <c r="Q4143">
        <v>0</v>
      </c>
      <c r="S4143" t="str">
        <f>"20:37:22.648"</f>
        <v>20:37:22.648</v>
      </c>
      <c r="T4143" t="str">
        <f>"20:37:22.248"</f>
        <v>20:37:22.248</v>
      </c>
      <c r="U4143" t="str">
        <f t="shared" si="205"/>
        <v>AB01F4</v>
      </c>
      <c r="V4143">
        <v>0</v>
      </c>
      <c r="W4143">
        <v>0</v>
      </c>
      <c r="X4143">
        <v>2</v>
      </c>
      <c r="Z4143">
        <v>0</v>
      </c>
      <c r="AA4143">
        <v>9</v>
      </c>
      <c r="AB4143">
        <v>3</v>
      </c>
      <c r="AC4143">
        <v>0</v>
      </c>
      <c r="AD4143">
        <v>10</v>
      </c>
      <c r="AE4143">
        <v>0</v>
      </c>
      <c r="AF4143">
        <v>3</v>
      </c>
      <c r="AG4143">
        <v>2</v>
      </c>
      <c r="AH4143">
        <v>0</v>
      </c>
      <c r="AI4143" t="s">
        <v>2321</v>
      </c>
      <c r="AJ4143">
        <v>40.154600000000002</v>
      </c>
      <c r="AK4143" t="s">
        <v>2322</v>
      </c>
      <c r="AL4143">
        <v>-93.133786000000001</v>
      </c>
      <c r="AM4143">
        <v>100</v>
      </c>
      <c r="AN4143">
        <v>1300</v>
      </c>
      <c r="AO4143" t="s">
        <v>118</v>
      </c>
      <c r="AP4143">
        <v>-113</v>
      </c>
      <c r="AQ4143">
        <v>60</v>
      </c>
      <c r="AR4143">
        <v>-64</v>
      </c>
      <c r="AZ4143">
        <v>1200</v>
      </c>
      <c r="BA4143">
        <v>1</v>
      </c>
      <c r="BB4143" t="str">
        <f t="shared" ref="BB4143:BB4206" si="207">"N8080G  "</f>
        <v xml:space="preserve">N8080G  </v>
      </c>
      <c r="BC4143">
        <v>1</v>
      </c>
      <c r="BE4143">
        <v>0</v>
      </c>
      <c r="BF4143">
        <v>0</v>
      </c>
      <c r="BG4143">
        <v>0</v>
      </c>
      <c r="BH4143">
        <v>1350</v>
      </c>
      <c r="BI4143">
        <v>1</v>
      </c>
      <c r="BJ4143">
        <v>1</v>
      </c>
      <c r="BK4143">
        <v>1</v>
      </c>
      <c r="BL4143">
        <v>0</v>
      </c>
      <c r="BO4143">
        <v>0</v>
      </c>
      <c r="BP4143">
        <v>0</v>
      </c>
      <c r="BW4143" t="str">
        <f>"20:37:22.651"</f>
        <v>20:37:22.651</v>
      </c>
      <c r="BZ4143">
        <v>0</v>
      </c>
      <c r="CA4143">
        <v>1600</v>
      </c>
      <c r="CB4143">
        <v>224</v>
      </c>
      <c r="CD4143">
        <v>1</v>
      </c>
      <c r="CE4143">
        <v>0</v>
      </c>
      <c r="CF4143">
        <v>0</v>
      </c>
      <c r="CG4143">
        <v>1</v>
      </c>
      <c r="CH4143">
        <v>0</v>
      </c>
      <c r="CI4143">
        <v>0</v>
      </c>
      <c r="CJ4143">
        <v>0</v>
      </c>
      <c r="CK4143">
        <v>2</v>
      </c>
      <c r="CL4143">
        <v>0</v>
      </c>
      <c r="CM4143">
        <v>2</v>
      </c>
      <c r="CN4143">
        <v>0</v>
      </c>
      <c r="CO4143">
        <v>2</v>
      </c>
      <c r="CP4143" t="s">
        <v>119</v>
      </c>
      <c r="CQ4143">
        <v>179</v>
      </c>
      <c r="CR4143">
        <v>1</v>
      </c>
      <c r="CW4143">
        <v>9509318</v>
      </c>
      <c r="CY4143">
        <v>0</v>
      </c>
      <c r="CZ4143">
        <v>0</v>
      </c>
      <c r="DA4143">
        <v>0</v>
      </c>
      <c r="DB4143">
        <v>0</v>
      </c>
      <c r="DC4143">
        <v>0</v>
      </c>
      <c r="DD4143">
        <v>0</v>
      </c>
      <c r="DE4143">
        <v>0</v>
      </c>
      <c r="DF4143">
        <v>0</v>
      </c>
      <c r="DG4143">
        <v>0</v>
      </c>
      <c r="DH4143">
        <v>0</v>
      </c>
      <c r="DI4143">
        <v>0</v>
      </c>
    </row>
    <row r="4144" spans="1:113" x14ac:dyDescent="0.3">
      <c r="A4144" t="str">
        <f>"02/08/2021 20:37:20.327"</f>
        <v>02/08/2021 20:37:20.327</v>
      </c>
      <c r="C4144" t="str">
        <f t="shared" si="206"/>
        <v>FFDFD7C0</v>
      </c>
      <c r="D4144" t="s">
        <v>113</v>
      </c>
      <c r="E4144">
        <v>6</v>
      </c>
      <c r="H4144">
        <v>165</v>
      </c>
      <c r="I4144" t="s">
        <v>114</v>
      </c>
      <c r="J4144" t="s">
        <v>115</v>
      </c>
      <c r="K4144">
        <v>0</v>
      </c>
      <c r="L4144">
        <v>3</v>
      </c>
      <c r="M4144">
        <v>0</v>
      </c>
      <c r="N4144">
        <v>2</v>
      </c>
      <c r="O4144">
        <v>1</v>
      </c>
      <c r="P4144">
        <v>0</v>
      </c>
      <c r="Q4144">
        <v>0</v>
      </c>
      <c r="S4144" t="str">
        <f>"20:37:22.648"</f>
        <v>20:37:22.648</v>
      </c>
      <c r="T4144" t="str">
        <f>"20:37:22.248"</f>
        <v>20:37:22.248</v>
      </c>
      <c r="U4144" t="str">
        <f t="shared" si="205"/>
        <v>AB01F4</v>
      </c>
      <c r="V4144">
        <v>0</v>
      </c>
      <c r="W4144">
        <v>0</v>
      </c>
      <c r="X4144">
        <v>2</v>
      </c>
      <c r="Z4144">
        <v>0</v>
      </c>
      <c r="AA4144">
        <v>9</v>
      </c>
      <c r="AB4144">
        <v>3</v>
      </c>
      <c r="AC4144">
        <v>0</v>
      </c>
      <c r="AD4144">
        <v>10</v>
      </c>
      <c r="AE4144">
        <v>0</v>
      </c>
      <c r="AF4144">
        <v>3</v>
      </c>
      <c r="AG4144">
        <v>2</v>
      </c>
      <c r="AH4144">
        <v>0</v>
      </c>
      <c r="AI4144" t="s">
        <v>2321</v>
      </c>
      <c r="AJ4144">
        <v>40.154600000000002</v>
      </c>
      <c r="AK4144" t="s">
        <v>2322</v>
      </c>
      <c r="AL4144">
        <v>-93.133786000000001</v>
      </c>
      <c r="AM4144">
        <v>100</v>
      </c>
      <c r="AN4144">
        <v>1300</v>
      </c>
      <c r="AO4144" t="s">
        <v>118</v>
      </c>
      <c r="AP4144">
        <v>-113</v>
      </c>
      <c r="AQ4144">
        <v>60</v>
      </c>
      <c r="AR4144">
        <v>-64</v>
      </c>
      <c r="AZ4144">
        <v>1200</v>
      </c>
      <c r="BA4144">
        <v>1</v>
      </c>
      <c r="BB4144" t="str">
        <f t="shared" si="207"/>
        <v xml:space="preserve">N8080G  </v>
      </c>
      <c r="BC4144">
        <v>1</v>
      </c>
      <c r="BE4144">
        <v>0</v>
      </c>
      <c r="BF4144">
        <v>0</v>
      </c>
      <c r="BG4144">
        <v>0</v>
      </c>
      <c r="BH4144">
        <v>1350</v>
      </c>
      <c r="BI4144">
        <v>1</v>
      </c>
      <c r="BJ4144">
        <v>1</v>
      </c>
      <c r="BK4144">
        <v>1</v>
      </c>
      <c r="BL4144">
        <v>0</v>
      </c>
      <c r="BO4144">
        <v>0</v>
      </c>
      <c r="BP4144">
        <v>0</v>
      </c>
      <c r="BW4144" t="str">
        <f>"20:37:22.651"</f>
        <v>20:37:22.651</v>
      </c>
      <c r="BZ4144">
        <v>0</v>
      </c>
      <c r="CA4144">
        <v>1600</v>
      </c>
      <c r="CB4144">
        <v>224</v>
      </c>
      <c r="CD4144">
        <v>1</v>
      </c>
      <c r="CE4144">
        <v>0</v>
      </c>
      <c r="CF4144">
        <v>0</v>
      </c>
      <c r="CG4144">
        <v>1</v>
      </c>
      <c r="CH4144">
        <v>0</v>
      </c>
      <c r="CI4144">
        <v>0</v>
      </c>
      <c r="CJ4144">
        <v>0</v>
      </c>
      <c r="CK4144">
        <v>2</v>
      </c>
      <c r="CL4144">
        <v>0</v>
      </c>
      <c r="CM4144">
        <v>2</v>
      </c>
      <c r="CN4144">
        <v>0</v>
      </c>
      <c r="CO4144">
        <v>2</v>
      </c>
      <c r="CP4144" t="s">
        <v>119</v>
      </c>
      <c r="CQ4144">
        <v>179</v>
      </c>
      <c r="CR4144">
        <v>1</v>
      </c>
      <c r="CW4144">
        <v>9509318</v>
      </c>
      <c r="CY4144">
        <v>0</v>
      </c>
      <c r="CZ4144">
        <v>0</v>
      </c>
      <c r="DA4144">
        <v>1</v>
      </c>
      <c r="DB4144">
        <v>0</v>
      </c>
      <c r="DC4144">
        <v>0</v>
      </c>
      <c r="DD4144">
        <v>0</v>
      </c>
      <c r="DE4144">
        <v>0</v>
      </c>
      <c r="DF4144">
        <v>0</v>
      </c>
      <c r="DG4144">
        <v>0</v>
      </c>
      <c r="DH4144">
        <v>0</v>
      </c>
      <c r="DI4144">
        <v>0</v>
      </c>
    </row>
    <row r="4145" spans="1:113" x14ac:dyDescent="0.3">
      <c r="A4145" t="str">
        <f>"02/08/2021 20:37:20.327"</f>
        <v>02/08/2021 20:37:20.327</v>
      </c>
      <c r="C4145" t="str">
        <f t="shared" si="206"/>
        <v>FFDFD7C0</v>
      </c>
      <c r="D4145" t="s">
        <v>124</v>
      </c>
      <c r="E4145">
        <v>11</v>
      </c>
      <c r="F4145">
        <v>1011</v>
      </c>
      <c r="G4145" t="s">
        <v>590</v>
      </c>
      <c r="J4145" t="s">
        <v>125</v>
      </c>
      <c r="K4145">
        <v>0</v>
      </c>
      <c r="L4145">
        <v>3</v>
      </c>
      <c r="M4145">
        <v>0</v>
      </c>
      <c r="N4145">
        <v>2</v>
      </c>
      <c r="O4145">
        <v>1</v>
      </c>
      <c r="P4145">
        <v>0</v>
      </c>
      <c r="Q4145">
        <v>0</v>
      </c>
      <c r="S4145" t="str">
        <f>"20:37:22.648"</f>
        <v>20:37:22.648</v>
      </c>
      <c r="T4145" t="str">
        <f>"20:37:22.248"</f>
        <v>20:37:22.248</v>
      </c>
      <c r="U4145" t="str">
        <f t="shared" si="205"/>
        <v>AB01F4</v>
      </c>
      <c r="V4145">
        <v>0</v>
      </c>
      <c r="W4145">
        <v>0</v>
      </c>
      <c r="X4145">
        <v>2</v>
      </c>
      <c r="Z4145">
        <v>0</v>
      </c>
      <c r="AA4145">
        <v>9</v>
      </c>
      <c r="AB4145">
        <v>3</v>
      </c>
      <c r="AC4145">
        <v>0</v>
      </c>
      <c r="AD4145">
        <v>10</v>
      </c>
      <c r="AE4145">
        <v>0</v>
      </c>
      <c r="AF4145">
        <v>3</v>
      </c>
      <c r="AG4145">
        <v>2</v>
      </c>
      <c r="AH4145">
        <v>0</v>
      </c>
      <c r="AI4145" t="s">
        <v>2321</v>
      </c>
      <c r="AJ4145">
        <v>40.154600000000002</v>
      </c>
      <c r="AK4145" t="s">
        <v>2322</v>
      </c>
      <c r="AL4145">
        <v>-93.133786000000001</v>
      </c>
      <c r="AM4145">
        <v>100</v>
      </c>
      <c r="AN4145">
        <v>1300</v>
      </c>
      <c r="AO4145" t="s">
        <v>118</v>
      </c>
      <c r="AP4145">
        <v>-113</v>
      </c>
      <c r="AQ4145">
        <v>60</v>
      </c>
      <c r="AR4145">
        <v>-64</v>
      </c>
      <c r="AZ4145">
        <v>1200</v>
      </c>
      <c r="BA4145">
        <v>1</v>
      </c>
      <c r="BB4145" t="str">
        <f t="shared" si="207"/>
        <v xml:space="preserve">N8080G  </v>
      </c>
      <c r="BC4145">
        <v>1</v>
      </c>
      <c r="BE4145">
        <v>0</v>
      </c>
      <c r="BF4145">
        <v>0</v>
      </c>
      <c r="BG4145">
        <v>0</v>
      </c>
      <c r="BH4145">
        <v>1350</v>
      </c>
      <c r="BI4145">
        <v>1</v>
      </c>
      <c r="BJ4145">
        <v>1</v>
      </c>
      <c r="BK4145">
        <v>1</v>
      </c>
      <c r="BL4145">
        <v>0</v>
      </c>
      <c r="BO4145">
        <v>0</v>
      </c>
      <c r="BP4145">
        <v>0</v>
      </c>
      <c r="BW4145" t="str">
        <f>"20:37:22.651"</f>
        <v>20:37:22.651</v>
      </c>
      <c r="BZ4145">
        <v>0</v>
      </c>
      <c r="CA4145">
        <v>1600</v>
      </c>
      <c r="CB4145">
        <v>224</v>
      </c>
      <c r="CD4145">
        <v>1</v>
      </c>
      <c r="CE4145">
        <v>0</v>
      </c>
      <c r="CF4145">
        <v>0</v>
      </c>
      <c r="CG4145">
        <v>1</v>
      </c>
      <c r="CH4145">
        <v>0</v>
      </c>
      <c r="CI4145">
        <v>0</v>
      </c>
      <c r="CJ4145">
        <v>0</v>
      </c>
      <c r="CK4145">
        <v>2</v>
      </c>
      <c r="CL4145">
        <v>0</v>
      </c>
      <c r="CM4145">
        <v>2</v>
      </c>
      <c r="CN4145">
        <v>0</v>
      </c>
      <c r="CO4145">
        <v>2</v>
      </c>
      <c r="CP4145" t="s">
        <v>119</v>
      </c>
      <c r="CQ4145">
        <v>179</v>
      </c>
      <c r="CR4145">
        <v>1</v>
      </c>
      <c r="CW4145">
        <v>9509318</v>
      </c>
      <c r="CY4145">
        <v>0</v>
      </c>
      <c r="CZ4145">
        <v>0</v>
      </c>
      <c r="DA4145">
        <v>1</v>
      </c>
      <c r="DB4145">
        <v>0</v>
      </c>
      <c r="DC4145">
        <v>0</v>
      </c>
      <c r="DD4145">
        <v>0</v>
      </c>
      <c r="DE4145">
        <v>0</v>
      </c>
      <c r="DF4145">
        <v>0</v>
      </c>
      <c r="DG4145">
        <v>0</v>
      </c>
      <c r="DH4145">
        <v>0</v>
      </c>
      <c r="DI4145">
        <v>0</v>
      </c>
    </row>
    <row r="4146" spans="1:113" x14ac:dyDescent="0.3">
      <c r="A4146" t="str">
        <f>"02/08/2021 20:37:20.327"</f>
        <v>02/08/2021 20:37:20.327</v>
      </c>
      <c r="C4146" t="str">
        <f t="shared" si="206"/>
        <v>FFDFD7C0</v>
      </c>
      <c r="D4146" t="s">
        <v>124</v>
      </c>
      <c r="E4146">
        <v>12</v>
      </c>
      <c r="F4146">
        <v>1012</v>
      </c>
      <c r="G4146" t="s">
        <v>675</v>
      </c>
      <c r="J4146" t="s">
        <v>125</v>
      </c>
      <c r="K4146">
        <v>0</v>
      </c>
      <c r="L4146">
        <v>3</v>
      </c>
      <c r="M4146">
        <v>0</v>
      </c>
      <c r="N4146">
        <v>2</v>
      </c>
      <c r="O4146">
        <v>1</v>
      </c>
      <c r="P4146">
        <v>0</v>
      </c>
      <c r="Q4146">
        <v>0</v>
      </c>
      <c r="S4146" t="str">
        <f>"20:37:22.648"</f>
        <v>20:37:22.648</v>
      </c>
      <c r="T4146" t="str">
        <f>"20:37:22.248"</f>
        <v>20:37:22.248</v>
      </c>
      <c r="U4146" t="str">
        <f t="shared" si="205"/>
        <v>AB01F4</v>
      </c>
      <c r="V4146">
        <v>0</v>
      </c>
      <c r="W4146">
        <v>0</v>
      </c>
      <c r="X4146">
        <v>2</v>
      </c>
      <c r="Z4146">
        <v>0</v>
      </c>
      <c r="AA4146">
        <v>9</v>
      </c>
      <c r="AB4146">
        <v>3</v>
      </c>
      <c r="AC4146">
        <v>0</v>
      </c>
      <c r="AD4146">
        <v>10</v>
      </c>
      <c r="AE4146">
        <v>0</v>
      </c>
      <c r="AF4146">
        <v>3</v>
      </c>
      <c r="AG4146">
        <v>2</v>
      </c>
      <c r="AH4146">
        <v>0</v>
      </c>
      <c r="AI4146" t="s">
        <v>2321</v>
      </c>
      <c r="AJ4146">
        <v>40.154600000000002</v>
      </c>
      <c r="AK4146" t="s">
        <v>2322</v>
      </c>
      <c r="AL4146">
        <v>-93.133786000000001</v>
      </c>
      <c r="AM4146">
        <v>100</v>
      </c>
      <c r="AN4146">
        <v>1300</v>
      </c>
      <c r="AO4146" t="s">
        <v>118</v>
      </c>
      <c r="AP4146">
        <v>-113</v>
      </c>
      <c r="AQ4146">
        <v>60</v>
      </c>
      <c r="AR4146">
        <v>-64</v>
      </c>
      <c r="AZ4146">
        <v>1200</v>
      </c>
      <c r="BA4146">
        <v>1</v>
      </c>
      <c r="BB4146" t="str">
        <f t="shared" si="207"/>
        <v xml:space="preserve">N8080G  </v>
      </c>
      <c r="BC4146">
        <v>1</v>
      </c>
      <c r="BE4146">
        <v>0</v>
      </c>
      <c r="BF4146">
        <v>0</v>
      </c>
      <c r="BG4146">
        <v>0</v>
      </c>
      <c r="BH4146">
        <v>1350</v>
      </c>
      <c r="BI4146">
        <v>1</v>
      </c>
      <c r="BJ4146">
        <v>1</v>
      </c>
      <c r="BK4146">
        <v>1</v>
      </c>
      <c r="BL4146">
        <v>0</v>
      </c>
      <c r="BO4146">
        <v>0</v>
      </c>
      <c r="BP4146">
        <v>0</v>
      </c>
      <c r="BW4146" t="str">
        <f>"20:37:22.651"</f>
        <v>20:37:22.651</v>
      </c>
      <c r="BZ4146">
        <v>0</v>
      </c>
      <c r="CA4146">
        <v>1600</v>
      </c>
      <c r="CB4146">
        <v>224</v>
      </c>
      <c r="CD4146">
        <v>1</v>
      </c>
      <c r="CE4146">
        <v>0</v>
      </c>
      <c r="CF4146">
        <v>0</v>
      </c>
      <c r="CG4146">
        <v>1</v>
      </c>
      <c r="CH4146">
        <v>0</v>
      </c>
      <c r="CI4146">
        <v>0</v>
      </c>
      <c r="CJ4146">
        <v>0</v>
      </c>
      <c r="CK4146">
        <v>2</v>
      </c>
      <c r="CL4146">
        <v>0</v>
      </c>
      <c r="CM4146">
        <v>2</v>
      </c>
      <c r="CN4146">
        <v>0</v>
      </c>
      <c r="CO4146">
        <v>2</v>
      </c>
      <c r="CP4146" t="s">
        <v>119</v>
      </c>
      <c r="CQ4146">
        <v>179</v>
      </c>
      <c r="CR4146">
        <v>1</v>
      </c>
      <c r="CW4146">
        <v>9509318</v>
      </c>
      <c r="CY4146">
        <v>0</v>
      </c>
      <c r="CZ4146">
        <v>0</v>
      </c>
      <c r="DA4146">
        <v>1</v>
      </c>
      <c r="DB4146">
        <v>0</v>
      </c>
      <c r="DC4146">
        <v>0</v>
      </c>
      <c r="DD4146">
        <v>0</v>
      </c>
      <c r="DE4146">
        <v>0</v>
      </c>
      <c r="DF4146">
        <v>0</v>
      </c>
      <c r="DG4146">
        <v>0</v>
      </c>
      <c r="DH4146">
        <v>0</v>
      </c>
      <c r="DI4146">
        <v>0</v>
      </c>
    </row>
    <row r="4147" spans="1:113" x14ac:dyDescent="0.3">
      <c r="A4147" t="str">
        <f>"02/08/2021 20:37:21.297"</f>
        <v>02/08/2021 20:37:21.297</v>
      </c>
      <c r="C4147" t="str">
        <f t="shared" si="206"/>
        <v>FFDFD7C0</v>
      </c>
      <c r="D4147" t="s">
        <v>124</v>
      </c>
      <c r="E4147">
        <v>11</v>
      </c>
      <c r="F4147">
        <v>1011</v>
      </c>
      <c r="G4147" t="s">
        <v>590</v>
      </c>
      <c r="J4147" t="s">
        <v>125</v>
      </c>
      <c r="K4147">
        <v>0</v>
      </c>
      <c r="L4147">
        <v>3</v>
      </c>
      <c r="M4147">
        <v>0</v>
      </c>
      <c r="N4147">
        <v>2</v>
      </c>
      <c r="O4147">
        <v>1</v>
      </c>
      <c r="P4147">
        <v>0</v>
      </c>
      <c r="Q4147">
        <v>0</v>
      </c>
      <c r="S4147" t="str">
        <f>"20:37:23.602"</f>
        <v>20:37:23.602</v>
      </c>
      <c r="T4147" t="str">
        <f>"20:37:23.102"</f>
        <v>20:37:23.102</v>
      </c>
      <c r="U4147" t="str">
        <f t="shared" si="205"/>
        <v>AB01F4</v>
      </c>
      <c r="V4147">
        <v>0</v>
      </c>
      <c r="W4147">
        <v>0</v>
      </c>
      <c r="X4147">
        <v>2</v>
      </c>
      <c r="Z4147">
        <v>0</v>
      </c>
      <c r="AA4147">
        <v>9</v>
      </c>
      <c r="AB4147">
        <v>3</v>
      </c>
      <c r="AC4147">
        <v>0</v>
      </c>
      <c r="AD4147">
        <v>10</v>
      </c>
      <c r="AE4147">
        <v>0</v>
      </c>
      <c r="AF4147">
        <v>3</v>
      </c>
      <c r="AG4147">
        <v>2</v>
      </c>
      <c r="AH4147">
        <v>0</v>
      </c>
      <c r="AI4147" t="s">
        <v>2323</v>
      </c>
      <c r="AJ4147">
        <v>40.154836000000003</v>
      </c>
      <c r="AK4147" t="s">
        <v>2324</v>
      </c>
      <c r="AL4147">
        <v>-93.134407999999993</v>
      </c>
      <c r="AM4147">
        <v>100</v>
      </c>
      <c r="AN4147">
        <v>1300</v>
      </c>
      <c r="AO4147" t="s">
        <v>118</v>
      </c>
      <c r="AP4147">
        <v>-113</v>
      </c>
      <c r="AQ4147">
        <v>60</v>
      </c>
      <c r="AR4147">
        <v>-64</v>
      </c>
      <c r="AZ4147">
        <v>1200</v>
      </c>
      <c r="BA4147">
        <v>1</v>
      </c>
      <c r="BB4147" t="str">
        <f t="shared" si="207"/>
        <v xml:space="preserve">N8080G  </v>
      </c>
      <c r="BC4147">
        <v>1</v>
      </c>
      <c r="BE4147">
        <v>0</v>
      </c>
      <c r="BF4147">
        <v>0</v>
      </c>
      <c r="BG4147">
        <v>0</v>
      </c>
      <c r="BH4147">
        <v>1350</v>
      </c>
      <c r="BI4147">
        <v>1</v>
      </c>
      <c r="BJ4147">
        <v>1</v>
      </c>
      <c r="BK4147">
        <v>1</v>
      </c>
      <c r="BL4147">
        <v>0</v>
      </c>
      <c r="BO4147">
        <v>0</v>
      </c>
      <c r="BP4147">
        <v>0</v>
      </c>
      <c r="BW4147" t="str">
        <f>"20:37:23.609"</f>
        <v>20:37:23.609</v>
      </c>
      <c r="BZ4147">
        <v>0</v>
      </c>
      <c r="CA4147">
        <v>1600</v>
      </c>
      <c r="CB4147">
        <v>224</v>
      </c>
      <c r="CD4147">
        <v>1</v>
      </c>
      <c r="CE4147">
        <v>0</v>
      </c>
      <c r="CF4147">
        <v>0</v>
      </c>
      <c r="CG4147">
        <v>1</v>
      </c>
      <c r="CH4147">
        <v>0</v>
      </c>
      <c r="CI4147">
        <v>0</v>
      </c>
      <c r="CJ4147">
        <v>0</v>
      </c>
      <c r="CK4147">
        <v>2</v>
      </c>
      <c r="CL4147">
        <v>0</v>
      </c>
      <c r="CM4147">
        <v>2</v>
      </c>
      <c r="CN4147">
        <v>0</v>
      </c>
      <c r="CO4147">
        <v>1</v>
      </c>
      <c r="CP4147" t="s">
        <v>119</v>
      </c>
      <c r="CQ4147">
        <v>179</v>
      </c>
      <c r="CR4147">
        <v>2</v>
      </c>
      <c r="CW4147">
        <v>12624689</v>
      </c>
      <c r="CY4147">
        <v>0</v>
      </c>
      <c r="CZ4147">
        <v>0</v>
      </c>
      <c r="DA4147">
        <v>0</v>
      </c>
      <c r="DB4147">
        <v>0</v>
      </c>
      <c r="DC4147">
        <v>0</v>
      </c>
      <c r="DD4147">
        <v>0</v>
      </c>
      <c r="DE4147">
        <v>0</v>
      </c>
      <c r="DF4147">
        <v>0</v>
      </c>
      <c r="DG4147">
        <v>0</v>
      </c>
      <c r="DH4147">
        <v>0</v>
      </c>
      <c r="DI4147">
        <v>0</v>
      </c>
    </row>
    <row r="4148" spans="1:113" x14ac:dyDescent="0.3">
      <c r="A4148" t="str">
        <f>"02/08/2021 20:37:21.297"</f>
        <v>02/08/2021 20:37:21.297</v>
      </c>
      <c r="C4148" t="str">
        <f t="shared" si="206"/>
        <v>FFDFD7C0</v>
      </c>
      <c r="D4148" t="s">
        <v>124</v>
      </c>
      <c r="E4148">
        <v>12</v>
      </c>
      <c r="F4148">
        <v>1012</v>
      </c>
      <c r="G4148" t="s">
        <v>675</v>
      </c>
      <c r="J4148" t="s">
        <v>125</v>
      </c>
      <c r="K4148">
        <v>0</v>
      </c>
      <c r="L4148">
        <v>3</v>
      </c>
      <c r="M4148">
        <v>0</v>
      </c>
      <c r="N4148">
        <v>2</v>
      </c>
      <c r="O4148">
        <v>1</v>
      </c>
      <c r="P4148">
        <v>0</v>
      </c>
      <c r="Q4148">
        <v>0</v>
      </c>
      <c r="S4148" t="str">
        <f>"20:37:23.602"</f>
        <v>20:37:23.602</v>
      </c>
      <c r="T4148" t="str">
        <f>"20:37:23.102"</f>
        <v>20:37:23.102</v>
      </c>
      <c r="U4148" t="str">
        <f t="shared" si="205"/>
        <v>AB01F4</v>
      </c>
      <c r="V4148">
        <v>0</v>
      </c>
      <c r="W4148">
        <v>0</v>
      </c>
      <c r="X4148">
        <v>2</v>
      </c>
      <c r="Z4148">
        <v>0</v>
      </c>
      <c r="AA4148">
        <v>9</v>
      </c>
      <c r="AB4148">
        <v>3</v>
      </c>
      <c r="AC4148">
        <v>0</v>
      </c>
      <c r="AD4148">
        <v>10</v>
      </c>
      <c r="AE4148">
        <v>0</v>
      </c>
      <c r="AF4148">
        <v>3</v>
      </c>
      <c r="AG4148">
        <v>2</v>
      </c>
      <c r="AH4148">
        <v>0</v>
      </c>
      <c r="AI4148" t="s">
        <v>2323</v>
      </c>
      <c r="AJ4148">
        <v>40.154836000000003</v>
      </c>
      <c r="AK4148" t="s">
        <v>2324</v>
      </c>
      <c r="AL4148">
        <v>-93.134407999999993</v>
      </c>
      <c r="AM4148">
        <v>100</v>
      </c>
      <c r="AN4148">
        <v>1300</v>
      </c>
      <c r="AO4148" t="s">
        <v>118</v>
      </c>
      <c r="AP4148">
        <v>-113</v>
      </c>
      <c r="AQ4148">
        <v>60</v>
      </c>
      <c r="AR4148">
        <v>-64</v>
      </c>
      <c r="AZ4148">
        <v>1200</v>
      </c>
      <c r="BA4148">
        <v>1</v>
      </c>
      <c r="BB4148" t="str">
        <f t="shared" si="207"/>
        <v xml:space="preserve">N8080G  </v>
      </c>
      <c r="BC4148">
        <v>1</v>
      </c>
      <c r="BE4148">
        <v>0</v>
      </c>
      <c r="BF4148">
        <v>0</v>
      </c>
      <c r="BG4148">
        <v>0</v>
      </c>
      <c r="BH4148">
        <v>1350</v>
      </c>
      <c r="BI4148">
        <v>1</v>
      </c>
      <c r="BJ4148">
        <v>1</v>
      </c>
      <c r="BK4148">
        <v>1</v>
      </c>
      <c r="BL4148">
        <v>0</v>
      </c>
      <c r="BO4148">
        <v>0</v>
      </c>
      <c r="BP4148">
        <v>0</v>
      </c>
      <c r="BW4148" t="str">
        <f>"20:37:23.609"</f>
        <v>20:37:23.609</v>
      </c>
      <c r="BZ4148">
        <v>0</v>
      </c>
      <c r="CA4148">
        <v>1600</v>
      </c>
      <c r="CB4148">
        <v>224</v>
      </c>
      <c r="CD4148">
        <v>1</v>
      </c>
      <c r="CE4148">
        <v>0</v>
      </c>
      <c r="CF4148">
        <v>0</v>
      </c>
      <c r="CG4148">
        <v>1</v>
      </c>
      <c r="CH4148">
        <v>0</v>
      </c>
      <c r="CI4148">
        <v>0</v>
      </c>
      <c r="CJ4148">
        <v>0</v>
      </c>
      <c r="CK4148">
        <v>2</v>
      </c>
      <c r="CL4148">
        <v>0</v>
      </c>
      <c r="CM4148">
        <v>2</v>
      </c>
      <c r="CN4148">
        <v>0</v>
      </c>
      <c r="CO4148">
        <v>1</v>
      </c>
      <c r="CP4148" t="s">
        <v>119</v>
      </c>
      <c r="CQ4148">
        <v>179</v>
      </c>
      <c r="CR4148">
        <v>2</v>
      </c>
      <c r="CW4148">
        <v>12624689</v>
      </c>
      <c r="CY4148">
        <v>0</v>
      </c>
      <c r="CZ4148">
        <v>0</v>
      </c>
      <c r="DA4148">
        <v>1</v>
      </c>
      <c r="DB4148">
        <v>0</v>
      </c>
      <c r="DC4148">
        <v>0</v>
      </c>
      <c r="DD4148">
        <v>0</v>
      </c>
      <c r="DE4148">
        <v>0</v>
      </c>
      <c r="DF4148">
        <v>0</v>
      </c>
      <c r="DG4148">
        <v>0</v>
      </c>
      <c r="DH4148">
        <v>0</v>
      </c>
      <c r="DI4148">
        <v>0</v>
      </c>
    </row>
    <row r="4149" spans="1:113" x14ac:dyDescent="0.3">
      <c r="A4149" t="str">
        <f>"02/08/2021 20:37:21.297"</f>
        <v>02/08/2021 20:37:21.297</v>
      </c>
      <c r="C4149" t="str">
        <f t="shared" si="206"/>
        <v>FFDFD7C0</v>
      </c>
      <c r="D4149" t="s">
        <v>124</v>
      </c>
      <c r="E4149">
        <v>13</v>
      </c>
      <c r="F4149">
        <v>1013</v>
      </c>
      <c r="G4149" t="s">
        <v>114</v>
      </c>
      <c r="J4149" t="s">
        <v>125</v>
      </c>
      <c r="K4149">
        <v>0</v>
      </c>
      <c r="L4149">
        <v>3</v>
      </c>
      <c r="M4149">
        <v>0</v>
      </c>
      <c r="N4149">
        <v>2</v>
      </c>
      <c r="O4149">
        <v>1</v>
      </c>
      <c r="P4149">
        <v>0</v>
      </c>
      <c r="Q4149">
        <v>0</v>
      </c>
      <c r="S4149" t="str">
        <f>"20:37:23.602"</f>
        <v>20:37:23.602</v>
      </c>
      <c r="T4149" t="str">
        <f>"20:37:23.102"</f>
        <v>20:37:23.102</v>
      </c>
      <c r="U4149" t="str">
        <f t="shared" si="205"/>
        <v>AB01F4</v>
      </c>
      <c r="V4149">
        <v>0</v>
      </c>
      <c r="W4149">
        <v>0</v>
      </c>
      <c r="X4149">
        <v>2</v>
      </c>
      <c r="Z4149">
        <v>0</v>
      </c>
      <c r="AA4149">
        <v>9</v>
      </c>
      <c r="AB4149">
        <v>3</v>
      </c>
      <c r="AC4149">
        <v>0</v>
      </c>
      <c r="AD4149">
        <v>10</v>
      </c>
      <c r="AE4149">
        <v>0</v>
      </c>
      <c r="AF4149">
        <v>3</v>
      </c>
      <c r="AG4149">
        <v>2</v>
      </c>
      <c r="AH4149">
        <v>0</v>
      </c>
      <c r="AI4149" t="s">
        <v>2323</v>
      </c>
      <c r="AJ4149">
        <v>40.154836000000003</v>
      </c>
      <c r="AK4149" t="s">
        <v>2324</v>
      </c>
      <c r="AL4149">
        <v>-93.134407999999993</v>
      </c>
      <c r="AM4149">
        <v>100</v>
      </c>
      <c r="AN4149">
        <v>1300</v>
      </c>
      <c r="AO4149" t="s">
        <v>118</v>
      </c>
      <c r="AP4149">
        <v>-113</v>
      </c>
      <c r="AQ4149">
        <v>60</v>
      </c>
      <c r="AR4149">
        <v>-64</v>
      </c>
      <c r="AZ4149">
        <v>1200</v>
      </c>
      <c r="BA4149">
        <v>1</v>
      </c>
      <c r="BB4149" t="str">
        <f t="shared" si="207"/>
        <v xml:space="preserve">N8080G  </v>
      </c>
      <c r="BC4149">
        <v>1</v>
      </c>
      <c r="BE4149">
        <v>0</v>
      </c>
      <c r="BF4149">
        <v>0</v>
      </c>
      <c r="BG4149">
        <v>0</v>
      </c>
      <c r="BH4149">
        <v>1350</v>
      </c>
      <c r="BI4149">
        <v>1</v>
      </c>
      <c r="BJ4149">
        <v>1</v>
      </c>
      <c r="BK4149">
        <v>1</v>
      </c>
      <c r="BL4149">
        <v>0</v>
      </c>
      <c r="BO4149">
        <v>0</v>
      </c>
      <c r="BP4149">
        <v>0</v>
      </c>
      <c r="BW4149" t="str">
        <f>"20:37:23.609"</f>
        <v>20:37:23.609</v>
      </c>
      <c r="BZ4149">
        <v>0</v>
      </c>
      <c r="CA4149">
        <v>1600</v>
      </c>
      <c r="CB4149">
        <v>224</v>
      </c>
      <c r="CD4149">
        <v>1</v>
      </c>
      <c r="CE4149">
        <v>0</v>
      </c>
      <c r="CF4149">
        <v>0</v>
      </c>
      <c r="CG4149">
        <v>1</v>
      </c>
      <c r="CH4149">
        <v>0</v>
      </c>
      <c r="CI4149">
        <v>0</v>
      </c>
      <c r="CJ4149">
        <v>0</v>
      </c>
      <c r="CK4149">
        <v>2</v>
      </c>
      <c r="CL4149">
        <v>0</v>
      </c>
      <c r="CM4149">
        <v>2</v>
      </c>
      <c r="CN4149">
        <v>0</v>
      </c>
      <c r="CO4149">
        <v>1</v>
      </c>
      <c r="CP4149" t="s">
        <v>119</v>
      </c>
      <c r="CQ4149">
        <v>179</v>
      </c>
      <c r="CR4149">
        <v>2</v>
      </c>
      <c r="CW4149">
        <v>12624689</v>
      </c>
      <c r="CY4149">
        <v>0</v>
      </c>
      <c r="CZ4149">
        <v>0</v>
      </c>
      <c r="DA4149">
        <v>1</v>
      </c>
      <c r="DB4149">
        <v>0</v>
      </c>
      <c r="DC4149">
        <v>0</v>
      </c>
      <c r="DD4149">
        <v>0</v>
      </c>
      <c r="DE4149">
        <v>0</v>
      </c>
      <c r="DF4149">
        <v>0</v>
      </c>
      <c r="DG4149">
        <v>0</v>
      </c>
      <c r="DH4149">
        <v>0</v>
      </c>
      <c r="DI4149">
        <v>0</v>
      </c>
    </row>
    <row r="4150" spans="1:113" x14ac:dyDescent="0.3">
      <c r="A4150" t="str">
        <f>"02/08/2021 20:37:21.297"</f>
        <v>02/08/2021 20:37:21.297</v>
      </c>
      <c r="C4150" t="str">
        <f t="shared" si="206"/>
        <v>FFDFD7C0</v>
      </c>
      <c r="D4150" t="s">
        <v>113</v>
      </c>
      <c r="E4150">
        <v>6</v>
      </c>
      <c r="H4150">
        <v>165</v>
      </c>
      <c r="I4150" t="s">
        <v>114</v>
      </c>
      <c r="J4150" t="s">
        <v>115</v>
      </c>
      <c r="K4150">
        <v>0</v>
      </c>
      <c r="L4150">
        <v>3</v>
      </c>
      <c r="M4150">
        <v>0</v>
      </c>
      <c r="N4150">
        <v>2</v>
      </c>
      <c r="O4150">
        <v>1</v>
      </c>
      <c r="P4150">
        <v>0</v>
      </c>
      <c r="Q4150">
        <v>0</v>
      </c>
      <c r="S4150" t="str">
        <f>"20:37:23.602"</f>
        <v>20:37:23.602</v>
      </c>
      <c r="T4150" t="str">
        <f>"20:37:23.102"</f>
        <v>20:37:23.102</v>
      </c>
      <c r="U4150" t="str">
        <f t="shared" si="205"/>
        <v>AB01F4</v>
      </c>
      <c r="V4150">
        <v>0</v>
      </c>
      <c r="W4150">
        <v>0</v>
      </c>
      <c r="X4150">
        <v>2</v>
      </c>
      <c r="Z4150">
        <v>0</v>
      </c>
      <c r="AA4150">
        <v>9</v>
      </c>
      <c r="AB4150">
        <v>3</v>
      </c>
      <c r="AC4150">
        <v>0</v>
      </c>
      <c r="AD4150">
        <v>10</v>
      </c>
      <c r="AE4150">
        <v>0</v>
      </c>
      <c r="AF4150">
        <v>3</v>
      </c>
      <c r="AG4150">
        <v>2</v>
      </c>
      <c r="AH4150">
        <v>0</v>
      </c>
      <c r="AI4150" t="s">
        <v>2323</v>
      </c>
      <c r="AJ4150">
        <v>40.154836000000003</v>
      </c>
      <c r="AK4150" t="s">
        <v>2324</v>
      </c>
      <c r="AL4150">
        <v>-93.134407999999993</v>
      </c>
      <c r="AM4150">
        <v>100</v>
      </c>
      <c r="AN4150">
        <v>1300</v>
      </c>
      <c r="AO4150" t="s">
        <v>118</v>
      </c>
      <c r="AP4150">
        <v>-113</v>
      </c>
      <c r="AQ4150">
        <v>60</v>
      </c>
      <c r="AR4150">
        <v>-64</v>
      </c>
      <c r="AZ4150">
        <v>1200</v>
      </c>
      <c r="BA4150">
        <v>1</v>
      </c>
      <c r="BB4150" t="str">
        <f t="shared" si="207"/>
        <v xml:space="preserve">N8080G  </v>
      </c>
      <c r="BC4150">
        <v>1</v>
      </c>
      <c r="BE4150">
        <v>0</v>
      </c>
      <c r="BF4150">
        <v>0</v>
      </c>
      <c r="BG4150">
        <v>0</v>
      </c>
      <c r="BH4150">
        <v>1350</v>
      </c>
      <c r="BI4150">
        <v>1</v>
      </c>
      <c r="BJ4150">
        <v>1</v>
      </c>
      <c r="BK4150">
        <v>1</v>
      </c>
      <c r="BL4150">
        <v>0</v>
      </c>
      <c r="BO4150">
        <v>0</v>
      </c>
      <c r="BP4150">
        <v>0</v>
      </c>
      <c r="BW4150" t="str">
        <f>"20:37:23.609"</f>
        <v>20:37:23.609</v>
      </c>
      <c r="BZ4150">
        <v>0</v>
      </c>
      <c r="CA4150">
        <v>1600</v>
      </c>
      <c r="CB4150">
        <v>224</v>
      </c>
      <c r="CD4150">
        <v>1</v>
      </c>
      <c r="CE4150">
        <v>0</v>
      </c>
      <c r="CF4150">
        <v>0</v>
      </c>
      <c r="CG4150">
        <v>1</v>
      </c>
      <c r="CH4150">
        <v>0</v>
      </c>
      <c r="CI4150">
        <v>0</v>
      </c>
      <c r="CJ4150">
        <v>0</v>
      </c>
      <c r="CK4150">
        <v>2</v>
      </c>
      <c r="CL4150">
        <v>0</v>
      </c>
      <c r="CM4150">
        <v>2</v>
      </c>
      <c r="CN4150">
        <v>0</v>
      </c>
      <c r="CO4150">
        <v>1</v>
      </c>
      <c r="CP4150" t="s">
        <v>119</v>
      </c>
      <c r="CQ4150">
        <v>179</v>
      </c>
      <c r="CR4150">
        <v>2</v>
      </c>
      <c r="CW4150">
        <v>12624689</v>
      </c>
      <c r="CY4150">
        <v>0</v>
      </c>
      <c r="CZ4150">
        <v>0</v>
      </c>
      <c r="DA4150">
        <v>1</v>
      </c>
      <c r="DB4150">
        <v>0</v>
      </c>
      <c r="DC4150">
        <v>0</v>
      </c>
      <c r="DD4150">
        <v>0</v>
      </c>
      <c r="DE4150">
        <v>0</v>
      </c>
      <c r="DF4150">
        <v>0</v>
      </c>
      <c r="DG4150">
        <v>0</v>
      </c>
      <c r="DH4150">
        <v>0</v>
      </c>
      <c r="DI4150">
        <v>0</v>
      </c>
    </row>
    <row r="4151" spans="1:113" x14ac:dyDescent="0.3">
      <c r="A4151" t="str">
        <f>"02/08/2021 20:37:22.238"</f>
        <v>02/08/2021 20:37:22.238</v>
      </c>
      <c r="C4151" t="str">
        <f t="shared" si="206"/>
        <v>FFDFD7C0</v>
      </c>
      <c r="D4151" t="s">
        <v>124</v>
      </c>
      <c r="E4151">
        <v>13</v>
      </c>
      <c r="F4151">
        <v>1013</v>
      </c>
      <c r="G4151" t="s">
        <v>114</v>
      </c>
      <c r="J4151" t="s">
        <v>125</v>
      </c>
      <c r="K4151">
        <v>0</v>
      </c>
      <c r="L4151">
        <v>3</v>
      </c>
      <c r="M4151">
        <v>0</v>
      </c>
      <c r="N4151">
        <v>2</v>
      </c>
      <c r="O4151">
        <v>1</v>
      </c>
      <c r="P4151">
        <v>0</v>
      </c>
      <c r="Q4151">
        <v>0</v>
      </c>
      <c r="S4151" t="str">
        <f>"20:37:24.570"</f>
        <v>20:37:24.570</v>
      </c>
      <c r="T4151" t="str">
        <f>"20:37:24.070"</f>
        <v>20:37:24.070</v>
      </c>
      <c r="U4151" t="str">
        <f t="shared" si="205"/>
        <v>AB01F4</v>
      </c>
      <c r="V4151">
        <v>0</v>
      </c>
      <c r="W4151">
        <v>0</v>
      </c>
      <c r="X4151">
        <v>2</v>
      </c>
      <c r="Z4151">
        <v>0</v>
      </c>
      <c r="AA4151">
        <v>9</v>
      </c>
      <c r="AB4151">
        <v>3</v>
      </c>
      <c r="AC4151">
        <v>0</v>
      </c>
      <c r="AD4151">
        <v>10</v>
      </c>
      <c r="AE4151">
        <v>0</v>
      </c>
      <c r="AF4151">
        <v>3</v>
      </c>
      <c r="AG4151">
        <v>2</v>
      </c>
      <c r="AH4151">
        <v>0</v>
      </c>
      <c r="AI4151" t="s">
        <v>2325</v>
      </c>
      <c r="AJ4151">
        <v>40.155115000000002</v>
      </c>
      <c r="AK4151" t="s">
        <v>2326</v>
      </c>
      <c r="AL4151">
        <v>-93.135073000000006</v>
      </c>
      <c r="AM4151">
        <v>100</v>
      </c>
      <c r="AN4151">
        <v>1300</v>
      </c>
      <c r="AO4151" t="s">
        <v>118</v>
      </c>
      <c r="AP4151">
        <v>-113</v>
      </c>
      <c r="AQ4151">
        <v>60</v>
      </c>
      <c r="AR4151">
        <v>-64</v>
      </c>
      <c r="AZ4151">
        <v>1200</v>
      </c>
      <c r="BA4151">
        <v>1</v>
      </c>
      <c r="BB4151" t="str">
        <f t="shared" si="207"/>
        <v xml:space="preserve">N8080G  </v>
      </c>
      <c r="BC4151">
        <v>1</v>
      </c>
      <c r="BE4151">
        <v>0</v>
      </c>
      <c r="BF4151">
        <v>0</v>
      </c>
      <c r="BG4151">
        <v>0</v>
      </c>
      <c r="BH4151">
        <v>1350</v>
      </c>
      <c r="BI4151">
        <v>1</v>
      </c>
      <c r="BJ4151">
        <v>1</v>
      </c>
      <c r="BK4151">
        <v>1</v>
      </c>
      <c r="BL4151">
        <v>0</v>
      </c>
      <c r="BO4151">
        <v>0</v>
      </c>
      <c r="BP4151">
        <v>0</v>
      </c>
      <c r="BW4151" t="str">
        <f>"20:37:24.571"</f>
        <v>20:37:24.571</v>
      </c>
      <c r="BZ4151">
        <v>0</v>
      </c>
      <c r="CA4151">
        <v>1600</v>
      </c>
      <c r="CB4151">
        <v>224</v>
      </c>
      <c r="CD4151">
        <v>1</v>
      </c>
      <c r="CE4151">
        <v>0</v>
      </c>
      <c r="CF4151">
        <v>0</v>
      </c>
      <c r="CG4151">
        <v>1</v>
      </c>
      <c r="CH4151">
        <v>0</v>
      </c>
      <c r="CI4151">
        <v>0</v>
      </c>
      <c r="CJ4151">
        <v>0</v>
      </c>
      <c r="CK4151">
        <v>2</v>
      </c>
      <c r="CL4151">
        <v>0</v>
      </c>
      <c r="CM4151">
        <v>2</v>
      </c>
      <c r="CN4151">
        <v>0</v>
      </c>
      <c r="CO4151">
        <v>5</v>
      </c>
      <c r="CP4151" t="s">
        <v>119</v>
      </c>
      <c r="CQ4151">
        <v>180</v>
      </c>
      <c r="CR4151">
        <v>3</v>
      </c>
      <c r="CW4151">
        <v>1353768</v>
      </c>
      <c r="CY4151">
        <v>0</v>
      </c>
      <c r="CZ4151">
        <v>0</v>
      </c>
      <c r="DA4151">
        <v>0</v>
      </c>
      <c r="DB4151">
        <v>0</v>
      </c>
      <c r="DC4151">
        <v>0</v>
      </c>
      <c r="DD4151">
        <v>0</v>
      </c>
      <c r="DE4151">
        <v>0</v>
      </c>
      <c r="DF4151">
        <v>0</v>
      </c>
      <c r="DG4151">
        <v>0</v>
      </c>
      <c r="DH4151">
        <v>0</v>
      </c>
      <c r="DI4151">
        <v>0</v>
      </c>
    </row>
    <row r="4152" spans="1:113" x14ac:dyDescent="0.3">
      <c r="A4152" t="str">
        <f>"02/08/2021 20:37:22.238"</f>
        <v>02/08/2021 20:37:22.238</v>
      </c>
      <c r="C4152" t="str">
        <f t="shared" si="206"/>
        <v>FFDFD7C0</v>
      </c>
      <c r="D4152" t="s">
        <v>113</v>
      </c>
      <c r="E4152">
        <v>6</v>
      </c>
      <c r="H4152">
        <v>165</v>
      </c>
      <c r="I4152" t="s">
        <v>114</v>
      </c>
      <c r="J4152" t="s">
        <v>115</v>
      </c>
      <c r="K4152">
        <v>0</v>
      </c>
      <c r="L4152">
        <v>3</v>
      </c>
      <c r="M4152">
        <v>0</v>
      </c>
      <c r="N4152">
        <v>2</v>
      </c>
      <c r="O4152">
        <v>1</v>
      </c>
      <c r="P4152">
        <v>0</v>
      </c>
      <c r="Q4152">
        <v>0</v>
      </c>
      <c r="S4152" t="str">
        <f>"20:37:24.570"</f>
        <v>20:37:24.570</v>
      </c>
      <c r="T4152" t="str">
        <f>"20:37:24.070"</f>
        <v>20:37:24.070</v>
      </c>
      <c r="U4152" t="str">
        <f t="shared" si="205"/>
        <v>AB01F4</v>
      </c>
      <c r="V4152">
        <v>0</v>
      </c>
      <c r="W4152">
        <v>0</v>
      </c>
      <c r="X4152">
        <v>2</v>
      </c>
      <c r="Z4152">
        <v>0</v>
      </c>
      <c r="AA4152">
        <v>9</v>
      </c>
      <c r="AB4152">
        <v>3</v>
      </c>
      <c r="AC4152">
        <v>0</v>
      </c>
      <c r="AD4152">
        <v>10</v>
      </c>
      <c r="AE4152">
        <v>0</v>
      </c>
      <c r="AF4152">
        <v>3</v>
      </c>
      <c r="AG4152">
        <v>2</v>
      </c>
      <c r="AH4152">
        <v>0</v>
      </c>
      <c r="AI4152" t="s">
        <v>2325</v>
      </c>
      <c r="AJ4152">
        <v>40.155115000000002</v>
      </c>
      <c r="AK4152" t="s">
        <v>2326</v>
      </c>
      <c r="AL4152">
        <v>-93.135073000000006</v>
      </c>
      <c r="AM4152">
        <v>100</v>
      </c>
      <c r="AN4152">
        <v>1300</v>
      </c>
      <c r="AO4152" t="s">
        <v>118</v>
      </c>
      <c r="AP4152">
        <v>-113</v>
      </c>
      <c r="AQ4152">
        <v>60</v>
      </c>
      <c r="AR4152">
        <v>-64</v>
      </c>
      <c r="AZ4152">
        <v>1200</v>
      </c>
      <c r="BA4152">
        <v>1</v>
      </c>
      <c r="BB4152" t="str">
        <f t="shared" si="207"/>
        <v xml:space="preserve">N8080G  </v>
      </c>
      <c r="BC4152">
        <v>1</v>
      </c>
      <c r="BE4152">
        <v>0</v>
      </c>
      <c r="BF4152">
        <v>0</v>
      </c>
      <c r="BG4152">
        <v>0</v>
      </c>
      <c r="BH4152">
        <v>1350</v>
      </c>
      <c r="BI4152">
        <v>1</v>
      </c>
      <c r="BJ4152">
        <v>1</v>
      </c>
      <c r="BK4152">
        <v>1</v>
      </c>
      <c r="BL4152">
        <v>0</v>
      </c>
      <c r="BO4152">
        <v>0</v>
      </c>
      <c r="BP4152">
        <v>0</v>
      </c>
      <c r="BW4152" t="str">
        <f>"20:37:24.571"</f>
        <v>20:37:24.571</v>
      </c>
      <c r="BZ4152">
        <v>0</v>
      </c>
      <c r="CA4152">
        <v>1600</v>
      </c>
      <c r="CB4152">
        <v>224</v>
      </c>
      <c r="CD4152">
        <v>1</v>
      </c>
      <c r="CE4152">
        <v>0</v>
      </c>
      <c r="CF4152">
        <v>0</v>
      </c>
      <c r="CG4152">
        <v>1</v>
      </c>
      <c r="CH4152">
        <v>0</v>
      </c>
      <c r="CI4152">
        <v>0</v>
      </c>
      <c r="CJ4152">
        <v>0</v>
      </c>
      <c r="CK4152">
        <v>2</v>
      </c>
      <c r="CL4152">
        <v>0</v>
      </c>
      <c r="CM4152">
        <v>2</v>
      </c>
      <c r="CN4152">
        <v>0</v>
      </c>
      <c r="CO4152">
        <v>5</v>
      </c>
      <c r="CP4152" t="s">
        <v>119</v>
      </c>
      <c r="CQ4152">
        <v>180</v>
      </c>
      <c r="CR4152">
        <v>3</v>
      </c>
      <c r="CW4152">
        <v>1353768</v>
      </c>
      <c r="CY4152">
        <v>0</v>
      </c>
      <c r="CZ4152">
        <v>0</v>
      </c>
      <c r="DA4152">
        <v>1</v>
      </c>
      <c r="DB4152">
        <v>0</v>
      </c>
      <c r="DC4152">
        <v>0</v>
      </c>
      <c r="DD4152">
        <v>0</v>
      </c>
      <c r="DE4152">
        <v>0</v>
      </c>
      <c r="DF4152">
        <v>0</v>
      </c>
      <c r="DG4152">
        <v>0</v>
      </c>
      <c r="DH4152">
        <v>0</v>
      </c>
      <c r="DI4152">
        <v>0</v>
      </c>
    </row>
    <row r="4153" spans="1:113" x14ac:dyDescent="0.3">
      <c r="A4153" t="str">
        <f>"02/08/2021 20:37:22.238"</f>
        <v>02/08/2021 20:37:22.238</v>
      </c>
      <c r="C4153" t="str">
        <f t="shared" si="206"/>
        <v>FFDFD7C0</v>
      </c>
      <c r="D4153" t="s">
        <v>124</v>
      </c>
      <c r="E4153">
        <v>12</v>
      </c>
      <c r="F4153">
        <v>1012</v>
      </c>
      <c r="G4153" t="s">
        <v>675</v>
      </c>
      <c r="J4153" t="s">
        <v>125</v>
      </c>
      <c r="K4153">
        <v>0</v>
      </c>
      <c r="L4153">
        <v>3</v>
      </c>
      <c r="M4153">
        <v>0</v>
      </c>
      <c r="N4153">
        <v>2</v>
      </c>
      <c r="O4153">
        <v>1</v>
      </c>
      <c r="P4153">
        <v>0</v>
      </c>
      <c r="Q4153">
        <v>0</v>
      </c>
      <c r="S4153" t="str">
        <f>"20:37:24.570"</f>
        <v>20:37:24.570</v>
      </c>
      <c r="T4153" t="str">
        <f>"20:37:24.070"</f>
        <v>20:37:24.070</v>
      </c>
      <c r="U4153" t="str">
        <f t="shared" si="205"/>
        <v>AB01F4</v>
      </c>
      <c r="V4153">
        <v>0</v>
      </c>
      <c r="W4153">
        <v>0</v>
      </c>
      <c r="X4153">
        <v>2</v>
      </c>
      <c r="Z4153">
        <v>0</v>
      </c>
      <c r="AA4153">
        <v>9</v>
      </c>
      <c r="AB4153">
        <v>3</v>
      </c>
      <c r="AC4153">
        <v>0</v>
      </c>
      <c r="AD4153">
        <v>10</v>
      </c>
      <c r="AE4153">
        <v>0</v>
      </c>
      <c r="AF4153">
        <v>3</v>
      </c>
      <c r="AG4153">
        <v>2</v>
      </c>
      <c r="AH4153">
        <v>0</v>
      </c>
      <c r="AI4153" t="s">
        <v>2325</v>
      </c>
      <c r="AJ4153">
        <v>40.155115000000002</v>
      </c>
      <c r="AK4153" t="s">
        <v>2326</v>
      </c>
      <c r="AL4153">
        <v>-93.135073000000006</v>
      </c>
      <c r="AM4153">
        <v>100</v>
      </c>
      <c r="AN4153">
        <v>1300</v>
      </c>
      <c r="AO4153" t="s">
        <v>118</v>
      </c>
      <c r="AP4153">
        <v>-113</v>
      </c>
      <c r="AQ4153">
        <v>60</v>
      </c>
      <c r="AR4153">
        <v>-64</v>
      </c>
      <c r="AZ4153">
        <v>1200</v>
      </c>
      <c r="BA4153">
        <v>1</v>
      </c>
      <c r="BB4153" t="str">
        <f t="shared" si="207"/>
        <v xml:space="preserve">N8080G  </v>
      </c>
      <c r="BC4153">
        <v>1</v>
      </c>
      <c r="BE4153">
        <v>0</v>
      </c>
      <c r="BF4153">
        <v>0</v>
      </c>
      <c r="BG4153">
        <v>0</v>
      </c>
      <c r="BH4153">
        <v>1350</v>
      </c>
      <c r="BI4153">
        <v>1</v>
      </c>
      <c r="BJ4153">
        <v>1</v>
      </c>
      <c r="BK4153">
        <v>1</v>
      </c>
      <c r="BL4153">
        <v>0</v>
      </c>
      <c r="BO4153">
        <v>0</v>
      </c>
      <c r="BP4153">
        <v>0</v>
      </c>
      <c r="BW4153" t="str">
        <f>"20:37:24.571"</f>
        <v>20:37:24.571</v>
      </c>
      <c r="BZ4153">
        <v>0</v>
      </c>
      <c r="CA4153">
        <v>1600</v>
      </c>
      <c r="CB4153">
        <v>224</v>
      </c>
      <c r="CD4153">
        <v>1</v>
      </c>
      <c r="CE4153">
        <v>0</v>
      </c>
      <c r="CF4153">
        <v>0</v>
      </c>
      <c r="CG4153">
        <v>1</v>
      </c>
      <c r="CH4153">
        <v>0</v>
      </c>
      <c r="CI4153">
        <v>0</v>
      </c>
      <c r="CJ4153">
        <v>0</v>
      </c>
      <c r="CK4153">
        <v>2</v>
      </c>
      <c r="CL4153">
        <v>0</v>
      </c>
      <c r="CM4153">
        <v>2</v>
      </c>
      <c r="CN4153">
        <v>0</v>
      </c>
      <c r="CO4153">
        <v>5</v>
      </c>
      <c r="CP4153" t="s">
        <v>119</v>
      </c>
      <c r="CQ4153">
        <v>180</v>
      </c>
      <c r="CR4153">
        <v>3</v>
      </c>
      <c r="CW4153">
        <v>1353768</v>
      </c>
      <c r="CY4153">
        <v>0</v>
      </c>
      <c r="CZ4153">
        <v>0</v>
      </c>
      <c r="DA4153">
        <v>1</v>
      </c>
      <c r="DB4153">
        <v>0</v>
      </c>
      <c r="DC4153">
        <v>0</v>
      </c>
      <c r="DD4153">
        <v>0</v>
      </c>
      <c r="DE4153">
        <v>0</v>
      </c>
      <c r="DF4153">
        <v>0</v>
      </c>
      <c r="DG4153">
        <v>0</v>
      </c>
      <c r="DH4153">
        <v>0</v>
      </c>
      <c r="DI4153">
        <v>0</v>
      </c>
    </row>
    <row r="4154" spans="1:113" x14ac:dyDescent="0.3">
      <c r="A4154" t="str">
        <f>"02/08/2021 20:37:22.238"</f>
        <v>02/08/2021 20:37:22.238</v>
      </c>
      <c r="C4154" t="str">
        <f t="shared" si="206"/>
        <v>FFDFD7C0</v>
      </c>
      <c r="D4154" t="s">
        <v>124</v>
      </c>
      <c r="E4154">
        <v>11</v>
      </c>
      <c r="F4154">
        <v>1011</v>
      </c>
      <c r="G4154" t="s">
        <v>590</v>
      </c>
      <c r="J4154" t="s">
        <v>125</v>
      </c>
      <c r="K4154">
        <v>0</v>
      </c>
      <c r="L4154">
        <v>3</v>
      </c>
      <c r="M4154">
        <v>0</v>
      </c>
      <c r="N4154">
        <v>2</v>
      </c>
      <c r="O4154">
        <v>1</v>
      </c>
      <c r="P4154">
        <v>0</v>
      </c>
      <c r="Q4154">
        <v>0</v>
      </c>
      <c r="S4154" t="str">
        <f>"20:37:24.570"</f>
        <v>20:37:24.570</v>
      </c>
      <c r="T4154" t="str">
        <f>"20:37:24.070"</f>
        <v>20:37:24.070</v>
      </c>
      <c r="U4154" t="str">
        <f t="shared" si="205"/>
        <v>AB01F4</v>
      </c>
      <c r="V4154">
        <v>0</v>
      </c>
      <c r="W4154">
        <v>0</v>
      </c>
      <c r="X4154">
        <v>2</v>
      </c>
      <c r="Z4154">
        <v>0</v>
      </c>
      <c r="AA4154">
        <v>9</v>
      </c>
      <c r="AB4154">
        <v>3</v>
      </c>
      <c r="AC4154">
        <v>0</v>
      </c>
      <c r="AD4154">
        <v>10</v>
      </c>
      <c r="AE4154">
        <v>0</v>
      </c>
      <c r="AF4154">
        <v>3</v>
      </c>
      <c r="AG4154">
        <v>2</v>
      </c>
      <c r="AH4154">
        <v>0</v>
      </c>
      <c r="AI4154" t="s">
        <v>2325</v>
      </c>
      <c r="AJ4154">
        <v>40.155115000000002</v>
      </c>
      <c r="AK4154" t="s">
        <v>2326</v>
      </c>
      <c r="AL4154">
        <v>-93.135073000000006</v>
      </c>
      <c r="AM4154">
        <v>100</v>
      </c>
      <c r="AN4154">
        <v>1300</v>
      </c>
      <c r="AO4154" t="s">
        <v>118</v>
      </c>
      <c r="AP4154">
        <v>-113</v>
      </c>
      <c r="AQ4154">
        <v>60</v>
      </c>
      <c r="AR4154">
        <v>-64</v>
      </c>
      <c r="AZ4154">
        <v>1200</v>
      </c>
      <c r="BA4154">
        <v>1</v>
      </c>
      <c r="BB4154" t="str">
        <f t="shared" si="207"/>
        <v xml:space="preserve">N8080G  </v>
      </c>
      <c r="BC4154">
        <v>1</v>
      </c>
      <c r="BE4154">
        <v>0</v>
      </c>
      <c r="BF4154">
        <v>0</v>
      </c>
      <c r="BG4154">
        <v>0</v>
      </c>
      <c r="BH4154">
        <v>1350</v>
      </c>
      <c r="BI4154">
        <v>1</v>
      </c>
      <c r="BJ4154">
        <v>1</v>
      </c>
      <c r="BK4154">
        <v>1</v>
      </c>
      <c r="BL4154">
        <v>0</v>
      </c>
      <c r="BO4154">
        <v>0</v>
      </c>
      <c r="BP4154">
        <v>0</v>
      </c>
      <c r="BW4154" t="str">
        <f>"20:37:24.571"</f>
        <v>20:37:24.571</v>
      </c>
      <c r="BZ4154">
        <v>0</v>
      </c>
      <c r="CA4154">
        <v>1600</v>
      </c>
      <c r="CB4154">
        <v>224</v>
      </c>
      <c r="CD4154">
        <v>1</v>
      </c>
      <c r="CE4154">
        <v>0</v>
      </c>
      <c r="CF4154">
        <v>0</v>
      </c>
      <c r="CG4154">
        <v>1</v>
      </c>
      <c r="CH4154">
        <v>0</v>
      </c>
      <c r="CI4154">
        <v>0</v>
      </c>
      <c r="CJ4154">
        <v>0</v>
      </c>
      <c r="CK4154">
        <v>2</v>
      </c>
      <c r="CL4154">
        <v>0</v>
      </c>
      <c r="CM4154">
        <v>2</v>
      </c>
      <c r="CN4154">
        <v>0</v>
      </c>
      <c r="CO4154">
        <v>5</v>
      </c>
      <c r="CP4154" t="s">
        <v>119</v>
      </c>
      <c r="CQ4154">
        <v>180</v>
      </c>
      <c r="CR4154">
        <v>3</v>
      </c>
      <c r="CW4154">
        <v>1353768</v>
      </c>
      <c r="CY4154">
        <v>0</v>
      </c>
      <c r="CZ4154">
        <v>0</v>
      </c>
      <c r="DA4154">
        <v>1</v>
      </c>
      <c r="DB4154">
        <v>0</v>
      </c>
      <c r="DC4154">
        <v>0</v>
      </c>
      <c r="DD4154">
        <v>0</v>
      </c>
      <c r="DE4154">
        <v>0</v>
      </c>
      <c r="DF4154">
        <v>0</v>
      </c>
      <c r="DG4154">
        <v>0</v>
      </c>
      <c r="DH4154">
        <v>0</v>
      </c>
      <c r="DI4154">
        <v>0</v>
      </c>
    </row>
    <row r="4155" spans="1:113" x14ac:dyDescent="0.3">
      <c r="A4155" t="str">
        <f>"02/08/2021 20:37:23.362"</f>
        <v>02/08/2021 20:37:23.362</v>
      </c>
      <c r="C4155" t="str">
        <f t="shared" si="206"/>
        <v>FFDFD7C0</v>
      </c>
      <c r="D4155" t="s">
        <v>124</v>
      </c>
      <c r="E4155">
        <v>11</v>
      </c>
      <c r="F4155">
        <v>1011</v>
      </c>
      <c r="G4155" t="s">
        <v>590</v>
      </c>
      <c r="J4155" t="s">
        <v>125</v>
      </c>
      <c r="K4155">
        <v>0</v>
      </c>
      <c r="L4155">
        <v>3</v>
      </c>
      <c r="M4155">
        <v>0</v>
      </c>
      <c r="N4155">
        <v>2</v>
      </c>
      <c r="O4155">
        <v>1</v>
      </c>
      <c r="P4155">
        <v>0</v>
      </c>
      <c r="Q4155">
        <v>0</v>
      </c>
      <c r="S4155" t="str">
        <f>"20:37:25.680"</f>
        <v>20:37:25.680</v>
      </c>
      <c r="T4155" t="str">
        <f>"20:37:25.180"</f>
        <v>20:37:25.180</v>
      </c>
      <c r="U4155" t="str">
        <f t="shared" si="205"/>
        <v>AB01F4</v>
      </c>
      <c r="V4155">
        <v>0</v>
      </c>
      <c r="W4155">
        <v>0</v>
      </c>
      <c r="X4155">
        <v>2</v>
      </c>
      <c r="Z4155">
        <v>0</v>
      </c>
      <c r="AA4155">
        <v>9</v>
      </c>
      <c r="AB4155">
        <v>3</v>
      </c>
      <c r="AC4155">
        <v>0</v>
      </c>
      <c r="AD4155">
        <v>10</v>
      </c>
      <c r="AE4155">
        <v>0</v>
      </c>
      <c r="AF4155">
        <v>3</v>
      </c>
      <c r="AG4155">
        <v>2</v>
      </c>
      <c r="AH4155">
        <v>0</v>
      </c>
      <c r="AI4155" t="s">
        <v>2327</v>
      </c>
      <c r="AJ4155">
        <v>40.155458000000003</v>
      </c>
      <c r="AK4155" t="s">
        <v>2328</v>
      </c>
      <c r="AL4155">
        <v>-93.135846000000001</v>
      </c>
      <c r="AM4155">
        <v>100</v>
      </c>
      <c r="AN4155">
        <v>1300</v>
      </c>
      <c r="AO4155" t="s">
        <v>118</v>
      </c>
      <c r="AP4155">
        <v>-113</v>
      </c>
      <c r="AQ4155">
        <v>60</v>
      </c>
      <c r="AR4155">
        <v>-128</v>
      </c>
      <c r="AZ4155">
        <v>1200</v>
      </c>
      <c r="BA4155">
        <v>1</v>
      </c>
      <c r="BB4155" t="str">
        <f t="shared" si="207"/>
        <v xml:space="preserve">N8080G  </v>
      </c>
      <c r="BC4155">
        <v>1</v>
      </c>
      <c r="BE4155">
        <v>0</v>
      </c>
      <c r="BF4155">
        <v>0</v>
      </c>
      <c r="BG4155">
        <v>0</v>
      </c>
      <c r="BH4155">
        <v>1350</v>
      </c>
      <c r="BI4155">
        <v>1</v>
      </c>
      <c r="BJ4155">
        <v>1</v>
      </c>
      <c r="BK4155">
        <v>1</v>
      </c>
      <c r="BL4155">
        <v>0</v>
      </c>
      <c r="BO4155">
        <v>0</v>
      </c>
      <c r="BP4155">
        <v>0</v>
      </c>
      <c r="BW4155" t="str">
        <f>"20:37:25.685"</f>
        <v>20:37:25.685</v>
      </c>
      <c r="BZ4155">
        <v>0</v>
      </c>
      <c r="CA4155">
        <v>1600</v>
      </c>
      <c r="CB4155">
        <v>224</v>
      </c>
      <c r="CD4155">
        <v>1</v>
      </c>
      <c r="CE4155">
        <v>0</v>
      </c>
      <c r="CF4155">
        <v>0</v>
      </c>
      <c r="CG4155">
        <v>1</v>
      </c>
      <c r="CH4155">
        <v>0</v>
      </c>
      <c r="CI4155">
        <v>0</v>
      </c>
      <c r="CJ4155">
        <v>0</v>
      </c>
      <c r="CK4155">
        <v>2</v>
      </c>
      <c r="CL4155">
        <v>0</v>
      </c>
      <c r="CM4155">
        <v>2</v>
      </c>
      <c r="CN4155">
        <v>0</v>
      </c>
      <c r="CO4155">
        <v>5</v>
      </c>
      <c r="CP4155" t="s">
        <v>119</v>
      </c>
      <c r="CQ4155">
        <v>180</v>
      </c>
      <c r="CR4155">
        <v>3</v>
      </c>
      <c r="CW4155">
        <v>1354574</v>
      </c>
      <c r="CY4155">
        <v>0</v>
      </c>
      <c r="CZ4155">
        <v>0</v>
      </c>
      <c r="DA4155">
        <v>0</v>
      </c>
      <c r="DB4155">
        <v>0</v>
      </c>
      <c r="DC4155">
        <v>0</v>
      </c>
      <c r="DD4155">
        <v>0</v>
      </c>
      <c r="DE4155">
        <v>0</v>
      </c>
      <c r="DF4155">
        <v>0</v>
      </c>
      <c r="DG4155">
        <v>0</v>
      </c>
      <c r="DH4155">
        <v>0</v>
      </c>
      <c r="DI4155">
        <v>0</v>
      </c>
    </row>
    <row r="4156" spans="1:113" x14ac:dyDescent="0.3">
      <c r="A4156" t="str">
        <f>"02/08/2021 20:37:23.362"</f>
        <v>02/08/2021 20:37:23.362</v>
      </c>
      <c r="C4156" t="str">
        <f t="shared" si="206"/>
        <v>FFDFD7C0</v>
      </c>
      <c r="D4156" t="s">
        <v>124</v>
      </c>
      <c r="E4156">
        <v>13</v>
      </c>
      <c r="F4156">
        <v>1013</v>
      </c>
      <c r="G4156" t="s">
        <v>114</v>
      </c>
      <c r="J4156" t="s">
        <v>125</v>
      </c>
      <c r="K4156">
        <v>0</v>
      </c>
      <c r="L4156">
        <v>3</v>
      </c>
      <c r="M4156">
        <v>0</v>
      </c>
      <c r="N4156">
        <v>2</v>
      </c>
      <c r="O4156">
        <v>1</v>
      </c>
      <c r="P4156">
        <v>0</v>
      </c>
      <c r="Q4156">
        <v>0</v>
      </c>
      <c r="S4156" t="str">
        <f>"20:37:25.680"</f>
        <v>20:37:25.680</v>
      </c>
      <c r="T4156" t="str">
        <f>"20:37:25.180"</f>
        <v>20:37:25.180</v>
      </c>
      <c r="U4156" t="str">
        <f t="shared" si="205"/>
        <v>AB01F4</v>
      </c>
      <c r="V4156">
        <v>0</v>
      </c>
      <c r="W4156">
        <v>0</v>
      </c>
      <c r="X4156">
        <v>2</v>
      </c>
      <c r="Z4156">
        <v>0</v>
      </c>
      <c r="AA4156">
        <v>9</v>
      </c>
      <c r="AB4156">
        <v>3</v>
      </c>
      <c r="AC4156">
        <v>0</v>
      </c>
      <c r="AD4156">
        <v>10</v>
      </c>
      <c r="AE4156">
        <v>0</v>
      </c>
      <c r="AF4156">
        <v>3</v>
      </c>
      <c r="AG4156">
        <v>2</v>
      </c>
      <c r="AH4156">
        <v>0</v>
      </c>
      <c r="AI4156" t="s">
        <v>2327</v>
      </c>
      <c r="AJ4156">
        <v>40.155458000000003</v>
      </c>
      <c r="AK4156" t="s">
        <v>2328</v>
      </c>
      <c r="AL4156">
        <v>-93.135846000000001</v>
      </c>
      <c r="AM4156">
        <v>100</v>
      </c>
      <c r="AN4156">
        <v>1300</v>
      </c>
      <c r="AO4156" t="s">
        <v>118</v>
      </c>
      <c r="AP4156">
        <v>-113</v>
      </c>
      <c r="AQ4156">
        <v>60</v>
      </c>
      <c r="AR4156">
        <v>-128</v>
      </c>
      <c r="AZ4156">
        <v>1200</v>
      </c>
      <c r="BA4156">
        <v>1</v>
      </c>
      <c r="BB4156" t="str">
        <f t="shared" si="207"/>
        <v xml:space="preserve">N8080G  </v>
      </c>
      <c r="BC4156">
        <v>1</v>
      </c>
      <c r="BE4156">
        <v>0</v>
      </c>
      <c r="BF4156">
        <v>0</v>
      </c>
      <c r="BG4156">
        <v>0</v>
      </c>
      <c r="BH4156">
        <v>1350</v>
      </c>
      <c r="BI4156">
        <v>1</v>
      </c>
      <c r="BJ4156">
        <v>1</v>
      </c>
      <c r="BK4156">
        <v>1</v>
      </c>
      <c r="BL4156">
        <v>0</v>
      </c>
      <c r="BO4156">
        <v>0</v>
      </c>
      <c r="BP4156">
        <v>0</v>
      </c>
      <c r="BW4156" t="str">
        <f>"20:37:25.685"</f>
        <v>20:37:25.685</v>
      </c>
      <c r="BZ4156">
        <v>0</v>
      </c>
      <c r="CA4156">
        <v>1600</v>
      </c>
      <c r="CB4156">
        <v>224</v>
      </c>
      <c r="CD4156">
        <v>1</v>
      </c>
      <c r="CE4156">
        <v>0</v>
      </c>
      <c r="CF4156">
        <v>0</v>
      </c>
      <c r="CG4156">
        <v>1</v>
      </c>
      <c r="CH4156">
        <v>0</v>
      </c>
      <c r="CI4156">
        <v>0</v>
      </c>
      <c r="CJ4156">
        <v>0</v>
      </c>
      <c r="CK4156">
        <v>2</v>
      </c>
      <c r="CL4156">
        <v>0</v>
      </c>
      <c r="CM4156">
        <v>2</v>
      </c>
      <c r="CN4156">
        <v>0</v>
      </c>
      <c r="CO4156">
        <v>5</v>
      </c>
      <c r="CP4156" t="s">
        <v>119</v>
      </c>
      <c r="CQ4156">
        <v>180</v>
      </c>
      <c r="CR4156">
        <v>3</v>
      </c>
      <c r="CW4156">
        <v>1354574</v>
      </c>
      <c r="CY4156">
        <v>0</v>
      </c>
      <c r="CZ4156">
        <v>0</v>
      </c>
      <c r="DA4156">
        <v>1</v>
      </c>
      <c r="DB4156">
        <v>0</v>
      </c>
      <c r="DC4156">
        <v>0</v>
      </c>
      <c r="DD4156">
        <v>0</v>
      </c>
      <c r="DE4156">
        <v>0</v>
      </c>
      <c r="DF4156">
        <v>0</v>
      </c>
      <c r="DG4156">
        <v>0</v>
      </c>
      <c r="DH4156">
        <v>0</v>
      </c>
      <c r="DI4156">
        <v>0</v>
      </c>
    </row>
    <row r="4157" spans="1:113" x14ac:dyDescent="0.3">
      <c r="A4157" t="str">
        <f>"02/08/2021 20:37:23.362"</f>
        <v>02/08/2021 20:37:23.362</v>
      </c>
      <c r="C4157" t="str">
        <f t="shared" si="206"/>
        <v>FFDFD7C0</v>
      </c>
      <c r="D4157" t="s">
        <v>124</v>
      </c>
      <c r="E4157">
        <v>12</v>
      </c>
      <c r="F4157">
        <v>1012</v>
      </c>
      <c r="G4157" t="s">
        <v>675</v>
      </c>
      <c r="J4157" t="s">
        <v>125</v>
      </c>
      <c r="K4157">
        <v>0</v>
      </c>
      <c r="L4157">
        <v>3</v>
      </c>
      <c r="M4157">
        <v>0</v>
      </c>
      <c r="N4157">
        <v>2</v>
      </c>
      <c r="O4157">
        <v>1</v>
      </c>
      <c r="P4157">
        <v>0</v>
      </c>
      <c r="Q4157">
        <v>0</v>
      </c>
      <c r="S4157" t="str">
        <f>"20:37:25.680"</f>
        <v>20:37:25.680</v>
      </c>
      <c r="T4157" t="str">
        <f>"20:37:25.180"</f>
        <v>20:37:25.180</v>
      </c>
      <c r="U4157" t="str">
        <f t="shared" si="205"/>
        <v>AB01F4</v>
      </c>
      <c r="V4157">
        <v>0</v>
      </c>
      <c r="W4157">
        <v>0</v>
      </c>
      <c r="X4157">
        <v>2</v>
      </c>
      <c r="Z4157">
        <v>0</v>
      </c>
      <c r="AA4157">
        <v>9</v>
      </c>
      <c r="AB4157">
        <v>3</v>
      </c>
      <c r="AC4157">
        <v>0</v>
      </c>
      <c r="AD4157">
        <v>10</v>
      </c>
      <c r="AE4157">
        <v>0</v>
      </c>
      <c r="AF4157">
        <v>3</v>
      </c>
      <c r="AG4157">
        <v>2</v>
      </c>
      <c r="AH4157">
        <v>0</v>
      </c>
      <c r="AI4157" t="s">
        <v>2327</v>
      </c>
      <c r="AJ4157">
        <v>40.155458000000003</v>
      </c>
      <c r="AK4157" t="s">
        <v>2328</v>
      </c>
      <c r="AL4157">
        <v>-93.135846000000001</v>
      </c>
      <c r="AM4157">
        <v>100</v>
      </c>
      <c r="AN4157">
        <v>1300</v>
      </c>
      <c r="AO4157" t="s">
        <v>118</v>
      </c>
      <c r="AP4157">
        <v>-113</v>
      </c>
      <c r="AQ4157">
        <v>60</v>
      </c>
      <c r="AR4157">
        <v>-128</v>
      </c>
      <c r="AZ4157">
        <v>1200</v>
      </c>
      <c r="BA4157">
        <v>1</v>
      </c>
      <c r="BB4157" t="str">
        <f t="shared" si="207"/>
        <v xml:space="preserve">N8080G  </v>
      </c>
      <c r="BC4157">
        <v>1</v>
      </c>
      <c r="BE4157">
        <v>0</v>
      </c>
      <c r="BF4157">
        <v>0</v>
      </c>
      <c r="BG4157">
        <v>0</v>
      </c>
      <c r="BH4157">
        <v>1350</v>
      </c>
      <c r="BI4157">
        <v>1</v>
      </c>
      <c r="BJ4157">
        <v>1</v>
      </c>
      <c r="BK4157">
        <v>1</v>
      </c>
      <c r="BL4157">
        <v>0</v>
      </c>
      <c r="BO4157">
        <v>0</v>
      </c>
      <c r="BP4157">
        <v>0</v>
      </c>
      <c r="BW4157" t="str">
        <f>"20:37:25.685"</f>
        <v>20:37:25.685</v>
      </c>
      <c r="BZ4157">
        <v>0</v>
      </c>
      <c r="CA4157">
        <v>1600</v>
      </c>
      <c r="CB4157">
        <v>224</v>
      </c>
      <c r="CD4157">
        <v>1</v>
      </c>
      <c r="CE4157">
        <v>0</v>
      </c>
      <c r="CF4157">
        <v>0</v>
      </c>
      <c r="CG4157">
        <v>1</v>
      </c>
      <c r="CH4157">
        <v>0</v>
      </c>
      <c r="CI4157">
        <v>0</v>
      </c>
      <c r="CJ4157">
        <v>0</v>
      </c>
      <c r="CK4157">
        <v>2</v>
      </c>
      <c r="CL4157">
        <v>0</v>
      </c>
      <c r="CM4157">
        <v>2</v>
      </c>
      <c r="CN4157">
        <v>0</v>
      </c>
      <c r="CO4157">
        <v>5</v>
      </c>
      <c r="CP4157" t="s">
        <v>119</v>
      </c>
      <c r="CQ4157">
        <v>180</v>
      </c>
      <c r="CR4157">
        <v>3</v>
      </c>
      <c r="CW4157">
        <v>1354574</v>
      </c>
      <c r="CY4157">
        <v>0</v>
      </c>
      <c r="CZ4157">
        <v>0</v>
      </c>
      <c r="DA4157">
        <v>1</v>
      </c>
      <c r="DB4157">
        <v>0</v>
      </c>
      <c r="DC4157">
        <v>0</v>
      </c>
      <c r="DD4157">
        <v>0</v>
      </c>
      <c r="DE4157">
        <v>0</v>
      </c>
      <c r="DF4157">
        <v>0</v>
      </c>
      <c r="DG4157">
        <v>0</v>
      </c>
      <c r="DH4157">
        <v>0</v>
      </c>
      <c r="DI4157">
        <v>0</v>
      </c>
    </row>
    <row r="4158" spans="1:113" x14ac:dyDescent="0.3">
      <c r="A4158" t="str">
        <f>"02/08/2021 20:37:23.362"</f>
        <v>02/08/2021 20:37:23.362</v>
      </c>
      <c r="C4158" t="str">
        <f t="shared" si="206"/>
        <v>FFDFD7C0</v>
      </c>
      <c r="D4158" t="s">
        <v>113</v>
      </c>
      <c r="E4158">
        <v>6</v>
      </c>
      <c r="H4158">
        <v>165</v>
      </c>
      <c r="I4158" t="s">
        <v>114</v>
      </c>
      <c r="J4158" t="s">
        <v>115</v>
      </c>
      <c r="K4158">
        <v>0</v>
      </c>
      <c r="L4158">
        <v>3</v>
      </c>
      <c r="M4158">
        <v>0</v>
      </c>
      <c r="N4158">
        <v>2</v>
      </c>
      <c r="O4158">
        <v>1</v>
      </c>
      <c r="P4158">
        <v>0</v>
      </c>
      <c r="Q4158">
        <v>0</v>
      </c>
      <c r="S4158" t="str">
        <f>"20:37:25.680"</f>
        <v>20:37:25.680</v>
      </c>
      <c r="T4158" t="str">
        <f>"20:37:25.180"</f>
        <v>20:37:25.180</v>
      </c>
      <c r="U4158" t="str">
        <f t="shared" si="205"/>
        <v>AB01F4</v>
      </c>
      <c r="V4158">
        <v>0</v>
      </c>
      <c r="W4158">
        <v>0</v>
      </c>
      <c r="X4158">
        <v>2</v>
      </c>
      <c r="Z4158">
        <v>0</v>
      </c>
      <c r="AA4158">
        <v>9</v>
      </c>
      <c r="AB4158">
        <v>3</v>
      </c>
      <c r="AC4158">
        <v>0</v>
      </c>
      <c r="AD4158">
        <v>10</v>
      </c>
      <c r="AE4158">
        <v>0</v>
      </c>
      <c r="AF4158">
        <v>3</v>
      </c>
      <c r="AG4158">
        <v>2</v>
      </c>
      <c r="AH4158">
        <v>0</v>
      </c>
      <c r="AI4158" t="s">
        <v>2327</v>
      </c>
      <c r="AJ4158">
        <v>40.155458000000003</v>
      </c>
      <c r="AK4158" t="s">
        <v>2328</v>
      </c>
      <c r="AL4158">
        <v>-93.135846000000001</v>
      </c>
      <c r="AM4158">
        <v>100</v>
      </c>
      <c r="AN4158">
        <v>1300</v>
      </c>
      <c r="AO4158" t="s">
        <v>118</v>
      </c>
      <c r="AP4158">
        <v>-113</v>
      </c>
      <c r="AQ4158">
        <v>60</v>
      </c>
      <c r="AR4158">
        <v>-128</v>
      </c>
      <c r="AZ4158">
        <v>1200</v>
      </c>
      <c r="BA4158">
        <v>1</v>
      </c>
      <c r="BB4158" t="str">
        <f t="shared" si="207"/>
        <v xml:space="preserve">N8080G  </v>
      </c>
      <c r="BC4158">
        <v>1</v>
      </c>
      <c r="BE4158">
        <v>0</v>
      </c>
      <c r="BF4158">
        <v>0</v>
      </c>
      <c r="BG4158">
        <v>0</v>
      </c>
      <c r="BH4158">
        <v>1350</v>
      </c>
      <c r="BI4158">
        <v>1</v>
      </c>
      <c r="BJ4158">
        <v>1</v>
      </c>
      <c r="BK4158">
        <v>1</v>
      </c>
      <c r="BL4158">
        <v>0</v>
      </c>
      <c r="BO4158">
        <v>0</v>
      </c>
      <c r="BP4158">
        <v>0</v>
      </c>
      <c r="BW4158" t="str">
        <f>"20:37:25.685"</f>
        <v>20:37:25.685</v>
      </c>
      <c r="BZ4158">
        <v>0</v>
      </c>
      <c r="CA4158">
        <v>1600</v>
      </c>
      <c r="CB4158">
        <v>224</v>
      </c>
      <c r="CD4158">
        <v>1</v>
      </c>
      <c r="CE4158">
        <v>0</v>
      </c>
      <c r="CF4158">
        <v>0</v>
      </c>
      <c r="CG4158">
        <v>1</v>
      </c>
      <c r="CH4158">
        <v>0</v>
      </c>
      <c r="CI4158">
        <v>0</v>
      </c>
      <c r="CJ4158">
        <v>0</v>
      </c>
      <c r="CK4158">
        <v>2</v>
      </c>
      <c r="CL4158">
        <v>0</v>
      </c>
      <c r="CM4158">
        <v>2</v>
      </c>
      <c r="CN4158">
        <v>0</v>
      </c>
      <c r="CO4158">
        <v>5</v>
      </c>
      <c r="CP4158" t="s">
        <v>119</v>
      </c>
      <c r="CQ4158">
        <v>180</v>
      </c>
      <c r="CR4158">
        <v>3</v>
      </c>
      <c r="CW4158">
        <v>1354574</v>
      </c>
      <c r="CY4158">
        <v>0</v>
      </c>
      <c r="CZ4158">
        <v>0</v>
      </c>
      <c r="DA4158">
        <v>1</v>
      </c>
      <c r="DB4158">
        <v>0</v>
      </c>
      <c r="DC4158">
        <v>0</v>
      </c>
      <c r="DD4158">
        <v>0</v>
      </c>
      <c r="DE4158">
        <v>0</v>
      </c>
      <c r="DF4158">
        <v>0</v>
      </c>
      <c r="DG4158">
        <v>0</v>
      </c>
      <c r="DH4158">
        <v>0</v>
      </c>
      <c r="DI4158">
        <v>0</v>
      </c>
    </row>
    <row r="4159" spans="1:113" x14ac:dyDescent="0.3">
      <c r="A4159" t="str">
        <f>"02/08/2021 20:37:24.501"</f>
        <v>02/08/2021 20:37:24.501</v>
      </c>
      <c r="C4159" t="str">
        <f t="shared" si="206"/>
        <v>FFDFD7C0</v>
      </c>
      <c r="D4159" t="s">
        <v>124</v>
      </c>
      <c r="E4159">
        <v>13</v>
      </c>
      <c r="F4159">
        <v>1013</v>
      </c>
      <c r="G4159" t="s">
        <v>114</v>
      </c>
      <c r="J4159" t="s">
        <v>125</v>
      </c>
      <c r="K4159">
        <v>0</v>
      </c>
      <c r="L4159">
        <v>3</v>
      </c>
      <c r="M4159">
        <v>0</v>
      </c>
      <c r="N4159">
        <v>2</v>
      </c>
      <c r="O4159">
        <v>1</v>
      </c>
      <c r="P4159">
        <v>0</v>
      </c>
      <c r="Q4159">
        <v>0</v>
      </c>
      <c r="S4159" t="str">
        <f>"20:37:26.797"</f>
        <v>20:37:26.797</v>
      </c>
      <c r="T4159" t="str">
        <f>"20:37:26.297"</f>
        <v>20:37:26.297</v>
      </c>
      <c r="U4159" t="str">
        <f t="shared" si="205"/>
        <v>AB01F4</v>
      </c>
      <c r="V4159">
        <v>0</v>
      </c>
      <c r="W4159">
        <v>0</v>
      </c>
      <c r="X4159">
        <v>2</v>
      </c>
      <c r="Z4159">
        <v>0</v>
      </c>
      <c r="AA4159">
        <v>9</v>
      </c>
      <c r="AB4159">
        <v>3</v>
      </c>
      <c r="AC4159">
        <v>0</v>
      </c>
      <c r="AD4159">
        <v>10</v>
      </c>
      <c r="AE4159">
        <v>0</v>
      </c>
      <c r="AF4159">
        <v>3</v>
      </c>
      <c r="AG4159">
        <v>2</v>
      </c>
      <c r="AH4159">
        <v>0</v>
      </c>
      <c r="AI4159" t="s">
        <v>2329</v>
      </c>
      <c r="AJ4159">
        <v>40.155715999999998</v>
      </c>
      <c r="AK4159" t="s">
        <v>2330</v>
      </c>
      <c r="AL4159">
        <v>-93.136596999999995</v>
      </c>
      <c r="AM4159">
        <v>100</v>
      </c>
      <c r="AN4159">
        <v>1300</v>
      </c>
      <c r="AO4159" t="s">
        <v>118</v>
      </c>
      <c r="AP4159">
        <v>-113</v>
      </c>
      <c r="AQ4159">
        <v>60</v>
      </c>
      <c r="AR4159">
        <v>0</v>
      </c>
      <c r="AZ4159">
        <v>1200</v>
      </c>
      <c r="BA4159">
        <v>1</v>
      </c>
      <c r="BB4159" t="str">
        <f t="shared" si="207"/>
        <v xml:space="preserve">N8080G  </v>
      </c>
      <c r="BC4159">
        <v>1</v>
      </c>
      <c r="BE4159">
        <v>0</v>
      </c>
      <c r="BF4159">
        <v>0</v>
      </c>
      <c r="BG4159">
        <v>0</v>
      </c>
      <c r="BH4159">
        <v>1350</v>
      </c>
      <c r="BI4159">
        <v>1</v>
      </c>
      <c r="BJ4159">
        <v>1</v>
      </c>
      <c r="BK4159">
        <v>1</v>
      </c>
      <c r="BL4159">
        <v>0</v>
      </c>
      <c r="BO4159">
        <v>0</v>
      </c>
      <c r="BP4159">
        <v>0</v>
      </c>
      <c r="BW4159" t="str">
        <f>"20:37:26.803"</f>
        <v>20:37:26.803</v>
      </c>
      <c r="BZ4159">
        <v>0</v>
      </c>
      <c r="CA4159">
        <v>1600</v>
      </c>
      <c r="CB4159">
        <v>224</v>
      </c>
      <c r="CD4159">
        <v>1</v>
      </c>
      <c r="CE4159">
        <v>0</v>
      </c>
      <c r="CF4159">
        <v>0</v>
      </c>
      <c r="CG4159">
        <v>1</v>
      </c>
      <c r="CH4159">
        <v>0</v>
      </c>
      <c r="CI4159">
        <v>0</v>
      </c>
      <c r="CJ4159">
        <v>0</v>
      </c>
      <c r="CK4159">
        <v>2</v>
      </c>
      <c r="CL4159">
        <v>0</v>
      </c>
      <c r="CM4159">
        <v>2</v>
      </c>
      <c r="CN4159">
        <v>0</v>
      </c>
      <c r="CO4159">
        <v>5</v>
      </c>
      <c r="CP4159" t="s">
        <v>119</v>
      </c>
      <c r="CQ4159">
        <v>180</v>
      </c>
      <c r="CR4159">
        <v>3</v>
      </c>
      <c r="CW4159">
        <v>1355371</v>
      </c>
      <c r="CY4159">
        <v>0</v>
      </c>
      <c r="CZ4159">
        <v>0</v>
      </c>
      <c r="DA4159">
        <v>0</v>
      </c>
      <c r="DB4159">
        <v>0</v>
      </c>
      <c r="DC4159">
        <v>0</v>
      </c>
      <c r="DD4159">
        <v>0</v>
      </c>
      <c r="DE4159">
        <v>0</v>
      </c>
      <c r="DF4159">
        <v>0</v>
      </c>
      <c r="DG4159">
        <v>0</v>
      </c>
      <c r="DH4159">
        <v>0</v>
      </c>
      <c r="DI4159">
        <v>0</v>
      </c>
    </row>
    <row r="4160" spans="1:113" x14ac:dyDescent="0.3">
      <c r="A4160" t="str">
        <f>"02/08/2021 20:37:24.501"</f>
        <v>02/08/2021 20:37:24.501</v>
      </c>
      <c r="C4160" t="str">
        <f t="shared" si="206"/>
        <v>FFDFD7C0</v>
      </c>
      <c r="D4160" t="s">
        <v>124</v>
      </c>
      <c r="E4160">
        <v>12</v>
      </c>
      <c r="F4160">
        <v>1012</v>
      </c>
      <c r="G4160" t="s">
        <v>675</v>
      </c>
      <c r="J4160" t="s">
        <v>125</v>
      </c>
      <c r="K4160">
        <v>0</v>
      </c>
      <c r="L4160">
        <v>3</v>
      </c>
      <c r="M4160">
        <v>0</v>
      </c>
      <c r="N4160">
        <v>2</v>
      </c>
      <c r="O4160">
        <v>1</v>
      </c>
      <c r="P4160">
        <v>0</v>
      </c>
      <c r="Q4160">
        <v>0</v>
      </c>
      <c r="S4160" t="str">
        <f>"20:37:26.797"</f>
        <v>20:37:26.797</v>
      </c>
      <c r="T4160" t="str">
        <f>"20:37:26.297"</f>
        <v>20:37:26.297</v>
      </c>
      <c r="U4160" t="str">
        <f t="shared" si="205"/>
        <v>AB01F4</v>
      </c>
      <c r="V4160">
        <v>0</v>
      </c>
      <c r="W4160">
        <v>0</v>
      </c>
      <c r="X4160">
        <v>2</v>
      </c>
      <c r="Z4160">
        <v>0</v>
      </c>
      <c r="AA4160">
        <v>9</v>
      </c>
      <c r="AB4160">
        <v>3</v>
      </c>
      <c r="AC4160">
        <v>0</v>
      </c>
      <c r="AD4160">
        <v>10</v>
      </c>
      <c r="AE4160">
        <v>0</v>
      </c>
      <c r="AF4160">
        <v>3</v>
      </c>
      <c r="AG4160">
        <v>2</v>
      </c>
      <c r="AH4160">
        <v>0</v>
      </c>
      <c r="AI4160" t="s">
        <v>2329</v>
      </c>
      <c r="AJ4160">
        <v>40.155715999999998</v>
      </c>
      <c r="AK4160" t="s">
        <v>2330</v>
      </c>
      <c r="AL4160">
        <v>-93.136596999999995</v>
      </c>
      <c r="AM4160">
        <v>100</v>
      </c>
      <c r="AN4160">
        <v>1300</v>
      </c>
      <c r="AO4160" t="s">
        <v>118</v>
      </c>
      <c r="AP4160">
        <v>-113</v>
      </c>
      <c r="AQ4160">
        <v>60</v>
      </c>
      <c r="AR4160">
        <v>0</v>
      </c>
      <c r="AZ4160">
        <v>1200</v>
      </c>
      <c r="BA4160">
        <v>1</v>
      </c>
      <c r="BB4160" t="str">
        <f t="shared" si="207"/>
        <v xml:space="preserve">N8080G  </v>
      </c>
      <c r="BC4160">
        <v>1</v>
      </c>
      <c r="BE4160">
        <v>0</v>
      </c>
      <c r="BF4160">
        <v>0</v>
      </c>
      <c r="BG4160">
        <v>0</v>
      </c>
      <c r="BH4160">
        <v>1350</v>
      </c>
      <c r="BI4160">
        <v>1</v>
      </c>
      <c r="BJ4160">
        <v>1</v>
      </c>
      <c r="BK4160">
        <v>1</v>
      </c>
      <c r="BL4160">
        <v>0</v>
      </c>
      <c r="BO4160">
        <v>0</v>
      </c>
      <c r="BP4160">
        <v>0</v>
      </c>
      <c r="BW4160" t="str">
        <f>"20:37:26.803"</f>
        <v>20:37:26.803</v>
      </c>
      <c r="BZ4160">
        <v>0</v>
      </c>
      <c r="CA4160">
        <v>1600</v>
      </c>
      <c r="CB4160">
        <v>224</v>
      </c>
      <c r="CD4160">
        <v>1</v>
      </c>
      <c r="CE4160">
        <v>0</v>
      </c>
      <c r="CF4160">
        <v>0</v>
      </c>
      <c r="CG4160">
        <v>1</v>
      </c>
      <c r="CH4160">
        <v>0</v>
      </c>
      <c r="CI4160">
        <v>0</v>
      </c>
      <c r="CJ4160">
        <v>0</v>
      </c>
      <c r="CK4160">
        <v>2</v>
      </c>
      <c r="CL4160">
        <v>0</v>
      </c>
      <c r="CM4160">
        <v>2</v>
      </c>
      <c r="CN4160">
        <v>0</v>
      </c>
      <c r="CO4160">
        <v>5</v>
      </c>
      <c r="CP4160" t="s">
        <v>119</v>
      </c>
      <c r="CQ4160">
        <v>180</v>
      </c>
      <c r="CR4160">
        <v>3</v>
      </c>
      <c r="CW4160">
        <v>1355371</v>
      </c>
      <c r="CY4160">
        <v>0</v>
      </c>
      <c r="CZ4160">
        <v>0</v>
      </c>
      <c r="DA4160">
        <v>1</v>
      </c>
      <c r="DB4160">
        <v>0</v>
      </c>
      <c r="DC4160">
        <v>0</v>
      </c>
      <c r="DD4160">
        <v>0</v>
      </c>
      <c r="DE4160">
        <v>0</v>
      </c>
      <c r="DF4160">
        <v>0</v>
      </c>
      <c r="DG4160">
        <v>0</v>
      </c>
      <c r="DH4160">
        <v>0</v>
      </c>
      <c r="DI4160">
        <v>0</v>
      </c>
    </row>
    <row r="4161" spans="1:113" x14ac:dyDescent="0.3">
      <c r="A4161" t="str">
        <f>"02/08/2021 20:37:24.501"</f>
        <v>02/08/2021 20:37:24.501</v>
      </c>
      <c r="C4161" t="str">
        <f t="shared" si="206"/>
        <v>FFDFD7C0</v>
      </c>
      <c r="D4161" t="s">
        <v>113</v>
      </c>
      <c r="E4161">
        <v>6</v>
      </c>
      <c r="H4161">
        <v>165</v>
      </c>
      <c r="I4161" t="s">
        <v>114</v>
      </c>
      <c r="J4161" t="s">
        <v>115</v>
      </c>
      <c r="K4161">
        <v>0</v>
      </c>
      <c r="L4161">
        <v>3</v>
      </c>
      <c r="M4161">
        <v>0</v>
      </c>
      <c r="N4161">
        <v>2</v>
      </c>
      <c r="O4161">
        <v>1</v>
      </c>
      <c r="P4161">
        <v>0</v>
      </c>
      <c r="Q4161">
        <v>0</v>
      </c>
      <c r="S4161" t="str">
        <f>"20:37:26.797"</f>
        <v>20:37:26.797</v>
      </c>
      <c r="T4161" t="str">
        <f>"20:37:26.297"</f>
        <v>20:37:26.297</v>
      </c>
      <c r="U4161" t="str">
        <f t="shared" si="205"/>
        <v>AB01F4</v>
      </c>
      <c r="V4161">
        <v>0</v>
      </c>
      <c r="W4161">
        <v>0</v>
      </c>
      <c r="X4161">
        <v>2</v>
      </c>
      <c r="Z4161">
        <v>0</v>
      </c>
      <c r="AA4161">
        <v>9</v>
      </c>
      <c r="AB4161">
        <v>3</v>
      </c>
      <c r="AC4161">
        <v>0</v>
      </c>
      <c r="AD4161">
        <v>10</v>
      </c>
      <c r="AE4161">
        <v>0</v>
      </c>
      <c r="AF4161">
        <v>3</v>
      </c>
      <c r="AG4161">
        <v>2</v>
      </c>
      <c r="AH4161">
        <v>0</v>
      </c>
      <c r="AI4161" t="s">
        <v>2329</v>
      </c>
      <c r="AJ4161">
        <v>40.155715999999998</v>
      </c>
      <c r="AK4161" t="s">
        <v>2330</v>
      </c>
      <c r="AL4161">
        <v>-93.136596999999995</v>
      </c>
      <c r="AM4161">
        <v>100</v>
      </c>
      <c r="AN4161">
        <v>1300</v>
      </c>
      <c r="AO4161" t="s">
        <v>118</v>
      </c>
      <c r="AP4161">
        <v>-113</v>
      </c>
      <c r="AQ4161">
        <v>60</v>
      </c>
      <c r="AR4161">
        <v>0</v>
      </c>
      <c r="AZ4161">
        <v>1200</v>
      </c>
      <c r="BA4161">
        <v>1</v>
      </c>
      <c r="BB4161" t="str">
        <f t="shared" si="207"/>
        <v xml:space="preserve">N8080G  </v>
      </c>
      <c r="BC4161">
        <v>1</v>
      </c>
      <c r="BE4161">
        <v>0</v>
      </c>
      <c r="BF4161">
        <v>0</v>
      </c>
      <c r="BG4161">
        <v>0</v>
      </c>
      <c r="BH4161">
        <v>1350</v>
      </c>
      <c r="BI4161">
        <v>1</v>
      </c>
      <c r="BJ4161">
        <v>1</v>
      </c>
      <c r="BK4161">
        <v>1</v>
      </c>
      <c r="BL4161">
        <v>0</v>
      </c>
      <c r="BO4161">
        <v>0</v>
      </c>
      <c r="BP4161">
        <v>0</v>
      </c>
      <c r="BW4161" t="str">
        <f>"20:37:26.803"</f>
        <v>20:37:26.803</v>
      </c>
      <c r="BZ4161">
        <v>0</v>
      </c>
      <c r="CA4161">
        <v>1600</v>
      </c>
      <c r="CB4161">
        <v>224</v>
      </c>
      <c r="CD4161">
        <v>1</v>
      </c>
      <c r="CE4161">
        <v>0</v>
      </c>
      <c r="CF4161">
        <v>0</v>
      </c>
      <c r="CG4161">
        <v>1</v>
      </c>
      <c r="CH4161">
        <v>0</v>
      </c>
      <c r="CI4161">
        <v>0</v>
      </c>
      <c r="CJ4161">
        <v>0</v>
      </c>
      <c r="CK4161">
        <v>2</v>
      </c>
      <c r="CL4161">
        <v>0</v>
      </c>
      <c r="CM4161">
        <v>2</v>
      </c>
      <c r="CN4161">
        <v>0</v>
      </c>
      <c r="CO4161">
        <v>5</v>
      </c>
      <c r="CP4161" t="s">
        <v>119</v>
      </c>
      <c r="CQ4161">
        <v>180</v>
      </c>
      <c r="CR4161">
        <v>3</v>
      </c>
      <c r="CW4161">
        <v>1355371</v>
      </c>
      <c r="CY4161">
        <v>0</v>
      </c>
      <c r="CZ4161">
        <v>0</v>
      </c>
      <c r="DA4161">
        <v>1</v>
      </c>
      <c r="DB4161">
        <v>0</v>
      </c>
      <c r="DC4161">
        <v>0</v>
      </c>
      <c r="DD4161">
        <v>0</v>
      </c>
      <c r="DE4161">
        <v>0</v>
      </c>
      <c r="DF4161">
        <v>0</v>
      </c>
      <c r="DG4161">
        <v>0</v>
      </c>
      <c r="DH4161">
        <v>0</v>
      </c>
      <c r="DI4161">
        <v>0</v>
      </c>
    </row>
    <row r="4162" spans="1:113" x14ac:dyDescent="0.3">
      <c r="A4162" t="str">
        <f>"02/08/2021 20:37:24.501"</f>
        <v>02/08/2021 20:37:24.501</v>
      </c>
      <c r="C4162" t="str">
        <f t="shared" si="206"/>
        <v>FFDFD7C0</v>
      </c>
      <c r="D4162" t="s">
        <v>124</v>
      </c>
      <c r="E4162">
        <v>11</v>
      </c>
      <c r="F4162">
        <v>1011</v>
      </c>
      <c r="G4162" t="s">
        <v>590</v>
      </c>
      <c r="J4162" t="s">
        <v>125</v>
      </c>
      <c r="K4162">
        <v>0</v>
      </c>
      <c r="L4162">
        <v>3</v>
      </c>
      <c r="M4162">
        <v>0</v>
      </c>
      <c r="N4162">
        <v>2</v>
      </c>
      <c r="O4162">
        <v>1</v>
      </c>
      <c r="P4162">
        <v>0</v>
      </c>
      <c r="Q4162">
        <v>0</v>
      </c>
      <c r="S4162" t="str">
        <f>"20:37:26.797"</f>
        <v>20:37:26.797</v>
      </c>
      <c r="T4162" t="str">
        <f>"20:37:26.297"</f>
        <v>20:37:26.297</v>
      </c>
      <c r="U4162" t="str">
        <f t="shared" ref="U4162:U4225" si="208">"AB01F4"</f>
        <v>AB01F4</v>
      </c>
      <c r="V4162">
        <v>0</v>
      </c>
      <c r="W4162">
        <v>0</v>
      </c>
      <c r="X4162">
        <v>2</v>
      </c>
      <c r="Z4162">
        <v>0</v>
      </c>
      <c r="AA4162">
        <v>9</v>
      </c>
      <c r="AB4162">
        <v>3</v>
      </c>
      <c r="AC4162">
        <v>0</v>
      </c>
      <c r="AD4162">
        <v>10</v>
      </c>
      <c r="AE4162">
        <v>0</v>
      </c>
      <c r="AF4162">
        <v>3</v>
      </c>
      <c r="AG4162">
        <v>2</v>
      </c>
      <c r="AH4162">
        <v>0</v>
      </c>
      <c r="AI4162" t="s">
        <v>2329</v>
      </c>
      <c r="AJ4162">
        <v>40.155715999999998</v>
      </c>
      <c r="AK4162" t="s">
        <v>2330</v>
      </c>
      <c r="AL4162">
        <v>-93.136596999999995</v>
      </c>
      <c r="AM4162">
        <v>100</v>
      </c>
      <c r="AN4162">
        <v>1300</v>
      </c>
      <c r="AO4162" t="s">
        <v>118</v>
      </c>
      <c r="AP4162">
        <v>-113</v>
      </c>
      <c r="AQ4162">
        <v>60</v>
      </c>
      <c r="AR4162">
        <v>0</v>
      </c>
      <c r="AZ4162">
        <v>1200</v>
      </c>
      <c r="BA4162">
        <v>1</v>
      </c>
      <c r="BB4162" t="str">
        <f t="shared" si="207"/>
        <v xml:space="preserve">N8080G  </v>
      </c>
      <c r="BC4162">
        <v>1</v>
      </c>
      <c r="BE4162">
        <v>0</v>
      </c>
      <c r="BF4162">
        <v>0</v>
      </c>
      <c r="BG4162">
        <v>0</v>
      </c>
      <c r="BH4162">
        <v>1350</v>
      </c>
      <c r="BI4162">
        <v>1</v>
      </c>
      <c r="BJ4162">
        <v>1</v>
      </c>
      <c r="BK4162">
        <v>1</v>
      </c>
      <c r="BL4162">
        <v>0</v>
      </c>
      <c r="BO4162">
        <v>0</v>
      </c>
      <c r="BP4162">
        <v>0</v>
      </c>
      <c r="BW4162" t="str">
        <f>"20:37:26.803"</f>
        <v>20:37:26.803</v>
      </c>
      <c r="BZ4162">
        <v>0</v>
      </c>
      <c r="CA4162">
        <v>1600</v>
      </c>
      <c r="CB4162">
        <v>224</v>
      </c>
      <c r="CD4162">
        <v>1</v>
      </c>
      <c r="CE4162">
        <v>0</v>
      </c>
      <c r="CF4162">
        <v>0</v>
      </c>
      <c r="CG4162">
        <v>1</v>
      </c>
      <c r="CH4162">
        <v>0</v>
      </c>
      <c r="CI4162">
        <v>0</v>
      </c>
      <c r="CJ4162">
        <v>0</v>
      </c>
      <c r="CK4162">
        <v>2</v>
      </c>
      <c r="CL4162">
        <v>0</v>
      </c>
      <c r="CM4162">
        <v>2</v>
      </c>
      <c r="CN4162">
        <v>0</v>
      </c>
      <c r="CO4162">
        <v>5</v>
      </c>
      <c r="CP4162" t="s">
        <v>119</v>
      </c>
      <c r="CQ4162">
        <v>180</v>
      </c>
      <c r="CR4162">
        <v>3</v>
      </c>
      <c r="CW4162">
        <v>1355371</v>
      </c>
      <c r="CY4162">
        <v>0</v>
      </c>
      <c r="CZ4162">
        <v>0</v>
      </c>
      <c r="DA4162">
        <v>1</v>
      </c>
      <c r="DB4162">
        <v>0</v>
      </c>
      <c r="DC4162">
        <v>0</v>
      </c>
      <c r="DD4162">
        <v>0</v>
      </c>
      <c r="DE4162">
        <v>0</v>
      </c>
      <c r="DF4162">
        <v>0</v>
      </c>
      <c r="DG4162">
        <v>0</v>
      </c>
      <c r="DH4162">
        <v>0</v>
      </c>
      <c r="DI4162">
        <v>0</v>
      </c>
    </row>
    <row r="4163" spans="1:113" x14ac:dyDescent="0.3">
      <c r="A4163" t="str">
        <f>"02/08/2021 20:37:25.635"</f>
        <v>02/08/2021 20:37:25.635</v>
      </c>
      <c r="C4163" t="str">
        <f t="shared" si="206"/>
        <v>FFDFD7C0</v>
      </c>
      <c r="D4163" t="s">
        <v>113</v>
      </c>
      <c r="E4163">
        <v>6</v>
      </c>
      <c r="H4163">
        <v>165</v>
      </c>
      <c r="I4163" t="s">
        <v>114</v>
      </c>
      <c r="J4163" t="s">
        <v>115</v>
      </c>
      <c r="K4163">
        <v>0</v>
      </c>
      <c r="L4163">
        <v>3</v>
      </c>
      <c r="M4163">
        <v>0</v>
      </c>
      <c r="N4163">
        <v>2</v>
      </c>
      <c r="O4163">
        <v>1</v>
      </c>
      <c r="P4163">
        <v>0</v>
      </c>
      <c r="Q4163">
        <v>0</v>
      </c>
      <c r="S4163" t="str">
        <f>"20:37:27.961"</f>
        <v>20:37:27.961</v>
      </c>
      <c r="T4163" t="str">
        <f>"20:37:27.461"</f>
        <v>20:37:27.461</v>
      </c>
      <c r="U4163" t="str">
        <f t="shared" si="208"/>
        <v>AB01F4</v>
      </c>
      <c r="V4163">
        <v>0</v>
      </c>
      <c r="W4163">
        <v>0</v>
      </c>
      <c r="X4163">
        <v>2</v>
      </c>
      <c r="Z4163">
        <v>0</v>
      </c>
      <c r="AA4163">
        <v>9</v>
      </c>
      <c r="AB4163">
        <v>3</v>
      </c>
      <c r="AC4163">
        <v>0</v>
      </c>
      <c r="AD4163">
        <v>10</v>
      </c>
      <c r="AE4163">
        <v>0</v>
      </c>
      <c r="AF4163">
        <v>3</v>
      </c>
      <c r="AG4163">
        <v>2</v>
      </c>
      <c r="AH4163">
        <v>0</v>
      </c>
      <c r="AI4163" t="s">
        <v>2331</v>
      </c>
      <c r="AJ4163">
        <v>40.156081</v>
      </c>
      <c r="AK4163" t="s">
        <v>2332</v>
      </c>
      <c r="AL4163">
        <v>-93.137390999999994</v>
      </c>
      <c r="AM4163">
        <v>100</v>
      </c>
      <c r="AN4163">
        <v>1300</v>
      </c>
      <c r="AO4163" t="s">
        <v>118</v>
      </c>
      <c r="AP4163">
        <v>-113</v>
      </c>
      <c r="AQ4163">
        <v>59</v>
      </c>
      <c r="AR4163">
        <v>0</v>
      </c>
      <c r="AZ4163">
        <v>1200</v>
      </c>
      <c r="BA4163">
        <v>1</v>
      </c>
      <c r="BB4163" t="str">
        <f t="shared" si="207"/>
        <v xml:space="preserve">N8080G  </v>
      </c>
      <c r="BC4163">
        <v>1</v>
      </c>
      <c r="BE4163">
        <v>0</v>
      </c>
      <c r="BF4163">
        <v>0</v>
      </c>
      <c r="BG4163">
        <v>0</v>
      </c>
      <c r="BH4163">
        <v>1350</v>
      </c>
      <c r="BI4163">
        <v>1</v>
      </c>
      <c r="BJ4163">
        <v>1</v>
      </c>
      <c r="BK4163">
        <v>1</v>
      </c>
      <c r="BL4163">
        <v>0</v>
      </c>
      <c r="BO4163">
        <v>0</v>
      </c>
      <c r="BP4163">
        <v>0</v>
      </c>
      <c r="BW4163" t="str">
        <f>"20:37:27.967"</f>
        <v>20:37:27.967</v>
      </c>
      <c r="BZ4163">
        <v>0</v>
      </c>
      <c r="CA4163">
        <v>1600</v>
      </c>
      <c r="CB4163">
        <v>224</v>
      </c>
      <c r="CD4163">
        <v>1</v>
      </c>
      <c r="CE4163">
        <v>0</v>
      </c>
      <c r="CF4163">
        <v>0</v>
      </c>
      <c r="CG4163">
        <v>1</v>
      </c>
      <c r="CH4163">
        <v>0</v>
      </c>
      <c r="CI4163">
        <v>0</v>
      </c>
      <c r="CJ4163">
        <v>0</v>
      </c>
      <c r="CK4163">
        <v>2</v>
      </c>
      <c r="CL4163">
        <v>0</v>
      </c>
      <c r="CM4163">
        <v>2</v>
      </c>
      <c r="CN4163">
        <v>0</v>
      </c>
      <c r="CO4163">
        <v>5</v>
      </c>
      <c r="CP4163" t="s">
        <v>119</v>
      </c>
      <c r="CQ4163">
        <v>180</v>
      </c>
      <c r="CR4163">
        <v>3</v>
      </c>
      <c r="CW4163">
        <v>1356277</v>
      </c>
      <c r="CY4163">
        <v>0</v>
      </c>
      <c r="CZ4163">
        <v>0</v>
      </c>
      <c r="DA4163">
        <v>0</v>
      </c>
      <c r="DB4163">
        <v>0</v>
      </c>
      <c r="DC4163">
        <v>0</v>
      </c>
      <c r="DD4163">
        <v>0</v>
      </c>
      <c r="DE4163">
        <v>0</v>
      </c>
      <c r="DF4163">
        <v>0</v>
      </c>
      <c r="DG4163">
        <v>0</v>
      </c>
      <c r="DH4163">
        <v>0</v>
      </c>
      <c r="DI4163">
        <v>0</v>
      </c>
    </row>
    <row r="4164" spans="1:113" x14ac:dyDescent="0.3">
      <c r="A4164" t="str">
        <f>"02/08/2021 20:37:25.635"</f>
        <v>02/08/2021 20:37:25.635</v>
      </c>
      <c r="C4164" t="str">
        <f t="shared" si="206"/>
        <v>FFDFD7C0</v>
      </c>
      <c r="D4164" t="s">
        <v>124</v>
      </c>
      <c r="E4164">
        <v>13</v>
      </c>
      <c r="F4164">
        <v>1013</v>
      </c>
      <c r="G4164" t="s">
        <v>114</v>
      </c>
      <c r="J4164" t="s">
        <v>125</v>
      </c>
      <c r="K4164">
        <v>0</v>
      </c>
      <c r="L4164">
        <v>3</v>
      </c>
      <c r="M4164">
        <v>0</v>
      </c>
      <c r="N4164">
        <v>2</v>
      </c>
      <c r="O4164">
        <v>1</v>
      </c>
      <c r="P4164">
        <v>0</v>
      </c>
      <c r="Q4164">
        <v>0</v>
      </c>
      <c r="S4164" t="str">
        <f>"20:37:27.961"</f>
        <v>20:37:27.961</v>
      </c>
      <c r="T4164" t="str">
        <f>"20:37:27.461"</f>
        <v>20:37:27.461</v>
      </c>
      <c r="U4164" t="str">
        <f t="shared" si="208"/>
        <v>AB01F4</v>
      </c>
      <c r="V4164">
        <v>0</v>
      </c>
      <c r="W4164">
        <v>0</v>
      </c>
      <c r="X4164">
        <v>2</v>
      </c>
      <c r="Z4164">
        <v>0</v>
      </c>
      <c r="AA4164">
        <v>9</v>
      </c>
      <c r="AB4164">
        <v>3</v>
      </c>
      <c r="AC4164">
        <v>0</v>
      </c>
      <c r="AD4164">
        <v>10</v>
      </c>
      <c r="AE4164">
        <v>0</v>
      </c>
      <c r="AF4164">
        <v>3</v>
      </c>
      <c r="AG4164">
        <v>2</v>
      </c>
      <c r="AH4164">
        <v>0</v>
      </c>
      <c r="AI4164" t="s">
        <v>2331</v>
      </c>
      <c r="AJ4164">
        <v>40.156081</v>
      </c>
      <c r="AK4164" t="s">
        <v>2332</v>
      </c>
      <c r="AL4164">
        <v>-93.137390999999994</v>
      </c>
      <c r="AM4164">
        <v>100</v>
      </c>
      <c r="AN4164">
        <v>1300</v>
      </c>
      <c r="AO4164" t="s">
        <v>118</v>
      </c>
      <c r="AP4164">
        <v>-113</v>
      </c>
      <c r="AQ4164">
        <v>59</v>
      </c>
      <c r="AR4164">
        <v>0</v>
      </c>
      <c r="AZ4164">
        <v>1200</v>
      </c>
      <c r="BA4164">
        <v>1</v>
      </c>
      <c r="BB4164" t="str">
        <f t="shared" si="207"/>
        <v xml:space="preserve">N8080G  </v>
      </c>
      <c r="BC4164">
        <v>1</v>
      </c>
      <c r="BE4164">
        <v>0</v>
      </c>
      <c r="BF4164">
        <v>0</v>
      </c>
      <c r="BG4164">
        <v>0</v>
      </c>
      <c r="BH4164">
        <v>1350</v>
      </c>
      <c r="BI4164">
        <v>1</v>
      </c>
      <c r="BJ4164">
        <v>1</v>
      </c>
      <c r="BK4164">
        <v>1</v>
      </c>
      <c r="BL4164">
        <v>0</v>
      </c>
      <c r="BO4164">
        <v>0</v>
      </c>
      <c r="BP4164">
        <v>0</v>
      </c>
      <c r="BW4164" t="str">
        <f>"20:37:27.967"</f>
        <v>20:37:27.967</v>
      </c>
      <c r="BZ4164">
        <v>0</v>
      </c>
      <c r="CA4164">
        <v>1600</v>
      </c>
      <c r="CB4164">
        <v>224</v>
      </c>
      <c r="CD4164">
        <v>1</v>
      </c>
      <c r="CE4164">
        <v>0</v>
      </c>
      <c r="CF4164">
        <v>0</v>
      </c>
      <c r="CG4164">
        <v>1</v>
      </c>
      <c r="CH4164">
        <v>0</v>
      </c>
      <c r="CI4164">
        <v>0</v>
      </c>
      <c r="CJ4164">
        <v>0</v>
      </c>
      <c r="CK4164">
        <v>2</v>
      </c>
      <c r="CL4164">
        <v>0</v>
      </c>
      <c r="CM4164">
        <v>2</v>
      </c>
      <c r="CN4164">
        <v>0</v>
      </c>
      <c r="CO4164">
        <v>5</v>
      </c>
      <c r="CP4164" t="s">
        <v>119</v>
      </c>
      <c r="CQ4164">
        <v>180</v>
      </c>
      <c r="CR4164">
        <v>3</v>
      </c>
      <c r="CW4164">
        <v>1356277</v>
      </c>
      <c r="CY4164">
        <v>0</v>
      </c>
      <c r="CZ4164">
        <v>0</v>
      </c>
      <c r="DA4164">
        <v>1</v>
      </c>
      <c r="DB4164">
        <v>0</v>
      </c>
      <c r="DC4164">
        <v>0</v>
      </c>
      <c r="DD4164">
        <v>0</v>
      </c>
      <c r="DE4164">
        <v>0</v>
      </c>
      <c r="DF4164">
        <v>0</v>
      </c>
      <c r="DG4164">
        <v>0</v>
      </c>
      <c r="DH4164">
        <v>0</v>
      </c>
      <c r="DI4164">
        <v>0</v>
      </c>
    </row>
    <row r="4165" spans="1:113" x14ac:dyDescent="0.3">
      <c r="A4165" t="str">
        <f>"02/08/2021 20:37:25.635"</f>
        <v>02/08/2021 20:37:25.635</v>
      </c>
      <c r="C4165" t="str">
        <f t="shared" si="206"/>
        <v>FFDFD7C0</v>
      </c>
      <c r="D4165" t="s">
        <v>124</v>
      </c>
      <c r="E4165">
        <v>12</v>
      </c>
      <c r="F4165">
        <v>1012</v>
      </c>
      <c r="G4165" t="s">
        <v>675</v>
      </c>
      <c r="J4165" t="s">
        <v>125</v>
      </c>
      <c r="K4165">
        <v>0</v>
      </c>
      <c r="L4165">
        <v>3</v>
      </c>
      <c r="M4165">
        <v>0</v>
      </c>
      <c r="N4165">
        <v>2</v>
      </c>
      <c r="O4165">
        <v>1</v>
      </c>
      <c r="P4165">
        <v>0</v>
      </c>
      <c r="Q4165">
        <v>0</v>
      </c>
      <c r="S4165" t="str">
        <f>"20:37:27.961"</f>
        <v>20:37:27.961</v>
      </c>
      <c r="T4165" t="str">
        <f>"20:37:27.461"</f>
        <v>20:37:27.461</v>
      </c>
      <c r="U4165" t="str">
        <f t="shared" si="208"/>
        <v>AB01F4</v>
      </c>
      <c r="V4165">
        <v>0</v>
      </c>
      <c r="W4165">
        <v>0</v>
      </c>
      <c r="X4165">
        <v>2</v>
      </c>
      <c r="Z4165">
        <v>0</v>
      </c>
      <c r="AA4165">
        <v>9</v>
      </c>
      <c r="AB4165">
        <v>3</v>
      </c>
      <c r="AC4165">
        <v>0</v>
      </c>
      <c r="AD4165">
        <v>10</v>
      </c>
      <c r="AE4165">
        <v>0</v>
      </c>
      <c r="AF4165">
        <v>3</v>
      </c>
      <c r="AG4165">
        <v>2</v>
      </c>
      <c r="AH4165">
        <v>0</v>
      </c>
      <c r="AI4165" t="s">
        <v>2331</v>
      </c>
      <c r="AJ4165">
        <v>40.156081</v>
      </c>
      <c r="AK4165" t="s">
        <v>2332</v>
      </c>
      <c r="AL4165">
        <v>-93.137390999999994</v>
      </c>
      <c r="AM4165">
        <v>100</v>
      </c>
      <c r="AN4165">
        <v>1300</v>
      </c>
      <c r="AO4165" t="s">
        <v>118</v>
      </c>
      <c r="AP4165">
        <v>-113</v>
      </c>
      <c r="AQ4165">
        <v>59</v>
      </c>
      <c r="AR4165">
        <v>0</v>
      </c>
      <c r="AZ4165">
        <v>1200</v>
      </c>
      <c r="BA4165">
        <v>1</v>
      </c>
      <c r="BB4165" t="str">
        <f t="shared" si="207"/>
        <v xml:space="preserve">N8080G  </v>
      </c>
      <c r="BC4165">
        <v>1</v>
      </c>
      <c r="BE4165">
        <v>0</v>
      </c>
      <c r="BF4165">
        <v>0</v>
      </c>
      <c r="BG4165">
        <v>0</v>
      </c>
      <c r="BH4165">
        <v>1350</v>
      </c>
      <c r="BI4165">
        <v>1</v>
      </c>
      <c r="BJ4165">
        <v>1</v>
      </c>
      <c r="BK4165">
        <v>1</v>
      </c>
      <c r="BL4165">
        <v>0</v>
      </c>
      <c r="BO4165">
        <v>0</v>
      </c>
      <c r="BP4165">
        <v>0</v>
      </c>
      <c r="BW4165" t="str">
        <f>"20:37:27.967"</f>
        <v>20:37:27.967</v>
      </c>
      <c r="BZ4165">
        <v>0</v>
      </c>
      <c r="CA4165">
        <v>1600</v>
      </c>
      <c r="CB4165">
        <v>224</v>
      </c>
      <c r="CD4165">
        <v>1</v>
      </c>
      <c r="CE4165">
        <v>0</v>
      </c>
      <c r="CF4165">
        <v>0</v>
      </c>
      <c r="CG4165">
        <v>1</v>
      </c>
      <c r="CH4165">
        <v>0</v>
      </c>
      <c r="CI4165">
        <v>0</v>
      </c>
      <c r="CJ4165">
        <v>0</v>
      </c>
      <c r="CK4165">
        <v>2</v>
      </c>
      <c r="CL4165">
        <v>0</v>
      </c>
      <c r="CM4165">
        <v>2</v>
      </c>
      <c r="CN4165">
        <v>0</v>
      </c>
      <c r="CO4165">
        <v>5</v>
      </c>
      <c r="CP4165" t="s">
        <v>119</v>
      </c>
      <c r="CQ4165">
        <v>180</v>
      </c>
      <c r="CR4165">
        <v>3</v>
      </c>
      <c r="CW4165">
        <v>1356277</v>
      </c>
      <c r="CY4165">
        <v>0</v>
      </c>
      <c r="CZ4165">
        <v>0</v>
      </c>
      <c r="DA4165">
        <v>1</v>
      </c>
      <c r="DB4165">
        <v>0</v>
      </c>
      <c r="DC4165">
        <v>0</v>
      </c>
      <c r="DD4165">
        <v>0</v>
      </c>
      <c r="DE4165">
        <v>0</v>
      </c>
      <c r="DF4165">
        <v>0</v>
      </c>
      <c r="DG4165">
        <v>0</v>
      </c>
      <c r="DH4165">
        <v>0</v>
      </c>
      <c r="DI4165">
        <v>0</v>
      </c>
    </row>
    <row r="4166" spans="1:113" x14ac:dyDescent="0.3">
      <c r="A4166" t="str">
        <f>"02/08/2021 20:37:25.635"</f>
        <v>02/08/2021 20:37:25.635</v>
      </c>
      <c r="C4166" t="str">
        <f t="shared" si="206"/>
        <v>FFDFD7C0</v>
      </c>
      <c r="D4166" t="s">
        <v>124</v>
      </c>
      <c r="E4166">
        <v>11</v>
      </c>
      <c r="F4166">
        <v>1011</v>
      </c>
      <c r="G4166" t="s">
        <v>590</v>
      </c>
      <c r="J4166" t="s">
        <v>125</v>
      </c>
      <c r="K4166">
        <v>0</v>
      </c>
      <c r="L4166">
        <v>3</v>
      </c>
      <c r="M4166">
        <v>0</v>
      </c>
      <c r="N4166">
        <v>2</v>
      </c>
      <c r="O4166">
        <v>1</v>
      </c>
      <c r="P4166">
        <v>0</v>
      </c>
      <c r="Q4166">
        <v>0</v>
      </c>
      <c r="S4166" t="str">
        <f>"20:37:27.961"</f>
        <v>20:37:27.961</v>
      </c>
      <c r="T4166" t="str">
        <f>"20:37:27.461"</f>
        <v>20:37:27.461</v>
      </c>
      <c r="U4166" t="str">
        <f t="shared" si="208"/>
        <v>AB01F4</v>
      </c>
      <c r="V4166">
        <v>0</v>
      </c>
      <c r="W4166">
        <v>0</v>
      </c>
      <c r="X4166">
        <v>2</v>
      </c>
      <c r="Z4166">
        <v>0</v>
      </c>
      <c r="AA4166">
        <v>9</v>
      </c>
      <c r="AB4166">
        <v>3</v>
      </c>
      <c r="AC4166">
        <v>0</v>
      </c>
      <c r="AD4166">
        <v>10</v>
      </c>
      <c r="AE4166">
        <v>0</v>
      </c>
      <c r="AF4166">
        <v>3</v>
      </c>
      <c r="AG4166">
        <v>2</v>
      </c>
      <c r="AH4166">
        <v>0</v>
      </c>
      <c r="AI4166" t="s">
        <v>2331</v>
      </c>
      <c r="AJ4166">
        <v>40.156081</v>
      </c>
      <c r="AK4166" t="s">
        <v>2332</v>
      </c>
      <c r="AL4166">
        <v>-93.137390999999994</v>
      </c>
      <c r="AM4166">
        <v>100</v>
      </c>
      <c r="AN4166">
        <v>1300</v>
      </c>
      <c r="AO4166" t="s">
        <v>118</v>
      </c>
      <c r="AP4166">
        <v>-113</v>
      </c>
      <c r="AQ4166">
        <v>59</v>
      </c>
      <c r="AR4166">
        <v>0</v>
      </c>
      <c r="AZ4166">
        <v>1200</v>
      </c>
      <c r="BA4166">
        <v>1</v>
      </c>
      <c r="BB4166" t="str">
        <f t="shared" si="207"/>
        <v xml:space="preserve">N8080G  </v>
      </c>
      <c r="BC4166">
        <v>1</v>
      </c>
      <c r="BE4166">
        <v>0</v>
      </c>
      <c r="BF4166">
        <v>0</v>
      </c>
      <c r="BG4166">
        <v>0</v>
      </c>
      <c r="BH4166">
        <v>1350</v>
      </c>
      <c r="BI4166">
        <v>1</v>
      </c>
      <c r="BJ4166">
        <v>1</v>
      </c>
      <c r="BK4166">
        <v>1</v>
      </c>
      <c r="BL4166">
        <v>0</v>
      </c>
      <c r="BO4166">
        <v>0</v>
      </c>
      <c r="BP4166">
        <v>0</v>
      </c>
      <c r="BW4166" t="str">
        <f>"20:37:27.967"</f>
        <v>20:37:27.967</v>
      </c>
      <c r="BZ4166">
        <v>0</v>
      </c>
      <c r="CA4166">
        <v>1600</v>
      </c>
      <c r="CB4166">
        <v>224</v>
      </c>
      <c r="CD4166">
        <v>1</v>
      </c>
      <c r="CE4166">
        <v>0</v>
      </c>
      <c r="CF4166">
        <v>0</v>
      </c>
      <c r="CG4166">
        <v>1</v>
      </c>
      <c r="CH4166">
        <v>0</v>
      </c>
      <c r="CI4166">
        <v>0</v>
      </c>
      <c r="CJ4166">
        <v>0</v>
      </c>
      <c r="CK4166">
        <v>2</v>
      </c>
      <c r="CL4166">
        <v>0</v>
      </c>
      <c r="CM4166">
        <v>2</v>
      </c>
      <c r="CN4166">
        <v>0</v>
      </c>
      <c r="CO4166">
        <v>5</v>
      </c>
      <c r="CP4166" t="s">
        <v>119</v>
      </c>
      <c r="CQ4166">
        <v>180</v>
      </c>
      <c r="CR4166">
        <v>3</v>
      </c>
      <c r="CW4166">
        <v>1356277</v>
      </c>
      <c r="CY4166">
        <v>0</v>
      </c>
      <c r="CZ4166">
        <v>0</v>
      </c>
      <c r="DA4166">
        <v>1</v>
      </c>
      <c r="DB4166">
        <v>0</v>
      </c>
      <c r="DC4166">
        <v>0</v>
      </c>
      <c r="DD4166">
        <v>0</v>
      </c>
      <c r="DE4166">
        <v>0</v>
      </c>
      <c r="DF4166">
        <v>0</v>
      </c>
      <c r="DG4166">
        <v>0</v>
      </c>
      <c r="DH4166">
        <v>0</v>
      </c>
      <c r="DI4166">
        <v>0</v>
      </c>
    </row>
    <row r="4167" spans="1:113" x14ac:dyDescent="0.3">
      <c r="A4167" t="str">
        <f>"02/08/2021 20:37:28.504"</f>
        <v>02/08/2021 20:37:28.504</v>
      </c>
      <c r="C4167" t="str">
        <f t="shared" si="206"/>
        <v>FFDFD7C0</v>
      </c>
      <c r="D4167" t="s">
        <v>124</v>
      </c>
      <c r="E4167">
        <v>11</v>
      </c>
      <c r="F4167">
        <v>1011</v>
      </c>
      <c r="G4167" t="s">
        <v>590</v>
      </c>
      <c r="J4167" t="s">
        <v>125</v>
      </c>
      <c r="K4167">
        <v>0</v>
      </c>
      <c r="L4167">
        <v>3</v>
      </c>
      <c r="M4167">
        <v>0</v>
      </c>
      <c r="N4167">
        <v>2</v>
      </c>
      <c r="O4167">
        <v>1</v>
      </c>
      <c r="P4167">
        <v>0</v>
      </c>
      <c r="Q4167">
        <v>0</v>
      </c>
      <c r="S4167" t="str">
        <f>"20:37:30.813"</f>
        <v>20:37:30.813</v>
      </c>
      <c r="T4167" t="str">
        <f>"20:37:30.413"</f>
        <v>20:37:30.413</v>
      </c>
      <c r="U4167" t="str">
        <f t="shared" si="208"/>
        <v>AB01F4</v>
      </c>
      <c r="V4167">
        <v>0</v>
      </c>
      <c r="W4167">
        <v>0</v>
      </c>
      <c r="X4167">
        <v>2</v>
      </c>
      <c r="Z4167">
        <v>0</v>
      </c>
      <c r="AA4167">
        <v>9</v>
      </c>
      <c r="AB4167">
        <v>3</v>
      </c>
      <c r="AC4167">
        <v>0</v>
      </c>
      <c r="AD4167">
        <v>10</v>
      </c>
      <c r="AE4167">
        <v>0</v>
      </c>
      <c r="AF4167">
        <v>3</v>
      </c>
      <c r="AG4167">
        <v>2</v>
      </c>
      <c r="AH4167">
        <v>0</v>
      </c>
      <c r="AI4167" t="s">
        <v>2333</v>
      </c>
      <c r="AJ4167">
        <v>40.15681</v>
      </c>
      <c r="AK4167" t="s">
        <v>2334</v>
      </c>
      <c r="AL4167">
        <v>-93.139342999999997</v>
      </c>
      <c r="AM4167">
        <v>100</v>
      </c>
      <c r="AN4167">
        <v>1300</v>
      </c>
      <c r="AO4167" t="s">
        <v>118</v>
      </c>
      <c r="AP4167">
        <v>-113</v>
      </c>
      <c r="AQ4167">
        <v>59</v>
      </c>
      <c r="AR4167">
        <v>64</v>
      </c>
      <c r="AZ4167">
        <v>1200</v>
      </c>
      <c r="BA4167">
        <v>1</v>
      </c>
      <c r="BB4167" t="str">
        <f t="shared" si="207"/>
        <v xml:space="preserve">N8080G  </v>
      </c>
      <c r="BC4167">
        <v>1</v>
      </c>
      <c r="BE4167">
        <v>0</v>
      </c>
      <c r="BF4167">
        <v>0</v>
      </c>
      <c r="BG4167">
        <v>0</v>
      </c>
      <c r="BH4167">
        <v>1350</v>
      </c>
      <c r="BI4167">
        <v>1</v>
      </c>
      <c r="BJ4167">
        <v>1</v>
      </c>
      <c r="BK4167">
        <v>1</v>
      </c>
      <c r="BL4167">
        <v>0</v>
      </c>
      <c r="BO4167">
        <v>0</v>
      </c>
      <c r="BP4167">
        <v>0</v>
      </c>
      <c r="BW4167" t="str">
        <f>"20:37:30.813"</f>
        <v>20:37:30.813</v>
      </c>
      <c r="BZ4167">
        <v>0</v>
      </c>
      <c r="CA4167">
        <v>1600</v>
      </c>
      <c r="CB4167">
        <v>224</v>
      </c>
      <c r="CD4167">
        <v>1</v>
      </c>
      <c r="CE4167">
        <v>0</v>
      </c>
      <c r="CF4167">
        <v>0</v>
      </c>
      <c r="CG4167">
        <v>1</v>
      </c>
      <c r="CH4167">
        <v>0</v>
      </c>
      <c r="CI4167">
        <v>0</v>
      </c>
      <c r="CJ4167">
        <v>0</v>
      </c>
      <c r="CK4167">
        <v>2</v>
      </c>
      <c r="CL4167">
        <v>0</v>
      </c>
      <c r="CM4167">
        <v>2</v>
      </c>
      <c r="CN4167">
        <v>0</v>
      </c>
      <c r="CO4167">
        <v>5</v>
      </c>
      <c r="CP4167" t="s">
        <v>119</v>
      </c>
      <c r="CQ4167">
        <v>180</v>
      </c>
      <c r="CR4167">
        <v>3</v>
      </c>
      <c r="CW4167">
        <v>1358493</v>
      </c>
      <c r="CY4167">
        <v>0</v>
      </c>
      <c r="CZ4167">
        <v>0</v>
      </c>
      <c r="DA4167">
        <v>0</v>
      </c>
      <c r="DB4167">
        <v>0</v>
      </c>
      <c r="DC4167">
        <v>0</v>
      </c>
      <c r="DD4167">
        <v>0</v>
      </c>
      <c r="DE4167">
        <v>0</v>
      </c>
      <c r="DF4167">
        <v>0</v>
      </c>
      <c r="DG4167">
        <v>0</v>
      </c>
      <c r="DH4167">
        <v>0</v>
      </c>
      <c r="DI4167">
        <v>0</v>
      </c>
    </row>
    <row r="4168" spans="1:113" x14ac:dyDescent="0.3">
      <c r="A4168" t="str">
        <f>"02/08/2021 20:37:28.504"</f>
        <v>02/08/2021 20:37:28.504</v>
      </c>
      <c r="C4168" t="str">
        <f t="shared" si="206"/>
        <v>FFDFD7C0</v>
      </c>
      <c r="D4168" t="s">
        <v>113</v>
      </c>
      <c r="E4168">
        <v>6</v>
      </c>
      <c r="H4168">
        <v>165</v>
      </c>
      <c r="I4168" t="s">
        <v>114</v>
      </c>
      <c r="J4168" t="s">
        <v>115</v>
      </c>
      <c r="K4168">
        <v>0</v>
      </c>
      <c r="L4168">
        <v>3</v>
      </c>
      <c r="M4168">
        <v>0</v>
      </c>
      <c r="N4168">
        <v>2</v>
      </c>
      <c r="O4168">
        <v>1</v>
      </c>
      <c r="P4168">
        <v>0</v>
      </c>
      <c r="Q4168">
        <v>0</v>
      </c>
      <c r="S4168" t="str">
        <f>"20:37:30.813"</f>
        <v>20:37:30.813</v>
      </c>
      <c r="T4168" t="str">
        <f>"20:37:30.413"</f>
        <v>20:37:30.413</v>
      </c>
      <c r="U4168" t="str">
        <f t="shared" si="208"/>
        <v>AB01F4</v>
      </c>
      <c r="V4168">
        <v>0</v>
      </c>
      <c r="W4168">
        <v>0</v>
      </c>
      <c r="X4168">
        <v>2</v>
      </c>
      <c r="Z4168">
        <v>0</v>
      </c>
      <c r="AA4168">
        <v>9</v>
      </c>
      <c r="AB4168">
        <v>3</v>
      </c>
      <c r="AC4168">
        <v>0</v>
      </c>
      <c r="AD4168">
        <v>10</v>
      </c>
      <c r="AE4168">
        <v>0</v>
      </c>
      <c r="AF4168">
        <v>3</v>
      </c>
      <c r="AG4168">
        <v>2</v>
      </c>
      <c r="AH4168">
        <v>0</v>
      </c>
      <c r="AI4168" t="s">
        <v>2333</v>
      </c>
      <c r="AJ4168">
        <v>40.15681</v>
      </c>
      <c r="AK4168" t="s">
        <v>2334</v>
      </c>
      <c r="AL4168">
        <v>-93.139342999999997</v>
      </c>
      <c r="AM4168">
        <v>100</v>
      </c>
      <c r="AN4168">
        <v>1300</v>
      </c>
      <c r="AO4168" t="s">
        <v>118</v>
      </c>
      <c r="AP4168">
        <v>-113</v>
      </c>
      <c r="AQ4168">
        <v>59</v>
      </c>
      <c r="AR4168">
        <v>64</v>
      </c>
      <c r="AZ4168">
        <v>1200</v>
      </c>
      <c r="BA4168">
        <v>1</v>
      </c>
      <c r="BB4168" t="str">
        <f t="shared" si="207"/>
        <v xml:space="preserve">N8080G  </v>
      </c>
      <c r="BC4168">
        <v>1</v>
      </c>
      <c r="BE4168">
        <v>0</v>
      </c>
      <c r="BF4168">
        <v>0</v>
      </c>
      <c r="BG4168">
        <v>0</v>
      </c>
      <c r="BH4168">
        <v>1350</v>
      </c>
      <c r="BI4168">
        <v>1</v>
      </c>
      <c r="BJ4168">
        <v>1</v>
      </c>
      <c r="BK4168">
        <v>1</v>
      </c>
      <c r="BL4168">
        <v>0</v>
      </c>
      <c r="BO4168">
        <v>0</v>
      </c>
      <c r="BP4168">
        <v>0</v>
      </c>
      <c r="BW4168" t="str">
        <f>"20:37:30.813"</f>
        <v>20:37:30.813</v>
      </c>
      <c r="BZ4168">
        <v>0</v>
      </c>
      <c r="CA4168">
        <v>1600</v>
      </c>
      <c r="CB4168">
        <v>224</v>
      </c>
      <c r="CD4168">
        <v>1</v>
      </c>
      <c r="CE4168">
        <v>0</v>
      </c>
      <c r="CF4168">
        <v>0</v>
      </c>
      <c r="CG4168">
        <v>1</v>
      </c>
      <c r="CH4168">
        <v>0</v>
      </c>
      <c r="CI4168">
        <v>0</v>
      </c>
      <c r="CJ4168">
        <v>0</v>
      </c>
      <c r="CK4168">
        <v>2</v>
      </c>
      <c r="CL4168">
        <v>0</v>
      </c>
      <c r="CM4168">
        <v>2</v>
      </c>
      <c r="CN4168">
        <v>0</v>
      </c>
      <c r="CO4168">
        <v>5</v>
      </c>
      <c r="CP4168" t="s">
        <v>119</v>
      </c>
      <c r="CQ4168">
        <v>180</v>
      </c>
      <c r="CR4168">
        <v>3</v>
      </c>
      <c r="CW4168">
        <v>1358493</v>
      </c>
      <c r="CY4168">
        <v>0</v>
      </c>
      <c r="CZ4168">
        <v>0</v>
      </c>
      <c r="DA4168">
        <v>1</v>
      </c>
      <c r="DB4168">
        <v>0</v>
      </c>
      <c r="DC4168">
        <v>0</v>
      </c>
      <c r="DD4168">
        <v>0</v>
      </c>
      <c r="DE4168">
        <v>0</v>
      </c>
      <c r="DF4168">
        <v>0</v>
      </c>
      <c r="DG4168">
        <v>0</v>
      </c>
      <c r="DH4168">
        <v>0</v>
      </c>
      <c r="DI4168">
        <v>0</v>
      </c>
    </row>
    <row r="4169" spans="1:113" x14ac:dyDescent="0.3">
      <c r="A4169" t="str">
        <f>"02/08/2021 20:37:28.504"</f>
        <v>02/08/2021 20:37:28.504</v>
      </c>
      <c r="C4169" t="str">
        <f t="shared" si="206"/>
        <v>FFDFD7C0</v>
      </c>
      <c r="D4169" t="s">
        <v>124</v>
      </c>
      <c r="E4169">
        <v>13</v>
      </c>
      <c r="F4169">
        <v>1013</v>
      </c>
      <c r="G4169" t="s">
        <v>114</v>
      </c>
      <c r="J4169" t="s">
        <v>125</v>
      </c>
      <c r="K4169">
        <v>0</v>
      </c>
      <c r="L4169">
        <v>3</v>
      </c>
      <c r="M4169">
        <v>0</v>
      </c>
      <c r="N4169">
        <v>2</v>
      </c>
      <c r="O4169">
        <v>1</v>
      </c>
      <c r="P4169">
        <v>0</v>
      </c>
      <c r="Q4169">
        <v>0</v>
      </c>
      <c r="S4169" t="str">
        <f>"20:37:30.813"</f>
        <v>20:37:30.813</v>
      </c>
      <c r="T4169" t="str">
        <f>"20:37:30.413"</f>
        <v>20:37:30.413</v>
      </c>
      <c r="U4169" t="str">
        <f t="shared" si="208"/>
        <v>AB01F4</v>
      </c>
      <c r="V4169">
        <v>0</v>
      </c>
      <c r="W4169">
        <v>0</v>
      </c>
      <c r="X4169">
        <v>2</v>
      </c>
      <c r="Z4169">
        <v>0</v>
      </c>
      <c r="AA4169">
        <v>9</v>
      </c>
      <c r="AB4169">
        <v>3</v>
      </c>
      <c r="AC4169">
        <v>0</v>
      </c>
      <c r="AD4169">
        <v>10</v>
      </c>
      <c r="AE4169">
        <v>0</v>
      </c>
      <c r="AF4169">
        <v>3</v>
      </c>
      <c r="AG4169">
        <v>2</v>
      </c>
      <c r="AH4169">
        <v>0</v>
      </c>
      <c r="AI4169" t="s">
        <v>2333</v>
      </c>
      <c r="AJ4169">
        <v>40.15681</v>
      </c>
      <c r="AK4169" t="s">
        <v>2334</v>
      </c>
      <c r="AL4169">
        <v>-93.139342999999997</v>
      </c>
      <c r="AM4169">
        <v>100</v>
      </c>
      <c r="AN4169">
        <v>1300</v>
      </c>
      <c r="AO4169" t="s">
        <v>118</v>
      </c>
      <c r="AP4169">
        <v>-113</v>
      </c>
      <c r="AQ4169">
        <v>59</v>
      </c>
      <c r="AR4169">
        <v>64</v>
      </c>
      <c r="AZ4169">
        <v>1200</v>
      </c>
      <c r="BA4169">
        <v>1</v>
      </c>
      <c r="BB4169" t="str">
        <f t="shared" si="207"/>
        <v xml:space="preserve">N8080G  </v>
      </c>
      <c r="BC4169">
        <v>1</v>
      </c>
      <c r="BE4169">
        <v>0</v>
      </c>
      <c r="BF4169">
        <v>0</v>
      </c>
      <c r="BG4169">
        <v>0</v>
      </c>
      <c r="BH4169">
        <v>1350</v>
      </c>
      <c r="BI4169">
        <v>1</v>
      </c>
      <c r="BJ4169">
        <v>1</v>
      </c>
      <c r="BK4169">
        <v>1</v>
      </c>
      <c r="BL4169">
        <v>0</v>
      </c>
      <c r="BO4169">
        <v>0</v>
      </c>
      <c r="BP4169">
        <v>0</v>
      </c>
      <c r="BW4169" t="str">
        <f>"20:37:30.813"</f>
        <v>20:37:30.813</v>
      </c>
      <c r="BZ4169">
        <v>0</v>
      </c>
      <c r="CA4169">
        <v>1600</v>
      </c>
      <c r="CB4169">
        <v>224</v>
      </c>
      <c r="CD4169">
        <v>1</v>
      </c>
      <c r="CE4169">
        <v>0</v>
      </c>
      <c r="CF4169">
        <v>0</v>
      </c>
      <c r="CG4169">
        <v>1</v>
      </c>
      <c r="CH4169">
        <v>0</v>
      </c>
      <c r="CI4169">
        <v>0</v>
      </c>
      <c r="CJ4169">
        <v>0</v>
      </c>
      <c r="CK4169">
        <v>2</v>
      </c>
      <c r="CL4169">
        <v>0</v>
      </c>
      <c r="CM4169">
        <v>2</v>
      </c>
      <c r="CN4169">
        <v>0</v>
      </c>
      <c r="CO4169">
        <v>5</v>
      </c>
      <c r="CP4169" t="s">
        <v>119</v>
      </c>
      <c r="CQ4169">
        <v>180</v>
      </c>
      <c r="CR4169">
        <v>3</v>
      </c>
      <c r="CW4169">
        <v>1358493</v>
      </c>
      <c r="CY4169">
        <v>0</v>
      </c>
      <c r="CZ4169">
        <v>0</v>
      </c>
      <c r="DA4169">
        <v>1</v>
      </c>
      <c r="DB4169">
        <v>0</v>
      </c>
      <c r="DC4169">
        <v>0</v>
      </c>
      <c r="DD4169">
        <v>0</v>
      </c>
      <c r="DE4169">
        <v>0</v>
      </c>
      <c r="DF4169">
        <v>0</v>
      </c>
      <c r="DG4169">
        <v>0</v>
      </c>
      <c r="DH4169">
        <v>0</v>
      </c>
      <c r="DI4169">
        <v>0</v>
      </c>
    </row>
    <row r="4170" spans="1:113" x14ac:dyDescent="0.3">
      <c r="A4170" t="str">
        <f>"02/08/2021 20:37:28.504"</f>
        <v>02/08/2021 20:37:28.504</v>
      </c>
      <c r="C4170" t="str">
        <f t="shared" si="206"/>
        <v>FFDFD7C0</v>
      </c>
      <c r="D4170" t="s">
        <v>124</v>
      </c>
      <c r="E4170">
        <v>12</v>
      </c>
      <c r="F4170">
        <v>1012</v>
      </c>
      <c r="G4170" t="s">
        <v>675</v>
      </c>
      <c r="J4170" t="s">
        <v>125</v>
      </c>
      <c r="K4170">
        <v>0</v>
      </c>
      <c r="L4170">
        <v>3</v>
      </c>
      <c r="M4170">
        <v>0</v>
      </c>
      <c r="N4170">
        <v>2</v>
      </c>
      <c r="O4170">
        <v>1</v>
      </c>
      <c r="P4170">
        <v>0</v>
      </c>
      <c r="Q4170">
        <v>0</v>
      </c>
      <c r="S4170" t="str">
        <f>"20:37:30.813"</f>
        <v>20:37:30.813</v>
      </c>
      <c r="T4170" t="str">
        <f>"20:37:30.413"</f>
        <v>20:37:30.413</v>
      </c>
      <c r="U4170" t="str">
        <f t="shared" si="208"/>
        <v>AB01F4</v>
      </c>
      <c r="V4170">
        <v>0</v>
      </c>
      <c r="W4170">
        <v>0</v>
      </c>
      <c r="X4170">
        <v>2</v>
      </c>
      <c r="Z4170">
        <v>0</v>
      </c>
      <c r="AA4170">
        <v>9</v>
      </c>
      <c r="AB4170">
        <v>3</v>
      </c>
      <c r="AC4170">
        <v>0</v>
      </c>
      <c r="AD4170">
        <v>10</v>
      </c>
      <c r="AE4170">
        <v>0</v>
      </c>
      <c r="AF4170">
        <v>3</v>
      </c>
      <c r="AG4170">
        <v>2</v>
      </c>
      <c r="AH4170">
        <v>0</v>
      </c>
      <c r="AI4170" t="s">
        <v>2333</v>
      </c>
      <c r="AJ4170">
        <v>40.15681</v>
      </c>
      <c r="AK4170" t="s">
        <v>2334</v>
      </c>
      <c r="AL4170">
        <v>-93.139342999999997</v>
      </c>
      <c r="AM4170">
        <v>100</v>
      </c>
      <c r="AN4170">
        <v>1300</v>
      </c>
      <c r="AO4170" t="s">
        <v>118</v>
      </c>
      <c r="AP4170">
        <v>-113</v>
      </c>
      <c r="AQ4170">
        <v>59</v>
      </c>
      <c r="AR4170">
        <v>64</v>
      </c>
      <c r="AZ4170">
        <v>1200</v>
      </c>
      <c r="BA4170">
        <v>1</v>
      </c>
      <c r="BB4170" t="str">
        <f t="shared" si="207"/>
        <v xml:space="preserve">N8080G  </v>
      </c>
      <c r="BC4170">
        <v>1</v>
      </c>
      <c r="BE4170">
        <v>0</v>
      </c>
      <c r="BF4170">
        <v>0</v>
      </c>
      <c r="BG4170">
        <v>0</v>
      </c>
      <c r="BH4170">
        <v>1350</v>
      </c>
      <c r="BI4170">
        <v>1</v>
      </c>
      <c r="BJ4170">
        <v>1</v>
      </c>
      <c r="BK4170">
        <v>1</v>
      </c>
      <c r="BL4170">
        <v>0</v>
      </c>
      <c r="BO4170">
        <v>0</v>
      </c>
      <c r="BP4170">
        <v>0</v>
      </c>
      <c r="BW4170" t="str">
        <f>"20:37:30.813"</f>
        <v>20:37:30.813</v>
      </c>
      <c r="BZ4170">
        <v>0</v>
      </c>
      <c r="CA4170">
        <v>1600</v>
      </c>
      <c r="CB4170">
        <v>224</v>
      </c>
      <c r="CD4170">
        <v>1</v>
      </c>
      <c r="CE4170">
        <v>0</v>
      </c>
      <c r="CF4170">
        <v>0</v>
      </c>
      <c r="CG4170">
        <v>1</v>
      </c>
      <c r="CH4170">
        <v>0</v>
      </c>
      <c r="CI4170">
        <v>0</v>
      </c>
      <c r="CJ4170">
        <v>0</v>
      </c>
      <c r="CK4170">
        <v>2</v>
      </c>
      <c r="CL4170">
        <v>0</v>
      </c>
      <c r="CM4170">
        <v>2</v>
      </c>
      <c r="CN4170">
        <v>0</v>
      </c>
      <c r="CO4170">
        <v>5</v>
      </c>
      <c r="CP4170" t="s">
        <v>119</v>
      </c>
      <c r="CQ4170">
        <v>180</v>
      </c>
      <c r="CR4170">
        <v>3</v>
      </c>
      <c r="CW4170">
        <v>1358493</v>
      </c>
      <c r="CY4170">
        <v>0</v>
      </c>
      <c r="CZ4170">
        <v>0</v>
      </c>
      <c r="DA4170">
        <v>1</v>
      </c>
      <c r="DB4170">
        <v>0</v>
      </c>
      <c r="DC4170">
        <v>0</v>
      </c>
      <c r="DD4170">
        <v>0</v>
      </c>
      <c r="DE4170">
        <v>0</v>
      </c>
      <c r="DF4170">
        <v>0</v>
      </c>
      <c r="DG4170">
        <v>0</v>
      </c>
      <c r="DH4170">
        <v>0</v>
      </c>
      <c r="DI4170">
        <v>0</v>
      </c>
    </row>
    <row r="4171" spans="1:113" x14ac:dyDescent="0.3">
      <c r="A4171" t="str">
        <f>"02/08/2021 20:37:29.426"</f>
        <v>02/08/2021 20:37:29.426</v>
      </c>
      <c r="C4171" t="str">
        <f t="shared" si="206"/>
        <v>FFDFD7C0</v>
      </c>
      <c r="D4171" t="s">
        <v>124</v>
      </c>
      <c r="E4171">
        <v>13</v>
      </c>
      <c r="F4171">
        <v>1013</v>
      </c>
      <c r="G4171" t="s">
        <v>114</v>
      </c>
      <c r="J4171" t="s">
        <v>125</v>
      </c>
      <c r="K4171">
        <v>0</v>
      </c>
      <c r="L4171">
        <v>3</v>
      </c>
      <c r="M4171">
        <v>0</v>
      </c>
      <c r="N4171">
        <v>2</v>
      </c>
      <c r="O4171">
        <v>1</v>
      </c>
      <c r="P4171">
        <v>0</v>
      </c>
      <c r="Q4171">
        <v>0</v>
      </c>
      <c r="S4171" t="str">
        <f>"20:37:31.734"</f>
        <v>20:37:31.734</v>
      </c>
      <c r="T4171" t="str">
        <f>"20:37:31.234"</f>
        <v>20:37:31.234</v>
      </c>
      <c r="U4171" t="str">
        <f t="shared" si="208"/>
        <v>AB01F4</v>
      </c>
      <c r="V4171">
        <v>0</v>
      </c>
      <c r="W4171">
        <v>0</v>
      </c>
      <c r="X4171">
        <v>2</v>
      </c>
      <c r="Z4171">
        <v>0</v>
      </c>
      <c r="AA4171">
        <v>9</v>
      </c>
      <c r="AB4171">
        <v>3</v>
      </c>
      <c r="AC4171">
        <v>0</v>
      </c>
      <c r="AD4171">
        <v>10</v>
      </c>
      <c r="AE4171">
        <v>0</v>
      </c>
      <c r="AF4171">
        <v>3</v>
      </c>
      <c r="AG4171">
        <v>2</v>
      </c>
      <c r="AH4171">
        <v>0</v>
      </c>
      <c r="AI4171" t="s">
        <v>2335</v>
      </c>
      <c r="AJ4171">
        <v>40.157088999999999</v>
      </c>
      <c r="AK4171" t="s">
        <v>2336</v>
      </c>
      <c r="AL4171">
        <v>-93.140007999999995</v>
      </c>
      <c r="AM4171">
        <v>100</v>
      </c>
      <c r="AN4171">
        <v>1300</v>
      </c>
      <c r="AO4171" t="s">
        <v>118</v>
      </c>
      <c r="AP4171">
        <v>-113</v>
      </c>
      <c r="AQ4171">
        <v>59</v>
      </c>
      <c r="AR4171">
        <v>64</v>
      </c>
      <c r="AZ4171">
        <v>1200</v>
      </c>
      <c r="BA4171">
        <v>1</v>
      </c>
      <c r="BB4171" t="str">
        <f t="shared" si="207"/>
        <v xml:space="preserve">N8080G  </v>
      </c>
      <c r="BC4171">
        <v>1</v>
      </c>
      <c r="BE4171">
        <v>0</v>
      </c>
      <c r="BF4171">
        <v>0</v>
      </c>
      <c r="BG4171">
        <v>0</v>
      </c>
      <c r="BH4171">
        <v>1350</v>
      </c>
      <c r="BI4171">
        <v>1</v>
      </c>
      <c r="BJ4171">
        <v>1</v>
      </c>
      <c r="BK4171">
        <v>1</v>
      </c>
      <c r="BL4171">
        <v>0</v>
      </c>
      <c r="BO4171">
        <v>0</v>
      </c>
      <c r="BP4171">
        <v>0</v>
      </c>
      <c r="BW4171" t="str">
        <f>"20:37:31.736"</f>
        <v>20:37:31.736</v>
      </c>
      <c r="BZ4171">
        <v>0</v>
      </c>
      <c r="CA4171">
        <v>1600</v>
      </c>
      <c r="CB4171">
        <v>224</v>
      </c>
      <c r="CD4171">
        <v>1</v>
      </c>
      <c r="CE4171">
        <v>0</v>
      </c>
      <c r="CF4171">
        <v>0</v>
      </c>
      <c r="CG4171">
        <v>1</v>
      </c>
      <c r="CH4171">
        <v>0</v>
      </c>
      <c r="CI4171">
        <v>0</v>
      </c>
      <c r="CJ4171">
        <v>0</v>
      </c>
      <c r="CK4171">
        <v>2</v>
      </c>
      <c r="CL4171">
        <v>0</v>
      </c>
      <c r="CM4171">
        <v>2</v>
      </c>
      <c r="CN4171">
        <v>0</v>
      </c>
      <c r="CO4171">
        <v>2</v>
      </c>
      <c r="CP4171" t="s">
        <v>119</v>
      </c>
      <c r="CQ4171">
        <v>179</v>
      </c>
      <c r="CR4171">
        <v>2</v>
      </c>
      <c r="CW4171">
        <v>12631357</v>
      </c>
      <c r="CY4171">
        <v>0</v>
      </c>
      <c r="CZ4171">
        <v>0</v>
      </c>
      <c r="DA4171">
        <v>0</v>
      </c>
      <c r="DB4171">
        <v>0</v>
      </c>
      <c r="DC4171">
        <v>0</v>
      </c>
      <c r="DD4171">
        <v>0</v>
      </c>
      <c r="DE4171">
        <v>0</v>
      </c>
      <c r="DF4171">
        <v>0</v>
      </c>
      <c r="DG4171">
        <v>0</v>
      </c>
      <c r="DH4171">
        <v>0</v>
      </c>
      <c r="DI4171">
        <v>0</v>
      </c>
    </row>
    <row r="4172" spans="1:113" x14ac:dyDescent="0.3">
      <c r="A4172" t="str">
        <f>"02/08/2021 20:37:29.426"</f>
        <v>02/08/2021 20:37:29.426</v>
      </c>
      <c r="C4172" t="str">
        <f t="shared" si="206"/>
        <v>FFDFD7C0</v>
      </c>
      <c r="D4172" t="s">
        <v>113</v>
      </c>
      <c r="E4172">
        <v>6</v>
      </c>
      <c r="H4172">
        <v>165</v>
      </c>
      <c r="I4172" t="s">
        <v>114</v>
      </c>
      <c r="J4172" t="s">
        <v>115</v>
      </c>
      <c r="K4172">
        <v>0</v>
      </c>
      <c r="L4172">
        <v>3</v>
      </c>
      <c r="M4172">
        <v>0</v>
      </c>
      <c r="N4172">
        <v>2</v>
      </c>
      <c r="O4172">
        <v>1</v>
      </c>
      <c r="P4172">
        <v>0</v>
      </c>
      <c r="Q4172">
        <v>0</v>
      </c>
      <c r="S4172" t="str">
        <f>"20:37:31.734"</f>
        <v>20:37:31.734</v>
      </c>
      <c r="T4172" t="str">
        <f>"20:37:31.234"</f>
        <v>20:37:31.234</v>
      </c>
      <c r="U4172" t="str">
        <f t="shared" si="208"/>
        <v>AB01F4</v>
      </c>
      <c r="V4172">
        <v>0</v>
      </c>
      <c r="W4172">
        <v>0</v>
      </c>
      <c r="X4172">
        <v>2</v>
      </c>
      <c r="Z4172">
        <v>0</v>
      </c>
      <c r="AA4172">
        <v>9</v>
      </c>
      <c r="AB4172">
        <v>3</v>
      </c>
      <c r="AC4172">
        <v>0</v>
      </c>
      <c r="AD4172">
        <v>10</v>
      </c>
      <c r="AE4172">
        <v>0</v>
      </c>
      <c r="AF4172">
        <v>3</v>
      </c>
      <c r="AG4172">
        <v>2</v>
      </c>
      <c r="AH4172">
        <v>0</v>
      </c>
      <c r="AI4172" t="s">
        <v>2335</v>
      </c>
      <c r="AJ4172">
        <v>40.157088999999999</v>
      </c>
      <c r="AK4172" t="s">
        <v>2336</v>
      </c>
      <c r="AL4172">
        <v>-93.140007999999995</v>
      </c>
      <c r="AM4172">
        <v>100</v>
      </c>
      <c r="AN4172">
        <v>1300</v>
      </c>
      <c r="AO4172" t="s">
        <v>118</v>
      </c>
      <c r="AP4172">
        <v>-113</v>
      </c>
      <c r="AQ4172">
        <v>59</v>
      </c>
      <c r="AR4172">
        <v>64</v>
      </c>
      <c r="AZ4172">
        <v>1200</v>
      </c>
      <c r="BA4172">
        <v>1</v>
      </c>
      <c r="BB4172" t="str">
        <f t="shared" si="207"/>
        <v xml:space="preserve">N8080G  </v>
      </c>
      <c r="BC4172">
        <v>1</v>
      </c>
      <c r="BE4172">
        <v>0</v>
      </c>
      <c r="BF4172">
        <v>0</v>
      </c>
      <c r="BG4172">
        <v>0</v>
      </c>
      <c r="BH4172">
        <v>1350</v>
      </c>
      <c r="BI4172">
        <v>1</v>
      </c>
      <c r="BJ4172">
        <v>1</v>
      </c>
      <c r="BK4172">
        <v>1</v>
      </c>
      <c r="BL4172">
        <v>0</v>
      </c>
      <c r="BO4172">
        <v>0</v>
      </c>
      <c r="BP4172">
        <v>0</v>
      </c>
      <c r="BW4172" t="str">
        <f>"20:37:31.736"</f>
        <v>20:37:31.736</v>
      </c>
      <c r="BZ4172">
        <v>0</v>
      </c>
      <c r="CA4172">
        <v>1600</v>
      </c>
      <c r="CB4172">
        <v>224</v>
      </c>
      <c r="CD4172">
        <v>1</v>
      </c>
      <c r="CE4172">
        <v>0</v>
      </c>
      <c r="CF4172">
        <v>0</v>
      </c>
      <c r="CG4172">
        <v>1</v>
      </c>
      <c r="CH4172">
        <v>0</v>
      </c>
      <c r="CI4172">
        <v>0</v>
      </c>
      <c r="CJ4172">
        <v>0</v>
      </c>
      <c r="CK4172">
        <v>2</v>
      </c>
      <c r="CL4172">
        <v>0</v>
      </c>
      <c r="CM4172">
        <v>2</v>
      </c>
      <c r="CN4172">
        <v>0</v>
      </c>
      <c r="CO4172">
        <v>2</v>
      </c>
      <c r="CP4172" t="s">
        <v>119</v>
      </c>
      <c r="CQ4172">
        <v>179</v>
      </c>
      <c r="CR4172">
        <v>2</v>
      </c>
      <c r="CW4172">
        <v>12631357</v>
      </c>
      <c r="CY4172">
        <v>0</v>
      </c>
      <c r="CZ4172">
        <v>0</v>
      </c>
      <c r="DA4172">
        <v>1</v>
      </c>
      <c r="DB4172">
        <v>0</v>
      </c>
      <c r="DC4172">
        <v>0</v>
      </c>
      <c r="DD4172">
        <v>0</v>
      </c>
      <c r="DE4172">
        <v>0</v>
      </c>
      <c r="DF4172">
        <v>0</v>
      </c>
      <c r="DG4172">
        <v>0</v>
      </c>
      <c r="DH4172">
        <v>0</v>
      </c>
      <c r="DI4172">
        <v>0</v>
      </c>
    </row>
    <row r="4173" spans="1:113" x14ac:dyDescent="0.3">
      <c r="A4173" t="str">
        <f>"02/08/2021 20:37:29.426"</f>
        <v>02/08/2021 20:37:29.426</v>
      </c>
      <c r="C4173" t="str">
        <f t="shared" si="206"/>
        <v>FFDFD7C0</v>
      </c>
      <c r="D4173" t="s">
        <v>124</v>
      </c>
      <c r="E4173">
        <v>12</v>
      </c>
      <c r="F4173">
        <v>1012</v>
      </c>
      <c r="G4173" t="s">
        <v>675</v>
      </c>
      <c r="J4173" t="s">
        <v>125</v>
      </c>
      <c r="K4173">
        <v>0</v>
      </c>
      <c r="L4173">
        <v>3</v>
      </c>
      <c r="M4173">
        <v>0</v>
      </c>
      <c r="N4173">
        <v>2</v>
      </c>
      <c r="O4173">
        <v>1</v>
      </c>
      <c r="P4173">
        <v>0</v>
      </c>
      <c r="Q4173">
        <v>0</v>
      </c>
      <c r="S4173" t="str">
        <f>"20:37:31.734"</f>
        <v>20:37:31.734</v>
      </c>
      <c r="T4173" t="str">
        <f>"20:37:31.234"</f>
        <v>20:37:31.234</v>
      </c>
      <c r="U4173" t="str">
        <f t="shared" si="208"/>
        <v>AB01F4</v>
      </c>
      <c r="V4173">
        <v>0</v>
      </c>
      <c r="W4173">
        <v>0</v>
      </c>
      <c r="X4173">
        <v>2</v>
      </c>
      <c r="Z4173">
        <v>0</v>
      </c>
      <c r="AA4173">
        <v>9</v>
      </c>
      <c r="AB4173">
        <v>3</v>
      </c>
      <c r="AC4173">
        <v>0</v>
      </c>
      <c r="AD4173">
        <v>10</v>
      </c>
      <c r="AE4173">
        <v>0</v>
      </c>
      <c r="AF4173">
        <v>3</v>
      </c>
      <c r="AG4173">
        <v>2</v>
      </c>
      <c r="AH4173">
        <v>0</v>
      </c>
      <c r="AI4173" t="s">
        <v>2335</v>
      </c>
      <c r="AJ4173">
        <v>40.157088999999999</v>
      </c>
      <c r="AK4173" t="s">
        <v>2336</v>
      </c>
      <c r="AL4173">
        <v>-93.140007999999995</v>
      </c>
      <c r="AM4173">
        <v>100</v>
      </c>
      <c r="AN4173">
        <v>1300</v>
      </c>
      <c r="AO4173" t="s">
        <v>118</v>
      </c>
      <c r="AP4173">
        <v>-113</v>
      </c>
      <c r="AQ4173">
        <v>59</v>
      </c>
      <c r="AR4173">
        <v>64</v>
      </c>
      <c r="AZ4173">
        <v>1200</v>
      </c>
      <c r="BA4173">
        <v>1</v>
      </c>
      <c r="BB4173" t="str">
        <f t="shared" si="207"/>
        <v xml:space="preserve">N8080G  </v>
      </c>
      <c r="BC4173">
        <v>1</v>
      </c>
      <c r="BE4173">
        <v>0</v>
      </c>
      <c r="BF4173">
        <v>0</v>
      </c>
      <c r="BG4173">
        <v>0</v>
      </c>
      <c r="BH4173">
        <v>1350</v>
      </c>
      <c r="BI4173">
        <v>1</v>
      </c>
      <c r="BJ4173">
        <v>1</v>
      </c>
      <c r="BK4173">
        <v>1</v>
      </c>
      <c r="BL4173">
        <v>0</v>
      </c>
      <c r="BO4173">
        <v>0</v>
      </c>
      <c r="BP4173">
        <v>0</v>
      </c>
      <c r="BW4173" t="str">
        <f>"20:37:31.736"</f>
        <v>20:37:31.736</v>
      </c>
      <c r="BZ4173">
        <v>0</v>
      </c>
      <c r="CA4173">
        <v>1600</v>
      </c>
      <c r="CB4173">
        <v>224</v>
      </c>
      <c r="CD4173">
        <v>1</v>
      </c>
      <c r="CE4173">
        <v>0</v>
      </c>
      <c r="CF4173">
        <v>0</v>
      </c>
      <c r="CG4173">
        <v>1</v>
      </c>
      <c r="CH4173">
        <v>0</v>
      </c>
      <c r="CI4173">
        <v>0</v>
      </c>
      <c r="CJ4173">
        <v>0</v>
      </c>
      <c r="CK4173">
        <v>2</v>
      </c>
      <c r="CL4173">
        <v>0</v>
      </c>
      <c r="CM4173">
        <v>2</v>
      </c>
      <c r="CN4173">
        <v>0</v>
      </c>
      <c r="CO4173">
        <v>2</v>
      </c>
      <c r="CP4173" t="s">
        <v>119</v>
      </c>
      <c r="CQ4173">
        <v>179</v>
      </c>
      <c r="CR4173">
        <v>2</v>
      </c>
      <c r="CW4173">
        <v>12631357</v>
      </c>
      <c r="CY4173">
        <v>0</v>
      </c>
      <c r="CZ4173">
        <v>0</v>
      </c>
      <c r="DA4173">
        <v>1</v>
      </c>
      <c r="DB4173">
        <v>0</v>
      </c>
      <c r="DC4173">
        <v>0</v>
      </c>
      <c r="DD4173">
        <v>0</v>
      </c>
      <c r="DE4173">
        <v>0</v>
      </c>
      <c r="DF4173">
        <v>0</v>
      </c>
      <c r="DG4173">
        <v>0</v>
      </c>
      <c r="DH4173">
        <v>0</v>
      </c>
      <c r="DI4173">
        <v>0</v>
      </c>
    </row>
    <row r="4174" spans="1:113" x14ac:dyDescent="0.3">
      <c r="A4174" t="str">
        <f>"02/08/2021 20:37:29.426"</f>
        <v>02/08/2021 20:37:29.426</v>
      </c>
      <c r="C4174" t="str">
        <f t="shared" si="206"/>
        <v>FFDFD7C0</v>
      </c>
      <c r="D4174" t="s">
        <v>124</v>
      </c>
      <c r="E4174">
        <v>11</v>
      </c>
      <c r="F4174">
        <v>1011</v>
      </c>
      <c r="G4174" t="s">
        <v>590</v>
      </c>
      <c r="J4174" t="s">
        <v>125</v>
      </c>
      <c r="K4174">
        <v>0</v>
      </c>
      <c r="L4174">
        <v>3</v>
      </c>
      <c r="M4174">
        <v>0</v>
      </c>
      <c r="N4174">
        <v>2</v>
      </c>
      <c r="O4174">
        <v>1</v>
      </c>
      <c r="P4174">
        <v>0</v>
      </c>
      <c r="Q4174">
        <v>0</v>
      </c>
      <c r="S4174" t="str">
        <f>"20:37:31.734"</f>
        <v>20:37:31.734</v>
      </c>
      <c r="T4174" t="str">
        <f>"20:37:31.234"</f>
        <v>20:37:31.234</v>
      </c>
      <c r="U4174" t="str">
        <f t="shared" si="208"/>
        <v>AB01F4</v>
      </c>
      <c r="V4174">
        <v>0</v>
      </c>
      <c r="W4174">
        <v>0</v>
      </c>
      <c r="X4174">
        <v>2</v>
      </c>
      <c r="Z4174">
        <v>0</v>
      </c>
      <c r="AA4174">
        <v>9</v>
      </c>
      <c r="AB4174">
        <v>3</v>
      </c>
      <c r="AC4174">
        <v>0</v>
      </c>
      <c r="AD4174">
        <v>10</v>
      </c>
      <c r="AE4174">
        <v>0</v>
      </c>
      <c r="AF4174">
        <v>3</v>
      </c>
      <c r="AG4174">
        <v>2</v>
      </c>
      <c r="AH4174">
        <v>0</v>
      </c>
      <c r="AI4174" t="s">
        <v>2335</v>
      </c>
      <c r="AJ4174">
        <v>40.157088999999999</v>
      </c>
      <c r="AK4174" t="s">
        <v>2336</v>
      </c>
      <c r="AL4174">
        <v>-93.140007999999995</v>
      </c>
      <c r="AM4174">
        <v>100</v>
      </c>
      <c r="AN4174">
        <v>1300</v>
      </c>
      <c r="AO4174" t="s">
        <v>118</v>
      </c>
      <c r="AP4174">
        <v>-113</v>
      </c>
      <c r="AQ4174">
        <v>59</v>
      </c>
      <c r="AR4174">
        <v>64</v>
      </c>
      <c r="AZ4174">
        <v>1200</v>
      </c>
      <c r="BA4174">
        <v>1</v>
      </c>
      <c r="BB4174" t="str">
        <f t="shared" si="207"/>
        <v xml:space="preserve">N8080G  </v>
      </c>
      <c r="BC4174">
        <v>1</v>
      </c>
      <c r="BE4174">
        <v>0</v>
      </c>
      <c r="BF4174">
        <v>0</v>
      </c>
      <c r="BG4174">
        <v>0</v>
      </c>
      <c r="BH4174">
        <v>1350</v>
      </c>
      <c r="BI4174">
        <v>1</v>
      </c>
      <c r="BJ4174">
        <v>1</v>
      </c>
      <c r="BK4174">
        <v>1</v>
      </c>
      <c r="BL4174">
        <v>0</v>
      </c>
      <c r="BO4174">
        <v>0</v>
      </c>
      <c r="BP4174">
        <v>0</v>
      </c>
      <c r="BW4174" t="str">
        <f>"20:37:31.736"</f>
        <v>20:37:31.736</v>
      </c>
      <c r="BZ4174">
        <v>0</v>
      </c>
      <c r="CA4174">
        <v>1600</v>
      </c>
      <c r="CB4174">
        <v>224</v>
      </c>
      <c r="CD4174">
        <v>1</v>
      </c>
      <c r="CE4174">
        <v>0</v>
      </c>
      <c r="CF4174">
        <v>0</v>
      </c>
      <c r="CG4174">
        <v>1</v>
      </c>
      <c r="CH4174">
        <v>0</v>
      </c>
      <c r="CI4174">
        <v>0</v>
      </c>
      <c r="CJ4174">
        <v>0</v>
      </c>
      <c r="CK4174">
        <v>2</v>
      </c>
      <c r="CL4174">
        <v>0</v>
      </c>
      <c r="CM4174">
        <v>2</v>
      </c>
      <c r="CN4174">
        <v>0</v>
      </c>
      <c r="CO4174">
        <v>2</v>
      </c>
      <c r="CP4174" t="s">
        <v>119</v>
      </c>
      <c r="CQ4174">
        <v>179</v>
      </c>
      <c r="CR4174">
        <v>2</v>
      </c>
      <c r="CW4174">
        <v>12631357</v>
      </c>
      <c r="CY4174">
        <v>0</v>
      </c>
      <c r="CZ4174">
        <v>0</v>
      </c>
      <c r="DA4174">
        <v>1</v>
      </c>
      <c r="DB4174">
        <v>0</v>
      </c>
      <c r="DC4174">
        <v>0</v>
      </c>
      <c r="DD4174">
        <v>0</v>
      </c>
      <c r="DE4174">
        <v>0</v>
      </c>
      <c r="DF4174">
        <v>0</v>
      </c>
      <c r="DG4174">
        <v>0</v>
      </c>
      <c r="DH4174">
        <v>0</v>
      </c>
      <c r="DI4174">
        <v>0</v>
      </c>
    </row>
    <row r="4175" spans="1:113" x14ac:dyDescent="0.3">
      <c r="A4175" t="str">
        <f>"02/08/2021 20:37:30.430"</f>
        <v>02/08/2021 20:37:30.430</v>
      </c>
      <c r="C4175" t="str">
        <f t="shared" si="206"/>
        <v>FFDFD7C0</v>
      </c>
      <c r="D4175" t="s">
        <v>124</v>
      </c>
      <c r="E4175">
        <v>13</v>
      </c>
      <c r="F4175">
        <v>1013</v>
      </c>
      <c r="G4175" t="s">
        <v>114</v>
      </c>
      <c r="J4175" t="s">
        <v>125</v>
      </c>
      <c r="K4175">
        <v>0</v>
      </c>
      <c r="L4175">
        <v>3</v>
      </c>
      <c r="M4175">
        <v>0</v>
      </c>
      <c r="N4175">
        <v>2</v>
      </c>
      <c r="O4175">
        <v>1</v>
      </c>
      <c r="P4175">
        <v>0</v>
      </c>
      <c r="Q4175">
        <v>0</v>
      </c>
      <c r="S4175" t="str">
        <f>"20:37:32.758"</f>
        <v>20:37:32.758</v>
      </c>
      <c r="T4175" t="str">
        <f>"20:37:32.258"</f>
        <v>20:37:32.258</v>
      </c>
      <c r="U4175" t="str">
        <f t="shared" si="208"/>
        <v>AB01F4</v>
      </c>
      <c r="V4175">
        <v>0</v>
      </c>
      <c r="W4175">
        <v>0</v>
      </c>
      <c r="X4175">
        <v>2</v>
      </c>
      <c r="Z4175">
        <v>0</v>
      </c>
      <c r="AA4175">
        <v>9</v>
      </c>
      <c r="AB4175">
        <v>3</v>
      </c>
      <c r="AC4175">
        <v>0</v>
      </c>
      <c r="AD4175">
        <v>10</v>
      </c>
      <c r="AE4175">
        <v>0</v>
      </c>
      <c r="AF4175">
        <v>3</v>
      </c>
      <c r="AG4175">
        <v>2</v>
      </c>
      <c r="AH4175">
        <v>0</v>
      </c>
      <c r="AI4175" t="s">
        <v>2337</v>
      </c>
      <c r="AJ4175">
        <v>40.157367999999998</v>
      </c>
      <c r="AK4175" t="s">
        <v>2338</v>
      </c>
      <c r="AL4175">
        <v>-93.140694999999994</v>
      </c>
      <c r="AM4175">
        <v>100</v>
      </c>
      <c r="AN4175">
        <v>1300</v>
      </c>
      <c r="AO4175" t="s">
        <v>118</v>
      </c>
      <c r="AP4175">
        <v>-113</v>
      </c>
      <c r="AQ4175">
        <v>59</v>
      </c>
      <c r="AR4175">
        <v>64</v>
      </c>
      <c r="AZ4175">
        <v>1200</v>
      </c>
      <c r="BA4175">
        <v>1</v>
      </c>
      <c r="BB4175" t="str">
        <f t="shared" si="207"/>
        <v xml:space="preserve">N8080G  </v>
      </c>
      <c r="BC4175">
        <v>1</v>
      </c>
      <c r="BE4175">
        <v>0</v>
      </c>
      <c r="BF4175">
        <v>0</v>
      </c>
      <c r="BG4175">
        <v>0</v>
      </c>
      <c r="BH4175">
        <v>1350</v>
      </c>
      <c r="BI4175">
        <v>1</v>
      </c>
      <c r="BJ4175">
        <v>1</v>
      </c>
      <c r="BK4175">
        <v>1</v>
      </c>
      <c r="BL4175">
        <v>0</v>
      </c>
      <c r="BO4175">
        <v>0</v>
      </c>
      <c r="BP4175">
        <v>0</v>
      </c>
      <c r="BW4175" t="str">
        <f>"20:37:32.765"</f>
        <v>20:37:32.765</v>
      </c>
      <c r="BZ4175">
        <v>0</v>
      </c>
      <c r="CA4175">
        <v>1600</v>
      </c>
      <c r="CB4175">
        <v>224</v>
      </c>
      <c r="CD4175">
        <v>1</v>
      </c>
      <c r="CE4175">
        <v>0</v>
      </c>
      <c r="CF4175">
        <v>0</v>
      </c>
      <c r="CG4175">
        <v>1</v>
      </c>
      <c r="CH4175">
        <v>0</v>
      </c>
      <c r="CI4175">
        <v>0</v>
      </c>
      <c r="CJ4175">
        <v>0</v>
      </c>
      <c r="CK4175">
        <v>2</v>
      </c>
      <c r="CL4175">
        <v>0</v>
      </c>
      <c r="CM4175">
        <v>2</v>
      </c>
      <c r="CN4175">
        <v>0</v>
      </c>
      <c r="CO4175">
        <v>5</v>
      </c>
      <c r="CP4175" t="s">
        <v>119</v>
      </c>
      <c r="CQ4175">
        <v>180</v>
      </c>
      <c r="CR4175">
        <v>3</v>
      </c>
      <c r="CW4175">
        <v>1359922</v>
      </c>
      <c r="CY4175">
        <v>0</v>
      </c>
      <c r="CZ4175">
        <v>0</v>
      </c>
      <c r="DA4175">
        <v>0</v>
      </c>
      <c r="DB4175">
        <v>0</v>
      </c>
      <c r="DC4175">
        <v>0</v>
      </c>
      <c r="DD4175">
        <v>0</v>
      </c>
      <c r="DE4175">
        <v>0</v>
      </c>
      <c r="DF4175">
        <v>0</v>
      </c>
      <c r="DG4175">
        <v>0</v>
      </c>
      <c r="DH4175">
        <v>0</v>
      </c>
      <c r="DI4175">
        <v>0</v>
      </c>
    </row>
    <row r="4176" spans="1:113" x14ac:dyDescent="0.3">
      <c r="A4176" t="str">
        <f>"02/08/2021 20:37:30.430"</f>
        <v>02/08/2021 20:37:30.430</v>
      </c>
      <c r="C4176" t="str">
        <f t="shared" si="206"/>
        <v>FFDFD7C0</v>
      </c>
      <c r="D4176" t="s">
        <v>113</v>
      </c>
      <c r="E4176">
        <v>6</v>
      </c>
      <c r="H4176">
        <v>165</v>
      </c>
      <c r="I4176" t="s">
        <v>114</v>
      </c>
      <c r="J4176" t="s">
        <v>115</v>
      </c>
      <c r="K4176">
        <v>0</v>
      </c>
      <c r="L4176">
        <v>3</v>
      </c>
      <c r="M4176">
        <v>0</v>
      </c>
      <c r="N4176">
        <v>2</v>
      </c>
      <c r="O4176">
        <v>1</v>
      </c>
      <c r="P4176">
        <v>0</v>
      </c>
      <c r="Q4176">
        <v>0</v>
      </c>
      <c r="S4176" t="str">
        <f>"20:37:32.758"</f>
        <v>20:37:32.758</v>
      </c>
      <c r="T4176" t="str">
        <f>"20:37:32.258"</f>
        <v>20:37:32.258</v>
      </c>
      <c r="U4176" t="str">
        <f t="shared" si="208"/>
        <v>AB01F4</v>
      </c>
      <c r="V4176">
        <v>0</v>
      </c>
      <c r="W4176">
        <v>0</v>
      </c>
      <c r="X4176">
        <v>2</v>
      </c>
      <c r="Z4176">
        <v>0</v>
      </c>
      <c r="AA4176">
        <v>9</v>
      </c>
      <c r="AB4176">
        <v>3</v>
      </c>
      <c r="AC4176">
        <v>0</v>
      </c>
      <c r="AD4176">
        <v>10</v>
      </c>
      <c r="AE4176">
        <v>0</v>
      </c>
      <c r="AF4176">
        <v>3</v>
      </c>
      <c r="AG4176">
        <v>2</v>
      </c>
      <c r="AH4176">
        <v>0</v>
      </c>
      <c r="AI4176" t="s">
        <v>2337</v>
      </c>
      <c r="AJ4176">
        <v>40.157367999999998</v>
      </c>
      <c r="AK4176" t="s">
        <v>2338</v>
      </c>
      <c r="AL4176">
        <v>-93.140694999999994</v>
      </c>
      <c r="AM4176">
        <v>100</v>
      </c>
      <c r="AN4176">
        <v>1300</v>
      </c>
      <c r="AO4176" t="s">
        <v>118</v>
      </c>
      <c r="AP4176">
        <v>-113</v>
      </c>
      <c r="AQ4176">
        <v>59</v>
      </c>
      <c r="AR4176">
        <v>64</v>
      </c>
      <c r="AZ4176">
        <v>1200</v>
      </c>
      <c r="BA4176">
        <v>1</v>
      </c>
      <c r="BB4176" t="str">
        <f t="shared" si="207"/>
        <v xml:space="preserve">N8080G  </v>
      </c>
      <c r="BC4176">
        <v>1</v>
      </c>
      <c r="BE4176">
        <v>0</v>
      </c>
      <c r="BF4176">
        <v>0</v>
      </c>
      <c r="BG4176">
        <v>0</v>
      </c>
      <c r="BH4176">
        <v>1350</v>
      </c>
      <c r="BI4176">
        <v>1</v>
      </c>
      <c r="BJ4176">
        <v>1</v>
      </c>
      <c r="BK4176">
        <v>1</v>
      </c>
      <c r="BL4176">
        <v>0</v>
      </c>
      <c r="BO4176">
        <v>0</v>
      </c>
      <c r="BP4176">
        <v>0</v>
      </c>
      <c r="BW4176" t="str">
        <f>"20:37:32.765"</f>
        <v>20:37:32.765</v>
      </c>
      <c r="BZ4176">
        <v>0</v>
      </c>
      <c r="CA4176">
        <v>1600</v>
      </c>
      <c r="CB4176">
        <v>224</v>
      </c>
      <c r="CD4176">
        <v>1</v>
      </c>
      <c r="CE4176">
        <v>0</v>
      </c>
      <c r="CF4176">
        <v>0</v>
      </c>
      <c r="CG4176">
        <v>1</v>
      </c>
      <c r="CH4176">
        <v>0</v>
      </c>
      <c r="CI4176">
        <v>0</v>
      </c>
      <c r="CJ4176">
        <v>0</v>
      </c>
      <c r="CK4176">
        <v>2</v>
      </c>
      <c r="CL4176">
        <v>0</v>
      </c>
      <c r="CM4176">
        <v>2</v>
      </c>
      <c r="CN4176">
        <v>0</v>
      </c>
      <c r="CO4176">
        <v>5</v>
      </c>
      <c r="CP4176" t="s">
        <v>119</v>
      </c>
      <c r="CQ4176">
        <v>180</v>
      </c>
      <c r="CR4176">
        <v>3</v>
      </c>
      <c r="CW4176">
        <v>1359922</v>
      </c>
      <c r="CY4176">
        <v>0</v>
      </c>
      <c r="CZ4176">
        <v>0</v>
      </c>
      <c r="DA4176">
        <v>1</v>
      </c>
      <c r="DB4176">
        <v>0</v>
      </c>
      <c r="DC4176">
        <v>0</v>
      </c>
      <c r="DD4176">
        <v>0</v>
      </c>
      <c r="DE4176">
        <v>0</v>
      </c>
      <c r="DF4176">
        <v>0</v>
      </c>
      <c r="DG4176">
        <v>0</v>
      </c>
      <c r="DH4176">
        <v>0</v>
      </c>
      <c r="DI4176">
        <v>0</v>
      </c>
    </row>
    <row r="4177" spans="1:113" x14ac:dyDescent="0.3">
      <c r="A4177" t="str">
        <f>"02/08/2021 20:37:30.430"</f>
        <v>02/08/2021 20:37:30.430</v>
      </c>
      <c r="C4177" t="str">
        <f t="shared" si="206"/>
        <v>FFDFD7C0</v>
      </c>
      <c r="D4177" t="s">
        <v>124</v>
      </c>
      <c r="E4177">
        <v>12</v>
      </c>
      <c r="F4177">
        <v>1012</v>
      </c>
      <c r="G4177" t="s">
        <v>675</v>
      </c>
      <c r="J4177" t="s">
        <v>125</v>
      </c>
      <c r="K4177">
        <v>0</v>
      </c>
      <c r="L4177">
        <v>3</v>
      </c>
      <c r="M4177">
        <v>0</v>
      </c>
      <c r="N4177">
        <v>2</v>
      </c>
      <c r="O4177">
        <v>1</v>
      </c>
      <c r="P4177">
        <v>0</v>
      </c>
      <c r="Q4177">
        <v>0</v>
      </c>
      <c r="S4177" t="str">
        <f>"20:37:32.758"</f>
        <v>20:37:32.758</v>
      </c>
      <c r="T4177" t="str">
        <f>"20:37:32.258"</f>
        <v>20:37:32.258</v>
      </c>
      <c r="U4177" t="str">
        <f t="shared" si="208"/>
        <v>AB01F4</v>
      </c>
      <c r="V4177">
        <v>0</v>
      </c>
      <c r="W4177">
        <v>0</v>
      </c>
      <c r="X4177">
        <v>2</v>
      </c>
      <c r="Z4177">
        <v>0</v>
      </c>
      <c r="AA4177">
        <v>9</v>
      </c>
      <c r="AB4177">
        <v>3</v>
      </c>
      <c r="AC4177">
        <v>0</v>
      </c>
      <c r="AD4177">
        <v>10</v>
      </c>
      <c r="AE4177">
        <v>0</v>
      </c>
      <c r="AF4177">
        <v>3</v>
      </c>
      <c r="AG4177">
        <v>2</v>
      </c>
      <c r="AH4177">
        <v>0</v>
      </c>
      <c r="AI4177" t="s">
        <v>2337</v>
      </c>
      <c r="AJ4177">
        <v>40.157367999999998</v>
      </c>
      <c r="AK4177" t="s">
        <v>2338</v>
      </c>
      <c r="AL4177">
        <v>-93.140694999999994</v>
      </c>
      <c r="AM4177">
        <v>100</v>
      </c>
      <c r="AN4177">
        <v>1300</v>
      </c>
      <c r="AO4177" t="s">
        <v>118</v>
      </c>
      <c r="AP4177">
        <v>-113</v>
      </c>
      <c r="AQ4177">
        <v>59</v>
      </c>
      <c r="AR4177">
        <v>64</v>
      </c>
      <c r="AZ4177">
        <v>1200</v>
      </c>
      <c r="BA4177">
        <v>1</v>
      </c>
      <c r="BB4177" t="str">
        <f t="shared" si="207"/>
        <v xml:space="preserve">N8080G  </v>
      </c>
      <c r="BC4177">
        <v>1</v>
      </c>
      <c r="BE4177">
        <v>0</v>
      </c>
      <c r="BF4177">
        <v>0</v>
      </c>
      <c r="BG4177">
        <v>0</v>
      </c>
      <c r="BH4177">
        <v>1350</v>
      </c>
      <c r="BI4177">
        <v>1</v>
      </c>
      <c r="BJ4177">
        <v>1</v>
      </c>
      <c r="BK4177">
        <v>1</v>
      </c>
      <c r="BL4177">
        <v>0</v>
      </c>
      <c r="BO4177">
        <v>0</v>
      </c>
      <c r="BP4177">
        <v>0</v>
      </c>
      <c r="BW4177" t="str">
        <f>"20:37:32.765"</f>
        <v>20:37:32.765</v>
      </c>
      <c r="BZ4177">
        <v>0</v>
      </c>
      <c r="CA4177">
        <v>1600</v>
      </c>
      <c r="CB4177">
        <v>224</v>
      </c>
      <c r="CD4177">
        <v>1</v>
      </c>
      <c r="CE4177">
        <v>0</v>
      </c>
      <c r="CF4177">
        <v>0</v>
      </c>
      <c r="CG4177">
        <v>1</v>
      </c>
      <c r="CH4177">
        <v>0</v>
      </c>
      <c r="CI4177">
        <v>0</v>
      </c>
      <c r="CJ4177">
        <v>0</v>
      </c>
      <c r="CK4177">
        <v>2</v>
      </c>
      <c r="CL4177">
        <v>0</v>
      </c>
      <c r="CM4177">
        <v>2</v>
      </c>
      <c r="CN4177">
        <v>0</v>
      </c>
      <c r="CO4177">
        <v>5</v>
      </c>
      <c r="CP4177" t="s">
        <v>119</v>
      </c>
      <c r="CQ4177">
        <v>180</v>
      </c>
      <c r="CR4177">
        <v>3</v>
      </c>
      <c r="CW4177">
        <v>1359922</v>
      </c>
      <c r="CY4177">
        <v>0</v>
      </c>
      <c r="CZ4177">
        <v>0</v>
      </c>
      <c r="DA4177">
        <v>1</v>
      </c>
      <c r="DB4177">
        <v>0</v>
      </c>
      <c r="DC4177">
        <v>0</v>
      </c>
      <c r="DD4177">
        <v>0</v>
      </c>
      <c r="DE4177">
        <v>0</v>
      </c>
      <c r="DF4177">
        <v>0</v>
      </c>
      <c r="DG4177">
        <v>0</v>
      </c>
      <c r="DH4177">
        <v>0</v>
      </c>
      <c r="DI4177">
        <v>0</v>
      </c>
    </row>
    <row r="4178" spans="1:113" x14ac:dyDescent="0.3">
      <c r="A4178" t="str">
        <f>"02/08/2021 20:37:30.430"</f>
        <v>02/08/2021 20:37:30.430</v>
      </c>
      <c r="C4178" t="str">
        <f t="shared" si="206"/>
        <v>FFDFD7C0</v>
      </c>
      <c r="D4178" t="s">
        <v>124</v>
      </c>
      <c r="E4178">
        <v>11</v>
      </c>
      <c r="F4178">
        <v>1011</v>
      </c>
      <c r="G4178" t="s">
        <v>590</v>
      </c>
      <c r="J4178" t="s">
        <v>125</v>
      </c>
      <c r="K4178">
        <v>0</v>
      </c>
      <c r="L4178">
        <v>3</v>
      </c>
      <c r="M4178">
        <v>0</v>
      </c>
      <c r="N4178">
        <v>2</v>
      </c>
      <c r="O4178">
        <v>1</v>
      </c>
      <c r="P4178">
        <v>0</v>
      </c>
      <c r="Q4178">
        <v>0</v>
      </c>
      <c r="S4178" t="str">
        <f>"20:37:32.758"</f>
        <v>20:37:32.758</v>
      </c>
      <c r="T4178" t="str">
        <f>"20:37:32.258"</f>
        <v>20:37:32.258</v>
      </c>
      <c r="U4178" t="str">
        <f t="shared" si="208"/>
        <v>AB01F4</v>
      </c>
      <c r="V4178">
        <v>0</v>
      </c>
      <c r="W4178">
        <v>0</v>
      </c>
      <c r="X4178">
        <v>2</v>
      </c>
      <c r="Z4178">
        <v>0</v>
      </c>
      <c r="AA4178">
        <v>9</v>
      </c>
      <c r="AB4178">
        <v>3</v>
      </c>
      <c r="AC4178">
        <v>0</v>
      </c>
      <c r="AD4178">
        <v>10</v>
      </c>
      <c r="AE4178">
        <v>0</v>
      </c>
      <c r="AF4178">
        <v>3</v>
      </c>
      <c r="AG4178">
        <v>2</v>
      </c>
      <c r="AH4178">
        <v>0</v>
      </c>
      <c r="AI4178" t="s">
        <v>2337</v>
      </c>
      <c r="AJ4178">
        <v>40.157367999999998</v>
      </c>
      <c r="AK4178" t="s">
        <v>2338</v>
      </c>
      <c r="AL4178">
        <v>-93.140694999999994</v>
      </c>
      <c r="AM4178">
        <v>100</v>
      </c>
      <c r="AN4178">
        <v>1300</v>
      </c>
      <c r="AO4178" t="s">
        <v>118</v>
      </c>
      <c r="AP4178">
        <v>-113</v>
      </c>
      <c r="AQ4178">
        <v>59</v>
      </c>
      <c r="AR4178">
        <v>64</v>
      </c>
      <c r="AZ4178">
        <v>1200</v>
      </c>
      <c r="BA4178">
        <v>1</v>
      </c>
      <c r="BB4178" t="str">
        <f t="shared" si="207"/>
        <v xml:space="preserve">N8080G  </v>
      </c>
      <c r="BC4178">
        <v>1</v>
      </c>
      <c r="BE4178">
        <v>0</v>
      </c>
      <c r="BF4178">
        <v>0</v>
      </c>
      <c r="BG4178">
        <v>0</v>
      </c>
      <c r="BH4178">
        <v>1350</v>
      </c>
      <c r="BI4178">
        <v>1</v>
      </c>
      <c r="BJ4178">
        <v>1</v>
      </c>
      <c r="BK4178">
        <v>1</v>
      </c>
      <c r="BL4178">
        <v>0</v>
      </c>
      <c r="BO4178">
        <v>0</v>
      </c>
      <c r="BP4178">
        <v>0</v>
      </c>
      <c r="BW4178" t="str">
        <f>"20:37:32.765"</f>
        <v>20:37:32.765</v>
      </c>
      <c r="BZ4178">
        <v>0</v>
      </c>
      <c r="CA4178">
        <v>1600</v>
      </c>
      <c r="CB4178">
        <v>224</v>
      </c>
      <c r="CD4178">
        <v>1</v>
      </c>
      <c r="CE4178">
        <v>0</v>
      </c>
      <c r="CF4178">
        <v>0</v>
      </c>
      <c r="CG4178">
        <v>1</v>
      </c>
      <c r="CH4178">
        <v>0</v>
      </c>
      <c r="CI4178">
        <v>0</v>
      </c>
      <c r="CJ4178">
        <v>0</v>
      </c>
      <c r="CK4178">
        <v>2</v>
      </c>
      <c r="CL4178">
        <v>0</v>
      </c>
      <c r="CM4178">
        <v>2</v>
      </c>
      <c r="CN4178">
        <v>0</v>
      </c>
      <c r="CO4178">
        <v>5</v>
      </c>
      <c r="CP4178" t="s">
        <v>119</v>
      </c>
      <c r="CQ4178">
        <v>180</v>
      </c>
      <c r="CR4178">
        <v>3</v>
      </c>
      <c r="CW4178">
        <v>1359922</v>
      </c>
      <c r="CY4178">
        <v>0</v>
      </c>
      <c r="CZ4178">
        <v>0</v>
      </c>
      <c r="DA4178">
        <v>1</v>
      </c>
      <c r="DB4178">
        <v>0</v>
      </c>
      <c r="DC4178">
        <v>0</v>
      </c>
      <c r="DD4178">
        <v>0</v>
      </c>
      <c r="DE4178">
        <v>0</v>
      </c>
      <c r="DF4178">
        <v>0</v>
      </c>
      <c r="DG4178">
        <v>0</v>
      </c>
      <c r="DH4178">
        <v>0</v>
      </c>
      <c r="DI4178">
        <v>0</v>
      </c>
    </row>
    <row r="4179" spans="1:113" x14ac:dyDescent="0.3">
      <c r="A4179" t="str">
        <f>"02/08/2021 20:37:31.501"</f>
        <v>02/08/2021 20:37:31.501</v>
      </c>
      <c r="C4179" t="str">
        <f t="shared" si="206"/>
        <v>FFDFD7C0</v>
      </c>
      <c r="D4179" t="s">
        <v>124</v>
      </c>
      <c r="E4179">
        <v>12</v>
      </c>
      <c r="F4179">
        <v>1012</v>
      </c>
      <c r="G4179" t="s">
        <v>675</v>
      </c>
      <c r="J4179" t="s">
        <v>125</v>
      </c>
      <c r="K4179">
        <v>0</v>
      </c>
      <c r="L4179">
        <v>3</v>
      </c>
      <c r="M4179">
        <v>0</v>
      </c>
      <c r="N4179">
        <v>2</v>
      </c>
      <c r="O4179">
        <v>1</v>
      </c>
      <c r="P4179">
        <v>0</v>
      </c>
      <c r="Q4179">
        <v>0</v>
      </c>
      <c r="S4179" t="str">
        <f>"20:37:33.844"</f>
        <v>20:37:33.844</v>
      </c>
      <c r="T4179" t="str">
        <f>"20:37:33.344"</f>
        <v>20:37:33.344</v>
      </c>
      <c r="U4179" t="str">
        <f t="shared" si="208"/>
        <v>AB01F4</v>
      </c>
      <c r="V4179">
        <v>0</v>
      </c>
      <c r="W4179">
        <v>0</v>
      </c>
      <c r="X4179">
        <v>2</v>
      </c>
      <c r="Z4179">
        <v>0</v>
      </c>
      <c r="AA4179">
        <v>9</v>
      </c>
      <c r="AB4179">
        <v>3</v>
      </c>
      <c r="AC4179">
        <v>0</v>
      </c>
      <c r="AD4179">
        <v>10</v>
      </c>
      <c r="AE4179">
        <v>0</v>
      </c>
      <c r="AF4179">
        <v>3</v>
      </c>
      <c r="AG4179">
        <v>2</v>
      </c>
      <c r="AH4179">
        <v>0</v>
      </c>
      <c r="AI4179" t="s">
        <v>2339</v>
      </c>
      <c r="AJ4179">
        <v>40.157690000000002</v>
      </c>
      <c r="AK4179" t="s">
        <v>2340</v>
      </c>
      <c r="AL4179">
        <v>-93.141468000000003</v>
      </c>
      <c r="AM4179">
        <v>100</v>
      </c>
      <c r="AN4179">
        <v>1300</v>
      </c>
      <c r="AO4179" t="s">
        <v>118</v>
      </c>
      <c r="AP4179">
        <v>-113</v>
      </c>
      <c r="AQ4179">
        <v>59</v>
      </c>
      <c r="AR4179">
        <v>64</v>
      </c>
      <c r="AZ4179">
        <v>1200</v>
      </c>
      <c r="BA4179">
        <v>1</v>
      </c>
      <c r="BB4179" t="str">
        <f t="shared" si="207"/>
        <v xml:space="preserve">N8080G  </v>
      </c>
      <c r="BC4179">
        <v>1</v>
      </c>
      <c r="BE4179">
        <v>0</v>
      </c>
      <c r="BF4179">
        <v>0</v>
      </c>
      <c r="BG4179">
        <v>0</v>
      </c>
      <c r="BH4179">
        <v>1350</v>
      </c>
      <c r="BI4179">
        <v>1</v>
      </c>
      <c r="BJ4179">
        <v>1</v>
      </c>
      <c r="BK4179">
        <v>1</v>
      </c>
      <c r="BL4179">
        <v>0</v>
      </c>
      <c r="BO4179">
        <v>0</v>
      </c>
      <c r="BP4179">
        <v>0</v>
      </c>
      <c r="BW4179" t="str">
        <f>"20:37:33.846"</f>
        <v>20:37:33.846</v>
      </c>
      <c r="BZ4179">
        <v>0</v>
      </c>
      <c r="CA4179">
        <v>1600</v>
      </c>
      <c r="CB4179">
        <v>224</v>
      </c>
      <c r="CD4179">
        <v>1</v>
      </c>
      <c r="CE4179">
        <v>0</v>
      </c>
      <c r="CF4179">
        <v>0</v>
      </c>
      <c r="CG4179">
        <v>1</v>
      </c>
      <c r="CH4179">
        <v>0</v>
      </c>
      <c r="CI4179">
        <v>0</v>
      </c>
      <c r="CJ4179">
        <v>0</v>
      </c>
      <c r="CK4179">
        <v>2</v>
      </c>
      <c r="CL4179">
        <v>0</v>
      </c>
      <c r="CM4179">
        <v>2</v>
      </c>
      <c r="CN4179">
        <v>0</v>
      </c>
      <c r="CO4179">
        <v>5</v>
      </c>
      <c r="CP4179" t="s">
        <v>119</v>
      </c>
      <c r="CQ4179">
        <v>180</v>
      </c>
      <c r="CR4179">
        <v>2</v>
      </c>
      <c r="CW4179">
        <v>9039330</v>
      </c>
      <c r="CY4179">
        <v>0</v>
      </c>
      <c r="CZ4179">
        <v>0</v>
      </c>
      <c r="DA4179">
        <v>0</v>
      </c>
      <c r="DB4179">
        <v>0</v>
      </c>
      <c r="DC4179">
        <v>0</v>
      </c>
      <c r="DD4179">
        <v>0</v>
      </c>
      <c r="DE4179">
        <v>0</v>
      </c>
      <c r="DF4179">
        <v>0</v>
      </c>
      <c r="DG4179">
        <v>0</v>
      </c>
      <c r="DH4179">
        <v>0</v>
      </c>
      <c r="DI4179">
        <v>0</v>
      </c>
    </row>
    <row r="4180" spans="1:113" x14ac:dyDescent="0.3">
      <c r="A4180" t="str">
        <f>"02/08/2021 20:37:31.501"</f>
        <v>02/08/2021 20:37:31.501</v>
      </c>
      <c r="C4180" t="str">
        <f t="shared" si="206"/>
        <v>FFDFD7C0</v>
      </c>
      <c r="D4180" t="s">
        <v>113</v>
      </c>
      <c r="E4180">
        <v>6</v>
      </c>
      <c r="H4180">
        <v>165</v>
      </c>
      <c r="I4180" t="s">
        <v>114</v>
      </c>
      <c r="J4180" t="s">
        <v>115</v>
      </c>
      <c r="K4180">
        <v>0</v>
      </c>
      <c r="L4180">
        <v>3</v>
      </c>
      <c r="M4180">
        <v>0</v>
      </c>
      <c r="N4180">
        <v>2</v>
      </c>
      <c r="O4180">
        <v>1</v>
      </c>
      <c r="P4180">
        <v>0</v>
      </c>
      <c r="Q4180">
        <v>0</v>
      </c>
      <c r="S4180" t="str">
        <f>"20:37:33.844"</f>
        <v>20:37:33.844</v>
      </c>
      <c r="T4180" t="str">
        <f>"20:37:33.344"</f>
        <v>20:37:33.344</v>
      </c>
      <c r="U4180" t="str">
        <f t="shared" si="208"/>
        <v>AB01F4</v>
      </c>
      <c r="V4180">
        <v>0</v>
      </c>
      <c r="W4180">
        <v>0</v>
      </c>
      <c r="X4180">
        <v>2</v>
      </c>
      <c r="Z4180">
        <v>0</v>
      </c>
      <c r="AA4180">
        <v>9</v>
      </c>
      <c r="AB4180">
        <v>3</v>
      </c>
      <c r="AC4180">
        <v>0</v>
      </c>
      <c r="AD4180">
        <v>10</v>
      </c>
      <c r="AE4180">
        <v>0</v>
      </c>
      <c r="AF4180">
        <v>3</v>
      </c>
      <c r="AG4180">
        <v>2</v>
      </c>
      <c r="AH4180">
        <v>0</v>
      </c>
      <c r="AI4180" t="s">
        <v>2339</v>
      </c>
      <c r="AJ4180">
        <v>40.157690000000002</v>
      </c>
      <c r="AK4180" t="s">
        <v>2340</v>
      </c>
      <c r="AL4180">
        <v>-93.141468000000003</v>
      </c>
      <c r="AM4180">
        <v>100</v>
      </c>
      <c r="AN4180">
        <v>1300</v>
      </c>
      <c r="AO4180" t="s">
        <v>118</v>
      </c>
      <c r="AP4180">
        <v>-113</v>
      </c>
      <c r="AQ4180">
        <v>59</v>
      </c>
      <c r="AR4180">
        <v>64</v>
      </c>
      <c r="AZ4180">
        <v>1200</v>
      </c>
      <c r="BA4180">
        <v>1</v>
      </c>
      <c r="BB4180" t="str">
        <f t="shared" si="207"/>
        <v xml:space="preserve">N8080G  </v>
      </c>
      <c r="BC4180">
        <v>1</v>
      </c>
      <c r="BE4180">
        <v>0</v>
      </c>
      <c r="BF4180">
        <v>0</v>
      </c>
      <c r="BG4180">
        <v>0</v>
      </c>
      <c r="BH4180">
        <v>1350</v>
      </c>
      <c r="BI4180">
        <v>1</v>
      </c>
      <c r="BJ4180">
        <v>1</v>
      </c>
      <c r="BK4180">
        <v>1</v>
      </c>
      <c r="BL4180">
        <v>0</v>
      </c>
      <c r="BO4180">
        <v>0</v>
      </c>
      <c r="BP4180">
        <v>0</v>
      </c>
      <c r="BW4180" t="str">
        <f>"20:37:33.846"</f>
        <v>20:37:33.846</v>
      </c>
      <c r="BZ4180">
        <v>0</v>
      </c>
      <c r="CA4180">
        <v>1600</v>
      </c>
      <c r="CB4180">
        <v>224</v>
      </c>
      <c r="CD4180">
        <v>1</v>
      </c>
      <c r="CE4180">
        <v>0</v>
      </c>
      <c r="CF4180">
        <v>0</v>
      </c>
      <c r="CG4180">
        <v>1</v>
      </c>
      <c r="CH4180">
        <v>0</v>
      </c>
      <c r="CI4180">
        <v>0</v>
      </c>
      <c r="CJ4180">
        <v>0</v>
      </c>
      <c r="CK4180">
        <v>2</v>
      </c>
      <c r="CL4180">
        <v>0</v>
      </c>
      <c r="CM4180">
        <v>2</v>
      </c>
      <c r="CN4180">
        <v>0</v>
      </c>
      <c r="CO4180">
        <v>5</v>
      </c>
      <c r="CP4180" t="s">
        <v>119</v>
      </c>
      <c r="CQ4180">
        <v>180</v>
      </c>
      <c r="CR4180">
        <v>2</v>
      </c>
      <c r="CW4180">
        <v>9039330</v>
      </c>
      <c r="CY4180">
        <v>0</v>
      </c>
      <c r="CZ4180">
        <v>0</v>
      </c>
      <c r="DA4180">
        <v>1</v>
      </c>
      <c r="DB4180">
        <v>0</v>
      </c>
      <c r="DC4180">
        <v>0</v>
      </c>
      <c r="DD4180">
        <v>0</v>
      </c>
      <c r="DE4180">
        <v>0</v>
      </c>
      <c r="DF4180">
        <v>0</v>
      </c>
      <c r="DG4180">
        <v>0</v>
      </c>
      <c r="DH4180">
        <v>0</v>
      </c>
      <c r="DI4180">
        <v>0</v>
      </c>
    </row>
    <row r="4181" spans="1:113" x14ac:dyDescent="0.3">
      <c r="A4181" t="str">
        <f>"02/08/2021 20:37:31.501"</f>
        <v>02/08/2021 20:37:31.501</v>
      </c>
      <c r="C4181" t="str">
        <f t="shared" si="206"/>
        <v>FFDFD7C0</v>
      </c>
      <c r="D4181" t="s">
        <v>124</v>
      </c>
      <c r="E4181">
        <v>11</v>
      </c>
      <c r="F4181">
        <v>1011</v>
      </c>
      <c r="G4181" t="s">
        <v>590</v>
      </c>
      <c r="J4181" t="s">
        <v>125</v>
      </c>
      <c r="K4181">
        <v>0</v>
      </c>
      <c r="L4181">
        <v>3</v>
      </c>
      <c r="M4181">
        <v>0</v>
      </c>
      <c r="N4181">
        <v>2</v>
      </c>
      <c r="O4181">
        <v>1</v>
      </c>
      <c r="P4181">
        <v>0</v>
      </c>
      <c r="Q4181">
        <v>0</v>
      </c>
      <c r="S4181" t="str">
        <f>"20:37:33.844"</f>
        <v>20:37:33.844</v>
      </c>
      <c r="T4181" t="str">
        <f>"20:37:33.344"</f>
        <v>20:37:33.344</v>
      </c>
      <c r="U4181" t="str">
        <f t="shared" si="208"/>
        <v>AB01F4</v>
      </c>
      <c r="V4181">
        <v>0</v>
      </c>
      <c r="W4181">
        <v>0</v>
      </c>
      <c r="X4181">
        <v>2</v>
      </c>
      <c r="Z4181">
        <v>0</v>
      </c>
      <c r="AA4181">
        <v>9</v>
      </c>
      <c r="AB4181">
        <v>3</v>
      </c>
      <c r="AC4181">
        <v>0</v>
      </c>
      <c r="AD4181">
        <v>10</v>
      </c>
      <c r="AE4181">
        <v>0</v>
      </c>
      <c r="AF4181">
        <v>3</v>
      </c>
      <c r="AG4181">
        <v>2</v>
      </c>
      <c r="AH4181">
        <v>0</v>
      </c>
      <c r="AI4181" t="s">
        <v>2339</v>
      </c>
      <c r="AJ4181">
        <v>40.157690000000002</v>
      </c>
      <c r="AK4181" t="s">
        <v>2340</v>
      </c>
      <c r="AL4181">
        <v>-93.141468000000003</v>
      </c>
      <c r="AM4181">
        <v>100</v>
      </c>
      <c r="AN4181">
        <v>1300</v>
      </c>
      <c r="AO4181" t="s">
        <v>118</v>
      </c>
      <c r="AP4181">
        <v>-113</v>
      </c>
      <c r="AQ4181">
        <v>59</v>
      </c>
      <c r="AR4181">
        <v>64</v>
      </c>
      <c r="AZ4181">
        <v>1200</v>
      </c>
      <c r="BA4181">
        <v>1</v>
      </c>
      <c r="BB4181" t="str">
        <f t="shared" si="207"/>
        <v xml:space="preserve">N8080G  </v>
      </c>
      <c r="BC4181">
        <v>1</v>
      </c>
      <c r="BE4181">
        <v>0</v>
      </c>
      <c r="BF4181">
        <v>0</v>
      </c>
      <c r="BG4181">
        <v>0</v>
      </c>
      <c r="BH4181">
        <v>1350</v>
      </c>
      <c r="BI4181">
        <v>1</v>
      </c>
      <c r="BJ4181">
        <v>1</v>
      </c>
      <c r="BK4181">
        <v>1</v>
      </c>
      <c r="BL4181">
        <v>0</v>
      </c>
      <c r="BO4181">
        <v>0</v>
      </c>
      <c r="BP4181">
        <v>0</v>
      </c>
      <c r="BW4181" t="str">
        <f>"20:37:33.846"</f>
        <v>20:37:33.846</v>
      </c>
      <c r="BZ4181">
        <v>0</v>
      </c>
      <c r="CA4181">
        <v>1600</v>
      </c>
      <c r="CB4181">
        <v>224</v>
      </c>
      <c r="CD4181">
        <v>1</v>
      </c>
      <c r="CE4181">
        <v>0</v>
      </c>
      <c r="CF4181">
        <v>0</v>
      </c>
      <c r="CG4181">
        <v>1</v>
      </c>
      <c r="CH4181">
        <v>0</v>
      </c>
      <c r="CI4181">
        <v>0</v>
      </c>
      <c r="CJ4181">
        <v>0</v>
      </c>
      <c r="CK4181">
        <v>2</v>
      </c>
      <c r="CL4181">
        <v>0</v>
      </c>
      <c r="CM4181">
        <v>2</v>
      </c>
      <c r="CN4181">
        <v>0</v>
      </c>
      <c r="CO4181">
        <v>5</v>
      </c>
      <c r="CP4181" t="s">
        <v>119</v>
      </c>
      <c r="CQ4181">
        <v>180</v>
      </c>
      <c r="CR4181">
        <v>2</v>
      </c>
      <c r="CW4181">
        <v>9039330</v>
      </c>
      <c r="CY4181">
        <v>0</v>
      </c>
      <c r="CZ4181">
        <v>0</v>
      </c>
      <c r="DA4181">
        <v>1</v>
      </c>
      <c r="DB4181">
        <v>0</v>
      </c>
      <c r="DC4181">
        <v>0</v>
      </c>
      <c r="DD4181">
        <v>0</v>
      </c>
      <c r="DE4181">
        <v>0</v>
      </c>
      <c r="DF4181">
        <v>0</v>
      </c>
      <c r="DG4181">
        <v>0</v>
      </c>
      <c r="DH4181">
        <v>0</v>
      </c>
      <c r="DI4181">
        <v>0</v>
      </c>
    </row>
    <row r="4182" spans="1:113" x14ac:dyDescent="0.3">
      <c r="A4182" t="str">
        <f>"02/08/2021 20:37:31.501"</f>
        <v>02/08/2021 20:37:31.501</v>
      </c>
      <c r="C4182" t="str">
        <f t="shared" si="206"/>
        <v>FFDFD7C0</v>
      </c>
      <c r="D4182" t="s">
        <v>124</v>
      </c>
      <c r="E4182">
        <v>13</v>
      </c>
      <c r="F4182">
        <v>1013</v>
      </c>
      <c r="G4182" t="s">
        <v>114</v>
      </c>
      <c r="J4182" t="s">
        <v>125</v>
      </c>
      <c r="K4182">
        <v>0</v>
      </c>
      <c r="L4182">
        <v>3</v>
      </c>
      <c r="M4182">
        <v>0</v>
      </c>
      <c r="N4182">
        <v>2</v>
      </c>
      <c r="O4182">
        <v>1</v>
      </c>
      <c r="P4182">
        <v>0</v>
      </c>
      <c r="Q4182">
        <v>0</v>
      </c>
      <c r="S4182" t="str">
        <f>"20:37:33.844"</f>
        <v>20:37:33.844</v>
      </c>
      <c r="T4182" t="str">
        <f>"20:37:33.344"</f>
        <v>20:37:33.344</v>
      </c>
      <c r="U4182" t="str">
        <f t="shared" si="208"/>
        <v>AB01F4</v>
      </c>
      <c r="V4182">
        <v>0</v>
      </c>
      <c r="W4182">
        <v>0</v>
      </c>
      <c r="X4182">
        <v>2</v>
      </c>
      <c r="Z4182">
        <v>0</v>
      </c>
      <c r="AA4182">
        <v>9</v>
      </c>
      <c r="AB4182">
        <v>3</v>
      </c>
      <c r="AC4182">
        <v>0</v>
      </c>
      <c r="AD4182">
        <v>10</v>
      </c>
      <c r="AE4182">
        <v>0</v>
      </c>
      <c r="AF4182">
        <v>3</v>
      </c>
      <c r="AG4182">
        <v>2</v>
      </c>
      <c r="AH4182">
        <v>0</v>
      </c>
      <c r="AI4182" t="s">
        <v>2339</v>
      </c>
      <c r="AJ4182">
        <v>40.157690000000002</v>
      </c>
      <c r="AK4182" t="s">
        <v>2340</v>
      </c>
      <c r="AL4182">
        <v>-93.141468000000003</v>
      </c>
      <c r="AM4182">
        <v>100</v>
      </c>
      <c r="AN4182">
        <v>1300</v>
      </c>
      <c r="AO4182" t="s">
        <v>118</v>
      </c>
      <c r="AP4182">
        <v>-113</v>
      </c>
      <c r="AQ4182">
        <v>59</v>
      </c>
      <c r="AR4182">
        <v>64</v>
      </c>
      <c r="AZ4182">
        <v>1200</v>
      </c>
      <c r="BA4182">
        <v>1</v>
      </c>
      <c r="BB4182" t="str">
        <f t="shared" si="207"/>
        <v xml:space="preserve">N8080G  </v>
      </c>
      <c r="BC4182">
        <v>1</v>
      </c>
      <c r="BE4182">
        <v>0</v>
      </c>
      <c r="BF4182">
        <v>0</v>
      </c>
      <c r="BG4182">
        <v>0</v>
      </c>
      <c r="BH4182">
        <v>1350</v>
      </c>
      <c r="BI4182">
        <v>1</v>
      </c>
      <c r="BJ4182">
        <v>1</v>
      </c>
      <c r="BK4182">
        <v>1</v>
      </c>
      <c r="BL4182">
        <v>0</v>
      </c>
      <c r="BO4182">
        <v>0</v>
      </c>
      <c r="BP4182">
        <v>0</v>
      </c>
      <c r="BW4182" t="str">
        <f>"20:37:33.846"</f>
        <v>20:37:33.846</v>
      </c>
      <c r="BZ4182">
        <v>0</v>
      </c>
      <c r="CA4182">
        <v>1600</v>
      </c>
      <c r="CB4182">
        <v>224</v>
      </c>
      <c r="CD4182">
        <v>1</v>
      </c>
      <c r="CE4182">
        <v>0</v>
      </c>
      <c r="CF4182">
        <v>0</v>
      </c>
      <c r="CG4182">
        <v>1</v>
      </c>
      <c r="CH4182">
        <v>0</v>
      </c>
      <c r="CI4182">
        <v>0</v>
      </c>
      <c r="CJ4182">
        <v>0</v>
      </c>
      <c r="CK4182">
        <v>2</v>
      </c>
      <c r="CL4182">
        <v>0</v>
      </c>
      <c r="CM4182">
        <v>2</v>
      </c>
      <c r="CN4182">
        <v>0</v>
      </c>
      <c r="CO4182">
        <v>5</v>
      </c>
      <c r="CP4182" t="s">
        <v>119</v>
      </c>
      <c r="CQ4182">
        <v>180</v>
      </c>
      <c r="CR4182">
        <v>2</v>
      </c>
      <c r="CW4182">
        <v>9039330</v>
      </c>
      <c r="CY4182">
        <v>0</v>
      </c>
      <c r="CZ4182">
        <v>0</v>
      </c>
      <c r="DA4182">
        <v>1</v>
      </c>
      <c r="DB4182">
        <v>0</v>
      </c>
      <c r="DC4182">
        <v>0</v>
      </c>
      <c r="DD4182">
        <v>0</v>
      </c>
      <c r="DE4182">
        <v>0</v>
      </c>
      <c r="DF4182">
        <v>0</v>
      </c>
      <c r="DG4182">
        <v>0</v>
      </c>
      <c r="DH4182">
        <v>0</v>
      </c>
      <c r="DI4182">
        <v>0</v>
      </c>
    </row>
    <row r="4183" spans="1:113" x14ac:dyDescent="0.3">
      <c r="A4183" t="str">
        <f>"02/08/2021 20:37:32.504"</f>
        <v>02/08/2021 20:37:32.504</v>
      </c>
      <c r="C4183" t="str">
        <f t="shared" si="206"/>
        <v>FFDFD7C0</v>
      </c>
      <c r="D4183" t="s">
        <v>124</v>
      </c>
      <c r="E4183">
        <v>12</v>
      </c>
      <c r="F4183">
        <v>1012</v>
      </c>
      <c r="G4183" t="s">
        <v>675</v>
      </c>
      <c r="J4183" t="s">
        <v>125</v>
      </c>
      <c r="K4183">
        <v>0</v>
      </c>
      <c r="L4183">
        <v>3</v>
      </c>
      <c r="M4183">
        <v>0</v>
      </c>
      <c r="N4183">
        <v>2</v>
      </c>
      <c r="O4183">
        <v>1</v>
      </c>
      <c r="P4183">
        <v>0</v>
      </c>
      <c r="Q4183">
        <v>0</v>
      </c>
      <c r="S4183" t="str">
        <f>"20:37:34.820"</f>
        <v>20:37:34.820</v>
      </c>
      <c r="T4183" t="str">
        <f>"20:37:34.420"</f>
        <v>20:37:34.420</v>
      </c>
      <c r="U4183" t="str">
        <f t="shared" si="208"/>
        <v>AB01F4</v>
      </c>
      <c r="V4183">
        <v>0</v>
      </c>
      <c r="W4183">
        <v>0</v>
      </c>
      <c r="X4183">
        <v>2</v>
      </c>
      <c r="Z4183">
        <v>0</v>
      </c>
      <c r="AA4183">
        <v>9</v>
      </c>
      <c r="AB4183">
        <v>3</v>
      </c>
      <c r="AC4183">
        <v>0</v>
      </c>
      <c r="AD4183">
        <v>10</v>
      </c>
      <c r="AE4183">
        <v>0</v>
      </c>
      <c r="AF4183">
        <v>3</v>
      </c>
      <c r="AG4183">
        <v>2</v>
      </c>
      <c r="AH4183">
        <v>0</v>
      </c>
      <c r="AI4183" t="s">
        <v>2341</v>
      </c>
      <c r="AJ4183">
        <v>40.157905</v>
      </c>
      <c r="AK4183" t="s">
        <v>2342</v>
      </c>
      <c r="AL4183">
        <v>-93.142089999999996</v>
      </c>
      <c r="AM4183">
        <v>100</v>
      </c>
      <c r="AN4183">
        <v>1300</v>
      </c>
      <c r="AO4183" t="s">
        <v>118</v>
      </c>
      <c r="AP4183">
        <v>-113</v>
      </c>
      <c r="AQ4183">
        <v>59</v>
      </c>
      <c r="AR4183">
        <v>0</v>
      </c>
      <c r="AZ4183">
        <v>1200</v>
      </c>
      <c r="BA4183">
        <v>1</v>
      </c>
      <c r="BB4183" t="str">
        <f t="shared" si="207"/>
        <v xml:space="preserve">N8080G  </v>
      </c>
      <c r="BC4183">
        <v>1</v>
      </c>
      <c r="BE4183">
        <v>0</v>
      </c>
      <c r="BF4183">
        <v>0</v>
      </c>
      <c r="BG4183">
        <v>0</v>
      </c>
      <c r="BH4183">
        <v>1350</v>
      </c>
      <c r="BI4183">
        <v>1</v>
      </c>
      <c r="BJ4183">
        <v>1</v>
      </c>
      <c r="BK4183">
        <v>1</v>
      </c>
      <c r="BL4183">
        <v>0</v>
      </c>
      <c r="BO4183">
        <v>0</v>
      </c>
      <c r="BP4183">
        <v>0</v>
      </c>
      <c r="BW4183" t="str">
        <f>"20:37:34.824"</f>
        <v>20:37:34.824</v>
      </c>
      <c r="BZ4183">
        <v>0</v>
      </c>
      <c r="CA4183">
        <v>1600</v>
      </c>
      <c r="CB4183">
        <v>224</v>
      </c>
      <c r="CD4183">
        <v>1</v>
      </c>
      <c r="CE4183">
        <v>0</v>
      </c>
      <c r="CF4183">
        <v>0</v>
      </c>
      <c r="CG4183">
        <v>1</v>
      </c>
      <c r="CH4183">
        <v>0</v>
      </c>
      <c r="CI4183">
        <v>0</v>
      </c>
      <c r="CJ4183">
        <v>0</v>
      </c>
      <c r="CK4183">
        <v>2</v>
      </c>
      <c r="CL4183">
        <v>0</v>
      </c>
      <c r="CM4183">
        <v>2</v>
      </c>
      <c r="CN4183">
        <v>0</v>
      </c>
      <c r="CO4183">
        <v>2</v>
      </c>
      <c r="CP4183" t="s">
        <v>119</v>
      </c>
      <c r="CQ4183">
        <v>179</v>
      </c>
      <c r="CR4183">
        <v>2</v>
      </c>
      <c r="CW4183">
        <v>12633945</v>
      </c>
      <c r="CY4183">
        <v>0</v>
      </c>
      <c r="CZ4183">
        <v>0</v>
      </c>
      <c r="DA4183">
        <v>0</v>
      </c>
      <c r="DB4183">
        <v>0</v>
      </c>
      <c r="DC4183">
        <v>0</v>
      </c>
      <c r="DD4183">
        <v>0</v>
      </c>
      <c r="DE4183">
        <v>0</v>
      </c>
      <c r="DF4183">
        <v>0</v>
      </c>
      <c r="DG4183">
        <v>0</v>
      </c>
      <c r="DH4183">
        <v>0</v>
      </c>
      <c r="DI4183">
        <v>0</v>
      </c>
    </row>
    <row r="4184" spans="1:113" x14ac:dyDescent="0.3">
      <c r="A4184" t="str">
        <f>"02/08/2021 20:37:32.504"</f>
        <v>02/08/2021 20:37:32.504</v>
      </c>
      <c r="C4184" t="str">
        <f t="shared" si="206"/>
        <v>FFDFD7C0</v>
      </c>
      <c r="D4184" t="s">
        <v>113</v>
      </c>
      <c r="E4184">
        <v>6</v>
      </c>
      <c r="H4184">
        <v>165</v>
      </c>
      <c r="I4184" t="s">
        <v>114</v>
      </c>
      <c r="J4184" t="s">
        <v>115</v>
      </c>
      <c r="K4184">
        <v>0</v>
      </c>
      <c r="L4184">
        <v>3</v>
      </c>
      <c r="M4184">
        <v>0</v>
      </c>
      <c r="N4184">
        <v>2</v>
      </c>
      <c r="O4184">
        <v>1</v>
      </c>
      <c r="P4184">
        <v>0</v>
      </c>
      <c r="Q4184">
        <v>0</v>
      </c>
      <c r="S4184" t="str">
        <f>"20:37:34.820"</f>
        <v>20:37:34.820</v>
      </c>
      <c r="T4184" t="str">
        <f>"20:37:34.420"</f>
        <v>20:37:34.420</v>
      </c>
      <c r="U4184" t="str">
        <f t="shared" si="208"/>
        <v>AB01F4</v>
      </c>
      <c r="V4184">
        <v>0</v>
      </c>
      <c r="W4184">
        <v>0</v>
      </c>
      <c r="X4184">
        <v>2</v>
      </c>
      <c r="Z4184">
        <v>0</v>
      </c>
      <c r="AA4184">
        <v>9</v>
      </c>
      <c r="AB4184">
        <v>3</v>
      </c>
      <c r="AC4184">
        <v>0</v>
      </c>
      <c r="AD4184">
        <v>10</v>
      </c>
      <c r="AE4184">
        <v>0</v>
      </c>
      <c r="AF4184">
        <v>3</v>
      </c>
      <c r="AG4184">
        <v>2</v>
      </c>
      <c r="AH4184">
        <v>0</v>
      </c>
      <c r="AI4184" t="s">
        <v>2341</v>
      </c>
      <c r="AJ4184">
        <v>40.157905</v>
      </c>
      <c r="AK4184" t="s">
        <v>2342</v>
      </c>
      <c r="AL4184">
        <v>-93.142089999999996</v>
      </c>
      <c r="AM4184">
        <v>100</v>
      </c>
      <c r="AN4184">
        <v>1300</v>
      </c>
      <c r="AO4184" t="s">
        <v>118</v>
      </c>
      <c r="AP4184">
        <v>-113</v>
      </c>
      <c r="AQ4184">
        <v>59</v>
      </c>
      <c r="AR4184">
        <v>0</v>
      </c>
      <c r="AZ4184">
        <v>1200</v>
      </c>
      <c r="BA4184">
        <v>1</v>
      </c>
      <c r="BB4184" t="str">
        <f t="shared" si="207"/>
        <v xml:space="preserve">N8080G  </v>
      </c>
      <c r="BC4184">
        <v>1</v>
      </c>
      <c r="BE4184">
        <v>0</v>
      </c>
      <c r="BF4184">
        <v>0</v>
      </c>
      <c r="BG4184">
        <v>0</v>
      </c>
      <c r="BH4184">
        <v>1350</v>
      </c>
      <c r="BI4184">
        <v>1</v>
      </c>
      <c r="BJ4184">
        <v>1</v>
      </c>
      <c r="BK4184">
        <v>1</v>
      </c>
      <c r="BL4184">
        <v>0</v>
      </c>
      <c r="BO4184">
        <v>0</v>
      </c>
      <c r="BP4184">
        <v>0</v>
      </c>
      <c r="BW4184" t="str">
        <f>"20:37:34.824"</f>
        <v>20:37:34.824</v>
      </c>
      <c r="BZ4184">
        <v>0</v>
      </c>
      <c r="CA4184">
        <v>1600</v>
      </c>
      <c r="CB4184">
        <v>224</v>
      </c>
      <c r="CD4184">
        <v>1</v>
      </c>
      <c r="CE4184">
        <v>0</v>
      </c>
      <c r="CF4184">
        <v>0</v>
      </c>
      <c r="CG4184">
        <v>1</v>
      </c>
      <c r="CH4184">
        <v>0</v>
      </c>
      <c r="CI4184">
        <v>0</v>
      </c>
      <c r="CJ4184">
        <v>0</v>
      </c>
      <c r="CK4184">
        <v>2</v>
      </c>
      <c r="CL4184">
        <v>0</v>
      </c>
      <c r="CM4184">
        <v>2</v>
      </c>
      <c r="CN4184">
        <v>0</v>
      </c>
      <c r="CO4184">
        <v>2</v>
      </c>
      <c r="CP4184" t="s">
        <v>119</v>
      </c>
      <c r="CQ4184">
        <v>179</v>
      </c>
      <c r="CR4184">
        <v>2</v>
      </c>
      <c r="CW4184">
        <v>12633945</v>
      </c>
      <c r="CY4184">
        <v>0</v>
      </c>
      <c r="CZ4184">
        <v>0</v>
      </c>
      <c r="DA4184">
        <v>1</v>
      </c>
      <c r="DB4184">
        <v>0</v>
      </c>
      <c r="DC4184">
        <v>0</v>
      </c>
      <c r="DD4184">
        <v>0</v>
      </c>
      <c r="DE4184">
        <v>0</v>
      </c>
      <c r="DF4184">
        <v>0</v>
      </c>
      <c r="DG4184">
        <v>0</v>
      </c>
      <c r="DH4184">
        <v>0</v>
      </c>
      <c r="DI4184">
        <v>0</v>
      </c>
    </row>
    <row r="4185" spans="1:113" x14ac:dyDescent="0.3">
      <c r="A4185" t="str">
        <f>"02/08/2021 20:37:32.504"</f>
        <v>02/08/2021 20:37:32.504</v>
      </c>
      <c r="C4185" t="str">
        <f t="shared" si="206"/>
        <v>FFDFD7C0</v>
      </c>
      <c r="D4185" t="s">
        <v>124</v>
      </c>
      <c r="E4185">
        <v>13</v>
      </c>
      <c r="F4185">
        <v>1013</v>
      </c>
      <c r="G4185" t="s">
        <v>114</v>
      </c>
      <c r="J4185" t="s">
        <v>125</v>
      </c>
      <c r="K4185">
        <v>0</v>
      </c>
      <c r="L4185">
        <v>3</v>
      </c>
      <c r="M4185">
        <v>0</v>
      </c>
      <c r="N4185">
        <v>2</v>
      </c>
      <c r="O4185">
        <v>1</v>
      </c>
      <c r="P4185">
        <v>0</v>
      </c>
      <c r="Q4185">
        <v>0</v>
      </c>
      <c r="S4185" t="str">
        <f>"20:37:34.820"</f>
        <v>20:37:34.820</v>
      </c>
      <c r="T4185" t="str">
        <f>"20:37:34.420"</f>
        <v>20:37:34.420</v>
      </c>
      <c r="U4185" t="str">
        <f t="shared" si="208"/>
        <v>AB01F4</v>
      </c>
      <c r="V4185">
        <v>0</v>
      </c>
      <c r="W4185">
        <v>0</v>
      </c>
      <c r="X4185">
        <v>2</v>
      </c>
      <c r="Z4185">
        <v>0</v>
      </c>
      <c r="AA4185">
        <v>9</v>
      </c>
      <c r="AB4185">
        <v>3</v>
      </c>
      <c r="AC4185">
        <v>0</v>
      </c>
      <c r="AD4185">
        <v>10</v>
      </c>
      <c r="AE4185">
        <v>0</v>
      </c>
      <c r="AF4185">
        <v>3</v>
      </c>
      <c r="AG4185">
        <v>2</v>
      </c>
      <c r="AH4185">
        <v>0</v>
      </c>
      <c r="AI4185" t="s">
        <v>2341</v>
      </c>
      <c r="AJ4185">
        <v>40.157905</v>
      </c>
      <c r="AK4185" t="s">
        <v>2342</v>
      </c>
      <c r="AL4185">
        <v>-93.142089999999996</v>
      </c>
      <c r="AM4185">
        <v>100</v>
      </c>
      <c r="AN4185">
        <v>1300</v>
      </c>
      <c r="AO4185" t="s">
        <v>118</v>
      </c>
      <c r="AP4185">
        <v>-113</v>
      </c>
      <c r="AQ4185">
        <v>59</v>
      </c>
      <c r="AR4185">
        <v>0</v>
      </c>
      <c r="AZ4185">
        <v>1200</v>
      </c>
      <c r="BA4185">
        <v>1</v>
      </c>
      <c r="BB4185" t="str">
        <f t="shared" si="207"/>
        <v xml:space="preserve">N8080G  </v>
      </c>
      <c r="BC4185">
        <v>1</v>
      </c>
      <c r="BE4185">
        <v>0</v>
      </c>
      <c r="BF4185">
        <v>0</v>
      </c>
      <c r="BG4185">
        <v>0</v>
      </c>
      <c r="BH4185">
        <v>1350</v>
      </c>
      <c r="BI4185">
        <v>1</v>
      </c>
      <c r="BJ4185">
        <v>1</v>
      </c>
      <c r="BK4185">
        <v>1</v>
      </c>
      <c r="BL4185">
        <v>0</v>
      </c>
      <c r="BO4185">
        <v>0</v>
      </c>
      <c r="BP4185">
        <v>0</v>
      </c>
      <c r="BW4185" t="str">
        <f>"20:37:34.824"</f>
        <v>20:37:34.824</v>
      </c>
      <c r="BZ4185">
        <v>0</v>
      </c>
      <c r="CA4185">
        <v>1600</v>
      </c>
      <c r="CB4185">
        <v>224</v>
      </c>
      <c r="CD4185">
        <v>1</v>
      </c>
      <c r="CE4185">
        <v>0</v>
      </c>
      <c r="CF4185">
        <v>0</v>
      </c>
      <c r="CG4185">
        <v>1</v>
      </c>
      <c r="CH4185">
        <v>0</v>
      </c>
      <c r="CI4185">
        <v>0</v>
      </c>
      <c r="CJ4185">
        <v>0</v>
      </c>
      <c r="CK4185">
        <v>2</v>
      </c>
      <c r="CL4185">
        <v>0</v>
      </c>
      <c r="CM4185">
        <v>2</v>
      </c>
      <c r="CN4185">
        <v>0</v>
      </c>
      <c r="CO4185">
        <v>2</v>
      </c>
      <c r="CP4185" t="s">
        <v>119</v>
      </c>
      <c r="CQ4185">
        <v>179</v>
      </c>
      <c r="CR4185">
        <v>2</v>
      </c>
      <c r="CW4185">
        <v>12633945</v>
      </c>
      <c r="CY4185">
        <v>0</v>
      </c>
      <c r="CZ4185">
        <v>0</v>
      </c>
      <c r="DA4185">
        <v>1</v>
      </c>
      <c r="DB4185">
        <v>0</v>
      </c>
      <c r="DC4185">
        <v>0</v>
      </c>
      <c r="DD4185">
        <v>0</v>
      </c>
      <c r="DE4185">
        <v>0</v>
      </c>
      <c r="DF4185">
        <v>0</v>
      </c>
      <c r="DG4185">
        <v>0</v>
      </c>
      <c r="DH4185">
        <v>0</v>
      </c>
      <c r="DI4185">
        <v>0</v>
      </c>
    </row>
    <row r="4186" spans="1:113" x14ac:dyDescent="0.3">
      <c r="A4186" t="str">
        <f>"02/08/2021 20:37:32.504"</f>
        <v>02/08/2021 20:37:32.504</v>
      </c>
      <c r="C4186" t="str">
        <f t="shared" si="206"/>
        <v>FFDFD7C0</v>
      </c>
      <c r="D4186" t="s">
        <v>124</v>
      </c>
      <c r="E4186">
        <v>11</v>
      </c>
      <c r="F4186">
        <v>1011</v>
      </c>
      <c r="G4186" t="s">
        <v>590</v>
      </c>
      <c r="J4186" t="s">
        <v>125</v>
      </c>
      <c r="K4186">
        <v>0</v>
      </c>
      <c r="L4186">
        <v>3</v>
      </c>
      <c r="M4186">
        <v>0</v>
      </c>
      <c r="N4186">
        <v>2</v>
      </c>
      <c r="O4186">
        <v>1</v>
      </c>
      <c r="P4186">
        <v>0</v>
      </c>
      <c r="Q4186">
        <v>0</v>
      </c>
      <c r="S4186" t="str">
        <f>"20:37:34.820"</f>
        <v>20:37:34.820</v>
      </c>
      <c r="T4186" t="str">
        <f>"20:37:34.420"</f>
        <v>20:37:34.420</v>
      </c>
      <c r="U4186" t="str">
        <f t="shared" si="208"/>
        <v>AB01F4</v>
      </c>
      <c r="V4186">
        <v>0</v>
      </c>
      <c r="W4186">
        <v>0</v>
      </c>
      <c r="X4186">
        <v>2</v>
      </c>
      <c r="Z4186">
        <v>0</v>
      </c>
      <c r="AA4186">
        <v>9</v>
      </c>
      <c r="AB4186">
        <v>3</v>
      </c>
      <c r="AC4186">
        <v>0</v>
      </c>
      <c r="AD4186">
        <v>10</v>
      </c>
      <c r="AE4186">
        <v>0</v>
      </c>
      <c r="AF4186">
        <v>3</v>
      </c>
      <c r="AG4186">
        <v>2</v>
      </c>
      <c r="AH4186">
        <v>0</v>
      </c>
      <c r="AI4186" t="s">
        <v>2341</v>
      </c>
      <c r="AJ4186">
        <v>40.157905</v>
      </c>
      <c r="AK4186" t="s">
        <v>2342</v>
      </c>
      <c r="AL4186">
        <v>-93.142089999999996</v>
      </c>
      <c r="AM4186">
        <v>100</v>
      </c>
      <c r="AN4186">
        <v>1300</v>
      </c>
      <c r="AO4186" t="s">
        <v>118</v>
      </c>
      <c r="AP4186">
        <v>-113</v>
      </c>
      <c r="AQ4186">
        <v>59</v>
      </c>
      <c r="AR4186">
        <v>0</v>
      </c>
      <c r="AZ4186">
        <v>1200</v>
      </c>
      <c r="BA4186">
        <v>1</v>
      </c>
      <c r="BB4186" t="str">
        <f t="shared" si="207"/>
        <v xml:space="preserve">N8080G  </v>
      </c>
      <c r="BC4186">
        <v>1</v>
      </c>
      <c r="BE4186">
        <v>0</v>
      </c>
      <c r="BF4186">
        <v>0</v>
      </c>
      <c r="BG4186">
        <v>0</v>
      </c>
      <c r="BH4186">
        <v>1350</v>
      </c>
      <c r="BI4186">
        <v>1</v>
      </c>
      <c r="BJ4186">
        <v>1</v>
      </c>
      <c r="BK4186">
        <v>1</v>
      </c>
      <c r="BL4186">
        <v>0</v>
      </c>
      <c r="BO4186">
        <v>0</v>
      </c>
      <c r="BP4186">
        <v>0</v>
      </c>
      <c r="BW4186" t="str">
        <f>"20:37:34.824"</f>
        <v>20:37:34.824</v>
      </c>
      <c r="BZ4186">
        <v>0</v>
      </c>
      <c r="CA4186">
        <v>1600</v>
      </c>
      <c r="CB4186">
        <v>224</v>
      </c>
      <c r="CD4186">
        <v>1</v>
      </c>
      <c r="CE4186">
        <v>0</v>
      </c>
      <c r="CF4186">
        <v>0</v>
      </c>
      <c r="CG4186">
        <v>1</v>
      </c>
      <c r="CH4186">
        <v>0</v>
      </c>
      <c r="CI4186">
        <v>0</v>
      </c>
      <c r="CJ4186">
        <v>0</v>
      </c>
      <c r="CK4186">
        <v>2</v>
      </c>
      <c r="CL4186">
        <v>0</v>
      </c>
      <c r="CM4186">
        <v>2</v>
      </c>
      <c r="CN4186">
        <v>0</v>
      </c>
      <c r="CO4186">
        <v>2</v>
      </c>
      <c r="CP4186" t="s">
        <v>119</v>
      </c>
      <c r="CQ4186">
        <v>179</v>
      </c>
      <c r="CR4186">
        <v>2</v>
      </c>
      <c r="CW4186">
        <v>12633945</v>
      </c>
      <c r="CY4186">
        <v>0</v>
      </c>
      <c r="CZ4186">
        <v>0</v>
      </c>
      <c r="DA4186">
        <v>1</v>
      </c>
      <c r="DB4186">
        <v>0</v>
      </c>
      <c r="DC4186">
        <v>0</v>
      </c>
      <c r="DD4186">
        <v>0</v>
      </c>
      <c r="DE4186">
        <v>0</v>
      </c>
      <c r="DF4186">
        <v>0</v>
      </c>
      <c r="DG4186">
        <v>0</v>
      </c>
      <c r="DH4186">
        <v>0</v>
      </c>
      <c r="DI4186">
        <v>0</v>
      </c>
    </row>
    <row r="4187" spans="1:113" x14ac:dyDescent="0.3">
      <c r="A4187" t="str">
        <f>"02/08/2021 20:37:33.627"</f>
        <v>02/08/2021 20:37:33.627</v>
      </c>
      <c r="C4187" t="str">
        <f t="shared" si="206"/>
        <v>FFDFD7C0</v>
      </c>
      <c r="D4187" t="s">
        <v>113</v>
      </c>
      <c r="E4187">
        <v>6</v>
      </c>
      <c r="H4187">
        <v>165</v>
      </c>
      <c r="I4187" t="s">
        <v>114</v>
      </c>
      <c r="J4187" t="s">
        <v>115</v>
      </c>
      <c r="K4187">
        <v>0</v>
      </c>
      <c r="L4187">
        <v>3</v>
      </c>
      <c r="M4187">
        <v>0</v>
      </c>
      <c r="N4187">
        <v>2</v>
      </c>
      <c r="O4187">
        <v>1</v>
      </c>
      <c r="P4187">
        <v>0</v>
      </c>
      <c r="Q4187">
        <v>0</v>
      </c>
      <c r="S4187" t="str">
        <f>"20:37:35.930"</f>
        <v>20:37:35.930</v>
      </c>
      <c r="T4187" t="str">
        <f>"20:37:35.430"</f>
        <v>20:37:35.430</v>
      </c>
      <c r="U4187" t="str">
        <f t="shared" si="208"/>
        <v>AB01F4</v>
      </c>
      <c r="V4187">
        <v>0</v>
      </c>
      <c r="W4187">
        <v>0</v>
      </c>
      <c r="X4187">
        <v>2</v>
      </c>
      <c r="Z4187">
        <v>0</v>
      </c>
      <c r="AA4187">
        <v>9</v>
      </c>
      <c r="AB4187">
        <v>3</v>
      </c>
      <c r="AC4187">
        <v>0</v>
      </c>
      <c r="AD4187">
        <v>10</v>
      </c>
      <c r="AE4187">
        <v>0</v>
      </c>
      <c r="AF4187">
        <v>3</v>
      </c>
      <c r="AG4187">
        <v>2</v>
      </c>
      <c r="AH4187">
        <v>0</v>
      </c>
      <c r="AI4187" t="s">
        <v>2343</v>
      </c>
      <c r="AJ4187">
        <v>40.158225999999999</v>
      </c>
      <c r="AK4187" t="s">
        <v>2344</v>
      </c>
      <c r="AL4187">
        <v>-93.142883999999995</v>
      </c>
      <c r="AM4187">
        <v>100</v>
      </c>
      <c r="AN4187">
        <v>1300</v>
      </c>
      <c r="AO4187" t="s">
        <v>118</v>
      </c>
      <c r="AP4187">
        <v>-114</v>
      </c>
      <c r="AQ4187">
        <v>59</v>
      </c>
      <c r="AR4187">
        <v>0</v>
      </c>
      <c r="AZ4187">
        <v>1200</v>
      </c>
      <c r="BA4187">
        <v>1</v>
      </c>
      <c r="BB4187" t="str">
        <f t="shared" si="207"/>
        <v xml:space="preserve">N8080G  </v>
      </c>
      <c r="BC4187">
        <v>1</v>
      </c>
      <c r="BE4187">
        <v>0</v>
      </c>
      <c r="BF4187">
        <v>0</v>
      </c>
      <c r="BG4187">
        <v>0</v>
      </c>
      <c r="BH4187">
        <v>1350</v>
      </c>
      <c r="BI4187">
        <v>1</v>
      </c>
      <c r="BJ4187">
        <v>1</v>
      </c>
      <c r="BK4187">
        <v>1</v>
      </c>
      <c r="BL4187">
        <v>0</v>
      </c>
      <c r="BO4187">
        <v>0</v>
      </c>
      <c r="BP4187">
        <v>0</v>
      </c>
      <c r="BW4187" t="str">
        <f>"20:37:35.932"</f>
        <v>20:37:35.932</v>
      </c>
      <c r="BZ4187">
        <v>0</v>
      </c>
      <c r="CA4187">
        <v>1600</v>
      </c>
      <c r="CB4187">
        <v>224</v>
      </c>
      <c r="CD4187">
        <v>1</v>
      </c>
      <c r="CE4187">
        <v>0</v>
      </c>
      <c r="CF4187">
        <v>0</v>
      </c>
      <c r="CG4187">
        <v>1</v>
      </c>
      <c r="CH4187">
        <v>0</v>
      </c>
      <c r="CI4187">
        <v>0</v>
      </c>
      <c r="CJ4187">
        <v>0</v>
      </c>
      <c r="CK4187">
        <v>2</v>
      </c>
      <c r="CL4187">
        <v>0</v>
      </c>
      <c r="CM4187">
        <v>2</v>
      </c>
      <c r="CN4187">
        <v>0</v>
      </c>
      <c r="CO4187">
        <v>2</v>
      </c>
      <c r="CP4187" t="s">
        <v>119</v>
      </c>
      <c r="CQ4187">
        <v>179</v>
      </c>
      <c r="CR4187">
        <v>2</v>
      </c>
      <c r="CW4187">
        <v>12634826</v>
      </c>
      <c r="CY4187">
        <v>0</v>
      </c>
      <c r="CZ4187">
        <v>0</v>
      </c>
      <c r="DA4187">
        <v>0</v>
      </c>
      <c r="DB4187">
        <v>0</v>
      </c>
      <c r="DC4187">
        <v>0</v>
      </c>
      <c r="DD4187">
        <v>0</v>
      </c>
      <c r="DE4187">
        <v>0</v>
      </c>
      <c r="DF4187">
        <v>0</v>
      </c>
      <c r="DG4187">
        <v>0</v>
      </c>
      <c r="DH4187">
        <v>0</v>
      </c>
      <c r="DI4187">
        <v>0</v>
      </c>
    </row>
    <row r="4188" spans="1:113" x14ac:dyDescent="0.3">
      <c r="A4188" t="str">
        <f>"02/08/2021 20:37:33.627"</f>
        <v>02/08/2021 20:37:33.627</v>
      </c>
      <c r="C4188" t="str">
        <f t="shared" si="206"/>
        <v>FFDFD7C0</v>
      </c>
      <c r="D4188" t="s">
        <v>124</v>
      </c>
      <c r="E4188">
        <v>13</v>
      </c>
      <c r="F4188">
        <v>1013</v>
      </c>
      <c r="G4188" t="s">
        <v>114</v>
      </c>
      <c r="J4188" t="s">
        <v>125</v>
      </c>
      <c r="K4188">
        <v>0</v>
      </c>
      <c r="L4188">
        <v>3</v>
      </c>
      <c r="M4188">
        <v>0</v>
      </c>
      <c r="N4188">
        <v>2</v>
      </c>
      <c r="O4188">
        <v>1</v>
      </c>
      <c r="P4188">
        <v>0</v>
      </c>
      <c r="Q4188">
        <v>0</v>
      </c>
      <c r="S4188" t="str">
        <f>"20:37:35.930"</f>
        <v>20:37:35.930</v>
      </c>
      <c r="T4188" t="str">
        <f>"20:37:35.430"</f>
        <v>20:37:35.430</v>
      </c>
      <c r="U4188" t="str">
        <f t="shared" si="208"/>
        <v>AB01F4</v>
      </c>
      <c r="V4188">
        <v>0</v>
      </c>
      <c r="W4188">
        <v>0</v>
      </c>
      <c r="X4188">
        <v>2</v>
      </c>
      <c r="Z4188">
        <v>0</v>
      </c>
      <c r="AA4188">
        <v>9</v>
      </c>
      <c r="AB4188">
        <v>3</v>
      </c>
      <c r="AC4188">
        <v>0</v>
      </c>
      <c r="AD4188">
        <v>10</v>
      </c>
      <c r="AE4188">
        <v>0</v>
      </c>
      <c r="AF4188">
        <v>3</v>
      </c>
      <c r="AG4188">
        <v>2</v>
      </c>
      <c r="AH4188">
        <v>0</v>
      </c>
      <c r="AI4188" t="s">
        <v>2343</v>
      </c>
      <c r="AJ4188">
        <v>40.158225999999999</v>
      </c>
      <c r="AK4188" t="s">
        <v>2344</v>
      </c>
      <c r="AL4188">
        <v>-93.142883999999995</v>
      </c>
      <c r="AM4188">
        <v>100</v>
      </c>
      <c r="AN4188">
        <v>1300</v>
      </c>
      <c r="AO4188" t="s">
        <v>118</v>
      </c>
      <c r="AP4188">
        <v>-114</v>
      </c>
      <c r="AQ4188">
        <v>59</v>
      </c>
      <c r="AR4188">
        <v>0</v>
      </c>
      <c r="AZ4188">
        <v>1200</v>
      </c>
      <c r="BA4188">
        <v>1</v>
      </c>
      <c r="BB4188" t="str">
        <f t="shared" si="207"/>
        <v xml:space="preserve">N8080G  </v>
      </c>
      <c r="BC4188">
        <v>1</v>
      </c>
      <c r="BE4188">
        <v>0</v>
      </c>
      <c r="BF4188">
        <v>0</v>
      </c>
      <c r="BG4188">
        <v>0</v>
      </c>
      <c r="BH4188">
        <v>1350</v>
      </c>
      <c r="BI4188">
        <v>1</v>
      </c>
      <c r="BJ4188">
        <v>1</v>
      </c>
      <c r="BK4188">
        <v>1</v>
      </c>
      <c r="BL4188">
        <v>0</v>
      </c>
      <c r="BO4188">
        <v>0</v>
      </c>
      <c r="BP4188">
        <v>0</v>
      </c>
      <c r="BW4188" t="str">
        <f>"20:37:35.932"</f>
        <v>20:37:35.932</v>
      </c>
      <c r="BZ4188">
        <v>0</v>
      </c>
      <c r="CA4188">
        <v>1600</v>
      </c>
      <c r="CB4188">
        <v>224</v>
      </c>
      <c r="CD4188">
        <v>1</v>
      </c>
      <c r="CE4188">
        <v>0</v>
      </c>
      <c r="CF4188">
        <v>0</v>
      </c>
      <c r="CG4188">
        <v>1</v>
      </c>
      <c r="CH4188">
        <v>0</v>
      </c>
      <c r="CI4188">
        <v>0</v>
      </c>
      <c r="CJ4188">
        <v>0</v>
      </c>
      <c r="CK4188">
        <v>2</v>
      </c>
      <c r="CL4188">
        <v>0</v>
      </c>
      <c r="CM4188">
        <v>2</v>
      </c>
      <c r="CN4188">
        <v>0</v>
      </c>
      <c r="CO4188">
        <v>2</v>
      </c>
      <c r="CP4188" t="s">
        <v>119</v>
      </c>
      <c r="CQ4188">
        <v>179</v>
      </c>
      <c r="CR4188">
        <v>2</v>
      </c>
      <c r="CW4188">
        <v>12634826</v>
      </c>
      <c r="CY4188">
        <v>0</v>
      </c>
      <c r="CZ4188">
        <v>0</v>
      </c>
      <c r="DA4188">
        <v>1</v>
      </c>
      <c r="DB4188">
        <v>0</v>
      </c>
      <c r="DC4188">
        <v>0</v>
      </c>
      <c r="DD4188">
        <v>0</v>
      </c>
      <c r="DE4188">
        <v>0</v>
      </c>
      <c r="DF4188">
        <v>0</v>
      </c>
      <c r="DG4188">
        <v>0</v>
      </c>
      <c r="DH4188">
        <v>0</v>
      </c>
      <c r="DI4188">
        <v>0</v>
      </c>
    </row>
    <row r="4189" spans="1:113" x14ac:dyDescent="0.3">
      <c r="A4189" t="str">
        <f>"02/08/2021 20:37:33.627"</f>
        <v>02/08/2021 20:37:33.627</v>
      </c>
      <c r="C4189" t="str">
        <f t="shared" si="206"/>
        <v>FFDFD7C0</v>
      </c>
      <c r="D4189" t="s">
        <v>124</v>
      </c>
      <c r="E4189">
        <v>11</v>
      </c>
      <c r="F4189">
        <v>1011</v>
      </c>
      <c r="G4189" t="s">
        <v>590</v>
      </c>
      <c r="J4189" t="s">
        <v>125</v>
      </c>
      <c r="K4189">
        <v>0</v>
      </c>
      <c r="L4189">
        <v>3</v>
      </c>
      <c r="M4189">
        <v>0</v>
      </c>
      <c r="N4189">
        <v>2</v>
      </c>
      <c r="O4189">
        <v>1</v>
      </c>
      <c r="P4189">
        <v>0</v>
      </c>
      <c r="Q4189">
        <v>0</v>
      </c>
      <c r="S4189" t="str">
        <f>"20:37:35.930"</f>
        <v>20:37:35.930</v>
      </c>
      <c r="T4189" t="str">
        <f>"20:37:35.430"</f>
        <v>20:37:35.430</v>
      </c>
      <c r="U4189" t="str">
        <f t="shared" si="208"/>
        <v>AB01F4</v>
      </c>
      <c r="V4189">
        <v>0</v>
      </c>
      <c r="W4189">
        <v>0</v>
      </c>
      <c r="X4189">
        <v>2</v>
      </c>
      <c r="Z4189">
        <v>0</v>
      </c>
      <c r="AA4189">
        <v>9</v>
      </c>
      <c r="AB4189">
        <v>3</v>
      </c>
      <c r="AC4189">
        <v>0</v>
      </c>
      <c r="AD4189">
        <v>10</v>
      </c>
      <c r="AE4189">
        <v>0</v>
      </c>
      <c r="AF4189">
        <v>3</v>
      </c>
      <c r="AG4189">
        <v>2</v>
      </c>
      <c r="AH4189">
        <v>0</v>
      </c>
      <c r="AI4189" t="s">
        <v>2343</v>
      </c>
      <c r="AJ4189">
        <v>40.158225999999999</v>
      </c>
      <c r="AK4189" t="s">
        <v>2344</v>
      </c>
      <c r="AL4189">
        <v>-93.142883999999995</v>
      </c>
      <c r="AM4189">
        <v>100</v>
      </c>
      <c r="AN4189">
        <v>1300</v>
      </c>
      <c r="AO4189" t="s">
        <v>118</v>
      </c>
      <c r="AP4189">
        <v>-114</v>
      </c>
      <c r="AQ4189">
        <v>59</v>
      </c>
      <c r="AR4189">
        <v>0</v>
      </c>
      <c r="AZ4189">
        <v>1200</v>
      </c>
      <c r="BA4189">
        <v>1</v>
      </c>
      <c r="BB4189" t="str">
        <f t="shared" si="207"/>
        <v xml:space="preserve">N8080G  </v>
      </c>
      <c r="BC4189">
        <v>1</v>
      </c>
      <c r="BE4189">
        <v>0</v>
      </c>
      <c r="BF4189">
        <v>0</v>
      </c>
      <c r="BG4189">
        <v>0</v>
      </c>
      <c r="BH4189">
        <v>1350</v>
      </c>
      <c r="BI4189">
        <v>1</v>
      </c>
      <c r="BJ4189">
        <v>1</v>
      </c>
      <c r="BK4189">
        <v>1</v>
      </c>
      <c r="BL4189">
        <v>0</v>
      </c>
      <c r="BO4189">
        <v>0</v>
      </c>
      <c r="BP4189">
        <v>0</v>
      </c>
      <c r="BW4189" t="str">
        <f>"20:37:35.932"</f>
        <v>20:37:35.932</v>
      </c>
      <c r="BZ4189">
        <v>0</v>
      </c>
      <c r="CA4189">
        <v>1600</v>
      </c>
      <c r="CB4189">
        <v>224</v>
      </c>
      <c r="CD4189">
        <v>1</v>
      </c>
      <c r="CE4189">
        <v>0</v>
      </c>
      <c r="CF4189">
        <v>0</v>
      </c>
      <c r="CG4189">
        <v>1</v>
      </c>
      <c r="CH4189">
        <v>0</v>
      </c>
      <c r="CI4189">
        <v>0</v>
      </c>
      <c r="CJ4189">
        <v>0</v>
      </c>
      <c r="CK4189">
        <v>2</v>
      </c>
      <c r="CL4189">
        <v>0</v>
      </c>
      <c r="CM4189">
        <v>2</v>
      </c>
      <c r="CN4189">
        <v>0</v>
      </c>
      <c r="CO4189">
        <v>2</v>
      </c>
      <c r="CP4189" t="s">
        <v>119</v>
      </c>
      <c r="CQ4189">
        <v>179</v>
      </c>
      <c r="CR4189">
        <v>2</v>
      </c>
      <c r="CW4189">
        <v>12634826</v>
      </c>
      <c r="CY4189">
        <v>0</v>
      </c>
      <c r="CZ4189">
        <v>0</v>
      </c>
      <c r="DA4189">
        <v>1</v>
      </c>
      <c r="DB4189">
        <v>0</v>
      </c>
      <c r="DC4189">
        <v>0</v>
      </c>
      <c r="DD4189">
        <v>0</v>
      </c>
      <c r="DE4189">
        <v>0</v>
      </c>
      <c r="DF4189">
        <v>0</v>
      </c>
      <c r="DG4189">
        <v>0</v>
      </c>
      <c r="DH4189">
        <v>0</v>
      </c>
      <c r="DI4189">
        <v>0</v>
      </c>
    </row>
    <row r="4190" spans="1:113" x14ac:dyDescent="0.3">
      <c r="A4190" t="str">
        <f>"02/08/2021 20:37:33.627"</f>
        <v>02/08/2021 20:37:33.627</v>
      </c>
      <c r="C4190" t="str">
        <f t="shared" si="206"/>
        <v>FFDFD7C0</v>
      </c>
      <c r="D4190" t="s">
        <v>124</v>
      </c>
      <c r="E4190">
        <v>12</v>
      </c>
      <c r="F4190">
        <v>1012</v>
      </c>
      <c r="G4190" t="s">
        <v>675</v>
      </c>
      <c r="J4190" t="s">
        <v>125</v>
      </c>
      <c r="K4190">
        <v>0</v>
      </c>
      <c r="L4190">
        <v>3</v>
      </c>
      <c r="M4190">
        <v>0</v>
      </c>
      <c r="N4190">
        <v>2</v>
      </c>
      <c r="O4190">
        <v>1</v>
      </c>
      <c r="P4190">
        <v>0</v>
      </c>
      <c r="Q4190">
        <v>0</v>
      </c>
      <c r="S4190" t="str">
        <f>"20:37:35.930"</f>
        <v>20:37:35.930</v>
      </c>
      <c r="T4190" t="str">
        <f>"20:37:35.430"</f>
        <v>20:37:35.430</v>
      </c>
      <c r="U4190" t="str">
        <f t="shared" si="208"/>
        <v>AB01F4</v>
      </c>
      <c r="V4190">
        <v>0</v>
      </c>
      <c r="W4190">
        <v>0</v>
      </c>
      <c r="X4190">
        <v>2</v>
      </c>
      <c r="Z4190">
        <v>0</v>
      </c>
      <c r="AA4190">
        <v>9</v>
      </c>
      <c r="AB4190">
        <v>3</v>
      </c>
      <c r="AC4190">
        <v>0</v>
      </c>
      <c r="AD4190">
        <v>10</v>
      </c>
      <c r="AE4190">
        <v>0</v>
      </c>
      <c r="AF4190">
        <v>3</v>
      </c>
      <c r="AG4190">
        <v>2</v>
      </c>
      <c r="AH4190">
        <v>0</v>
      </c>
      <c r="AI4190" t="s">
        <v>2343</v>
      </c>
      <c r="AJ4190">
        <v>40.158225999999999</v>
      </c>
      <c r="AK4190" t="s">
        <v>2344</v>
      </c>
      <c r="AL4190">
        <v>-93.142883999999995</v>
      </c>
      <c r="AM4190">
        <v>100</v>
      </c>
      <c r="AN4190">
        <v>1300</v>
      </c>
      <c r="AO4190" t="s">
        <v>118</v>
      </c>
      <c r="AP4190">
        <v>-114</v>
      </c>
      <c r="AQ4190">
        <v>59</v>
      </c>
      <c r="AR4190">
        <v>0</v>
      </c>
      <c r="AZ4190">
        <v>1200</v>
      </c>
      <c r="BA4190">
        <v>1</v>
      </c>
      <c r="BB4190" t="str">
        <f t="shared" si="207"/>
        <v xml:space="preserve">N8080G  </v>
      </c>
      <c r="BC4190">
        <v>1</v>
      </c>
      <c r="BE4190">
        <v>0</v>
      </c>
      <c r="BF4190">
        <v>0</v>
      </c>
      <c r="BG4190">
        <v>0</v>
      </c>
      <c r="BH4190">
        <v>1350</v>
      </c>
      <c r="BI4190">
        <v>1</v>
      </c>
      <c r="BJ4190">
        <v>1</v>
      </c>
      <c r="BK4190">
        <v>1</v>
      </c>
      <c r="BL4190">
        <v>0</v>
      </c>
      <c r="BO4190">
        <v>0</v>
      </c>
      <c r="BP4190">
        <v>0</v>
      </c>
      <c r="BW4190" t="str">
        <f>"20:37:35.932"</f>
        <v>20:37:35.932</v>
      </c>
      <c r="BZ4190">
        <v>0</v>
      </c>
      <c r="CA4190">
        <v>1600</v>
      </c>
      <c r="CB4190">
        <v>224</v>
      </c>
      <c r="CD4190">
        <v>1</v>
      </c>
      <c r="CE4190">
        <v>0</v>
      </c>
      <c r="CF4190">
        <v>0</v>
      </c>
      <c r="CG4190">
        <v>1</v>
      </c>
      <c r="CH4190">
        <v>0</v>
      </c>
      <c r="CI4190">
        <v>0</v>
      </c>
      <c r="CJ4190">
        <v>0</v>
      </c>
      <c r="CK4190">
        <v>2</v>
      </c>
      <c r="CL4190">
        <v>0</v>
      </c>
      <c r="CM4190">
        <v>2</v>
      </c>
      <c r="CN4190">
        <v>0</v>
      </c>
      <c r="CO4190">
        <v>2</v>
      </c>
      <c r="CP4190" t="s">
        <v>119</v>
      </c>
      <c r="CQ4190">
        <v>179</v>
      </c>
      <c r="CR4190">
        <v>2</v>
      </c>
      <c r="CW4190">
        <v>12634826</v>
      </c>
      <c r="CY4190">
        <v>0</v>
      </c>
      <c r="CZ4190">
        <v>0</v>
      </c>
      <c r="DA4190">
        <v>1</v>
      </c>
      <c r="DB4190">
        <v>0</v>
      </c>
      <c r="DC4190">
        <v>0</v>
      </c>
      <c r="DD4190">
        <v>0</v>
      </c>
      <c r="DE4190">
        <v>0</v>
      </c>
      <c r="DF4190">
        <v>0</v>
      </c>
      <c r="DG4190">
        <v>0</v>
      </c>
      <c r="DH4190">
        <v>0</v>
      </c>
      <c r="DI4190">
        <v>0</v>
      </c>
    </row>
    <row r="4191" spans="1:113" x14ac:dyDescent="0.3">
      <c r="A4191" t="str">
        <f>"02/08/2021 20:37:34.505"</f>
        <v>02/08/2021 20:37:34.505</v>
      </c>
      <c r="C4191" t="str">
        <f t="shared" si="206"/>
        <v>FFDFD7C0</v>
      </c>
      <c r="D4191" t="s">
        <v>124</v>
      </c>
      <c r="E4191">
        <v>11</v>
      </c>
      <c r="F4191">
        <v>1011</v>
      </c>
      <c r="G4191" t="s">
        <v>590</v>
      </c>
      <c r="J4191" t="s">
        <v>125</v>
      </c>
      <c r="K4191">
        <v>0</v>
      </c>
      <c r="L4191">
        <v>3</v>
      </c>
      <c r="M4191">
        <v>0</v>
      </c>
      <c r="N4191">
        <v>2</v>
      </c>
      <c r="O4191">
        <v>1</v>
      </c>
      <c r="P4191">
        <v>0</v>
      </c>
      <c r="Q4191">
        <v>0</v>
      </c>
      <c r="S4191" t="str">
        <f>"20:37:36.828"</f>
        <v>20:37:36.828</v>
      </c>
      <c r="T4191" t="str">
        <f>"20:37:36.428"</f>
        <v>20:37:36.428</v>
      </c>
      <c r="U4191" t="str">
        <f t="shared" si="208"/>
        <v>AB01F4</v>
      </c>
      <c r="V4191">
        <v>0</v>
      </c>
      <c r="W4191">
        <v>0</v>
      </c>
      <c r="X4191">
        <v>2</v>
      </c>
      <c r="Z4191">
        <v>0</v>
      </c>
      <c r="AA4191">
        <v>9</v>
      </c>
      <c r="AB4191">
        <v>3</v>
      </c>
      <c r="AC4191">
        <v>0</v>
      </c>
      <c r="AD4191">
        <v>10</v>
      </c>
      <c r="AE4191">
        <v>0</v>
      </c>
      <c r="AF4191">
        <v>3</v>
      </c>
      <c r="AG4191">
        <v>2</v>
      </c>
      <c r="AH4191">
        <v>0</v>
      </c>
      <c r="AI4191" t="s">
        <v>2345</v>
      </c>
      <c r="AJ4191">
        <v>40.158484000000001</v>
      </c>
      <c r="AK4191" t="s">
        <v>2346</v>
      </c>
      <c r="AL4191">
        <v>-93.143528000000003</v>
      </c>
      <c r="AM4191">
        <v>100</v>
      </c>
      <c r="AN4191">
        <v>1300</v>
      </c>
      <c r="AO4191" t="s">
        <v>118</v>
      </c>
      <c r="AP4191">
        <v>-114</v>
      </c>
      <c r="AQ4191">
        <v>59</v>
      </c>
      <c r="AR4191">
        <v>0</v>
      </c>
      <c r="AZ4191">
        <v>1200</v>
      </c>
      <c r="BA4191">
        <v>1</v>
      </c>
      <c r="BB4191" t="str">
        <f t="shared" si="207"/>
        <v xml:space="preserve">N8080G  </v>
      </c>
      <c r="BC4191">
        <v>1</v>
      </c>
      <c r="BE4191">
        <v>0</v>
      </c>
      <c r="BF4191">
        <v>0</v>
      </c>
      <c r="BG4191">
        <v>0</v>
      </c>
      <c r="BH4191">
        <v>1350</v>
      </c>
      <c r="BI4191">
        <v>1</v>
      </c>
      <c r="BJ4191">
        <v>1</v>
      </c>
      <c r="BK4191">
        <v>1</v>
      </c>
      <c r="BL4191">
        <v>0</v>
      </c>
      <c r="BO4191">
        <v>0</v>
      </c>
      <c r="BP4191">
        <v>0</v>
      </c>
      <c r="BW4191" t="str">
        <f>"20:37:36.833"</f>
        <v>20:37:36.833</v>
      </c>
      <c r="BZ4191">
        <v>0</v>
      </c>
      <c r="CA4191">
        <v>1600</v>
      </c>
      <c r="CB4191">
        <v>224</v>
      </c>
      <c r="CD4191">
        <v>1</v>
      </c>
      <c r="CE4191">
        <v>0</v>
      </c>
      <c r="CF4191">
        <v>0</v>
      </c>
      <c r="CG4191">
        <v>1</v>
      </c>
      <c r="CH4191">
        <v>0</v>
      </c>
      <c r="CI4191">
        <v>0</v>
      </c>
      <c r="CJ4191">
        <v>0</v>
      </c>
      <c r="CK4191">
        <v>2</v>
      </c>
      <c r="CL4191">
        <v>0</v>
      </c>
      <c r="CM4191">
        <v>2</v>
      </c>
      <c r="CN4191">
        <v>0</v>
      </c>
      <c r="CO4191">
        <v>2</v>
      </c>
      <c r="CP4191" t="s">
        <v>119</v>
      </c>
      <c r="CQ4191">
        <v>179</v>
      </c>
      <c r="CR4191">
        <v>2</v>
      </c>
      <c r="CW4191">
        <v>12635475</v>
      </c>
      <c r="CY4191">
        <v>0</v>
      </c>
      <c r="CZ4191">
        <v>0</v>
      </c>
      <c r="DA4191">
        <v>0</v>
      </c>
      <c r="DB4191">
        <v>0</v>
      </c>
      <c r="DC4191">
        <v>0</v>
      </c>
      <c r="DD4191">
        <v>0</v>
      </c>
      <c r="DE4191">
        <v>0</v>
      </c>
      <c r="DF4191">
        <v>0</v>
      </c>
      <c r="DG4191">
        <v>0</v>
      </c>
      <c r="DH4191">
        <v>0</v>
      </c>
      <c r="DI4191">
        <v>0</v>
      </c>
    </row>
    <row r="4192" spans="1:113" x14ac:dyDescent="0.3">
      <c r="A4192" t="str">
        <f>"02/08/2021 20:37:34.505"</f>
        <v>02/08/2021 20:37:34.505</v>
      </c>
      <c r="C4192" t="str">
        <f t="shared" si="206"/>
        <v>FFDFD7C0</v>
      </c>
      <c r="D4192" t="s">
        <v>124</v>
      </c>
      <c r="E4192">
        <v>12</v>
      </c>
      <c r="F4192">
        <v>1012</v>
      </c>
      <c r="G4192" t="s">
        <v>675</v>
      </c>
      <c r="J4192" t="s">
        <v>125</v>
      </c>
      <c r="K4192">
        <v>0</v>
      </c>
      <c r="L4192">
        <v>3</v>
      </c>
      <c r="M4192">
        <v>0</v>
      </c>
      <c r="N4192">
        <v>2</v>
      </c>
      <c r="O4192">
        <v>1</v>
      </c>
      <c r="P4192">
        <v>0</v>
      </c>
      <c r="Q4192">
        <v>0</v>
      </c>
      <c r="S4192" t="str">
        <f>"20:37:36.828"</f>
        <v>20:37:36.828</v>
      </c>
      <c r="T4192" t="str">
        <f>"20:37:36.428"</f>
        <v>20:37:36.428</v>
      </c>
      <c r="U4192" t="str">
        <f t="shared" si="208"/>
        <v>AB01F4</v>
      </c>
      <c r="V4192">
        <v>0</v>
      </c>
      <c r="W4192">
        <v>0</v>
      </c>
      <c r="X4192">
        <v>2</v>
      </c>
      <c r="Z4192">
        <v>0</v>
      </c>
      <c r="AA4192">
        <v>9</v>
      </c>
      <c r="AB4192">
        <v>3</v>
      </c>
      <c r="AC4192">
        <v>0</v>
      </c>
      <c r="AD4192">
        <v>10</v>
      </c>
      <c r="AE4192">
        <v>0</v>
      </c>
      <c r="AF4192">
        <v>3</v>
      </c>
      <c r="AG4192">
        <v>2</v>
      </c>
      <c r="AH4192">
        <v>0</v>
      </c>
      <c r="AI4192" t="s">
        <v>2345</v>
      </c>
      <c r="AJ4192">
        <v>40.158484000000001</v>
      </c>
      <c r="AK4192" t="s">
        <v>2346</v>
      </c>
      <c r="AL4192">
        <v>-93.143528000000003</v>
      </c>
      <c r="AM4192">
        <v>100</v>
      </c>
      <c r="AN4192">
        <v>1300</v>
      </c>
      <c r="AO4192" t="s">
        <v>118</v>
      </c>
      <c r="AP4192">
        <v>-114</v>
      </c>
      <c r="AQ4192">
        <v>59</v>
      </c>
      <c r="AR4192">
        <v>0</v>
      </c>
      <c r="AZ4192">
        <v>1200</v>
      </c>
      <c r="BA4192">
        <v>1</v>
      </c>
      <c r="BB4192" t="str">
        <f t="shared" si="207"/>
        <v xml:space="preserve">N8080G  </v>
      </c>
      <c r="BC4192">
        <v>1</v>
      </c>
      <c r="BE4192">
        <v>0</v>
      </c>
      <c r="BF4192">
        <v>0</v>
      </c>
      <c r="BG4192">
        <v>0</v>
      </c>
      <c r="BH4192">
        <v>1350</v>
      </c>
      <c r="BI4192">
        <v>1</v>
      </c>
      <c r="BJ4192">
        <v>1</v>
      </c>
      <c r="BK4192">
        <v>1</v>
      </c>
      <c r="BL4192">
        <v>0</v>
      </c>
      <c r="BO4192">
        <v>0</v>
      </c>
      <c r="BP4192">
        <v>0</v>
      </c>
      <c r="BW4192" t="str">
        <f>"20:37:36.833"</f>
        <v>20:37:36.833</v>
      </c>
      <c r="BZ4192">
        <v>0</v>
      </c>
      <c r="CA4192">
        <v>1600</v>
      </c>
      <c r="CB4192">
        <v>224</v>
      </c>
      <c r="CD4192">
        <v>1</v>
      </c>
      <c r="CE4192">
        <v>0</v>
      </c>
      <c r="CF4192">
        <v>0</v>
      </c>
      <c r="CG4192">
        <v>1</v>
      </c>
      <c r="CH4192">
        <v>0</v>
      </c>
      <c r="CI4192">
        <v>0</v>
      </c>
      <c r="CJ4192">
        <v>0</v>
      </c>
      <c r="CK4192">
        <v>2</v>
      </c>
      <c r="CL4192">
        <v>0</v>
      </c>
      <c r="CM4192">
        <v>2</v>
      </c>
      <c r="CN4192">
        <v>0</v>
      </c>
      <c r="CO4192">
        <v>2</v>
      </c>
      <c r="CP4192" t="s">
        <v>119</v>
      </c>
      <c r="CQ4192">
        <v>179</v>
      </c>
      <c r="CR4192">
        <v>2</v>
      </c>
      <c r="CW4192">
        <v>12635475</v>
      </c>
      <c r="CY4192">
        <v>0</v>
      </c>
      <c r="CZ4192">
        <v>0</v>
      </c>
      <c r="DA4192">
        <v>1</v>
      </c>
      <c r="DB4192">
        <v>0</v>
      </c>
      <c r="DC4192">
        <v>0</v>
      </c>
      <c r="DD4192">
        <v>0</v>
      </c>
      <c r="DE4192">
        <v>0</v>
      </c>
      <c r="DF4192">
        <v>0</v>
      </c>
      <c r="DG4192">
        <v>0</v>
      </c>
      <c r="DH4192">
        <v>0</v>
      </c>
      <c r="DI4192">
        <v>0</v>
      </c>
    </row>
    <row r="4193" spans="1:113" x14ac:dyDescent="0.3">
      <c r="A4193" t="str">
        <f>"02/08/2021 20:37:34.505"</f>
        <v>02/08/2021 20:37:34.505</v>
      </c>
      <c r="C4193" t="str">
        <f t="shared" si="206"/>
        <v>FFDFD7C0</v>
      </c>
      <c r="D4193" t="s">
        <v>113</v>
      </c>
      <c r="E4193">
        <v>6</v>
      </c>
      <c r="H4193">
        <v>165</v>
      </c>
      <c r="I4193" t="s">
        <v>114</v>
      </c>
      <c r="J4193" t="s">
        <v>115</v>
      </c>
      <c r="K4193">
        <v>0</v>
      </c>
      <c r="L4193">
        <v>3</v>
      </c>
      <c r="M4193">
        <v>0</v>
      </c>
      <c r="N4193">
        <v>2</v>
      </c>
      <c r="O4193">
        <v>1</v>
      </c>
      <c r="P4193">
        <v>0</v>
      </c>
      <c r="Q4193">
        <v>0</v>
      </c>
      <c r="S4193" t="str">
        <f>"20:37:36.828"</f>
        <v>20:37:36.828</v>
      </c>
      <c r="T4193" t="str">
        <f>"20:37:36.428"</f>
        <v>20:37:36.428</v>
      </c>
      <c r="U4193" t="str">
        <f t="shared" si="208"/>
        <v>AB01F4</v>
      </c>
      <c r="V4193">
        <v>0</v>
      </c>
      <c r="W4193">
        <v>0</v>
      </c>
      <c r="X4193">
        <v>2</v>
      </c>
      <c r="Z4193">
        <v>0</v>
      </c>
      <c r="AA4193">
        <v>9</v>
      </c>
      <c r="AB4193">
        <v>3</v>
      </c>
      <c r="AC4193">
        <v>0</v>
      </c>
      <c r="AD4193">
        <v>10</v>
      </c>
      <c r="AE4193">
        <v>0</v>
      </c>
      <c r="AF4193">
        <v>3</v>
      </c>
      <c r="AG4193">
        <v>2</v>
      </c>
      <c r="AH4193">
        <v>0</v>
      </c>
      <c r="AI4193" t="s">
        <v>2345</v>
      </c>
      <c r="AJ4193">
        <v>40.158484000000001</v>
      </c>
      <c r="AK4193" t="s">
        <v>2346</v>
      </c>
      <c r="AL4193">
        <v>-93.143528000000003</v>
      </c>
      <c r="AM4193">
        <v>100</v>
      </c>
      <c r="AN4193">
        <v>1300</v>
      </c>
      <c r="AO4193" t="s">
        <v>118</v>
      </c>
      <c r="AP4193">
        <v>-114</v>
      </c>
      <c r="AQ4193">
        <v>59</v>
      </c>
      <c r="AR4193">
        <v>0</v>
      </c>
      <c r="AZ4193">
        <v>1200</v>
      </c>
      <c r="BA4193">
        <v>1</v>
      </c>
      <c r="BB4193" t="str">
        <f t="shared" si="207"/>
        <v xml:space="preserve">N8080G  </v>
      </c>
      <c r="BC4193">
        <v>1</v>
      </c>
      <c r="BE4193">
        <v>0</v>
      </c>
      <c r="BF4193">
        <v>0</v>
      </c>
      <c r="BG4193">
        <v>0</v>
      </c>
      <c r="BH4193">
        <v>1350</v>
      </c>
      <c r="BI4193">
        <v>1</v>
      </c>
      <c r="BJ4193">
        <v>1</v>
      </c>
      <c r="BK4193">
        <v>1</v>
      </c>
      <c r="BL4193">
        <v>0</v>
      </c>
      <c r="BO4193">
        <v>0</v>
      </c>
      <c r="BP4193">
        <v>0</v>
      </c>
      <c r="BW4193" t="str">
        <f>"20:37:36.833"</f>
        <v>20:37:36.833</v>
      </c>
      <c r="BZ4193">
        <v>0</v>
      </c>
      <c r="CA4193">
        <v>1600</v>
      </c>
      <c r="CB4193">
        <v>224</v>
      </c>
      <c r="CD4193">
        <v>1</v>
      </c>
      <c r="CE4193">
        <v>0</v>
      </c>
      <c r="CF4193">
        <v>0</v>
      </c>
      <c r="CG4193">
        <v>1</v>
      </c>
      <c r="CH4193">
        <v>0</v>
      </c>
      <c r="CI4193">
        <v>0</v>
      </c>
      <c r="CJ4193">
        <v>0</v>
      </c>
      <c r="CK4193">
        <v>2</v>
      </c>
      <c r="CL4193">
        <v>0</v>
      </c>
      <c r="CM4193">
        <v>2</v>
      </c>
      <c r="CN4193">
        <v>0</v>
      </c>
      <c r="CO4193">
        <v>2</v>
      </c>
      <c r="CP4193" t="s">
        <v>119</v>
      </c>
      <c r="CQ4193">
        <v>179</v>
      </c>
      <c r="CR4193">
        <v>2</v>
      </c>
      <c r="CW4193">
        <v>12635475</v>
      </c>
      <c r="CY4193">
        <v>0</v>
      </c>
      <c r="CZ4193">
        <v>0</v>
      </c>
      <c r="DA4193">
        <v>1</v>
      </c>
      <c r="DB4193">
        <v>0</v>
      </c>
      <c r="DC4193">
        <v>0</v>
      </c>
      <c r="DD4193">
        <v>0</v>
      </c>
      <c r="DE4193">
        <v>0</v>
      </c>
      <c r="DF4193">
        <v>0</v>
      </c>
      <c r="DG4193">
        <v>0</v>
      </c>
      <c r="DH4193">
        <v>0</v>
      </c>
      <c r="DI4193">
        <v>0</v>
      </c>
    </row>
    <row r="4194" spans="1:113" x14ac:dyDescent="0.3">
      <c r="A4194" t="str">
        <f>"02/08/2021 20:37:34.505"</f>
        <v>02/08/2021 20:37:34.505</v>
      </c>
      <c r="C4194" t="str">
        <f t="shared" si="206"/>
        <v>FFDFD7C0</v>
      </c>
      <c r="D4194" t="s">
        <v>124</v>
      </c>
      <c r="E4194">
        <v>13</v>
      </c>
      <c r="F4194">
        <v>1013</v>
      </c>
      <c r="G4194" t="s">
        <v>114</v>
      </c>
      <c r="J4194" t="s">
        <v>125</v>
      </c>
      <c r="K4194">
        <v>0</v>
      </c>
      <c r="L4194">
        <v>3</v>
      </c>
      <c r="M4194">
        <v>0</v>
      </c>
      <c r="N4194">
        <v>2</v>
      </c>
      <c r="O4194">
        <v>1</v>
      </c>
      <c r="P4194">
        <v>0</v>
      </c>
      <c r="Q4194">
        <v>0</v>
      </c>
      <c r="S4194" t="str">
        <f>"20:37:36.828"</f>
        <v>20:37:36.828</v>
      </c>
      <c r="T4194" t="str">
        <f>"20:37:36.428"</f>
        <v>20:37:36.428</v>
      </c>
      <c r="U4194" t="str">
        <f t="shared" si="208"/>
        <v>AB01F4</v>
      </c>
      <c r="V4194">
        <v>0</v>
      </c>
      <c r="W4194">
        <v>0</v>
      </c>
      <c r="X4194">
        <v>2</v>
      </c>
      <c r="Z4194">
        <v>0</v>
      </c>
      <c r="AA4194">
        <v>9</v>
      </c>
      <c r="AB4194">
        <v>3</v>
      </c>
      <c r="AC4194">
        <v>0</v>
      </c>
      <c r="AD4194">
        <v>10</v>
      </c>
      <c r="AE4194">
        <v>0</v>
      </c>
      <c r="AF4194">
        <v>3</v>
      </c>
      <c r="AG4194">
        <v>2</v>
      </c>
      <c r="AH4194">
        <v>0</v>
      </c>
      <c r="AI4194" t="s">
        <v>2345</v>
      </c>
      <c r="AJ4194">
        <v>40.158484000000001</v>
      </c>
      <c r="AK4194" t="s">
        <v>2346</v>
      </c>
      <c r="AL4194">
        <v>-93.143528000000003</v>
      </c>
      <c r="AM4194">
        <v>100</v>
      </c>
      <c r="AN4194">
        <v>1300</v>
      </c>
      <c r="AO4194" t="s">
        <v>118</v>
      </c>
      <c r="AP4194">
        <v>-114</v>
      </c>
      <c r="AQ4194">
        <v>59</v>
      </c>
      <c r="AR4194">
        <v>0</v>
      </c>
      <c r="AZ4194">
        <v>1200</v>
      </c>
      <c r="BA4194">
        <v>1</v>
      </c>
      <c r="BB4194" t="str">
        <f t="shared" si="207"/>
        <v xml:space="preserve">N8080G  </v>
      </c>
      <c r="BC4194">
        <v>1</v>
      </c>
      <c r="BE4194">
        <v>0</v>
      </c>
      <c r="BF4194">
        <v>0</v>
      </c>
      <c r="BG4194">
        <v>0</v>
      </c>
      <c r="BH4194">
        <v>1350</v>
      </c>
      <c r="BI4194">
        <v>1</v>
      </c>
      <c r="BJ4194">
        <v>1</v>
      </c>
      <c r="BK4194">
        <v>1</v>
      </c>
      <c r="BL4194">
        <v>0</v>
      </c>
      <c r="BO4194">
        <v>0</v>
      </c>
      <c r="BP4194">
        <v>0</v>
      </c>
      <c r="BW4194" t="str">
        <f>"20:37:36.833"</f>
        <v>20:37:36.833</v>
      </c>
      <c r="BZ4194">
        <v>0</v>
      </c>
      <c r="CA4194">
        <v>1600</v>
      </c>
      <c r="CB4194">
        <v>224</v>
      </c>
      <c r="CD4194">
        <v>1</v>
      </c>
      <c r="CE4194">
        <v>0</v>
      </c>
      <c r="CF4194">
        <v>0</v>
      </c>
      <c r="CG4194">
        <v>1</v>
      </c>
      <c r="CH4194">
        <v>0</v>
      </c>
      <c r="CI4194">
        <v>0</v>
      </c>
      <c r="CJ4194">
        <v>0</v>
      </c>
      <c r="CK4194">
        <v>2</v>
      </c>
      <c r="CL4194">
        <v>0</v>
      </c>
      <c r="CM4194">
        <v>2</v>
      </c>
      <c r="CN4194">
        <v>0</v>
      </c>
      <c r="CO4194">
        <v>2</v>
      </c>
      <c r="CP4194" t="s">
        <v>119</v>
      </c>
      <c r="CQ4194">
        <v>179</v>
      </c>
      <c r="CR4194">
        <v>2</v>
      </c>
      <c r="CW4194">
        <v>12635475</v>
      </c>
      <c r="CY4194">
        <v>0</v>
      </c>
      <c r="CZ4194">
        <v>0</v>
      </c>
      <c r="DA4194">
        <v>1</v>
      </c>
      <c r="DB4194">
        <v>0</v>
      </c>
      <c r="DC4194">
        <v>0</v>
      </c>
      <c r="DD4194">
        <v>0</v>
      </c>
      <c r="DE4194">
        <v>0</v>
      </c>
      <c r="DF4194">
        <v>0</v>
      </c>
      <c r="DG4194">
        <v>0</v>
      </c>
      <c r="DH4194">
        <v>0</v>
      </c>
      <c r="DI4194">
        <v>0</v>
      </c>
    </row>
    <row r="4195" spans="1:113" x14ac:dyDescent="0.3">
      <c r="A4195" t="str">
        <f>"02/08/2021 20:37:37.579"</f>
        <v>02/08/2021 20:37:37.579</v>
      </c>
      <c r="C4195" t="str">
        <f t="shared" si="206"/>
        <v>FFDFD7C0</v>
      </c>
      <c r="D4195" t="s">
        <v>124</v>
      </c>
      <c r="E4195">
        <v>11</v>
      </c>
      <c r="F4195">
        <v>1011</v>
      </c>
      <c r="G4195" t="s">
        <v>590</v>
      </c>
      <c r="J4195" t="s">
        <v>125</v>
      </c>
      <c r="K4195">
        <v>0</v>
      </c>
      <c r="L4195">
        <v>3</v>
      </c>
      <c r="M4195">
        <v>0</v>
      </c>
      <c r="N4195">
        <v>2</v>
      </c>
      <c r="O4195">
        <v>1</v>
      </c>
      <c r="P4195">
        <v>0</v>
      </c>
      <c r="Q4195">
        <v>0</v>
      </c>
      <c r="S4195" t="str">
        <f>"20:37:39.930"</f>
        <v>20:37:39.930</v>
      </c>
      <c r="T4195" t="str">
        <f>"20:37:38.930"</f>
        <v>20:37:38.930</v>
      </c>
      <c r="U4195" t="str">
        <f t="shared" si="208"/>
        <v>AB01F4</v>
      </c>
      <c r="V4195">
        <v>0</v>
      </c>
      <c r="W4195">
        <v>0</v>
      </c>
      <c r="X4195">
        <v>2</v>
      </c>
      <c r="Z4195">
        <v>0</v>
      </c>
      <c r="AA4195">
        <v>9</v>
      </c>
      <c r="AB4195">
        <v>3</v>
      </c>
      <c r="AC4195">
        <v>0</v>
      </c>
      <c r="AD4195">
        <v>10</v>
      </c>
      <c r="AE4195">
        <v>0</v>
      </c>
      <c r="AF4195">
        <v>3</v>
      </c>
      <c r="AG4195">
        <v>2</v>
      </c>
      <c r="AH4195">
        <v>0</v>
      </c>
      <c r="AI4195" t="s">
        <v>2347</v>
      </c>
      <c r="AJ4195">
        <v>40.159342000000002</v>
      </c>
      <c r="AK4195" t="s">
        <v>2348</v>
      </c>
      <c r="AL4195">
        <v>-93.145629999999997</v>
      </c>
      <c r="AM4195">
        <v>100</v>
      </c>
      <c r="AN4195">
        <v>1300</v>
      </c>
      <c r="AO4195" t="s">
        <v>118</v>
      </c>
      <c r="AP4195">
        <v>-114</v>
      </c>
      <c r="AQ4195">
        <v>59</v>
      </c>
      <c r="AR4195">
        <v>-64</v>
      </c>
      <c r="AZ4195">
        <v>1200</v>
      </c>
      <c r="BA4195">
        <v>1</v>
      </c>
      <c r="BB4195" t="str">
        <f t="shared" si="207"/>
        <v xml:space="preserve">N8080G  </v>
      </c>
      <c r="BC4195">
        <v>1</v>
      </c>
      <c r="BE4195">
        <v>0</v>
      </c>
      <c r="BF4195">
        <v>0</v>
      </c>
      <c r="BG4195">
        <v>0</v>
      </c>
      <c r="BH4195">
        <v>1350</v>
      </c>
      <c r="BI4195">
        <v>1</v>
      </c>
      <c r="BJ4195">
        <v>1</v>
      </c>
      <c r="BK4195">
        <v>1</v>
      </c>
      <c r="BL4195">
        <v>0</v>
      </c>
      <c r="BO4195">
        <v>0</v>
      </c>
      <c r="BP4195">
        <v>0</v>
      </c>
      <c r="BW4195" t="str">
        <f>"20:37:39.933"</f>
        <v>20:37:39.933</v>
      </c>
      <c r="BZ4195">
        <v>0</v>
      </c>
      <c r="CA4195">
        <v>1600</v>
      </c>
      <c r="CB4195">
        <v>224</v>
      </c>
      <c r="CD4195">
        <v>1</v>
      </c>
      <c r="CE4195">
        <v>0</v>
      </c>
      <c r="CF4195">
        <v>0</v>
      </c>
      <c r="CG4195">
        <v>1</v>
      </c>
      <c r="CH4195">
        <v>0</v>
      </c>
      <c r="CI4195">
        <v>0</v>
      </c>
      <c r="CJ4195">
        <v>0</v>
      </c>
      <c r="CK4195">
        <v>2</v>
      </c>
      <c r="CL4195">
        <v>0</v>
      </c>
      <c r="CM4195">
        <v>2</v>
      </c>
      <c r="CN4195">
        <v>0</v>
      </c>
      <c r="CO4195">
        <v>2</v>
      </c>
      <c r="CP4195" t="s">
        <v>119</v>
      </c>
      <c r="CQ4195">
        <v>179</v>
      </c>
      <c r="CR4195">
        <v>2</v>
      </c>
      <c r="CW4195">
        <v>12638055</v>
      </c>
      <c r="CY4195">
        <v>0</v>
      </c>
      <c r="CZ4195">
        <v>0</v>
      </c>
      <c r="DA4195">
        <v>0</v>
      </c>
      <c r="DB4195">
        <v>0</v>
      </c>
      <c r="DC4195">
        <v>0</v>
      </c>
      <c r="DD4195">
        <v>0</v>
      </c>
      <c r="DE4195">
        <v>0</v>
      </c>
      <c r="DF4195">
        <v>0</v>
      </c>
      <c r="DG4195">
        <v>0</v>
      </c>
      <c r="DH4195">
        <v>0</v>
      </c>
      <c r="DI4195">
        <v>0</v>
      </c>
    </row>
    <row r="4196" spans="1:113" x14ac:dyDescent="0.3">
      <c r="A4196" t="str">
        <f>"02/08/2021 20:37:37.579"</f>
        <v>02/08/2021 20:37:37.579</v>
      </c>
      <c r="C4196" t="str">
        <f t="shared" si="206"/>
        <v>FFDFD7C0</v>
      </c>
      <c r="D4196" t="s">
        <v>124</v>
      </c>
      <c r="E4196">
        <v>12</v>
      </c>
      <c r="F4196">
        <v>1012</v>
      </c>
      <c r="G4196" t="s">
        <v>675</v>
      </c>
      <c r="J4196" t="s">
        <v>125</v>
      </c>
      <c r="K4196">
        <v>0</v>
      </c>
      <c r="L4196">
        <v>3</v>
      </c>
      <c r="M4196">
        <v>0</v>
      </c>
      <c r="N4196">
        <v>2</v>
      </c>
      <c r="O4196">
        <v>1</v>
      </c>
      <c r="P4196">
        <v>0</v>
      </c>
      <c r="Q4196">
        <v>0</v>
      </c>
      <c r="S4196" t="str">
        <f>"20:37:39.930"</f>
        <v>20:37:39.930</v>
      </c>
      <c r="T4196" t="str">
        <f>"20:37:38.930"</f>
        <v>20:37:38.930</v>
      </c>
      <c r="U4196" t="str">
        <f t="shared" si="208"/>
        <v>AB01F4</v>
      </c>
      <c r="V4196">
        <v>0</v>
      </c>
      <c r="W4196">
        <v>0</v>
      </c>
      <c r="X4196">
        <v>2</v>
      </c>
      <c r="Z4196">
        <v>0</v>
      </c>
      <c r="AA4196">
        <v>9</v>
      </c>
      <c r="AB4196">
        <v>3</v>
      </c>
      <c r="AC4196">
        <v>0</v>
      </c>
      <c r="AD4196">
        <v>10</v>
      </c>
      <c r="AE4196">
        <v>0</v>
      </c>
      <c r="AF4196">
        <v>3</v>
      </c>
      <c r="AG4196">
        <v>2</v>
      </c>
      <c r="AH4196">
        <v>0</v>
      </c>
      <c r="AI4196" t="s">
        <v>2347</v>
      </c>
      <c r="AJ4196">
        <v>40.159342000000002</v>
      </c>
      <c r="AK4196" t="s">
        <v>2348</v>
      </c>
      <c r="AL4196">
        <v>-93.145629999999997</v>
      </c>
      <c r="AM4196">
        <v>100</v>
      </c>
      <c r="AN4196">
        <v>1300</v>
      </c>
      <c r="AO4196" t="s">
        <v>118</v>
      </c>
      <c r="AP4196">
        <v>-114</v>
      </c>
      <c r="AQ4196">
        <v>59</v>
      </c>
      <c r="AR4196">
        <v>-64</v>
      </c>
      <c r="AZ4196">
        <v>1200</v>
      </c>
      <c r="BA4196">
        <v>1</v>
      </c>
      <c r="BB4196" t="str">
        <f t="shared" si="207"/>
        <v xml:space="preserve">N8080G  </v>
      </c>
      <c r="BC4196">
        <v>1</v>
      </c>
      <c r="BE4196">
        <v>0</v>
      </c>
      <c r="BF4196">
        <v>0</v>
      </c>
      <c r="BG4196">
        <v>0</v>
      </c>
      <c r="BH4196">
        <v>1350</v>
      </c>
      <c r="BI4196">
        <v>1</v>
      </c>
      <c r="BJ4196">
        <v>1</v>
      </c>
      <c r="BK4196">
        <v>1</v>
      </c>
      <c r="BL4196">
        <v>0</v>
      </c>
      <c r="BO4196">
        <v>0</v>
      </c>
      <c r="BP4196">
        <v>0</v>
      </c>
      <c r="BW4196" t="str">
        <f>"20:37:39.933"</f>
        <v>20:37:39.933</v>
      </c>
      <c r="BZ4196">
        <v>0</v>
      </c>
      <c r="CA4196">
        <v>1600</v>
      </c>
      <c r="CB4196">
        <v>224</v>
      </c>
      <c r="CD4196">
        <v>1</v>
      </c>
      <c r="CE4196">
        <v>0</v>
      </c>
      <c r="CF4196">
        <v>0</v>
      </c>
      <c r="CG4196">
        <v>1</v>
      </c>
      <c r="CH4196">
        <v>0</v>
      </c>
      <c r="CI4196">
        <v>0</v>
      </c>
      <c r="CJ4196">
        <v>0</v>
      </c>
      <c r="CK4196">
        <v>2</v>
      </c>
      <c r="CL4196">
        <v>0</v>
      </c>
      <c r="CM4196">
        <v>2</v>
      </c>
      <c r="CN4196">
        <v>0</v>
      </c>
      <c r="CO4196">
        <v>2</v>
      </c>
      <c r="CP4196" t="s">
        <v>119</v>
      </c>
      <c r="CQ4196">
        <v>179</v>
      </c>
      <c r="CR4196">
        <v>2</v>
      </c>
      <c r="CW4196">
        <v>12638055</v>
      </c>
      <c r="CY4196">
        <v>0</v>
      </c>
      <c r="CZ4196">
        <v>0</v>
      </c>
      <c r="DA4196">
        <v>1</v>
      </c>
      <c r="DB4196">
        <v>0</v>
      </c>
      <c r="DC4196">
        <v>0</v>
      </c>
      <c r="DD4196">
        <v>0</v>
      </c>
      <c r="DE4196">
        <v>0</v>
      </c>
      <c r="DF4196">
        <v>0</v>
      </c>
      <c r="DG4196">
        <v>0</v>
      </c>
      <c r="DH4196">
        <v>0</v>
      </c>
      <c r="DI4196">
        <v>0</v>
      </c>
    </row>
    <row r="4197" spans="1:113" x14ac:dyDescent="0.3">
      <c r="A4197" t="str">
        <f>"02/08/2021 20:37:37.579"</f>
        <v>02/08/2021 20:37:37.579</v>
      </c>
      <c r="C4197" t="str">
        <f t="shared" si="206"/>
        <v>FFDFD7C0</v>
      </c>
      <c r="D4197" t="s">
        <v>113</v>
      </c>
      <c r="E4197">
        <v>6</v>
      </c>
      <c r="H4197">
        <v>165</v>
      </c>
      <c r="I4197" t="s">
        <v>114</v>
      </c>
      <c r="J4197" t="s">
        <v>115</v>
      </c>
      <c r="K4197">
        <v>0</v>
      </c>
      <c r="L4197">
        <v>3</v>
      </c>
      <c r="M4197">
        <v>0</v>
      </c>
      <c r="N4197">
        <v>2</v>
      </c>
      <c r="O4197">
        <v>1</v>
      </c>
      <c r="P4197">
        <v>0</v>
      </c>
      <c r="Q4197">
        <v>0</v>
      </c>
      <c r="S4197" t="str">
        <f>"20:37:39.930"</f>
        <v>20:37:39.930</v>
      </c>
      <c r="T4197" t="str">
        <f>"20:37:38.930"</f>
        <v>20:37:38.930</v>
      </c>
      <c r="U4197" t="str">
        <f t="shared" si="208"/>
        <v>AB01F4</v>
      </c>
      <c r="V4197">
        <v>0</v>
      </c>
      <c r="W4197">
        <v>0</v>
      </c>
      <c r="X4197">
        <v>2</v>
      </c>
      <c r="Z4197">
        <v>0</v>
      </c>
      <c r="AA4197">
        <v>9</v>
      </c>
      <c r="AB4197">
        <v>3</v>
      </c>
      <c r="AC4197">
        <v>0</v>
      </c>
      <c r="AD4197">
        <v>10</v>
      </c>
      <c r="AE4197">
        <v>0</v>
      </c>
      <c r="AF4197">
        <v>3</v>
      </c>
      <c r="AG4197">
        <v>2</v>
      </c>
      <c r="AH4197">
        <v>0</v>
      </c>
      <c r="AI4197" t="s">
        <v>2347</v>
      </c>
      <c r="AJ4197">
        <v>40.159342000000002</v>
      </c>
      <c r="AK4197" t="s">
        <v>2348</v>
      </c>
      <c r="AL4197">
        <v>-93.145629999999997</v>
      </c>
      <c r="AM4197">
        <v>100</v>
      </c>
      <c r="AN4197">
        <v>1300</v>
      </c>
      <c r="AO4197" t="s">
        <v>118</v>
      </c>
      <c r="AP4197">
        <v>-114</v>
      </c>
      <c r="AQ4197">
        <v>59</v>
      </c>
      <c r="AR4197">
        <v>-64</v>
      </c>
      <c r="AZ4197">
        <v>1200</v>
      </c>
      <c r="BA4197">
        <v>1</v>
      </c>
      <c r="BB4197" t="str">
        <f t="shared" si="207"/>
        <v xml:space="preserve">N8080G  </v>
      </c>
      <c r="BC4197">
        <v>1</v>
      </c>
      <c r="BE4197">
        <v>0</v>
      </c>
      <c r="BF4197">
        <v>0</v>
      </c>
      <c r="BG4197">
        <v>0</v>
      </c>
      <c r="BH4197">
        <v>1350</v>
      </c>
      <c r="BI4197">
        <v>1</v>
      </c>
      <c r="BJ4197">
        <v>1</v>
      </c>
      <c r="BK4197">
        <v>1</v>
      </c>
      <c r="BL4197">
        <v>0</v>
      </c>
      <c r="BO4197">
        <v>0</v>
      </c>
      <c r="BP4197">
        <v>0</v>
      </c>
      <c r="BW4197" t="str">
        <f>"20:37:39.933"</f>
        <v>20:37:39.933</v>
      </c>
      <c r="BZ4197">
        <v>0</v>
      </c>
      <c r="CA4197">
        <v>1600</v>
      </c>
      <c r="CB4197">
        <v>224</v>
      </c>
      <c r="CD4197">
        <v>1</v>
      </c>
      <c r="CE4197">
        <v>0</v>
      </c>
      <c r="CF4197">
        <v>0</v>
      </c>
      <c r="CG4197">
        <v>1</v>
      </c>
      <c r="CH4197">
        <v>0</v>
      </c>
      <c r="CI4197">
        <v>0</v>
      </c>
      <c r="CJ4197">
        <v>0</v>
      </c>
      <c r="CK4197">
        <v>2</v>
      </c>
      <c r="CL4197">
        <v>0</v>
      </c>
      <c r="CM4197">
        <v>2</v>
      </c>
      <c r="CN4197">
        <v>0</v>
      </c>
      <c r="CO4197">
        <v>2</v>
      </c>
      <c r="CP4197" t="s">
        <v>119</v>
      </c>
      <c r="CQ4197">
        <v>179</v>
      </c>
      <c r="CR4197">
        <v>2</v>
      </c>
      <c r="CW4197">
        <v>12638055</v>
      </c>
      <c r="CY4197">
        <v>0</v>
      </c>
      <c r="CZ4197">
        <v>0</v>
      </c>
      <c r="DA4197">
        <v>1</v>
      </c>
      <c r="DB4197">
        <v>0</v>
      </c>
      <c r="DC4197">
        <v>0</v>
      </c>
      <c r="DD4197">
        <v>0</v>
      </c>
      <c r="DE4197">
        <v>0</v>
      </c>
      <c r="DF4197">
        <v>0</v>
      </c>
      <c r="DG4197">
        <v>0</v>
      </c>
      <c r="DH4197">
        <v>0</v>
      </c>
      <c r="DI4197">
        <v>0</v>
      </c>
    </row>
    <row r="4198" spans="1:113" x14ac:dyDescent="0.3">
      <c r="A4198" t="str">
        <f>"02/08/2021 20:37:37.579"</f>
        <v>02/08/2021 20:37:37.579</v>
      </c>
      <c r="C4198" t="str">
        <f t="shared" si="206"/>
        <v>FFDFD7C0</v>
      </c>
      <c r="D4198" t="s">
        <v>124</v>
      </c>
      <c r="E4198">
        <v>13</v>
      </c>
      <c r="F4198">
        <v>1013</v>
      </c>
      <c r="G4198" t="s">
        <v>114</v>
      </c>
      <c r="J4198" t="s">
        <v>125</v>
      </c>
      <c r="K4198">
        <v>0</v>
      </c>
      <c r="L4198">
        <v>3</v>
      </c>
      <c r="M4198">
        <v>0</v>
      </c>
      <c r="N4198">
        <v>2</v>
      </c>
      <c r="O4198">
        <v>1</v>
      </c>
      <c r="P4198">
        <v>0</v>
      </c>
      <c r="Q4198">
        <v>0</v>
      </c>
      <c r="S4198" t="str">
        <f>"20:37:39.930"</f>
        <v>20:37:39.930</v>
      </c>
      <c r="T4198" t="str">
        <f>"20:37:38.930"</f>
        <v>20:37:38.930</v>
      </c>
      <c r="U4198" t="str">
        <f t="shared" si="208"/>
        <v>AB01F4</v>
      </c>
      <c r="V4198">
        <v>0</v>
      </c>
      <c r="W4198">
        <v>0</v>
      </c>
      <c r="X4198">
        <v>2</v>
      </c>
      <c r="Z4198">
        <v>0</v>
      </c>
      <c r="AA4198">
        <v>9</v>
      </c>
      <c r="AB4198">
        <v>3</v>
      </c>
      <c r="AC4198">
        <v>0</v>
      </c>
      <c r="AD4198">
        <v>10</v>
      </c>
      <c r="AE4198">
        <v>0</v>
      </c>
      <c r="AF4198">
        <v>3</v>
      </c>
      <c r="AG4198">
        <v>2</v>
      </c>
      <c r="AH4198">
        <v>0</v>
      </c>
      <c r="AI4198" t="s">
        <v>2347</v>
      </c>
      <c r="AJ4198">
        <v>40.159342000000002</v>
      </c>
      <c r="AK4198" t="s">
        <v>2348</v>
      </c>
      <c r="AL4198">
        <v>-93.145629999999997</v>
      </c>
      <c r="AM4198">
        <v>100</v>
      </c>
      <c r="AN4198">
        <v>1300</v>
      </c>
      <c r="AO4198" t="s">
        <v>118</v>
      </c>
      <c r="AP4198">
        <v>-114</v>
      </c>
      <c r="AQ4198">
        <v>59</v>
      </c>
      <c r="AR4198">
        <v>-64</v>
      </c>
      <c r="AZ4198">
        <v>1200</v>
      </c>
      <c r="BA4198">
        <v>1</v>
      </c>
      <c r="BB4198" t="str">
        <f t="shared" si="207"/>
        <v xml:space="preserve">N8080G  </v>
      </c>
      <c r="BC4198">
        <v>1</v>
      </c>
      <c r="BE4198">
        <v>0</v>
      </c>
      <c r="BF4198">
        <v>0</v>
      </c>
      <c r="BG4198">
        <v>0</v>
      </c>
      <c r="BH4198">
        <v>1350</v>
      </c>
      <c r="BI4198">
        <v>1</v>
      </c>
      <c r="BJ4198">
        <v>1</v>
      </c>
      <c r="BK4198">
        <v>1</v>
      </c>
      <c r="BL4198">
        <v>0</v>
      </c>
      <c r="BO4198">
        <v>0</v>
      </c>
      <c r="BP4198">
        <v>0</v>
      </c>
      <c r="BW4198" t="str">
        <f>"20:37:39.933"</f>
        <v>20:37:39.933</v>
      </c>
      <c r="BZ4198">
        <v>0</v>
      </c>
      <c r="CA4198">
        <v>1600</v>
      </c>
      <c r="CB4198">
        <v>224</v>
      </c>
      <c r="CD4198">
        <v>1</v>
      </c>
      <c r="CE4198">
        <v>0</v>
      </c>
      <c r="CF4198">
        <v>0</v>
      </c>
      <c r="CG4198">
        <v>1</v>
      </c>
      <c r="CH4198">
        <v>0</v>
      </c>
      <c r="CI4198">
        <v>0</v>
      </c>
      <c r="CJ4198">
        <v>0</v>
      </c>
      <c r="CK4198">
        <v>2</v>
      </c>
      <c r="CL4198">
        <v>0</v>
      </c>
      <c r="CM4198">
        <v>2</v>
      </c>
      <c r="CN4198">
        <v>0</v>
      </c>
      <c r="CO4198">
        <v>2</v>
      </c>
      <c r="CP4198" t="s">
        <v>119</v>
      </c>
      <c r="CQ4198">
        <v>179</v>
      </c>
      <c r="CR4198">
        <v>2</v>
      </c>
      <c r="CW4198">
        <v>12638055</v>
      </c>
      <c r="CY4198">
        <v>0</v>
      </c>
      <c r="CZ4198">
        <v>0</v>
      </c>
      <c r="DA4198">
        <v>1</v>
      </c>
      <c r="DB4198">
        <v>0</v>
      </c>
      <c r="DC4198">
        <v>0</v>
      </c>
      <c r="DD4198">
        <v>0</v>
      </c>
      <c r="DE4198">
        <v>0</v>
      </c>
      <c r="DF4198">
        <v>0</v>
      </c>
      <c r="DG4198">
        <v>0</v>
      </c>
      <c r="DH4198">
        <v>0</v>
      </c>
      <c r="DI4198">
        <v>0</v>
      </c>
    </row>
    <row r="4199" spans="1:113" x14ac:dyDescent="0.3">
      <c r="A4199" t="str">
        <f>"02/08/2021 20:37:38.421"</f>
        <v>02/08/2021 20:37:38.421</v>
      </c>
      <c r="C4199" t="str">
        <f t="shared" ref="C4199:C4262" si="209">"FFDFD7C0"</f>
        <v>FFDFD7C0</v>
      </c>
      <c r="D4199" t="s">
        <v>124</v>
      </c>
      <c r="E4199">
        <v>13</v>
      </c>
      <c r="F4199">
        <v>1013</v>
      </c>
      <c r="G4199" t="s">
        <v>114</v>
      </c>
      <c r="J4199" t="s">
        <v>125</v>
      </c>
      <c r="K4199">
        <v>0</v>
      </c>
      <c r="L4199">
        <v>3</v>
      </c>
      <c r="M4199">
        <v>0</v>
      </c>
      <c r="N4199">
        <v>2</v>
      </c>
      <c r="O4199">
        <v>1</v>
      </c>
      <c r="P4199">
        <v>0</v>
      </c>
      <c r="Q4199">
        <v>0</v>
      </c>
      <c r="S4199" t="str">
        <f>"20:37:40.766"</f>
        <v>20:37:40.766</v>
      </c>
      <c r="T4199" t="str">
        <f>"20:37:40.366"</f>
        <v>20:37:40.366</v>
      </c>
      <c r="U4199" t="str">
        <f t="shared" si="208"/>
        <v>AB01F4</v>
      </c>
      <c r="V4199">
        <v>0</v>
      </c>
      <c r="W4199">
        <v>0</v>
      </c>
      <c r="X4199">
        <v>2</v>
      </c>
      <c r="Z4199">
        <v>0</v>
      </c>
      <c r="AA4199">
        <v>9</v>
      </c>
      <c r="AB4199">
        <v>3</v>
      </c>
      <c r="AC4199">
        <v>0</v>
      </c>
      <c r="AD4199">
        <v>10</v>
      </c>
      <c r="AE4199">
        <v>0</v>
      </c>
      <c r="AF4199">
        <v>3</v>
      </c>
      <c r="AG4199">
        <v>2</v>
      </c>
      <c r="AH4199">
        <v>0</v>
      </c>
      <c r="AI4199" t="s">
        <v>2349</v>
      </c>
      <c r="AJ4199">
        <v>40.159557</v>
      </c>
      <c r="AK4199" t="s">
        <v>2350</v>
      </c>
      <c r="AL4199">
        <v>-93.146187999999995</v>
      </c>
      <c r="AM4199">
        <v>100</v>
      </c>
      <c r="AN4199">
        <v>1300</v>
      </c>
      <c r="AO4199" t="s">
        <v>118</v>
      </c>
      <c r="AP4199">
        <v>-114</v>
      </c>
      <c r="AQ4199">
        <v>60</v>
      </c>
      <c r="AR4199">
        <v>-64</v>
      </c>
      <c r="AZ4199">
        <v>1200</v>
      </c>
      <c r="BA4199">
        <v>1</v>
      </c>
      <c r="BB4199" t="str">
        <f t="shared" si="207"/>
        <v xml:space="preserve">N8080G  </v>
      </c>
      <c r="BC4199">
        <v>1</v>
      </c>
      <c r="BE4199">
        <v>0</v>
      </c>
      <c r="BF4199">
        <v>0</v>
      </c>
      <c r="BG4199">
        <v>0</v>
      </c>
      <c r="BH4199">
        <v>1350</v>
      </c>
      <c r="BI4199">
        <v>1</v>
      </c>
      <c r="BJ4199">
        <v>1</v>
      </c>
      <c r="BK4199">
        <v>1</v>
      </c>
      <c r="BL4199">
        <v>0</v>
      </c>
      <c r="BO4199">
        <v>0</v>
      </c>
      <c r="BP4199">
        <v>0</v>
      </c>
      <c r="BW4199" t="str">
        <f>"20:37:40.768"</f>
        <v>20:37:40.768</v>
      </c>
      <c r="BZ4199">
        <v>0</v>
      </c>
      <c r="CA4199">
        <v>1600</v>
      </c>
      <c r="CB4199">
        <v>224</v>
      </c>
      <c r="CD4199">
        <v>1</v>
      </c>
      <c r="CE4199">
        <v>0</v>
      </c>
      <c r="CF4199">
        <v>0</v>
      </c>
      <c r="CG4199">
        <v>1</v>
      </c>
      <c r="CH4199">
        <v>0</v>
      </c>
      <c r="CI4199">
        <v>0</v>
      </c>
      <c r="CJ4199">
        <v>0</v>
      </c>
      <c r="CK4199">
        <v>2</v>
      </c>
      <c r="CL4199">
        <v>0</v>
      </c>
      <c r="CM4199">
        <v>2</v>
      </c>
      <c r="CN4199">
        <v>0</v>
      </c>
      <c r="CO4199">
        <v>5</v>
      </c>
      <c r="CP4199" t="s">
        <v>119</v>
      </c>
      <c r="CQ4199">
        <v>180</v>
      </c>
      <c r="CR4199">
        <v>3</v>
      </c>
      <c r="CW4199">
        <v>1365912</v>
      </c>
      <c r="CY4199">
        <v>0</v>
      </c>
      <c r="CZ4199">
        <v>0</v>
      </c>
      <c r="DA4199">
        <v>0</v>
      </c>
      <c r="DB4199">
        <v>0</v>
      </c>
      <c r="DC4199">
        <v>0</v>
      </c>
      <c r="DD4199">
        <v>0</v>
      </c>
      <c r="DE4199">
        <v>0</v>
      </c>
      <c r="DF4199">
        <v>0</v>
      </c>
      <c r="DG4199">
        <v>0</v>
      </c>
      <c r="DH4199">
        <v>0</v>
      </c>
      <c r="DI4199">
        <v>0</v>
      </c>
    </row>
    <row r="4200" spans="1:113" x14ac:dyDescent="0.3">
      <c r="A4200" t="str">
        <f>"02/08/2021 20:37:38.421"</f>
        <v>02/08/2021 20:37:38.421</v>
      </c>
      <c r="C4200" t="str">
        <f t="shared" si="209"/>
        <v>FFDFD7C0</v>
      </c>
      <c r="D4200" t="s">
        <v>113</v>
      </c>
      <c r="E4200">
        <v>6</v>
      </c>
      <c r="H4200">
        <v>165</v>
      </c>
      <c r="I4200" t="s">
        <v>114</v>
      </c>
      <c r="J4200" t="s">
        <v>115</v>
      </c>
      <c r="K4200">
        <v>0</v>
      </c>
      <c r="L4200">
        <v>3</v>
      </c>
      <c r="M4200">
        <v>0</v>
      </c>
      <c r="N4200">
        <v>2</v>
      </c>
      <c r="O4200">
        <v>1</v>
      </c>
      <c r="P4200">
        <v>0</v>
      </c>
      <c r="Q4200">
        <v>0</v>
      </c>
      <c r="S4200" t="str">
        <f>"20:37:40.766"</f>
        <v>20:37:40.766</v>
      </c>
      <c r="T4200" t="str">
        <f>"20:37:40.366"</f>
        <v>20:37:40.366</v>
      </c>
      <c r="U4200" t="str">
        <f t="shared" si="208"/>
        <v>AB01F4</v>
      </c>
      <c r="V4200">
        <v>0</v>
      </c>
      <c r="W4200">
        <v>0</v>
      </c>
      <c r="X4200">
        <v>2</v>
      </c>
      <c r="Z4200">
        <v>0</v>
      </c>
      <c r="AA4200">
        <v>9</v>
      </c>
      <c r="AB4200">
        <v>3</v>
      </c>
      <c r="AC4200">
        <v>0</v>
      </c>
      <c r="AD4200">
        <v>10</v>
      </c>
      <c r="AE4200">
        <v>0</v>
      </c>
      <c r="AF4200">
        <v>3</v>
      </c>
      <c r="AG4200">
        <v>2</v>
      </c>
      <c r="AH4200">
        <v>0</v>
      </c>
      <c r="AI4200" t="s">
        <v>2349</v>
      </c>
      <c r="AJ4200">
        <v>40.159557</v>
      </c>
      <c r="AK4200" t="s">
        <v>2350</v>
      </c>
      <c r="AL4200">
        <v>-93.146187999999995</v>
      </c>
      <c r="AM4200">
        <v>100</v>
      </c>
      <c r="AN4200">
        <v>1300</v>
      </c>
      <c r="AO4200" t="s">
        <v>118</v>
      </c>
      <c r="AP4200">
        <v>-114</v>
      </c>
      <c r="AQ4200">
        <v>60</v>
      </c>
      <c r="AR4200">
        <v>-64</v>
      </c>
      <c r="AZ4200">
        <v>1200</v>
      </c>
      <c r="BA4200">
        <v>1</v>
      </c>
      <c r="BB4200" t="str">
        <f t="shared" si="207"/>
        <v xml:space="preserve">N8080G  </v>
      </c>
      <c r="BC4200">
        <v>1</v>
      </c>
      <c r="BE4200">
        <v>0</v>
      </c>
      <c r="BF4200">
        <v>0</v>
      </c>
      <c r="BG4200">
        <v>0</v>
      </c>
      <c r="BH4200">
        <v>1350</v>
      </c>
      <c r="BI4200">
        <v>1</v>
      </c>
      <c r="BJ4200">
        <v>1</v>
      </c>
      <c r="BK4200">
        <v>1</v>
      </c>
      <c r="BL4200">
        <v>0</v>
      </c>
      <c r="BO4200">
        <v>0</v>
      </c>
      <c r="BP4200">
        <v>0</v>
      </c>
      <c r="BW4200" t="str">
        <f>"20:37:40.768"</f>
        <v>20:37:40.768</v>
      </c>
      <c r="BZ4200">
        <v>0</v>
      </c>
      <c r="CA4200">
        <v>1600</v>
      </c>
      <c r="CB4200">
        <v>224</v>
      </c>
      <c r="CD4200">
        <v>1</v>
      </c>
      <c r="CE4200">
        <v>0</v>
      </c>
      <c r="CF4200">
        <v>0</v>
      </c>
      <c r="CG4200">
        <v>1</v>
      </c>
      <c r="CH4200">
        <v>0</v>
      </c>
      <c r="CI4200">
        <v>0</v>
      </c>
      <c r="CJ4200">
        <v>0</v>
      </c>
      <c r="CK4200">
        <v>2</v>
      </c>
      <c r="CL4200">
        <v>0</v>
      </c>
      <c r="CM4200">
        <v>2</v>
      </c>
      <c r="CN4200">
        <v>0</v>
      </c>
      <c r="CO4200">
        <v>5</v>
      </c>
      <c r="CP4200" t="s">
        <v>119</v>
      </c>
      <c r="CQ4200">
        <v>180</v>
      </c>
      <c r="CR4200">
        <v>3</v>
      </c>
      <c r="CW4200">
        <v>1365912</v>
      </c>
      <c r="CY4200">
        <v>0</v>
      </c>
      <c r="CZ4200">
        <v>0</v>
      </c>
      <c r="DA4200">
        <v>1</v>
      </c>
      <c r="DB4200">
        <v>0</v>
      </c>
      <c r="DC4200">
        <v>0</v>
      </c>
      <c r="DD4200">
        <v>0</v>
      </c>
      <c r="DE4200">
        <v>0</v>
      </c>
      <c r="DF4200">
        <v>0</v>
      </c>
      <c r="DG4200">
        <v>0</v>
      </c>
      <c r="DH4200">
        <v>0</v>
      </c>
      <c r="DI4200">
        <v>0</v>
      </c>
    </row>
    <row r="4201" spans="1:113" x14ac:dyDescent="0.3">
      <c r="A4201" t="str">
        <f>"02/08/2021 20:37:38.421"</f>
        <v>02/08/2021 20:37:38.421</v>
      </c>
      <c r="C4201" t="str">
        <f t="shared" si="209"/>
        <v>FFDFD7C0</v>
      </c>
      <c r="D4201" t="s">
        <v>124</v>
      </c>
      <c r="E4201">
        <v>11</v>
      </c>
      <c r="F4201">
        <v>1011</v>
      </c>
      <c r="G4201" t="s">
        <v>590</v>
      </c>
      <c r="J4201" t="s">
        <v>125</v>
      </c>
      <c r="K4201">
        <v>0</v>
      </c>
      <c r="L4201">
        <v>3</v>
      </c>
      <c r="M4201">
        <v>0</v>
      </c>
      <c r="N4201">
        <v>2</v>
      </c>
      <c r="O4201">
        <v>1</v>
      </c>
      <c r="P4201">
        <v>0</v>
      </c>
      <c r="Q4201">
        <v>0</v>
      </c>
      <c r="S4201" t="str">
        <f>"20:37:40.766"</f>
        <v>20:37:40.766</v>
      </c>
      <c r="T4201" t="str">
        <f>"20:37:40.366"</f>
        <v>20:37:40.366</v>
      </c>
      <c r="U4201" t="str">
        <f t="shared" si="208"/>
        <v>AB01F4</v>
      </c>
      <c r="V4201">
        <v>0</v>
      </c>
      <c r="W4201">
        <v>0</v>
      </c>
      <c r="X4201">
        <v>2</v>
      </c>
      <c r="Z4201">
        <v>0</v>
      </c>
      <c r="AA4201">
        <v>9</v>
      </c>
      <c r="AB4201">
        <v>3</v>
      </c>
      <c r="AC4201">
        <v>0</v>
      </c>
      <c r="AD4201">
        <v>10</v>
      </c>
      <c r="AE4201">
        <v>0</v>
      </c>
      <c r="AF4201">
        <v>3</v>
      </c>
      <c r="AG4201">
        <v>2</v>
      </c>
      <c r="AH4201">
        <v>0</v>
      </c>
      <c r="AI4201" t="s">
        <v>2349</v>
      </c>
      <c r="AJ4201">
        <v>40.159557</v>
      </c>
      <c r="AK4201" t="s">
        <v>2350</v>
      </c>
      <c r="AL4201">
        <v>-93.146187999999995</v>
      </c>
      <c r="AM4201">
        <v>100</v>
      </c>
      <c r="AN4201">
        <v>1300</v>
      </c>
      <c r="AO4201" t="s">
        <v>118</v>
      </c>
      <c r="AP4201">
        <v>-114</v>
      </c>
      <c r="AQ4201">
        <v>60</v>
      </c>
      <c r="AR4201">
        <v>-64</v>
      </c>
      <c r="AZ4201">
        <v>1200</v>
      </c>
      <c r="BA4201">
        <v>1</v>
      </c>
      <c r="BB4201" t="str">
        <f t="shared" si="207"/>
        <v xml:space="preserve">N8080G  </v>
      </c>
      <c r="BC4201">
        <v>1</v>
      </c>
      <c r="BE4201">
        <v>0</v>
      </c>
      <c r="BF4201">
        <v>0</v>
      </c>
      <c r="BG4201">
        <v>0</v>
      </c>
      <c r="BH4201">
        <v>1350</v>
      </c>
      <c r="BI4201">
        <v>1</v>
      </c>
      <c r="BJ4201">
        <v>1</v>
      </c>
      <c r="BK4201">
        <v>1</v>
      </c>
      <c r="BL4201">
        <v>0</v>
      </c>
      <c r="BO4201">
        <v>0</v>
      </c>
      <c r="BP4201">
        <v>0</v>
      </c>
      <c r="BW4201" t="str">
        <f>"20:37:40.768"</f>
        <v>20:37:40.768</v>
      </c>
      <c r="BZ4201">
        <v>0</v>
      </c>
      <c r="CA4201">
        <v>1600</v>
      </c>
      <c r="CB4201">
        <v>224</v>
      </c>
      <c r="CD4201">
        <v>1</v>
      </c>
      <c r="CE4201">
        <v>0</v>
      </c>
      <c r="CF4201">
        <v>0</v>
      </c>
      <c r="CG4201">
        <v>1</v>
      </c>
      <c r="CH4201">
        <v>0</v>
      </c>
      <c r="CI4201">
        <v>0</v>
      </c>
      <c r="CJ4201">
        <v>0</v>
      </c>
      <c r="CK4201">
        <v>2</v>
      </c>
      <c r="CL4201">
        <v>0</v>
      </c>
      <c r="CM4201">
        <v>2</v>
      </c>
      <c r="CN4201">
        <v>0</v>
      </c>
      <c r="CO4201">
        <v>5</v>
      </c>
      <c r="CP4201" t="s">
        <v>119</v>
      </c>
      <c r="CQ4201">
        <v>180</v>
      </c>
      <c r="CR4201">
        <v>3</v>
      </c>
      <c r="CW4201">
        <v>1365912</v>
      </c>
      <c r="CY4201">
        <v>0</v>
      </c>
      <c r="CZ4201">
        <v>0</v>
      </c>
      <c r="DA4201">
        <v>1</v>
      </c>
      <c r="DB4201">
        <v>0</v>
      </c>
      <c r="DC4201">
        <v>0</v>
      </c>
      <c r="DD4201">
        <v>0</v>
      </c>
      <c r="DE4201">
        <v>0</v>
      </c>
      <c r="DF4201">
        <v>0</v>
      </c>
      <c r="DG4201">
        <v>0</v>
      </c>
      <c r="DH4201">
        <v>0</v>
      </c>
      <c r="DI4201">
        <v>0</v>
      </c>
    </row>
    <row r="4202" spans="1:113" x14ac:dyDescent="0.3">
      <c r="A4202" t="str">
        <f>"02/08/2021 20:37:38.421"</f>
        <v>02/08/2021 20:37:38.421</v>
      </c>
      <c r="C4202" t="str">
        <f t="shared" si="209"/>
        <v>FFDFD7C0</v>
      </c>
      <c r="D4202" t="s">
        <v>124</v>
      </c>
      <c r="E4202">
        <v>12</v>
      </c>
      <c r="F4202">
        <v>1012</v>
      </c>
      <c r="G4202" t="s">
        <v>675</v>
      </c>
      <c r="J4202" t="s">
        <v>125</v>
      </c>
      <c r="K4202">
        <v>0</v>
      </c>
      <c r="L4202">
        <v>3</v>
      </c>
      <c r="M4202">
        <v>0</v>
      </c>
      <c r="N4202">
        <v>2</v>
      </c>
      <c r="O4202">
        <v>1</v>
      </c>
      <c r="P4202">
        <v>0</v>
      </c>
      <c r="Q4202">
        <v>0</v>
      </c>
      <c r="S4202" t="str">
        <f>"20:37:40.766"</f>
        <v>20:37:40.766</v>
      </c>
      <c r="T4202" t="str">
        <f>"20:37:40.366"</f>
        <v>20:37:40.366</v>
      </c>
      <c r="U4202" t="str">
        <f t="shared" si="208"/>
        <v>AB01F4</v>
      </c>
      <c r="V4202">
        <v>0</v>
      </c>
      <c r="W4202">
        <v>0</v>
      </c>
      <c r="X4202">
        <v>2</v>
      </c>
      <c r="Z4202">
        <v>0</v>
      </c>
      <c r="AA4202">
        <v>9</v>
      </c>
      <c r="AB4202">
        <v>3</v>
      </c>
      <c r="AC4202">
        <v>0</v>
      </c>
      <c r="AD4202">
        <v>10</v>
      </c>
      <c r="AE4202">
        <v>0</v>
      </c>
      <c r="AF4202">
        <v>3</v>
      </c>
      <c r="AG4202">
        <v>2</v>
      </c>
      <c r="AH4202">
        <v>0</v>
      </c>
      <c r="AI4202" t="s">
        <v>2349</v>
      </c>
      <c r="AJ4202">
        <v>40.159557</v>
      </c>
      <c r="AK4202" t="s">
        <v>2350</v>
      </c>
      <c r="AL4202">
        <v>-93.146187999999995</v>
      </c>
      <c r="AM4202">
        <v>100</v>
      </c>
      <c r="AN4202">
        <v>1300</v>
      </c>
      <c r="AO4202" t="s">
        <v>118</v>
      </c>
      <c r="AP4202">
        <v>-114</v>
      </c>
      <c r="AQ4202">
        <v>60</v>
      </c>
      <c r="AR4202">
        <v>-64</v>
      </c>
      <c r="AZ4202">
        <v>1200</v>
      </c>
      <c r="BA4202">
        <v>1</v>
      </c>
      <c r="BB4202" t="str">
        <f t="shared" si="207"/>
        <v xml:space="preserve">N8080G  </v>
      </c>
      <c r="BC4202">
        <v>1</v>
      </c>
      <c r="BE4202">
        <v>0</v>
      </c>
      <c r="BF4202">
        <v>0</v>
      </c>
      <c r="BG4202">
        <v>0</v>
      </c>
      <c r="BH4202">
        <v>1350</v>
      </c>
      <c r="BI4202">
        <v>1</v>
      </c>
      <c r="BJ4202">
        <v>1</v>
      </c>
      <c r="BK4202">
        <v>1</v>
      </c>
      <c r="BL4202">
        <v>0</v>
      </c>
      <c r="BO4202">
        <v>0</v>
      </c>
      <c r="BP4202">
        <v>0</v>
      </c>
      <c r="BW4202" t="str">
        <f>"20:37:40.768"</f>
        <v>20:37:40.768</v>
      </c>
      <c r="BZ4202">
        <v>0</v>
      </c>
      <c r="CA4202">
        <v>1600</v>
      </c>
      <c r="CB4202">
        <v>224</v>
      </c>
      <c r="CD4202">
        <v>1</v>
      </c>
      <c r="CE4202">
        <v>0</v>
      </c>
      <c r="CF4202">
        <v>0</v>
      </c>
      <c r="CG4202">
        <v>1</v>
      </c>
      <c r="CH4202">
        <v>0</v>
      </c>
      <c r="CI4202">
        <v>0</v>
      </c>
      <c r="CJ4202">
        <v>0</v>
      </c>
      <c r="CK4202">
        <v>2</v>
      </c>
      <c r="CL4202">
        <v>0</v>
      </c>
      <c r="CM4202">
        <v>2</v>
      </c>
      <c r="CN4202">
        <v>0</v>
      </c>
      <c r="CO4202">
        <v>5</v>
      </c>
      <c r="CP4202" t="s">
        <v>119</v>
      </c>
      <c r="CQ4202">
        <v>180</v>
      </c>
      <c r="CR4202">
        <v>3</v>
      </c>
      <c r="CW4202">
        <v>1365912</v>
      </c>
      <c r="CY4202">
        <v>0</v>
      </c>
      <c r="CZ4202">
        <v>0</v>
      </c>
      <c r="DA4202">
        <v>1</v>
      </c>
      <c r="DB4202">
        <v>0</v>
      </c>
      <c r="DC4202">
        <v>0</v>
      </c>
      <c r="DD4202">
        <v>0</v>
      </c>
      <c r="DE4202">
        <v>0</v>
      </c>
      <c r="DF4202">
        <v>0</v>
      </c>
      <c r="DG4202">
        <v>0</v>
      </c>
      <c r="DH4202">
        <v>0</v>
      </c>
      <c r="DI4202">
        <v>0</v>
      </c>
    </row>
    <row r="4203" spans="1:113" x14ac:dyDescent="0.3">
      <c r="A4203" t="str">
        <f>"02/08/2021 20:37:39.341"</f>
        <v>02/08/2021 20:37:39.341</v>
      </c>
      <c r="C4203" t="str">
        <f t="shared" si="209"/>
        <v>FFDFD7C0</v>
      </c>
      <c r="D4203" t="s">
        <v>124</v>
      </c>
      <c r="E4203">
        <v>12</v>
      </c>
      <c r="F4203">
        <v>1012</v>
      </c>
      <c r="G4203" t="s">
        <v>675</v>
      </c>
      <c r="J4203" t="s">
        <v>125</v>
      </c>
      <c r="K4203">
        <v>0</v>
      </c>
      <c r="L4203">
        <v>3</v>
      </c>
      <c r="M4203">
        <v>0</v>
      </c>
      <c r="N4203">
        <v>2</v>
      </c>
      <c r="O4203">
        <v>1</v>
      </c>
      <c r="P4203">
        <v>0</v>
      </c>
      <c r="Q4203">
        <v>0</v>
      </c>
      <c r="S4203" t="str">
        <f>"20:37:41.664"</f>
        <v>20:37:41.664</v>
      </c>
      <c r="T4203" t="str">
        <f>"20:37:41.264"</f>
        <v>20:37:41.264</v>
      </c>
      <c r="U4203" t="str">
        <f t="shared" si="208"/>
        <v>AB01F4</v>
      </c>
      <c r="V4203">
        <v>0</v>
      </c>
      <c r="W4203">
        <v>0</v>
      </c>
      <c r="X4203">
        <v>2</v>
      </c>
      <c r="Z4203">
        <v>0</v>
      </c>
      <c r="AA4203">
        <v>9</v>
      </c>
      <c r="AB4203">
        <v>3</v>
      </c>
      <c r="AC4203">
        <v>0</v>
      </c>
      <c r="AD4203">
        <v>10</v>
      </c>
      <c r="AE4203">
        <v>0</v>
      </c>
      <c r="AF4203">
        <v>3</v>
      </c>
      <c r="AG4203">
        <v>2</v>
      </c>
      <c r="AH4203">
        <v>0</v>
      </c>
      <c r="AI4203" t="s">
        <v>2351</v>
      </c>
      <c r="AJ4203">
        <v>40.159813999999997</v>
      </c>
      <c r="AK4203" t="s">
        <v>2352</v>
      </c>
      <c r="AL4203">
        <v>-93.146832000000003</v>
      </c>
      <c r="AM4203">
        <v>100</v>
      </c>
      <c r="AN4203">
        <v>1300</v>
      </c>
      <c r="AO4203" t="s">
        <v>118</v>
      </c>
      <c r="AP4203">
        <v>-114</v>
      </c>
      <c r="AQ4203">
        <v>60</v>
      </c>
      <c r="AR4203">
        <v>-64</v>
      </c>
      <c r="AZ4203">
        <v>1200</v>
      </c>
      <c r="BA4203">
        <v>1</v>
      </c>
      <c r="BB4203" t="str">
        <f t="shared" si="207"/>
        <v xml:space="preserve">N8080G  </v>
      </c>
      <c r="BC4203">
        <v>1</v>
      </c>
      <c r="BE4203">
        <v>0</v>
      </c>
      <c r="BF4203">
        <v>0</v>
      </c>
      <c r="BG4203">
        <v>0</v>
      </c>
      <c r="BH4203">
        <v>1350</v>
      </c>
      <c r="BI4203">
        <v>1</v>
      </c>
      <c r="BJ4203">
        <v>1</v>
      </c>
      <c r="BK4203">
        <v>1</v>
      </c>
      <c r="BL4203">
        <v>0</v>
      </c>
      <c r="BO4203">
        <v>0</v>
      </c>
      <c r="BP4203">
        <v>0</v>
      </c>
      <c r="BW4203" t="str">
        <f>"20:37:41.668"</f>
        <v>20:37:41.668</v>
      </c>
      <c r="BZ4203">
        <v>0</v>
      </c>
      <c r="CA4203">
        <v>1600</v>
      </c>
      <c r="CB4203">
        <v>224</v>
      </c>
      <c r="CD4203">
        <v>1</v>
      </c>
      <c r="CE4203">
        <v>0</v>
      </c>
      <c r="CF4203">
        <v>0</v>
      </c>
      <c r="CG4203">
        <v>1</v>
      </c>
      <c r="CH4203">
        <v>0</v>
      </c>
      <c r="CI4203">
        <v>0</v>
      </c>
      <c r="CJ4203">
        <v>0</v>
      </c>
      <c r="CK4203">
        <v>2</v>
      </c>
      <c r="CL4203">
        <v>0</v>
      </c>
      <c r="CM4203">
        <v>2</v>
      </c>
      <c r="CN4203">
        <v>0</v>
      </c>
      <c r="CO4203">
        <v>2</v>
      </c>
      <c r="CP4203" t="s">
        <v>119</v>
      </c>
      <c r="CQ4203">
        <v>179</v>
      </c>
      <c r="CR4203">
        <v>2</v>
      </c>
      <c r="CW4203">
        <v>12639447</v>
      </c>
      <c r="CY4203">
        <v>0</v>
      </c>
      <c r="CZ4203">
        <v>0</v>
      </c>
      <c r="DA4203">
        <v>0</v>
      </c>
      <c r="DB4203">
        <v>0</v>
      </c>
      <c r="DC4203">
        <v>0</v>
      </c>
      <c r="DD4203">
        <v>0</v>
      </c>
      <c r="DE4203">
        <v>0</v>
      </c>
      <c r="DF4203">
        <v>0</v>
      </c>
      <c r="DG4203">
        <v>0</v>
      </c>
      <c r="DH4203">
        <v>0</v>
      </c>
      <c r="DI4203">
        <v>0</v>
      </c>
    </row>
    <row r="4204" spans="1:113" x14ac:dyDescent="0.3">
      <c r="A4204" t="str">
        <f>"02/08/2021 20:37:39.341"</f>
        <v>02/08/2021 20:37:39.341</v>
      </c>
      <c r="C4204" t="str">
        <f t="shared" si="209"/>
        <v>FFDFD7C0</v>
      </c>
      <c r="D4204" t="s">
        <v>124</v>
      </c>
      <c r="E4204">
        <v>11</v>
      </c>
      <c r="F4204">
        <v>1011</v>
      </c>
      <c r="G4204" t="s">
        <v>590</v>
      </c>
      <c r="J4204" t="s">
        <v>125</v>
      </c>
      <c r="K4204">
        <v>0</v>
      </c>
      <c r="L4204">
        <v>3</v>
      </c>
      <c r="M4204">
        <v>0</v>
      </c>
      <c r="N4204">
        <v>2</v>
      </c>
      <c r="O4204">
        <v>1</v>
      </c>
      <c r="P4204">
        <v>0</v>
      </c>
      <c r="Q4204">
        <v>0</v>
      </c>
      <c r="S4204" t="str">
        <f>"20:37:41.664"</f>
        <v>20:37:41.664</v>
      </c>
      <c r="T4204" t="str">
        <f>"20:37:41.264"</f>
        <v>20:37:41.264</v>
      </c>
      <c r="U4204" t="str">
        <f t="shared" si="208"/>
        <v>AB01F4</v>
      </c>
      <c r="V4204">
        <v>0</v>
      </c>
      <c r="W4204">
        <v>0</v>
      </c>
      <c r="X4204">
        <v>2</v>
      </c>
      <c r="Z4204">
        <v>0</v>
      </c>
      <c r="AA4204">
        <v>9</v>
      </c>
      <c r="AB4204">
        <v>3</v>
      </c>
      <c r="AC4204">
        <v>0</v>
      </c>
      <c r="AD4204">
        <v>10</v>
      </c>
      <c r="AE4204">
        <v>0</v>
      </c>
      <c r="AF4204">
        <v>3</v>
      </c>
      <c r="AG4204">
        <v>2</v>
      </c>
      <c r="AH4204">
        <v>0</v>
      </c>
      <c r="AI4204" t="s">
        <v>2351</v>
      </c>
      <c r="AJ4204">
        <v>40.159813999999997</v>
      </c>
      <c r="AK4204" t="s">
        <v>2352</v>
      </c>
      <c r="AL4204">
        <v>-93.146832000000003</v>
      </c>
      <c r="AM4204">
        <v>100</v>
      </c>
      <c r="AN4204">
        <v>1300</v>
      </c>
      <c r="AO4204" t="s">
        <v>118</v>
      </c>
      <c r="AP4204">
        <v>-114</v>
      </c>
      <c r="AQ4204">
        <v>60</v>
      </c>
      <c r="AR4204">
        <v>-64</v>
      </c>
      <c r="AZ4204">
        <v>1200</v>
      </c>
      <c r="BA4204">
        <v>1</v>
      </c>
      <c r="BB4204" t="str">
        <f t="shared" si="207"/>
        <v xml:space="preserve">N8080G  </v>
      </c>
      <c r="BC4204">
        <v>1</v>
      </c>
      <c r="BE4204">
        <v>0</v>
      </c>
      <c r="BF4204">
        <v>0</v>
      </c>
      <c r="BG4204">
        <v>0</v>
      </c>
      <c r="BH4204">
        <v>1350</v>
      </c>
      <c r="BI4204">
        <v>1</v>
      </c>
      <c r="BJ4204">
        <v>1</v>
      </c>
      <c r="BK4204">
        <v>1</v>
      </c>
      <c r="BL4204">
        <v>0</v>
      </c>
      <c r="BO4204">
        <v>0</v>
      </c>
      <c r="BP4204">
        <v>0</v>
      </c>
      <c r="BW4204" t="str">
        <f>"20:37:41.668"</f>
        <v>20:37:41.668</v>
      </c>
      <c r="BZ4204">
        <v>0</v>
      </c>
      <c r="CA4204">
        <v>1600</v>
      </c>
      <c r="CB4204">
        <v>224</v>
      </c>
      <c r="CD4204">
        <v>1</v>
      </c>
      <c r="CE4204">
        <v>0</v>
      </c>
      <c r="CF4204">
        <v>0</v>
      </c>
      <c r="CG4204">
        <v>1</v>
      </c>
      <c r="CH4204">
        <v>0</v>
      </c>
      <c r="CI4204">
        <v>0</v>
      </c>
      <c r="CJ4204">
        <v>0</v>
      </c>
      <c r="CK4204">
        <v>2</v>
      </c>
      <c r="CL4204">
        <v>0</v>
      </c>
      <c r="CM4204">
        <v>2</v>
      </c>
      <c r="CN4204">
        <v>0</v>
      </c>
      <c r="CO4204">
        <v>2</v>
      </c>
      <c r="CP4204" t="s">
        <v>119</v>
      </c>
      <c r="CQ4204">
        <v>179</v>
      </c>
      <c r="CR4204">
        <v>2</v>
      </c>
      <c r="CW4204">
        <v>12639447</v>
      </c>
      <c r="CY4204">
        <v>0</v>
      </c>
      <c r="CZ4204">
        <v>0</v>
      </c>
      <c r="DA4204">
        <v>1</v>
      </c>
      <c r="DB4204">
        <v>0</v>
      </c>
      <c r="DC4204">
        <v>0</v>
      </c>
      <c r="DD4204">
        <v>0</v>
      </c>
      <c r="DE4204">
        <v>0</v>
      </c>
      <c r="DF4204">
        <v>0</v>
      </c>
      <c r="DG4204">
        <v>0</v>
      </c>
      <c r="DH4204">
        <v>0</v>
      </c>
      <c r="DI4204">
        <v>0</v>
      </c>
    </row>
    <row r="4205" spans="1:113" x14ac:dyDescent="0.3">
      <c r="A4205" t="str">
        <f>"02/08/2021 20:37:39.341"</f>
        <v>02/08/2021 20:37:39.341</v>
      </c>
      <c r="C4205" t="str">
        <f t="shared" si="209"/>
        <v>FFDFD7C0</v>
      </c>
      <c r="D4205" t="s">
        <v>124</v>
      </c>
      <c r="E4205">
        <v>13</v>
      </c>
      <c r="F4205">
        <v>1013</v>
      </c>
      <c r="G4205" t="s">
        <v>114</v>
      </c>
      <c r="J4205" t="s">
        <v>125</v>
      </c>
      <c r="K4205">
        <v>0</v>
      </c>
      <c r="L4205">
        <v>3</v>
      </c>
      <c r="M4205">
        <v>0</v>
      </c>
      <c r="N4205">
        <v>2</v>
      </c>
      <c r="O4205">
        <v>1</v>
      </c>
      <c r="P4205">
        <v>0</v>
      </c>
      <c r="Q4205">
        <v>0</v>
      </c>
      <c r="S4205" t="str">
        <f>"20:37:41.664"</f>
        <v>20:37:41.664</v>
      </c>
      <c r="T4205" t="str">
        <f>"20:37:41.264"</f>
        <v>20:37:41.264</v>
      </c>
      <c r="U4205" t="str">
        <f t="shared" si="208"/>
        <v>AB01F4</v>
      </c>
      <c r="V4205">
        <v>0</v>
      </c>
      <c r="W4205">
        <v>0</v>
      </c>
      <c r="X4205">
        <v>2</v>
      </c>
      <c r="Z4205">
        <v>0</v>
      </c>
      <c r="AA4205">
        <v>9</v>
      </c>
      <c r="AB4205">
        <v>3</v>
      </c>
      <c r="AC4205">
        <v>0</v>
      </c>
      <c r="AD4205">
        <v>10</v>
      </c>
      <c r="AE4205">
        <v>0</v>
      </c>
      <c r="AF4205">
        <v>3</v>
      </c>
      <c r="AG4205">
        <v>2</v>
      </c>
      <c r="AH4205">
        <v>0</v>
      </c>
      <c r="AI4205" t="s">
        <v>2351</v>
      </c>
      <c r="AJ4205">
        <v>40.159813999999997</v>
      </c>
      <c r="AK4205" t="s">
        <v>2352</v>
      </c>
      <c r="AL4205">
        <v>-93.146832000000003</v>
      </c>
      <c r="AM4205">
        <v>100</v>
      </c>
      <c r="AN4205">
        <v>1300</v>
      </c>
      <c r="AO4205" t="s">
        <v>118</v>
      </c>
      <c r="AP4205">
        <v>-114</v>
      </c>
      <c r="AQ4205">
        <v>60</v>
      </c>
      <c r="AR4205">
        <v>-64</v>
      </c>
      <c r="AZ4205">
        <v>1200</v>
      </c>
      <c r="BA4205">
        <v>1</v>
      </c>
      <c r="BB4205" t="str">
        <f t="shared" si="207"/>
        <v xml:space="preserve">N8080G  </v>
      </c>
      <c r="BC4205">
        <v>1</v>
      </c>
      <c r="BE4205">
        <v>0</v>
      </c>
      <c r="BF4205">
        <v>0</v>
      </c>
      <c r="BG4205">
        <v>0</v>
      </c>
      <c r="BH4205">
        <v>1350</v>
      </c>
      <c r="BI4205">
        <v>1</v>
      </c>
      <c r="BJ4205">
        <v>1</v>
      </c>
      <c r="BK4205">
        <v>1</v>
      </c>
      <c r="BL4205">
        <v>0</v>
      </c>
      <c r="BO4205">
        <v>0</v>
      </c>
      <c r="BP4205">
        <v>0</v>
      </c>
      <c r="BW4205" t="str">
        <f>"20:37:41.668"</f>
        <v>20:37:41.668</v>
      </c>
      <c r="BZ4205">
        <v>0</v>
      </c>
      <c r="CA4205">
        <v>1600</v>
      </c>
      <c r="CB4205">
        <v>224</v>
      </c>
      <c r="CD4205">
        <v>1</v>
      </c>
      <c r="CE4205">
        <v>0</v>
      </c>
      <c r="CF4205">
        <v>0</v>
      </c>
      <c r="CG4205">
        <v>1</v>
      </c>
      <c r="CH4205">
        <v>0</v>
      </c>
      <c r="CI4205">
        <v>0</v>
      </c>
      <c r="CJ4205">
        <v>0</v>
      </c>
      <c r="CK4205">
        <v>2</v>
      </c>
      <c r="CL4205">
        <v>0</v>
      </c>
      <c r="CM4205">
        <v>2</v>
      </c>
      <c r="CN4205">
        <v>0</v>
      </c>
      <c r="CO4205">
        <v>2</v>
      </c>
      <c r="CP4205" t="s">
        <v>119</v>
      </c>
      <c r="CQ4205">
        <v>179</v>
      </c>
      <c r="CR4205">
        <v>2</v>
      </c>
      <c r="CW4205">
        <v>12639447</v>
      </c>
      <c r="CY4205">
        <v>0</v>
      </c>
      <c r="CZ4205">
        <v>0</v>
      </c>
      <c r="DA4205">
        <v>1</v>
      </c>
      <c r="DB4205">
        <v>0</v>
      </c>
      <c r="DC4205">
        <v>0</v>
      </c>
      <c r="DD4205">
        <v>0</v>
      </c>
      <c r="DE4205">
        <v>0</v>
      </c>
      <c r="DF4205">
        <v>0</v>
      </c>
      <c r="DG4205">
        <v>0</v>
      </c>
      <c r="DH4205">
        <v>0</v>
      </c>
      <c r="DI4205">
        <v>0</v>
      </c>
    </row>
    <row r="4206" spans="1:113" x14ac:dyDescent="0.3">
      <c r="A4206" t="str">
        <f>"02/08/2021 20:37:39.341"</f>
        <v>02/08/2021 20:37:39.341</v>
      </c>
      <c r="C4206" t="str">
        <f t="shared" si="209"/>
        <v>FFDFD7C0</v>
      </c>
      <c r="D4206" t="s">
        <v>113</v>
      </c>
      <c r="E4206">
        <v>6</v>
      </c>
      <c r="H4206">
        <v>165</v>
      </c>
      <c r="I4206" t="s">
        <v>114</v>
      </c>
      <c r="J4206" t="s">
        <v>115</v>
      </c>
      <c r="K4206">
        <v>0</v>
      </c>
      <c r="L4206">
        <v>3</v>
      </c>
      <c r="M4206">
        <v>0</v>
      </c>
      <c r="N4206">
        <v>2</v>
      </c>
      <c r="O4206">
        <v>1</v>
      </c>
      <c r="P4206">
        <v>0</v>
      </c>
      <c r="Q4206">
        <v>0</v>
      </c>
      <c r="S4206" t="str">
        <f>"20:37:41.664"</f>
        <v>20:37:41.664</v>
      </c>
      <c r="T4206" t="str">
        <f>"20:37:41.264"</f>
        <v>20:37:41.264</v>
      </c>
      <c r="U4206" t="str">
        <f t="shared" si="208"/>
        <v>AB01F4</v>
      </c>
      <c r="V4206">
        <v>0</v>
      </c>
      <c r="W4206">
        <v>0</v>
      </c>
      <c r="X4206">
        <v>2</v>
      </c>
      <c r="Z4206">
        <v>0</v>
      </c>
      <c r="AA4206">
        <v>9</v>
      </c>
      <c r="AB4206">
        <v>3</v>
      </c>
      <c r="AC4206">
        <v>0</v>
      </c>
      <c r="AD4206">
        <v>10</v>
      </c>
      <c r="AE4206">
        <v>0</v>
      </c>
      <c r="AF4206">
        <v>3</v>
      </c>
      <c r="AG4206">
        <v>2</v>
      </c>
      <c r="AH4206">
        <v>0</v>
      </c>
      <c r="AI4206" t="s">
        <v>2351</v>
      </c>
      <c r="AJ4206">
        <v>40.159813999999997</v>
      </c>
      <c r="AK4206" t="s">
        <v>2352</v>
      </c>
      <c r="AL4206">
        <v>-93.146832000000003</v>
      </c>
      <c r="AM4206">
        <v>100</v>
      </c>
      <c r="AN4206">
        <v>1300</v>
      </c>
      <c r="AO4206" t="s">
        <v>118</v>
      </c>
      <c r="AP4206">
        <v>-114</v>
      </c>
      <c r="AQ4206">
        <v>60</v>
      </c>
      <c r="AR4206">
        <v>-64</v>
      </c>
      <c r="AZ4206">
        <v>1200</v>
      </c>
      <c r="BA4206">
        <v>1</v>
      </c>
      <c r="BB4206" t="str">
        <f t="shared" si="207"/>
        <v xml:space="preserve">N8080G  </v>
      </c>
      <c r="BC4206">
        <v>1</v>
      </c>
      <c r="BE4206">
        <v>0</v>
      </c>
      <c r="BF4206">
        <v>0</v>
      </c>
      <c r="BG4206">
        <v>0</v>
      </c>
      <c r="BH4206">
        <v>1350</v>
      </c>
      <c r="BI4206">
        <v>1</v>
      </c>
      <c r="BJ4206">
        <v>1</v>
      </c>
      <c r="BK4206">
        <v>1</v>
      </c>
      <c r="BL4206">
        <v>0</v>
      </c>
      <c r="BO4206">
        <v>0</v>
      </c>
      <c r="BP4206">
        <v>0</v>
      </c>
      <c r="BW4206" t="str">
        <f>"20:37:41.668"</f>
        <v>20:37:41.668</v>
      </c>
      <c r="BZ4206">
        <v>0</v>
      </c>
      <c r="CA4206">
        <v>1600</v>
      </c>
      <c r="CB4206">
        <v>224</v>
      </c>
      <c r="CD4206">
        <v>1</v>
      </c>
      <c r="CE4206">
        <v>0</v>
      </c>
      <c r="CF4206">
        <v>0</v>
      </c>
      <c r="CG4206">
        <v>1</v>
      </c>
      <c r="CH4206">
        <v>0</v>
      </c>
      <c r="CI4206">
        <v>0</v>
      </c>
      <c r="CJ4206">
        <v>0</v>
      </c>
      <c r="CK4206">
        <v>2</v>
      </c>
      <c r="CL4206">
        <v>0</v>
      </c>
      <c r="CM4206">
        <v>2</v>
      </c>
      <c r="CN4206">
        <v>0</v>
      </c>
      <c r="CO4206">
        <v>2</v>
      </c>
      <c r="CP4206" t="s">
        <v>119</v>
      </c>
      <c r="CQ4206">
        <v>179</v>
      </c>
      <c r="CR4206">
        <v>2</v>
      </c>
      <c r="CW4206">
        <v>12639447</v>
      </c>
      <c r="CY4206">
        <v>0</v>
      </c>
      <c r="CZ4206">
        <v>0</v>
      </c>
      <c r="DA4206">
        <v>1</v>
      </c>
      <c r="DB4206">
        <v>0</v>
      </c>
      <c r="DC4206">
        <v>0</v>
      </c>
      <c r="DD4206">
        <v>0</v>
      </c>
      <c r="DE4206">
        <v>0</v>
      </c>
      <c r="DF4206">
        <v>0</v>
      </c>
      <c r="DG4206">
        <v>0</v>
      </c>
      <c r="DH4206">
        <v>0</v>
      </c>
      <c r="DI4206">
        <v>0</v>
      </c>
    </row>
    <row r="4207" spans="1:113" x14ac:dyDescent="0.3">
      <c r="A4207" t="str">
        <f>"02/08/2021 20:37:40.935"</f>
        <v>02/08/2021 20:37:40.935</v>
      </c>
      <c r="C4207" t="str">
        <f t="shared" si="209"/>
        <v>FFDFD7C0</v>
      </c>
      <c r="D4207" t="s">
        <v>124</v>
      </c>
      <c r="E4207">
        <v>13</v>
      </c>
      <c r="F4207">
        <v>1013</v>
      </c>
      <c r="G4207" t="s">
        <v>114</v>
      </c>
      <c r="J4207" t="s">
        <v>125</v>
      </c>
      <c r="K4207">
        <v>0</v>
      </c>
      <c r="L4207">
        <v>3</v>
      </c>
      <c r="M4207">
        <v>0</v>
      </c>
      <c r="N4207">
        <v>2</v>
      </c>
      <c r="O4207">
        <v>1</v>
      </c>
      <c r="P4207">
        <v>0</v>
      </c>
      <c r="Q4207">
        <v>0</v>
      </c>
      <c r="S4207" t="str">
        <f>"20:37:43.242"</f>
        <v>20:37:43.242</v>
      </c>
      <c r="T4207" t="str">
        <f>"20:37:42.242"</f>
        <v>20:37:42.242</v>
      </c>
      <c r="U4207" t="str">
        <f t="shared" si="208"/>
        <v>AB01F4</v>
      </c>
      <c r="V4207">
        <v>0</v>
      </c>
      <c r="W4207">
        <v>0</v>
      </c>
      <c r="X4207">
        <v>2</v>
      </c>
      <c r="Z4207">
        <v>0</v>
      </c>
      <c r="AA4207">
        <v>9</v>
      </c>
      <c r="AB4207">
        <v>3</v>
      </c>
      <c r="AC4207">
        <v>0</v>
      </c>
      <c r="AD4207">
        <v>10</v>
      </c>
      <c r="AE4207">
        <v>0</v>
      </c>
      <c r="AF4207">
        <v>3</v>
      </c>
      <c r="AG4207">
        <v>2</v>
      </c>
      <c r="AH4207">
        <v>0</v>
      </c>
      <c r="AI4207" t="s">
        <v>2353</v>
      </c>
      <c r="AJ4207">
        <v>40.160243999999999</v>
      </c>
      <c r="AK4207" t="s">
        <v>2354</v>
      </c>
      <c r="AL4207">
        <v>-93.147904999999994</v>
      </c>
      <c r="AM4207">
        <v>100</v>
      </c>
      <c r="AN4207">
        <v>1300</v>
      </c>
      <c r="AO4207" t="s">
        <v>118</v>
      </c>
      <c r="AP4207">
        <v>-114</v>
      </c>
      <c r="AQ4207">
        <v>60</v>
      </c>
      <c r="AR4207">
        <v>-64</v>
      </c>
      <c r="AZ4207">
        <v>1200</v>
      </c>
      <c r="BA4207">
        <v>1</v>
      </c>
      <c r="BB4207" t="str">
        <f t="shared" ref="BB4207:BB4270" si="210">"N8080G  "</f>
        <v xml:space="preserve">N8080G  </v>
      </c>
      <c r="BC4207">
        <v>1</v>
      </c>
      <c r="BE4207">
        <v>0</v>
      </c>
      <c r="BF4207">
        <v>0</v>
      </c>
      <c r="BG4207">
        <v>0</v>
      </c>
      <c r="BH4207">
        <v>1350</v>
      </c>
      <c r="BI4207">
        <v>1</v>
      </c>
      <c r="BJ4207">
        <v>1</v>
      </c>
      <c r="BK4207">
        <v>1</v>
      </c>
      <c r="BL4207">
        <v>0</v>
      </c>
      <c r="BO4207">
        <v>0</v>
      </c>
      <c r="BP4207">
        <v>0</v>
      </c>
      <c r="BW4207" t="str">
        <f>"20:37:43.247"</f>
        <v>20:37:43.247</v>
      </c>
      <c r="BZ4207">
        <v>0</v>
      </c>
      <c r="CA4207">
        <v>1600</v>
      </c>
      <c r="CB4207">
        <v>224</v>
      </c>
      <c r="CD4207">
        <v>1</v>
      </c>
      <c r="CE4207">
        <v>0</v>
      </c>
      <c r="CF4207">
        <v>0</v>
      </c>
      <c r="CG4207">
        <v>1</v>
      </c>
      <c r="CH4207">
        <v>0</v>
      </c>
      <c r="CI4207">
        <v>0</v>
      </c>
      <c r="CJ4207">
        <v>0</v>
      </c>
      <c r="CK4207">
        <v>2</v>
      </c>
      <c r="CL4207">
        <v>0</v>
      </c>
      <c r="CM4207">
        <v>2</v>
      </c>
      <c r="CN4207">
        <v>0</v>
      </c>
      <c r="CO4207">
        <v>2</v>
      </c>
      <c r="CP4207" t="s">
        <v>119</v>
      </c>
      <c r="CQ4207">
        <v>179</v>
      </c>
      <c r="CR4207">
        <v>2</v>
      </c>
      <c r="CW4207">
        <v>12640900</v>
      </c>
      <c r="CY4207">
        <v>0</v>
      </c>
      <c r="CZ4207">
        <v>0</v>
      </c>
      <c r="DA4207">
        <v>0</v>
      </c>
      <c r="DB4207">
        <v>0</v>
      </c>
      <c r="DC4207">
        <v>0</v>
      </c>
      <c r="DD4207">
        <v>0</v>
      </c>
      <c r="DE4207">
        <v>0</v>
      </c>
      <c r="DF4207">
        <v>0</v>
      </c>
      <c r="DG4207">
        <v>0</v>
      </c>
      <c r="DH4207">
        <v>0</v>
      </c>
      <c r="DI4207">
        <v>0</v>
      </c>
    </row>
    <row r="4208" spans="1:113" x14ac:dyDescent="0.3">
      <c r="A4208" t="str">
        <f>"02/08/2021 20:37:40.935"</f>
        <v>02/08/2021 20:37:40.935</v>
      </c>
      <c r="C4208" t="str">
        <f t="shared" si="209"/>
        <v>FFDFD7C0</v>
      </c>
      <c r="D4208" t="s">
        <v>124</v>
      </c>
      <c r="E4208">
        <v>12</v>
      </c>
      <c r="F4208">
        <v>1012</v>
      </c>
      <c r="G4208" t="s">
        <v>675</v>
      </c>
      <c r="J4208" t="s">
        <v>125</v>
      </c>
      <c r="K4208">
        <v>0</v>
      </c>
      <c r="L4208">
        <v>3</v>
      </c>
      <c r="M4208">
        <v>0</v>
      </c>
      <c r="N4208">
        <v>2</v>
      </c>
      <c r="O4208">
        <v>1</v>
      </c>
      <c r="P4208">
        <v>0</v>
      </c>
      <c r="Q4208">
        <v>0</v>
      </c>
      <c r="S4208" t="str">
        <f>"20:37:43.242"</f>
        <v>20:37:43.242</v>
      </c>
      <c r="T4208" t="str">
        <f>"20:37:42.242"</f>
        <v>20:37:42.242</v>
      </c>
      <c r="U4208" t="str">
        <f t="shared" si="208"/>
        <v>AB01F4</v>
      </c>
      <c r="V4208">
        <v>0</v>
      </c>
      <c r="W4208">
        <v>0</v>
      </c>
      <c r="X4208">
        <v>2</v>
      </c>
      <c r="Z4208">
        <v>0</v>
      </c>
      <c r="AA4208">
        <v>9</v>
      </c>
      <c r="AB4208">
        <v>3</v>
      </c>
      <c r="AC4208">
        <v>0</v>
      </c>
      <c r="AD4208">
        <v>10</v>
      </c>
      <c r="AE4208">
        <v>0</v>
      </c>
      <c r="AF4208">
        <v>3</v>
      </c>
      <c r="AG4208">
        <v>2</v>
      </c>
      <c r="AH4208">
        <v>0</v>
      </c>
      <c r="AI4208" t="s">
        <v>2353</v>
      </c>
      <c r="AJ4208">
        <v>40.160243999999999</v>
      </c>
      <c r="AK4208" t="s">
        <v>2354</v>
      </c>
      <c r="AL4208">
        <v>-93.147904999999994</v>
      </c>
      <c r="AM4208">
        <v>100</v>
      </c>
      <c r="AN4208">
        <v>1300</v>
      </c>
      <c r="AO4208" t="s">
        <v>118</v>
      </c>
      <c r="AP4208">
        <v>-114</v>
      </c>
      <c r="AQ4208">
        <v>60</v>
      </c>
      <c r="AR4208">
        <v>-64</v>
      </c>
      <c r="AZ4208">
        <v>1200</v>
      </c>
      <c r="BA4208">
        <v>1</v>
      </c>
      <c r="BB4208" t="str">
        <f t="shared" si="210"/>
        <v xml:space="preserve">N8080G  </v>
      </c>
      <c r="BC4208">
        <v>1</v>
      </c>
      <c r="BE4208">
        <v>0</v>
      </c>
      <c r="BF4208">
        <v>0</v>
      </c>
      <c r="BG4208">
        <v>0</v>
      </c>
      <c r="BH4208">
        <v>1350</v>
      </c>
      <c r="BI4208">
        <v>1</v>
      </c>
      <c r="BJ4208">
        <v>1</v>
      </c>
      <c r="BK4208">
        <v>1</v>
      </c>
      <c r="BL4208">
        <v>0</v>
      </c>
      <c r="BO4208">
        <v>0</v>
      </c>
      <c r="BP4208">
        <v>0</v>
      </c>
      <c r="BW4208" t="str">
        <f>"20:37:43.247"</f>
        <v>20:37:43.247</v>
      </c>
      <c r="BZ4208">
        <v>0</v>
      </c>
      <c r="CA4208">
        <v>1600</v>
      </c>
      <c r="CB4208">
        <v>224</v>
      </c>
      <c r="CD4208">
        <v>1</v>
      </c>
      <c r="CE4208">
        <v>0</v>
      </c>
      <c r="CF4208">
        <v>0</v>
      </c>
      <c r="CG4208">
        <v>1</v>
      </c>
      <c r="CH4208">
        <v>0</v>
      </c>
      <c r="CI4208">
        <v>0</v>
      </c>
      <c r="CJ4208">
        <v>0</v>
      </c>
      <c r="CK4208">
        <v>2</v>
      </c>
      <c r="CL4208">
        <v>0</v>
      </c>
      <c r="CM4208">
        <v>2</v>
      </c>
      <c r="CN4208">
        <v>0</v>
      </c>
      <c r="CO4208">
        <v>2</v>
      </c>
      <c r="CP4208" t="s">
        <v>119</v>
      </c>
      <c r="CQ4208">
        <v>179</v>
      </c>
      <c r="CR4208">
        <v>2</v>
      </c>
      <c r="CW4208">
        <v>12640900</v>
      </c>
      <c r="CY4208">
        <v>0</v>
      </c>
      <c r="CZ4208">
        <v>0</v>
      </c>
      <c r="DA4208">
        <v>1</v>
      </c>
      <c r="DB4208">
        <v>0</v>
      </c>
      <c r="DC4208">
        <v>0</v>
      </c>
      <c r="DD4208">
        <v>0</v>
      </c>
      <c r="DE4208">
        <v>0</v>
      </c>
      <c r="DF4208">
        <v>0</v>
      </c>
      <c r="DG4208">
        <v>0</v>
      </c>
      <c r="DH4208">
        <v>0</v>
      </c>
      <c r="DI4208">
        <v>0</v>
      </c>
    </row>
    <row r="4209" spans="1:113" x14ac:dyDescent="0.3">
      <c r="A4209" t="str">
        <f>"02/08/2021 20:37:40.935"</f>
        <v>02/08/2021 20:37:40.935</v>
      </c>
      <c r="C4209" t="str">
        <f t="shared" si="209"/>
        <v>FFDFD7C0</v>
      </c>
      <c r="D4209" t="s">
        <v>113</v>
      </c>
      <c r="E4209">
        <v>6</v>
      </c>
      <c r="H4209">
        <v>165</v>
      </c>
      <c r="I4209" t="s">
        <v>114</v>
      </c>
      <c r="J4209" t="s">
        <v>115</v>
      </c>
      <c r="K4209">
        <v>0</v>
      </c>
      <c r="L4209">
        <v>3</v>
      </c>
      <c r="M4209">
        <v>0</v>
      </c>
      <c r="N4209">
        <v>2</v>
      </c>
      <c r="O4209">
        <v>1</v>
      </c>
      <c r="P4209">
        <v>0</v>
      </c>
      <c r="Q4209">
        <v>0</v>
      </c>
      <c r="S4209" t="str">
        <f>"20:37:43.242"</f>
        <v>20:37:43.242</v>
      </c>
      <c r="T4209" t="str">
        <f>"20:37:42.242"</f>
        <v>20:37:42.242</v>
      </c>
      <c r="U4209" t="str">
        <f t="shared" si="208"/>
        <v>AB01F4</v>
      </c>
      <c r="V4209">
        <v>0</v>
      </c>
      <c r="W4209">
        <v>0</v>
      </c>
      <c r="X4209">
        <v>2</v>
      </c>
      <c r="Z4209">
        <v>0</v>
      </c>
      <c r="AA4209">
        <v>9</v>
      </c>
      <c r="AB4209">
        <v>3</v>
      </c>
      <c r="AC4209">
        <v>0</v>
      </c>
      <c r="AD4209">
        <v>10</v>
      </c>
      <c r="AE4209">
        <v>0</v>
      </c>
      <c r="AF4209">
        <v>3</v>
      </c>
      <c r="AG4209">
        <v>2</v>
      </c>
      <c r="AH4209">
        <v>0</v>
      </c>
      <c r="AI4209" t="s">
        <v>2353</v>
      </c>
      <c r="AJ4209">
        <v>40.160243999999999</v>
      </c>
      <c r="AK4209" t="s">
        <v>2354</v>
      </c>
      <c r="AL4209">
        <v>-93.147904999999994</v>
      </c>
      <c r="AM4209">
        <v>100</v>
      </c>
      <c r="AN4209">
        <v>1300</v>
      </c>
      <c r="AO4209" t="s">
        <v>118</v>
      </c>
      <c r="AP4209">
        <v>-114</v>
      </c>
      <c r="AQ4209">
        <v>60</v>
      </c>
      <c r="AR4209">
        <v>-64</v>
      </c>
      <c r="AZ4209">
        <v>1200</v>
      </c>
      <c r="BA4209">
        <v>1</v>
      </c>
      <c r="BB4209" t="str">
        <f t="shared" si="210"/>
        <v xml:space="preserve">N8080G  </v>
      </c>
      <c r="BC4209">
        <v>1</v>
      </c>
      <c r="BE4209">
        <v>0</v>
      </c>
      <c r="BF4209">
        <v>0</v>
      </c>
      <c r="BG4209">
        <v>0</v>
      </c>
      <c r="BH4209">
        <v>1350</v>
      </c>
      <c r="BI4209">
        <v>1</v>
      </c>
      <c r="BJ4209">
        <v>1</v>
      </c>
      <c r="BK4209">
        <v>1</v>
      </c>
      <c r="BL4209">
        <v>0</v>
      </c>
      <c r="BO4209">
        <v>0</v>
      </c>
      <c r="BP4209">
        <v>0</v>
      </c>
      <c r="BW4209" t="str">
        <f>"20:37:43.247"</f>
        <v>20:37:43.247</v>
      </c>
      <c r="BZ4209">
        <v>0</v>
      </c>
      <c r="CA4209">
        <v>1600</v>
      </c>
      <c r="CB4209">
        <v>224</v>
      </c>
      <c r="CD4209">
        <v>1</v>
      </c>
      <c r="CE4209">
        <v>0</v>
      </c>
      <c r="CF4209">
        <v>0</v>
      </c>
      <c r="CG4209">
        <v>1</v>
      </c>
      <c r="CH4209">
        <v>0</v>
      </c>
      <c r="CI4209">
        <v>0</v>
      </c>
      <c r="CJ4209">
        <v>0</v>
      </c>
      <c r="CK4209">
        <v>2</v>
      </c>
      <c r="CL4209">
        <v>0</v>
      </c>
      <c r="CM4209">
        <v>2</v>
      </c>
      <c r="CN4209">
        <v>0</v>
      </c>
      <c r="CO4209">
        <v>2</v>
      </c>
      <c r="CP4209" t="s">
        <v>119</v>
      </c>
      <c r="CQ4209">
        <v>179</v>
      </c>
      <c r="CR4209">
        <v>2</v>
      </c>
      <c r="CW4209">
        <v>12640900</v>
      </c>
      <c r="CY4209">
        <v>0</v>
      </c>
      <c r="CZ4209">
        <v>0</v>
      </c>
      <c r="DA4209">
        <v>1</v>
      </c>
      <c r="DB4209">
        <v>0</v>
      </c>
      <c r="DC4209">
        <v>0</v>
      </c>
      <c r="DD4209">
        <v>0</v>
      </c>
      <c r="DE4209">
        <v>0</v>
      </c>
      <c r="DF4209">
        <v>0</v>
      </c>
      <c r="DG4209">
        <v>0</v>
      </c>
      <c r="DH4209">
        <v>0</v>
      </c>
      <c r="DI4209">
        <v>0</v>
      </c>
    </row>
    <row r="4210" spans="1:113" x14ac:dyDescent="0.3">
      <c r="A4210" t="str">
        <f>"02/08/2021 20:37:40.935"</f>
        <v>02/08/2021 20:37:40.935</v>
      </c>
      <c r="C4210" t="str">
        <f t="shared" si="209"/>
        <v>FFDFD7C0</v>
      </c>
      <c r="D4210" t="s">
        <v>124</v>
      </c>
      <c r="E4210">
        <v>11</v>
      </c>
      <c r="F4210">
        <v>1011</v>
      </c>
      <c r="G4210" t="s">
        <v>590</v>
      </c>
      <c r="J4210" t="s">
        <v>125</v>
      </c>
      <c r="K4210">
        <v>0</v>
      </c>
      <c r="L4210">
        <v>3</v>
      </c>
      <c r="M4210">
        <v>0</v>
      </c>
      <c r="N4210">
        <v>2</v>
      </c>
      <c r="O4210">
        <v>1</v>
      </c>
      <c r="P4210">
        <v>0</v>
      </c>
      <c r="Q4210">
        <v>0</v>
      </c>
      <c r="S4210" t="str">
        <f>"20:37:43.242"</f>
        <v>20:37:43.242</v>
      </c>
      <c r="T4210" t="str">
        <f>"20:37:42.242"</f>
        <v>20:37:42.242</v>
      </c>
      <c r="U4210" t="str">
        <f t="shared" si="208"/>
        <v>AB01F4</v>
      </c>
      <c r="V4210">
        <v>0</v>
      </c>
      <c r="W4210">
        <v>0</v>
      </c>
      <c r="X4210">
        <v>2</v>
      </c>
      <c r="Z4210">
        <v>0</v>
      </c>
      <c r="AA4210">
        <v>9</v>
      </c>
      <c r="AB4210">
        <v>3</v>
      </c>
      <c r="AC4210">
        <v>0</v>
      </c>
      <c r="AD4210">
        <v>10</v>
      </c>
      <c r="AE4210">
        <v>0</v>
      </c>
      <c r="AF4210">
        <v>3</v>
      </c>
      <c r="AG4210">
        <v>2</v>
      </c>
      <c r="AH4210">
        <v>0</v>
      </c>
      <c r="AI4210" t="s">
        <v>2353</v>
      </c>
      <c r="AJ4210">
        <v>40.160243999999999</v>
      </c>
      <c r="AK4210" t="s">
        <v>2354</v>
      </c>
      <c r="AL4210">
        <v>-93.147904999999994</v>
      </c>
      <c r="AM4210">
        <v>100</v>
      </c>
      <c r="AN4210">
        <v>1300</v>
      </c>
      <c r="AO4210" t="s">
        <v>118</v>
      </c>
      <c r="AP4210">
        <v>-114</v>
      </c>
      <c r="AQ4210">
        <v>60</v>
      </c>
      <c r="AR4210">
        <v>-64</v>
      </c>
      <c r="AZ4210">
        <v>1200</v>
      </c>
      <c r="BA4210">
        <v>1</v>
      </c>
      <c r="BB4210" t="str">
        <f t="shared" si="210"/>
        <v xml:space="preserve">N8080G  </v>
      </c>
      <c r="BC4210">
        <v>1</v>
      </c>
      <c r="BE4210">
        <v>0</v>
      </c>
      <c r="BF4210">
        <v>0</v>
      </c>
      <c r="BG4210">
        <v>0</v>
      </c>
      <c r="BH4210">
        <v>1350</v>
      </c>
      <c r="BI4210">
        <v>1</v>
      </c>
      <c r="BJ4210">
        <v>1</v>
      </c>
      <c r="BK4210">
        <v>1</v>
      </c>
      <c r="BL4210">
        <v>0</v>
      </c>
      <c r="BO4210">
        <v>0</v>
      </c>
      <c r="BP4210">
        <v>0</v>
      </c>
      <c r="BW4210" t="str">
        <f>"20:37:43.247"</f>
        <v>20:37:43.247</v>
      </c>
      <c r="BZ4210">
        <v>0</v>
      </c>
      <c r="CA4210">
        <v>1600</v>
      </c>
      <c r="CB4210">
        <v>224</v>
      </c>
      <c r="CD4210">
        <v>1</v>
      </c>
      <c r="CE4210">
        <v>0</v>
      </c>
      <c r="CF4210">
        <v>0</v>
      </c>
      <c r="CG4210">
        <v>1</v>
      </c>
      <c r="CH4210">
        <v>0</v>
      </c>
      <c r="CI4210">
        <v>0</v>
      </c>
      <c r="CJ4210">
        <v>0</v>
      </c>
      <c r="CK4210">
        <v>2</v>
      </c>
      <c r="CL4210">
        <v>0</v>
      </c>
      <c r="CM4210">
        <v>2</v>
      </c>
      <c r="CN4210">
        <v>0</v>
      </c>
      <c r="CO4210">
        <v>2</v>
      </c>
      <c r="CP4210" t="s">
        <v>119</v>
      </c>
      <c r="CQ4210">
        <v>179</v>
      </c>
      <c r="CR4210">
        <v>2</v>
      </c>
      <c r="CW4210">
        <v>12640900</v>
      </c>
      <c r="CY4210">
        <v>0</v>
      </c>
      <c r="CZ4210">
        <v>0</v>
      </c>
      <c r="DA4210">
        <v>1</v>
      </c>
      <c r="DB4210">
        <v>0</v>
      </c>
      <c r="DC4210">
        <v>0</v>
      </c>
      <c r="DD4210">
        <v>0</v>
      </c>
      <c r="DE4210">
        <v>0</v>
      </c>
      <c r="DF4210">
        <v>0</v>
      </c>
      <c r="DG4210">
        <v>0</v>
      </c>
      <c r="DH4210">
        <v>0</v>
      </c>
      <c r="DI4210">
        <v>0</v>
      </c>
    </row>
    <row r="4211" spans="1:113" x14ac:dyDescent="0.3">
      <c r="A4211" t="str">
        <f>"02/08/2021 20:37:41.789"</f>
        <v>02/08/2021 20:37:41.789</v>
      </c>
      <c r="C4211" t="str">
        <f t="shared" si="209"/>
        <v>FFDFD7C0</v>
      </c>
      <c r="D4211" t="s">
        <v>124</v>
      </c>
      <c r="E4211">
        <v>13</v>
      </c>
      <c r="F4211">
        <v>1013</v>
      </c>
      <c r="G4211" t="s">
        <v>114</v>
      </c>
      <c r="J4211" t="s">
        <v>125</v>
      </c>
      <c r="K4211">
        <v>0</v>
      </c>
      <c r="L4211">
        <v>3</v>
      </c>
      <c r="M4211">
        <v>0</v>
      </c>
      <c r="N4211">
        <v>2</v>
      </c>
      <c r="O4211">
        <v>1</v>
      </c>
      <c r="P4211">
        <v>0</v>
      </c>
      <c r="Q4211">
        <v>0</v>
      </c>
      <c r="S4211" t="str">
        <f>"20:37:44.109"</f>
        <v>20:37:44.109</v>
      </c>
      <c r="T4211" t="str">
        <f>"20:37:43.709"</f>
        <v>20:37:43.709</v>
      </c>
      <c r="U4211" t="str">
        <f t="shared" si="208"/>
        <v>AB01F4</v>
      </c>
      <c r="V4211">
        <v>0</v>
      </c>
      <c r="W4211">
        <v>0</v>
      </c>
      <c r="X4211">
        <v>2</v>
      </c>
      <c r="Z4211">
        <v>0</v>
      </c>
      <c r="AA4211">
        <v>9</v>
      </c>
      <c r="AB4211">
        <v>3</v>
      </c>
      <c r="AC4211">
        <v>0</v>
      </c>
      <c r="AD4211">
        <v>10</v>
      </c>
      <c r="AE4211">
        <v>0</v>
      </c>
      <c r="AF4211">
        <v>3</v>
      </c>
      <c r="AG4211">
        <v>2</v>
      </c>
      <c r="AH4211">
        <v>0</v>
      </c>
      <c r="AI4211" t="s">
        <v>2355</v>
      </c>
      <c r="AJ4211">
        <v>40.16048</v>
      </c>
      <c r="AK4211" t="s">
        <v>2356</v>
      </c>
      <c r="AL4211">
        <v>-93.148463000000007</v>
      </c>
      <c r="AM4211">
        <v>100</v>
      </c>
      <c r="AN4211">
        <v>1300</v>
      </c>
      <c r="AO4211" t="s">
        <v>118</v>
      </c>
      <c r="AP4211">
        <v>-114</v>
      </c>
      <c r="AQ4211">
        <v>60</v>
      </c>
      <c r="AR4211">
        <v>0</v>
      </c>
      <c r="AZ4211">
        <v>1200</v>
      </c>
      <c r="BA4211">
        <v>1</v>
      </c>
      <c r="BB4211" t="str">
        <f t="shared" si="210"/>
        <v xml:space="preserve">N8080G  </v>
      </c>
      <c r="BC4211">
        <v>1</v>
      </c>
      <c r="BE4211">
        <v>0</v>
      </c>
      <c r="BF4211">
        <v>0</v>
      </c>
      <c r="BG4211">
        <v>0</v>
      </c>
      <c r="BH4211">
        <v>1350</v>
      </c>
      <c r="BI4211">
        <v>1</v>
      </c>
      <c r="BJ4211">
        <v>1</v>
      </c>
      <c r="BK4211">
        <v>1</v>
      </c>
      <c r="BL4211">
        <v>0</v>
      </c>
      <c r="BO4211">
        <v>0</v>
      </c>
      <c r="BP4211">
        <v>0</v>
      </c>
      <c r="BW4211" t="str">
        <f>"20:37:44.111"</f>
        <v>20:37:44.111</v>
      </c>
      <c r="BZ4211">
        <v>0</v>
      </c>
      <c r="CA4211">
        <v>1600</v>
      </c>
      <c r="CB4211">
        <v>224</v>
      </c>
      <c r="CD4211">
        <v>1</v>
      </c>
      <c r="CE4211">
        <v>0</v>
      </c>
      <c r="CF4211">
        <v>0</v>
      </c>
      <c r="CG4211">
        <v>1</v>
      </c>
      <c r="CH4211">
        <v>0</v>
      </c>
      <c r="CI4211">
        <v>0</v>
      </c>
      <c r="CJ4211">
        <v>0</v>
      </c>
      <c r="CK4211">
        <v>2</v>
      </c>
      <c r="CL4211">
        <v>0</v>
      </c>
      <c r="CM4211">
        <v>2</v>
      </c>
      <c r="CN4211">
        <v>0</v>
      </c>
      <c r="CO4211">
        <v>2</v>
      </c>
      <c r="CP4211" t="s">
        <v>119</v>
      </c>
      <c r="CQ4211">
        <v>179</v>
      </c>
      <c r="CR4211">
        <v>2</v>
      </c>
      <c r="CW4211">
        <v>12641624</v>
      </c>
      <c r="CY4211">
        <v>0</v>
      </c>
      <c r="CZ4211">
        <v>0</v>
      </c>
      <c r="DA4211">
        <v>0</v>
      </c>
      <c r="DB4211">
        <v>0</v>
      </c>
      <c r="DC4211">
        <v>0</v>
      </c>
      <c r="DD4211">
        <v>0</v>
      </c>
      <c r="DE4211">
        <v>0</v>
      </c>
      <c r="DF4211">
        <v>0</v>
      </c>
      <c r="DG4211">
        <v>0</v>
      </c>
      <c r="DH4211">
        <v>0</v>
      </c>
      <c r="DI4211">
        <v>0</v>
      </c>
    </row>
    <row r="4212" spans="1:113" x14ac:dyDescent="0.3">
      <c r="A4212" t="str">
        <f>"02/08/2021 20:37:41.789"</f>
        <v>02/08/2021 20:37:41.789</v>
      </c>
      <c r="C4212" t="str">
        <f t="shared" si="209"/>
        <v>FFDFD7C0</v>
      </c>
      <c r="D4212" t="s">
        <v>124</v>
      </c>
      <c r="E4212">
        <v>12</v>
      </c>
      <c r="F4212">
        <v>1012</v>
      </c>
      <c r="G4212" t="s">
        <v>675</v>
      </c>
      <c r="J4212" t="s">
        <v>125</v>
      </c>
      <c r="K4212">
        <v>0</v>
      </c>
      <c r="L4212">
        <v>3</v>
      </c>
      <c r="M4212">
        <v>0</v>
      </c>
      <c r="N4212">
        <v>2</v>
      </c>
      <c r="O4212">
        <v>1</v>
      </c>
      <c r="P4212">
        <v>0</v>
      </c>
      <c r="Q4212">
        <v>0</v>
      </c>
      <c r="S4212" t="str">
        <f>"20:37:44.109"</f>
        <v>20:37:44.109</v>
      </c>
      <c r="T4212" t="str">
        <f>"20:37:43.709"</f>
        <v>20:37:43.709</v>
      </c>
      <c r="U4212" t="str">
        <f t="shared" si="208"/>
        <v>AB01F4</v>
      </c>
      <c r="V4212">
        <v>0</v>
      </c>
      <c r="W4212">
        <v>0</v>
      </c>
      <c r="X4212">
        <v>2</v>
      </c>
      <c r="Z4212">
        <v>0</v>
      </c>
      <c r="AA4212">
        <v>9</v>
      </c>
      <c r="AB4212">
        <v>3</v>
      </c>
      <c r="AC4212">
        <v>0</v>
      </c>
      <c r="AD4212">
        <v>10</v>
      </c>
      <c r="AE4212">
        <v>0</v>
      </c>
      <c r="AF4212">
        <v>3</v>
      </c>
      <c r="AG4212">
        <v>2</v>
      </c>
      <c r="AH4212">
        <v>0</v>
      </c>
      <c r="AI4212" t="s">
        <v>2355</v>
      </c>
      <c r="AJ4212">
        <v>40.16048</v>
      </c>
      <c r="AK4212" t="s">
        <v>2356</v>
      </c>
      <c r="AL4212">
        <v>-93.148463000000007</v>
      </c>
      <c r="AM4212">
        <v>100</v>
      </c>
      <c r="AN4212">
        <v>1300</v>
      </c>
      <c r="AO4212" t="s">
        <v>118</v>
      </c>
      <c r="AP4212">
        <v>-114</v>
      </c>
      <c r="AQ4212">
        <v>60</v>
      </c>
      <c r="AR4212">
        <v>0</v>
      </c>
      <c r="AZ4212">
        <v>1200</v>
      </c>
      <c r="BA4212">
        <v>1</v>
      </c>
      <c r="BB4212" t="str">
        <f t="shared" si="210"/>
        <v xml:space="preserve">N8080G  </v>
      </c>
      <c r="BC4212">
        <v>1</v>
      </c>
      <c r="BE4212">
        <v>0</v>
      </c>
      <c r="BF4212">
        <v>0</v>
      </c>
      <c r="BG4212">
        <v>0</v>
      </c>
      <c r="BH4212">
        <v>1350</v>
      </c>
      <c r="BI4212">
        <v>1</v>
      </c>
      <c r="BJ4212">
        <v>1</v>
      </c>
      <c r="BK4212">
        <v>1</v>
      </c>
      <c r="BL4212">
        <v>0</v>
      </c>
      <c r="BO4212">
        <v>0</v>
      </c>
      <c r="BP4212">
        <v>0</v>
      </c>
      <c r="BW4212" t="str">
        <f>"20:37:44.111"</f>
        <v>20:37:44.111</v>
      </c>
      <c r="BZ4212">
        <v>0</v>
      </c>
      <c r="CA4212">
        <v>1600</v>
      </c>
      <c r="CB4212">
        <v>224</v>
      </c>
      <c r="CD4212">
        <v>1</v>
      </c>
      <c r="CE4212">
        <v>0</v>
      </c>
      <c r="CF4212">
        <v>0</v>
      </c>
      <c r="CG4212">
        <v>1</v>
      </c>
      <c r="CH4212">
        <v>0</v>
      </c>
      <c r="CI4212">
        <v>0</v>
      </c>
      <c r="CJ4212">
        <v>0</v>
      </c>
      <c r="CK4212">
        <v>2</v>
      </c>
      <c r="CL4212">
        <v>0</v>
      </c>
      <c r="CM4212">
        <v>2</v>
      </c>
      <c r="CN4212">
        <v>0</v>
      </c>
      <c r="CO4212">
        <v>2</v>
      </c>
      <c r="CP4212" t="s">
        <v>119</v>
      </c>
      <c r="CQ4212">
        <v>179</v>
      </c>
      <c r="CR4212">
        <v>2</v>
      </c>
      <c r="CW4212">
        <v>12641624</v>
      </c>
      <c r="CY4212">
        <v>0</v>
      </c>
      <c r="CZ4212">
        <v>0</v>
      </c>
      <c r="DA4212">
        <v>1</v>
      </c>
      <c r="DB4212">
        <v>0</v>
      </c>
      <c r="DC4212">
        <v>0</v>
      </c>
      <c r="DD4212">
        <v>0</v>
      </c>
      <c r="DE4212">
        <v>0</v>
      </c>
      <c r="DF4212">
        <v>0</v>
      </c>
      <c r="DG4212">
        <v>0</v>
      </c>
      <c r="DH4212">
        <v>0</v>
      </c>
      <c r="DI4212">
        <v>0</v>
      </c>
    </row>
    <row r="4213" spans="1:113" x14ac:dyDescent="0.3">
      <c r="A4213" t="str">
        <f>"02/08/2021 20:37:41.789"</f>
        <v>02/08/2021 20:37:41.789</v>
      </c>
      <c r="C4213" t="str">
        <f t="shared" si="209"/>
        <v>FFDFD7C0</v>
      </c>
      <c r="D4213" t="s">
        <v>113</v>
      </c>
      <c r="E4213">
        <v>6</v>
      </c>
      <c r="H4213">
        <v>165</v>
      </c>
      <c r="I4213" t="s">
        <v>114</v>
      </c>
      <c r="J4213" t="s">
        <v>115</v>
      </c>
      <c r="K4213">
        <v>0</v>
      </c>
      <c r="L4213">
        <v>3</v>
      </c>
      <c r="M4213">
        <v>0</v>
      </c>
      <c r="N4213">
        <v>2</v>
      </c>
      <c r="O4213">
        <v>1</v>
      </c>
      <c r="P4213">
        <v>0</v>
      </c>
      <c r="Q4213">
        <v>0</v>
      </c>
      <c r="S4213" t="str">
        <f>"20:37:44.109"</f>
        <v>20:37:44.109</v>
      </c>
      <c r="T4213" t="str">
        <f>"20:37:43.709"</f>
        <v>20:37:43.709</v>
      </c>
      <c r="U4213" t="str">
        <f t="shared" si="208"/>
        <v>AB01F4</v>
      </c>
      <c r="V4213">
        <v>0</v>
      </c>
      <c r="W4213">
        <v>0</v>
      </c>
      <c r="X4213">
        <v>2</v>
      </c>
      <c r="Z4213">
        <v>0</v>
      </c>
      <c r="AA4213">
        <v>9</v>
      </c>
      <c r="AB4213">
        <v>3</v>
      </c>
      <c r="AC4213">
        <v>0</v>
      </c>
      <c r="AD4213">
        <v>10</v>
      </c>
      <c r="AE4213">
        <v>0</v>
      </c>
      <c r="AF4213">
        <v>3</v>
      </c>
      <c r="AG4213">
        <v>2</v>
      </c>
      <c r="AH4213">
        <v>0</v>
      </c>
      <c r="AI4213" t="s">
        <v>2355</v>
      </c>
      <c r="AJ4213">
        <v>40.16048</v>
      </c>
      <c r="AK4213" t="s">
        <v>2356</v>
      </c>
      <c r="AL4213">
        <v>-93.148463000000007</v>
      </c>
      <c r="AM4213">
        <v>100</v>
      </c>
      <c r="AN4213">
        <v>1300</v>
      </c>
      <c r="AO4213" t="s">
        <v>118</v>
      </c>
      <c r="AP4213">
        <v>-114</v>
      </c>
      <c r="AQ4213">
        <v>60</v>
      </c>
      <c r="AR4213">
        <v>0</v>
      </c>
      <c r="AZ4213">
        <v>1200</v>
      </c>
      <c r="BA4213">
        <v>1</v>
      </c>
      <c r="BB4213" t="str">
        <f t="shared" si="210"/>
        <v xml:space="preserve">N8080G  </v>
      </c>
      <c r="BC4213">
        <v>1</v>
      </c>
      <c r="BE4213">
        <v>0</v>
      </c>
      <c r="BF4213">
        <v>0</v>
      </c>
      <c r="BG4213">
        <v>0</v>
      </c>
      <c r="BH4213">
        <v>1350</v>
      </c>
      <c r="BI4213">
        <v>1</v>
      </c>
      <c r="BJ4213">
        <v>1</v>
      </c>
      <c r="BK4213">
        <v>1</v>
      </c>
      <c r="BL4213">
        <v>0</v>
      </c>
      <c r="BO4213">
        <v>0</v>
      </c>
      <c r="BP4213">
        <v>0</v>
      </c>
      <c r="BW4213" t="str">
        <f>"20:37:44.111"</f>
        <v>20:37:44.111</v>
      </c>
      <c r="BZ4213">
        <v>0</v>
      </c>
      <c r="CA4213">
        <v>1600</v>
      </c>
      <c r="CB4213">
        <v>224</v>
      </c>
      <c r="CD4213">
        <v>1</v>
      </c>
      <c r="CE4213">
        <v>0</v>
      </c>
      <c r="CF4213">
        <v>0</v>
      </c>
      <c r="CG4213">
        <v>1</v>
      </c>
      <c r="CH4213">
        <v>0</v>
      </c>
      <c r="CI4213">
        <v>0</v>
      </c>
      <c r="CJ4213">
        <v>0</v>
      </c>
      <c r="CK4213">
        <v>2</v>
      </c>
      <c r="CL4213">
        <v>0</v>
      </c>
      <c r="CM4213">
        <v>2</v>
      </c>
      <c r="CN4213">
        <v>0</v>
      </c>
      <c r="CO4213">
        <v>2</v>
      </c>
      <c r="CP4213" t="s">
        <v>119</v>
      </c>
      <c r="CQ4213">
        <v>179</v>
      </c>
      <c r="CR4213">
        <v>2</v>
      </c>
      <c r="CW4213">
        <v>12641624</v>
      </c>
      <c r="CY4213">
        <v>0</v>
      </c>
      <c r="CZ4213">
        <v>0</v>
      </c>
      <c r="DA4213">
        <v>1</v>
      </c>
      <c r="DB4213">
        <v>0</v>
      </c>
      <c r="DC4213">
        <v>0</v>
      </c>
      <c r="DD4213">
        <v>0</v>
      </c>
      <c r="DE4213">
        <v>0</v>
      </c>
      <c r="DF4213">
        <v>0</v>
      </c>
      <c r="DG4213">
        <v>0</v>
      </c>
      <c r="DH4213">
        <v>0</v>
      </c>
      <c r="DI4213">
        <v>0</v>
      </c>
    </row>
    <row r="4214" spans="1:113" x14ac:dyDescent="0.3">
      <c r="A4214" t="str">
        <f>"02/08/2021 20:37:41.789"</f>
        <v>02/08/2021 20:37:41.789</v>
      </c>
      <c r="C4214" t="str">
        <f t="shared" si="209"/>
        <v>FFDFD7C0</v>
      </c>
      <c r="D4214" t="s">
        <v>124</v>
      </c>
      <c r="E4214">
        <v>11</v>
      </c>
      <c r="F4214">
        <v>1011</v>
      </c>
      <c r="G4214" t="s">
        <v>590</v>
      </c>
      <c r="J4214" t="s">
        <v>125</v>
      </c>
      <c r="K4214">
        <v>0</v>
      </c>
      <c r="L4214">
        <v>3</v>
      </c>
      <c r="M4214">
        <v>0</v>
      </c>
      <c r="N4214">
        <v>2</v>
      </c>
      <c r="O4214">
        <v>1</v>
      </c>
      <c r="P4214">
        <v>0</v>
      </c>
      <c r="Q4214">
        <v>0</v>
      </c>
      <c r="S4214" t="str">
        <f>"20:37:44.109"</f>
        <v>20:37:44.109</v>
      </c>
      <c r="T4214" t="str">
        <f>"20:37:43.709"</f>
        <v>20:37:43.709</v>
      </c>
      <c r="U4214" t="str">
        <f t="shared" si="208"/>
        <v>AB01F4</v>
      </c>
      <c r="V4214">
        <v>0</v>
      </c>
      <c r="W4214">
        <v>0</v>
      </c>
      <c r="X4214">
        <v>2</v>
      </c>
      <c r="Z4214">
        <v>0</v>
      </c>
      <c r="AA4214">
        <v>9</v>
      </c>
      <c r="AB4214">
        <v>3</v>
      </c>
      <c r="AC4214">
        <v>0</v>
      </c>
      <c r="AD4214">
        <v>10</v>
      </c>
      <c r="AE4214">
        <v>0</v>
      </c>
      <c r="AF4214">
        <v>3</v>
      </c>
      <c r="AG4214">
        <v>2</v>
      </c>
      <c r="AH4214">
        <v>0</v>
      </c>
      <c r="AI4214" t="s">
        <v>2355</v>
      </c>
      <c r="AJ4214">
        <v>40.16048</v>
      </c>
      <c r="AK4214" t="s">
        <v>2356</v>
      </c>
      <c r="AL4214">
        <v>-93.148463000000007</v>
      </c>
      <c r="AM4214">
        <v>100</v>
      </c>
      <c r="AN4214">
        <v>1300</v>
      </c>
      <c r="AO4214" t="s">
        <v>118</v>
      </c>
      <c r="AP4214">
        <v>-114</v>
      </c>
      <c r="AQ4214">
        <v>60</v>
      </c>
      <c r="AR4214">
        <v>0</v>
      </c>
      <c r="AZ4214">
        <v>1200</v>
      </c>
      <c r="BA4214">
        <v>1</v>
      </c>
      <c r="BB4214" t="str">
        <f t="shared" si="210"/>
        <v xml:space="preserve">N8080G  </v>
      </c>
      <c r="BC4214">
        <v>1</v>
      </c>
      <c r="BE4214">
        <v>0</v>
      </c>
      <c r="BF4214">
        <v>0</v>
      </c>
      <c r="BG4214">
        <v>0</v>
      </c>
      <c r="BH4214">
        <v>1350</v>
      </c>
      <c r="BI4214">
        <v>1</v>
      </c>
      <c r="BJ4214">
        <v>1</v>
      </c>
      <c r="BK4214">
        <v>1</v>
      </c>
      <c r="BL4214">
        <v>0</v>
      </c>
      <c r="BO4214">
        <v>0</v>
      </c>
      <c r="BP4214">
        <v>0</v>
      </c>
      <c r="BW4214" t="str">
        <f>"20:37:44.111"</f>
        <v>20:37:44.111</v>
      </c>
      <c r="BZ4214">
        <v>0</v>
      </c>
      <c r="CA4214">
        <v>1600</v>
      </c>
      <c r="CB4214">
        <v>224</v>
      </c>
      <c r="CD4214">
        <v>1</v>
      </c>
      <c r="CE4214">
        <v>0</v>
      </c>
      <c r="CF4214">
        <v>0</v>
      </c>
      <c r="CG4214">
        <v>1</v>
      </c>
      <c r="CH4214">
        <v>0</v>
      </c>
      <c r="CI4214">
        <v>0</v>
      </c>
      <c r="CJ4214">
        <v>0</v>
      </c>
      <c r="CK4214">
        <v>2</v>
      </c>
      <c r="CL4214">
        <v>0</v>
      </c>
      <c r="CM4214">
        <v>2</v>
      </c>
      <c r="CN4214">
        <v>0</v>
      </c>
      <c r="CO4214">
        <v>2</v>
      </c>
      <c r="CP4214" t="s">
        <v>119</v>
      </c>
      <c r="CQ4214">
        <v>179</v>
      </c>
      <c r="CR4214">
        <v>2</v>
      </c>
      <c r="CW4214">
        <v>12641624</v>
      </c>
      <c r="CY4214">
        <v>0</v>
      </c>
      <c r="CZ4214">
        <v>0</v>
      </c>
      <c r="DA4214">
        <v>1</v>
      </c>
      <c r="DB4214">
        <v>0</v>
      </c>
      <c r="DC4214">
        <v>0</v>
      </c>
      <c r="DD4214">
        <v>0</v>
      </c>
      <c r="DE4214">
        <v>0</v>
      </c>
      <c r="DF4214">
        <v>0</v>
      </c>
      <c r="DG4214">
        <v>0</v>
      </c>
      <c r="DH4214">
        <v>0</v>
      </c>
      <c r="DI4214">
        <v>0</v>
      </c>
    </row>
    <row r="4215" spans="1:113" x14ac:dyDescent="0.3">
      <c r="A4215" t="str">
        <f>"02/08/2021 20:37:42.846"</f>
        <v>02/08/2021 20:37:42.846</v>
      </c>
      <c r="C4215" t="str">
        <f t="shared" si="209"/>
        <v>FFDFD7C0</v>
      </c>
      <c r="D4215" t="s">
        <v>124</v>
      </c>
      <c r="E4215">
        <v>13</v>
      </c>
      <c r="F4215">
        <v>1013</v>
      </c>
      <c r="G4215" t="s">
        <v>114</v>
      </c>
      <c r="J4215" t="s">
        <v>125</v>
      </c>
      <c r="K4215">
        <v>0</v>
      </c>
      <c r="L4215">
        <v>3</v>
      </c>
      <c r="M4215">
        <v>0</v>
      </c>
      <c r="N4215">
        <v>2</v>
      </c>
      <c r="O4215">
        <v>1</v>
      </c>
      <c r="P4215">
        <v>0</v>
      </c>
      <c r="Q4215">
        <v>0</v>
      </c>
      <c r="S4215" t="str">
        <f>"20:37:45.141"</f>
        <v>20:37:45.141</v>
      </c>
      <c r="T4215" t="str">
        <f>"20:37:44.741"</f>
        <v>20:37:44.741</v>
      </c>
      <c r="U4215" t="str">
        <f t="shared" si="208"/>
        <v>AB01F4</v>
      </c>
      <c r="V4215">
        <v>0</v>
      </c>
      <c r="W4215">
        <v>0</v>
      </c>
      <c r="X4215">
        <v>2</v>
      </c>
      <c r="Z4215">
        <v>0</v>
      </c>
      <c r="AA4215">
        <v>9</v>
      </c>
      <c r="AB4215">
        <v>3</v>
      </c>
      <c r="AC4215">
        <v>0</v>
      </c>
      <c r="AD4215">
        <v>10</v>
      </c>
      <c r="AE4215">
        <v>0</v>
      </c>
      <c r="AF4215">
        <v>3</v>
      </c>
      <c r="AG4215">
        <v>2</v>
      </c>
      <c r="AH4215">
        <v>0</v>
      </c>
      <c r="AI4215" t="s">
        <v>2357</v>
      </c>
      <c r="AJ4215">
        <v>40.160800999999999</v>
      </c>
      <c r="AK4215" t="s">
        <v>2358</v>
      </c>
      <c r="AL4215">
        <v>-93.149235000000004</v>
      </c>
      <c r="AM4215">
        <v>100</v>
      </c>
      <c r="AN4215">
        <v>1300</v>
      </c>
      <c r="AO4215" t="s">
        <v>118</v>
      </c>
      <c r="AP4215">
        <v>-114</v>
      </c>
      <c r="AQ4215">
        <v>60</v>
      </c>
      <c r="AR4215">
        <v>0</v>
      </c>
      <c r="AZ4215">
        <v>1200</v>
      </c>
      <c r="BA4215">
        <v>1</v>
      </c>
      <c r="BB4215" t="str">
        <f t="shared" si="210"/>
        <v xml:space="preserve">N8080G  </v>
      </c>
      <c r="BC4215">
        <v>1</v>
      </c>
      <c r="BE4215">
        <v>0</v>
      </c>
      <c r="BF4215">
        <v>0</v>
      </c>
      <c r="BG4215">
        <v>0</v>
      </c>
      <c r="BH4215">
        <v>1350</v>
      </c>
      <c r="BI4215">
        <v>1</v>
      </c>
      <c r="BJ4215">
        <v>1</v>
      </c>
      <c r="BK4215">
        <v>1</v>
      </c>
      <c r="BL4215">
        <v>0</v>
      </c>
      <c r="BO4215">
        <v>0</v>
      </c>
      <c r="BP4215">
        <v>0</v>
      </c>
      <c r="BW4215" t="str">
        <f>"20:37:45.143"</f>
        <v>20:37:45.143</v>
      </c>
      <c r="BZ4215">
        <v>0</v>
      </c>
      <c r="CA4215">
        <v>1600</v>
      </c>
      <c r="CB4215">
        <v>224</v>
      </c>
      <c r="CD4215">
        <v>1</v>
      </c>
      <c r="CE4215">
        <v>0</v>
      </c>
      <c r="CF4215">
        <v>0</v>
      </c>
      <c r="CG4215">
        <v>1</v>
      </c>
      <c r="CH4215">
        <v>0</v>
      </c>
      <c r="CI4215">
        <v>0</v>
      </c>
      <c r="CJ4215">
        <v>0</v>
      </c>
      <c r="CK4215">
        <v>2</v>
      </c>
      <c r="CL4215">
        <v>0</v>
      </c>
      <c r="CM4215">
        <v>2</v>
      </c>
      <c r="CN4215">
        <v>0</v>
      </c>
      <c r="CO4215">
        <v>5</v>
      </c>
      <c r="CP4215" t="s">
        <v>119</v>
      </c>
      <c r="CQ4215">
        <v>180</v>
      </c>
      <c r="CR4215">
        <v>3</v>
      </c>
      <c r="CW4215">
        <v>1369213</v>
      </c>
      <c r="CY4215">
        <v>0</v>
      </c>
      <c r="CZ4215">
        <v>0</v>
      </c>
      <c r="DA4215">
        <v>0</v>
      </c>
      <c r="DB4215">
        <v>0</v>
      </c>
      <c r="DC4215">
        <v>0</v>
      </c>
      <c r="DD4215">
        <v>0</v>
      </c>
      <c r="DE4215">
        <v>0</v>
      </c>
      <c r="DF4215">
        <v>0</v>
      </c>
      <c r="DG4215">
        <v>0</v>
      </c>
      <c r="DH4215">
        <v>0</v>
      </c>
      <c r="DI4215">
        <v>0</v>
      </c>
    </row>
    <row r="4216" spans="1:113" x14ac:dyDescent="0.3">
      <c r="A4216" t="str">
        <f>"02/08/2021 20:37:42.846"</f>
        <v>02/08/2021 20:37:42.846</v>
      </c>
      <c r="C4216" t="str">
        <f t="shared" si="209"/>
        <v>FFDFD7C0</v>
      </c>
      <c r="D4216" t="s">
        <v>124</v>
      </c>
      <c r="E4216">
        <v>12</v>
      </c>
      <c r="F4216">
        <v>1012</v>
      </c>
      <c r="G4216" t="s">
        <v>675</v>
      </c>
      <c r="J4216" t="s">
        <v>125</v>
      </c>
      <c r="K4216">
        <v>0</v>
      </c>
      <c r="L4216">
        <v>3</v>
      </c>
      <c r="M4216">
        <v>0</v>
      </c>
      <c r="N4216">
        <v>2</v>
      </c>
      <c r="O4216">
        <v>1</v>
      </c>
      <c r="P4216">
        <v>0</v>
      </c>
      <c r="Q4216">
        <v>0</v>
      </c>
      <c r="S4216" t="str">
        <f>"20:37:45.141"</f>
        <v>20:37:45.141</v>
      </c>
      <c r="T4216" t="str">
        <f>"20:37:44.741"</f>
        <v>20:37:44.741</v>
      </c>
      <c r="U4216" t="str">
        <f t="shared" si="208"/>
        <v>AB01F4</v>
      </c>
      <c r="V4216">
        <v>0</v>
      </c>
      <c r="W4216">
        <v>0</v>
      </c>
      <c r="X4216">
        <v>2</v>
      </c>
      <c r="Z4216">
        <v>0</v>
      </c>
      <c r="AA4216">
        <v>9</v>
      </c>
      <c r="AB4216">
        <v>3</v>
      </c>
      <c r="AC4216">
        <v>0</v>
      </c>
      <c r="AD4216">
        <v>10</v>
      </c>
      <c r="AE4216">
        <v>0</v>
      </c>
      <c r="AF4216">
        <v>3</v>
      </c>
      <c r="AG4216">
        <v>2</v>
      </c>
      <c r="AH4216">
        <v>0</v>
      </c>
      <c r="AI4216" t="s">
        <v>2357</v>
      </c>
      <c r="AJ4216">
        <v>40.160800999999999</v>
      </c>
      <c r="AK4216" t="s">
        <v>2358</v>
      </c>
      <c r="AL4216">
        <v>-93.149235000000004</v>
      </c>
      <c r="AM4216">
        <v>100</v>
      </c>
      <c r="AN4216">
        <v>1300</v>
      </c>
      <c r="AO4216" t="s">
        <v>118</v>
      </c>
      <c r="AP4216">
        <v>-114</v>
      </c>
      <c r="AQ4216">
        <v>60</v>
      </c>
      <c r="AR4216">
        <v>0</v>
      </c>
      <c r="AZ4216">
        <v>1200</v>
      </c>
      <c r="BA4216">
        <v>1</v>
      </c>
      <c r="BB4216" t="str">
        <f t="shared" si="210"/>
        <v xml:space="preserve">N8080G  </v>
      </c>
      <c r="BC4216">
        <v>1</v>
      </c>
      <c r="BE4216">
        <v>0</v>
      </c>
      <c r="BF4216">
        <v>0</v>
      </c>
      <c r="BG4216">
        <v>0</v>
      </c>
      <c r="BH4216">
        <v>1350</v>
      </c>
      <c r="BI4216">
        <v>1</v>
      </c>
      <c r="BJ4216">
        <v>1</v>
      </c>
      <c r="BK4216">
        <v>1</v>
      </c>
      <c r="BL4216">
        <v>0</v>
      </c>
      <c r="BO4216">
        <v>0</v>
      </c>
      <c r="BP4216">
        <v>0</v>
      </c>
      <c r="BW4216" t="str">
        <f>"20:37:45.143"</f>
        <v>20:37:45.143</v>
      </c>
      <c r="BZ4216">
        <v>0</v>
      </c>
      <c r="CA4216">
        <v>1600</v>
      </c>
      <c r="CB4216">
        <v>224</v>
      </c>
      <c r="CD4216">
        <v>1</v>
      </c>
      <c r="CE4216">
        <v>0</v>
      </c>
      <c r="CF4216">
        <v>0</v>
      </c>
      <c r="CG4216">
        <v>1</v>
      </c>
      <c r="CH4216">
        <v>0</v>
      </c>
      <c r="CI4216">
        <v>0</v>
      </c>
      <c r="CJ4216">
        <v>0</v>
      </c>
      <c r="CK4216">
        <v>2</v>
      </c>
      <c r="CL4216">
        <v>0</v>
      </c>
      <c r="CM4216">
        <v>2</v>
      </c>
      <c r="CN4216">
        <v>0</v>
      </c>
      <c r="CO4216">
        <v>5</v>
      </c>
      <c r="CP4216" t="s">
        <v>119</v>
      </c>
      <c r="CQ4216">
        <v>180</v>
      </c>
      <c r="CR4216">
        <v>3</v>
      </c>
      <c r="CW4216">
        <v>1369213</v>
      </c>
      <c r="CY4216">
        <v>0</v>
      </c>
      <c r="CZ4216">
        <v>0</v>
      </c>
      <c r="DA4216">
        <v>1</v>
      </c>
      <c r="DB4216">
        <v>0</v>
      </c>
      <c r="DC4216">
        <v>0</v>
      </c>
      <c r="DD4216">
        <v>0</v>
      </c>
      <c r="DE4216">
        <v>0</v>
      </c>
      <c r="DF4216">
        <v>0</v>
      </c>
      <c r="DG4216">
        <v>0</v>
      </c>
      <c r="DH4216">
        <v>0</v>
      </c>
      <c r="DI4216">
        <v>0</v>
      </c>
    </row>
    <row r="4217" spans="1:113" x14ac:dyDescent="0.3">
      <c r="A4217" t="str">
        <f>"02/08/2021 20:37:42.846"</f>
        <v>02/08/2021 20:37:42.846</v>
      </c>
      <c r="C4217" t="str">
        <f t="shared" si="209"/>
        <v>FFDFD7C0</v>
      </c>
      <c r="D4217" t="s">
        <v>124</v>
      </c>
      <c r="E4217">
        <v>11</v>
      </c>
      <c r="F4217">
        <v>1011</v>
      </c>
      <c r="G4217" t="s">
        <v>590</v>
      </c>
      <c r="J4217" t="s">
        <v>125</v>
      </c>
      <c r="K4217">
        <v>0</v>
      </c>
      <c r="L4217">
        <v>3</v>
      </c>
      <c r="M4217">
        <v>0</v>
      </c>
      <c r="N4217">
        <v>2</v>
      </c>
      <c r="O4217">
        <v>1</v>
      </c>
      <c r="P4217">
        <v>0</v>
      </c>
      <c r="Q4217">
        <v>0</v>
      </c>
      <c r="S4217" t="str">
        <f>"20:37:45.141"</f>
        <v>20:37:45.141</v>
      </c>
      <c r="T4217" t="str">
        <f>"20:37:44.741"</f>
        <v>20:37:44.741</v>
      </c>
      <c r="U4217" t="str">
        <f t="shared" si="208"/>
        <v>AB01F4</v>
      </c>
      <c r="V4217">
        <v>0</v>
      </c>
      <c r="W4217">
        <v>0</v>
      </c>
      <c r="X4217">
        <v>2</v>
      </c>
      <c r="Z4217">
        <v>0</v>
      </c>
      <c r="AA4217">
        <v>9</v>
      </c>
      <c r="AB4217">
        <v>3</v>
      </c>
      <c r="AC4217">
        <v>0</v>
      </c>
      <c r="AD4217">
        <v>10</v>
      </c>
      <c r="AE4217">
        <v>0</v>
      </c>
      <c r="AF4217">
        <v>3</v>
      </c>
      <c r="AG4217">
        <v>2</v>
      </c>
      <c r="AH4217">
        <v>0</v>
      </c>
      <c r="AI4217" t="s">
        <v>2357</v>
      </c>
      <c r="AJ4217">
        <v>40.160800999999999</v>
      </c>
      <c r="AK4217" t="s">
        <v>2358</v>
      </c>
      <c r="AL4217">
        <v>-93.149235000000004</v>
      </c>
      <c r="AM4217">
        <v>100</v>
      </c>
      <c r="AN4217">
        <v>1300</v>
      </c>
      <c r="AO4217" t="s">
        <v>118</v>
      </c>
      <c r="AP4217">
        <v>-114</v>
      </c>
      <c r="AQ4217">
        <v>60</v>
      </c>
      <c r="AR4217">
        <v>0</v>
      </c>
      <c r="AZ4217">
        <v>1200</v>
      </c>
      <c r="BA4217">
        <v>1</v>
      </c>
      <c r="BB4217" t="str">
        <f t="shared" si="210"/>
        <v xml:space="preserve">N8080G  </v>
      </c>
      <c r="BC4217">
        <v>1</v>
      </c>
      <c r="BE4217">
        <v>0</v>
      </c>
      <c r="BF4217">
        <v>0</v>
      </c>
      <c r="BG4217">
        <v>0</v>
      </c>
      <c r="BH4217">
        <v>1350</v>
      </c>
      <c r="BI4217">
        <v>1</v>
      </c>
      <c r="BJ4217">
        <v>1</v>
      </c>
      <c r="BK4217">
        <v>1</v>
      </c>
      <c r="BL4217">
        <v>0</v>
      </c>
      <c r="BO4217">
        <v>0</v>
      </c>
      <c r="BP4217">
        <v>0</v>
      </c>
      <c r="BW4217" t="str">
        <f>"20:37:45.143"</f>
        <v>20:37:45.143</v>
      </c>
      <c r="BZ4217">
        <v>0</v>
      </c>
      <c r="CA4217">
        <v>1600</v>
      </c>
      <c r="CB4217">
        <v>224</v>
      </c>
      <c r="CD4217">
        <v>1</v>
      </c>
      <c r="CE4217">
        <v>0</v>
      </c>
      <c r="CF4217">
        <v>0</v>
      </c>
      <c r="CG4217">
        <v>1</v>
      </c>
      <c r="CH4217">
        <v>0</v>
      </c>
      <c r="CI4217">
        <v>0</v>
      </c>
      <c r="CJ4217">
        <v>0</v>
      </c>
      <c r="CK4217">
        <v>2</v>
      </c>
      <c r="CL4217">
        <v>0</v>
      </c>
      <c r="CM4217">
        <v>2</v>
      </c>
      <c r="CN4217">
        <v>0</v>
      </c>
      <c r="CO4217">
        <v>5</v>
      </c>
      <c r="CP4217" t="s">
        <v>119</v>
      </c>
      <c r="CQ4217">
        <v>180</v>
      </c>
      <c r="CR4217">
        <v>3</v>
      </c>
      <c r="CW4217">
        <v>1369213</v>
      </c>
      <c r="CY4217">
        <v>0</v>
      </c>
      <c r="CZ4217">
        <v>0</v>
      </c>
      <c r="DA4217">
        <v>1</v>
      </c>
      <c r="DB4217">
        <v>0</v>
      </c>
      <c r="DC4217">
        <v>0</v>
      </c>
      <c r="DD4217">
        <v>0</v>
      </c>
      <c r="DE4217">
        <v>0</v>
      </c>
      <c r="DF4217">
        <v>0</v>
      </c>
      <c r="DG4217">
        <v>0</v>
      </c>
      <c r="DH4217">
        <v>0</v>
      </c>
      <c r="DI4217">
        <v>0</v>
      </c>
    </row>
    <row r="4218" spans="1:113" x14ac:dyDescent="0.3">
      <c r="A4218" t="str">
        <f>"02/08/2021 20:37:42.846"</f>
        <v>02/08/2021 20:37:42.846</v>
      </c>
      <c r="C4218" t="str">
        <f t="shared" si="209"/>
        <v>FFDFD7C0</v>
      </c>
      <c r="D4218" t="s">
        <v>113</v>
      </c>
      <c r="E4218">
        <v>6</v>
      </c>
      <c r="H4218">
        <v>165</v>
      </c>
      <c r="I4218" t="s">
        <v>114</v>
      </c>
      <c r="J4218" t="s">
        <v>115</v>
      </c>
      <c r="K4218">
        <v>0</v>
      </c>
      <c r="L4218">
        <v>3</v>
      </c>
      <c r="M4218">
        <v>0</v>
      </c>
      <c r="N4218">
        <v>2</v>
      </c>
      <c r="O4218">
        <v>1</v>
      </c>
      <c r="P4218">
        <v>0</v>
      </c>
      <c r="Q4218">
        <v>0</v>
      </c>
      <c r="S4218" t="str">
        <f>"20:37:45.141"</f>
        <v>20:37:45.141</v>
      </c>
      <c r="T4218" t="str">
        <f>"20:37:44.741"</f>
        <v>20:37:44.741</v>
      </c>
      <c r="U4218" t="str">
        <f t="shared" si="208"/>
        <v>AB01F4</v>
      </c>
      <c r="V4218">
        <v>0</v>
      </c>
      <c r="W4218">
        <v>0</v>
      </c>
      <c r="X4218">
        <v>2</v>
      </c>
      <c r="Z4218">
        <v>0</v>
      </c>
      <c r="AA4218">
        <v>9</v>
      </c>
      <c r="AB4218">
        <v>3</v>
      </c>
      <c r="AC4218">
        <v>0</v>
      </c>
      <c r="AD4218">
        <v>10</v>
      </c>
      <c r="AE4218">
        <v>0</v>
      </c>
      <c r="AF4218">
        <v>3</v>
      </c>
      <c r="AG4218">
        <v>2</v>
      </c>
      <c r="AH4218">
        <v>0</v>
      </c>
      <c r="AI4218" t="s">
        <v>2357</v>
      </c>
      <c r="AJ4218">
        <v>40.160800999999999</v>
      </c>
      <c r="AK4218" t="s">
        <v>2358</v>
      </c>
      <c r="AL4218">
        <v>-93.149235000000004</v>
      </c>
      <c r="AM4218">
        <v>100</v>
      </c>
      <c r="AN4218">
        <v>1300</v>
      </c>
      <c r="AO4218" t="s">
        <v>118</v>
      </c>
      <c r="AP4218">
        <v>-114</v>
      </c>
      <c r="AQ4218">
        <v>60</v>
      </c>
      <c r="AR4218">
        <v>0</v>
      </c>
      <c r="AZ4218">
        <v>1200</v>
      </c>
      <c r="BA4218">
        <v>1</v>
      </c>
      <c r="BB4218" t="str">
        <f t="shared" si="210"/>
        <v xml:space="preserve">N8080G  </v>
      </c>
      <c r="BC4218">
        <v>1</v>
      </c>
      <c r="BE4218">
        <v>0</v>
      </c>
      <c r="BF4218">
        <v>0</v>
      </c>
      <c r="BG4218">
        <v>0</v>
      </c>
      <c r="BH4218">
        <v>1350</v>
      </c>
      <c r="BI4218">
        <v>1</v>
      </c>
      <c r="BJ4218">
        <v>1</v>
      </c>
      <c r="BK4218">
        <v>1</v>
      </c>
      <c r="BL4218">
        <v>0</v>
      </c>
      <c r="BO4218">
        <v>0</v>
      </c>
      <c r="BP4218">
        <v>0</v>
      </c>
      <c r="BW4218" t="str">
        <f>"20:37:45.143"</f>
        <v>20:37:45.143</v>
      </c>
      <c r="BZ4218">
        <v>0</v>
      </c>
      <c r="CA4218">
        <v>1600</v>
      </c>
      <c r="CB4218">
        <v>224</v>
      </c>
      <c r="CD4218">
        <v>1</v>
      </c>
      <c r="CE4218">
        <v>0</v>
      </c>
      <c r="CF4218">
        <v>0</v>
      </c>
      <c r="CG4218">
        <v>1</v>
      </c>
      <c r="CH4218">
        <v>0</v>
      </c>
      <c r="CI4218">
        <v>0</v>
      </c>
      <c r="CJ4218">
        <v>0</v>
      </c>
      <c r="CK4218">
        <v>2</v>
      </c>
      <c r="CL4218">
        <v>0</v>
      </c>
      <c r="CM4218">
        <v>2</v>
      </c>
      <c r="CN4218">
        <v>0</v>
      </c>
      <c r="CO4218">
        <v>5</v>
      </c>
      <c r="CP4218" t="s">
        <v>119</v>
      </c>
      <c r="CQ4218">
        <v>180</v>
      </c>
      <c r="CR4218">
        <v>3</v>
      </c>
      <c r="CW4218">
        <v>1369213</v>
      </c>
      <c r="CY4218">
        <v>0</v>
      </c>
      <c r="CZ4218">
        <v>0</v>
      </c>
      <c r="DA4218">
        <v>1</v>
      </c>
      <c r="DB4218">
        <v>0</v>
      </c>
      <c r="DC4218">
        <v>0</v>
      </c>
      <c r="DD4218">
        <v>0</v>
      </c>
      <c r="DE4218">
        <v>0</v>
      </c>
      <c r="DF4218">
        <v>0</v>
      </c>
      <c r="DG4218">
        <v>0</v>
      </c>
      <c r="DH4218">
        <v>0</v>
      </c>
      <c r="DI4218">
        <v>0</v>
      </c>
    </row>
    <row r="4219" spans="1:113" x14ac:dyDescent="0.3">
      <c r="A4219" t="str">
        <f>"02/08/2021 20:37:43.851"</f>
        <v>02/08/2021 20:37:43.851</v>
      </c>
      <c r="C4219" t="str">
        <f t="shared" si="209"/>
        <v>FFDFD7C0</v>
      </c>
      <c r="D4219" t="s">
        <v>124</v>
      </c>
      <c r="E4219">
        <v>13</v>
      </c>
      <c r="F4219">
        <v>1013</v>
      </c>
      <c r="G4219" t="s">
        <v>114</v>
      </c>
      <c r="J4219" t="s">
        <v>125</v>
      </c>
      <c r="K4219">
        <v>0</v>
      </c>
      <c r="L4219">
        <v>3</v>
      </c>
      <c r="M4219">
        <v>0</v>
      </c>
      <c r="N4219">
        <v>2</v>
      </c>
      <c r="O4219">
        <v>1</v>
      </c>
      <c r="P4219">
        <v>0</v>
      </c>
      <c r="Q4219">
        <v>0</v>
      </c>
      <c r="S4219" t="str">
        <f>"20:37:46.172"</f>
        <v>20:37:46.172</v>
      </c>
      <c r="T4219" t="str">
        <f>"20:37:45.172"</f>
        <v>20:37:45.172</v>
      </c>
      <c r="U4219" t="str">
        <f t="shared" si="208"/>
        <v>AB01F4</v>
      </c>
      <c r="V4219">
        <v>0</v>
      </c>
      <c r="W4219">
        <v>0</v>
      </c>
      <c r="X4219">
        <v>2</v>
      </c>
      <c r="Z4219">
        <v>0</v>
      </c>
      <c r="AA4219">
        <v>9</v>
      </c>
      <c r="AB4219">
        <v>3</v>
      </c>
      <c r="AC4219">
        <v>0</v>
      </c>
      <c r="AD4219">
        <v>10</v>
      </c>
      <c r="AE4219">
        <v>0</v>
      </c>
      <c r="AF4219">
        <v>3</v>
      </c>
      <c r="AG4219">
        <v>2</v>
      </c>
      <c r="AH4219">
        <v>0</v>
      </c>
      <c r="AI4219" t="s">
        <v>2359</v>
      </c>
      <c r="AJ4219">
        <v>40.161079999999998</v>
      </c>
      <c r="AK4219" t="s">
        <v>2360</v>
      </c>
      <c r="AL4219">
        <v>-93.149900000000002</v>
      </c>
      <c r="AM4219">
        <v>100</v>
      </c>
      <c r="AN4219">
        <v>1300</v>
      </c>
      <c r="AO4219" t="s">
        <v>118</v>
      </c>
      <c r="AP4219">
        <v>-114</v>
      </c>
      <c r="AQ4219">
        <v>60</v>
      </c>
      <c r="AR4219">
        <v>0</v>
      </c>
      <c r="AZ4219">
        <v>1200</v>
      </c>
      <c r="BA4219">
        <v>1</v>
      </c>
      <c r="BB4219" t="str">
        <f t="shared" si="210"/>
        <v xml:space="preserve">N8080G  </v>
      </c>
      <c r="BC4219">
        <v>1</v>
      </c>
      <c r="BE4219">
        <v>0</v>
      </c>
      <c r="BF4219">
        <v>0</v>
      </c>
      <c r="BG4219">
        <v>0</v>
      </c>
      <c r="BH4219">
        <v>1350</v>
      </c>
      <c r="BI4219">
        <v>1</v>
      </c>
      <c r="BJ4219">
        <v>1</v>
      </c>
      <c r="BK4219">
        <v>1</v>
      </c>
      <c r="BL4219">
        <v>0</v>
      </c>
      <c r="BO4219">
        <v>0</v>
      </c>
      <c r="BP4219">
        <v>0</v>
      </c>
      <c r="BW4219" t="str">
        <f>"20:37:46.179"</f>
        <v>20:37:46.179</v>
      </c>
      <c r="BZ4219">
        <v>0</v>
      </c>
      <c r="CA4219">
        <v>1600</v>
      </c>
      <c r="CB4219">
        <v>224</v>
      </c>
      <c r="CD4219">
        <v>1</v>
      </c>
      <c r="CE4219">
        <v>0</v>
      </c>
      <c r="CF4219">
        <v>0</v>
      </c>
      <c r="CG4219">
        <v>1</v>
      </c>
      <c r="CH4219">
        <v>0</v>
      </c>
      <c r="CI4219">
        <v>0</v>
      </c>
      <c r="CJ4219">
        <v>0</v>
      </c>
      <c r="CK4219">
        <v>2</v>
      </c>
      <c r="CL4219">
        <v>0</v>
      </c>
      <c r="CM4219">
        <v>2</v>
      </c>
      <c r="CN4219">
        <v>0</v>
      </c>
      <c r="CO4219">
        <v>1</v>
      </c>
      <c r="CP4219" t="s">
        <v>119</v>
      </c>
      <c r="CQ4219">
        <v>179</v>
      </c>
      <c r="CR4219">
        <v>2</v>
      </c>
      <c r="CW4219">
        <v>12643200</v>
      </c>
      <c r="CY4219">
        <v>0</v>
      </c>
      <c r="CZ4219">
        <v>0</v>
      </c>
      <c r="DA4219">
        <v>0</v>
      </c>
      <c r="DB4219">
        <v>0</v>
      </c>
      <c r="DC4219">
        <v>0</v>
      </c>
      <c r="DD4219">
        <v>0</v>
      </c>
      <c r="DE4219">
        <v>0</v>
      </c>
      <c r="DF4219">
        <v>0</v>
      </c>
      <c r="DG4219">
        <v>0</v>
      </c>
      <c r="DH4219">
        <v>0</v>
      </c>
      <c r="DI4219">
        <v>0</v>
      </c>
    </row>
    <row r="4220" spans="1:113" x14ac:dyDescent="0.3">
      <c r="A4220" t="str">
        <f>"02/08/2021 20:37:43.851"</f>
        <v>02/08/2021 20:37:43.851</v>
      </c>
      <c r="C4220" t="str">
        <f t="shared" si="209"/>
        <v>FFDFD7C0</v>
      </c>
      <c r="D4220" t="s">
        <v>124</v>
      </c>
      <c r="E4220">
        <v>12</v>
      </c>
      <c r="F4220">
        <v>1012</v>
      </c>
      <c r="G4220" t="s">
        <v>675</v>
      </c>
      <c r="J4220" t="s">
        <v>125</v>
      </c>
      <c r="K4220">
        <v>0</v>
      </c>
      <c r="L4220">
        <v>3</v>
      </c>
      <c r="M4220">
        <v>0</v>
      </c>
      <c r="N4220">
        <v>2</v>
      </c>
      <c r="O4220">
        <v>1</v>
      </c>
      <c r="P4220">
        <v>0</v>
      </c>
      <c r="Q4220">
        <v>0</v>
      </c>
      <c r="S4220" t="str">
        <f>"20:37:46.172"</f>
        <v>20:37:46.172</v>
      </c>
      <c r="T4220" t="str">
        <f>"20:37:45.172"</f>
        <v>20:37:45.172</v>
      </c>
      <c r="U4220" t="str">
        <f t="shared" si="208"/>
        <v>AB01F4</v>
      </c>
      <c r="V4220">
        <v>0</v>
      </c>
      <c r="W4220">
        <v>0</v>
      </c>
      <c r="X4220">
        <v>2</v>
      </c>
      <c r="Z4220">
        <v>0</v>
      </c>
      <c r="AA4220">
        <v>9</v>
      </c>
      <c r="AB4220">
        <v>3</v>
      </c>
      <c r="AC4220">
        <v>0</v>
      </c>
      <c r="AD4220">
        <v>10</v>
      </c>
      <c r="AE4220">
        <v>0</v>
      </c>
      <c r="AF4220">
        <v>3</v>
      </c>
      <c r="AG4220">
        <v>2</v>
      </c>
      <c r="AH4220">
        <v>0</v>
      </c>
      <c r="AI4220" t="s">
        <v>2359</v>
      </c>
      <c r="AJ4220">
        <v>40.161079999999998</v>
      </c>
      <c r="AK4220" t="s">
        <v>2360</v>
      </c>
      <c r="AL4220">
        <v>-93.149900000000002</v>
      </c>
      <c r="AM4220">
        <v>100</v>
      </c>
      <c r="AN4220">
        <v>1300</v>
      </c>
      <c r="AO4220" t="s">
        <v>118</v>
      </c>
      <c r="AP4220">
        <v>-114</v>
      </c>
      <c r="AQ4220">
        <v>60</v>
      </c>
      <c r="AR4220">
        <v>0</v>
      </c>
      <c r="AZ4220">
        <v>1200</v>
      </c>
      <c r="BA4220">
        <v>1</v>
      </c>
      <c r="BB4220" t="str">
        <f t="shared" si="210"/>
        <v xml:space="preserve">N8080G  </v>
      </c>
      <c r="BC4220">
        <v>1</v>
      </c>
      <c r="BE4220">
        <v>0</v>
      </c>
      <c r="BF4220">
        <v>0</v>
      </c>
      <c r="BG4220">
        <v>0</v>
      </c>
      <c r="BH4220">
        <v>1350</v>
      </c>
      <c r="BI4220">
        <v>1</v>
      </c>
      <c r="BJ4220">
        <v>1</v>
      </c>
      <c r="BK4220">
        <v>1</v>
      </c>
      <c r="BL4220">
        <v>0</v>
      </c>
      <c r="BO4220">
        <v>0</v>
      </c>
      <c r="BP4220">
        <v>0</v>
      </c>
      <c r="BW4220" t="str">
        <f>"20:37:46.179"</f>
        <v>20:37:46.179</v>
      </c>
      <c r="BZ4220">
        <v>0</v>
      </c>
      <c r="CA4220">
        <v>1600</v>
      </c>
      <c r="CB4220">
        <v>224</v>
      </c>
      <c r="CD4220">
        <v>1</v>
      </c>
      <c r="CE4220">
        <v>0</v>
      </c>
      <c r="CF4220">
        <v>0</v>
      </c>
      <c r="CG4220">
        <v>1</v>
      </c>
      <c r="CH4220">
        <v>0</v>
      </c>
      <c r="CI4220">
        <v>0</v>
      </c>
      <c r="CJ4220">
        <v>0</v>
      </c>
      <c r="CK4220">
        <v>2</v>
      </c>
      <c r="CL4220">
        <v>0</v>
      </c>
      <c r="CM4220">
        <v>2</v>
      </c>
      <c r="CN4220">
        <v>0</v>
      </c>
      <c r="CO4220">
        <v>1</v>
      </c>
      <c r="CP4220" t="s">
        <v>119</v>
      </c>
      <c r="CQ4220">
        <v>179</v>
      </c>
      <c r="CR4220">
        <v>2</v>
      </c>
      <c r="CW4220">
        <v>12643200</v>
      </c>
      <c r="CY4220">
        <v>0</v>
      </c>
      <c r="CZ4220">
        <v>0</v>
      </c>
      <c r="DA4220">
        <v>1</v>
      </c>
      <c r="DB4220">
        <v>0</v>
      </c>
      <c r="DC4220">
        <v>0</v>
      </c>
      <c r="DD4220">
        <v>0</v>
      </c>
      <c r="DE4220">
        <v>0</v>
      </c>
      <c r="DF4220">
        <v>0</v>
      </c>
      <c r="DG4220">
        <v>0</v>
      </c>
      <c r="DH4220">
        <v>0</v>
      </c>
      <c r="DI4220">
        <v>0</v>
      </c>
    </row>
    <row r="4221" spans="1:113" x14ac:dyDescent="0.3">
      <c r="A4221" t="str">
        <f>"02/08/2021 20:37:43.851"</f>
        <v>02/08/2021 20:37:43.851</v>
      </c>
      <c r="C4221" t="str">
        <f t="shared" si="209"/>
        <v>FFDFD7C0</v>
      </c>
      <c r="D4221" t="s">
        <v>124</v>
      </c>
      <c r="E4221">
        <v>11</v>
      </c>
      <c r="F4221">
        <v>1011</v>
      </c>
      <c r="G4221" t="s">
        <v>590</v>
      </c>
      <c r="J4221" t="s">
        <v>125</v>
      </c>
      <c r="K4221">
        <v>0</v>
      </c>
      <c r="L4221">
        <v>3</v>
      </c>
      <c r="M4221">
        <v>0</v>
      </c>
      <c r="N4221">
        <v>2</v>
      </c>
      <c r="O4221">
        <v>1</v>
      </c>
      <c r="P4221">
        <v>0</v>
      </c>
      <c r="Q4221">
        <v>0</v>
      </c>
      <c r="S4221" t="str">
        <f>"20:37:46.172"</f>
        <v>20:37:46.172</v>
      </c>
      <c r="T4221" t="str">
        <f>"20:37:45.172"</f>
        <v>20:37:45.172</v>
      </c>
      <c r="U4221" t="str">
        <f t="shared" si="208"/>
        <v>AB01F4</v>
      </c>
      <c r="V4221">
        <v>0</v>
      </c>
      <c r="W4221">
        <v>0</v>
      </c>
      <c r="X4221">
        <v>2</v>
      </c>
      <c r="Z4221">
        <v>0</v>
      </c>
      <c r="AA4221">
        <v>9</v>
      </c>
      <c r="AB4221">
        <v>3</v>
      </c>
      <c r="AC4221">
        <v>0</v>
      </c>
      <c r="AD4221">
        <v>10</v>
      </c>
      <c r="AE4221">
        <v>0</v>
      </c>
      <c r="AF4221">
        <v>3</v>
      </c>
      <c r="AG4221">
        <v>2</v>
      </c>
      <c r="AH4221">
        <v>0</v>
      </c>
      <c r="AI4221" t="s">
        <v>2359</v>
      </c>
      <c r="AJ4221">
        <v>40.161079999999998</v>
      </c>
      <c r="AK4221" t="s">
        <v>2360</v>
      </c>
      <c r="AL4221">
        <v>-93.149900000000002</v>
      </c>
      <c r="AM4221">
        <v>100</v>
      </c>
      <c r="AN4221">
        <v>1300</v>
      </c>
      <c r="AO4221" t="s">
        <v>118</v>
      </c>
      <c r="AP4221">
        <v>-114</v>
      </c>
      <c r="AQ4221">
        <v>60</v>
      </c>
      <c r="AR4221">
        <v>0</v>
      </c>
      <c r="AZ4221">
        <v>1200</v>
      </c>
      <c r="BA4221">
        <v>1</v>
      </c>
      <c r="BB4221" t="str">
        <f t="shared" si="210"/>
        <v xml:space="preserve">N8080G  </v>
      </c>
      <c r="BC4221">
        <v>1</v>
      </c>
      <c r="BE4221">
        <v>0</v>
      </c>
      <c r="BF4221">
        <v>0</v>
      </c>
      <c r="BG4221">
        <v>0</v>
      </c>
      <c r="BH4221">
        <v>1350</v>
      </c>
      <c r="BI4221">
        <v>1</v>
      </c>
      <c r="BJ4221">
        <v>1</v>
      </c>
      <c r="BK4221">
        <v>1</v>
      </c>
      <c r="BL4221">
        <v>0</v>
      </c>
      <c r="BO4221">
        <v>0</v>
      </c>
      <c r="BP4221">
        <v>0</v>
      </c>
      <c r="BW4221" t="str">
        <f>"20:37:46.179"</f>
        <v>20:37:46.179</v>
      </c>
      <c r="BZ4221">
        <v>0</v>
      </c>
      <c r="CA4221">
        <v>1600</v>
      </c>
      <c r="CB4221">
        <v>224</v>
      </c>
      <c r="CD4221">
        <v>1</v>
      </c>
      <c r="CE4221">
        <v>0</v>
      </c>
      <c r="CF4221">
        <v>0</v>
      </c>
      <c r="CG4221">
        <v>1</v>
      </c>
      <c r="CH4221">
        <v>0</v>
      </c>
      <c r="CI4221">
        <v>0</v>
      </c>
      <c r="CJ4221">
        <v>0</v>
      </c>
      <c r="CK4221">
        <v>2</v>
      </c>
      <c r="CL4221">
        <v>0</v>
      </c>
      <c r="CM4221">
        <v>2</v>
      </c>
      <c r="CN4221">
        <v>0</v>
      </c>
      <c r="CO4221">
        <v>1</v>
      </c>
      <c r="CP4221" t="s">
        <v>119</v>
      </c>
      <c r="CQ4221">
        <v>179</v>
      </c>
      <c r="CR4221">
        <v>2</v>
      </c>
      <c r="CW4221">
        <v>12643200</v>
      </c>
      <c r="CY4221">
        <v>0</v>
      </c>
      <c r="CZ4221">
        <v>0</v>
      </c>
      <c r="DA4221">
        <v>1</v>
      </c>
      <c r="DB4221">
        <v>0</v>
      </c>
      <c r="DC4221">
        <v>0</v>
      </c>
      <c r="DD4221">
        <v>0</v>
      </c>
      <c r="DE4221">
        <v>0</v>
      </c>
      <c r="DF4221">
        <v>0</v>
      </c>
      <c r="DG4221">
        <v>0</v>
      </c>
      <c r="DH4221">
        <v>0</v>
      </c>
      <c r="DI4221">
        <v>0</v>
      </c>
    </row>
    <row r="4222" spans="1:113" x14ac:dyDescent="0.3">
      <c r="A4222" t="str">
        <f>"02/08/2021 20:37:43.851"</f>
        <v>02/08/2021 20:37:43.851</v>
      </c>
      <c r="C4222" t="str">
        <f t="shared" si="209"/>
        <v>FFDFD7C0</v>
      </c>
      <c r="D4222" t="s">
        <v>113</v>
      </c>
      <c r="E4222">
        <v>6</v>
      </c>
      <c r="H4222">
        <v>165</v>
      </c>
      <c r="I4222" t="s">
        <v>114</v>
      </c>
      <c r="J4222" t="s">
        <v>115</v>
      </c>
      <c r="K4222">
        <v>0</v>
      </c>
      <c r="L4222">
        <v>3</v>
      </c>
      <c r="M4222">
        <v>0</v>
      </c>
      <c r="N4222">
        <v>2</v>
      </c>
      <c r="O4222">
        <v>1</v>
      </c>
      <c r="P4222">
        <v>0</v>
      </c>
      <c r="Q4222">
        <v>0</v>
      </c>
      <c r="S4222" t="str">
        <f>"20:37:46.172"</f>
        <v>20:37:46.172</v>
      </c>
      <c r="T4222" t="str">
        <f>"20:37:45.172"</f>
        <v>20:37:45.172</v>
      </c>
      <c r="U4222" t="str">
        <f t="shared" si="208"/>
        <v>AB01F4</v>
      </c>
      <c r="V4222">
        <v>0</v>
      </c>
      <c r="W4222">
        <v>0</v>
      </c>
      <c r="X4222">
        <v>2</v>
      </c>
      <c r="Z4222">
        <v>0</v>
      </c>
      <c r="AA4222">
        <v>9</v>
      </c>
      <c r="AB4222">
        <v>3</v>
      </c>
      <c r="AC4222">
        <v>0</v>
      </c>
      <c r="AD4222">
        <v>10</v>
      </c>
      <c r="AE4222">
        <v>0</v>
      </c>
      <c r="AF4222">
        <v>3</v>
      </c>
      <c r="AG4222">
        <v>2</v>
      </c>
      <c r="AH4222">
        <v>0</v>
      </c>
      <c r="AI4222" t="s">
        <v>2359</v>
      </c>
      <c r="AJ4222">
        <v>40.161079999999998</v>
      </c>
      <c r="AK4222" t="s">
        <v>2360</v>
      </c>
      <c r="AL4222">
        <v>-93.149900000000002</v>
      </c>
      <c r="AM4222">
        <v>100</v>
      </c>
      <c r="AN4222">
        <v>1300</v>
      </c>
      <c r="AO4222" t="s">
        <v>118</v>
      </c>
      <c r="AP4222">
        <v>-114</v>
      </c>
      <c r="AQ4222">
        <v>60</v>
      </c>
      <c r="AR4222">
        <v>0</v>
      </c>
      <c r="AZ4222">
        <v>1200</v>
      </c>
      <c r="BA4222">
        <v>1</v>
      </c>
      <c r="BB4222" t="str">
        <f t="shared" si="210"/>
        <v xml:space="preserve">N8080G  </v>
      </c>
      <c r="BC4222">
        <v>1</v>
      </c>
      <c r="BE4222">
        <v>0</v>
      </c>
      <c r="BF4222">
        <v>0</v>
      </c>
      <c r="BG4222">
        <v>0</v>
      </c>
      <c r="BH4222">
        <v>1350</v>
      </c>
      <c r="BI4222">
        <v>1</v>
      </c>
      <c r="BJ4222">
        <v>1</v>
      </c>
      <c r="BK4222">
        <v>1</v>
      </c>
      <c r="BL4222">
        <v>0</v>
      </c>
      <c r="BO4222">
        <v>0</v>
      </c>
      <c r="BP4222">
        <v>0</v>
      </c>
      <c r="BW4222" t="str">
        <f>"20:37:46.179"</f>
        <v>20:37:46.179</v>
      </c>
      <c r="BZ4222">
        <v>0</v>
      </c>
      <c r="CA4222">
        <v>1600</v>
      </c>
      <c r="CB4222">
        <v>224</v>
      </c>
      <c r="CD4222">
        <v>1</v>
      </c>
      <c r="CE4222">
        <v>0</v>
      </c>
      <c r="CF4222">
        <v>0</v>
      </c>
      <c r="CG4222">
        <v>1</v>
      </c>
      <c r="CH4222">
        <v>0</v>
      </c>
      <c r="CI4222">
        <v>0</v>
      </c>
      <c r="CJ4222">
        <v>0</v>
      </c>
      <c r="CK4222">
        <v>2</v>
      </c>
      <c r="CL4222">
        <v>0</v>
      </c>
      <c r="CM4222">
        <v>2</v>
      </c>
      <c r="CN4222">
        <v>0</v>
      </c>
      <c r="CO4222">
        <v>1</v>
      </c>
      <c r="CP4222" t="s">
        <v>119</v>
      </c>
      <c r="CQ4222">
        <v>179</v>
      </c>
      <c r="CR4222">
        <v>2</v>
      </c>
      <c r="CW4222">
        <v>12643200</v>
      </c>
      <c r="CY4222">
        <v>0</v>
      </c>
      <c r="CZ4222">
        <v>0</v>
      </c>
      <c r="DA4222">
        <v>1</v>
      </c>
      <c r="DB4222">
        <v>0</v>
      </c>
      <c r="DC4222">
        <v>0</v>
      </c>
      <c r="DD4222">
        <v>0</v>
      </c>
      <c r="DE4222">
        <v>0</v>
      </c>
      <c r="DF4222">
        <v>0</v>
      </c>
      <c r="DG4222">
        <v>0</v>
      </c>
      <c r="DH4222">
        <v>0</v>
      </c>
      <c r="DI4222">
        <v>0</v>
      </c>
    </row>
    <row r="4223" spans="1:113" x14ac:dyDescent="0.3">
      <c r="A4223" t="str">
        <f>"02/08/2021 20:37:45.796"</f>
        <v>02/08/2021 20:37:45.796</v>
      </c>
      <c r="C4223" t="str">
        <f t="shared" si="209"/>
        <v>FFDFD7C0</v>
      </c>
      <c r="D4223" t="s">
        <v>124</v>
      </c>
      <c r="E4223">
        <v>11</v>
      </c>
      <c r="F4223">
        <v>1011</v>
      </c>
      <c r="G4223" t="s">
        <v>590</v>
      </c>
      <c r="J4223" t="s">
        <v>125</v>
      </c>
      <c r="K4223">
        <v>0</v>
      </c>
      <c r="L4223">
        <v>3</v>
      </c>
      <c r="M4223">
        <v>0</v>
      </c>
      <c r="N4223">
        <v>2</v>
      </c>
      <c r="O4223">
        <v>1</v>
      </c>
      <c r="P4223">
        <v>0</v>
      </c>
      <c r="Q4223">
        <v>0</v>
      </c>
      <c r="S4223" t="str">
        <f>"20:37:48.125"</f>
        <v>20:37:48.125</v>
      </c>
      <c r="T4223" t="str">
        <f>"20:37:47.625"</f>
        <v>20:37:47.625</v>
      </c>
      <c r="U4223" t="str">
        <f t="shared" si="208"/>
        <v>AB01F4</v>
      </c>
      <c r="V4223">
        <v>0</v>
      </c>
      <c r="W4223">
        <v>0</v>
      </c>
      <c r="X4223">
        <v>2</v>
      </c>
      <c r="Z4223">
        <v>0</v>
      </c>
      <c r="AA4223">
        <v>9</v>
      </c>
      <c r="AB4223">
        <v>3</v>
      </c>
      <c r="AC4223">
        <v>0</v>
      </c>
      <c r="AD4223">
        <v>10</v>
      </c>
      <c r="AE4223">
        <v>0</v>
      </c>
      <c r="AF4223">
        <v>3</v>
      </c>
      <c r="AG4223">
        <v>2</v>
      </c>
      <c r="AH4223">
        <v>0</v>
      </c>
      <c r="AI4223" t="s">
        <v>2361</v>
      </c>
      <c r="AJ4223">
        <v>40.161617</v>
      </c>
      <c r="AK4223" t="s">
        <v>2362</v>
      </c>
      <c r="AL4223">
        <v>-93.151317000000006</v>
      </c>
      <c r="AM4223">
        <v>100</v>
      </c>
      <c r="AN4223">
        <v>1300</v>
      </c>
      <c r="AO4223" t="s">
        <v>118</v>
      </c>
      <c r="AP4223">
        <v>-114</v>
      </c>
      <c r="AQ4223">
        <v>60</v>
      </c>
      <c r="AR4223">
        <v>64</v>
      </c>
      <c r="AZ4223">
        <v>1200</v>
      </c>
      <c r="BA4223">
        <v>1</v>
      </c>
      <c r="BB4223" t="str">
        <f t="shared" si="210"/>
        <v xml:space="preserve">N8080G  </v>
      </c>
      <c r="BC4223">
        <v>1</v>
      </c>
      <c r="BE4223">
        <v>0</v>
      </c>
      <c r="BF4223">
        <v>0</v>
      </c>
      <c r="BG4223">
        <v>0</v>
      </c>
      <c r="BH4223">
        <v>1350</v>
      </c>
      <c r="BI4223">
        <v>1</v>
      </c>
      <c r="BJ4223">
        <v>1</v>
      </c>
      <c r="BK4223">
        <v>1</v>
      </c>
      <c r="BL4223">
        <v>0</v>
      </c>
      <c r="BO4223">
        <v>0</v>
      </c>
      <c r="BP4223">
        <v>0</v>
      </c>
      <c r="BW4223" t="str">
        <f>"20:37:48.128"</f>
        <v>20:37:48.128</v>
      </c>
      <c r="BZ4223">
        <v>0</v>
      </c>
      <c r="CA4223">
        <v>1600</v>
      </c>
      <c r="CB4223">
        <v>224</v>
      </c>
      <c r="CD4223">
        <v>1</v>
      </c>
      <c r="CE4223">
        <v>0</v>
      </c>
      <c r="CF4223">
        <v>0</v>
      </c>
      <c r="CG4223">
        <v>1</v>
      </c>
      <c r="CH4223">
        <v>0</v>
      </c>
      <c r="CI4223">
        <v>0</v>
      </c>
      <c r="CJ4223">
        <v>0</v>
      </c>
      <c r="CK4223">
        <v>2</v>
      </c>
      <c r="CL4223">
        <v>0</v>
      </c>
      <c r="CM4223">
        <v>2</v>
      </c>
      <c r="CN4223">
        <v>0</v>
      </c>
      <c r="CO4223">
        <v>5</v>
      </c>
      <c r="CP4223" t="s">
        <v>119</v>
      </c>
      <c r="CQ4223">
        <v>180</v>
      </c>
      <c r="CR4223">
        <v>3</v>
      </c>
      <c r="CW4223">
        <v>1371489</v>
      </c>
      <c r="CY4223">
        <v>0</v>
      </c>
      <c r="CZ4223">
        <v>0</v>
      </c>
      <c r="DA4223">
        <v>0</v>
      </c>
      <c r="DB4223">
        <v>0</v>
      </c>
      <c r="DC4223">
        <v>0</v>
      </c>
      <c r="DD4223">
        <v>0</v>
      </c>
      <c r="DE4223">
        <v>0</v>
      </c>
      <c r="DF4223">
        <v>0</v>
      </c>
      <c r="DG4223">
        <v>0</v>
      </c>
      <c r="DH4223">
        <v>0</v>
      </c>
      <c r="DI4223">
        <v>0</v>
      </c>
    </row>
    <row r="4224" spans="1:113" x14ac:dyDescent="0.3">
      <c r="A4224" t="str">
        <f>"02/08/2021 20:37:45.796"</f>
        <v>02/08/2021 20:37:45.796</v>
      </c>
      <c r="C4224" t="str">
        <f t="shared" si="209"/>
        <v>FFDFD7C0</v>
      </c>
      <c r="D4224" t="s">
        <v>113</v>
      </c>
      <c r="E4224">
        <v>6</v>
      </c>
      <c r="H4224">
        <v>165</v>
      </c>
      <c r="I4224" t="s">
        <v>114</v>
      </c>
      <c r="J4224" t="s">
        <v>115</v>
      </c>
      <c r="K4224">
        <v>0</v>
      </c>
      <c r="L4224">
        <v>3</v>
      </c>
      <c r="M4224">
        <v>0</v>
      </c>
      <c r="N4224">
        <v>2</v>
      </c>
      <c r="O4224">
        <v>1</v>
      </c>
      <c r="P4224">
        <v>0</v>
      </c>
      <c r="Q4224">
        <v>0</v>
      </c>
      <c r="S4224" t="str">
        <f>"20:37:48.125"</f>
        <v>20:37:48.125</v>
      </c>
      <c r="T4224" t="str">
        <f>"20:37:47.625"</f>
        <v>20:37:47.625</v>
      </c>
      <c r="U4224" t="str">
        <f t="shared" si="208"/>
        <v>AB01F4</v>
      </c>
      <c r="V4224">
        <v>0</v>
      </c>
      <c r="W4224">
        <v>0</v>
      </c>
      <c r="X4224">
        <v>2</v>
      </c>
      <c r="Z4224">
        <v>0</v>
      </c>
      <c r="AA4224">
        <v>9</v>
      </c>
      <c r="AB4224">
        <v>3</v>
      </c>
      <c r="AC4224">
        <v>0</v>
      </c>
      <c r="AD4224">
        <v>10</v>
      </c>
      <c r="AE4224">
        <v>0</v>
      </c>
      <c r="AF4224">
        <v>3</v>
      </c>
      <c r="AG4224">
        <v>2</v>
      </c>
      <c r="AH4224">
        <v>0</v>
      </c>
      <c r="AI4224" t="s">
        <v>2361</v>
      </c>
      <c r="AJ4224">
        <v>40.161617</v>
      </c>
      <c r="AK4224" t="s">
        <v>2362</v>
      </c>
      <c r="AL4224">
        <v>-93.151317000000006</v>
      </c>
      <c r="AM4224">
        <v>100</v>
      </c>
      <c r="AN4224">
        <v>1300</v>
      </c>
      <c r="AO4224" t="s">
        <v>118</v>
      </c>
      <c r="AP4224">
        <v>-114</v>
      </c>
      <c r="AQ4224">
        <v>60</v>
      </c>
      <c r="AR4224">
        <v>64</v>
      </c>
      <c r="AZ4224">
        <v>1200</v>
      </c>
      <c r="BA4224">
        <v>1</v>
      </c>
      <c r="BB4224" t="str">
        <f t="shared" si="210"/>
        <v xml:space="preserve">N8080G  </v>
      </c>
      <c r="BC4224">
        <v>1</v>
      </c>
      <c r="BE4224">
        <v>0</v>
      </c>
      <c r="BF4224">
        <v>0</v>
      </c>
      <c r="BG4224">
        <v>0</v>
      </c>
      <c r="BH4224">
        <v>1350</v>
      </c>
      <c r="BI4224">
        <v>1</v>
      </c>
      <c r="BJ4224">
        <v>1</v>
      </c>
      <c r="BK4224">
        <v>1</v>
      </c>
      <c r="BL4224">
        <v>0</v>
      </c>
      <c r="BO4224">
        <v>0</v>
      </c>
      <c r="BP4224">
        <v>0</v>
      </c>
      <c r="BW4224" t="str">
        <f>"20:37:48.128"</f>
        <v>20:37:48.128</v>
      </c>
      <c r="BZ4224">
        <v>0</v>
      </c>
      <c r="CA4224">
        <v>1600</v>
      </c>
      <c r="CB4224">
        <v>224</v>
      </c>
      <c r="CD4224">
        <v>1</v>
      </c>
      <c r="CE4224">
        <v>0</v>
      </c>
      <c r="CF4224">
        <v>0</v>
      </c>
      <c r="CG4224">
        <v>1</v>
      </c>
      <c r="CH4224">
        <v>0</v>
      </c>
      <c r="CI4224">
        <v>0</v>
      </c>
      <c r="CJ4224">
        <v>0</v>
      </c>
      <c r="CK4224">
        <v>2</v>
      </c>
      <c r="CL4224">
        <v>0</v>
      </c>
      <c r="CM4224">
        <v>2</v>
      </c>
      <c r="CN4224">
        <v>0</v>
      </c>
      <c r="CO4224">
        <v>5</v>
      </c>
      <c r="CP4224" t="s">
        <v>119</v>
      </c>
      <c r="CQ4224">
        <v>180</v>
      </c>
      <c r="CR4224">
        <v>3</v>
      </c>
      <c r="CW4224">
        <v>1371489</v>
      </c>
      <c r="CY4224">
        <v>0</v>
      </c>
      <c r="CZ4224">
        <v>0</v>
      </c>
      <c r="DA4224">
        <v>1</v>
      </c>
      <c r="DB4224">
        <v>0</v>
      </c>
      <c r="DC4224">
        <v>0</v>
      </c>
      <c r="DD4224">
        <v>0</v>
      </c>
      <c r="DE4224">
        <v>0</v>
      </c>
      <c r="DF4224">
        <v>0</v>
      </c>
      <c r="DG4224">
        <v>0</v>
      </c>
      <c r="DH4224">
        <v>0</v>
      </c>
      <c r="DI4224">
        <v>0</v>
      </c>
    </row>
    <row r="4225" spans="1:113" x14ac:dyDescent="0.3">
      <c r="A4225" t="str">
        <f>"02/08/2021 20:37:45.796"</f>
        <v>02/08/2021 20:37:45.796</v>
      </c>
      <c r="C4225" t="str">
        <f t="shared" si="209"/>
        <v>FFDFD7C0</v>
      </c>
      <c r="D4225" t="s">
        <v>124</v>
      </c>
      <c r="E4225">
        <v>13</v>
      </c>
      <c r="F4225">
        <v>1013</v>
      </c>
      <c r="G4225" t="s">
        <v>114</v>
      </c>
      <c r="J4225" t="s">
        <v>125</v>
      </c>
      <c r="K4225">
        <v>0</v>
      </c>
      <c r="L4225">
        <v>3</v>
      </c>
      <c r="M4225">
        <v>0</v>
      </c>
      <c r="N4225">
        <v>2</v>
      </c>
      <c r="O4225">
        <v>1</v>
      </c>
      <c r="P4225">
        <v>0</v>
      </c>
      <c r="Q4225">
        <v>0</v>
      </c>
      <c r="S4225" t="str">
        <f>"20:37:48.125"</f>
        <v>20:37:48.125</v>
      </c>
      <c r="T4225" t="str">
        <f>"20:37:47.625"</f>
        <v>20:37:47.625</v>
      </c>
      <c r="U4225" t="str">
        <f t="shared" si="208"/>
        <v>AB01F4</v>
      </c>
      <c r="V4225">
        <v>0</v>
      </c>
      <c r="W4225">
        <v>0</v>
      </c>
      <c r="X4225">
        <v>2</v>
      </c>
      <c r="Z4225">
        <v>0</v>
      </c>
      <c r="AA4225">
        <v>9</v>
      </c>
      <c r="AB4225">
        <v>3</v>
      </c>
      <c r="AC4225">
        <v>0</v>
      </c>
      <c r="AD4225">
        <v>10</v>
      </c>
      <c r="AE4225">
        <v>0</v>
      </c>
      <c r="AF4225">
        <v>3</v>
      </c>
      <c r="AG4225">
        <v>2</v>
      </c>
      <c r="AH4225">
        <v>0</v>
      </c>
      <c r="AI4225" t="s">
        <v>2361</v>
      </c>
      <c r="AJ4225">
        <v>40.161617</v>
      </c>
      <c r="AK4225" t="s">
        <v>2362</v>
      </c>
      <c r="AL4225">
        <v>-93.151317000000006</v>
      </c>
      <c r="AM4225">
        <v>100</v>
      </c>
      <c r="AN4225">
        <v>1300</v>
      </c>
      <c r="AO4225" t="s">
        <v>118</v>
      </c>
      <c r="AP4225">
        <v>-114</v>
      </c>
      <c r="AQ4225">
        <v>60</v>
      </c>
      <c r="AR4225">
        <v>64</v>
      </c>
      <c r="AZ4225">
        <v>1200</v>
      </c>
      <c r="BA4225">
        <v>1</v>
      </c>
      <c r="BB4225" t="str">
        <f t="shared" si="210"/>
        <v xml:space="preserve">N8080G  </v>
      </c>
      <c r="BC4225">
        <v>1</v>
      </c>
      <c r="BE4225">
        <v>0</v>
      </c>
      <c r="BF4225">
        <v>0</v>
      </c>
      <c r="BG4225">
        <v>0</v>
      </c>
      <c r="BH4225">
        <v>1350</v>
      </c>
      <c r="BI4225">
        <v>1</v>
      </c>
      <c r="BJ4225">
        <v>1</v>
      </c>
      <c r="BK4225">
        <v>1</v>
      </c>
      <c r="BL4225">
        <v>0</v>
      </c>
      <c r="BO4225">
        <v>0</v>
      </c>
      <c r="BP4225">
        <v>0</v>
      </c>
      <c r="BW4225" t="str">
        <f>"20:37:48.128"</f>
        <v>20:37:48.128</v>
      </c>
      <c r="BZ4225">
        <v>0</v>
      </c>
      <c r="CA4225">
        <v>1600</v>
      </c>
      <c r="CB4225">
        <v>224</v>
      </c>
      <c r="CD4225">
        <v>1</v>
      </c>
      <c r="CE4225">
        <v>0</v>
      </c>
      <c r="CF4225">
        <v>0</v>
      </c>
      <c r="CG4225">
        <v>1</v>
      </c>
      <c r="CH4225">
        <v>0</v>
      </c>
      <c r="CI4225">
        <v>0</v>
      </c>
      <c r="CJ4225">
        <v>0</v>
      </c>
      <c r="CK4225">
        <v>2</v>
      </c>
      <c r="CL4225">
        <v>0</v>
      </c>
      <c r="CM4225">
        <v>2</v>
      </c>
      <c r="CN4225">
        <v>0</v>
      </c>
      <c r="CO4225">
        <v>5</v>
      </c>
      <c r="CP4225" t="s">
        <v>119</v>
      </c>
      <c r="CQ4225">
        <v>180</v>
      </c>
      <c r="CR4225">
        <v>3</v>
      </c>
      <c r="CW4225">
        <v>1371489</v>
      </c>
      <c r="CY4225">
        <v>0</v>
      </c>
      <c r="CZ4225">
        <v>0</v>
      </c>
      <c r="DA4225">
        <v>1</v>
      </c>
      <c r="DB4225">
        <v>0</v>
      </c>
      <c r="DC4225">
        <v>0</v>
      </c>
      <c r="DD4225">
        <v>0</v>
      </c>
      <c r="DE4225">
        <v>0</v>
      </c>
      <c r="DF4225">
        <v>0</v>
      </c>
      <c r="DG4225">
        <v>0</v>
      </c>
      <c r="DH4225">
        <v>0</v>
      </c>
      <c r="DI4225">
        <v>0</v>
      </c>
    </row>
    <row r="4226" spans="1:113" x14ac:dyDescent="0.3">
      <c r="A4226" t="str">
        <f>"02/08/2021 20:37:45.796"</f>
        <v>02/08/2021 20:37:45.796</v>
      </c>
      <c r="C4226" t="str">
        <f t="shared" si="209"/>
        <v>FFDFD7C0</v>
      </c>
      <c r="D4226" t="s">
        <v>124</v>
      </c>
      <c r="E4226">
        <v>12</v>
      </c>
      <c r="F4226">
        <v>1012</v>
      </c>
      <c r="G4226" t="s">
        <v>675</v>
      </c>
      <c r="J4226" t="s">
        <v>125</v>
      </c>
      <c r="K4226">
        <v>0</v>
      </c>
      <c r="L4226">
        <v>3</v>
      </c>
      <c r="M4226">
        <v>0</v>
      </c>
      <c r="N4226">
        <v>2</v>
      </c>
      <c r="O4226">
        <v>1</v>
      </c>
      <c r="P4226">
        <v>0</v>
      </c>
      <c r="Q4226">
        <v>0</v>
      </c>
      <c r="S4226" t="str">
        <f>"20:37:48.125"</f>
        <v>20:37:48.125</v>
      </c>
      <c r="T4226" t="str">
        <f>"20:37:47.625"</f>
        <v>20:37:47.625</v>
      </c>
      <c r="U4226" t="str">
        <f t="shared" ref="U4226:U4289" si="211">"AB01F4"</f>
        <v>AB01F4</v>
      </c>
      <c r="V4226">
        <v>0</v>
      </c>
      <c r="W4226">
        <v>0</v>
      </c>
      <c r="X4226">
        <v>2</v>
      </c>
      <c r="Z4226">
        <v>0</v>
      </c>
      <c r="AA4226">
        <v>9</v>
      </c>
      <c r="AB4226">
        <v>3</v>
      </c>
      <c r="AC4226">
        <v>0</v>
      </c>
      <c r="AD4226">
        <v>10</v>
      </c>
      <c r="AE4226">
        <v>0</v>
      </c>
      <c r="AF4226">
        <v>3</v>
      </c>
      <c r="AG4226">
        <v>2</v>
      </c>
      <c r="AH4226">
        <v>0</v>
      </c>
      <c r="AI4226" t="s">
        <v>2361</v>
      </c>
      <c r="AJ4226">
        <v>40.161617</v>
      </c>
      <c r="AK4226" t="s">
        <v>2362</v>
      </c>
      <c r="AL4226">
        <v>-93.151317000000006</v>
      </c>
      <c r="AM4226">
        <v>100</v>
      </c>
      <c r="AN4226">
        <v>1300</v>
      </c>
      <c r="AO4226" t="s">
        <v>118</v>
      </c>
      <c r="AP4226">
        <v>-114</v>
      </c>
      <c r="AQ4226">
        <v>60</v>
      </c>
      <c r="AR4226">
        <v>64</v>
      </c>
      <c r="AZ4226">
        <v>1200</v>
      </c>
      <c r="BA4226">
        <v>1</v>
      </c>
      <c r="BB4226" t="str">
        <f t="shared" si="210"/>
        <v xml:space="preserve">N8080G  </v>
      </c>
      <c r="BC4226">
        <v>1</v>
      </c>
      <c r="BE4226">
        <v>0</v>
      </c>
      <c r="BF4226">
        <v>0</v>
      </c>
      <c r="BG4226">
        <v>0</v>
      </c>
      <c r="BH4226">
        <v>1350</v>
      </c>
      <c r="BI4226">
        <v>1</v>
      </c>
      <c r="BJ4226">
        <v>1</v>
      </c>
      <c r="BK4226">
        <v>1</v>
      </c>
      <c r="BL4226">
        <v>0</v>
      </c>
      <c r="BO4226">
        <v>0</v>
      </c>
      <c r="BP4226">
        <v>0</v>
      </c>
      <c r="BW4226" t="str">
        <f>"20:37:48.128"</f>
        <v>20:37:48.128</v>
      </c>
      <c r="BZ4226">
        <v>0</v>
      </c>
      <c r="CA4226">
        <v>1600</v>
      </c>
      <c r="CB4226">
        <v>224</v>
      </c>
      <c r="CD4226">
        <v>1</v>
      </c>
      <c r="CE4226">
        <v>0</v>
      </c>
      <c r="CF4226">
        <v>0</v>
      </c>
      <c r="CG4226">
        <v>1</v>
      </c>
      <c r="CH4226">
        <v>0</v>
      </c>
      <c r="CI4226">
        <v>0</v>
      </c>
      <c r="CJ4226">
        <v>0</v>
      </c>
      <c r="CK4226">
        <v>2</v>
      </c>
      <c r="CL4226">
        <v>0</v>
      </c>
      <c r="CM4226">
        <v>2</v>
      </c>
      <c r="CN4226">
        <v>0</v>
      </c>
      <c r="CO4226">
        <v>5</v>
      </c>
      <c r="CP4226" t="s">
        <v>119</v>
      </c>
      <c r="CQ4226">
        <v>180</v>
      </c>
      <c r="CR4226">
        <v>3</v>
      </c>
      <c r="CW4226">
        <v>1371489</v>
      </c>
      <c r="CY4226">
        <v>0</v>
      </c>
      <c r="CZ4226">
        <v>0</v>
      </c>
      <c r="DA4226">
        <v>1</v>
      </c>
      <c r="DB4226">
        <v>0</v>
      </c>
      <c r="DC4226">
        <v>0</v>
      </c>
      <c r="DD4226">
        <v>0</v>
      </c>
      <c r="DE4226">
        <v>0</v>
      </c>
      <c r="DF4226">
        <v>0</v>
      </c>
      <c r="DG4226">
        <v>0</v>
      </c>
      <c r="DH4226">
        <v>0</v>
      </c>
      <c r="DI4226">
        <v>0</v>
      </c>
    </row>
    <row r="4227" spans="1:113" x14ac:dyDescent="0.3">
      <c r="A4227" t="str">
        <f>"02/08/2021 20:37:46.807"</f>
        <v>02/08/2021 20:37:46.807</v>
      </c>
      <c r="C4227" t="str">
        <f t="shared" si="209"/>
        <v>FFDFD7C0</v>
      </c>
      <c r="D4227" t="s">
        <v>124</v>
      </c>
      <c r="E4227">
        <v>11</v>
      </c>
      <c r="F4227">
        <v>1011</v>
      </c>
      <c r="G4227" t="s">
        <v>590</v>
      </c>
      <c r="J4227" t="s">
        <v>125</v>
      </c>
      <c r="K4227">
        <v>0</v>
      </c>
      <c r="L4227">
        <v>3</v>
      </c>
      <c r="M4227">
        <v>0</v>
      </c>
      <c r="N4227">
        <v>2</v>
      </c>
      <c r="O4227">
        <v>1</v>
      </c>
      <c r="P4227">
        <v>0</v>
      </c>
      <c r="Q4227">
        <v>0</v>
      </c>
      <c r="S4227" t="str">
        <f>"20:37:49.125"</f>
        <v>20:37:49.125</v>
      </c>
      <c r="T4227" t="str">
        <f>"20:37:48.125"</f>
        <v>20:37:48.125</v>
      </c>
      <c r="U4227" t="str">
        <f t="shared" si="211"/>
        <v>AB01F4</v>
      </c>
      <c r="V4227">
        <v>0</v>
      </c>
      <c r="W4227">
        <v>0</v>
      </c>
      <c r="X4227">
        <v>2</v>
      </c>
      <c r="Z4227">
        <v>0</v>
      </c>
      <c r="AA4227">
        <v>9</v>
      </c>
      <c r="AB4227">
        <v>3</v>
      </c>
      <c r="AC4227">
        <v>0</v>
      </c>
      <c r="AD4227">
        <v>10</v>
      </c>
      <c r="AE4227">
        <v>0</v>
      </c>
      <c r="AF4227">
        <v>3</v>
      </c>
      <c r="AG4227">
        <v>2</v>
      </c>
      <c r="AH4227">
        <v>0</v>
      </c>
      <c r="AI4227" t="s">
        <v>2363</v>
      </c>
      <c r="AJ4227">
        <v>40.161895999999999</v>
      </c>
      <c r="AK4227" t="s">
        <v>2364</v>
      </c>
      <c r="AL4227">
        <v>-93.151982000000004</v>
      </c>
      <c r="AM4227">
        <v>100</v>
      </c>
      <c r="AN4227">
        <v>1300</v>
      </c>
      <c r="AO4227" t="s">
        <v>118</v>
      </c>
      <c r="AP4227">
        <v>-114</v>
      </c>
      <c r="AQ4227">
        <v>60</v>
      </c>
      <c r="AR4227">
        <v>128</v>
      </c>
      <c r="AZ4227">
        <v>1200</v>
      </c>
      <c r="BA4227">
        <v>1</v>
      </c>
      <c r="BB4227" t="str">
        <f t="shared" si="210"/>
        <v xml:space="preserve">N8080G  </v>
      </c>
      <c r="BC4227">
        <v>1</v>
      </c>
      <c r="BE4227">
        <v>0</v>
      </c>
      <c r="BF4227">
        <v>0</v>
      </c>
      <c r="BG4227">
        <v>0</v>
      </c>
      <c r="BH4227">
        <v>1350</v>
      </c>
      <c r="BI4227">
        <v>1</v>
      </c>
      <c r="BJ4227">
        <v>1</v>
      </c>
      <c r="BK4227">
        <v>1</v>
      </c>
      <c r="BL4227">
        <v>0</v>
      </c>
      <c r="BO4227">
        <v>0</v>
      </c>
      <c r="BP4227">
        <v>0</v>
      </c>
      <c r="BW4227" t="str">
        <f>"20:37:49.133"</f>
        <v>20:37:49.133</v>
      </c>
      <c r="BZ4227">
        <v>0</v>
      </c>
      <c r="CA4227">
        <v>1600</v>
      </c>
      <c r="CB4227">
        <v>224</v>
      </c>
      <c r="CD4227">
        <v>1</v>
      </c>
      <c r="CE4227">
        <v>0</v>
      </c>
      <c r="CF4227">
        <v>0</v>
      </c>
      <c r="CG4227">
        <v>1</v>
      </c>
      <c r="CH4227">
        <v>0</v>
      </c>
      <c r="CI4227">
        <v>0</v>
      </c>
      <c r="CJ4227">
        <v>0</v>
      </c>
      <c r="CK4227">
        <v>2</v>
      </c>
      <c r="CL4227">
        <v>0</v>
      </c>
      <c r="CM4227">
        <v>2</v>
      </c>
      <c r="CN4227">
        <v>0</v>
      </c>
      <c r="CO4227">
        <v>2</v>
      </c>
      <c r="CP4227" t="s">
        <v>119</v>
      </c>
      <c r="CQ4227">
        <v>179</v>
      </c>
      <c r="CR4227">
        <v>2</v>
      </c>
      <c r="CW4227">
        <v>12645659</v>
      </c>
      <c r="CY4227">
        <v>0</v>
      </c>
      <c r="CZ4227">
        <v>0</v>
      </c>
      <c r="DA4227">
        <v>0</v>
      </c>
      <c r="DB4227">
        <v>0</v>
      </c>
      <c r="DC4227">
        <v>0</v>
      </c>
      <c r="DD4227">
        <v>0</v>
      </c>
      <c r="DE4227">
        <v>0</v>
      </c>
      <c r="DF4227">
        <v>0</v>
      </c>
      <c r="DG4227">
        <v>0</v>
      </c>
      <c r="DH4227">
        <v>0</v>
      </c>
      <c r="DI4227">
        <v>0</v>
      </c>
    </row>
    <row r="4228" spans="1:113" x14ac:dyDescent="0.3">
      <c r="A4228" t="str">
        <f>"02/08/2021 20:37:46.807"</f>
        <v>02/08/2021 20:37:46.807</v>
      </c>
      <c r="C4228" t="str">
        <f t="shared" si="209"/>
        <v>FFDFD7C0</v>
      </c>
      <c r="D4228" t="s">
        <v>124</v>
      </c>
      <c r="E4228">
        <v>13</v>
      </c>
      <c r="F4228">
        <v>1013</v>
      </c>
      <c r="G4228" t="s">
        <v>114</v>
      </c>
      <c r="J4228" t="s">
        <v>125</v>
      </c>
      <c r="K4228">
        <v>0</v>
      </c>
      <c r="L4228">
        <v>3</v>
      </c>
      <c r="M4228">
        <v>0</v>
      </c>
      <c r="N4228">
        <v>2</v>
      </c>
      <c r="O4228">
        <v>1</v>
      </c>
      <c r="P4228">
        <v>0</v>
      </c>
      <c r="Q4228">
        <v>0</v>
      </c>
      <c r="S4228" t="str">
        <f>"20:37:49.125"</f>
        <v>20:37:49.125</v>
      </c>
      <c r="T4228" t="str">
        <f>"20:37:48.125"</f>
        <v>20:37:48.125</v>
      </c>
      <c r="U4228" t="str">
        <f t="shared" si="211"/>
        <v>AB01F4</v>
      </c>
      <c r="V4228">
        <v>0</v>
      </c>
      <c r="W4228">
        <v>0</v>
      </c>
      <c r="X4228">
        <v>2</v>
      </c>
      <c r="Z4228">
        <v>0</v>
      </c>
      <c r="AA4228">
        <v>9</v>
      </c>
      <c r="AB4228">
        <v>3</v>
      </c>
      <c r="AC4228">
        <v>0</v>
      </c>
      <c r="AD4228">
        <v>10</v>
      </c>
      <c r="AE4228">
        <v>0</v>
      </c>
      <c r="AF4228">
        <v>3</v>
      </c>
      <c r="AG4228">
        <v>2</v>
      </c>
      <c r="AH4228">
        <v>0</v>
      </c>
      <c r="AI4228" t="s">
        <v>2363</v>
      </c>
      <c r="AJ4228">
        <v>40.161895999999999</v>
      </c>
      <c r="AK4228" t="s">
        <v>2364</v>
      </c>
      <c r="AL4228">
        <v>-93.151982000000004</v>
      </c>
      <c r="AM4228">
        <v>100</v>
      </c>
      <c r="AN4228">
        <v>1300</v>
      </c>
      <c r="AO4228" t="s">
        <v>118</v>
      </c>
      <c r="AP4228">
        <v>-114</v>
      </c>
      <c r="AQ4228">
        <v>60</v>
      </c>
      <c r="AR4228">
        <v>128</v>
      </c>
      <c r="AZ4228">
        <v>1200</v>
      </c>
      <c r="BA4228">
        <v>1</v>
      </c>
      <c r="BB4228" t="str">
        <f t="shared" si="210"/>
        <v xml:space="preserve">N8080G  </v>
      </c>
      <c r="BC4228">
        <v>1</v>
      </c>
      <c r="BE4228">
        <v>0</v>
      </c>
      <c r="BF4228">
        <v>0</v>
      </c>
      <c r="BG4228">
        <v>0</v>
      </c>
      <c r="BH4228">
        <v>1350</v>
      </c>
      <c r="BI4228">
        <v>1</v>
      </c>
      <c r="BJ4228">
        <v>1</v>
      </c>
      <c r="BK4228">
        <v>1</v>
      </c>
      <c r="BL4228">
        <v>0</v>
      </c>
      <c r="BO4228">
        <v>0</v>
      </c>
      <c r="BP4228">
        <v>0</v>
      </c>
      <c r="BW4228" t="str">
        <f>"20:37:49.133"</f>
        <v>20:37:49.133</v>
      </c>
      <c r="BZ4228">
        <v>0</v>
      </c>
      <c r="CA4228">
        <v>1600</v>
      </c>
      <c r="CB4228">
        <v>224</v>
      </c>
      <c r="CD4228">
        <v>1</v>
      </c>
      <c r="CE4228">
        <v>0</v>
      </c>
      <c r="CF4228">
        <v>0</v>
      </c>
      <c r="CG4228">
        <v>1</v>
      </c>
      <c r="CH4228">
        <v>0</v>
      </c>
      <c r="CI4228">
        <v>0</v>
      </c>
      <c r="CJ4228">
        <v>0</v>
      </c>
      <c r="CK4228">
        <v>2</v>
      </c>
      <c r="CL4228">
        <v>0</v>
      </c>
      <c r="CM4228">
        <v>2</v>
      </c>
      <c r="CN4228">
        <v>0</v>
      </c>
      <c r="CO4228">
        <v>2</v>
      </c>
      <c r="CP4228" t="s">
        <v>119</v>
      </c>
      <c r="CQ4228">
        <v>179</v>
      </c>
      <c r="CR4228">
        <v>2</v>
      </c>
      <c r="CW4228">
        <v>12645659</v>
      </c>
      <c r="CY4228">
        <v>0</v>
      </c>
      <c r="CZ4228">
        <v>0</v>
      </c>
      <c r="DA4228">
        <v>1</v>
      </c>
      <c r="DB4228">
        <v>0</v>
      </c>
      <c r="DC4228">
        <v>0</v>
      </c>
      <c r="DD4228">
        <v>0</v>
      </c>
      <c r="DE4228">
        <v>0</v>
      </c>
      <c r="DF4228">
        <v>0</v>
      </c>
      <c r="DG4228">
        <v>0</v>
      </c>
      <c r="DH4228">
        <v>0</v>
      </c>
      <c r="DI4228">
        <v>0</v>
      </c>
    </row>
    <row r="4229" spans="1:113" x14ac:dyDescent="0.3">
      <c r="A4229" t="str">
        <f>"02/08/2021 20:37:46.807"</f>
        <v>02/08/2021 20:37:46.807</v>
      </c>
      <c r="C4229" t="str">
        <f t="shared" si="209"/>
        <v>FFDFD7C0</v>
      </c>
      <c r="D4229" t="s">
        <v>113</v>
      </c>
      <c r="E4229">
        <v>6</v>
      </c>
      <c r="H4229">
        <v>165</v>
      </c>
      <c r="I4229" t="s">
        <v>114</v>
      </c>
      <c r="J4229" t="s">
        <v>115</v>
      </c>
      <c r="K4229">
        <v>0</v>
      </c>
      <c r="L4229">
        <v>3</v>
      </c>
      <c r="M4229">
        <v>0</v>
      </c>
      <c r="N4229">
        <v>2</v>
      </c>
      <c r="O4229">
        <v>1</v>
      </c>
      <c r="P4229">
        <v>0</v>
      </c>
      <c r="Q4229">
        <v>0</v>
      </c>
      <c r="S4229" t="str">
        <f>"20:37:49.125"</f>
        <v>20:37:49.125</v>
      </c>
      <c r="T4229" t="str">
        <f>"20:37:48.125"</f>
        <v>20:37:48.125</v>
      </c>
      <c r="U4229" t="str">
        <f t="shared" si="211"/>
        <v>AB01F4</v>
      </c>
      <c r="V4229">
        <v>0</v>
      </c>
      <c r="W4229">
        <v>0</v>
      </c>
      <c r="X4229">
        <v>2</v>
      </c>
      <c r="Z4229">
        <v>0</v>
      </c>
      <c r="AA4229">
        <v>9</v>
      </c>
      <c r="AB4229">
        <v>3</v>
      </c>
      <c r="AC4229">
        <v>0</v>
      </c>
      <c r="AD4229">
        <v>10</v>
      </c>
      <c r="AE4229">
        <v>0</v>
      </c>
      <c r="AF4229">
        <v>3</v>
      </c>
      <c r="AG4229">
        <v>2</v>
      </c>
      <c r="AH4229">
        <v>0</v>
      </c>
      <c r="AI4229" t="s">
        <v>2363</v>
      </c>
      <c r="AJ4229">
        <v>40.161895999999999</v>
      </c>
      <c r="AK4229" t="s">
        <v>2364</v>
      </c>
      <c r="AL4229">
        <v>-93.151982000000004</v>
      </c>
      <c r="AM4229">
        <v>100</v>
      </c>
      <c r="AN4229">
        <v>1300</v>
      </c>
      <c r="AO4229" t="s">
        <v>118</v>
      </c>
      <c r="AP4229">
        <v>-114</v>
      </c>
      <c r="AQ4229">
        <v>60</v>
      </c>
      <c r="AR4229">
        <v>128</v>
      </c>
      <c r="AZ4229">
        <v>1200</v>
      </c>
      <c r="BA4229">
        <v>1</v>
      </c>
      <c r="BB4229" t="str">
        <f t="shared" si="210"/>
        <v xml:space="preserve">N8080G  </v>
      </c>
      <c r="BC4229">
        <v>1</v>
      </c>
      <c r="BE4229">
        <v>0</v>
      </c>
      <c r="BF4229">
        <v>0</v>
      </c>
      <c r="BG4229">
        <v>0</v>
      </c>
      <c r="BH4229">
        <v>1350</v>
      </c>
      <c r="BI4229">
        <v>1</v>
      </c>
      <c r="BJ4229">
        <v>1</v>
      </c>
      <c r="BK4229">
        <v>1</v>
      </c>
      <c r="BL4229">
        <v>0</v>
      </c>
      <c r="BO4229">
        <v>0</v>
      </c>
      <c r="BP4229">
        <v>0</v>
      </c>
      <c r="BW4229" t="str">
        <f>"20:37:49.133"</f>
        <v>20:37:49.133</v>
      </c>
      <c r="BZ4229">
        <v>0</v>
      </c>
      <c r="CA4229">
        <v>1600</v>
      </c>
      <c r="CB4229">
        <v>224</v>
      </c>
      <c r="CD4229">
        <v>1</v>
      </c>
      <c r="CE4229">
        <v>0</v>
      </c>
      <c r="CF4229">
        <v>0</v>
      </c>
      <c r="CG4229">
        <v>1</v>
      </c>
      <c r="CH4229">
        <v>0</v>
      </c>
      <c r="CI4229">
        <v>0</v>
      </c>
      <c r="CJ4229">
        <v>0</v>
      </c>
      <c r="CK4229">
        <v>2</v>
      </c>
      <c r="CL4229">
        <v>0</v>
      </c>
      <c r="CM4229">
        <v>2</v>
      </c>
      <c r="CN4229">
        <v>0</v>
      </c>
      <c r="CO4229">
        <v>2</v>
      </c>
      <c r="CP4229" t="s">
        <v>119</v>
      </c>
      <c r="CQ4229">
        <v>179</v>
      </c>
      <c r="CR4229">
        <v>2</v>
      </c>
      <c r="CW4229">
        <v>12645659</v>
      </c>
      <c r="CY4229">
        <v>0</v>
      </c>
      <c r="CZ4229">
        <v>0</v>
      </c>
      <c r="DA4229">
        <v>1</v>
      </c>
      <c r="DB4229">
        <v>0</v>
      </c>
      <c r="DC4229">
        <v>0</v>
      </c>
      <c r="DD4229">
        <v>0</v>
      </c>
      <c r="DE4229">
        <v>0</v>
      </c>
      <c r="DF4229">
        <v>0</v>
      </c>
      <c r="DG4229">
        <v>0</v>
      </c>
      <c r="DH4229">
        <v>0</v>
      </c>
      <c r="DI4229">
        <v>0</v>
      </c>
    </row>
    <row r="4230" spans="1:113" x14ac:dyDescent="0.3">
      <c r="A4230" t="str">
        <f>"02/08/2021 20:37:46.807"</f>
        <v>02/08/2021 20:37:46.807</v>
      </c>
      <c r="C4230" t="str">
        <f t="shared" si="209"/>
        <v>FFDFD7C0</v>
      </c>
      <c r="D4230" t="s">
        <v>124</v>
      </c>
      <c r="E4230">
        <v>12</v>
      </c>
      <c r="F4230">
        <v>1012</v>
      </c>
      <c r="G4230" t="s">
        <v>675</v>
      </c>
      <c r="J4230" t="s">
        <v>125</v>
      </c>
      <c r="K4230">
        <v>0</v>
      </c>
      <c r="L4230">
        <v>3</v>
      </c>
      <c r="M4230">
        <v>0</v>
      </c>
      <c r="N4230">
        <v>2</v>
      </c>
      <c r="O4230">
        <v>1</v>
      </c>
      <c r="P4230">
        <v>0</v>
      </c>
      <c r="Q4230">
        <v>0</v>
      </c>
      <c r="S4230" t="str">
        <f>"20:37:49.125"</f>
        <v>20:37:49.125</v>
      </c>
      <c r="T4230" t="str">
        <f>"20:37:48.125"</f>
        <v>20:37:48.125</v>
      </c>
      <c r="U4230" t="str">
        <f t="shared" si="211"/>
        <v>AB01F4</v>
      </c>
      <c r="V4230">
        <v>0</v>
      </c>
      <c r="W4230">
        <v>0</v>
      </c>
      <c r="X4230">
        <v>2</v>
      </c>
      <c r="Z4230">
        <v>0</v>
      </c>
      <c r="AA4230">
        <v>9</v>
      </c>
      <c r="AB4230">
        <v>3</v>
      </c>
      <c r="AC4230">
        <v>0</v>
      </c>
      <c r="AD4230">
        <v>10</v>
      </c>
      <c r="AE4230">
        <v>0</v>
      </c>
      <c r="AF4230">
        <v>3</v>
      </c>
      <c r="AG4230">
        <v>2</v>
      </c>
      <c r="AH4230">
        <v>0</v>
      </c>
      <c r="AI4230" t="s">
        <v>2363</v>
      </c>
      <c r="AJ4230">
        <v>40.161895999999999</v>
      </c>
      <c r="AK4230" t="s">
        <v>2364</v>
      </c>
      <c r="AL4230">
        <v>-93.151982000000004</v>
      </c>
      <c r="AM4230">
        <v>100</v>
      </c>
      <c r="AN4230">
        <v>1300</v>
      </c>
      <c r="AO4230" t="s">
        <v>118</v>
      </c>
      <c r="AP4230">
        <v>-114</v>
      </c>
      <c r="AQ4230">
        <v>60</v>
      </c>
      <c r="AR4230">
        <v>128</v>
      </c>
      <c r="AZ4230">
        <v>1200</v>
      </c>
      <c r="BA4230">
        <v>1</v>
      </c>
      <c r="BB4230" t="str">
        <f t="shared" si="210"/>
        <v xml:space="preserve">N8080G  </v>
      </c>
      <c r="BC4230">
        <v>1</v>
      </c>
      <c r="BE4230">
        <v>0</v>
      </c>
      <c r="BF4230">
        <v>0</v>
      </c>
      <c r="BG4230">
        <v>0</v>
      </c>
      <c r="BH4230">
        <v>1350</v>
      </c>
      <c r="BI4230">
        <v>1</v>
      </c>
      <c r="BJ4230">
        <v>1</v>
      </c>
      <c r="BK4230">
        <v>1</v>
      </c>
      <c r="BL4230">
        <v>0</v>
      </c>
      <c r="BO4230">
        <v>0</v>
      </c>
      <c r="BP4230">
        <v>0</v>
      </c>
      <c r="BW4230" t="str">
        <f>"20:37:49.133"</f>
        <v>20:37:49.133</v>
      </c>
      <c r="BZ4230">
        <v>0</v>
      </c>
      <c r="CA4230">
        <v>1600</v>
      </c>
      <c r="CB4230">
        <v>224</v>
      </c>
      <c r="CD4230">
        <v>1</v>
      </c>
      <c r="CE4230">
        <v>0</v>
      </c>
      <c r="CF4230">
        <v>0</v>
      </c>
      <c r="CG4230">
        <v>1</v>
      </c>
      <c r="CH4230">
        <v>0</v>
      </c>
      <c r="CI4230">
        <v>0</v>
      </c>
      <c r="CJ4230">
        <v>0</v>
      </c>
      <c r="CK4230">
        <v>2</v>
      </c>
      <c r="CL4230">
        <v>0</v>
      </c>
      <c r="CM4230">
        <v>2</v>
      </c>
      <c r="CN4230">
        <v>0</v>
      </c>
      <c r="CO4230">
        <v>2</v>
      </c>
      <c r="CP4230" t="s">
        <v>119</v>
      </c>
      <c r="CQ4230">
        <v>179</v>
      </c>
      <c r="CR4230">
        <v>2</v>
      </c>
      <c r="CW4230">
        <v>12645659</v>
      </c>
      <c r="CY4230">
        <v>0</v>
      </c>
      <c r="CZ4230">
        <v>0</v>
      </c>
      <c r="DA4230">
        <v>1</v>
      </c>
      <c r="DB4230">
        <v>0</v>
      </c>
      <c r="DC4230">
        <v>0</v>
      </c>
      <c r="DD4230">
        <v>0</v>
      </c>
      <c r="DE4230">
        <v>0</v>
      </c>
      <c r="DF4230">
        <v>0</v>
      </c>
      <c r="DG4230">
        <v>0</v>
      </c>
      <c r="DH4230">
        <v>0</v>
      </c>
      <c r="DI4230">
        <v>0</v>
      </c>
    </row>
    <row r="4231" spans="1:113" x14ac:dyDescent="0.3">
      <c r="A4231" t="str">
        <f>"02/08/2021 20:37:47.893"</f>
        <v>02/08/2021 20:37:47.893</v>
      </c>
      <c r="C4231" t="str">
        <f t="shared" si="209"/>
        <v>FFDFD7C0</v>
      </c>
      <c r="D4231" t="s">
        <v>124</v>
      </c>
      <c r="E4231">
        <v>12</v>
      </c>
      <c r="F4231">
        <v>1012</v>
      </c>
      <c r="G4231" t="s">
        <v>675</v>
      </c>
      <c r="J4231" t="s">
        <v>125</v>
      </c>
      <c r="K4231">
        <v>0</v>
      </c>
      <c r="L4231">
        <v>3</v>
      </c>
      <c r="M4231">
        <v>0</v>
      </c>
      <c r="N4231">
        <v>2</v>
      </c>
      <c r="O4231">
        <v>1</v>
      </c>
      <c r="P4231">
        <v>0</v>
      </c>
      <c r="Q4231">
        <v>0</v>
      </c>
      <c r="S4231" t="str">
        <f>"20:37:50.211"</f>
        <v>20:37:50.211</v>
      </c>
      <c r="T4231" t="str">
        <f>"20:37:49.711"</f>
        <v>20:37:49.711</v>
      </c>
      <c r="U4231" t="str">
        <f t="shared" si="211"/>
        <v>AB01F4</v>
      </c>
      <c r="V4231">
        <v>0</v>
      </c>
      <c r="W4231">
        <v>0</v>
      </c>
      <c r="X4231">
        <v>2</v>
      </c>
      <c r="Z4231">
        <v>0</v>
      </c>
      <c r="AA4231">
        <v>9</v>
      </c>
      <c r="AB4231">
        <v>3</v>
      </c>
      <c r="AC4231">
        <v>0</v>
      </c>
      <c r="AD4231">
        <v>10</v>
      </c>
      <c r="AE4231">
        <v>0</v>
      </c>
      <c r="AF4231">
        <v>3</v>
      </c>
      <c r="AG4231">
        <v>2</v>
      </c>
      <c r="AH4231">
        <v>0</v>
      </c>
      <c r="AI4231" t="s">
        <v>2365</v>
      </c>
      <c r="AJ4231">
        <v>40.162174999999998</v>
      </c>
      <c r="AK4231" t="s">
        <v>2366</v>
      </c>
      <c r="AL4231">
        <v>-93.152647000000002</v>
      </c>
      <c r="AM4231">
        <v>100</v>
      </c>
      <c r="AN4231">
        <v>1300</v>
      </c>
      <c r="AO4231" t="s">
        <v>118</v>
      </c>
      <c r="AP4231">
        <v>-114</v>
      </c>
      <c r="AQ4231">
        <v>60</v>
      </c>
      <c r="AR4231">
        <v>64</v>
      </c>
      <c r="AZ4231">
        <v>1200</v>
      </c>
      <c r="BA4231">
        <v>1</v>
      </c>
      <c r="BB4231" t="str">
        <f t="shared" si="210"/>
        <v xml:space="preserve">N8080G  </v>
      </c>
      <c r="BC4231">
        <v>1</v>
      </c>
      <c r="BE4231">
        <v>0</v>
      </c>
      <c r="BF4231">
        <v>0</v>
      </c>
      <c r="BG4231">
        <v>0</v>
      </c>
      <c r="BH4231">
        <v>1350</v>
      </c>
      <c r="BI4231">
        <v>1</v>
      </c>
      <c r="BJ4231">
        <v>1</v>
      </c>
      <c r="BK4231">
        <v>1</v>
      </c>
      <c r="BL4231">
        <v>0</v>
      </c>
      <c r="BO4231">
        <v>0</v>
      </c>
      <c r="BP4231">
        <v>0</v>
      </c>
      <c r="BW4231" t="str">
        <f>"20:37:50.212"</f>
        <v>20:37:50.212</v>
      </c>
      <c r="BZ4231">
        <v>0</v>
      </c>
      <c r="CA4231">
        <v>1600</v>
      </c>
      <c r="CB4231">
        <v>224</v>
      </c>
      <c r="CD4231">
        <v>1</v>
      </c>
      <c r="CE4231">
        <v>0</v>
      </c>
      <c r="CF4231">
        <v>0</v>
      </c>
      <c r="CG4231">
        <v>1</v>
      </c>
      <c r="CH4231">
        <v>0</v>
      </c>
      <c r="CI4231">
        <v>0</v>
      </c>
      <c r="CJ4231">
        <v>0</v>
      </c>
      <c r="CK4231">
        <v>2</v>
      </c>
      <c r="CL4231">
        <v>0</v>
      </c>
      <c r="CM4231">
        <v>2</v>
      </c>
      <c r="CN4231">
        <v>0</v>
      </c>
      <c r="CO4231">
        <v>2</v>
      </c>
      <c r="CP4231" t="s">
        <v>119</v>
      </c>
      <c r="CQ4231">
        <v>179</v>
      </c>
      <c r="CR4231">
        <v>2</v>
      </c>
      <c r="CW4231">
        <v>12646451</v>
      </c>
      <c r="CY4231">
        <v>0</v>
      </c>
      <c r="CZ4231">
        <v>0</v>
      </c>
      <c r="DA4231">
        <v>0</v>
      </c>
      <c r="DB4231">
        <v>0</v>
      </c>
      <c r="DC4231">
        <v>0</v>
      </c>
      <c r="DD4231">
        <v>0</v>
      </c>
      <c r="DE4231">
        <v>0</v>
      </c>
      <c r="DF4231">
        <v>0</v>
      </c>
      <c r="DG4231">
        <v>0</v>
      </c>
      <c r="DH4231">
        <v>0</v>
      </c>
      <c r="DI4231">
        <v>0</v>
      </c>
    </row>
    <row r="4232" spans="1:113" x14ac:dyDescent="0.3">
      <c r="A4232" t="str">
        <f>"02/08/2021 20:37:47.893"</f>
        <v>02/08/2021 20:37:47.893</v>
      </c>
      <c r="C4232" t="str">
        <f t="shared" si="209"/>
        <v>FFDFD7C0</v>
      </c>
      <c r="D4232" t="s">
        <v>124</v>
      </c>
      <c r="E4232">
        <v>11</v>
      </c>
      <c r="F4232">
        <v>1011</v>
      </c>
      <c r="G4232" t="s">
        <v>590</v>
      </c>
      <c r="J4232" t="s">
        <v>125</v>
      </c>
      <c r="K4232">
        <v>0</v>
      </c>
      <c r="L4232">
        <v>3</v>
      </c>
      <c r="M4232">
        <v>0</v>
      </c>
      <c r="N4232">
        <v>2</v>
      </c>
      <c r="O4232">
        <v>1</v>
      </c>
      <c r="P4232">
        <v>0</v>
      </c>
      <c r="Q4232">
        <v>0</v>
      </c>
      <c r="S4232" t="str">
        <f>"20:37:50.211"</f>
        <v>20:37:50.211</v>
      </c>
      <c r="T4232" t="str">
        <f>"20:37:49.711"</f>
        <v>20:37:49.711</v>
      </c>
      <c r="U4232" t="str">
        <f t="shared" si="211"/>
        <v>AB01F4</v>
      </c>
      <c r="V4232">
        <v>0</v>
      </c>
      <c r="W4232">
        <v>0</v>
      </c>
      <c r="X4232">
        <v>2</v>
      </c>
      <c r="Z4232">
        <v>0</v>
      </c>
      <c r="AA4232">
        <v>9</v>
      </c>
      <c r="AB4232">
        <v>3</v>
      </c>
      <c r="AC4232">
        <v>0</v>
      </c>
      <c r="AD4232">
        <v>10</v>
      </c>
      <c r="AE4232">
        <v>0</v>
      </c>
      <c r="AF4232">
        <v>3</v>
      </c>
      <c r="AG4232">
        <v>2</v>
      </c>
      <c r="AH4232">
        <v>0</v>
      </c>
      <c r="AI4232" t="s">
        <v>2365</v>
      </c>
      <c r="AJ4232">
        <v>40.162174999999998</v>
      </c>
      <c r="AK4232" t="s">
        <v>2366</v>
      </c>
      <c r="AL4232">
        <v>-93.152647000000002</v>
      </c>
      <c r="AM4232">
        <v>100</v>
      </c>
      <c r="AN4232">
        <v>1300</v>
      </c>
      <c r="AO4232" t="s">
        <v>118</v>
      </c>
      <c r="AP4232">
        <v>-114</v>
      </c>
      <c r="AQ4232">
        <v>60</v>
      </c>
      <c r="AR4232">
        <v>64</v>
      </c>
      <c r="AZ4232">
        <v>1200</v>
      </c>
      <c r="BA4232">
        <v>1</v>
      </c>
      <c r="BB4232" t="str">
        <f t="shared" si="210"/>
        <v xml:space="preserve">N8080G  </v>
      </c>
      <c r="BC4232">
        <v>1</v>
      </c>
      <c r="BE4232">
        <v>0</v>
      </c>
      <c r="BF4232">
        <v>0</v>
      </c>
      <c r="BG4232">
        <v>0</v>
      </c>
      <c r="BH4232">
        <v>1350</v>
      </c>
      <c r="BI4232">
        <v>1</v>
      </c>
      <c r="BJ4232">
        <v>1</v>
      </c>
      <c r="BK4232">
        <v>1</v>
      </c>
      <c r="BL4232">
        <v>0</v>
      </c>
      <c r="BO4232">
        <v>0</v>
      </c>
      <c r="BP4232">
        <v>0</v>
      </c>
      <c r="BW4232" t="str">
        <f>"20:37:50.212"</f>
        <v>20:37:50.212</v>
      </c>
      <c r="BZ4232">
        <v>0</v>
      </c>
      <c r="CA4232">
        <v>1600</v>
      </c>
      <c r="CB4232">
        <v>224</v>
      </c>
      <c r="CD4232">
        <v>1</v>
      </c>
      <c r="CE4232">
        <v>0</v>
      </c>
      <c r="CF4232">
        <v>0</v>
      </c>
      <c r="CG4232">
        <v>1</v>
      </c>
      <c r="CH4232">
        <v>0</v>
      </c>
      <c r="CI4232">
        <v>0</v>
      </c>
      <c r="CJ4232">
        <v>0</v>
      </c>
      <c r="CK4232">
        <v>2</v>
      </c>
      <c r="CL4232">
        <v>0</v>
      </c>
      <c r="CM4232">
        <v>2</v>
      </c>
      <c r="CN4232">
        <v>0</v>
      </c>
      <c r="CO4232">
        <v>2</v>
      </c>
      <c r="CP4232" t="s">
        <v>119</v>
      </c>
      <c r="CQ4232">
        <v>179</v>
      </c>
      <c r="CR4232">
        <v>2</v>
      </c>
      <c r="CW4232">
        <v>12646451</v>
      </c>
      <c r="CY4232">
        <v>0</v>
      </c>
      <c r="CZ4232">
        <v>0</v>
      </c>
      <c r="DA4232">
        <v>1</v>
      </c>
      <c r="DB4232">
        <v>0</v>
      </c>
      <c r="DC4232">
        <v>0</v>
      </c>
      <c r="DD4232">
        <v>0</v>
      </c>
      <c r="DE4232">
        <v>0</v>
      </c>
      <c r="DF4232">
        <v>0</v>
      </c>
      <c r="DG4232">
        <v>0</v>
      </c>
      <c r="DH4232">
        <v>0</v>
      </c>
      <c r="DI4232">
        <v>0</v>
      </c>
    </row>
    <row r="4233" spans="1:113" x14ac:dyDescent="0.3">
      <c r="A4233" t="str">
        <f>"02/08/2021 20:37:47.893"</f>
        <v>02/08/2021 20:37:47.893</v>
      </c>
      <c r="C4233" t="str">
        <f t="shared" si="209"/>
        <v>FFDFD7C0</v>
      </c>
      <c r="D4233" t="s">
        <v>113</v>
      </c>
      <c r="E4233">
        <v>6</v>
      </c>
      <c r="H4233">
        <v>165</v>
      </c>
      <c r="I4233" t="s">
        <v>114</v>
      </c>
      <c r="J4233" t="s">
        <v>115</v>
      </c>
      <c r="K4233">
        <v>0</v>
      </c>
      <c r="L4233">
        <v>3</v>
      </c>
      <c r="M4233">
        <v>0</v>
      </c>
      <c r="N4233">
        <v>2</v>
      </c>
      <c r="O4233">
        <v>1</v>
      </c>
      <c r="P4233">
        <v>0</v>
      </c>
      <c r="Q4233">
        <v>0</v>
      </c>
      <c r="S4233" t="str">
        <f>"20:37:50.211"</f>
        <v>20:37:50.211</v>
      </c>
      <c r="T4233" t="str">
        <f>"20:37:49.711"</f>
        <v>20:37:49.711</v>
      </c>
      <c r="U4233" t="str">
        <f t="shared" si="211"/>
        <v>AB01F4</v>
      </c>
      <c r="V4233">
        <v>0</v>
      </c>
      <c r="W4233">
        <v>0</v>
      </c>
      <c r="X4233">
        <v>2</v>
      </c>
      <c r="Z4233">
        <v>0</v>
      </c>
      <c r="AA4233">
        <v>9</v>
      </c>
      <c r="AB4233">
        <v>3</v>
      </c>
      <c r="AC4233">
        <v>0</v>
      </c>
      <c r="AD4233">
        <v>10</v>
      </c>
      <c r="AE4233">
        <v>0</v>
      </c>
      <c r="AF4233">
        <v>3</v>
      </c>
      <c r="AG4233">
        <v>2</v>
      </c>
      <c r="AH4233">
        <v>0</v>
      </c>
      <c r="AI4233" t="s">
        <v>2365</v>
      </c>
      <c r="AJ4233">
        <v>40.162174999999998</v>
      </c>
      <c r="AK4233" t="s">
        <v>2366</v>
      </c>
      <c r="AL4233">
        <v>-93.152647000000002</v>
      </c>
      <c r="AM4233">
        <v>100</v>
      </c>
      <c r="AN4233">
        <v>1300</v>
      </c>
      <c r="AO4233" t="s">
        <v>118</v>
      </c>
      <c r="AP4233">
        <v>-114</v>
      </c>
      <c r="AQ4233">
        <v>60</v>
      </c>
      <c r="AR4233">
        <v>64</v>
      </c>
      <c r="AZ4233">
        <v>1200</v>
      </c>
      <c r="BA4233">
        <v>1</v>
      </c>
      <c r="BB4233" t="str">
        <f t="shared" si="210"/>
        <v xml:space="preserve">N8080G  </v>
      </c>
      <c r="BC4233">
        <v>1</v>
      </c>
      <c r="BE4233">
        <v>0</v>
      </c>
      <c r="BF4233">
        <v>0</v>
      </c>
      <c r="BG4233">
        <v>0</v>
      </c>
      <c r="BH4233">
        <v>1350</v>
      </c>
      <c r="BI4233">
        <v>1</v>
      </c>
      <c r="BJ4233">
        <v>1</v>
      </c>
      <c r="BK4233">
        <v>1</v>
      </c>
      <c r="BL4233">
        <v>0</v>
      </c>
      <c r="BO4233">
        <v>0</v>
      </c>
      <c r="BP4233">
        <v>0</v>
      </c>
      <c r="BW4233" t="str">
        <f>"20:37:50.212"</f>
        <v>20:37:50.212</v>
      </c>
      <c r="BZ4233">
        <v>0</v>
      </c>
      <c r="CA4233">
        <v>1600</v>
      </c>
      <c r="CB4233">
        <v>224</v>
      </c>
      <c r="CD4233">
        <v>1</v>
      </c>
      <c r="CE4233">
        <v>0</v>
      </c>
      <c r="CF4233">
        <v>0</v>
      </c>
      <c r="CG4233">
        <v>1</v>
      </c>
      <c r="CH4233">
        <v>0</v>
      </c>
      <c r="CI4233">
        <v>0</v>
      </c>
      <c r="CJ4233">
        <v>0</v>
      </c>
      <c r="CK4233">
        <v>2</v>
      </c>
      <c r="CL4233">
        <v>0</v>
      </c>
      <c r="CM4233">
        <v>2</v>
      </c>
      <c r="CN4233">
        <v>0</v>
      </c>
      <c r="CO4233">
        <v>2</v>
      </c>
      <c r="CP4233" t="s">
        <v>119</v>
      </c>
      <c r="CQ4233">
        <v>179</v>
      </c>
      <c r="CR4233">
        <v>2</v>
      </c>
      <c r="CW4233">
        <v>12646451</v>
      </c>
      <c r="CY4233">
        <v>0</v>
      </c>
      <c r="CZ4233">
        <v>0</v>
      </c>
      <c r="DA4233">
        <v>1</v>
      </c>
      <c r="DB4233">
        <v>0</v>
      </c>
      <c r="DC4233">
        <v>0</v>
      </c>
      <c r="DD4233">
        <v>0</v>
      </c>
      <c r="DE4233">
        <v>0</v>
      </c>
      <c r="DF4233">
        <v>0</v>
      </c>
      <c r="DG4233">
        <v>0</v>
      </c>
      <c r="DH4233">
        <v>0</v>
      </c>
      <c r="DI4233">
        <v>0</v>
      </c>
    </row>
    <row r="4234" spans="1:113" x14ac:dyDescent="0.3">
      <c r="A4234" t="str">
        <f>"02/08/2021 20:37:47.893"</f>
        <v>02/08/2021 20:37:47.893</v>
      </c>
      <c r="C4234" t="str">
        <f t="shared" si="209"/>
        <v>FFDFD7C0</v>
      </c>
      <c r="D4234" t="s">
        <v>124</v>
      </c>
      <c r="E4234">
        <v>13</v>
      </c>
      <c r="F4234">
        <v>1013</v>
      </c>
      <c r="G4234" t="s">
        <v>114</v>
      </c>
      <c r="J4234" t="s">
        <v>125</v>
      </c>
      <c r="K4234">
        <v>0</v>
      </c>
      <c r="L4234">
        <v>3</v>
      </c>
      <c r="M4234">
        <v>0</v>
      </c>
      <c r="N4234">
        <v>2</v>
      </c>
      <c r="O4234">
        <v>1</v>
      </c>
      <c r="P4234">
        <v>0</v>
      </c>
      <c r="Q4234">
        <v>0</v>
      </c>
      <c r="S4234" t="str">
        <f>"20:37:50.211"</f>
        <v>20:37:50.211</v>
      </c>
      <c r="T4234" t="str">
        <f>"20:37:49.711"</f>
        <v>20:37:49.711</v>
      </c>
      <c r="U4234" t="str">
        <f t="shared" si="211"/>
        <v>AB01F4</v>
      </c>
      <c r="V4234">
        <v>0</v>
      </c>
      <c r="W4234">
        <v>0</v>
      </c>
      <c r="X4234">
        <v>2</v>
      </c>
      <c r="Z4234">
        <v>0</v>
      </c>
      <c r="AA4234">
        <v>9</v>
      </c>
      <c r="AB4234">
        <v>3</v>
      </c>
      <c r="AC4234">
        <v>0</v>
      </c>
      <c r="AD4234">
        <v>10</v>
      </c>
      <c r="AE4234">
        <v>0</v>
      </c>
      <c r="AF4234">
        <v>3</v>
      </c>
      <c r="AG4234">
        <v>2</v>
      </c>
      <c r="AH4234">
        <v>0</v>
      </c>
      <c r="AI4234" t="s">
        <v>2365</v>
      </c>
      <c r="AJ4234">
        <v>40.162174999999998</v>
      </c>
      <c r="AK4234" t="s">
        <v>2366</v>
      </c>
      <c r="AL4234">
        <v>-93.152647000000002</v>
      </c>
      <c r="AM4234">
        <v>100</v>
      </c>
      <c r="AN4234">
        <v>1300</v>
      </c>
      <c r="AO4234" t="s">
        <v>118</v>
      </c>
      <c r="AP4234">
        <v>-114</v>
      </c>
      <c r="AQ4234">
        <v>60</v>
      </c>
      <c r="AR4234">
        <v>64</v>
      </c>
      <c r="AZ4234">
        <v>1200</v>
      </c>
      <c r="BA4234">
        <v>1</v>
      </c>
      <c r="BB4234" t="str">
        <f t="shared" si="210"/>
        <v xml:space="preserve">N8080G  </v>
      </c>
      <c r="BC4234">
        <v>1</v>
      </c>
      <c r="BE4234">
        <v>0</v>
      </c>
      <c r="BF4234">
        <v>0</v>
      </c>
      <c r="BG4234">
        <v>0</v>
      </c>
      <c r="BH4234">
        <v>1350</v>
      </c>
      <c r="BI4234">
        <v>1</v>
      </c>
      <c r="BJ4234">
        <v>1</v>
      </c>
      <c r="BK4234">
        <v>1</v>
      </c>
      <c r="BL4234">
        <v>0</v>
      </c>
      <c r="BO4234">
        <v>0</v>
      </c>
      <c r="BP4234">
        <v>0</v>
      </c>
      <c r="BW4234" t="str">
        <f>"20:37:50.212"</f>
        <v>20:37:50.212</v>
      </c>
      <c r="BZ4234">
        <v>0</v>
      </c>
      <c r="CA4234">
        <v>1600</v>
      </c>
      <c r="CB4234">
        <v>224</v>
      </c>
      <c r="CD4234">
        <v>1</v>
      </c>
      <c r="CE4234">
        <v>0</v>
      </c>
      <c r="CF4234">
        <v>0</v>
      </c>
      <c r="CG4234">
        <v>1</v>
      </c>
      <c r="CH4234">
        <v>0</v>
      </c>
      <c r="CI4234">
        <v>0</v>
      </c>
      <c r="CJ4234">
        <v>0</v>
      </c>
      <c r="CK4234">
        <v>2</v>
      </c>
      <c r="CL4234">
        <v>0</v>
      </c>
      <c r="CM4234">
        <v>2</v>
      </c>
      <c r="CN4234">
        <v>0</v>
      </c>
      <c r="CO4234">
        <v>2</v>
      </c>
      <c r="CP4234" t="s">
        <v>119</v>
      </c>
      <c r="CQ4234">
        <v>179</v>
      </c>
      <c r="CR4234">
        <v>2</v>
      </c>
      <c r="CW4234">
        <v>12646451</v>
      </c>
      <c r="CY4234">
        <v>0</v>
      </c>
      <c r="CZ4234">
        <v>0</v>
      </c>
      <c r="DA4234">
        <v>1</v>
      </c>
      <c r="DB4234">
        <v>0</v>
      </c>
      <c r="DC4234">
        <v>0</v>
      </c>
      <c r="DD4234">
        <v>0</v>
      </c>
      <c r="DE4234">
        <v>0</v>
      </c>
      <c r="DF4234">
        <v>0</v>
      </c>
      <c r="DG4234">
        <v>0</v>
      </c>
      <c r="DH4234">
        <v>0</v>
      </c>
      <c r="DI4234">
        <v>0</v>
      </c>
    </row>
    <row r="4235" spans="1:113" x14ac:dyDescent="0.3">
      <c r="A4235" t="str">
        <f>"02/08/2021 20:37:48.884"</f>
        <v>02/08/2021 20:37:48.884</v>
      </c>
      <c r="C4235" t="str">
        <f t="shared" si="209"/>
        <v>FFDFD7C0</v>
      </c>
      <c r="D4235" t="s">
        <v>124</v>
      </c>
      <c r="E4235">
        <v>13</v>
      </c>
      <c r="F4235">
        <v>1013</v>
      </c>
      <c r="G4235" t="s">
        <v>114</v>
      </c>
      <c r="J4235" t="s">
        <v>125</v>
      </c>
      <c r="K4235">
        <v>0</v>
      </c>
      <c r="L4235">
        <v>3</v>
      </c>
      <c r="M4235">
        <v>0</v>
      </c>
      <c r="N4235">
        <v>2</v>
      </c>
      <c r="O4235">
        <v>1</v>
      </c>
      <c r="P4235">
        <v>0</v>
      </c>
      <c r="Q4235">
        <v>0</v>
      </c>
      <c r="S4235" t="str">
        <f>"20:37:51.219"</f>
        <v>20:37:51.219</v>
      </c>
      <c r="T4235" t="str">
        <f>"20:37:50.719"</f>
        <v>20:37:50.719</v>
      </c>
      <c r="U4235" t="str">
        <f t="shared" si="211"/>
        <v>AB01F4</v>
      </c>
      <c r="V4235">
        <v>0</v>
      </c>
      <c r="W4235">
        <v>0</v>
      </c>
      <c r="X4235">
        <v>2</v>
      </c>
      <c r="Z4235">
        <v>0</v>
      </c>
      <c r="AA4235">
        <v>9</v>
      </c>
      <c r="AB4235">
        <v>3</v>
      </c>
      <c r="AC4235">
        <v>0</v>
      </c>
      <c r="AD4235">
        <v>10</v>
      </c>
      <c r="AE4235">
        <v>0</v>
      </c>
      <c r="AF4235">
        <v>3</v>
      </c>
      <c r="AG4235">
        <v>2</v>
      </c>
      <c r="AH4235">
        <v>0</v>
      </c>
      <c r="AI4235" t="s">
        <v>2367</v>
      </c>
      <c r="AJ4235">
        <v>40.162497000000002</v>
      </c>
      <c r="AK4235" t="s">
        <v>2368</v>
      </c>
      <c r="AL4235">
        <v>-93.153312</v>
      </c>
      <c r="AM4235">
        <v>100</v>
      </c>
      <c r="AN4235">
        <v>1300</v>
      </c>
      <c r="AO4235" t="s">
        <v>118</v>
      </c>
      <c r="AP4235">
        <v>-114</v>
      </c>
      <c r="AQ4235">
        <v>61</v>
      </c>
      <c r="AR4235">
        <v>0</v>
      </c>
      <c r="AZ4235">
        <v>1200</v>
      </c>
      <c r="BA4235">
        <v>1</v>
      </c>
      <c r="BB4235" t="str">
        <f t="shared" si="210"/>
        <v xml:space="preserve">N8080G  </v>
      </c>
      <c r="BC4235">
        <v>1</v>
      </c>
      <c r="BE4235">
        <v>0</v>
      </c>
      <c r="BF4235">
        <v>0</v>
      </c>
      <c r="BG4235">
        <v>0</v>
      </c>
      <c r="BH4235">
        <v>1350</v>
      </c>
      <c r="BI4235">
        <v>1</v>
      </c>
      <c r="BJ4235">
        <v>1</v>
      </c>
      <c r="BK4235">
        <v>1</v>
      </c>
      <c r="BL4235">
        <v>0</v>
      </c>
      <c r="BO4235">
        <v>0</v>
      </c>
      <c r="BP4235">
        <v>0</v>
      </c>
      <c r="BW4235" t="str">
        <f>"20:37:51.220"</f>
        <v>20:37:51.220</v>
      </c>
      <c r="BZ4235">
        <v>0</v>
      </c>
      <c r="CA4235">
        <v>1600</v>
      </c>
      <c r="CB4235">
        <v>224</v>
      </c>
      <c r="CD4235">
        <v>1</v>
      </c>
      <c r="CE4235">
        <v>0</v>
      </c>
      <c r="CF4235">
        <v>0</v>
      </c>
      <c r="CG4235">
        <v>1</v>
      </c>
      <c r="CH4235">
        <v>0</v>
      </c>
      <c r="CI4235">
        <v>0</v>
      </c>
      <c r="CJ4235">
        <v>0</v>
      </c>
      <c r="CK4235">
        <v>2</v>
      </c>
      <c r="CL4235">
        <v>0</v>
      </c>
      <c r="CM4235">
        <v>2</v>
      </c>
      <c r="CN4235">
        <v>0</v>
      </c>
      <c r="CO4235">
        <v>5</v>
      </c>
      <c r="CP4235" t="s">
        <v>119</v>
      </c>
      <c r="CQ4235">
        <v>180</v>
      </c>
      <c r="CR4235">
        <v>3</v>
      </c>
      <c r="CW4235">
        <v>1373705</v>
      </c>
      <c r="CY4235">
        <v>0</v>
      </c>
      <c r="CZ4235">
        <v>0</v>
      </c>
      <c r="DA4235">
        <v>0</v>
      </c>
      <c r="DB4235">
        <v>0</v>
      </c>
      <c r="DC4235">
        <v>0</v>
      </c>
      <c r="DD4235">
        <v>0</v>
      </c>
      <c r="DE4235">
        <v>0</v>
      </c>
      <c r="DF4235">
        <v>0</v>
      </c>
      <c r="DG4235">
        <v>0</v>
      </c>
      <c r="DH4235">
        <v>0</v>
      </c>
      <c r="DI4235">
        <v>0</v>
      </c>
    </row>
    <row r="4236" spans="1:113" x14ac:dyDescent="0.3">
      <c r="A4236" t="str">
        <f>"02/08/2021 20:37:48.884"</f>
        <v>02/08/2021 20:37:48.884</v>
      </c>
      <c r="C4236" t="str">
        <f t="shared" si="209"/>
        <v>FFDFD7C0</v>
      </c>
      <c r="D4236" t="s">
        <v>113</v>
      </c>
      <c r="E4236">
        <v>6</v>
      </c>
      <c r="H4236">
        <v>165</v>
      </c>
      <c r="I4236" t="s">
        <v>114</v>
      </c>
      <c r="J4236" t="s">
        <v>115</v>
      </c>
      <c r="K4236">
        <v>0</v>
      </c>
      <c r="L4236">
        <v>3</v>
      </c>
      <c r="M4236">
        <v>0</v>
      </c>
      <c r="N4236">
        <v>2</v>
      </c>
      <c r="O4236">
        <v>1</v>
      </c>
      <c r="P4236">
        <v>0</v>
      </c>
      <c r="Q4236">
        <v>0</v>
      </c>
      <c r="S4236" t="str">
        <f>"20:37:51.219"</f>
        <v>20:37:51.219</v>
      </c>
      <c r="T4236" t="str">
        <f>"20:37:50.719"</f>
        <v>20:37:50.719</v>
      </c>
      <c r="U4236" t="str">
        <f t="shared" si="211"/>
        <v>AB01F4</v>
      </c>
      <c r="V4236">
        <v>0</v>
      </c>
      <c r="W4236">
        <v>0</v>
      </c>
      <c r="X4236">
        <v>2</v>
      </c>
      <c r="Z4236">
        <v>0</v>
      </c>
      <c r="AA4236">
        <v>9</v>
      </c>
      <c r="AB4236">
        <v>3</v>
      </c>
      <c r="AC4236">
        <v>0</v>
      </c>
      <c r="AD4236">
        <v>10</v>
      </c>
      <c r="AE4236">
        <v>0</v>
      </c>
      <c r="AF4236">
        <v>3</v>
      </c>
      <c r="AG4236">
        <v>2</v>
      </c>
      <c r="AH4236">
        <v>0</v>
      </c>
      <c r="AI4236" t="s">
        <v>2367</v>
      </c>
      <c r="AJ4236">
        <v>40.162497000000002</v>
      </c>
      <c r="AK4236" t="s">
        <v>2368</v>
      </c>
      <c r="AL4236">
        <v>-93.153312</v>
      </c>
      <c r="AM4236">
        <v>100</v>
      </c>
      <c r="AN4236">
        <v>1300</v>
      </c>
      <c r="AO4236" t="s">
        <v>118</v>
      </c>
      <c r="AP4236">
        <v>-114</v>
      </c>
      <c r="AQ4236">
        <v>61</v>
      </c>
      <c r="AR4236">
        <v>0</v>
      </c>
      <c r="AZ4236">
        <v>1200</v>
      </c>
      <c r="BA4236">
        <v>1</v>
      </c>
      <c r="BB4236" t="str">
        <f t="shared" si="210"/>
        <v xml:space="preserve">N8080G  </v>
      </c>
      <c r="BC4236">
        <v>1</v>
      </c>
      <c r="BE4236">
        <v>0</v>
      </c>
      <c r="BF4236">
        <v>0</v>
      </c>
      <c r="BG4236">
        <v>0</v>
      </c>
      <c r="BH4236">
        <v>1350</v>
      </c>
      <c r="BI4236">
        <v>1</v>
      </c>
      <c r="BJ4236">
        <v>1</v>
      </c>
      <c r="BK4236">
        <v>1</v>
      </c>
      <c r="BL4236">
        <v>0</v>
      </c>
      <c r="BO4236">
        <v>0</v>
      </c>
      <c r="BP4236">
        <v>0</v>
      </c>
      <c r="BW4236" t="str">
        <f>"20:37:51.220"</f>
        <v>20:37:51.220</v>
      </c>
      <c r="BZ4236">
        <v>0</v>
      </c>
      <c r="CA4236">
        <v>1600</v>
      </c>
      <c r="CB4236">
        <v>224</v>
      </c>
      <c r="CD4236">
        <v>1</v>
      </c>
      <c r="CE4236">
        <v>0</v>
      </c>
      <c r="CF4236">
        <v>0</v>
      </c>
      <c r="CG4236">
        <v>1</v>
      </c>
      <c r="CH4236">
        <v>0</v>
      </c>
      <c r="CI4236">
        <v>0</v>
      </c>
      <c r="CJ4236">
        <v>0</v>
      </c>
      <c r="CK4236">
        <v>2</v>
      </c>
      <c r="CL4236">
        <v>0</v>
      </c>
      <c r="CM4236">
        <v>2</v>
      </c>
      <c r="CN4236">
        <v>0</v>
      </c>
      <c r="CO4236">
        <v>5</v>
      </c>
      <c r="CP4236" t="s">
        <v>119</v>
      </c>
      <c r="CQ4236">
        <v>180</v>
      </c>
      <c r="CR4236">
        <v>3</v>
      </c>
      <c r="CW4236">
        <v>1373705</v>
      </c>
      <c r="CY4236">
        <v>0</v>
      </c>
      <c r="CZ4236">
        <v>0</v>
      </c>
      <c r="DA4236">
        <v>1</v>
      </c>
      <c r="DB4236">
        <v>0</v>
      </c>
      <c r="DC4236">
        <v>0</v>
      </c>
      <c r="DD4236">
        <v>0</v>
      </c>
      <c r="DE4236">
        <v>0</v>
      </c>
      <c r="DF4236">
        <v>0</v>
      </c>
      <c r="DG4236">
        <v>0</v>
      </c>
      <c r="DH4236">
        <v>0</v>
      </c>
      <c r="DI4236">
        <v>0</v>
      </c>
    </row>
    <row r="4237" spans="1:113" x14ac:dyDescent="0.3">
      <c r="A4237" t="str">
        <f>"02/08/2021 20:37:48.884"</f>
        <v>02/08/2021 20:37:48.884</v>
      </c>
      <c r="C4237" t="str">
        <f t="shared" si="209"/>
        <v>FFDFD7C0</v>
      </c>
      <c r="D4237" t="s">
        <v>124</v>
      </c>
      <c r="E4237">
        <v>12</v>
      </c>
      <c r="F4237">
        <v>1012</v>
      </c>
      <c r="G4237" t="s">
        <v>675</v>
      </c>
      <c r="J4237" t="s">
        <v>125</v>
      </c>
      <c r="K4237">
        <v>0</v>
      </c>
      <c r="L4237">
        <v>3</v>
      </c>
      <c r="M4237">
        <v>0</v>
      </c>
      <c r="N4237">
        <v>2</v>
      </c>
      <c r="O4237">
        <v>1</v>
      </c>
      <c r="P4237">
        <v>0</v>
      </c>
      <c r="Q4237">
        <v>0</v>
      </c>
      <c r="S4237" t="str">
        <f>"20:37:51.219"</f>
        <v>20:37:51.219</v>
      </c>
      <c r="T4237" t="str">
        <f>"20:37:50.719"</f>
        <v>20:37:50.719</v>
      </c>
      <c r="U4237" t="str">
        <f t="shared" si="211"/>
        <v>AB01F4</v>
      </c>
      <c r="V4237">
        <v>0</v>
      </c>
      <c r="W4237">
        <v>0</v>
      </c>
      <c r="X4237">
        <v>2</v>
      </c>
      <c r="Z4237">
        <v>0</v>
      </c>
      <c r="AA4237">
        <v>9</v>
      </c>
      <c r="AB4237">
        <v>3</v>
      </c>
      <c r="AC4237">
        <v>0</v>
      </c>
      <c r="AD4237">
        <v>10</v>
      </c>
      <c r="AE4237">
        <v>0</v>
      </c>
      <c r="AF4237">
        <v>3</v>
      </c>
      <c r="AG4237">
        <v>2</v>
      </c>
      <c r="AH4237">
        <v>0</v>
      </c>
      <c r="AI4237" t="s">
        <v>2367</v>
      </c>
      <c r="AJ4237">
        <v>40.162497000000002</v>
      </c>
      <c r="AK4237" t="s">
        <v>2368</v>
      </c>
      <c r="AL4237">
        <v>-93.153312</v>
      </c>
      <c r="AM4237">
        <v>100</v>
      </c>
      <c r="AN4237">
        <v>1300</v>
      </c>
      <c r="AO4237" t="s">
        <v>118</v>
      </c>
      <c r="AP4237">
        <v>-114</v>
      </c>
      <c r="AQ4237">
        <v>61</v>
      </c>
      <c r="AR4237">
        <v>0</v>
      </c>
      <c r="AZ4237">
        <v>1200</v>
      </c>
      <c r="BA4237">
        <v>1</v>
      </c>
      <c r="BB4237" t="str">
        <f t="shared" si="210"/>
        <v xml:space="preserve">N8080G  </v>
      </c>
      <c r="BC4237">
        <v>1</v>
      </c>
      <c r="BE4237">
        <v>0</v>
      </c>
      <c r="BF4237">
        <v>0</v>
      </c>
      <c r="BG4237">
        <v>0</v>
      </c>
      <c r="BH4237">
        <v>1350</v>
      </c>
      <c r="BI4237">
        <v>1</v>
      </c>
      <c r="BJ4237">
        <v>1</v>
      </c>
      <c r="BK4237">
        <v>1</v>
      </c>
      <c r="BL4237">
        <v>0</v>
      </c>
      <c r="BO4237">
        <v>0</v>
      </c>
      <c r="BP4237">
        <v>0</v>
      </c>
      <c r="BW4237" t="str">
        <f>"20:37:51.220"</f>
        <v>20:37:51.220</v>
      </c>
      <c r="BZ4237">
        <v>0</v>
      </c>
      <c r="CA4237">
        <v>1600</v>
      </c>
      <c r="CB4237">
        <v>224</v>
      </c>
      <c r="CD4237">
        <v>1</v>
      </c>
      <c r="CE4237">
        <v>0</v>
      </c>
      <c r="CF4237">
        <v>0</v>
      </c>
      <c r="CG4237">
        <v>1</v>
      </c>
      <c r="CH4237">
        <v>0</v>
      </c>
      <c r="CI4237">
        <v>0</v>
      </c>
      <c r="CJ4237">
        <v>0</v>
      </c>
      <c r="CK4237">
        <v>2</v>
      </c>
      <c r="CL4237">
        <v>0</v>
      </c>
      <c r="CM4237">
        <v>2</v>
      </c>
      <c r="CN4237">
        <v>0</v>
      </c>
      <c r="CO4237">
        <v>5</v>
      </c>
      <c r="CP4237" t="s">
        <v>119</v>
      </c>
      <c r="CQ4237">
        <v>180</v>
      </c>
      <c r="CR4237">
        <v>3</v>
      </c>
      <c r="CW4237">
        <v>1373705</v>
      </c>
      <c r="CY4237">
        <v>0</v>
      </c>
      <c r="CZ4237">
        <v>0</v>
      </c>
      <c r="DA4237">
        <v>1</v>
      </c>
      <c r="DB4237">
        <v>0</v>
      </c>
      <c r="DC4237">
        <v>0</v>
      </c>
      <c r="DD4237">
        <v>0</v>
      </c>
      <c r="DE4237">
        <v>0</v>
      </c>
      <c r="DF4237">
        <v>0</v>
      </c>
      <c r="DG4237">
        <v>0</v>
      </c>
      <c r="DH4237">
        <v>0</v>
      </c>
      <c r="DI4237">
        <v>0</v>
      </c>
    </row>
    <row r="4238" spans="1:113" x14ac:dyDescent="0.3">
      <c r="A4238" t="str">
        <f>"02/08/2021 20:37:48.884"</f>
        <v>02/08/2021 20:37:48.884</v>
      </c>
      <c r="C4238" t="str">
        <f t="shared" si="209"/>
        <v>FFDFD7C0</v>
      </c>
      <c r="D4238" t="s">
        <v>124</v>
      </c>
      <c r="E4238">
        <v>11</v>
      </c>
      <c r="F4238">
        <v>1011</v>
      </c>
      <c r="G4238" t="s">
        <v>590</v>
      </c>
      <c r="J4238" t="s">
        <v>125</v>
      </c>
      <c r="K4238">
        <v>0</v>
      </c>
      <c r="L4238">
        <v>3</v>
      </c>
      <c r="M4238">
        <v>0</v>
      </c>
      <c r="N4238">
        <v>2</v>
      </c>
      <c r="O4238">
        <v>1</v>
      </c>
      <c r="P4238">
        <v>0</v>
      </c>
      <c r="Q4238">
        <v>0</v>
      </c>
      <c r="S4238" t="str">
        <f>"20:37:51.219"</f>
        <v>20:37:51.219</v>
      </c>
      <c r="T4238" t="str">
        <f>"20:37:50.719"</f>
        <v>20:37:50.719</v>
      </c>
      <c r="U4238" t="str">
        <f t="shared" si="211"/>
        <v>AB01F4</v>
      </c>
      <c r="V4238">
        <v>0</v>
      </c>
      <c r="W4238">
        <v>0</v>
      </c>
      <c r="X4238">
        <v>2</v>
      </c>
      <c r="Z4238">
        <v>0</v>
      </c>
      <c r="AA4238">
        <v>9</v>
      </c>
      <c r="AB4238">
        <v>3</v>
      </c>
      <c r="AC4238">
        <v>0</v>
      </c>
      <c r="AD4238">
        <v>10</v>
      </c>
      <c r="AE4238">
        <v>0</v>
      </c>
      <c r="AF4238">
        <v>3</v>
      </c>
      <c r="AG4238">
        <v>2</v>
      </c>
      <c r="AH4238">
        <v>0</v>
      </c>
      <c r="AI4238" t="s">
        <v>2367</v>
      </c>
      <c r="AJ4238">
        <v>40.162497000000002</v>
      </c>
      <c r="AK4238" t="s">
        <v>2368</v>
      </c>
      <c r="AL4238">
        <v>-93.153312</v>
      </c>
      <c r="AM4238">
        <v>100</v>
      </c>
      <c r="AN4238">
        <v>1300</v>
      </c>
      <c r="AO4238" t="s">
        <v>118</v>
      </c>
      <c r="AP4238">
        <v>-114</v>
      </c>
      <c r="AQ4238">
        <v>61</v>
      </c>
      <c r="AR4238">
        <v>0</v>
      </c>
      <c r="AZ4238">
        <v>1200</v>
      </c>
      <c r="BA4238">
        <v>1</v>
      </c>
      <c r="BB4238" t="str">
        <f t="shared" si="210"/>
        <v xml:space="preserve">N8080G  </v>
      </c>
      <c r="BC4238">
        <v>1</v>
      </c>
      <c r="BE4238">
        <v>0</v>
      </c>
      <c r="BF4238">
        <v>0</v>
      </c>
      <c r="BG4238">
        <v>0</v>
      </c>
      <c r="BH4238">
        <v>1350</v>
      </c>
      <c r="BI4238">
        <v>1</v>
      </c>
      <c r="BJ4238">
        <v>1</v>
      </c>
      <c r="BK4238">
        <v>1</v>
      </c>
      <c r="BL4238">
        <v>0</v>
      </c>
      <c r="BO4238">
        <v>0</v>
      </c>
      <c r="BP4238">
        <v>0</v>
      </c>
      <c r="BW4238" t="str">
        <f>"20:37:51.220"</f>
        <v>20:37:51.220</v>
      </c>
      <c r="BZ4238">
        <v>0</v>
      </c>
      <c r="CA4238">
        <v>1600</v>
      </c>
      <c r="CB4238">
        <v>224</v>
      </c>
      <c r="CD4238">
        <v>1</v>
      </c>
      <c r="CE4238">
        <v>0</v>
      </c>
      <c r="CF4238">
        <v>0</v>
      </c>
      <c r="CG4238">
        <v>1</v>
      </c>
      <c r="CH4238">
        <v>0</v>
      </c>
      <c r="CI4238">
        <v>0</v>
      </c>
      <c r="CJ4238">
        <v>0</v>
      </c>
      <c r="CK4238">
        <v>2</v>
      </c>
      <c r="CL4238">
        <v>0</v>
      </c>
      <c r="CM4238">
        <v>2</v>
      </c>
      <c r="CN4238">
        <v>0</v>
      </c>
      <c r="CO4238">
        <v>5</v>
      </c>
      <c r="CP4238" t="s">
        <v>119</v>
      </c>
      <c r="CQ4238">
        <v>180</v>
      </c>
      <c r="CR4238">
        <v>3</v>
      </c>
      <c r="CW4238">
        <v>1373705</v>
      </c>
      <c r="CY4238">
        <v>0</v>
      </c>
      <c r="CZ4238">
        <v>0</v>
      </c>
      <c r="DA4238">
        <v>1</v>
      </c>
      <c r="DB4238">
        <v>0</v>
      </c>
      <c r="DC4238">
        <v>0</v>
      </c>
      <c r="DD4238">
        <v>0</v>
      </c>
      <c r="DE4238">
        <v>0</v>
      </c>
      <c r="DF4238">
        <v>0</v>
      </c>
      <c r="DG4238">
        <v>0</v>
      </c>
      <c r="DH4238">
        <v>0</v>
      </c>
      <c r="DI4238">
        <v>0</v>
      </c>
    </row>
    <row r="4239" spans="1:113" x14ac:dyDescent="0.3">
      <c r="A4239" t="str">
        <f>"02/08/2021 20:37:49.992"</f>
        <v>02/08/2021 20:37:49.992</v>
      </c>
      <c r="C4239" t="str">
        <f t="shared" si="209"/>
        <v>FFDFD7C0</v>
      </c>
      <c r="D4239" t="s">
        <v>124</v>
      </c>
      <c r="E4239">
        <v>13</v>
      </c>
      <c r="F4239">
        <v>1013</v>
      </c>
      <c r="G4239" t="s">
        <v>114</v>
      </c>
      <c r="J4239" t="s">
        <v>125</v>
      </c>
      <c r="K4239">
        <v>0</v>
      </c>
      <c r="L4239">
        <v>3</v>
      </c>
      <c r="M4239">
        <v>0</v>
      </c>
      <c r="N4239">
        <v>2</v>
      </c>
      <c r="O4239">
        <v>1</v>
      </c>
      <c r="P4239">
        <v>0</v>
      </c>
      <c r="Q4239">
        <v>0</v>
      </c>
      <c r="S4239" t="str">
        <f>"20:37:52.328"</f>
        <v>20:37:52.328</v>
      </c>
      <c r="T4239" t="str">
        <f>"20:37:51.828"</f>
        <v>20:37:51.828</v>
      </c>
      <c r="U4239" t="str">
        <f t="shared" si="211"/>
        <v>AB01F4</v>
      </c>
      <c r="V4239">
        <v>0</v>
      </c>
      <c r="W4239">
        <v>0</v>
      </c>
      <c r="X4239">
        <v>2</v>
      </c>
      <c r="Z4239">
        <v>0</v>
      </c>
      <c r="AA4239">
        <v>9</v>
      </c>
      <c r="AB4239">
        <v>3</v>
      </c>
      <c r="AC4239">
        <v>0</v>
      </c>
      <c r="AD4239">
        <v>10</v>
      </c>
      <c r="AE4239">
        <v>0</v>
      </c>
      <c r="AF4239">
        <v>3</v>
      </c>
      <c r="AG4239">
        <v>2</v>
      </c>
      <c r="AH4239">
        <v>0</v>
      </c>
      <c r="AI4239" t="s">
        <v>2369</v>
      </c>
      <c r="AJ4239">
        <v>40.162818000000001</v>
      </c>
      <c r="AK4239" t="s">
        <v>2370</v>
      </c>
      <c r="AL4239">
        <v>-93.154171000000005</v>
      </c>
      <c r="AM4239">
        <v>100</v>
      </c>
      <c r="AN4239">
        <v>1300</v>
      </c>
      <c r="AO4239" t="s">
        <v>118</v>
      </c>
      <c r="AP4239">
        <v>-114</v>
      </c>
      <c r="AQ4239">
        <v>61</v>
      </c>
      <c r="AR4239">
        <v>-64</v>
      </c>
      <c r="AZ4239">
        <v>1200</v>
      </c>
      <c r="BA4239">
        <v>1</v>
      </c>
      <c r="BB4239" t="str">
        <f t="shared" si="210"/>
        <v xml:space="preserve">N8080G  </v>
      </c>
      <c r="BC4239">
        <v>1</v>
      </c>
      <c r="BE4239">
        <v>0</v>
      </c>
      <c r="BF4239">
        <v>0</v>
      </c>
      <c r="BG4239">
        <v>0</v>
      </c>
      <c r="BH4239">
        <v>1350</v>
      </c>
      <c r="BI4239">
        <v>1</v>
      </c>
      <c r="BJ4239">
        <v>1</v>
      </c>
      <c r="BK4239">
        <v>1</v>
      </c>
      <c r="BL4239">
        <v>0</v>
      </c>
      <c r="BO4239">
        <v>0</v>
      </c>
      <c r="BP4239">
        <v>0</v>
      </c>
      <c r="BW4239" t="str">
        <f>"20:37:52.331"</f>
        <v>20:37:52.331</v>
      </c>
      <c r="BZ4239">
        <v>0</v>
      </c>
      <c r="CA4239">
        <v>1600</v>
      </c>
      <c r="CB4239">
        <v>224</v>
      </c>
      <c r="CD4239">
        <v>1</v>
      </c>
      <c r="CE4239">
        <v>0</v>
      </c>
      <c r="CF4239">
        <v>0</v>
      </c>
      <c r="CG4239">
        <v>1</v>
      </c>
      <c r="CH4239">
        <v>0</v>
      </c>
      <c r="CI4239">
        <v>0</v>
      </c>
      <c r="CJ4239">
        <v>0</v>
      </c>
      <c r="CK4239">
        <v>2</v>
      </c>
      <c r="CL4239">
        <v>0</v>
      </c>
      <c r="CM4239">
        <v>2</v>
      </c>
      <c r="CN4239">
        <v>0</v>
      </c>
      <c r="CO4239">
        <v>5</v>
      </c>
      <c r="CP4239" t="s">
        <v>119</v>
      </c>
      <c r="CQ4239">
        <v>180</v>
      </c>
      <c r="CR4239">
        <v>3</v>
      </c>
      <c r="CW4239">
        <v>1374586</v>
      </c>
      <c r="CY4239">
        <v>0</v>
      </c>
      <c r="CZ4239">
        <v>0</v>
      </c>
      <c r="DA4239">
        <v>0</v>
      </c>
      <c r="DB4239">
        <v>0</v>
      </c>
      <c r="DC4239">
        <v>0</v>
      </c>
      <c r="DD4239">
        <v>0</v>
      </c>
      <c r="DE4239">
        <v>0</v>
      </c>
      <c r="DF4239">
        <v>0</v>
      </c>
      <c r="DG4239">
        <v>0</v>
      </c>
      <c r="DH4239">
        <v>0</v>
      </c>
      <c r="DI4239">
        <v>0</v>
      </c>
    </row>
    <row r="4240" spans="1:113" x14ac:dyDescent="0.3">
      <c r="A4240" t="str">
        <f>"02/08/2021 20:37:49.992"</f>
        <v>02/08/2021 20:37:49.992</v>
      </c>
      <c r="C4240" t="str">
        <f t="shared" si="209"/>
        <v>FFDFD7C0</v>
      </c>
      <c r="D4240" t="s">
        <v>124</v>
      </c>
      <c r="E4240">
        <v>11</v>
      </c>
      <c r="F4240">
        <v>1011</v>
      </c>
      <c r="G4240" t="s">
        <v>590</v>
      </c>
      <c r="J4240" t="s">
        <v>125</v>
      </c>
      <c r="K4240">
        <v>0</v>
      </c>
      <c r="L4240">
        <v>3</v>
      </c>
      <c r="M4240">
        <v>0</v>
      </c>
      <c r="N4240">
        <v>2</v>
      </c>
      <c r="O4240">
        <v>1</v>
      </c>
      <c r="P4240">
        <v>0</v>
      </c>
      <c r="Q4240">
        <v>0</v>
      </c>
      <c r="S4240" t="str">
        <f>"20:37:52.328"</f>
        <v>20:37:52.328</v>
      </c>
      <c r="T4240" t="str">
        <f>"20:37:51.828"</f>
        <v>20:37:51.828</v>
      </c>
      <c r="U4240" t="str">
        <f t="shared" si="211"/>
        <v>AB01F4</v>
      </c>
      <c r="V4240">
        <v>0</v>
      </c>
      <c r="W4240">
        <v>0</v>
      </c>
      <c r="X4240">
        <v>2</v>
      </c>
      <c r="Z4240">
        <v>0</v>
      </c>
      <c r="AA4240">
        <v>9</v>
      </c>
      <c r="AB4240">
        <v>3</v>
      </c>
      <c r="AC4240">
        <v>0</v>
      </c>
      <c r="AD4240">
        <v>10</v>
      </c>
      <c r="AE4240">
        <v>0</v>
      </c>
      <c r="AF4240">
        <v>3</v>
      </c>
      <c r="AG4240">
        <v>2</v>
      </c>
      <c r="AH4240">
        <v>0</v>
      </c>
      <c r="AI4240" t="s">
        <v>2369</v>
      </c>
      <c r="AJ4240">
        <v>40.162818000000001</v>
      </c>
      <c r="AK4240" t="s">
        <v>2370</v>
      </c>
      <c r="AL4240">
        <v>-93.154171000000005</v>
      </c>
      <c r="AM4240">
        <v>100</v>
      </c>
      <c r="AN4240">
        <v>1300</v>
      </c>
      <c r="AO4240" t="s">
        <v>118</v>
      </c>
      <c r="AP4240">
        <v>-114</v>
      </c>
      <c r="AQ4240">
        <v>61</v>
      </c>
      <c r="AR4240">
        <v>-64</v>
      </c>
      <c r="AZ4240">
        <v>1200</v>
      </c>
      <c r="BA4240">
        <v>1</v>
      </c>
      <c r="BB4240" t="str">
        <f t="shared" si="210"/>
        <v xml:space="preserve">N8080G  </v>
      </c>
      <c r="BC4240">
        <v>1</v>
      </c>
      <c r="BE4240">
        <v>0</v>
      </c>
      <c r="BF4240">
        <v>0</v>
      </c>
      <c r="BG4240">
        <v>0</v>
      </c>
      <c r="BH4240">
        <v>1350</v>
      </c>
      <c r="BI4240">
        <v>1</v>
      </c>
      <c r="BJ4240">
        <v>1</v>
      </c>
      <c r="BK4240">
        <v>1</v>
      </c>
      <c r="BL4240">
        <v>0</v>
      </c>
      <c r="BO4240">
        <v>0</v>
      </c>
      <c r="BP4240">
        <v>0</v>
      </c>
      <c r="BW4240" t="str">
        <f>"20:37:52.331"</f>
        <v>20:37:52.331</v>
      </c>
      <c r="BZ4240">
        <v>0</v>
      </c>
      <c r="CA4240">
        <v>1600</v>
      </c>
      <c r="CB4240">
        <v>224</v>
      </c>
      <c r="CD4240">
        <v>1</v>
      </c>
      <c r="CE4240">
        <v>0</v>
      </c>
      <c r="CF4240">
        <v>0</v>
      </c>
      <c r="CG4240">
        <v>1</v>
      </c>
      <c r="CH4240">
        <v>0</v>
      </c>
      <c r="CI4240">
        <v>0</v>
      </c>
      <c r="CJ4240">
        <v>0</v>
      </c>
      <c r="CK4240">
        <v>2</v>
      </c>
      <c r="CL4240">
        <v>0</v>
      </c>
      <c r="CM4240">
        <v>2</v>
      </c>
      <c r="CN4240">
        <v>0</v>
      </c>
      <c r="CO4240">
        <v>5</v>
      </c>
      <c r="CP4240" t="s">
        <v>119</v>
      </c>
      <c r="CQ4240">
        <v>180</v>
      </c>
      <c r="CR4240">
        <v>3</v>
      </c>
      <c r="CW4240">
        <v>1374586</v>
      </c>
      <c r="CY4240">
        <v>0</v>
      </c>
      <c r="CZ4240">
        <v>0</v>
      </c>
      <c r="DA4240">
        <v>1</v>
      </c>
      <c r="DB4240">
        <v>0</v>
      </c>
      <c r="DC4240">
        <v>0</v>
      </c>
      <c r="DD4240">
        <v>0</v>
      </c>
      <c r="DE4240">
        <v>0</v>
      </c>
      <c r="DF4240">
        <v>0</v>
      </c>
      <c r="DG4240">
        <v>0</v>
      </c>
      <c r="DH4240">
        <v>0</v>
      </c>
      <c r="DI4240">
        <v>0</v>
      </c>
    </row>
    <row r="4241" spans="1:113" x14ac:dyDescent="0.3">
      <c r="A4241" t="str">
        <f>"02/08/2021 20:37:49.992"</f>
        <v>02/08/2021 20:37:49.992</v>
      </c>
      <c r="C4241" t="str">
        <f t="shared" si="209"/>
        <v>FFDFD7C0</v>
      </c>
      <c r="D4241" t="s">
        <v>113</v>
      </c>
      <c r="E4241">
        <v>6</v>
      </c>
      <c r="H4241">
        <v>165</v>
      </c>
      <c r="I4241" t="s">
        <v>114</v>
      </c>
      <c r="J4241" t="s">
        <v>115</v>
      </c>
      <c r="K4241">
        <v>0</v>
      </c>
      <c r="L4241">
        <v>3</v>
      </c>
      <c r="M4241">
        <v>0</v>
      </c>
      <c r="N4241">
        <v>2</v>
      </c>
      <c r="O4241">
        <v>1</v>
      </c>
      <c r="P4241">
        <v>0</v>
      </c>
      <c r="Q4241">
        <v>0</v>
      </c>
      <c r="S4241" t="str">
        <f>"20:37:52.328"</f>
        <v>20:37:52.328</v>
      </c>
      <c r="T4241" t="str">
        <f>"20:37:51.828"</f>
        <v>20:37:51.828</v>
      </c>
      <c r="U4241" t="str">
        <f t="shared" si="211"/>
        <v>AB01F4</v>
      </c>
      <c r="V4241">
        <v>0</v>
      </c>
      <c r="W4241">
        <v>0</v>
      </c>
      <c r="X4241">
        <v>2</v>
      </c>
      <c r="Z4241">
        <v>0</v>
      </c>
      <c r="AA4241">
        <v>9</v>
      </c>
      <c r="AB4241">
        <v>3</v>
      </c>
      <c r="AC4241">
        <v>0</v>
      </c>
      <c r="AD4241">
        <v>10</v>
      </c>
      <c r="AE4241">
        <v>0</v>
      </c>
      <c r="AF4241">
        <v>3</v>
      </c>
      <c r="AG4241">
        <v>2</v>
      </c>
      <c r="AH4241">
        <v>0</v>
      </c>
      <c r="AI4241" t="s">
        <v>2369</v>
      </c>
      <c r="AJ4241">
        <v>40.162818000000001</v>
      </c>
      <c r="AK4241" t="s">
        <v>2370</v>
      </c>
      <c r="AL4241">
        <v>-93.154171000000005</v>
      </c>
      <c r="AM4241">
        <v>100</v>
      </c>
      <c r="AN4241">
        <v>1300</v>
      </c>
      <c r="AO4241" t="s">
        <v>118</v>
      </c>
      <c r="AP4241">
        <v>-114</v>
      </c>
      <c r="AQ4241">
        <v>61</v>
      </c>
      <c r="AR4241">
        <v>-64</v>
      </c>
      <c r="AZ4241">
        <v>1200</v>
      </c>
      <c r="BA4241">
        <v>1</v>
      </c>
      <c r="BB4241" t="str">
        <f t="shared" si="210"/>
        <v xml:space="preserve">N8080G  </v>
      </c>
      <c r="BC4241">
        <v>1</v>
      </c>
      <c r="BE4241">
        <v>0</v>
      </c>
      <c r="BF4241">
        <v>0</v>
      </c>
      <c r="BG4241">
        <v>0</v>
      </c>
      <c r="BH4241">
        <v>1350</v>
      </c>
      <c r="BI4241">
        <v>1</v>
      </c>
      <c r="BJ4241">
        <v>1</v>
      </c>
      <c r="BK4241">
        <v>1</v>
      </c>
      <c r="BL4241">
        <v>0</v>
      </c>
      <c r="BO4241">
        <v>0</v>
      </c>
      <c r="BP4241">
        <v>0</v>
      </c>
      <c r="BW4241" t="str">
        <f>"20:37:52.331"</f>
        <v>20:37:52.331</v>
      </c>
      <c r="BZ4241">
        <v>0</v>
      </c>
      <c r="CA4241">
        <v>1600</v>
      </c>
      <c r="CB4241">
        <v>224</v>
      </c>
      <c r="CD4241">
        <v>1</v>
      </c>
      <c r="CE4241">
        <v>0</v>
      </c>
      <c r="CF4241">
        <v>0</v>
      </c>
      <c r="CG4241">
        <v>1</v>
      </c>
      <c r="CH4241">
        <v>0</v>
      </c>
      <c r="CI4241">
        <v>0</v>
      </c>
      <c r="CJ4241">
        <v>0</v>
      </c>
      <c r="CK4241">
        <v>2</v>
      </c>
      <c r="CL4241">
        <v>0</v>
      </c>
      <c r="CM4241">
        <v>2</v>
      </c>
      <c r="CN4241">
        <v>0</v>
      </c>
      <c r="CO4241">
        <v>5</v>
      </c>
      <c r="CP4241" t="s">
        <v>119</v>
      </c>
      <c r="CQ4241">
        <v>180</v>
      </c>
      <c r="CR4241">
        <v>3</v>
      </c>
      <c r="CW4241">
        <v>1374586</v>
      </c>
      <c r="CY4241">
        <v>0</v>
      </c>
      <c r="CZ4241">
        <v>0</v>
      </c>
      <c r="DA4241">
        <v>1</v>
      </c>
      <c r="DB4241">
        <v>0</v>
      </c>
      <c r="DC4241">
        <v>0</v>
      </c>
      <c r="DD4241">
        <v>0</v>
      </c>
      <c r="DE4241">
        <v>0</v>
      </c>
      <c r="DF4241">
        <v>0</v>
      </c>
      <c r="DG4241">
        <v>0</v>
      </c>
      <c r="DH4241">
        <v>0</v>
      </c>
      <c r="DI4241">
        <v>0</v>
      </c>
    </row>
    <row r="4242" spans="1:113" x14ac:dyDescent="0.3">
      <c r="A4242" t="str">
        <f>"02/08/2021 20:37:49.992"</f>
        <v>02/08/2021 20:37:49.992</v>
      </c>
      <c r="C4242" t="str">
        <f t="shared" si="209"/>
        <v>FFDFD7C0</v>
      </c>
      <c r="D4242" t="s">
        <v>124</v>
      </c>
      <c r="E4242">
        <v>12</v>
      </c>
      <c r="F4242">
        <v>1012</v>
      </c>
      <c r="G4242" t="s">
        <v>675</v>
      </c>
      <c r="J4242" t="s">
        <v>125</v>
      </c>
      <c r="K4242">
        <v>0</v>
      </c>
      <c r="L4242">
        <v>3</v>
      </c>
      <c r="M4242">
        <v>0</v>
      </c>
      <c r="N4242">
        <v>2</v>
      </c>
      <c r="O4242">
        <v>1</v>
      </c>
      <c r="P4242">
        <v>0</v>
      </c>
      <c r="Q4242">
        <v>0</v>
      </c>
      <c r="S4242" t="str">
        <f>"20:37:52.328"</f>
        <v>20:37:52.328</v>
      </c>
      <c r="T4242" t="str">
        <f>"20:37:51.828"</f>
        <v>20:37:51.828</v>
      </c>
      <c r="U4242" t="str">
        <f t="shared" si="211"/>
        <v>AB01F4</v>
      </c>
      <c r="V4242">
        <v>0</v>
      </c>
      <c r="W4242">
        <v>0</v>
      </c>
      <c r="X4242">
        <v>2</v>
      </c>
      <c r="Z4242">
        <v>0</v>
      </c>
      <c r="AA4242">
        <v>9</v>
      </c>
      <c r="AB4242">
        <v>3</v>
      </c>
      <c r="AC4242">
        <v>0</v>
      </c>
      <c r="AD4242">
        <v>10</v>
      </c>
      <c r="AE4242">
        <v>0</v>
      </c>
      <c r="AF4242">
        <v>3</v>
      </c>
      <c r="AG4242">
        <v>2</v>
      </c>
      <c r="AH4242">
        <v>0</v>
      </c>
      <c r="AI4242" t="s">
        <v>2369</v>
      </c>
      <c r="AJ4242">
        <v>40.162818000000001</v>
      </c>
      <c r="AK4242" t="s">
        <v>2370</v>
      </c>
      <c r="AL4242">
        <v>-93.154171000000005</v>
      </c>
      <c r="AM4242">
        <v>100</v>
      </c>
      <c r="AN4242">
        <v>1300</v>
      </c>
      <c r="AO4242" t="s">
        <v>118</v>
      </c>
      <c r="AP4242">
        <v>-114</v>
      </c>
      <c r="AQ4242">
        <v>61</v>
      </c>
      <c r="AR4242">
        <v>-64</v>
      </c>
      <c r="AZ4242">
        <v>1200</v>
      </c>
      <c r="BA4242">
        <v>1</v>
      </c>
      <c r="BB4242" t="str">
        <f t="shared" si="210"/>
        <v xml:space="preserve">N8080G  </v>
      </c>
      <c r="BC4242">
        <v>1</v>
      </c>
      <c r="BE4242">
        <v>0</v>
      </c>
      <c r="BF4242">
        <v>0</v>
      </c>
      <c r="BG4242">
        <v>0</v>
      </c>
      <c r="BH4242">
        <v>1350</v>
      </c>
      <c r="BI4242">
        <v>1</v>
      </c>
      <c r="BJ4242">
        <v>1</v>
      </c>
      <c r="BK4242">
        <v>1</v>
      </c>
      <c r="BL4242">
        <v>0</v>
      </c>
      <c r="BO4242">
        <v>0</v>
      </c>
      <c r="BP4242">
        <v>0</v>
      </c>
      <c r="BW4242" t="str">
        <f>"20:37:52.331"</f>
        <v>20:37:52.331</v>
      </c>
      <c r="BZ4242">
        <v>0</v>
      </c>
      <c r="CA4242">
        <v>1600</v>
      </c>
      <c r="CB4242">
        <v>224</v>
      </c>
      <c r="CD4242">
        <v>1</v>
      </c>
      <c r="CE4242">
        <v>0</v>
      </c>
      <c r="CF4242">
        <v>0</v>
      </c>
      <c r="CG4242">
        <v>1</v>
      </c>
      <c r="CH4242">
        <v>0</v>
      </c>
      <c r="CI4242">
        <v>0</v>
      </c>
      <c r="CJ4242">
        <v>0</v>
      </c>
      <c r="CK4242">
        <v>2</v>
      </c>
      <c r="CL4242">
        <v>0</v>
      </c>
      <c r="CM4242">
        <v>2</v>
      </c>
      <c r="CN4242">
        <v>0</v>
      </c>
      <c r="CO4242">
        <v>5</v>
      </c>
      <c r="CP4242" t="s">
        <v>119</v>
      </c>
      <c r="CQ4242">
        <v>180</v>
      </c>
      <c r="CR4242">
        <v>3</v>
      </c>
      <c r="CW4242">
        <v>1374586</v>
      </c>
      <c r="CY4242">
        <v>0</v>
      </c>
      <c r="CZ4242">
        <v>0</v>
      </c>
      <c r="DA4242">
        <v>1</v>
      </c>
      <c r="DB4242">
        <v>0</v>
      </c>
      <c r="DC4242">
        <v>0</v>
      </c>
      <c r="DD4242">
        <v>0</v>
      </c>
      <c r="DE4242">
        <v>0</v>
      </c>
      <c r="DF4242">
        <v>0</v>
      </c>
      <c r="DG4242">
        <v>0</v>
      </c>
      <c r="DH4242">
        <v>0</v>
      </c>
      <c r="DI4242">
        <v>0</v>
      </c>
    </row>
    <row r="4243" spans="1:113" x14ac:dyDescent="0.3">
      <c r="A4243" t="str">
        <f>"02/08/2021 20:37:50.963"</f>
        <v>02/08/2021 20:37:50.963</v>
      </c>
      <c r="C4243" t="str">
        <f t="shared" si="209"/>
        <v>FFDFD7C0</v>
      </c>
      <c r="D4243" t="s">
        <v>124</v>
      </c>
      <c r="E4243">
        <v>12</v>
      </c>
      <c r="F4243">
        <v>1012</v>
      </c>
      <c r="G4243" t="s">
        <v>675</v>
      </c>
      <c r="J4243" t="s">
        <v>125</v>
      </c>
      <c r="K4243">
        <v>0</v>
      </c>
      <c r="L4243">
        <v>3</v>
      </c>
      <c r="M4243">
        <v>0</v>
      </c>
      <c r="N4243">
        <v>2</v>
      </c>
      <c r="O4243">
        <v>1</v>
      </c>
      <c r="P4243">
        <v>0</v>
      </c>
      <c r="Q4243">
        <v>0</v>
      </c>
      <c r="S4243" t="str">
        <f>"20:37:53.289"</f>
        <v>20:37:53.289</v>
      </c>
      <c r="T4243" t="str">
        <f>"20:37:52.789"</f>
        <v>20:37:52.789</v>
      </c>
      <c r="U4243" t="str">
        <f t="shared" si="211"/>
        <v>AB01F4</v>
      </c>
      <c r="V4243">
        <v>0</v>
      </c>
      <c r="W4243">
        <v>0</v>
      </c>
      <c r="X4243">
        <v>2</v>
      </c>
      <c r="Z4243">
        <v>0</v>
      </c>
      <c r="AA4243">
        <v>9</v>
      </c>
      <c r="AB4243">
        <v>3</v>
      </c>
      <c r="AC4243">
        <v>0</v>
      </c>
      <c r="AD4243">
        <v>10</v>
      </c>
      <c r="AE4243">
        <v>0</v>
      </c>
      <c r="AF4243">
        <v>3</v>
      </c>
      <c r="AG4243">
        <v>2</v>
      </c>
      <c r="AH4243">
        <v>0</v>
      </c>
      <c r="AI4243" t="s">
        <v>2371</v>
      </c>
      <c r="AJ4243">
        <v>40.163032999999999</v>
      </c>
      <c r="AK4243" t="s">
        <v>2372</v>
      </c>
      <c r="AL4243">
        <v>-93.154814000000002</v>
      </c>
      <c r="AM4243">
        <v>100</v>
      </c>
      <c r="AN4243">
        <v>1300</v>
      </c>
      <c r="AO4243" t="s">
        <v>118</v>
      </c>
      <c r="AP4243">
        <v>-114</v>
      </c>
      <c r="AQ4243">
        <v>60</v>
      </c>
      <c r="AR4243">
        <v>-64</v>
      </c>
      <c r="AZ4243">
        <v>1200</v>
      </c>
      <c r="BA4243">
        <v>1</v>
      </c>
      <c r="BB4243" t="str">
        <f t="shared" si="210"/>
        <v xml:space="preserve">N8080G  </v>
      </c>
      <c r="BC4243">
        <v>1</v>
      </c>
      <c r="BE4243">
        <v>0</v>
      </c>
      <c r="BF4243">
        <v>0</v>
      </c>
      <c r="BG4243">
        <v>0</v>
      </c>
      <c r="BH4243">
        <v>1350</v>
      </c>
      <c r="BI4243">
        <v>1</v>
      </c>
      <c r="BJ4243">
        <v>1</v>
      </c>
      <c r="BK4243">
        <v>1</v>
      </c>
      <c r="BL4243">
        <v>0</v>
      </c>
      <c r="BO4243">
        <v>0</v>
      </c>
      <c r="BP4243">
        <v>0</v>
      </c>
      <c r="BW4243" t="str">
        <f>"20:37:53.289"</f>
        <v>20:37:53.289</v>
      </c>
      <c r="BZ4243">
        <v>0</v>
      </c>
      <c r="CA4243">
        <v>1600</v>
      </c>
      <c r="CB4243">
        <v>224</v>
      </c>
      <c r="CD4243">
        <v>1</v>
      </c>
      <c r="CE4243">
        <v>0</v>
      </c>
      <c r="CF4243">
        <v>0</v>
      </c>
      <c r="CG4243">
        <v>1</v>
      </c>
      <c r="CH4243">
        <v>0</v>
      </c>
      <c r="CI4243">
        <v>0</v>
      </c>
      <c r="CJ4243">
        <v>0</v>
      </c>
      <c r="CK4243">
        <v>2</v>
      </c>
      <c r="CL4243">
        <v>0</v>
      </c>
      <c r="CM4243">
        <v>2</v>
      </c>
      <c r="CN4243">
        <v>0</v>
      </c>
      <c r="CO4243">
        <v>2</v>
      </c>
      <c r="CP4243" t="s">
        <v>119</v>
      </c>
      <c r="CQ4243">
        <v>179</v>
      </c>
      <c r="CR4243">
        <v>2</v>
      </c>
      <c r="CW4243">
        <v>12649058</v>
      </c>
      <c r="CY4243">
        <v>0</v>
      </c>
      <c r="CZ4243">
        <v>0</v>
      </c>
      <c r="DA4243">
        <v>0</v>
      </c>
      <c r="DB4243">
        <v>0</v>
      </c>
      <c r="DC4243">
        <v>0</v>
      </c>
      <c r="DD4243">
        <v>0</v>
      </c>
      <c r="DE4243">
        <v>0</v>
      </c>
      <c r="DF4243">
        <v>0</v>
      </c>
      <c r="DG4243">
        <v>0</v>
      </c>
      <c r="DH4243">
        <v>0</v>
      </c>
      <c r="DI4243">
        <v>0</v>
      </c>
    </row>
    <row r="4244" spans="1:113" x14ac:dyDescent="0.3">
      <c r="A4244" t="str">
        <f>"02/08/2021 20:37:50.963"</f>
        <v>02/08/2021 20:37:50.963</v>
      </c>
      <c r="C4244" t="str">
        <f t="shared" si="209"/>
        <v>FFDFD7C0</v>
      </c>
      <c r="D4244" t="s">
        <v>124</v>
      </c>
      <c r="E4244">
        <v>13</v>
      </c>
      <c r="F4244">
        <v>1013</v>
      </c>
      <c r="G4244" t="s">
        <v>114</v>
      </c>
      <c r="J4244" t="s">
        <v>125</v>
      </c>
      <c r="K4244">
        <v>0</v>
      </c>
      <c r="L4244">
        <v>3</v>
      </c>
      <c r="M4244">
        <v>0</v>
      </c>
      <c r="N4244">
        <v>2</v>
      </c>
      <c r="O4244">
        <v>1</v>
      </c>
      <c r="P4244">
        <v>0</v>
      </c>
      <c r="Q4244">
        <v>0</v>
      </c>
      <c r="S4244" t="str">
        <f>"20:37:53.289"</f>
        <v>20:37:53.289</v>
      </c>
      <c r="T4244" t="str">
        <f>"20:37:52.789"</f>
        <v>20:37:52.789</v>
      </c>
      <c r="U4244" t="str">
        <f t="shared" si="211"/>
        <v>AB01F4</v>
      </c>
      <c r="V4244">
        <v>0</v>
      </c>
      <c r="W4244">
        <v>0</v>
      </c>
      <c r="X4244">
        <v>2</v>
      </c>
      <c r="Z4244">
        <v>0</v>
      </c>
      <c r="AA4244">
        <v>9</v>
      </c>
      <c r="AB4244">
        <v>3</v>
      </c>
      <c r="AC4244">
        <v>0</v>
      </c>
      <c r="AD4244">
        <v>10</v>
      </c>
      <c r="AE4244">
        <v>0</v>
      </c>
      <c r="AF4244">
        <v>3</v>
      </c>
      <c r="AG4244">
        <v>2</v>
      </c>
      <c r="AH4244">
        <v>0</v>
      </c>
      <c r="AI4244" t="s">
        <v>2371</v>
      </c>
      <c r="AJ4244">
        <v>40.163032999999999</v>
      </c>
      <c r="AK4244" t="s">
        <v>2372</v>
      </c>
      <c r="AL4244">
        <v>-93.154814000000002</v>
      </c>
      <c r="AM4244">
        <v>100</v>
      </c>
      <c r="AN4244">
        <v>1300</v>
      </c>
      <c r="AO4244" t="s">
        <v>118</v>
      </c>
      <c r="AP4244">
        <v>-114</v>
      </c>
      <c r="AQ4244">
        <v>60</v>
      </c>
      <c r="AR4244">
        <v>-64</v>
      </c>
      <c r="AZ4244">
        <v>1200</v>
      </c>
      <c r="BA4244">
        <v>1</v>
      </c>
      <c r="BB4244" t="str">
        <f t="shared" si="210"/>
        <v xml:space="preserve">N8080G  </v>
      </c>
      <c r="BC4244">
        <v>1</v>
      </c>
      <c r="BE4244">
        <v>0</v>
      </c>
      <c r="BF4244">
        <v>0</v>
      </c>
      <c r="BG4244">
        <v>0</v>
      </c>
      <c r="BH4244">
        <v>1350</v>
      </c>
      <c r="BI4244">
        <v>1</v>
      </c>
      <c r="BJ4244">
        <v>1</v>
      </c>
      <c r="BK4244">
        <v>1</v>
      </c>
      <c r="BL4244">
        <v>0</v>
      </c>
      <c r="BO4244">
        <v>0</v>
      </c>
      <c r="BP4244">
        <v>0</v>
      </c>
      <c r="BW4244" t="str">
        <f>"20:37:53.289"</f>
        <v>20:37:53.289</v>
      </c>
      <c r="BZ4244">
        <v>0</v>
      </c>
      <c r="CA4244">
        <v>1600</v>
      </c>
      <c r="CB4244">
        <v>224</v>
      </c>
      <c r="CD4244">
        <v>1</v>
      </c>
      <c r="CE4244">
        <v>0</v>
      </c>
      <c r="CF4244">
        <v>0</v>
      </c>
      <c r="CG4244">
        <v>1</v>
      </c>
      <c r="CH4244">
        <v>0</v>
      </c>
      <c r="CI4244">
        <v>0</v>
      </c>
      <c r="CJ4244">
        <v>0</v>
      </c>
      <c r="CK4244">
        <v>2</v>
      </c>
      <c r="CL4244">
        <v>0</v>
      </c>
      <c r="CM4244">
        <v>2</v>
      </c>
      <c r="CN4244">
        <v>0</v>
      </c>
      <c r="CO4244">
        <v>2</v>
      </c>
      <c r="CP4244" t="s">
        <v>119</v>
      </c>
      <c r="CQ4244">
        <v>179</v>
      </c>
      <c r="CR4244">
        <v>2</v>
      </c>
      <c r="CW4244">
        <v>12649058</v>
      </c>
      <c r="CY4244">
        <v>0</v>
      </c>
      <c r="CZ4244">
        <v>0</v>
      </c>
      <c r="DA4244">
        <v>1</v>
      </c>
      <c r="DB4244">
        <v>0</v>
      </c>
      <c r="DC4244">
        <v>0</v>
      </c>
      <c r="DD4244">
        <v>0</v>
      </c>
      <c r="DE4244">
        <v>0</v>
      </c>
      <c r="DF4244">
        <v>0</v>
      </c>
      <c r="DG4244">
        <v>0</v>
      </c>
      <c r="DH4244">
        <v>0</v>
      </c>
      <c r="DI4244">
        <v>0</v>
      </c>
    </row>
    <row r="4245" spans="1:113" x14ac:dyDescent="0.3">
      <c r="A4245" t="str">
        <f>"02/08/2021 20:37:50.963"</f>
        <v>02/08/2021 20:37:50.963</v>
      </c>
      <c r="C4245" t="str">
        <f t="shared" si="209"/>
        <v>FFDFD7C0</v>
      </c>
      <c r="D4245" t="s">
        <v>124</v>
      </c>
      <c r="E4245">
        <v>11</v>
      </c>
      <c r="F4245">
        <v>1011</v>
      </c>
      <c r="G4245" t="s">
        <v>590</v>
      </c>
      <c r="J4245" t="s">
        <v>125</v>
      </c>
      <c r="K4245">
        <v>0</v>
      </c>
      <c r="L4245">
        <v>3</v>
      </c>
      <c r="M4245">
        <v>0</v>
      </c>
      <c r="N4245">
        <v>2</v>
      </c>
      <c r="O4245">
        <v>1</v>
      </c>
      <c r="P4245">
        <v>0</v>
      </c>
      <c r="Q4245">
        <v>0</v>
      </c>
      <c r="S4245" t="str">
        <f>"20:37:53.289"</f>
        <v>20:37:53.289</v>
      </c>
      <c r="T4245" t="str">
        <f>"20:37:52.789"</f>
        <v>20:37:52.789</v>
      </c>
      <c r="U4245" t="str">
        <f t="shared" si="211"/>
        <v>AB01F4</v>
      </c>
      <c r="V4245">
        <v>0</v>
      </c>
      <c r="W4245">
        <v>0</v>
      </c>
      <c r="X4245">
        <v>2</v>
      </c>
      <c r="Z4245">
        <v>0</v>
      </c>
      <c r="AA4245">
        <v>9</v>
      </c>
      <c r="AB4245">
        <v>3</v>
      </c>
      <c r="AC4245">
        <v>0</v>
      </c>
      <c r="AD4245">
        <v>10</v>
      </c>
      <c r="AE4245">
        <v>0</v>
      </c>
      <c r="AF4245">
        <v>3</v>
      </c>
      <c r="AG4245">
        <v>2</v>
      </c>
      <c r="AH4245">
        <v>0</v>
      </c>
      <c r="AI4245" t="s">
        <v>2371</v>
      </c>
      <c r="AJ4245">
        <v>40.163032999999999</v>
      </c>
      <c r="AK4245" t="s">
        <v>2372</v>
      </c>
      <c r="AL4245">
        <v>-93.154814000000002</v>
      </c>
      <c r="AM4245">
        <v>100</v>
      </c>
      <c r="AN4245">
        <v>1300</v>
      </c>
      <c r="AO4245" t="s">
        <v>118</v>
      </c>
      <c r="AP4245">
        <v>-114</v>
      </c>
      <c r="AQ4245">
        <v>60</v>
      </c>
      <c r="AR4245">
        <v>-64</v>
      </c>
      <c r="AZ4245">
        <v>1200</v>
      </c>
      <c r="BA4245">
        <v>1</v>
      </c>
      <c r="BB4245" t="str">
        <f t="shared" si="210"/>
        <v xml:space="preserve">N8080G  </v>
      </c>
      <c r="BC4245">
        <v>1</v>
      </c>
      <c r="BE4245">
        <v>0</v>
      </c>
      <c r="BF4245">
        <v>0</v>
      </c>
      <c r="BG4245">
        <v>0</v>
      </c>
      <c r="BH4245">
        <v>1350</v>
      </c>
      <c r="BI4245">
        <v>1</v>
      </c>
      <c r="BJ4245">
        <v>1</v>
      </c>
      <c r="BK4245">
        <v>1</v>
      </c>
      <c r="BL4245">
        <v>0</v>
      </c>
      <c r="BO4245">
        <v>0</v>
      </c>
      <c r="BP4245">
        <v>0</v>
      </c>
      <c r="BW4245" t="str">
        <f>"20:37:53.289"</f>
        <v>20:37:53.289</v>
      </c>
      <c r="BZ4245">
        <v>0</v>
      </c>
      <c r="CA4245">
        <v>1600</v>
      </c>
      <c r="CB4245">
        <v>224</v>
      </c>
      <c r="CD4245">
        <v>1</v>
      </c>
      <c r="CE4245">
        <v>0</v>
      </c>
      <c r="CF4245">
        <v>0</v>
      </c>
      <c r="CG4245">
        <v>1</v>
      </c>
      <c r="CH4245">
        <v>0</v>
      </c>
      <c r="CI4245">
        <v>0</v>
      </c>
      <c r="CJ4245">
        <v>0</v>
      </c>
      <c r="CK4245">
        <v>2</v>
      </c>
      <c r="CL4245">
        <v>0</v>
      </c>
      <c r="CM4245">
        <v>2</v>
      </c>
      <c r="CN4245">
        <v>0</v>
      </c>
      <c r="CO4245">
        <v>2</v>
      </c>
      <c r="CP4245" t="s">
        <v>119</v>
      </c>
      <c r="CQ4245">
        <v>179</v>
      </c>
      <c r="CR4245">
        <v>2</v>
      </c>
      <c r="CW4245">
        <v>12649058</v>
      </c>
      <c r="CY4245">
        <v>0</v>
      </c>
      <c r="CZ4245">
        <v>0</v>
      </c>
      <c r="DA4245">
        <v>1</v>
      </c>
      <c r="DB4245">
        <v>0</v>
      </c>
      <c r="DC4245">
        <v>0</v>
      </c>
      <c r="DD4245">
        <v>0</v>
      </c>
      <c r="DE4245">
        <v>0</v>
      </c>
      <c r="DF4245">
        <v>0</v>
      </c>
      <c r="DG4245">
        <v>0</v>
      </c>
      <c r="DH4245">
        <v>0</v>
      </c>
      <c r="DI4245">
        <v>0</v>
      </c>
    </row>
    <row r="4246" spans="1:113" x14ac:dyDescent="0.3">
      <c r="A4246" t="str">
        <f>"02/08/2021 20:37:50.963"</f>
        <v>02/08/2021 20:37:50.963</v>
      </c>
      <c r="C4246" t="str">
        <f t="shared" si="209"/>
        <v>FFDFD7C0</v>
      </c>
      <c r="D4246" t="s">
        <v>113</v>
      </c>
      <c r="E4246">
        <v>6</v>
      </c>
      <c r="H4246">
        <v>165</v>
      </c>
      <c r="I4246" t="s">
        <v>114</v>
      </c>
      <c r="J4246" t="s">
        <v>115</v>
      </c>
      <c r="K4246">
        <v>0</v>
      </c>
      <c r="L4246">
        <v>3</v>
      </c>
      <c r="M4246">
        <v>0</v>
      </c>
      <c r="N4246">
        <v>2</v>
      </c>
      <c r="O4246">
        <v>1</v>
      </c>
      <c r="P4246">
        <v>0</v>
      </c>
      <c r="Q4246">
        <v>0</v>
      </c>
      <c r="S4246" t="str">
        <f>"20:37:53.289"</f>
        <v>20:37:53.289</v>
      </c>
      <c r="T4246" t="str">
        <f>"20:37:52.789"</f>
        <v>20:37:52.789</v>
      </c>
      <c r="U4246" t="str">
        <f t="shared" si="211"/>
        <v>AB01F4</v>
      </c>
      <c r="V4246">
        <v>0</v>
      </c>
      <c r="W4246">
        <v>0</v>
      </c>
      <c r="X4246">
        <v>2</v>
      </c>
      <c r="Z4246">
        <v>0</v>
      </c>
      <c r="AA4246">
        <v>9</v>
      </c>
      <c r="AB4246">
        <v>3</v>
      </c>
      <c r="AC4246">
        <v>0</v>
      </c>
      <c r="AD4246">
        <v>10</v>
      </c>
      <c r="AE4246">
        <v>0</v>
      </c>
      <c r="AF4246">
        <v>3</v>
      </c>
      <c r="AG4246">
        <v>2</v>
      </c>
      <c r="AH4246">
        <v>0</v>
      </c>
      <c r="AI4246" t="s">
        <v>2371</v>
      </c>
      <c r="AJ4246">
        <v>40.163032999999999</v>
      </c>
      <c r="AK4246" t="s">
        <v>2372</v>
      </c>
      <c r="AL4246">
        <v>-93.154814000000002</v>
      </c>
      <c r="AM4246">
        <v>100</v>
      </c>
      <c r="AN4246">
        <v>1300</v>
      </c>
      <c r="AO4246" t="s">
        <v>118</v>
      </c>
      <c r="AP4246">
        <v>-114</v>
      </c>
      <c r="AQ4246">
        <v>60</v>
      </c>
      <c r="AR4246">
        <v>-64</v>
      </c>
      <c r="AZ4246">
        <v>1200</v>
      </c>
      <c r="BA4246">
        <v>1</v>
      </c>
      <c r="BB4246" t="str">
        <f t="shared" si="210"/>
        <v xml:space="preserve">N8080G  </v>
      </c>
      <c r="BC4246">
        <v>1</v>
      </c>
      <c r="BE4246">
        <v>0</v>
      </c>
      <c r="BF4246">
        <v>0</v>
      </c>
      <c r="BG4246">
        <v>0</v>
      </c>
      <c r="BH4246">
        <v>1350</v>
      </c>
      <c r="BI4246">
        <v>1</v>
      </c>
      <c r="BJ4246">
        <v>1</v>
      </c>
      <c r="BK4246">
        <v>1</v>
      </c>
      <c r="BL4246">
        <v>0</v>
      </c>
      <c r="BO4246">
        <v>0</v>
      </c>
      <c r="BP4246">
        <v>0</v>
      </c>
      <c r="BW4246" t="str">
        <f>"20:37:53.289"</f>
        <v>20:37:53.289</v>
      </c>
      <c r="BZ4246">
        <v>0</v>
      </c>
      <c r="CA4246">
        <v>1600</v>
      </c>
      <c r="CB4246">
        <v>224</v>
      </c>
      <c r="CD4246">
        <v>1</v>
      </c>
      <c r="CE4246">
        <v>0</v>
      </c>
      <c r="CF4246">
        <v>0</v>
      </c>
      <c r="CG4246">
        <v>1</v>
      </c>
      <c r="CH4246">
        <v>0</v>
      </c>
      <c r="CI4246">
        <v>0</v>
      </c>
      <c r="CJ4246">
        <v>0</v>
      </c>
      <c r="CK4246">
        <v>2</v>
      </c>
      <c r="CL4246">
        <v>0</v>
      </c>
      <c r="CM4246">
        <v>2</v>
      </c>
      <c r="CN4246">
        <v>0</v>
      </c>
      <c r="CO4246">
        <v>2</v>
      </c>
      <c r="CP4246" t="s">
        <v>119</v>
      </c>
      <c r="CQ4246">
        <v>179</v>
      </c>
      <c r="CR4246">
        <v>2</v>
      </c>
      <c r="CW4246">
        <v>12649058</v>
      </c>
      <c r="CY4246">
        <v>0</v>
      </c>
      <c r="CZ4246">
        <v>0</v>
      </c>
      <c r="DA4246">
        <v>1</v>
      </c>
      <c r="DB4246">
        <v>0</v>
      </c>
      <c r="DC4246">
        <v>0</v>
      </c>
      <c r="DD4246">
        <v>0</v>
      </c>
      <c r="DE4246">
        <v>0</v>
      </c>
      <c r="DF4246">
        <v>0</v>
      </c>
      <c r="DG4246">
        <v>0</v>
      </c>
      <c r="DH4246">
        <v>0</v>
      </c>
      <c r="DI4246">
        <v>0</v>
      </c>
    </row>
    <row r="4247" spans="1:113" x14ac:dyDescent="0.3">
      <c r="A4247" t="str">
        <f>"02/08/2021 20:37:54.394"</f>
        <v>02/08/2021 20:37:54.394</v>
      </c>
      <c r="C4247" t="str">
        <f t="shared" si="209"/>
        <v>FFDFD7C0</v>
      </c>
      <c r="D4247" t="s">
        <v>113</v>
      </c>
      <c r="E4247">
        <v>6</v>
      </c>
      <c r="H4247">
        <v>165</v>
      </c>
      <c r="I4247" t="s">
        <v>114</v>
      </c>
      <c r="J4247" t="s">
        <v>115</v>
      </c>
      <c r="K4247">
        <v>0</v>
      </c>
      <c r="L4247">
        <v>3</v>
      </c>
      <c r="M4247">
        <v>0</v>
      </c>
      <c r="N4247">
        <v>2</v>
      </c>
      <c r="O4247">
        <v>1</v>
      </c>
      <c r="P4247">
        <v>0</v>
      </c>
      <c r="Q4247">
        <v>0</v>
      </c>
      <c r="S4247" t="str">
        <f>"20:37:56.703"</f>
        <v>20:37:56.703</v>
      </c>
      <c r="T4247" t="str">
        <f>"20:37:56.303"</f>
        <v>20:37:56.303</v>
      </c>
      <c r="U4247" t="str">
        <f t="shared" si="211"/>
        <v>AB01F4</v>
      </c>
      <c r="V4247">
        <v>0</v>
      </c>
      <c r="W4247">
        <v>0</v>
      </c>
      <c r="X4247">
        <v>2</v>
      </c>
      <c r="Z4247">
        <v>0</v>
      </c>
      <c r="AA4247">
        <v>9</v>
      </c>
      <c r="AB4247">
        <v>3</v>
      </c>
      <c r="AC4247">
        <v>0</v>
      </c>
      <c r="AD4247">
        <v>10</v>
      </c>
      <c r="AE4247">
        <v>0</v>
      </c>
      <c r="AF4247">
        <v>3</v>
      </c>
      <c r="AG4247">
        <v>2</v>
      </c>
      <c r="AH4247">
        <v>0</v>
      </c>
      <c r="AI4247" t="s">
        <v>2373</v>
      </c>
      <c r="AJ4247">
        <v>40.164020000000001</v>
      </c>
      <c r="AK4247" t="s">
        <v>2374</v>
      </c>
      <c r="AL4247">
        <v>-93.157132000000004</v>
      </c>
      <c r="AM4247">
        <v>100</v>
      </c>
      <c r="AN4247">
        <v>1300</v>
      </c>
      <c r="AO4247" t="s">
        <v>118</v>
      </c>
      <c r="AP4247">
        <v>-114</v>
      </c>
      <c r="AQ4247">
        <v>61</v>
      </c>
      <c r="AR4247">
        <v>0</v>
      </c>
      <c r="AZ4247">
        <v>1200</v>
      </c>
      <c r="BA4247">
        <v>1</v>
      </c>
      <c r="BB4247" t="str">
        <f t="shared" si="210"/>
        <v xml:space="preserve">N8080G  </v>
      </c>
      <c r="BC4247">
        <v>1</v>
      </c>
      <c r="BE4247">
        <v>0</v>
      </c>
      <c r="BF4247">
        <v>0</v>
      </c>
      <c r="BG4247">
        <v>0</v>
      </c>
      <c r="BH4247">
        <v>1350</v>
      </c>
      <c r="BI4247">
        <v>1</v>
      </c>
      <c r="BJ4247">
        <v>1</v>
      </c>
      <c r="BK4247">
        <v>1</v>
      </c>
      <c r="BL4247">
        <v>0</v>
      </c>
      <c r="BO4247">
        <v>0</v>
      </c>
      <c r="BP4247">
        <v>0</v>
      </c>
      <c r="BW4247" t="str">
        <f>"20:37:56.704"</f>
        <v>20:37:56.704</v>
      </c>
      <c r="BZ4247">
        <v>0</v>
      </c>
      <c r="CA4247">
        <v>1600</v>
      </c>
      <c r="CB4247">
        <v>224</v>
      </c>
      <c r="CD4247">
        <v>1</v>
      </c>
      <c r="CE4247">
        <v>0</v>
      </c>
      <c r="CF4247">
        <v>0</v>
      </c>
      <c r="CG4247">
        <v>1</v>
      </c>
      <c r="CH4247">
        <v>0</v>
      </c>
      <c r="CI4247">
        <v>0</v>
      </c>
      <c r="CJ4247">
        <v>0</v>
      </c>
      <c r="CK4247">
        <v>2</v>
      </c>
      <c r="CL4247">
        <v>0</v>
      </c>
      <c r="CM4247">
        <v>2</v>
      </c>
      <c r="CN4247">
        <v>0</v>
      </c>
      <c r="CO4247">
        <v>5</v>
      </c>
      <c r="CP4247" t="s">
        <v>119</v>
      </c>
      <c r="CQ4247">
        <v>180</v>
      </c>
      <c r="CR4247">
        <v>3</v>
      </c>
      <c r="CW4247">
        <v>1377838</v>
      </c>
      <c r="CY4247">
        <v>0</v>
      </c>
      <c r="CZ4247">
        <v>0</v>
      </c>
      <c r="DA4247">
        <v>0</v>
      </c>
      <c r="DB4247">
        <v>0</v>
      </c>
      <c r="DC4247">
        <v>0</v>
      </c>
      <c r="DD4247">
        <v>0</v>
      </c>
      <c r="DE4247">
        <v>0</v>
      </c>
      <c r="DF4247">
        <v>0</v>
      </c>
      <c r="DG4247">
        <v>0</v>
      </c>
      <c r="DH4247">
        <v>0</v>
      </c>
      <c r="DI4247">
        <v>0</v>
      </c>
    </row>
    <row r="4248" spans="1:113" x14ac:dyDescent="0.3">
      <c r="A4248" t="str">
        <f>"02/08/2021 20:37:54.394"</f>
        <v>02/08/2021 20:37:54.394</v>
      </c>
      <c r="C4248" t="str">
        <f t="shared" si="209"/>
        <v>FFDFD7C0</v>
      </c>
      <c r="D4248" t="s">
        <v>124</v>
      </c>
      <c r="E4248">
        <v>13</v>
      </c>
      <c r="F4248">
        <v>1013</v>
      </c>
      <c r="G4248" t="s">
        <v>114</v>
      </c>
      <c r="J4248" t="s">
        <v>125</v>
      </c>
      <c r="K4248">
        <v>0</v>
      </c>
      <c r="L4248">
        <v>3</v>
      </c>
      <c r="M4248">
        <v>0</v>
      </c>
      <c r="N4248">
        <v>2</v>
      </c>
      <c r="O4248">
        <v>1</v>
      </c>
      <c r="P4248">
        <v>0</v>
      </c>
      <c r="Q4248">
        <v>0</v>
      </c>
      <c r="S4248" t="str">
        <f>"20:37:56.703"</f>
        <v>20:37:56.703</v>
      </c>
      <c r="T4248" t="str">
        <f>"20:37:56.303"</f>
        <v>20:37:56.303</v>
      </c>
      <c r="U4248" t="str">
        <f t="shared" si="211"/>
        <v>AB01F4</v>
      </c>
      <c r="V4248">
        <v>0</v>
      </c>
      <c r="W4248">
        <v>0</v>
      </c>
      <c r="X4248">
        <v>2</v>
      </c>
      <c r="Z4248">
        <v>0</v>
      </c>
      <c r="AA4248">
        <v>9</v>
      </c>
      <c r="AB4248">
        <v>3</v>
      </c>
      <c r="AC4248">
        <v>0</v>
      </c>
      <c r="AD4248">
        <v>10</v>
      </c>
      <c r="AE4248">
        <v>0</v>
      </c>
      <c r="AF4248">
        <v>3</v>
      </c>
      <c r="AG4248">
        <v>2</v>
      </c>
      <c r="AH4248">
        <v>0</v>
      </c>
      <c r="AI4248" t="s">
        <v>2373</v>
      </c>
      <c r="AJ4248">
        <v>40.164020000000001</v>
      </c>
      <c r="AK4248" t="s">
        <v>2374</v>
      </c>
      <c r="AL4248">
        <v>-93.157132000000004</v>
      </c>
      <c r="AM4248">
        <v>100</v>
      </c>
      <c r="AN4248">
        <v>1300</v>
      </c>
      <c r="AO4248" t="s">
        <v>118</v>
      </c>
      <c r="AP4248">
        <v>-114</v>
      </c>
      <c r="AQ4248">
        <v>61</v>
      </c>
      <c r="AR4248">
        <v>0</v>
      </c>
      <c r="AZ4248">
        <v>1200</v>
      </c>
      <c r="BA4248">
        <v>1</v>
      </c>
      <c r="BB4248" t="str">
        <f t="shared" si="210"/>
        <v xml:space="preserve">N8080G  </v>
      </c>
      <c r="BC4248">
        <v>1</v>
      </c>
      <c r="BE4248">
        <v>0</v>
      </c>
      <c r="BF4248">
        <v>0</v>
      </c>
      <c r="BG4248">
        <v>0</v>
      </c>
      <c r="BH4248">
        <v>1350</v>
      </c>
      <c r="BI4248">
        <v>1</v>
      </c>
      <c r="BJ4248">
        <v>1</v>
      </c>
      <c r="BK4248">
        <v>1</v>
      </c>
      <c r="BL4248">
        <v>0</v>
      </c>
      <c r="BO4248">
        <v>0</v>
      </c>
      <c r="BP4248">
        <v>0</v>
      </c>
      <c r="BW4248" t="str">
        <f>"20:37:56.704"</f>
        <v>20:37:56.704</v>
      </c>
      <c r="BZ4248">
        <v>0</v>
      </c>
      <c r="CA4248">
        <v>1600</v>
      </c>
      <c r="CB4248">
        <v>224</v>
      </c>
      <c r="CD4248">
        <v>1</v>
      </c>
      <c r="CE4248">
        <v>0</v>
      </c>
      <c r="CF4248">
        <v>0</v>
      </c>
      <c r="CG4248">
        <v>1</v>
      </c>
      <c r="CH4248">
        <v>0</v>
      </c>
      <c r="CI4248">
        <v>0</v>
      </c>
      <c r="CJ4248">
        <v>0</v>
      </c>
      <c r="CK4248">
        <v>2</v>
      </c>
      <c r="CL4248">
        <v>0</v>
      </c>
      <c r="CM4248">
        <v>2</v>
      </c>
      <c r="CN4248">
        <v>0</v>
      </c>
      <c r="CO4248">
        <v>5</v>
      </c>
      <c r="CP4248" t="s">
        <v>119</v>
      </c>
      <c r="CQ4248">
        <v>180</v>
      </c>
      <c r="CR4248">
        <v>3</v>
      </c>
      <c r="CW4248">
        <v>1377838</v>
      </c>
      <c r="CY4248">
        <v>0</v>
      </c>
      <c r="CZ4248">
        <v>0</v>
      </c>
      <c r="DA4248">
        <v>1</v>
      </c>
      <c r="DB4248">
        <v>0</v>
      </c>
      <c r="DC4248">
        <v>0</v>
      </c>
      <c r="DD4248">
        <v>0</v>
      </c>
      <c r="DE4248">
        <v>0</v>
      </c>
      <c r="DF4248">
        <v>0</v>
      </c>
      <c r="DG4248">
        <v>0</v>
      </c>
      <c r="DH4248">
        <v>0</v>
      </c>
      <c r="DI4248">
        <v>0</v>
      </c>
    </row>
    <row r="4249" spans="1:113" x14ac:dyDescent="0.3">
      <c r="A4249" t="str">
        <f>"02/08/2021 20:37:54.394"</f>
        <v>02/08/2021 20:37:54.394</v>
      </c>
      <c r="C4249" t="str">
        <f t="shared" si="209"/>
        <v>FFDFD7C0</v>
      </c>
      <c r="D4249" t="s">
        <v>124</v>
      </c>
      <c r="E4249">
        <v>11</v>
      </c>
      <c r="F4249">
        <v>1011</v>
      </c>
      <c r="G4249" t="s">
        <v>590</v>
      </c>
      <c r="J4249" t="s">
        <v>125</v>
      </c>
      <c r="K4249">
        <v>0</v>
      </c>
      <c r="L4249">
        <v>3</v>
      </c>
      <c r="M4249">
        <v>0</v>
      </c>
      <c r="N4249">
        <v>2</v>
      </c>
      <c r="O4249">
        <v>1</v>
      </c>
      <c r="P4249">
        <v>0</v>
      </c>
      <c r="Q4249">
        <v>0</v>
      </c>
      <c r="S4249" t="str">
        <f>"20:37:56.703"</f>
        <v>20:37:56.703</v>
      </c>
      <c r="T4249" t="str">
        <f>"20:37:56.303"</f>
        <v>20:37:56.303</v>
      </c>
      <c r="U4249" t="str">
        <f t="shared" si="211"/>
        <v>AB01F4</v>
      </c>
      <c r="V4249">
        <v>0</v>
      </c>
      <c r="W4249">
        <v>0</v>
      </c>
      <c r="X4249">
        <v>2</v>
      </c>
      <c r="Z4249">
        <v>0</v>
      </c>
      <c r="AA4249">
        <v>9</v>
      </c>
      <c r="AB4249">
        <v>3</v>
      </c>
      <c r="AC4249">
        <v>0</v>
      </c>
      <c r="AD4249">
        <v>10</v>
      </c>
      <c r="AE4249">
        <v>0</v>
      </c>
      <c r="AF4249">
        <v>3</v>
      </c>
      <c r="AG4249">
        <v>2</v>
      </c>
      <c r="AH4249">
        <v>0</v>
      </c>
      <c r="AI4249" t="s">
        <v>2373</v>
      </c>
      <c r="AJ4249">
        <v>40.164020000000001</v>
      </c>
      <c r="AK4249" t="s">
        <v>2374</v>
      </c>
      <c r="AL4249">
        <v>-93.157132000000004</v>
      </c>
      <c r="AM4249">
        <v>100</v>
      </c>
      <c r="AN4249">
        <v>1300</v>
      </c>
      <c r="AO4249" t="s">
        <v>118</v>
      </c>
      <c r="AP4249">
        <v>-114</v>
      </c>
      <c r="AQ4249">
        <v>61</v>
      </c>
      <c r="AR4249">
        <v>0</v>
      </c>
      <c r="AZ4249">
        <v>1200</v>
      </c>
      <c r="BA4249">
        <v>1</v>
      </c>
      <c r="BB4249" t="str">
        <f t="shared" si="210"/>
        <v xml:space="preserve">N8080G  </v>
      </c>
      <c r="BC4249">
        <v>1</v>
      </c>
      <c r="BE4249">
        <v>0</v>
      </c>
      <c r="BF4249">
        <v>0</v>
      </c>
      <c r="BG4249">
        <v>0</v>
      </c>
      <c r="BH4249">
        <v>1350</v>
      </c>
      <c r="BI4249">
        <v>1</v>
      </c>
      <c r="BJ4249">
        <v>1</v>
      </c>
      <c r="BK4249">
        <v>1</v>
      </c>
      <c r="BL4249">
        <v>0</v>
      </c>
      <c r="BO4249">
        <v>0</v>
      </c>
      <c r="BP4249">
        <v>0</v>
      </c>
      <c r="BW4249" t="str">
        <f>"20:37:56.704"</f>
        <v>20:37:56.704</v>
      </c>
      <c r="BZ4249">
        <v>0</v>
      </c>
      <c r="CA4249">
        <v>1600</v>
      </c>
      <c r="CB4249">
        <v>224</v>
      </c>
      <c r="CD4249">
        <v>1</v>
      </c>
      <c r="CE4249">
        <v>0</v>
      </c>
      <c r="CF4249">
        <v>0</v>
      </c>
      <c r="CG4249">
        <v>1</v>
      </c>
      <c r="CH4249">
        <v>0</v>
      </c>
      <c r="CI4249">
        <v>0</v>
      </c>
      <c r="CJ4249">
        <v>0</v>
      </c>
      <c r="CK4249">
        <v>2</v>
      </c>
      <c r="CL4249">
        <v>0</v>
      </c>
      <c r="CM4249">
        <v>2</v>
      </c>
      <c r="CN4249">
        <v>0</v>
      </c>
      <c r="CO4249">
        <v>5</v>
      </c>
      <c r="CP4249" t="s">
        <v>119</v>
      </c>
      <c r="CQ4249">
        <v>180</v>
      </c>
      <c r="CR4249">
        <v>3</v>
      </c>
      <c r="CW4249">
        <v>1377838</v>
      </c>
      <c r="CY4249">
        <v>0</v>
      </c>
      <c r="CZ4249">
        <v>0</v>
      </c>
      <c r="DA4249">
        <v>1</v>
      </c>
      <c r="DB4249">
        <v>0</v>
      </c>
      <c r="DC4249">
        <v>0</v>
      </c>
      <c r="DD4249">
        <v>0</v>
      </c>
      <c r="DE4249">
        <v>0</v>
      </c>
      <c r="DF4249">
        <v>0</v>
      </c>
      <c r="DG4249">
        <v>0</v>
      </c>
      <c r="DH4249">
        <v>0</v>
      </c>
      <c r="DI4249">
        <v>0</v>
      </c>
    </row>
    <row r="4250" spans="1:113" x14ac:dyDescent="0.3">
      <c r="A4250" t="str">
        <f>"02/08/2021 20:37:54.394"</f>
        <v>02/08/2021 20:37:54.394</v>
      </c>
      <c r="C4250" t="str">
        <f t="shared" si="209"/>
        <v>FFDFD7C0</v>
      </c>
      <c r="D4250" t="s">
        <v>124</v>
      </c>
      <c r="E4250">
        <v>12</v>
      </c>
      <c r="F4250">
        <v>1012</v>
      </c>
      <c r="G4250" t="s">
        <v>675</v>
      </c>
      <c r="J4250" t="s">
        <v>125</v>
      </c>
      <c r="K4250">
        <v>0</v>
      </c>
      <c r="L4250">
        <v>3</v>
      </c>
      <c r="M4250">
        <v>0</v>
      </c>
      <c r="N4250">
        <v>2</v>
      </c>
      <c r="O4250">
        <v>1</v>
      </c>
      <c r="P4250">
        <v>0</v>
      </c>
      <c r="Q4250">
        <v>0</v>
      </c>
      <c r="S4250" t="str">
        <f>"20:37:56.703"</f>
        <v>20:37:56.703</v>
      </c>
      <c r="T4250" t="str">
        <f>"20:37:56.303"</f>
        <v>20:37:56.303</v>
      </c>
      <c r="U4250" t="str">
        <f t="shared" si="211"/>
        <v>AB01F4</v>
      </c>
      <c r="V4250">
        <v>0</v>
      </c>
      <c r="W4250">
        <v>0</v>
      </c>
      <c r="X4250">
        <v>2</v>
      </c>
      <c r="Z4250">
        <v>0</v>
      </c>
      <c r="AA4250">
        <v>9</v>
      </c>
      <c r="AB4250">
        <v>3</v>
      </c>
      <c r="AC4250">
        <v>0</v>
      </c>
      <c r="AD4250">
        <v>10</v>
      </c>
      <c r="AE4250">
        <v>0</v>
      </c>
      <c r="AF4250">
        <v>3</v>
      </c>
      <c r="AG4250">
        <v>2</v>
      </c>
      <c r="AH4250">
        <v>0</v>
      </c>
      <c r="AI4250" t="s">
        <v>2373</v>
      </c>
      <c r="AJ4250">
        <v>40.164020000000001</v>
      </c>
      <c r="AK4250" t="s">
        <v>2374</v>
      </c>
      <c r="AL4250">
        <v>-93.157132000000004</v>
      </c>
      <c r="AM4250">
        <v>100</v>
      </c>
      <c r="AN4250">
        <v>1300</v>
      </c>
      <c r="AO4250" t="s">
        <v>118</v>
      </c>
      <c r="AP4250">
        <v>-114</v>
      </c>
      <c r="AQ4250">
        <v>61</v>
      </c>
      <c r="AR4250">
        <v>0</v>
      </c>
      <c r="AZ4250">
        <v>1200</v>
      </c>
      <c r="BA4250">
        <v>1</v>
      </c>
      <c r="BB4250" t="str">
        <f t="shared" si="210"/>
        <v xml:space="preserve">N8080G  </v>
      </c>
      <c r="BC4250">
        <v>1</v>
      </c>
      <c r="BE4250">
        <v>0</v>
      </c>
      <c r="BF4250">
        <v>0</v>
      </c>
      <c r="BG4250">
        <v>0</v>
      </c>
      <c r="BH4250">
        <v>1350</v>
      </c>
      <c r="BI4250">
        <v>1</v>
      </c>
      <c r="BJ4250">
        <v>1</v>
      </c>
      <c r="BK4250">
        <v>1</v>
      </c>
      <c r="BL4250">
        <v>0</v>
      </c>
      <c r="BO4250">
        <v>0</v>
      </c>
      <c r="BP4250">
        <v>0</v>
      </c>
      <c r="BW4250" t="str">
        <f>"20:37:56.704"</f>
        <v>20:37:56.704</v>
      </c>
      <c r="BZ4250">
        <v>0</v>
      </c>
      <c r="CA4250">
        <v>1600</v>
      </c>
      <c r="CB4250">
        <v>224</v>
      </c>
      <c r="CD4250">
        <v>1</v>
      </c>
      <c r="CE4250">
        <v>0</v>
      </c>
      <c r="CF4250">
        <v>0</v>
      </c>
      <c r="CG4250">
        <v>1</v>
      </c>
      <c r="CH4250">
        <v>0</v>
      </c>
      <c r="CI4250">
        <v>0</v>
      </c>
      <c r="CJ4250">
        <v>0</v>
      </c>
      <c r="CK4250">
        <v>2</v>
      </c>
      <c r="CL4250">
        <v>0</v>
      </c>
      <c r="CM4250">
        <v>2</v>
      </c>
      <c r="CN4250">
        <v>0</v>
      </c>
      <c r="CO4250">
        <v>5</v>
      </c>
      <c r="CP4250" t="s">
        <v>119</v>
      </c>
      <c r="CQ4250">
        <v>180</v>
      </c>
      <c r="CR4250">
        <v>3</v>
      </c>
      <c r="CW4250">
        <v>1377838</v>
      </c>
      <c r="CY4250">
        <v>0</v>
      </c>
      <c r="CZ4250">
        <v>0</v>
      </c>
      <c r="DA4250">
        <v>1</v>
      </c>
      <c r="DB4250">
        <v>0</v>
      </c>
      <c r="DC4250">
        <v>0</v>
      </c>
      <c r="DD4250">
        <v>0</v>
      </c>
      <c r="DE4250">
        <v>0</v>
      </c>
      <c r="DF4250">
        <v>0</v>
      </c>
      <c r="DG4250">
        <v>0</v>
      </c>
      <c r="DH4250">
        <v>0</v>
      </c>
      <c r="DI4250">
        <v>0</v>
      </c>
    </row>
    <row r="4251" spans="1:113" x14ac:dyDescent="0.3">
      <c r="A4251" t="str">
        <f>"02/08/2021 20:37:55.453"</f>
        <v>02/08/2021 20:37:55.453</v>
      </c>
      <c r="C4251" t="str">
        <f t="shared" si="209"/>
        <v>FFDFD7C0</v>
      </c>
      <c r="D4251" t="s">
        <v>113</v>
      </c>
      <c r="E4251">
        <v>6</v>
      </c>
      <c r="H4251">
        <v>165</v>
      </c>
      <c r="I4251" t="s">
        <v>114</v>
      </c>
      <c r="J4251" t="s">
        <v>115</v>
      </c>
      <c r="K4251">
        <v>0</v>
      </c>
      <c r="L4251">
        <v>3</v>
      </c>
      <c r="M4251">
        <v>0</v>
      </c>
      <c r="N4251">
        <v>2</v>
      </c>
      <c r="O4251">
        <v>1</v>
      </c>
      <c r="P4251">
        <v>0</v>
      </c>
      <c r="Q4251">
        <v>0</v>
      </c>
      <c r="S4251" t="str">
        <f>"20:37:57.789"</f>
        <v>20:37:57.789</v>
      </c>
      <c r="T4251" t="str">
        <f>"20:37:57.289"</f>
        <v>20:37:57.289</v>
      </c>
      <c r="U4251" t="str">
        <f t="shared" si="211"/>
        <v>AB01F4</v>
      </c>
      <c r="V4251">
        <v>0</v>
      </c>
      <c r="W4251">
        <v>0</v>
      </c>
      <c r="X4251">
        <v>2</v>
      </c>
      <c r="Z4251">
        <v>0</v>
      </c>
      <c r="AA4251">
        <v>9</v>
      </c>
      <c r="AB4251">
        <v>3</v>
      </c>
      <c r="AC4251">
        <v>0</v>
      </c>
      <c r="AD4251">
        <v>10</v>
      </c>
      <c r="AE4251">
        <v>0</v>
      </c>
      <c r="AF4251">
        <v>3</v>
      </c>
      <c r="AG4251">
        <v>2</v>
      </c>
      <c r="AH4251">
        <v>0</v>
      </c>
      <c r="AI4251" t="s">
        <v>2375</v>
      </c>
      <c r="AJ4251">
        <v>40.164319999999996</v>
      </c>
      <c r="AK4251" t="s">
        <v>2376</v>
      </c>
      <c r="AL4251">
        <v>-93.157904000000002</v>
      </c>
      <c r="AM4251">
        <v>100</v>
      </c>
      <c r="AN4251">
        <v>1300</v>
      </c>
      <c r="AO4251" t="s">
        <v>118</v>
      </c>
      <c r="AP4251">
        <v>-114</v>
      </c>
      <c r="AQ4251">
        <v>61</v>
      </c>
      <c r="AR4251">
        <v>64</v>
      </c>
      <c r="AZ4251">
        <v>1200</v>
      </c>
      <c r="BA4251">
        <v>1</v>
      </c>
      <c r="BB4251" t="str">
        <f t="shared" si="210"/>
        <v xml:space="preserve">N8080G  </v>
      </c>
      <c r="BC4251">
        <v>1</v>
      </c>
      <c r="BE4251">
        <v>0</v>
      </c>
      <c r="BF4251">
        <v>0</v>
      </c>
      <c r="BG4251">
        <v>0</v>
      </c>
      <c r="BH4251">
        <v>1350</v>
      </c>
      <c r="BI4251">
        <v>1</v>
      </c>
      <c r="BJ4251">
        <v>1</v>
      </c>
      <c r="BK4251">
        <v>1</v>
      </c>
      <c r="BL4251">
        <v>0</v>
      </c>
      <c r="BO4251">
        <v>0</v>
      </c>
      <c r="BP4251">
        <v>0</v>
      </c>
      <c r="BW4251" t="str">
        <f>"20:37:57.797"</f>
        <v>20:37:57.797</v>
      </c>
      <c r="BZ4251">
        <v>0</v>
      </c>
      <c r="CA4251">
        <v>1600</v>
      </c>
      <c r="CB4251">
        <v>224</v>
      </c>
      <c r="CD4251">
        <v>1</v>
      </c>
      <c r="CE4251">
        <v>0</v>
      </c>
      <c r="CF4251">
        <v>0</v>
      </c>
      <c r="CG4251">
        <v>1</v>
      </c>
      <c r="CH4251">
        <v>0</v>
      </c>
      <c r="CI4251">
        <v>0</v>
      </c>
      <c r="CJ4251">
        <v>0</v>
      </c>
      <c r="CK4251">
        <v>2</v>
      </c>
      <c r="CL4251">
        <v>0</v>
      </c>
      <c r="CM4251">
        <v>2</v>
      </c>
      <c r="CN4251">
        <v>0</v>
      </c>
      <c r="CO4251">
        <v>5</v>
      </c>
      <c r="CP4251" t="s">
        <v>119</v>
      </c>
      <c r="CQ4251">
        <v>180</v>
      </c>
      <c r="CR4251">
        <v>3</v>
      </c>
      <c r="CW4251">
        <v>1378646</v>
      </c>
      <c r="CY4251">
        <v>0</v>
      </c>
      <c r="CZ4251">
        <v>0</v>
      </c>
      <c r="DA4251">
        <v>0</v>
      </c>
      <c r="DB4251">
        <v>0</v>
      </c>
      <c r="DC4251">
        <v>0</v>
      </c>
      <c r="DD4251">
        <v>0</v>
      </c>
      <c r="DE4251">
        <v>0</v>
      </c>
      <c r="DF4251">
        <v>0</v>
      </c>
      <c r="DG4251">
        <v>0</v>
      </c>
      <c r="DH4251">
        <v>0</v>
      </c>
      <c r="DI4251">
        <v>0</v>
      </c>
    </row>
    <row r="4252" spans="1:113" x14ac:dyDescent="0.3">
      <c r="A4252" t="str">
        <f>"02/08/2021 20:37:55.453"</f>
        <v>02/08/2021 20:37:55.453</v>
      </c>
      <c r="C4252" t="str">
        <f t="shared" si="209"/>
        <v>FFDFD7C0</v>
      </c>
      <c r="D4252" t="s">
        <v>124</v>
      </c>
      <c r="E4252">
        <v>13</v>
      </c>
      <c r="F4252">
        <v>1013</v>
      </c>
      <c r="G4252" t="s">
        <v>114</v>
      </c>
      <c r="J4252" t="s">
        <v>125</v>
      </c>
      <c r="K4252">
        <v>0</v>
      </c>
      <c r="L4252">
        <v>3</v>
      </c>
      <c r="M4252">
        <v>0</v>
      </c>
      <c r="N4252">
        <v>2</v>
      </c>
      <c r="O4252">
        <v>1</v>
      </c>
      <c r="P4252">
        <v>0</v>
      </c>
      <c r="Q4252">
        <v>0</v>
      </c>
      <c r="S4252" t="str">
        <f>"20:37:57.789"</f>
        <v>20:37:57.789</v>
      </c>
      <c r="T4252" t="str">
        <f>"20:37:57.289"</f>
        <v>20:37:57.289</v>
      </c>
      <c r="U4252" t="str">
        <f t="shared" si="211"/>
        <v>AB01F4</v>
      </c>
      <c r="V4252">
        <v>0</v>
      </c>
      <c r="W4252">
        <v>0</v>
      </c>
      <c r="X4252">
        <v>2</v>
      </c>
      <c r="Z4252">
        <v>0</v>
      </c>
      <c r="AA4252">
        <v>9</v>
      </c>
      <c r="AB4252">
        <v>3</v>
      </c>
      <c r="AC4252">
        <v>0</v>
      </c>
      <c r="AD4252">
        <v>10</v>
      </c>
      <c r="AE4252">
        <v>0</v>
      </c>
      <c r="AF4252">
        <v>3</v>
      </c>
      <c r="AG4252">
        <v>2</v>
      </c>
      <c r="AH4252">
        <v>0</v>
      </c>
      <c r="AI4252" t="s">
        <v>2375</v>
      </c>
      <c r="AJ4252">
        <v>40.164319999999996</v>
      </c>
      <c r="AK4252" t="s">
        <v>2376</v>
      </c>
      <c r="AL4252">
        <v>-93.157904000000002</v>
      </c>
      <c r="AM4252">
        <v>100</v>
      </c>
      <c r="AN4252">
        <v>1300</v>
      </c>
      <c r="AO4252" t="s">
        <v>118</v>
      </c>
      <c r="AP4252">
        <v>-114</v>
      </c>
      <c r="AQ4252">
        <v>61</v>
      </c>
      <c r="AR4252">
        <v>64</v>
      </c>
      <c r="AZ4252">
        <v>1200</v>
      </c>
      <c r="BA4252">
        <v>1</v>
      </c>
      <c r="BB4252" t="str">
        <f t="shared" si="210"/>
        <v xml:space="preserve">N8080G  </v>
      </c>
      <c r="BC4252">
        <v>1</v>
      </c>
      <c r="BE4252">
        <v>0</v>
      </c>
      <c r="BF4252">
        <v>0</v>
      </c>
      <c r="BG4252">
        <v>0</v>
      </c>
      <c r="BH4252">
        <v>1350</v>
      </c>
      <c r="BI4252">
        <v>1</v>
      </c>
      <c r="BJ4252">
        <v>1</v>
      </c>
      <c r="BK4252">
        <v>1</v>
      </c>
      <c r="BL4252">
        <v>0</v>
      </c>
      <c r="BO4252">
        <v>0</v>
      </c>
      <c r="BP4252">
        <v>0</v>
      </c>
      <c r="BW4252" t="str">
        <f>"20:37:57.797"</f>
        <v>20:37:57.797</v>
      </c>
      <c r="BZ4252">
        <v>0</v>
      </c>
      <c r="CA4252">
        <v>1600</v>
      </c>
      <c r="CB4252">
        <v>224</v>
      </c>
      <c r="CD4252">
        <v>1</v>
      </c>
      <c r="CE4252">
        <v>0</v>
      </c>
      <c r="CF4252">
        <v>0</v>
      </c>
      <c r="CG4252">
        <v>1</v>
      </c>
      <c r="CH4252">
        <v>0</v>
      </c>
      <c r="CI4252">
        <v>0</v>
      </c>
      <c r="CJ4252">
        <v>0</v>
      </c>
      <c r="CK4252">
        <v>2</v>
      </c>
      <c r="CL4252">
        <v>0</v>
      </c>
      <c r="CM4252">
        <v>2</v>
      </c>
      <c r="CN4252">
        <v>0</v>
      </c>
      <c r="CO4252">
        <v>5</v>
      </c>
      <c r="CP4252" t="s">
        <v>119</v>
      </c>
      <c r="CQ4252">
        <v>180</v>
      </c>
      <c r="CR4252">
        <v>3</v>
      </c>
      <c r="CW4252">
        <v>1378646</v>
      </c>
      <c r="CY4252">
        <v>0</v>
      </c>
      <c r="CZ4252">
        <v>0</v>
      </c>
      <c r="DA4252">
        <v>1</v>
      </c>
      <c r="DB4252">
        <v>0</v>
      </c>
      <c r="DC4252">
        <v>0</v>
      </c>
      <c r="DD4252">
        <v>0</v>
      </c>
      <c r="DE4252">
        <v>0</v>
      </c>
      <c r="DF4252">
        <v>0</v>
      </c>
      <c r="DG4252">
        <v>0</v>
      </c>
      <c r="DH4252">
        <v>0</v>
      </c>
      <c r="DI4252">
        <v>0</v>
      </c>
    </row>
    <row r="4253" spans="1:113" x14ac:dyDescent="0.3">
      <c r="A4253" t="str">
        <f>"02/08/2021 20:37:55.453"</f>
        <v>02/08/2021 20:37:55.453</v>
      </c>
      <c r="C4253" t="str">
        <f t="shared" si="209"/>
        <v>FFDFD7C0</v>
      </c>
      <c r="D4253" t="s">
        <v>124</v>
      </c>
      <c r="E4253">
        <v>11</v>
      </c>
      <c r="F4253">
        <v>1011</v>
      </c>
      <c r="G4253" t="s">
        <v>590</v>
      </c>
      <c r="J4253" t="s">
        <v>125</v>
      </c>
      <c r="K4253">
        <v>0</v>
      </c>
      <c r="L4253">
        <v>3</v>
      </c>
      <c r="M4253">
        <v>0</v>
      </c>
      <c r="N4253">
        <v>2</v>
      </c>
      <c r="O4253">
        <v>1</v>
      </c>
      <c r="P4253">
        <v>0</v>
      </c>
      <c r="Q4253">
        <v>0</v>
      </c>
      <c r="S4253" t="str">
        <f>"20:37:57.789"</f>
        <v>20:37:57.789</v>
      </c>
      <c r="T4253" t="str">
        <f>"20:37:57.289"</f>
        <v>20:37:57.289</v>
      </c>
      <c r="U4253" t="str">
        <f t="shared" si="211"/>
        <v>AB01F4</v>
      </c>
      <c r="V4253">
        <v>0</v>
      </c>
      <c r="W4253">
        <v>0</v>
      </c>
      <c r="X4253">
        <v>2</v>
      </c>
      <c r="Z4253">
        <v>0</v>
      </c>
      <c r="AA4253">
        <v>9</v>
      </c>
      <c r="AB4253">
        <v>3</v>
      </c>
      <c r="AC4253">
        <v>0</v>
      </c>
      <c r="AD4253">
        <v>10</v>
      </c>
      <c r="AE4253">
        <v>0</v>
      </c>
      <c r="AF4253">
        <v>3</v>
      </c>
      <c r="AG4253">
        <v>2</v>
      </c>
      <c r="AH4253">
        <v>0</v>
      </c>
      <c r="AI4253" t="s">
        <v>2375</v>
      </c>
      <c r="AJ4253">
        <v>40.164319999999996</v>
      </c>
      <c r="AK4253" t="s">
        <v>2376</v>
      </c>
      <c r="AL4253">
        <v>-93.157904000000002</v>
      </c>
      <c r="AM4253">
        <v>100</v>
      </c>
      <c r="AN4253">
        <v>1300</v>
      </c>
      <c r="AO4253" t="s">
        <v>118</v>
      </c>
      <c r="AP4253">
        <v>-114</v>
      </c>
      <c r="AQ4253">
        <v>61</v>
      </c>
      <c r="AR4253">
        <v>64</v>
      </c>
      <c r="AZ4253">
        <v>1200</v>
      </c>
      <c r="BA4253">
        <v>1</v>
      </c>
      <c r="BB4253" t="str">
        <f t="shared" si="210"/>
        <v xml:space="preserve">N8080G  </v>
      </c>
      <c r="BC4253">
        <v>1</v>
      </c>
      <c r="BE4253">
        <v>0</v>
      </c>
      <c r="BF4253">
        <v>0</v>
      </c>
      <c r="BG4253">
        <v>0</v>
      </c>
      <c r="BH4253">
        <v>1350</v>
      </c>
      <c r="BI4253">
        <v>1</v>
      </c>
      <c r="BJ4253">
        <v>1</v>
      </c>
      <c r="BK4253">
        <v>1</v>
      </c>
      <c r="BL4253">
        <v>0</v>
      </c>
      <c r="BO4253">
        <v>0</v>
      </c>
      <c r="BP4253">
        <v>0</v>
      </c>
      <c r="BW4253" t="str">
        <f>"20:37:57.797"</f>
        <v>20:37:57.797</v>
      </c>
      <c r="BZ4253">
        <v>0</v>
      </c>
      <c r="CA4253">
        <v>1600</v>
      </c>
      <c r="CB4253">
        <v>224</v>
      </c>
      <c r="CD4253">
        <v>1</v>
      </c>
      <c r="CE4253">
        <v>0</v>
      </c>
      <c r="CF4253">
        <v>0</v>
      </c>
      <c r="CG4253">
        <v>1</v>
      </c>
      <c r="CH4253">
        <v>0</v>
      </c>
      <c r="CI4253">
        <v>0</v>
      </c>
      <c r="CJ4253">
        <v>0</v>
      </c>
      <c r="CK4253">
        <v>2</v>
      </c>
      <c r="CL4253">
        <v>0</v>
      </c>
      <c r="CM4253">
        <v>2</v>
      </c>
      <c r="CN4253">
        <v>0</v>
      </c>
      <c r="CO4253">
        <v>5</v>
      </c>
      <c r="CP4253" t="s">
        <v>119</v>
      </c>
      <c r="CQ4253">
        <v>180</v>
      </c>
      <c r="CR4253">
        <v>3</v>
      </c>
      <c r="CW4253">
        <v>1378646</v>
      </c>
      <c r="CY4253">
        <v>0</v>
      </c>
      <c r="CZ4253">
        <v>0</v>
      </c>
      <c r="DA4253">
        <v>1</v>
      </c>
      <c r="DB4253">
        <v>0</v>
      </c>
      <c r="DC4253">
        <v>0</v>
      </c>
      <c r="DD4253">
        <v>0</v>
      </c>
      <c r="DE4253">
        <v>0</v>
      </c>
      <c r="DF4253">
        <v>0</v>
      </c>
      <c r="DG4253">
        <v>0</v>
      </c>
      <c r="DH4253">
        <v>0</v>
      </c>
      <c r="DI4253">
        <v>0</v>
      </c>
    </row>
    <row r="4254" spans="1:113" x14ac:dyDescent="0.3">
      <c r="A4254" t="str">
        <f>"02/08/2021 20:37:55.453"</f>
        <v>02/08/2021 20:37:55.453</v>
      </c>
      <c r="C4254" t="str">
        <f t="shared" si="209"/>
        <v>FFDFD7C0</v>
      </c>
      <c r="D4254" t="s">
        <v>124</v>
      </c>
      <c r="E4254">
        <v>12</v>
      </c>
      <c r="F4254">
        <v>1012</v>
      </c>
      <c r="G4254" t="s">
        <v>675</v>
      </c>
      <c r="J4254" t="s">
        <v>125</v>
      </c>
      <c r="K4254">
        <v>0</v>
      </c>
      <c r="L4254">
        <v>3</v>
      </c>
      <c r="M4254">
        <v>0</v>
      </c>
      <c r="N4254">
        <v>2</v>
      </c>
      <c r="O4254">
        <v>1</v>
      </c>
      <c r="P4254">
        <v>0</v>
      </c>
      <c r="Q4254">
        <v>0</v>
      </c>
      <c r="S4254" t="str">
        <f>"20:37:57.789"</f>
        <v>20:37:57.789</v>
      </c>
      <c r="T4254" t="str">
        <f>"20:37:57.289"</f>
        <v>20:37:57.289</v>
      </c>
      <c r="U4254" t="str">
        <f t="shared" si="211"/>
        <v>AB01F4</v>
      </c>
      <c r="V4254">
        <v>0</v>
      </c>
      <c r="W4254">
        <v>0</v>
      </c>
      <c r="X4254">
        <v>2</v>
      </c>
      <c r="Z4254">
        <v>0</v>
      </c>
      <c r="AA4254">
        <v>9</v>
      </c>
      <c r="AB4254">
        <v>3</v>
      </c>
      <c r="AC4254">
        <v>0</v>
      </c>
      <c r="AD4254">
        <v>10</v>
      </c>
      <c r="AE4254">
        <v>0</v>
      </c>
      <c r="AF4254">
        <v>3</v>
      </c>
      <c r="AG4254">
        <v>2</v>
      </c>
      <c r="AH4254">
        <v>0</v>
      </c>
      <c r="AI4254" t="s">
        <v>2375</v>
      </c>
      <c r="AJ4254">
        <v>40.164319999999996</v>
      </c>
      <c r="AK4254" t="s">
        <v>2376</v>
      </c>
      <c r="AL4254">
        <v>-93.157904000000002</v>
      </c>
      <c r="AM4254">
        <v>100</v>
      </c>
      <c r="AN4254">
        <v>1300</v>
      </c>
      <c r="AO4254" t="s">
        <v>118</v>
      </c>
      <c r="AP4254">
        <v>-114</v>
      </c>
      <c r="AQ4254">
        <v>61</v>
      </c>
      <c r="AR4254">
        <v>64</v>
      </c>
      <c r="AZ4254">
        <v>1200</v>
      </c>
      <c r="BA4254">
        <v>1</v>
      </c>
      <c r="BB4254" t="str">
        <f t="shared" si="210"/>
        <v xml:space="preserve">N8080G  </v>
      </c>
      <c r="BC4254">
        <v>1</v>
      </c>
      <c r="BE4254">
        <v>0</v>
      </c>
      <c r="BF4254">
        <v>0</v>
      </c>
      <c r="BG4254">
        <v>0</v>
      </c>
      <c r="BH4254">
        <v>1350</v>
      </c>
      <c r="BI4254">
        <v>1</v>
      </c>
      <c r="BJ4254">
        <v>1</v>
      </c>
      <c r="BK4254">
        <v>1</v>
      </c>
      <c r="BL4254">
        <v>0</v>
      </c>
      <c r="BO4254">
        <v>0</v>
      </c>
      <c r="BP4254">
        <v>0</v>
      </c>
      <c r="BW4254" t="str">
        <f>"20:37:57.797"</f>
        <v>20:37:57.797</v>
      </c>
      <c r="BZ4254">
        <v>0</v>
      </c>
      <c r="CA4254">
        <v>1600</v>
      </c>
      <c r="CB4254">
        <v>224</v>
      </c>
      <c r="CD4254">
        <v>1</v>
      </c>
      <c r="CE4254">
        <v>0</v>
      </c>
      <c r="CF4254">
        <v>0</v>
      </c>
      <c r="CG4254">
        <v>1</v>
      </c>
      <c r="CH4254">
        <v>0</v>
      </c>
      <c r="CI4254">
        <v>0</v>
      </c>
      <c r="CJ4254">
        <v>0</v>
      </c>
      <c r="CK4254">
        <v>2</v>
      </c>
      <c r="CL4254">
        <v>0</v>
      </c>
      <c r="CM4254">
        <v>2</v>
      </c>
      <c r="CN4254">
        <v>0</v>
      </c>
      <c r="CO4254">
        <v>5</v>
      </c>
      <c r="CP4254" t="s">
        <v>119</v>
      </c>
      <c r="CQ4254">
        <v>180</v>
      </c>
      <c r="CR4254">
        <v>3</v>
      </c>
      <c r="CW4254">
        <v>1378646</v>
      </c>
      <c r="CY4254">
        <v>0</v>
      </c>
      <c r="CZ4254">
        <v>0</v>
      </c>
      <c r="DA4254">
        <v>1</v>
      </c>
      <c r="DB4254">
        <v>0</v>
      </c>
      <c r="DC4254">
        <v>0</v>
      </c>
      <c r="DD4254">
        <v>0</v>
      </c>
      <c r="DE4254">
        <v>0</v>
      </c>
      <c r="DF4254">
        <v>0</v>
      </c>
      <c r="DG4254">
        <v>0</v>
      </c>
      <c r="DH4254">
        <v>0</v>
      </c>
      <c r="DI4254">
        <v>0</v>
      </c>
    </row>
    <row r="4255" spans="1:113" x14ac:dyDescent="0.3">
      <c r="A4255" t="str">
        <f>"02/08/2021 20:37:56.543"</f>
        <v>02/08/2021 20:37:56.543</v>
      </c>
      <c r="C4255" t="str">
        <f t="shared" si="209"/>
        <v>FFDFD7C0</v>
      </c>
      <c r="D4255" t="s">
        <v>124</v>
      </c>
      <c r="E4255">
        <v>12</v>
      </c>
      <c r="F4255">
        <v>1012</v>
      </c>
      <c r="G4255" t="s">
        <v>675</v>
      </c>
      <c r="J4255" t="s">
        <v>125</v>
      </c>
      <c r="K4255">
        <v>0</v>
      </c>
      <c r="L4255">
        <v>3</v>
      </c>
      <c r="M4255">
        <v>0</v>
      </c>
      <c r="N4255">
        <v>2</v>
      </c>
      <c r="O4255">
        <v>1</v>
      </c>
      <c r="P4255">
        <v>0</v>
      </c>
      <c r="Q4255">
        <v>0</v>
      </c>
      <c r="S4255" t="str">
        <f>"20:37:58.844"</f>
        <v>20:37:58.844</v>
      </c>
      <c r="T4255" t="str">
        <f>"20:37:58.444"</f>
        <v>20:37:58.444</v>
      </c>
      <c r="U4255" t="str">
        <f t="shared" si="211"/>
        <v>AB01F4</v>
      </c>
      <c r="V4255">
        <v>0</v>
      </c>
      <c r="W4255">
        <v>0</v>
      </c>
      <c r="X4255">
        <v>2</v>
      </c>
      <c r="Z4255">
        <v>0</v>
      </c>
      <c r="AA4255">
        <v>9</v>
      </c>
      <c r="AB4255">
        <v>3</v>
      </c>
      <c r="AC4255">
        <v>0</v>
      </c>
      <c r="AD4255">
        <v>10</v>
      </c>
      <c r="AE4255">
        <v>0</v>
      </c>
      <c r="AF4255">
        <v>3</v>
      </c>
      <c r="AG4255">
        <v>2</v>
      </c>
      <c r="AH4255">
        <v>0</v>
      </c>
      <c r="AI4255" t="s">
        <v>2377</v>
      </c>
      <c r="AJ4255">
        <v>40.164620999999997</v>
      </c>
      <c r="AK4255" t="s">
        <v>2378</v>
      </c>
      <c r="AL4255">
        <v>-93.158634000000006</v>
      </c>
      <c r="AM4255">
        <v>100</v>
      </c>
      <c r="AN4255">
        <v>1300</v>
      </c>
      <c r="AO4255" t="s">
        <v>118</v>
      </c>
      <c r="AP4255">
        <v>-114</v>
      </c>
      <c r="AQ4255">
        <v>61</v>
      </c>
      <c r="AR4255">
        <v>0</v>
      </c>
      <c r="AZ4255">
        <v>1200</v>
      </c>
      <c r="BA4255">
        <v>1</v>
      </c>
      <c r="BB4255" t="str">
        <f t="shared" si="210"/>
        <v xml:space="preserve">N8080G  </v>
      </c>
      <c r="BC4255">
        <v>1</v>
      </c>
      <c r="BE4255">
        <v>0</v>
      </c>
      <c r="BF4255">
        <v>0</v>
      </c>
      <c r="BG4255">
        <v>0</v>
      </c>
      <c r="BH4255">
        <v>1350</v>
      </c>
      <c r="BI4255">
        <v>1</v>
      </c>
      <c r="BJ4255">
        <v>1</v>
      </c>
      <c r="BK4255">
        <v>1</v>
      </c>
      <c r="BL4255">
        <v>0</v>
      </c>
      <c r="BO4255">
        <v>0</v>
      </c>
      <c r="BP4255">
        <v>0</v>
      </c>
      <c r="BW4255" t="str">
        <f>"20:37:58.850"</f>
        <v>20:37:58.850</v>
      </c>
      <c r="BZ4255">
        <v>0</v>
      </c>
      <c r="CA4255">
        <v>1600</v>
      </c>
      <c r="CB4255">
        <v>224</v>
      </c>
      <c r="CD4255">
        <v>1</v>
      </c>
      <c r="CE4255">
        <v>0</v>
      </c>
      <c r="CF4255">
        <v>0</v>
      </c>
      <c r="CG4255">
        <v>1</v>
      </c>
      <c r="CH4255">
        <v>0</v>
      </c>
      <c r="CI4255">
        <v>0</v>
      </c>
      <c r="CJ4255">
        <v>0</v>
      </c>
      <c r="CK4255">
        <v>2</v>
      </c>
      <c r="CL4255">
        <v>0</v>
      </c>
      <c r="CM4255">
        <v>2</v>
      </c>
      <c r="CN4255">
        <v>0</v>
      </c>
      <c r="CO4255">
        <v>5</v>
      </c>
      <c r="CP4255" t="s">
        <v>119</v>
      </c>
      <c r="CQ4255">
        <v>180</v>
      </c>
      <c r="CR4255">
        <v>3</v>
      </c>
      <c r="CW4255">
        <v>1379364</v>
      </c>
      <c r="CY4255">
        <v>0</v>
      </c>
      <c r="CZ4255">
        <v>0</v>
      </c>
      <c r="DA4255">
        <v>0</v>
      </c>
      <c r="DB4255">
        <v>0</v>
      </c>
      <c r="DC4255">
        <v>0</v>
      </c>
      <c r="DD4255">
        <v>0</v>
      </c>
      <c r="DE4255">
        <v>0</v>
      </c>
      <c r="DF4255">
        <v>0</v>
      </c>
      <c r="DG4255">
        <v>0</v>
      </c>
      <c r="DH4255">
        <v>0</v>
      </c>
      <c r="DI4255">
        <v>0</v>
      </c>
    </row>
    <row r="4256" spans="1:113" x14ac:dyDescent="0.3">
      <c r="A4256" t="str">
        <f>"02/08/2021 20:37:56.543"</f>
        <v>02/08/2021 20:37:56.543</v>
      </c>
      <c r="C4256" t="str">
        <f t="shared" si="209"/>
        <v>FFDFD7C0</v>
      </c>
      <c r="D4256" t="s">
        <v>124</v>
      </c>
      <c r="E4256">
        <v>11</v>
      </c>
      <c r="F4256">
        <v>1011</v>
      </c>
      <c r="G4256" t="s">
        <v>590</v>
      </c>
      <c r="J4256" t="s">
        <v>125</v>
      </c>
      <c r="K4256">
        <v>0</v>
      </c>
      <c r="L4256">
        <v>3</v>
      </c>
      <c r="M4256">
        <v>0</v>
      </c>
      <c r="N4256">
        <v>2</v>
      </c>
      <c r="O4256">
        <v>1</v>
      </c>
      <c r="P4256">
        <v>0</v>
      </c>
      <c r="Q4256">
        <v>0</v>
      </c>
      <c r="S4256" t="str">
        <f>"20:37:58.844"</f>
        <v>20:37:58.844</v>
      </c>
      <c r="T4256" t="str">
        <f>"20:37:58.444"</f>
        <v>20:37:58.444</v>
      </c>
      <c r="U4256" t="str">
        <f t="shared" si="211"/>
        <v>AB01F4</v>
      </c>
      <c r="V4256">
        <v>0</v>
      </c>
      <c r="W4256">
        <v>0</v>
      </c>
      <c r="X4256">
        <v>2</v>
      </c>
      <c r="Z4256">
        <v>0</v>
      </c>
      <c r="AA4256">
        <v>9</v>
      </c>
      <c r="AB4256">
        <v>3</v>
      </c>
      <c r="AC4256">
        <v>0</v>
      </c>
      <c r="AD4256">
        <v>10</v>
      </c>
      <c r="AE4256">
        <v>0</v>
      </c>
      <c r="AF4256">
        <v>3</v>
      </c>
      <c r="AG4256">
        <v>2</v>
      </c>
      <c r="AH4256">
        <v>0</v>
      </c>
      <c r="AI4256" t="s">
        <v>2377</v>
      </c>
      <c r="AJ4256">
        <v>40.164620999999997</v>
      </c>
      <c r="AK4256" t="s">
        <v>2378</v>
      </c>
      <c r="AL4256">
        <v>-93.158634000000006</v>
      </c>
      <c r="AM4256">
        <v>100</v>
      </c>
      <c r="AN4256">
        <v>1300</v>
      </c>
      <c r="AO4256" t="s">
        <v>118</v>
      </c>
      <c r="AP4256">
        <v>-114</v>
      </c>
      <c r="AQ4256">
        <v>61</v>
      </c>
      <c r="AR4256">
        <v>0</v>
      </c>
      <c r="AZ4256">
        <v>1200</v>
      </c>
      <c r="BA4256">
        <v>1</v>
      </c>
      <c r="BB4256" t="str">
        <f t="shared" si="210"/>
        <v xml:space="preserve">N8080G  </v>
      </c>
      <c r="BC4256">
        <v>1</v>
      </c>
      <c r="BE4256">
        <v>0</v>
      </c>
      <c r="BF4256">
        <v>0</v>
      </c>
      <c r="BG4256">
        <v>0</v>
      </c>
      <c r="BH4256">
        <v>1350</v>
      </c>
      <c r="BI4256">
        <v>1</v>
      </c>
      <c r="BJ4256">
        <v>1</v>
      </c>
      <c r="BK4256">
        <v>1</v>
      </c>
      <c r="BL4256">
        <v>0</v>
      </c>
      <c r="BO4256">
        <v>0</v>
      </c>
      <c r="BP4256">
        <v>0</v>
      </c>
      <c r="BW4256" t="str">
        <f>"20:37:58.850"</f>
        <v>20:37:58.850</v>
      </c>
      <c r="BZ4256">
        <v>0</v>
      </c>
      <c r="CA4256">
        <v>1600</v>
      </c>
      <c r="CB4256">
        <v>224</v>
      </c>
      <c r="CD4256">
        <v>1</v>
      </c>
      <c r="CE4256">
        <v>0</v>
      </c>
      <c r="CF4256">
        <v>0</v>
      </c>
      <c r="CG4256">
        <v>1</v>
      </c>
      <c r="CH4256">
        <v>0</v>
      </c>
      <c r="CI4256">
        <v>0</v>
      </c>
      <c r="CJ4256">
        <v>0</v>
      </c>
      <c r="CK4256">
        <v>2</v>
      </c>
      <c r="CL4256">
        <v>0</v>
      </c>
      <c r="CM4256">
        <v>2</v>
      </c>
      <c r="CN4256">
        <v>0</v>
      </c>
      <c r="CO4256">
        <v>5</v>
      </c>
      <c r="CP4256" t="s">
        <v>119</v>
      </c>
      <c r="CQ4256">
        <v>180</v>
      </c>
      <c r="CR4256">
        <v>3</v>
      </c>
      <c r="CW4256">
        <v>1379364</v>
      </c>
      <c r="CY4256">
        <v>0</v>
      </c>
      <c r="CZ4256">
        <v>0</v>
      </c>
      <c r="DA4256">
        <v>1</v>
      </c>
      <c r="DB4256">
        <v>0</v>
      </c>
      <c r="DC4256">
        <v>0</v>
      </c>
      <c r="DD4256">
        <v>0</v>
      </c>
      <c r="DE4256">
        <v>0</v>
      </c>
      <c r="DF4256">
        <v>0</v>
      </c>
      <c r="DG4256">
        <v>0</v>
      </c>
      <c r="DH4256">
        <v>0</v>
      </c>
      <c r="DI4256">
        <v>0</v>
      </c>
    </row>
    <row r="4257" spans="1:113" x14ac:dyDescent="0.3">
      <c r="A4257" t="str">
        <f>"02/08/2021 20:37:56.543"</f>
        <v>02/08/2021 20:37:56.543</v>
      </c>
      <c r="C4257" t="str">
        <f t="shared" si="209"/>
        <v>FFDFD7C0</v>
      </c>
      <c r="D4257" t="s">
        <v>113</v>
      </c>
      <c r="E4257">
        <v>6</v>
      </c>
      <c r="H4257">
        <v>165</v>
      </c>
      <c r="I4257" t="s">
        <v>114</v>
      </c>
      <c r="J4257" t="s">
        <v>115</v>
      </c>
      <c r="K4257">
        <v>0</v>
      </c>
      <c r="L4257">
        <v>3</v>
      </c>
      <c r="M4257">
        <v>0</v>
      </c>
      <c r="N4257">
        <v>2</v>
      </c>
      <c r="O4257">
        <v>1</v>
      </c>
      <c r="P4257">
        <v>0</v>
      </c>
      <c r="Q4257">
        <v>0</v>
      </c>
      <c r="S4257" t="str">
        <f>"20:37:58.844"</f>
        <v>20:37:58.844</v>
      </c>
      <c r="T4257" t="str">
        <f>"20:37:58.444"</f>
        <v>20:37:58.444</v>
      </c>
      <c r="U4257" t="str">
        <f t="shared" si="211"/>
        <v>AB01F4</v>
      </c>
      <c r="V4257">
        <v>0</v>
      </c>
      <c r="W4257">
        <v>0</v>
      </c>
      <c r="X4257">
        <v>2</v>
      </c>
      <c r="Z4257">
        <v>0</v>
      </c>
      <c r="AA4257">
        <v>9</v>
      </c>
      <c r="AB4257">
        <v>3</v>
      </c>
      <c r="AC4257">
        <v>0</v>
      </c>
      <c r="AD4257">
        <v>10</v>
      </c>
      <c r="AE4257">
        <v>0</v>
      </c>
      <c r="AF4257">
        <v>3</v>
      </c>
      <c r="AG4257">
        <v>2</v>
      </c>
      <c r="AH4257">
        <v>0</v>
      </c>
      <c r="AI4257" t="s">
        <v>2377</v>
      </c>
      <c r="AJ4257">
        <v>40.164620999999997</v>
      </c>
      <c r="AK4257" t="s">
        <v>2378</v>
      </c>
      <c r="AL4257">
        <v>-93.158634000000006</v>
      </c>
      <c r="AM4257">
        <v>100</v>
      </c>
      <c r="AN4257">
        <v>1300</v>
      </c>
      <c r="AO4257" t="s">
        <v>118</v>
      </c>
      <c r="AP4257">
        <v>-114</v>
      </c>
      <c r="AQ4257">
        <v>61</v>
      </c>
      <c r="AR4257">
        <v>0</v>
      </c>
      <c r="AZ4257">
        <v>1200</v>
      </c>
      <c r="BA4257">
        <v>1</v>
      </c>
      <c r="BB4257" t="str">
        <f t="shared" si="210"/>
        <v xml:space="preserve">N8080G  </v>
      </c>
      <c r="BC4257">
        <v>1</v>
      </c>
      <c r="BE4257">
        <v>0</v>
      </c>
      <c r="BF4257">
        <v>0</v>
      </c>
      <c r="BG4257">
        <v>0</v>
      </c>
      <c r="BH4257">
        <v>1350</v>
      </c>
      <c r="BI4257">
        <v>1</v>
      </c>
      <c r="BJ4257">
        <v>1</v>
      </c>
      <c r="BK4257">
        <v>1</v>
      </c>
      <c r="BL4257">
        <v>0</v>
      </c>
      <c r="BO4257">
        <v>0</v>
      </c>
      <c r="BP4257">
        <v>0</v>
      </c>
      <c r="BW4257" t="str">
        <f>"20:37:58.850"</f>
        <v>20:37:58.850</v>
      </c>
      <c r="BZ4257">
        <v>0</v>
      </c>
      <c r="CA4257">
        <v>1600</v>
      </c>
      <c r="CB4257">
        <v>224</v>
      </c>
      <c r="CD4257">
        <v>1</v>
      </c>
      <c r="CE4257">
        <v>0</v>
      </c>
      <c r="CF4257">
        <v>0</v>
      </c>
      <c r="CG4257">
        <v>1</v>
      </c>
      <c r="CH4257">
        <v>0</v>
      </c>
      <c r="CI4257">
        <v>0</v>
      </c>
      <c r="CJ4257">
        <v>0</v>
      </c>
      <c r="CK4257">
        <v>2</v>
      </c>
      <c r="CL4257">
        <v>0</v>
      </c>
      <c r="CM4257">
        <v>2</v>
      </c>
      <c r="CN4257">
        <v>0</v>
      </c>
      <c r="CO4257">
        <v>5</v>
      </c>
      <c r="CP4257" t="s">
        <v>119</v>
      </c>
      <c r="CQ4257">
        <v>180</v>
      </c>
      <c r="CR4257">
        <v>3</v>
      </c>
      <c r="CW4257">
        <v>1379364</v>
      </c>
      <c r="CY4257">
        <v>0</v>
      </c>
      <c r="CZ4257">
        <v>0</v>
      </c>
      <c r="DA4257">
        <v>1</v>
      </c>
      <c r="DB4257">
        <v>0</v>
      </c>
      <c r="DC4257">
        <v>0</v>
      </c>
      <c r="DD4257">
        <v>0</v>
      </c>
      <c r="DE4257">
        <v>0</v>
      </c>
      <c r="DF4257">
        <v>0</v>
      </c>
      <c r="DG4257">
        <v>0</v>
      </c>
      <c r="DH4257">
        <v>0</v>
      </c>
      <c r="DI4257">
        <v>0</v>
      </c>
    </row>
    <row r="4258" spans="1:113" x14ac:dyDescent="0.3">
      <c r="A4258" t="str">
        <f>"02/08/2021 20:37:56.543"</f>
        <v>02/08/2021 20:37:56.543</v>
      </c>
      <c r="C4258" t="str">
        <f t="shared" si="209"/>
        <v>FFDFD7C0</v>
      </c>
      <c r="D4258" t="s">
        <v>124</v>
      </c>
      <c r="E4258">
        <v>13</v>
      </c>
      <c r="F4258">
        <v>1013</v>
      </c>
      <c r="G4258" t="s">
        <v>114</v>
      </c>
      <c r="J4258" t="s">
        <v>125</v>
      </c>
      <c r="K4258">
        <v>0</v>
      </c>
      <c r="L4258">
        <v>3</v>
      </c>
      <c r="M4258">
        <v>0</v>
      </c>
      <c r="N4258">
        <v>2</v>
      </c>
      <c r="O4258">
        <v>1</v>
      </c>
      <c r="P4258">
        <v>0</v>
      </c>
      <c r="Q4258">
        <v>0</v>
      </c>
      <c r="S4258" t="str">
        <f>"20:37:58.844"</f>
        <v>20:37:58.844</v>
      </c>
      <c r="T4258" t="str">
        <f>"20:37:58.444"</f>
        <v>20:37:58.444</v>
      </c>
      <c r="U4258" t="str">
        <f t="shared" si="211"/>
        <v>AB01F4</v>
      </c>
      <c r="V4258">
        <v>0</v>
      </c>
      <c r="W4258">
        <v>0</v>
      </c>
      <c r="X4258">
        <v>2</v>
      </c>
      <c r="Z4258">
        <v>0</v>
      </c>
      <c r="AA4258">
        <v>9</v>
      </c>
      <c r="AB4258">
        <v>3</v>
      </c>
      <c r="AC4258">
        <v>0</v>
      </c>
      <c r="AD4258">
        <v>10</v>
      </c>
      <c r="AE4258">
        <v>0</v>
      </c>
      <c r="AF4258">
        <v>3</v>
      </c>
      <c r="AG4258">
        <v>2</v>
      </c>
      <c r="AH4258">
        <v>0</v>
      </c>
      <c r="AI4258" t="s">
        <v>2377</v>
      </c>
      <c r="AJ4258">
        <v>40.164620999999997</v>
      </c>
      <c r="AK4258" t="s">
        <v>2378</v>
      </c>
      <c r="AL4258">
        <v>-93.158634000000006</v>
      </c>
      <c r="AM4258">
        <v>100</v>
      </c>
      <c r="AN4258">
        <v>1300</v>
      </c>
      <c r="AO4258" t="s">
        <v>118</v>
      </c>
      <c r="AP4258">
        <v>-114</v>
      </c>
      <c r="AQ4258">
        <v>61</v>
      </c>
      <c r="AR4258">
        <v>0</v>
      </c>
      <c r="AZ4258">
        <v>1200</v>
      </c>
      <c r="BA4258">
        <v>1</v>
      </c>
      <c r="BB4258" t="str">
        <f t="shared" si="210"/>
        <v xml:space="preserve">N8080G  </v>
      </c>
      <c r="BC4258">
        <v>1</v>
      </c>
      <c r="BE4258">
        <v>0</v>
      </c>
      <c r="BF4258">
        <v>0</v>
      </c>
      <c r="BG4258">
        <v>0</v>
      </c>
      <c r="BH4258">
        <v>1350</v>
      </c>
      <c r="BI4258">
        <v>1</v>
      </c>
      <c r="BJ4258">
        <v>1</v>
      </c>
      <c r="BK4258">
        <v>1</v>
      </c>
      <c r="BL4258">
        <v>0</v>
      </c>
      <c r="BO4258">
        <v>0</v>
      </c>
      <c r="BP4258">
        <v>0</v>
      </c>
      <c r="BW4258" t="str">
        <f>"20:37:58.850"</f>
        <v>20:37:58.850</v>
      </c>
      <c r="BZ4258">
        <v>0</v>
      </c>
      <c r="CA4258">
        <v>1600</v>
      </c>
      <c r="CB4258">
        <v>224</v>
      </c>
      <c r="CD4258">
        <v>1</v>
      </c>
      <c r="CE4258">
        <v>0</v>
      </c>
      <c r="CF4258">
        <v>0</v>
      </c>
      <c r="CG4258">
        <v>1</v>
      </c>
      <c r="CH4258">
        <v>0</v>
      </c>
      <c r="CI4258">
        <v>0</v>
      </c>
      <c r="CJ4258">
        <v>0</v>
      </c>
      <c r="CK4258">
        <v>2</v>
      </c>
      <c r="CL4258">
        <v>0</v>
      </c>
      <c r="CM4258">
        <v>2</v>
      </c>
      <c r="CN4258">
        <v>0</v>
      </c>
      <c r="CO4258">
        <v>5</v>
      </c>
      <c r="CP4258" t="s">
        <v>119</v>
      </c>
      <c r="CQ4258">
        <v>180</v>
      </c>
      <c r="CR4258">
        <v>3</v>
      </c>
      <c r="CW4258">
        <v>1379364</v>
      </c>
      <c r="CY4258">
        <v>0</v>
      </c>
      <c r="CZ4258">
        <v>0</v>
      </c>
      <c r="DA4258">
        <v>1</v>
      </c>
      <c r="DB4258">
        <v>0</v>
      </c>
      <c r="DC4258">
        <v>0</v>
      </c>
      <c r="DD4258">
        <v>0</v>
      </c>
      <c r="DE4258">
        <v>0</v>
      </c>
      <c r="DF4258">
        <v>0</v>
      </c>
      <c r="DG4258">
        <v>0</v>
      </c>
      <c r="DH4258">
        <v>0</v>
      </c>
      <c r="DI4258">
        <v>0</v>
      </c>
    </row>
    <row r="4259" spans="1:113" x14ac:dyDescent="0.3">
      <c r="A4259" t="str">
        <f>"02/08/2021 20:37:57.473"</f>
        <v>02/08/2021 20:37:57.473</v>
      </c>
      <c r="C4259" t="str">
        <f t="shared" si="209"/>
        <v>FFDFD7C0</v>
      </c>
      <c r="D4259" t="s">
        <v>113</v>
      </c>
      <c r="E4259">
        <v>6</v>
      </c>
      <c r="H4259">
        <v>165</v>
      </c>
      <c r="I4259" t="s">
        <v>114</v>
      </c>
      <c r="J4259" t="s">
        <v>115</v>
      </c>
      <c r="K4259">
        <v>0</v>
      </c>
      <c r="L4259">
        <v>3</v>
      </c>
      <c r="M4259">
        <v>0</v>
      </c>
      <c r="N4259">
        <v>2</v>
      </c>
      <c r="O4259">
        <v>1</v>
      </c>
      <c r="P4259">
        <v>0</v>
      </c>
      <c r="Q4259">
        <v>0</v>
      </c>
      <c r="S4259" t="str">
        <f>"20:37:59.805"</f>
        <v>20:37:59.805</v>
      </c>
      <c r="T4259" t="str">
        <f>"20:37:59.405"</f>
        <v>20:37:59.405</v>
      </c>
      <c r="U4259" t="str">
        <f t="shared" si="211"/>
        <v>AB01F4</v>
      </c>
      <c r="V4259">
        <v>0</v>
      </c>
      <c r="W4259">
        <v>0</v>
      </c>
      <c r="X4259">
        <v>2</v>
      </c>
      <c r="Z4259">
        <v>0</v>
      </c>
      <c r="AA4259">
        <v>9</v>
      </c>
      <c r="AB4259">
        <v>3</v>
      </c>
      <c r="AC4259">
        <v>0</v>
      </c>
      <c r="AD4259">
        <v>10</v>
      </c>
      <c r="AE4259">
        <v>0</v>
      </c>
      <c r="AF4259">
        <v>3</v>
      </c>
      <c r="AG4259">
        <v>2</v>
      </c>
      <c r="AH4259">
        <v>0</v>
      </c>
      <c r="AI4259" t="s">
        <v>2379</v>
      </c>
      <c r="AJ4259">
        <v>40.164878000000002</v>
      </c>
      <c r="AK4259" t="s">
        <v>2380</v>
      </c>
      <c r="AL4259">
        <v>-93.159234999999995</v>
      </c>
      <c r="AM4259">
        <v>100</v>
      </c>
      <c r="AN4259">
        <v>1300</v>
      </c>
      <c r="AO4259" t="s">
        <v>118</v>
      </c>
      <c r="AP4259">
        <v>-114</v>
      </c>
      <c r="AQ4259">
        <v>61</v>
      </c>
      <c r="AR4259">
        <v>-64</v>
      </c>
      <c r="AZ4259">
        <v>1200</v>
      </c>
      <c r="BA4259">
        <v>1</v>
      </c>
      <c r="BB4259" t="str">
        <f t="shared" si="210"/>
        <v xml:space="preserve">N8080G  </v>
      </c>
      <c r="BC4259">
        <v>1</v>
      </c>
      <c r="BE4259">
        <v>0</v>
      </c>
      <c r="BF4259">
        <v>0</v>
      </c>
      <c r="BG4259">
        <v>0</v>
      </c>
      <c r="BH4259">
        <v>1350</v>
      </c>
      <c r="BI4259">
        <v>1</v>
      </c>
      <c r="BJ4259">
        <v>1</v>
      </c>
      <c r="BK4259">
        <v>1</v>
      </c>
      <c r="BL4259">
        <v>0</v>
      </c>
      <c r="BO4259">
        <v>0</v>
      </c>
      <c r="BP4259">
        <v>0</v>
      </c>
      <c r="BW4259" t="str">
        <f>"20:37:59.810"</f>
        <v>20:37:59.810</v>
      </c>
      <c r="BZ4259">
        <v>0</v>
      </c>
      <c r="CA4259">
        <v>1600</v>
      </c>
      <c r="CB4259">
        <v>224</v>
      </c>
      <c r="CD4259">
        <v>1</v>
      </c>
      <c r="CE4259">
        <v>0</v>
      </c>
      <c r="CF4259">
        <v>0</v>
      </c>
      <c r="CG4259">
        <v>1</v>
      </c>
      <c r="CH4259">
        <v>0</v>
      </c>
      <c r="CI4259">
        <v>0</v>
      </c>
      <c r="CJ4259">
        <v>0</v>
      </c>
      <c r="CK4259">
        <v>2</v>
      </c>
      <c r="CL4259">
        <v>0</v>
      </c>
      <c r="CM4259">
        <v>2</v>
      </c>
      <c r="CN4259">
        <v>0</v>
      </c>
      <c r="CO4259">
        <v>5</v>
      </c>
      <c r="CP4259" t="s">
        <v>119</v>
      </c>
      <c r="CQ4259">
        <v>180</v>
      </c>
      <c r="CR4259">
        <v>3</v>
      </c>
      <c r="CW4259">
        <v>1380035</v>
      </c>
      <c r="CY4259">
        <v>0</v>
      </c>
      <c r="CZ4259">
        <v>0</v>
      </c>
      <c r="DA4259">
        <v>0</v>
      </c>
      <c r="DB4259">
        <v>0</v>
      </c>
      <c r="DC4259">
        <v>0</v>
      </c>
      <c r="DD4259">
        <v>0</v>
      </c>
      <c r="DE4259">
        <v>0</v>
      </c>
      <c r="DF4259">
        <v>0</v>
      </c>
      <c r="DG4259">
        <v>0</v>
      </c>
      <c r="DH4259">
        <v>0</v>
      </c>
      <c r="DI4259">
        <v>0</v>
      </c>
    </row>
    <row r="4260" spans="1:113" x14ac:dyDescent="0.3">
      <c r="A4260" t="str">
        <f>"02/08/2021 20:37:57.473"</f>
        <v>02/08/2021 20:37:57.473</v>
      </c>
      <c r="C4260" t="str">
        <f t="shared" si="209"/>
        <v>FFDFD7C0</v>
      </c>
      <c r="D4260" t="s">
        <v>124</v>
      </c>
      <c r="E4260">
        <v>13</v>
      </c>
      <c r="F4260">
        <v>1013</v>
      </c>
      <c r="G4260" t="s">
        <v>114</v>
      </c>
      <c r="J4260" t="s">
        <v>125</v>
      </c>
      <c r="K4260">
        <v>0</v>
      </c>
      <c r="L4260">
        <v>3</v>
      </c>
      <c r="M4260">
        <v>0</v>
      </c>
      <c r="N4260">
        <v>2</v>
      </c>
      <c r="O4260">
        <v>1</v>
      </c>
      <c r="P4260">
        <v>0</v>
      </c>
      <c r="Q4260">
        <v>0</v>
      </c>
      <c r="S4260" t="str">
        <f>"20:37:59.805"</f>
        <v>20:37:59.805</v>
      </c>
      <c r="T4260" t="str">
        <f>"20:37:59.405"</f>
        <v>20:37:59.405</v>
      </c>
      <c r="U4260" t="str">
        <f t="shared" si="211"/>
        <v>AB01F4</v>
      </c>
      <c r="V4260">
        <v>0</v>
      </c>
      <c r="W4260">
        <v>0</v>
      </c>
      <c r="X4260">
        <v>2</v>
      </c>
      <c r="Z4260">
        <v>0</v>
      </c>
      <c r="AA4260">
        <v>9</v>
      </c>
      <c r="AB4260">
        <v>3</v>
      </c>
      <c r="AC4260">
        <v>0</v>
      </c>
      <c r="AD4260">
        <v>10</v>
      </c>
      <c r="AE4260">
        <v>0</v>
      </c>
      <c r="AF4260">
        <v>3</v>
      </c>
      <c r="AG4260">
        <v>2</v>
      </c>
      <c r="AH4260">
        <v>0</v>
      </c>
      <c r="AI4260" t="s">
        <v>2379</v>
      </c>
      <c r="AJ4260">
        <v>40.164878000000002</v>
      </c>
      <c r="AK4260" t="s">
        <v>2380</v>
      </c>
      <c r="AL4260">
        <v>-93.159234999999995</v>
      </c>
      <c r="AM4260">
        <v>100</v>
      </c>
      <c r="AN4260">
        <v>1300</v>
      </c>
      <c r="AO4260" t="s">
        <v>118</v>
      </c>
      <c r="AP4260">
        <v>-114</v>
      </c>
      <c r="AQ4260">
        <v>61</v>
      </c>
      <c r="AR4260">
        <v>-64</v>
      </c>
      <c r="AZ4260">
        <v>1200</v>
      </c>
      <c r="BA4260">
        <v>1</v>
      </c>
      <c r="BB4260" t="str">
        <f t="shared" si="210"/>
        <v xml:space="preserve">N8080G  </v>
      </c>
      <c r="BC4260">
        <v>1</v>
      </c>
      <c r="BE4260">
        <v>0</v>
      </c>
      <c r="BF4260">
        <v>0</v>
      </c>
      <c r="BG4260">
        <v>0</v>
      </c>
      <c r="BH4260">
        <v>1350</v>
      </c>
      <c r="BI4260">
        <v>1</v>
      </c>
      <c r="BJ4260">
        <v>1</v>
      </c>
      <c r="BK4260">
        <v>1</v>
      </c>
      <c r="BL4260">
        <v>0</v>
      </c>
      <c r="BO4260">
        <v>0</v>
      </c>
      <c r="BP4260">
        <v>0</v>
      </c>
      <c r="BW4260" t="str">
        <f>"20:37:59.810"</f>
        <v>20:37:59.810</v>
      </c>
      <c r="BZ4260">
        <v>0</v>
      </c>
      <c r="CA4260">
        <v>1600</v>
      </c>
      <c r="CB4260">
        <v>224</v>
      </c>
      <c r="CD4260">
        <v>1</v>
      </c>
      <c r="CE4260">
        <v>0</v>
      </c>
      <c r="CF4260">
        <v>0</v>
      </c>
      <c r="CG4260">
        <v>1</v>
      </c>
      <c r="CH4260">
        <v>0</v>
      </c>
      <c r="CI4260">
        <v>0</v>
      </c>
      <c r="CJ4260">
        <v>0</v>
      </c>
      <c r="CK4260">
        <v>2</v>
      </c>
      <c r="CL4260">
        <v>0</v>
      </c>
      <c r="CM4260">
        <v>2</v>
      </c>
      <c r="CN4260">
        <v>0</v>
      </c>
      <c r="CO4260">
        <v>5</v>
      </c>
      <c r="CP4260" t="s">
        <v>119</v>
      </c>
      <c r="CQ4260">
        <v>180</v>
      </c>
      <c r="CR4260">
        <v>3</v>
      </c>
      <c r="CW4260">
        <v>1380035</v>
      </c>
      <c r="CY4260">
        <v>0</v>
      </c>
      <c r="CZ4260">
        <v>0</v>
      </c>
      <c r="DA4260">
        <v>1</v>
      </c>
      <c r="DB4260">
        <v>0</v>
      </c>
      <c r="DC4260">
        <v>0</v>
      </c>
      <c r="DD4260">
        <v>0</v>
      </c>
      <c r="DE4260">
        <v>0</v>
      </c>
      <c r="DF4260">
        <v>0</v>
      </c>
      <c r="DG4260">
        <v>0</v>
      </c>
      <c r="DH4260">
        <v>0</v>
      </c>
      <c r="DI4260">
        <v>0</v>
      </c>
    </row>
    <row r="4261" spans="1:113" x14ac:dyDescent="0.3">
      <c r="A4261" t="str">
        <f>"02/08/2021 20:37:57.473"</f>
        <v>02/08/2021 20:37:57.473</v>
      </c>
      <c r="C4261" t="str">
        <f t="shared" si="209"/>
        <v>FFDFD7C0</v>
      </c>
      <c r="D4261" t="s">
        <v>124</v>
      </c>
      <c r="E4261">
        <v>12</v>
      </c>
      <c r="F4261">
        <v>1012</v>
      </c>
      <c r="G4261" t="s">
        <v>675</v>
      </c>
      <c r="J4261" t="s">
        <v>125</v>
      </c>
      <c r="K4261">
        <v>0</v>
      </c>
      <c r="L4261">
        <v>3</v>
      </c>
      <c r="M4261">
        <v>0</v>
      </c>
      <c r="N4261">
        <v>2</v>
      </c>
      <c r="O4261">
        <v>1</v>
      </c>
      <c r="P4261">
        <v>0</v>
      </c>
      <c r="Q4261">
        <v>0</v>
      </c>
      <c r="S4261" t="str">
        <f>"20:37:59.805"</f>
        <v>20:37:59.805</v>
      </c>
      <c r="T4261" t="str">
        <f>"20:37:59.405"</f>
        <v>20:37:59.405</v>
      </c>
      <c r="U4261" t="str">
        <f t="shared" si="211"/>
        <v>AB01F4</v>
      </c>
      <c r="V4261">
        <v>0</v>
      </c>
      <c r="W4261">
        <v>0</v>
      </c>
      <c r="X4261">
        <v>2</v>
      </c>
      <c r="Z4261">
        <v>0</v>
      </c>
      <c r="AA4261">
        <v>9</v>
      </c>
      <c r="AB4261">
        <v>3</v>
      </c>
      <c r="AC4261">
        <v>0</v>
      </c>
      <c r="AD4261">
        <v>10</v>
      </c>
      <c r="AE4261">
        <v>0</v>
      </c>
      <c r="AF4261">
        <v>3</v>
      </c>
      <c r="AG4261">
        <v>2</v>
      </c>
      <c r="AH4261">
        <v>0</v>
      </c>
      <c r="AI4261" t="s">
        <v>2379</v>
      </c>
      <c r="AJ4261">
        <v>40.164878000000002</v>
      </c>
      <c r="AK4261" t="s">
        <v>2380</v>
      </c>
      <c r="AL4261">
        <v>-93.159234999999995</v>
      </c>
      <c r="AM4261">
        <v>100</v>
      </c>
      <c r="AN4261">
        <v>1300</v>
      </c>
      <c r="AO4261" t="s">
        <v>118</v>
      </c>
      <c r="AP4261">
        <v>-114</v>
      </c>
      <c r="AQ4261">
        <v>61</v>
      </c>
      <c r="AR4261">
        <v>-64</v>
      </c>
      <c r="AZ4261">
        <v>1200</v>
      </c>
      <c r="BA4261">
        <v>1</v>
      </c>
      <c r="BB4261" t="str">
        <f t="shared" si="210"/>
        <v xml:space="preserve">N8080G  </v>
      </c>
      <c r="BC4261">
        <v>1</v>
      </c>
      <c r="BE4261">
        <v>0</v>
      </c>
      <c r="BF4261">
        <v>0</v>
      </c>
      <c r="BG4261">
        <v>0</v>
      </c>
      <c r="BH4261">
        <v>1350</v>
      </c>
      <c r="BI4261">
        <v>1</v>
      </c>
      <c r="BJ4261">
        <v>1</v>
      </c>
      <c r="BK4261">
        <v>1</v>
      </c>
      <c r="BL4261">
        <v>0</v>
      </c>
      <c r="BO4261">
        <v>0</v>
      </c>
      <c r="BP4261">
        <v>0</v>
      </c>
      <c r="BW4261" t="str">
        <f>"20:37:59.810"</f>
        <v>20:37:59.810</v>
      </c>
      <c r="BZ4261">
        <v>0</v>
      </c>
      <c r="CA4261">
        <v>1600</v>
      </c>
      <c r="CB4261">
        <v>224</v>
      </c>
      <c r="CD4261">
        <v>1</v>
      </c>
      <c r="CE4261">
        <v>0</v>
      </c>
      <c r="CF4261">
        <v>0</v>
      </c>
      <c r="CG4261">
        <v>1</v>
      </c>
      <c r="CH4261">
        <v>0</v>
      </c>
      <c r="CI4261">
        <v>0</v>
      </c>
      <c r="CJ4261">
        <v>0</v>
      </c>
      <c r="CK4261">
        <v>2</v>
      </c>
      <c r="CL4261">
        <v>0</v>
      </c>
      <c r="CM4261">
        <v>2</v>
      </c>
      <c r="CN4261">
        <v>0</v>
      </c>
      <c r="CO4261">
        <v>5</v>
      </c>
      <c r="CP4261" t="s">
        <v>119</v>
      </c>
      <c r="CQ4261">
        <v>180</v>
      </c>
      <c r="CR4261">
        <v>3</v>
      </c>
      <c r="CW4261">
        <v>1380035</v>
      </c>
      <c r="CY4261">
        <v>0</v>
      </c>
      <c r="CZ4261">
        <v>0</v>
      </c>
      <c r="DA4261">
        <v>1</v>
      </c>
      <c r="DB4261">
        <v>0</v>
      </c>
      <c r="DC4261">
        <v>0</v>
      </c>
      <c r="DD4261">
        <v>0</v>
      </c>
      <c r="DE4261">
        <v>0</v>
      </c>
      <c r="DF4261">
        <v>0</v>
      </c>
      <c r="DG4261">
        <v>0</v>
      </c>
      <c r="DH4261">
        <v>0</v>
      </c>
      <c r="DI4261">
        <v>0</v>
      </c>
    </row>
    <row r="4262" spans="1:113" x14ac:dyDescent="0.3">
      <c r="A4262" t="str">
        <f>"02/08/2021 20:37:57.473"</f>
        <v>02/08/2021 20:37:57.473</v>
      </c>
      <c r="C4262" t="str">
        <f t="shared" si="209"/>
        <v>FFDFD7C0</v>
      </c>
      <c r="D4262" t="s">
        <v>124</v>
      </c>
      <c r="E4262">
        <v>11</v>
      </c>
      <c r="F4262">
        <v>1011</v>
      </c>
      <c r="G4262" t="s">
        <v>590</v>
      </c>
      <c r="J4262" t="s">
        <v>125</v>
      </c>
      <c r="K4262">
        <v>0</v>
      </c>
      <c r="L4262">
        <v>3</v>
      </c>
      <c r="M4262">
        <v>0</v>
      </c>
      <c r="N4262">
        <v>2</v>
      </c>
      <c r="O4262">
        <v>1</v>
      </c>
      <c r="P4262">
        <v>0</v>
      </c>
      <c r="Q4262">
        <v>0</v>
      </c>
      <c r="S4262" t="str">
        <f>"20:37:59.805"</f>
        <v>20:37:59.805</v>
      </c>
      <c r="T4262" t="str">
        <f>"20:37:59.405"</f>
        <v>20:37:59.405</v>
      </c>
      <c r="U4262" t="str">
        <f t="shared" si="211"/>
        <v>AB01F4</v>
      </c>
      <c r="V4262">
        <v>0</v>
      </c>
      <c r="W4262">
        <v>0</v>
      </c>
      <c r="X4262">
        <v>2</v>
      </c>
      <c r="Z4262">
        <v>0</v>
      </c>
      <c r="AA4262">
        <v>9</v>
      </c>
      <c r="AB4262">
        <v>3</v>
      </c>
      <c r="AC4262">
        <v>0</v>
      </c>
      <c r="AD4262">
        <v>10</v>
      </c>
      <c r="AE4262">
        <v>0</v>
      </c>
      <c r="AF4262">
        <v>3</v>
      </c>
      <c r="AG4262">
        <v>2</v>
      </c>
      <c r="AH4262">
        <v>0</v>
      </c>
      <c r="AI4262" t="s">
        <v>2379</v>
      </c>
      <c r="AJ4262">
        <v>40.164878000000002</v>
      </c>
      <c r="AK4262" t="s">
        <v>2380</v>
      </c>
      <c r="AL4262">
        <v>-93.159234999999995</v>
      </c>
      <c r="AM4262">
        <v>100</v>
      </c>
      <c r="AN4262">
        <v>1300</v>
      </c>
      <c r="AO4262" t="s">
        <v>118</v>
      </c>
      <c r="AP4262">
        <v>-114</v>
      </c>
      <c r="AQ4262">
        <v>61</v>
      </c>
      <c r="AR4262">
        <v>-64</v>
      </c>
      <c r="AZ4262">
        <v>1200</v>
      </c>
      <c r="BA4262">
        <v>1</v>
      </c>
      <c r="BB4262" t="str">
        <f t="shared" si="210"/>
        <v xml:space="preserve">N8080G  </v>
      </c>
      <c r="BC4262">
        <v>1</v>
      </c>
      <c r="BE4262">
        <v>0</v>
      </c>
      <c r="BF4262">
        <v>0</v>
      </c>
      <c r="BG4262">
        <v>0</v>
      </c>
      <c r="BH4262">
        <v>1350</v>
      </c>
      <c r="BI4262">
        <v>1</v>
      </c>
      <c r="BJ4262">
        <v>1</v>
      </c>
      <c r="BK4262">
        <v>1</v>
      </c>
      <c r="BL4262">
        <v>0</v>
      </c>
      <c r="BO4262">
        <v>0</v>
      </c>
      <c r="BP4262">
        <v>0</v>
      </c>
      <c r="BW4262" t="str">
        <f>"20:37:59.810"</f>
        <v>20:37:59.810</v>
      </c>
      <c r="BZ4262">
        <v>0</v>
      </c>
      <c r="CA4262">
        <v>1600</v>
      </c>
      <c r="CB4262">
        <v>224</v>
      </c>
      <c r="CD4262">
        <v>1</v>
      </c>
      <c r="CE4262">
        <v>0</v>
      </c>
      <c r="CF4262">
        <v>0</v>
      </c>
      <c r="CG4262">
        <v>1</v>
      </c>
      <c r="CH4262">
        <v>0</v>
      </c>
      <c r="CI4262">
        <v>0</v>
      </c>
      <c r="CJ4262">
        <v>0</v>
      </c>
      <c r="CK4262">
        <v>2</v>
      </c>
      <c r="CL4262">
        <v>0</v>
      </c>
      <c r="CM4262">
        <v>2</v>
      </c>
      <c r="CN4262">
        <v>0</v>
      </c>
      <c r="CO4262">
        <v>5</v>
      </c>
      <c r="CP4262" t="s">
        <v>119</v>
      </c>
      <c r="CQ4262">
        <v>180</v>
      </c>
      <c r="CR4262">
        <v>3</v>
      </c>
      <c r="CW4262">
        <v>1380035</v>
      </c>
      <c r="CY4262">
        <v>0</v>
      </c>
      <c r="CZ4262">
        <v>0</v>
      </c>
      <c r="DA4262">
        <v>1</v>
      </c>
      <c r="DB4262">
        <v>0</v>
      </c>
      <c r="DC4262">
        <v>0</v>
      </c>
      <c r="DD4262">
        <v>0</v>
      </c>
      <c r="DE4262">
        <v>0</v>
      </c>
      <c r="DF4262">
        <v>0</v>
      </c>
      <c r="DG4262">
        <v>0</v>
      </c>
      <c r="DH4262">
        <v>0</v>
      </c>
      <c r="DI4262">
        <v>0</v>
      </c>
    </row>
    <row r="4263" spans="1:113" x14ac:dyDescent="0.3">
      <c r="A4263" t="str">
        <f>"02/08/2021 20:38:01.484"</f>
        <v>02/08/2021 20:38:01.484</v>
      </c>
      <c r="C4263" t="str">
        <f t="shared" ref="C4263:C4326" si="212">"FFDFD7C0"</f>
        <v>FFDFD7C0</v>
      </c>
      <c r="D4263" t="s">
        <v>124</v>
      </c>
      <c r="E4263">
        <v>11</v>
      </c>
      <c r="F4263">
        <v>1011</v>
      </c>
      <c r="G4263" t="s">
        <v>590</v>
      </c>
      <c r="J4263" t="s">
        <v>125</v>
      </c>
      <c r="K4263">
        <v>0</v>
      </c>
      <c r="L4263">
        <v>3</v>
      </c>
      <c r="M4263">
        <v>0</v>
      </c>
      <c r="N4263">
        <v>2</v>
      </c>
      <c r="O4263">
        <v>1</v>
      </c>
      <c r="P4263">
        <v>0</v>
      </c>
      <c r="Q4263">
        <v>0</v>
      </c>
      <c r="S4263" t="str">
        <f>"20:38:03.789"</f>
        <v>20:38:03.789</v>
      </c>
      <c r="T4263" t="str">
        <f>"20:38:03.289"</f>
        <v>20:38:03.289</v>
      </c>
      <c r="U4263" t="str">
        <f t="shared" si="211"/>
        <v>AB01F4</v>
      </c>
      <c r="V4263">
        <v>0</v>
      </c>
      <c r="W4263">
        <v>0</v>
      </c>
      <c r="X4263">
        <v>2</v>
      </c>
      <c r="Z4263">
        <v>0</v>
      </c>
      <c r="AA4263">
        <v>9</v>
      </c>
      <c r="AB4263">
        <v>3</v>
      </c>
      <c r="AC4263">
        <v>0</v>
      </c>
      <c r="AD4263">
        <v>10</v>
      </c>
      <c r="AE4263">
        <v>0</v>
      </c>
      <c r="AF4263">
        <v>3</v>
      </c>
      <c r="AG4263">
        <v>2</v>
      </c>
      <c r="AH4263">
        <v>0</v>
      </c>
      <c r="AI4263" t="s">
        <v>2381</v>
      </c>
      <c r="AJ4263">
        <v>40.165973000000001</v>
      </c>
      <c r="AK4263" t="s">
        <v>2382</v>
      </c>
      <c r="AL4263">
        <v>-93.162045000000006</v>
      </c>
      <c r="AM4263">
        <v>100</v>
      </c>
      <c r="AN4263">
        <v>1300</v>
      </c>
      <c r="AO4263" t="s">
        <v>118</v>
      </c>
      <c r="AP4263">
        <v>-118</v>
      </c>
      <c r="AQ4263">
        <v>54</v>
      </c>
      <c r="AR4263">
        <v>64</v>
      </c>
      <c r="AZ4263">
        <v>1200</v>
      </c>
      <c r="BA4263">
        <v>1</v>
      </c>
      <c r="BB4263" t="str">
        <f t="shared" si="210"/>
        <v xml:space="preserve">N8080G  </v>
      </c>
      <c r="BC4263">
        <v>1</v>
      </c>
      <c r="BE4263">
        <v>0</v>
      </c>
      <c r="BF4263">
        <v>0</v>
      </c>
      <c r="BG4263">
        <v>0</v>
      </c>
      <c r="BH4263">
        <v>1325</v>
      </c>
      <c r="BI4263">
        <v>1</v>
      </c>
      <c r="BJ4263">
        <v>1</v>
      </c>
      <c r="BK4263">
        <v>1</v>
      </c>
      <c r="BL4263">
        <v>0</v>
      </c>
      <c r="BO4263">
        <v>0</v>
      </c>
      <c r="BP4263">
        <v>0</v>
      </c>
      <c r="BW4263" t="str">
        <f>"20:38:03.796"</f>
        <v>20:38:03.796</v>
      </c>
      <c r="BZ4263">
        <v>0</v>
      </c>
      <c r="CA4263">
        <v>1600</v>
      </c>
      <c r="CB4263">
        <v>224</v>
      </c>
      <c r="CD4263">
        <v>1</v>
      </c>
      <c r="CE4263">
        <v>0</v>
      </c>
      <c r="CF4263">
        <v>0</v>
      </c>
      <c r="CG4263">
        <v>1</v>
      </c>
      <c r="CH4263">
        <v>0</v>
      </c>
      <c r="CI4263">
        <v>0</v>
      </c>
      <c r="CJ4263">
        <v>0</v>
      </c>
      <c r="CK4263">
        <v>2</v>
      </c>
      <c r="CL4263">
        <v>0</v>
      </c>
      <c r="CM4263">
        <v>2</v>
      </c>
      <c r="CN4263">
        <v>0</v>
      </c>
      <c r="CO4263">
        <v>5</v>
      </c>
      <c r="CP4263" t="s">
        <v>119</v>
      </c>
      <c r="CQ4263">
        <v>180</v>
      </c>
      <c r="CR4263">
        <v>3</v>
      </c>
      <c r="CW4263">
        <v>1383002</v>
      </c>
      <c r="CY4263">
        <v>0</v>
      </c>
      <c r="CZ4263">
        <v>0</v>
      </c>
      <c r="DA4263">
        <v>0</v>
      </c>
      <c r="DB4263">
        <v>0</v>
      </c>
      <c r="DC4263">
        <v>0</v>
      </c>
      <c r="DD4263">
        <v>0</v>
      </c>
      <c r="DE4263">
        <v>0</v>
      </c>
      <c r="DF4263">
        <v>0</v>
      </c>
      <c r="DG4263">
        <v>0</v>
      </c>
      <c r="DH4263">
        <v>0</v>
      </c>
      <c r="DI4263">
        <v>0</v>
      </c>
    </row>
    <row r="4264" spans="1:113" x14ac:dyDescent="0.3">
      <c r="A4264" t="str">
        <f>"02/08/2021 20:38:01.484"</f>
        <v>02/08/2021 20:38:01.484</v>
      </c>
      <c r="C4264" t="str">
        <f t="shared" si="212"/>
        <v>FFDFD7C0</v>
      </c>
      <c r="D4264" t="s">
        <v>124</v>
      </c>
      <c r="E4264">
        <v>13</v>
      </c>
      <c r="F4264">
        <v>1013</v>
      </c>
      <c r="G4264" t="s">
        <v>114</v>
      </c>
      <c r="J4264" t="s">
        <v>125</v>
      </c>
      <c r="K4264">
        <v>0</v>
      </c>
      <c r="L4264">
        <v>3</v>
      </c>
      <c r="M4264">
        <v>0</v>
      </c>
      <c r="N4264">
        <v>2</v>
      </c>
      <c r="O4264">
        <v>1</v>
      </c>
      <c r="P4264">
        <v>0</v>
      </c>
      <c r="Q4264">
        <v>0</v>
      </c>
      <c r="S4264" t="str">
        <f>"20:38:03.789"</f>
        <v>20:38:03.789</v>
      </c>
      <c r="T4264" t="str">
        <f>"20:38:03.289"</f>
        <v>20:38:03.289</v>
      </c>
      <c r="U4264" t="str">
        <f t="shared" si="211"/>
        <v>AB01F4</v>
      </c>
      <c r="V4264">
        <v>0</v>
      </c>
      <c r="W4264">
        <v>0</v>
      </c>
      <c r="X4264">
        <v>2</v>
      </c>
      <c r="Z4264">
        <v>0</v>
      </c>
      <c r="AA4264">
        <v>9</v>
      </c>
      <c r="AB4264">
        <v>3</v>
      </c>
      <c r="AC4264">
        <v>0</v>
      </c>
      <c r="AD4264">
        <v>10</v>
      </c>
      <c r="AE4264">
        <v>0</v>
      </c>
      <c r="AF4264">
        <v>3</v>
      </c>
      <c r="AG4264">
        <v>2</v>
      </c>
      <c r="AH4264">
        <v>0</v>
      </c>
      <c r="AI4264" t="s">
        <v>2381</v>
      </c>
      <c r="AJ4264">
        <v>40.165973000000001</v>
      </c>
      <c r="AK4264" t="s">
        <v>2382</v>
      </c>
      <c r="AL4264">
        <v>-93.162045000000006</v>
      </c>
      <c r="AM4264">
        <v>100</v>
      </c>
      <c r="AN4264">
        <v>1300</v>
      </c>
      <c r="AO4264" t="s">
        <v>118</v>
      </c>
      <c r="AP4264">
        <v>-118</v>
      </c>
      <c r="AQ4264">
        <v>54</v>
      </c>
      <c r="AR4264">
        <v>64</v>
      </c>
      <c r="AZ4264">
        <v>1200</v>
      </c>
      <c r="BA4264">
        <v>1</v>
      </c>
      <c r="BB4264" t="str">
        <f t="shared" si="210"/>
        <v xml:space="preserve">N8080G  </v>
      </c>
      <c r="BC4264">
        <v>1</v>
      </c>
      <c r="BE4264">
        <v>0</v>
      </c>
      <c r="BF4264">
        <v>0</v>
      </c>
      <c r="BG4264">
        <v>0</v>
      </c>
      <c r="BH4264">
        <v>1325</v>
      </c>
      <c r="BI4264">
        <v>1</v>
      </c>
      <c r="BJ4264">
        <v>1</v>
      </c>
      <c r="BK4264">
        <v>1</v>
      </c>
      <c r="BL4264">
        <v>0</v>
      </c>
      <c r="BO4264">
        <v>0</v>
      </c>
      <c r="BP4264">
        <v>0</v>
      </c>
      <c r="BW4264" t="str">
        <f>"20:38:03.796"</f>
        <v>20:38:03.796</v>
      </c>
      <c r="BZ4264">
        <v>0</v>
      </c>
      <c r="CA4264">
        <v>1600</v>
      </c>
      <c r="CB4264">
        <v>224</v>
      </c>
      <c r="CD4264">
        <v>1</v>
      </c>
      <c r="CE4264">
        <v>0</v>
      </c>
      <c r="CF4264">
        <v>0</v>
      </c>
      <c r="CG4264">
        <v>1</v>
      </c>
      <c r="CH4264">
        <v>0</v>
      </c>
      <c r="CI4264">
        <v>0</v>
      </c>
      <c r="CJ4264">
        <v>0</v>
      </c>
      <c r="CK4264">
        <v>2</v>
      </c>
      <c r="CL4264">
        <v>0</v>
      </c>
      <c r="CM4264">
        <v>2</v>
      </c>
      <c r="CN4264">
        <v>0</v>
      </c>
      <c r="CO4264">
        <v>5</v>
      </c>
      <c r="CP4264" t="s">
        <v>119</v>
      </c>
      <c r="CQ4264">
        <v>180</v>
      </c>
      <c r="CR4264">
        <v>3</v>
      </c>
      <c r="CW4264">
        <v>1383002</v>
      </c>
      <c r="CY4264">
        <v>0</v>
      </c>
      <c r="CZ4264">
        <v>0</v>
      </c>
      <c r="DA4264">
        <v>1</v>
      </c>
      <c r="DB4264">
        <v>0</v>
      </c>
      <c r="DC4264">
        <v>0</v>
      </c>
      <c r="DD4264">
        <v>0</v>
      </c>
      <c r="DE4264">
        <v>0</v>
      </c>
      <c r="DF4264">
        <v>0</v>
      </c>
      <c r="DG4264">
        <v>0</v>
      </c>
      <c r="DH4264">
        <v>0</v>
      </c>
      <c r="DI4264">
        <v>0</v>
      </c>
    </row>
    <row r="4265" spans="1:113" x14ac:dyDescent="0.3">
      <c r="A4265" t="str">
        <f>"02/08/2021 20:38:01.484"</f>
        <v>02/08/2021 20:38:01.484</v>
      </c>
      <c r="C4265" t="str">
        <f t="shared" si="212"/>
        <v>FFDFD7C0</v>
      </c>
      <c r="D4265" t="s">
        <v>124</v>
      </c>
      <c r="E4265">
        <v>12</v>
      </c>
      <c r="F4265">
        <v>1012</v>
      </c>
      <c r="G4265" t="s">
        <v>675</v>
      </c>
      <c r="J4265" t="s">
        <v>125</v>
      </c>
      <c r="K4265">
        <v>0</v>
      </c>
      <c r="L4265">
        <v>3</v>
      </c>
      <c r="M4265">
        <v>0</v>
      </c>
      <c r="N4265">
        <v>2</v>
      </c>
      <c r="O4265">
        <v>1</v>
      </c>
      <c r="P4265">
        <v>0</v>
      </c>
      <c r="Q4265">
        <v>0</v>
      </c>
      <c r="S4265" t="str">
        <f>"20:38:03.789"</f>
        <v>20:38:03.789</v>
      </c>
      <c r="T4265" t="str">
        <f>"20:38:03.289"</f>
        <v>20:38:03.289</v>
      </c>
      <c r="U4265" t="str">
        <f t="shared" si="211"/>
        <v>AB01F4</v>
      </c>
      <c r="V4265">
        <v>0</v>
      </c>
      <c r="W4265">
        <v>0</v>
      </c>
      <c r="X4265">
        <v>2</v>
      </c>
      <c r="Z4265">
        <v>0</v>
      </c>
      <c r="AA4265">
        <v>9</v>
      </c>
      <c r="AB4265">
        <v>3</v>
      </c>
      <c r="AC4265">
        <v>0</v>
      </c>
      <c r="AD4265">
        <v>10</v>
      </c>
      <c r="AE4265">
        <v>0</v>
      </c>
      <c r="AF4265">
        <v>3</v>
      </c>
      <c r="AG4265">
        <v>2</v>
      </c>
      <c r="AH4265">
        <v>0</v>
      </c>
      <c r="AI4265" t="s">
        <v>2381</v>
      </c>
      <c r="AJ4265">
        <v>40.165973000000001</v>
      </c>
      <c r="AK4265" t="s">
        <v>2382</v>
      </c>
      <c r="AL4265">
        <v>-93.162045000000006</v>
      </c>
      <c r="AM4265">
        <v>100</v>
      </c>
      <c r="AN4265">
        <v>1300</v>
      </c>
      <c r="AO4265" t="s">
        <v>118</v>
      </c>
      <c r="AP4265">
        <v>-118</v>
      </c>
      <c r="AQ4265">
        <v>54</v>
      </c>
      <c r="AR4265">
        <v>64</v>
      </c>
      <c r="AZ4265">
        <v>1200</v>
      </c>
      <c r="BA4265">
        <v>1</v>
      </c>
      <c r="BB4265" t="str">
        <f t="shared" si="210"/>
        <v xml:space="preserve">N8080G  </v>
      </c>
      <c r="BC4265">
        <v>1</v>
      </c>
      <c r="BE4265">
        <v>0</v>
      </c>
      <c r="BF4265">
        <v>0</v>
      </c>
      <c r="BG4265">
        <v>0</v>
      </c>
      <c r="BH4265">
        <v>1325</v>
      </c>
      <c r="BI4265">
        <v>1</v>
      </c>
      <c r="BJ4265">
        <v>1</v>
      </c>
      <c r="BK4265">
        <v>1</v>
      </c>
      <c r="BL4265">
        <v>0</v>
      </c>
      <c r="BO4265">
        <v>0</v>
      </c>
      <c r="BP4265">
        <v>0</v>
      </c>
      <c r="BW4265" t="str">
        <f>"20:38:03.796"</f>
        <v>20:38:03.796</v>
      </c>
      <c r="BZ4265">
        <v>0</v>
      </c>
      <c r="CA4265">
        <v>1600</v>
      </c>
      <c r="CB4265">
        <v>224</v>
      </c>
      <c r="CD4265">
        <v>1</v>
      </c>
      <c r="CE4265">
        <v>0</v>
      </c>
      <c r="CF4265">
        <v>0</v>
      </c>
      <c r="CG4265">
        <v>1</v>
      </c>
      <c r="CH4265">
        <v>0</v>
      </c>
      <c r="CI4265">
        <v>0</v>
      </c>
      <c r="CJ4265">
        <v>0</v>
      </c>
      <c r="CK4265">
        <v>2</v>
      </c>
      <c r="CL4265">
        <v>0</v>
      </c>
      <c r="CM4265">
        <v>2</v>
      </c>
      <c r="CN4265">
        <v>0</v>
      </c>
      <c r="CO4265">
        <v>5</v>
      </c>
      <c r="CP4265" t="s">
        <v>119</v>
      </c>
      <c r="CQ4265">
        <v>180</v>
      </c>
      <c r="CR4265">
        <v>3</v>
      </c>
      <c r="CW4265">
        <v>1383002</v>
      </c>
      <c r="CY4265">
        <v>0</v>
      </c>
      <c r="CZ4265">
        <v>0</v>
      </c>
      <c r="DA4265">
        <v>1</v>
      </c>
      <c r="DB4265">
        <v>0</v>
      </c>
      <c r="DC4265">
        <v>0</v>
      </c>
      <c r="DD4265">
        <v>0</v>
      </c>
      <c r="DE4265">
        <v>0</v>
      </c>
      <c r="DF4265">
        <v>0</v>
      </c>
      <c r="DG4265">
        <v>0</v>
      </c>
      <c r="DH4265">
        <v>0</v>
      </c>
      <c r="DI4265">
        <v>0</v>
      </c>
    </row>
    <row r="4266" spans="1:113" x14ac:dyDescent="0.3">
      <c r="A4266" t="str">
        <f>"02/08/2021 20:38:01.484"</f>
        <v>02/08/2021 20:38:01.484</v>
      </c>
      <c r="C4266" t="str">
        <f t="shared" si="212"/>
        <v>FFDFD7C0</v>
      </c>
      <c r="D4266" t="s">
        <v>113</v>
      </c>
      <c r="E4266">
        <v>6</v>
      </c>
      <c r="H4266">
        <v>165</v>
      </c>
      <c r="I4266" t="s">
        <v>114</v>
      </c>
      <c r="J4266" t="s">
        <v>115</v>
      </c>
      <c r="K4266">
        <v>0</v>
      </c>
      <c r="L4266">
        <v>3</v>
      </c>
      <c r="M4266">
        <v>0</v>
      </c>
      <c r="N4266">
        <v>2</v>
      </c>
      <c r="O4266">
        <v>1</v>
      </c>
      <c r="P4266">
        <v>0</v>
      </c>
      <c r="Q4266">
        <v>0</v>
      </c>
      <c r="S4266" t="str">
        <f>"20:38:03.789"</f>
        <v>20:38:03.789</v>
      </c>
      <c r="T4266" t="str">
        <f>"20:38:03.289"</f>
        <v>20:38:03.289</v>
      </c>
      <c r="U4266" t="str">
        <f t="shared" si="211"/>
        <v>AB01F4</v>
      </c>
      <c r="V4266">
        <v>0</v>
      </c>
      <c r="W4266">
        <v>0</v>
      </c>
      <c r="X4266">
        <v>2</v>
      </c>
      <c r="Z4266">
        <v>0</v>
      </c>
      <c r="AA4266">
        <v>9</v>
      </c>
      <c r="AB4266">
        <v>3</v>
      </c>
      <c r="AC4266">
        <v>0</v>
      </c>
      <c r="AD4266">
        <v>10</v>
      </c>
      <c r="AE4266">
        <v>0</v>
      </c>
      <c r="AF4266">
        <v>3</v>
      </c>
      <c r="AG4266">
        <v>2</v>
      </c>
      <c r="AH4266">
        <v>0</v>
      </c>
      <c r="AI4266" t="s">
        <v>2381</v>
      </c>
      <c r="AJ4266">
        <v>40.165973000000001</v>
      </c>
      <c r="AK4266" t="s">
        <v>2382</v>
      </c>
      <c r="AL4266">
        <v>-93.162045000000006</v>
      </c>
      <c r="AM4266">
        <v>100</v>
      </c>
      <c r="AN4266">
        <v>1300</v>
      </c>
      <c r="AO4266" t="s">
        <v>118</v>
      </c>
      <c r="AP4266">
        <v>-118</v>
      </c>
      <c r="AQ4266">
        <v>54</v>
      </c>
      <c r="AR4266">
        <v>64</v>
      </c>
      <c r="AZ4266">
        <v>1200</v>
      </c>
      <c r="BA4266">
        <v>1</v>
      </c>
      <c r="BB4266" t="str">
        <f t="shared" si="210"/>
        <v xml:space="preserve">N8080G  </v>
      </c>
      <c r="BC4266">
        <v>1</v>
      </c>
      <c r="BE4266">
        <v>0</v>
      </c>
      <c r="BF4266">
        <v>0</v>
      </c>
      <c r="BG4266">
        <v>0</v>
      </c>
      <c r="BH4266">
        <v>1325</v>
      </c>
      <c r="BI4266">
        <v>1</v>
      </c>
      <c r="BJ4266">
        <v>1</v>
      </c>
      <c r="BK4266">
        <v>1</v>
      </c>
      <c r="BL4266">
        <v>0</v>
      </c>
      <c r="BO4266">
        <v>0</v>
      </c>
      <c r="BP4266">
        <v>0</v>
      </c>
      <c r="BW4266" t="str">
        <f>"20:38:03.796"</f>
        <v>20:38:03.796</v>
      </c>
      <c r="BZ4266">
        <v>0</v>
      </c>
      <c r="CA4266">
        <v>1600</v>
      </c>
      <c r="CB4266">
        <v>224</v>
      </c>
      <c r="CD4266">
        <v>1</v>
      </c>
      <c r="CE4266">
        <v>0</v>
      </c>
      <c r="CF4266">
        <v>0</v>
      </c>
      <c r="CG4266">
        <v>1</v>
      </c>
      <c r="CH4266">
        <v>0</v>
      </c>
      <c r="CI4266">
        <v>0</v>
      </c>
      <c r="CJ4266">
        <v>0</v>
      </c>
      <c r="CK4266">
        <v>2</v>
      </c>
      <c r="CL4266">
        <v>0</v>
      </c>
      <c r="CM4266">
        <v>2</v>
      </c>
      <c r="CN4266">
        <v>0</v>
      </c>
      <c r="CO4266">
        <v>5</v>
      </c>
      <c r="CP4266" t="s">
        <v>119</v>
      </c>
      <c r="CQ4266">
        <v>180</v>
      </c>
      <c r="CR4266">
        <v>3</v>
      </c>
      <c r="CW4266">
        <v>1383002</v>
      </c>
      <c r="CY4266">
        <v>0</v>
      </c>
      <c r="CZ4266">
        <v>0</v>
      </c>
      <c r="DA4266">
        <v>1</v>
      </c>
      <c r="DB4266">
        <v>0</v>
      </c>
      <c r="DC4266">
        <v>0</v>
      </c>
      <c r="DD4266">
        <v>0</v>
      </c>
      <c r="DE4266">
        <v>0</v>
      </c>
      <c r="DF4266">
        <v>0</v>
      </c>
      <c r="DG4266">
        <v>0</v>
      </c>
      <c r="DH4266">
        <v>0</v>
      </c>
      <c r="DI4266">
        <v>0</v>
      </c>
    </row>
    <row r="4267" spans="1:113" x14ac:dyDescent="0.3">
      <c r="A4267" t="str">
        <f>"02/08/2021 20:38:03.034"</f>
        <v>02/08/2021 20:38:03.034</v>
      </c>
      <c r="C4267" t="str">
        <f t="shared" si="212"/>
        <v>FFDFD7C0</v>
      </c>
      <c r="D4267" t="s">
        <v>113</v>
      </c>
      <c r="E4267">
        <v>6</v>
      </c>
      <c r="H4267">
        <v>165</v>
      </c>
      <c r="I4267" t="s">
        <v>114</v>
      </c>
      <c r="J4267" t="s">
        <v>115</v>
      </c>
      <c r="K4267">
        <v>0</v>
      </c>
      <c r="L4267">
        <v>3</v>
      </c>
      <c r="M4267">
        <v>0</v>
      </c>
      <c r="N4267">
        <v>2</v>
      </c>
      <c r="O4267">
        <v>1</v>
      </c>
      <c r="P4267">
        <v>0</v>
      </c>
      <c r="Q4267">
        <v>0</v>
      </c>
      <c r="S4267" t="str">
        <f>"20:38:05.367"</f>
        <v>20:38:05.367</v>
      </c>
      <c r="T4267" t="str">
        <f>"20:38:04.867"</f>
        <v>20:38:04.867</v>
      </c>
      <c r="U4267" t="str">
        <f t="shared" si="211"/>
        <v>AB01F4</v>
      </c>
      <c r="V4267">
        <v>0</v>
      </c>
      <c r="W4267">
        <v>0</v>
      </c>
      <c r="X4267">
        <v>2</v>
      </c>
      <c r="Z4267">
        <v>0</v>
      </c>
      <c r="AA4267">
        <v>9</v>
      </c>
      <c r="AB4267">
        <v>3</v>
      </c>
      <c r="AC4267">
        <v>0</v>
      </c>
      <c r="AD4267">
        <v>10</v>
      </c>
      <c r="AE4267">
        <v>0</v>
      </c>
      <c r="AF4267">
        <v>3</v>
      </c>
      <c r="AG4267">
        <v>2</v>
      </c>
      <c r="AH4267">
        <v>0</v>
      </c>
      <c r="AI4267" t="s">
        <v>2383</v>
      </c>
      <c r="AJ4267">
        <v>40.166294999999998</v>
      </c>
      <c r="AK4267" t="s">
        <v>2384</v>
      </c>
      <c r="AL4267">
        <v>-93.163269</v>
      </c>
      <c r="AM4267">
        <v>100</v>
      </c>
      <c r="AN4267">
        <v>1300</v>
      </c>
      <c r="AO4267" t="s">
        <v>118</v>
      </c>
      <c r="AP4267">
        <v>-122</v>
      </c>
      <c r="AQ4267">
        <v>46</v>
      </c>
      <c r="AR4267">
        <v>64</v>
      </c>
      <c r="AZ4267">
        <v>1200</v>
      </c>
      <c r="BA4267">
        <v>1</v>
      </c>
      <c r="BB4267" t="str">
        <f t="shared" si="210"/>
        <v xml:space="preserve">N8080G  </v>
      </c>
      <c r="BC4267">
        <v>1</v>
      </c>
      <c r="BE4267">
        <v>0</v>
      </c>
      <c r="BF4267">
        <v>0</v>
      </c>
      <c r="BG4267">
        <v>0</v>
      </c>
      <c r="BH4267">
        <v>1350</v>
      </c>
      <c r="BI4267">
        <v>1</v>
      </c>
      <c r="BJ4267">
        <v>1</v>
      </c>
      <c r="BK4267">
        <v>1</v>
      </c>
      <c r="BL4267">
        <v>0</v>
      </c>
      <c r="BO4267">
        <v>0</v>
      </c>
      <c r="BP4267">
        <v>0</v>
      </c>
      <c r="BW4267" t="str">
        <f>"20:38:05.373"</f>
        <v>20:38:05.373</v>
      </c>
      <c r="BZ4267">
        <v>0</v>
      </c>
      <c r="CA4267">
        <v>1600</v>
      </c>
      <c r="CB4267">
        <v>224</v>
      </c>
      <c r="CD4267">
        <v>1</v>
      </c>
      <c r="CE4267">
        <v>0</v>
      </c>
      <c r="CF4267">
        <v>0</v>
      </c>
      <c r="CG4267">
        <v>1</v>
      </c>
      <c r="CH4267">
        <v>0</v>
      </c>
      <c r="CI4267">
        <v>0</v>
      </c>
      <c r="CJ4267">
        <v>0</v>
      </c>
      <c r="CK4267">
        <v>2</v>
      </c>
      <c r="CL4267">
        <v>0</v>
      </c>
      <c r="CM4267">
        <v>2</v>
      </c>
      <c r="CN4267">
        <v>0</v>
      </c>
      <c r="CO4267">
        <v>5</v>
      </c>
      <c r="CP4267" t="s">
        <v>119</v>
      </c>
      <c r="CQ4267">
        <v>180</v>
      </c>
      <c r="CR4267">
        <v>3</v>
      </c>
      <c r="CW4267">
        <v>1384150</v>
      </c>
      <c r="CY4267">
        <v>0</v>
      </c>
      <c r="CZ4267">
        <v>0</v>
      </c>
      <c r="DA4267">
        <v>0</v>
      </c>
      <c r="DB4267">
        <v>0</v>
      </c>
      <c r="DC4267">
        <v>0</v>
      </c>
      <c r="DD4267">
        <v>0</v>
      </c>
      <c r="DE4267">
        <v>0</v>
      </c>
      <c r="DF4267">
        <v>0</v>
      </c>
      <c r="DG4267">
        <v>0</v>
      </c>
      <c r="DH4267">
        <v>0</v>
      </c>
      <c r="DI4267">
        <v>0</v>
      </c>
    </row>
    <row r="4268" spans="1:113" x14ac:dyDescent="0.3">
      <c r="A4268" t="str">
        <f>"02/08/2021 20:38:03.034"</f>
        <v>02/08/2021 20:38:03.034</v>
      </c>
      <c r="C4268" t="str">
        <f t="shared" si="212"/>
        <v>FFDFD7C0</v>
      </c>
      <c r="D4268" t="s">
        <v>124</v>
      </c>
      <c r="E4268">
        <v>11</v>
      </c>
      <c r="F4268">
        <v>1011</v>
      </c>
      <c r="G4268" t="s">
        <v>590</v>
      </c>
      <c r="J4268" t="s">
        <v>125</v>
      </c>
      <c r="K4268">
        <v>0</v>
      </c>
      <c r="L4268">
        <v>3</v>
      </c>
      <c r="M4268">
        <v>0</v>
      </c>
      <c r="N4268">
        <v>2</v>
      </c>
      <c r="O4268">
        <v>1</v>
      </c>
      <c r="P4268">
        <v>0</v>
      </c>
      <c r="Q4268">
        <v>0</v>
      </c>
      <c r="S4268" t="str">
        <f>"20:38:05.367"</f>
        <v>20:38:05.367</v>
      </c>
      <c r="T4268" t="str">
        <f>"20:38:04.867"</f>
        <v>20:38:04.867</v>
      </c>
      <c r="U4268" t="str">
        <f t="shared" si="211"/>
        <v>AB01F4</v>
      </c>
      <c r="V4268">
        <v>0</v>
      </c>
      <c r="W4268">
        <v>0</v>
      </c>
      <c r="X4268">
        <v>2</v>
      </c>
      <c r="Z4268">
        <v>0</v>
      </c>
      <c r="AA4268">
        <v>9</v>
      </c>
      <c r="AB4268">
        <v>3</v>
      </c>
      <c r="AC4268">
        <v>0</v>
      </c>
      <c r="AD4268">
        <v>10</v>
      </c>
      <c r="AE4268">
        <v>0</v>
      </c>
      <c r="AF4268">
        <v>3</v>
      </c>
      <c r="AG4268">
        <v>2</v>
      </c>
      <c r="AH4268">
        <v>0</v>
      </c>
      <c r="AI4268" t="s">
        <v>2383</v>
      </c>
      <c r="AJ4268">
        <v>40.166294999999998</v>
      </c>
      <c r="AK4268" t="s">
        <v>2384</v>
      </c>
      <c r="AL4268">
        <v>-93.163269</v>
      </c>
      <c r="AM4268">
        <v>100</v>
      </c>
      <c r="AN4268">
        <v>1300</v>
      </c>
      <c r="AO4268" t="s">
        <v>118</v>
      </c>
      <c r="AP4268">
        <v>-122</v>
      </c>
      <c r="AQ4268">
        <v>46</v>
      </c>
      <c r="AR4268">
        <v>64</v>
      </c>
      <c r="AZ4268">
        <v>1200</v>
      </c>
      <c r="BA4268">
        <v>1</v>
      </c>
      <c r="BB4268" t="str">
        <f t="shared" si="210"/>
        <v xml:space="preserve">N8080G  </v>
      </c>
      <c r="BC4268">
        <v>1</v>
      </c>
      <c r="BE4268">
        <v>0</v>
      </c>
      <c r="BF4268">
        <v>0</v>
      </c>
      <c r="BG4268">
        <v>0</v>
      </c>
      <c r="BH4268">
        <v>1350</v>
      </c>
      <c r="BI4268">
        <v>1</v>
      </c>
      <c r="BJ4268">
        <v>1</v>
      </c>
      <c r="BK4268">
        <v>1</v>
      </c>
      <c r="BL4268">
        <v>0</v>
      </c>
      <c r="BO4268">
        <v>0</v>
      </c>
      <c r="BP4268">
        <v>0</v>
      </c>
      <c r="BW4268" t="str">
        <f>"20:38:05.373"</f>
        <v>20:38:05.373</v>
      </c>
      <c r="BZ4268">
        <v>0</v>
      </c>
      <c r="CA4268">
        <v>1600</v>
      </c>
      <c r="CB4268">
        <v>224</v>
      </c>
      <c r="CD4268">
        <v>1</v>
      </c>
      <c r="CE4268">
        <v>0</v>
      </c>
      <c r="CF4268">
        <v>0</v>
      </c>
      <c r="CG4268">
        <v>1</v>
      </c>
      <c r="CH4268">
        <v>0</v>
      </c>
      <c r="CI4268">
        <v>0</v>
      </c>
      <c r="CJ4268">
        <v>0</v>
      </c>
      <c r="CK4268">
        <v>2</v>
      </c>
      <c r="CL4268">
        <v>0</v>
      </c>
      <c r="CM4268">
        <v>2</v>
      </c>
      <c r="CN4268">
        <v>0</v>
      </c>
      <c r="CO4268">
        <v>5</v>
      </c>
      <c r="CP4268" t="s">
        <v>119</v>
      </c>
      <c r="CQ4268">
        <v>180</v>
      </c>
      <c r="CR4268">
        <v>3</v>
      </c>
      <c r="CW4268">
        <v>1384150</v>
      </c>
      <c r="CY4268">
        <v>0</v>
      </c>
      <c r="CZ4268">
        <v>0</v>
      </c>
      <c r="DA4268">
        <v>1</v>
      </c>
      <c r="DB4268">
        <v>0</v>
      </c>
      <c r="DC4268">
        <v>0</v>
      </c>
      <c r="DD4268">
        <v>0</v>
      </c>
      <c r="DE4268">
        <v>0</v>
      </c>
      <c r="DF4268">
        <v>0</v>
      </c>
      <c r="DG4268">
        <v>0</v>
      </c>
      <c r="DH4268">
        <v>0</v>
      </c>
      <c r="DI4268">
        <v>0</v>
      </c>
    </row>
    <row r="4269" spans="1:113" x14ac:dyDescent="0.3">
      <c r="A4269" t="str">
        <f>"02/08/2021 20:38:03.034"</f>
        <v>02/08/2021 20:38:03.034</v>
      </c>
      <c r="C4269" t="str">
        <f t="shared" si="212"/>
        <v>FFDFD7C0</v>
      </c>
      <c r="D4269" t="s">
        <v>124</v>
      </c>
      <c r="E4269">
        <v>13</v>
      </c>
      <c r="F4269">
        <v>1013</v>
      </c>
      <c r="G4269" t="s">
        <v>114</v>
      </c>
      <c r="J4269" t="s">
        <v>125</v>
      </c>
      <c r="K4269">
        <v>0</v>
      </c>
      <c r="L4269">
        <v>3</v>
      </c>
      <c r="M4269">
        <v>0</v>
      </c>
      <c r="N4269">
        <v>2</v>
      </c>
      <c r="O4269">
        <v>1</v>
      </c>
      <c r="P4269">
        <v>0</v>
      </c>
      <c r="Q4269">
        <v>0</v>
      </c>
      <c r="S4269" t="str">
        <f>"20:38:05.367"</f>
        <v>20:38:05.367</v>
      </c>
      <c r="T4269" t="str">
        <f>"20:38:04.867"</f>
        <v>20:38:04.867</v>
      </c>
      <c r="U4269" t="str">
        <f t="shared" si="211"/>
        <v>AB01F4</v>
      </c>
      <c r="V4269">
        <v>0</v>
      </c>
      <c r="W4269">
        <v>0</v>
      </c>
      <c r="X4269">
        <v>2</v>
      </c>
      <c r="Z4269">
        <v>0</v>
      </c>
      <c r="AA4269">
        <v>9</v>
      </c>
      <c r="AB4269">
        <v>3</v>
      </c>
      <c r="AC4269">
        <v>0</v>
      </c>
      <c r="AD4269">
        <v>10</v>
      </c>
      <c r="AE4269">
        <v>0</v>
      </c>
      <c r="AF4269">
        <v>3</v>
      </c>
      <c r="AG4269">
        <v>2</v>
      </c>
      <c r="AH4269">
        <v>0</v>
      </c>
      <c r="AI4269" t="s">
        <v>2383</v>
      </c>
      <c r="AJ4269">
        <v>40.166294999999998</v>
      </c>
      <c r="AK4269" t="s">
        <v>2384</v>
      </c>
      <c r="AL4269">
        <v>-93.163269</v>
      </c>
      <c r="AM4269">
        <v>100</v>
      </c>
      <c r="AN4269">
        <v>1300</v>
      </c>
      <c r="AO4269" t="s">
        <v>118</v>
      </c>
      <c r="AP4269">
        <v>-122</v>
      </c>
      <c r="AQ4269">
        <v>46</v>
      </c>
      <c r="AR4269">
        <v>64</v>
      </c>
      <c r="AZ4269">
        <v>1200</v>
      </c>
      <c r="BA4269">
        <v>1</v>
      </c>
      <c r="BB4269" t="str">
        <f t="shared" si="210"/>
        <v xml:space="preserve">N8080G  </v>
      </c>
      <c r="BC4269">
        <v>1</v>
      </c>
      <c r="BE4269">
        <v>0</v>
      </c>
      <c r="BF4269">
        <v>0</v>
      </c>
      <c r="BG4269">
        <v>0</v>
      </c>
      <c r="BH4269">
        <v>1350</v>
      </c>
      <c r="BI4269">
        <v>1</v>
      </c>
      <c r="BJ4269">
        <v>1</v>
      </c>
      <c r="BK4269">
        <v>1</v>
      </c>
      <c r="BL4269">
        <v>0</v>
      </c>
      <c r="BO4269">
        <v>0</v>
      </c>
      <c r="BP4269">
        <v>0</v>
      </c>
      <c r="BW4269" t="str">
        <f>"20:38:05.373"</f>
        <v>20:38:05.373</v>
      </c>
      <c r="BZ4269">
        <v>0</v>
      </c>
      <c r="CA4269">
        <v>1600</v>
      </c>
      <c r="CB4269">
        <v>224</v>
      </c>
      <c r="CD4269">
        <v>1</v>
      </c>
      <c r="CE4269">
        <v>0</v>
      </c>
      <c r="CF4269">
        <v>0</v>
      </c>
      <c r="CG4269">
        <v>1</v>
      </c>
      <c r="CH4269">
        <v>0</v>
      </c>
      <c r="CI4269">
        <v>0</v>
      </c>
      <c r="CJ4269">
        <v>0</v>
      </c>
      <c r="CK4269">
        <v>2</v>
      </c>
      <c r="CL4269">
        <v>0</v>
      </c>
      <c r="CM4269">
        <v>2</v>
      </c>
      <c r="CN4269">
        <v>0</v>
      </c>
      <c r="CO4269">
        <v>5</v>
      </c>
      <c r="CP4269" t="s">
        <v>119</v>
      </c>
      <c r="CQ4269">
        <v>180</v>
      </c>
      <c r="CR4269">
        <v>3</v>
      </c>
      <c r="CW4269">
        <v>1384150</v>
      </c>
      <c r="CY4269">
        <v>0</v>
      </c>
      <c r="CZ4269">
        <v>0</v>
      </c>
      <c r="DA4269">
        <v>1</v>
      </c>
      <c r="DB4269">
        <v>0</v>
      </c>
      <c r="DC4269">
        <v>0</v>
      </c>
      <c r="DD4269">
        <v>0</v>
      </c>
      <c r="DE4269">
        <v>0</v>
      </c>
      <c r="DF4269">
        <v>0</v>
      </c>
      <c r="DG4269">
        <v>0</v>
      </c>
      <c r="DH4269">
        <v>0</v>
      </c>
      <c r="DI4269">
        <v>0</v>
      </c>
    </row>
    <row r="4270" spans="1:113" x14ac:dyDescent="0.3">
      <c r="A4270" t="str">
        <f>"02/08/2021 20:38:03.034"</f>
        <v>02/08/2021 20:38:03.034</v>
      </c>
      <c r="C4270" t="str">
        <f t="shared" si="212"/>
        <v>FFDFD7C0</v>
      </c>
      <c r="D4270" t="s">
        <v>124</v>
      </c>
      <c r="E4270">
        <v>12</v>
      </c>
      <c r="F4270">
        <v>1012</v>
      </c>
      <c r="G4270" t="s">
        <v>675</v>
      </c>
      <c r="J4270" t="s">
        <v>125</v>
      </c>
      <c r="K4270">
        <v>0</v>
      </c>
      <c r="L4270">
        <v>3</v>
      </c>
      <c r="M4270">
        <v>0</v>
      </c>
      <c r="N4270">
        <v>2</v>
      </c>
      <c r="O4270">
        <v>1</v>
      </c>
      <c r="P4270">
        <v>0</v>
      </c>
      <c r="Q4270">
        <v>0</v>
      </c>
      <c r="S4270" t="str">
        <f>"20:38:05.367"</f>
        <v>20:38:05.367</v>
      </c>
      <c r="T4270" t="str">
        <f>"20:38:04.867"</f>
        <v>20:38:04.867</v>
      </c>
      <c r="U4270" t="str">
        <f t="shared" si="211"/>
        <v>AB01F4</v>
      </c>
      <c r="V4270">
        <v>0</v>
      </c>
      <c r="W4270">
        <v>0</v>
      </c>
      <c r="X4270">
        <v>2</v>
      </c>
      <c r="Z4270">
        <v>0</v>
      </c>
      <c r="AA4270">
        <v>9</v>
      </c>
      <c r="AB4270">
        <v>3</v>
      </c>
      <c r="AC4270">
        <v>0</v>
      </c>
      <c r="AD4270">
        <v>10</v>
      </c>
      <c r="AE4270">
        <v>0</v>
      </c>
      <c r="AF4270">
        <v>3</v>
      </c>
      <c r="AG4270">
        <v>2</v>
      </c>
      <c r="AH4270">
        <v>0</v>
      </c>
      <c r="AI4270" t="s">
        <v>2383</v>
      </c>
      <c r="AJ4270">
        <v>40.166294999999998</v>
      </c>
      <c r="AK4270" t="s">
        <v>2384</v>
      </c>
      <c r="AL4270">
        <v>-93.163269</v>
      </c>
      <c r="AM4270">
        <v>100</v>
      </c>
      <c r="AN4270">
        <v>1300</v>
      </c>
      <c r="AO4270" t="s">
        <v>118</v>
      </c>
      <c r="AP4270">
        <v>-122</v>
      </c>
      <c r="AQ4270">
        <v>46</v>
      </c>
      <c r="AR4270">
        <v>64</v>
      </c>
      <c r="AZ4270">
        <v>1200</v>
      </c>
      <c r="BA4270">
        <v>1</v>
      </c>
      <c r="BB4270" t="str">
        <f t="shared" si="210"/>
        <v xml:space="preserve">N8080G  </v>
      </c>
      <c r="BC4270">
        <v>1</v>
      </c>
      <c r="BE4270">
        <v>0</v>
      </c>
      <c r="BF4270">
        <v>0</v>
      </c>
      <c r="BG4270">
        <v>0</v>
      </c>
      <c r="BH4270">
        <v>1350</v>
      </c>
      <c r="BI4270">
        <v>1</v>
      </c>
      <c r="BJ4270">
        <v>1</v>
      </c>
      <c r="BK4270">
        <v>1</v>
      </c>
      <c r="BL4270">
        <v>0</v>
      </c>
      <c r="BO4270">
        <v>0</v>
      </c>
      <c r="BP4270">
        <v>0</v>
      </c>
      <c r="BW4270" t="str">
        <f>"20:38:05.373"</f>
        <v>20:38:05.373</v>
      </c>
      <c r="BZ4270">
        <v>0</v>
      </c>
      <c r="CA4270">
        <v>1600</v>
      </c>
      <c r="CB4270">
        <v>224</v>
      </c>
      <c r="CD4270">
        <v>1</v>
      </c>
      <c r="CE4270">
        <v>0</v>
      </c>
      <c r="CF4270">
        <v>0</v>
      </c>
      <c r="CG4270">
        <v>1</v>
      </c>
      <c r="CH4270">
        <v>0</v>
      </c>
      <c r="CI4270">
        <v>0</v>
      </c>
      <c r="CJ4270">
        <v>0</v>
      </c>
      <c r="CK4270">
        <v>2</v>
      </c>
      <c r="CL4270">
        <v>0</v>
      </c>
      <c r="CM4270">
        <v>2</v>
      </c>
      <c r="CN4270">
        <v>0</v>
      </c>
      <c r="CO4270">
        <v>5</v>
      </c>
      <c r="CP4270" t="s">
        <v>119</v>
      </c>
      <c r="CQ4270">
        <v>180</v>
      </c>
      <c r="CR4270">
        <v>3</v>
      </c>
      <c r="CW4270">
        <v>1384150</v>
      </c>
      <c r="CY4270">
        <v>0</v>
      </c>
      <c r="CZ4270">
        <v>0</v>
      </c>
      <c r="DA4270">
        <v>1</v>
      </c>
      <c r="DB4270">
        <v>0</v>
      </c>
      <c r="DC4270">
        <v>0</v>
      </c>
      <c r="DD4270">
        <v>0</v>
      </c>
      <c r="DE4270">
        <v>0</v>
      </c>
      <c r="DF4270">
        <v>0</v>
      </c>
      <c r="DG4270">
        <v>0</v>
      </c>
      <c r="DH4270">
        <v>0</v>
      </c>
      <c r="DI4270">
        <v>0</v>
      </c>
    </row>
    <row r="4271" spans="1:113" x14ac:dyDescent="0.3">
      <c r="A4271" t="str">
        <f>"02/08/2021 20:38:04.066"</f>
        <v>02/08/2021 20:38:04.066</v>
      </c>
      <c r="C4271" t="str">
        <f t="shared" si="212"/>
        <v>FFDFD7C0</v>
      </c>
      <c r="D4271" t="s">
        <v>124</v>
      </c>
      <c r="E4271">
        <v>13</v>
      </c>
      <c r="F4271">
        <v>1013</v>
      </c>
      <c r="G4271" t="s">
        <v>114</v>
      </c>
      <c r="J4271" t="s">
        <v>125</v>
      </c>
      <c r="K4271">
        <v>0</v>
      </c>
      <c r="L4271">
        <v>3</v>
      </c>
      <c r="M4271">
        <v>0</v>
      </c>
      <c r="N4271">
        <v>2</v>
      </c>
      <c r="O4271">
        <v>1</v>
      </c>
      <c r="P4271">
        <v>0</v>
      </c>
      <c r="Q4271">
        <v>0</v>
      </c>
      <c r="S4271" t="str">
        <f>"20:38:06.383"</f>
        <v>20:38:06.383</v>
      </c>
      <c r="T4271" t="str">
        <f>"20:38:05.883"</f>
        <v>20:38:05.883</v>
      </c>
      <c r="U4271" t="str">
        <f t="shared" si="211"/>
        <v>AB01F4</v>
      </c>
      <c r="V4271">
        <v>0</v>
      </c>
      <c r="W4271">
        <v>0</v>
      </c>
      <c r="X4271">
        <v>2</v>
      </c>
      <c r="Z4271">
        <v>0</v>
      </c>
      <c r="AA4271">
        <v>9</v>
      </c>
      <c r="AB4271">
        <v>3</v>
      </c>
      <c r="AC4271">
        <v>0</v>
      </c>
      <c r="AD4271">
        <v>10</v>
      </c>
      <c r="AE4271">
        <v>0</v>
      </c>
      <c r="AF4271">
        <v>3</v>
      </c>
      <c r="AG4271">
        <v>2</v>
      </c>
      <c r="AH4271">
        <v>0</v>
      </c>
      <c r="AI4271" t="s">
        <v>2385</v>
      </c>
      <c r="AJ4271">
        <v>40.166466</v>
      </c>
      <c r="AK4271" t="s">
        <v>2386</v>
      </c>
      <c r="AL4271">
        <v>-93.163998000000007</v>
      </c>
      <c r="AM4271">
        <v>100</v>
      </c>
      <c r="AN4271">
        <v>1300</v>
      </c>
      <c r="AO4271" t="s">
        <v>118</v>
      </c>
      <c r="AP4271">
        <v>-125</v>
      </c>
      <c r="AQ4271">
        <v>39</v>
      </c>
      <c r="AR4271">
        <v>0</v>
      </c>
      <c r="AZ4271">
        <v>1200</v>
      </c>
      <c r="BA4271">
        <v>1</v>
      </c>
      <c r="BB4271" t="str">
        <f t="shared" ref="BB4271:BB4334" si="213">"N8080G  "</f>
        <v xml:space="preserve">N8080G  </v>
      </c>
      <c r="BC4271">
        <v>1</v>
      </c>
      <c r="BE4271">
        <v>0</v>
      </c>
      <c r="BF4271">
        <v>0</v>
      </c>
      <c r="BG4271">
        <v>0</v>
      </c>
      <c r="BH4271">
        <v>1350</v>
      </c>
      <c r="BI4271">
        <v>1</v>
      </c>
      <c r="BJ4271">
        <v>1</v>
      </c>
      <c r="BK4271">
        <v>1</v>
      </c>
      <c r="BL4271">
        <v>0</v>
      </c>
      <c r="BO4271">
        <v>0</v>
      </c>
      <c r="BP4271">
        <v>0</v>
      </c>
      <c r="BW4271" t="str">
        <f>"20:38:06.390"</f>
        <v>20:38:06.390</v>
      </c>
      <c r="BZ4271">
        <v>0</v>
      </c>
      <c r="CA4271">
        <v>1600</v>
      </c>
      <c r="CB4271">
        <v>224</v>
      </c>
      <c r="CD4271">
        <v>1</v>
      </c>
      <c r="CE4271">
        <v>0</v>
      </c>
      <c r="CF4271">
        <v>0</v>
      </c>
      <c r="CG4271">
        <v>1</v>
      </c>
      <c r="CH4271">
        <v>0</v>
      </c>
      <c r="CI4271">
        <v>0</v>
      </c>
      <c r="CJ4271">
        <v>0</v>
      </c>
      <c r="CK4271">
        <v>2</v>
      </c>
      <c r="CL4271">
        <v>0</v>
      </c>
      <c r="CM4271">
        <v>2</v>
      </c>
      <c r="CN4271">
        <v>0</v>
      </c>
      <c r="CO4271">
        <v>5</v>
      </c>
      <c r="CP4271" t="s">
        <v>119</v>
      </c>
      <c r="CQ4271">
        <v>180</v>
      </c>
      <c r="CR4271">
        <v>3</v>
      </c>
      <c r="CW4271">
        <v>1384946</v>
      </c>
      <c r="CY4271">
        <v>0</v>
      </c>
      <c r="CZ4271">
        <v>0</v>
      </c>
      <c r="DA4271">
        <v>0</v>
      </c>
      <c r="DB4271">
        <v>0</v>
      </c>
      <c r="DC4271">
        <v>0</v>
      </c>
      <c r="DD4271">
        <v>0</v>
      </c>
      <c r="DE4271">
        <v>0</v>
      </c>
      <c r="DF4271">
        <v>0</v>
      </c>
      <c r="DG4271">
        <v>0</v>
      </c>
      <c r="DH4271">
        <v>0</v>
      </c>
      <c r="DI4271">
        <v>0</v>
      </c>
    </row>
    <row r="4272" spans="1:113" x14ac:dyDescent="0.3">
      <c r="A4272" t="str">
        <f>"02/08/2021 20:38:04.066"</f>
        <v>02/08/2021 20:38:04.066</v>
      </c>
      <c r="C4272" t="str">
        <f t="shared" si="212"/>
        <v>FFDFD7C0</v>
      </c>
      <c r="D4272" t="s">
        <v>124</v>
      </c>
      <c r="E4272">
        <v>12</v>
      </c>
      <c r="F4272">
        <v>1012</v>
      </c>
      <c r="G4272" t="s">
        <v>675</v>
      </c>
      <c r="J4272" t="s">
        <v>125</v>
      </c>
      <c r="K4272">
        <v>0</v>
      </c>
      <c r="L4272">
        <v>3</v>
      </c>
      <c r="M4272">
        <v>0</v>
      </c>
      <c r="N4272">
        <v>2</v>
      </c>
      <c r="O4272">
        <v>1</v>
      </c>
      <c r="P4272">
        <v>0</v>
      </c>
      <c r="Q4272">
        <v>0</v>
      </c>
      <c r="S4272" t="str">
        <f>"20:38:06.383"</f>
        <v>20:38:06.383</v>
      </c>
      <c r="T4272" t="str">
        <f>"20:38:05.883"</f>
        <v>20:38:05.883</v>
      </c>
      <c r="U4272" t="str">
        <f t="shared" si="211"/>
        <v>AB01F4</v>
      </c>
      <c r="V4272">
        <v>0</v>
      </c>
      <c r="W4272">
        <v>0</v>
      </c>
      <c r="X4272">
        <v>2</v>
      </c>
      <c r="Z4272">
        <v>0</v>
      </c>
      <c r="AA4272">
        <v>9</v>
      </c>
      <c r="AB4272">
        <v>3</v>
      </c>
      <c r="AC4272">
        <v>0</v>
      </c>
      <c r="AD4272">
        <v>10</v>
      </c>
      <c r="AE4272">
        <v>0</v>
      </c>
      <c r="AF4272">
        <v>3</v>
      </c>
      <c r="AG4272">
        <v>2</v>
      </c>
      <c r="AH4272">
        <v>0</v>
      </c>
      <c r="AI4272" t="s">
        <v>2385</v>
      </c>
      <c r="AJ4272">
        <v>40.166466</v>
      </c>
      <c r="AK4272" t="s">
        <v>2386</v>
      </c>
      <c r="AL4272">
        <v>-93.163998000000007</v>
      </c>
      <c r="AM4272">
        <v>100</v>
      </c>
      <c r="AN4272">
        <v>1300</v>
      </c>
      <c r="AO4272" t="s">
        <v>118</v>
      </c>
      <c r="AP4272">
        <v>-125</v>
      </c>
      <c r="AQ4272">
        <v>39</v>
      </c>
      <c r="AR4272">
        <v>0</v>
      </c>
      <c r="AZ4272">
        <v>1200</v>
      </c>
      <c r="BA4272">
        <v>1</v>
      </c>
      <c r="BB4272" t="str">
        <f t="shared" si="213"/>
        <v xml:space="preserve">N8080G  </v>
      </c>
      <c r="BC4272">
        <v>1</v>
      </c>
      <c r="BE4272">
        <v>0</v>
      </c>
      <c r="BF4272">
        <v>0</v>
      </c>
      <c r="BG4272">
        <v>0</v>
      </c>
      <c r="BH4272">
        <v>1350</v>
      </c>
      <c r="BI4272">
        <v>1</v>
      </c>
      <c r="BJ4272">
        <v>1</v>
      </c>
      <c r="BK4272">
        <v>1</v>
      </c>
      <c r="BL4272">
        <v>0</v>
      </c>
      <c r="BO4272">
        <v>0</v>
      </c>
      <c r="BP4272">
        <v>0</v>
      </c>
      <c r="BW4272" t="str">
        <f>"20:38:06.390"</f>
        <v>20:38:06.390</v>
      </c>
      <c r="BZ4272">
        <v>0</v>
      </c>
      <c r="CA4272">
        <v>1600</v>
      </c>
      <c r="CB4272">
        <v>224</v>
      </c>
      <c r="CD4272">
        <v>1</v>
      </c>
      <c r="CE4272">
        <v>0</v>
      </c>
      <c r="CF4272">
        <v>0</v>
      </c>
      <c r="CG4272">
        <v>1</v>
      </c>
      <c r="CH4272">
        <v>0</v>
      </c>
      <c r="CI4272">
        <v>0</v>
      </c>
      <c r="CJ4272">
        <v>0</v>
      </c>
      <c r="CK4272">
        <v>2</v>
      </c>
      <c r="CL4272">
        <v>0</v>
      </c>
      <c r="CM4272">
        <v>2</v>
      </c>
      <c r="CN4272">
        <v>0</v>
      </c>
      <c r="CO4272">
        <v>5</v>
      </c>
      <c r="CP4272" t="s">
        <v>119</v>
      </c>
      <c r="CQ4272">
        <v>180</v>
      </c>
      <c r="CR4272">
        <v>3</v>
      </c>
      <c r="CW4272">
        <v>1384946</v>
      </c>
      <c r="CY4272">
        <v>0</v>
      </c>
      <c r="CZ4272">
        <v>0</v>
      </c>
      <c r="DA4272">
        <v>1</v>
      </c>
      <c r="DB4272">
        <v>0</v>
      </c>
      <c r="DC4272">
        <v>0</v>
      </c>
      <c r="DD4272">
        <v>0</v>
      </c>
      <c r="DE4272">
        <v>0</v>
      </c>
      <c r="DF4272">
        <v>0</v>
      </c>
      <c r="DG4272">
        <v>0</v>
      </c>
      <c r="DH4272">
        <v>0</v>
      </c>
      <c r="DI4272">
        <v>0</v>
      </c>
    </row>
    <row r="4273" spans="1:113" x14ac:dyDescent="0.3">
      <c r="A4273" t="str">
        <f>"02/08/2021 20:38:04.066"</f>
        <v>02/08/2021 20:38:04.066</v>
      </c>
      <c r="C4273" t="str">
        <f t="shared" si="212"/>
        <v>FFDFD7C0</v>
      </c>
      <c r="D4273" t="s">
        <v>113</v>
      </c>
      <c r="E4273">
        <v>6</v>
      </c>
      <c r="H4273">
        <v>165</v>
      </c>
      <c r="I4273" t="s">
        <v>114</v>
      </c>
      <c r="J4273" t="s">
        <v>115</v>
      </c>
      <c r="K4273">
        <v>0</v>
      </c>
      <c r="L4273">
        <v>3</v>
      </c>
      <c r="M4273">
        <v>0</v>
      </c>
      <c r="N4273">
        <v>2</v>
      </c>
      <c r="O4273">
        <v>1</v>
      </c>
      <c r="P4273">
        <v>0</v>
      </c>
      <c r="Q4273">
        <v>0</v>
      </c>
      <c r="S4273" t="str">
        <f>"20:38:06.383"</f>
        <v>20:38:06.383</v>
      </c>
      <c r="T4273" t="str">
        <f>"20:38:05.883"</f>
        <v>20:38:05.883</v>
      </c>
      <c r="U4273" t="str">
        <f t="shared" si="211"/>
        <v>AB01F4</v>
      </c>
      <c r="V4273">
        <v>0</v>
      </c>
      <c r="W4273">
        <v>0</v>
      </c>
      <c r="X4273">
        <v>2</v>
      </c>
      <c r="Z4273">
        <v>0</v>
      </c>
      <c r="AA4273">
        <v>9</v>
      </c>
      <c r="AB4273">
        <v>3</v>
      </c>
      <c r="AC4273">
        <v>0</v>
      </c>
      <c r="AD4273">
        <v>10</v>
      </c>
      <c r="AE4273">
        <v>0</v>
      </c>
      <c r="AF4273">
        <v>3</v>
      </c>
      <c r="AG4273">
        <v>2</v>
      </c>
      <c r="AH4273">
        <v>0</v>
      </c>
      <c r="AI4273" t="s">
        <v>2385</v>
      </c>
      <c r="AJ4273">
        <v>40.166466</v>
      </c>
      <c r="AK4273" t="s">
        <v>2386</v>
      </c>
      <c r="AL4273">
        <v>-93.163998000000007</v>
      </c>
      <c r="AM4273">
        <v>100</v>
      </c>
      <c r="AN4273">
        <v>1300</v>
      </c>
      <c r="AO4273" t="s">
        <v>118</v>
      </c>
      <c r="AP4273">
        <v>-125</v>
      </c>
      <c r="AQ4273">
        <v>39</v>
      </c>
      <c r="AR4273">
        <v>0</v>
      </c>
      <c r="AZ4273">
        <v>1200</v>
      </c>
      <c r="BA4273">
        <v>1</v>
      </c>
      <c r="BB4273" t="str">
        <f t="shared" si="213"/>
        <v xml:space="preserve">N8080G  </v>
      </c>
      <c r="BC4273">
        <v>1</v>
      </c>
      <c r="BE4273">
        <v>0</v>
      </c>
      <c r="BF4273">
        <v>0</v>
      </c>
      <c r="BG4273">
        <v>0</v>
      </c>
      <c r="BH4273">
        <v>1350</v>
      </c>
      <c r="BI4273">
        <v>1</v>
      </c>
      <c r="BJ4273">
        <v>1</v>
      </c>
      <c r="BK4273">
        <v>1</v>
      </c>
      <c r="BL4273">
        <v>0</v>
      </c>
      <c r="BO4273">
        <v>0</v>
      </c>
      <c r="BP4273">
        <v>0</v>
      </c>
      <c r="BW4273" t="str">
        <f>"20:38:06.390"</f>
        <v>20:38:06.390</v>
      </c>
      <c r="BZ4273">
        <v>0</v>
      </c>
      <c r="CA4273">
        <v>1600</v>
      </c>
      <c r="CB4273">
        <v>224</v>
      </c>
      <c r="CD4273">
        <v>1</v>
      </c>
      <c r="CE4273">
        <v>0</v>
      </c>
      <c r="CF4273">
        <v>0</v>
      </c>
      <c r="CG4273">
        <v>1</v>
      </c>
      <c r="CH4273">
        <v>0</v>
      </c>
      <c r="CI4273">
        <v>0</v>
      </c>
      <c r="CJ4273">
        <v>0</v>
      </c>
      <c r="CK4273">
        <v>2</v>
      </c>
      <c r="CL4273">
        <v>0</v>
      </c>
      <c r="CM4273">
        <v>2</v>
      </c>
      <c r="CN4273">
        <v>0</v>
      </c>
      <c r="CO4273">
        <v>5</v>
      </c>
      <c r="CP4273" t="s">
        <v>119</v>
      </c>
      <c r="CQ4273">
        <v>180</v>
      </c>
      <c r="CR4273">
        <v>3</v>
      </c>
      <c r="CW4273">
        <v>1384946</v>
      </c>
      <c r="CY4273">
        <v>0</v>
      </c>
      <c r="CZ4273">
        <v>0</v>
      </c>
      <c r="DA4273">
        <v>1</v>
      </c>
      <c r="DB4273">
        <v>0</v>
      </c>
      <c r="DC4273">
        <v>0</v>
      </c>
      <c r="DD4273">
        <v>0</v>
      </c>
      <c r="DE4273">
        <v>0</v>
      </c>
      <c r="DF4273">
        <v>0</v>
      </c>
      <c r="DG4273">
        <v>0</v>
      </c>
      <c r="DH4273">
        <v>0</v>
      </c>
      <c r="DI4273">
        <v>0</v>
      </c>
    </row>
    <row r="4274" spans="1:113" x14ac:dyDescent="0.3">
      <c r="A4274" t="str">
        <f>"02/08/2021 20:38:04.066"</f>
        <v>02/08/2021 20:38:04.066</v>
      </c>
      <c r="C4274" t="str">
        <f t="shared" si="212"/>
        <v>FFDFD7C0</v>
      </c>
      <c r="D4274" t="s">
        <v>124</v>
      </c>
      <c r="E4274">
        <v>11</v>
      </c>
      <c r="F4274">
        <v>1011</v>
      </c>
      <c r="G4274" t="s">
        <v>590</v>
      </c>
      <c r="J4274" t="s">
        <v>125</v>
      </c>
      <c r="K4274">
        <v>0</v>
      </c>
      <c r="L4274">
        <v>3</v>
      </c>
      <c r="M4274">
        <v>0</v>
      </c>
      <c r="N4274">
        <v>2</v>
      </c>
      <c r="O4274">
        <v>1</v>
      </c>
      <c r="P4274">
        <v>0</v>
      </c>
      <c r="Q4274">
        <v>0</v>
      </c>
      <c r="S4274" t="str">
        <f>"20:38:06.383"</f>
        <v>20:38:06.383</v>
      </c>
      <c r="T4274" t="str">
        <f>"20:38:05.883"</f>
        <v>20:38:05.883</v>
      </c>
      <c r="U4274" t="str">
        <f t="shared" si="211"/>
        <v>AB01F4</v>
      </c>
      <c r="V4274">
        <v>0</v>
      </c>
      <c r="W4274">
        <v>0</v>
      </c>
      <c r="X4274">
        <v>2</v>
      </c>
      <c r="Z4274">
        <v>0</v>
      </c>
      <c r="AA4274">
        <v>9</v>
      </c>
      <c r="AB4274">
        <v>3</v>
      </c>
      <c r="AC4274">
        <v>0</v>
      </c>
      <c r="AD4274">
        <v>10</v>
      </c>
      <c r="AE4274">
        <v>0</v>
      </c>
      <c r="AF4274">
        <v>3</v>
      </c>
      <c r="AG4274">
        <v>2</v>
      </c>
      <c r="AH4274">
        <v>0</v>
      </c>
      <c r="AI4274" t="s">
        <v>2385</v>
      </c>
      <c r="AJ4274">
        <v>40.166466</v>
      </c>
      <c r="AK4274" t="s">
        <v>2386</v>
      </c>
      <c r="AL4274">
        <v>-93.163998000000007</v>
      </c>
      <c r="AM4274">
        <v>100</v>
      </c>
      <c r="AN4274">
        <v>1300</v>
      </c>
      <c r="AO4274" t="s">
        <v>118</v>
      </c>
      <c r="AP4274">
        <v>-125</v>
      </c>
      <c r="AQ4274">
        <v>39</v>
      </c>
      <c r="AR4274">
        <v>0</v>
      </c>
      <c r="AZ4274">
        <v>1200</v>
      </c>
      <c r="BA4274">
        <v>1</v>
      </c>
      <c r="BB4274" t="str">
        <f t="shared" si="213"/>
        <v xml:space="preserve">N8080G  </v>
      </c>
      <c r="BC4274">
        <v>1</v>
      </c>
      <c r="BE4274">
        <v>0</v>
      </c>
      <c r="BF4274">
        <v>0</v>
      </c>
      <c r="BG4274">
        <v>0</v>
      </c>
      <c r="BH4274">
        <v>1350</v>
      </c>
      <c r="BI4274">
        <v>1</v>
      </c>
      <c r="BJ4274">
        <v>1</v>
      </c>
      <c r="BK4274">
        <v>1</v>
      </c>
      <c r="BL4274">
        <v>0</v>
      </c>
      <c r="BO4274">
        <v>0</v>
      </c>
      <c r="BP4274">
        <v>0</v>
      </c>
      <c r="BW4274" t="str">
        <f>"20:38:06.390"</f>
        <v>20:38:06.390</v>
      </c>
      <c r="BZ4274">
        <v>0</v>
      </c>
      <c r="CA4274">
        <v>1600</v>
      </c>
      <c r="CB4274">
        <v>224</v>
      </c>
      <c r="CD4274">
        <v>1</v>
      </c>
      <c r="CE4274">
        <v>0</v>
      </c>
      <c r="CF4274">
        <v>0</v>
      </c>
      <c r="CG4274">
        <v>1</v>
      </c>
      <c r="CH4274">
        <v>0</v>
      </c>
      <c r="CI4274">
        <v>0</v>
      </c>
      <c r="CJ4274">
        <v>0</v>
      </c>
      <c r="CK4274">
        <v>2</v>
      </c>
      <c r="CL4274">
        <v>0</v>
      </c>
      <c r="CM4274">
        <v>2</v>
      </c>
      <c r="CN4274">
        <v>0</v>
      </c>
      <c r="CO4274">
        <v>5</v>
      </c>
      <c r="CP4274" t="s">
        <v>119</v>
      </c>
      <c r="CQ4274">
        <v>180</v>
      </c>
      <c r="CR4274">
        <v>3</v>
      </c>
      <c r="CW4274">
        <v>1384946</v>
      </c>
      <c r="CY4274">
        <v>0</v>
      </c>
      <c r="CZ4274">
        <v>0</v>
      </c>
      <c r="DA4274">
        <v>1</v>
      </c>
      <c r="DB4274">
        <v>0</v>
      </c>
      <c r="DC4274">
        <v>0</v>
      </c>
      <c r="DD4274">
        <v>0</v>
      </c>
      <c r="DE4274">
        <v>0</v>
      </c>
      <c r="DF4274">
        <v>0</v>
      </c>
      <c r="DG4274">
        <v>0</v>
      </c>
      <c r="DH4274">
        <v>0</v>
      </c>
      <c r="DI4274">
        <v>0</v>
      </c>
    </row>
    <row r="4275" spans="1:113" x14ac:dyDescent="0.3">
      <c r="A4275" t="str">
        <f>"02/08/2021 20:38:04.951"</f>
        <v>02/08/2021 20:38:04.951</v>
      </c>
      <c r="C4275" t="str">
        <f t="shared" si="212"/>
        <v>FFDFD7C0</v>
      </c>
      <c r="D4275" t="s">
        <v>113</v>
      </c>
      <c r="E4275">
        <v>6</v>
      </c>
      <c r="H4275">
        <v>165</v>
      </c>
      <c r="I4275" t="s">
        <v>114</v>
      </c>
      <c r="J4275" t="s">
        <v>115</v>
      </c>
      <c r="K4275">
        <v>0</v>
      </c>
      <c r="L4275">
        <v>3</v>
      </c>
      <c r="M4275">
        <v>0</v>
      </c>
      <c r="N4275">
        <v>2</v>
      </c>
      <c r="O4275">
        <v>1</v>
      </c>
      <c r="P4275">
        <v>0</v>
      </c>
      <c r="Q4275">
        <v>0</v>
      </c>
      <c r="S4275" t="str">
        <f>"20:38:07.250"</f>
        <v>20:38:07.250</v>
      </c>
      <c r="T4275" t="str">
        <f>"20:38:06.850"</f>
        <v>20:38:06.850</v>
      </c>
      <c r="U4275" t="str">
        <f t="shared" si="211"/>
        <v>AB01F4</v>
      </c>
      <c r="V4275">
        <v>0</v>
      </c>
      <c r="W4275">
        <v>0</v>
      </c>
      <c r="X4275">
        <v>2</v>
      </c>
      <c r="Z4275">
        <v>0</v>
      </c>
      <c r="AA4275">
        <v>9</v>
      </c>
      <c r="AB4275">
        <v>3</v>
      </c>
      <c r="AC4275">
        <v>0</v>
      </c>
      <c r="AD4275">
        <v>10</v>
      </c>
      <c r="AE4275">
        <v>0</v>
      </c>
      <c r="AF4275">
        <v>3</v>
      </c>
      <c r="AG4275">
        <v>2</v>
      </c>
      <c r="AH4275">
        <v>0</v>
      </c>
      <c r="AI4275" t="s">
        <v>2387</v>
      </c>
      <c r="AJ4275">
        <v>40.166573999999997</v>
      </c>
      <c r="AK4275" t="s">
        <v>2388</v>
      </c>
      <c r="AL4275">
        <v>-93.164749</v>
      </c>
      <c r="AM4275">
        <v>100</v>
      </c>
      <c r="AN4275">
        <v>1300</v>
      </c>
      <c r="AO4275" t="s">
        <v>118</v>
      </c>
      <c r="AP4275">
        <v>-128</v>
      </c>
      <c r="AQ4275">
        <v>31</v>
      </c>
      <c r="AR4275">
        <v>64</v>
      </c>
      <c r="AZ4275">
        <v>1200</v>
      </c>
      <c r="BA4275">
        <v>1</v>
      </c>
      <c r="BB4275" t="str">
        <f t="shared" si="213"/>
        <v xml:space="preserve">N8080G  </v>
      </c>
      <c r="BC4275">
        <v>1</v>
      </c>
      <c r="BE4275">
        <v>0</v>
      </c>
      <c r="BF4275">
        <v>0</v>
      </c>
      <c r="BG4275">
        <v>0</v>
      </c>
      <c r="BH4275">
        <v>1325</v>
      </c>
      <c r="BI4275">
        <v>1</v>
      </c>
      <c r="BJ4275">
        <v>1</v>
      </c>
      <c r="BK4275">
        <v>1</v>
      </c>
      <c r="BL4275">
        <v>0</v>
      </c>
      <c r="BO4275">
        <v>0</v>
      </c>
      <c r="BP4275">
        <v>0</v>
      </c>
      <c r="BW4275" t="str">
        <f>"20:38:07.255"</f>
        <v>20:38:07.255</v>
      </c>
      <c r="BZ4275">
        <v>0</v>
      </c>
      <c r="CA4275">
        <v>1600</v>
      </c>
      <c r="CB4275">
        <v>224</v>
      </c>
      <c r="CD4275">
        <v>1</v>
      </c>
      <c r="CE4275">
        <v>0</v>
      </c>
      <c r="CF4275">
        <v>0</v>
      </c>
      <c r="CG4275">
        <v>1</v>
      </c>
      <c r="CH4275">
        <v>0</v>
      </c>
      <c r="CI4275">
        <v>0</v>
      </c>
      <c r="CJ4275">
        <v>0</v>
      </c>
      <c r="CK4275">
        <v>2</v>
      </c>
      <c r="CL4275">
        <v>0</v>
      </c>
      <c r="CM4275">
        <v>2</v>
      </c>
      <c r="CN4275">
        <v>0</v>
      </c>
      <c r="CO4275">
        <v>5</v>
      </c>
      <c r="CP4275" t="s">
        <v>119</v>
      </c>
      <c r="CQ4275">
        <v>180</v>
      </c>
      <c r="CR4275">
        <v>3</v>
      </c>
      <c r="CW4275">
        <v>1385584</v>
      </c>
      <c r="CY4275">
        <v>0</v>
      </c>
      <c r="CZ4275">
        <v>0</v>
      </c>
      <c r="DA4275">
        <v>0</v>
      </c>
      <c r="DB4275">
        <v>0</v>
      </c>
      <c r="DC4275">
        <v>0</v>
      </c>
      <c r="DD4275">
        <v>0</v>
      </c>
      <c r="DE4275">
        <v>0</v>
      </c>
      <c r="DF4275">
        <v>0</v>
      </c>
      <c r="DG4275">
        <v>0</v>
      </c>
      <c r="DH4275">
        <v>0</v>
      </c>
      <c r="DI4275">
        <v>0</v>
      </c>
    </row>
    <row r="4276" spans="1:113" x14ac:dyDescent="0.3">
      <c r="A4276" t="str">
        <f>"02/08/2021 20:38:04.951"</f>
        <v>02/08/2021 20:38:04.951</v>
      </c>
      <c r="C4276" t="str">
        <f t="shared" si="212"/>
        <v>FFDFD7C0</v>
      </c>
      <c r="D4276" t="s">
        <v>124</v>
      </c>
      <c r="E4276">
        <v>11</v>
      </c>
      <c r="F4276">
        <v>1011</v>
      </c>
      <c r="G4276" t="s">
        <v>590</v>
      </c>
      <c r="J4276" t="s">
        <v>125</v>
      </c>
      <c r="K4276">
        <v>0</v>
      </c>
      <c r="L4276">
        <v>3</v>
      </c>
      <c r="M4276">
        <v>0</v>
      </c>
      <c r="N4276">
        <v>2</v>
      </c>
      <c r="O4276">
        <v>1</v>
      </c>
      <c r="P4276">
        <v>0</v>
      </c>
      <c r="Q4276">
        <v>0</v>
      </c>
      <c r="S4276" t="str">
        <f>"20:38:07.250"</f>
        <v>20:38:07.250</v>
      </c>
      <c r="T4276" t="str">
        <f>"20:38:06.850"</f>
        <v>20:38:06.850</v>
      </c>
      <c r="U4276" t="str">
        <f t="shared" si="211"/>
        <v>AB01F4</v>
      </c>
      <c r="V4276">
        <v>0</v>
      </c>
      <c r="W4276">
        <v>0</v>
      </c>
      <c r="X4276">
        <v>2</v>
      </c>
      <c r="Z4276">
        <v>0</v>
      </c>
      <c r="AA4276">
        <v>9</v>
      </c>
      <c r="AB4276">
        <v>3</v>
      </c>
      <c r="AC4276">
        <v>0</v>
      </c>
      <c r="AD4276">
        <v>10</v>
      </c>
      <c r="AE4276">
        <v>0</v>
      </c>
      <c r="AF4276">
        <v>3</v>
      </c>
      <c r="AG4276">
        <v>2</v>
      </c>
      <c r="AH4276">
        <v>0</v>
      </c>
      <c r="AI4276" t="s">
        <v>2387</v>
      </c>
      <c r="AJ4276">
        <v>40.166573999999997</v>
      </c>
      <c r="AK4276" t="s">
        <v>2388</v>
      </c>
      <c r="AL4276">
        <v>-93.164749</v>
      </c>
      <c r="AM4276">
        <v>100</v>
      </c>
      <c r="AN4276">
        <v>1300</v>
      </c>
      <c r="AO4276" t="s">
        <v>118</v>
      </c>
      <c r="AP4276">
        <v>-128</v>
      </c>
      <c r="AQ4276">
        <v>31</v>
      </c>
      <c r="AR4276">
        <v>64</v>
      </c>
      <c r="AZ4276">
        <v>1200</v>
      </c>
      <c r="BA4276">
        <v>1</v>
      </c>
      <c r="BB4276" t="str">
        <f t="shared" si="213"/>
        <v xml:space="preserve">N8080G  </v>
      </c>
      <c r="BC4276">
        <v>1</v>
      </c>
      <c r="BE4276">
        <v>0</v>
      </c>
      <c r="BF4276">
        <v>0</v>
      </c>
      <c r="BG4276">
        <v>0</v>
      </c>
      <c r="BH4276">
        <v>1325</v>
      </c>
      <c r="BI4276">
        <v>1</v>
      </c>
      <c r="BJ4276">
        <v>1</v>
      </c>
      <c r="BK4276">
        <v>1</v>
      </c>
      <c r="BL4276">
        <v>0</v>
      </c>
      <c r="BO4276">
        <v>0</v>
      </c>
      <c r="BP4276">
        <v>0</v>
      </c>
      <c r="BW4276" t="str">
        <f>"20:38:07.255"</f>
        <v>20:38:07.255</v>
      </c>
      <c r="BZ4276">
        <v>0</v>
      </c>
      <c r="CA4276">
        <v>1600</v>
      </c>
      <c r="CB4276">
        <v>224</v>
      </c>
      <c r="CD4276">
        <v>1</v>
      </c>
      <c r="CE4276">
        <v>0</v>
      </c>
      <c r="CF4276">
        <v>0</v>
      </c>
      <c r="CG4276">
        <v>1</v>
      </c>
      <c r="CH4276">
        <v>0</v>
      </c>
      <c r="CI4276">
        <v>0</v>
      </c>
      <c r="CJ4276">
        <v>0</v>
      </c>
      <c r="CK4276">
        <v>2</v>
      </c>
      <c r="CL4276">
        <v>0</v>
      </c>
      <c r="CM4276">
        <v>2</v>
      </c>
      <c r="CN4276">
        <v>0</v>
      </c>
      <c r="CO4276">
        <v>5</v>
      </c>
      <c r="CP4276" t="s">
        <v>119</v>
      </c>
      <c r="CQ4276">
        <v>180</v>
      </c>
      <c r="CR4276">
        <v>3</v>
      </c>
      <c r="CW4276">
        <v>1385584</v>
      </c>
      <c r="CY4276">
        <v>0</v>
      </c>
      <c r="CZ4276">
        <v>0</v>
      </c>
      <c r="DA4276">
        <v>1</v>
      </c>
      <c r="DB4276">
        <v>0</v>
      </c>
      <c r="DC4276">
        <v>0</v>
      </c>
      <c r="DD4276">
        <v>0</v>
      </c>
      <c r="DE4276">
        <v>0</v>
      </c>
      <c r="DF4276">
        <v>0</v>
      </c>
      <c r="DG4276">
        <v>0</v>
      </c>
      <c r="DH4276">
        <v>0</v>
      </c>
      <c r="DI4276">
        <v>0</v>
      </c>
    </row>
    <row r="4277" spans="1:113" x14ac:dyDescent="0.3">
      <c r="A4277" t="str">
        <f>"02/08/2021 20:38:04.951"</f>
        <v>02/08/2021 20:38:04.951</v>
      </c>
      <c r="C4277" t="str">
        <f t="shared" si="212"/>
        <v>FFDFD7C0</v>
      </c>
      <c r="D4277" t="s">
        <v>124</v>
      </c>
      <c r="E4277">
        <v>13</v>
      </c>
      <c r="F4277">
        <v>1013</v>
      </c>
      <c r="G4277" t="s">
        <v>114</v>
      </c>
      <c r="J4277" t="s">
        <v>125</v>
      </c>
      <c r="K4277">
        <v>0</v>
      </c>
      <c r="L4277">
        <v>3</v>
      </c>
      <c r="M4277">
        <v>0</v>
      </c>
      <c r="N4277">
        <v>2</v>
      </c>
      <c r="O4277">
        <v>1</v>
      </c>
      <c r="P4277">
        <v>0</v>
      </c>
      <c r="Q4277">
        <v>0</v>
      </c>
      <c r="S4277" t="str">
        <f>"20:38:07.250"</f>
        <v>20:38:07.250</v>
      </c>
      <c r="T4277" t="str">
        <f>"20:38:06.850"</f>
        <v>20:38:06.850</v>
      </c>
      <c r="U4277" t="str">
        <f t="shared" si="211"/>
        <v>AB01F4</v>
      </c>
      <c r="V4277">
        <v>0</v>
      </c>
      <c r="W4277">
        <v>0</v>
      </c>
      <c r="X4277">
        <v>2</v>
      </c>
      <c r="Z4277">
        <v>0</v>
      </c>
      <c r="AA4277">
        <v>9</v>
      </c>
      <c r="AB4277">
        <v>3</v>
      </c>
      <c r="AC4277">
        <v>0</v>
      </c>
      <c r="AD4277">
        <v>10</v>
      </c>
      <c r="AE4277">
        <v>0</v>
      </c>
      <c r="AF4277">
        <v>3</v>
      </c>
      <c r="AG4277">
        <v>2</v>
      </c>
      <c r="AH4277">
        <v>0</v>
      </c>
      <c r="AI4277" t="s">
        <v>2387</v>
      </c>
      <c r="AJ4277">
        <v>40.166573999999997</v>
      </c>
      <c r="AK4277" t="s">
        <v>2388</v>
      </c>
      <c r="AL4277">
        <v>-93.164749</v>
      </c>
      <c r="AM4277">
        <v>100</v>
      </c>
      <c r="AN4277">
        <v>1300</v>
      </c>
      <c r="AO4277" t="s">
        <v>118</v>
      </c>
      <c r="AP4277">
        <v>-128</v>
      </c>
      <c r="AQ4277">
        <v>31</v>
      </c>
      <c r="AR4277">
        <v>64</v>
      </c>
      <c r="AZ4277">
        <v>1200</v>
      </c>
      <c r="BA4277">
        <v>1</v>
      </c>
      <c r="BB4277" t="str">
        <f t="shared" si="213"/>
        <v xml:space="preserve">N8080G  </v>
      </c>
      <c r="BC4277">
        <v>1</v>
      </c>
      <c r="BE4277">
        <v>0</v>
      </c>
      <c r="BF4277">
        <v>0</v>
      </c>
      <c r="BG4277">
        <v>0</v>
      </c>
      <c r="BH4277">
        <v>1325</v>
      </c>
      <c r="BI4277">
        <v>1</v>
      </c>
      <c r="BJ4277">
        <v>1</v>
      </c>
      <c r="BK4277">
        <v>1</v>
      </c>
      <c r="BL4277">
        <v>0</v>
      </c>
      <c r="BO4277">
        <v>0</v>
      </c>
      <c r="BP4277">
        <v>0</v>
      </c>
      <c r="BW4277" t="str">
        <f>"20:38:07.255"</f>
        <v>20:38:07.255</v>
      </c>
      <c r="BZ4277">
        <v>0</v>
      </c>
      <c r="CA4277">
        <v>1600</v>
      </c>
      <c r="CB4277">
        <v>224</v>
      </c>
      <c r="CD4277">
        <v>1</v>
      </c>
      <c r="CE4277">
        <v>0</v>
      </c>
      <c r="CF4277">
        <v>0</v>
      </c>
      <c r="CG4277">
        <v>1</v>
      </c>
      <c r="CH4277">
        <v>0</v>
      </c>
      <c r="CI4277">
        <v>0</v>
      </c>
      <c r="CJ4277">
        <v>0</v>
      </c>
      <c r="CK4277">
        <v>2</v>
      </c>
      <c r="CL4277">
        <v>0</v>
      </c>
      <c r="CM4277">
        <v>2</v>
      </c>
      <c r="CN4277">
        <v>0</v>
      </c>
      <c r="CO4277">
        <v>5</v>
      </c>
      <c r="CP4277" t="s">
        <v>119</v>
      </c>
      <c r="CQ4277">
        <v>180</v>
      </c>
      <c r="CR4277">
        <v>3</v>
      </c>
      <c r="CW4277">
        <v>1385584</v>
      </c>
      <c r="CY4277">
        <v>0</v>
      </c>
      <c r="CZ4277">
        <v>0</v>
      </c>
      <c r="DA4277">
        <v>1</v>
      </c>
      <c r="DB4277">
        <v>0</v>
      </c>
      <c r="DC4277">
        <v>0</v>
      </c>
      <c r="DD4277">
        <v>0</v>
      </c>
      <c r="DE4277">
        <v>0</v>
      </c>
      <c r="DF4277">
        <v>0</v>
      </c>
      <c r="DG4277">
        <v>0</v>
      </c>
      <c r="DH4277">
        <v>0</v>
      </c>
      <c r="DI4277">
        <v>0</v>
      </c>
    </row>
    <row r="4278" spans="1:113" x14ac:dyDescent="0.3">
      <c r="A4278" t="str">
        <f>"02/08/2021 20:38:04.951"</f>
        <v>02/08/2021 20:38:04.951</v>
      </c>
      <c r="C4278" t="str">
        <f t="shared" si="212"/>
        <v>FFDFD7C0</v>
      </c>
      <c r="D4278" t="s">
        <v>124</v>
      </c>
      <c r="E4278">
        <v>12</v>
      </c>
      <c r="F4278">
        <v>1012</v>
      </c>
      <c r="G4278" t="s">
        <v>675</v>
      </c>
      <c r="J4278" t="s">
        <v>125</v>
      </c>
      <c r="K4278">
        <v>0</v>
      </c>
      <c r="L4278">
        <v>3</v>
      </c>
      <c r="M4278">
        <v>0</v>
      </c>
      <c r="N4278">
        <v>2</v>
      </c>
      <c r="O4278">
        <v>1</v>
      </c>
      <c r="P4278">
        <v>0</v>
      </c>
      <c r="Q4278">
        <v>0</v>
      </c>
      <c r="S4278" t="str">
        <f>"20:38:07.250"</f>
        <v>20:38:07.250</v>
      </c>
      <c r="T4278" t="str">
        <f>"20:38:06.850"</f>
        <v>20:38:06.850</v>
      </c>
      <c r="U4278" t="str">
        <f t="shared" si="211"/>
        <v>AB01F4</v>
      </c>
      <c r="V4278">
        <v>0</v>
      </c>
      <c r="W4278">
        <v>0</v>
      </c>
      <c r="X4278">
        <v>2</v>
      </c>
      <c r="Z4278">
        <v>0</v>
      </c>
      <c r="AA4278">
        <v>9</v>
      </c>
      <c r="AB4278">
        <v>3</v>
      </c>
      <c r="AC4278">
        <v>0</v>
      </c>
      <c r="AD4278">
        <v>10</v>
      </c>
      <c r="AE4278">
        <v>0</v>
      </c>
      <c r="AF4278">
        <v>3</v>
      </c>
      <c r="AG4278">
        <v>2</v>
      </c>
      <c r="AH4278">
        <v>0</v>
      </c>
      <c r="AI4278" t="s">
        <v>2387</v>
      </c>
      <c r="AJ4278">
        <v>40.166573999999997</v>
      </c>
      <c r="AK4278" t="s">
        <v>2388</v>
      </c>
      <c r="AL4278">
        <v>-93.164749</v>
      </c>
      <c r="AM4278">
        <v>100</v>
      </c>
      <c r="AN4278">
        <v>1300</v>
      </c>
      <c r="AO4278" t="s">
        <v>118</v>
      </c>
      <c r="AP4278">
        <v>-128</v>
      </c>
      <c r="AQ4278">
        <v>31</v>
      </c>
      <c r="AR4278">
        <v>64</v>
      </c>
      <c r="AZ4278">
        <v>1200</v>
      </c>
      <c r="BA4278">
        <v>1</v>
      </c>
      <c r="BB4278" t="str">
        <f t="shared" si="213"/>
        <v xml:space="preserve">N8080G  </v>
      </c>
      <c r="BC4278">
        <v>1</v>
      </c>
      <c r="BE4278">
        <v>0</v>
      </c>
      <c r="BF4278">
        <v>0</v>
      </c>
      <c r="BG4278">
        <v>0</v>
      </c>
      <c r="BH4278">
        <v>1325</v>
      </c>
      <c r="BI4278">
        <v>1</v>
      </c>
      <c r="BJ4278">
        <v>1</v>
      </c>
      <c r="BK4278">
        <v>1</v>
      </c>
      <c r="BL4278">
        <v>0</v>
      </c>
      <c r="BO4278">
        <v>0</v>
      </c>
      <c r="BP4278">
        <v>0</v>
      </c>
      <c r="BW4278" t="str">
        <f>"20:38:07.255"</f>
        <v>20:38:07.255</v>
      </c>
      <c r="BZ4278">
        <v>0</v>
      </c>
      <c r="CA4278">
        <v>1600</v>
      </c>
      <c r="CB4278">
        <v>224</v>
      </c>
      <c r="CD4278">
        <v>1</v>
      </c>
      <c r="CE4278">
        <v>0</v>
      </c>
      <c r="CF4278">
        <v>0</v>
      </c>
      <c r="CG4278">
        <v>1</v>
      </c>
      <c r="CH4278">
        <v>0</v>
      </c>
      <c r="CI4278">
        <v>0</v>
      </c>
      <c r="CJ4278">
        <v>0</v>
      </c>
      <c r="CK4278">
        <v>2</v>
      </c>
      <c r="CL4278">
        <v>0</v>
      </c>
      <c r="CM4278">
        <v>2</v>
      </c>
      <c r="CN4278">
        <v>0</v>
      </c>
      <c r="CO4278">
        <v>5</v>
      </c>
      <c r="CP4278" t="s">
        <v>119</v>
      </c>
      <c r="CQ4278">
        <v>180</v>
      </c>
      <c r="CR4278">
        <v>3</v>
      </c>
      <c r="CW4278">
        <v>1385584</v>
      </c>
      <c r="CY4278">
        <v>0</v>
      </c>
      <c r="CZ4278">
        <v>0</v>
      </c>
      <c r="DA4278">
        <v>1</v>
      </c>
      <c r="DB4278">
        <v>0</v>
      </c>
      <c r="DC4278">
        <v>0</v>
      </c>
      <c r="DD4278">
        <v>0</v>
      </c>
      <c r="DE4278">
        <v>0</v>
      </c>
      <c r="DF4278">
        <v>0</v>
      </c>
      <c r="DG4278">
        <v>0</v>
      </c>
      <c r="DH4278">
        <v>0</v>
      </c>
      <c r="DI4278">
        <v>0</v>
      </c>
    </row>
    <row r="4279" spans="1:113" x14ac:dyDescent="0.3">
      <c r="A4279" t="str">
        <f>"02/08/2021 20:38:05.872"</f>
        <v>02/08/2021 20:38:05.872</v>
      </c>
      <c r="C4279" t="str">
        <f t="shared" si="212"/>
        <v>FFDFD7C0</v>
      </c>
      <c r="D4279" t="s">
        <v>124</v>
      </c>
      <c r="E4279">
        <v>13</v>
      </c>
      <c r="F4279">
        <v>1013</v>
      </c>
      <c r="G4279" t="s">
        <v>114</v>
      </c>
      <c r="J4279" t="s">
        <v>125</v>
      </c>
      <c r="K4279">
        <v>0</v>
      </c>
      <c r="L4279">
        <v>3</v>
      </c>
      <c r="M4279">
        <v>0</v>
      </c>
      <c r="N4279">
        <v>2</v>
      </c>
      <c r="O4279">
        <v>1</v>
      </c>
      <c r="P4279">
        <v>0</v>
      </c>
      <c r="Q4279">
        <v>0</v>
      </c>
      <c r="S4279" t="str">
        <f>"20:38:08.227"</f>
        <v>20:38:08.227</v>
      </c>
      <c r="T4279" t="str">
        <f>"20:38:07.827"</f>
        <v>20:38:07.827</v>
      </c>
      <c r="U4279" t="str">
        <f t="shared" si="211"/>
        <v>AB01F4</v>
      </c>
      <c r="V4279">
        <v>0</v>
      </c>
      <c r="W4279">
        <v>0</v>
      </c>
      <c r="X4279">
        <v>2</v>
      </c>
      <c r="Z4279">
        <v>0</v>
      </c>
      <c r="AA4279">
        <v>9</v>
      </c>
      <c r="AB4279">
        <v>3</v>
      </c>
      <c r="AC4279">
        <v>0</v>
      </c>
      <c r="AD4279">
        <v>10</v>
      </c>
      <c r="AE4279">
        <v>0</v>
      </c>
      <c r="AF4279">
        <v>3</v>
      </c>
      <c r="AG4279">
        <v>2</v>
      </c>
      <c r="AH4279">
        <v>0</v>
      </c>
      <c r="AI4279" t="s">
        <v>2389</v>
      </c>
      <c r="AJ4279">
        <v>40.166659000000003</v>
      </c>
      <c r="AK4279" t="s">
        <v>2390</v>
      </c>
      <c r="AL4279">
        <v>-93.165499999999994</v>
      </c>
      <c r="AM4279">
        <v>100</v>
      </c>
      <c r="AN4279">
        <v>1300</v>
      </c>
      <c r="AO4279" t="s">
        <v>118</v>
      </c>
      <c r="AP4279">
        <v>-131</v>
      </c>
      <c r="AQ4279">
        <v>21</v>
      </c>
      <c r="AR4279">
        <v>0</v>
      </c>
      <c r="AZ4279">
        <v>1200</v>
      </c>
      <c r="BA4279">
        <v>1</v>
      </c>
      <c r="BB4279" t="str">
        <f t="shared" si="213"/>
        <v xml:space="preserve">N8080G  </v>
      </c>
      <c r="BC4279">
        <v>1</v>
      </c>
      <c r="BE4279">
        <v>0</v>
      </c>
      <c r="BF4279">
        <v>0</v>
      </c>
      <c r="BG4279">
        <v>0</v>
      </c>
      <c r="BH4279">
        <v>1325</v>
      </c>
      <c r="BI4279">
        <v>1</v>
      </c>
      <c r="BJ4279">
        <v>1</v>
      </c>
      <c r="BK4279">
        <v>1</v>
      </c>
      <c r="BL4279">
        <v>0</v>
      </c>
      <c r="BO4279">
        <v>0</v>
      </c>
      <c r="BP4279">
        <v>0</v>
      </c>
      <c r="BW4279" t="str">
        <f>"20:38:08.228"</f>
        <v>20:38:08.228</v>
      </c>
      <c r="BZ4279">
        <v>0</v>
      </c>
      <c r="CA4279">
        <v>1600</v>
      </c>
      <c r="CB4279">
        <v>224</v>
      </c>
      <c r="CD4279">
        <v>1</v>
      </c>
      <c r="CE4279">
        <v>0</v>
      </c>
      <c r="CF4279">
        <v>0</v>
      </c>
      <c r="CG4279">
        <v>1</v>
      </c>
      <c r="CH4279">
        <v>0</v>
      </c>
      <c r="CI4279">
        <v>0</v>
      </c>
      <c r="CJ4279">
        <v>0</v>
      </c>
      <c r="CK4279">
        <v>2</v>
      </c>
      <c r="CL4279">
        <v>0</v>
      </c>
      <c r="CM4279">
        <v>2</v>
      </c>
      <c r="CN4279">
        <v>0</v>
      </c>
      <c r="CO4279">
        <v>5</v>
      </c>
      <c r="CP4279" t="s">
        <v>119</v>
      </c>
      <c r="CQ4279">
        <v>180</v>
      </c>
      <c r="CR4279">
        <v>3</v>
      </c>
      <c r="CW4279">
        <v>1386250</v>
      </c>
      <c r="CY4279">
        <v>0</v>
      </c>
      <c r="CZ4279">
        <v>0</v>
      </c>
      <c r="DA4279">
        <v>0</v>
      </c>
      <c r="DB4279">
        <v>0</v>
      </c>
      <c r="DC4279">
        <v>0</v>
      </c>
      <c r="DD4279">
        <v>0</v>
      </c>
      <c r="DE4279">
        <v>0</v>
      </c>
      <c r="DF4279">
        <v>0</v>
      </c>
      <c r="DG4279">
        <v>0</v>
      </c>
      <c r="DH4279">
        <v>0</v>
      </c>
      <c r="DI4279">
        <v>0</v>
      </c>
    </row>
    <row r="4280" spans="1:113" x14ac:dyDescent="0.3">
      <c r="A4280" t="str">
        <f>"02/08/2021 20:38:05.872"</f>
        <v>02/08/2021 20:38:05.872</v>
      </c>
      <c r="C4280" t="str">
        <f t="shared" si="212"/>
        <v>FFDFD7C0</v>
      </c>
      <c r="D4280" t="s">
        <v>124</v>
      </c>
      <c r="E4280">
        <v>12</v>
      </c>
      <c r="F4280">
        <v>1012</v>
      </c>
      <c r="G4280" t="s">
        <v>675</v>
      </c>
      <c r="J4280" t="s">
        <v>125</v>
      </c>
      <c r="K4280">
        <v>0</v>
      </c>
      <c r="L4280">
        <v>3</v>
      </c>
      <c r="M4280">
        <v>0</v>
      </c>
      <c r="N4280">
        <v>2</v>
      </c>
      <c r="O4280">
        <v>1</v>
      </c>
      <c r="P4280">
        <v>0</v>
      </c>
      <c r="Q4280">
        <v>0</v>
      </c>
      <c r="S4280" t="str">
        <f>"20:38:08.227"</f>
        <v>20:38:08.227</v>
      </c>
      <c r="T4280" t="str">
        <f>"20:38:07.827"</f>
        <v>20:38:07.827</v>
      </c>
      <c r="U4280" t="str">
        <f t="shared" si="211"/>
        <v>AB01F4</v>
      </c>
      <c r="V4280">
        <v>0</v>
      </c>
      <c r="W4280">
        <v>0</v>
      </c>
      <c r="X4280">
        <v>2</v>
      </c>
      <c r="Z4280">
        <v>0</v>
      </c>
      <c r="AA4280">
        <v>9</v>
      </c>
      <c r="AB4280">
        <v>3</v>
      </c>
      <c r="AC4280">
        <v>0</v>
      </c>
      <c r="AD4280">
        <v>10</v>
      </c>
      <c r="AE4280">
        <v>0</v>
      </c>
      <c r="AF4280">
        <v>3</v>
      </c>
      <c r="AG4280">
        <v>2</v>
      </c>
      <c r="AH4280">
        <v>0</v>
      </c>
      <c r="AI4280" t="s">
        <v>2389</v>
      </c>
      <c r="AJ4280">
        <v>40.166659000000003</v>
      </c>
      <c r="AK4280" t="s">
        <v>2390</v>
      </c>
      <c r="AL4280">
        <v>-93.165499999999994</v>
      </c>
      <c r="AM4280">
        <v>100</v>
      </c>
      <c r="AN4280">
        <v>1300</v>
      </c>
      <c r="AO4280" t="s">
        <v>118</v>
      </c>
      <c r="AP4280">
        <v>-131</v>
      </c>
      <c r="AQ4280">
        <v>21</v>
      </c>
      <c r="AR4280">
        <v>0</v>
      </c>
      <c r="AZ4280">
        <v>1200</v>
      </c>
      <c r="BA4280">
        <v>1</v>
      </c>
      <c r="BB4280" t="str">
        <f t="shared" si="213"/>
        <v xml:space="preserve">N8080G  </v>
      </c>
      <c r="BC4280">
        <v>1</v>
      </c>
      <c r="BE4280">
        <v>0</v>
      </c>
      <c r="BF4280">
        <v>0</v>
      </c>
      <c r="BG4280">
        <v>0</v>
      </c>
      <c r="BH4280">
        <v>1325</v>
      </c>
      <c r="BI4280">
        <v>1</v>
      </c>
      <c r="BJ4280">
        <v>1</v>
      </c>
      <c r="BK4280">
        <v>1</v>
      </c>
      <c r="BL4280">
        <v>0</v>
      </c>
      <c r="BO4280">
        <v>0</v>
      </c>
      <c r="BP4280">
        <v>0</v>
      </c>
      <c r="BW4280" t="str">
        <f>"20:38:08.228"</f>
        <v>20:38:08.228</v>
      </c>
      <c r="BZ4280">
        <v>0</v>
      </c>
      <c r="CA4280">
        <v>1600</v>
      </c>
      <c r="CB4280">
        <v>224</v>
      </c>
      <c r="CD4280">
        <v>1</v>
      </c>
      <c r="CE4280">
        <v>0</v>
      </c>
      <c r="CF4280">
        <v>0</v>
      </c>
      <c r="CG4280">
        <v>1</v>
      </c>
      <c r="CH4280">
        <v>0</v>
      </c>
      <c r="CI4280">
        <v>0</v>
      </c>
      <c r="CJ4280">
        <v>0</v>
      </c>
      <c r="CK4280">
        <v>2</v>
      </c>
      <c r="CL4280">
        <v>0</v>
      </c>
      <c r="CM4280">
        <v>2</v>
      </c>
      <c r="CN4280">
        <v>0</v>
      </c>
      <c r="CO4280">
        <v>5</v>
      </c>
      <c r="CP4280" t="s">
        <v>119</v>
      </c>
      <c r="CQ4280">
        <v>180</v>
      </c>
      <c r="CR4280">
        <v>3</v>
      </c>
      <c r="CW4280">
        <v>1386250</v>
      </c>
      <c r="CY4280">
        <v>0</v>
      </c>
      <c r="CZ4280">
        <v>0</v>
      </c>
      <c r="DA4280">
        <v>1</v>
      </c>
      <c r="DB4280">
        <v>0</v>
      </c>
      <c r="DC4280">
        <v>0</v>
      </c>
      <c r="DD4280">
        <v>0</v>
      </c>
      <c r="DE4280">
        <v>0</v>
      </c>
      <c r="DF4280">
        <v>0</v>
      </c>
      <c r="DG4280">
        <v>0</v>
      </c>
      <c r="DH4280">
        <v>0</v>
      </c>
      <c r="DI4280">
        <v>0</v>
      </c>
    </row>
    <row r="4281" spans="1:113" x14ac:dyDescent="0.3">
      <c r="A4281" t="str">
        <f>"02/08/2021 20:38:05.872"</f>
        <v>02/08/2021 20:38:05.872</v>
      </c>
      <c r="C4281" t="str">
        <f t="shared" si="212"/>
        <v>FFDFD7C0</v>
      </c>
      <c r="D4281" t="s">
        <v>113</v>
      </c>
      <c r="E4281">
        <v>6</v>
      </c>
      <c r="H4281">
        <v>165</v>
      </c>
      <c r="I4281" t="s">
        <v>114</v>
      </c>
      <c r="J4281" t="s">
        <v>115</v>
      </c>
      <c r="K4281">
        <v>0</v>
      </c>
      <c r="L4281">
        <v>3</v>
      </c>
      <c r="M4281">
        <v>0</v>
      </c>
      <c r="N4281">
        <v>2</v>
      </c>
      <c r="O4281">
        <v>1</v>
      </c>
      <c r="P4281">
        <v>0</v>
      </c>
      <c r="Q4281">
        <v>0</v>
      </c>
      <c r="S4281" t="str">
        <f>"20:38:08.227"</f>
        <v>20:38:08.227</v>
      </c>
      <c r="T4281" t="str">
        <f>"20:38:07.827"</f>
        <v>20:38:07.827</v>
      </c>
      <c r="U4281" t="str">
        <f t="shared" si="211"/>
        <v>AB01F4</v>
      </c>
      <c r="V4281">
        <v>0</v>
      </c>
      <c r="W4281">
        <v>0</v>
      </c>
      <c r="X4281">
        <v>2</v>
      </c>
      <c r="Z4281">
        <v>0</v>
      </c>
      <c r="AA4281">
        <v>9</v>
      </c>
      <c r="AB4281">
        <v>3</v>
      </c>
      <c r="AC4281">
        <v>0</v>
      </c>
      <c r="AD4281">
        <v>10</v>
      </c>
      <c r="AE4281">
        <v>0</v>
      </c>
      <c r="AF4281">
        <v>3</v>
      </c>
      <c r="AG4281">
        <v>2</v>
      </c>
      <c r="AH4281">
        <v>0</v>
      </c>
      <c r="AI4281" t="s">
        <v>2389</v>
      </c>
      <c r="AJ4281">
        <v>40.166659000000003</v>
      </c>
      <c r="AK4281" t="s">
        <v>2390</v>
      </c>
      <c r="AL4281">
        <v>-93.165499999999994</v>
      </c>
      <c r="AM4281">
        <v>100</v>
      </c>
      <c r="AN4281">
        <v>1300</v>
      </c>
      <c r="AO4281" t="s">
        <v>118</v>
      </c>
      <c r="AP4281">
        <v>-131</v>
      </c>
      <c r="AQ4281">
        <v>21</v>
      </c>
      <c r="AR4281">
        <v>0</v>
      </c>
      <c r="AZ4281">
        <v>1200</v>
      </c>
      <c r="BA4281">
        <v>1</v>
      </c>
      <c r="BB4281" t="str">
        <f t="shared" si="213"/>
        <v xml:space="preserve">N8080G  </v>
      </c>
      <c r="BC4281">
        <v>1</v>
      </c>
      <c r="BE4281">
        <v>0</v>
      </c>
      <c r="BF4281">
        <v>0</v>
      </c>
      <c r="BG4281">
        <v>0</v>
      </c>
      <c r="BH4281">
        <v>1325</v>
      </c>
      <c r="BI4281">
        <v>1</v>
      </c>
      <c r="BJ4281">
        <v>1</v>
      </c>
      <c r="BK4281">
        <v>1</v>
      </c>
      <c r="BL4281">
        <v>0</v>
      </c>
      <c r="BO4281">
        <v>0</v>
      </c>
      <c r="BP4281">
        <v>0</v>
      </c>
      <c r="BW4281" t="str">
        <f>"20:38:08.228"</f>
        <v>20:38:08.228</v>
      </c>
      <c r="BZ4281">
        <v>0</v>
      </c>
      <c r="CA4281">
        <v>1600</v>
      </c>
      <c r="CB4281">
        <v>224</v>
      </c>
      <c r="CD4281">
        <v>1</v>
      </c>
      <c r="CE4281">
        <v>0</v>
      </c>
      <c r="CF4281">
        <v>0</v>
      </c>
      <c r="CG4281">
        <v>1</v>
      </c>
      <c r="CH4281">
        <v>0</v>
      </c>
      <c r="CI4281">
        <v>0</v>
      </c>
      <c r="CJ4281">
        <v>0</v>
      </c>
      <c r="CK4281">
        <v>2</v>
      </c>
      <c r="CL4281">
        <v>0</v>
      </c>
      <c r="CM4281">
        <v>2</v>
      </c>
      <c r="CN4281">
        <v>0</v>
      </c>
      <c r="CO4281">
        <v>5</v>
      </c>
      <c r="CP4281" t="s">
        <v>119</v>
      </c>
      <c r="CQ4281">
        <v>180</v>
      </c>
      <c r="CR4281">
        <v>3</v>
      </c>
      <c r="CW4281">
        <v>1386250</v>
      </c>
      <c r="CY4281">
        <v>0</v>
      </c>
      <c r="CZ4281">
        <v>0</v>
      </c>
      <c r="DA4281">
        <v>1</v>
      </c>
      <c r="DB4281">
        <v>0</v>
      </c>
      <c r="DC4281">
        <v>0</v>
      </c>
      <c r="DD4281">
        <v>0</v>
      </c>
      <c r="DE4281">
        <v>0</v>
      </c>
      <c r="DF4281">
        <v>0</v>
      </c>
      <c r="DG4281">
        <v>0</v>
      </c>
      <c r="DH4281">
        <v>0</v>
      </c>
      <c r="DI4281">
        <v>0</v>
      </c>
    </row>
    <row r="4282" spans="1:113" x14ac:dyDescent="0.3">
      <c r="A4282" t="str">
        <f>"02/08/2021 20:38:05.872"</f>
        <v>02/08/2021 20:38:05.872</v>
      </c>
      <c r="C4282" t="str">
        <f t="shared" si="212"/>
        <v>FFDFD7C0</v>
      </c>
      <c r="D4282" t="s">
        <v>124</v>
      </c>
      <c r="E4282">
        <v>11</v>
      </c>
      <c r="F4282">
        <v>1011</v>
      </c>
      <c r="G4282" t="s">
        <v>590</v>
      </c>
      <c r="J4282" t="s">
        <v>125</v>
      </c>
      <c r="K4282">
        <v>0</v>
      </c>
      <c r="L4282">
        <v>3</v>
      </c>
      <c r="M4282">
        <v>0</v>
      </c>
      <c r="N4282">
        <v>2</v>
      </c>
      <c r="O4282">
        <v>1</v>
      </c>
      <c r="P4282">
        <v>0</v>
      </c>
      <c r="Q4282">
        <v>0</v>
      </c>
      <c r="S4282" t="str">
        <f>"20:38:08.227"</f>
        <v>20:38:08.227</v>
      </c>
      <c r="T4282" t="str">
        <f>"20:38:07.827"</f>
        <v>20:38:07.827</v>
      </c>
      <c r="U4282" t="str">
        <f t="shared" si="211"/>
        <v>AB01F4</v>
      </c>
      <c r="V4282">
        <v>0</v>
      </c>
      <c r="W4282">
        <v>0</v>
      </c>
      <c r="X4282">
        <v>2</v>
      </c>
      <c r="Z4282">
        <v>0</v>
      </c>
      <c r="AA4282">
        <v>9</v>
      </c>
      <c r="AB4282">
        <v>3</v>
      </c>
      <c r="AC4282">
        <v>0</v>
      </c>
      <c r="AD4282">
        <v>10</v>
      </c>
      <c r="AE4282">
        <v>0</v>
      </c>
      <c r="AF4282">
        <v>3</v>
      </c>
      <c r="AG4282">
        <v>2</v>
      </c>
      <c r="AH4282">
        <v>0</v>
      </c>
      <c r="AI4282" t="s">
        <v>2389</v>
      </c>
      <c r="AJ4282">
        <v>40.166659000000003</v>
      </c>
      <c r="AK4282" t="s">
        <v>2390</v>
      </c>
      <c r="AL4282">
        <v>-93.165499999999994</v>
      </c>
      <c r="AM4282">
        <v>100</v>
      </c>
      <c r="AN4282">
        <v>1300</v>
      </c>
      <c r="AO4282" t="s">
        <v>118</v>
      </c>
      <c r="AP4282">
        <v>-131</v>
      </c>
      <c r="AQ4282">
        <v>21</v>
      </c>
      <c r="AR4282">
        <v>0</v>
      </c>
      <c r="AZ4282">
        <v>1200</v>
      </c>
      <c r="BA4282">
        <v>1</v>
      </c>
      <c r="BB4282" t="str">
        <f t="shared" si="213"/>
        <v xml:space="preserve">N8080G  </v>
      </c>
      <c r="BC4282">
        <v>1</v>
      </c>
      <c r="BE4282">
        <v>0</v>
      </c>
      <c r="BF4282">
        <v>0</v>
      </c>
      <c r="BG4282">
        <v>0</v>
      </c>
      <c r="BH4282">
        <v>1325</v>
      </c>
      <c r="BI4282">
        <v>1</v>
      </c>
      <c r="BJ4282">
        <v>1</v>
      </c>
      <c r="BK4282">
        <v>1</v>
      </c>
      <c r="BL4282">
        <v>0</v>
      </c>
      <c r="BO4282">
        <v>0</v>
      </c>
      <c r="BP4282">
        <v>0</v>
      </c>
      <c r="BW4282" t="str">
        <f>"20:38:08.228"</f>
        <v>20:38:08.228</v>
      </c>
      <c r="BZ4282">
        <v>0</v>
      </c>
      <c r="CA4282">
        <v>1600</v>
      </c>
      <c r="CB4282">
        <v>224</v>
      </c>
      <c r="CD4282">
        <v>1</v>
      </c>
      <c r="CE4282">
        <v>0</v>
      </c>
      <c r="CF4282">
        <v>0</v>
      </c>
      <c r="CG4282">
        <v>1</v>
      </c>
      <c r="CH4282">
        <v>0</v>
      </c>
      <c r="CI4282">
        <v>0</v>
      </c>
      <c r="CJ4282">
        <v>0</v>
      </c>
      <c r="CK4282">
        <v>2</v>
      </c>
      <c r="CL4282">
        <v>0</v>
      </c>
      <c r="CM4282">
        <v>2</v>
      </c>
      <c r="CN4282">
        <v>0</v>
      </c>
      <c r="CO4282">
        <v>5</v>
      </c>
      <c r="CP4282" t="s">
        <v>119</v>
      </c>
      <c r="CQ4282">
        <v>180</v>
      </c>
      <c r="CR4282">
        <v>3</v>
      </c>
      <c r="CW4282">
        <v>1386250</v>
      </c>
      <c r="CY4282">
        <v>0</v>
      </c>
      <c r="CZ4282">
        <v>0</v>
      </c>
      <c r="DA4282">
        <v>1</v>
      </c>
      <c r="DB4282">
        <v>0</v>
      </c>
      <c r="DC4282">
        <v>0</v>
      </c>
      <c r="DD4282">
        <v>0</v>
      </c>
      <c r="DE4282">
        <v>0</v>
      </c>
      <c r="DF4282">
        <v>0</v>
      </c>
      <c r="DG4282">
        <v>0</v>
      </c>
      <c r="DH4282">
        <v>0</v>
      </c>
      <c r="DI4282">
        <v>0</v>
      </c>
    </row>
    <row r="4283" spans="1:113" x14ac:dyDescent="0.3">
      <c r="A4283" t="str">
        <f>"02/08/2021 20:38:07.599"</f>
        <v>02/08/2021 20:38:07.599</v>
      </c>
      <c r="C4283" t="str">
        <f t="shared" si="212"/>
        <v>FFDFD7C0</v>
      </c>
      <c r="D4283" t="s">
        <v>124</v>
      </c>
      <c r="E4283">
        <v>12</v>
      </c>
      <c r="F4283">
        <v>1012</v>
      </c>
      <c r="G4283" t="s">
        <v>675</v>
      </c>
      <c r="J4283" t="s">
        <v>125</v>
      </c>
      <c r="K4283">
        <v>0</v>
      </c>
      <c r="L4283">
        <v>3</v>
      </c>
      <c r="M4283">
        <v>0</v>
      </c>
      <c r="N4283">
        <v>2</v>
      </c>
      <c r="O4283">
        <v>1</v>
      </c>
      <c r="P4283">
        <v>0</v>
      </c>
      <c r="Q4283">
        <v>0</v>
      </c>
      <c r="S4283" t="str">
        <f>"20:38:09.945"</f>
        <v>20:38:09.945</v>
      </c>
      <c r="T4283" t="str">
        <f>"20:38:09.445"</f>
        <v>20:38:09.445</v>
      </c>
      <c r="U4283" t="str">
        <f t="shared" si="211"/>
        <v>AB01F4</v>
      </c>
      <c r="V4283">
        <v>0</v>
      </c>
      <c r="W4283">
        <v>0</v>
      </c>
      <c r="X4283">
        <v>2</v>
      </c>
      <c r="Z4283">
        <v>0</v>
      </c>
      <c r="AA4283">
        <v>9</v>
      </c>
      <c r="AB4283">
        <v>3</v>
      </c>
      <c r="AC4283">
        <v>0</v>
      </c>
      <c r="AD4283">
        <v>10</v>
      </c>
      <c r="AE4283">
        <v>0</v>
      </c>
      <c r="AF4283">
        <v>3</v>
      </c>
      <c r="AG4283">
        <v>2</v>
      </c>
      <c r="AH4283">
        <v>0</v>
      </c>
      <c r="AI4283" t="s">
        <v>2391</v>
      </c>
      <c r="AJ4283">
        <v>40.166744999999999</v>
      </c>
      <c r="AK4283" t="s">
        <v>2392</v>
      </c>
      <c r="AL4283">
        <v>-93.166872999999995</v>
      </c>
      <c r="AM4283">
        <v>100</v>
      </c>
      <c r="AN4283">
        <v>1300</v>
      </c>
      <c r="AO4283" t="s">
        <v>118</v>
      </c>
      <c r="AP4283">
        <v>-133</v>
      </c>
      <c r="AQ4283">
        <v>6</v>
      </c>
      <c r="AR4283">
        <v>-64</v>
      </c>
      <c r="AZ4283">
        <v>1200</v>
      </c>
      <c r="BA4283">
        <v>1</v>
      </c>
      <c r="BB4283" t="str">
        <f t="shared" si="213"/>
        <v xml:space="preserve">N8080G  </v>
      </c>
      <c r="BC4283">
        <v>1</v>
      </c>
      <c r="BE4283">
        <v>0</v>
      </c>
      <c r="BF4283">
        <v>0</v>
      </c>
      <c r="BG4283">
        <v>0</v>
      </c>
      <c r="BH4283">
        <v>1325</v>
      </c>
      <c r="BI4283">
        <v>1</v>
      </c>
      <c r="BJ4283">
        <v>1</v>
      </c>
      <c r="BK4283">
        <v>1</v>
      </c>
      <c r="BL4283">
        <v>0</v>
      </c>
      <c r="BO4283">
        <v>0</v>
      </c>
      <c r="BP4283">
        <v>0</v>
      </c>
      <c r="BW4283" t="str">
        <f>"20:38:09.947"</f>
        <v>20:38:09.947</v>
      </c>
      <c r="BZ4283">
        <v>0</v>
      </c>
      <c r="CA4283">
        <v>1600</v>
      </c>
      <c r="CB4283">
        <v>224</v>
      </c>
      <c r="CD4283">
        <v>1</v>
      </c>
      <c r="CE4283">
        <v>0</v>
      </c>
      <c r="CF4283">
        <v>0</v>
      </c>
      <c r="CG4283">
        <v>1</v>
      </c>
      <c r="CH4283">
        <v>0</v>
      </c>
      <c r="CI4283">
        <v>0</v>
      </c>
      <c r="CJ4283">
        <v>0</v>
      </c>
      <c r="CK4283">
        <v>2</v>
      </c>
      <c r="CL4283">
        <v>0</v>
      </c>
      <c r="CM4283">
        <v>2</v>
      </c>
      <c r="CN4283">
        <v>0</v>
      </c>
      <c r="CO4283">
        <v>2</v>
      </c>
      <c r="CP4283" t="s">
        <v>119</v>
      </c>
      <c r="CQ4283">
        <v>179</v>
      </c>
      <c r="CR4283">
        <v>2</v>
      </c>
      <c r="CW4283">
        <v>12662289</v>
      </c>
      <c r="CY4283">
        <v>0</v>
      </c>
      <c r="CZ4283">
        <v>0</v>
      </c>
      <c r="DA4283">
        <v>0</v>
      </c>
      <c r="DB4283">
        <v>0</v>
      </c>
      <c r="DC4283">
        <v>0</v>
      </c>
      <c r="DD4283">
        <v>0</v>
      </c>
      <c r="DE4283">
        <v>0</v>
      </c>
      <c r="DF4283">
        <v>0</v>
      </c>
      <c r="DG4283">
        <v>0</v>
      </c>
      <c r="DH4283">
        <v>0</v>
      </c>
      <c r="DI4283">
        <v>0</v>
      </c>
    </row>
    <row r="4284" spans="1:113" x14ac:dyDescent="0.3">
      <c r="A4284" t="str">
        <f>"02/08/2021 20:38:07.599"</f>
        <v>02/08/2021 20:38:07.599</v>
      </c>
      <c r="C4284" t="str">
        <f t="shared" si="212"/>
        <v>FFDFD7C0</v>
      </c>
      <c r="D4284" t="s">
        <v>113</v>
      </c>
      <c r="E4284">
        <v>6</v>
      </c>
      <c r="H4284">
        <v>165</v>
      </c>
      <c r="I4284" t="s">
        <v>114</v>
      </c>
      <c r="J4284" t="s">
        <v>115</v>
      </c>
      <c r="K4284">
        <v>0</v>
      </c>
      <c r="L4284">
        <v>3</v>
      </c>
      <c r="M4284">
        <v>0</v>
      </c>
      <c r="N4284">
        <v>2</v>
      </c>
      <c r="O4284">
        <v>1</v>
      </c>
      <c r="P4284">
        <v>0</v>
      </c>
      <c r="Q4284">
        <v>0</v>
      </c>
      <c r="S4284" t="str">
        <f>"20:38:09.945"</f>
        <v>20:38:09.945</v>
      </c>
      <c r="T4284" t="str">
        <f>"20:38:09.445"</f>
        <v>20:38:09.445</v>
      </c>
      <c r="U4284" t="str">
        <f t="shared" si="211"/>
        <v>AB01F4</v>
      </c>
      <c r="V4284">
        <v>0</v>
      </c>
      <c r="W4284">
        <v>0</v>
      </c>
      <c r="X4284">
        <v>2</v>
      </c>
      <c r="Z4284">
        <v>0</v>
      </c>
      <c r="AA4284">
        <v>9</v>
      </c>
      <c r="AB4284">
        <v>3</v>
      </c>
      <c r="AC4284">
        <v>0</v>
      </c>
      <c r="AD4284">
        <v>10</v>
      </c>
      <c r="AE4284">
        <v>0</v>
      </c>
      <c r="AF4284">
        <v>3</v>
      </c>
      <c r="AG4284">
        <v>2</v>
      </c>
      <c r="AH4284">
        <v>0</v>
      </c>
      <c r="AI4284" t="s">
        <v>2391</v>
      </c>
      <c r="AJ4284">
        <v>40.166744999999999</v>
      </c>
      <c r="AK4284" t="s">
        <v>2392</v>
      </c>
      <c r="AL4284">
        <v>-93.166872999999995</v>
      </c>
      <c r="AM4284">
        <v>100</v>
      </c>
      <c r="AN4284">
        <v>1300</v>
      </c>
      <c r="AO4284" t="s">
        <v>118</v>
      </c>
      <c r="AP4284">
        <v>-133</v>
      </c>
      <c r="AQ4284">
        <v>6</v>
      </c>
      <c r="AR4284">
        <v>-64</v>
      </c>
      <c r="AZ4284">
        <v>1200</v>
      </c>
      <c r="BA4284">
        <v>1</v>
      </c>
      <c r="BB4284" t="str">
        <f t="shared" si="213"/>
        <v xml:space="preserve">N8080G  </v>
      </c>
      <c r="BC4284">
        <v>1</v>
      </c>
      <c r="BE4284">
        <v>0</v>
      </c>
      <c r="BF4284">
        <v>0</v>
      </c>
      <c r="BG4284">
        <v>0</v>
      </c>
      <c r="BH4284">
        <v>1325</v>
      </c>
      <c r="BI4284">
        <v>1</v>
      </c>
      <c r="BJ4284">
        <v>1</v>
      </c>
      <c r="BK4284">
        <v>1</v>
      </c>
      <c r="BL4284">
        <v>0</v>
      </c>
      <c r="BO4284">
        <v>0</v>
      </c>
      <c r="BP4284">
        <v>0</v>
      </c>
      <c r="BW4284" t="str">
        <f>"20:38:09.947"</f>
        <v>20:38:09.947</v>
      </c>
      <c r="BZ4284">
        <v>0</v>
      </c>
      <c r="CA4284">
        <v>1600</v>
      </c>
      <c r="CB4284">
        <v>224</v>
      </c>
      <c r="CD4284">
        <v>1</v>
      </c>
      <c r="CE4284">
        <v>0</v>
      </c>
      <c r="CF4284">
        <v>0</v>
      </c>
      <c r="CG4284">
        <v>1</v>
      </c>
      <c r="CH4284">
        <v>0</v>
      </c>
      <c r="CI4284">
        <v>0</v>
      </c>
      <c r="CJ4284">
        <v>0</v>
      </c>
      <c r="CK4284">
        <v>2</v>
      </c>
      <c r="CL4284">
        <v>0</v>
      </c>
      <c r="CM4284">
        <v>2</v>
      </c>
      <c r="CN4284">
        <v>0</v>
      </c>
      <c r="CO4284">
        <v>2</v>
      </c>
      <c r="CP4284" t="s">
        <v>119</v>
      </c>
      <c r="CQ4284">
        <v>179</v>
      </c>
      <c r="CR4284">
        <v>2</v>
      </c>
      <c r="CW4284">
        <v>12662289</v>
      </c>
      <c r="CY4284">
        <v>0</v>
      </c>
      <c r="CZ4284">
        <v>0</v>
      </c>
      <c r="DA4284">
        <v>1</v>
      </c>
      <c r="DB4284">
        <v>0</v>
      </c>
      <c r="DC4284">
        <v>0</v>
      </c>
      <c r="DD4284">
        <v>0</v>
      </c>
      <c r="DE4284">
        <v>0</v>
      </c>
      <c r="DF4284">
        <v>0</v>
      </c>
      <c r="DG4284">
        <v>0</v>
      </c>
      <c r="DH4284">
        <v>0</v>
      </c>
      <c r="DI4284">
        <v>0</v>
      </c>
    </row>
    <row r="4285" spans="1:113" x14ac:dyDescent="0.3">
      <c r="A4285" t="str">
        <f>"02/08/2021 20:38:07.599"</f>
        <v>02/08/2021 20:38:07.599</v>
      </c>
      <c r="C4285" t="str">
        <f t="shared" si="212"/>
        <v>FFDFD7C0</v>
      </c>
      <c r="D4285" t="s">
        <v>124</v>
      </c>
      <c r="E4285">
        <v>11</v>
      </c>
      <c r="F4285">
        <v>1011</v>
      </c>
      <c r="G4285" t="s">
        <v>590</v>
      </c>
      <c r="J4285" t="s">
        <v>125</v>
      </c>
      <c r="K4285">
        <v>0</v>
      </c>
      <c r="L4285">
        <v>3</v>
      </c>
      <c r="M4285">
        <v>0</v>
      </c>
      <c r="N4285">
        <v>2</v>
      </c>
      <c r="O4285">
        <v>1</v>
      </c>
      <c r="P4285">
        <v>0</v>
      </c>
      <c r="Q4285">
        <v>0</v>
      </c>
      <c r="S4285" t="str">
        <f>"20:38:09.945"</f>
        <v>20:38:09.945</v>
      </c>
      <c r="T4285" t="str">
        <f>"20:38:09.445"</f>
        <v>20:38:09.445</v>
      </c>
      <c r="U4285" t="str">
        <f t="shared" si="211"/>
        <v>AB01F4</v>
      </c>
      <c r="V4285">
        <v>0</v>
      </c>
      <c r="W4285">
        <v>0</v>
      </c>
      <c r="X4285">
        <v>2</v>
      </c>
      <c r="Z4285">
        <v>0</v>
      </c>
      <c r="AA4285">
        <v>9</v>
      </c>
      <c r="AB4285">
        <v>3</v>
      </c>
      <c r="AC4285">
        <v>0</v>
      </c>
      <c r="AD4285">
        <v>10</v>
      </c>
      <c r="AE4285">
        <v>0</v>
      </c>
      <c r="AF4285">
        <v>3</v>
      </c>
      <c r="AG4285">
        <v>2</v>
      </c>
      <c r="AH4285">
        <v>0</v>
      </c>
      <c r="AI4285" t="s">
        <v>2391</v>
      </c>
      <c r="AJ4285">
        <v>40.166744999999999</v>
      </c>
      <c r="AK4285" t="s">
        <v>2392</v>
      </c>
      <c r="AL4285">
        <v>-93.166872999999995</v>
      </c>
      <c r="AM4285">
        <v>100</v>
      </c>
      <c r="AN4285">
        <v>1300</v>
      </c>
      <c r="AO4285" t="s">
        <v>118</v>
      </c>
      <c r="AP4285">
        <v>-133</v>
      </c>
      <c r="AQ4285">
        <v>6</v>
      </c>
      <c r="AR4285">
        <v>-64</v>
      </c>
      <c r="AZ4285">
        <v>1200</v>
      </c>
      <c r="BA4285">
        <v>1</v>
      </c>
      <c r="BB4285" t="str">
        <f t="shared" si="213"/>
        <v xml:space="preserve">N8080G  </v>
      </c>
      <c r="BC4285">
        <v>1</v>
      </c>
      <c r="BE4285">
        <v>0</v>
      </c>
      <c r="BF4285">
        <v>0</v>
      </c>
      <c r="BG4285">
        <v>0</v>
      </c>
      <c r="BH4285">
        <v>1325</v>
      </c>
      <c r="BI4285">
        <v>1</v>
      </c>
      <c r="BJ4285">
        <v>1</v>
      </c>
      <c r="BK4285">
        <v>1</v>
      </c>
      <c r="BL4285">
        <v>0</v>
      </c>
      <c r="BO4285">
        <v>0</v>
      </c>
      <c r="BP4285">
        <v>0</v>
      </c>
      <c r="BW4285" t="str">
        <f>"20:38:09.947"</f>
        <v>20:38:09.947</v>
      </c>
      <c r="BZ4285">
        <v>0</v>
      </c>
      <c r="CA4285">
        <v>1600</v>
      </c>
      <c r="CB4285">
        <v>224</v>
      </c>
      <c r="CD4285">
        <v>1</v>
      </c>
      <c r="CE4285">
        <v>0</v>
      </c>
      <c r="CF4285">
        <v>0</v>
      </c>
      <c r="CG4285">
        <v>1</v>
      </c>
      <c r="CH4285">
        <v>0</v>
      </c>
      <c r="CI4285">
        <v>0</v>
      </c>
      <c r="CJ4285">
        <v>0</v>
      </c>
      <c r="CK4285">
        <v>2</v>
      </c>
      <c r="CL4285">
        <v>0</v>
      </c>
      <c r="CM4285">
        <v>2</v>
      </c>
      <c r="CN4285">
        <v>0</v>
      </c>
      <c r="CO4285">
        <v>2</v>
      </c>
      <c r="CP4285" t="s">
        <v>119</v>
      </c>
      <c r="CQ4285">
        <v>179</v>
      </c>
      <c r="CR4285">
        <v>2</v>
      </c>
      <c r="CW4285">
        <v>12662289</v>
      </c>
      <c r="CY4285">
        <v>0</v>
      </c>
      <c r="CZ4285">
        <v>0</v>
      </c>
      <c r="DA4285">
        <v>1</v>
      </c>
      <c r="DB4285">
        <v>0</v>
      </c>
      <c r="DC4285">
        <v>0</v>
      </c>
      <c r="DD4285">
        <v>0</v>
      </c>
      <c r="DE4285">
        <v>0</v>
      </c>
      <c r="DF4285">
        <v>0</v>
      </c>
      <c r="DG4285">
        <v>0</v>
      </c>
      <c r="DH4285">
        <v>0</v>
      </c>
      <c r="DI4285">
        <v>0</v>
      </c>
    </row>
    <row r="4286" spans="1:113" x14ac:dyDescent="0.3">
      <c r="A4286" t="str">
        <f>"02/08/2021 20:38:07.599"</f>
        <v>02/08/2021 20:38:07.599</v>
      </c>
      <c r="C4286" t="str">
        <f t="shared" si="212"/>
        <v>FFDFD7C0</v>
      </c>
      <c r="D4286" t="s">
        <v>124</v>
      </c>
      <c r="E4286">
        <v>13</v>
      </c>
      <c r="F4286">
        <v>1013</v>
      </c>
      <c r="G4286" t="s">
        <v>114</v>
      </c>
      <c r="J4286" t="s">
        <v>125</v>
      </c>
      <c r="K4286">
        <v>0</v>
      </c>
      <c r="L4286">
        <v>3</v>
      </c>
      <c r="M4286">
        <v>0</v>
      </c>
      <c r="N4286">
        <v>2</v>
      </c>
      <c r="O4286">
        <v>1</v>
      </c>
      <c r="P4286">
        <v>0</v>
      </c>
      <c r="Q4286">
        <v>0</v>
      </c>
      <c r="S4286" t="str">
        <f>"20:38:09.945"</f>
        <v>20:38:09.945</v>
      </c>
      <c r="T4286" t="str">
        <f>"20:38:09.445"</f>
        <v>20:38:09.445</v>
      </c>
      <c r="U4286" t="str">
        <f t="shared" si="211"/>
        <v>AB01F4</v>
      </c>
      <c r="V4286">
        <v>0</v>
      </c>
      <c r="W4286">
        <v>0</v>
      </c>
      <c r="X4286">
        <v>2</v>
      </c>
      <c r="Z4286">
        <v>0</v>
      </c>
      <c r="AA4286">
        <v>9</v>
      </c>
      <c r="AB4286">
        <v>3</v>
      </c>
      <c r="AC4286">
        <v>0</v>
      </c>
      <c r="AD4286">
        <v>10</v>
      </c>
      <c r="AE4286">
        <v>0</v>
      </c>
      <c r="AF4286">
        <v>3</v>
      </c>
      <c r="AG4286">
        <v>2</v>
      </c>
      <c r="AH4286">
        <v>0</v>
      </c>
      <c r="AI4286" t="s">
        <v>2391</v>
      </c>
      <c r="AJ4286">
        <v>40.166744999999999</v>
      </c>
      <c r="AK4286" t="s">
        <v>2392</v>
      </c>
      <c r="AL4286">
        <v>-93.166872999999995</v>
      </c>
      <c r="AM4286">
        <v>100</v>
      </c>
      <c r="AN4286">
        <v>1300</v>
      </c>
      <c r="AO4286" t="s">
        <v>118</v>
      </c>
      <c r="AP4286">
        <v>-133</v>
      </c>
      <c r="AQ4286">
        <v>6</v>
      </c>
      <c r="AR4286">
        <v>-64</v>
      </c>
      <c r="AZ4286">
        <v>1200</v>
      </c>
      <c r="BA4286">
        <v>1</v>
      </c>
      <c r="BB4286" t="str">
        <f t="shared" si="213"/>
        <v xml:space="preserve">N8080G  </v>
      </c>
      <c r="BC4286">
        <v>1</v>
      </c>
      <c r="BE4286">
        <v>0</v>
      </c>
      <c r="BF4286">
        <v>0</v>
      </c>
      <c r="BG4286">
        <v>0</v>
      </c>
      <c r="BH4286">
        <v>1325</v>
      </c>
      <c r="BI4286">
        <v>1</v>
      </c>
      <c r="BJ4286">
        <v>1</v>
      </c>
      <c r="BK4286">
        <v>1</v>
      </c>
      <c r="BL4286">
        <v>0</v>
      </c>
      <c r="BO4286">
        <v>0</v>
      </c>
      <c r="BP4286">
        <v>0</v>
      </c>
      <c r="BW4286" t="str">
        <f>"20:38:09.947"</f>
        <v>20:38:09.947</v>
      </c>
      <c r="BZ4286">
        <v>0</v>
      </c>
      <c r="CA4286">
        <v>1600</v>
      </c>
      <c r="CB4286">
        <v>224</v>
      </c>
      <c r="CD4286">
        <v>1</v>
      </c>
      <c r="CE4286">
        <v>0</v>
      </c>
      <c r="CF4286">
        <v>0</v>
      </c>
      <c r="CG4286">
        <v>1</v>
      </c>
      <c r="CH4286">
        <v>0</v>
      </c>
      <c r="CI4286">
        <v>0</v>
      </c>
      <c r="CJ4286">
        <v>0</v>
      </c>
      <c r="CK4286">
        <v>2</v>
      </c>
      <c r="CL4286">
        <v>0</v>
      </c>
      <c r="CM4286">
        <v>2</v>
      </c>
      <c r="CN4286">
        <v>0</v>
      </c>
      <c r="CO4286">
        <v>2</v>
      </c>
      <c r="CP4286" t="s">
        <v>119</v>
      </c>
      <c r="CQ4286">
        <v>179</v>
      </c>
      <c r="CR4286">
        <v>2</v>
      </c>
      <c r="CW4286">
        <v>12662289</v>
      </c>
      <c r="CY4286">
        <v>0</v>
      </c>
      <c r="CZ4286">
        <v>0</v>
      </c>
      <c r="DA4286">
        <v>1</v>
      </c>
      <c r="DB4286">
        <v>0</v>
      </c>
      <c r="DC4286">
        <v>0</v>
      </c>
      <c r="DD4286">
        <v>0</v>
      </c>
      <c r="DE4286">
        <v>0</v>
      </c>
      <c r="DF4286">
        <v>0</v>
      </c>
      <c r="DG4286">
        <v>0</v>
      </c>
      <c r="DH4286">
        <v>0</v>
      </c>
      <c r="DI4286">
        <v>0</v>
      </c>
    </row>
    <row r="4287" spans="1:113" x14ac:dyDescent="0.3">
      <c r="A4287" t="str">
        <f>"02/08/2021 20:38:10.750"</f>
        <v>02/08/2021 20:38:10.750</v>
      </c>
      <c r="C4287" t="str">
        <f t="shared" si="212"/>
        <v>FFDFD7C0</v>
      </c>
      <c r="D4287" t="s">
        <v>124</v>
      </c>
      <c r="E4287">
        <v>13</v>
      </c>
      <c r="F4287">
        <v>1013</v>
      </c>
      <c r="G4287" t="s">
        <v>114</v>
      </c>
      <c r="J4287" t="s">
        <v>125</v>
      </c>
      <c r="K4287">
        <v>0</v>
      </c>
      <c r="L4287">
        <v>3</v>
      </c>
      <c r="M4287">
        <v>0</v>
      </c>
      <c r="N4287">
        <v>2</v>
      </c>
      <c r="O4287">
        <v>1</v>
      </c>
      <c r="P4287">
        <v>0</v>
      </c>
      <c r="Q4287">
        <v>0</v>
      </c>
      <c r="S4287" t="str">
        <f>"20:38:13.086"</f>
        <v>20:38:13.086</v>
      </c>
      <c r="T4287" t="str">
        <f>"20:38:12.586"</f>
        <v>20:38:12.586</v>
      </c>
      <c r="U4287" t="str">
        <f t="shared" si="211"/>
        <v>AB01F4</v>
      </c>
      <c r="V4287">
        <v>0</v>
      </c>
      <c r="W4287">
        <v>0</v>
      </c>
      <c r="X4287">
        <v>2</v>
      </c>
      <c r="Z4287">
        <v>0</v>
      </c>
      <c r="AA4287">
        <v>9</v>
      </c>
      <c r="AB4287">
        <v>3</v>
      </c>
      <c r="AC4287">
        <v>0</v>
      </c>
      <c r="AD4287">
        <v>10</v>
      </c>
      <c r="AE4287">
        <v>0</v>
      </c>
      <c r="AF4287">
        <v>3</v>
      </c>
      <c r="AG4287">
        <v>2</v>
      </c>
      <c r="AH4287">
        <v>0</v>
      </c>
      <c r="AI4287" t="s">
        <v>2393</v>
      </c>
      <c r="AJ4287">
        <v>40.166488000000001</v>
      </c>
      <c r="AK4287" t="s">
        <v>2394</v>
      </c>
      <c r="AL4287">
        <v>-93.169363000000004</v>
      </c>
      <c r="AM4287">
        <v>100</v>
      </c>
      <c r="AN4287">
        <v>1300</v>
      </c>
      <c r="AO4287" t="s">
        <v>118</v>
      </c>
      <c r="AP4287">
        <v>-133</v>
      </c>
      <c r="AQ4287">
        <v>-24</v>
      </c>
      <c r="AR4287">
        <v>128</v>
      </c>
      <c r="AZ4287">
        <v>1200</v>
      </c>
      <c r="BA4287">
        <v>1</v>
      </c>
      <c r="BB4287" t="str">
        <f t="shared" si="213"/>
        <v xml:space="preserve">N8080G  </v>
      </c>
      <c r="BC4287">
        <v>1</v>
      </c>
      <c r="BE4287">
        <v>0</v>
      </c>
      <c r="BF4287">
        <v>0</v>
      </c>
      <c r="BG4287">
        <v>0</v>
      </c>
      <c r="BH4287">
        <v>1350</v>
      </c>
      <c r="BI4287">
        <v>1</v>
      </c>
      <c r="BJ4287">
        <v>1</v>
      </c>
      <c r="BK4287">
        <v>1</v>
      </c>
      <c r="BL4287">
        <v>0</v>
      </c>
      <c r="BO4287">
        <v>0</v>
      </c>
      <c r="BP4287">
        <v>0</v>
      </c>
      <c r="BW4287" t="str">
        <f>"20:38:13.090"</f>
        <v>20:38:13.090</v>
      </c>
      <c r="BZ4287">
        <v>0</v>
      </c>
      <c r="CA4287">
        <v>1600</v>
      </c>
      <c r="CB4287">
        <v>224</v>
      </c>
      <c r="CD4287">
        <v>1</v>
      </c>
      <c r="CE4287">
        <v>0</v>
      </c>
      <c r="CF4287">
        <v>0</v>
      </c>
      <c r="CG4287">
        <v>1</v>
      </c>
      <c r="CH4287">
        <v>0</v>
      </c>
      <c r="CI4287">
        <v>0</v>
      </c>
      <c r="CJ4287">
        <v>0</v>
      </c>
      <c r="CK4287">
        <v>2</v>
      </c>
      <c r="CL4287">
        <v>0</v>
      </c>
      <c r="CM4287">
        <v>2</v>
      </c>
      <c r="CN4287">
        <v>0</v>
      </c>
      <c r="CO4287">
        <v>3</v>
      </c>
      <c r="CP4287" t="s">
        <v>119</v>
      </c>
      <c r="CQ4287">
        <v>180</v>
      </c>
      <c r="CR4287">
        <v>3</v>
      </c>
      <c r="CW4287">
        <v>1389883</v>
      </c>
      <c r="CY4287">
        <v>0</v>
      </c>
      <c r="CZ4287">
        <v>0</v>
      </c>
      <c r="DA4287">
        <v>0</v>
      </c>
      <c r="DB4287">
        <v>0</v>
      </c>
      <c r="DC4287">
        <v>0</v>
      </c>
      <c r="DD4287">
        <v>0</v>
      </c>
      <c r="DE4287">
        <v>0</v>
      </c>
      <c r="DF4287">
        <v>0</v>
      </c>
      <c r="DG4287">
        <v>0</v>
      </c>
      <c r="DH4287">
        <v>0</v>
      </c>
      <c r="DI4287">
        <v>0</v>
      </c>
    </row>
    <row r="4288" spans="1:113" x14ac:dyDescent="0.3">
      <c r="A4288" t="str">
        <f>"02/08/2021 20:38:10.750"</f>
        <v>02/08/2021 20:38:10.750</v>
      </c>
      <c r="C4288" t="str">
        <f t="shared" si="212"/>
        <v>FFDFD7C0</v>
      </c>
      <c r="D4288" t="s">
        <v>124</v>
      </c>
      <c r="E4288">
        <v>11</v>
      </c>
      <c r="F4288">
        <v>1011</v>
      </c>
      <c r="G4288" t="s">
        <v>590</v>
      </c>
      <c r="J4288" t="s">
        <v>125</v>
      </c>
      <c r="K4288">
        <v>0</v>
      </c>
      <c r="L4288">
        <v>3</v>
      </c>
      <c r="M4288">
        <v>0</v>
      </c>
      <c r="N4288">
        <v>2</v>
      </c>
      <c r="O4288">
        <v>1</v>
      </c>
      <c r="P4288">
        <v>0</v>
      </c>
      <c r="Q4288">
        <v>0</v>
      </c>
      <c r="S4288" t="str">
        <f>"20:38:13.086"</f>
        <v>20:38:13.086</v>
      </c>
      <c r="T4288" t="str">
        <f>"20:38:12.586"</f>
        <v>20:38:12.586</v>
      </c>
      <c r="U4288" t="str">
        <f t="shared" si="211"/>
        <v>AB01F4</v>
      </c>
      <c r="V4288">
        <v>0</v>
      </c>
      <c r="W4288">
        <v>0</v>
      </c>
      <c r="X4288">
        <v>2</v>
      </c>
      <c r="Z4288">
        <v>0</v>
      </c>
      <c r="AA4288">
        <v>9</v>
      </c>
      <c r="AB4288">
        <v>3</v>
      </c>
      <c r="AC4288">
        <v>0</v>
      </c>
      <c r="AD4288">
        <v>10</v>
      </c>
      <c r="AE4288">
        <v>0</v>
      </c>
      <c r="AF4288">
        <v>3</v>
      </c>
      <c r="AG4288">
        <v>2</v>
      </c>
      <c r="AH4288">
        <v>0</v>
      </c>
      <c r="AI4288" t="s">
        <v>2393</v>
      </c>
      <c r="AJ4288">
        <v>40.166488000000001</v>
      </c>
      <c r="AK4288" t="s">
        <v>2394</v>
      </c>
      <c r="AL4288">
        <v>-93.169363000000004</v>
      </c>
      <c r="AM4288">
        <v>100</v>
      </c>
      <c r="AN4288">
        <v>1300</v>
      </c>
      <c r="AO4288" t="s">
        <v>118</v>
      </c>
      <c r="AP4288">
        <v>-133</v>
      </c>
      <c r="AQ4288">
        <v>-24</v>
      </c>
      <c r="AR4288">
        <v>128</v>
      </c>
      <c r="AZ4288">
        <v>1200</v>
      </c>
      <c r="BA4288">
        <v>1</v>
      </c>
      <c r="BB4288" t="str">
        <f t="shared" si="213"/>
        <v xml:space="preserve">N8080G  </v>
      </c>
      <c r="BC4288">
        <v>1</v>
      </c>
      <c r="BE4288">
        <v>0</v>
      </c>
      <c r="BF4288">
        <v>0</v>
      </c>
      <c r="BG4288">
        <v>0</v>
      </c>
      <c r="BH4288">
        <v>1350</v>
      </c>
      <c r="BI4288">
        <v>1</v>
      </c>
      <c r="BJ4288">
        <v>1</v>
      </c>
      <c r="BK4288">
        <v>1</v>
      </c>
      <c r="BL4288">
        <v>0</v>
      </c>
      <c r="BO4288">
        <v>0</v>
      </c>
      <c r="BP4288">
        <v>0</v>
      </c>
      <c r="BW4288" t="str">
        <f>"20:38:13.090"</f>
        <v>20:38:13.090</v>
      </c>
      <c r="BZ4288">
        <v>0</v>
      </c>
      <c r="CA4288">
        <v>1600</v>
      </c>
      <c r="CB4288">
        <v>224</v>
      </c>
      <c r="CD4288">
        <v>1</v>
      </c>
      <c r="CE4288">
        <v>0</v>
      </c>
      <c r="CF4288">
        <v>0</v>
      </c>
      <c r="CG4288">
        <v>1</v>
      </c>
      <c r="CH4288">
        <v>0</v>
      </c>
      <c r="CI4288">
        <v>0</v>
      </c>
      <c r="CJ4288">
        <v>0</v>
      </c>
      <c r="CK4288">
        <v>2</v>
      </c>
      <c r="CL4288">
        <v>0</v>
      </c>
      <c r="CM4288">
        <v>2</v>
      </c>
      <c r="CN4288">
        <v>0</v>
      </c>
      <c r="CO4288">
        <v>3</v>
      </c>
      <c r="CP4288" t="s">
        <v>119</v>
      </c>
      <c r="CQ4288">
        <v>180</v>
      </c>
      <c r="CR4288">
        <v>3</v>
      </c>
      <c r="CW4288">
        <v>1389883</v>
      </c>
      <c r="CY4288">
        <v>0</v>
      </c>
      <c r="CZ4288">
        <v>0</v>
      </c>
      <c r="DA4288">
        <v>1</v>
      </c>
      <c r="DB4288">
        <v>0</v>
      </c>
      <c r="DC4288">
        <v>0</v>
      </c>
      <c r="DD4288">
        <v>0</v>
      </c>
      <c r="DE4288">
        <v>0</v>
      </c>
      <c r="DF4288">
        <v>0</v>
      </c>
      <c r="DG4288">
        <v>0</v>
      </c>
      <c r="DH4288">
        <v>0</v>
      </c>
      <c r="DI4288">
        <v>0</v>
      </c>
    </row>
    <row r="4289" spans="1:113" x14ac:dyDescent="0.3">
      <c r="A4289" t="str">
        <f>"02/08/2021 20:38:10.750"</f>
        <v>02/08/2021 20:38:10.750</v>
      </c>
      <c r="C4289" t="str">
        <f t="shared" si="212"/>
        <v>FFDFD7C0</v>
      </c>
      <c r="D4289" t="s">
        <v>113</v>
      </c>
      <c r="E4289">
        <v>6</v>
      </c>
      <c r="H4289">
        <v>165</v>
      </c>
      <c r="I4289" t="s">
        <v>114</v>
      </c>
      <c r="J4289" t="s">
        <v>115</v>
      </c>
      <c r="K4289">
        <v>0</v>
      </c>
      <c r="L4289">
        <v>3</v>
      </c>
      <c r="M4289">
        <v>0</v>
      </c>
      <c r="N4289">
        <v>2</v>
      </c>
      <c r="O4289">
        <v>1</v>
      </c>
      <c r="P4289">
        <v>0</v>
      </c>
      <c r="Q4289">
        <v>0</v>
      </c>
      <c r="S4289" t="str">
        <f>"20:38:13.086"</f>
        <v>20:38:13.086</v>
      </c>
      <c r="T4289" t="str">
        <f>"20:38:12.586"</f>
        <v>20:38:12.586</v>
      </c>
      <c r="U4289" t="str">
        <f t="shared" si="211"/>
        <v>AB01F4</v>
      </c>
      <c r="V4289">
        <v>0</v>
      </c>
      <c r="W4289">
        <v>0</v>
      </c>
      <c r="X4289">
        <v>2</v>
      </c>
      <c r="Z4289">
        <v>0</v>
      </c>
      <c r="AA4289">
        <v>9</v>
      </c>
      <c r="AB4289">
        <v>3</v>
      </c>
      <c r="AC4289">
        <v>0</v>
      </c>
      <c r="AD4289">
        <v>10</v>
      </c>
      <c r="AE4289">
        <v>0</v>
      </c>
      <c r="AF4289">
        <v>3</v>
      </c>
      <c r="AG4289">
        <v>2</v>
      </c>
      <c r="AH4289">
        <v>0</v>
      </c>
      <c r="AI4289" t="s">
        <v>2393</v>
      </c>
      <c r="AJ4289">
        <v>40.166488000000001</v>
      </c>
      <c r="AK4289" t="s">
        <v>2394</v>
      </c>
      <c r="AL4289">
        <v>-93.169363000000004</v>
      </c>
      <c r="AM4289">
        <v>100</v>
      </c>
      <c r="AN4289">
        <v>1300</v>
      </c>
      <c r="AO4289" t="s">
        <v>118</v>
      </c>
      <c r="AP4289">
        <v>-133</v>
      </c>
      <c r="AQ4289">
        <v>-24</v>
      </c>
      <c r="AR4289">
        <v>128</v>
      </c>
      <c r="AZ4289">
        <v>1200</v>
      </c>
      <c r="BA4289">
        <v>1</v>
      </c>
      <c r="BB4289" t="str">
        <f t="shared" si="213"/>
        <v xml:space="preserve">N8080G  </v>
      </c>
      <c r="BC4289">
        <v>1</v>
      </c>
      <c r="BE4289">
        <v>0</v>
      </c>
      <c r="BF4289">
        <v>0</v>
      </c>
      <c r="BG4289">
        <v>0</v>
      </c>
      <c r="BH4289">
        <v>1350</v>
      </c>
      <c r="BI4289">
        <v>1</v>
      </c>
      <c r="BJ4289">
        <v>1</v>
      </c>
      <c r="BK4289">
        <v>1</v>
      </c>
      <c r="BL4289">
        <v>0</v>
      </c>
      <c r="BO4289">
        <v>0</v>
      </c>
      <c r="BP4289">
        <v>0</v>
      </c>
      <c r="BW4289" t="str">
        <f>"20:38:13.090"</f>
        <v>20:38:13.090</v>
      </c>
      <c r="BZ4289">
        <v>0</v>
      </c>
      <c r="CA4289">
        <v>1600</v>
      </c>
      <c r="CB4289">
        <v>224</v>
      </c>
      <c r="CD4289">
        <v>1</v>
      </c>
      <c r="CE4289">
        <v>0</v>
      </c>
      <c r="CF4289">
        <v>0</v>
      </c>
      <c r="CG4289">
        <v>1</v>
      </c>
      <c r="CH4289">
        <v>0</v>
      </c>
      <c r="CI4289">
        <v>0</v>
      </c>
      <c r="CJ4289">
        <v>0</v>
      </c>
      <c r="CK4289">
        <v>2</v>
      </c>
      <c r="CL4289">
        <v>0</v>
      </c>
      <c r="CM4289">
        <v>2</v>
      </c>
      <c r="CN4289">
        <v>0</v>
      </c>
      <c r="CO4289">
        <v>3</v>
      </c>
      <c r="CP4289" t="s">
        <v>119</v>
      </c>
      <c r="CQ4289">
        <v>180</v>
      </c>
      <c r="CR4289">
        <v>3</v>
      </c>
      <c r="CW4289">
        <v>1389883</v>
      </c>
      <c r="CY4289">
        <v>0</v>
      </c>
      <c r="CZ4289">
        <v>0</v>
      </c>
      <c r="DA4289">
        <v>1</v>
      </c>
      <c r="DB4289">
        <v>0</v>
      </c>
      <c r="DC4289">
        <v>0</v>
      </c>
      <c r="DD4289">
        <v>0</v>
      </c>
      <c r="DE4289">
        <v>0</v>
      </c>
      <c r="DF4289">
        <v>0</v>
      </c>
      <c r="DG4289">
        <v>0</v>
      </c>
      <c r="DH4289">
        <v>0</v>
      </c>
      <c r="DI4289">
        <v>0</v>
      </c>
    </row>
    <row r="4290" spans="1:113" x14ac:dyDescent="0.3">
      <c r="A4290" t="str">
        <f>"02/08/2021 20:38:10.750"</f>
        <v>02/08/2021 20:38:10.750</v>
      </c>
      <c r="C4290" t="str">
        <f t="shared" si="212"/>
        <v>FFDFD7C0</v>
      </c>
      <c r="D4290" t="s">
        <v>124</v>
      </c>
      <c r="E4290">
        <v>12</v>
      </c>
      <c r="F4290">
        <v>1012</v>
      </c>
      <c r="G4290" t="s">
        <v>675</v>
      </c>
      <c r="J4290" t="s">
        <v>125</v>
      </c>
      <c r="K4290">
        <v>0</v>
      </c>
      <c r="L4290">
        <v>3</v>
      </c>
      <c r="M4290">
        <v>0</v>
      </c>
      <c r="N4290">
        <v>2</v>
      </c>
      <c r="O4290">
        <v>1</v>
      </c>
      <c r="P4290">
        <v>0</v>
      </c>
      <c r="Q4290">
        <v>0</v>
      </c>
      <c r="S4290" t="str">
        <f>"20:38:13.086"</f>
        <v>20:38:13.086</v>
      </c>
      <c r="T4290" t="str">
        <f>"20:38:12.586"</f>
        <v>20:38:12.586</v>
      </c>
      <c r="U4290" t="str">
        <f t="shared" ref="U4290:U4353" si="214">"AB01F4"</f>
        <v>AB01F4</v>
      </c>
      <c r="V4290">
        <v>0</v>
      </c>
      <c r="W4290">
        <v>0</v>
      </c>
      <c r="X4290">
        <v>2</v>
      </c>
      <c r="Z4290">
        <v>0</v>
      </c>
      <c r="AA4290">
        <v>9</v>
      </c>
      <c r="AB4290">
        <v>3</v>
      </c>
      <c r="AC4290">
        <v>0</v>
      </c>
      <c r="AD4290">
        <v>10</v>
      </c>
      <c r="AE4290">
        <v>0</v>
      </c>
      <c r="AF4290">
        <v>3</v>
      </c>
      <c r="AG4290">
        <v>2</v>
      </c>
      <c r="AH4290">
        <v>0</v>
      </c>
      <c r="AI4290" t="s">
        <v>2393</v>
      </c>
      <c r="AJ4290">
        <v>40.166488000000001</v>
      </c>
      <c r="AK4290" t="s">
        <v>2394</v>
      </c>
      <c r="AL4290">
        <v>-93.169363000000004</v>
      </c>
      <c r="AM4290">
        <v>100</v>
      </c>
      <c r="AN4290">
        <v>1300</v>
      </c>
      <c r="AO4290" t="s">
        <v>118</v>
      </c>
      <c r="AP4290">
        <v>-133</v>
      </c>
      <c r="AQ4290">
        <v>-24</v>
      </c>
      <c r="AR4290">
        <v>128</v>
      </c>
      <c r="AZ4290">
        <v>1200</v>
      </c>
      <c r="BA4290">
        <v>1</v>
      </c>
      <c r="BB4290" t="str">
        <f t="shared" si="213"/>
        <v xml:space="preserve">N8080G  </v>
      </c>
      <c r="BC4290">
        <v>1</v>
      </c>
      <c r="BE4290">
        <v>0</v>
      </c>
      <c r="BF4290">
        <v>0</v>
      </c>
      <c r="BG4290">
        <v>0</v>
      </c>
      <c r="BH4290">
        <v>1350</v>
      </c>
      <c r="BI4290">
        <v>1</v>
      </c>
      <c r="BJ4290">
        <v>1</v>
      </c>
      <c r="BK4290">
        <v>1</v>
      </c>
      <c r="BL4290">
        <v>0</v>
      </c>
      <c r="BO4290">
        <v>0</v>
      </c>
      <c r="BP4290">
        <v>0</v>
      </c>
      <c r="BW4290" t="str">
        <f>"20:38:13.090"</f>
        <v>20:38:13.090</v>
      </c>
      <c r="BZ4290">
        <v>0</v>
      </c>
      <c r="CA4290">
        <v>1600</v>
      </c>
      <c r="CB4290">
        <v>224</v>
      </c>
      <c r="CD4290">
        <v>1</v>
      </c>
      <c r="CE4290">
        <v>0</v>
      </c>
      <c r="CF4290">
        <v>0</v>
      </c>
      <c r="CG4290">
        <v>1</v>
      </c>
      <c r="CH4290">
        <v>0</v>
      </c>
      <c r="CI4290">
        <v>0</v>
      </c>
      <c r="CJ4290">
        <v>0</v>
      </c>
      <c r="CK4290">
        <v>2</v>
      </c>
      <c r="CL4290">
        <v>0</v>
      </c>
      <c r="CM4290">
        <v>2</v>
      </c>
      <c r="CN4290">
        <v>0</v>
      </c>
      <c r="CO4290">
        <v>3</v>
      </c>
      <c r="CP4290" t="s">
        <v>119</v>
      </c>
      <c r="CQ4290">
        <v>180</v>
      </c>
      <c r="CR4290">
        <v>3</v>
      </c>
      <c r="CW4290">
        <v>1389883</v>
      </c>
      <c r="CY4290">
        <v>0</v>
      </c>
      <c r="CZ4290">
        <v>0</v>
      </c>
      <c r="DA4290">
        <v>1</v>
      </c>
      <c r="DB4290">
        <v>0</v>
      </c>
      <c r="DC4290">
        <v>0</v>
      </c>
      <c r="DD4290">
        <v>0</v>
      </c>
      <c r="DE4290">
        <v>0</v>
      </c>
      <c r="DF4290">
        <v>0</v>
      </c>
      <c r="DG4290">
        <v>0</v>
      </c>
      <c r="DH4290">
        <v>0</v>
      </c>
      <c r="DI4290">
        <v>0</v>
      </c>
    </row>
    <row r="4291" spans="1:113" x14ac:dyDescent="0.3">
      <c r="A4291" t="str">
        <f>"02/08/2021 20:38:11.855"</f>
        <v>02/08/2021 20:38:11.855</v>
      </c>
      <c r="C4291" t="str">
        <f t="shared" si="212"/>
        <v>FFDFD7C0</v>
      </c>
      <c r="D4291" t="s">
        <v>124</v>
      </c>
      <c r="E4291">
        <v>13</v>
      </c>
      <c r="F4291">
        <v>1013</v>
      </c>
      <c r="G4291" t="s">
        <v>114</v>
      </c>
      <c r="J4291" t="s">
        <v>125</v>
      </c>
      <c r="K4291">
        <v>0</v>
      </c>
      <c r="L4291">
        <v>3</v>
      </c>
      <c r="M4291">
        <v>0</v>
      </c>
      <c r="N4291">
        <v>2</v>
      </c>
      <c r="O4291">
        <v>1</v>
      </c>
      <c r="P4291">
        <v>0</v>
      </c>
      <c r="Q4291">
        <v>0</v>
      </c>
      <c r="S4291" t="str">
        <f>"20:38:14.164"</f>
        <v>20:38:14.164</v>
      </c>
      <c r="T4291" t="str">
        <f>"20:38:13.664"</f>
        <v>20:38:13.664</v>
      </c>
      <c r="U4291" t="str">
        <f t="shared" si="214"/>
        <v>AB01F4</v>
      </c>
      <c r="V4291">
        <v>0</v>
      </c>
      <c r="W4291">
        <v>0</v>
      </c>
      <c r="X4291">
        <v>2</v>
      </c>
      <c r="Z4291">
        <v>0</v>
      </c>
      <c r="AA4291">
        <v>9</v>
      </c>
      <c r="AB4291">
        <v>3</v>
      </c>
      <c r="AC4291">
        <v>0</v>
      </c>
      <c r="AD4291">
        <v>10</v>
      </c>
      <c r="AE4291">
        <v>0</v>
      </c>
      <c r="AF4291">
        <v>3</v>
      </c>
      <c r="AG4291">
        <v>2</v>
      </c>
      <c r="AH4291">
        <v>0</v>
      </c>
      <c r="AI4291" t="s">
        <v>2383</v>
      </c>
      <c r="AJ4291">
        <v>40.166294999999998</v>
      </c>
      <c r="AK4291" t="s">
        <v>2395</v>
      </c>
      <c r="AL4291">
        <v>-93.170220999999998</v>
      </c>
      <c r="AM4291">
        <v>100</v>
      </c>
      <c r="AN4291">
        <v>1300</v>
      </c>
      <c r="AO4291" t="s">
        <v>118</v>
      </c>
      <c r="AP4291">
        <v>-130</v>
      </c>
      <c r="AQ4291">
        <v>-36</v>
      </c>
      <c r="AR4291">
        <v>128</v>
      </c>
      <c r="AZ4291">
        <v>1200</v>
      </c>
      <c r="BA4291">
        <v>1</v>
      </c>
      <c r="BB4291" t="str">
        <f t="shared" si="213"/>
        <v xml:space="preserve">N8080G  </v>
      </c>
      <c r="BC4291">
        <v>1</v>
      </c>
      <c r="BE4291">
        <v>0</v>
      </c>
      <c r="BF4291">
        <v>0</v>
      </c>
      <c r="BG4291">
        <v>0</v>
      </c>
      <c r="BH4291">
        <v>1350</v>
      </c>
      <c r="BI4291">
        <v>1</v>
      </c>
      <c r="BJ4291">
        <v>1</v>
      </c>
      <c r="BK4291">
        <v>1</v>
      </c>
      <c r="BL4291">
        <v>0</v>
      </c>
      <c r="BO4291">
        <v>0</v>
      </c>
      <c r="BP4291">
        <v>0</v>
      </c>
      <c r="BW4291" t="str">
        <f>"20:38:14.164"</f>
        <v>20:38:14.164</v>
      </c>
      <c r="BZ4291">
        <v>0</v>
      </c>
      <c r="CA4291">
        <v>1600</v>
      </c>
      <c r="CB4291">
        <v>224</v>
      </c>
      <c r="CD4291">
        <v>1</v>
      </c>
      <c r="CE4291">
        <v>0</v>
      </c>
      <c r="CF4291">
        <v>0</v>
      </c>
      <c r="CG4291">
        <v>1</v>
      </c>
      <c r="CH4291">
        <v>0</v>
      </c>
      <c r="CI4291">
        <v>0</v>
      </c>
      <c r="CJ4291">
        <v>0</v>
      </c>
      <c r="CK4291">
        <v>2</v>
      </c>
      <c r="CL4291">
        <v>0</v>
      </c>
      <c r="CM4291">
        <v>2</v>
      </c>
      <c r="CN4291">
        <v>0</v>
      </c>
      <c r="CO4291">
        <v>3</v>
      </c>
      <c r="CP4291" t="s">
        <v>119</v>
      </c>
      <c r="CQ4291">
        <v>180</v>
      </c>
      <c r="CR4291">
        <v>3</v>
      </c>
      <c r="CW4291">
        <v>1390654</v>
      </c>
      <c r="CY4291">
        <v>0</v>
      </c>
      <c r="CZ4291">
        <v>0</v>
      </c>
      <c r="DA4291">
        <v>0</v>
      </c>
      <c r="DB4291">
        <v>0</v>
      </c>
      <c r="DC4291">
        <v>0</v>
      </c>
      <c r="DD4291">
        <v>0</v>
      </c>
      <c r="DE4291">
        <v>0</v>
      </c>
      <c r="DF4291">
        <v>0</v>
      </c>
      <c r="DG4291">
        <v>0</v>
      </c>
      <c r="DH4291">
        <v>0</v>
      </c>
      <c r="DI4291">
        <v>0</v>
      </c>
    </row>
    <row r="4292" spans="1:113" x14ac:dyDescent="0.3">
      <c r="A4292" t="str">
        <f>"02/08/2021 20:38:11.855"</f>
        <v>02/08/2021 20:38:11.855</v>
      </c>
      <c r="C4292" t="str">
        <f t="shared" si="212"/>
        <v>FFDFD7C0</v>
      </c>
      <c r="D4292" t="s">
        <v>124</v>
      </c>
      <c r="E4292">
        <v>11</v>
      </c>
      <c r="F4292">
        <v>1011</v>
      </c>
      <c r="G4292" t="s">
        <v>590</v>
      </c>
      <c r="J4292" t="s">
        <v>125</v>
      </c>
      <c r="K4292">
        <v>0</v>
      </c>
      <c r="L4292">
        <v>3</v>
      </c>
      <c r="M4292">
        <v>0</v>
      </c>
      <c r="N4292">
        <v>2</v>
      </c>
      <c r="O4292">
        <v>1</v>
      </c>
      <c r="P4292">
        <v>0</v>
      </c>
      <c r="Q4292">
        <v>0</v>
      </c>
      <c r="S4292" t="str">
        <f>"20:38:14.164"</f>
        <v>20:38:14.164</v>
      </c>
      <c r="T4292" t="str">
        <f>"20:38:13.664"</f>
        <v>20:38:13.664</v>
      </c>
      <c r="U4292" t="str">
        <f t="shared" si="214"/>
        <v>AB01F4</v>
      </c>
      <c r="V4292">
        <v>0</v>
      </c>
      <c r="W4292">
        <v>0</v>
      </c>
      <c r="X4292">
        <v>2</v>
      </c>
      <c r="Z4292">
        <v>0</v>
      </c>
      <c r="AA4292">
        <v>9</v>
      </c>
      <c r="AB4292">
        <v>3</v>
      </c>
      <c r="AC4292">
        <v>0</v>
      </c>
      <c r="AD4292">
        <v>10</v>
      </c>
      <c r="AE4292">
        <v>0</v>
      </c>
      <c r="AF4292">
        <v>3</v>
      </c>
      <c r="AG4292">
        <v>2</v>
      </c>
      <c r="AH4292">
        <v>0</v>
      </c>
      <c r="AI4292" t="s">
        <v>2383</v>
      </c>
      <c r="AJ4292">
        <v>40.166294999999998</v>
      </c>
      <c r="AK4292" t="s">
        <v>2395</v>
      </c>
      <c r="AL4292">
        <v>-93.170220999999998</v>
      </c>
      <c r="AM4292">
        <v>100</v>
      </c>
      <c r="AN4292">
        <v>1300</v>
      </c>
      <c r="AO4292" t="s">
        <v>118</v>
      </c>
      <c r="AP4292">
        <v>-130</v>
      </c>
      <c r="AQ4292">
        <v>-36</v>
      </c>
      <c r="AR4292">
        <v>128</v>
      </c>
      <c r="AZ4292">
        <v>1200</v>
      </c>
      <c r="BA4292">
        <v>1</v>
      </c>
      <c r="BB4292" t="str">
        <f t="shared" si="213"/>
        <v xml:space="preserve">N8080G  </v>
      </c>
      <c r="BC4292">
        <v>1</v>
      </c>
      <c r="BE4292">
        <v>0</v>
      </c>
      <c r="BF4292">
        <v>0</v>
      </c>
      <c r="BG4292">
        <v>0</v>
      </c>
      <c r="BH4292">
        <v>1350</v>
      </c>
      <c r="BI4292">
        <v>1</v>
      </c>
      <c r="BJ4292">
        <v>1</v>
      </c>
      <c r="BK4292">
        <v>1</v>
      </c>
      <c r="BL4292">
        <v>0</v>
      </c>
      <c r="BO4292">
        <v>0</v>
      </c>
      <c r="BP4292">
        <v>0</v>
      </c>
      <c r="BW4292" t="str">
        <f>"20:38:14.164"</f>
        <v>20:38:14.164</v>
      </c>
      <c r="BZ4292">
        <v>0</v>
      </c>
      <c r="CA4292">
        <v>1600</v>
      </c>
      <c r="CB4292">
        <v>224</v>
      </c>
      <c r="CD4292">
        <v>1</v>
      </c>
      <c r="CE4292">
        <v>0</v>
      </c>
      <c r="CF4292">
        <v>0</v>
      </c>
      <c r="CG4292">
        <v>1</v>
      </c>
      <c r="CH4292">
        <v>0</v>
      </c>
      <c r="CI4292">
        <v>0</v>
      </c>
      <c r="CJ4292">
        <v>0</v>
      </c>
      <c r="CK4292">
        <v>2</v>
      </c>
      <c r="CL4292">
        <v>0</v>
      </c>
      <c r="CM4292">
        <v>2</v>
      </c>
      <c r="CN4292">
        <v>0</v>
      </c>
      <c r="CO4292">
        <v>3</v>
      </c>
      <c r="CP4292" t="s">
        <v>119</v>
      </c>
      <c r="CQ4292">
        <v>180</v>
      </c>
      <c r="CR4292">
        <v>3</v>
      </c>
      <c r="CW4292">
        <v>1390654</v>
      </c>
      <c r="CY4292">
        <v>0</v>
      </c>
      <c r="CZ4292">
        <v>0</v>
      </c>
      <c r="DA4292">
        <v>1</v>
      </c>
      <c r="DB4292">
        <v>0</v>
      </c>
      <c r="DC4292">
        <v>0</v>
      </c>
      <c r="DD4292">
        <v>0</v>
      </c>
      <c r="DE4292">
        <v>0</v>
      </c>
      <c r="DF4292">
        <v>0</v>
      </c>
      <c r="DG4292">
        <v>0</v>
      </c>
      <c r="DH4292">
        <v>0</v>
      </c>
      <c r="DI4292">
        <v>0</v>
      </c>
    </row>
    <row r="4293" spans="1:113" x14ac:dyDescent="0.3">
      <c r="A4293" t="str">
        <f>"02/08/2021 20:38:11.855"</f>
        <v>02/08/2021 20:38:11.855</v>
      </c>
      <c r="C4293" t="str">
        <f t="shared" si="212"/>
        <v>FFDFD7C0</v>
      </c>
      <c r="D4293" t="s">
        <v>124</v>
      </c>
      <c r="E4293">
        <v>12</v>
      </c>
      <c r="F4293">
        <v>1012</v>
      </c>
      <c r="G4293" t="s">
        <v>675</v>
      </c>
      <c r="J4293" t="s">
        <v>125</v>
      </c>
      <c r="K4293">
        <v>0</v>
      </c>
      <c r="L4293">
        <v>3</v>
      </c>
      <c r="M4293">
        <v>0</v>
      </c>
      <c r="N4293">
        <v>2</v>
      </c>
      <c r="O4293">
        <v>1</v>
      </c>
      <c r="P4293">
        <v>0</v>
      </c>
      <c r="Q4293">
        <v>0</v>
      </c>
      <c r="S4293" t="str">
        <f>"20:38:14.164"</f>
        <v>20:38:14.164</v>
      </c>
      <c r="T4293" t="str">
        <f>"20:38:13.664"</f>
        <v>20:38:13.664</v>
      </c>
      <c r="U4293" t="str">
        <f t="shared" si="214"/>
        <v>AB01F4</v>
      </c>
      <c r="V4293">
        <v>0</v>
      </c>
      <c r="W4293">
        <v>0</v>
      </c>
      <c r="X4293">
        <v>2</v>
      </c>
      <c r="Z4293">
        <v>0</v>
      </c>
      <c r="AA4293">
        <v>9</v>
      </c>
      <c r="AB4293">
        <v>3</v>
      </c>
      <c r="AC4293">
        <v>0</v>
      </c>
      <c r="AD4293">
        <v>10</v>
      </c>
      <c r="AE4293">
        <v>0</v>
      </c>
      <c r="AF4293">
        <v>3</v>
      </c>
      <c r="AG4293">
        <v>2</v>
      </c>
      <c r="AH4293">
        <v>0</v>
      </c>
      <c r="AI4293" t="s">
        <v>2383</v>
      </c>
      <c r="AJ4293">
        <v>40.166294999999998</v>
      </c>
      <c r="AK4293" t="s">
        <v>2395</v>
      </c>
      <c r="AL4293">
        <v>-93.170220999999998</v>
      </c>
      <c r="AM4293">
        <v>100</v>
      </c>
      <c r="AN4293">
        <v>1300</v>
      </c>
      <c r="AO4293" t="s">
        <v>118</v>
      </c>
      <c r="AP4293">
        <v>-130</v>
      </c>
      <c r="AQ4293">
        <v>-36</v>
      </c>
      <c r="AR4293">
        <v>128</v>
      </c>
      <c r="AZ4293">
        <v>1200</v>
      </c>
      <c r="BA4293">
        <v>1</v>
      </c>
      <c r="BB4293" t="str">
        <f t="shared" si="213"/>
        <v xml:space="preserve">N8080G  </v>
      </c>
      <c r="BC4293">
        <v>1</v>
      </c>
      <c r="BE4293">
        <v>0</v>
      </c>
      <c r="BF4293">
        <v>0</v>
      </c>
      <c r="BG4293">
        <v>0</v>
      </c>
      <c r="BH4293">
        <v>1350</v>
      </c>
      <c r="BI4293">
        <v>1</v>
      </c>
      <c r="BJ4293">
        <v>1</v>
      </c>
      <c r="BK4293">
        <v>1</v>
      </c>
      <c r="BL4293">
        <v>0</v>
      </c>
      <c r="BO4293">
        <v>0</v>
      </c>
      <c r="BP4293">
        <v>0</v>
      </c>
      <c r="BW4293" t="str">
        <f>"20:38:14.164"</f>
        <v>20:38:14.164</v>
      </c>
      <c r="BZ4293">
        <v>0</v>
      </c>
      <c r="CA4293">
        <v>1600</v>
      </c>
      <c r="CB4293">
        <v>224</v>
      </c>
      <c r="CD4293">
        <v>1</v>
      </c>
      <c r="CE4293">
        <v>0</v>
      </c>
      <c r="CF4293">
        <v>0</v>
      </c>
      <c r="CG4293">
        <v>1</v>
      </c>
      <c r="CH4293">
        <v>0</v>
      </c>
      <c r="CI4293">
        <v>0</v>
      </c>
      <c r="CJ4293">
        <v>0</v>
      </c>
      <c r="CK4293">
        <v>2</v>
      </c>
      <c r="CL4293">
        <v>0</v>
      </c>
      <c r="CM4293">
        <v>2</v>
      </c>
      <c r="CN4293">
        <v>0</v>
      </c>
      <c r="CO4293">
        <v>3</v>
      </c>
      <c r="CP4293" t="s">
        <v>119</v>
      </c>
      <c r="CQ4293">
        <v>180</v>
      </c>
      <c r="CR4293">
        <v>3</v>
      </c>
      <c r="CW4293">
        <v>1390654</v>
      </c>
      <c r="CY4293">
        <v>0</v>
      </c>
      <c r="CZ4293">
        <v>0</v>
      </c>
      <c r="DA4293">
        <v>1</v>
      </c>
      <c r="DB4293">
        <v>0</v>
      </c>
      <c r="DC4293">
        <v>0</v>
      </c>
      <c r="DD4293">
        <v>0</v>
      </c>
      <c r="DE4293">
        <v>0</v>
      </c>
      <c r="DF4293">
        <v>0</v>
      </c>
      <c r="DG4293">
        <v>0</v>
      </c>
      <c r="DH4293">
        <v>0</v>
      </c>
      <c r="DI4293">
        <v>0</v>
      </c>
    </row>
    <row r="4294" spans="1:113" x14ac:dyDescent="0.3">
      <c r="A4294" t="str">
        <f>"02/08/2021 20:38:11.855"</f>
        <v>02/08/2021 20:38:11.855</v>
      </c>
      <c r="C4294" t="str">
        <f t="shared" si="212"/>
        <v>FFDFD7C0</v>
      </c>
      <c r="D4294" t="s">
        <v>113</v>
      </c>
      <c r="E4294">
        <v>6</v>
      </c>
      <c r="H4294">
        <v>165</v>
      </c>
      <c r="I4294" t="s">
        <v>114</v>
      </c>
      <c r="J4294" t="s">
        <v>115</v>
      </c>
      <c r="K4294">
        <v>0</v>
      </c>
      <c r="L4294">
        <v>3</v>
      </c>
      <c r="M4294">
        <v>0</v>
      </c>
      <c r="N4294">
        <v>2</v>
      </c>
      <c r="O4294">
        <v>1</v>
      </c>
      <c r="P4294">
        <v>0</v>
      </c>
      <c r="Q4294">
        <v>0</v>
      </c>
      <c r="S4294" t="str">
        <f>"20:38:14.164"</f>
        <v>20:38:14.164</v>
      </c>
      <c r="T4294" t="str">
        <f>"20:38:13.664"</f>
        <v>20:38:13.664</v>
      </c>
      <c r="U4294" t="str">
        <f t="shared" si="214"/>
        <v>AB01F4</v>
      </c>
      <c r="V4294">
        <v>0</v>
      </c>
      <c r="W4294">
        <v>0</v>
      </c>
      <c r="X4294">
        <v>2</v>
      </c>
      <c r="Z4294">
        <v>0</v>
      </c>
      <c r="AA4294">
        <v>9</v>
      </c>
      <c r="AB4294">
        <v>3</v>
      </c>
      <c r="AC4294">
        <v>0</v>
      </c>
      <c r="AD4294">
        <v>10</v>
      </c>
      <c r="AE4294">
        <v>0</v>
      </c>
      <c r="AF4294">
        <v>3</v>
      </c>
      <c r="AG4294">
        <v>2</v>
      </c>
      <c r="AH4294">
        <v>0</v>
      </c>
      <c r="AI4294" t="s">
        <v>2383</v>
      </c>
      <c r="AJ4294">
        <v>40.166294999999998</v>
      </c>
      <c r="AK4294" t="s">
        <v>2395</v>
      </c>
      <c r="AL4294">
        <v>-93.170220999999998</v>
      </c>
      <c r="AM4294">
        <v>100</v>
      </c>
      <c r="AN4294">
        <v>1300</v>
      </c>
      <c r="AO4294" t="s">
        <v>118</v>
      </c>
      <c r="AP4294">
        <v>-130</v>
      </c>
      <c r="AQ4294">
        <v>-36</v>
      </c>
      <c r="AR4294">
        <v>128</v>
      </c>
      <c r="AZ4294">
        <v>1200</v>
      </c>
      <c r="BA4294">
        <v>1</v>
      </c>
      <c r="BB4294" t="str">
        <f t="shared" si="213"/>
        <v xml:space="preserve">N8080G  </v>
      </c>
      <c r="BC4294">
        <v>1</v>
      </c>
      <c r="BE4294">
        <v>0</v>
      </c>
      <c r="BF4294">
        <v>0</v>
      </c>
      <c r="BG4294">
        <v>0</v>
      </c>
      <c r="BH4294">
        <v>1350</v>
      </c>
      <c r="BI4294">
        <v>1</v>
      </c>
      <c r="BJ4294">
        <v>1</v>
      </c>
      <c r="BK4294">
        <v>1</v>
      </c>
      <c r="BL4294">
        <v>0</v>
      </c>
      <c r="BO4294">
        <v>0</v>
      </c>
      <c r="BP4294">
        <v>0</v>
      </c>
      <c r="BW4294" t="str">
        <f>"20:38:14.164"</f>
        <v>20:38:14.164</v>
      </c>
      <c r="BZ4294">
        <v>0</v>
      </c>
      <c r="CA4294">
        <v>1600</v>
      </c>
      <c r="CB4294">
        <v>224</v>
      </c>
      <c r="CD4294">
        <v>1</v>
      </c>
      <c r="CE4294">
        <v>0</v>
      </c>
      <c r="CF4294">
        <v>0</v>
      </c>
      <c r="CG4294">
        <v>1</v>
      </c>
      <c r="CH4294">
        <v>0</v>
      </c>
      <c r="CI4294">
        <v>0</v>
      </c>
      <c r="CJ4294">
        <v>0</v>
      </c>
      <c r="CK4294">
        <v>2</v>
      </c>
      <c r="CL4294">
        <v>0</v>
      </c>
      <c r="CM4294">
        <v>2</v>
      </c>
      <c r="CN4294">
        <v>0</v>
      </c>
      <c r="CO4294">
        <v>3</v>
      </c>
      <c r="CP4294" t="s">
        <v>119</v>
      </c>
      <c r="CQ4294">
        <v>180</v>
      </c>
      <c r="CR4294">
        <v>3</v>
      </c>
      <c r="CW4294">
        <v>1390654</v>
      </c>
      <c r="CY4294">
        <v>0</v>
      </c>
      <c r="CZ4294">
        <v>0</v>
      </c>
      <c r="DA4294">
        <v>1</v>
      </c>
      <c r="DB4294">
        <v>0</v>
      </c>
      <c r="DC4294">
        <v>0</v>
      </c>
      <c r="DD4294">
        <v>0</v>
      </c>
      <c r="DE4294">
        <v>0</v>
      </c>
      <c r="DF4294">
        <v>0</v>
      </c>
      <c r="DG4294">
        <v>0</v>
      </c>
      <c r="DH4294">
        <v>0</v>
      </c>
      <c r="DI4294">
        <v>0</v>
      </c>
    </row>
    <row r="4295" spans="1:113" x14ac:dyDescent="0.3">
      <c r="A4295" t="str">
        <f>"02/08/2021 20:38:12.938"</f>
        <v>02/08/2021 20:38:12.938</v>
      </c>
      <c r="C4295" t="str">
        <f t="shared" si="212"/>
        <v>FFDFD7C0</v>
      </c>
      <c r="D4295" t="s">
        <v>113</v>
      </c>
      <c r="E4295">
        <v>6</v>
      </c>
      <c r="H4295">
        <v>165</v>
      </c>
      <c r="I4295" t="s">
        <v>114</v>
      </c>
      <c r="J4295" t="s">
        <v>115</v>
      </c>
      <c r="K4295">
        <v>0</v>
      </c>
      <c r="L4295">
        <v>3</v>
      </c>
      <c r="M4295">
        <v>0</v>
      </c>
      <c r="N4295">
        <v>2</v>
      </c>
      <c r="O4295">
        <v>1</v>
      </c>
      <c r="P4295">
        <v>0</v>
      </c>
      <c r="Q4295">
        <v>0</v>
      </c>
      <c r="S4295" t="str">
        <f>"20:38:15.289"</f>
        <v>20:38:15.289</v>
      </c>
      <c r="T4295" t="str">
        <f>"20:38:14.789"</f>
        <v>20:38:14.789</v>
      </c>
      <c r="U4295" t="str">
        <f t="shared" si="214"/>
        <v>AB01F4</v>
      </c>
      <c r="V4295">
        <v>0</v>
      </c>
      <c r="W4295">
        <v>0</v>
      </c>
      <c r="X4295">
        <v>2</v>
      </c>
      <c r="Z4295">
        <v>0</v>
      </c>
      <c r="AA4295">
        <v>9</v>
      </c>
      <c r="AB4295">
        <v>3</v>
      </c>
      <c r="AC4295">
        <v>0</v>
      </c>
      <c r="AD4295">
        <v>10</v>
      </c>
      <c r="AE4295">
        <v>0</v>
      </c>
      <c r="AF4295">
        <v>3</v>
      </c>
      <c r="AG4295">
        <v>2</v>
      </c>
      <c r="AH4295">
        <v>0</v>
      </c>
      <c r="AI4295" t="s">
        <v>2396</v>
      </c>
      <c r="AJ4295">
        <v>40.166058999999997</v>
      </c>
      <c r="AK4295" t="s">
        <v>2397</v>
      </c>
      <c r="AL4295">
        <v>-93.171058000000002</v>
      </c>
      <c r="AM4295">
        <v>100</v>
      </c>
      <c r="AN4295">
        <v>1300</v>
      </c>
      <c r="AO4295" t="s">
        <v>118</v>
      </c>
      <c r="AP4295">
        <v>-128</v>
      </c>
      <c r="AQ4295">
        <v>-43</v>
      </c>
      <c r="AR4295">
        <v>256</v>
      </c>
      <c r="AZ4295">
        <v>1200</v>
      </c>
      <c r="BA4295">
        <v>1</v>
      </c>
      <c r="BB4295" t="str">
        <f t="shared" si="213"/>
        <v xml:space="preserve">N8080G  </v>
      </c>
      <c r="BC4295">
        <v>1</v>
      </c>
      <c r="BE4295">
        <v>0</v>
      </c>
      <c r="BF4295">
        <v>0</v>
      </c>
      <c r="BG4295">
        <v>0</v>
      </c>
      <c r="BH4295">
        <v>1350</v>
      </c>
      <c r="BI4295">
        <v>1</v>
      </c>
      <c r="BJ4295">
        <v>1</v>
      </c>
      <c r="BK4295">
        <v>1</v>
      </c>
      <c r="BL4295">
        <v>0</v>
      </c>
      <c r="BO4295">
        <v>0</v>
      </c>
      <c r="BP4295">
        <v>0</v>
      </c>
      <c r="BW4295" t="str">
        <f>"20:38:15.290"</f>
        <v>20:38:15.290</v>
      </c>
      <c r="BZ4295">
        <v>0</v>
      </c>
      <c r="CA4295">
        <v>1600</v>
      </c>
      <c r="CB4295">
        <v>224</v>
      </c>
      <c r="CD4295">
        <v>1</v>
      </c>
      <c r="CE4295">
        <v>0</v>
      </c>
      <c r="CF4295">
        <v>0</v>
      </c>
      <c r="CG4295">
        <v>1</v>
      </c>
      <c r="CH4295">
        <v>0</v>
      </c>
      <c r="CI4295">
        <v>0</v>
      </c>
      <c r="CJ4295">
        <v>0</v>
      </c>
      <c r="CK4295">
        <v>2</v>
      </c>
      <c r="CL4295">
        <v>0</v>
      </c>
      <c r="CM4295">
        <v>2</v>
      </c>
      <c r="CN4295">
        <v>0</v>
      </c>
      <c r="CO4295">
        <v>3</v>
      </c>
      <c r="CP4295" t="s">
        <v>119</v>
      </c>
      <c r="CQ4295">
        <v>180</v>
      </c>
      <c r="CR4295">
        <v>3</v>
      </c>
      <c r="CW4295">
        <v>1391521</v>
      </c>
      <c r="CY4295">
        <v>0</v>
      </c>
      <c r="CZ4295">
        <v>0</v>
      </c>
      <c r="DA4295">
        <v>0</v>
      </c>
      <c r="DB4295">
        <v>0</v>
      </c>
      <c r="DC4295">
        <v>0</v>
      </c>
      <c r="DD4295">
        <v>0</v>
      </c>
      <c r="DE4295">
        <v>0</v>
      </c>
      <c r="DF4295">
        <v>0</v>
      </c>
      <c r="DG4295">
        <v>0</v>
      </c>
      <c r="DH4295">
        <v>0</v>
      </c>
      <c r="DI4295">
        <v>0</v>
      </c>
    </row>
    <row r="4296" spans="1:113" x14ac:dyDescent="0.3">
      <c r="A4296" t="str">
        <f>"02/08/2021 20:38:12.938"</f>
        <v>02/08/2021 20:38:12.938</v>
      </c>
      <c r="C4296" t="str">
        <f t="shared" si="212"/>
        <v>FFDFD7C0</v>
      </c>
      <c r="D4296" t="s">
        <v>124</v>
      </c>
      <c r="E4296">
        <v>13</v>
      </c>
      <c r="F4296">
        <v>1013</v>
      </c>
      <c r="G4296" t="s">
        <v>114</v>
      </c>
      <c r="J4296" t="s">
        <v>125</v>
      </c>
      <c r="K4296">
        <v>0</v>
      </c>
      <c r="L4296">
        <v>3</v>
      </c>
      <c r="M4296">
        <v>0</v>
      </c>
      <c r="N4296">
        <v>2</v>
      </c>
      <c r="O4296">
        <v>1</v>
      </c>
      <c r="P4296">
        <v>0</v>
      </c>
      <c r="Q4296">
        <v>0</v>
      </c>
      <c r="S4296" t="str">
        <f>"20:38:15.289"</f>
        <v>20:38:15.289</v>
      </c>
      <c r="T4296" t="str">
        <f>"20:38:14.789"</f>
        <v>20:38:14.789</v>
      </c>
      <c r="U4296" t="str">
        <f t="shared" si="214"/>
        <v>AB01F4</v>
      </c>
      <c r="V4296">
        <v>0</v>
      </c>
      <c r="W4296">
        <v>0</v>
      </c>
      <c r="X4296">
        <v>2</v>
      </c>
      <c r="Z4296">
        <v>0</v>
      </c>
      <c r="AA4296">
        <v>9</v>
      </c>
      <c r="AB4296">
        <v>3</v>
      </c>
      <c r="AC4296">
        <v>0</v>
      </c>
      <c r="AD4296">
        <v>10</v>
      </c>
      <c r="AE4296">
        <v>0</v>
      </c>
      <c r="AF4296">
        <v>3</v>
      </c>
      <c r="AG4296">
        <v>2</v>
      </c>
      <c r="AH4296">
        <v>0</v>
      </c>
      <c r="AI4296" t="s">
        <v>2396</v>
      </c>
      <c r="AJ4296">
        <v>40.166058999999997</v>
      </c>
      <c r="AK4296" t="s">
        <v>2397</v>
      </c>
      <c r="AL4296">
        <v>-93.171058000000002</v>
      </c>
      <c r="AM4296">
        <v>100</v>
      </c>
      <c r="AN4296">
        <v>1300</v>
      </c>
      <c r="AO4296" t="s">
        <v>118</v>
      </c>
      <c r="AP4296">
        <v>-128</v>
      </c>
      <c r="AQ4296">
        <v>-43</v>
      </c>
      <c r="AR4296">
        <v>256</v>
      </c>
      <c r="AZ4296">
        <v>1200</v>
      </c>
      <c r="BA4296">
        <v>1</v>
      </c>
      <c r="BB4296" t="str">
        <f t="shared" si="213"/>
        <v xml:space="preserve">N8080G  </v>
      </c>
      <c r="BC4296">
        <v>1</v>
      </c>
      <c r="BE4296">
        <v>0</v>
      </c>
      <c r="BF4296">
        <v>0</v>
      </c>
      <c r="BG4296">
        <v>0</v>
      </c>
      <c r="BH4296">
        <v>1350</v>
      </c>
      <c r="BI4296">
        <v>1</v>
      </c>
      <c r="BJ4296">
        <v>1</v>
      </c>
      <c r="BK4296">
        <v>1</v>
      </c>
      <c r="BL4296">
        <v>0</v>
      </c>
      <c r="BO4296">
        <v>0</v>
      </c>
      <c r="BP4296">
        <v>0</v>
      </c>
      <c r="BW4296" t="str">
        <f>"20:38:15.290"</f>
        <v>20:38:15.290</v>
      </c>
      <c r="BZ4296">
        <v>0</v>
      </c>
      <c r="CA4296">
        <v>1600</v>
      </c>
      <c r="CB4296">
        <v>224</v>
      </c>
      <c r="CD4296">
        <v>1</v>
      </c>
      <c r="CE4296">
        <v>0</v>
      </c>
      <c r="CF4296">
        <v>0</v>
      </c>
      <c r="CG4296">
        <v>1</v>
      </c>
      <c r="CH4296">
        <v>0</v>
      </c>
      <c r="CI4296">
        <v>0</v>
      </c>
      <c r="CJ4296">
        <v>0</v>
      </c>
      <c r="CK4296">
        <v>2</v>
      </c>
      <c r="CL4296">
        <v>0</v>
      </c>
      <c r="CM4296">
        <v>2</v>
      </c>
      <c r="CN4296">
        <v>0</v>
      </c>
      <c r="CO4296">
        <v>3</v>
      </c>
      <c r="CP4296" t="s">
        <v>119</v>
      </c>
      <c r="CQ4296">
        <v>180</v>
      </c>
      <c r="CR4296">
        <v>3</v>
      </c>
      <c r="CW4296">
        <v>1391521</v>
      </c>
      <c r="CY4296">
        <v>0</v>
      </c>
      <c r="CZ4296">
        <v>0</v>
      </c>
      <c r="DA4296">
        <v>1</v>
      </c>
      <c r="DB4296">
        <v>0</v>
      </c>
      <c r="DC4296">
        <v>0</v>
      </c>
      <c r="DD4296">
        <v>0</v>
      </c>
      <c r="DE4296">
        <v>0</v>
      </c>
      <c r="DF4296">
        <v>0</v>
      </c>
      <c r="DG4296">
        <v>0</v>
      </c>
      <c r="DH4296">
        <v>0</v>
      </c>
      <c r="DI4296">
        <v>0</v>
      </c>
    </row>
    <row r="4297" spans="1:113" x14ac:dyDescent="0.3">
      <c r="A4297" t="str">
        <f>"02/08/2021 20:38:12.938"</f>
        <v>02/08/2021 20:38:12.938</v>
      </c>
      <c r="C4297" t="str">
        <f t="shared" si="212"/>
        <v>FFDFD7C0</v>
      </c>
      <c r="D4297" t="s">
        <v>124</v>
      </c>
      <c r="E4297">
        <v>11</v>
      </c>
      <c r="F4297">
        <v>1011</v>
      </c>
      <c r="G4297" t="s">
        <v>590</v>
      </c>
      <c r="J4297" t="s">
        <v>125</v>
      </c>
      <c r="K4297">
        <v>0</v>
      </c>
      <c r="L4297">
        <v>3</v>
      </c>
      <c r="M4297">
        <v>0</v>
      </c>
      <c r="N4297">
        <v>2</v>
      </c>
      <c r="O4297">
        <v>1</v>
      </c>
      <c r="P4297">
        <v>0</v>
      </c>
      <c r="Q4297">
        <v>0</v>
      </c>
      <c r="S4297" t="str">
        <f>"20:38:15.289"</f>
        <v>20:38:15.289</v>
      </c>
      <c r="T4297" t="str">
        <f>"20:38:14.789"</f>
        <v>20:38:14.789</v>
      </c>
      <c r="U4297" t="str">
        <f t="shared" si="214"/>
        <v>AB01F4</v>
      </c>
      <c r="V4297">
        <v>0</v>
      </c>
      <c r="W4297">
        <v>0</v>
      </c>
      <c r="X4297">
        <v>2</v>
      </c>
      <c r="Z4297">
        <v>0</v>
      </c>
      <c r="AA4297">
        <v>9</v>
      </c>
      <c r="AB4297">
        <v>3</v>
      </c>
      <c r="AC4297">
        <v>0</v>
      </c>
      <c r="AD4297">
        <v>10</v>
      </c>
      <c r="AE4297">
        <v>0</v>
      </c>
      <c r="AF4297">
        <v>3</v>
      </c>
      <c r="AG4297">
        <v>2</v>
      </c>
      <c r="AH4297">
        <v>0</v>
      </c>
      <c r="AI4297" t="s">
        <v>2396</v>
      </c>
      <c r="AJ4297">
        <v>40.166058999999997</v>
      </c>
      <c r="AK4297" t="s">
        <v>2397</v>
      </c>
      <c r="AL4297">
        <v>-93.171058000000002</v>
      </c>
      <c r="AM4297">
        <v>100</v>
      </c>
      <c r="AN4297">
        <v>1300</v>
      </c>
      <c r="AO4297" t="s">
        <v>118</v>
      </c>
      <c r="AP4297">
        <v>-128</v>
      </c>
      <c r="AQ4297">
        <v>-43</v>
      </c>
      <c r="AR4297">
        <v>256</v>
      </c>
      <c r="AZ4297">
        <v>1200</v>
      </c>
      <c r="BA4297">
        <v>1</v>
      </c>
      <c r="BB4297" t="str">
        <f t="shared" si="213"/>
        <v xml:space="preserve">N8080G  </v>
      </c>
      <c r="BC4297">
        <v>1</v>
      </c>
      <c r="BE4297">
        <v>0</v>
      </c>
      <c r="BF4297">
        <v>0</v>
      </c>
      <c r="BG4297">
        <v>0</v>
      </c>
      <c r="BH4297">
        <v>1350</v>
      </c>
      <c r="BI4297">
        <v>1</v>
      </c>
      <c r="BJ4297">
        <v>1</v>
      </c>
      <c r="BK4297">
        <v>1</v>
      </c>
      <c r="BL4297">
        <v>0</v>
      </c>
      <c r="BO4297">
        <v>0</v>
      </c>
      <c r="BP4297">
        <v>0</v>
      </c>
      <c r="BW4297" t="str">
        <f>"20:38:15.290"</f>
        <v>20:38:15.290</v>
      </c>
      <c r="BZ4297">
        <v>0</v>
      </c>
      <c r="CA4297">
        <v>1600</v>
      </c>
      <c r="CB4297">
        <v>224</v>
      </c>
      <c r="CD4297">
        <v>1</v>
      </c>
      <c r="CE4297">
        <v>0</v>
      </c>
      <c r="CF4297">
        <v>0</v>
      </c>
      <c r="CG4297">
        <v>1</v>
      </c>
      <c r="CH4297">
        <v>0</v>
      </c>
      <c r="CI4297">
        <v>0</v>
      </c>
      <c r="CJ4297">
        <v>0</v>
      </c>
      <c r="CK4297">
        <v>2</v>
      </c>
      <c r="CL4297">
        <v>0</v>
      </c>
      <c r="CM4297">
        <v>2</v>
      </c>
      <c r="CN4297">
        <v>0</v>
      </c>
      <c r="CO4297">
        <v>3</v>
      </c>
      <c r="CP4297" t="s">
        <v>119</v>
      </c>
      <c r="CQ4297">
        <v>180</v>
      </c>
      <c r="CR4297">
        <v>3</v>
      </c>
      <c r="CW4297">
        <v>1391521</v>
      </c>
      <c r="CY4297">
        <v>0</v>
      </c>
      <c r="CZ4297">
        <v>0</v>
      </c>
      <c r="DA4297">
        <v>1</v>
      </c>
      <c r="DB4297">
        <v>0</v>
      </c>
      <c r="DC4297">
        <v>0</v>
      </c>
      <c r="DD4297">
        <v>0</v>
      </c>
      <c r="DE4297">
        <v>0</v>
      </c>
      <c r="DF4297">
        <v>0</v>
      </c>
      <c r="DG4297">
        <v>0</v>
      </c>
      <c r="DH4297">
        <v>0</v>
      </c>
      <c r="DI4297">
        <v>0</v>
      </c>
    </row>
    <row r="4298" spans="1:113" x14ac:dyDescent="0.3">
      <c r="A4298" t="str">
        <f>"02/08/2021 20:38:12.938"</f>
        <v>02/08/2021 20:38:12.938</v>
      </c>
      <c r="C4298" t="str">
        <f t="shared" si="212"/>
        <v>FFDFD7C0</v>
      </c>
      <c r="D4298" t="s">
        <v>124</v>
      </c>
      <c r="E4298">
        <v>12</v>
      </c>
      <c r="F4298">
        <v>1012</v>
      </c>
      <c r="G4298" t="s">
        <v>675</v>
      </c>
      <c r="J4298" t="s">
        <v>125</v>
      </c>
      <c r="K4298">
        <v>0</v>
      </c>
      <c r="L4298">
        <v>3</v>
      </c>
      <c r="M4298">
        <v>0</v>
      </c>
      <c r="N4298">
        <v>2</v>
      </c>
      <c r="O4298">
        <v>1</v>
      </c>
      <c r="P4298">
        <v>0</v>
      </c>
      <c r="Q4298">
        <v>0</v>
      </c>
      <c r="S4298" t="str">
        <f>"20:38:15.289"</f>
        <v>20:38:15.289</v>
      </c>
      <c r="T4298" t="str">
        <f>"20:38:14.789"</f>
        <v>20:38:14.789</v>
      </c>
      <c r="U4298" t="str">
        <f t="shared" si="214"/>
        <v>AB01F4</v>
      </c>
      <c r="V4298">
        <v>0</v>
      </c>
      <c r="W4298">
        <v>0</v>
      </c>
      <c r="X4298">
        <v>2</v>
      </c>
      <c r="Z4298">
        <v>0</v>
      </c>
      <c r="AA4298">
        <v>9</v>
      </c>
      <c r="AB4298">
        <v>3</v>
      </c>
      <c r="AC4298">
        <v>0</v>
      </c>
      <c r="AD4298">
        <v>10</v>
      </c>
      <c r="AE4298">
        <v>0</v>
      </c>
      <c r="AF4298">
        <v>3</v>
      </c>
      <c r="AG4298">
        <v>2</v>
      </c>
      <c r="AH4298">
        <v>0</v>
      </c>
      <c r="AI4298" t="s">
        <v>2396</v>
      </c>
      <c r="AJ4298">
        <v>40.166058999999997</v>
      </c>
      <c r="AK4298" t="s">
        <v>2397</v>
      </c>
      <c r="AL4298">
        <v>-93.171058000000002</v>
      </c>
      <c r="AM4298">
        <v>100</v>
      </c>
      <c r="AN4298">
        <v>1300</v>
      </c>
      <c r="AO4298" t="s">
        <v>118</v>
      </c>
      <c r="AP4298">
        <v>-128</v>
      </c>
      <c r="AQ4298">
        <v>-43</v>
      </c>
      <c r="AR4298">
        <v>256</v>
      </c>
      <c r="AZ4298">
        <v>1200</v>
      </c>
      <c r="BA4298">
        <v>1</v>
      </c>
      <c r="BB4298" t="str">
        <f t="shared" si="213"/>
        <v xml:space="preserve">N8080G  </v>
      </c>
      <c r="BC4298">
        <v>1</v>
      </c>
      <c r="BE4298">
        <v>0</v>
      </c>
      <c r="BF4298">
        <v>0</v>
      </c>
      <c r="BG4298">
        <v>0</v>
      </c>
      <c r="BH4298">
        <v>1350</v>
      </c>
      <c r="BI4298">
        <v>1</v>
      </c>
      <c r="BJ4298">
        <v>1</v>
      </c>
      <c r="BK4298">
        <v>1</v>
      </c>
      <c r="BL4298">
        <v>0</v>
      </c>
      <c r="BO4298">
        <v>0</v>
      </c>
      <c r="BP4298">
        <v>0</v>
      </c>
      <c r="BW4298" t="str">
        <f>"20:38:15.290"</f>
        <v>20:38:15.290</v>
      </c>
      <c r="BZ4298">
        <v>0</v>
      </c>
      <c r="CA4298">
        <v>1600</v>
      </c>
      <c r="CB4298">
        <v>224</v>
      </c>
      <c r="CD4298">
        <v>1</v>
      </c>
      <c r="CE4298">
        <v>0</v>
      </c>
      <c r="CF4298">
        <v>0</v>
      </c>
      <c r="CG4298">
        <v>1</v>
      </c>
      <c r="CH4298">
        <v>0</v>
      </c>
      <c r="CI4298">
        <v>0</v>
      </c>
      <c r="CJ4298">
        <v>0</v>
      </c>
      <c r="CK4298">
        <v>2</v>
      </c>
      <c r="CL4298">
        <v>0</v>
      </c>
      <c r="CM4298">
        <v>2</v>
      </c>
      <c r="CN4298">
        <v>0</v>
      </c>
      <c r="CO4298">
        <v>3</v>
      </c>
      <c r="CP4298" t="s">
        <v>119</v>
      </c>
      <c r="CQ4298">
        <v>180</v>
      </c>
      <c r="CR4298">
        <v>3</v>
      </c>
      <c r="CW4298">
        <v>1391521</v>
      </c>
      <c r="CY4298">
        <v>0</v>
      </c>
      <c r="CZ4298">
        <v>0</v>
      </c>
      <c r="DA4298">
        <v>1</v>
      </c>
      <c r="DB4298">
        <v>0</v>
      </c>
      <c r="DC4298">
        <v>0</v>
      </c>
      <c r="DD4298">
        <v>0</v>
      </c>
      <c r="DE4298">
        <v>0</v>
      </c>
      <c r="DF4298">
        <v>0</v>
      </c>
      <c r="DG4298">
        <v>0</v>
      </c>
      <c r="DH4298">
        <v>0</v>
      </c>
      <c r="DI4298">
        <v>0</v>
      </c>
    </row>
    <row r="4299" spans="1:113" x14ac:dyDescent="0.3">
      <c r="A4299" t="str">
        <f>"02/08/2021 20:38:13.918"</f>
        <v>02/08/2021 20:38:13.918</v>
      </c>
      <c r="C4299" t="str">
        <f t="shared" si="212"/>
        <v>FFDFD7C0</v>
      </c>
      <c r="D4299" t="s">
        <v>124</v>
      </c>
      <c r="E4299">
        <v>13</v>
      </c>
      <c r="F4299">
        <v>1013</v>
      </c>
      <c r="G4299" t="s">
        <v>114</v>
      </c>
      <c r="J4299" t="s">
        <v>125</v>
      </c>
      <c r="K4299">
        <v>0</v>
      </c>
      <c r="L4299">
        <v>3</v>
      </c>
      <c r="M4299">
        <v>0</v>
      </c>
      <c r="N4299">
        <v>2</v>
      </c>
      <c r="O4299">
        <v>1</v>
      </c>
      <c r="P4299">
        <v>0</v>
      </c>
      <c r="Q4299">
        <v>0</v>
      </c>
      <c r="S4299" t="str">
        <f>"20:38:16.258"</f>
        <v>20:38:16.258</v>
      </c>
      <c r="T4299" t="str">
        <f>"20:38:15.858"</f>
        <v>20:38:15.858</v>
      </c>
      <c r="U4299" t="str">
        <f t="shared" si="214"/>
        <v>AB01F4</v>
      </c>
      <c r="V4299">
        <v>0</v>
      </c>
      <c r="W4299">
        <v>0</v>
      </c>
      <c r="X4299">
        <v>2</v>
      </c>
      <c r="Z4299">
        <v>0</v>
      </c>
      <c r="AA4299">
        <v>9</v>
      </c>
      <c r="AB4299">
        <v>3</v>
      </c>
      <c r="AC4299">
        <v>0</v>
      </c>
      <c r="AD4299">
        <v>10</v>
      </c>
      <c r="AE4299">
        <v>0</v>
      </c>
      <c r="AF4299">
        <v>3</v>
      </c>
      <c r="AG4299">
        <v>2</v>
      </c>
      <c r="AH4299">
        <v>0</v>
      </c>
      <c r="AI4299" t="s">
        <v>2398</v>
      </c>
      <c r="AJ4299">
        <v>40.165823000000003</v>
      </c>
      <c r="AK4299" t="s">
        <v>2399</v>
      </c>
      <c r="AL4299">
        <v>-93.171808999999996</v>
      </c>
      <c r="AM4299">
        <v>100</v>
      </c>
      <c r="AN4299">
        <v>1300</v>
      </c>
      <c r="AO4299" t="s">
        <v>118</v>
      </c>
      <c r="AP4299">
        <v>-125</v>
      </c>
      <c r="AQ4299">
        <v>-50</v>
      </c>
      <c r="AR4299">
        <v>256</v>
      </c>
      <c r="AZ4299">
        <v>1200</v>
      </c>
      <c r="BA4299">
        <v>1</v>
      </c>
      <c r="BB4299" t="str">
        <f t="shared" si="213"/>
        <v xml:space="preserve">N8080G  </v>
      </c>
      <c r="BC4299">
        <v>1</v>
      </c>
      <c r="BE4299">
        <v>0</v>
      </c>
      <c r="BF4299">
        <v>0</v>
      </c>
      <c r="BG4299">
        <v>0</v>
      </c>
      <c r="BH4299">
        <v>1350</v>
      </c>
      <c r="BI4299">
        <v>1</v>
      </c>
      <c r="BJ4299">
        <v>1</v>
      </c>
      <c r="BK4299">
        <v>1</v>
      </c>
      <c r="BL4299">
        <v>0</v>
      </c>
      <c r="BO4299">
        <v>0</v>
      </c>
      <c r="BP4299">
        <v>0</v>
      </c>
      <c r="BW4299" t="str">
        <f>"20:38:16.258"</f>
        <v>20:38:16.258</v>
      </c>
      <c r="BZ4299">
        <v>0</v>
      </c>
      <c r="CA4299">
        <v>1600</v>
      </c>
      <c r="CB4299">
        <v>224</v>
      </c>
      <c r="CD4299">
        <v>1</v>
      </c>
      <c r="CE4299">
        <v>0</v>
      </c>
      <c r="CF4299">
        <v>0</v>
      </c>
      <c r="CG4299">
        <v>1</v>
      </c>
      <c r="CH4299">
        <v>0</v>
      </c>
      <c r="CI4299">
        <v>0</v>
      </c>
      <c r="CJ4299">
        <v>0</v>
      </c>
      <c r="CK4299">
        <v>2</v>
      </c>
      <c r="CL4299">
        <v>0</v>
      </c>
      <c r="CM4299">
        <v>2</v>
      </c>
      <c r="CN4299">
        <v>0</v>
      </c>
      <c r="CO4299">
        <v>3</v>
      </c>
      <c r="CP4299" t="s">
        <v>119</v>
      </c>
      <c r="CQ4299">
        <v>180</v>
      </c>
      <c r="CR4299">
        <v>3</v>
      </c>
      <c r="CW4299">
        <v>1392234</v>
      </c>
      <c r="CY4299">
        <v>0</v>
      </c>
      <c r="CZ4299">
        <v>0</v>
      </c>
      <c r="DA4299">
        <v>0</v>
      </c>
      <c r="DB4299">
        <v>0</v>
      </c>
      <c r="DC4299">
        <v>0</v>
      </c>
      <c r="DD4299">
        <v>0</v>
      </c>
      <c r="DE4299">
        <v>0</v>
      </c>
      <c r="DF4299">
        <v>0</v>
      </c>
      <c r="DG4299">
        <v>0</v>
      </c>
      <c r="DH4299">
        <v>0</v>
      </c>
      <c r="DI4299">
        <v>0</v>
      </c>
    </row>
    <row r="4300" spans="1:113" x14ac:dyDescent="0.3">
      <c r="A4300" t="str">
        <f>"02/08/2021 20:38:13.918"</f>
        <v>02/08/2021 20:38:13.918</v>
      </c>
      <c r="C4300" t="str">
        <f t="shared" si="212"/>
        <v>FFDFD7C0</v>
      </c>
      <c r="D4300" t="s">
        <v>124</v>
      </c>
      <c r="E4300">
        <v>11</v>
      </c>
      <c r="F4300">
        <v>1011</v>
      </c>
      <c r="G4300" t="s">
        <v>590</v>
      </c>
      <c r="J4300" t="s">
        <v>125</v>
      </c>
      <c r="K4300">
        <v>0</v>
      </c>
      <c r="L4300">
        <v>3</v>
      </c>
      <c r="M4300">
        <v>0</v>
      </c>
      <c r="N4300">
        <v>2</v>
      </c>
      <c r="O4300">
        <v>1</v>
      </c>
      <c r="P4300">
        <v>0</v>
      </c>
      <c r="Q4300">
        <v>0</v>
      </c>
      <c r="S4300" t="str">
        <f>"20:38:16.258"</f>
        <v>20:38:16.258</v>
      </c>
      <c r="T4300" t="str">
        <f>"20:38:15.858"</f>
        <v>20:38:15.858</v>
      </c>
      <c r="U4300" t="str">
        <f t="shared" si="214"/>
        <v>AB01F4</v>
      </c>
      <c r="V4300">
        <v>0</v>
      </c>
      <c r="W4300">
        <v>0</v>
      </c>
      <c r="X4300">
        <v>2</v>
      </c>
      <c r="Z4300">
        <v>0</v>
      </c>
      <c r="AA4300">
        <v>9</v>
      </c>
      <c r="AB4300">
        <v>3</v>
      </c>
      <c r="AC4300">
        <v>0</v>
      </c>
      <c r="AD4300">
        <v>10</v>
      </c>
      <c r="AE4300">
        <v>0</v>
      </c>
      <c r="AF4300">
        <v>3</v>
      </c>
      <c r="AG4300">
        <v>2</v>
      </c>
      <c r="AH4300">
        <v>0</v>
      </c>
      <c r="AI4300" t="s">
        <v>2398</v>
      </c>
      <c r="AJ4300">
        <v>40.165823000000003</v>
      </c>
      <c r="AK4300" t="s">
        <v>2399</v>
      </c>
      <c r="AL4300">
        <v>-93.171808999999996</v>
      </c>
      <c r="AM4300">
        <v>100</v>
      </c>
      <c r="AN4300">
        <v>1300</v>
      </c>
      <c r="AO4300" t="s">
        <v>118</v>
      </c>
      <c r="AP4300">
        <v>-125</v>
      </c>
      <c r="AQ4300">
        <v>-50</v>
      </c>
      <c r="AR4300">
        <v>256</v>
      </c>
      <c r="AZ4300">
        <v>1200</v>
      </c>
      <c r="BA4300">
        <v>1</v>
      </c>
      <c r="BB4300" t="str">
        <f t="shared" si="213"/>
        <v xml:space="preserve">N8080G  </v>
      </c>
      <c r="BC4300">
        <v>1</v>
      </c>
      <c r="BE4300">
        <v>0</v>
      </c>
      <c r="BF4300">
        <v>0</v>
      </c>
      <c r="BG4300">
        <v>0</v>
      </c>
      <c r="BH4300">
        <v>1350</v>
      </c>
      <c r="BI4300">
        <v>1</v>
      </c>
      <c r="BJ4300">
        <v>1</v>
      </c>
      <c r="BK4300">
        <v>1</v>
      </c>
      <c r="BL4300">
        <v>0</v>
      </c>
      <c r="BO4300">
        <v>0</v>
      </c>
      <c r="BP4300">
        <v>0</v>
      </c>
      <c r="BW4300" t="str">
        <f>"20:38:16.258"</f>
        <v>20:38:16.258</v>
      </c>
      <c r="BZ4300">
        <v>0</v>
      </c>
      <c r="CA4300">
        <v>1600</v>
      </c>
      <c r="CB4300">
        <v>224</v>
      </c>
      <c r="CD4300">
        <v>1</v>
      </c>
      <c r="CE4300">
        <v>0</v>
      </c>
      <c r="CF4300">
        <v>0</v>
      </c>
      <c r="CG4300">
        <v>1</v>
      </c>
      <c r="CH4300">
        <v>0</v>
      </c>
      <c r="CI4300">
        <v>0</v>
      </c>
      <c r="CJ4300">
        <v>0</v>
      </c>
      <c r="CK4300">
        <v>2</v>
      </c>
      <c r="CL4300">
        <v>0</v>
      </c>
      <c r="CM4300">
        <v>2</v>
      </c>
      <c r="CN4300">
        <v>0</v>
      </c>
      <c r="CO4300">
        <v>3</v>
      </c>
      <c r="CP4300" t="s">
        <v>119</v>
      </c>
      <c r="CQ4300">
        <v>180</v>
      </c>
      <c r="CR4300">
        <v>3</v>
      </c>
      <c r="CW4300">
        <v>1392234</v>
      </c>
      <c r="CY4300">
        <v>0</v>
      </c>
      <c r="CZ4300">
        <v>0</v>
      </c>
      <c r="DA4300">
        <v>1</v>
      </c>
      <c r="DB4300">
        <v>0</v>
      </c>
      <c r="DC4300">
        <v>0</v>
      </c>
      <c r="DD4300">
        <v>0</v>
      </c>
      <c r="DE4300">
        <v>0</v>
      </c>
      <c r="DF4300">
        <v>0</v>
      </c>
      <c r="DG4300">
        <v>0</v>
      </c>
      <c r="DH4300">
        <v>0</v>
      </c>
      <c r="DI4300">
        <v>0</v>
      </c>
    </row>
    <row r="4301" spans="1:113" x14ac:dyDescent="0.3">
      <c r="A4301" t="str">
        <f>"02/08/2021 20:38:13.918"</f>
        <v>02/08/2021 20:38:13.918</v>
      </c>
      <c r="C4301" t="str">
        <f t="shared" si="212"/>
        <v>FFDFD7C0</v>
      </c>
      <c r="D4301" t="s">
        <v>124</v>
      </c>
      <c r="E4301">
        <v>12</v>
      </c>
      <c r="F4301">
        <v>1012</v>
      </c>
      <c r="G4301" t="s">
        <v>675</v>
      </c>
      <c r="J4301" t="s">
        <v>125</v>
      </c>
      <c r="K4301">
        <v>0</v>
      </c>
      <c r="L4301">
        <v>3</v>
      </c>
      <c r="M4301">
        <v>0</v>
      </c>
      <c r="N4301">
        <v>2</v>
      </c>
      <c r="O4301">
        <v>1</v>
      </c>
      <c r="P4301">
        <v>0</v>
      </c>
      <c r="Q4301">
        <v>0</v>
      </c>
      <c r="S4301" t="str">
        <f>"20:38:16.258"</f>
        <v>20:38:16.258</v>
      </c>
      <c r="T4301" t="str">
        <f>"20:38:15.858"</f>
        <v>20:38:15.858</v>
      </c>
      <c r="U4301" t="str">
        <f t="shared" si="214"/>
        <v>AB01F4</v>
      </c>
      <c r="V4301">
        <v>0</v>
      </c>
      <c r="W4301">
        <v>0</v>
      </c>
      <c r="X4301">
        <v>2</v>
      </c>
      <c r="Z4301">
        <v>0</v>
      </c>
      <c r="AA4301">
        <v>9</v>
      </c>
      <c r="AB4301">
        <v>3</v>
      </c>
      <c r="AC4301">
        <v>0</v>
      </c>
      <c r="AD4301">
        <v>10</v>
      </c>
      <c r="AE4301">
        <v>0</v>
      </c>
      <c r="AF4301">
        <v>3</v>
      </c>
      <c r="AG4301">
        <v>2</v>
      </c>
      <c r="AH4301">
        <v>0</v>
      </c>
      <c r="AI4301" t="s">
        <v>2398</v>
      </c>
      <c r="AJ4301">
        <v>40.165823000000003</v>
      </c>
      <c r="AK4301" t="s">
        <v>2399</v>
      </c>
      <c r="AL4301">
        <v>-93.171808999999996</v>
      </c>
      <c r="AM4301">
        <v>100</v>
      </c>
      <c r="AN4301">
        <v>1300</v>
      </c>
      <c r="AO4301" t="s">
        <v>118</v>
      </c>
      <c r="AP4301">
        <v>-125</v>
      </c>
      <c r="AQ4301">
        <v>-50</v>
      </c>
      <c r="AR4301">
        <v>256</v>
      </c>
      <c r="AZ4301">
        <v>1200</v>
      </c>
      <c r="BA4301">
        <v>1</v>
      </c>
      <c r="BB4301" t="str">
        <f t="shared" si="213"/>
        <v xml:space="preserve">N8080G  </v>
      </c>
      <c r="BC4301">
        <v>1</v>
      </c>
      <c r="BE4301">
        <v>0</v>
      </c>
      <c r="BF4301">
        <v>0</v>
      </c>
      <c r="BG4301">
        <v>0</v>
      </c>
      <c r="BH4301">
        <v>1350</v>
      </c>
      <c r="BI4301">
        <v>1</v>
      </c>
      <c r="BJ4301">
        <v>1</v>
      </c>
      <c r="BK4301">
        <v>1</v>
      </c>
      <c r="BL4301">
        <v>0</v>
      </c>
      <c r="BO4301">
        <v>0</v>
      </c>
      <c r="BP4301">
        <v>0</v>
      </c>
      <c r="BW4301" t="str">
        <f>"20:38:16.258"</f>
        <v>20:38:16.258</v>
      </c>
      <c r="BZ4301">
        <v>0</v>
      </c>
      <c r="CA4301">
        <v>1600</v>
      </c>
      <c r="CB4301">
        <v>224</v>
      </c>
      <c r="CD4301">
        <v>1</v>
      </c>
      <c r="CE4301">
        <v>0</v>
      </c>
      <c r="CF4301">
        <v>0</v>
      </c>
      <c r="CG4301">
        <v>1</v>
      </c>
      <c r="CH4301">
        <v>0</v>
      </c>
      <c r="CI4301">
        <v>0</v>
      </c>
      <c r="CJ4301">
        <v>0</v>
      </c>
      <c r="CK4301">
        <v>2</v>
      </c>
      <c r="CL4301">
        <v>0</v>
      </c>
      <c r="CM4301">
        <v>2</v>
      </c>
      <c r="CN4301">
        <v>0</v>
      </c>
      <c r="CO4301">
        <v>3</v>
      </c>
      <c r="CP4301" t="s">
        <v>119</v>
      </c>
      <c r="CQ4301">
        <v>180</v>
      </c>
      <c r="CR4301">
        <v>3</v>
      </c>
      <c r="CW4301">
        <v>1392234</v>
      </c>
      <c r="CY4301">
        <v>0</v>
      </c>
      <c r="CZ4301">
        <v>0</v>
      </c>
      <c r="DA4301">
        <v>1</v>
      </c>
      <c r="DB4301">
        <v>0</v>
      </c>
      <c r="DC4301">
        <v>0</v>
      </c>
      <c r="DD4301">
        <v>0</v>
      </c>
      <c r="DE4301">
        <v>0</v>
      </c>
      <c r="DF4301">
        <v>0</v>
      </c>
      <c r="DG4301">
        <v>0</v>
      </c>
      <c r="DH4301">
        <v>0</v>
      </c>
      <c r="DI4301">
        <v>0</v>
      </c>
    </row>
    <row r="4302" spans="1:113" x14ac:dyDescent="0.3">
      <c r="A4302" t="str">
        <f>"02/08/2021 20:38:13.918"</f>
        <v>02/08/2021 20:38:13.918</v>
      </c>
      <c r="C4302" t="str">
        <f t="shared" si="212"/>
        <v>FFDFD7C0</v>
      </c>
      <c r="D4302" t="s">
        <v>113</v>
      </c>
      <c r="E4302">
        <v>6</v>
      </c>
      <c r="H4302">
        <v>165</v>
      </c>
      <c r="I4302" t="s">
        <v>114</v>
      </c>
      <c r="J4302" t="s">
        <v>115</v>
      </c>
      <c r="K4302">
        <v>0</v>
      </c>
      <c r="L4302">
        <v>3</v>
      </c>
      <c r="M4302">
        <v>0</v>
      </c>
      <c r="N4302">
        <v>2</v>
      </c>
      <c r="O4302">
        <v>1</v>
      </c>
      <c r="P4302">
        <v>0</v>
      </c>
      <c r="Q4302">
        <v>0</v>
      </c>
      <c r="S4302" t="str">
        <f>"20:38:16.258"</f>
        <v>20:38:16.258</v>
      </c>
      <c r="T4302" t="str">
        <f>"20:38:15.858"</f>
        <v>20:38:15.858</v>
      </c>
      <c r="U4302" t="str">
        <f t="shared" si="214"/>
        <v>AB01F4</v>
      </c>
      <c r="V4302">
        <v>0</v>
      </c>
      <c r="W4302">
        <v>0</v>
      </c>
      <c r="X4302">
        <v>2</v>
      </c>
      <c r="Z4302">
        <v>0</v>
      </c>
      <c r="AA4302">
        <v>9</v>
      </c>
      <c r="AB4302">
        <v>3</v>
      </c>
      <c r="AC4302">
        <v>0</v>
      </c>
      <c r="AD4302">
        <v>10</v>
      </c>
      <c r="AE4302">
        <v>0</v>
      </c>
      <c r="AF4302">
        <v>3</v>
      </c>
      <c r="AG4302">
        <v>2</v>
      </c>
      <c r="AH4302">
        <v>0</v>
      </c>
      <c r="AI4302" t="s">
        <v>2398</v>
      </c>
      <c r="AJ4302">
        <v>40.165823000000003</v>
      </c>
      <c r="AK4302" t="s">
        <v>2399</v>
      </c>
      <c r="AL4302">
        <v>-93.171808999999996</v>
      </c>
      <c r="AM4302">
        <v>100</v>
      </c>
      <c r="AN4302">
        <v>1300</v>
      </c>
      <c r="AO4302" t="s">
        <v>118</v>
      </c>
      <c r="AP4302">
        <v>-125</v>
      </c>
      <c r="AQ4302">
        <v>-50</v>
      </c>
      <c r="AR4302">
        <v>256</v>
      </c>
      <c r="AZ4302">
        <v>1200</v>
      </c>
      <c r="BA4302">
        <v>1</v>
      </c>
      <c r="BB4302" t="str">
        <f t="shared" si="213"/>
        <v xml:space="preserve">N8080G  </v>
      </c>
      <c r="BC4302">
        <v>1</v>
      </c>
      <c r="BE4302">
        <v>0</v>
      </c>
      <c r="BF4302">
        <v>0</v>
      </c>
      <c r="BG4302">
        <v>0</v>
      </c>
      <c r="BH4302">
        <v>1350</v>
      </c>
      <c r="BI4302">
        <v>1</v>
      </c>
      <c r="BJ4302">
        <v>1</v>
      </c>
      <c r="BK4302">
        <v>1</v>
      </c>
      <c r="BL4302">
        <v>0</v>
      </c>
      <c r="BO4302">
        <v>0</v>
      </c>
      <c r="BP4302">
        <v>0</v>
      </c>
      <c r="BW4302" t="str">
        <f>"20:38:16.258"</f>
        <v>20:38:16.258</v>
      </c>
      <c r="BZ4302">
        <v>0</v>
      </c>
      <c r="CA4302">
        <v>1600</v>
      </c>
      <c r="CB4302">
        <v>224</v>
      </c>
      <c r="CD4302">
        <v>1</v>
      </c>
      <c r="CE4302">
        <v>0</v>
      </c>
      <c r="CF4302">
        <v>0</v>
      </c>
      <c r="CG4302">
        <v>1</v>
      </c>
      <c r="CH4302">
        <v>0</v>
      </c>
      <c r="CI4302">
        <v>0</v>
      </c>
      <c r="CJ4302">
        <v>0</v>
      </c>
      <c r="CK4302">
        <v>2</v>
      </c>
      <c r="CL4302">
        <v>0</v>
      </c>
      <c r="CM4302">
        <v>2</v>
      </c>
      <c r="CN4302">
        <v>0</v>
      </c>
      <c r="CO4302">
        <v>3</v>
      </c>
      <c r="CP4302" t="s">
        <v>119</v>
      </c>
      <c r="CQ4302">
        <v>180</v>
      </c>
      <c r="CR4302">
        <v>3</v>
      </c>
      <c r="CW4302">
        <v>1392234</v>
      </c>
      <c r="CY4302">
        <v>0</v>
      </c>
      <c r="CZ4302">
        <v>0</v>
      </c>
      <c r="DA4302">
        <v>1</v>
      </c>
      <c r="DB4302">
        <v>0</v>
      </c>
      <c r="DC4302">
        <v>0</v>
      </c>
      <c r="DD4302">
        <v>0</v>
      </c>
      <c r="DE4302">
        <v>0</v>
      </c>
      <c r="DF4302">
        <v>0</v>
      </c>
      <c r="DG4302">
        <v>0</v>
      </c>
      <c r="DH4302">
        <v>0</v>
      </c>
      <c r="DI4302">
        <v>0</v>
      </c>
    </row>
    <row r="4303" spans="1:113" x14ac:dyDescent="0.3">
      <c r="A4303" t="str">
        <f>"02/08/2021 20:38:14.940"</f>
        <v>02/08/2021 20:38:14.940</v>
      </c>
      <c r="C4303" t="str">
        <f t="shared" si="212"/>
        <v>FFDFD7C0</v>
      </c>
      <c r="D4303" t="s">
        <v>124</v>
      </c>
      <c r="E4303">
        <v>11</v>
      </c>
      <c r="F4303">
        <v>1011</v>
      </c>
      <c r="G4303" t="s">
        <v>590</v>
      </c>
      <c r="J4303" t="s">
        <v>125</v>
      </c>
      <c r="K4303">
        <v>0</v>
      </c>
      <c r="L4303">
        <v>3</v>
      </c>
      <c r="M4303">
        <v>0</v>
      </c>
      <c r="N4303">
        <v>2</v>
      </c>
      <c r="O4303">
        <v>1</v>
      </c>
      <c r="P4303">
        <v>0</v>
      </c>
      <c r="Q4303">
        <v>0</v>
      </c>
      <c r="S4303" t="str">
        <f>"20:38:17.242"</f>
        <v>20:38:17.242</v>
      </c>
      <c r="T4303" t="str">
        <f>"20:38:16.842"</f>
        <v>20:38:16.842</v>
      </c>
      <c r="U4303" t="str">
        <f t="shared" si="214"/>
        <v>AB01F4</v>
      </c>
      <c r="V4303">
        <v>0</v>
      </c>
      <c r="W4303">
        <v>0</v>
      </c>
      <c r="X4303">
        <v>2</v>
      </c>
      <c r="Z4303">
        <v>0</v>
      </c>
      <c r="AA4303">
        <v>9</v>
      </c>
      <c r="AB4303">
        <v>3</v>
      </c>
      <c r="AC4303">
        <v>0</v>
      </c>
      <c r="AD4303">
        <v>10</v>
      </c>
      <c r="AE4303">
        <v>0</v>
      </c>
      <c r="AF4303">
        <v>3</v>
      </c>
      <c r="AG4303">
        <v>2</v>
      </c>
      <c r="AH4303">
        <v>0</v>
      </c>
      <c r="AI4303" t="s">
        <v>2400</v>
      </c>
      <c r="AJ4303">
        <v>40.165585999999998</v>
      </c>
      <c r="AK4303" t="s">
        <v>2401</v>
      </c>
      <c r="AL4303">
        <v>-93.172560000000004</v>
      </c>
      <c r="AM4303">
        <v>100</v>
      </c>
      <c r="AN4303">
        <v>1300</v>
      </c>
      <c r="AO4303" t="s">
        <v>118</v>
      </c>
      <c r="AP4303">
        <v>-124</v>
      </c>
      <c r="AQ4303">
        <v>-54</v>
      </c>
      <c r="AR4303">
        <v>320</v>
      </c>
      <c r="AZ4303">
        <v>1200</v>
      </c>
      <c r="BA4303">
        <v>1</v>
      </c>
      <c r="BB4303" t="str">
        <f t="shared" si="213"/>
        <v xml:space="preserve">N8080G  </v>
      </c>
      <c r="BC4303">
        <v>1</v>
      </c>
      <c r="BE4303">
        <v>0</v>
      </c>
      <c r="BF4303">
        <v>0</v>
      </c>
      <c r="BG4303">
        <v>0</v>
      </c>
      <c r="BH4303">
        <v>1350</v>
      </c>
      <c r="BI4303">
        <v>1</v>
      </c>
      <c r="BJ4303">
        <v>1</v>
      </c>
      <c r="BK4303">
        <v>1</v>
      </c>
      <c r="BL4303">
        <v>0</v>
      </c>
      <c r="BO4303">
        <v>0</v>
      </c>
      <c r="BP4303">
        <v>0</v>
      </c>
      <c r="BW4303" t="str">
        <f>"20:38:17.243"</f>
        <v>20:38:17.243</v>
      </c>
      <c r="BZ4303">
        <v>0</v>
      </c>
      <c r="CA4303">
        <v>1600</v>
      </c>
      <c r="CB4303">
        <v>224</v>
      </c>
      <c r="CD4303">
        <v>1</v>
      </c>
      <c r="CE4303">
        <v>0</v>
      </c>
      <c r="CF4303">
        <v>0</v>
      </c>
      <c r="CG4303">
        <v>1</v>
      </c>
      <c r="CH4303">
        <v>0</v>
      </c>
      <c r="CI4303">
        <v>0</v>
      </c>
      <c r="CJ4303">
        <v>0</v>
      </c>
      <c r="CK4303">
        <v>2</v>
      </c>
      <c r="CL4303">
        <v>0</v>
      </c>
      <c r="CM4303">
        <v>2</v>
      </c>
      <c r="CN4303">
        <v>0</v>
      </c>
      <c r="CO4303">
        <v>3</v>
      </c>
      <c r="CP4303" t="s">
        <v>119</v>
      </c>
      <c r="CQ4303">
        <v>180</v>
      </c>
      <c r="CR4303">
        <v>3</v>
      </c>
      <c r="CW4303">
        <v>1392865</v>
      </c>
      <c r="CY4303">
        <v>0</v>
      </c>
      <c r="CZ4303">
        <v>0</v>
      </c>
      <c r="DA4303">
        <v>0</v>
      </c>
      <c r="DB4303">
        <v>0</v>
      </c>
      <c r="DC4303">
        <v>0</v>
      </c>
      <c r="DD4303">
        <v>0</v>
      </c>
      <c r="DE4303">
        <v>0</v>
      </c>
      <c r="DF4303">
        <v>0</v>
      </c>
      <c r="DG4303">
        <v>0</v>
      </c>
      <c r="DH4303">
        <v>0</v>
      </c>
      <c r="DI4303">
        <v>0</v>
      </c>
    </row>
    <row r="4304" spans="1:113" x14ac:dyDescent="0.3">
      <c r="A4304" t="str">
        <f>"02/08/2021 20:38:14.940"</f>
        <v>02/08/2021 20:38:14.940</v>
      </c>
      <c r="C4304" t="str">
        <f t="shared" si="212"/>
        <v>FFDFD7C0</v>
      </c>
      <c r="D4304" t="s">
        <v>124</v>
      </c>
      <c r="E4304">
        <v>12</v>
      </c>
      <c r="F4304">
        <v>1012</v>
      </c>
      <c r="G4304" t="s">
        <v>675</v>
      </c>
      <c r="J4304" t="s">
        <v>125</v>
      </c>
      <c r="K4304">
        <v>0</v>
      </c>
      <c r="L4304">
        <v>3</v>
      </c>
      <c r="M4304">
        <v>0</v>
      </c>
      <c r="N4304">
        <v>2</v>
      </c>
      <c r="O4304">
        <v>1</v>
      </c>
      <c r="P4304">
        <v>0</v>
      </c>
      <c r="Q4304">
        <v>0</v>
      </c>
      <c r="S4304" t="str">
        <f>"20:38:17.242"</f>
        <v>20:38:17.242</v>
      </c>
      <c r="T4304" t="str">
        <f>"20:38:16.842"</f>
        <v>20:38:16.842</v>
      </c>
      <c r="U4304" t="str">
        <f t="shared" si="214"/>
        <v>AB01F4</v>
      </c>
      <c r="V4304">
        <v>0</v>
      </c>
      <c r="W4304">
        <v>0</v>
      </c>
      <c r="X4304">
        <v>2</v>
      </c>
      <c r="Z4304">
        <v>0</v>
      </c>
      <c r="AA4304">
        <v>9</v>
      </c>
      <c r="AB4304">
        <v>3</v>
      </c>
      <c r="AC4304">
        <v>0</v>
      </c>
      <c r="AD4304">
        <v>10</v>
      </c>
      <c r="AE4304">
        <v>0</v>
      </c>
      <c r="AF4304">
        <v>3</v>
      </c>
      <c r="AG4304">
        <v>2</v>
      </c>
      <c r="AH4304">
        <v>0</v>
      </c>
      <c r="AI4304" t="s">
        <v>2400</v>
      </c>
      <c r="AJ4304">
        <v>40.165585999999998</v>
      </c>
      <c r="AK4304" t="s">
        <v>2401</v>
      </c>
      <c r="AL4304">
        <v>-93.172560000000004</v>
      </c>
      <c r="AM4304">
        <v>100</v>
      </c>
      <c r="AN4304">
        <v>1300</v>
      </c>
      <c r="AO4304" t="s">
        <v>118</v>
      </c>
      <c r="AP4304">
        <v>-124</v>
      </c>
      <c r="AQ4304">
        <v>-54</v>
      </c>
      <c r="AR4304">
        <v>320</v>
      </c>
      <c r="AZ4304">
        <v>1200</v>
      </c>
      <c r="BA4304">
        <v>1</v>
      </c>
      <c r="BB4304" t="str">
        <f t="shared" si="213"/>
        <v xml:space="preserve">N8080G  </v>
      </c>
      <c r="BC4304">
        <v>1</v>
      </c>
      <c r="BE4304">
        <v>0</v>
      </c>
      <c r="BF4304">
        <v>0</v>
      </c>
      <c r="BG4304">
        <v>0</v>
      </c>
      <c r="BH4304">
        <v>1350</v>
      </c>
      <c r="BI4304">
        <v>1</v>
      </c>
      <c r="BJ4304">
        <v>1</v>
      </c>
      <c r="BK4304">
        <v>1</v>
      </c>
      <c r="BL4304">
        <v>0</v>
      </c>
      <c r="BO4304">
        <v>0</v>
      </c>
      <c r="BP4304">
        <v>0</v>
      </c>
      <c r="BW4304" t="str">
        <f>"20:38:17.243"</f>
        <v>20:38:17.243</v>
      </c>
      <c r="BZ4304">
        <v>0</v>
      </c>
      <c r="CA4304">
        <v>1600</v>
      </c>
      <c r="CB4304">
        <v>224</v>
      </c>
      <c r="CD4304">
        <v>1</v>
      </c>
      <c r="CE4304">
        <v>0</v>
      </c>
      <c r="CF4304">
        <v>0</v>
      </c>
      <c r="CG4304">
        <v>1</v>
      </c>
      <c r="CH4304">
        <v>0</v>
      </c>
      <c r="CI4304">
        <v>0</v>
      </c>
      <c r="CJ4304">
        <v>0</v>
      </c>
      <c r="CK4304">
        <v>2</v>
      </c>
      <c r="CL4304">
        <v>0</v>
      </c>
      <c r="CM4304">
        <v>2</v>
      </c>
      <c r="CN4304">
        <v>0</v>
      </c>
      <c r="CO4304">
        <v>3</v>
      </c>
      <c r="CP4304" t="s">
        <v>119</v>
      </c>
      <c r="CQ4304">
        <v>180</v>
      </c>
      <c r="CR4304">
        <v>3</v>
      </c>
      <c r="CW4304">
        <v>1392865</v>
      </c>
      <c r="CY4304">
        <v>0</v>
      </c>
      <c r="CZ4304">
        <v>0</v>
      </c>
      <c r="DA4304">
        <v>1</v>
      </c>
      <c r="DB4304">
        <v>0</v>
      </c>
      <c r="DC4304">
        <v>0</v>
      </c>
      <c r="DD4304">
        <v>0</v>
      </c>
      <c r="DE4304">
        <v>0</v>
      </c>
      <c r="DF4304">
        <v>0</v>
      </c>
      <c r="DG4304">
        <v>0</v>
      </c>
      <c r="DH4304">
        <v>0</v>
      </c>
      <c r="DI4304">
        <v>0</v>
      </c>
    </row>
    <row r="4305" spans="1:113" x14ac:dyDescent="0.3">
      <c r="A4305" t="str">
        <f>"02/08/2021 20:38:14.940"</f>
        <v>02/08/2021 20:38:14.940</v>
      </c>
      <c r="C4305" t="str">
        <f t="shared" si="212"/>
        <v>FFDFD7C0</v>
      </c>
      <c r="D4305" t="s">
        <v>113</v>
      </c>
      <c r="E4305">
        <v>6</v>
      </c>
      <c r="H4305">
        <v>165</v>
      </c>
      <c r="I4305" t="s">
        <v>114</v>
      </c>
      <c r="J4305" t="s">
        <v>115</v>
      </c>
      <c r="K4305">
        <v>0</v>
      </c>
      <c r="L4305">
        <v>3</v>
      </c>
      <c r="M4305">
        <v>0</v>
      </c>
      <c r="N4305">
        <v>2</v>
      </c>
      <c r="O4305">
        <v>1</v>
      </c>
      <c r="P4305">
        <v>0</v>
      </c>
      <c r="Q4305">
        <v>0</v>
      </c>
      <c r="S4305" t="str">
        <f>"20:38:17.242"</f>
        <v>20:38:17.242</v>
      </c>
      <c r="T4305" t="str">
        <f>"20:38:16.842"</f>
        <v>20:38:16.842</v>
      </c>
      <c r="U4305" t="str">
        <f t="shared" si="214"/>
        <v>AB01F4</v>
      </c>
      <c r="V4305">
        <v>0</v>
      </c>
      <c r="W4305">
        <v>0</v>
      </c>
      <c r="X4305">
        <v>2</v>
      </c>
      <c r="Z4305">
        <v>0</v>
      </c>
      <c r="AA4305">
        <v>9</v>
      </c>
      <c r="AB4305">
        <v>3</v>
      </c>
      <c r="AC4305">
        <v>0</v>
      </c>
      <c r="AD4305">
        <v>10</v>
      </c>
      <c r="AE4305">
        <v>0</v>
      </c>
      <c r="AF4305">
        <v>3</v>
      </c>
      <c r="AG4305">
        <v>2</v>
      </c>
      <c r="AH4305">
        <v>0</v>
      </c>
      <c r="AI4305" t="s">
        <v>2400</v>
      </c>
      <c r="AJ4305">
        <v>40.165585999999998</v>
      </c>
      <c r="AK4305" t="s">
        <v>2401</v>
      </c>
      <c r="AL4305">
        <v>-93.172560000000004</v>
      </c>
      <c r="AM4305">
        <v>100</v>
      </c>
      <c r="AN4305">
        <v>1300</v>
      </c>
      <c r="AO4305" t="s">
        <v>118</v>
      </c>
      <c r="AP4305">
        <v>-124</v>
      </c>
      <c r="AQ4305">
        <v>-54</v>
      </c>
      <c r="AR4305">
        <v>320</v>
      </c>
      <c r="AZ4305">
        <v>1200</v>
      </c>
      <c r="BA4305">
        <v>1</v>
      </c>
      <c r="BB4305" t="str">
        <f t="shared" si="213"/>
        <v xml:space="preserve">N8080G  </v>
      </c>
      <c r="BC4305">
        <v>1</v>
      </c>
      <c r="BE4305">
        <v>0</v>
      </c>
      <c r="BF4305">
        <v>0</v>
      </c>
      <c r="BG4305">
        <v>0</v>
      </c>
      <c r="BH4305">
        <v>1350</v>
      </c>
      <c r="BI4305">
        <v>1</v>
      </c>
      <c r="BJ4305">
        <v>1</v>
      </c>
      <c r="BK4305">
        <v>1</v>
      </c>
      <c r="BL4305">
        <v>0</v>
      </c>
      <c r="BO4305">
        <v>0</v>
      </c>
      <c r="BP4305">
        <v>0</v>
      </c>
      <c r="BW4305" t="str">
        <f>"20:38:17.243"</f>
        <v>20:38:17.243</v>
      </c>
      <c r="BZ4305">
        <v>0</v>
      </c>
      <c r="CA4305">
        <v>1600</v>
      </c>
      <c r="CB4305">
        <v>224</v>
      </c>
      <c r="CD4305">
        <v>1</v>
      </c>
      <c r="CE4305">
        <v>0</v>
      </c>
      <c r="CF4305">
        <v>0</v>
      </c>
      <c r="CG4305">
        <v>1</v>
      </c>
      <c r="CH4305">
        <v>0</v>
      </c>
      <c r="CI4305">
        <v>0</v>
      </c>
      <c r="CJ4305">
        <v>0</v>
      </c>
      <c r="CK4305">
        <v>2</v>
      </c>
      <c r="CL4305">
        <v>0</v>
      </c>
      <c r="CM4305">
        <v>2</v>
      </c>
      <c r="CN4305">
        <v>0</v>
      </c>
      <c r="CO4305">
        <v>3</v>
      </c>
      <c r="CP4305" t="s">
        <v>119</v>
      </c>
      <c r="CQ4305">
        <v>180</v>
      </c>
      <c r="CR4305">
        <v>3</v>
      </c>
      <c r="CW4305">
        <v>1392865</v>
      </c>
      <c r="CY4305">
        <v>0</v>
      </c>
      <c r="CZ4305">
        <v>0</v>
      </c>
      <c r="DA4305">
        <v>1</v>
      </c>
      <c r="DB4305">
        <v>0</v>
      </c>
      <c r="DC4305">
        <v>0</v>
      </c>
      <c r="DD4305">
        <v>0</v>
      </c>
      <c r="DE4305">
        <v>0</v>
      </c>
      <c r="DF4305">
        <v>0</v>
      </c>
      <c r="DG4305">
        <v>0</v>
      </c>
      <c r="DH4305">
        <v>0</v>
      </c>
      <c r="DI4305">
        <v>0</v>
      </c>
    </row>
    <row r="4306" spans="1:113" x14ac:dyDescent="0.3">
      <c r="A4306" t="str">
        <f>"02/08/2021 20:38:14.940"</f>
        <v>02/08/2021 20:38:14.940</v>
      </c>
      <c r="C4306" t="str">
        <f t="shared" si="212"/>
        <v>FFDFD7C0</v>
      </c>
      <c r="D4306" t="s">
        <v>124</v>
      </c>
      <c r="E4306">
        <v>13</v>
      </c>
      <c r="F4306">
        <v>1013</v>
      </c>
      <c r="G4306" t="s">
        <v>114</v>
      </c>
      <c r="J4306" t="s">
        <v>125</v>
      </c>
      <c r="K4306">
        <v>0</v>
      </c>
      <c r="L4306">
        <v>3</v>
      </c>
      <c r="M4306">
        <v>0</v>
      </c>
      <c r="N4306">
        <v>2</v>
      </c>
      <c r="O4306">
        <v>1</v>
      </c>
      <c r="P4306">
        <v>0</v>
      </c>
      <c r="Q4306">
        <v>0</v>
      </c>
      <c r="S4306" t="str">
        <f>"20:38:17.242"</f>
        <v>20:38:17.242</v>
      </c>
      <c r="T4306" t="str">
        <f>"20:38:16.842"</f>
        <v>20:38:16.842</v>
      </c>
      <c r="U4306" t="str">
        <f t="shared" si="214"/>
        <v>AB01F4</v>
      </c>
      <c r="V4306">
        <v>0</v>
      </c>
      <c r="W4306">
        <v>0</v>
      </c>
      <c r="X4306">
        <v>2</v>
      </c>
      <c r="Z4306">
        <v>0</v>
      </c>
      <c r="AA4306">
        <v>9</v>
      </c>
      <c r="AB4306">
        <v>3</v>
      </c>
      <c r="AC4306">
        <v>0</v>
      </c>
      <c r="AD4306">
        <v>10</v>
      </c>
      <c r="AE4306">
        <v>0</v>
      </c>
      <c r="AF4306">
        <v>3</v>
      </c>
      <c r="AG4306">
        <v>2</v>
      </c>
      <c r="AH4306">
        <v>0</v>
      </c>
      <c r="AI4306" t="s">
        <v>2400</v>
      </c>
      <c r="AJ4306">
        <v>40.165585999999998</v>
      </c>
      <c r="AK4306" t="s">
        <v>2401</v>
      </c>
      <c r="AL4306">
        <v>-93.172560000000004</v>
      </c>
      <c r="AM4306">
        <v>100</v>
      </c>
      <c r="AN4306">
        <v>1300</v>
      </c>
      <c r="AO4306" t="s">
        <v>118</v>
      </c>
      <c r="AP4306">
        <v>-124</v>
      </c>
      <c r="AQ4306">
        <v>-54</v>
      </c>
      <c r="AR4306">
        <v>320</v>
      </c>
      <c r="AZ4306">
        <v>1200</v>
      </c>
      <c r="BA4306">
        <v>1</v>
      </c>
      <c r="BB4306" t="str">
        <f t="shared" si="213"/>
        <v xml:space="preserve">N8080G  </v>
      </c>
      <c r="BC4306">
        <v>1</v>
      </c>
      <c r="BE4306">
        <v>0</v>
      </c>
      <c r="BF4306">
        <v>0</v>
      </c>
      <c r="BG4306">
        <v>0</v>
      </c>
      <c r="BH4306">
        <v>1350</v>
      </c>
      <c r="BI4306">
        <v>1</v>
      </c>
      <c r="BJ4306">
        <v>1</v>
      </c>
      <c r="BK4306">
        <v>1</v>
      </c>
      <c r="BL4306">
        <v>0</v>
      </c>
      <c r="BO4306">
        <v>0</v>
      </c>
      <c r="BP4306">
        <v>0</v>
      </c>
      <c r="BW4306" t="str">
        <f>"20:38:17.243"</f>
        <v>20:38:17.243</v>
      </c>
      <c r="BZ4306">
        <v>0</v>
      </c>
      <c r="CA4306">
        <v>1600</v>
      </c>
      <c r="CB4306">
        <v>224</v>
      </c>
      <c r="CD4306">
        <v>1</v>
      </c>
      <c r="CE4306">
        <v>0</v>
      </c>
      <c r="CF4306">
        <v>0</v>
      </c>
      <c r="CG4306">
        <v>1</v>
      </c>
      <c r="CH4306">
        <v>0</v>
      </c>
      <c r="CI4306">
        <v>0</v>
      </c>
      <c r="CJ4306">
        <v>0</v>
      </c>
      <c r="CK4306">
        <v>2</v>
      </c>
      <c r="CL4306">
        <v>0</v>
      </c>
      <c r="CM4306">
        <v>2</v>
      </c>
      <c r="CN4306">
        <v>0</v>
      </c>
      <c r="CO4306">
        <v>3</v>
      </c>
      <c r="CP4306" t="s">
        <v>119</v>
      </c>
      <c r="CQ4306">
        <v>180</v>
      </c>
      <c r="CR4306">
        <v>3</v>
      </c>
      <c r="CW4306">
        <v>1392865</v>
      </c>
      <c r="CY4306">
        <v>0</v>
      </c>
      <c r="CZ4306">
        <v>0</v>
      </c>
      <c r="DA4306">
        <v>1</v>
      </c>
      <c r="DB4306">
        <v>0</v>
      </c>
      <c r="DC4306">
        <v>0</v>
      </c>
      <c r="DD4306">
        <v>0</v>
      </c>
      <c r="DE4306">
        <v>0</v>
      </c>
      <c r="DF4306">
        <v>0</v>
      </c>
      <c r="DG4306">
        <v>0</v>
      </c>
      <c r="DH4306">
        <v>0</v>
      </c>
      <c r="DI4306">
        <v>0</v>
      </c>
    </row>
    <row r="4307" spans="1:113" x14ac:dyDescent="0.3">
      <c r="A4307" t="str">
        <f>"02/08/2021 20:38:15.945"</f>
        <v>02/08/2021 20:38:15.945</v>
      </c>
      <c r="C4307" t="str">
        <f t="shared" si="212"/>
        <v>FFDFD7C0</v>
      </c>
      <c r="D4307" t="s">
        <v>124</v>
      </c>
      <c r="E4307">
        <v>12</v>
      </c>
      <c r="F4307">
        <v>1012</v>
      </c>
      <c r="G4307" t="s">
        <v>675</v>
      </c>
      <c r="J4307" t="s">
        <v>125</v>
      </c>
      <c r="K4307">
        <v>0</v>
      </c>
      <c r="L4307">
        <v>3</v>
      </c>
      <c r="M4307">
        <v>0</v>
      </c>
      <c r="N4307">
        <v>2</v>
      </c>
      <c r="O4307">
        <v>1</v>
      </c>
      <c r="P4307">
        <v>0</v>
      </c>
      <c r="Q4307">
        <v>0</v>
      </c>
      <c r="S4307" t="str">
        <f>"20:38:18.289"</f>
        <v>20:38:18.289</v>
      </c>
      <c r="T4307" t="str">
        <f>"20:38:17.789"</f>
        <v>20:38:17.789</v>
      </c>
      <c r="U4307" t="str">
        <f t="shared" si="214"/>
        <v>AB01F4</v>
      </c>
      <c r="V4307">
        <v>0</v>
      </c>
      <c r="W4307">
        <v>0</v>
      </c>
      <c r="X4307">
        <v>2</v>
      </c>
      <c r="Z4307">
        <v>0</v>
      </c>
      <c r="AA4307">
        <v>9</v>
      </c>
      <c r="AB4307">
        <v>3</v>
      </c>
      <c r="AC4307">
        <v>0</v>
      </c>
      <c r="AD4307">
        <v>10</v>
      </c>
      <c r="AE4307">
        <v>0</v>
      </c>
      <c r="AF4307">
        <v>3</v>
      </c>
      <c r="AG4307">
        <v>2</v>
      </c>
      <c r="AH4307">
        <v>0</v>
      </c>
      <c r="AI4307" t="s">
        <v>2402</v>
      </c>
      <c r="AJ4307">
        <v>40.165308000000003</v>
      </c>
      <c r="AK4307" t="s">
        <v>2403</v>
      </c>
      <c r="AL4307">
        <v>-93.173310999999998</v>
      </c>
      <c r="AM4307">
        <v>100</v>
      </c>
      <c r="AN4307">
        <v>1300</v>
      </c>
      <c r="AO4307" t="s">
        <v>118</v>
      </c>
      <c r="AP4307">
        <v>-122</v>
      </c>
      <c r="AQ4307">
        <v>-56</v>
      </c>
      <c r="AR4307">
        <v>320</v>
      </c>
      <c r="AZ4307">
        <v>1200</v>
      </c>
      <c r="BA4307">
        <v>1</v>
      </c>
      <c r="BB4307" t="str">
        <f t="shared" si="213"/>
        <v xml:space="preserve">N8080G  </v>
      </c>
      <c r="BC4307">
        <v>1</v>
      </c>
      <c r="BE4307">
        <v>0</v>
      </c>
      <c r="BF4307">
        <v>0</v>
      </c>
      <c r="BG4307">
        <v>0</v>
      </c>
      <c r="BH4307">
        <v>1350</v>
      </c>
      <c r="BI4307">
        <v>1</v>
      </c>
      <c r="BJ4307">
        <v>1</v>
      </c>
      <c r="BK4307">
        <v>1</v>
      </c>
      <c r="BL4307">
        <v>0</v>
      </c>
      <c r="BO4307">
        <v>0</v>
      </c>
      <c r="BP4307">
        <v>0</v>
      </c>
      <c r="BW4307" t="str">
        <f>"20:38:18.295"</f>
        <v>20:38:18.295</v>
      </c>
      <c r="BZ4307">
        <v>0</v>
      </c>
      <c r="CA4307">
        <v>1600</v>
      </c>
      <c r="CB4307">
        <v>224</v>
      </c>
      <c r="CD4307">
        <v>1</v>
      </c>
      <c r="CE4307">
        <v>0</v>
      </c>
      <c r="CF4307">
        <v>0</v>
      </c>
      <c r="CG4307">
        <v>1</v>
      </c>
      <c r="CH4307">
        <v>0</v>
      </c>
      <c r="CI4307">
        <v>0</v>
      </c>
      <c r="CJ4307">
        <v>0</v>
      </c>
      <c r="CK4307">
        <v>2</v>
      </c>
      <c r="CL4307">
        <v>0</v>
      </c>
      <c r="CM4307">
        <v>2</v>
      </c>
      <c r="CN4307">
        <v>0</v>
      </c>
      <c r="CO4307">
        <v>4</v>
      </c>
      <c r="CP4307" t="s">
        <v>119</v>
      </c>
      <c r="CQ4307">
        <v>180</v>
      </c>
      <c r="CR4307">
        <v>3</v>
      </c>
      <c r="CW4307">
        <v>1393646</v>
      </c>
      <c r="CY4307">
        <v>0</v>
      </c>
      <c r="CZ4307">
        <v>0</v>
      </c>
      <c r="DA4307">
        <v>0</v>
      </c>
      <c r="DB4307">
        <v>0</v>
      </c>
      <c r="DC4307">
        <v>0</v>
      </c>
      <c r="DD4307">
        <v>0</v>
      </c>
      <c r="DE4307">
        <v>0</v>
      </c>
      <c r="DF4307">
        <v>0</v>
      </c>
      <c r="DG4307">
        <v>0</v>
      </c>
      <c r="DH4307">
        <v>0</v>
      </c>
      <c r="DI4307">
        <v>0</v>
      </c>
    </row>
    <row r="4308" spans="1:113" x14ac:dyDescent="0.3">
      <c r="A4308" t="str">
        <f>"02/08/2021 20:38:15.945"</f>
        <v>02/08/2021 20:38:15.945</v>
      </c>
      <c r="C4308" t="str">
        <f t="shared" si="212"/>
        <v>FFDFD7C0</v>
      </c>
      <c r="D4308" t="s">
        <v>124</v>
      </c>
      <c r="E4308">
        <v>11</v>
      </c>
      <c r="F4308">
        <v>1011</v>
      </c>
      <c r="G4308" t="s">
        <v>590</v>
      </c>
      <c r="J4308" t="s">
        <v>125</v>
      </c>
      <c r="K4308">
        <v>0</v>
      </c>
      <c r="L4308">
        <v>3</v>
      </c>
      <c r="M4308">
        <v>0</v>
      </c>
      <c r="N4308">
        <v>2</v>
      </c>
      <c r="O4308">
        <v>1</v>
      </c>
      <c r="P4308">
        <v>0</v>
      </c>
      <c r="Q4308">
        <v>0</v>
      </c>
      <c r="S4308" t="str">
        <f>"20:38:18.289"</f>
        <v>20:38:18.289</v>
      </c>
      <c r="T4308" t="str">
        <f>"20:38:17.789"</f>
        <v>20:38:17.789</v>
      </c>
      <c r="U4308" t="str">
        <f t="shared" si="214"/>
        <v>AB01F4</v>
      </c>
      <c r="V4308">
        <v>0</v>
      </c>
      <c r="W4308">
        <v>0</v>
      </c>
      <c r="X4308">
        <v>2</v>
      </c>
      <c r="Z4308">
        <v>0</v>
      </c>
      <c r="AA4308">
        <v>9</v>
      </c>
      <c r="AB4308">
        <v>3</v>
      </c>
      <c r="AC4308">
        <v>0</v>
      </c>
      <c r="AD4308">
        <v>10</v>
      </c>
      <c r="AE4308">
        <v>0</v>
      </c>
      <c r="AF4308">
        <v>3</v>
      </c>
      <c r="AG4308">
        <v>2</v>
      </c>
      <c r="AH4308">
        <v>0</v>
      </c>
      <c r="AI4308" t="s">
        <v>2402</v>
      </c>
      <c r="AJ4308">
        <v>40.165308000000003</v>
      </c>
      <c r="AK4308" t="s">
        <v>2403</v>
      </c>
      <c r="AL4308">
        <v>-93.173310999999998</v>
      </c>
      <c r="AM4308">
        <v>100</v>
      </c>
      <c r="AN4308">
        <v>1300</v>
      </c>
      <c r="AO4308" t="s">
        <v>118</v>
      </c>
      <c r="AP4308">
        <v>-122</v>
      </c>
      <c r="AQ4308">
        <v>-56</v>
      </c>
      <c r="AR4308">
        <v>320</v>
      </c>
      <c r="AZ4308">
        <v>1200</v>
      </c>
      <c r="BA4308">
        <v>1</v>
      </c>
      <c r="BB4308" t="str">
        <f t="shared" si="213"/>
        <v xml:space="preserve">N8080G  </v>
      </c>
      <c r="BC4308">
        <v>1</v>
      </c>
      <c r="BE4308">
        <v>0</v>
      </c>
      <c r="BF4308">
        <v>0</v>
      </c>
      <c r="BG4308">
        <v>0</v>
      </c>
      <c r="BH4308">
        <v>1350</v>
      </c>
      <c r="BI4308">
        <v>1</v>
      </c>
      <c r="BJ4308">
        <v>1</v>
      </c>
      <c r="BK4308">
        <v>1</v>
      </c>
      <c r="BL4308">
        <v>0</v>
      </c>
      <c r="BO4308">
        <v>0</v>
      </c>
      <c r="BP4308">
        <v>0</v>
      </c>
      <c r="BW4308" t="str">
        <f>"20:38:18.295"</f>
        <v>20:38:18.295</v>
      </c>
      <c r="BZ4308">
        <v>0</v>
      </c>
      <c r="CA4308">
        <v>1600</v>
      </c>
      <c r="CB4308">
        <v>224</v>
      </c>
      <c r="CD4308">
        <v>1</v>
      </c>
      <c r="CE4308">
        <v>0</v>
      </c>
      <c r="CF4308">
        <v>0</v>
      </c>
      <c r="CG4308">
        <v>1</v>
      </c>
      <c r="CH4308">
        <v>0</v>
      </c>
      <c r="CI4308">
        <v>0</v>
      </c>
      <c r="CJ4308">
        <v>0</v>
      </c>
      <c r="CK4308">
        <v>2</v>
      </c>
      <c r="CL4308">
        <v>0</v>
      </c>
      <c r="CM4308">
        <v>2</v>
      </c>
      <c r="CN4308">
        <v>0</v>
      </c>
      <c r="CO4308">
        <v>4</v>
      </c>
      <c r="CP4308" t="s">
        <v>119</v>
      </c>
      <c r="CQ4308">
        <v>180</v>
      </c>
      <c r="CR4308">
        <v>3</v>
      </c>
      <c r="CW4308">
        <v>1393646</v>
      </c>
      <c r="CY4308">
        <v>0</v>
      </c>
      <c r="CZ4308">
        <v>0</v>
      </c>
      <c r="DA4308">
        <v>1</v>
      </c>
      <c r="DB4308">
        <v>0</v>
      </c>
      <c r="DC4308">
        <v>0</v>
      </c>
      <c r="DD4308">
        <v>0</v>
      </c>
      <c r="DE4308">
        <v>0</v>
      </c>
      <c r="DF4308">
        <v>0</v>
      </c>
      <c r="DG4308">
        <v>0</v>
      </c>
      <c r="DH4308">
        <v>0</v>
      </c>
      <c r="DI4308">
        <v>0</v>
      </c>
    </row>
    <row r="4309" spans="1:113" x14ac:dyDescent="0.3">
      <c r="A4309" t="str">
        <f>"02/08/2021 20:38:15.945"</f>
        <v>02/08/2021 20:38:15.945</v>
      </c>
      <c r="C4309" t="str">
        <f t="shared" si="212"/>
        <v>FFDFD7C0</v>
      </c>
      <c r="D4309" t="s">
        <v>113</v>
      </c>
      <c r="E4309">
        <v>6</v>
      </c>
      <c r="H4309">
        <v>165</v>
      </c>
      <c r="I4309" t="s">
        <v>114</v>
      </c>
      <c r="J4309" t="s">
        <v>115</v>
      </c>
      <c r="K4309">
        <v>0</v>
      </c>
      <c r="L4309">
        <v>3</v>
      </c>
      <c r="M4309">
        <v>0</v>
      </c>
      <c r="N4309">
        <v>2</v>
      </c>
      <c r="O4309">
        <v>1</v>
      </c>
      <c r="P4309">
        <v>0</v>
      </c>
      <c r="Q4309">
        <v>0</v>
      </c>
      <c r="S4309" t="str">
        <f>"20:38:18.289"</f>
        <v>20:38:18.289</v>
      </c>
      <c r="T4309" t="str">
        <f>"20:38:17.789"</f>
        <v>20:38:17.789</v>
      </c>
      <c r="U4309" t="str">
        <f t="shared" si="214"/>
        <v>AB01F4</v>
      </c>
      <c r="V4309">
        <v>0</v>
      </c>
      <c r="W4309">
        <v>0</v>
      </c>
      <c r="X4309">
        <v>2</v>
      </c>
      <c r="Z4309">
        <v>0</v>
      </c>
      <c r="AA4309">
        <v>9</v>
      </c>
      <c r="AB4309">
        <v>3</v>
      </c>
      <c r="AC4309">
        <v>0</v>
      </c>
      <c r="AD4309">
        <v>10</v>
      </c>
      <c r="AE4309">
        <v>0</v>
      </c>
      <c r="AF4309">
        <v>3</v>
      </c>
      <c r="AG4309">
        <v>2</v>
      </c>
      <c r="AH4309">
        <v>0</v>
      </c>
      <c r="AI4309" t="s">
        <v>2402</v>
      </c>
      <c r="AJ4309">
        <v>40.165308000000003</v>
      </c>
      <c r="AK4309" t="s">
        <v>2403</v>
      </c>
      <c r="AL4309">
        <v>-93.173310999999998</v>
      </c>
      <c r="AM4309">
        <v>100</v>
      </c>
      <c r="AN4309">
        <v>1300</v>
      </c>
      <c r="AO4309" t="s">
        <v>118</v>
      </c>
      <c r="AP4309">
        <v>-122</v>
      </c>
      <c r="AQ4309">
        <v>-56</v>
      </c>
      <c r="AR4309">
        <v>320</v>
      </c>
      <c r="AZ4309">
        <v>1200</v>
      </c>
      <c r="BA4309">
        <v>1</v>
      </c>
      <c r="BB4309" t="str">
        <f t="shared" si="213"/>
        <v xml:space="preserve">N8080G  </v>
      </c>
      <c r="BC4309">
        <v>1</v>
      </c>
      <c r="BE4309">
        <v>0</v>
      </c>
      <c r="BF4309">
        <v>0</v>
      </c>
      <c r="BG4309">
        <v>0</v>
      </c>
      <c r="BH4309">
        <v>1350</v>
      </c>
      <c r="BI4309">
        <v>1</v>
      </c>
      <c r="BJ4309">
        <v>1</v>
      </c>
      <c r="BK4309">
        <v>1</v>
      </c>
      <c r="BL4309">
        <v>0</v>
      </c>
      <c r="BO4309">
        <v>0</v>
      </c>
      <c r="BP4309">
        <v>0</v>
      </c>
      <c r="BW4309" t="str">
        <f>"20:38:18.295"</f>
        <v>20:38:18.295</v>
      </c>
      <c r="BZ4309">
        <v>0</v>
      </c>
      <c r="CA4309">
        <v>1600</v>
      </c>
      <c r="CB4309">
        <v>224</v>
      </c>
      <c r="CD4309">
        <v>1</v>
      </c>
      <c r="CE4309">
        <v>0</v>
      </c>
      <c r="CF4309">
        <v>0</v>
      </c>
      <c r="CG4309">
        <v>1</v>
      </c>
      <c r="CH4309">
        <v>0</v>
      </c>
      <c r="CI4309">
        <v>0</v>
      </c>
      <c r="CJ4309">
        <v>0</v>
      </c>
      <c r="CK4309">
        <v>2</v>
      </c>
      <c r="CL4309">
        <v>0</v>
      </c>
      <c r="CM4309">
        <v>2</v>
      </c>
      <c r="CN4309">
        <v>0</v>
      </c>
      <c r="CO4309">
        <v>4</v>
      </c>
      <c r="CP4309" t="s">
        <v>119</v>
      </c>
      <c r="CQ4309">
        <v>180</v>
      </c>
      <c r="CR4309">
        <v>3</v>
      </c>
      <c r="CW4309">
        <v>1393646</v>
      </c>
      <c r="CY4309">
        <v>0</v>
      </c>
      <c r="CZ4309">
        <v>0</v>
      </c>
      <c r="DA4309">
        <v>1</v>
      </c>
      <c r="DB4309">
        <v>0</v>
      </c>
      <c r="DC4309">
        <v>0</v>
      </c>
      <c r="DD4309">
        <v>0</v>
      </c>
      <c r="DE4309">
        <v>0</v>
      </c>
      <c r="DF4309">
        <v>0</v>
      </c>
      <c r="DG4309">
        <v>0</v>
      </c>
      <c r="DH4309">
        <v>0</v>
      </c>
      <c r="DI4309">
        <v>0</v>
      </c>
    </row>
    <row r="4310" spans="1:113" x14ac:dyDescent="0.3">
      <c r="A4310" t="str">
        <f>"02/08/2021 20:38:15.945"</f>
        <v>02/08/2021 20:38:15.945</v>
      </c>
      <c r="C4310" t="str">
        <f t="shared" si="212"/>
        <v>FFDFD7C0</v>
      </c>
      <c r="D4310" t="s">
        <v>124</v>
      </c>
      <c r="E4310">
        <v>13</v>
      </c>
      <c r="F4310">
        <v>1013</v>
      </c>
      <c r="G4310" t="s">
        <v>114</v>
      </c>
      <c r="J4310" t="s">
        <v>125</v>
      </c>
      <c r="K4310">
        <v>0</v>
      </c>
      <c r="L4310">
        <v>3</v>
      </c>
      <c r="M4310">
        <v>0</v>
      </c>
      <c r="N4310">
        <v>2</v>
      </c>
      <c r="O4310">
        <v>1</v>
      </c>
      <c r="P4310">
        <v>0</v>
      </c>
      <c r="Q4310">
        <v>0</v>
      </c>
      <c r="S4310" t="str">
        <f>"20:38:18.289"</f>
        <v>20:38:18.289</v>
      </c>
      <c r="T4310" t="str">
        <f>"20:38:17.789"</f>
        <v>20:38:17.789</v>
      </c>
      <c r="U4310" t="str">
        <f t="shared" si="214"/>
        <v>AB01F4</v>
      </c>
      <c r="V4310">
        <v>0</v>
      </c>
      <c r="W4310">
        <v>0</v>
      </c>
      <c r="X4310">
        <v>2</v>
      </c>
      <c r="Z4310">
        <v>0</v>
      </c>
      <c r="AA4310">
        <v>9</v>
      </c>
      <c r="AB4310">
        <v>3</v>
      </c>
      <c r="AC4310">
        <v>0</v>
      </c>
      <c r="AD4310">
        <v>10</v>
      </c>
      <c r="AE4310">
        <v>0</v>
      </c>
      <c r="AF4310">
        <v>3</v>
      </c>
      <c r="AG4310">
        <v>2</v>
      </c>
      <c r="AH4310">
        <v>0</v>
      </c>
      <c r="AI4310" t="s">
        <v>2402</v>
      </c>
      <c r="AJ4310">
        <v>40.165308000000003</v>
      </c>
      <c r="AK4310" t="s">
        <v>2403</v>
      </c>
      <c r="AL4310">
        <v>-93.173310999999998</v>
      </c>
      <c r="AM4310">
        <v>100</v>
      </c>
      <c r="AN4310">
        <v>1300</v>
      </c>
      <c r="AO4310" t="s">
        <v>118</v>
      </c>
      <c r="AP4310">
        <v>-122</v>
      </c>
      <c r="AQ4310">
        <v>-56</v>
      </c>
      <c r="AR4310">
        <v>320</v>
      </c>
      <c r="AZ4310">
        <v>1200</v>
      </c>
      <c r="BA4310">
        <v>1</v>
      </c>
      <c r="BB4310" t="str">
        <f t="shared" si="213"/>
        <v xml:space="preserve">N8080G  </v>
      </c>
      <c r="BC4310">
        <v>1</v>
      </c>
      <c r="BE4310">
        <v>0</v>
      </c>
      <c r="BF4310">
        <v>0</v>
      </c>
      <c r="BG4310">
        <v>0</v>
      </c>
      <c r="BH4310">
        <v>1350</v>
      </c>
      <c r="BI4310">
        <v>1</v>
      </c>
      <c r="BJ4310">
        <v>1</v>
      </c>
      <c r="BK4310">
        <v>1</v>
      </c>
      <c r="BL4310">
        <v>0</v>
      </c>
      <c r="BO4310">
        <v>0</v>
      </c>
      <c r="BP4310">
        <v>0</v>
      </c>
      <c r="BW4310" t="str">
        <f>"20:38:18.295"</f>
        <v>20:38:18.295</v>
      </c>
      <c r="BZ4310">
        <v>0</v>
      </c>
      <c r="CA4310">
        <v>1600</v>
      </c>
      <c r="CB4310">
        <v>224</v>
      </c>
      <c r="CD4310">
        <v>1</v>
      </c>
      <c r="CE4310">
        <v>0</v>
      </c>
      <c r="CF4310">
        <v>0</v>
      </c>
      <c r="CG4310">
        <v>1</v>
      </c>
      <c r="CH4310">
        <v>0</v>
      </c>
      <c r="CI4310">
        <v>0</v>
      </c>
      <c r="CJ4310">
        <v>0</v>
      </c>
      <c r="CK4310">
        <v>2</v>
      </c>
      <c r="CL4310">
        <v>0</v>
      </c>
      <c r="CM4310">
        <v>2</v>
      </c>
      <c r="CN4310">
        <v>0</v>
      </c>
      <c r="CO4310">
        <v>4</v>
      </c>
      <c r="CP4310" t="s">
        <v>119</v>
      </c>
      <c r="CQ4310">
        <v>180</v>
      </c>
      <c r="CR4310">
        <v>3</v>
      </c>
      <c r="CW4310">
        <v>1393646</v>
      </c>
      <c r="CY4310">
        <v>0</v>
      </c>
      <c r="CZ4310">
        <v>0</v>
      </c>
      <c r="DA4310">
        <v>1</v>
      </c>
      <c r="DB4310">
        <v>0</v>
      </c>
      <c r="DC4310">
        <v>0</v>
      </c>
      <c r="DD4310">
        <v>0</v>
      </c>
      <c r="DE4310">
        <v>0</v>
      </c>
      <c r="DF4310">
        <v>0</v>
      </c>
      <c r="DG4310">
        <v>0</v>
      </c>
      <c r="DH4310">
        <v>0</v>
      </c>
      <c r="DI4310">
        <v>0</v>
      </c>
    </row>
    <row r="4311" spans="1:113" x14ac:dyDescent="0.3">
      <c r="A4311" t="str">
        <f>"02/08/2021 20:38:19.527"</f>
        <v>02/08/2021 20:38:19.527</v>
      </c>
      <c r="C4311" t="str">
        <f t="shared" si="212"/>
        <v>FFDFD7C0</v>
      </c>
      <c r="D4311" t="s">
        <v>124</v>
      </c>
      <c r="E4311">
        <v>11</v>
      </c>
      <c r="F4311">
        <v>1011</v>
      </c>
      <c r="G4311" t="s">
        <v>590</v>
      </c>
      <c r="J4311" t="s">
        <v>125</v>
      </c>
      <c r="K4311">
        <v>0</v>
      </c>
      <c r="L4311">
        <v>3</v>
      </c>
      <c r="M4311">
        <v>0</v>
      </c>
      <c r="N4311">
        <v>2</v>
      </c>
      <c r="O4311">
        <v>1</v>
      </c>
      <c r="P4311">
        <v>0</v>
      </c>
      <c r="Q4311">
        <v>0</v>
      </c>
      <c r="S4311" t="str">
        <f>"20:38:21.836"</f>
        <v>20:38:21.836</v>
      </c>
      <c r="T4311" t="str">
        <f>"20:38:21.336"</f>
        <v>20:38:21.336</v>
      </c>
      <c r="U4311" t="str">
        <f t="shared" si="214"/>
        <v>AB01F4</v>
      </c>
      <c r="V4311">
        <v>0</v>
      </c>
      <c r="W4311">
        <v>0</v>
      </c>
      <c r="X4311">
        <v>2</v>
      </c>
      <c r="Z4311">
        <v>0</v>
      </c>
      <c r="AA4311">
        <v>9</v>
      </c>
      <c r="AB4311">
        <v>3</v>
      </c>
      <c r="AC4311">
        <v>0</v>
      </c>
      <c r="AD4311">
        <v>10</v>
      </c>
      <c r="AE4311">
        <v>0</v>
      </c>
      <c r="AF4311">
        <v>3</v>
      </c>
      <c r="AG4311">
        <v>2</v>
      </c>
      <c r="AH4311">
        <v>0</v>
      </c>
      <c r="AI4311" t="s">
        <v>2404</v>
      </c>
      <c r="AJ4311">
        <v>40.164385000000003</v>
      </c>
      <c r="AK4311" t="s">
        <v>2405</v>
      </c>
      <c r="AL4311">
        <v>-93.175993000000005</v>
      </c>
      <c r="AM4311">
        <v>100</v>
      </c>
      <c r="AN4311">
        <v>1300</v>
      </c>
      <c r="AO4311" t="s">
        <v>118</v>
      </c>
      <c r="AP4311">
        <v>-124</v>
      </c>
      <c r="AQ4311">
        <v>-54</v>
      </c>
      <c r="AR4311">
        <v>0</v>
      </c>
      <c r="AZ4311">
        <v>1200</v>
      </c>
      <c r="BA4311">
        <v>1</v>
      </c>
      <c r="BB4311" t="str">
        <f t="shared" si="213"/>
        <v xml:space="preserve">N8080G  </v>
      </c>
      <c r="BC4311">
        <v>1</v>
      </c>
      <c r="BE4311">
        <v>0</v>
      </c>
      <c r="BF4311">
        <v>0</v>
      </c>
      <c r="BG4311">
        <v>0</v>
      </c>
      <c r="BH4311">
        <v>1350</v>
      </c>
      <c r="BI4311">
        <v>1</v>
      </c>
      <c r="BJ4311">
        <v>1</v>
      </c>
      <c r="BK4311">
        <v>1</v>
      </c>
      <c r="BL4311">
        <v>0</v>
      </c>
      <c r="BO4311">
        <v>0</v>
      </c>
      <c r="BP4311">
        <v>0</v>
      </c>
      <c r="BW4311" t="str">
        <f>"20:38:21.839"</f>
        <v>20:38:21.839</v>
      </c>
      <c r="BZ4311">
        <v>0</v>
      </c>
      <c r="CA4311">
        <v>1600</v>
      </c>
      <c r="CB4311">
        <v>224</v>
      </c>
      <c r="CD4311">
        <v>1</v>
      </c>
      <c r="CE4311">
        <v>0</v>
      </c>
      <c r="CF4311">
        <v>0</v>
      </c>
      <c r="CG4311">
        <v>1</v>
      </c>
      <c r="CH4311">
        <v>0</v>
      </c>
      <c r="CI4311">
        <v>0</v>
      </c>
      <c r="CJ4311">
        <v>0</v>
      </c>
      <c r="CK4311">
        <v>2</v>
      </c>
      <c r="CL4311">
        <v>0</v>
      </c>
      <c r="CM4311">
        <v>2</v>
      </c>
      <c r="CN4311">
        <v>0</v>
      </c>
      <c r="CO4311">
        <v>5</v>
      </c>
      <c r="CP4311" t="s">
        <v>119</v>
      </c>
      <c r="CQ4311">
        <v>180</v>
      </c>
      <c r="CR4311">
        <v>3</v>
      </c>
      <c r="CW4311">
        <v>1396340</v>
      </c>
      <c r="CY4311">
        <v>0</v>
      </c>
      <c r="CZ4311">
        <v>0</v>
      </c>
      <c r="DA4311">
        <v>0</v>
      </c>
      <c r="DB4311">
        <v>0</v>
      </c>
      <c r="DC4311">
        <v>0</v>
      </c>
      <c r="DD4311">
        <v>0</v>
      </c>
      <c r="DE4311">
        <v>0</v>
      </c>
      <c r="DF4311">
        <v>0</v>
      </c>
      <c r="DG4311">
        <v>0</v>
      </c>
      <c r="DH4311">
        <v>0</v>
      </c>
      <c r="DI4311">
        <v>0</v>
      </c>
    </row>
    <row r="4312" spans="1:113" x14ac:dyDescent="0.3">
      <c r="A4312" t="str">
        <f>"02/08/2021 20:38:19.527"</f>
        <v>02/08/2021 20:38:19.527</v>
      </c>
      <c r="C4312" t="str">
        <f t="shared" si="212"/>
        <v>FFDFD7C0</v>
      </c>
      <c r="D4312" t="s">
        <v>124</v>
      </c>
      <c r="E4312">
        <v>13</v>
      </c>
      <c r="F4312">
        <v>1013</v>
      </c>
      <c r="G4312" t="s">
        <v>114</v>
      </c>
      <c r="J4312" t="s">
        <v>125</v>
      </c>
      <c r="K4312">
        <v>0</v>
      </c>
      <c r="L4312">
        <v>3</v>
      </c>
      <c r="M4312">
        <v>0</v>
      </c>
      <c r="N4312">
        <v>2</v>
      </c>
      <c r="O4312">
        <v>1</v>
      </c>
      <c r="P4312">
        <v>0</v>
      </c>
      <c r="Q4312">
        <v>0</v>
      </c>
      <c r="S4312" t="str">
        <f>"20:38:21.836"</f>
        <v>20:38:21.836</v>
      </c>
      <c r="T4312" t="str">
        <f>"20:38:21.336"</f>
        <v>20:38:21.336</v>
      </c>
      <c r="U4312" t="str">
        <f t="shared" si="214"/>
        <v>AB01F4</v>
      </c>
      <c r="V4312">
        <v>0</v>
      </c>
      <c r="W4312">
        <v>0</v>
      </c>
      <c r="X4312">
        <v>2</v>
      </c>
      <c r="Z4312">
        <v>0</v>
      </c>
      <c r="AA4312">
        <v>9</v>
      </c>
      <c r="AB4312">
        <v>3</v>
      </c>
      <c r="AC4312">
        <v>0</v>
      </c>
      <c r="AD4312">
        <v>10</v>
      </c>
      <c r="AE4312">
        <v>0</v>
      </c>
      <c r="AF4312">
        <v>3</v>
      </c>
      <c r="AG4312">
        <v>2</v>
      </c>
      <c r="AH4312">
        <v>0</v>
      </c>
      <c r="AI4312" t="s">
        <v>2404</v>
      </c>
      <c r="AJ4312">
        <v>40.164385000000003</v>
      </c>
      <c r="AK4312" t="s">
        <v>2405</v>
      </c>
      <c r="AL4312">
        <v>-93.175993000000005</v>
      </c>
      <c r="AM4312">
        <v>100</v>
      </c>
      <c r="AN4312">
        <v>1300</v>
      </c>
      <c r="AO4312" t="s">
        <v>118</v>
      </c>
      <c r="AP4312">
        <v>-124</v>
      </c>
      <c r="AQ4312">
        <v>-54</v>
      </c>
      <c r="AR4312">
        <v>0</v>
      </c>
      <c r="AZ4312">
        <v>1200</v>
      </c>
      <c r="BA4312">
        <v>1</v>
      </c>
      <c r="BB4312" t="str">
        <f t="shared" si="213"/>
        <v xml:space="preserve">N8080G  </v>
      </c>
      <c r="BC4312">
        <v>1</v>
      </c>
      <c r="BE4312">
        <v>0</v>
      </c>
      <c r="BF4312">
        <v>0</v>
      </c>
      <c r="BG4312">
        <v>0</v>
      </c>
      <c r="BH4312">
        <v>1350</v>
      </c>
      <c r="BI4312">
        <v>1</v>
      </c>
      <c r="BJ4312">
        <v>1</v>
      </c>
      <c r="BK4312">
        <v>1</v>
      </c>
      <c r="BL4312">
        <v>0</v>
      </c>
      <c r="BO4312">
        <v>0</v>
      </c>
      <c r="BP4312">
        <v>0</v>
      </c>
      <c r="BW4312" t="str">
        <f>"20:38:21.839"</f>
        <v>20:38:21.839</v>
      </c>
      <c r="BZ4312">
        <v>0</v>
      </c>
      <c r="CA4312">
        <v>1600</v>
      </c>
      <c r="CB4312">
        <v>224</v>
      </c>
      <c r="CD4312">
        <v>1</v>
      </c>
      <c r="CE4312">
        <v>0</v>
      </c>
      <c r="CF4312">
        <v>0</v>
      </c>
      <c r="CG4312">
        <v>1</v>
      </c>
      <c r="CH4312">
        <v>0</v>
      </c>
      <c r="CI4312">
        <v>0</v>
      </c>
      <c r="CJ4312">
        <v>0</v>
      </c>
      <c r="CK4312">
        <v>2</v>
      </c>
      <c r="CL4312">
        <v>0</v>
      </c>
      <c r="CM4312">
        <v>2</v>
      </c>
      <c r="CN4312">
        <v>0</v>
      </c>
      <c r="CO4312">
        <v>5</v>
      </c>
      <c r="CP4312" t="s">
        <v>119</v>
      </c>
      <c r="CQ4312">
        <v>180</v>
      </c>
      <c r="CR4312">
        <v>3</v>
      </c>
      <c r="CW4312">
        <v>1396340</v>
      </c>
      <c r="CY4312">
        <v>0</v>
      </c>
      <c r="CZ4312">
        <v>0</v>
      </c>
      <c r="DA4312">
        <v>1</v>
      </c>
      <c r="DB4312">
        <v>0</v>
      </c>
      <c r="DC4312">
        <v>0</v>
      </c>
      <c r="DD4312">
        <v>0</v>
      </c>
      <c r="DE4312">
        <v>0</v>
      </c>
      <c r="DF4312">
        <v>0</v>
      </c>
      <c r="DG4312">
        <v>0</v>
      </c>
      <c r="DH4312">
        <v>0</v>
      </c>
      <c r="DI4312">
        <v>0</v>
      </c>
    </row>
    <row r="4313" spans="1:113" x14ac:dyDescent="0.3">
      <c r="A4313" t="str">
        <f>"02/08/2021 20:38:19.527"</f>
        <v>02/08/2021 20:38:19.527</v>
      </c>
      <c r="C4313" t="str">
        <f t="shared" si="212"/>
        <v>FFDFD7C0</v>
      </c>
      <c r="D4313" t="s">
        <v>113</v>
      </c>
      <c r="E4313">
        <v>6</v>
      </c>
      <c r="H4313">
        <v>165</v>
      </c>
      <c r="I4313" t="s">
        <v>114</v>
      </c>
      <c r="J4313" t="s">
        <v>115</v>
      </c>
      <c r="K4313">
        <v>0</v>
      </c>
      <c r="L4313">
        <v>3</v>
      </c>
      <c r="M4313">
        <v>0</v>
      </c>
      <c r="N4313">
        <v>2</v>
      </c>
      <c r="O4313">
        <v>1</v>
      </c>
      <c r="P4313">
        <v>0</v>
      </c>
      <c r="Q4313">
        <v>0</v>
      </c>
      <c r="S4313" t="str">
        <f>"20:38:21.836"</f>
        <v>20:38:21.836</v>
      </c>
      <c r="T4313" t="str">
        <f>"20:38:21.336"</f>
        <v>20:38:21.336</v>
      </c>
      <c r="U4313" t="str">
        <f t="shared" si="214"/>
        <v>AB01F4</v>
      </c>
      <c r="V4313">
        <v>0</v>
      </c>
      <c r="W4313">
        <v>0</v>
      </c>
      <c r="X4313">
        <v>2</v>
      </c>
      <c r="Z4313">
        <v>0</v>
      </c>
      <c r="AA4313">
        <v>9</v>
      </c>
      <c r="AB4313">
        <v>3</v>
      </c>
      <c r="AC4313">
        <v>0</v>
      </c>
      <c r="AD4313">
        <v>10</v>
      </c>
      <c r="AE4313">
        <v>0</v>
      </c>
      <c r="AF4313">
        <v>3</v>
      </c>
      <c r="AG4313">
        <v>2</v>
      </c>
      <c r="AH4313">
        <v>0</v>
      </c>
      <c r="AI4313" t="s">
        <v>2404</v>
      </c>
      <c r="AJ4313">
        <v>40.164385000000003</v>
      </c>
      <c r="AK4313" t="s">
        <v>2405</v>
      </c>
      <c r="AL4313">
        <v>-93.175993000000005</v>
      </c>
      <c r="AM4313">
        <v>100</v>
      </c>
      <c r="AN4313">
        <v>1300</v>
      </c>
      <c r="AO4313" t="s">
        <v>118</v>
      </c>
      <c r="AP4313">
        <v>-124</v>
      </c>
      <c r="AQ4313">
        <v>-54</v>
      </c>
      <c r="AR4313">
        <v>0</v>
      </c>
      <c r="AZ4313">
        <v>1200</v>
      </c>
      <c r="BA4313">
        <v>1</v>
      </c>
      <c r="BB4313" t="str">
        <f t="shared" si="213"/>
        <v xml:space="preserve">N8080G  </v>
      </c>
      <c r="BC4313">
        <v>1</v>
      </c>
      <c r="BE4313">
        <v>0</v>
      </c>
      <c r="BF4313">
        <v>0</v>
      </c>
      <c r="BG4313">
        <v>0</v>
      </c>
      <c r="BH4313">
        <v>1350</v>
      </c>
      <c r="BI4313">
        <v>1</v>
      </c>
      <c r="BJ4313">
        <v>1</v>
      </c>
      <c r="BK4313">
        <v>1</v>
      </c>
      <c r="BL4313">
        <v>0</v>
      </c>
      <c r="BO4313">
        <v>0</v>
      </c>
      <c r="BP4313">
        <v>0</v>
      </c>
      <c r="BW4313" t="str">
        <f>"20:38:21.839"</f>
        <v>20:38:21.839</v>
      </c>
      <c r="BZ4313">
        <v>0</v>
      </c>
      <c r="CA4313">
        <v>1600</v>
      </c>
      <c r="CB4313">
        <v>224</v>
      </c>
      <c r="CD4313">
        <v>1</v>
      </c>
      <c r="CE4313">
        <v>0</v>
      </c>
      <c r="CF4313">
        <v>0</v>
      </c>
      <c r="CG4313">
        <v>1</v>
      </c>
      <c r="CH4313">
        <v>0</v>
      </c>
      <c r="CI4313">
        <v>0</v>
      </c>
      <c r="CJ4313">
        <v>0</v>
      </c>
      <c r="CK4313">
        <v>2</v>
      </c>
      <c r="CL4313">
        <v>0</v>
      </c>
      <c r="CM4313">
        <v>2</v>
      </c>
      <c r="CN4313">
        <v>0</v>
      </c>
      <c r="CO4313">
        <v>5</v>
      </c>
      <c r="CP4313" t="s">
        <v>119</v>
      </c>
      <c r="CQ4313">
        <v>180</v>
      </c>
      <c r="CR4313">
        <v>3</v>
      </c>
      <c r="CW4313">
        <v>1396340</v>
      </c>
      <c r="CY4313">
        <v>0</v>
      </c>
      <c r="CZ4313">
        <v>0</v>
      </c>
      <c r="DA4313">
        <v>1</v>
      </c>
      <c r="DB4313">
        <v>0</v>
      </c>
      <c r="DC4313">
        <v>0</v>
      </c>
      <c r="DD4313">
        <v>0</v>
      </c>
      <c r="DE4313">
        <v>0</v>
      </c>
      <c r="DF4313">
        <v>0</v>
      </c>
      <c r="DG4313">
        <v>0</v>
      </c>
      <c r="DH4313">
        <v>0</v>
      </c>
      <c r="DI4313">
        <v>0</v>
      </c>
    </row>
    <row r="4314" spans="1:113" x14ac:dyDescent="0.3">
      <c r="A4314" t="str">
        <f>"02/08/2021 20:38:19.527"</f>
        <v>02/08/2021 20:38:19.527</v>
      </c>
      <c r="C4314" t="str">
        <f t="shared" si="212"/>
        <v>FFDFD7C0</v>
      </c>
      <c r="D4314" t="s">
        <v>124</v>
      </c>
      <c r="E4314">
        <v>12</v>
      </c>
      <c r="F4314">
        <v>1012</v>
      </c>
      <c r="G4314" t="s">
        <v>675</v>
      </c>
      <c r="J4314" t="s">
        <v>125</v>
      </c>
      <c r="K4314">
        <v>0</v>
      </c>
      <c r="L4314">
        <v>3</v>
      </c>
      <c r="M4314">
        <v>0</v>
      </c>
      <c r="N4314">
        <v>2</v>
      </c>
      <c r="O4314">
        <v>1</v>
      </c>
      <c r="P4314">
        <v>0</v>
      </c>
      <c r="Q4314">
        <v>0</v>
      </c>
      <c r="S4314" t="str">
        <f>"20:38:21.836"</f>
        <v>20:38:21.836</v>
      </c>
      <c r="T4314" t="str">
        <f>"20:38:21.336"</f>
        <v>20:38:21.336</v>
      </c>
      <c r="U4314" t="str">
        <f t="shared" si="214"/>
        <v>AB01F4</v>
      </c>
      <c r="V4314">
        <v>0</v>
      </c>
      <c r="W4314">
        <v>0</v>
      </c>
      <c r="X4314">
        <v>2</v>
      </c>
      <c r="Z4314">
        <v>0</v>
      </c>
      <c r="AA4314">
        <v>9</v>
      </c>
      <c r="AB4314">
        <v>3</v>
      </c>
      <c r="AC4314">
        <v>0</v>
      </c>
      <c r="AD4314">
        <v>10</v>
      </c>
      <c r="AE4314">
        <v>0</v>
      </c>
      <c r="AF4314">
        <v>3</v>
      </c>
      <c r="AG4314">
        <v>2</v>
      </c>
      <c r="AH4314">
        <v>0</v>
      </c>
      <c r="AI4314" t="s">
        <v>2404</v>
      </c>
      <c r="AJ4314">
        <v>40.164385000000003</v>
      </c>
      <c r="AK4314" t="s">
        <v>2405</v>
      </c>
      <c r="AL4314">
        <v>-93.175993000000005</v>
      </c>
      <c r="AM4314">
        <v>100</v>
      </c>
      <c r="AN4314">
        <v>1300</v>
      </c>
      <c r="AO4314" t="s">
        <v>118</v>
      </c>
      <c r="AP4314">
        <v>-124</v>
      </c>
      <c r="AQ4314">
        <v>-54</v>
      </c>
      <c r="AR4314">
        <v>0</v>
      </c>
      <c r="AZ4314">
        <v>1200</v>
      </c>
      <c r="BA4314">
        <v>1</v>
      </c>
      <c r="BB4314" t="str">
        <f t="shared" si="213"/>
        <v xml:space="preserve">N8080G  </v>
      </c>
      <c r="BC4314">
        <v>1</v>
      </c>
      <c r="BE4314">
        <v>0</v>
      </c>
      <c r="BF4314">
        <v>0</v>
      </c>
      <c r="BG4314">
        <v>0</v>
      </c>
      <c r="BH4314">
        <v>1350</v>
      </c>
      <c r="BI4314">
        <v>1</v>
      </c>
      <c r="BJ4314">
        <v>1</v>
      </c>
      <c r="BK4314">
        <v>1</v>
      </c>
      <c r="BL4314">
        <v>0</v>
      </c>
      <c r="BO4314">
        <v>0</v>
      </c>
      <c r="BP4314">
        <v>0</v>
      </c>
      <c r="BW4314" t="str">
        <f>"20:38:21.839"</f>
        <v>20:38:21.839</v>
      </c>
      <c r="BZ4314">
        <v>0</v>
      </c>
      <c r="CA4314">
        <v>1600</v>
      </c>
      <c r="CB4314">
        <v>224</v>
      </c>
      <c r="CD4314">
        <v>1</v>
      </c>
      <c r="CE4314">
        <v>0</v>
      </c>
      <c r="CF4314">
        <v>0</v>
      </c>
      <c r="CG4314">
        <v>1</v>
      </c>
      <c r="CH4314">
        <v>0</v>
      </c>
      <c r="CI4314">
        <v>0</v>
      </c>
      <c r="CJ4314">
        <v>0</v>
      </c>
      <c r="CK4314">
        <v>2</v>
      </c>
      <c r="CL4314">
        <v>0</v>
      </c>
      <c r="CM4314">
        <v>2</v>
      </c>
      <c r="CN4314">
        <v>0</v>
      </c>
      <c r="CO4314">
        <v>5</v>
      </c>
      <c r="CP4314" t="s">
        <v>119</v>
      </c>
      <c r="CQ4314">
        <v>180</v>
      </c>
      <c r="CR4314">
        <v>3</v>
      </c>
      <c r="CW4314">
        <v>1396340</v>
      </c>
      <c r="CY4314">
        <v>0</v>
      </c>
      <c r="CZ4314">
        <v>0</v>
      </c>
      <c r="DA4314">
        <v>1</v>
      </c>
      <c r="DB4314">
        <v>0</v>
      </c>
      <c r="DC4314">
        <v>0</v>
      </c>
      <c r="DD4314">
        <v>0</v>
      </c>
      <c r="DE4314">
        <v>0</v>
      </c>
      <c r="DF4314">
        <v>0</v>
      </c>
      <c r="DG4314">
        <v>0</v>
      </c>
      <c r="DH4314">
        <v>0</v>
      </c>
      <c r="DI4314">
        <v>0</v>
      </c>
    </row>
    <row r="4315" spans="1:113" x14ac:dyDescent="0.3">
      <c r="A4315" t="str">
        <f>"02/08/2021 20:38:20.503"</f>
        <v>02/08/2021 20:38:20.503</v>
      </c>
      <c r="C4315" t="str">
        <f t="shared" si="212"/>
        <v>FFDFD7C0</v>
      </c>
      <c r="D4315" t="s">
        <v>124</v>
      </c>
      <c r="E4315">
        <v>13</v>
      </c>
      <c r="F4315">
        <v>1013</v>
      </c>
      <c r="G4315" t="s">
        <v>114</v>
      </c>
      <c r="J4315" t="s">
        <v>125</v>
      </c>
      <c r="K4315">
        <v>0</v>
      </c>
      <c r="L4315">
        <v>3</v>
      </c>
      <c r="M4315">
        <v>0</v>
      </c>
      <c r="N4315">
        <v>2</v>
      </c>
      <c r="O4315">
        <v>1</v>
      </c>
      <c r="P4315">
        <v>0</v>
      </c>
      <c r="Q4315">
        <v>0</v>
      </c>
      <c r="S4315" t="str">
        <f>"20:38:22.836"</f>
        <v>20:38:22.836</v>
      </c>
      <c r="T4315" t="str">
        <f>"20:38:22.436"</f>
        <v>20:38:22.436</v>
      </c>
      <c r="U4315" t="str">
        <f t="shared" si="214"/>
        <v>AB01F4</v>
      </c>
      <c r="V4315">
        <v>0</v>
      </c>
      <c r="W4315">
        <v>0</v>
      </c>
      <c r="X4315">
        <v>2</v>
      </c>
      <c r="Z4315">
        <v>0</v>
      </c>
      <c r="AA4315">
        <v>9</v>
      </c>
      <c r="AB4315">
        <v>3</v>
      </c>
      <c r="AC4315">
        <v>0</v>
      </c>
      <c r="AD4315">
        <v>10</v>
      </c>
      <c r="AE4315">
        <v>0</v>
      </c>
      <c r="AF4315">
        <v>3</v>
      </c>
      <c r="AG4315">
        <v>2</v>
      </c>
      <c r="AH4315">
        <v>0</v>
      </c>
      <c r="AI4315" t="s">
        <v>2406</v>
      </c>
      <c r="AJ4315">
        <v>40.164149000000002</v>
      </c>
      <c r="AK4315" t="s">
        <v>2407</v>
      </c>
      <c r="AL4315">
        <v>-93.176743999999999</v>
      </c>
      <c r="AM4315">
        <v>100</v>
      </c>
      <c r="AN4315">
        <v>1300</v>
      </c>
      <c r="AO4315" t="s">
        <v>118</v>
      </c>
      <c r="AP4315">
        <v>-125</v>
      </c>
      <c r="AQ4315">
        <v>-50</v>
      </c>
      <c r="AR4315">
        <v>-64</v>
      </c>
      <c r="AZ4315">
        <v>1200</v>
      </c>
      <c r="BA4315">
        <v>1</v>
      </c>
      <c r="BB4315" t="str">
        <f t="shared" si="213"/>
        <v xml:space="preserve">N8080G  </v>
      </c>
      <c r="BC4315">
        <v>1</v>
      </c>
      <c r="BE4315">
        <v>0</v>
      </c>
      <c r="BF4315">
        <v>0</v>
      </c>
      <c r="BG4315">
        <v>0</v>
      </c>
      <c r="BH4315">
        <v>1350</v>
      </c>
      <c r="BI4315">
        <v>1</v>
      </c>
      <c r="BJ4315">
        <v>1</v>
      </c>
      <c r="BK4315">
        <v>1</v>
      </c>
      <c r="BL4315">
        <v>0</v>
      </c>
      <c r="BO4315">
        <v>0</v>
      </c>
      <c r="BP4315">
        <v>0</v>
      </c>
      <c r="BW4315" t="str">
        <f>"20:38:22.840"</f>
        <v>20:38:22.840</v>
      </c>
      <c r="BZ4315">
        <v>0</v>
      </c>
      <c r="CA4315">
        <v>1600</v>
      </c>
      <c r="CB4315">
        <v>224</v>
      </c>
      <c r="CD4315">
        <v>1</v>
      </c>
      <c r="CE4315">
        <v>0</v>
      </c>
      <c r="CF4315">
        <v>0</v>
      </c>
      <c r="CG4315">
        <v>1</v>
      </c>
      <c r="CH4315">
        <v>0</v>
      </c>
      <c r="CI4315">
        <v>0</v>
      </c>
      <c r="CJ4315">
        <v>0</v>
      </c>
      <c r="CK4315">
        <v>2</v>
      </c>
      <c r="CL4315">
        <v>0</v>
      </c>
      <c r="CM4315">
        <v>2</v>
      </c>
      <c r="CN4315">
        <v>0</v>
      </c>
      <c r="CO4315">
        <v>5</v>
      </c>
      <c r="CP4315" t="s">
        <v>119</v>
      </c>
      <c r="CQ4315">
        <v>180</v>
      </c>
      <c r="CR4315">
        <v>3</v>
      </c>
      <c r="CW4315">
        <v>1397056</v>
      </c>
      <c r="CY4315">
        <v>0</v>
      </c>
      <c r="CZ4315">
        <v>0</v>
      </c>
      <c r="DA4315">
        <v>0</v>
      </c>
      <c r="DB4315">
        <v>0</v>
      </c>
      <c r="DC4315">
        <v>0</v>
      </c>
      <c r="DD4315">
        <v>0</v>
      </c>
      <c r="DE4315">
        <v>0</v>
      </c>
      <c r="DF4315">
        <v>0</v>
      </c>
      <c r="DG4315">
        <v>0</v>
      </c>
      <c r="DH4315">
        <v>0</v>
      </c>
      <c r="DI4315">
        <v>0</v>
      </c>
    </row>
    <row r="4316" spans="1:113" x14ac:dyDescent="0.3">
      <c r="A4316" t="str">
        <f>"02/08/2021 20:38:20.503"</f>
        <v>02/08/2021 20:38:20.503</v>
      </c>
      <c r="C4316" t="str">
        <f t="shared" si="212"/>
        <v>FFDFD7C0</v>
      </c>
      <c r="D4316" t="s">
        <v>124</v>
      </c>
      <c r="E4316">
        <v>12</v>
      </c>
      <c r="F4316">
        <v>1012</v>
      </c>
      <c r="G4316" t="s">
        <v>675</v>
      </c>
      <c r="J4316" t="s">
        <v>125</v>
      </c>
      <c r="K4316">
        <v>0</v>
      </c>
      <c r="L4316">
        <v>3</v>
      </c>
      <c r="M4316">
        <v>0</v>
      </c>
      <c r="N4316">
        <v>2</v>
      </c>
      <c r="O4316">
        <v>1</v>
      </c>
      <c r="P4316">
        <v>0</v>
      </c>
      <c r="Q4316">
        <v>0</v>
      </c>
      <c r="S4316" t="str">
        <f>"20:38:22.836"</f>
        <v>20:38:22.836</v>
      </c>
      <c r="T4316" t="str">
        <f>"20:38:22.436"</f>
        <v>20:38:22.436</v>
      </c>
      <c r="U4316" t="str">
        <f t="shared" si="214"/>
        <v>AB01F4</v>
      </c>
      <c r="V4316">
        <v>0</v>
      </c>
      <c r="W4316">
        <v>0</v>
      </c>
      <c r="X4316">
        <v>2</v>
      </c>
      <c r="Z4316">
        <v>0</v>
      </c>
      <c r="AA4316">
        <v>9</v>
      </c>
      <c r="AB4316">
        <v>3</v>
      </c>
      <c r="AC4316">
        <v>0</v>
      </c>
      <c r="AD4316">
        <v>10</v>
      </c>
      <c r="AE4316">
        <v>0</v>
      </c>
      <c r="AF4316">
        <v>3</v>
      </c>
      <c r="AG4316">
        <v>2</v>
      </c>
      <c r="AH4316">
        <v>0</v>
      </c>
      <c r="AI4316" t="s">
        <v>2406</v>
      </c>
      <c r="AJ4316">
        <v>40.164149000000002</v>
      </c>
      <c r="AK4316" t="s">
        <v>2407</v>
      </c>
      <c r="AL4316">
        <v>-93.176743999999999</v>
      </c>
      <c r="AM4316">
        <v>100</v>
      </c>
      <c r="AN4316">
        <v>1300</v>
      </c>
      <c r="AO4316" t="s">
        <v>118</v>
      </c>
      <c r="AP4316">
        <v>-125</v>
      </c>
      <c r="AQ4316">
        <v>-50</v>
      </c>
      <c r="AR4316">
        <v>-64</v>
      </c>
      <c r="AZ4316">
        <v>1200</v>
      </c>
      <c r="BA4316">
        <v>1</v>
      </c>
      <c r="BB4316" t="str">
        <f t="shared" si="213"/>
        <v xml:space="preserve">N8080G  </v>
      </c>
      <c r="BC4316">
        <v>1</v>
      </c>
      <c r="BE4316">
        <v>0</v>
      </c>
      <c r="BF4316">
        <v>0</v>
      </c>
      <c r="BG4316">
        <v>0</v>
      </c>
      <c r="BH4316">
        <v>1350</v>
      </c>
      <c r="BI4316">
        <v>1</v>
      </c>
      <c r="BJ4316">
        <v>1</v>
      </c>
      <c r="BK4316">
        <v>1</v>
      </c>
      <c r="BL4316">
        <v>0</v>
      </c>
      <c r="BO4316">
        <v>0</v>
      </c>
      <c r="BP4316">
        <v>0</v>
      </c>
      <c r="BW4316" t="str">
        <f>"20:38:22.840"</f>
        <v>20:38:22.840</v>
      </c>
      <c r="BZ4316">
        <v>0</v>
      </c>
      <c r="CA4316">
        <v>1600</v>
      </c>
      <c r="CB4316">
        <v>224</v>
      </c>
      <c r="CD4316">
        <v>1</v>
      </c>
      <c r="CE4316">
        <v>0</v>
      </c>
      <c r="CF4316">
        <v>0</v>
      </c>
      <c r="CG4316">
        <v>1</v>
      </c>
      <c r="CH4316">
        <v>0</v>
      </c>
      <c r="CI4316">
        <v>0</v>
      </c>
      <c r="CJ4316">
        <v>0</v>
      </c>
      <c r="CK4316">
        <v>2</v>
      </c>
      <c r="CL4316">
        <v>0</v>
      </c>
      <c r="CM4316">
        <v>2</v>
      </c>
      <c r="CN4316">
        <v>0</v>
      </c>
      <c r="CO4316">
        <v>5</v>
      </c>
      <c r="CP4316" t="s">
        <v>119</v>
      </c>
      <c r="CQ4316">
        <v>180</v>
      </c>
      <c r="CR4316">
        <v>3</v>
      </c>
      <c r="CW4316">
        <v>1397056</v>
      </c>
      <c r="CY4316">
        <v>0</v>
      </c>
      <c r="CZ4316">
        <v>0</v>
      </c>
      <c r="DA4316">
        <v>1</v>
      </c>
      <c r="DB4316">
        <v>0</v>
      </c>
      <c r="DC4316">
        <v>0</v>
      </c>
      <c r="DD4316">
        <v>0</v>
      </c>
      <c r="DE4316">
        <v>0</v>
      </c>
      <c r="DF4316">
        <v>0</v>
      </c>
      <c r="DG4316">
        <v>0</v>
      </c>
      <c r="DH4316">
        <v>0</v>
      </c>
      <c r="DI4316">
        <v>0</v>
      </c>
    </row>
    <row r="4317" spans="1:113" x14ac:dyDescent="0.3">
      <c r="A4317" t="str">
        <f>"02/08/2021 20:38:20.503"</f>
        <v>02/08/2021 20:38:20.503</v>
      </c>
      <c r="C4317" t="str">
        <f t="shared" si="212"/>
        <v>FFDFD7C0</v>
      </c>
      <c r="D4317" t="s">
        <v>113</v>
      </c>
      <c r="E4317">
        <v>6</v>
      </c>
      <c r="H4317">
        <v>165</v>
      </c>
      <c r="I4317" t="s">
        <v>114</v>
      </c>
      <c r="J4317" t="s">
        <v>115</v>
      </c>
      <c r="K4317">
        <v>0</v>
      </c>
      <c r="L4317">
        <v>3</v>
      </c>
      <c r="M4317">
        <v>0</v>
      </c>
      <c r="N4317">
        <v>2</v>
      </c>
      <c r="O4317">
        <v>1</v>
      </c>
      <c r="P4317">
        <v>0</v>
      </c>
      <c r="Q4317">
        <v>0</v>
      </c>
      <c r="S4317" t="str">
        <f>"20:38:22.836"</f>
        <v>20:38:22.836</v>
      </c>
      <c r="T4317" t="str">
        <f>"20:38:22.436"</f>
        <v>20:38:22.436</v>
      </c>
      <c r="U4317" t="str">
        <f t="shared" si="214"/>
        <v>AB01F4</v>
      </c>
      <c r="V4317">
        <v>0</v>
      </c>
      <c r="W4317">
        <v>0</v>
      </c>
      <c r="X4317">
        <v>2</v>
      </c>
      <c r="Z4317">
        <v>0</v>
      </c>
      <c r="AA4317">
        <v>9</v>
      </c>
      <c r="AB4317">
        <v>3</v>
      </c>
      <c r="AC4317">
        <v>0</v>
      </c>
      <c r="AD4317">
        <v>10</v>
      </c>
      <c r="AE4317">
        <v>0</v>
      </c>
      <c r="AF4317">
        <v>3</v>
      </c>
      <c r="AG4317">
        <v>2</v>
      </c>
      <c r="AH4317">
        <v>0</v>
      </c>
      <c r="AI4317" t="s">
        <v>2406</v>
      </c>
      <c r="AJ4317">
        <v>40.164149000000002</v>
      </c>
      <c r="AK4317" t="s">
        <v>2407</v>
      </c>
      <c r="AL4317">
        <v>-93.176743999999999</v>
      </c>
      <c r="AM4317">
        <v>100</v>
      </c>
      <c r="AN4317">
        <v>1300</v>
      </c>
      <c r="AO4317" t="s">
        <v>118</v>
      </c>
      <c r="AP4317">
        <v>-125</v>
      </c>
      <c r="AQ4317">
        <v>-50</v>
      </c>
      <c r="AR4317">
        <v>-64</v>
      </c>
      <c r="AZ4317">
        <v>1200</v>
      </c>
      <c r="BA4317">
        <v>1</v>
      </c>
      <c r="BB4317" t="str">
        <f t="shared" si="213"/>
        <v xml:space="preserve">N8080G  </v>
      </c>
      <c r="BC4317">
        <v>1</v>
      </c>
      <c r="BE4317">
        <v>0</v>
      </c>
      <c r="BF4317">
        <v>0</v>
      </c>
      <c r="BG4317">
        <v>0</v>
      </c>
      <c r="BH4317">
        <v>1350</v>
      </c>
      <c r="BI4317">
        <v>1</v>
      </c>
      <c r="BJ4317">
        <v>1</v>
      </c>
      <c r="BK4317">
        <v>1</v>
      </c>
      <c r="BL4317">
        <v>0</v>
      </c>
      <c r="BO4317">
        <v>0</v>
      </c>
      <c r="BP4317">
        <v>0</v>
      </c>
      <c r="BW4317" t="str">
        <f>"20:38:22.840"</f>
        <v>20:38:22.840</v>
      </c>
      <c r="BZ4317">
        <v>0</v>
      </c>
      <c r="CA4317">
        <v>1600</v>
      </c>
      <c r="CB4317">
        <v>224</v>
      </c>
      <c r="CD4317">
        <v>1</v>
      </c>
      <c r="CE4317">
        <v>0</v>
      </c>
      <c r="CF4317">
        <v>0</v>
      </c>
      <c r="CG4317">
        <v>1</v>
      </c>
      <c r="CH4317">
        <v>0</v>
      </c>
      <c r="CI4317">
        <v>0</v>
      </c>
      <c r="CJ4317">
        <v>0</v>
      </c>
      <c r="CK4317">
        <v>2</v>
      </c>
      <c r="CL4317">
        <v>0</v>
      </c>
      <c r="CM4317">
        <v>2</v>
      </c>
      <c r="CN4317">
        <v>0</v>
      </c>
      <c r="CO4317">
        <v>5</v>
      </c>
      <c r="CP4317" t="s">
        <v>119</v>
      </c>
      <c r="CQ4317">
        <v>180</v>
      </c>
      <c r="CR4317">
        <v>3</v>
      </c>
      <c r="CW4317">
        <v>1397056</v>
      </c>
      <c r="CY4317">
        <v>0</v>
      </c>
      <c r="CZ4317">
        <v>0</v>
      </c>
      <c r="DA4317">
        <v>1</v>
      </c>
      <c r="DB4317">
        <v>0</v>
      </c>
      <c r="DC4317">
        <v>0</v>
      </c>
      <c r="DD4317">
        <v>0</v>
      </c>
      <c r="DE4317">
        <v>0</v>
      </c>
      <c r="DF4317">
        <v>0</v>
      </c>
      <c r="DG4317">
        <v>0</v>
      </c>
      <c r="DH4317">
        <v>0</v>
      </c>
      <c r="DI4317">
        <v>0</v>
      </c>
    </row>
    <row r="4318" spans="1:113" x14ac:dyDescent="0.3">
      <c r="A4318" t="str">
        <f>"02/08/2021 20:38:20.503"</f>
        <v>02/08/2021 20:38:20.503</v>
      </c>
      <c r="C4318" t="str">
        <f t="shared" si="212"/>
        <v>FFDFD7C0</v>
      </c>
      <c r="D4318" t="s">
        <v>124</v>
      </c>
      <c r="E4318">
        <v>11</v>
      </c>
      <c r="F4318">
        <v>1011</v>
      </c>
      <c r="G4318" t="s">
        <v>590</v>
      </c>
      <c r="J4318" t="s">
        <v>125</v>
      </c>
      <c r="K4318">
        <v>0</v>
      </c>
      <c r="L4318">
        <v>3</v>
      </c>
      <c r="M4318">
        <v>0</v>
      </c>
      <c r="N4318">
        <v>2</v>
      </c>
      <c r="O4318">
        <v>1</v>
      </c>
      <c r="P4318">
        <v>0</v>
      </c>
      <c r="Q4318">
        <v>0</v>
      </c>
      <c r="S4318" t="str">
        <f>"20:38:22.836"</f>
        <v>20:38:22.836</v>
      </c>
      <c r="T4318" t="str">
        <f>"20:38:22.436"</f>
        <v>20:38:22.436</v>
      </c>
      <c r="U4318" t="str">
        <f t="shared" si="214"/>
        <v>AB01F4</v>
      </c>
      <c r="V4318">
        <v>0</v>
      </c>
      <c r="W4318">
        <v>0</v>
      </c>
      <c r="X4318">
        <v>2</v>
      </c>
      <c r="Z4318">
        <v>0</v>
      </c>
      <c r="AA4318">
        <v>9</v>
      </c>
      <c r="AB4318">
        <v>3</v>
      </c>
      <c r="AC4318">
        <v>0</v>
      </c>
      <c r="AD4318">
        <v>10</v>
      </c>
      <c r="AE4318">
        <v>0</v>
      </c>
      <c r="AF4318">
        <v>3</v>
      </c>
      <c r="AG4318">
        <v>2</v>
      </c>
      <c r="AH4318">
        <v>0</v>
      </c>
      <c r="AI4318" t="s">
        <v>2406</v>
      </c>
      <c r="AJ4318">
        <v>40.164149000000002</v>
      </c>
      <c r="AK4318" t="s">
        <v>2407</v>
      </c>
      <c r="AL4318">
        <v>-93.176743999999999</v>
      </c>
      <c r="AM4318">
        <v>100</v>
      </c>
      <c r="AN4318">
        <v>1300</v>
      </c>
      <c r="AO4318" t="s">
        <v>118</v>
      </c>
      <c r="AP4318">
        <v>-125</v>
      </c>
      <c r="AQ4318">
        <v>-50</v>
      </c>
      <c r="AR4318">
        <v>-64</v>
      </c>
      <c r="AZ4318">
        <v>1200</v>
      </c>
      <c r="BA4318">
        <v>1</v>
      </c>
      <c r="BB4318" t="str">
        <f t="shared" si="213"/>
        <v xml:space="preserve">N8080G  </v>
      </c>
      <c r="BC4318">
        <v>1</v>
      </c>
      <c r="BE4318">
        <v>0</v>
      </c>
      <c r="BF4318">
        <v>0</v>
      </c>
      <c r="BG4318">
        <v>0</v>
      </c>
      <c r="BH4318">
        <v>1350</v>
      </c>
      <c r="BI4318">
        <v>1</v>
      </c>
      <c r="BJ4318">
        <v>1</v>
      </c>
      <c r="BK4318">
        <v>1</v>
      </c>
      <c r="BL4318">
        <v>0</v>
      </c>
      <c r="BO4318">
        <v>0</v>
      </c>
      <c r="BP4318">
        <v>0</v>
      </c>
      <c r="BW4318" t="str">
        <f>"20:38:22.840"</f>
        <v>20:38:22.840</v>
      </c>
      <c r="BZ4318">
        <v>0</v>
      </c>
      <c r="CA4318">
        <v>1600</v>
      </c>
      <c r="CB4318">
        <v>224</v>
      </c>
      <c r="CD4318">
        <v>1</v>
      </c>
      <c r="CE4318">
        <v>0</v>
      </c>
      <c r="CF4318">
        <v>0</v>
      </c>
      <c r="CG4318">
        <v>1</v>
      </c>
      <c r="CH4318">
        <v>0</v>
      </c>
      <c r="CI4318">
        <v>0</v>
      </c>
      <c r="CJ4318">
        <v>0</v>
      </c>
      <c r="CK4318">
        <v>2</v>
      </c>
      <c r="CL4318">
        <v>0</v>
      </c>
      <c r="CM4318">
        <v>2</v>
      </c>
      <c r="CN4318">
        <v>0</v>
      </c>
      <c r="CO4318">
        <v>5</v>
      </c>
      <c r="CP4318" t="s">
        <v>119</v>
      </c>
      <c r="CQ4318">
        <v>180</v>
      </c>
      <c r="CR4318">
        <v>3</v>
      </c>
      <c r="CW4318">
        <v>1397056</v>
      </c>
      <c r="CY4318">
        <v>0</v>
      </c>
      <c r="CZ4318">
        <v>0</v>
      </c>
      <c r="DA4318">
        <v>1</v>
      </c>
      <c r="DB4318">
        <v>0</v>
      </c>
      <c r="DC4318">
        <v>0</v>
      </c>
      <c r="DD4318">
        <v>0</v>
      </c>
      <c r="DE4318">
        <v>0</v>
      </c>
      <c r="DF4318">
        <v>0</v>
      </c>
      <c r="DG4318">
        <v>0</v>
      </c>
      <c r="DH4318">
        <v>0</v>
      </c>
      <c r="DI4318">
        <v>0</v>
      </c>
    </row>
    <row r="4319" spans="1:113" x14ac:dyDescent="0.3">
      <c r="A4319" t="str">
        <f>"02/08/2021 20:38:21.510"</f>
        <v>02/08/2021 20:38:21.510</v>
      </c>
      <c r="C4319" t="str">
        <f t="shared" si="212"/>
        <v>FFDFD7C0</v>
      </c>
      <c r="D4319" t="s">
        <v>124</v>
      </c>
      <c r="E4319">
        <v>13</v>
      </c>
      <c r="F4319">
        <v>1013</v>
      </c>
      <c r="G4319" t="s">
        <v>114</v>
      </c>
      <c r="J4319" t="s">
        <v>125</v>
      </c>
      <c r="K4319">
        <v>0</v>
      </c>
      <c r="L4319">
        <v>3</v>
      </c>
      <c r="M4319">
        <v>0</v>
      </c>
      <c r="N4319">
        <v>2</v>
      </c>
      <c r="O4319">
        <v>1</v>
      </c>
      <c r="P4319">
        <v>0</v>
      </c>
      <c r="Q4319">
        <v>0</v>
      </c>
      <c r="S4319" t="str">
        <f>"20:38:23.836"</f>
        <v>20:38:23.836</v>
      </c>
      <c r="T4319" t="str">
        <f>"20:38:22.836"</f>
        <v>20:38:22.836</v>
      </c>
      <c r="U4319" t="str">
        <f t="shared" si="214"/>
        <v>AB01F4</v>
      </c>
      <c r="V4319">
        <v>0</v>
      </c>
      <c r="W4319">
        <v>0</v>
      </c>
      <c r="X4319">
        <v>2</v>
      </c>
      <c r="Z4319">
        <v>0</v>
      </c>
      <c r="AA4319">
        <v>9</v>
      </c>
      <c r="AB4319">
        <v>3</v>
      </c>
      <c r="AC4319">
        <v>0</v>
      </c>
      <c r="AD4319">
        <v>10</v>
      </c>
      <c r="AE4319">
        <v>0</v>
      </c>
      <c r="AF4319">
        <v>3</v>
      </c>
      <c r="AG4319">
        <v>2</v>
      </c>
      <c r="AH4319">
        <v>0</v>
      </c>
      <c r="AI4319" t="s">
        <v>2408</v>
      </c>
      <c r="AJ4319">
        <v>40.163977000000003</v>
      </c>
      <c r="AK4319" t="s">
        <v>2409</v>
      </c>
      <c r="AL4319">
        <v>-93.177474000000004</v>
      </c>
      <c r="AM4319">
        <v>100</v>
      </c>
      <c r="AN4319">
        <v>1300</v>
      </c>
      <c r="AO4319" t="s">
        <v>118</v>
      </c>
      <c r="AP4319">
        <v>-126</v>
      </c>
      <c r="AQ4319">
        <v>-49</v>
      </c>
      <c r="AR4319">
        <v>-128</v>
      </c>
      <c r="AZ4319">
        <v>1200</v>
      </c>
      <c r="BA4319">
        <v>1</v>
      </c>
      <c r="BB4319" t="str">
        <f t="shared" si="213"/>
        <v xml:space="preserve">N8080G  </v>
      </c>
      <c r="BC4319">
        <v>1</v>
      </c>
      <c r="BE4319">
        <v>0</v>
      </c>
      <c r="BF4319">
        <v>0</v>
      </c>
      <c r="BG4319">
        <v>0</v>
      </c>
      <c r="BH4319">
        <v>1350</v>
      </c>
      <c r="BI4319">
        <v>1</v>
      </c>
      <c r="BJ4319">
        <v>1</v>
      </c>
      <c r="BK4319">
        <v>1</v>
      </c>
      <c r="BL4319">
        <v>0</v>
      </c>
      <c r="BO4319">
        <v>0</v>
      </c>
      <c r="BP4319">
        <v>0</v>
      </c>
      <c r="BW4319" t="str">
        <f>"20:38:23.843"</f>
        <v>20:38:23.843</v>
      </c>
      <c r="BZ4319">
        <v>0</v>
      </c>
      <c r="CA4319">
        <v>1600</v>
      </c>
      <c r="CB4319">
        <v>224</v>
      </c>
      <c r="CD4319">
        <v>1</v>
      </c>
      <c r="CE4319">
        <v>0</v>
      </c>
      <c r="CF4319">
        <v>0</v>
      </c>
      <c r="CG4319">
        <v>1</v>
      </c>
      <c r="CH4319">
        <v>0</v>
      </c>
      <c r="CI4319">
        <v>0</v>
      </c>
      <c r="CJ4319">
        <v>0</v>
      </c>
      <c r="CK4319">
        <v>2</v>
      </c>
      <c r="CL4319">
        <v>0</v>
      </c>
      <c r="CM4319">
        <v>2</v>
      </c>
      <c r="CN4319">
        <v>0</v>
      </c>
      <c r="CO4319">
        <v>5</v>
      </c>
      <c r="CP4319" t="s">
        <v>119</v>
      </c>
      <c r="CQ4319">
        <v>180</v>
      </c>
      <c r="CR4319">
        <v>3</v>
      </c>
      <c r="CW4319">
        <v>1397820</v>
      </c>
      <c r="CY4319">
        <v>0</v>
      </c>
      <c r="CZ4319">
        <v>0</v>
      </c>
      <c r="DA4319">
        <v>0</v>
      </c>
      <c r="DB4319">
        <v>0</v>
      </c>
      <c r="DC4319">
        <v>0</v>
      </c>
      <c r="DD4319">
        <v>0</v>
      </c>
      <c r="DE4319">
        <v>0</v>
      </c>
      <c r="DF4319">
        <v>0</v>
      </c>
      <c r="DG4319">
        <v>0</v>
      </c>
      <c r="DH4319">
        <v>0</v>
      </c>
      <c r="DI4319">
        <v>0</v>
      </c>
    </row>
    <row r="4320" spans="1:113" x14ac:dyDescent="0.3">
      <c r="A4320" t="str">
        <f>"02/08/2021 20:38:21.510"</f>
        <v>02/08/2021 20:38:21.510</v>
      </c>
      <c r="C4320" t="str">
        <f t="shared" si="212"/>
        <v>FFDFD7C0</v>
      </c>
      <c r="D4320" t="s">
        <v>124</v>
      </c>
      <c r="E4320">
        <v>12</v>
      </c>
      <c r="F4320">
        <v>1012</v>
      </c>
      <c r="G4320" t="s">
        <v>675</v>
      </c>
      <c r="J4320" t="s">
        <v>125</v>
      </c>
      <c r="K4320">
        <v>0</v>
      </c>
      <c r="L4320">
        <v>3</v>
      </c>
      <c r="M4320">
        <v>0</v>
      </c>
      <c r="N4320">
        <v>2</v>
      </c>
      <c r="O4320">
        <v>1</v>
      </c>
      <c r="P4320">
        <v>0</v>
      </c>
      <c r="Q4320">
        <v>0</v>
      </c>
      <c r="S4320" t="str">
        <f>"20:38:23.836"</f>
        <v>20:38:23.836</v>
      </c>
      <c r="T4320" t="str">
        <f>"20:38:22.836"</f>
        <v>20:38:22.836</v>
      </c>
      <c r="U4320" t="str">
        <f t="shared" si="214"/>
        <v>AB01F4</v>
      </c>
      <c r="V4320">
        <v>0</v>
      </c>
      <c r="W4320">
        <v>0</v>
      </c>
      <c r="X4320">
        <v>2</v>
      </c>
      <c r="Z4320">
        <v>0</v>
      </c>
      <c r="AA4320">
        <v>9</v>
      </c>
      <c r="AB4320">
        <v>3</v>
      </c>
      <c r="AC4320">
        <v>0</v>
      </c>
      <c r="AD4320">
        <v>10</v>
      </c>
      <c r="AE4320">
        <v>0</v>
      </c>
      <c r="AF4320">
        <v>3</v>
      </c>
      <c r="AG4320">
        <v>2</v>
      </c>
      <c r="AH4320">
        <v>0</v>
      </c>
      <c r="AI4320" t="s">
        <v>2408</v>
      </c>
      <c r="AJ4320">
        <v>40.163977000000003</v>
      </c>
      <c r="AK4320" t="s">
        <v>2409</v>
      </c>
      <c r="AL4320">
        <v>-93.177474000000004</v>
      </c>
      <c r="AM4320">
        <v>100</v>
      </c>
      <c r="AN4320">
        <v>1300</v>
      </c>
      <c r="AO4320" t="s">
        <v>118</v>
      </c>
      <c r="AP4320">
        <v>-126</v>
      </c>
      <c r="AQ4320">
        <v>-49</v>
      </c>
      <c r="AR4320">
        <v>-128</v>
      </c>
      <c r="AZ4320">
        <v>1200</v>
      </c>
      <c r="BA4320">
        <v>1</v>
      </c>
      <c r="BB4320" t="str">
        <f t="shared" si="213"/>
        <v xml:space="preserve">N8080G  </v>
      </c>
      <c r="BC4320">
        <v>1</v>
      </c>
      <c r="BE4320">
        <v>0</v>
      </c>
      <c r="BF4320">
        <v>0</v>
      </c>
      <c r="BG4320">
        <v>0</v>
      </c>
      <c r="BH4320">
        <v>1350</v>
      </c>
      <c r="BI4320">
        <v>1</v>
      </c>
      <c r="BJ4320">
        <v>1</v>
      </c>
      <c r="BK4320">
        <v>1</v>
      </c>
      <c r="BL4320">
        <v>0</v>
      </c>
      <c r="BO4320">
        <v>0</v>
      </c>
      <c r="BP4320">
        <v>0</v>
      </c>
      <c r="BW4320" t="str">
        <f>"20:38:23.843"</f>
        <v>20:38:23.843</v>
      </c>
      <c r="BZ4320">
        <v>0</v>
      </c>
      <c r="CA4320">
        <v>1600</v>
      </c>
      <c r="CB4320">
        <v>224</v>
      </c>
      <c r="CD4320">
        <v>1</v>
      </c>
      <c r="CE4320">
        <v>0</v>
      </c>
      <c r="CF4320">
        <v>0</v>
      </c>
      <c r="CG4320">
        <v>1</v>
      </c>
      <c r="CH4320">
        <v>0</v>
      </c>
      <c r="CI4320">
        <v>0</v>
      </c>
      <c r="CJ4320">
        <v>0</v>
      </c>
      <c r="CK4320">
        <v>2</v>
      </c>
      <c r="CL4320">
        <v>0</v>
      </c>
      <c r="CM4320">
        <v>2</v>
      </c>
      <c r="CN4320">
        <v>0</v>
      </c>
      <c r="CO4320">
        <v>5</v>
      </c>
      <c r="CP4320" t="s">
        <v>119</v>
      </c>
      <c r="CQ4320">
        <v>180</v>
      </c>
      <c r="CR4320">
        <v>3</v>
      </c>
      <c r="CW4320">
        <v>1397820</v>
      </c>
      <c r="CY4320">
        <v>0</v>
      </c>
      <c r="CZ4320">
        <v>0</v>
      </c>
      <c r="DA4320">
        <v>1</v>
      </c>
      <c r="DB4320">
        <v>0</v>
      </c>
      <c r="DC4320">
        <v>0</v>
      </c>
      <c r="DD4320">
        <v>0</v>
      </c>
      <c r="DE4320">
        <v>0</v>
      </c>
      <c r="DF4320">
        <v>0</v>
      </c>
      <c r="DG4320">
        <v>0</v>
      </c>
      <c r="DH4320">
        <v>0</v>
      </c>
      <c r="DI4320">
        <v>0</v>
      </c>
    </row>
    <row r="4321" spans="1:113" x14ac:dyDescent="0.3">
      <c r="A4321" t="str">
        <f>"02/08/2021 20:38:21.510"</f>
        <v>02/08/2021 20:38:21.510</v>
      </c>
      <c r="C4321" t="str">
        <f t="shared" si="212"/>
        <v>FFDFD7C0</v>
      </c>
      <c r="D4321" t="s">
        <v>113</v>
      </c>
      <c r="E4321">
        <v>6</v>
      </c>
      <c r="H4321">
        <v>165</v>
      </c>
      <c r="I4321" t="s">
        <v>114</v>
      </c>
      <c r="J4321" t="s">
        <v>115</v>
      </c>
      <c r="K4321">
        <v>0</v>
      </c>
      <c r="L4321">
        <v>3</v>
      </c>
      <c r="M4321">
        <v>0</v>
      </c>
      <c r="N4321">
        <v>2</v>
      </c>
      <c r="O4321">
        <v>1</v>
      </c>
      <c r="P4321">
        <v>0</v>
      </c>
      <c r="Q4321">
        <v>0</v>
      </c>
      <c r="S4321" t="str">
        <f>"20:38:23.836"</f>
        <v>20:38:23.836</v>
      </c>
      <c r="T4321" t="str">
        <f>"20:38:22.836"</f>
        <v>20:38:22.836</v>
      </c>
      <c r="U4321" t="str">
        <f t="shared" si="214"/>
        <v>AB01F4</v>
      </c>
      <c r="V4321">
        <v>0</v>
      </c>
      <c r="W4321">
        <v>0</v>
      </c>
      <c r="X4321">
        <v>2</v>
      </c>
      <c r="Z4321">
        <v>0</v>
      </c>
      <c r="AA4321">
        <v>9</v>
      </c>
      <c r="AB4321">
        <v>3</v>
      </c>
      <c r="AC4321">
        <v>0</v>
      </c>
      <c r="AD4321">
        <v>10</v>
      </c>
      <c r="AE4321">
        <v>0</v>
      </c>
      <c r="AF4321">
        <v>3</v>
      </c>
      <c r="AG4321">
        <v>2</v>
      </c>
      <c r="AH4321">
        <v>0</v>
      </c>
      <c r="AI4321" t="s">
        <v>2408</v>
      </c>
      <c r="AJ4321">
        <v>40.163977000000003</v>
      </c>
      <c r="AK4321" t="s">
        <v>2409</v>
      </c>
      <c r="AL4321">
        <v>-93.177474000000004</v>
      </c>
      <c r="AM4321">
        <v>100</v>
      </c>
      <c r="AN4321">
        <v>1300</v>
      </c>
      <c r="AO4321" t="s">
        <v>118</v>
      </c>
      <c r="AP4321">
        <v>-126</v>
      </c>
      <c r="AQ4321">
        <v>-49</v>
      </c>
      <c r="AR4321">
        <v>-128</v>
      </c>
      <c r="AZ4321">
        <v>1200</v>
      </c>
      <c r="BA4321">
        <v>1</v>
      </c>
      <c r="BB4321" t="str">
        <f t="shared" si="213"/>
        <v xml:space="preserve">N8080G  </v>
      </c>
      <c r="BC4321">
        <v>1</v>
      </c>
      <c r="BE4321">
        <v>0</v>
      </c>
      <c r="BF4321">
        <v>0</v>
      </c>
      <c r="BG4321">
        <v>0</v>
      </c>
      <c r="BH4321">
        <v>1350</v>
      </c>
      <c r="BI4321">
        <v>1</v>
      </c>
      <c r="BJ4321">
        <v>1</v>
      </c>
      <c r="BK4321">
        <v>1</v>
      </c>
      <c r="BL4321">
        <v>0</v>
      </c>
      <c r="BO4321">
        <v>0</v>
      </c>
      <c r="BP4321">
        <v>0</v>
      </c>
      <c r="BW4321" t="str">
        <f>"20:38:23.843"</f>
        <v>20:38:23.843</v>
      </c>
      <c r="BZ4321">
        <v>0</v>
      </c>
      <c r="CA4321">
        <v>1600</v>
      </c>
      <c r="CB4321">
        <v>224</v>
      </c>
      <c r="CD4321">
        <v>1</v>
      </c>
      <c r="CE4321">
        <v>0</v>
      </c>
      <c r="CF4321">
        <v>0</v>
      </c>
      <c r="CG4321">
        <v>1</v>
      </c>
      <c r="CH4321">
        <v>0</v>
      </c>
      <c r="CI4321">
        <v>0</v>
      </c>
      <c r="CJ4321">
        <v>0</v>
      </c>
      <c r="CK4321">
        <v>2</v>
      </c>
      <c r="CL4321">
        <v>0</v>
      </c>
      <c r="CM4321">
        <v>2</v>
      </c>
      <c r="CN4321">
        <v>0</v>
      </c>
      <c r="CO4321">
        <v>5</v>
      </c>
      <c r="CP4321" t="s">
        <v>119</v>
      </c>
      <c r="CQ4321">
        <v>180</v>
      </c>
      <c r="CR4321">
        <v>3</v>
      </c>
      <c r="CW4321">
        <v>1397820</v>
      </c>
      <c r="CY4321">
        <v>0</v>
      </c>
      <c r="CZ4321">
        <v>0</v>
      </c>
      <c r="DA4321">
        <v>1</v>
      </c>
      <c r="DB4321">
        <v>0</v>
      </c>
      <c r="DC4321">
        <v>0</v>
      </c>
      <c r="DD4321">
        <v>0</v>
      </c>
      <c r="DE4321">
        <v>0</v>
      </c>
      <c r="DF4321">
        <v>0</v>
      </c>
      <c r="DG4321">
        <v>0</v>
      </c>
      <c r="DH4321">
        <v>0</v>
      </c>
      <c r="DI4321">
        <v>0</v>
      </c>
    </row>
    <row r="4322" spans="1:113" x14ac:dyDescent="0.3">
      <c r="A4322" t="str">
        <f>"02/08/2021 20:38:21.510"</f>
        <v>02/08/2021 20:38:21.510</v>
      </c>
      <c r="C4322" t="str">
        <f t="shared" si="212"/>
        <v>FFDFD7C0</v>
      </c>
      <c r="D4322" t="s">
        <v>124</v>
      </c>
      <c r="E4322">
        <v>11</v>
      </c>
      <c r="F4322">
        <v>1011</v>
      </c>
      <c r="G4322" t="s">
        <v>590</v>
      </c>
      <c r="J4322" t="s">
        <v>125</v>
      </c>
      <c r="K4322">
        <v>0</v>
      </c>
      <c r="L4322">
        <v>3</v>
      </c>
      <c r="M4322">
        <v>0</v>
      </c>
      <c r="N4322">
        <v>2</v>
      </c>
      <c r="O4322">
        <v>1</v>
      </c>
      <c r="P4322">
        <v>0</v>
      </c>
      <c r="Q4322">
        <v>0</v>
      </c>
      <c r="S4322" t="str">
        <f>"20:38:23.836"</f>
        <v>20:38:23.836</v>
      </c>
      <c r="T4322" t="str">
        <f>"20:38:22.836"</f>
        <v>20:38:22.836</v>
      </c>
      <c r="U4322" t="str">
        <f t="shared" si="214"/>
        <v>AB01F4</v>
      </c>
      <c r="V4322">
        <v>0</v>
      </c>
      <c r="W4322">
        <v>0</v>
      </c>
      <c r="X4322">
        <v>2</v>
      </c>
      <c r="Z4322">
        <v>0</v>
      </c>
      <c r="AA4322">
        <v>9</v>
      </c>
      <c r="AB4322">
        <v>3</v>
      </c>
      <c r="AC4322">
        <v>0</v>
      </c>
      <c r="AD4322">
        <v>10</v>
      </c>
      <c r="AE4322">
        <v>0</v>
      </c>
      <c r="AF4322">
        <v>3</v>
      </c>
      <c r="AG4322">
        <v>2</v>
      </c>
      <c r="AH4322">
        <v>0</v>
      </c>
      <c r="AI4322" t="s">
        <v>2408</v>
      </c>
      <c r="AJ4322">
        <v>40.163977000000003</v>
      </c>
      <c r="AK4322" t="s">
        <v>2409</v>
      </c>
      <c r="AL4322">
        <v>-93.177474000000004</v>
      </c>
      <c r="AM4322">
        <v>100</v>
      </c>
      <c r="AN4322">
        <v>1300</v>
      </c>
      <c r="AO4322" t="s">
        <v>118</v>
      </c>
      <c r="AP4322">
        <v>-126</v>
      </c>
      <c r="AQ4322">
        <v>-49</v>
      </c>
      <c r="AR4322">
        <v>-128</v>
      </c>
      <c r="AZ4322">
        <v>1200</v>
      </c>
      <c r="BA4322">
        <v>1</v>
      </c>
      <c r="BB4322" t="str">
        <f t="shared" si="213"/>
        <v xml:space="preserve">N8080G  </v>
      </c>
      <c r="BC4322">
        <v>1</v>
      </c>
      <c r="BE4322">
        <v>0</v>
      </c>
      <c r="BF4322">
        <v>0</v>
      </c>
      <c r="BG4322">
        <v>0</v>
      </c>
      <c r="BH4322">
        <v>1350</v>
      </c>
      <c r="BI4322">
        <v>1</v>
      </c>
      <c r="BJ4322">
        <v>1</v>
      </c>
      <c r="BK4322">
        <v>1</v>
      </c>
      <c r="BL4322">
        <v>0</v>
      </c>
      <c r="BO4322">
        <v>0</v>
      </c>
      <c r="BP4322">
        <v>0</v>
      </c>
      <c r="BW4322" t="str">
        <f>"20:38:23.843"</f>
        <v>20:38:23.843</v>
      </c>
      <c r="BZ4322">
        <v>0</v>
      </c>
      <c r="CA4322">
        <v>1600</v>
      </c>
      <c r="CB4322">
        <v>224</v>
      </c>
      <c r="CD4322">
        <v>1</v>
      </c>
      <c r="CE4322">
        <v>0</v>
      </c>
      <c r="CF4322">
        <v>0</v>
      </c>
      <c r="CG4322">
        <v>1</v>
      </c>
      <c r="CH4322">
        <v>0</v>
      </c>
      <c r="CI4322">
        <v>0</v>
      </c>
      <c r="CJ4322">
        <v>0</v>
      </c>
      <c r="CK4322">
        <v>2</v>
      </c>
      <c r="CL4322">
        <v>0</v>
      </c>
      <c r="CM4322">
        <v>2</v>
      </c>
      <c r="CN4322">
        <v>0</v>
      </c>
      <c r="CO4322">
        <v>5</v>
      </c>
      <c r="CP4322" t="s">
        <v>119</v>
      </c>
      <c r="CQ4322">
        <v>180</v>
      </c>
      <c r="CR4322">
        <v>3</v>
      </c>
      <c r="CW4322">
        <v>1397820</v>
      </c>
      <c r="CY4322">
        <v>0</v>
      </c>
      <c r="CZ4322">
        <v>0</v>
      </c>
      <c r="DA4322">
        <v>1</v>
      </c>
      <c r="DB4322">
        <v>0</v>
      </c>
      <c r="DC4322">
        <v>0</v>
      </c>
      <c r="DD4322">
        <v>0</v>
      </c>
      <c r="DE4322">
        <v>0</v>
      </c>
      <c r="DF4322">
        <v>0</v>
      </c>
      <c r="DG4322">
        <v>0</v>
      </c>
      <c r="DH4322">
        <v>0</v>
      </c>
      <c r="DI4322">
        <v>0</v>
      </c>
    </row>
    <row r="4323" spans="1:113" x14ac:dyDescent="0.3">
      <c r="A4323" t="str">
        <f>"02/08/2021 20:38:22.603"</f>
        <v>02/08/2021 20:38:22.603</v>
      </c>
      <c r="C4323" t="str">
        <f t="shared" si="212"/>
        <v>FFDFD7C0</v>
      </c>
      <c r="D4323" t="s">
        <v>124</v>
      </c>
      <c r="E4323">
        <v>11</v>
      </c>
      <c r="F4323">
        <v>1011</v>
      </c>
      <c r="G4323" t="s">
        <v>590</v>
      </c>
      <c r="J4323" t="s">
        <v>125</v>
      </c>
      <c r="K4323">
        <v>0</v>
      </c>
      <c r="L4323">
        <v>3</v>
      </c>
      <c r="M4323">
        <v>0</v>
      </c>
      <c r="N4323">
        <v>2</v>
      </c>
      <c r="O4323">
        <v>1</v>
      </c>
      <c r="P4323">
        <v>0</v>
      </c>
      <c r="Q4323">
        <v>0</v>
      </c>
      <c r="S4323" t="str">
        <f>"20:38:24.953"</f>
        <v>20:38:24.953</v>
      </c>
      <c r="T4323" t="str">
        <f>"20:38:24.453"</f>
        <v>20:38:24.453</v>
      </c>
      <c r="U4323" t="str">
        <f t="shared" si="214"/>
        <v>AB01F4</v>
      </c>
      <c r="V4323">
        <v>0</v>
      </c>
      <c r="W4323">
        <v>0</v>
      </c>
      <c r="X4323">
        <v>2</v>
      </c>
      <c r="Z4323">
        <v>0</v>
      </c>
      <c r="AA4323">
        <v>9</v>
      </c>
      <c r="AB4323">
        <v>3</v>
      </c>
      <c r="AC4323">
        <v>0</v>
      </c>
      <c r="AD4323">
        <v>10</v>
      </c>
      <c r="AE4323">
        <v>0</v>
      </c>
      <c r="AF4323">
        <v>3</v>
      </c>
      <c r="AG4323">
        <v>2</v>
      </c>
      <c r="AH4323">
        <v>0</v>
      </c>
      <c r="AI4323" t="s">
        <v>2410</v>
      </c>
      <c r="AJ4323">
        <v>40.163719999999998</v>
      </c>
      <c r="AK4323" t="s">
        <v>2411</v>
      </c>
      <c r="AL4323">
        <v>-93.178353000000001</v>
      </c>
      <c r="AM4323">
        <v>100</v>
      </c>
      <c r="AN4323">
        <v>1300</v>
      </c>
      <c r="AO4323" t="s">
        <v>118</v>
      </c>
      <c r="AP4323">
        <v>-128</v>
      </c>
      <c r="AQ4323">
        <v>-43</v>
      </c>
      <c r="AR4323">
        <v>-128</v>
      </c>
      <c r="AZ4323">
        <v>1200</v>
      </c>
      <c r="BA4323">
        <v>1</v>
      </c>
      <c r="BB4323" t="str">
        <f t="shared" si="213"/>
        <v xml:space="preserve">N8080G  </v>
      </c>
      <c r="BC4323">
        <v>1</v>
      </c>
      <c r="BE4323">
        <v>0</v>
      </c>
      <c r="BF4323">
        <v>0</v>
      </c>
      <c r="BG4323">
        <v>0</v>
      </c>
      <c r="BH4323">
        <v>1350</v>
      </c>
      <c r="BI4323">
        <v>1</v>
      </c>
      <c r="BJ4323">
        <v>1</v>
      </c>
      <c r="BK4323">
        <v>1</v>
      </c>
      <c r="BL4323">
        <v>0</v>
      </c>
      <c r="BO4323">
        <v>0</v>
      </c>
      <c r="BP4323">
        <v>0</v>
      </c>
      <c r="BW4323" t="str">
        <f>"20:38:24.960"</f>
        <v>20:38:24.960</v>
      </c>
      <c r="BZ4323">
        <v>0</v>
      </c>
      <c r="CA4323">
        <v>1600</v>
      </c>
      <c r="CB4323">
        <v>224</v>
      </c>
      <c r="CD4323">
        <v>1</v>
      </c>
      <c r="CE4323">
        <v>0</v>
      </c>
      <c r="CF4323">
        <v>0</v>
      </c>
      <c r="CG4323">
        <v>1</v>
      </c>
      <c r="CH4323">
        <v>0</v>
      </c>
      <c r="CI4323">
        <v>0</v>
      </c>
      <c r="CJ4323">
        <v>0</v>
      </c>
      <c r="CK4323">
        <v>2</v>
      </c>
      <c r="CL4323">
        <v>0</v>
      </c>
      <c r="CM4323">
        <v>2</v>
      </c>
      <c r="CN4323">
        <v>0</v>
      </c>
      <c r="CO4323">
        <v>4</v>
      </c>
      <c r="CP4323" t="s">
        <v>119</v>
      </c>
      <c r="CQ4323">
        <v>180</v>
      </c>
      <c r="CR4323">
        <v>3</v>
      </c>
      <c r="CW4323">
        <v>1398723</v>
      </c>
      <c r="CY4323">
        <v>0</v>
      </c>
      <c r="CZ4323">
        <v>0</v>
      </c>
      <c r="DA4323">
        <v>0</v>
      </c>
      <c r="DB4323">
        <v>0</v>
      </c>
      <c r="DC4323">
        <v>0</v>
      </c>
      <c r="DD4323">
        <v>0</v>
      </c>
      <c r="DE4323">
        <v>0</v>
      </c>
      <c r="DF4323">
        <v>0</v>
      </c>
      <c r="DG4323">
        <v>0</v>
      </c>
      <c r="DH4323">
        <v>0</v>
      </c>
      <c r="DI4323">
        <v>0</v>
      </c>
    </row>
    <row r="4324" spans="1:113" x14ac:dyDescent="0.3">
      <c r="A4324" t="str">
        <f>"02/08/2021 20:38:22.603"</f>
        <v>02/08/2021 20:38:22.603</v>
      </c>
      <c r="C4324" t="str">
        <f t="shared" si="212"/>
        <v>FFDFD7C0</v>
      </c>
      <c r="D4324" t="s">
        <v>124</v>
      </c>
      <c r="E4324">
        <v>13</v>
      </c>
      <c r="F4324">
        <v>1013</v>
      </c>
      <c r="G4324" t="s">
        <v>114</v>
      </c>
      <c r="J4324" t="s">
        <v>125</v>
      </c>
      <c r="K4324">
        <v>0</v>
      </c>
      <c r="L4324">
        <v>3</v>
      </c>
      <c r="M4324">
        <v>0</v>
      </c>
      <c r="N4324">
        <v>2</v>
      </c>
      <c r="O4324">
        <v>1</v>
      </c>
      <c r="P4324">
        <v>0</v>
      </c>
      <c r="Q4324">
        <v>0</v>
      </c>
      <c r="S4324" t="str">
        <f>"20:38:24.953"</f>
        <v>20:38:24.953</v>
      </c>
      <c r="T4324" t="str">
        <f>"20:38:24.453"</f>
        <v>20:38:24.453</v>
      </c>
      <c r="U4324" t="str">
        <f t="shared" si="214"/>
        <v>AB01F4</v>
      </c>
      <c r="V4324">
        <v>0</v>
      </c>
      <c r="W4324">
        <v>0</v>
      </c>
      <c r="X4324">
        <v>2</v>
      </c>
      <c r="Z4324">
        <v>0</v>
      </c>
      <c r="AA4324">
        <v>9</v>
      </c>
      <c r="AB4324">
        <v>3</v>
      </c>
      <c r="AC4324">
        <v>0</v>
      </c>
      <c r="AD4324">
        <v>10</v>
      </c>
      <c r="AE4324">
        <v>0</v>
      </c>
      <c r="AF4324">
        <v>3</v>
      </c>
      <c r="AG4324">
        <v>2</v>
      </c>
      <c r="AH4324">
        <v>0</v>
      </c>
      <c r="AI4324" t="s">
        <v>2410</v>
      </c>
      <c r="AJ4324">
        <v>40.163719999999998</v>
      </c>
      <c r="AK4324" t="s">
        <v>2411</v>
      </c>
      <c r="AL4324">
        <v>-93.178353000000001</v>
      </c>
      <c r="AM4324">
        <v>100</v>
      </c>
      <c r="AN4324">
        <v>1300</v>
      </c>
      <c r="AO4324" t="s">
        <v>118</v>
      </c>
      <c r="AP4324">
        <v>-128</v>
      </c>
      <c r="AQ4324">
        <v>-43</v>
      </c>
      <c r="AR4324">
        <v>-128</v>
      </c>
      <c r="AZ4324">
        <v>1200</v>
      </c>
      <c r="BA4324">
        <v>1</v>
      </c>
      <c r="BB4324" t="str">
        <f t="shared" si="213"/>
        <v xml:space="preserve">N8080G  </v>
      </c>
      <c r="BC4324">
        <v>1</v>
      </c>
      <c r="BE4324">
        <v>0</v>
      </c>
      <c r="BF4324">
        <v>0</v>
      </c>
      <c r="BG4324">
        <v>0</v>
      </c>
      <c r="BH4324">
        <v>1350</v>
      </c>
      <c r="BI4324">
        <v>1</v>
      </c>
      <c r="BJ4324">
        <v>1</v>
      </c>
      <c r="BK4324">
        <v>1</v>
      </c>
      <c r="BL4324">
        <v>0</v>
      </c>
      <c r="BO4324">
        <v>0</v>
      </c>
      <c r="BP4324">
        <v>0</v>
      </c>
      <c r="BW4324" t="str">
        <f>"20:38:24.960"</f>
        <v>20:38:24.960</v>
      </c>
      <c r="BZ4324">
        <v>0</v>
      </c>
      <c r="CA4324">
        <v>1600</v>
      </c>
      <c r="CB4324">
        <v>224</v>
      </c>
      <c r="CD4324">
        <v>1</v>
      </c>
      <c r="CE4324">
        <v>0</v>
      </c>
      <c r="CF4324">
        <v>0</v>
      </c>
      <c r="CG4324">
        <v>1</v>
      </c>
      <c r="CH4324">
        <v>0</v>
      </c>
      <c r="CI4324">
        <v>0</v>
      </c>
      <c r="CJ4324">
        <v>0</v>
      </c>
      <c r="CK4324">
        <v>2</v>
      </c>
      <c r="CL4324">
        <v>0</v>
      </c>
      <c r="CM4324">
        <v>2</v>
      </c>
      <c r="CN4324">
        <v>0</v>
      </c>
      <c r="CO4324">
        <v>4</v>
      </c>
      <c r="CP4324" t="s">
        <v>119</v>
      </c>
      <c r="CQ4324">
        <v>180</v>
      </c>
      <c r="CR4324">
        <v>3</v>
      </c>
      <c r="CW4324">
        <v>1398723</v>
      </c>
      <c r="CY4324">
        <v>0</v>
      </c>
      <c r="CZ4324">
        <v>0</v>
      </c>
      <c r="DA4324">
        <v>1</v>
      </c>
      <c r="DB4324">
        <v>0</v>
      </c>
      <c r="DC4324">
        <v>0</v>
      </c>
      <c r="DD4324">
        <v>0</v>
      </c>
      <c r="DE4324">
        <v>0</v>
      </c>
      <c r="DF4324">
        <v>0</v>
      </c>
      <c r="DG4324">
        <v>0</v>
      </c>
      <c r="DH4324">
        <v>0</v>
      </c>
      <c r="DI4324">
        <v>0</v>
      </c>
    </row>
    <row r="4325" spans="1:113" x14ac:dyDescent="0.3">
      <c r="A4325" t="str">
        <f>"02/08/2021 20:38:22.603"</f>
        <v>02/08/2021 20:38:22.603</v>
      </c>
      <c r="C4325" t="str">
        <f t="shared" si="212"/>
        <v>FFDFD7C0</v>
      </c>
      <c r="D4325" t="s">
        <v>124</v>
      </c>
      <c r="E4325">
        <v>12</v>
      </c>
      <c r="F4325">
        <v>1012</v>
      </c>
      <c r="G4325" t="s">
        <v>675</v>
      </c>
      <c r="J4325" t="s">
        <v>125</v>
      </c>
      <c r="K4325">
        <v>0</v>
      </c>
      <c r="L4325">
        <v>3</v>
      </c>
      <c r="M4325">
        <v>0</v>
      </c>
      <c r="N4325">
        <v>2</v>
      </c>
      <c r="O4325">
        <v>1</v>
      </c>
      <c r="P4325">
        <v>0</v>
      </c>
      <c r="Q4325">
        <v>0</v>
      </c>
      <c r="S4325" t="str">
        <f>"20:38:24.953"</f>
        <v>20:38:24.953</v>
      </c>
      <c r="T4325" t="str">
        <f>"20:38:24.453"</f>
        <v>20:38:24.453</v>
      </c>
      <c r="U4325" t="str">
        <f t="shared" si="214"/>
        <v>AB01F4</v>
      </c>
      <c r="V4325">
        <v>0</v>
      </c>
      <c r="W4325">
        <v>0</v>
      </c>
      <c r="X4325">
        <v>2</v>
      </c>
      <c r="Z4325">
        <v>0</v>
      </c>
      <c r="AA4325">
        <v>9</v>
      </c>
      <c r="AB4325">
        <v>3</v>
      </c>
      <c r="AC4325">
        <v>0</v>
      </c>
      <c r="AD4325">
        <v>10</v>
      </c>
      <c r="AE4325">
        <v>0</v>
      </c>
      <c r="AF4325">
        <v>3</v>
      </c>
      <c r="AG4325">
        <v>2</v>
      </c>
      <c r="AH4325">
        <v>0</v>
      </c>
      <c r="AI4325" t="s">
        <v>2410</v>
      </c>
      <c r="AJ4325">
        <v>40.163719999999998</v>
      </c>
      <c r="AK4325" t="s">
        <v>2411</v>
      </c>
      <c r="AL4325">
        <v>-93.178353000000001</v>
      </c>
      <c r="AM4325">
        <v>100</v>
      </c>
      <c r="AN4325">
        <v>1300</v>
      </c>
      <c r="AO4325" t="s">
        <v>118</v>
      </c>
      <c r="AP4325">
        <v>-128</v>
      </c>
      <c r="AQ4325">
        <v>-43</v>
      </c>
      <c r="AR4325">
        <v>-128</v>
      </c>
      <c r="AZ4325">
        <v>1200</v>
      </c>
      <c r="BA4325">
        <v>1</v>
      </c>
      <c r="BB4325" t="str">
        <f t="shared" si="213"/>
        <v xml:space="preserve">N8080G  </v>
      </c>
      <c r="BC4325">
        <v>1</v>
      </c>
      <c r="BE4325">
        <v>0</v>
      </c>
      <c r="BF4325">
        <v>0</v>
      </c>
      <c r="BG4325">
        <v>0</v>
      </c>
      <c r="BH4325">
        <v>1350</v>
      </c>
      <c r="BI4325">
        <v>1</v>
      </c>
      <c r="BJ4325">
        <v>1</v>
      </c>
      <c r="BK4325">
        <v>1</v>
      </c>
      <c r="BL4325">
        <v>0</v>
      </c>
      <c r="BO4325">
        <v>0</v>
      </c>
      <c r="BP4325">
        <v>0</v>
      </c>
      <c r="BW4325" t="str">
        <f>"20:38:24.960"</f>
        <v>20:38:24.960</v>
      </c>
      <c r="BZ4325">
        <v>0</v>
      </c>
      <c r="CA4325">
        <v>1600</v>
      </c>
      <c r="CB4325">
        <v>224</v>
      </c>
      <c r="CD4325">
        <v>1</v>
      </c>
      <c r="CE4325">
        <v>0</v>
      </c>
      <c r="CF4325">
        <v>0</v>
      </c>
      <c r="CG4325">
        <v>1</v>
      </c>
      <c r="CH4325">
        <v>0</v>
      </c>
      <c r="CI4325">
        <v>0</v>
      </c>
      <c r="CJ4325">
        <v>0</v>
      </c>
      <c r="CK4325">
        <v>2</v>
      </c>
      <c r="CL4325">
        <v>0</v>
      </c>
      <c r="CM4325">
        <v>2</v>
      </c>
      <c r="CN4325">
        <v>0</v>
      </c>
      <c r="CO4325">
        <v>4</v>
      </c>
      <c r="CP4325" t="s">
        <v>119</v>
      </c>
      <c r="CQ4325">
        <v>180</v>
      </c>
      <c r="CR4325">
        <v>3</v>
      </c>
      <c r="CW4325">
        <v>1398723</v>
      </c>
      <c r="CY4325">
        <v>0</v>
      </c>
      <c r="CZ4325">
        <v>0</v>
      </c>
      <c r="DA4325">
        <v>1</v>
      </c>
      <c r="DB4325">
        <v>0</v>
      </c>
      <c r="DC4325">
        <v>0</v>
      </c>
      <c r="DD4325">
        <v>0</v>
      </c>
      <c r="DE4325">
        <v>0</v>
      </c>
      <c r="DF4325">
        <v>0</v>
      </c>
      <c r="DG4325">
        <v>0</v>
      </c>
      <c r="DH4325">
        <v>0</v>
      </c>
      <c r="DI4325">
        <v>0</v>
      </c>
    </row>
    <row r="4326" spans="1:113" x14ac:dyDescent="0.3">
      <c r="A4326" t="str">
        <f>"02/08/2021 20:38:22.603"</f>
        <v>02/08/2021 20:38:22.603</v>
      </c>
      <c r="C4326" t="str">
        <f t="shared" si="212"/>
        <v>FFDFD7C0</v>
      </c>
      <c r="D4326" t="s">
        <v>113</v>
      </c>
      <c r="E4326">
        <v>6</v>
      </c>
      <c r="H4326">
        <v>165</v>
      </c>
      <c r="I4326" t="s">
        <v>114</v>
      </c>
      <c r="J4326" t="s">
        <v>115</v>
      </c>
      <c r="K4326">
        <v>0</v>
      </c>
      <c r="L4326">
        <v>3</v>
      </c>
      <c r="M4326">
        <v>0</v>
      </c>
      <c r="N4326">
        <v>2</v>
      </c>
      <c r="O4326">
        <v>1</v>
      </c>
      <c r="P4326">
        <v>0</v>
      </c>
      <c r="Q4326">
        <v>0</v>
      </c>
      <c r="S4326" t="str">
        <f>"20:38:24.953"</f>
        <v>20:38:24.953</v>
      </c>
      <c r="T4326" t="str">
        <f>"20:38:24.453"</f>
        <v>20:38:24.453</v>
      </c>
      <c r="U4326" t="str">
        <f t="shared" si="214"/>
        <v>AB01F4</v>
      </c>
      <c r="V4326">
        <v>0</v>
      </c>
      <c r="W4326">
        <v>0</v>
      </c>
      <c r="X4326">
        <v>2</v>
      </c>
      <c r="Z4326">
        <v>0</v>
      </c>
      <c r="AA4326">
        <v>9</v>
      </c>
      <c r="AB4326">
        <v>3</v>
      </c>
      <c r="AC4326">
        <v>0</v>
      </c>
      <c r="AD4326">
        <v>10</v>
      </c>
      <c r="AE4326">
        <v>0</v>
      </c>
      <c r="AF4326">
        <v>3</v>
      </c>
      <c r="AG4326">
        <v>2</v>
      </c>
      <c r="AH4326">
        <v>0</v>
      </c>
      <c r="AI4326" t="s">
        <v>2410</v>
      </c>
      <c r="AJ4326">
        <v>40.163719999999998</v>
      </c>
      <c r="AK4326" t="s">
        <v>2411</v>
      </c>
      <c r="AL4326">
        <v>-93.178353000000001</v>
      </c>
      <c r="AM4326">
        <v>100</v>
      </c>
      <c r="AN4326">
        <v>1300</v>
      </c>
      <c r="AO4326" t="s">
        <v>118</v>
      </c>
      <c r="AP4326">
        <v>-128</v>
      </c>
      <c r="AQ4326">
        <v>-43</v>
      </c>
      <c r="AR4326">
        <v>-128</v>
      </c>
      <c r="AZ4326">
        <v>1200</v>
      </c>
      <c r="BA4326">
        <v>1</v>
      </c>
      <c r="BB4326" t="str">
        <f t="shared" si="213"/>
        <v xml:space="preserve">N8080G  </v>
      </c>
      <c r="BC4326">
        <v>1</v>
      </c>
      <c r="BE4326">
        <v>0</v>
      </c>
      <c r="BF4326">
        <v>0</v>
      </c>
      <c r="BG4326">
        <v>0</v>
      </c>
      <c r="BH4326">
        <v>1350</v>
      </c>
      <c r="BI4326">
        <v>1</v>
      </c>
      <c r="BJ4326">
        <v>1</v>
      </c>
      <c r="BK4326">
        <v>1</v>
      </c>
      <c r="BL4326">
        <v>0</v>
      </c>
      <c r="BO4326">
        <v>0</v>
      </c>
      <c r="BP4326">
        <v>0</v>
      </c>
      <c r="BW4326" t="str">
        <f>"20:38:24.960"</f>
        <v>20:38:24.960</v>
      </c>
      <c r="BZ4326">
        <v>0</v>
      </c>
      <c r="CA4326">
        <v>1600</v>
      </c>
      <c r="CB4326">
        <v>224</v>
      </c>
      <c r="CD4326">
        <v>1</v>
      </c>
      <c r="CE4326">
        <v>0</v>
      </c>
      <c r="CF4326">
        <v>0</v>
      </c>
      <c r="CG4326">
        <v>1</v>
      </c>
      <c r="CH4326">
        <v>0</v>
      </c>
      <c r="CI4326">
        <v>0</v>
      </c>
      <c r="CJ4326">
        <v>0</v>
      </c>
      <c r="CK4326">
        <v>2</v>
      </c>
      <c r="CL4326">
        <v>0</v>
      </c>
      <c r="CM4326">
        <v>2</v>
      </c>
      <c r="CN4326">
        <v>0</v>
      </c>
      <c r="CO4326">
        <v>4</v>
      </c>
      <c r="CP4326" t="s">
        <v>119</v>
      </c>
      <c r="CQ4326">
        <v>180</v>
      </c>
      <c r="CR4326">
        <v>3</v>
      </c>
      <c r="CW4326">
        <v>1398723</v>
      </c>
      <c r="CY4326">
        <v>0</v>
      </c>
      <c r="CZ4326">
        <v>0</v>
      </c>
      <c r="DA4326">
        <v>1</v>
      </c>
      <c r="DB4326">
        <v>0</v>
      </c>
      <c r="DC4326">
        <v>0</v>
      </c>
      <c r="DD4326">
        <v>0</v>
      </c>
      <c r="DE4326">
        <v>0</v>
      </c>
      <c r="DF4326">
        <v>0</v>
      </c>
      <c r="DG4326">
        <v>0</v>
      </c>
      <c r="DH4326">
        <v>0</v>
      </c>
      <c r="DI4326">
        <v>0</v>
      </c>
    </row>
    <row r="4327" spans="1:113" x14ac:dyDescent="0.3">
      <c r="A4327" t="str">
        <f>"02/08/2021 20:38:23.672"</f>
        <v>02/08/2021 20:38:23.672</v>
      </c>
      <c r="C4327" t="str">
        <f t="shared" ref="C4327:C4390" si="215">"FFDFD7C0"</f>
        <v>FFDFD7C0</v>
      </c>
      <c r="D4327" t="s">
        <v>124</v>
      </c>
      <c r="E4327">
        <v>13</v>
      </c>
      <c r="F4327">
        <v>1013</v>
      </c>
      <c r="G4327" t="s">
        <v>114</v>
      </c>
      <c r="J4327" t="s">
        <v>125</v>
      </c>
      <c r="K4327">
        <v>0</v>
      </c>
      <c r="L4327">
        <v>3</v>
      </c>
      <c r="M4327">
        <v>0</v>
      </c>
      <c r="N4327">
        <v>2</v>
      </c>
      <c r="O4327">
        <v>1</v>
      </c>
      <c r="P4327">
        <v>0</v>
      </c>
      <c r="Q4327">
        <v>0</v>
      </c>
      <c r="S4327" t="str">
        <f>"20:38:25.977"</f>
        <v>20:38:25.977</v>
      </c>
      <c r="T4327" t="str">
        <f>"20:38:25.477"</f>
        <v>20:38:25.477</v>
      </c>
      <c r="U4327" t="str">
        <f t="shared" si="214"/>
        <v>AB01F4</v>
      </c>
      <c r="V4327">
        <v>0</v>
      </c>
      <c r="W4327">
        <v>0</v>
      </c>
      <c r="X4327">
        <v>2</v>
      </c>
      <c r="Z4327">
        <v>0</v>
      </c>
      <c r="AA4327">
        <v>9</v>
      </c>
      <c r="AB4327">
        <v>3</v>
      </c>
      <c r="AC4327">
        <v>0</v>
      </c>
      <c r="AD4327">
        <v>10</v>
      </c>
      <c r="AE4327">
        <v>0</v>
      </c>
      <c r="AF4327">
        <v>3</v>
      </c>
      <c r="AG4327">
        <v>2</v>
      </c>
      <c r="AH4327">
        <v>0</v>
      </c>
      <c r="AI4327" t="s">
        <v>2412</v>
      </c>
      <c r="AJ4327">
        <v>40.163547999999999</v>
      </c>
      <c r="AK4327" t="s">
        <v>2413</v>
      </c>
      <c r="AL4327">
        <v>-93.179147</v>
      </c>
      <c r="AM4327">
        <v>100</v>
      </c>
      <c r="AN4327">
        <v>1300</v>
      </c>
      <c r="AO4327" t="s">
        <v>118</v>
      </c>
      <c r="AP4327">
        <v>-129</v>
      </c>
      <c r="AQ4327">
        <v>-42</v>
      </c>
      <c r="AR4327">
        <v>-128</v>
      </c>
      <c r="AZ4327">
        <v>1200</v>
      </c>
      <c r="BA4327">
        <v>1</v>
      </c>
      <c r="BB4327" t="str">
        <f t="shared" si="213"/>
        <v xml:space="preserve">N8080G  </v>
      </c>
      <c r="BC4327">
        <v>1</v>
      </c>
      <c r="BE4327">
        <v>0</v>
      </c>
      <c r="BF4327">
        <v>0</v>
      </c>
      <c r="BG4327">
        <v>0</v>
      </c>
      <c r="BH4327">
        <v>1350</v>
      </c>
      <c r="BI4327">
        <v>1</v>
      </c>
      <c r="BJ4327">
        <v>1</v>
      </c>
      <c r="BK4327">
        <v>1</v>
      </c>
      <c r="BL4327">
        <v>0</v>
      </c>
      <c r="BO4327">
        <v>0</v>
      </c>
      <c r="BP4327">
        <v>0</v>
      </c>
      <c r="BW4327" t="str">
        <f>"20:38:25.982"</f>
        <v>20:38:25.982</v>
      </c>
      <c r="BZ4327">
        <v>0</v>
      </c>
      <c r="CA4327">
        <v>1600</v>
      </c>
      <c r="CB4327">
        <v>224</v>
      </c>
      <c r="CD4327">
        <v>1</v>
      </c>
      <c r="CE4327">
        <v>0</v>
      </c>
      <c r="CF4327">
        <v>0</v>
      </c>
      <c r="CG4327">
        <v>1</v>
      </c>
      <c r="CH4327">
        <v>0</v>
      </c>
      <c r="CI4327">
        <v>0</v>
      </c>
      <c r="CJ4327">
        <v>0</v>
      </c>
      <c r="CK4327">
        <v>2</v>
      </c>
      <c r="CL4327">
        <v>0</v>
      </c>
      <c r="CM4327">
        <v>2</v>
      </c>
      <c r="CN4327">
        <v>0</v>
      </c>
      <c r="CO4327">
        <v>4</v>
      </c>
      <c r="CP4327" t="s">
        <v>119</v>
      </c>
      <c r="CQ4327">
        <v>180</v>
      </c>
      <c r="CR4327">
        <v>3</v>
      </c>
      <c r="CW4327">
        <v>1399439</v>
      </c>
      <c r="CY4327">
        <v>0</v>
      </c>
      <c r="CZ4327">
        <v>0</v>
      </c>
      <c r="DA4327">
        <v>0</v>
      </c>
      <c r="DB4327">
        <v>0</v>
      </c>
      <c r="DC4327">
        <v>0</v>
      </c>
      <c r="DD4327">
        <v>0</v>
      </c>
      <c r="DE4327">
        <v>0</v>
      </c>
      <c r="DF4327">
        <v>0</v>
      </c>
      <c r="DG4327">
        <v>0</v>
      </c>
      <c r="DH4327">
        <v>0</v>
      </c>
      <c r="DI4327">
        <v>0</v>
      </c>
    </row>
    <row r="4328" spans="1:113" x14ac:dyDescent="0.3">
      <c r="A4328" t="str">
        <f>"02/08/2021 20:38:23.672"</f>
        <v>02/08/2021 20:38:23.672</v>
      </c>
      <c r="C4328" t="str">
        <f t="shared" si="215"/>
        <v>FFDFD7C0</v>
      </c>
      <c r="D4328" t="s">
        <v>124</v>
      </c>
      <c r="E4328">
        <v>12</v>
      </c>
      <c r="F4328">
        <v>1012</v>
      </c>
      <c r="G4328" t="s">
        <v>675</v>
      </c>
      <c r="J4328" t="s">
        <v>125</v>
      </c>
      <c r="K4328">
        <v>0</v>
      </c>
      <c r="L4328">
        <v>3</v>
      </c>
      <c r="M4328">
        <v>0</v>
      </c>
      <c r="N4328">
        <v>2</v>
      </c>
      <c r="O4328">
        <v>1</v>
      </c>
      <c r="P4328">
        <v>0</v>
      </c>
      <c r="Q4328">
        <v>0</v>
      </c>
      <c r="S4328" t="str">
        <f>"20:38:25.977"</f>
        <v>20:38:25.977</v>
      </c>
      <c r="T4328" t="str">
        <f>"20:38:25.477"</f>
        <v>20:38:25.477</v>
      </c>
      <c r="U4328" t="str">
        <f t="shared" si="214"/>
        <v>AB01F4</v>
      </c>
      <c r="V4328">
        <v>0</v>
      </c>
      <c r="W4328">
        <v>0</v>
      </c>
      <c r="X4328">
        <v>2</v>
      </c>
      <c r="Z4328">
        <v>0</v>
      </c>
      <c r="AA4328">
        <v>9</v>
      </c>
      <c r="AB4328">
        <v>3</v>
      </c>
      <c r="AC4328">
        <v>0</v>
      </c>
      <c r="AD4328">
        <v>10</v>
      </c>
      <c r="AE4328">
        <v>0</v>
      </c>
      <c r="AF4328">
        <v>3</v>
      </c>
      <c r="AG4328">
        <v>2</v>
      </c>
      <c r="AH4328">
        <v>0</v>
      </c>
      <c r="AI4328" t="s">
        <v>2412</v>
      </c>
      <c r="AJ4328">
        <v>40.163547999999999</v>
      </c>
      <c r="AK4328" t="s">
        <v>2413</v>
      </c>
      <c r="AL4328">
        <v>-93.179147</v>
      </c>
      <c r="AM4328">
        <v>100</v>
      </c>
      <c r="AN4328">
        <v>1300</v>
      </c>
      <c r="AO4328" t="s">
        <v>118</v>
      </c>
      <c r="AP4328">
        <v>-129</v>
      </c>
      <c r="AQ4328">
        <v>-42</v>
      </c>
      <c r="AR4328">
        <v>-128</v>
      </c>
      <c r="AZ4328">
        <v>1200</v>
      </c>
      <c r="BA4328">
        <v>1</v>
      </c>
      <c r="BB4328" t="str">
        <f t="shared" si="213"/>
        <v xml:space="preserve">N8080G  </v>
      </c>
      <c r="BC4328">
        <v>1</v>
      </c>
      <c r="BE4328">
        <v>0</v>
      </c>
      <c r="BF4328">
        <v>0</v>
      </c>
      <c r="BG4328">
        <v>0</v>
      </c>
      <c r="BH4328">
        <v>1350</v>
      </c>
      <c r="BI4328">
        <v>1</v>
      </c>
      <c r="BJ4328">
        <v>1</v>
      </c>
      <c r="BK4328">
        <v>1</v>
      </c>
      <c r="BL4328">
        <v>0</v>
      </c>
      <c r="BO4328">
        <v>0</v>
      </c>
      <c r="BP4328">
        <v>0</v>
      </c>
      <c r="BW4328" t="str">
        <f>"20:38:25.982"</f>
        <v>20:38:25.982</v>
      </c>
      <c r="BZ4328">
        <v>0</v>
      </c>
      <c r="CA4328">
        <v>1600</v>
      </c>
      <c r="CB4328">
        <v>224</v>
      </c>
      <c r="CD4328">
        <v>1</v>
      </c>
      <c r="CE4328">
        <v>0</v>
      </c>
      <c r="CF4328">
        <v>0</v>
      </c>
      <c r="CG4328">
        <v>1</v>
      </c>
      <c r="CH4328">
        <v>0</v>
      </c>
      <c r="CI4328">
        <v>0</v>
      </c>
      <c r="CJ4328">
        <v>0</v>
      </c>
      <c r="CK4328">
        <v>2</v>
      </c>
      <c r="CL4328">
        <v>0</v>
      </c>
      <c r="CM4328">
        <v>2</v>
      </c>
      <c r="CN4328">
        <v>0</v>
      </c>
      <c r="CO4328">
        <v>4</v>
      </c>
      <c r="CP4328" t="s">
        <v>119</v>
      </c>
      <c r="CQ4328">
        <v>180</v>
      </c>
      <c r="CR4328">
        <v>3</v>
      </c>
      <c r="CW4328">
        <v>1399439</v>
      </c>
      <c r="CY4328">
        <v>0</v>
      </c>
      <c r="CZ4328">
        <v>0</v>
      </c>
      <c r="DA4328">
        <v>1</v>
      </c>
      <c r="DB4328">
        <v>0</v>
      </c>
      <c r="DC4328">
        <v>0</v>
      </c>
      <c r="DD4328">
        <v>0</v>
      </c>
      <c r="DE4328">
        <v>0</v>
      </c>
      <c r="DF4328">
        <v>0</v>
      </c>
      <c r="DG4328">
        <v>0</v>
      </c>
      <c r="DH4328">
        <v>0</v>
      </c>
      <c r="DI4328">
        <v>0</v>
      </c>
    </row>
    <row r="4329" spans="1:113" x14ac:dyDescent="0.3">
      <c r="A4329" t="str">
        <f>"02/08/2021 20:38:23.672"</f>
        <v>02/08/2021 20:38:23.672</v>
      </c>
      <c r="C4329" t="str">
        <f t="shared" si="215"/>
        <v>FFDFD7C0</v>
      </c>
      <c r="D4329" t="s">
        <v>113</v>
      </c>
      <c r="E4329">
        <v>6</v>
      </c>
      <c r="H4329">
        <v>165</v>
      </c>
      <c r="I4329" t="s">
        <v>114</v>
      </c>
      <c r="J4329" t="s">
        <v>115</v>
      </c>
      <c r="K4329">
        <v>0</v>
      </c>
      <c r="L4329">
        <v>3</v>
      </c>
      <c r="M4329">
        <v>0</v>
      </c>
      <c r="N4329">
        <v>2</v>
      </c>
      <c r="O4329">
        <v>1</v>
      </c>
      <c r="P4329">
        <v>0</v>
      </c>
      <c r="Q4329">
        <v>0</v>
      </c>
      <c r="S4329" t="str">
        <f>"20:38:25.977"</f>
        <v>20:38:25.977</v>
      </c>
      <c r="T4329" t="str">
        <f>"20:38:25.477"</f>
        <v>20:38:25.477</v>
      </c>
      <c r="U4329" t="str">
        <f t="shared" si="214"/>
        <v>AB01F4</v>
      </c>
      <c r="V4329">
        <v>0</v>
      </c>
      <c r="W4329">
        <v>0</v>
      </c>
      <c r="X4329">
        <v>2</v>
      </c>
      <c r="Z4329">
        <v>0</v>
      </c>
      <c r="AA4329">
        <v>9</v>
      </c>
      <c r="AB4329">
        <v>3</v>
      </c>
      <c r="AC4329">
        <v>0</v>
      </c>
      <c r="AD4329">
        <v>10</v>
      </c>
      <c r="AE4329">
        <v>0</v>
      </c>
      <c r="AF4329">
        <v>3</v>
      </c>
      <c r="AG4329">
        <v>2</v>
      </c>
      <c r="AH4329">
        <v>0</v>
      </c>
      <c r="AI4329" t="s">
        <v>2412</v>
      </c>
      <c r="AJ4329">
        <v>40.163547999999999</v>
      </c>
      <c r="AK4329" t="s">
        <v>2413</v>
      </c>
      <c r="AL4329">
        <v>-93.179147</v>
      </c>
      <c r="AM4329">
        <v>100</v>
      </c>
      <c r="AN4329">
        <v>1300</v>
      </c>
      <c r="AO4329" t="s">
        <v>118</v>
      </c>
      <c r="AP4329">
        <v>-129</v>
      </c>
      <c r="AQ4329">
        <v>-42</v>
      </c>
      <c r="AR4329">
        <v>-128</v>
      </c>
      <c r="AZ4329">
        <v>1200</v>
      </c>
      <c r="BA4329">
        <v>1</v>
      </c>
      <c r="BB4329" t="str">
        <f t="shared" si="213"/>
        <v xml:space="preserve">N8080G  </v>
      </c>
      <c r="BC4329">
        <v>1</v>
      </c>
      <c r="BE4329">
        <v>0</v>
      </c>
      <c r="BF4329">
        <v>0</v>
      </c>
      <c r="BG4329">
        <v>0</v>
      </c>
      <c r="BH4329">
        <v>1350</v>
      </c>
      <c r="BI4329">
        <v>1</v>
      </c>
      <c r="BJ4329">
        <v>1</v>
      </c>
      <c r="BK4329">
        <v>1</v>
      </c>
      <c r="BL4329">
        <v>0</v>
      </c>
      <c r="BO4329">
        <v>0</v>
      </c>
      <c r="BP4329">
        <v>0</v>
      </c>
      <c r="BW4329" t="str">
        <f>"20:38:25.982"</f>
        <v>20:38:25.982</v>
      </c>
      <c r="BZ4329">
        <v>0</v>
      </c>
      <c r="CA4329">
        <v>1600</v>
      </c>
      <c r="CB4329">
        <v>224</v>
      </c>
      <c r="CD4329">
        <v>1</v>
      </c>
      <c r="CE4329">
        <v>0</v>
      </c>
      <c r="CF4329">
        <v>0</v>
      </c>
      <c r="CG4329">
        <v>1</v>
      </c>
      <c r="CH4329">
        <v>0</v>
      </c>
      <c r="CI4329">
        <v>0</v>
      </c>
      <c r="CJ4329">
        <v>0</v>
      </c>
      <c r="CK4329">
        <v>2</v>
      </c>
      <c r="CL4329">
        <v>0</v>
      </c>
      <c r="CM4329">
        <v>2</v>
      </c>
      <c r="CN4329">
        <v>0</v>
      </c>
      <c r="CO4329">
        <v>4</v>
      </c>
      <c r="CP4329" t="s">
        <v>119</v>
      </c>
      <c r="CQ4329">
        <v>180</v>
      </c>
      <c r="CR4329">
        <v>3</v>
      </c>
      <c r="CW4329">
        <v>1399439</v>
      </c>
      <c r="CY4329">
        <v>0</v>
      </c>
      <c r="CZ4329">
        <v>0</v>
      </c>
      <c r="DA4329">
        <v>1</v>
      </c>
      <c r="DB4329">
        <v>0</v>
      </c>
      <c r="DC4329">
        <v>0</v>
      </c>
      <c r="DD4329">
        <v>0</v>
      </c>
      <c r="DE4329">
        <v>0</v>
      </c>
      <c r="DF4329">
        <v>0</v>
      </c>
      <c r="DG4329">
        <v>0</v>
      </c>
      <c r="DH4329">
        <v>0</v>
      </c>
      <c r="DI4329">
        <v>0</v>
      </c>
    </row>
    <row r="4330" spans="1:113" x14ac:dyDescent="0.3">
      <c r="A4330" t="str">
        <f>"02/08/2021 20:38:23.672"</f>
        <v>02/08/2021 20:38:23.672</v>
      </c>
      <c r="C4330" t="str">
        <f t="shared" si="215"/>
        <v>FFDFD7C0</v>
      </c>
      <c r="D4330" t="s">
        <v>124</v>
      </c>
      <c r="E4330">
        <v>11</v>
      </c>
      <c r="F4330">
        <v>1011</v>
      </c>
      <c r="G4330" t="s">
        <v>590</v>
      </c>
      <c r="J4330" t="s">
        <v>125</v>
      </c>
      <c r="K4330">
        <v>0</v>
      </c>
      <c r="L4330">
        <v>3</v>
      </c>
      <c r="M4330">
        <v>0</v>
      </c>
      <c r="N4330">
        <v>2</v>
      </c>
      <c r="O4330">
        <v>1</v>
      </c>
      <c r="P4330">
        <v>0</v>
      </c>
      <c r="Q4330">
        <v>0</v>
      </c>
      <c r="S4330" t="str">
        <f>"20:38:25.977"</f>
        <v>20:38:25.977</v>
      </c>
      <c r="T4330" t="str">
        <f>"20:38:25.477"</f>
        <v>20:38:25.477</v>
      </c>
      <c r="U4330" t="str">
        <f t="shared" si="214"/>
        <v>AB01F4</v>
      </c>
      <c r="V4330">
        <v>0</v>
      </c>
      <c r="W4330">
        <v>0</v>
      </c>
      <c r="X4330">
        <v>2</v>
      </c>
      <c r="Z4330">
        <v>0</v>
      </c>
      <c r="AA4330">
        <v>9</v>
      </c>
      <c r="AB4330">
        <v>3</v>
      </c>
      <c r="AC4330">
        <v>0</v>
      </c>
      <c r="AD4330">
        <v>10</v>
      </c>
      <c r="AE4330">
        <v>0</v>
      </c>
      <c r="AF4330">
        <v>3</v>
      </c>
      <c r="AG4330">
        <v>2</v>
      </c>
      <c r="AH4330">
        <v>0</v>
      </c>
      <c r="AI4330" t="s">
        <v>2412</v>
      </c>
      <c r="AJ4330">
        <v>40.163547999999999</v>
      </c>
      <c r="AK4330" t="s">
        <v>2413</v>
      </c>
      <c r="AL4330">
        <v>-93.179147</v>
      </c>
      <c r="AM4330">
        <v>100</v>
      </c>
      <c r="AN4330">
        <v>1300</v>
      </c>
      <c r="AO4330" t="s">
        <v>118</v>
      </c>
      <c r="AP4330">
        <v>-129</v>
      </c>
      <c r="AQ4330">
        <v>-42</v>
      </c>
      <c r="AR4330">
        <v>-128</v>
      </c>
      <c r="AZ4330">
        <v>1200</v>
      </c>
      <c r="BA4330">
        <v>1</v>
      </c>
      <c r="BB4330" t="str">
        <f t="shared" si="213"/>
        <v xml:space="preserve">N8080G  </v>
      </c>
      <c r="BC4330">
        <v>1</v>
      </c>
      <c r="BE4330">
        <v>0</v>
      </c>
      <c r="BF4330">
        <v>0</v>
      </c>
      <c r="BG4330">
        <v>0</v>
      </c>
      <c r="BH4330">
        <v>1350</v>
      </c>
      <c r="BI4330">
        <v>1</v>
      </c>
      <c r="BJ4330">
        <v>1</v>
      </c>
      <c r="BK4330">
        <v>1</v>
      </c>
      <c r="BL4330">
        <v>0</v>
      </c>
      <c r="BO4330">
        <v>0</v>
      </c>
      <c r="BP4330">
        <v>0</v>
      </c>
      <c r="BW4330" t="str">
        <f>"20:38:25.982"</f>
        <v>20:38:25.982</v>
      </c>
      <c r="BZ4330">
        <v>0</v>
      </c>
      <c r="CA4330">
        <v>1600</v>
      </c>
      <c r="CB4330">
        <v>224</v>
      </c>
      <c r="CD4330">
        <v>1</v>
      </c>
      <c r="CE4330">
        <v>0</v>
      </c>
      <c r="CF4330">
        <v>0</v>
      </c>
      <c r="CG4330">
        <v>1</v>
      </c>
      <c r="CH4330">
        <v>0</v>
      </c>
      <c r="CI4330">
        <v>0</v>
      </c>
      <c r="CJ4330">
        <v>0</v>
      </c>
      <c r="CK4330">
        <v>2</v>
      </c>
      <c r="CL4330">
        <v>0</v>
      </c>
      <c r="CM4330">
        <v>2</v>
      </c>
      <c r="CN4330">
        <v>0</v>
      </c>
      <c r="CO4330">
        <v>4</v>
      </c>
      <c r="CP4330" t="s">
        <v>119</v>
      </c>
      <c r="CQ4330">
        <v>180</v>
      </c>
      <c r="CR4330">
        <v>3</v>
      </c>
      <c r="CW4330">
        <v>1399439</v>
      </c>
      <c r="CY4330">
        <v>0</v>
      </c>
      <c r="CZ4330">
        <v>0</v>
      </c>
      <c r="DA4330">
        <v>1</v>
      </c>
      <c r="DB4330">
        <v>0</v>
      </c>
      <c r="DC4330">
        <v>0</v>
      </c>
      <c r="DD4330">
        <v>0</v>
      </c>
      <c r="DE4330">
        <v>0</v>
      </c>
      <c r="DF4330">
        <v>0</v>
      </c>
      <c r="DG4330">
        <v>0</v>
      </c>
      <c r="DH4330">
        <v>0</v>
      </c>
      <c r="DI4330">
        <v>0</v>
      </c>
    </row>
    <row r="4331" spans="1:113" x14ac:dyDescent="0.3">
      <c r="A4331" t="str">
        <f>"02/08/2021 20:38:24.566"</f>
        <v>02/08/2021 20:38:24.566</v>
      </c>
      <c r="C4331" t="str">
        <f t="shared" si="215"/>
        <v>FFDFD7C0</v>
      </c>
      <c r="D4331" t="s">
        <v>113</v>
      </c>
      <c r="E4331">
        <v>6</v>
      </c>
      <c r="H4331">
        <v>165</v>
      </c>
      <c r="I4331" t="s">
        <v>114</v>
      </c>
      <c r="J4331" t="s">
        <v>115</v>
      </c>
      <c r="K4331">
        <v>0</v>
      </c>
      <c r="L4331">
        <v>3</v>
      </c>
      <c r="M4331">
        <v>0</v>
      </c>
      <c r="N4331">
        <v>2</v>
      </c>
      <c r="O4331">
        <v>1</v>
      </c>
      <c r="P4331">
        <v>0</v>
      </c>
      <c r="Q4331">
        <v>0</v>
      </c>
      <c r="S4331" t="str">
        <f>"20:38:26.906"</f>
        <v>20:38:26.906</v>
      </c>
      <c r="T4331" t="str">
        <f>"20:38:26.506"</f>
        <v>20:38:26.506</v>
      </c>
      <c r="U4331" t="str">
        <f t="shared" si="214"/>
        <v>AB01F4</v>
      </c>
      <c r="V4331">
        <v>0</v>
      </c>
      <c r="W4331">
        <v>0</v>
      </c>
      <c r="X4331">
        <v>2</v>
      </c>
      <c r="Z4331">
        <v>0</v>
      </c>
      <c r="AA4331">
        <v>9</v>
      </c>
      <c r="AB4331">
        <v>3</v>
      </c>
      <c r="AC4331">
        <v>0</v>
      </c>
      <c r="AD4331">
        <v>10</v>
      </c>
      <c r="AE4331">
        <v>0</v>
      </c>
      <c r="AF4331">
        <v>3</v>
      </c>
      <c r="AG4331">
        <v>2</v>
      </c>
      <c r="AH4331">
        <v>0</v>
      </c>
      <c r="AI4331" t="s">
        <v>2414</v>
      </c>
      <c r="AJ4331">
        <v>40.163355000000003</v>
      </c>
      <c r="AK4331" t="s">
        <v>2415</v>
      </c>
      <c r="AL4331">
        <v>-93.179855000000003</v>
      </c>
      <c r="AM4331">
        <v>100</v>
      </c>
      <c r="AN4331">
        <v>1300</v>
      </c>
      <c r="AO4331" t="s">
        <v>118</v>
      </c>
      <c r="AP4331">
        <v>-129</v>
      </c>
      <c r="AQ4331">
        <v>-41</v>
      </c>
      <c r="AR4331">
        <v>0</v>
      </c>
      <c r="AZ4331">
        <v>1200</v>
      </c>
      <c r="BA4331">
        <v>1</v>
      </c>
      <c r="BB4331" t="str">
        <f t="shared" si="213"/>
        <v xml:space="preserve">N8080G  </v>
      </c>
      <c r="BC4331">
        <v>1</v>
      </c>
      <c r="BE4331">
        <v>0</v>
      </c>
      <c r="BF4331">
        <v>0</v>
      </c>
      <c r="BG4331">
        <v>0</v>
      </c>
      <c r="BH4331">
        <v>1350</v>
      </c>
      <c r="BI4331">
        <v>1</v>
      </c>
      <c r="BJ4331">
        <v>1</v>
      </c>
      <c r="BK4331">
        <v>1</v>
      </c>
      <c r="BL4331">
        <v>0</v>
      </c>
      <c r="BO4331">
        <v>0</v>
      </c>
      <c r="BP4331">
        <v>0</v>
      </c>
      <c r="BW4331" t="str">
        <f>"20:38:26.910"</f>
        <v>20:38:26.910</v>
      </c>
      <c r="BZ4331">
        <v>0</v>
      </c>
      <c r="CA4331">
        <v>1600</v>
      </c>
      <c r="CB4331">
        <v>224</v>
      </c>
      <c r="CD4331">
        <v>1</v>
      </c>
      <c r="CE4331">
        <v>0</v>
      </c>
      <c r="CF4331">
        <v>0</v>
      </c>
      <c r="CG4331">
        <v>1</v>
      </c>
      <c r="CH4331">
        <v>0</v>
      </c>
      <c r="CI4331">
        <v>0</v>
      </c>
      <c r="CJ4331">
        <v>0</v>
      </c>
      <c r="CK4331">
        <v>2</v>
      </c>
      <c r="CL4331">
        <v>0</v>
      </c>
      <c r="CM4331">
        <v>2</v>
      </c>
      <c r="CN4331">
        <v>0</v>
      </c>
      <c r="CO4331">
        <v>1</v>
      </c>
      <c r="CP4331" t="s">
        <v>119</v>
      </c>
      <c r="CQ4331">
        <v>179</v>
      </c>
      <c r="CR4331">
        <v>2</v>
      </c>
      <c r="CW4331">
        <v>12676015</v>
      </c>
      <c r="CY4331">
        <v>0</v>
      </c>
      <c r="CZ4331">
        <v>0</v>
      </c>
      <c r="DA4331">
        <v>0</v>
      </c>
      <c r="DB4331">
        <v>0</v>
      </c>
      <c r="DC4331">
        <v>0</v>
      </c>
      <c r="DD4331">
        <v>0</v>
      </c>
      <c r="DE4331">
        <v>0</v>
      </c>
      <c r="DF4331">
        <v>0</v>
      </c>
      <c r="DG4331">
        <v>0</v>
      </c>
      <c r="DH4331">
        <v>0</v>
      </c>
      <c r="DI4331">
        <v>0</v>
      </c>
    </row>
    <row r="4332" spans="1:113" x14ac:dyDescent="0.3">
      <c r="A4332" t="str">
        <f>"02/08/2021 20:38:24.566"</f>
        <v>02/08/2021 20:38:24.566</v>
      </c>
      <c r="C4332" t="str">
        <f t="shared" si="215"/>
        <v>FFDFD7C0</v>
      </c>
      <c r="D4332" t="s">
        <v>124</v>
      </c>
      <c r="E4332">
        <v>11</v>
      </c>
      <c r="F4332">
        <v>1011</v>
      </c>
      <c r="G4332" t="s">
        <v>590</v>
      </c>
      <c r="J4332" t="s">
        <v>125</v>
      </c>
      <c r="K4332">
        <v>0</v>
      </c>
      <c r="L4332">
        <v>3</v>
      </c>
      <c r="M4332">
        <v>0</v>
      </c>
      <c r="N4332">
        <v>2</v>
      </c>
      <c r="O4332">
        <v>1</v>
      </c>
      <c r="P4332">
        <v>0</v>
      </c>
      <c r="Q4332">
        <v>0</v>
      </c>
      <c r="S4332" t="str">
        <f>"20:38:26.906"</f>
        <v>20:38:26.906</v>
      </c>
      <c r="T4332" t="str">
        <f>"20:38:26.506"</f>
        <v>20:38:26.506</v>
      </c>
      <c r="U4332" t="str">
        <f t="shared" si="214"/>
        <v>AB01F4</v>
      </c>
      <c r="V4332">
        <v>0</v>
      </c>
      <c r="W4332">
        <v>0</v>
      </c>
      <c r="X4332">
        <v>2</v>
      </c>
      <c r="Z4332">
        <v>0</v>
      </c>
      <c r="AA4332">
        <v>9</v>
      </c>
      <c r="AB4332">
        <v>3</v>
      </c>
      <c r="AC4332">
        <v>0</v>
      </c>
      <c r="AD4332">
        <v>10</v>
      </c>
      <c r="AE4332">
        <v>0</v>
      </c>
      <c r="AF4332">
        <v>3</v>
      </c>
      <c r="AG4332">
        <v>2</v>
      </c>
      <c r="AH4332">
        <v>0</v>
      </c>
      <c r="AI4332" t="s">
        <v>2414</v>
      </c>
      <c r="AJ4332">
        <v>40.163355000000003</v>
      </c>
      <c r="AK4332" t="s">
        <v>2415</v>
      </c>
      <c r="AL4332">
        <v>-93.179855000000003</v>
      </c>
      <c r="AM4332">
        <v>100</v>
      </c>
      <c r="AN4332">
        <v>1300</v>
      </c>
      <c r="AO4332" t="s">
        <v>118</v>
      </c>
      <c r="AP4332">
        <v>-129</v>
      </c>
      <c r="AQ4332">
        <v>-41</v>
      </c>
      <c r="AR4332">
        <v>0</v>
      </c>
      <c r="AZ4332">
        <v>1200</v>
      </c>
      <c r="BA4332">
        <v>1</v>
      </c>
      <c r="BB4332" t="str">
        <f t="shared" si="213"/>
        <v xml:space="preserve">N8080G  </v>
      </c>
      <c r="BC4332">
        <v>1</v>
      </c>
      <c r="BE4332">
        <v>0</v>
      </c>
      <c r="BF4332">
        <v>0</v>
      </c>
      <c r="BG4332">
        <v>0</v>
      </c>
      <c r="BH4332">
        <v>1350</v>
      </c>
      <c r="BI4332">
        <v>1</v>
      </c>
      <c r="BJ4332">
        <v>1</v>
      </c>
      <c r="BK4332">
        <v>1</v>
      </c>
      <c r="BL4332">
        <v>0</v>
      </c>
      <c r="BO4332">
        <v>0</v>
      </c>
      <c r="BP4332">
        <v>0</v>
      </c>
      <c r="BW4332" t="str">
        <f>"20:38:26.910"</f>
        <v>20:38:26.910</v>
      </c>
      <c r="BZ4332">
        <v>0</v>
      </c>
      <c r="CA4332">
        <v>1600</v>
      </c>
      <c r="CB4332">
        <v>224</v>
      </c>
      <c r="CD4332">
        <v>1</v>
      </c>
      <c r="CE4332">
        <v>0</v>
      </c>
      <c r="CF4332">
        <v>0</v>
      </c>
      <c r="CG4332">
        <v>1</v>
      </c>
      <c r="CH4332">
        <v>0</v>
      </c>
      <c r="CI4332">
        <v>0</v>
      </c>
      <c r="CJ4332">
        <v>0</v>
      </c>
      <c r="CK4332">
        <v>2</v>
      </c>
      <c r="CL4332">
        <v>0</v>
      </c>
      <c r="CM4332">
        <v>2</v>
      </c>
      <c r="CN4332">
        <v>0</v>
      </c>
      <c r="CO4332">
        <v>1</v>
      </c>
      <c r="CP4332" t="s">
        <v>119</v>
      </c>
      <c r="CQ4332">
        <v>179</v>
      </c>
      <c r="CR4332">
        <v>2</v>
      </c>
      <c r="CW4332">
        <v>12676015</v>
      </c>
      <c r="CY4332">
        <v>0</v>
      </c>
      <c r="CZ4332">
        <v>0</v>
      </c>
      <c r="DA4332">
        <v>1</v>
      </c>
      <c r="DB4332">
        <v>0</v>
      </c>
      <c r="DC4332">
        <v>0</v>
      </c>
      <c r="DD4332">
        <v>0</v>
      </c>
      <c r="DE4332">
        <v>0</v>
      </c>
      <c r="DF4332">
        <v>0</v>
      </c>
      <c r="DG4332">
        <v>0</v>
      </c>
      <c r="DH4332">
        <v>0</v>
      </c>
      <c r="DI4332">
        <v>0</v>
      </c>
    </row>
    <row r="4333" spans="1:113" x14ac:dyDescent="0.3">
      <c r="A4333" t="str">
        <f>"02/08/2021 20:38:24.566"</f>
        <v>02/08/2021 20:38:24.566</v>
      </c>
      <c r="C4333" t="str">
        <f t="shared" si="215"/>
        <v>FFDFD7C0</v>
      </c>
      <c r="D4333" t="s">
        <v>124</v>
      </c>
      <c r="E4333">
        <v>13</v>
      </c>
      <c r="F4333">
        <v>1013</v>
      </c>
      <c r="G4333" t="s">
        <v>114</v>
      </c>
      <c r="J4333" t="s">
        <v>125</v>
      </c>
      <c r="K4333">
        <v>0</v>
      </c>
      <c r="L4333">
        <v>3</v>
      </c>
      <c r="M4333">
        <v>0</v>
      </c>
      <c r="N4333">
        <v>2</v>
      </c>
      <c r="O4333">
        <v>1</v>
      </c>
      <c r="P4333">
        <v>0</v>
      </c>
      <c r="Q4333">
        <v>0</v>
      </c>
      <c r="S4333" t="str">
        <f>"20:38:26.906"</f>
        <v>20:38:26.906</v>
      </c>
      <c r="T4333" t="str">
        <f>"20:38:26.506"</f>
        <v>20:38:26.506</v>
      </c>
      <c r="U4333" t="str">
        <f t="shared" si="214"/>
        <v>AB01F4</v>
      </c>
      <c r="V4333">
        <v>0</v>
      </c>
      <c r="W4333">
        <v>0</v>
      </c>
      <c r="X4333">
        <v>2</v>
      </c>
      <c r="Z4333">
        <v>0</v>
      </c>
      <c r="AA4333">
        <v>9</v>
      </c>
      <c r="AB4333">
        <v>3</v>
      </c>
      <c r="AC4333">
        <v>0</v>
      </c>
      <c r="AD4333">
        <v>10</v>
      </c>
      <c r="AE4333">
        <v>0</v>
      </c>
      <c r="AF4333">
        <v>3</v>
      </c>
      <c r="AG4333">
        <v>2</v>
      </c>
      <c r="AH4333">
        <v>0</v>
      </c>
      <c r="AI4333" t="s">
        <v>2414</v>
      </c>
      <c r="AJ4333">
        <v>40.163355000000003</v>
      </c>
      <c r="AK4333" t="s">
        <v>2415</v>
      </c>
      <c r="AL4333">
        <v>-93.179855000000003</v>
      </c>
      <c r="AM4333">
        <v>100</v>
      </c>
      <c r="AN4333">
        <v>1300</v>
      </c>
      <c r="AO4333" t="s">
        <v>118</v>
      </c>
      <c r="AP4333">
        <v>-129</v>
      </c>
      <c r="AQ4333">
        <v>-41</v>
      </c>
      <c r="AR4333">
        <v>0</v>
      </c>
      <c r="AZ4333">
        <v>1200</v>
      </c>
      <c r="BA4333">
        <v>1</v>
      </c>
      <c r="BB4333" t="str">
        <f t="shared" si="213"/>
        <v xml:space="preserve">N8080G  </v>
      </c>
      <c r="BC4333">
        <v>1</v>
      </c>
      <c r="BE4333">
        <v>0</v>
      </c>
      <c r="BF4333">
        <v>0</v>
      </c>
      <c r="BG4333">
        <v>0</v>
      </c>
      <c r="BH4333">
        <v>1350</v>
      </c>
      <c r="BI4333">
        <v>1</v>
      </c>
      <c r="BJ4333">
        <v>1</v>
      </c>
      <c r="BK4333">
        <v>1</v>
      </c>
      <c r="BL4333">
        <v>0</v>
      </c>
      <c r="BO4333">
        <v>0</v>
      </c>
      <c r="BP4333">
        <v>0</v>
      </c>
      <c r="BW4333" t="str">
        <f>"20:38:26.910"</f>
        <v>20:38:26.910</v>
      </c>
      <c r="BZ4333">
        <v>0</v>
      </c>
      <c r="CA4333">
        <v>1600</v>
      </c>
      <c r="CB4333">
        <v>224</v>
      </c>
      <c r="CD4333">
        <v>1</v>
      </c>
      <c r="CE4333">
        <v>0</v>
      </c>
      <c r="CF4333">
        <v>0</v>
      </c>
      <c r="CG4333">
        <v>1</v>
      </c>
      <c r="CH4333">
        <v>0</v>
      </c>
      <c r="CI4333">
        <v>0</v>
      </c>
      <c r="CJ4333">
        <v>0</v>
      </c>
      <c r="CK4333">
        <v>2</v>
      </c>
      <c r="CL4333">
        <v>0</v>
      </c>
      <c r="CM4333">
        <v>2</v>
      </c>
      <c r="CN4333">
        <v>0</v>
      </c>
      <c r="CO4333">
        <v>1</v>
      </c>
      <c r="CP4333" t="s">
        <v>119</v>
      </c>
      <c r="CQ4333">
        <v>179</v>
      </c>
      <c r="CR4333">
        <v>2</v>
      </c>
      <c r="CW4333">
        <v>12676015</v>
      </c>
      <c r="CY4333">
        <v>0</v>
      </c>
      <c r="CZ4333">
        <v>0</v>
      </c>
      <c r="DA4333">
        <v>1</v>
      </c>
      <c r="DB4333">
        <v>0</v>
      </c>
      <c r="DC4333">
        <v>0</v>
      </c>
      <c r="DD4333">
        <v>0</v>
      </c>
      <c r="DE4333">
        <v>0</v>
      </c>
      <c r="DF4333">
        <v>0</v>
      </c>
      <c r="DG4333">
        <v>0</v>
      </c>
      <c r="DH4333">
        <v>0</v>
      </c>
      <c r="DI4333">
        <v>0</v>
      </c>
    </row>
    <row r="4334" spans="1:113" x14ac:dyDescent="0.3">
      <c r="A4334" t="str">
        <f>"02/08/2021 20:38:24.566"</f>
        <v>02/08/2021 20:38:24.566</v>
      </c>
      <c r="C4334" t="str">
        <f t="shared" si="215"/>
        <v>FFDFD7C0</v>
      </c>
      <c r="D4334" t="s">
        <v>124</v>
      </c>
      <c r="E4334">
        <v>12</v>
      </c>
      <c r="F4334">
        <v>1012</v>
      </c>
      <c r="G4334" t="s">
        <v>675</v>
      </c>
      <c r="J4334" t="s">
        <v>125</v>
      </c>
      <c r="K4334">
        <v>0</v>
      </c>
      <c r="L4334">
        <v>3</v>
      </c>
      <c r="M4334">
        <v>0</v>
      </c>
      <c r="N4334">
        <v>2</v>
      </c>
      <c r="O4334">
        <v>1</v>
      </c>
      <c r="P4334">
        <v>0</v>
      </c>
      <c r="Q4334">
        <v>0</v>
      </c>
      <c r="S4334" t="str">
        <f>"20:38:26.906"</f>
        <v>20:38:26.906</v>
      </c>
      <c r="T4334" t="str">
        <f>"20:38:26.506"</f>
        <v>20:38:26.506</v>
      </c>
      <c r="U4334" t="str">
        <f t="shared" si="214"/>
        <v>AB01F4</v>
      </c>
      <c r="V4334">
        <v>0</v>
      </c>
      <c r="W4334">
        <v>0</v>
      </c>
      <c r="X4334">
        <v>2</v>
      </c>
      <c r="Z4334">
        <v>0</v>
      </c>
      <c r="AA4334">
        <v>9</v>
      </c>
      <c r="AB4334">
        <v>3</v>
      </c>
      <c r="AC4334">
        <v>0</v>
      </c>
      <c r="AD4334">
        <v>10</v>
      </c>
      <c r="AE4334">
        <v>0</v>
      </c>
      <c r="AF4334">
        <v>3</v>
      </c>
      <c r="AG4334">
        <v>2</v>
      </c>
      <c r="AH4334">
        <v>0</v>
      </c>
      <c r="AI4334" t="s">
        <v>2414</v>
      </c>
      <c r="AJ4334">
        <v>40.163355000000003</v>
      </c>
      <c r="AK4334" t="s">
        <v>2415</v>
      </c>
      <c r="AL4334">
        <v>-93.179855000000003</v>
      </c>
      <c r="AM4334">
        <v>100</v>
      </c>
      <c r="AN4334">
        <v>1300</v>
      </c>
      <c r="AO4334" t="s">
        <v>118</v>
      </c>
      <c r="AP4334">
        <v>-129</v>
      </c>
      <c r="AQ4334">
        <v>-41</v>
      </c>
      <c r="AR4334">
        <v>0</v>
      </c>
      <c r="AZ4334">
        <v>1200</v>
      </c>
      <c r="BA4334">
        <v>1</v>
      </c>
      <c r="BB4334" t="str">
        <f t="shared" si="213"/>
        <v xml:space="preserve">N8080G  </v>
      </c>
      <c r="BC4334">
        <v>1</v>
      </c>
      <c r="BE4334">
        <v>0</v>
      </c>
      <c r="BF4334">
        <v>0</v>
      </c>
      <c r="BG4334">
        <v>0</v>
      </c>
      <c r="BH4334">
        <v>1350</v>
      </c>
      <c r="BI4334">
        <v>1</v>
      </c>
      <c r="BJ4334">
        <v>1</v>
      </c>
      <c r="BK4334">
        <v>1</v>
      </c>
      <c r="BL4334">
        <v>0</v>
      </c>
      <c r="BO4334">
        <v>0</v>
      </c>
      <c r="BP4334">
        <v>0</v>
      </c>
      <c r="BW4334" t="str">
        <f>"20:38:26.910"</f>
        <v>20:38:26.910</v>
      </c>
      <c r="BZ4334">
        <v>0</v>
      </c>
      <c r="CA4334">
        <v>1600</v>
      </c>
      <c r="CB4334">
        <v>224</v>
      </c>
      <c r="CD4334">
        <v>1</v>
      </c>
      <c r="CE4334">
        <v>0</v>
      </c>
      <c r="CF4334">
        <v>0</v>
      </c>
      <c r="CG4334">
        <v>1</v>
      </c>
      <c r="CH4334">
        <v>0</v>
      </c>
      <c r="CI4334">
        <v>0</v>
      </c>
      <c r="CJ4334">
        <v>0</v>
      </c>
      <c r="CK4334">
        <v>2</v>
      </c>
      <c r="CL4334">
        <v>0</v>
      </c>
      <c r="CM4334">
        <v>2</v>
      </c>
      <c r="CN4334">
        <v>0</v>
      </c>
      <c r="CO4334">
        <v>1</v>
      </c>
      <c r="CP4334" t="s">
        <v>119</v>
      </c>
      <c r="CQ4334">
        <v>179</v>
      </c>
      <c r="CR4334">
        <v>2</v>
      </c>
      <c r="CW4334">
        <v>12676015</v>
      </c>
      <c r="CY4334">
        <v>0</v>
      </c>
      <c r="CZ4334">
        <v>0</v>
      </c>
      <c r="DA4334">
        <v>1</v>
      </c>
      <c r="DB4334">
        <v>0</v>
      </c>
      <c r="DC4334">
        <v>0</v>
      </c>
      <c r="DD4334">
        <v>0</v>
      </c>
      <c r="DE4334">
        <v>0</v>
      </c>
      <c r="DF4334">
        <v>0</v>
      </c>
      <c r="DG4334">
        <v>0</v>
      </c>
      <c r="DH4334">
        <v>0</v>
      </c>
      <c r="DI4334">
        <v>0</v>
      </c>
    </row>
    <row r="4335" spans="1:113" x14ac:dyDescent="0.3">
      <c r="A4335" t="str">
        <f>"02/08/2021 20:38:27.463"</f>
        <v>02/08/2021 20:38:27.463</v>
      </c>
      <c r="C4335" t="str">
        <f t="shared" si="215"/>
        <v>FFDFD7C0</v>
      </c>
      <c r="D4335" t="s">
        <v>124</v>
      </c>
      <c r="E4335">
        <v>12</v>
      </c>
      <c r="F4335">
        <v>1012</v>
      </c>
      <c r="G4335" t="s">
        <v>675</v>
      </c>
      <c r="J4335" t="s">
        <v>125</v>
      </c>
      <c r="K4335">
        <v>0</v>
      </c>
      <c r="L4335">
        <v>3</v>
      </c>
      <c r="M4335">
        <v>0</v>
      </c>
      <c r="N4335">
        <v>2</v>
      </c>
      <c r="O4335">
        <v>1</v>
      </c>
      <c r="P4335">
        <v>0</v>
      </c>
      <c r="Q4335">
        <v>0</v>
      </c>
      <c r="S4335" t="str">
        <f>"20:38:29.773"</f>
        <v>20:38:29.773</v>
      </c>
      <c r="T4335" t="str">
        <f>"20:38:29.373"</f>
        <v>20:38:29.373</v>
      </c>
      <c r="U4335" t="str">
        <f t="shared" si="214"/>
        <v>AB01F4</v>
      </c>
      <c r="V4335">
        <v>0</v>
      </c>
      <c r="W4335">
        <v>0</v>
      </c>
      <c r="X4335">
        <v>2</v>
      </c>
      <c r="Z4335">
        <v>0</v>
      </c>
      <c r="AA4335">
        <v>9</v>
      </c>
      <c r="AB4335">
        <v>3</v>
      </c>
      <c r="AC4335">
        <v>0</v>
      </c>
      <c r="AD4335">
        <v>10</v>
      </c>
      <c r="AE4335">
        <v>0</v>
      </c>
      <c r="AF4335">
        <v>3</v>
      </c>
      <c r="AG4335">
        <v>2</v>
      </c>
      <c r="AH4335">
        <v>0</v>
      </c>
      <c r="AI4335" t="s">
        <v>2369</v>
      </c>
      <c r="AJ4335">
        <v>40.162818000000001</v>
      </c>
      <c r="AK4335" t="s">
        <v>2416</v>
      </c>
      <c r="AL4335">
        <v>-93.182130000000001</v>
      </c>
      <c r="AM4335">
        <v>100</v>
      </c>
      <c r="AN4335">
        <v>1300</v>
      </c>
      <c r="AO4335" t="s">
        <v>118</v>
      </c>
      <c r="AP4335">
        <v>-130</v>
      </c>
      <c r="AQ4335">
        <v>-40</v>
      </c>
      <c r="AR4335">
        <v>0</v>
      </c>
      <c r="AZ4335">
        <v>1200</v>
      </c>
      <c r="BA4335">
        <v>1</v>
      </c>
      <c r="BB4335" t="str">
        <f t="shared" ref="BB4335:BB4398" si="216">"N8080G  "</f>
        <v xml:space="preserve">N8080G  </v>
      </c>
      <c r="BC4335">
        <v>1</v>
      </c>
      <c r="BE4335">
        <v>0</v>
      </c>
      <c r="BF4335">
        <v>0</v>
      </c>
      <c r="BG4335">
        <v>0</v>
      </c>
      <c r="BH4335">
        <v>1350</v>
      </c>
      <c r="BI4335">
        <v>1</v>
      </c>
      <c r="BJ4335">
        <v>1</v>
      </c>
      <c r="BK4335">
        <v>1</v>
      </c>
      <c r="BL4335">
        <v>0</v>
      </c>
      <c r="BO4335">
        <v>0</v>
      </c>
      <c r="BP4335">
        <v>0</v>
      </c>
      <c r="BW4335" t="str">
        <f>"20:38:29.780"</f>
        <v>20:38:29.780</v>
      </c>
      <c r="BZ4335">
        <v>0</v>
      </c>
      <c r="CA4335">
        <v>1600</v>
      </c>
      <c r="CB4335">
        <v>224</v>
      </c>
      <c r="CD4335">
        <v>1</v>
      </c>
      <c r="CE4335">
        <v>0</v>
      </c>
      <c r="CF4335">
        <v>0</v>
      </c>
      <c r="CG4335">
        <v>1</v>
      </c>
      <c r="CH4335">
        <v>0</v>
      </c>
      <c r="CI4335">
        <v>0</v>
      </c>
      <c r="CJ4335">
        <v>0</v>
      </c>
      <c r="CK4335">
        <v>2</v>
      </c>
      <c r="CL4335">
        <v>0</v>
      </c>
      <c r="CM4335">
        <v>2</v>
      </c>
      <c r="CN4335">
        <v>0</v>
      </c>
      <c r="CO4335">
        <v>2</v>
      </c>
      <c r="CP4335" t="s">
        <v>119</v>
      </c>
      <c r="CQ4335">
        <v>179</v>
      </c>
      <c r="CR4335">
        <v>2</v>
      </c>
      <c r="CW4335">
        <v>12678441</v>
      </c>
      <c r="CY4335">
        <v>0</v>
      </c>
      <c r="CZ4335">
        <v>0</v>
      </c>
      <c r="DA4335">
        <v>0</v>
      </c>
      <c r="DB4335">
        <v>0</v>
      </c>
      <c r="DC4335">
        <v>0</v>
      </c>
      <c r="DD4335">
        <v>0</v>
      </c>
      <c r="DE4335">
        <v>0</v>
      </c>
      <c r="DF4335">
        <v>0</v>
      </c>
      <c r="DG4335">
        <v>0</v>
      </c>
      <c r="DH4335">
        <v>0</v>
      </c>
      <c r="DI4335">
        <v>0</v>
      </c>
    </row>
    <row r="4336" spans="1:113" x14ac:dyDescent="0.3">
      <c r="A4336" t="str">
        <f>"02/08/2021 20:38:27.463"</f>
        <v>02/08/2021 20:38:27.463</v>
      </c>
      <c r="C4336" t="str">
        <f t="shared" si="215"/>
        <v>FFDFD7C0</v>
      </c>
      <c r="D4336" t="s">
        <v>124</v>
      </c>
      <c r="E4336">
        <v>11</v>
      </c>
      <c r="F4336">
        <v>1011</v>
      </c>
      <c r="G4336" t="s">
        <v>590</v>
      </c>
      <c r="J4336" t="s">
        <v>125</v>
      </c>
      <c r="K4336">
        <v>0</v>
      </c>
      <c r="L4336">
        <v>3</v>
      </c>
      <c r="M4336">
        <v>0</v>
      </c>
      <c r="N4336">
        <v>2</v>
      </c>
      <c r="O4336">
        <v>1</v>
      </c>
      <c r="P4336">
        <v>0</v>
      </c>
      <c r="Q4336">
        <v>0</v>
      </c>
      <c r="S4336" t="str">
        <f>"20:38:29.773"</f>
        <v>20:38:29.773</v>
      </c>
      <c r="T4336" t="str">
        <f>"20:38:29.373"</f>
        <v>20:38:29.373</v>
      </c>
      <c r="U4336" t="str">
        <f t="shared" si="214"/>
        <v>AB01F4</v>
      </c>
      <c r="V4336">
        <v>0</v>
      </c>
      <c r="W4336">
        <v>0</v>
      </c>
      <c r="X4336">
        <v>2</v>
      </c>
      <c r="Z4336">
        <v>0</v>
      </c>
      <c r="AA4336">
        <v>9</v>
      </c>
      <c r="AB4336">
        <v>3</v>
      </c>
      <c r="AC4336">
        <v>0</v>
      </c>
      <c r="AD4336">
        <v>10</v>
      </c>
      <c r="AE4336">
        <v>0</v>
      </c>
      <c r="AF4336">
        <v>3</v>
      </c>
      <c r="AG4336">
        <v>2</v>
      </c>
      <c r="AH4336">
        <v>0</v>
      </c>
      <c r="AI4336" t="s">
        <v>2369</v>
      </c>
      <c r="AJ4336">
        <v>40.162818000000001</v>
      </c>
      <c r="AK4336" t="s">
        <v>2416</v>
      </c>
      <c r="AL4336">
        <v>-93.182130000000001</v>
      </c>
      <c r="AM4336">
        <v>100</v>
      </c>
      <c r="AN4336">
        <v>1300</v>
      </c>
      <c r="AO4336" t="s">
        <v>118</v>
      </c>
      <c r="AP4336">
        <v>-130</v>
      </c>
      <c r="AQ4336">
        <v>-40</v>
      </c>
      <c r="AR4336">
        <v>0</v>
      </c>
      <c r="AZ4336">
        <v>1200</v>
      </c>
      <c r="BA4336">
        <v>1</v>
      </c>
      <c r="BB4336" t="str">
        <f t="shared" si="216"/>
        <v xml:space="preserve">N8080G  </v>
      </c>
      <c r="BC4336">
        <v>1</v>
      </c>
      <c r="BE4336">
        <v>0</v>
      </c>
      <c r="BF4336">
        <v>0</v>
      </c>
      <c r="BG4336">
        <v>0</v>
      </c>
      <c r="BH4336">
        <v>1350</v>
      </c>
      <c r="BI4336">
        <v>1</v>
      </c>
      <c r="BJ4336">
        <v>1</v>
      </c>
      <c r="BK4336">
        <v>1</v>
      </c>
      <c r="BL4336">
        <v>0</v>
      </c>
      <c r="BO4336">
        <v>0</v>
      </c>
      <c r="BP4336">
        <v>0</v>
      </c>
      <c r="BW4336" t="str">
        <f>"20:38:29.780"</f>
        <v>20:38:29.780</v>
      </c>
      <c r="BZ4336">
        <v>0</v>
      </c>
      <c r="CA4336">
        <v>1600</v>
      </c>
      <c r="CB4336">
        <v>224</v>
      </c>
      <c r="CD4336">
        <v>1</v>
      </c>
      <c r="CE4336">
        <v>0</v>
      </c>
      <c r="CF4336">
        <v>0</v>
      </c>
      <c r="CG4336">
        <v>1</v>
      </c>
      <c r="CH4336">
        <v>0</v>
      </c>
      <c r="CI4336">
        <v>0</v>
      </c>
      <c r="CJ4336">
        <v>0</v>
      </c>
      <c r="CK4336">
        <v>2</v>
      </c>
      <c r="CL4336">
        <v>0</v>
      </c>
      <c r="CM4336">
        <v>2</v>
      </c>
      <c r="CN4336">
        <v>0</v>
      </c>
      <c r="CO4336">
        <v>2</v>
      </c>
      <c r="CP4336" t="s">
        <v>119</v>
      </c>
      <c r="CQ4336">
        <v>179</v>
      </c>
      <c r="CR4336">
        <v>2</v>
      </c>
      <c r="CW4336">
        <v>12678441</v>
      </c>
      <c r="CY4336">
        <v>0</v>
      </c>
      <c r="CZ4336">
        <v>0</v>
      </c>
      <c r="DA4336">
        <v>1</v>
      </c>
      <c r="DB4336">
        <v>0</v>
      </c>
      <c r="DC4336">
        <v>0</v>
      </c>
      <c r="DD4336">
        <v>0</v>
      </c>
      <c r="DE4336">
        <v>0</v>
      </c>
      <c r="DF4336">
        <v>0</v>
      </c>
      <c r="DG4336">
        <v>0</v>
      </c>
      <c r="DH4336">
        <v>0</v>
      </c>
      <c r="DI4336">
        <v>0</v>
      </c>
    </row>
    <row r="4337" spans="1:113" x14ac:dyDescent="0.3">
      <c r="A4337" t="str">
        <f>"02/08/2021 20:38:27.463"</f>
        <v>02/08/2021 20:38:27.463</v>
      </c>
      <c r="C4337" t="str">
        <f t="shared" si="215"/>
        <v>FFDFD7C0</v>
      </c>
      <c r="D4337" t="s">
        <v>124</v>
      </c>
      <c r="E4337">
        <v>13</v>
      </c>
      <c r="F4337">
        <v>1013</v>
      </c>
      <c r="G4337" t="s">
        <v>114</v>
      </c>
      <c r="J4337" t="s">
        <v>125</v>
      </c>
      <c r="K4337">
        <v>0</v>
      </c>
      <c r="L4337">
        <v>3</v>
      </c>
      <c r="M4337">
        <v>0</v>
      </c>
      <c r="N4337">
        <v>2</v>
      </c>
      <c r="O4337">
        <v>1</v>
      </c>
      <c r="P4337">
        <v>0</v>
      </c>
      <c r="Q4337">
        <v>0</v>
      </c>
      <c r="S4337" t="str">
        <f>"20:38:29.773"</f>
        <v>20:38:29.773</v>
      </c>
      <c r="T4337" t="str">
        <f>"20:38:29.373"</f>
        <v>20:38:29.373</v>
      </c>
      <c r="U4337" t="str">
        <f t="shared" si="214"/>
        <v>AB01F4</v>
      </c>
      <c r="V4337">
        <v>0</v>
      </c>
      <c r="W4337">
        <v>0</v>
      </c>
      <c r="X4337">
        <v>2</v>
      </c>
      <c r="Z4337">
        <v>0</v>
      </c>
      <c r="AA4337">
        <v>9</v>
      </c>
      <c r="AB4337">
        <v>3</v>
      </c>
      <c r="AC4337">
        <v>0</v>
      </c>
      <c r="AD4337">
        <v>10</v>
      </c>
      <c r="AE4337">
        <v>0</v>
      </c>
      <c r="AF4337">
        <v>3</v>
      </c>
      <c r="AG4337">
        <v>2</v>
      </c>
      <c r="AH4337">
        <v>0</v>
      </c>
      <c r="AI4337" t="s">
        <v>2369</v>
      </c>
      <c r="AJ4337">
        <v>40.162818000000001</v>
      </c>
      <c r="AK4337" t="s">
        <v>2416</v>
      </c>
      <c r="AL4337">
        <v>-93.182130000000001</v>
      </c>
      <c r="AM4337">
        <v>100</v>
      </c>
      <c r="AN4337">
        <v>1300</v>
      </c>
      <c r="AO4337" t="s">
        <v>118</v>
      </c>
      <c r="AP4337">
        <v>-130</v>
      </c>
      <c r="AQ4337">
        <v>-40</v>
      </c>
      <c r="AR4337">
        <v>0</v>
      </c>
      <c r="AZ4337">
        <v>1200</v>
      </c>
      <c r="BA4337">
        <v>1</v>
      </c>
      <c r="BB4337" t="str">
        <f t="shared" si="216"/>
        <v xml:space="preserve">N8080G  </v>
      </c>
      <c r="BC4337">
        <v>1</v>
      </c>
      <c r="BE4337">
        <v>0</v>
      </c>
      <c r="BF4337">
        <v>0</v>
      </c>
      <c r="BG4337">
        <v>0</v>
      </c>
      <c r="BH4337">
        <v>1350</v>
      </c>
      <c r="BI4337">
        <v>1</v>
      </c>
      <c r="BJ4337">
        <v>1</v>
      </c>
      <c r="BK4337">
        <v>1</v>
      </c>
      <c r="BL4337">
        <v>0</v>
      </c>
      <c r="BO4337">
        <v>0</v>
      </c>
      <c r="BP4337">
        <v>0</v>
      </c>
      <c r="BW4337" t="str">
        <f>"20:38:29.780"</f>
        <v>20:38:29.780</v>
      </c>
      <c r="BZ4337">
        <v>0</v>
      </c>
      <c r="CA4337">
        <v>1600</v>
      </c>
      <c r="CB4337">
        <v>224</v>
      </c>
      <c r="CD4337">
        <v>1</v>
      </c>
      <c r="CE4337">
        <v>0</v>
      </c>
      <c r="CF4337">
        <v>0</v>
      </c>
      <c r="CG4337">
        <v>1</v>
      </c>
      <c r="CH4337">
        <v>0</v>
      </c>
      <c r="CI4337">
        <v>0</v>
      </c>
      <c r="CJ4337">
        <v>0</v>
      </c>
      <c r="CK4337">
        <v>2</v>
      </c>
      <c r="CL4337">
        <v>0</v>
      </c>
      <c r="CM4337">
        <v>2</v>
      </c>
      <c r="CN4337">
        <v>0</v>
      </c>
      <c r="CO4337">
        <v>2</v>
      </c>
      <c r="CP4337" t="s">
        <v>119</v>
      </c>
      <c r="CQ4337">
        <v>179</v>
      </c>
      <c r="CR4337">
        <v>2</v>
      </c>
      <c r="CW4337">
        <v>12678441</v>
      </c>
      <c r="CY4337">
        <v>0</v>
      </c>
      <c r="CZ4337">
        <v>0</v>
      </c>
      <c r="DA4337">
        <v>1</v>
      </c>
      <c r="DB4337">
        <v>0</v>
      </c>
      <c r="DC4337">
        <v>0</v>
      </c>
      <c r="DD4337">
        <v>0</v>
      </c>
      <c r="DE4337">
        <v>0</v>
      </c>
      <c r="DF4337">
        <v>0</v>
      </c>
      <c r="DG4337">
        <v>0</v>
      </c>
      <c r="DH4337">
        <v>0</v>
      </c>
      <c r="DI4337">
        <v>0</v>
      </c>
    </row>
    <row r="4338" spans="1:113" x14ac:dyDescent="0.3">
      <c r="A4338" t="str">
        <f>"02/08/2021 20:38:27.463"</f>
        <v>02/08/2021 20:38:27.463</v>
      </c>
      <c r="C4338" t="str">
        <f t="shared" si="215"/>
        <v>FFDFD7C0</v>
      </c>
      <c r="D4338" t="s">
        <v>113</v>
      </c>
      <c r="E4338">
        <v>6</v>
      </c>
      <c r="H4338">
        <v>165</v>
      </c>
      <c r="I4338" t="s">
        <v>114</v>
      </c>
      <c r="J4338" t="s">
        <v>115</v>
      </c>
      <c r="K4338">
        <v>0</v>
      </c>
      <c r="L4338">
        <v>3</v>
      </c>
      <c r="M4338">
        <v>0</v>
      </c>
      <c r="N4338">
        <v>2</v>
      </c>
      <c r="O4338">
        <v>1</v>
      </c>
      <c r="P4338">
        <v>0</v>
      </c>
      <c r="Q4338">
        <v>0</v>
      </c>
      <c r="S4338" t="str">
        <f>"20:38:29.773"</f>
        <v>20:38:29.773</v>
      </c>
      <c r="T4338" t="str">
        <f>"20:38:29.373"</f>
        <v>20:38:29.373</v>
      </c>
      <c r="U4338" t="str">
        <f t="shared" si="214"/>
        <v>AB01F4</v>
      </c>
      <c r="V4338">
        <v>0</v>
      </c>
      <c r="W4338">
        <v>0</v>
      </c>
      <c r="X4338">
        <v>2</v>
      </c>
      <c r="Z4338">
        <v>0</v>
      </c>
      <c r="AA4338">
        <v>9</v>
      </c>
      <c r="AB4338">
        <v>3</v>
      </c>
      <c r="AC4338">
        <v>0</v>
      </c>
      <c r="AD4338">
        <v>10</v>
      </c>
      <c r="AE4338">
        <v>0</v>
      </c>
      <c r="AF4338">
        <v>3</v>
      </c>
      <c r="AG4338">
        <v>2</v>
      </c>
      <c r="AH4338">
        <v>0</v>
      </c>
      <c r="AI4338" t="s">
        <v>2369</v>
      </c>
      <c r="AJ4338">
        <v>40.162818000000001</v>
      </c>
      <c r="AK4338" t="s">
        <v>2416</v>
      </c>
      <c r="AL4338">
        <v>-93.182130000000001</v>
      </c>
      <c r="AM4338">
        <v>100</v>
      </c>
      <c r="AN4338">
        <v>1300</v>
      </c>
      <c r="AO4338" t="s">
        <v>118</v>
      </c>
      <c r="AP4338">
        <v>-130</v>
      </c>
      <c r="AQ4338">
        <v>-40</v>
      </c>
      <c r="AR4338">
        <v>0</v>
      </c>
      <c r="AZ4338">
        <v>1200</v>
      </c>
      <c r="BA4338">
        <v>1</v>
      </c>
      <c r="BB4338" t="str">
        <f t="shared" si="216"/>
        <v xml:space="preserve">N8080G  </v>
      </c>
      <c r="BC4338">
        <v>1</v>
      </c>
      <c r="BE4338">
        <v>0</v>
      </c>
      <c r="BF4338">
        <v>0</v>
      </c>
      <c r="BG4338">
        <v>0</v>
      </c>
      <c r="BH4338">
        <v>1350</v>
      </c>
      <c r="BI4338">
        <v>1</v>
      </c>
      <c r="BJ4338">
        <v>1</v>
      </c>
      <c r="BK4338">
        <v>1</v>
      </c>
      <c r="BL4338">
        <v>0</v>
      </c>
      <c r="BO4338">
        <v>0</v>
      </c>
      <c r="BP4338">
        <v>0</v>
      </c>
      <c r="BW4338" t="str">
        <f>"20:38:29.780"</f>
        <v>20:38:29.780</v>
      </c>
      <c r="BZ4338">
        <v>0</v>
      </c>
      <c r="CA4338">
        <v>1600</v>
      </c>
      <c r="CB4338">
        <v>224</v>
      </c>
      <c r="CD4338">
        <v>1</v>
      </c>
      <c r="CE4338">
        <v>0</v>
      </c>
      <c r="CF4338">
        <v>0</v>
      </c>
      <c r="CG4338">
        <v>1</v>
      </c>
      <c r="CH4338">
        <v>0</v>
      </c>
      <c r="CI4338">
        <v>0</v>
      </c>
      <c r="CJ4338">
        <v>0</v>
      </c>
      <c r="CK4338">
        <v>2</v>
      </c>
      <c r="CL4338">
        <v>0</v>
      </c>
      <c r="CM4338">
        <v>2</v>
      </c>
      <c r="CN4338">
        <v>0</v>
      </c>
      <c r="CO4338">
        <v>2</v>
      </c>
      <c r="CP4338" t="s">
        <v>119</v>
      </c>
      <c r="CQ4338">
        <v>179</v>
      </c>
      <c r="CR4338">
        <v>2</v>
      </c>
      <c r="CW4338">
        <v>12678441</v>
      </c>
      <c r="CY4338">
        <v>0</v>
      </c>
      <c r="CZ4338">
        <v>0</v>
      </c>
      <c r="DA4338">
        <v>1</v>
      </c>
      <c r="DB4338">
        <v>0</v>
      </c>
      <c r="DC4338">
        <v>0</v>
      </c>
      <c r="DD4338">
        <v>0</v>
      </c>
      <c r="DE4338">
        <v>0</v>
      </c>
      <c r="DF4338">
        <v>0</v>
      </c>
      <c r="DG4338">
        <v>0</v>
      </c>
      <c r="DH4338">
        <v>0</v>
      </c>
      <c r="DI4338">
        <v>0</v>
      </c>
    </row>
    <row r="4339" spans="1:113" x14ac:dyDescent="0.3">
      <c r="A4339" t="str">
        <f>"02/08/2021 20:38:28.570"</f>
        <v>02/08/2021 20:38:28.570</v>
      </c>
      <c r="C4339" t="str">
        <f t="shared" si="215"/>
        <v>FFDFD7C0</v>
      </c>
      <c r="D4339" t="s">
        <v>124</v>
      </c>
      <c r="E4339">
        <v>12</v>
      </c>
      <c r="F4339">
        <v>1012</v>
      </c>
      <c r="G4339" t="s">
        <v>675</v>
      </c>
      <c r="J4339" t="s">
        <v>125</v>
      </c>
      <c r="K4339">
        <v>0</v>
      </c>
      <c r="L4339">
        <v>3</v>
      </c>
      <c r="M4339">
        <v>0</v>
      </c>
      <c r="N4339">
        <v>2</v>
      </c>
      <c r="O4339">
        <v>1</v>
      </c>
      <c r="P4339">
        <v>0</v>
      </c>
      <c r="Q4339">
        <v>0</v>
      </c>
      <c r="S4339" t="str">
        <f>"20:38:30.891"</f>
        <v>20:38:30.891</v>
      </c>
      <c r="T4339" t="str">
        <f>"20:38:29.791"</f>
        <v>20:38:29.791</v>
      </c>
      <c r="U4339" t="str">
        <f t="shared" si="214"/>
        <v>AB01F4</v>
      </c>
      <c r="V4339">
        <v>0</v>
      </c>
      <c r="W4339">
        <v>0</v>
      </c>
      <c r="X4339">
        <v>2</v>
      </c>
      <c r="Z4339">
        <v>0</v>
      </c>
      <c r="AA4339">
        <v>9</v>
      </c>
      <c r="AB4339">
        <v>3</v>
      </c>
      <c r="AC4339">
        <v>0</v>
      </c>
      <c r="AD4339">
        <v>10</v>
      </c>
      <c r="AE4339">
        <v>0</v>
      </c>
      <c r="AF4339">
        <v>3</v>
      </c>
      <c r="AG4339">
        <v>2</v>
      </c>
      <c r="AH4339">
        <v>0</v>
      </c>
      <c r="AI4339" t="s">
        <v>2417</v>
      </c>
      <c r="AJ4339">
        <v>40.162624999999998</v>
      </c>
      <c r="AK4339" t="s">
        <v>2418</v>
      </c>
      <c r="AL4339">
        <v>-93.182967000000005</v>
      </c>
      <c r="AM4339">
        <v>100</v>
      </c>
      <c r="AN4339">
        <v>1300</v>
      </c>
      <c r="AO4339" t="s">
        <v>118</v>
      </c>
      <c r="AP4339">
        <v>-130</v>
      </c>
      <c r="AQ4339">
        <v>-39</v>
      </c>
      <c r="AR4339">
        <v>0</v>
      </c>
      <c r="AZ4339">
        <v>1200</v>
      </c>
      <c r="BA4339">
        <v>1</v>
      </c>
      <c r="BB4339" t="str">
        <f t="shared" si="216"/>
        <v xml:space="preserve">N8080G  </v>
      </c>
      <c r="BC4339">
        <v>1</v>
      </c>
      <c r="BE4339">
        <v>0</v>
      </c>
      <c r="BF4339">
        <v>0</v>
      </c>
      <c r="BG4339">
        <v>0</v>
      </c>
      <c r="BH4339">
        <v>1350</v>
      </c>
      <c r="BI4339">
        <v>1</v>
      </c>
      <c r="BJ4339">
        <v>1</v>
      </c>
      <c r="BK4339">
        <v>1</v>
      </c>
      <c r="BL4339">
        <v>0</v>
      </c>
      <c r="BO4339">
        <v>0</v>
      </c>
      <c r="BP4339">
        <v>0</v>
      </c>
      <c r="BW4339" t="str">
        <f>"20:38:30.893"</f>
        <v>20:38:30.893</v>
      </c>
      <c r="BZ4339">
        <v>0</v>
      </c>
      <c r="CA4339">
        <v>1600</v>
      </c>
      <c r="CB4339">
        <v>224</v>
      </c>
      <c r="CD4339">
        <v>1</v>
      </c>
      <c r="CE4339">
        <v>0</v>
      </c>
      <c r="CF4339">
        <v>0</v>
      </c>
      <c r="CG4339">
        <v>1</v>
      </c>
      <c r="CH4339">
        <v>0</v>
      </c>
      <c r="CI4339">
        <v>0</v>
      </c>
      <c r="CJ4339">
        <v>0</v>
      </c>
      <c r="CK4339">
        <v>2</v>
      </c>
      <c r="CL4339">
        <v>0</v>
      </c>
      <c r="CM4339">
        <v>2</v>
      </c>
      <c r="CN4339">
        <v>0</v>
      </c>
      <c r="CO4339">
        <v>1</v>
      </c>
      <c r="CP4339" t="s">
        <v>119</v>
      </c>
      <c r="CQ4339">
        <v>179</v>
      </c>
      <c r="CR4339">
        <v>2</v>
      </c>
      <c r="CW4339">
        <v>12679349</v>
      </c>
      <c r="CY4339">
        <v>0</v>
      </c>
      <c r="CZ4339">
        <v>0</v>
      </c>
      <c r="DA4339">
        <v>0</v>
      </c>
      <c r="DB4339">
        <v>0</v>
      </c>
      <c r="DC4339">
        <v>0</v>
      </c>
      <c r="DD4339">
        <v>0</v>
      </c>
      <c r="DE4339">
        <v>0</v>
      </c>
      <c r="DF4339">
        <v>0</v>
      </c>
      <c r="DG4339">
        <v>0</v>
      </c>
      <c r="DH4339">
        <v>0</v>
      </c>
      <c r="DI4339">
        <v>0</v>
      </c>
    </row>
    <row r="4340" spans="1:113" x14ac:dyDescent="0.3">
      <c r="A4340" t="str">
        <f>"02/08/2021 20:38:28.570"</f>
        <v>02/08/2021 20:38:28.570</v>
      </c>
      <c r="C4340" t="str">
        <f t="shared" si="215"/>
        <v>FFDFD7C0</v>
      </c>
      <c r="D4340" t="s">
        <v>124</v>
      </c>
      <c r="E4340">
        <v>11</v>
      </c>
      <c r="F4340">
        <v>1011</v>
      </c>
      <c r="G4340" t="s">
        <v>590</v>
      </c>
      <c r="J4340" t="s">
        <v>125</v>
      </c>
      <c r="K4340">
        <v>0</v>
      </c>
      <c r="L4340">
        <v>3</v>
      </c>
      <c r="M4340">
        <v>0</v>
      </c>
      <c r="N4340">
        <v>2</v>
      </c>
      <c r="O4340">
        <v>1</v>
      </c>
      <c r="P4340">
        <v>0</v>
      </c>
      <c r="Q4340">
        <v>0</v>
      </c>
      <c r="S4340" t="str">
        <f>"20:38:30.891"</f>
        <v>20:38:30.891</v>
      </c>
      <c r="T4340" t="str">
        <f>"20:38:29.791"</f>
        <v>20:38:29.791</v>
      </c>
      <c r="U4340" t="str">
        <f t="shared" si="214"/>
        <v>AB01F4</v>
      </c>
      <c r="V4340">
        <v>0</v>
      </c>
      <c r="W4340">
        <v>0</v>
      </c>
      <c r="X4340">
        <v>2</v>
      </c>
      <c r="Z4340">
        <v>0</v>
      </c>
      <c r="AA4340">
        <v>9</v>
      </c>
      <c r="AB4340">
        <v>3</v>
      </c>
      <c r="AC4340">
        <v>0</v>
      </c>
      <c r="AD4340">
        <v>10</v>
      </c>
      <c r="AE4340">
        <v>0</v>
      </c>
      <c r="AF4340">
        <v>3</v>
      </c>
      <c r="AG4340">
        <v>2</v>
      </c>
      <c r="AH4340">
        <v>0</v>
      </c>
      <c r="AI4340" t="s">
        <v>2417</v>
      </c>
      <c r="AJ4340">
        <v>40.162624999999998</v>
      </c>
      <c r="AK4340" t="s">
        <v>2418</v>
      </c>
      <c r="AL4340">
        <v>-93.182967000000005</v>
      </c>
      <c r="AM4340">
        <v>100</v>
      </c>
      <c r="AN4340">
        <v>1300</v>
      </c>
      <c r="AO4340" t="s">
        <v>118</v>
      </c>
      <c r="AP4340">
        <v>-130</v>
      </c>
      <c r="AQ4340">
        <v>-39</v>
      </c>
      <c r="AR4340">
        <v>0</v>
      </c>
      <c r="AZ4340">
        <v>1200</v>
      </c>
      <c r="BA4340">
        <v>1</v>
      </c>
      <c r="BB4340" t="str">
        <f t="shared" si="216"/>
        <v xml:space="preserve">N8080G  </v>
      </c>
      <c r="BC4340">
        <v>1</v>
      </c>
      <c r="BE4340">
        <v>0</v>
      </c>
      <c r="BF4340">
        <v>0</v>
      </c>
      <c r="BG4340">
        <v>0</v>
      </c>
      <c r="BH4340">
        <v>1350</v>
      </c>
      <c r="BI4340">
        <v>1</v>
      </c>
      <c r="BJ4340">
        <v>1</v>
      </c>
      <c r="BK4340">
        <v>1</v>
      </c>
      <c r="BL4340">
        <v>0</v>
      </c>
      <c r="BO4340">
        <v>0</v>
      </c>
      <c r="BP4340">
        <v>0</v>
      </c>
      <c r="BW4340" t="str">
        <f>"20:38:30.893"</f>
        <v>20:38:30.893</v>
      </c>
      <c r="BZ4340">
        <v>0</v>
      </c>
      <c r="CA4340">
        <v>1600</v>
      </c>
      <c r="CB4340">
        <v>224</v>
      </c>
      <c r="CD4340">
        <v>1</v>
      </c>
      <c r="CE4340">
        <v>0</v>
      </c>
      <c r="CF4340">
        <v>0</v>
      </c>
      <c r="CG4340">
        <v>1</v>
      </c>
      <c r="CH4340">
        <v>0</v>
      </c>
      <c r="CI4340">
        <v>0</v>
      </c>
      <c r="CJ4340">
        <v>0</v>
      </c>
      <c r="CK4340">
        <v>2</v>
      </c>
      <c r="CL4340">
        <v>0</v>
      </c>
      <c r="CM4340">
        <v>2</v>
      </c>
      <c r="CN4340">
        <v>0</v>
      </c>
      <c r="CO4340">
        <v>1</v>
      </c>
      <c r="CP4340" t="s">
        <v>119</v>
      </c>
      <c r="CQ4340">
        <v>179</v>
      </c>
      <c r="CR4340">
        <v>2</v>
      </c>
      <c r="CW4340">
        <v>12679349</v>
      </c>
      <c r="CY4340">
        <v>0</v>
      </c>
      <c r="CZ4340">
        <v>0</v>
      </c>
      <c r="DA4340">
        <v>1</v>
      </c>
      <c r="DB4340">
        <v>0</v>
      </c>
      <c r="DC4340">
        <v>0</v>
      </c>
      <c r="DD4340">
        <v>0</v>
      </c>
      <c r="DE4340">
        <v>0</v>
      </c>
      <c r="DF4340">
        <v>0</v>
      </c>
      <c r="DG4340">
        <v>0</v>
      </c>
      <c r="DH4340">
        <v>0</v>
      </c>
      <c r="DI4340">
        <v>0</v>
      </c>
    </row>
    <row r="4341" spans="1:113" x14ac:dyDescent="0.3">
      <c r="A4341" t="str">
        <f>"02/08/2021 20:38:28.570"</f>
        <v>02/08/2021 20:38:28.570</v>
      </c>
      <c r="C4341" t="str">
        <f t="shared" si="215"/>
        <v>FFDFD7C0</v>
      </c>
      <c r="D4341" t="s">
        <v>124</v>
      </c>
      <c r="E4341">
        <v>13</v>
      </c>
      <c r="F4341">
        <v>1013</v>
      </c>
      <c r="G4341" t="s">
        <v>114</v>
      </c>
      <c r="J4341" t="s">
        <v>125</v>
      </c>
      <c r="K4341">
        <v>0</v>
      </c>
      <c r="L4341">
        <v>3</v>
      </c>
      <c r="M4341">
        <v>0</v>
      </c>
      <c r="N4341">
        <v>2</v>
      </c>
      <c r="O4341">
        <v>1</v>
      </c>
      <c r="P4341">
        <v>0</v>
      </c>
      <c r="Q4341">
        <v>0</v>
      </c>
      <c r="S4341" t="str">
        <f>"20:38:30.891"</f>
        <v>20:38:30.891</v>
      </c>
      <c r="T4341" t="str">
        <f>"20:38:29.791"</f>
        <v>20:38:29.791</v>
      </c>
      <c r="U4341" t="str">
        <f t="shared" si="214"/>
        <v>AB01F4</v>
      </c>
      <c r="V4341">
        <v>0</v>
      </c>
      <c r="W4341">
        <v>0</v>
      </c>
      <c r="X4341">
        <v>2</v>
      </c>
      <c r="Z4341">
        <v>0</v>
      </c>
      <c r="AA4341">
        <v>9</v>
      </c>
      <c r="AB4341">
        <v>3</v>
      </c>
      <c r="AC4341">
        <v>0</v>
      </c>
      <c r="AD4341">
        <v>10</v>
      </c>
      <c r="AE4341">
        <v>0</v>
      </c>
      <c r="AF4341">
        <v>3</v>
      </c>
      <c r="AG4341">
        <v>2</v>
      </c>
      <c r="AH4341">
        <v>0</v>
      </c>
      <c r="AI4341" t="s">
        <v>2417</v>
      </c>
      <c r="AJ4341">
        <v>40.162624999999998</v>
      </c>
      <c r="AK4341" t="s">
        <v>2418</v>
      </c>
      <c r="AL4341">
        <v>-93.182967000000005</v>
      </c>
      <c r="AM4341">
        <v>100</v>
      </c>
      <c r="AN4341">
        <v>1300</v>
      </c>
      <c r="AO4341" t="s">
        <v>118</v>
      </c>
      <c r="AP4341">
        <v>-130</v>
      </c>
      <c r="AQ4341">
        <v>-39</v>
      </c>
      <c r="AR4341">
        <v>0</v>
      </c>
      <c r="AZ4341">
        <v>1200</v>
      </c>
      <c r="BA4341">
        <v>1</v>
      </c>
      <c r="BB4341" t="str">
        <f t="shared" si="216"/>
        <v xml:space="preserve">N8080G  </v>
      </c>
      <c r="BC4341">
        <v>1</v>
      </c>
      <c r="BE4341">
        <v>0</v>
      </c>
      <c r="BF4341">
        <v>0</v>
      </c>
      <c r="BG4341">
        <v>0</v>
      </c>
      <c r="BH4341">
        <v>1350</v>
      </c>
      <c r="BI4341">
        <v>1</v>
      </c>
      <c r="BJ4341">
        <v>1</v>
      </c>
      <c r="BK4341">
        <v>1</v>
      </c>
      <c r="BL4341">
        <v>0</v>
      </c>
      <c r="BO4341">
        <v>0</v>
      </c>
      <c r="BP4341">
        <v>0</v>
      </c>
      <c r="BW4341" t="str">
        <f>"20:38:30.893"</f>
        <v>20:38:30.893</v>
      </c>
      <c r="BZ4341">
        <v>0</v>
      </c>
      <c r="CA4341">
        <v>1600</v>
      </c>
      <c r="CB4341">
        <v>224</v>
      </c>
      <c r="CD4341">
        <v>1</v>
      </c>
      <c r="CE4341">
        <v>0</v>
      </c>
      <c r="CF4341">
        <v>0</v>
      </c>
      <c r="CG4341">
        <v>1</v>
      </c>
      <c r="CH4341">
        <v>0</v>
      </c>
      <c r="CI4341">
        <v>0</v>
      </c>
      <c r="CJ4341">
        <v>0</v>
      </c>
      <c r="CK4341">
        <v>2</v>
      </c>
      <c r="CL4341">
        <v>0</v>
      </c>
      <c r="CM4341">
        <v>2</v>
      </c>
      <c r="CN4341">
        <v>0</v>
      </c>
      <c r="CO4341">
        <v>1</v>
      </c>
      <c r="CP4341" t="s">
        <v>119</v>
      </c>
      <c r="CQ4341">
        <v>179</v>
      </c>
      <c r="CR4341">
        <v>2</v>
      </c>
      <c r="CW4341">
        <v>12679349</v>
      </c>
      <c r="CY4341">
        <v>0</v>
      </c>
      <c r="CZ4341">
        <v>0</v>
      </c>
      <c r="DA4341">
        <v>1</v>
      </c>
      <c r="DB4341">
        <v>0</v>
      </c>
      <c r="DC4341">
        <v>0</v>
      </c>
      <c r="DD4341">
        <v>0</v>
      </c>
      <c r="DE4341">
        <v>0</v>
      </c>
      <c r="DF4341">
        <v>0</v>
      </c>
      <c r="DG4341">
        <v>0</v>
      </c>
      <c r="DH4341">
        <v>0</v>
      </c>
      <c r="DI4341">
        <v>0</v>
      </c>
    </row>
    <row r="4342" spans="1:113" x14ac:dyDescent="0.3">
      <c r="A4342" t="str">
        <f>"02/08/2021 20:38:28.570"</f>
        <v>02/08/2021 20:38:28.570</v>
      </c>
      <c r="C4342" t="str">
        <f t="shared" si="215"/>
        <v>FFDFD7C0</v>
      </c>
      <c r="D4342" t="s">
        <v>113</v>
      </c>
      <c r="E4342">
        <v>6</v>
      </c>
      <c r="H4342">
        <v>165</v>
      </c>
      <c r="I4342" t="s">
        <v>114</v>
      </c>
      <c r="J4342" t="s">
        <v>115</v>
      </c>
      <c r="K4342">
        <v>0</v>
      </c>
      <c r="L4342">
        <v>3</v>
      </c>
      <c r="M4342">
        <v>0</v>
      </c>
      <c r="N4342">
        <v>2</v>
      </c>
      <c r="O4342">
        <v>1</v>
      </c>
      <c r="P4342">
        <v>0</v>
      </c>
      <c r="Q4342">
        <v>0</v>
      </c>
      <c r="S4342" t="str">
        <f>"20:38:30.891"</f>
        <v>20:38:30.891</v>
      </c>
      <c r="T4342" t="str">
        <f>"20:38:29.791"</f>
        <v>20:38:29.791</v>
      </c>
      <c r="U4342" t="str">
        <f t="shared" si="214"/>
        <v>AB01F4</v>
      </c>
      <c r="V4342">
        <v>0</v>
      </c>
      <c r="W4342">
        <v>0</v>
      </c>
      <c r="X4342">
        <v>2</v>
      </c>
      <c r="Z4342">
        <v>0</v>
      </c>
      <c r="AA4342">
        <v>9</v>
      </c>
      <c r="AB4342">
        <v>3</v>
      </c>
      <c r="AC4342">
        <v>0</v>
      </c>
      <c r="AD4342">
        <v>10</v>
      </c>
      <c r="AE4342">
        <v>0</v>
      </c>
      <c r="AF4342">
        <v>3</v>
      </c>
      <c r="AG4342">
        <v>2</v>
      </c>
      <c r="AH4342">
        <v>0</v>
      </c>
      <c r="AI4342" t="s">
        <v>2417</v>
      </c>
      <c r="AJ4342">
        <v>40.162624999999998</v>
      </c>
      <c r="AK4342" t="s">
        <v>2418</v>
      </c>
      <c r="AL4342">
        <v>-93.182967000000005</v>
      </c>
      <c r="AM4342">
        <v>100</v>
      </c>
      <c r="AN4342">
        <v>1300</v>
      </c>
      <c r="AO4342" t="s">
        <v>118</v>
      </c>
      <c r="AP4342">
        <v>-130</v>
      </c>
      <c r="AQ4342">
        <v>-39</v>
      </c>
      <c r="AR4342">
        <v>0</v>
      </c>
      <c r="AZ4342">
        <v>1200</v>
      </c>
      <c r="BA4342">
        <v>1</v>
      </c>
      <c r="BB4342" t="str">
        <f t="shared" si="216"/>
        <v xml:space="preserve">N8080G  </v>
      </c>
      <c r="BC4342">
        <v>1</v>
      </c>
      <c r="BE4342">
        <v>0</v>
      </c>
      <c r="BF4342">
        <v>0</v>
      </c>
      <c r="BG4342">
        <v>0</v>
      </c>
      <c r="BH4342">
        <v>1350</v>
      </c>
      <c r="BI4342">
        <v>1</v>
      </c>
      <c r="BJ4342">
        <v>1</v>
      </c>
      <c r="BK4342">
        <v>1</v>
      </c>
      <c r="BL4342">
        <v>0</v>
      </c>
      <c r="BO4342">
        <v>0</v>
      </c>
      <c r="BP4342">
        <v>0</v>
      </c>
      <c r="BW4342" t="str">
        <f>"20:38:30.893"</f>
        <v>20:38:30.893</v>
      </c>
      <c r="BZ4342">
        <v>0</v>
      </c>
      <c r="CA4342">
        <v>1600</v>
      </c>
      <c r="CB4342">
        <v>224</v>
      </c>
      <c r="CD4342">
        <v>1</v>
      </c>
      <c r="CE4342">
        <v>0</v>
      </c>
      <c r="CF4342">
        <v>0</v>
      </c>
      <c r="CG4342">
        <v>1</v>
      </c>
      <c r="CH4342">
        <v>0</v>
      </c>
      <c r="CI4342">
        <v>0</v>
      </c>
      <c r="CJ4342">
        <v>0</v>
      </c>
      <c r="CK4342">
        <v>2</v>
      </c>
      <c r="CL4342">
        <v>0</v>
      </c>
      <c r="CM4342">
        <v>2</v>
      </c>
      <c r="CN4342">
        <v>0</v>
      </c>
      <c r="CO4342">
        <v>1</v>
      </c>
      <c r="CP4342" t="s">
        <v>119</v>
      </c>
      <c r="CQ4342">
        <v>179</v>
      </c>
      <c r="CR4342">
        <v>2</v>
      </c>
      <c r="CW4342">
        <v>12679349</v>
      </c>
      <c r="CY4342">
        <v>0</v>
      </c>
      <c r="CZ4342">
        <v>0</v>
      </c>
      <c r="DA4342">
        <v>1</v>
      </c>
      <c r="DB4342">
        <v>0</v>
      </c>
      <c r="DC4342">
        <v>0</v>
      </c>
      <c r="DD4342">
        <v>0</v>
      </c>
      <c r="DE4342">
        <v>0</v>
      </c>
      <c r="DF4342">
        <v>0</v>
      </c>
      <c r="DG4342">
        <v>0</v>
      </c>
      <c r="DH4342">
        <v>0</v>
      </c>
      <c r="DI4342">
        <v>0</v>
      </c>
    </row>
    <row r="4343" spans="1:113" x14ac:dyDescent="0.3">
      <c r="A4343" t="str">
        <f>"02/08/2021 20:38:29.506"</f>
        <v>02/08/2021 20:38:29.506</v>
      </c>
      <c r="C4343" t="str">
        <f t="shared" si="215"/>
        <v>FFDFD7C0</v>
      </c>
      <c r="D4343" t="s">
        <v>124</v>
      </c>
      <c r="E4343">
        <v>13</v>
      </c>
      <c r="F4343">
        <v>1013</v>
      </c>
      <c r="G4343" t="s">
        <v>114</v>
      </c>
      <c r="J4343" t="s">
        <v>125</v>
      </c>
      <c r="K4343">
        <v>0</v>
      </c>
      <c r="L4343">
        <v>3</v>
      </c>
      <c r="M4343">
        <v>0</v>
      </c>
      <c r="N4343">
        <v>2</v>
      </c>
      <c r="O4343">
        <v>1</v>
      </c>
      <c r="P4343">
        <v>0</v>
      </c>
      <c r="Q4343">
        <v>0</v>
      </c>
      <c r="S4343" t="str">
        <f>"20:38:31.820"</f>
        <v>20:38:31.820</v>
      </c>
      <c r="T4343" t="str">
        <f>"20:38:31.420"</f>
        <v>20:38:31.420</v>
      </c>
      <c r="U4343" t="str">
        <f t="shared" si="214"/>
        <v>AB01F4</v>
      </c>
      <c r="V4343">
        <v>0</v>
      </c>
      <c r="W4343">
        <v>0</v>
      </c>
      <c r="X4343">
        <v>2</v>
      </c>
      <c r="Z4343">
        <v>0</v>
      </c>
      <c r="AA4343">
        <v>9</v>
      </c>
      <c r="AB4343">
        <v>3</v>
      </c>
      <c r="AC4343">
        <v>0</v>
      </c>
      <c r="AD4343">
        <v>10</v>
      </c>
      <c r="AE4343">
        <v>0</v>
      </c>
      <c r="AF4343">
        <v>3</v>
      </c>
      <c r="AG4343">
        <v>2</v>
      </c>
      <c r="AH4343">
        <v>0</v>
      </c>
      <c r="AI4343" t="s">
        <v>2367</v>
      </c>
      <c r="AJ4343">
        <v>40.162497000000002</v>
      </c>
      <c r="AK4343" t="s">
        <v>2419</v>
      </c>
      <c r="AL4343">
        <v>-93.183653000000007</v>
      </c>
      <c r="AM4343">
        <v>100</v>
      </c>
      <c r="AN4343">
        <v>1300</v>
      </c>
      <c r="AO4343" t="s">
        <v>118</v>
      </c>
      <c r="AP4343">
        <v>-130</v>
      </c>
      <c r="AQ4343">
        <v>-39</v>
      </c>
      <c r="AR4343">
        <v>-128</v>
      </c>
      <c r="AZ4343">
        <v>1200</v>
      </c>
      <c r="BA4343">
        <v>1</v>
      </c>
      <c r="BB4343" t="str">
        <f t="shared" si="216"/>
        <v xml:space="preserve">N8080G  </v>
      </c>
      <c r="BC4343">
        <v>1</v>
      </c>
      <c r="BE4343">
        <v>0</v>
      </c>
      <c r="BF4343">
        <v>0</v>
      </c>
      <c r="BG4343">
        <v>0</v>
      </c>
      <c r="BH4343">
        <v>1350</v>
      </c>
      <c r="BI4343">
        <v>1</v>
      </c>
      <c r="BJ4343">
        <v>1</v>
      </c>
      <c r="BK4343">
        <v>1</v>
      </c>
      <c r="BL4343">
        <v>0</v>
      </c>
      <c r="BO4343">
        <v>0</v>
      </c>
      <c r="BP4343">
        <v>0</v>
      </c>
      <c r="BW4343" t="str">
        <f>"20:38:31.825"</f>
        <v>20:38:31.825</v>
      </c>
      <c r="BZ4343">
        <v>0</v>
      </c>
      <c r="CA4343">
        <v>1600</v>
      </c>
      <c r="CB4343">
        <v>224</v>
      </c>
      <c r="CD4343">
        <v>1</v>
      </c>
      <c r="CE4343">
        <v>0</v>
      </c>
      <c r="CF4343">
        <v>0</v>
      </c>
      <c r="CG4343">
        <v>1</v>
      </c>
      <c r="CH4343">
        <v>0</v>
      </c>
      <c r="CI4343">
        <v>0</v>
      </c>
      <c r="CJ4343">
        <v>0</v>
      </c>
      <c r="CK4343">
        <v>2</v>
      </c>
      <c r="CL4343">
        <v>0</v>
      </c>
      <c r="CM4343">
        <v>2</v>
      </c>
      <c r="CN4343">
        <v>0</v>
      </c>
      <c r="CO4343">
        <v>4</v>
      </c>
      <c r="CP4343" t="s">
        <v>119</v>
      </c>
      <c r="CQ4343">
        <v>180</v>
      </c>
      <c r="CR4343">
        <v>3</v>
      </c>
      <c r="CW4343">
        <v>1403702</v>
      </c>
      <c r="CY4343">
        <v>0</v>
      </c>
      <c r="CZ4343">
        <v>0</v>
      </c>
      <c r="DA4343">
        <v>0</v>
      </c>
      <c r="DB4343">
        <v>0</v>
      </c>
      <c r="DC4343">
        <v>0</v>
      </c>
      <c r="DD4343">
        <v>0</v>
      </c>
      <c r="DE4343">
        <v>0</v>
      </c>
      <c r="DF4343">
        <v>0</v>
      </c>
      <c r="DG4343">
        <v>0</v>
      </c>
      <c r="DH4343">
        <v>0</v>
      </c>
      <c r="DI4343">
        <v>0</v>
      </c>
    </row>
    <row r="4344" spans="1:113" x14ac:dyDescent="0.3">
      <c r="A4344" t="str">
        <f>"02/08/2021 20:38:29.506"</f>
        <v>02/08/2021 20:38:29.506</v>
      </c>
      <c r="C4344" t="str">
        <f t="shared" si="215"/>
        <v>FFDFD7C0</v>
      </c>
      <c r="D4344" t="s">
        <v>124</v>
      </c>
      <c r="E4344">
        <v>11</v>
      </c>
      <c r="F4344">
        <v>1011</v>
      </c>
      <c r="G4344" t="s">
        <v>590</v>
      </c>
      <c r="J4344" t="s">
        <v>125</v>
      </c>
      <c r="K4344">
        <v>0</v>
      </c>
      <c r="L4344">
        <v>3</v>
      </c>
      <c r="M4344">
        <v>0</v>
      </c>
      <c r="N4344">
        <v>2</v>
      </c>
      <c r="O4344">
        <v>1</v>
      </c>
      <c r="P4344">
        <v>0</v>
      </c>
      <c r="Q4344">
        <v>0</v>
      </c>
      <c r="S4344" t="str">
        <f>"20:38:31.820"</f>
        <v>20:38:31.820</v>
      </c>
      <c r="T4344" t="str">
        <f>"20:38:31.420"</f>
        <v>20:38:31.420</v>
      </c>
      <c r="U4344" t="str">
        <f t="shared" si="214"/>
        <v>AB01F4</v>
      </c>
      <c r="V4344">
        <v>0</v>
      </c>
      <c r="W4344">
        <v>0</v>
      </c>
      <c r="X4344">
        <v>2</v>
      </c>
      <c r="Z4344">
        <v>0</v>
      </c>
      <c r="AA4344">
        <v>9</v>
      </c>
      <c r="AB4344">
        <v>3</v>
      </c>
      <c r="AC4344">
        <v>0</v>
      </c>
      <c r="AD4344">
        <v>10</v>
      </c>
      <c r="AE4344">
        <v>0</v>
      </c>
      <c r="AF4344">
        <v>3</v>
      </c>
      <c r="AG4344">
        <v>2</v>
      </c>
      <c r="AH4344">
        <v>0</v>
      </c>
      <c r="AI4344" t="s">
        <v>2367</v>
      </c>
      <c r="AJ4344">
        <v>40.162497000000002</v>
      </c>
      <c r="AK4344" t="s">
        <v>2419</v>
      </c>
      <c r="AL4344">
        <v>-93.183653000000007</v>
      </c>
      <c r="AM4344">
        <v>100</v>
      </c>
      <c r="AN4344">
        <v>1300</v>
      </c>
      <c r="AO4344" t="s">
        <v>118</v>
      </c>
      <c r="AP4344">
        <v>-130</v>
      </c>
      <c r="AQ4344">
        <v>-39</v>
      </c>
      <c r="AR4344">
        <v>-128</v>
      </c>
      <c r="AZ4344">
        <v>1200</v>
      </c>
      <c r="BA4344">
        <v>1</v>
      </c>
      <c r="BB4344" t="str">
        <f t="shared" si="216"/>
        <v xml:space="preserve">N8080G  </v>
      </c>
      <c r="BC4344">
        <v>1</v>
      </c>
      <c r="BE4344">
        <v>0</v>
      </c>
      <c r="BF4344">
        <v>0</v>
      </c>
      <c r="BG4344">
        <v>0</v>
      </c>
      <c r="BH4344">
        <v>1350</v>
      </c>
      <c r="BI4344">
        <v>1</v>
      </c>
      <c r="BJ4344">
        <v>1</v>
      </c>
      <c r="BK4344">
        <v>1</v>
      </c>
      <c r="BL4344">
        <v>0</v>
      </c>
      <c r="BO4344">
        <v>0</v>
      </c>
      <c r="BP4344">
        <v>0</v>
      </c>
      <c r="BW4344" t="str">
        <f>"20:38:31.825"</f>
        <v>20:38:31.825</v>
      </c>
      <c r="BZ4344">
        <v>0</v>
      </c>
      <c r="CA4344">
        <v>1600</v>
      </c>
      <c r="CB4344">
        <v>224</v>
      </c>
      <c r="CD4344">
        <v>1</v>
      </c>
      <c r="CE4344">
        <v>0</v>
      </c>
      <c r="CF4344">
        <v>0</v>
      </c>
      <c r="CG4344">
        <v>1</v>
      </c>
      <c r="CH4344">
        <v>0</v>
      </c>
      <c r="CI4344">
        <v>0</v>
      </c>
      <c r="CJ4344">
        <v>0</v>
      </c>
      <c r="CK4344">
        <v>2</v>
      </c>
      <c r="CL4344">
        <v>0</v>
      </c>
      <c r="CM4344">
        <v>2</v>
      </c>
      <c r="CN4344">
        <v>0</v>
      </c>
      <c r="CO4344">
        <v>4</v>
      </c>
      <c r="CP4344" t="s">
        <v>119</v>
      </c>
      <c r="CQ4344">
        <v>180</v>
      </c>
      <c r="CR4344">
        <v>3</v>
      </c>
      <c r="CW4344">
        <v>1403702</v>
      </c>
      <c r="CY4344">
        <v>0</v>
      </c>
      <c r="CZ4344">
        <v>0</v>
      </c>
      <c r="DA4344">
        <v>1</v>
      </c>
      <c r="DB4344">
        <v>0</v>
      </c>
      <c r="DC4344">
        <v>0</v>
      </c>
      <c r="DD4344">
        <v>0</v>
      </c>
      <c r="DE4344">
        <v>0</v>
      </c>
      <c r="DF4344">
        <v>0</v>
      </c>
      <c r="DG4344">
        <v>0</v>
      </c>
      <c r="DH4344">
        <v>0</v>
      </c>
      <c r="DI4344">
        <v>0</v>
      </c>
    </row>
    <row r="4345" spans="1:113" x14ac:dyDescent="0.3">
      <c r="A4345" t="str">
        <f>"02/08/2021 20:38:29.506"</f>
        <v>02/08/2021 20:38:29.506</v>
      </c>
      <c r="C4345" t="str">
        <f t="shared" si="215"/>
        <v>FFDFD7C0</v>
      </c>
      <c r="D4345" t="s">
        <v>113</v>
      </c>
      <c r="E4345">
        <v>6</v>
      </c>
      <c r="H4345">
        <v>165</v>
      </c>
      <c r="I4345" t="s">
        <v>114</v>
      </c>
      <c r="J4345" t="s">
        <v>115</v>
      </c>
      <c r="K4345">
        <v>0</v>
      </c>
      <c r="L4345">
        <v>3</v>
      </c>
      <c r="M4345">
        <v>0</v>
      </c>
      <c r="N4345">
        <v>2</v>
      </c>
      <c r="O4345">
        <v>1</v>
      </c>
      <c r="P4345">
        <v>0</v>
      </c>
      <c r="Q4345">
        <v>0</v>
      </c>
      <c r="S4345" t="str">
        <f>"20:38:31.820"</f>
        <v>20:38:31.820</v>
      </c>
      <c r="T4345" t="str">
        <f>"20:38:31.420"</f>
        <v>20:38:31.420</v>
      </c>
      <c r="U4345" t="str">
        <f t="shared" si="214"/>
        <v>AB01F4</v>
      </c>
      <c r="V4345">
        <v>0</v>
      </c>
      <c r="W4345">
        <v>0</v>
      </c>
      <c r="X4345">
        <v>2</v>
      </c>
      <c r="Z4345">
        <v>0</v>
      </c>
      <c r="AA4345">
        <v>9</v>
      </c>
      <c r="AB4345">
        <v>3</v>
      </c>
      <c r="AC4345">
        <v>0</v>
      </c>
      <c r="AD4345">
        <v>10</v>
      </c>
      <c r="AE4345">
        <v>0</v>
      </c>
      <c r="AF4345">
        <v>3</v>
      </c>
      <c r="AG4345">
        <v>2</v>
      </c>
      <c r="AH4345">
        <v>0</v>
      </c>
      <c r="AI4345" t="s">
        <v>2367</v>
      </c>
      <c r="AJ4345">
        <v>40.162497000000002</v>
      </c>
      <c r="AK4345" t="s">
        <v>2419</v>
      </c>
      <c r="AL4345">
        <v>-93.183653000000007</v>
      </c>
      <c r="AM4345">
        <v>100</v>
      </c>
      <c r="AN4345">
        <v>1300</v>
      </c>
      <c r="AO4345" t="s">
        <v>118</v>
      </c>
      <c r="AP4345">
        <v>-130</v>
      </c>
      <c r="AQ4345">
        <v>-39</v>
      </c>
      <c r="AR4345">
        <v>-128</v>
      </c>
      <c r="AZ4345">
        <v>1200</v>
      </c>
      <c r="BA4345">
        <v>1</v>
      </c>
      <c r="BB4345" t="str">
        <f t="shared" si="216"/>
        <v xml:space="preserve">N8080G  </v>
      </c>
      <c r="BC4345">
        <v>1</v>
      </c>
      <c r="BE4345">
        <v>0</v>
      </c>
      <c r="BF4345">
        <v>0</v>
      </c>
      <c r="BG4345">
        <v>0</v>
      </c>
      <c r="BH4345">
        <v>1350</v>
      </c>
      <c r="BI4345">
        <v>1</v>
      </c>
      <c r="BJ4345">
        <v>1</v>
      </c>
      <c r="BK4345">
        <v>1</v>
      </c>
      <c r="BL4345">
        <v>0</v>
      </c>
      <c r="BO4345">
        <v>0</v>
      </c>
      <c r="BP4345">
        <v>0</v>
      </c>
      <c r="BW4345" t="str">
        <f>"20:38:31.825"</f>
        <v>20:38:31.825</v>
      </c>
      <c r="BZ4345">
        <v>0</v>
      </c>
      <c r="CA4345">
        <v>1600</v>
      </c>
      <c r="CB4345">
        <v>224</v>
      </c>
      <c r="CD4345">
        <v>1</v>
      </c>
      <c r="CE4345">
        <v>0</v>
      </c>
      <c r="CF4345">
        <v>0</v>
      </c>
      <c r="CG4345">
        <v>1</v>
      </c>
      <c r="CH4345">
        <v>0</v>
      </c>
      <c r="CI4345">
        <v>0</v>
      </c>
      <c r="CJ4345">
        <v>0</v>
      </c>
      <c r="CK4345">
        <v>2</v>
      </c>
      <c r="CL4345">
        <v>0</v>
      </c>
      <c r="CM4345">
        <v>2</v>
      </c>
      <c r="CN4345">
        <v>0</v>
      </c>
      <c r="CO4345">
        <v>4</v>
      </c>
      <c r="CP4345" t="s">
        <v>119</v>
      </c>
      <c r="CQ4345">
        <v>180</v>
      </c>
      <c r="CR4345">
        <v>3</v>
      </c>
      <c r="CW4345">
        <v>1403702</v>
      </c>
      <c r="CY4345">
        <v>0</v>
      </c>
      <c r="CZ4345">
        <v>0</v>
      </c>
      <c r="DA4345">
        <v>1</v>
      </c>
      <c r="DB4345">
        <v>0</v>
      </c>
      <c r="DC4345">
        <v>0</v>
      </c>
      <c r="DD4345">
        <v>0</v>
      </c>
      <c r="DE4345">
        <v>0</v>
      </c>
      <c r="DF4345">
        <v>0</v>
      </c>
      <c r="DG4345">
        <v>0</v>
      </c>
      <c r="DH4345">
        <v>0</v>
      </c>
      <c r="DI4345">
        <v>0</v>
      </c>
    </row>
    <row r="4346" spans="1:113" x14ac:dyDescent="0.3">
      <c r="A4346" t="str">
        <f>"02/08/2021 20:38:29.506"</f>
        <v>02/08/2021 20:38:29.506</v>
      </c>
      <c r="C4346" t="str">
        <f t="shared" si="215"/>
        <v>FFDFD7C0</v>
      </c>
      <c r="D4346" t="s">
        <v>124</v>
      </c>
      <c r="E4346">
        <v>12</v>
      </c>
      <c r="F4346">
        <v>1012</v>
      </c>
      <c r="G4346" t="s">
        <v>675</v>
      </c>
      <c r="J4346" t="s">
        <v>125</v>
      </c>
      <c r="K4346">
        <v>0</v>
      </c>
      <c r="L4346">
        <v>3</v>
      </c>
      <c r="M4346">
        <v>0</v>
      </c>
      <c r="N4346">
        <v>2</v>
      </c>
      <c r="O4346">
        <v>1</v>
      </c>
      <c r="P4346">
        <v>0</v>
      </c>
      <c r="Q4346">
        <v>0</v>
      </c>
      <c r="S4346" t="str">
        <f>"20:38:31.820"</f>
        <v>20:38:31.820</v>
      </c>
      <c r="T4346" t="str">
        <f>"20:38:31.420"</f>
        <v>20:38:31.420</v>
      </c>
      <c r="U4346" t="str">
        <f t="shared" si="214"/>
        <v>AB01F4</v>
      </c>
      <c r="V4346">
        <v>0</v>
      </c>
      <c r="W4346">
        <v>0</v>
      </c>
      <c r="X4346">
        <v>2</v>
      </c>
      <c r="Z4346">
        <v>0</v>
      </c>
      <c r="AA4346">
        <v>9</v>
      </c>
      <c r="AB4346">
        <v>3</v>
      </c>
      <c r="AC4346">
        <v>0</v>
      </c>
      <c r="AD4346">
        <v>10</v>
      </c>
      <c r="AE4346">
        <v>0</v>
      </c>
      <c r="AF4346">
        <v>3</v>
      </c>
      <c r="AG4346">
        <v>2</v>
      </c>
      <c r="AH4346">
        <v>0</v>
      </c>
      <c r="AI4346" t="s">
        <v>2367</v>
      </c>
      <c r="AJ4346">
        <v>40.162497000000002</v>
      </c>
      <c r="AK4346" t="s">
        <v>2419</v>
      </c>
      <c r="AL4346">
        <v>-93.183653000000007</v>
      </c>
      <c r="AM4346">
        <v>100</v>
      </c>
      <c r="AN4346">
        <v>1300</v>
      </c>
      <c r="AO4346" t="s">
        <v>118</v>
      </c>
      <c r="AP4346">
        <v>-130</v>
      </c>
      <c r="AQ4346">
        <v>-39</v>
      </c>
      <c r="AR4346">
        <v>-128</v>
      </c>
      <c r="AZ4346">
        <v>1200</v>
      </c>
      <c r="BA4346">
        <v>1</v>
      </c>
      <c r="BB4346" t="str">
        <f t="shared" si="216"/>
        <v xml:space="preserve">N8080G  </v>
      </c>
      <c r="BC4346">
        <v>1</v>
      </c>
      <c r="BE4346">
        <v>0</v>
      </c>
      <c r="BF4346">
        <v>0</v>
      </c>
      <c r="BG4346">
        <v>0</v>
      </c>
      <c r="BH4346">
        <v>1350</v>
      </c>
      <c r="BI4346">
        <v>1</v>
      </c>
      <c r="BJ4346">
        <v>1</v>
      </c>
      <c r="BK4346">
        <v>1</v>
      </c>
      <c r="BL4346">
        <v>0</v>
      </c>
      <c r="BO4346">
        <v>0</v>
      </c>
      <c r="BP4346">
        <v>0</v>
      </c>
      <c r="BW4346" t="str">
        <f>"20:38:31.825"</f>
        <v>20:38:31.825</v>
      </c>
      <c r="BZ4346">
        <v>0</v>
      </c>
      <c r="CA4346">
        <v>1600</v>
      </c>
      <c r="CB4346">
        <v>224</v>
      </c>
      <c r="CD4346">
        <v>1</v>
      </c>
      <c r="CE4346">
        <v>0</v>
      </c>
      <c r="CF4346">
        <v>0</v>
      </c>
      <c r="CG4346">
        <v>1</v>
      </c>
      <c r="CH4346">
        <v>0</v>
      </c>
      <c r="CI4346">
        <v>0</v>
      </c>
      <c r="CJ4346">
        <v>0</v>
      </c>
      <c r="CK4346">
        <v>2</v>
      </c>
      <c r="CL4346">
        <v>0</v>
      </c>
      <c r="CM4346">
        <v>2</v>
      </c>
      <c r="CN4346">
        <v>0</v>
      </c>
      <c r="CO4346">
        <v>4</v>
      </c>
      <c r="CP4346" t="s">
        <v>119</v>
      </c>
      <c r="CQ4346">
        <v>180</v>
      </c>
      <c r="CR4346">
        <v>3</v>
      </c>
      <c r="CW4346">
        <v>1403702</v>
      </c>
      <c r="CY4346">
        <v>0</v>
      </c>
      <c r="CZ4346">
        <v>0</v>
      </c>
      <c r="DA4346">
        <v>1</v>
      </c>
      <c r="DB4346">
        <v>0</v>
      </c>
      <c r="DC4346">
        <v>0</v>
      </c>
      <c r="DD4346">
        <v>0</v>
      </c>
      <c r="DE4346">
        <v>0</v>
      </c>
      <c r="DF4346">
        <v>0</v>
      </c>
      <c r="DG4346">
        <v>0</v>
      </c>
      <c r="DH4346">
        <v>0</v>
      </c>
      <c r="DI4346">
        <v>0</v>
      </c>
    </row>
    <row r="4347" spans="1:113" x14ac:dyDescent="0.3">
      <c r="A4347" t="str">
        <f>"02/08/2021 20:38:31.022"</f>
        <v>02/08/2021 20:38:31.022</v>
      </c>
      <c r="C4347" t="str">
        <f t="shared" si="215"/>
        <v>FFDFD7C0</v>
      </c>
      <c r="D4347" t="s">
        <v>124</v>
      </c>
      <c r="E4347">
        <v>11</v>
      </c>
      <c r="F4347">
        <v>1011</v>
      </c>
      <c r="G4347" t="s">
        <v>590</v>
      </c>
      <c r="J4347" t="s">
        <v>125</v>
      </c>
      <c r="K4347">
        <v>0</v>
      </c>
      <c r="L4347">
        <v>3</v>
      </c>
      <c r="M4347">
        <v>0</v>
      </c>
      <c r="N4347">
        <v>2</v>
      </c>
      <c r="O4347">
        <v>1</v>
      </c>
      <c r="P4347">
        <v>0</v>
      </c>
      <c r="Q4347">
        <v>0</v>
      </c>
      <c r="S4347" t="str">
        <f>"20:38:33.359"</f>
        <v>20:38:33.359</v>
      </c>
      <c r="T4347" t="str">
        <f>"20:38:32.359"</f>
        <v>20:38:32.359</v>
      </c>
      <c r="U4347" t="str">
        <f t="shared" si="214"/>
        <v>AB01F4</v>
      </c>
      <c r="V4347">
        <v>0</v>
      </c>
      <c r="W4347">
        <v>0</v>
      </c>
      <c r="X4347">
        <v>2</v>
      </c>
      <c r="Z4347">
        <v>0</v>
      </c>
      <c r="AA4347">
        <v>9</v>
      </c>
      <c r="AB4347">
        <v>3</v>
      </c>
      <c r="AC4347">
        <v>0</v>
      </c>
      <c r="AD4347">
        <v>10</v>
      </c>
      <c r="AE4347">
        <v>0</v>
      </c>
      <c r="AF4347">
        <v>3</v>
      </c>
      <c r="AG4347">
        <v>2</v>
      </c>
      <c r="AH4347">
        <v>0</v>
      </c>
      <c r="AI4347" t="s">
        <v>2365</v>
      </c>
      <c r="AJ4347">
        <v>40.162174999999998</v>
      </c>
      <c r="AK4347" t="s">
        <v>2420</v>
      </c>
      <c r="AL4347">
        <v>-93.184940999999995</v>
      </c>
      <c r="AM4347">
        <v>100</v>
      </c>
      <c r="AN4347">
        <v>1300</v>
      </c>
      <c r="AO4347" t="s">
        <v>118</v>
      </c>
      <c r="AP4347">
        <v>-130</v>
      </c>
      <c r="AQ4347">
        <v>-38</v>
      </c>
      <c r="AR4347">
        <v>-128</v>
      </c>
      <c r="AZ4347">
        <v>1200</v>
      </c>
      <c r="BA4347">
        <v>1</v>
      </c>
      <c r="BB4347" t="str">
        <f t="shared" si="216"/>
        <v xml:space="preserve">N8080G  </v>
      </c>
      <c r="BC4347">
        <v>1</v>
      </c>
      <c r="BE4347">
        <v>0</v>
      </c>
      <c r="BF4347">
        <v>0</v>
      </c>
      <c r="BG4347">
        <v>0</v>
      </c>
      <c r="BH4347">
        <v>1350</v>
      </c>
      <c r="BI4347">
        <v>1</v>
      </c>
      <c r="BJ4347">
        <v>1</v>
      </c>
      <c r="BK4347">
        <v>1</v>
      </c>
      <c r="BL4347">
        <v>0</v>
      </c>
      <c r="BO4347">
        <v>0</v>
      </c>
      <c r="BP4347">
        <v>0</v>
      </c>
      <c r="BW4347" t="str">
        <f>"20:38:33.360"</f>
        <v>20:38:33.360</v>
      </c>
      <c r="BZ4347">
        <v>0</v>
      </c>
      <c r="CA4347">
        <v>1600</v>
      </c>
      <c r="CB4347">
        <v>224</v>
      </c>
      <c r="CD4347">
        <v>1</v>
      </c>
      <c r="CE4347">
        <v>0</v>
      </c>
      <c r="CF4347">
        <v>0</v>
      </c>
      <c r="CG4347">
        <v>1</v>
      </c>
      <c r="CH4347">
        <v>0</v>
      </c>
      <c r="CI4347">
        <v>0</v>
      </c>
      <c r="CJ4347">
        <v>0</v>
      </c>
      <c r="CK4347">
        <v>2</v>
      </c>
      <c r="CL4347">
        <v>0</v>
      </c>
      <c r="CM4347">
        <v>2</v>
      </c>
      <c r="CN4347">
        <v>0</v>
      </c>
      <c r="CO4347">
        <v>4</v>
      </c>
      <c r="CP4347" t="s">
        <v>119</v>
      </c>
      <c r="CQ4347">
        <v>180</v>
      </c>
      <c r="CR4347">
        <v>3</v>
      </c>
      <c r="CW4347">
        <v>1404890</v>
      </c>
      <c r="CY4347">
        <v>0</v>
      </c>
      <c r="CZ4347">
        <v>0</v>
      </c>
      <c r="DA4347">
        <v>0</v>
      </c>
      <c r="DB4347">
        <v>0</v>
      </c>
      <c r="DC4347">
        <v>0</v>
      </c>
      <c r="DD4347">
        <v>0</v>
      </c>
      <c r="DE4347">
        <v>0</v>
      </c>
      <c r="DF4347">
        <v>0</v>
      </c>
      <c r="DG4347">
        <v>0</v>
      </c>
      <c r="DH4347">
        <v>0</v>
      </c>
      <c r="DI4347">
        <v>0</v>
      </c>
    </row>
    <row r="4348" spans="1:113" x14ac:dyDescent="0.3">
      <c r="A4348" t="str">
        <f>"02/08/2021 20:38:31.022"</f>
        <v>02/08/2021 20:38:31.022</v>
      </c>
      <c r="C4348" t="str">
        <f t="shared" si="215"/>
        <v>FFDFD7C0</v>
      </c>
      <c r="D4348" t="s">
        <v>113</v>
      </c>
      <c r="E4348">
        <v>6</v>
      </c>
      <c r="H4348">
        <v>165</v>
      </c>
      <c r="I4348" t="s">
        <v>114</v>
      </c>
      <c r="J4348" t="s">
        <v>115</v>
      </c>
      <c r="K4348">
        <v>0</v>
      </c>
      <c r="L4348">
        <v>3</v>
      </c>
      <c r="M4348">
        <v>0</v>
      </c>
      <c r="N4348">
        <v>2</v>
      </c>
      <c r="O4348">
        <v>1</v>
      </c>
      <c r="P4348">
        <v>0</v>
      </c>
      <c r="Q4348">
        <v>0</v>
      </c>
      <c r="S4348" t="str">
        <f>"20:38:33.359"</f>
        <v>20:38:33.359</v>
      </c>
      <c r="T4348" t="str">
        <f>"20:38:32.359"</f>
        <v>20:38:32.359</v>
      </c>
      <c r="U4348" t="str">
        <f t="shared" si="214"/>
        <v>AB01F4</v>
      </c>
      <c r="V4348">
        <v>0</v>
      </c>
      <c r="W4348">
        <v>0</v>
      </c>
      <c r="X4348">
        <v>2</v>
      </c>
      <c r="Z4348">
        <v>0</v>
      </c>
      <c r="AA4348">
        <v>9</v>
      </c>
      <c r="AB4348">
        <v>3</v>
      </c>
      <c r="AC4348">
        <v>0</v>
      </c>
      <c r="AD4348">
        <v>10</v>
      </c>
      <c r="AE4348">
        <v>0</v>
      </c>
      <c r="AF4348">
        <v>3</v>
      </c>
      <c r="AG4348">
        <v>2</v>
      </c>
      <c r="AH4348">
        <v>0</v>
      </c>
      <c r="AI4348" t="s">
        <v>2365</v>
      </c>
      <c r="AJ4348">
        <v>40.162174999999998</v>
      </c>
      <c r="AK4348" t="s">
        <v>2420</v>
      </c>
      <c r="AL4348">
        <v>-93.184940999999995</v>
      </c>
      <c r="AM4348">
        <v>100</v>
      </c>
      <c r="AN4348">
        <v>1300</v>
      </c>
      <c r="AO4348" t="s">
        <v>118</v>
      </c>
      <c r="AP4348">
        <v>-130</v>
      </c>
      <c r="AQ4348">
        <v>-38</v>
      </c>
      <c r="AR4348">
        <v>-128</v>
      </c>
      <c r="AZ4348">
        <v>1200</v>
      </c>
      <c r="BA4348">
        <v>1</v>
      </c>
      <c r="BB4348" t="str">
        <f t="shared" si="216"/>
        <v xml:space="preserve">N8080G  </v>
      </c>
      <c r="BC4348">
        <v>1</v>
      </c>
      <c r="BE4348">
        <v>0</v>
      </c>
      <c r="BF4348">
        <v>0</v>
      </c>
      <c r="BG4348">
        <v>0</v>
      </c>
      <c r="BH4348">
        <v>1350</v>
      </c>
      <c r="BI4348">
        <v>1</v>
      </c>
      <c r="BJ4348">
        <v>1</v>
      </c>
      <c r="BK4348">
        <v>1</v>
      </c>
      <c r="BL4348">
        <v>0</v>
      </c>
      <c r="BO4348">
        <v>0</v>
      </c>
      <c r="BP4348">
        <v>0</v>
      </c>
      <c r="BW4348" t="str">
        <f>"20:38:33.360"</f>
        <v>20:38:33.360</v>
      </c>
      <c r="BZ4348">
        <v>0</v>
      </c>
      <c r="CA4348">
        <v>1600</v>
      </c>
      <c r="CB4348">
        <v>224</v>
      </c>
      <c r="CD4348">
        <v>1</v>
      </c>
      <c r="CE4348">
        <v>0</v>
      </c>
      <c r="CF4348">
        <v>0</v>
      </c>
      <c r="CG4348">
        <v>1</v>
      </c>
      <c r="CH4348">
        <v>0</v>
      </c>
      <c r="CI4348">
        <v>0</v>
      </c>
      <c r="CJ4348">
        <v>0</v>
      </c>
      <c r="CK4348">
        <v>2</v>
      </c>
      <c r="CL4348">
        <v>0</v>
      </c>
      <c r="CM4348">
        <v>2</v>
      </c>
      <c r="CN4348">
        <v>0</v>
      </c>
      <c r="CO4348">
        <v>4</v>
      </c>
      <c r="CP4348" t="s">
        <v>119</v>
      </c>
      <c r="CQ4348">
        <v>180</v>
      </c>
      <c r="CR4348">
        <v>3</v>
      </c>
      <c r="CW4348">
        <v>1404890</v>
      </c>
      <c r="CY4348">
        <v>0</v>
      </c>
      <c r="CZ4348">
        <v>0</v>
      </c>
      <c r="DA4348">
        <v>1</v>
      </c>
      <c r="DB4348">
        <v>0</v>
      </c>
      <c r="DC4348">
        <v>0</v>
      </c>
      <c r="DD4348">
        <v>0</v>
      </c>
      <c r="DE4348">
        <v>0</v>
      </c>
      <c r="DF4348">
        <v>0</v>
      </c>
      <c r="DG4348">
        <v>0</v>
      </c>
      <c r="DH4348">
        <v>0</v>
      </c>
      <c r="DI4348">
        <v>0</v>
      </c>
    </row>
    <row r="4349" spans="1:113" x14ac:dyDescent="0.3">
      <c r="A4349" t="str">
        <f>"02/08/2021 20:38:31.022"</f>
        <v>02/08/2021 20:38:31.022</v>
      </c>
      <c r="C4349" t="str">
        <f t="shared" si="215"/>
        <v>FFDFD7C0</v>
      </c>
      <c r="D4349" t="s">
        <v>124</v>
      </c>
      <c r="E4349">
        <v>12</v>
      </c>
      <c r="F4349">
        <v>1012</v>
      </c>
      <c r="G4349" t="s">
        <v>675</v>
      </c>
      <c r="J4349" t="s">
        <v>125</v>
      </c>
      <c r="K4349">
        <v>0</v>
      </c>
      <c r="L4349">
        <v>3</v>
      </c>
      <c r="M4349">
        <v>0</v>
      </c>
      <c r="N4349">
        <v>2</v>
      </c>
      <c r="O4349">
        <v>1</v>
      </c>
      <c r="P4349">
        <v>0</v>
      </c>
      <c r="Q4349">
        <v>0</v>
      </c>
      <c r="S4349" t="str">
        <f>"20:38:33.359"</f>
        <v>20:38:33.359</v>
      </c>
      <c r="T4349" t="str">
        <f>"20:38:32.359"</f>
        <v>20:38:32.359</v>
      </c>
      <c r="U4349" t="str">
        <f t="shared" si="214"/>
        <v>AB01F4</v>
      </c>
      <c r="V4349">
        <v>0</v>
      </c>
      <c r="W4349">
        <v>0</v>
      </c>
      <c r="X4349">
        <v>2</v>
      </c>
      <c r="Z4349">
        <v>0</v>
      </c>
      <c r="AA4349">
        <v>9</v>
      </c>
      <c r="AB4349">
        <v>3</v>
      </c>
      <c r="AC4349">
        <v>0</v>
      </c>
      <c r="AD4349">
        <v>10</v>
      </c>
      <c r="AE4349">
        <v>0</v>
      </c>
      <c r="AF4349">
        <v>3</v>
      </c>
      <c r="AG4349">
        <v>2</v>
      </c>
      <c r="AH4349">
        <v>0</v>
      </c>
      <c r="AI4349" t="s">
        <v>2365</v>
      </c>
      <c r="AJ4349">
        <v>40.162174999999998</v>
      </c>
      <c r="AK4349" t="s">
        <v>2420</v>
      </c>
      <c r="AL4349">
        <v>-93.184940999999995</v>
      </c>
      <c r="AM4349">
        <v>100</v>
      </c>
      <c r="AN4349">
        <v>1300</v>
      </c>
      <c r="AO4349" t="s">
        <v>118</v>
      </c>
      <c r="AP4349">
        <v>-130</v>
      </c>
      <c r="AQ4349">
        <v>-38</v>
      </c>
      <c r="AR4349">
        <v>-128</v>
      </c>
      <c r="AZ4349">
        <v>1200</v>
      </c>
      <c r="BA4349">
        <v>1</v>
      </c>
      <c r="BB4349" t="str">
        <f t="shared" si="216"/>
        <v xml:space="preserve">N8080G  </v>
      </c>
      <c r="BC4349">
        <v>1</v>
      </c>
      <c r="BE4349">
        <v>0</v>
      </c>
      <c r="BF4349">
        <v>0</v>
      </c>
      <c r="BG4349">
        <v>0</v>
      </c>
      <c r="BH4349">
        <v>1350</v>
      </c>
      <c r="BI4349">
        <v>1</v>
      </c>
      <c r="BJ4349">
        <v>1</v>
      </c>
      <c r="BK4349">
        <v>1</v>
      </c>
      <c r="BL4349">
        <v>0</v>
      </c>
      <c r="BO4349">
        <v>0</v>
      </c>
      <c r="BP4349">
        <v>0</v>
      </c>
      <c r="BW4349" t="str">
        <f>"20:38:33.360"</f>
        <v>20:38:33.360</v>
      </c>
      <c r="BZ4349">
        <v>0</v>
      </c>
      <c r="CA4349">
        <v>1600</v>
      </c>
      <c r="CB4349">
        <v>224</v>
      </c>
      <c r="CD4349">
        <v>1</v>
      </c>
      <c r="CE4349">
        <v>0</v>
      </c>
      <c r="CF4349">
        <v>0</v>
      </c>
      <c r="CG4349">
        <v>1</v>
      </c>
      <c r="CH4349">
        <v>0</v>
      </c>
      <c r="CI4349">
        <v>0</v>
      </c>
      <c r="CJ4349">
        <v>0</v>
      </c>
      <c r="CK4349">
        <v>2</v>
      </c>
      <c r="CL4349">
        <v>0</v>
      </c>
      <c r="CM4349">
        <v>2</v>
      </c>
      <c r="CN4349">
        <v>0</v>
      </c>
      <c r="CO4349">
        <v>4</v>
      </c>
      <c r="CP4349" t="s">
        <v>119</v>
      </c>
      <c r="CQ4349">
        <v>180</v>
      </c>
      <c r="CR4349">
        <v>3</v>
      </c>
      <c r="CW4349">
        <v>1404890</v>
      </c>
      <c r="CY4349">
        <v>0</v>
      </c>
      <c r="CZ4349">
        <v>0</v>
      </c>
      <c r="DA4349">
        <v>1</v>
      </c>
      <c r="DB4349">
        <v>0</v>
      </c>
      <c r="DC4349">
        <v>0</v>
      </c>
      <c r="DD4349">
        <v>0</v>
      </c>
      <c r="DE4349">
        <v>0</v>
      </c>
      <c r="DF4349">
        <v>0</v>
      </c>
      <c r="DG4349">
        <v>0</v>
      </c>
      <c r="DH4349">
        <v>0</v>
      </c>
      <c r="DI4349">
        <v>0</v>
      </c>
    </row>
    <row r="4350" spans="1:113" x14ac:dyDescent="0.3">
      <c r="A4350" t="str">
        <f>"02/08/2021 20:38:31.022"</f>
        <v>02/08/2021 20:38:31.022</v>
      </c>
      <c r="C4350" t="str">
        <f t="shared" si="215"/>
        <v>FFDFD7C0</v>
      </c>
      <c r="D4350" t="s">
        <v>124</v>
      </c>
      <c r="E4350">
        <v>13</v>
      </c>
      <c r="F4350">
        <v>1013</v>
      </c>
      <c r="G4350" t="s">
        <v>114</v>
      </c>
      <c r="J4350" t="s">
        <v>125</v>
      </c>
      <c r="K4350">
        <v>0</v>
      </c>
      <c r="L4350">
        <v>3</v>
      </c>
      <c r="M4350">
        <v>0</v>
      </c>
      <c r="N4350">
        <v>2</v>
      </c>
      <c r="O4350">
        <v>1</v>
      </c>
      <c r="P4350">
        <v>0</v>
      </c>
      <c r="Q4350">
        <v>0</v>
      </c>
      <c r="S4350" t="str">
        <f>"20:38:33.359"</f>
        <v>20:38:33.359</v>
      </c>
      <c r="T4350" t="str">
        <f>"20:38:32.359"</f>
        <v>20:38:32.359</v>
      </c>
      <c r="U4350" t="str">
        <f t="shared" si="214"/>
        <v>AB01F4</v>
      </c>
      <c r="V4350">
        <v>0</v>
      </c>
      <c r="W4350">
        <v>0</v>
      </c>
      <c r="X4350">
        <v>2</v>
      </c>
      <c r="Z4350">
        <v>0</v>
      </c>
      <c r="AA4350">
        <v>9</v>
      </c>
      <c r="AB4350">
        <v>3</v>
      </c>
      <c r="AC4350">
        <v>0</v>
      </c>
      <c r="AD4350">
        <v>10</v>
      </c>
      <c r="AE4350">
        <v>0</v>
      </c>
      <c r="AF4350">
        <v>3</v>
      </c>
      <c r="AG4350">
        <v>2</v>
      </c>
      <c r="AH4350">
        <v>0</v>
      </c>
      <c r="AI4350" t="s">
        <v>2365</v>
      </c>
      <c r="AJ4350">
        <v>40.162174999999998</v>
      </c>
      <c r="AK4350" t="s">
        <v>2420</v>
      </c>
      <c r="AL4350">
        <v>-93.184940999999995</v>
      </c>
      <c r="AM4350">
        <v>100</v>
      </c>
      <c r="AN4350">
        <v>1300</v>
      </c>
      <c r="AO4350" t="s">
        <v>118</v>
      </c>
      <c r="AP4350">
        <v>-130</v>
      </c>
      <c r="AQ4350">
        <v>-38</v>
      </c>
      <c r="AR4350">
        <v>-128</v>
      </c>
      <c r="AZ4350">
        <v>1200</v>
      </c>
      <c r="BA4350">
        <v>1</v>
      </c>
      <c r="BB4350" t="str">
        <f t="shared" si="216"/>
        <v xml:space="preserve">N8080G  </v>
      </c>
      <c r="BC4350">
        <v>1</v>
      </c>
      <c r="BE4350">
        <v>0</v>
      </c>
      <c r="BF4350">
        <v>0</v>
      </c>
      <c r="BG4350">
        <v>0</v>
      </c>
      <c r="BH4350">
        <v>1350</v>
      </c>
      <c r="BI4350">
        <v>1</v>
      </c>
      <c r="BJ4350">
        <v>1</v>
      </c>
      <c r="BK4350">
        <v>1</v>
      </c>
      <c r="BL4350">
        <v>0</v>
      </c>
      <c r="BO4350">
        <v>0</v>
      </c>
      <c r="BP4350">
        <v>0</v>
      </c>
      <c r="BW4350" t="str">
        <f>"20:38:33.360"</f>
        <v>20:38:33.360</v>
      </c>
      <c r="BZ4350">
        <v>0</v>
      </c>
      <c r="CA4350">
        <v>1600</v>
      </c>
      <c r="CB4350">
        <v>224</v>
      </c>
      <c r="CD4350">
        <v>1</v>
      </c>
      <c r="CE4350">
        <v>0</v>
      </c>
      <c r="CF4350">
        <v>0</v>
      </c>
      <c r="CG4350">
        <v>1</v>
      </c>
      <c r="CH4350">
        <v>0</v>
      </c>
      <c r="CI4350">
        <v>0</v>
      </c>
      <c r="CJ4350">
        <v>0</v>
      </c>
      <c r="CK4350">
        <v>2</v>
      </c>
      <c r="CL4350">
        <v>0</v>
      </c>
      <c r="CM4350">
        <v>2</v>
      </c>
      <c r="CN4350">
        <v>0</v>
      </c>
      <c r="CO4350">
        <v>4</v>
      </c>
      <c r="CP4350" t="s">
        <v>119</v>
      </c>
      <c r="CQ4350">
        <v>180</v>
      </c>
      <c r="CR4350">
        <v>3</v>
      </c>
      <c r="CW4350">
        <v>1404890</v>
      </c>
      <c r="CY4350">
        <v>0</v>
      </c>
      <c r="CZ4350">
        <v>0</v>
      </c>
      <c r="DA4350">
        <v>1</v>
      </c>
      <c r="DB4350">
        <v>0</v>
      </c>
      <c r="DC4350">
        <v>0</v>
      </c>
      <c r="DD4350">
        <v>0</v>
      </c>
      <c r="DE4350">
        <v>0</v>
      </c>
      <c r="DF4350">
        <v>0</v>
      </c>
      <c r="DG4350">
        <v>0</v>
      </c>
      <c r="DH4350">
        <v>0</v>
      </c>
      <c r="DI4350">
        <v>0</v>
      </c>
    </row>
    <row r="4351" spans="1:113" x14ac:dyDescent="0.3">
      <c r="A4351" t="str">
        <f>"02/08/2021 20:38:32.019"</f>
        <v>02/08/2021 20:38:32.019</v>
      </c>
      <c r="C4351" t="str">
        <f t="shared" si="215"/>
        <v>FFDFD7C0</v>
      </c>
      <c r="D4351" t="s">
        <v>124</v>
      </c>
      <c r="E4351">
        <v>13</v>
      </c>
      <c r="F4351">
        <v>1013</v>
      </c>
      <c r="G4351" t="s">
        <v>114</v>
      </c>
      <c r="J4351" t="s">
        <v>125</v>
      </c>
      <c r="K4351">
        <v>0</v>
      </c>
      <c r="L4351">
        <v>3</v>
      </c>
      <c r="M4351">
        <v>0</v>
      </c>
      <c r="N4351">
        <v>2</v>
      </c>
      <c r="O4351">
        <v>1</v>
      </c>
      <c r="P4351">
        <v>0</v>
      </c>
      <c r="Q4351">
        <v>0</v>
      </c>
      <c r="S4351" t="str">
        <f>"20:38:34.328"</f>
        <v>20:38:34.328</v>
      </c>
      <c r="T4351" t="str">
        <f>"20:38:33.928"</f>
        <v>20:38:33.928</v>
      </c>
      <c r="U4351" t="str">
        <f t="shared" si="214"/>
        <v>AB01F4</v>
      </c>
      <c r="V4351">
        <v>0</v>
      </c>
      <c r="W4351">
        <v>0</v>
      </c>
      <c r="X4351">
        <v>2</v>
      </c>
      <c r="Z4351">
        <v>0</v>
      </c>
      <c r="AA4351">
        <v>9</v>
      </c>
      <c r="AB4351">
        <v>3</v>
      </c>
      <c r="AC4351">
        <v>0</v>
      </c>
      <c r="AD4351">
        <v>10</v>
      </c>
      <c r="AE4351">
        <v>0</v>
      </c>
      <c r="AF4351">
        <v>3</v>
      </c>
      <c r="AG4351">
        <v>2</v>
      </c>
      <c r="AH4351">
        <v>0</v>
      </c>
      <c r="AI4351" t="s">
        <v>2421</v>
      </c>
      <c r="AJ4351">
        <v>40.161982000000002</v>
      </c>
      <c r="AK4351" t="s">
        <v>2422</v>
      </c>
      <c r="AL4351">
        <v>-93.185734999999994</v>
      </c>
      <c r="AM4351">
        <v>100</v>
      </c>
      <c r="AN4351">
        <v>1300</v>
      </c>
      <c r="AO4351" t="s">
        <v>118</v>
      </c>
      <c r="AP4351">
        <v>-131</v>
      </c>
      <c r="AQ4351">
        <v>-38</v>
      </c>
      <c r="AR4351">
        <v>-128</v>
      </c>
      <c r="AZ4351">
        <v>1200</v>
      </c>
      <c r="BA4351">
        <v>1</v>
      </c>
      <c r="BB4351" t="str">
        <f t="shared" si="216"/>
        <v xml:space="preserve">N8080G  </v>
      </c>
      <c r="BC4351">
        <v>1</v>
      </c>
      <c r="BE4351">
        <v>0</v>
      </c>
      <c r="BF4351">
        <v>0</v>
      </c>
      <c r="BG4351">
        <v>0</v>
      </c>
      <c r="BH4351">
        <v>1350</v>
      </c>
      <c r="BI4351">
        <v>1</v>
      </c>
      <c r="BJ4351">
        <v>1</v>
      </c>
      <c r="BK4351">
        <v>1</v>
      </c>
      <c r="BL4351">
        <v>0</v>
      </c>
      <c r="BO4351">
        <v>0</v>
      </c>
      <c r="BP4351">
        <v>0</v>
      </c>
      <c r="BW4351" t="str">
        <f>"20:38:34.330"</f>
        <v>20:38:34.330</v>
      </c>
      <c r="BZ4351">
        <v>0</v>
      </c>
      <c r="CA4351">
        <v>1600</v>
      </c>
      <c r="CB4351">
        <v>224</v>
      </c>
      <c r="CD4351">
        <v>1</v>
      </c>
      <c r="CE4351">
        <v>0</v>
      </c>
      <c r="CF4351">
        <v>0</v>
      </c>
      <c r="CG4351">
        <v>1</v>
      </c>
      <c r="CH4351">
        <v>0</v>
      </c>
      <c r="CI4351">
        <v>0</v>
      </c>
      <c r="CJ4351">
        <v>0</v>
      </c>
      <c r="CK4351">
        <v>2</v>
      </c>
      <c r="CL4351">
        <v>0</v>
      </c>
      <c r="CM4351">
        <v>2</v>
      </c>
      <c r="CN4351">
        <v>0</v>
      </c>
      <c r="CO4351">
        <v>1</v>
      </c>
      <c r="CP4351" t="s">
        <v>119</v>
      </c>
      <c r="CQ4351">
        <v>179</v>
      </c>
      <c r="CR4351">
        <v>2</v>
      </c>
      <c r="CW4351">
        <v>12682187</v>
      </c>
      <c r="CY4351">
        <v>0</v>
      </c>
      <c r="CZ4351">
        <v>0</v>
      </c>
      <c r="DA4351">
        <v>0</v>
      </c>
      <c r="DB4351">
        <v>0</v>
      </c>
      <c r="DC4351">
        <v>0</v>
      </c>
      <c r="DD4351">
        <v>0</v>
      </c>
      <c r="DE4351">
        <v>0</v>
      </c>
      <c r="DF4351">
        <v>0</v>
      </c>
      <c r="DG4351">
        <v>0</v>
      </c>
      <c r="DH4351">
        <v>0</v>
      </c>
      <c r="DI4351">
        <v>0</v>
      </c>
    </row>
    <row r="4352" spans="1:113" x14ac:dyDescent="0.3">
      <c r="A4352" t="str">
        <f>"02/08/2021 20:38:32.019"</f>
        <v>02/08/2021 20:38:32.019</v>
      </c>
      <c r="C4352" t="str">
        <f t="shared" si="215"/>
        <v>FFDFD7C0</v>
      </c>
      <c r="D4352" t="s">
        <v>124</v>
      </c>
      <c r="E4352">
        <v>11</v>
      </c>
      <c r="F4352">
        <v>1011</v>
      </c>
      <c r="G4352" t="s">
        <v>590</v>
      </c>
      <c r="J4352" t="s">
        <v>125</v>
      </c>
      <c r="K4352">
        <v>0</v>
      </c>
      <c r="L4352">
        <v>3</v>
      </c>
      <c r="M4352">
        <v>0</v>
      </c>
      <c r="N4352">
        <v>2</v>
      </c>
      <c r="O4352">
        <v>1</v>
      </c>
      <c r="P4352">
        <v>0</v>
      </c>
      <c r="Q4352">
        <v>0</v>
      </c>
      <c r="S4352" t="str">
        <f>"20:38:34.328"</f>
        <v>20:38:34.328</v>
      </c>
      <c r="T4352" t="str">
        <f>"20:38:33.928"</f>
        <v>20:38:33.928</v>
      </c>
      <c r="U4352" t="str">
        <f t="shared" si="214"/>
        <v>AB01F4</v>
      </c>
      <c r="V4352">
        <v>0</v>
      </c>
      <c r="W4352">
        <v>0</v>
      </c>
      <c r="X4352">
        <v>2</v>
      </c>
      <c r="Z4352">
        <v>0</v>
      </c>
      <c r="AA4352">
        <v>9</v>
      </c>
      <c r="AB4352">
        <v>3</v>
      </c>
      <c r="AC4352">
        <v>0</v>
      </c>
      <c r="AD4352">
        <v>10</v>
      </c>
      <c r="AE4352">
        <v>0</v>
      </c>
      <c r="AF4352">
        <v>3</v>
      </c>
      <c r="AG4352">
        <v>2</v>
      </c>
      <c r="AH4352">
        <v>0</v>
      </c>
      <c r="AI4352" t="s">
        <v>2421</v>
      </c>
      <c r="AJ4352">
        <v>40.161982000000002</v>
      </c>
      <c r="AK4352" t="s">
        <v>2422</v>
      </c>
      <c r="AL4352">
        <v>-93.185734999999994</v>
      </c>
      <c r="AM4352">
        <v>100</v>
      </c>
      <c r="AN4352">
        <v>1300</v>
      </c>
      <c r="AO4352" t="s">
        <v>118</v>
      </c>
      <c r="AP4352">
        <v>-131</v>
      </c>
      <c r="AQ4352">
        <v>-38</v>
      </c>
      <c r="AR4352">
        <v>-128</v>
      </c>
      <c r="AZ4352">
        <v>1200</v>
      </c>
      <c r="BA4352">
        <v>1</v>
      </c>
      <c r="BB4352" t="str">
        <f t="shared" si="216"/>
        <v xml:space="preserve">N8080G  </v>
      </c>
      <c r="BC4352">
        <v>1</v>
      </c>
      <c r="BE4352">
        <v>0</v>
      </c>
      <c r="BF4352">
        <v>0</v>
      </c>
      <c r="BG4352">
        <v>0</v>
      </c>
      <c r="BH4352">
        <v>1350</v>
      </c>
      <c r="BI4352">
        <v>1</v>
      </c>
      <c r="BJ4352">
        <v>1</v>
      </c>
      <c r="BK4352">
        <v>1</v>
      </c>
      <c r="BL4352">
        <v>0</v>
      </c>
      <c r="BO4352">
        <v>0</v>
      </c>
      <c r="BP4352">
        <v>0</v>
      </c>
      <c r="BW4352" t="str">
        <f>"20:38:34.330"</f>
        <v>20:38:34.330</v>
      </c>
      <c r="BZ4352">
        <v>0</v>
      </c>
      <c r="CA4352">
        <v>1600</v>
      </c>
      <c r="CB4352">
        <v>224</v>
      </c>
      <c r="CD4352">
        <v>1</v>
      </c>
      <c r="CE4352">
        <v>0</v>
      </c>
      <c r="CF4352">
        <v>0</v>
      </c>
      <c r="CG4352">
        <v>1</v>
      </c>
      <c r="CH4352">
        <v>0</v>
      </c>
      <c r="CI4352">
        <v>0</v>
      </c>
      <c r="CJ4352">
        <v>0</v>
      </c>
      <c r="CK4352">
        <v>2</v>
      </c>
      <c r="CL4352">
        <v>0</v>
      </c>
      <c r="CM4352">
        <v>2</v>
      </c>
      <c r="CN4352">
        <v>0</v>
      </c>
      <c r="CO4352">
        <v>1</v>
      </c>
      <c r="CP4352" t="s">
        <v>119</v>
      </c>
      <c r="CQ4352">
        <v>179</v>
      </c>
      <c r="CR4352">
        <v>2</v>
      </c>
      <c r="CW4352">
        <v>12682187</v>
      </c>
      <c r="CY4352">
        <v>0</v>
      </c>
      <c r="CZ4352">
        <v>0</v>
      </c>
      <c r="DA4352">
        <v>1</v>
      </c>
      <c r="DB4352">
        <v>0</v>
      </c>
      <c r="DC4352">
        <v>0</v>
      </c>
      <c r="DD4352">
        <v>0</v>
      </c>
      <c r="DE4352">
        <v>0</v>
      </c>
      <c r="DF4352">
        <v>0</v>
      </c>
      <c r="DG4352">
        <v>0</v>
      </c>
      <c r="DH4352">
        <v>0</v>
      </c>
      <c r="DI4352">
        <v>0</v>
      </c>
    </row>
    <row r="4353" spans="1:113" x14ac:dyDescent="0.3">
      <c r="A4353" t="str">
        <f>"02/08/2021 20:38:32.019"</f>
        <v>02/08/2021 20:38:32.019</v>
      </c>
      <c r="C4353" t="str">
        <f t="shared" si="215"/>
        <v>FFDFD7C0</v>
      </c>
      <c r="D4353" t="s">
        <v>124</v>
      </c>
      <c r="E4353">
        <v>12</v>
      </c>
      <c r="F4353">
        <v>1012</v>
      </c>
      <c r="G4353" t="s">
        <v>675</v>
      </c>
      <c r="J4353" t="s">
        <v>125</v>
      </c>
      <c r="K4353">
        <v>0</v>
      </c>
      <c r="L4353">
        <v>3</v>
      </c>
      <c r="M4353">
        <v>0</v>
      </c>
      <c r="N4353">
        <v>2</v>
      </c>
      <c r="O4353">
        <v>1</v>
      </c>
      <c r="P4353">
        <v>0</v>
      </c>
      <c r="Q4353">
        <v>0</v>
      </c>
      <c r="S4353" t="str">
        <f>"20:38:34.328"</f>
        <v>20:38:34.328</v>
      </c>
      <c r="T4353" t="str">
        <f>"20:38:33.928"</f>
        <v>20:38:33.928</v>
      </c>
      <c r="U4353" t="str">
        <f t="shared" si="214"/>
        <v>AB01F4</v>
      </c>
      <c r="V4353">
        <v>0</v>
      </c>
      <c r="W4353">
        <v>0</v>
      </c>
      <c r="X4353">
        <v>2</v>
      </c>
      <c r="Z4353">
        <v>0</v>
      </c>
      <c r="AA4353">
        <v>9</v>
      </c>
      <c r="AB4353">
        <v>3</v>
      </c>
      <c r="AC4353">
        <v>0</v>
      </c>
      <c r="AD4353">
        <v>10</v>
      </c>
      <c r="AE4353">
        <v>0</v>
      </c>
      <c r="AF4353">
        <v>3</v>
      </c>
      <c r="AG4353">
        <v>2</v>
      </c>
      <c r="AH4353">
        <v>0</v>
      </c>
      <c r="AI4353" t="s">
        <v>2421</v>
      </c>
      <c r="AJ4353">
        <v>40.161982000000002</v>
      </c>
      <c r="AK4353" t="s">
        <v>2422</v>
      </c>
      <c r="AL4353">
        <v>-93.185734999999994</v>
      </c>
      <c r="AM4353">
        <v>100</v>
      </c>
      <c r="AN4353">
        <v>1300</v>
      </c>
      <c r="AO4353" t="s">
        <v>118</v>
      </c>
      <c r="AP4353">
        <v>-131</v>
      </c>
      <c r="AQ4353">
        <v>-38</v>
      </c>
      <c r="AR4353">
        <v>-128</v>
      </c>
      <c r="AZ4353">
        <v>1200</v>
      </c>
      <c r="BA4353">
        <v>1</v>
      </c>
      <c r="BB4353" t="str">
        <f t="shared" si="216"/>
        <v xml:space="preserve">N8080G  </v>
      </c>
      <c r="BC4353">
        <v>1</v>
      </c>
      <c r="BE4353">
        <v>0</v>
      </c>
      <c r="BF4353">
        <v>0</v>
      </c>
      <c r="BG4353">
        <v>0</v>
      </c>
      <c r="BH4353">
        <v>1350</v>
      </c>
      <c r="BI4353">
        <v>1</v>
      </c>
      <c r="BJ4353">
        <v>1</v>
      </c>
      <c r="BK4353">
        <v>1</v>
      </c>
      <c r="BL4353">
        <v>0</v>
      </c>
      <c r="BO4353">
        <v>0</v>
      </c>
      <c r="BP4353">
        <v>0</v>
      </c>
      <c r="BW4353" t="str">
        <f>"20:38:34.330"</f>
        <v>20:38:34.330</v>
      </c>
      <c r="BZ4353">
        <v>0</v>
      </c>
      <c r="CA4353">
        <v>1600</v>
      </c>
      <c r="CB4353">
        <v>224</v>
      </c>
      <c r="CD4353">
        <v>1</v>
      </c>
      <c r="CE4353">
        <v>0</v>
      </c>
      <c r="CF4353">
        <v>0</v>
      </c>
      <c r="CG4353">
        <v>1</v>
      </c>
      <c r="CH4353">
        <v>0</v>
      </c>
      <c r="CI4353">
        <v>0</v>
      </c>
      <c r="CJ4353">
        <v>0</v>
      </c>
      <c r="CK4353">
        <v>2</v>
      </c>
      <c r="CL4353">
        <v>0</v>
      </c>
      <c r="CM4353">
        <v>2</v>
      </c>
      <c r="CN4353">
        <v>0</v>
      </c>
      <c r="CO4353">
        <v>1</v>
      </c>
      <c r="CP4353" t="s">
        <v>119</v>
      </c>
      <c r="CQ4353">
        <v>179</v>
      </c>
      <c r="CR4353">
        <v>2</v>
      </c>
      <c r="CW4353">
        <v>12682187</v>
      </c>
      <c r="CY4353">
        <v>0</v>
      </c>
      <c r="CZ4353">
        <v>0</v>
      </c>
      <c r="DA4353">
        <v>1</v>
      </c>
      <c r="DB4353">
        <v>0</v>
      </c>
      <c r="DC4353">
        <v>0</v>
      </c>
      <c r="DD4353">
        <v>0</v>
      </c>
      <c r="DE4353">
        <v>0</v>
      </c>
      <c r="DF4353">
        <v>0</v>
      </c>
      <c r="DG4353">
        <v>0</v>
      </c>
      <c r="DH4353">
        <v>0</v>
      </c>
      <c r="DI4353">
        <v>0</v>
      </c>
    </row>
    <row r="4354" spans="1:113" x14ac:dyDescent="0.3">
      <c r="A4354" t="str">
        <f>"02/08/2021 20:38:32.019"</f>
        <v>02/08/2021 20:38:32.019</v>
      </c>
      <c r="C4354" t="str">
        <f t="shared" si="215"/>
        <v>FFDFD7C0</v>
      </c>
      <c r="D4354" t="s">
        <v>113</v>
      </c>
      <c r="E4354">
        <v>6</v>
      </c>
      <c r="H4354">
        <v>165</v>
      </c>
      <c r="I4354" t="s">
        <v>114</v>
      </c>
      <c r="J4354" t="s">
        <v>115</v>
      </c>
      <c r="K4354">
        <v>0</v>
      </c>
      <c r="L4354">
        <v>3</v>
      </c>
      <c r="M4354">
        <v>0</v>
      </c>
      <c r="N4354">
        <v>2</v>
      </c>
      <c r="O4354">
        <v>1</v>
      </c>
      <c r="P4354">
        <v>0</v>
      </c>
      <c r="Q4354">
        <v>0</v>
      </c>
      <c r="S4354" t="str">
        <f>"20:38:34.328"</f>
        <v>20:38:34.328</v>
      </c>
      <c r="T4354" t="str">
        <f>"20:38:33.928"</f>
        <v>20:38:33.928</v>
      </c>
      <c r="U4354" t="str">
        <f t="shared" ref="U4354:U4417" si="217">"AB01F4"</f>
        <v>AB01F4</v>
      </c>
      <c r="V4354">
        <v>0</v>
      </c>
      <c r="W4354">
        <v>0</v>
      </c>
      <c r="X4354">
        <v>2</v>
      </c>
      <c r="Z4354">
        <v>0</v>
      </c>
      <c r="AA4354">
        <v>9</v>
      </c>
      <c r="AB4354">
        <v>3</v>
      </c>
      <c r="AC4354">
        <v>0</v>
      </c>
      <c r="AD4354">
        <v>10</v>
      </c>
      <c r="AE4354">
        <v>0</v>
      </c>
      <c r="AF4354">
        <v>3</v>
      </c>
      <c r="AG4354">
        <v>2</v>
      </c>
      <c r="AH4354">
        <v>0</v>
      </c>
      <c r="AI4354" t="s">
        <v>2421</v>
      </c>
      <c r="AJ4354">
        <v>40.161982000000002</v>
      </c>
      <c r="AK4354" t="s">
        <v>2422</v>
      </c>
      <c r="AL4354">
        <v>-93.185734999999994</v>
      </c>
      <c r="AM4354">
        <v>100</v>
      </c>
      <c r="AN4354">
        <v>1300</v>
      </c>
      <c r="AO4354" t="s">
        <v>118</v>
      </c>
      <c r="AP4354">
        <v>-131</v>
      </c>
      <c r="AQ4354">
        <v>-38</v>
      </c>
      <c r="AR4354">
        <v>-128</v>
      </c>
      <c r="AZ4354">
        <v>1200</v>
      </c>
      <c r="BA4354">
        <v>1</v>
      </c>
      <c r="BB4354" t="str">
        <f t="shared" si="216"/>
        <v xml:space="preserve">N8080G  </v>
      </c>
      <c r="BC4354">
        <v>1</v>
      </c>
      <c r="BE4354">
        <v>0</v>
      </c>
      <c r="BF4354">
        <v>0</v>
      </c>
      <c r="BG4354">
        <v>0</v>
      </c>
      <c r="BH4354">
        <v>1350</v>
      </c>
      <c r="BI4354">
        <v>1</v>
      </c>
      <c r="BJ4354">
        <v>1</v>
      </c>
      <c r="BK4354">
        <v>1</v>
      </c>
      <c r="BL4354">
        <v>0</v>
      </c>
      <c r="BO4354">
        <v>0</v>
      </c>
      <c r="BP4354">
        <v>0</v>
      </c>
      <c r="BW4354" t="str">
        <f>"20:38:34.330"</f>
        <v>20:38:34.330</v>
      </c>
      <c r="BZ4354">
        <v>0</v>
      </c>
      <c r="CA4354">
        <v>1600</v>
      </c>
      <c r="CB4354">
        <v>224</v>
      </c>
      <c r="CD4354">
        <v>1</v>
      </c>
      <c r="CE4354">
        <v>0</v>
      </c>
      <c r="CF4354">
        <v>0</v>
      </c>
      <c r="CG4354">
        <v>1</v>
      </c>
      <c r="CH4354">
        <v>0</v>
      </c>
      <c r="CI4354">
        <v>0</v>
      </c>
      <c r="CJ4354">
        <v>0</v>
      </c>
      <c r="CK4354">
        <v>2</v>
      </c>
      <c r="CL4354">
        <v>0</v>
      </c>
      <c r="CM4354">
        <v>2</v>
      </c>
      <c r="CN4354">
        <v>0</v>
      </c>
      <c r="CO4354">
        <v>1</v>
      </c>
      <c r="CP4354" t="s">
        <v>119</v>
      </c>
      <c r="CQ4354">
        <v>179</v>
      </c>
      <c r="CR4354">
        <v>2</v>
      </c>
      <c r="CW4354">
        <v>12682187</v>
      </c>
      <c r="CY4354">
        <v>0</v>
      </c>
      <c r="CZ4354">
        <v>0</v>
      </c>
      <c r="DA4354">
        <v>1</v>
      </c>
      <c r="DB4354">
        <v>0</v>
      </c>
      <c r="DC4354">
        <v>0</v>
      </c>
      <c r="DD4354">
        <v>0</v>
      </c>
      <c r="DE4354">
        <v>0</v>
      </c>
      <c r="DF4354">
        <v>0</v>
      </c>
      <c r="DG4354">
        <v>0</v>
      </c>
      <c r="DH4354">
        <v>0</v>
      </c>
      <c r="DI4354">
        <v>0</v>
      </c>
    </row>
    <row r="4355" spans="1:113" x14ac:dyDescent="0.3">
      <c r="A4355" t="str">
        <f>"02/08/2021 20:38:32.956"</f>
        <v>02/08/2021 20:38:32.956</v>
      </c>
      <c r="C4355" t="str">
        <f t="shared" si="215"/>
        <v>FFDFD7C0</v>
      </c>
      <c r="D4355" t="s">
        <v>113</v>
      </c>
      <c r="E4355">
        <v>6</v>
      </c>
      <c r="H4355">
        <v>165</v>
      </c>
      <c r="I4355" t="s">
        <v>114</v>
      </c>
      <c r="J4355" t="s">
        <v>115</v>
      </c>
      <c r="K4355">
        <v>0</v>
      </c>
      <c r="L4355">
        <v>3</v>
      </c>
      <c r="M4355">
        <v>0</v>
      </c>
      <c r="N4355">
        <v>2</v>
      </c>
      <c r="O4355">
        <v>1</v>
      </c>
      <c r="P4355">
        <v>0</v>
      </c>
      <c r="Q4355">
        <v>0</v>
      </c>
      <c r="S4355" t="str">
        <f>"20:38:35.258"</f>
        <v>20:38:35.258</v>
      </c>
      <c r="T4355" t="str">
        <f>"20:38:34.358"</f>
        <v>20:38:34.358</v>
      </c>
      <c r="U4355" t="str">
        <f t="shared" si="217"/>
        <v>AB01F4</v>
      </c>
      <c r="V4355">
        <v>0</v>
      </c>
      <c r="W4355">
        <v>0</v>
      </c>
      <c r="X4355">
        <v>2</v>
      </c>
      <c r="Z4355">
        <v>0</v>
      </c>
      <c r="AA4355">
        <v>9</v>
      </c>
      <c r="AB4355">
        <v>3</v>
      </c>
      <c r="AC4355">
        <v>0</v>
      </c>
      <c r="AD4355">
        <v>10</v>
      </c>
      <c r="AE4355">
        <v>0</v>
      </c>
      <c r="AF4355">
        <v>3</v>
      </c>
      <c r="AG4355">
        <v>2</v>
      </c>
      <c r="AH4355">
        <v>0</v>
      </c>
      <c r="AI4355" t="s">
        <v>2423</v>
      </c>
      <c r="AJ4355">
        <v>40.161873999999997</v>
      </c>
      <c r="AK4355" t="s">
        <v>2424</v>
      </c>
      <c r="AL4355">
        <v>-93.186400000000006</v>
      </c>
      <c r="AM4355">
        <v>100</v>
      </c>
      <c r="AN4355">
        <v>1300</v>
      </c>
      <c r="AO4355" t="s">
        <v>118</v>
      </c>
      <c r="AP4355">
        <v>-131</v>
      </c>
      <c r="AQ4355">
        <v>-38</v>
      </c>
      <c r="AR4355">
        <v>-128</v>
      </c>
      <c r="AZ4355">
        <v>1200</v>
      </c>
      <c r="BA4355">
        <v>1</v>
      </c>
      <c r="BB4355" t="str">
        <f t="shared" si="216"/>
        <v xml:space="preserve">N8080G  </v>
      </c>
      <c r="BC4355">
        <v>1</v>
      </c>
      <c r="BE4355">
        <v>0</v>
      </c>
      <c r="BF4355">
        <v>0</v>
      </c>
      <c r="BG4355">
        <v>0</v>
      </c>
      <c r="BH4355">
        <v>1350</v>
      </c>
      <c r="BI4355">
        <v>1</v>
      </c>
      <c r="BJ4355">
        <v>1</v>
      </c>
      <c r="BK4355">
        <v>1</v>
      </c>
      <c r="BL4355">
        <v>0</v>
      </c>
      <c r="BO4355">
        <v>0</v>
      </c>
      <c r="BP4355">
        <v>0</v>
      </c>
      <c r="BW4355" t="str">
        <f>"20:38:35.262"</f>
        <v>20:38:35.262</v>
      </c>
      <c r="BZ4355">
        <v>0</v>
      </c>
      <c r="CA4355">
        <v>1600</v>
      </c>
      <c r="CB4355">
        <v>224</v>
      </c>
      <c r="CD4355">
        <v>1</v>
      </c>
      <c r="CE4355">
        <v>0</v>
      </c>
      <c r="CF4355">
        <v>0</v>
      </c>
      <c r="CG4355">
        <v>1</v>
      </c>
      <c r="CH4355">
        <v>0</v>
      </c>
      <c r="CI4355">
        <v>0</v>
      </c>
      <c r="CJ4355">
        <v>0</v>
      </c>
      <c r="CK4355">
        <v>2</v>
      </c>
      <c r="CL4355">
        <v>0</v>
      </c>
      <c r="CM4355">
        <v>2</v>
      </c>
      <c r="CN4355">
        <v>0</v>
      </c>
      <c r="CO4355">
        <v>1</v>
      </c>
      <c r="CP4355" t="s">
        <v>119</v>
      </c>
      <c r="CQ4355">
        <v>179</v>
      </c>
      <c r="CR4355">
        <v>2</v>
      </c>
      <c r="CW4355">
        <v>12682906</v>
      </c>
      <c r="CY4355">
        <v>0</v>
      </c>
      <c r="CZ4355">
        <v>0</v>
      </c>
      <c r="DA4355">
        <v>0</v>
      </c>
      <c r="DB4355">
        <v>0</v>
      </c>
      <c r="DC4355">
        <v>0</v>
      </c>
      <c r="DD4355">
        <v>0</v>
      </c>
      <c r="DE4355">
        <v>0</v>
      </c>
      <c r="DF4355">
        <v>0</v>
      </c>
      <c r="DG4355">
        <v>0</v>
      </c>
      <c r="DH4355">
        <v>0</v>
      </c>
      <c r="DI4355">
        <v>0</v>
      </c>
    </row>
    <row r="4356" spans="1:113" x14ac:dyDescent="0.3">
      <c r="A4356" t="str">
        <f>"02/08/2021 20:38:32.956"</f>
        <v>02/08/2021 20:38:32.956</v>
      </c>
      <c r="C4356" t="str">
        <f t="shared" si="215"/>
        <v>FFDFD7C0</v>
      </c>
      <c r="D4356" t="s">
        <v>124</v>
      </c>
      <c r="E4356">
        <v>13</v>
      </c>
      <c r="F4356">
        <v>1013</v>
      </c>
      <c r="G4356" t="s">
        <v>114</v>
      </c>
      <c r="J4356" t="s">
        <v>125</v>
      </c>
      <c r="K4356">
        <v>0</v>
      </c>
      <c r="L4356">
        <v>3</v>
      </c>
      <c r="M4356">
        <v>0</v>
      </c>
      <c r="N4356">
        <v>2</v>
      </c>
      <c r="O4356">
        <v>1</v>
      </c>
      <c r="P4356">
        <v>0</v>
      </c>
      <c r="Q4356">
        <v>0</v>
      </c>
      <c r="S4356" t="str">
        <f>"20:38:35.258"</f>
        <v>20:38:35.258</v>
      </c>
      <c r="T4356" t="str">
        <f>"20:38:34.358"</f>
        <v>20:38:34.358</v>
      </c>
      <c r="U4356" t="str">
        <f t="shared" si="217"/>
        <v>AB01F4</v>
      </c>
      <c r="V4356">
        <v>0</v>
      </c>
      <c r="W4356">
        <v>0</v>
      </c>
      <c r="X4356">
        <v>2</v>
      </c>
      <c r="Z4356">
        <v>0</v>
      </c>
      <c r="AA4356">
        <v>9</v>
      </c>
      <c r="AB4356">
        <v>3</v>
      </c>
      <c r="AC4356">
        <v>0</v>
      </c>
      <c r="AD4356">
        <v>10</v>
      </c>
      <c r="AE4356">
        <v>0</v>
      </c>
      <c r="AF4356">
        <v>3</v>
      </c>
      <c r="AG4356">
        <v>2</v>
      </c>
      <c r="AH4356">
        <v>0</v>
      </c>
      <c r="AI4356" t="s">
        <v>2423</v>
      </c>
      <c r="AJ4356">
        <v>40.161873999999997</v>
      </c>
      <c r="AK4356" t="s">
        <v>2424</v>
      </c>
      <c r="AL4356">
        <v>-93.186400000000006</v>
      </c>
      <c r="AM4356">
        <v>100</v>
      </c>
      <c r="AN4356">
        <v>1300</v>
      </c>
      <c r="AO4356" t="s">
        <v>118</v>
      </c>
      <c r="AP4356">
        <v>-131</v>
      </c>
      <c r="AQ4356">
        <v>-38</v>
      </c>
      <c r="AR4356">
        <v>-128</v>
      </c>
      <c r="AZ4356">
        <v>1200</v>
      </c>
      <c r="BA4356">
        <v>1</v>
      </c>
      <c r="BB4356" t="str">
        <f t="shared" si="216"/>
        <v xml:space="preserve">N8080G  </v>
      </c>
      <c r="BC4356">
        <v>1</v>
      </c>
      <c r="BE4356">
        <v>0</v>
      </c>
      <c r="BF4356">
        <v>0</v>
      </c>
      <c r="BG4356">
        <v>0</v>
      </c>
      <c r="BH4356">
        <v>1350</v>
      </c>
      <c r="BI4356">
        <v>1</v>
      </c>
      <c r="BJ4356">
        <v>1</v>
      </c>
      <c r="BK4356">
        <v>1</v>
      </c>
      <c r="BL4356">
        <v>0</v>
      </c>
      <c r="BO4356">
        <v>0</v>
      </c>
      <c r="BP4356">
        <v>0</v>
      </c>
      <c r="BW4356" t="str">
        <f>"20:38:35.262"</f>
        <v>20:38:35.262</v>
      </c>
      <c r="BZ4356">
        <v>0</v>
      </c>
      <c r="CA4356">
        <v>1600</v>
      </c>
      <c r="CB4356">
        <v>224</v>
      </c>
      <c r="CD4356">
        <v>1</v>
      </c>
      <c r="CE4356">
        <v>0</v>
      </c>
      <c r="CF4356">
        <v>0</v>
      </c>
      <c r="CG4356">
        <v>1</v>
      </c>
      <c r="CH4356">
        <v>0</v>
      </c>
      <c r="CI4356">
        <v>0</v>
      </c>
      <c r="CJ4356">
        <v>0</v>
      </c>
      <c r="CK4356">
        <v>2</v>
      </c>
      <c r="CL4356">
        <v>0</v>
      </c>
      <c r="CM4356">
        <v>2</v>
      </c>
      <c r="CN4356">
        <v>0</v>
      </c>
      <c r="CO4356">
        <v>1</v>
      </c>
      <c r="CP4356" t="s">
        <v>119</v>
      </c>
      <c r="CQ4356">
        <v>179</v>
      </c>
      <c r="CR4356">
        <v>2</v>
      </c>
      <c r="CW4356">
        <v>12682906</v>
      </c>
      <c r="CY4356">
        <v>0</v>
      </c>
      <c r="CZ4356">
        <v>0</v>
      </c>
      <c r="DA4356">
        <v>1</v>
      </c>
      <c r="DB4356">
        <v>0</v>
      </c>
      <c r="DC4356">
        <v>0</v>
      </c>
      <c r="DD4356">
        <v>0</v>
      </c>
      <c r="DE4356">
        <v>0</v>
      </c>
      <c r="DF4356">
        <v>0</v>
      </c>
      <c r="DG4356">
        <v>0</v>
      </c>
      <c r="DH4356">
        <v>0</v>
      </c>
      <c r="DI4356">
        <v>0</v>
      </c>
    </row>
    <row r="4357" spans="1:113" x14ac:dyDescent="0.3">
      <c r="A4357" t="str">
        <f>"02/08/2021 20:38:32.956"</f>
        <v>02/08/2021 20:38:32.956</v>
      </c>
      <c r="C4357" t="str">
        <f t="shared" si="215"/>
        <v>FFDFD7C0</v>
      </c>
      <c r="D4357" t="s">
        <v>124</v>
      </c>
      <c r="E4357">
        <v>11</v>
      </c>
      <c r="F4357">
        <v>1011</v>
      </c>
      <c r="G4357" t="s">
        <v>590</v>
      </c>
      <c r="J4357" t="s">
        <v>125</v>
      </c>
      <c r="K4357">
        <v>0</v>
      </c>
      <c r="L4357">
        <v>3</v>
      </c>
      <c r="M4357">
        <v>0</v>
      </c>
      <c r="N4357">
        <v>2</v>
      </c>
      <c r="O4357">
        <v>1</v>
      </c>
      <c r="P4357">
        <v>0</v>
      </c>
      <c r="Q4357">
        <v>0</v>
      </c>
      <c r="S4357" t="str">
        <f>"20:38:35.258"</f>
        <v>20:38:35.258</v>
      </c>
      <c r="T4357" t="str">
        <f>"20:38:34.358"</f>
        <v>20:38:34.358</v>
      </c>
      <c r="U4357" t="str">
        <f t="shared" si="217"/>
        <v>AB01F4</v>
      </c>
      <c r="V4357">
        <v>0</v>
      </c>
      <c r="W4357">
        <v>0</v>
      </c>
      <c r="X4357">
        <v>2</v>
      </c>
      <c r="Z4357">
        <v>0</v>
      </c>
      <c r="AA4357">
        <v>9</v>
      </c>
      <c r="AB4357">
        <v>3</v>
      </c>
      <c r="AC4357">
        <v>0</v>
      </c>
      <c r="AD4357">
        <v>10</v>
      </c>
      <c r="AE4357">
        <v>0</v>
      </c>
      <c r="AF4357">
        <v>3</v>
      </c>
      <c r="AG4357">
        <v>2</v>
      </c>
      <c r="AH4357">
        <v>0</v>
      </c>
      <c r="AI4357" t="s">
        <v>2423</v>
      </c>
      <c r="AJ4357">
        <v>40.161873999999997</v>
      </c>
      <c r="AK4357" t="s">
        <v>2424</v>
      </c>
      <c r="AL4357">
        <v>-93.186400000000006</v>
      </c>
      <c r="AM4357">
        <v>100</v>
      </c>
      <c r="AN4357">
        <v>1300</v>
      </c>
      <c r="AO4357" t="s">
        <v>118</v>
      </c>
      <c r="AP4357">
        <v>-131</v>
      </c>
      <c r="AQ4357">
        <v>-38</v>
      </c>
      <c r="AR4357">
        <v>-128</v>
      </c>
      <c r="AZ4357">
        <v>1200</v>
      </c>
      <c r="BA4357">
        <v>1</v>
      </c>
      <c r="BB4357" t="str">
        <f t="shared" si="216"/>
        <v xml:space="preserve">N8080G  </v>
      </c>
      <c r="BC4357">
        <v>1</v>
      </c>
      <c r="BE4357">
        <v>0</v>
      </c>
      <c r="BF4357">
        <v>0</v>
      </c>
      <c r="BG4357">
        <v>0</v>
      </c>
      <c r="BH4357">
        <v>1350</v>
      </c>
      <c r="BI4357">
        <v>1</v>
      </c>
      <c r="BJ4357">
        <v>1</v>
      </c>
      <c r="BK4357">
        <v>1</v>
      </c>
      <c r="BL4357">
        <v>0</v>
      </c>
      <c r="BO4357">
        <v>0</v>
      </c>
      <c r="BP4357">
        <v>0</v>
      </c>
      <c r="BW4357" t="str">
        <f>"20:38:35.262"</f>
        <v>20:38:35.262</v>
      </c>
      <c r="BZ4357">
        <v>0</v>
      </c>
      <c r="CA4357">
        <v>1600</v>
      </c>
      <c r="CB4357">
        <v>224</v>
      </c>
      <c r="CD4357">
        <v>1</v>
      </c>
      <c r="CE4357">
        <v>0</v>
      </c>
      <c r="CF4357">
        <v>0</v>
      </c>
      <c r="CG4357">
        <v>1</v>
      </c>
      <c r="CH4357">
        <v>0</v>
      </c>
      <c r="CI4357">
        <v>0</v>
      </c>
      <c r="CJ4357">
        <v>0</v>
      </c>
      <c r="CK4357">
        <v>2</v>
      </c>
      <c r="CL4357">
        <v>0</v>
      </c>
      <c r="CM4357">
        <v>2</v>
      </c>
      <c r="CN4357">
        <v>0</v>
      </c>
      <c r="CO4357">
        <v>1</v>
      </c>
      <c r="CP4357" t="s">
        <v>119</v>
      </c>
      <c r="CQ4357">
        <v>179</v>
      </c>
      <c r="CR4357">
        <v>2</v>
      </c>
      <c r="CW4357">
        <v>12682906</v>
      </c>
      <c r="CY4357">
        <v>0</v>
      </c>
      <c r="CZ4357">
        <v>0</v>
      </c>
      <c r="DA4357">
        <v>1</v>
      </c>
      <c r="DB4357">
        <v>0</v>
      </c>
      <c r="DC4357">
        <v>0</v>
      </c>
      <c r="DD4357">
        <v>0</v>
      </c>
      <c r="DE4357">
        <v>0</v>
      </c>
      <c r="DF4357">
        <v>0</v>
      </c>
      <c r="DG4357">
        <v>0</v>
      </c>
      <c r="DH4357">
        <v>0</v>
      </c>
      <c r="DI4357">
        <v>0</v>
      </c>
    </row>
    <row r="4358" spans="1:113" x14ac:dyDescent="0.3">
      <c r="A4358" t="str">
        <f>"02/08/2021 20:38:32.956"</f>
        <v>02/08/2021 20:38:32.956</v>
      </c>
      <c r="C4358" t="str">
        <f t="shared" si="215"/>
        <v>FFDFD7C0</v>
      </c>
      <c r="D4358" t="s">
        <v>124</v>
      </c>
      <c r="E4358">
        <v>12</v>
      </c>
      <c r="F4358">
        <v>1012</v>
      </c>
      <c r="G4358" t="s">
        <v>675</v>
      </c>
      <c r="J4358" t="s">
        <v>125</v>
      </c>
      <c r="K4358">
        <v>0</v>
      </c>
      <c r="L4358">
        <v>3</v>
      </c>
      <c r="M4358">
        <v>0</v>
      </c>
      <c r="N4358">
        <v>2</v>
      </c>
      <c r="O4358">
        <v>1</v>
      </c>
      <c r="P4358">
        <v>0</v>
      </c>
      <c r="Q4358">
        <v>0</v>
      </c>
      <c r="S4358" t="str">
        <f>"20:38:35.258"</f>
        <v>20:38:35.258</v>
      </c>
      <c r="T4358" t="str">
        <f>"20:38:34.358"</f>
        <v>20:38:34.358</v>
      </c>
      <c r="U4358" t="str">
        <f t="shared" si="217"/>
        <v>AB01F4</v>
      </c>
      <c r="V4358">
        <v>0</v>
      </c>
      <c r="W4358">
        <v>0</v>
      </c>
      <c r="X4358">
        <v>2</v>
      </c>
      <c r="Z4358">
        <v>0</v>
      </c>
      <c r="AA4358">
        <v>9</v>
      </c>
      <c r="AB4358">
        <v>3</v>
      </c>
      <c r="AC4358">
        <v>0</v>
      </c>
      <c r="AD4358">
        <v>10</v>
      </c>
      <c r="AE4358">
        <v>0</v>
      </c>
      <c r="AF4358">
        <v>3</v>
      </c>
      <c r="AG4358">
        <v>2</v>
      </c>
      <c r="AH4358">
        <v>0</v>
      </c>
      <c r="AI4358" t="s">
        <v>2423</v>
      </c>
      <c r="AJ4358">
        <v>40.161873999999997</v>
      </c>
      <c r="AK4358" t="s">
        <v>2424</v>
      </c>
      <c r="AL4358">
        <v>-93.186400000000006</v>
      </c>
      <c r="AM4358">
        <v>100</v>
      </c>
      <c r="AN4358">
        <v>1300</v>
      </c>
      <c r="AO4358" t="s">
        <v>118</v>
      </c>
      <c r="AP4358">
        <v>-131</v>
      </c>
      <c r="AQ4358">
        <v>-38</v>
      </c>
      <c r="AR4358">
        <v>-128</v>
      </c>
      <c r="AZ4358">
        <v>1200</v>
      </c>
      <c r="BA4358">
        <v>1</v>
      </c>
      <c r="BB4358" t="str">
        <f t="shared" si="216"/>
        <v xml:space="preserve">N8080G  </v>
      </c>
      <c r="BC4358">
        <v>1</v>
      </c>
      <c r="BE4358">
        <v>0</v>
      </c>
      <c r="BF4358">
        <v>0</v>
      </c>
      <c r="BG4358">
        <v>0</v>
      </c>
      <c r="BH4358">
        <v>1350</v>
      </c>
      <c r="BI4358">
        <v>1</v>
      </c>
      <c r="BJ4358">
        <v>1</v>
      </c>
      <c r="BK4358">
        <v>1</v>
      </c>
      <c r="BL4358">
        <v>0</v>
      </c>
      <c r="BO4358">
        <v>0</v>
      </c>
      <c r="BP4358">
        <v>0</v>
      </c>
      <c r="BW4358" t="str">
        <f>"20:38:35.262"</f>
        <v>20:38:35.262</v>
      </c>
      <c r="BZ4358">
        <v>0</v>
      </c>
      <c r="CA4358">
        <v>1600</v>
      </c>
      <c r="CB4358">
        <v>224</v>
      </c>
      <c r="CD4358">
        <v>1</v>
      </c>
      <c r="CE4358">
        <v>0</v>
      </c>
      <c r="CF4358">
        <v>0</v>
      </c>
      <c r="CG4358">
        <v>1</v>
      </c>
      <c r="CH4358">
        <v>0</v>
      </c>
      <c r="CI4358">
        <v>0</v>
      </c>
      <c r="CJ4358">
        <v>0</v>
      </c>
      <c r="CK4358">
        <v>2</v>
      </c>
      <c r="CL4358">
        <v>0</v>
      </c>
      <c r="CM4358">
        <v>2</v>
      </c>
      <c r="CN4358">
        <v>0</v>
      </c>
      <c r="CO4358">
        <v>1</v>
      </c>
      <c r="CP4358" t="s">
        <v>119</v>
      </c>
      <c r="CQ4358">
        <v>179</v>
      </c>
      <c r="CR4358">
        <v>2</v>
      </c>
      <c r="CW4358">
        <v>12682906</v>
      </c>
      <c r="CY4358">
        <v>0</v>
      </c>
      <c r="CZ4358">
        <v>0</v>
      </c>
      <c r="DA4358">
        <v>1</v>
      </c>
      <c r="DB4358">
        <v>0</v>
      </c>
      <c r="DC4358">
        <v>0</v>
      </c>
      <c r="DD4358">
        <v>0</v>
      </c>
      <c r="DE4358">
        <v>0</v>
      </c>
      <c r="DF4358">
        <v>0</v>
      </c>
      <c r="DG4358">
        <v>0</v>
      </c>
      <c r="DH4358">
        <v>0</v>
      </c>
      <c r="DI4358">
        <v>0</v>
      </c>
    </row>
    <row r="4359" spans="1:113" x14ac:dyDescent="0.3">
      <c r="A4359" t="str">
        <f>"02/08/2021 20:38:36.241"</f>
        <v>02/08/2021 20:38:36.241</v>
      </c>
      <c r="C4359" t="str">
        <f t="shared" si="215"/>
        <v>FFDFD7C0</v>
      </c>
      <c r="D4359" t="s">
        <v>124</v>
      </c>
      <c r="E4359">
        <v>13</v>
      </c>
      <c r="F4359">
        <v>1013</v>
      </c>
      <c r="G4359" t="s">
        <v>114</v>
      </c>
      <c r="J4359" t="s">
        <v>125</v>
      </c>
      <c r="K4359">
        <v>0</v>
      </c>
      <c r="L4359">
        <v>3</v>
      </c>
      <c r="M4359">
        <v>0</v>
      </c>
      <c r="N4359">
        <v>2</v>
      </c>
      <c r="O4359">
        <v>1</v>
      </c>
      <c r="P4359">
        <v>0</v>
      </c>
      <c r="Q4359">
        <v>0</v>
      </c>
      <c r="S4359" t="str">
        <f>"20:38:38.594"</f>
        <v>20:38:38.594</v>
      </c>
      <c r="T4359" t="str">
        <f>"20:38:37.294"</f>
        <v>20:38:37.294</v>
      </c>
      <c r="U4359" t="str">
        <f t="shared" si="217"/>
        <v>AB01F4</v>
      </c>
      <c r="V4359">
        <v>0</v>
      </c>
      <c r="W4359">
        <v>0</v>
      </c>
      <c r="X4359">
        <v>2</v>
      </c>
      <c r="Z4359">
        <v>0</v>
      </c>
      <c r="AA4359">
        <v>9</v>
      </c>
      <c r="AB4359">
        <v>3</v>
      </c>
      <c r="AC4359">
        <v>0</v>
      </c>
      <c r="AD4359">
        <v>10</v>
      </c>
      <c r="AE4359">
        <v>0</v>
      </c>
      <c r="AF4359">
        <v>3</v>
      </c>
      <c r="AG4359">
        <v>2</v>
      </c>
      <c r="AH4359">
        <v>0</v>
      </c>
      <c r="AI4359" t="s">
        <v>2425</v>
      </c>
      <c r="AJ4359">
        <v>40.161295000000003</v>
      </c>
      <c r="AK4359" t="s">
        <v>2426</v>
      </c>
      <c r="AL4359">
        <v>-93.189018000000004</v>
      </c>
      <c r="AM4359">
        <v>100</v>
      </c>
      <c r="AN4359">
        <v>1300</v>
      </c>
      <c r="AO4359" t="s">
        <v>118</v>
      </c>
      <c r="AP4359">
        <v>-131</v>
      </c>
      <c r="AQ4359">
        <v>-37</v>
      </c>
      <c r="AR4359">
        <v>-128</v>
      </c>
      <c r="AZ4359">
        <v>1200</v>
      </c>
      <c r="BA4359">
        <v>1</v>
      </c>
      <c r="BB4359" t="str">
        <f t="shared" si="216"/>
        <v xml:space="preserve">N8080G  </v>
      </c>
      <c r="BC4359">
        <v>1</v>
      </c>
      <c r="BE4359">
        <v>0</v>
      </c>
      <c r="BF4359">
        <v>0</v>
      </c>
      <c r="BG4359">
        <v>0</v>
      </c>
      <c r="BH4359">
        <v>1350</v>
      </c>
      <c r="BI4359">
        <v>1</v>
      </c>
      <c r="BJ4359">
        <v>1</v>
      </c>
      <c r="BK4359">
        <v>1</v>
      </c>
      <c r="BL4359">
        <v>0</v>
      </c>
      <c r="BO4359">
        <v>0</v>
      </c>
      <c r="BP4359">
        <v>0</v>
      </c>
      <c r="BW4359" t="str">
        <f>"20:38:38.595"</f>
        <v>20:38:38.595</v>
      </c>
      <c r="BZ4359">
        <v>0</v>
      </c>
      <c r="CA4359">
        <v>1600</v>
      </c>
      <c r="CB4359">
        <v>224</v>
      </c>
      <c r="CD4359">
        <v>1</v>
      </c>
      <c r="CE4359">
        <v>0</v>
      </c>
      <c r="CF4359">
        <v>0</v>
      </c>
      <c r="CG4359">
        <v>1</v>
      </c>
      <c r="CH4359">
        <v>0</v>
      </c>
      <c r="CI4359">
        <v>0</v>
      </c>
      <c r="CJ4359">
        <v>0</v>
      </c>
      <c r="CK4359">
        <v>2</v>
      </c>
      <c r="CL4359">
        <v>0</v>
      </c>
      <c r="CM4359">
        <v>2</v>
      </c>
      <c r="CN4359">
        <v>0</v>
      </c>
      <c r="CO4359">
        <v>1</v>
      </c>
      <c r="CP4359" t="s">
        <v>119</v>
      </c>
      <c r="CQ4359">
        <v>179</v>
      </c>
      <c r="CR4359">
        <v>2</v>
      </c>
      <c r="CW4359">
        <v>12685658</v>
      </c>
      <c r="CY4359">
        <v>0</v>
      </c>
      <c r="CZ4359">
        <v>0</v>
      </c>
      <c r="DA4359">
        <v>0</v>
      </c>
      <c r="DB4359">
        <v>0</v>
      </c>
      <c r="DC4359">
        <v>0</v>
      </c>
      <c r="DD4359">
        <v>0</v>
      </c>
      <c r="DE4359">
        <v>0</v>
      </c>
      <c r="DF4359">
        <v>0</v>
      </c>
      <c r="DG4359">
        <v>0</v>
      </c>
      <c r="DH4359">
        <v>0</v>
      </c>
      <c r="DI4359">
        <v>0</v>
      </c>
    </row>
    <row r="4360" spans="1:113" x14ac:dyDescent="0.3">
      <c r="A4360" t="str">
        <f>"02/08/2021 20:38:36.241"</f>
        <v>02/08/2021 20:38:36.241</v>
      </c>
      <c r="C4360" t="str">
        <f t="shared" si="215"/>
        <v>FFDFD7C0</v>
      </c>
      <c r="D4360" t="s">
        <v>113</v>
      </c>
      <c r="E4360">
        <v>6</v>
      </c>
      <c r="H4360">
        <v>165</v>
      </c>
      <c r="I4360" t="s">
        <v>114</v>
      </c>
      <c r="J4360" t="s">
        <v>115</v>
      </c>
      <c r="K4360">
        <v>0</v>
      </c>
      <c r="L4360">
        <v>3</v>
      </c>
      <c r="M4360">
        <v>0</v>
      </c>
      <c r="N4360">
        <v>2</v>
      </c>
      <c r="O4360">
        <v>1</v>
      </c>
      <c r="P4360">
        <v>0</v>
      </c>
      <c r="Q4360">
        <v>0</v>
      </c>
      <c r="S4360" t="str">
        <f>"20:38:38.594"</f>
        <v>20:38:38.594</v>
      </c>
      <c r="T4360" t="str">
        <f>"20:38:37.294"</f>
        <v>20:38:37.294</v>
      </c>
      <c r="U4360" t="str">
        <f t="shared" si="217"/>
        <v>AB01F4</v>
      </c>
      <c r="V4360">
        <v>0</v>
      </c>
      <c r="W4360">
        <v>0</v>
      </c>
      <c r="X4360">
        <v>2</v>
      </c>
      <c r="Z4360">
        <v>0</v>
      </c>
      <c r="AA4360">
        <v>9</v>
      </c>
      <c r="AB4360">
        <v>3</v>
      </c>
      <c r="AC4360">
        <v>0</v>
      </c>
      <c r="AD4360">
        <v>10</v>
      </c>
      <c r="AE4360">
        <v>0</v>
      </c>
      <c r="AF4360">
        <v>3</v>
      </c>
      <c r="AG4360">
        <v>2</v>
      </c>
      <c r="AH4360">
        <v>0</v>
      </c>
      <c r="AI4360" t="s">
        <v>2425</v>
      </c>
      <c r="AJ4360">
        <v>40.161295000000003</v>
      </c>
      <c r="AK4360" t="s">
        <v>2426</v>
      </c>
      <c r="AL4360">
        <v>-93.189018000000004</v>
      </c>
      <c r="AM4360">
        <v>100</v>
      </c>
      <c r="AN4360">
        <v>1300</v>
      </c>
      <c r="AO4360" t="s">
        <v>118</v>
      </c>
      <c r="AP4360">
        <v>-131</v>
      </c>
      <c r="AQ4360">
        <v>-37</v>
      </c>
      <c r="AR4360">
        <v>-128</v>
      </c>
      <c r="AZ4360">
        <v>1200</v>
      </c>
      <c r="BA4360">
        <v>1</v>
      </c>
      <c r="BB4360" t="str">
        <f t="shared" si="216"/>
        <v xml:space="preserve">N8080G  </v>
      </c>
      <c r="BC4360">
        <v>1</v>
      </c>
      <c r="BE4360">
        <v>0</v>
      </c>
      <c r="BF4360">
        <v>0</v>
      </c>
      <c r="BG4360">
        <v>0</v>
      </c>
      <c r="BH4360">
        <v>1350</v>
      </c>
      <c r="BI4360">
        <v>1</v>
      </c>
      <c r="BJ4360">
        <v>1</v>
      </c>
      <c r="BK4360">
        <v>1</v>
      </c>
      <c r="BL4360">
        <v>0</v>
      </c>
      <c r="BO4360">
        <v>0</v>
      </c>
      <c r="BP4360">
        <v>0</v>
      </c>
      <c r="BW4360" t="str">
        <f>"20:38:38.595"</f>
        <v>20:38:38.595</v>
      </c>
      <c r="BZ4360">
        <v>0</v>
      </c>
      <c r="CA4360">
        <v>1600</v>
      </c>
      <c r="CB4360">
        <v>224</v>
      </c>
      <c r="CD4360">
        <v>1</v>
      </c>
      <c r="CE4360">
        <v>0</v>
      </c>
      <c r="CF4360">
        <v>0</v>
      </c>
      <c r="CG4360">
        <v>1</v>
      </c>
      <c r="CH4360">
        <v>0</v>
      </c>
      <c r="CI4360">
        <v>0</v>
      </c>
      <c r="CJ4360">
        <v>0</v>
      </c>
      <c r="CK4360">
        <v>2</v>
      </c>
      <c r="CL4360">
        <v>0</v>
      </c>
      <c r="CM4360">
        <v>2</v>
      </c>
      <c r="CN4360">
        <v>0</v>
      </c>
      <c r="CO4360">
        <v>1</v>
      </c>
      <c r="CP4360" t="s">
        <v>119</v>
      </c>
      <c r="CQ4360">
        <v>179</v>
      </c>
      <c r="CR4360">
        <v>2</v>
      </c>
      <c r="CW4360">
        <v>12685658</v>
      </c>
      <c r="CY4360">
        <v>0</v>
      </c>
      <c r="CZ4360">
        <v>0</v>
      </c>
      <c r="DA4360">
        <v>1</v>
      </c>
      <c r="DB4360">
        <v>0</v>
      </c>
      <c r="DC4360">
        <v>0</v>
      </c>
      <c r="DD4360">
        <v>0</v>
      </c>
      <c r="DE4360">
        <v>0</v>
      </c>
      <c r="DF4360">
        <v>0</v>
      </c>
      <c r="DG4360">
        <v>0</v>
      </c>
      <c r="DH4360">
        <v>0</v>
      </c>
      <c r="DI4360">
        <v>0</v>
      </c>
    </row>
    <row r="4361" spans="1:113" x14ac:dyDescent="0.3">
      <c r="A4361" t="str">
        <f>"02/08/2021 20:38:36.241"</f>
        <v>02/08/2021 20:38:36.241</v>
      </c>
      <c r="C4361" t="str">
        <f t="shared" si="215"/>
        <v>FFDFD7C0</v>
      </c>
      <c r="D4361" t="s">
        <v>124</v>
      </c>
      <c r="E4361">
        <v>12</v>
      </c>
      <c r="F4361">
        <v>1012</v>
      </c>
      <c r="G4361" t="s">
        <v>675</v>
      </c>
      <c r="J4361" t="s">
        <v>125</v>
      </c>
      <c r="K4361">
        <v>0</v>
      </c>
      <c r="L4361">
        <v>3</v>
      </c>
      <c r="M4361">
        <v>0</v>
      </c>
      <c r="N4361">
        <v>2</v>
      </c>
      <c r="O4361">
        <v>1</v>
      </c>
      <c r="P4361">
        <v>0</v>
      </c>
      <c r="Q4361">
        <v>0</v>
      </c>
      <c r="S4361" t="str">
        <f>"20:38:38.594"</f>
        <v>20:38:38.594</v>
      </c>
      <c r="T4361" t="str">
        <f>"20:38:37.294"</f>
        <v>20:38:37.294</v>
      </c>
      <c r="U4361" t="str">
        <f t="shared" si="217"/>
        <v>AB01F4</v>
      </c>
      <c r="V4361">
        <v>0</v>
      </c>
      <c r="W4361">
        <v>0</v>
      </c>
      <c r="X4361">
        <v>2</v>
      </c>
      <c r="Z4361">
        <v>0</v>
      </c>
      <c r="AA4361">
        <v>9</v>
      </c>
      <c r="AB4361">
        <v>3</v>
      </c>
      <c r="AC4361">
        <v>0</v>
      </c>
      <c r="AD4361">
        <v>10</v>
      </c>
      <c r="AE4361">
        <v>0</v>
      </c>
      <c r="AF4361">
        <v>3</v>
      </c>
      <c r="AG4361">
        <v>2</v>
      </c>
      <c r="AH4361">
        <v>0</v>
      </c>
      <c r="AI4361" t="s">
        <v>2425</v>
      </c>
      <c r="AJ4361">
        <v>40.161295000000003</v>
      </c>
      <c r="AK4361" t="s">
        <v>2426</v>
      </c>
      <c r="AL4361">
        <v>-93.189018000000004</v>
      </c>
      <c r="AM4361">
        <v>100</v>
      </c>
      <c r="AN4361">
        <v>1300</v>
      </c>
      <c r="AO4361" t="s">
        <v>118</v>
      </c>
      <c r="AP4361">
        <v>-131</v>
      </c>
      <c r="AQ4361">
        <v>-37</v>
      </c>
      <c r="AR4361">
        <v>-128</v>
      </c>
      <c r="AZ4361">
        <v>1200</v>
      </c>
      <c r="BA4361">
        <v>1</v>
      </c>
      <c r="BB4361" t="str">
        <f t="shared" si="216"/>
        <v xml:space="preserve">N8080G  </v>
      </c>
      <c r="BC4361">
        <v>1</v>
      </c>
      <c r="BE4361">
        <v>0</v>
      </c>
      <c r="BF4361">
        <v>0</v>
      </c>
      <c r="BG4361">
        <v>0</v>
      </c>
      <c r="BH4361">
        <v>1350</v>
      </c>
      <c r="BI4361">
        <v>1</v>
      </c>
      <c r="BJ4361">
        <v>1</v>
      </c>
      <c r="BK4361">
        <v>1</v>
      </c>
      <c r="BL4361">
        <v>0</v>
      </c>
      <c r="BO4361">
        <v>0</v>
      </c>
      <c r="BP4361">
        <v>0</v>
      </c>
      <c r="BW4361" t="str">
        <f>"20:38:38.595"</f>
        <v>20:38:38.595</v>
      </c>
      <c r="BZ4361">
        <v>0</v>
      </c>
      <c r="CA4361">
        <v>1600</v>
      </c>
      <c r="CB4361">
        <v>224</v>
      </c>
      <c r="CD4361">
        <v>1</v>
      </c>
      <c r="CE4361">
        <v>0</v>
      </c>
      <c r="CF4361">
        <v>0</v>
      </c>
      <c r="CG4361">
        <v>1</v>
      </c>
      <c r="CH4361">
        <v>0</v>
      </c>
      <c r="CI4361">
        <v>0</v>
      </c>
      <c r="CJ4361">
        <v>0</v>
      </c>
      <c r="CK4361">
        <v>2</v>
      </c>
      <c r="CL4361">
        <v>0</v>
      </c>
      <c r="CM4361">
        <v>2</v>
      </c>
      <c r="CN4361">
        <v>0</v>
      </c>
      <c r="CO4361">
        <v>1</v>
      </c>
      <c r="CP4361" t="s">
        <v>119</v>
      </c>
      <c r="CQ4361">
        <v>179</v>
      </c>
      <c r="CR4361">
        <v>2</v>
      </c>
      <c r="CW4361">
        <v>12685658</v>
      </c>
      <c r="CY4361">
        <v>0</v>
      </c>
      <c r="CZ4361">
        <v>0</v>
      </c>
      <c r="DA4361">
        <v>1</v>
      </c>
      <c r="DB4361">
        <v>0</v>
      </c>
      <c r="DC4361">
        <v>0</v>
      </c>
      <c r="DD4361">
        <v>0</v>
      </c>
      <c r="DE4361">
        <v>0</v>
      </c>
      <c r="DF4361">
        <v>0</v>
      </c>
      <c r="DG4361">
        <v>0</v>
      </c>
      <c r="DH4361">
        <v>0</v>
      </c>
      <c r="DI4361">
        <v>0</v>
      </c>
    </row>
    <row r="4362" spans="1:113" x14ac:dyDescent="0.3">
      <c r="A4362" t="str">
        <f>"02/08/2021 20:38:36.241"</f>
        <v>02/08/2021 20:38:36.241</v>
      </c>
      <c r="C4362" t="str">
        <f t="shared" si="215"/>
        <v>FFDFD7C0</v>
      </c>
      <c r="D4362" t="s">
        <v>124</v>
      </c>
      <c r="E4362">
        <v>11</v>
      </c>
      <c r="F4362">
        <v>1011</v>
      </c>
      <c r="G4362" t="s">
        <v>590</v>
      </c>
      <c r="J4362" t="s">
        <v>125</v>
      </c>
      <c r="K4362">
        <v>0</v>
      </c>
      <c r="L4362">
        <v>3</v>
      </c>
      <c r="M4362">
        <v>0</v>
      </c>
      <c r="N4362">
        <v>2</v>
      </c>
      <c r="O4362">
        <v>1</v>
      </c>
      <c r="P4362">
        <v>0</v>
      </c>
      <c r="Q4362">
        <v>0</v>
      </c>
      <c r="S4362" t="str">
        <f>"20:38:38.594"</f>
        <v>20:38:38.594</v>
      </c>
      <c r="T4362" t="str">
        <f>"20:38:37.294"</f>
        <v>20:38:37.294</v>
      </c>
      <c r="U4362" t="str">
        <f t="shared" si="217"/>
        <v>AB01F4</v>
      </c>
      <c r="V4362">
        <v>0</v>
      </c>
      <c r="W4362">
        <v>0</v>
      </c>
      <c r="X4362">
        <v>2</v>
      </c>
      <c r="Z4362">
        <v>0</v>
      </c>
      <c r="AA4362">
        <v>9</v>
      </c>
      <c r="AB4362">
        <v>3</v>
      </c>
      <c r="AC4362">
        <v>0</v>
      </c>
      <c r="AD4362">
        <v>10</v>
      </c>
      <c r="AE4362">
        <v>0</v>
      </c>
      <c r="AF4362">
        <v>3</v>
      </c>
      <c r="AG4362">
        <v>2</v>
      </c>
      <c r="AH4362">
        <v>0</v>
      </c>
      <c r="AI4362" t="s">
        <v>2425</v>
      </c>
      <c r="AJ4362">
        <v>40.161295000000003</v>
      </c>
      <c r="AK4362" t="s">
        <v>2426</v>
      </c>
      <c r="AL4362">
        <v>-93.189018000000004</v>
      </c>
      <c r="AM4362">
        <v>100</v>
      </c>
      <c r="AN4362">
        <v>1300</v>
      </c>
      <c r="AO4362" t="s">
        <v>118</v>
      </c>
      <c r="AP4362">
        <v>-131</v>
      </c>
      <c r="AQ4362">
        <v>-37</v>
      </c>
      <c r="AR4362">
        <v>-128</v>
      </c>
      <c r="AZ4362">
        <v>1200</v>
      </c>
      <c r="BA4362">
        <v>1</v>
      </c>
      <c r="BB4362" t="str">
        <f t="shared" si="216"/>
        <v xml:space="preserve">N8080G  </v>
      </c>
      <c r="BC4362">
        <v>1</v>
      </c>
      <c r="BE4362">
        <v>0</v>
      </c>
      <c r="BF4362">
        <v>0</v>
      </c>
      <c r="BG4362">
        <v>0</v>
      </c>
      <c r="BH4362">
        <v>1350</v>
      </c>
      <c r="BI4362">
        <v>1</v>
      </c>
      <c r="BJ4362">
        <v>1</v>
      </c>
      <c r="BK4362">
        <v>1</v>
      </c>
      <c r="BL4362">
        <v>0</v>
      </c>
      <c r="BO4362">
        <v>0</v>
      </c>
      <c r="BP4362">
        <v>0</v>
      </c>
      <c r="BW4362" t="str">
        <f>"20:38:38.595"</f>
        <v>20:38:38.595</v>
      </c>
      <c r="BZ4362">
        <v>0</v>
      </c>
      <c r="CA4362">
        <v>1600</v>
      </c>
      <c r="CB4362">
        <v>224</v>
      </c>
      <c r="CD4362">
        <v>1</v>
      </c>
      <c r="CE4362">
        <v>0</v>
      </c>
      <c r="CF4362">
        <v>0</v>
      </c>
      <c r="CG4362">
        <v>1</v>
      </c>
      <c r="CH4362">
        <v>0</v>
      </c>
      <c r="CI4362">
        <v>0</v>
      </c>
      <c r="CJ4362">
        <v>0</v>
      </c>
      <c r="CK4362">
        <v>2</v>
      </c>
      <c r="CL4362">
        <v>0</v>
      </c>
      <c r="CM4362">
        <v>2</v>
      </c>
      <c r="CN4362">
        <v>0</v>
      </c>
      <c r="CO4362">
        <v>1</v>
      </c>
      <c r="CP4362" t="s">
        <v>119</v>
      </c>
      <c r="CQ4362">
        <v>179</v>
      </c>
      <c r="CR4362">
        <v>2</v>
      </c>
      <c r="CW4362">
        <v>12685658</v>
      </c>
      <c r="CY4362">
        <v>0</v>
      </c>
      <c r="CZ4362">
        <v>0</v>
      </c>
      <c r="DA4362">
        <v>1</v>
      </c>
      <c r="DB4362">
        <v>0</v>
      </c>
      <c r="DC4362">
        <v>0</v>
      </c>
      <c r="DD4362">
        <v>0</v>
      </c>
      <c r="DE4362">
        <v>0</v>
      </c>
      <c r="DF4362">
        <v>0</v>
      </c>
      <c r="DG4362">
        <v>0</v>
      </c>
      <c r="DH4362">
        <v>0</v>
      </c>
      <c r="DI4362">
        <v>0</v>
      </c>
    </row>
    <row r="4363" spans="1:113" x14ac:dyDescent="0.3">
      <c r="A4363" t="str">
        <f>"02/08/2021 20:38:37.724"</f>
        <v>02/08/2021 20:38:37.724</v>
      </c>
      <c r="C4363" t="str">
        <f t="shared" si="215"/>
        <v>FFDFD7C0</v>
      </c>
      <c r="D4363" t="s">
        <v>124</v>
      </c>
      <c r="E4363">
        <v>11</v>
      </c>
      <c r="F4363">
        <v>1011</v>
      </c>
      <c r="G4363" t="s">
        <v>590</v>
      </c>
      <c r="J4363" t="s">
        <v>125</v>
      </c>
      <c r="K4363">
        <v>0</v>
      </c>
      <c r="L4363">
        <v>3</v>
      </c>
      <c r="M4363">
        <v>0</v>
      </c>
      <c r="N4363">
        <v>2</v>
      </c>
      <c r="O4363">
        <v>1</v>
      </c>
      <c r="P4363">
        <v>0</v>
      </c>
      <c r="Q4363">
        <v>0</v>
      </c>
      <c r="S4363" t="str">
        <f>"20:38:40.039"</f>
        <v>20:38:40.039</v>
      </c>
      <c r="T4363" t="str">
        <f>"20:38:39.539"</f>
        <v>20:38:39.539</v>
      </c>
      <c r="U4363" t="str">
        <f t="shared" si="217"/>
        <v>AB01F4</v>
      </c>
      <c r="V4363">
        <v>0</v>
      </c>
      <c r="W4363">
        <v>0</v>
      </c>
      <c r="X4363">
        <v>2</v>
      </c>
      <c r="Z4363">
        <v>0</v>
      </c>
      <c r="AA4363">
        <v>9</v>
      </c>
      <c r="AB4363">
        <v>3</v>
      </c>
      <c r="AC4363">
        <v>0</v>
      </c>
      <c r="AD4363">
        <v>10</v>
      </c>
      <c r="AE4363">
        <v>0</v>
      </c>
      <c r="AF4363">
        <v>3</v>
      </c>
      <c r="AG4363">
        <v>2</v>
      </c>
      <c r="AH4363">
        <v>0</v>
      </c>
      <c r="AI4363" t="s">
        <v>2427</v>
      </c>
      <c r="AJ4363">
        <v>40.161037</v>
      </c>
      <c r="AK4363" t="s">
        <v>2428</v>
      </c>
      <c r="AL4363">
        <v>-93.190284000000005</v>
      </c>
      <c r="AM4363">
        <v>100</v>
      </c>
      <c r="AN4363">
        <v>1300</v>
      </c>
      <c r="AO4363" t="s">
        <v>118</v>
      </c>
      <c r="AP4363">
        <v>-132</v>
      </c>
      <c r="AQ4363">
        <v>-37</v>
      </c>
      <c r="AR4363">
        <v>-64</v>
      </c>
      <c r="AZ4363">
        <v>1200</v>
      </c>
      <c r="BA4363">
        <v>1</v>
      </c>
      <c r="BB4363" t="str">
        <f t="shared" si="216"/>
        <v xml:space="preserve">N8080G  </v>
      </c>
      <c r="BC4363">
        <v>1</v>
      </c>
      <c r="BE4363">
        <v>0</v>
      </c>
      <c r="BF4363">
        <v>0</v>
      </c>
      <c r="BG4363">
        <v>0</v>
      </c>
      <c r="BH4363">
        <v>1350</v>
      </c>
      <c r="BI4363">
        <v>1</v>
      </c>
      <c r="BJ4363">
        <v>1</v>
      </c>
      <c r="BK4363">
        <v>1</v>
      </c>
      <c r="BL4363">
        <v>0</v>
      </c>
      <c r="BO4363">
        <v>0</v>
      </c>
      <c r="BP4363">
        <v>0</v>
      </c>
      <c r="BW4363" t="str">
        <f>"20:38:40.047"</f>
        <v>20:38:40.047</v>
      </c>
      <c r="BZ4363">
        <v>0</v>
      </c>
      <c r="CA4363">
        <v>1600</v>
      </c>
      <c r="CB4363">
        <v>224</v>
      </c>
      <c r="CD4363">
        <v>1</v>
      </c>
      <c r="CE4363">
        <v>0</v>
      </c>
      <c r="CF4363">
        <v>0</v>
      </c>
      <c r="CG4363">
        <v>1</v>
      </c>
      <c r="CH4363">
        <v>0</v>
      </c>
      <c r="CI4363">
        <v>0</v>
      </c>
      <c r="CJ4363">
        <v>0</v>
      </c>
      <c r="CK4363">
        <v>2</v>
      </c>
      <c r="CL4363">
        <v>0</v>
      </c>
      <c r="CM4363">
        <v>2</v>
      </c>
      <c r="CN4363">
        <v>0</v>
      </c>
      <c r="CO4363">
        <v>4</v>
      </c>
      <c r="CP4363" t="s">
        <v>119</v>
      </c>
      <c r="CQ4363">
        <v>180</v>
      </c>
      <c r="CR4363">
        <v>3</v>
      </c>
      <c r="CW4363">
        <v>1409947</v>
      </c>
      <c r="CY4363">
        <v>0</v>
      </c>
      <c r="CZ4363">
        <v>0</v>
      </c>
      <c r="DA4363">
        <v>0</v>
      </c>
      <c r="DB4363">
        <v>0</v>
      </c>
      <c r="DC4363">
        <v>0</v>
      </c>
      <c r="DD4363">
        <v>0</v>
      </c>
      <c r="DE4363">
        <v>0</v>
      </c>
      <c r="DF4363">
        <v>0</v>
      </c>
      <c r="DG4363">
        <v>0</v>
      </c>
      <c r="DH4363">
        <v>0</v>
      </c>
      <c r="DI4363">
        <v>0</v>
      </c>
    </row>
    <row r="4364" spans="1:113" x14ac:dyDescent="0.3">
      <c r="A4364" t="str">
        <f>"02/08/2021 20:38:37.724"</f>
        <v>02/08/2021 20:38:37.724</v>
      </c>
      <c r="C4364" t="str">
        <f t="shared" si="215"/>
        <v>FFDFD7C0</v>
      </c>
      <c r="D4364" t="s">
        <v>124</v>
      </c>
      <c r="E4364">
        <v>13</v>
      </c>
      <c r="F4364">
        <v>1013</v>
      </c>
      <c r="G4364" t="s">
        <v>114</v>
      </c>
      <c r="J4364" t="s">
        <v>125</v>
      </c>
      <c r="K4364">
        <v>0</v>
      </c>
      <c r="L4364">
        <v>3</v>
      </c>
      <c r="M4364">
        <v>0</v>
      </c>
      <c r="N4364">
        <v>2</v>
      </c>
      <c r="O4364">
        <v>1</v>
      </c>
      <c r="P4364">
        <v>0</v>
      </c>
      <c r="Q4364">
        <v>0</v>
      </c>
      <c r="S4364" t="str">
        <f>"20:38:40.039"</f>
        <v>20:38:40.039</v>
      </c>
      <c r="T4364" t="str">
        <f>"20:38:39.539"</f>
        <v>20:38:39.539</v>
      </c>
      <c r="U4364" t="str">
        <f t="shared" si="217"/>
        <v>AB01F4</v>
      </c>
      <c r="V4364">
        <v>0</v>
      </c>
      <c r="W4364">
        <v>0</v>
      </c>
      <c r="X4364">
        <v>2</v>
      </c>
      <c r="Z4364">
        <v>0</v>
      </c>
      <c r="AA4364">
        <v>9</v>
      </c>
      <c r="AB4364">
        <v>3</v>
      </c>
      <c r="AC4364">
        <v>0</v>
      </c>
      <c r="AD4364">
        <v>10</v>
      </c>
      <c r="AE4364">
        <v>0</v>
      </c>
      <c r="AF4364">
        <v>3</v>
      </c>
      <c r="AG4364">
        <v>2</v>
      </c>
      <c r="AH4364">
        <v>0</v>
      </c>
      <c r="AI4364" t="s">
        <v>2427</v>
      </c>
      <c r="AJ4364">
        <v>40.161037</v>
      </c>
      <c r="AK4364" t="s">
        <v>2428</v>
      </c>
      <c r="AL4364">
        <v>-93.190284000000005</v>
      </c>
      <c r="AM4364">
        <v>100</v>
      </c>
      <c r="AN4364">
        <v>1300</v>
      </c>
      <c r="AO4364" t="s">
        <v>118</v>
      </c>
      <c r="AP4364">
        <v>-132</v>
      </c>
      <c r="AQ4364">
        <v>-37</v>
      </c>
      <c r="AR4364">
        <v>-64</v>
      </c>
      <c r="AZ4364">
        <v>1200</v>
      </c>
      <c r="BA4364">
        <v>1</v>
      </c>
      <c r="BB4364" t="str">
        <f t="shared" si="216"/>
        <v xml:space="preserve">N8080G  </v>
      </c>
      <c r="BC4364">
        <v>1</v>
      </c>
      <c r="BE4364">
        <v>0</v>
      </c>
      <c r="BF4364">
        <v>0</v>
      </c>
      <c r="BG4364">
        <v>0</v>
      </c>
      <c r="BH4364">
        <v>1350</v>
      </c>
      <c r="BI4364">
        <v>1</v>
      </c>
      <c r="BJ4364">
        <v>1</v>
      </c>
      <c r="BK4364">
        <v>1</v>
      </c>
      <c r="BL4364">
        <v>0</v>
      </c>
      <c r="BO4364">
        <v>0</v>
      </c>
      <c r="BP4364">
        <v>0</v>
      </c>
      <c r="BW4364" t="str">
        <f>"20:38:40.047"</f>
        <v>20:38:40.047</v>
      </c>
      <c r="BZ4364">
        <v>0</v>
      </c>
      <c r="CA4364">
        <v>1600</v>
      </c>
      <c r="CB4364">
        <v>224</v>
      </c>
      <c r="CD4364">
        <v>1</v>
      </c>
      <c r="CE4364">
        <v>0</v>
      </c>
      <c r="CF4364">
        <v>0</v>
      </c>
      <c r="CG4364">
        <v>1</v>
      </c>
      <c r="CH4364">
        <v>0</v>
      </c>
      <c r="CI4364">
        <v>0</v>
      </c>
      <c r="CJ4364">
        <v>0</v>
      </c>
      <c r="CK4364">
        <v>2</v>
      </c>
      <c r="CL4364">
        <v>0</v>
      </c>
      <c r="CM4364">
        <v>2</v>
      </c>
      <c r="CN4364">
        <v>0</v>
      </c>
      <c r="CO4364">
        <v>4</v>
      </c>
      <c r="CP4364" t="s">
        <v>119</v>
      </c>
      <c r="CQ4364">
        <v>180</v>
      </c>
      <c r="CR4364">
        <v>3</v>
      </c>
      <c r="CW4364">
        <v>1409947</v>
      </c>
      <c r="CY4364">
        <v>0</v>
      </c>
      <c r="CZ4364">
        <v>0</v>
      </c>
      <c r="DA4364">
        <v>1</v>
      </c>
      <c r="DB4364">
        <v>0</v>
      </c>
      <c r="DC4364">
        <v>0</v>
      </c>
      <c r="DD4364">
        <v>0</v>
      </c>
      <c r="DE4364">
        <v>0</v>
      </c>
      <c r="DF4364">
        <v>0</v>
      </c>
      <c r="DG4364">
        <v>0</v>
      </c>
      <c r="DH4364">
        <v>0</v>
      </c>
      <c r="DI4364">
        <v>0</v>
      </c>
    </row>
    <row r="4365" spans="1:113" x14ac:dyDescent="0.3">
      <c r="A4365" t="str">
        <f>"02/08/2021 20:38:37.724"</f>
        <v>02/08/2021 20:38:37.724</v>
      </c>
      <c r="C4365" t="str">
        <f t="shared" si="215"/>
        <v>FFDFD7C0</v>
      </c>
      <c r="D4365" t="s">
        <v>113</v>
      </c>
      <c r="E4365">
        <v>6</v>
      </c>
      <c r="H4365">
        <v>165</v>
      </c>
      <c r="I4365" t="s">
        <v>114</v>
      </c>
      <c r="J4365" t="s">
        <v>115</v>
      </c>
      <c r="K4365">
        <v>0</v>
      </c>
      <c r="L4365">
        <v>3</v>
      </c>
      <c r="M4365">
        <v>0</v>
      </c>
      <c r="N4365">
        <v>2</v>
      </c>
      <c r="O4365">
        <v>1</v>
      </c>
      <c r="P4365">
        <v>0</v>
      </c>
      <c r="Q4365">
        <v>0</v>
      </c>
      <c r="S4365" t="str">
        <f>"20:38:40.039"</f>
        <v>20:38:40.039</v>
      </c>
      <c r="T4365" t="str">
        <f>"20:38:39.539"</f>
        <v>20:38:39.539</v>
      </c>
      <c r="U4365" t="str">
        <f t="shared" si="217"/>
        <v>AB01F4</v>
      </c>
      <c r="V4365">
        <v>0</v>
      </c>
      <c r="W4365">
        <v>0</v>
      </c>
      <c r="X4365">
        <v>2</v>
      </c>
      <c r="Z4365">
        <v>0</v>
      </c>
      <c r="AA4365">
        <v>9</v>
      </c>
      <c r="AB4365">
        <v>3</v>
      </c>
      <c r="AC4365">
        <v>0</v>
      </c>
      <c r="AD4365">
        <v>10</v>
      </c>
      <c r="AE4365">
        <v>0</v>
      </c>
      <c r="AF4365">
        <v>3</v>
      </c>
      <c r="AG4365">
        <v>2</v>
      </c>
      <c r="AH4365">
        <v>0</v>
      </c>
      <c r="AI4365" t="s">
        <v>2427</v>
      </c>
      <c r="AJ4365">
        <v>40.161037</v>
      </c>
      <c r="AK4365" t="s">
        <v>2428</v>
      </c>
      <c r="AL4365">
        <v>-93.190284000000005</v>
      </c>
      <c r="AM4365">
        <v>100</v>
      </c>
      <c r="AN4365">
        <v>1300</v>
      </c>
      <c r="AO4365" t="s">
        <v>118</v>
      </c>
      <c r="AP4365">
        <v>-132</v>
      </c>
      <c r="AQ4365">
        <v>-37</v>
      </c>
      <c r="AR4365">
        <v>-64</v>
      </c>
      <c r="AZ4365">
        <v>1200</v>
      </c>
      <c r="BA4365">
        <v>1</v>
      </c>
      <c r="BB4365" t="str">
        <f t="shared" si="216"/>
        <v xml:space="preserve">N8080G  </v>
      </c>
      <c r="BC4365">
        <v>1</v>
      </c>
      <c r="BE4365">
        <v>0</v>
      </c>
      <c r="BF4365">
        <v>0</v>
      </c>
      <c r="BG4365">
        <v>0</v>
      </c>
      <c r="BH4365">
        <v>1350</v>
      </c>
      <c r="BI4365">
        <v>1</v>
      </c>
      <c r="BJ4365">
        <v>1</v>
      </c>
      <c r="BK4365">
        <v>1</v>
      </c>
      <c r="BL4365">
        <v>0</v>
      </c>
      <c r="BO4365">
        <v>0</v>
      </c>
      <c r="BP4365">
        <v>0</v>
      </c>
      <c r="BW4365" t="str">
        <f>"20:38:40.047"</f>
        <v>20:38:40.047</v>
      </c>
      <c r="BZ4365">
        <v>0</v>
      </c>
      <c r="CA4365">
        <v>1600</v>
      </c>
      <c r="CB4365">
        <v>224</v>
      </c>
      <c r="CD4365">
        <v>1</v>
      </c>
      <c r="CE4365">
        <v>0</v>
      </c>
      <c r="CF4365">
        <v>0</v>
      </c>
      <c r="CG4365">
        <v>1</v>
      </c>
      <c r="CH4365">
        <v>0</v>
      </c>
      <c r="CI4365">
        <v>0</v>
      </c>
      <c r="CJ4365">
        <v>0</v>
      </c>
      <c r="CK4365">
        <v>2</v>
      </c>
      <c r="CL4365">
        <v>0</v>
      </c>
      <c r="CM4365">
        <v>2</v>
      </c>
      <c r="CN4365">
        <v>0</v>
      </c>
      <c r="CO4365">
        <v>4</v>
      </c>
      <c r="CP4365" t="s">
        <v>119</v>
      </c>
      <c r="CQ4365">
        <v>180</v>
      </c>
      <c r="CR4365">
        <v>3</v>
      </c>
      <c r="CW4365">
        <v>1409947</v>
      </c>
      <c r="CY4365">
        <v>0</v>
      </c>
      <c r="CZ4365">
        <v>0</v>
      </c>
      <c r="DA4365">
        <v>1</v>
      </c>
      <c r="DB4365">
        <v>0</v>
      </c>
      <c r="DC4365">
        <v>0</v>
      </c>
      <c r="DD4365">
        <v>0</v>
      </c>
      <c r="DE4365">
        <v>0</v>
      </c>
      <c r="DF4365">
        <v>0</v>
      </c>
      <c r="DG4365">
        <v>0</v>
      </c>
      <c r="DH4365">
        <v>0</v>
      </c>
      <c r="DI4365">
        <v>0</v>
      </c>
    </row>
    <row r="4366" spans="1:113" x14ac:dyDescent="0.3">
      <c r="A4366" t="str">
        <f>"02/08/2021 20:38:37.724"</f>
        <v>02/08/2021 20:38:37.724</v>
      </c>
      <c r="C4366" t="str">
        <f t="shared" si="215"/>
        <v>FFDFD7C0</v>
      </c>
      <c r="D4366" t="s">
        <v>124</v>
      </c>
      <c r="E4366">
        <v>12</v>
      </c>
      <c r="F4366">
        <v>1012</v>
      </c>
      <c r="G4366" t="s">
        <v>675</v>
      </c>
      <c r="J4366" t="s">
        <v>125</v>
      </c>
      <c r="K4366">
        <v>0</v>
      </c>
      <c r="L4366">
        <v>3</v>
      </c>
      <c r="M4366">
        <v>0</v>
      </c>
      <c r="N4366">
        <v>2</v>
      </c>
      <c r="O4366">
        <v>1</v>
      </c>
      <c r="P4366">
        <v>0</v>
      </c>
      <c r="Q4366">
        <v>0</v>
      </c>
      <c r="S4366" t="str">
        <f>"20:38:40.039"</f>
        <v>20:38:40.039</v>
      </c>
      <c r="T4366" t="str">
        <f>"20:38:39.539"</f>
        <v>20:38:39.539</v>
      </c>
      <c r="U4366" t="str">
        <f t="shared" si="217"/>
        <v>AB01F4</v>
      </c>
      <c r="V4366">
        <v>0</v>
      </c>
      <c r="W4366">
        <v>0</v>
      </c>
      <c r="X4366">
        <v>2</v>
      </c>
      <c r="Z4366">
        <v>0</v>
      </c>
      <c r="AA4366">
        <v>9</v>
      </c>
      <c r="AB4366">
        <v>3</v>
      </c>
      <c r="AC4366">
        <v>0</v>
      </c>
      <c r="AD4366">
        <v>10</v>
      </c>
      <c r="AE4366">
        <v>0</v>
      </c>
      <c r="AF4366">
        <v>3</v>
      </c>
      <c r="AG4366">
        <v>2</v>
      </c>
      <c r="AH4366">
        <v>0</v>
      </c>
      <c r="AI4366" t="s">
        <v>2427</v>
      </c>
      <c r="AJ4366">
        <v>40.161037</v>
      </c>
      <c r="AK4366" t="s">
        <v>2428</v>
      </c>
      <c r="AL4366">
        <v>-93.190284000000005</v>
      </c>
      <c r="AM4366">
        <v>100</v>
      </c>
      <c r="AN4366">
        <v>1300</v>
      </c>
      <c r="AO4366" t="s">
        <v>118</v>
      </c>
      <c r="AP4366">
        <v>-132</v>
      </c>
      <c r="AQ4366">
        <v>-37</v>
      </c>
      <c r="AR4366">
        <v>-64</v>
      </c>
      <c r="AZ4366">
        <v>1200</v>
      </c>
      <c r="BA4366">
        <v>1</v>
      </c>
      <c r="BB4366" t="str">
        <f t="shared" si="216"/>
        <v xml:space="preserve">N8080G  </v>
      </c>
      <c r="BC4366">
        <v>1</v>
      </c>
      <c r="BE4366">
        <v>0</v>
      </c>
      <c r="BF4366">
        <v>0</v>
      </c>
      <c r="BG4366">
        <v>0</v>
      </c>
      <c r="BH4366">
        <v>1350</v>
      </c>
      <c r="BI4366">
        <v>1</v>
      </c>
      <c r="BJ4366">
        <v>1</v>
      </c>
      <c r="BK4366">
        <v>1</v>
      </c>
      <c r="BL4366">
        <v>0</v>
      </c>
      <c r="BO4366">
        <v>0</v>
      </c>
      <c r="BP4366">
        <v>0</v>
      </c>
      <c r="BW4366" t="str">
        <f>"20:38:40.047"</f>
        <v>20:38:40.047</v>
      </c>
      <c r="BZ4366">
        <v>0</v>
      </c>
      <c r="CA4366">
        <v>1600</v>
      </c>
      <c r="CB4366">
        <v>224</v>
      </c>
      <c r="CD4366">
        <v>1</v>
      </c>
      <c r="CE4366">
        <v>0</v>
      </c>
      <c r="CF4366">
        <v>0</v>
      </c>
      <c r="CG4366">
        <v>1</v>
      </c>
      <c r="CH4366">
        <v>0</v>
      </c>
      <c r="CI4366">
        <v>0</v>
      </c>
      <c r="CJ4366">
        <v>0</v>
      </c>
      <c r="CK4366">
        <v>2</v>
      </c>
      <c r="CL4366">
        <v>0</v>
      </c>
      <c r="CM4366">
        <v>2</v>
      </c>
      <c r="CN4366">
        <v>0</v>
      </c>
      <c r="CO4366">
        <v>4</v>
      </c>
      <c r="CP4366" t="s">
        <v>119</v>
      </c>
      <c r="CQ4366">
        <v>180</v>
      </c>
      <c r="CR4366">
        <v>3</v>
      </c>
      <c r="CW4366">
        <v>1409947</v>
      </c>
      <c r="CY4366">
        <v>0</v>
      </c>
      <c r="CZ4366">
        <v>0</v>
      </c>
      <c r="DA4366">
        <v>1</v>
      </c>
      <c r="DB4366">
        <v>0</v>
      </c>
      <c r="DC4366">
        <v>0</v>
      </c>
      <c r="DD4366">
        <v>0</v>
      </c>
      <c r="DE4366">
        <v>0</v>
      </c>
      <c r="DF4366">
        <v>0</v>
      </c>
      <c r="DG4366">
        <v>0</v>
      </c>
      <c r="DH4366">
        <v>0</v>
      </c>
      <c r="DI4366">
        <v>0</v>
      </c>
    </row>
    <row r="4367" spans="1:113" x14ac:dyDescent="0.3">
      <c r="A4367" t="str">
        <f>"02/08/2021 20:38:38.755"</f>
        <v>02/08/2021 20:38:38.755</v>
      </c>
      <c r="C4367" t="str">
        <f t="shared" si="215"/>
        <v>FFDFD7C0</v>
      </c>
      <c r="D4367" t="s">
        <v>124</v>
      </c>
      <c r="E4367">
        <v>13</v>
      </c>
      <c r="F4367">
        <v>1013</v>
      </c>
      <c r="G4367" t="s">
        <v>114</v>
      </c>
      <c r="J4367" t="s">
        <v>125</v>
      </c>
      <c r="K4367">
        <v>0</v>
      </c>
      <c r="L4367">
        <v>3</v>
      </c>
      <c r="M4367">
        <v>0</v>
      </c>
      <c r="N4367">
        <v>2</v>
      </c>
      <c r="O4367">
        <v>1</v>
      </c>
      <c r="P4367">
        <v>0</v>
      </c>
      <c r="Q4367">
        <v>0</v>
      </c>
      <c r="S4367" t="str">
        <f>"20:38:41.094"</f>
        <v>20:38:41.094</v>
      </c>
      <c r="T4367" t="str">
        <f>"20:38:40.594"</f>
        <v>20:38:40.594</v>
      </c>
      <c r="U4367" t="str">
        <f t="shared" si="217"/>
        <v>AB01F4</v>
      </c>
      <c r="V4367">
        <v>0</v>
      </c>
      <c r="W4367">
        <v>0</v>
      </c>
      <c r="X4367">
        <v>2</v>
      </c>
      <c r="Z4367">
        <v>0</v>
      </c>
      <c r="AA4367">
        <v>9</v>
      </c>
      <c r="AB4367">
        <v>3</v>
      </c>
      <c r="AC4367">
        <v>0</v>
      </c>
      <c r="AD4367">
        <v>10</v>
      </c>
      <c r="AE4367">
        <v>0</v>
      </c>
      <c r="AF4367">
        <v>3</v>
      </c>
      <c r="AG4367">
        <v>2</v>
      </c>
      <c r="AH4367">
        <v>0</v>
      </c>
      <c r="AI4367" t="s">
        <v>2429</v>
      </c>
      <c r="AJ4367">
        <v>40.160843999999997</v>
      </c>
      <c r="AK4367" t="s">
        <v>2430</v>
      </c>
      <c r="AL4367">
        <v>-93.191034999999999</v>
      </c>
      <c r="AM4367">
        <v>100</v>
      </c>
      <c r="AN4367">
        <v>1300</v>
      </c>
      <c r="AO4367" t="s">
        <v>118</v>
      </c>
      <c r="AP4367">
        <v>-132</v>
      </c>
      <c r="AQ4367">
        <v>-37</v>
      </c>
      <c r="AR4367">
        <v>64</v>
      </c>
      <c r="AZ4367">
        <v>1200</v>
      </c>
      <c r="BA4367">
        <v>1</v>
      </c>
      <c r="BB4367" t="str">
        <f t="shared" si="216"/>
        <v xml:space="preserve">N8080G  </v>
      </c>
      <c r="BC4367">
        <v>1</v>
      </c>
      <c r="BE4367">
        <v>0</v>
      </c>
      <c r="BF4367">
        <v>0</v>
      </c>
      <c r="BG4367">
        <v>0</v>
      </c>
      <c r="BH4367">
        <v>1350</v>
      </c>
      <c r="BI4367">
        <v>1</v>
      </c>
      <c r="BJ4367">
        <v>1</v>
      </c>
      <c r="BK4367">
        <v>1</v>
      </c>
      <c r="BL4367">
        <v>0</v>
      </c>
      <c r="BO4367">
        <v>0</v>
      </c>
      <c r="BP4367">
        <v>0</v>
      </c>
      <c r="BW4367" t="str">
        <f>"20:38:41.097"</f>
        <v>20:38:41.097</v>
      </c>
      <c r="BZ4367">
        <v>0</v>
      </c>
      <c r="CA4367">
        <v>1600</v>
      </c>
      <c r="CB4367">
        <v>224</v>
      </c>
      <c r="CD4367">
        <v>1</v>
      </c>
      <c r="CE4367">
        <v>0</v>
      </c>
      <c r="CF4367">
        <v>0</v>
      </c>
      <c r="CG4367">
        <v>1</v>
      </c>
      <c r="CH4367">
        <v>0</v>
      </c>
      <c r="CI4367">
        <v>0</v>
      </c>
      <c r="CJ4367">
        <v>0</v>
      </c>
      <c r="CK4367">
        <v>2</v>
      </c>
      <c r="CL4367">
        <v>0</v>
      </c>
      <c r="CM4367">
        <v>2</v>
      </c>
      <c r="CN4367">
        <v>0</v>
      </c>
      <c r="CO4367">
        <v>1</v>
      </c>
      <c r="CP4367" t="s">
        <v>119</v>
      </c>
      <c r="CQ4367">
        <v>179</v>
      </c>
      <c r="CR4367">
        <v>2</v>
      </c>
      <c r="CW4367">
        <v>12687583</v>
      </c>
      <c r="CY4367">
        <v>0</v>
      </c>
      <c r="CZ4367">
        <v>0</v>
      </c>
      <c r="DA4367">
        <v>0</v>
      </c>
      <c r="DB4367">
        <v>0</v>
      </c>
      <c r="DC4367">
        <v>0</v>
      </c>
      <c r="DD4367">
        <v>0</v>
      </c>
      <c r="DE4367">
        <v>0</v>
      </c>
      <c r="DF4367">
        <v>0</v>
      </c>
      <c r="DG4367">
        <v>0</v>
      </c>
      <c r="DH4367">
        <v>0</v>
      </c>
      <c r="DI4367">
        <v>0</v>
      </c>
    </row>
    <row r="4368" spans="1:113" x14ac:dyDescent="0.3">
      <c r="A4368" t="str">
        <f>"02/08/2021 20:38:38.755"</f>
        <v>02/08/2021 20:38:38.755</v>
      </c>
      <c r="C4368" t="str">
        <f t="shared" si="215"/>
        <v>FFDFD7C0</v>
      </c>
      <c r="D4368" t="s">
        <v>113</v>
      </c>
      <c r="E4368">
        <v>6</v>
      </c>
      <c r="H4368">
        <v>165</v>
      </c>
      <c r="I4368" t="s">
        <v>114</v>
      </c>
      <c r="J4368" t="s">
        <v>115</v>
      </c>
      <c r="K4368">
        <v>0</v>
      </c>
      <c r="L4368">
        <v>3</v>
      </c>
      <c r="M4368">
        <v>0</v>
      </c>
      <c r="N4368">
        <v>2</v>
      </c>
      <c r="O4368">
        <v>1</v>
      </c>
      <c r="P4368">
        <v>0</v>
      </c>
      <c r="Q4368">
        <v>0</v>
      </c>
      <c r="S4368" t="str">
        <f>"20:38:41.094"</f>
        <v>20:38:41.094</v>
      </c>
      <c r="T4368" t="str">
        <f>"20:38:40.594"</f>
        <v>20:38:40.594</v>
      </c>
      <c r="U4368" t="str">
        <f t="shared" si="217"/>
        <v>AB01F4</v>
      </c>
      <c r="V4368">
        <v>0</v>
      </c>
      <c r="W4368">
        <v>0</v>
      </c>
      <c r="X4368">
        <v>2</v>
      </c>
      <c r="Z4368">
        <v>0</v>
      </c>
      <c r="AA4368">
        <v>9</v>
      </c>
      <c r="AB4368">
        <v>3</v>
      </c>
      <c r="AC4368">
        <v>0</v>
      </c>
      <c r="AD4368">
        <v>10</v>
      </c>
      <c r="AE4368">
        <v>0</v>
      </c>
      <c r="AF4368">
        <v>3</v>
      </c>
      <c r="AG4368">
        <v>2</v>
      </c>
      <c r="AH4368">
        <v>0</v>
      </c>
      <c r="AI4368" t="s">
        <v>2429</v>
      </c>
      <c r="AJ4368">
        <v>40.160843999999997</v>
      </c>
      <c r="AK4368" t="s">
        <v>2430</v>
      </c>
      <c r="AL4368">
        <v>-93.191034999999999</v>
      </c>
      <c r="AM4368">
        <v>100</v>
      </c>
      <c r="AN4368">
        <v>1300</v>
      </c>
      <c r="AO4368" t="s">
        <v>118</v>
      </c>
      <c r="AP4368">
        <v>-132</v>
      </c>
      <c r="AQ4368">
        <v>-37</v>
      </c>
      <c r="AR4368">
        <v>64</v>
      </c>
      <c r="AZ4368">
        <v>1200</v>
      </c>
      <c r="BA4368">
        <v>1</v>
      </c>
      <c r="BB4368" t="str">
        <f t="shared" si="216"/>
        <v xml:space="preserve">N8080G  </v>
      </c>
      <c r="BC4368">
        <v>1</v>
      </c>
      <c r="BE4368">
        <v>0</v>
      </c>
      <c r="BF4368">
        <v>0</v>
      </c>
      <c r="BG4368">
        <v>0</v>
      </c>
      <c r="BH4368">
        <v>1350</v>
      </c>
      <c r="BI4368">
        <v>1</v>
      </c>
      <c r="BJ4368">
        <v>1</v>
      </c>
      <c r="BK4368">
        <v>1</v>
      </c>
      <c r="BL4368">
        <v>0</v>
      </c>
      <c r="BO4368">
        <v>0</v>
      </c>
      <c r="BP4368">
        <v>0</v>
      </c>
      <c r="BW4368" t="str">
        <f>"20:38:41.097"</f>
        <v>20:38:41.097</v>
      </c>
      <c r="BZ4368">
        <v>0</v>
      </c>
      <c r="CA4368">
        <v>1600</v>
      </c>
      <c r="CB4368">
        <v>224</v>
      </c>
      <c r="CD4368">
        <v>1</v>
      </c>
      <c r="CE4368">
        <v>0</v>
      </c>
      <c r="CF4368">
        <v>0</v>
      </c>
      <c r="CG4368">
        <v>1</v>
      </c>
      <c r="CH4368">
        <v>0</v>
      </c>
      <c r="CI4368">
        <v>0</v>
      </c>
      <c r="CJ4368">
        <v>0</v>
      </c>
      <c r="CK4368">
        <v>2</v>
      </c>
      <c r="CL4368">
        <v>0</v>
      </c>
      <c r="CM4368">
        <v>2</v>
      </c>
      <c r="CN4368">
        <v>0</v>
      </c>
      <c r="CO4368">
        <v>1</v>
      </c>
      <c r="CP4368" t="s">
        <v>119</v>
      </c>
      <c r="CQ4368">
        <v>179</v>
      </c>
      <c r="CR4368">
        <v>2</v>
      </c>
      <c r="CW4368">
        <v>12687583</v>
      </c>
      <c r="CY4368">
        <v>0</v>
      </c>
      <c r="CZ4368">
        <v>0</v>
      </c>
      <c r="DA4368">
        <v>1</v>
      </c>
      <c r="DB4368">
        <v>0</v>
      </c>
      <c r="DC4368">
        <v>0</v>
      </c>
      <c r="DD4368">
        <v>0</v>
      </c>
      <c r="DE4368">
        <v>0</v>
      </c>
      <c r="DF4368">
        <v>0</v>
      </c>
      <c r="DG4368">
        <v>0</v>
      </c>
      <c r="DH4368">
        <v>0</v>
      </c>
      <c r="DI4368">
        <v>0</v>
      </c>
    </row>
    <row r="4369" spans="1:113" x14ac:dyDescent="0.3">
      <c r="A4369" t="str">
        <f>"02/08/2021 20:38:38.755"</f>
        <v>02/08/2021 20:38:38.755</v>
      </c>
      <c r="C4369" t="str">
        <f t="shared" si="215"/>
        <v>FFDFD7C0</v>
      </c>
      <c r="D4369" t="s">
        <v>124</v>
      </c>
      <c r="E4369">
        <v>12</v>
      </c>
      <c r="F4369">
        <v>1012</v>
      </c>
      <c r="G4369" t="s">
        <v>675</v>
      </c>
      <c r="J4369" t="s">
        <v>125</v>
      </c>
      <c r="K4369">
        <v>0</v>
      </c>
      <c r="L4369">
        <v>3</v>
      </c>
      <c r="M4369">
        <v>0</v>
      </c>
      <c r="N4369">
        <v>2</v>
      </c>
      <c r="O4369">
        <v>1</v>
      </c>
      <c r="P4369">
        <v>0</v>
      </c>
      <c r="Q4369">
        <v>0</v>
      </c>
      <c r="S4369" t="str">
        <f>"20:38:41.094"</f>
        <v>20:38:41.094</v>
      </c>
      <c r="T4369" t="str">
        <f>"20:38:40.594"</f>
        <v>20:38:40.594</v>
      </c>
      <c r="U4369" t="str">
        <f t="shared" si="217"/>
        <v>AB01F4</v>
      </c>
      <c r="V4369">
        <v>0</v>
      </c>
      <c r="W4369">
        <v>0</v>
      </c>
      <c r="X4369">
        <v>2</v>
      </c>
      <c r="Z4369">
        <v>0</v>
      </c>
      <c r="AA4369">
        <v>9</v>
      </c>
      <c r="AB4369">
        <v>3</v>
      </c>
      <c r="AC4369">
        <v>0</v>
      </c>
      <c r="AD4369">
        <v>10</v>
      </c>
      <c r="AE4369">
        <v>0</v>
      </c>
      <c r="AF4369">
        <v>3</v>
      </c>
      <c r="AG4369">
        <v>2</v>
      </c>
      <c r="AH4369">
        <v>0</v>
      </c>
      <c r="AI4369" t="s">
        <v>2429</v>
      </c>
      <c r="AJ4369">
        <v>40.160843999999997</v>
      </c>
      <c r="AK4369" t="s">
        <v>2430</v>
      </c>
      <c r="AL4369">
        <v>-93.191034999999999</v>
      </c>
      <c r="AM4369">
        <v>100</v>
      </c>
      <c r="AN4369">
        <v>1300</v>
      </c>
      <c r="AO4369" t="s">
        <v>118</v>
      </c>
      <c r="AP4369">
        <v>-132</v>
      </c>
      <c r="AQ4369">
        <v>-37</v>
      </c>
      <c r="AR4369">
        <v>64</v>
      </c>
      <c r="AZ4369">
        <v>1200</v>
      </c>
      <c r="BA4369">
        <v>1</v>
      </c>
      <c r="BB4369" t="str">
        <f t="shared" si="216"/>
        <v xml:space="preserve">N8080G  </v>
      </c>
      <c r="BC4369">
        <v>1</v>
      </c>
      <c r="BE4369">
        <v>0</v>
      </c>
      <c r="BF4369">
        <v>0</v>
      </c>
      <c r="BG4369">
        <v>0</v>
      </c>
      <c r="BH4369">
        <v>1350</v>
      </c>
      <c r="BI4369">
        <v>1</v>
      </c>
      <c r="BJ4369">
        <v>1</v>
      </c>
      <c r="BK4369">
        <v>1</v>
      </c>
      <c r="BL4369">
        <v>0</v>
      </c>
      <c r="BO4369">
        <v>0</v>
      </c>
      <c r="BP4369">
        <v>0</v>
      </c>
      <c r="BW4369" t="str">
        <f>"20:38:41.097"</f>
        <v>20:38:41.097</v>
      </c>
      <c r="BZ4369">
        <v>0</v>
      </c>
      <c r="CA4369">
        <v>1600</v>
      </c>
      <c r="CB4369">
        <v>224</v>
      </c>
      <c r="CD4369">
        <v>1</v>
      </c>
      <c r="CE4369">
        <v>0</v>
      </c>
      <c r="CF4369">
        <v>0</v>
      </c>
      <c r="CG4369">
        <v>1</v>
      </c>
      <c r="CH4369">
        <v>0</v>
      </c>
      <c r="CI4369">
        <v>0</v>
      </c>
      <c r="CJ4369">
        <v>0</v>
      </c>
      <c r="CK4369">
        <v>2</v>
      </c>
      <c r="CL4369">
        <v>0</v>
      </c>
      <c r="CM4369">
        <v>2</v>
      </c>
      <c r="CN4369">
        <v>0</v>
      </c>
      <c r="CO4369">
        <v>1</v>
      </c>
      <c r="CP4369" t="s">
        <v>119</v>
      </c>
      <c r="CQ4369">
        <v>179</v>
      </c>
      <c r="CR4369">
        <v>2</v>
      </c>
      <c r="CW4369">
        <v>12687583</v>
      </c>
      <c r="CY4369">
        <v>0</v>
      </c>
      <c r="CZ4369">
        <v>0</v>
      </c>
      <c r="DA4369">
        <v>1</v>
      </c>
      <c r="DB4369">
        <v>0</v>
      </c>
      <c r="DC4369">
        <v>0</v>
      </c>
      <c r="DD4369">
        <v>0</v>
      </c>
      <c r="DE4369">
        <v>0</v>
      </c>
      <c r="DF4369">
        <v>0</v>
      </c>
      <c r="DG4369">
        <v>0</v>
      </c>
      <c r="DH4369">
        <v>0</v>
      </c>
      <c r="DI4369">
        <v>0</v>
      </c>
    </row>
    <row r="4370" spans="1:113" x14ac:dyDescent="0.3">
      <c r="A4370" t="str">
        <f>"02/08/2021 20:38:38.755"</f>
        <v>02/08/2021 20:38:38.755</v>
      </c>
      <c r="C4370" t="str">
        <f t="shared" si="215"/>
        <v>FFDFD7C0</v>
      </c>
      <c r="D4370" t="s">
        <v>124</v>
      </c>
      <c r="E4370">
        <v>11</v>
      </c>
      <c r="F4370">
        <v>1011</v>
      </c>
      <c r="G4370" t="s">
        <v>590</v>
      </c>
      <c r="J4370" t="s">
        <v>125</v>
      </c>
      <c r="K4370">
        <v>0</v>
      </c>
      <c r="L4370">
        <v>3</v>
      </c>
      <c r="M4370">
        <v>0</v>
      </c>
      <c r="N4370">
        <v>2</v>
      </c>
      <c r="O4370">
        <v>1</v>
      </c>
      <c r="P4370">
        <v>0</v>
      </c>
      <c r="Q4370">
        <v>0</v>
      </c>
      <c r="S4370" t="str">
        <f>"20:38:41.094"</f>
        <v>20:38:41.094</v>
      </c>
      <c r="T4370" t="str">
        <f>"20:38:40.594"</f>
        <v>20:38:40.594</v>
      </c>
      <c r="U4370" t="str">
        <f t="shared" si="217"/>
        <v>AB01F4</v>
      </c>
      <c r="V4370">
        <v>0</v>
      </c>
      <c r="W4370">
        <v>0</v>
      </c>
      <c r="X4370">
        <v>2</v>
      </c>
      <c r="Z4370">
        <v>0</v>
      </c>
      <c r="AA4370">
        <v>9</v>
      </c>
      <c r="AB4370">
        <v>3</v>
      </c>
      <c r="AC4370">
        <v>0</v>
      </c>
      <c r="AD4370">
        <v>10</v>
      </c>
      <c r="AE4370">
        <v>0</v>
      </c>
      <c r="AF4370">
        <v>3</v>
      </c>
      <c r="AG4370">
        <v>2</v>
      </c>
      <c r="AH4370">
        <v>0</v>
      </c>
      <c r="AI4370" t="s">
        <v>2429</v>
      </c>
      <c r="AJ4370">
        <v>40.160843999999997</v>
      </c>
      <c r="AK4370" t="s">
        <v>2430</v>
      </c>
      <c r="AL4370">
        <v>-93.191034999999999</v>
      </c>
      <c r="AM4370">
        <v>100</v>
      </c>
      <c r="AN4370">
        <v>1300</v>
      </c>
      <c r="AO4370" t="s">
        <v>118</v>
      </c>
      <c r="AP4370">
        <v>-132</v>
      </c>
      <c r="AQ4370">
        <v>-37</v>
      </c>
      <c r="AR4370">
        <v>64</v>
      </c>
      <c r="AZ4370">
        <v>1200</v>
      </c>
      <c r="BA4370">
        <v>1</v>
      </c>
      <c r="BB4370" t="str">
        <f t="shared" si="216"/>
        <v xml:space="preserve">N8080G  </v>
      </c>
      <c r="BC4370">
        <v>1</v>
      </c>
      <c r="BE4370">
        <v>0</v>
      </c>
      <c r="BF4370">
        <v>0</v>
      </c>
      <c r="BG4370">
        <v>0</v>
      </c>
      <c r="BH4370">
        <v>1350</v>
      </c>
      <c r="BI4370">
        <v>1</v>
      </c>
      <c r="BJ4370">
        <v>1</v>
      </c>
      <c r="BK4370">
        <v>1</v>
      </c>
      <c r="BL4370">
        <v>0</v>
      </c>
      <c r="BO4370">
        <v>0</v>
      </c>
      <c r="BP4370">
        <v>0</v>
      </c>
      <c r="BW4370" t="str">
        <f>"20:38:41.097"</f>
        <v>20:38:41.097</v>
      </c>
      <c r="BZ4370">
        <v>0</v>
      </c>
      <c r="CA4370">
        <v>1600</v>
      </c>
      <c r="CB4370">
        <v>224</v>
      </c>
      <c r="CD4370">
        <v>1</v>
      </c>
      <c r="CE4370">
        <v>0</v>
      </c>
      <c r="CF4370">
        <v>0</v>
      </c>
      <c r="CG4370">
        <v>1</v>
      </c>
      <c r="CH4370">
        <v>0</v>
      </c>
      <c r="CI4370">
        <v>0</v>
      </c>
      <c r="CJ4370">
        <v>0</v>
      </c>
      <c r="CK4370">
        <v>2</v>
      </c>
      <c r="CL4370">
        <v>0</v>
      </c>
      <c r="CM4370">
        <v>2</v>
      </c>
      <c r="CN4370">
        <v>0</v>
      </c>
      <c r="CO4370">
        <v>1</v>
      </c>
      <c r="CP4370" t="s">
        <v>119</v>
      </c>
      <c r="CQ4370">
        <v>179</v>
      </c>
      <c r="CR4370">
        <v>2</v>
      </c>
      <c r="CW4370">
        <v>12687583</v>
      </c>
      <c r="CY4370">
        <v>0</v>
      </c>
      <c r="CZ4370">
        <v>0</v>
      </c>
      <c r="DA4370">
        <v>1</v>
      </c>
      <c r="DB4370">
        <v>0</v>
      </c>
      <c r="DC4370">
        <v>0</v>
      </c>
      <c r="DD4370">
        <v>0</v>
      </c>
      <c r="DE4370">
        <v>0</v>
      </c>
      <c r="DF4370">
        <v>0</v>
      </c>
      <c r="DG4370">
        <v>0</v>
      </c>
      <c r="DH4370">
        <v>0</v>
      </c>
      <c r="DI4370">
        <v>0</v>
      </c>
    </row>
    <row r="4371" spans="1:113" x14ac:dyDescent="0.3">
      <c r="A4371" t="str">
        <f>"02/08/2021 20:38:40.311"</f>
        <v>02/08/2021 20:38:40.311</v>
      </c>
      <c r="C4371" t="str">
        <f t="shared" si="215"/>
        <v>FFDFD7C0</v>
      </c>
      <c r="D4371" t="s">
        <v>124</v>
      </c>
      <c r="E4371">
        <v>13</v>
      </c>
      <c r="F4371">
        <v>1013</v>
      </c>
      <c r="G4371" t="s">
        <v>114</v>
      </c>
      <c r="J4371" t="s">
        <v>125</v>
      </c>
      <c r="K4371">
        <v>0</v>
      </c>
      <c r="L4371">
        <v>3</v>
      </c>
      <c r="M4371">
        <v>0</v>
      </c>
      <c r="N4371">
        <v>2</v>
      </c>
      <c r="O4371">
        <v>1</v>
      </c>
      <c r="P4371">
        <v>0</v>
      </c>
      <c r="Q4371">
        <v>0</v>
      </c>
      <c r="S4371" t="str">
        <f>"20:38:42.656"</f>
        <v>20:38:42.656</v>
      </c>
      <c r="T4371" t="str">
        <f>"20:38:40.556"</f>
        <v>20:38:40.556</v>
      </c>
      <c r="U4371" t="str">
        <f t="shared" si="217"/>
        <v>AB01F4</v>
      </c>
      <c r="V4371">
        <v>0</v>
      </c>
      <c r="W4371">
        <v>0</v>
      </c>
      <c r="X4371">
        <v>2</v>
      </c>
      <c r="Z4371">
        <v>0</v>
      </c>
      <c r="AA4371">
        <v>9</v>
      </c>
      <c r="AB4371">
        <v>3</v>
      </c>
      <c r="AC4371">
        <v>0</v>
      </c>
      <c r="AD4371">
        <v>10</v>
      </c>
      <c r="AE4371">
        <v>0</v>
      </c>
      <c r="AF4371">
        <v>3</v>
      </c>
      <c r="AG4371">
        <v>2</v>
      </c>
      <c r="AH4371">
        <v>0</v>
      </c>
      <c r="AI4371" t="s">
        <v>2431</v>
      </c>
      <c r="AJ4371">
        <v>40.160608000000003</v>
      </c>
      <c r="AK4371" t="s">
        <v>2432</v>
      </c>
      <c r="AL4371">
        <v>-93.192344000000006</v>
      </c>
      <c r="AM4371">
        <v>100</v>
      </c>
      <c r="AN4371">
        <v>1300</v>
      </c>
      <c r="AO4371" t="s">
        <v>118</v>
      </c>
      <c r="AP4371">
        <v>-132</v>
      </c>
      <c r="AQ4371">
        <v>-37</v>
      </c>
      <c r="AR4371">
        <v>64</v>
      </c>
      <c r="AZ4371">
        <v>1200</v>
      </c>
      <c r="BA4371">
        <v>1</v>
      </c>
      <c r="BB4371" t="str">
        <f t="shared" si="216"/>
        <v xml:space="preserve">N8080G  </v>
      </c>
      <c r="BC4371">
        <v>1</v>
      </c>
      <c r="BE4371">
        <v>0</v>
      </c>
      <c r="BF4371">
        <v>0</v>
      </c>
      <c r="BG4371">
        <v>0</v>
      </c>
      <c r="BH4371">
        <v>1350</v>
      </c>
      <c r="BI4371">
        <v>1</v>
      </c>
      <c r="BJ4371">
        <v>1</v>
      </c>
      <c r="BK4371">
        <v>1</v>
      </c>
      <c r="BL4371">
        <v>0</v>
      </c>
      <c r="BO4371">
        <v>0</v>
      </c>
      <c r="BP4371">
        <v>0</v>
      </c>
      <c r="BW4371" t="str">
        <f>"20:38:42.662"</f>
        <v>20:38:42.662</v>
      </c>
      <c r="BZ4371">
        <v>0</v>
      </c>
      <c r="CA4371">
        <v>1600</v>
      </c>
      <c r="CB4371">
        <v>224</v>
      </c>
      <c r="CD4371">
        <v>1</v>
      </c>
      <c r="CE4371">
        <v>0</v>
      </c>
      <c r="CF4371">
        <v>0</v>
      </c>
      <c r="CG4371">
        <v>1</v>
      </c>
      <c r="CH4371">
        <v>0</v>
      </c>
      <c r="CI4371">
        <v>0</v>
      </c>
      <c r="CJ4371">
        <v>0</v>
      </c>
      <c r="CK4371">
        <v>2</v>
      </c>
      <c r="CL4371">
        <v>0</v>
      </c>
      <c r="CM4371">
        <v>2</v>
      </c>
      <c r="CN4371">
        <v>0</v>
      </c>
      <c r="CO4371">
        <v>1</v>
      </c>
      <c r="CP4371" t="s">
        <v>119</v>
      </c>
      <c r="CQ4371">
        <v>179</v>
      </c>
      <c r="CR4371">
        <v>2</v>
      </c>
      <c r="CW4371">
        <v>12688910</v>
      </c>
      <c r="CY4371">
        <v>0</v>
      </c>
      <c r="CZ4371">
        <v>0</v>
      </c>
      <c r="DA4371">
        <v>0</v>
      </c>
      <c r="DB4371">
        <v>0</v>
      </c>
      <c r="DC4371">
        <v>0</v>
      </c>
      <c r="DD4371">
        <v>0</v>
      </c>
      <c r="DE4371">
        <v>0</v>
      </c>
      <c r="DF4371">
        <v>0</v>
      </c>
      <c r="DG4371">
        <v>0</v>
      </c>
      <c r="DH4371">
        <v>0</v>
      </c>
      <c r="DI4371">
        <v>0</v>
      </c>
    </row>
    <row r="4372" spans="1:113" x14ac:dyDescent="0.3">
      <c r="A4372" t="str">
        <f>"02/08/2021 20:38:40.311"</f>
        <v>02/08/2021 20:38:40.311</v>
      </c>
      <c r="C4372" t="str">
        <f t="shared" si="215"/>
        <v>FFDFD7C0</v>
      </c>
      <c r="D4372" t="s">
        <v>124</v>
      </c>
      <c r="E4372">
        <v>12</v>
      </c>
      <c r="F4372">
        <v>1012</v>
      </c>
      <c r="G4372" t="s">
        <v>675</v>
      </c>
      <c r="J4372" t="s">
        <v>125</v>
      </c>
      <c r="K4372">
        <v>0</v>
      </c>
      <c r="L4372">
        <v>3</v>
      </c>
      <c r="M4372">
        <v>0</v>
      </c>
      <c r="N4372">
        <v>2</v>
      </c>
      <c r="O4372">
        <v>1</v>
      </c>
      <c r="P4372">
        <v>0</v>
      </c>
      <c r="Q4372">
        <v>0</v>
      </c>
      <c r="S4372" t="str">
        <f>"20:38:42.656"</f>
        <v>20:38:42.656</v>
      </c>
      <c r="T4372" t="str">
        <f>"20:38:40.556"</f>
        <v>20:38:40.556</v>
      </c>
      <c r="U4372" t="str">
        <f t="shared" si="217"/>
        <v>AB01F4</v>
      </c>
      <c r="V4372">
        <v>0</v>
      </c>
      <c r="W4372">
        <v>0</v>
      </c>
      <c r="X4372">
        <v>2</v>
      </c>
      <c r="Z4372">
        <v>0</v>
      </c>
      <c r="AA4372">
        <v>9</v>
      </c>
      <c r="AB4372">
        <v>3</v>
      </c>
      <c r="AC4372">
        <v>0</v>
      </c>
      <c r="AD4372">
        <v>10</v>
      </c>
      <c r="AE4372">
        <v>0</v>
      </c>
      <c r="AF4372">
        <v>3</v>
      </c>
      <c r="AG4372">
        <v>2</v>
      </c>
      <c r="AH4372">
        <v>0</v>
      </c>
      <c r="AI4372" t="s">
        <v>2431</v>
      </c>
      <c r="AJ4372">
        <v>40.160608000000003</v>
      </c>
      <c r="AK4372" t="s">
        <v>2432</v>
      </c>
      <c r="AL4372">
        <v>-93.192344000000006</v>
      </c>
      <c r="AM4372">
        <v>100</v>
      </c>
      <c r="AN4372">
        <v>1300</v>
      </c>
      <c r="AO4372" t="s">
        <v>118</v>
      </c>
      <c r="AP4372">
        <v>-132</v>
      </c>
      <c r="AQ4372">
        <v>-37</v>
      </c>
      <c r="AR4372">
        <v>64</v>
      </c>
      <c r="AZ4372">
        <v>1200</v>
      </c>
      <c r="BA4372">
        <v>1</v>
      </c>
      <c r="BB4372" t="str">
        <f t="shared" si="216"/>
        <v xml:space="preserve">N8080G  </v>
      </c>
      <c r="BC4372">
        <v>1</v>
      </c>
      <c r="BE4372">
        <v>0</v>
      </c>
      <c r="BF4372">
        <v>0</v>
      </c>
      <c r="BG4372">
        <v>0</v>
      </c>
      <c r="BH4372">
        <v>1350</v>
      </c>
      <c r="BI4372">
        <v>1</v>
      </c>
      <c r="BJ4372">
        <v>1</v>
      </c>
      <c r="BK4372">
        <v>1</v>
      </c>
      <c r="BL4372">
        <v>0</v>
      </c>
      <c r="BO4372">
        <v>0</v>
      </c>
      <c r="BP4372">
        <v>0</v>
      </c>
      <c r="BW4372" t="str">
        <f>"20:38:42.662"</f>
        <v>20:38:42.662</v>
      </c>
      <c r="BZ4372">
        <v>0</v>
      </c>
      <c r="CA4372">
        <v>1600</v>
      </c>
      <c r="CB4372">
        <v>224</v>
      </c>
      <c r="CD4372">
        <v>1</v>
      </c>
      <c r="CE4372">
        <v>0</v>
      </c>
      <c r="CF4372">
        <v>0</v>
      </c>
      <c r="CG4372">
        <v>1</v>
      </c>
      <c r="CH4372">
        <v>0</v>
      </c>
      <c r="CI4372">
        <v>0</v>
      </c>
      <c r="CJ4372">
        <v>0</v>
      </c>
      <c r="CK4372">
        <v>2</v>
      </c>
      <c r="CL4372">
        <v>0</v>
      </c>
      <c r="CM4372">
        <v>2</v>
      </c>
      <c r="CN4372">
        <v>0</v>
      </c>
      <c r="CO4372">
        <v>1</v>
      </c>
      <c r="CP4372" t="s">
        <v>119</v>
      </c>
      <c r="CQ4372">
        <v>179</v>
      </c>
      <c r="CR4372">
        <v>2</v>
      </c>
      <c r="CW4372">
        <v>12688910</v>
      </c>
      <c r="CY4372">
        <v>0</v>
      </c>
      <c r="CZ4372">
        <v>0</v>
      </c>
      <c r="DA4372">
        <v>1</v>
      </c>
      <c r="DB4372">
        <v>0</v>
      </c>
      <c r="DC4372">
        <v>0</v>
      </c>
      <c r="DD4372">
        <v>0</v>
      </c>
      <c r="DE4372">
        <v>0</v>
      </c>
      <c r="DF4372">
        <v>0</v>
      </c>
      <c r="DG4372">
        <v>0</v>
      </c>
      <c r="DH4372">
        <v>0</v>
      </c>
      <c r="DI4372">
        <v>0</v>
      </c>
    </row>
    <row r="4373" spans="1:113" x14ac:dyDescent="0.3">
      <c r="A4373" t="str">
        <f>"02/08/2021 20:38:40.311"</f>
        <v>02/08/2021 20:38:40.311</v>
      </c>
      <c r="C4373" t="str">
        <f t="shared" si="215"/>
        <v>FFDFD7C0</v>
      </c>
      <c r="D4373" t="s">
        <v>113</v>
      </c>
      <c r="E4373">
        <v>6</v>
      </c>
      <c r="H4373">
        <v>165</v>
      </c>
      <c r="I4373" t="s">
        <v>114</v>
      </c>
      <c r="J4373" t="s">
        <v>115</v>
      </c>
      <c r="K4373">
        <v>0</v>
      </c>
      <c r="L4373">
        <v>3</v>
      </c>
      <c r="M4373">
        <v>0</v>
      </c>
      <c r="N4373">
        <v>2</v>
      </c>
      <c r="O4373">
        <v>1</v>
      </c>
      <c r="P4373">
        <v>0</v>
      </c>
      <c r="Q4373">
        <v>0</v>
      </c>
      <c r="S4373" t="str">
        <f>"20:38:42.656"</f>
        <v>20:38:42.656</v>
      </c>
      <c r="T4373" t="str">
        <f>"20:38:40.556"</f>
        <v>20:38:40.556</v>
      </c>
      <c r="U4373" t="str">
        <f t="shared" si="217"/>
        <v>AB01F4</v>
      </c>
      <c r="V4373">
        <v>0</v>
      </c>
      <c r="W4373">
        <v>0</v>
      </c>
      <c r="X4373">
        <v>2</v>
      </c>
      <c r="Z4373">
        <v>0</v>
      </c>
      <c r="AA4373">
        <v>9</v>
      </c>
      <c r="AB4373">
        <v>3</v>
      </c>
      <c r="AC4373">
        <v>0</v>
      </c>
      <c r="AD4373">
        <v>10</v>
      </c>
      <c r="AE4373">
        <v>0</v>
      </c>
      <c r="AF4373">
        <v>3</v>
      </c>
      <c r="AG4373">
        <v>2</v>
      </c>
      <c r="AH4373">
        <v>0</v>
      </c>
      <c r="AI4373" t="s">
        <v>2431</v>
      </c>
      <c r="AJ4373">
        <v>40.160608000000003</v>
      </c>
      <c r="AK4373" t="s">
        <v>2432</v>
      </c>
      <c r="AL4373">
        <v>-93.192344000000006</v>
      </c>
      <c r="AM4373">
        <v>100</v>
      </c>
      <c r="AN4373">
        <v>1300</v>
      </c>
      <c r="AO4373" t="s">
        <v>118</v>
      </c>
      <c r="AP4373">
        <v>-132</v>
      </c>
      <c r="AQ4373">
        <v>-37</v>
      </c>
      <c r="AR4373">
        <v>64</v>
      </c>
      <c r="AZ4373">
        <v>1200</v>
      </c>
      <c r="BA4373">
        <v>1</v>
      </c>
      <c r="BB4373" t="str">
        <f t="shared" si="216"/>
        <v xml:space="preserve">N8080G  </v>
      </c>
      <c r="BC4373">
        <v>1</v>
      </c>
      <c r="BE4373">
        <v>0</v>
      </c>
      <c r="BF4373">
        <v>0</v>
      </c>
      <c r="BG4373">
        <v>0</v>
      </c>
      <c r="BH4373">
        <v>1350</v>
      </c>
      <c r="BI4373">
        <v>1</v>
      </c>
      <c r="BJ4373">
        <v>1</v>
      </c>
      <c r="BK4373">
        <v>1</v>
      </c>
      <c r="BL4373">
        <v>0</v>
      </c>
      <c r="BO4373">
        <v>0</v>
      </c>
      <c r="BP4373">
        <v>0</v>
      </c>
      <c r="BW4373" t="str">
        <f>"20:38:42.662"</f>
        <v>20:38:42.662</v>
      </c>
      <c r="BZ4373">
        <v>0</v>
      </c>
      <c r="CA4373">
        <v>1600</v>
      </c>
      <c r="CB4373">
        <v>224</v>
      </c>
      <c r="CD4373">
        <v>1</v>
      </c>
      <c r="CE4373">
        <v>0</v>
      </c>
      <c r="CF4373">
        <v>0</v>
      </c>
      <c r="CG4373">
        <v>1</v>
      </c>
      <c r="CH4373">
        <v>0</v>
      </c>
      <c r="CI4373">
        <v>0</v>
      </c>
      <c r="CJ4373">
        <v>0</v>
      </c>
      <c r="CK4373">
        <v>2</v>
      </c>
      <c r="CL4373">
        <v>0</v>
      </c>
      <c r="CM4373">
        <v>2</v>
      </c>
      <c r="CN4373">
        <v>0</v>
      </c>
      <c r="CO4373">
        <v>1</v>
      </c>
      <c r="CP4373" t="s">
        <v>119</v>
      </c>
      <c r="CQ4373">
        <v>179</v>
      </c>
      <c r="CR4373">
        <v>2</v>
      </c>
      <c r="CW4373">
        <v>12688910</v>
      </c>
      <c r="CY4373">
        <v>0</v>
      </c>
      <c r="CZ4373">
        <v>0</v>
      </c>
      <c r="DA4373">
        <v>1</v>
      </c>
      <c r="DB4373">
        <v>0</v>
      </c>
      <c r="DC4373">
        <v>0</v>
      </c>
      <c r="DD4373">
        <v>0</v>
      </c>
      <c r="DE4373">
        <v>0</v>
      </c>
      <c r="DF4373">
        <v>0</v>
      </c>
      <c r="DG4373">
        <v>0</v>
      </c>
      <c r="DH4373">
        <v>0</v>
      </c>
      <c r="DI4373">
        <v>0</v>
      </c>
    </row>
    <row r="4374" spans="1:113" x14ac:dyDescent="0.3">
      <c r="A4374" t="str">
        <f>"02/08/2021 20:38:40.311"</f>
        <v>02/08/2021 20:38:40.311</v>
      </c>
      <c r="C4374" t="str">
        <f t="shared" si="215"/>
        <v>FFDFD7C0</v>
      </c>
      <c r="D4374" t="s">
        <v>124</v>
      </c>
      <c r="E4374">
        <v>11</v>
      </c>
      <c r="F4374">
        <v>1011</v>
      </c>
      <c r="G4374" t="s">
        <v>590</v>
      </c>
      <c r="J4374" t="s">
        <v>125</v>
      </c>
      <c r="K4374">
        <v>0</v>
      </c>
      <c r="L4374">
        <v>3</v>
      </c>
      <c r="M4374">
        <v>0</v>
      </c>
      <c r="N4374">
        <v>2</v>
      </c>
      <c r="O4374">
        <v>1</v>
      </c>
      <c r="P4374">
        <v>0</v>
      </c>
      <c r="Q4374">
        <v>0</v>
      </c>
      <c r="S4374" t="str">
        <f>"20:38:42.656"</f>
        <v>20:38:42.656</v>
      </c>
      <c r="T4374" t="str">
        <f>"20:38:40.556"</f>
        <v>20:38:40.556</v>
      </c>
      <c r="U4374" t="str">
        <f t="shared" si="217"/>
        <v>AB01F4</v>
      </c>
      <c r="V4374">
        <v>0</v>
      </c>
      <c r="W4374">
        <v>0</v>
      </c>
      <c r="X4374">
        <v>2</v>
      </c>
      <c r="Z4374">
        <v>0</v>
      </c>
      <c r="AA4374">
        <v>9</v>
      </c>
      <c r="AB4374">
        <v>3</v>
      </c>
      <c r="AC4374">
        <v>0</v>
      </c>
      <c r="AD4374">
        <v>10</v>
      </c>
      <c r="AE4374">
        <v>0</v>
      </c>
      <c r="AF4374">
        <v>3</v>
      </c>
      <c r="AG4374">
        <v>2</v>
      </c>
      <c r="AH4374">
        <v>0</v>
      </c>
      <c r="AI4374" t="s">
        <v>2431</v>
      </c>
      <c r="AJ4374">
        <v>40.160608000000003</v>
      </c>
      <c r="AK4374" t="s">
        <v>2432</v>
      </c>
      <c r="AL4374">
        <v>-93.192344000000006</v>
      </c>
      <c r="AM4374">
        <v>100</v>
      </c>
      <c r="AN4374">
        <v>1300</v>
      </c>
      <c r="AO4374" t="s">
        <v>118</v>
      </c>
      <c r="AP4374">
        <v>-132</v>
      </c>
      <c r="AQ4374">
        <v>-37</v>
      </c>
      <c r="AR4374">
        <v>64</v>
      </c>
      <c r="AZ4374">
        <v>1200</v>
      </c>
      <c r="BA4374">
        <v>1</v>
      </c>
      <c r="BB4374" t="str">
        <f t="shared" si="216"/>
        <v xml:space="preserve">N8080G  </v>
      </c>
      <c r="BC4374">
        <v>1</v>
      </c>
      <c r="BE4374">
        <v>0</v>
      </c>
      <c r="BF4374">
        <v>0</v>
      </c>
      <c r="BG4374">
        <v>0</v>
      </c>
      <c r="BH4374">
        <v>1350</v>
      </c>
      <c r="BI4374">
        <v>1</v>
      </c>
      <c r="BJ4374">
        <v>1</v>
      </c>
      <c r="BK4374">
        <v>1</v>
      </c>
      <c r="BL4374">
        <v>0</v>
      </c>
      <c r="BO4374">
        <v>0</v>
      </c>
      <c r="BP4374">
        <v>0</v>
      </c>
      <c r="BW4374" t="str">
        <f>"20:38:42.662"</f>
        <v>20:38:42.662</v>
      </c>
      <c r="BZ4374">
        <v>0</v>
      </c>
      <c r="CA4374">
        <v>1600</v>
      </c>
      <c r="CB4374">
        <v>224</v>
      </c>
      <c r="CD4374">
        <v>1</v>
      </c>
      <c r="CE4374">
        <v>0</v>
      </c>
      <c r="CF4374">
        <v>0</v>
      </c>
      <c r="CG4374">
        <v>1</v>
      </c>
      <c r="CH4374">
        <v>0</v>
      </c>
      <c r="CI4374">
        <v>0</v>
      </c>
      <c r="CJ4374">
        <v>0</v>
      </c>
      <c r="CK4374">
        <v>2</v>
      </c>
      <c r="CL4374">
        <v>0</v>
      </c>
      <c r="CM4374">
        <v>2</v>
      </c>
      <c r="CN4374">
        <v>0</v>
      </c>
      <c r="CO4374">
        <v>1</v>
      </c>
      <c r="CP4374" t="s">
        <v>119</v>
      </c>
      <c r="CQ4374">
        <v>179</v>
      </c>
      <c r="CR4374">
        <v>2</v>
      </c>
      <c r="CW4374">
        <v>12688910</v>
      </c>
      <c r="CY4374">
        <v>0</v>
      </c>
      <c r="CZ4374">
        <v>0</v>
      </c>
      <c r="DA4374">
        <v>1</v>
      </c>
      <c r="DB4374">
        <v>0</v>
      </c>
      <c r="DC4374">
        <v>0</v>
      </c>
      <c r="DD4374">
        <v>0</v>
      </c>
      <c r="DE4374">
        <v>0</v>
      </c>
      <c r="DF4374">
        <v>0</v>
      </c>
      <c r="DG4374">
        <v>0</v>
      </c>
      <c r="DH4374">
        <v>0</v>
      </c>
      <c r="DI4374">
        <v>0</v>
      </c>
    </row>
    <row r="4375" spans="1:113" x14ac:dyDescent="0.3">
      <c r="A4375" t="str">
        <f>"02/08/2021 20:38:44.828"</f>
        <v>02/08/2021 20:38:44.828</v>
      </c>
      <c r="C4375" t="str">
        <f t="shared" si="215"/>
        <v>FFDFD7C0</v>
      </c>
      <c r="D4375" t="s">
        <v>124</v>
      </c>
      <c r="E4375">
        <v>13</v>
      </c>
      <c r="F4375">
        <v>1013</v>
      </c>
      <c r="G4375" t="s">
        <v>114</v>
      </c>
      <c r="J4375" t="s">
        <v>125</v>
      </c>
      <c r="K4375">
        <v>0</v>
      </c>
      <c r="L4375">
        <v>3</v>
      </c>
      <c r="M4375">
        <v>0</v>
      </c>
      <c r="N4375">
        <v>2</v>
      </c>
      <c r="O4375">
        <v>1</v>
      </c>
      <c r="P4375">
        <v>0</v>
      </c>
      <c r="Q4375">
        <v>0</v>
      </c>
      <c r="S4375" t="str">
        <f>"20:38:47.141"</f>
        <v>20:38:47.141</v>
      </c>
      <c r="T4375" t="str">
        <f>"20:38:46.741"</f>
        <v>20:38:46.741</v>
      </c>
      <c r="U4375" t="str">
        <f t="shared" si="217"/>
        <v>AB01F4</v>
      </c>
      <c r="V4375">
        <v>0</v>
      </c>
      <c r="W4375">
        <v>0</v>
      </c>
      <c r="X4375">
        <v>2</v>
      </c>
      <c r="Z4375">
        <v>0</v>
      </c>
      <c r="AA4375">
        <v>9</v>
      </c>
      <c r="AB4375">
        <v>3</v>
      </c>
      <c r="AC4375">
        <v>0</v>
      </c>
      <c r="AD4375">
        <v>10</v>
      </c>
      <c r="AE4375">
        <v>0</v>
      </c>
      <c r="AF4375">
        <v>3</v>
      </c>
      <c r="AG4375">
        <v>2</v>
      </c>
      <c r="AH4375">
        <v>0</v>
      </c>
      <c r="AI4375" t="s">
        <v>2433</v>
      </c>
      <c r="AJ4375">
        <v>40.159835999999999</v>
      </c>
      <c r="AK4375" t="s">
        <v>2434</v>
      </c>
      <c r="AL4375">
        <v>-93.195863000000003</v>
      </c>
      <c r="AM4375">
        <v>100</v>
      </c>
      <c r="AN4375">
        <v>1300</v>
      </c>
      <c r="AO4375" t="s">
        <v>118</v>
      </c>
      <c r="AP4375">
        <v>-131</v>
      </c>
      <c r="AQ4375">
        <v>-35</v>
      </c>
      <c r="AR4375">
        <v>64</v>
      </c>
      <c r="AZ4375">
        <v>1200</v>
      </c>
      <c r="BA4375">
        <v>1</v>
      </c>
      <c r="BB4375" t="str">
        <f t="shared" si="216"/>
        <v xml:space="preserve">N8080G  </v>
      </c>
      <c r="BC4375">
        <v>1</v>
      </c>
      <c r="BE4375">
        <v>0</v>
      </c>
      <c r="BF4375">
        <v>0</v>
      </c>
      <c r="BG4375">
        <v>0</v>
      </c>
      <c r="BH4375">
        <v>1350</v>
      </c>
      <c r="BI4375">
        <v>1</v>
      </c>
      <c r="BJ4375">
        <v>1</v>
      </c>
      <c r="BK4375">
        <v>1</v>
      </c>
      <c r="BL4375">
        <v>0</v>
      </c>
      <c r="BO4375">
        <v>0</v>
      </c>
      <c r="BP4375">
        <v>0</v>
      </c>
      <c r="BW4375" t="str">
        <f>"20:38:47.146"</f>
        <v>20:38:47.146</v>
      </c>
      <c r="BZ4375">
        <v>0</v>
      </c>
      <c r="CA4375">
        <v>1600</v>
      </c>
      <c r="CB4375">
        <v>224</v>
      </c>
      <c r="CD4375">
        <v>1</v>
      </c>
      <c r="CE4375">
        <v>0</v>
      </c>
      <c r="CF4375">
        <v>0</v>
      </c>
      <c r="CG4375">
        <v>1</v>
      </c>
      <c r="CH4375">
        <v>0</v>
      </c>
      <c r="CI4375">
        <v>0</v>
      </c>
      <c r="CJ4375">
        <v>0</v>
      </c>
      <c r="CK4375">
        <v>2</v>
      </c>
      <c r="CL4375">
        <v>0</v>
      </c>
      <c r="CM4375">
        <v>2</v>
      </c>
      <c r="CN4375">
        <v>0</v>
      </c>
      <c r="CO4375">
        <v>1</v>
      </c>
      <c r="CP4375" t="s">
        <v>119</v>
      </c>
      <c r="CQ4375">
        <v>179</v>
      </c>
      <c r="CR4375">
        <v>2</v>
      </c>
      <c r="CW4375">
        <v>12692559</v>
      </c>
      <c r="CY4375">
        <v>0</v>
      </c>
      <c r="CZ4375">
        <v>0</v>
      </c>
      <c r="DA4375">
        <v>0</v>
      </c>
      <c r="DB4375">
        <v>0</v>
      </c>
      <c r="DC4375">
        <v>0</v>
      </c>
      <c r="DD4375">
        <v>0</v>
      </c>
      <c r="DE4375">
        <v>0</v>
      </c>
      <c r="DF4375">
        <v>0</v>
      </c>
      <c r="DG4375">
        <v>0</v>
      </c>
      <c r="DH4375">
        <v>0</v>
      </c>
      <c r="DI4375">
        <v>0</v>
      </c>
    </row>
    <row r="4376" spans="1:113" x14ac:dyDescent="0.3">
      <c r="A4376" t="str">
        <f>"02/08/2021 20:38:44.828"</f>
        <v>02/08/2021 20:38:44.828</v>
      </c>
      <c r="C4376" t="str">
        <f t="shared" si="215"/>
        <v>FFDFD7C0</v>
      </c>
      <c r="D4376" t="s">
        <v>124</v>
      </c>
      <c r="E4376">
        <v>11</v>
      </c>
      <c r="F4376">
        <v>1011</v>
      </c>
      <c r="G4376" t="s">
        <v>590</v>
      </c>
      <c r="J4376" t="s">
        <v>125</v>
      </c>
      <c r="K4376">
        <v>0</v>
      </c>
      <c r="L4376">
        <v>3</v>
      </c>
      <c r="M4376">
        <v>0</v>
      </c>
      <c r="N4376">
        <v>2</v>
      </c>
      <c r="O4376">
        <v>1</v>
      </c>
      <c r="P4376">
        <v>0</v>
      </c>
      <c r="Q4376">
        <v>0</v>
      </c>
      <c r="S4376" t="str">
        <f>"20:38:47.141"</f>
        <v>20:38:47.141</v>
      </c>
      <c r="T4376" t="str">
        <f>"20:38:46.741"</f>
        <v>20:38:46.741</v>
      </c>
      <c r="U4376" t="str">
        <f t="shared" si="217"/>
        <v>AB01F4</v>
      </c>
      <c r="V4376">
        <v>0</v>
      </c>
      <c r="W4376">
        <v>0</v>
      </c>
      <c r="X4376">
        <v>2</v>
      </c>
      <c r="Z4376">
        <v>0</v>
      </c>
      <c r="AA4376">
        <v>9</v>
      </c>
      <c r="AB4376">
        <v>3</v>
      </c>
      <c r="AC4376">
        <v>0</v>
      </c>
      <c r="AD4376">
        <v>10</v>
      </c>
      <c r="AE4376">
        <v>0</v>
      </c>
      <c r="AF4376">
        <v>3</v>
      </c>
      <c r="AG4376">
        <v>2</v>
      </c>
      <c r="AH4376">
        <v>0</v>
      </c>
      <c r="AI4376" t="s">
        <v>2433</v>
      </c>
      <c r="AJ4376">
        <v>40.159835999999999</v>
      </c>
      <c r="AK4376" t="s">
        <v>2434</v>
      </c>
      <c r="AL4376">
        <v>-93.195863000000003</v>
      </c>
      <c r="AM4376">
        <v>100</v>
      </c>
      <c r="AN4376">
        <v>1300</v>
      </c>
      <c r="AO4376" t="s">
        <v>118</v>
      </c>
      <c r="AP4376">
        <v>-131</v>
      </c>
      <c r="AQ4376">
        <v>-35</v>
      </c>
      <c r="AR4376">
        <v>64</v>
      </c>
      <c r="AZ4376">
        <v>1200</v>
      </c>
      <c r="BA4376">
        <v>1</v>
      </c>
      <c r="BB4376" t="str">
        <f t="shared" si="216"/>
        <v xml:space="preserve">N8080G  </v>
      </c>
      <c r="BC4376">
        <v>1</v>
      </c>
      <c r="BE4376">
        <v>0</v>
      </c>
      <c r="BF4376">
        <v>0</v>
      </c>
      <c r="BG4376">
        <v>0</v>
      </c>
      <c r="BH4376">
        <v>1350</v>
      </c>
      <c r="BI4376">
        <v>1</v>
      </c>
      <c r="BJ4376">
        <v>1</v>
      </c>
      <c r="BK4376">
        <v>1</v>
      </c>
      <c r="BL4376">
        <v>0</v>
      </c>
      <c r="BO4376">
        <v>0</v>
      </c>
      <c r="BP4376">
        <v>0</v>
      </c>
      <c r="BW4376" t="str">
        <f>"20:38:47.146"</f>
        <v>20:38:47.146</v>
      </c>
      <c r="BZ4376">
        <v>0</v>
      </c>
      <c r="CA4376">
        <v>1600</v>
      </c>
      <c r="CB4376">
        <v>224</v>
      </c>
      <c r="CD4376">
        <v>1</v>
      </c>
      <c r="CE4376">
        <v>0</v>
      </c>
      <c r="CF4376">
        <v>0</v>
      </c>
      <c r="CG4376">
        <v>1</v>
      </c>
      <c r="CH4376">
        <v>0</v>
      </c>
      <c r="CI4376">
        <v>0</v>
      </c>
      <c r="CJ4376">
        <v>0</v>
      </c>
      <c r="CK4376">
        <v>2</v>
      </c>
      <c r="CL4376">
        <v>0</v>
      </c>
      <c r="CM4376">
        <v>2</v>
      </c>
      <c r="CN4376">
        <v>0</v>
      </c>
      <c r="CO4376">
        <v>1</v>
      </c>
      <c r="CP4376" t="s">
        <v>119</v>
      </c>
      <c r="CQ4376">
        <v>179</v>
      </c>
      <c r="CR4376">
        <v>2</v>
      </c>
      <c r="CW4376">
        <v>12692559</v>
      </c>
      <c r="CY4376">
        <v>0</v>
      </c>
      <c r="CZ4376">
        <v>0</v>
      </c>
      <c r="DA4376">
        <v>1</v>
      </c>
      <c r="DB4376">
        <v>0</v>
      </c>
      <c r="DC4376">
        <v>0</v>
      </c>
      <c r="DD4376">
        <v>0</v>
      </c>
      <c r="DE4376">
        <v>0</v>
      </c>
      <c r="DF4376">
        <v>0</v>
      </c>
      <c r="DG4376">
        <v>0</v>
      </c>
      <c r="DH4376">
        <v>0</v>
      </c>
      <c r="DI4376">
        <v>0</v>
      </c>
    </row>
    <row r="4377" spans="1:113" x14ac:dyDescent="0.3">
      <c r="A4377" t="str">
        <f>"02/08/2021 20:38:44.828"</f>
        <v>02/08/2021 20:38:44.828</v>
      </c>
      <c r="C4377" t="str">
        <f t="shared" si="215"/>
        <v>FFDFD7C0</v>
      </c>
      <c r="D4377" t="s">
        <v>113</v>
      </c>
      <c r="E4377">
        <v>6</v>
      </c>
      <c r="H4377">
        <v>165</v>
      </c>
      <c r="I4377" t="s">
        <v>114</v>
      </c>
      <c r="J4377" t="s">
        <v>115</v>
      </c>
      <c r="K4377">
        <v>0</v>
      </c>
      <c r="L4377">
        <v>3</v>
      </c>
      <c r="M4377">
        <v>0</v>
      </c>
      <c r="N4377">
        <v>2</v>
      </c>
      <c r="O4377">
        <v>1</v>
      </c>
      <c r="P4377">
        <v>0</v>
      </c>
      <c r="Q4377">
        <v>0</v>
      </c>
      <c r="S4377" t="str">
        <f>"20:38:47.141"</f>
        <v>20:38:47.141</v>
      </c>
      <c r="T4377" t="str">
        <f>"20:38:46.741"</f>
        <v>20:38:46.741</v>
      </c>
      <c r="U4377" t="str">
        <f t="shared" si="217"/>
        <v>AB01F4</v>
      </c>
      <c r="V4377">
        <v>0</v>
      </c>
      <c r="W4377">
        <v>0</v>
      </c>
      <c r="X4377">
        <v>2</v>
      </c>
      <c r="Z4377">
        <v>0</v>
      </c>
      <c r="AA4377">
        <v>9</v>
      </c>
      <c r="AB4377">
        <v>3</v>
      </c>
      <c r="AC4377">
        <v>0</v>
      </c>
      <c r="AD4377">
        <v>10</v>
      </c>
      <c r="AE4377">
        <v>0</v>
      </c>
      <c r="AF4377">
        <v>3</v>
      </c>
      <c r="AG4377">
        <v>2</v>
      </c>
      <c r="AH4377">
        <v>0</v>
      </c>
      <c r="AI4377" t="s">
        <v>2433</v>
      </c>
      <c r="AJ4377">
        <v>40.159835999999999</v>
      </c>
      <c r="AK4377" t="s">
        <v>2434</v>
      </c>
      <c r="AL4377">
        <v>-93.195863000000003</v>
      </c>
      <c r="AM4377">
        <v>100</v>
      </c>
      <c r="AN4377">
        <v>1300</v>
      </c>
      <c r="AO4377" t="s">
        <v>118</v>
      </c>
      <c r="AP4377">
        <v>-131</v>
      </c>
      <c r="AQ4377">
        <v>-35</v>
      </c>
      <c r="AR4377">
        <v>64</v>
      </c>
      <c r="AZ4377">
        <v>1200</v>
      </c>
      <c r="BA4377">
        <v>1</v>
      </c>
      <c r="BB4377" t="str">
        <f t="shared" si="216"/>
        <v xml:space="preserve">N8080G  </v>
      </c>
      <c r="BC4377">
        <v>1</v>
      </c>
      <c r="BE4377">
        <v>0</v>
      </c>
      <c r="BF4377">
        <v>0</v>
      </c>
      <c r="BG4377">
        <v>0</v>
      </c>
      <c r="BH4377">
        <v>1350</v>
      </c>
      <c r="BI4377">
        <v>1</v>
      </c>
      <c r="BJ4377">
        <v>1</v>
      </c>
      <c r="BK4377">
        <v>1</v>
      </c>
      <c r="BL4377">
        <v>0</v>
      </c>
      <c r="BO4377">
        <v>0</v>
      </c>
      <c r="BP4377">
        <v>0</v>
      </c>
      <c r="BW4377" t="str">
        <f>"20:38:47.146"</f>
        <v>20:38:47.146</v>
      </c>
      <c r="BZ4377">
        <v>0</v>
      </c>
      <c r="CA4377">
        <v>1600</v>
      </c>
      <c r="CB4377">
        <v>224</v>
      </c>
      <c r="CD4377">
        <v>1</v>
      </c>
      <c r="CE4377">
        <v>0</v>
      </c>
      <c r="CF4377">
        <v>0</v>
      </c>
      <c r="CG4377">
        <v>1</v>
      </c>
      <c r="CH4377">
        <v>0</v>
      </c>
      <c r="CI4377">
        <v>0</v>
      </c>
      <c r="CJ4377">
        <v>0</v>
      </c>
      <c r="CK4377">
        <v>2</v>
      </c>
      <c r="CL4377">
        <v>0</v>
      </c>
      <c r="CM4377">
        <v>2</v>
      </c>
      <c r="CN4377">
        <v>0</v>
      </c>
      <c r="CO4377">
        <v>1</v>
      </c>
      <c r="CP4377" t="s">
        <v>119</v>
      </c>
      <c r="CQ4377">
        <v>179</v>
      </c>
      <c r="CR4377">
        <v>2</v>
      </c>
      <c r="CW4377">
        <v>12692559</v>
      </c>
      <c r="CY4377">
        <v>0</v>
      </c>
      <c r="CZ4377">
        <v>0</v>
      </c>
      <c r="DA4377">
        <v>1</v>
      </c>
      <c r="DB4377">
        <v>0</v>
      </c>
      <c r="DC4377">
        <v>0</v>
      </c>
      <c r="DD4377">
        <v>0</v>
      </c>
      <c r="DE4377">
        <v>0</v>
      </c>
      <c r="DF4377">
        <v>0</v>
      </c>
      <c r="DG4377">
        <v>0</v>
      </c>
      <c r="DH4377">
        <v>0</v>
      </c>
      <c r="DI4377">
        <v>0</v>
      </c>
    </row>
    <row r="4378" spans="1:113" x14ac:dyDescent="0.3">
      <c r="A4378" t="str">
        <f>"02/08/2021 20:38:44.828"</f>
        <v>02/08/2021 20:38:44.828</v>
      </c>
      <c r="C4378" t="str">
        <f t="shared" si="215"/>
        <v>FFDFD7C0</v>
      </c>
      <c r="D4378" t="s">
        <v>124</v>
      </c>
      <c r="E4378">
        <v>12</v>
      </c>
      <c r="F4378">
        <v>1012</v>
      </c>
      <c r="G4378" t="s">
        <v>675</v>
      </c>
      <c r="J4378" t="s">
        <v>125</v>
      </c>
      <c r="K4378">
        <v>0</v>
      </c>
      <c r="L4378">
        <v>3</v>
      </c>
      <c r="M4378">
        <v>0</v>
      </c>
      <c r="N4378">
        <v>2</v>
      </c>
      <c r="O4378">
        <v>1</v>
      </c>
      <c r="P4378">
        <v>0</v>
      </c>
      <c r="Q4378">
        <v>0</v>
      </c>
      <c r="S4378" t="str">
        <f>"20:38:47.141"</f>
        <v>20:38:47.141</v>
      </c>
      <c r="T4378" t="str">
        <f>"20:38:46.741"</f>
        <v>20:38:46.741</v>
      </c>
      <c r="U4378" t="str">
        <f t="shared" si="217"/>
        <v>AB01F4</v>
      </c>
      <c r="V4378">
        <v>0</v>
      </c>
      <c r="W4378">
        <v>0</v>
      </c>
      <c r="X4378">
        <v>2</v>
      </c>
      <c r="Z4378">
        <v>0</v>
      </c>
      <c r="AA4378">
        <v>9</v>
      </c>
      <c r="AB4378">
        <v>3</v>
      </c>
      <c r="AC4378">
        <v>0</v>
      </c>
      <c r="AD4378">
        <v>10</v>
      </c>
      <c r="AE4378">
        <v>0</v>
      </c>
      <c r="AF4378">
        <v>3</v>
      </c>
      <c r="AG4378">
        <v>2</v>
      </c>
      <c r="AH4378">
        <v>0</v>
      </c>
      <c r="AI4378" t="s">
        <v>2433</v>
      </c>
      <c r="AJ4378">
        <v>40.159835999999999</v>
      </c>
      <c r="AK4378" t="s">
        <v>2434</v>
      </c>
      <c r="AL4378">
        <v>-93.195863000000003</v>
      </c>
      <c r="AM4378">
        <v>100</v>
      </c>
      <c r="AN4378">
        <v>1300</v>
      </c>
      <c r="AO4378" t="s">
        <v>118</v>
      </c>
      <c r="AP4378">
        <v>-131</v>
      </c>
      <c r="AQ4378">
        <v>-35</v>
      </c>
      <c r="AR4378">
        <v>64</v>
      </c>
      <c r="AZ4378">
        <v>1200</v>
      </c>
      <c r="BA4378">
        <v>1</v>
      </c>
      <c r="BB4378" t="str">
        <f t="shared" si="216"/>
        <v xml:space="preserve">N8080G  </v>
      </c>
      <c r="BC4378">
        <v>1</v>
      </c>
      <c r="BE4378">
        <v>0</v>
      </c>
      <c r="BF4378">
        <v>0</v>
      </c>
      <c r="BG4378">
        <v>0</v>
      </c>
      <c r="BH4378">
        <v>1350</v>
      </c>
      <c r="BI4378">
        <v>1</v>
      </c>
      <c r="BJ4378">
        <v>1</v>
      </c>
      <c r="BK4378">
        <v>1</v>
      </c>
      <c r="BL4378">
        <v>0</v>
      </c>
      <c r="BO4378">
        <v>0</v>
      </c>
      <c r="BP4378">
        <v>0</v>
      </c>
      <c r="BW4378" t="str">
        <f>"20:38:47.146"</f>
        <v>20:38:47.146</v>
      </c>
      <c r="BZ4378">
        <v>0</v>
      </c>
      <c r="CA4378">
        <v>1600</v>
      </c>
      <c r="CB4378">
        <v>224</v>
      </c>
      <c r="CD4378">
        <v>1</v>
      </c>
      <c r="CE4378">
        <v>0</v>
      </c>
      <c r="CF4378">
        <v>0</v>
      </c>
      <c r="CG4378">
        <v>1</v>
      </c>
      <c r="CH4378">
        <v>0</v>
      </c>
      <c r="CI4378">
        <v>0</v>
      </c>
      <c r="CJ4378">
        <v>0</v>
      </c>
      <c r="CK4378">
        <v>2</v>
      </c>
      <c r="CL4378">
        <v>0</v>
      </c>
      <c r="CM4378">
        <v>2</v>
      </c>
      <c r="CN4378">
        <v>0</v>
      </c>
      <c r="CO4378">
        <v>1</v>
      </c>
      <c r="CP4378" t="s">
        <v>119</v>
      </c>
      <c r="CQ4378">
        <v>179</v>
      </c>
      <c r="CR4378">
        <v>2</v>
      </c>
      <c r="CW4378">
        <v>12692559</v>
      </c>
      <c r="CY4378">
        <v>0</v>
      </c>
      <c r="CZ4378">
        <v>0</v>
      </c>
      <c r="DA4378">
        <v>1</v>
      </c>
      <c r="DB4378">
        <v>0</v>
      </c>
      <c r="DC4378">
        <v>0</v>
      </c>
      <c r="DD4378">
        <v>0</v>
      </c>
      <c r="DE4378">
        <v>0</v>
      </c>
      <c r="DF4378">
        <v>0</v>
      </c>
      <c r="DG4378">
        <v>0</v>
      </c>
      <c r="DH4378">
        <v>0</v>
      </c>
      <c r="DI4378">
        <v>0</v>
      </c>
    </row>
    <row r="4379" spans="1:113" x14ac:dyDescent="0.3">
      <c r="A4379" t="str">
        <f>"02/08/2021 20:38:46.336"</f>
        <v>02/08/2021 20:38:46.336</v>
      </c>
      <c r="C4379" t="str">
        <f t="shared" si="215"/>
        <v>FFDFD7C0</v>
      </c>
      <c r="D4379" t="s">
        <v>124</v>
      </c>
      <c r="E4379">
        <v>13</v>
      </c>
      <c r="F4379">
        <v>1013</v>
      </c>
      <c r="G4379" t="s">
        <v>114</v>
      </c>
      <c r="J4379" t="s">
        <v>125</v>
      </c>
      <c r="K4379">
        <v>0</v>
      </c>
      <c r="L4379">
        <v>3</v>
      </c>
      <c r="M4379">
        <v>0</v>
      </c>
      <c r="N4379">
        <v>2</v>
      </c>
      <c r="O4379">
        <v>1</v>
      </c>
      <c r="P4379">
        <v>0</v>
      </c>
      <c r="Q4379">
        <v>0</v>
      </c>
      <c r="S4379" t="str">
        <f>"20:38:48.672"</f>
        <v>20:38:48.672</v>
      </c>
      <c r="T4379" t="str">
        <f>"20:38:48.172"</f>
        <v>20:38:48.172</v>
      </c>
      <c r="U4379" t="str">
        <f t="shared" si="217"/>
        <v>AB01F4</v>
      </c>
      <c r="V4379">
        <v>0</v>
      </c>
      <c r="W4379">
        <v>0</v>
      </c>
      <c r="X4379">
        <v>2</v>
      </c>
      <c r="Z4379">
        <v>0</v>
      </c>
      <c r="AA4379">
        <v>9</v>
      </c>
      <c r="AB4379">
        <v>3</v>
      </c>
      <c r="AC4379">
        <v>0</v>
      </c>
      <c r="AD4379">
        <v>10</v>
      </c>
      <c r="AE4379">
        <v>0</v>
      </c>
      <c r="AF4379">
        <v>3</v>
      </c>
      <c r="AG4379">
        <v>2</v>
      </c>
      <c r="AH4379">
        <v>0</v>
      </c>
      <c r="AI4379" t="s">
        <v>2435</v>
      </c>
      <c r="AJ4379">
        <v>40.159599999999998</v>
      </c>
      <c r="AK4379" t="s">
        <v>2436</v>
      </c>
      <c r="AL4379">
        <v>-93.197085999999999</v>
      </c>
      <c r="AM4379">
        <v>100</v>
      </c>
      <c r="AN4379">
        <v>1300</v>
      </c>
      <c r="AO4379" t="s">
        <v>118</v>
      </c>
      <c r="AP4379">
        <v>-131</v>
      </c>
      <c r="AQ4379">
        <v>-36</v>
      </c>
      <c r="AR4379">
        <v>0</v>
      </c>
      <c r="AZ4379">
        <v>1200</v>
      </c>
      <c r="BA4379">
        <v>1</v>
      </c>
      <c r="BB4379" t="str">
        <f t="shared" si="216"/>
        <v xml:space="preserve">N8080G  </v>
      </c>
      <c r="BC4379">
        <v>1</v>
      </c>
      <c r="BE4379">
        <v>0</v>
      </c>
      <c r="BF4379">
        <v>0</v>
      </c>
      <c r="BG4379">
        <v>0</v>
      </c>
      <c r="BH4379">
        <v>1350</v>
      </c>
      <c r="BI4379">
        <v>1</v>
      </c>
      <c r="BJ4379">
        <v>1</v>
      </c>
      <c r="BK4379">
        <v>1</v>
      </c>
      <c r="BL4379">
        <v>0</v>
      </c>
      <c r="BO4379">
        <v>0</v>
      </c>
      <c r="BP4379">
        <v>0</v>
      </c>
      <c r="BW4379" t="str">
        <f>"20:38:48.679"</f>
        <v>20:38:48.679</v>
      </c>
      <c r="BZ4379">
        <v>0</v>
      </c>
      <c r="CA4379">
        <v>1600</v>
      </c>
      <c r="CB4379">
        <v>224</v>
      </c>
      <c r="CD4379">
        <v>1</v>
      </c>
      <c r="CE4379">
        <v>0</v>
      </c>
      <c r="CF4379">
        <v>0</v>
      </c>
      <c r="CG4379">
        <v>1</v>
      </c>
      <c r="CH4379">
        <v>0</v>
      </c>
      <c r="CI4379">
        <v>0</v>
      </c>
      <c r="CJ4379">
        <v>0</v>
      </c>
      <c r="CK4379">
        <v>2</v>
      </c>
      <c r="CL4379">
        <v>0</v>
      </c>
      <c r="CM4379">
        <v>2</v>
      </c>
      <c r="CN4379">
        <v>0</v>
      </c>
      <c r="CO4379">
        <v>2</v>
      </c>
      <c r="CP4379" t="s">
        <v>119</v>
      </c>
      <c r="CQ4379">
        <v>179</v>
      </c>
      <c r="CR4379">
        <v>2</v>
      </c>
      <c r="CW4379">
        <v>12693860</v>
      </c>
      <c r="CY4379">
        <v>0</v>
      </c>
      <c r="CZ4379">
        <v>0</v>
      </c>
      <c r="DA4379">
        <v>0</v>
      </c>
      <c r="DB4379">
        <v>0</v>
      </c>
      <c r="DC4379">
        <v>0</v>
      </c>
      <c r="DD4379">
        <v>0</v>
      </c>
      <c r="DE4379">
        <v>0</v>
      </c>
      <c r="DF4379">
        <v>0</v>
      </c>
      <c r="DG4379">
        <v>0</v>
      </c>
      <c r="DH4379">
        <v>0</v>
      </c>
      <c r="DI4379">
        <v>0</v>
      </c>
    </row>
    <row r="4380" spans="1:113" x14ac:dyDescent="0.3">
      <c r="A4380" t="str">
        <f>"02/08/2021 20:38:46.336"</f>
        <v>02/08/2021 20:38:46.336</v>
      </c>
      <c r="C4380" t="str">
        <f t="shared" si="215"/>
        <v>FFDFD7C0</v>
      </c>
      <c r="D4380" t="s">
        <v>124</v>
      </c>
      <c r="E4380">
        <v>11</v>
      </c>
      <c r="F4380">
        <v>1011</v>
      </c>
      <c r="G4380" t="s">
        <v>590</v>
      </c>
      <c r="J4380" t="s">
        <v>125</v>
      </c>
      <c r="K4380">
        <v>0</v>
      </c>
      <c r="L4380">
        <v>3</v>
      </c>
      <c r="M4380">
        <v>0</v>
      </c>
      <c r="N4380">
        <v>2</v>
      </c>
      <c r="O4380">
        <v>1</v>
      </c>
      <c r="P4380">
        <v>0</v>
      </c>
      <c r="Q4380">
        <v>0</v>
      </c>
      <c r="S4380" t="str">
        <f>"20:38:48.672"</f>
        <v>20:38:48.672</v>
      </c>
      <c r="T4380" t="str">
        <f>"20:38:48.172"</f>
        <v>20:38:48.172</v>
      </c>
      <c r="U4380" t="str">
        <f t="shared" si="217"/>
        <v>AB01F4</v>
      </c>
      <c r="V4380">
        <v>0</v>
      </c>
      <c r="W4380">
        <v>0</v>
      </c>
      <c r="X4380">
        <v>2</v>
      </c>
      <c r="Z4380">
        <v>0</v>
      </c>
      <c r="AA4380">
        <v>9</v>
      </c>
      <c r="AB4380">
        <v>3</v>
      </c>
      <c r="AC4380">
        <v>0</v>
      </c>
      <c r="AD4380">
        <v>10</v>
      </c>
      <c r="AE4380">
        <v>0</v>
      </c>
      <c r="AF4380">
        <v>3</v>
      </c>
      <c r="AG4380">
        <v>2</v>
      </c>
      <c r="AH4380">
        <v>0</v>
      </c>
      <c r="AI4380" t="s">
        <v>2435</v>
      </c>
      <c r="AJ4380">
        <v>40.159599999999998</v>
      </c>
      <c r="AK4380" t="s">
        <v>2436</v>
      </c>
      <c r="AL4380">
        <v>-93.197085999999999</v>
      </c>
      <c r="AM4380">
        <v>100</v>
      </c>
      <c r="AN4380">
        <v>1300</v>
      </c>
      <c r="AO4380" t="s">
        <v>118</v>
      </c>
      <c r="AP4380">
        <v>-131</v>
      </c>
      <c r="AQ4380">
        <v>-36</v>
      </c>
      <c r="AR4380">
        <v>0</v>
      </c>
      <c r="AZ4380">
        <v>1200</v>
      </c>
      <c r="BA4380">
        <v>1</v>
      </c>
      <c r="BB4380" t="str">
        <f t="shared" si="216"/>
        <v xml:space="preserve">N8080G  </v>
      </c>
      <c r="BC4380">
        <v>1</v>
      </c>
      <c r="BE4380">
        <v>0</v>
      </c>
      <c r="BF4380">
        <v>0</v>
      </c>
      <c r="BG4380">
        <v>0</v>
      </c>
      <c r="BH4380">
        <v>1350</v>
      </c>
      <c r="BI4380">
        <v>1</v>
      </c>
      <c r="BJ4380">
        <v>1</v>
      </c>
      <c r="BK4380">
        <v>1</v>
      </c>
      <c r="BL4380">
        <v>0</v>
      </c>
      <c r="BO4380">
        <v>0</v>
      </c>
      <c r="BP4380">
        <v>0</v>
      </c>
      <c r="BW4380" t="str">
        <f>"20:38:48.679"</f>
        <v>20:38:48.679</v>
      </c>
      <c r="BZ4380">
        <v>0</v>
      </c>
      <c r="CA4380">
        <v>1600</v>
      </c>
      <c r="CB4380">
        <v>224</v>
      </c>
      <c r="CD4380">
        <v>1</v>
      </c>
      <c r="CE4380">
        <v>0</v>
      </c>
      <c r="CF4380">
        <v>0</v>
      </c>
      <c r="CG4380">
        <v>1</v>
      </c>
      <c r="CH4380">
        <v>0</v>
      </c>
      <c r="CI4380">
        <v>0</v>
      </c>
      <c r="CJ4380">
        <v>0</v>
      </c>
      <c r="CK4380">
        <v>2</v>
      </c>
      <c r="CL4380">
        <v>0</v>
      </c>
      <c r="CM4380">
        <v>2</v>
      </c>
      <c r="CN4380">
        <v>0</v>
      </c>
      <c r="CO4380">
        <v>2</v>
      </c>
      <c r="CP4380" t="s">
        <v>119</v>
      </c>
      <c r="CQ4380">
        <v>179</v>
      </c>
      <c r="CR4380">
        <v>2</v>
      </c>
      <c r="CW4380">
        <v>12693860</v>
      </c>
      <c r="CY4380">
        <v>0</v>
      </c>
      <c r="CZ4380">
        <v>0</v>
      </c>
      <c r="DA4380">
        <v>1</v>
      </c>
      <c r="DB4380">
        <v>0</v>
      </c>
      <c r="DC4380">
        <v>0</v>
      </c>
      <c r="DD4380">
        <v>0</v>
      </c>
      <c r="DE4380">
        <v>0</v>
      </c>
      <c r="DF4380">
        <v>0</v>
      </c>
      <c r="DG4380">
        <v>0</v>
      </c>
      <c r="DH4380">
        <v>0</v>
      </c>
      <c r="DI4380">
        <v>0</v>
      </c>
    </row>
    <row r="4381" spans="1:113" x14ac:dyDescent="0.3">
      <c r="A4381" t="str">
        <f>"02/08/2021 20:38:46.336"</f>
        <v>02/08/2021 20:38:46.336</v>
      </c>
      <c r="C4381" t="str">
        <f t="shared" si="215"/>
        <v>FFDFD7C0</v>
      </c>
      <c r="D4381" t="s">
        <v>113</v>
      </c>
      <c r="E4381">
        <v>6</v>
      </c>
      <c r="H4381">
        <v>165</v>
      </c>
      <c r="I4381" t="s">
        <v>114</v>
      </c>
      <c r="J4381" t="s">
        <v>115</v>
      </c>
      <c r="K4381">
        <v>0</v>
      </c>
      <c r="L4381">
        <v>3</v>
      </c>
      <c r="M4381">
        <v>0</v>
      </c>
      <c r="N4381">
        <v>2</v>
      </c>
      <c r="O4381">
        <v>1</v>
      </c>
      <c r="P4381">
        <v>0</v>
      </c>
      <c r="Q4381">
        <v>0</v>
      </c>
      <c r="S4381" t="str">
        <f>"20:38:48.672"</f>
        <v>20:38:48.672</v>
      </c>
      <c r="T4381" t="str">
        <f>"20:38:48.172"</f>
        <v>20:38:48.172</v>
      </c>
      <c r="U4381" t="str">
        <f t="shared" si="217"/>
        <v>AB01F4</v>
      </c>
      <c r="V4381">
        <v>0</v>
      </c>
      <c r="W4381">
        <v>0</v>
      </c>
      <c r="X4381">
        <v>2</v>
      </c>
      <c r="Z4381">
        <v>0</v>
      </c>
      <c r="AA4381">
        <v>9</v>
      </c>
      <c r="AB4381">
        <v>3</v>
      </c>
      <c r="AC4381">
        <v>0</v>
      </c>
      <c r="AD4381">
        <v>10</v>
      </c>
      <c r="AE4381">
        <v>0</v>
      </c>
      <c r="AF4381">
        <v>3</v>
      </c>
      <c r="AG4381">
        <v>2</v>
      </c>
      <c r="AH4381">
        <v>0</v>
      </c>
      <c r="AI4381" t="s">
        <v>2435</v>
      </c>
      <c r="AJ4381">
        <v>40.159599999999998</v>
      </c>
      <c r="AK4381" t="s">
        <v>2436</v>
      </c>
      <c r="AL4381">
        <v>-93.197085999999999</v>
      </c>
      <c r="AM4381">
        <v>100</v>
      </c>
      <c r="AN4381">
        <v>1300</v>
      </c>
      <c r="AO4381" t="s">
        <v>118</v>
      </c>
      <c r="AP4381">
        <v>-131</v>
      </c>
      <c r="AQ4381">
        <v>-36</v>
      </c>
      <c r="AR4381">
        <v>0</v>
      </c>
      <c r="AZ4381">
        <v>1200</v>
      </c>
      <c r="BA4381">
        <v>1</v>
      </c>
      <c r="BB4381" t="str">
        <f t="shared" si="216"/>
        <v xml:space="preserve">N8080G  </v>
      </c>
      <c r="BC4381">
        <v>1</v>
      </c>
      <c r="BE4381">
        <v>0</v>
      </c>
      <c r="BF4381">
        <v>0</v>
      </c>
      <c r="BG4381">
        <v>0</v>
      </c>
      <c r="BH4381">
        <v>1350</v>
      </c>
      <c r="BI4381">
        <v>1</v>
      </c>
      <c r="BJ4381">
        <v>1</v>
      </c>
      <c r="BK4381">
        <v>1</v>
      </c>
      <c r="BL4381">
        <v>0</v>
      </c>
      <c r="BO4381">
        <v>0</v>
      </c>
      <c r="BP4381">
        <v>0</v>
      </c>
      <c r="BW4381" t="str">
        <f>"20:38:48.679"</f>
        <v>20:38:48.679</v>
      </c>
      <c r="BZ4381">
        <v>0</v>
      </c>
      <c r="CA4381">
        <v>1600</v>
      </c>
      <c r="CB4381">
        <v>224</v>
      </c>
      <c r="CD4381">
        <v>1</v>
      </c>
      <c r="CE4381">
        <v>0</v>
      </c>
      <c r="CF4381">
        <v>0</v>
      </c>
      <c r="CG4381">
        <v>1</v>
      </c>
      <c r="CH4381">
        <v>0</v>
      </c>
      <c r="CI4381">
        <v>0</v>
      </c>
      <c r="CJ4381">
        <v>0</v>
      </c>
      <c r="CK4381">
        <v>2</v>
      </c>
      <c r="CL4381">
        <v>0</v>
      </c>
      <c r="CM4381">
        <v>2</v>
      </c>
      <c r="CN4381">
        <v>0</v>
      </c>
      <c r="CO4381">
        <v>2</v>
      </c>
      <c r="CP4381" t="s">
        <v>119</v>
      </c>
      <c r="CQ4381">
        <v>179</v>
      </c>
      <c r="CR4381">
        <v>2</v>
      </c>
      <c r="CW4381">
        <v>12693860</v>
      </c>
      <c r="CY4381">
        <v>0</v>
      </c>
      <c r="CZ4381">
        <v>0</v>
      </c>
      <c r="DA4381">
        <v>1</v>
      </c>
      <c r="DB4381">
        <v>0</v>
      </c>
      <c r="DC4381">
        <v>0</v>
      </c>
      <c r="DD4381">
        <v>0</v>
      </c>
      <c r="DE4381">
        <v>0</v>
      </c>
      <c r="DF4381">
        <v>0</v>
      </c>
      <c r="DG4381">
        <v>0</v>
      </c>
      <c r="DH4381">
        <v>0</v>
      </c>
      <c r="DI4381">
        <v>0</v>
      </c>
    </row>
    <row r="4382" spans="1:113" x14ac:dyDescent="0.3">
      <c r="A4382" t="str">
        <f>"02/08/2021 20:38:46.336"</f>
        <v>02/08/2021 20:38:46.336</v>
      </c>
      <c r="C4382" t="str">
        <f t="shared" si="215"/>
        <v>FFDFD7C0</v>
      </c>
      <c r="D4382" t="s">
        <v>124</v>
      </c>
      <c r="E4382">
        <v>12</v>
      </c>
      <c r="F4382">
        <v>1012</v>
      </c>
      <c r="G4382" t="s">
        <v>675</v>
      </c>
      <c r="J4382" t="s">
        <v>125</v>
      </c>
      <c r="K4382">
        <v>0</v>
      </c>
      <c r="L4382">
        <v>3</v>
      </c>
      <c r="M4382">
        <v>0</v>
      </c>
      <c r="N4382">
        <v>2</v>
      </c>
      <c r="O4382">
        <v>1</v>
      </c>
      <c r="P4382">
        <v>0</v>
      </c>
      <c r="Q4382">
        <v>0</v>
      </c>
      <c r="S4382" t="str">
        <f>"20:38:48.672"</f>
        <v>20:38:48.672</v>
      </c>
      <c r="T4382" t="str">
        <f>"20:38:48.172"</f>
        <v>20:38:48.172</v>
      </c>
      <c r="U4382" t="str">
        <f t="shared" si="217"/>
        <v>AB01F4</v>
      </c>
      <c r="V4382">
        <v>0</v>
      </c>
      <c r="W4382">
        <v>0</v>
      </c>
      <c r="X4382">
        <v>2</v>
      </c>
      <c r="Z4382">
        <v>0</v>
      </c>
      <c r="AA4382">
        <v>9</v>
      </c>
      <c r="AB4382">
        <v>3</v>
      </c>
      <c r="AC4382">
        <v>0</v>
      </c>
      <c r="AD4382">
        <v>10</v>
      </c>
      <c r="AE4382">
        <v>0</v>
      </c>
      <c r="AF4382">
        <v>3</v>
      </c>
      <c r="AG4382">
        <v>2</v>
      </c>
      <c r="AH4382">
        <v>0</v>
      </c>
      <c r="AI4382" t="s">
        <v>2435</v>
      </c>
      <c r="AJ4382">
        <v>40.159599999999998</v>
      </c>
      <c r="AK4382" t="s">
        <v>2436</v>
      </c>
      <c r="AL4382">
        <v>-93.197085999999999</v>
      </c>
      <c r="AM4382">
        <v>100</v>
      </c>
      <c r="AN4382">
        <v>1300</v>
      </c>
      <c r="AO4382" t="s">
        <v>118</v>
      </c>
      <c r="AP4382">
        <v>-131</v>
      </c>
      <c r="AQ4382">
        <v>-36</v>
      </c>
      <c r="AR4382">
        <v>0</v>
      </c>
      <c r="AZ4382">
        <v>1200</v>
      </c>
      <c r="BA4382">
        <v>1</v>
      </c>
      <c r="BB4382" t="str">
        <f t="shared" si="216"/>
        <v xml:space="preserve">N8080G  </v>
      </c>
      <c r="BC4382">
        <v>1</v>
      </c>
      <c r="BE4382">
        <v>0</v>
      </c>
      <c r="BF4382">
        <v>0</v>
      </c>
      <c r="BG4382">
        <v>0</v>
      </c>
      <c r="BH4382">
        <v>1350</v>
      </c>
      <c r="BI4382">
        <v>1</v>
      </c>
      <c r="BJ4382">
        <v>1</v>
      </c>
      <c r="BK4382">
        <v>1</v>
      </c>
      <c r="BL4382">
        <v>0</v>
      </c>
      <c r="BO4382">
        <v>0</v>
      </c>
      <c r="BP4382">
        <v>0</v>
      </c>
      <c r="BW4382" t="str">
        <f>"20:38:48.679"</f>
        <v>20:38:48.679</v>
      </c>
      <c r="BZ4382">
        <v>0</v>
      </c>
      <c r="CA4382">
        <v>1600</v>
      </c>
      <c r="CB4382">
        <v>224</v>
      </c>
      <c r="CD4382">
        <v>1</v>
      </c>
      <c r="CE4382">
        <v>0</v>
      </c>
      <c r="CF4382">
        <v>0</v>
      </c>
      <c r="CG4382">
        <v>1</v>
      </c>
      <c r="CH4382">
        <v>0</v>
      </c>
      <c r="CI4382">
        <v>0</v>
      </c>
      <c r="CJ4382">
        <v>0</v>
      </c>
      <c r="CK4382">
        <v>2</v>
      </c>
      <c r="CL4382">
        <v>0</v>
      </c>
      <c r="CM4382">
        <v>2</v>
      </c>
      <c r="CN4382">
        <v>0</v>
      </c>
      <c r="CO4382">
        <v>2</v>
      </c>
      <c r="CP4382" t="s">
        <v>119</v>
      </c>
      <c r="CQ4382">
        <v>179</v>
      </c>
      <c r="CR4382">
        <v>2</v>
      </c>
      <c r="CW4382">
        <v>12693860</v>
      </c>
      <c r="CY4382">
        <v>0</v>
      </c>
      <c r="CZ4382">
        <v>0</v>
      </c>
      <c r="DA4382">
        <v>1</v>
      </c>
      <c r="DB4382">
        <v>0</v>
      </c>
      <c r="DC4382">
        <v>0</v>
      </c>
      <c r="DD4382">
        <v>0</v>
      </c>
      <c r="DE4382">
        <v>0</v>
      </c>
      <c r="DF4382">
        <v>0</v>
      </c>
      <c r="DG4382">
        <v>0</v>
      </c>
      <c r="DH4382">
        <v>0</v>
      </c>
      <c r="DI4382">
        <v>0</v>
      </c>
    </row>
    <row r="4383" spans="1:113" x14ac:dyDescent="0.3">
      <c r="A4383" t="str">
        <f>"02/08/2021 20:38:47.349"</f>
        <v>02/08/2021 20:38:47.349</v>
      </c>
      <c r="C4383" t="str">
        <f t="shared" si="215"/>
        <v>FFDFD7C0</v>
      </c>
      <c r="D4383" t="s">
        <v>124</v>
      </c>
      <c r="E4383">
        <v>11</v>
      </c>
      <c r="F4383">
        <v>1011</v>
      </c>
      <c r="G4383" t="s">
        <v>590</v>
      </c>
      <c r="J4383" t="s">
        <v>125</v>
      </c>
      <c r="K4383">
        <v>0</v>
      </c>
      <c r="L4383">
        <v>3</v>
      </c>
      <c r="M4383">
        <v>0</v>
      </c>
      <c r="N4383">
        <v>2</v>
      </c>
      <c r="O4383">
        <v>1</v>
      </c>
      <c r="P4383">
        <v>0</v>
      </c>
      <c r="Q4383">
        <v>0</v>
      </c>
      <c r="S4383" t="str">
        <f>"20:38:49.656"</f>
        <v>20:38:49.656</v>
      </c>
      <c r="T4383" t="str">
        <f>"20:38:49.256"</f>
        <v>20:38:49.256</v>
      </c>
      <c r="U4383" t="str">
        <f t="shared" si="217"/>
        <v>AB01F4</v>
      </c>
      <c r="V4383">
        <v>0</v>
      </c>
      <c r="W4383">
        <v>0</v>
      </c>
      <c r="X4383">
        <v>2</v>
      </c>
      <c r="Z4383">
        <v>0</v>
      </c>
      <c r="AA4383">
        <v>9</v>
      </c>
      <c r="AB4383">
        <v>3</v>
      </c>
      <c r="AC4383">
        <v>0</v>
      </c>
      <c r="AD4383">
        <v>10</v>
      </c>
      <c r="AE4383">
        <v>0</v>
      </c>
      <c r="AF4383">
        <v>3</v>
      </c>
      <c r="AG4383">
        <v>2</v>
      </c>
      <c r="AH4383">
        <v>0</v>
      </c>
      <c r="AI4383" t="s">
        <v>2437</v>
      </c>
      <c r="AJ4383">
        <v>40.15945</v>
      </c>
      <c r="AK4383" t="s">
        <v>2438</v>
      </c>
      <c r="AL4383">
        <v>-93.197901000000002</v>
      </c>
      <c r="AM4383">
        <v>100</v>
      </c>
      <c r="AN4383">
        <v>1300</v>
      </c>
      <c r="AO4383" t="s">
        <v>118</v>
      </c>
      <c r="AP4383">
        <v>-132</v>
      </c>
      <c r="AQ4383">
        <v>-35</v>
      </c>
      <c r="AR4383">
        <v>128</v>
      </c>
      <c r="AZ4383">
        <v>1200</v>
      </c>
      <c r="BA4383">
        <v>1</v>
      </c>
      <c r="BB4383" t="str">
        <f t="shared" si="216"/>
        <v xml:space="preserve">N8080G  </v>
      </c>
      <c r="BC4383">
        <v>1</v>
      </c>
      <c r="BE4383">
        <v>0</v>
      </c>
      <c r="BF4383">
        <v>0</v>
      </c>
      <c r="BG4383">
        <v>0</v>
      </c>
      <c r="BH4383">
        <v>1350</v>
      </c>
      <c r="BI4383">
        <v>1</v>
      </c>
      <c r="BJ4383">
        <v>1</v>
      </c>
      <c r="BK4383">
        <v>1</v>
      </c>
      <c r="BL4383">
        <v>0</v>
      </c>
      <c r="BO4383">
        <v>0</v>
      </c>
      <c r="BP4383">
        <v>0</v>
      </c>
      <c r="BW4383" t="str">
        <f>"20:38:49.659"</f>
        <v>20:38:49.659</v>
      </c>
      <c r="BZ4383">
        <v>0</v>
      </c>
      <c r="CA4383">
        <v>1600</v>
      </c>
      <c r="CB4383">
        <v>224</v>
      </c>
      <c r="CD4383">
        <v>1</v>
      </c>
      <c r="CE4383">
        <v>0</v>
      </c>
      <c r="CF4383">
        <v>0</v>
      </c>
      <c r="CG4383">
        <v>1</v>
      </c>
      <c r="CH4383">
        <v>0</v>
      </c>
      <c r="CI4383">
        <v>0</v>
      </c>
      <c r="CJ4383">
        <v>0</v>
      </c>
      <c r="CK4383">
        <v>2</v>
      </c>
      <c r="CL4383">
        <v>0</v>
      </c>
      <c r="CM4383">
        <v>2</v>
      </c>
      <c r="CN4383">
        <v>0</v>
      </c>
      <c r="CO4383">
        <v>1</v>
      </c>
      <c r="CP4383" t="s">
        <v>119</v>
      </c>
      <c r="CQ4383">
        <v>179</v>
      </c>
      <c r="CR4383">
        <v>2</v>
      </c>
      <c r="CW4383">
        <v>12694607</v>
      </c>
      <c r="CY4383">
        <v>0</v>
      </c>
      <c r="CZ4383">
        <v>0</v>
      </c>
      <c r="DA4383">
        <v>0</v>
      </c>
      <c r="DB4383">
        <v>0</v>
      </c>
      <c r="DC4383">
        <v>0</v>
      </c>
      <c r="DD4383">
        <v>0</v>
      </c>
      <c r="DE4383">
        <v>0</v>
      </c>
      <c r="DF4383">
        <v>0</v>
      </c>
      <c r="DG4383">
        <v>0</v>
      </c>
      <c r="DH4383">
        <v>0</v>
      </c>
      <c r="DI4383">
        <v>0</v>
      </c>
    </row>
    <row r="4384" spans="1:113" x14ac:dyDescent="0.3">
      <c r="A4384" t="str">
        <f>"02/08/2021 20:38:47.349"</f>
        <v>02/08/2021 20:38:47.349</v>
      </c>
      <c r="C4384" t="str">
        <f t="shared" si="215"/>
        <v>FFDFD7C0</v>
      </c>
      <c r="D4384" t="s">
        <v>124</v>
      </c>
      <c r="E4384">
        <v>12</v>
      </c>
      <c r="F4384">
        <v>1012</v>
      </c>
      <c r="G4384" t="s">
        <v>675</v>
      </c>
      <c r="J4384" t="s">
        <v>125</v>
      </c>
      <c r="K4384">
        <v>0</v>
      </c>
      <c r="L4384">
        <v>3</v>
      </c>
      <c r="M4384">
        <v>0</v>
      </c>
      <c r="N4384">
        <v>2</v>
      </c>
      <c r="O4384">
        <v>1</v>
      </c>
      <c r="P4384">
        <v>0</v>
      </c>
      <c r="Q4384">
        <v>0</v>
      </c>
      <c r="S4384" t="str">
        <f>"20:38:49.656"</f>
        <v>20:38:49.656</v>
      </c>
      <c r="T4384" t="str">
        <f>"20:38:49.256"</f>
        <v>20:38:49.256</v>
      </c>
      <c r="U4384" t="str">
        <f t="shared" si="217"/>
        <v>AB01F4</v>
      </c>
      <c r="V4384">
        <v>0</v>
      </c>
      <c r="W4384">
        <v>0</v>
      </c>
      <c r="X4384">
        <v>2</v>
      </c>
      <c r="Z4384">
        <v>0</v>
      </c>
      <c r="AA4384">
        <v>9</v>
      </c>
      <c r="AB4384">
        <v>3</v>
      </c>
      <c r="AC4384">
        <v>0</v>
      </c>
      <c r="AD4384">
        <v>10</v>
      </c>
      <c r="AE4384">
        <v>0</v>
      </c>
      <c r="AF4384">
        <v>3</v>
      </c>
      <c r="AG4384">
        <v>2</v>
      </c>
      <c r="AH4384">
        <v>0</v>
      </c>
      <c r="AI4384" t="s">
        <v>2437</v>
      </c>
      <c r="AJ4384">
        <v>40.15945</v>
      </c>
      <c r="AK4384" t="s">
        <v>2438</v>
      </c>
      <c r="AL4384">
        <v>-93.197901000000002</v>
      </c>
      <c r="AM4384">
        <v>100</v>
      </c>
      <c r="AN4384">
        <v>1300</v>
      </c>
      <c r="AO4384" t="s">
        <v>118</v>
      </c>
      <c r="AP4384">
        <v>-132</v>
      </c>
      <c r="AQ4384">
        <v>-35</v>
      </c>
      <c r="AR4384">
        <v>128</v>
      </c>
      <c r="AZ4384">
        <v>1200</v>
      </c>
      <c r="BA4384">
        <v>1</v>
      </c>
      <c r="BB4384" t="str">
        <f t="shared" si="216"/>
        <v xml:space="preserve">N8080G  </v>
      </c>
      <c r="BC4384">
        <v>1</v>
      </c>
      <c r="BE4384">
        <v>0</v>
      </c>
      <c r="BF4384">
        <v>0</v>
      </c>
      <c r="BG4384">
        <v>0</v>
      </c>
      <c r="BH4384">
        <v>1350</v>
      </c>
      <c r="BI4384">
        <v>1</v>
      </c>
      <c r="BJ4384">
        <v>1</v>
      </c>
      <c r="BK4384">
        <v>1</v>
      </c>
      <c r="BL4384">
        <v>0</v>
      </c>
      <c r="BO4384">
        <v>0</v>
      </c>
      <c r="BP4384">
        <v>0</v>
      </c>
      <c r="BW4384" t="str">
        <f>"20:38:49.659"</f>
        <v>20:38:49.659</v>
      </c>
      <c r="BZ4384">
        <v>0</v>
      </c>
      <c r="CA4384">
        <v>1600</v>
      </c>
      <c r="CB4384">
        <v>224</v>
      </c>
      <c r="CD4384">
        <v>1</v>
      </c>
      <c r="CE4384">
        <v>0</v>
      </c>
      <c r="CF4384">
        <v>0</v>
      </c>
      <c r="CG4384">
        <v>1</v>
      </c>
      <c r="CH4384">
        <v>0</v>
      </c>
      <c r="CI4384">
        <v>0</v>
      </c>
      <c r="CJ4384">
        <v>0</v>
      </c>
      <c r="CK4384">
        <v>2</v>
      </c>
      <c r="CL4384">
        <v>0</v>
      </c>
      <c r="CM4384">
        <v>2</v>
      </c>
      <c r="CN4384">
        <v>0</v>
      </c>
      <c r="CO4384">
        <v>1</v>
      </c>
      <c r="CP4384" t="s">
        <v>119</v>
      </c>
      <c r="CQ4384">
        <v>179</v>
      </c>
      <c r="CR4384">
        <v>2</v>
      </c>
      <c r="CW4384">
        <v>12694607</v>
      </c>
      <c r="CY4384">
        <v>0</v>
      </c>
      <c r="CZ4384">
        <v>0</v>
      </c>
      <c r="DA4384">
        <v>1</v>
      </c>
      <c r="DB4384">
        <v>0</v>
      </c>
      <c r="DC4384">
        <v>0</v>
      </c>
      <c r="DD4384">
        <v>0</v>
      </c>
      <c r="DE4384">
        <v>0</v>
      </c>
      <c r="DF4384">
        <v>0</v>
      </c>
      <c r="DG4384">
        <v>0</v>
      </c>
      <c r="DH4384">
        <v>0</v>
      </c>
      <c r="DI4384">
        <v>0</v>
      </c>
    </row>
    <row r="4385" spans="1:113" x14ac:dyDescent="0.3">
      <c r="A4385" t="str">
        <f>"02/08/2021 20:38:47.349"</f>
        <v>02/08/2021 20:38:47.349</v>
      </c>
      <c r="C4385" t="str">
        <f t="shared" si="215"/>
        <v>FFDFD7C0</v>
      </c>
      <c r="D4385" t="s">
        <v>113</v>
      </c>
      <c r="E4385">
        <v>6</v>
      </c>
      <c r="H4385">
        <v>165</v>
      </c>
      <c r="I4385" t="s">
        <v>114</v>
      </c>
      <c r="J4385" t="s">
        <v>115</v>
      </c>
      <c r="K4385">
        <v>0</v>
      </c>
      <c r="L4385">
        <v>3</v>
      </c>
      <c r="M4385">
        <v>0</v>
      </c>
      <c r="N4385">
        <v>2</v>
      </c>
      <c r="O4385">
        <v>1</v>
      </c>
      <c r="P4385">
        <v>0</v>
      </c>
      <c r="Q4385">
        <v>0</v>
      </c>
      <c r="S4385" t="str">
        <f>"20:38:49.656"</f>
        <v>20:38:49.656</v>
      </c>
      <c r="T4385" t="str">
        <f>"20:38:49.256"</f>
        <v>20:38:49.256</v>
      </c>
      <c r="U4385" t="str">
        <f t="shared" si="217"/>
        <v>AB01F4</v>
      </c>
      <c r="V4385">
        <v>0</v>
      </c>
      <c r="W4385">
        <v>0</v>
      </c>
      <c r="X4385">
        <v>2</v>
      </c>
      <c r="Z4385">
        <v>0</v>
      </c>
      <c r="AA4385">
        <v>9</v>
      </c>
      <c r="AB4385">
        <v>3</v>
      </c>
      <c r="AC4385">
        <v>0</v>
      </c>
      <c r="AD4385">
        <v>10</v>
      </c>
      <c r="AE4385">
        <v>0</v>
      </c>
      <c r="AF4385">
        <v>3</v>
      </c>
      <c r="AG4385">
        <v>2</v>
      </c>
      <c r="AH4385">
        <v>0</v>
      </c>
      <c r="AI4385" t="s">
        <v>2437</v>
      </c>
      <c r="AJ4385">
        <v>40.15945</v>
      </c>
      <c r="AK4385" t="s">
        <v>2438</v>
      </c>
      <c r="AL4385">
        <v>-93.197901000000002</v>
      </c>
      <c r="AM4385">
        <v>100</v>
      </c>
      <c r="AN4385">
        <v>1300</v>
      </c>
      <c r="AO4385" t="s">
        <v>118</v>
      </c>
      <c r="AP4385">
        <v>-132</v>
      </c>
      <c r="AQ4385">
        <v>-35</v>
      </c>
      <c r="AR4385">
        <v>128</v>
      </c>
      <c r="AZ4385">
        <v>1200</v>
      </c>
      <c r="BA4385">
        <v>1</v>
      </c>
      <c r="BB4385" t="str">
        <f t="shared" si="216"/>
        <v xml:space="preserve">N8080G  </v>
      </c>
      <c r="BC4385">
        <v>1</v>
      </c>
      <c r="BE4385">
        <v>0</v>
      </c>
      <c r="BF4385">
        <v>0</v>
      </c>
      <c r="BG4385">
        <v>0</v>
      </c>
      <c r="BH4385">
        <v>1350</v>
      </c>
      <c r="BI4385">
        <v>1</v>
      </c>
      <c r="BJ4385">
        <v>1</v>
      </c>
      <c r="BK4385">
        <v>1</v>
      </c>
      <c r="BL4385">
        <v>0</v>
      </c>
      <c r="BO4385">
        <v>0</v>
      </c>
      <c r="BP4385">
        <v>0</v>
      </c>
      <c r="BW4385" t="str">
        <f>"20:38:49.659"</f>
        <v>20:38:49.659</v>
      </c>
      <c r="BZ4385">
        <v>0</v>
      </c>
      <c r="CA4385">
        <v>1600</v>
      </c>
      <c r="CB4385">
        <v>224</v>
      </c>
      <c r="CD4385">
        <v>1</v>
      </c>
      <c r="CE4385">
        <v>0</v>
      </c>
      <c r="CF4385">
        <v>0</v>
      </c>
      <c r="CG4385">
        <v>1</v>
      </c>
      <c r="CH4385">
        <v>0</v>
      </c>
      <c r="CI4385">
        <v>0</v>
      </c>
      <c r="CJ4385">
        <v>0</v>
      </c>
      <c r="CK4385">
        <v>2</v>
      </c>
      <c r="CL4385">
        <v>0</v>
      </c>
      <c r="CM4385">
        <v>2</v>
      </c>
      <c r="CN4385">
        <v>0</v>
      </c>
      <c r="CO4385">
        <v>1</v>
      </c>
      <c r="CP4385" t="s">
        <v>119</v>
      </c>
      <c r="CQ4385">
        <v>179</v>
      </c>
      <c r="CR4385">
        <v>2</v>
      </c>
      <c r="CW4385">
        <v>12694607</v>
      </c>
      <c r="CY4385">
        <v>0</v>
      </c>
      <c r="CZ4385">
        <v>0</v>
      </c>
      <c r="DA4385">
        <v>1</v>
      </c>
      <c r="DB4385">
        <v>0</v>
      </c>
      <c r="DC4385">
        <v>0</v>
      </c>
      <c r="DD4385">
        <v>0</v>
      </c>
      <c r="DE4385">
        <v>0</v>
      </c>
      <c r="DF4385">
        <v>0</v>
      </c>
      <c r="DG4385">
        <v>0</v>
      </c>
      <c r="DH4385">
        <v>0</v>
      </c>
      <c r="DI4385">
        <v>0</v>
      </c>
    </row>
    <row r="4386" spans="1:113" x14ac:dyDescent="0.3">
      <c r="A4386" t="str">
        <f>"02/08/2021 20:38:47.349"</f>
        <v>02/08/2021 20:38:47.349</v>
      </c>
      <c r="C4386" t="str">
        <f t="shared" si="215"/>
        <v>FFDFD7C0</v>
      </c>
      <c r="D4386" t="s">
        <v>124</v>
      </c>
      <c r="E4386">
        <v>13</v>
      </c>
      <c r="F4386">
        <v>1013</v>
      </c>
      <c r="G4386" t="s">
        <v>114</v>
      </c>
      <c r="J4386" t="s">
        <v>125</v>
      </c>
      <c r="K4386">
        <v>0</v>
      </c>
      <c r="L4386">
        <v>3</v>
      </c>
      <c r="M4386">
        <v>0</v>
      </c>
      <c r="N4386">
        <v>2</v>
      </c>
      <c r="O4386">
        <v>1</v>
      </c>
      <c r="P4386">
        <v>0</v>
      </c>
      <c r="Q4386">
        <v>0</v>
      </c>
      <c r="S4386" t="str">
        <f>"20:38:49.656"</f>
        <v>20:38:49.656</v>
      </c>
      <c r="T4386" t="str">
        <f>"20:38:49.256"</f>
        <v>20:38:49.256</v>
      </c>
      <c r="U4386" t="str">
        <f t="shared" si="217"/>
        <v>AB01F4</v>
      </c>
      <c r="V4386">
        <v>0</v>
      </c>
      <c r="W4386">
        <v>0</v>
      </c>
      <c r="X4386">
        <v>2</v>
      </c>
      <c r="Z4386">
        <v>0</v>
      </c>
      <c r="AA4386">
        <v>9</v>
      </c>
      <c r="AB4386">
        <v>3</v>
      </c>
      <c r="AC4386">
        <v>0</v>
      </c>
      <c r="AD4386">
        <v>10</v>
      </c>
      <c r="AE4386">
        <v>0</v>
      </c>
      <c r="AF4386">
        <v>3</v>
      </c>
      <c r="AG4386">
        <v>2</v>
      </c>
      <c r="AH4386">
        <v>0</v>
      </c>
      <c r="AI4386" t="s">
        <v>2437</v>
      </c>
      <c r="AJ4386">
        <v>40.15945</v>
      </c>
      <c r="AK4386" t="s">
        <v>2438</v>
      </c>
      <c r="AL4386">
        <v>-93.197901000000002</v>
      </c>
      <c r="AM4386">
        <v>100</v>
      </c>
      <c r="AN4386">
        <v>1300</v>
      </c>
      <c r="AO4386" t="s">
        <v>118</v>
      </c>
      <c r="AP4386">
        <v>-132</v>
      </c>
      <c r="AQ4386">
        <v>-35</v>
      </c>
      <c r="AR4386">
        <v>128</v>
      </c>
      <c r="AZ4386">
        <v>1200</v>
      </c>
      <c r="BA4386">
        <v>1</v>
      </c>
      <c r="BB4386" t="str">
        <f t="shared" si="216"/>
        <v xml:space="preserve">N8080G  </v>
      </c>
      <c r="BC4386">
        <v>1</v>
      </c>
      <c r="BE4386">
        <v>0</v>
      </c>
      <c r="BF4386">
        <v>0</v>
      </c>
      <c r="BG4386">
        <v>0</v>
      </c>
      <c r="BH4386">
        <v>1350</v>
      </c>
      <c r="BI4386">
        <v>1</v>
      </c>
      <c r="BJ4386">
        <v>1</v>
      </c>
      <c r="BK4386">
        <v>1</v>
      </c>
      <c r="BL4386">
        <v>0</v>
      </c>
      <c r="BO4386">
        <v>0</v>
      </c>
      <c r="BP4386">
        <v>0</v>
      </c>
      <c r="BW4386" t="str">
        <f>"20:38:49.659"</f>
        <v>20:38:49.659</v>
      </c>
      <c r="BZ4386">
        <v>0</v>
      </c>
      <c r="CA4386">
        <v>1600</v>
      </c>
      <c r="CB4386">
        <v>224</v>
      </c>
      <c r="CD4386">
        <v>1</v>
      </c>
      <c r="CE4386">
        <v>0</v>
      </c>
      <c r="CF4386">
        <v>0</v>
      </c>
      <c r="CG4386">
        <v>1</v>
      </c>
      <c r="CH4386">
        <v>0</v>
      </c>
      <c r="CI4386">
        <v>0</v>
      </c>
      <c r="CJ4386">
        <v>0</v>
      </c>
      <c r="CK4386">
        <v>2</v>
      </c>
      <c r="CL4386">
        <v>0</v>
      </c>
      <c r="CM4386">
        <v>2</v>
      </c>
      <c r="CN4386">
        <v>0</v>
      </c>
      <c r="CO4386">
        <v>1</v>
      </c>
      <c r="CP4386" t="s">
        <v>119</v>
      </c>
      <c r="CQ4386">
        <v>179</v>
      </c>
      <c r="CR4386">
        <v>2</v>
      </c>
      <c r="CW4386">
        <v>12694607</v>
      </c>
      <c r="CY4386">
        <v>0</v>
      </c>
      <c r="CZ4386">
        <v>0</v>
      </c>
      <c r="DA4386">
        <v>1</v>
      </c>
      <c r="DB4386">
        <v>0</v>
      </c>
      <c r="DC4386">
        <v>0</v>
      </c>
      <c r="DD4386">
        <v>0</v>
      </c>
      <c r="DE4386">
        <v>0</v>
      </c>
      <c r="DF4386">
        <v>0</v>
      </c>
      <c r="DG4386">
        <v>0</v>
      </c>
      <c r="DH4386">
        <v>0</v>
      </c>
      <c r="DI4386">
        <v>0</v>
      </c>
    </row>
    <row r="4387" spans="1:113" x14ac:dyDescent="0.3">
      <c r="A4387" t="str">
        <f>"02/08/2021 20:38:48.246"</f>
        <v>02/08/2021 20:38:48.246</v>
      </c>
      <c r="C4387" t="str">
        <f t="shared" si="215"/>
        <v>FFDFD7C0</v>
      </c>
      <c r="D4387" t="s">
        <v>124</v>
      </c>
      <c r="E4387">
        <v>13</v>
      </c>
      <c r="F4387">
        <v>1013</v>
      </c>
      <c r="G4387" t="s">
        <v>114</v>
      </c>
      <c r="J4387" t="s">
        <v>125</v>
      </c>
      <c r="K4387">
        <v>0</v>
      </c>
      <c r="L4387">
        <v>3</v>
      </c>
      <c r="M4387">
        <v>0</v>
      </c>
      <c r="N4387">
        <v>2</v>
      </c>
      <c r="O4387">
        <v>1</v>
      </c>
      <c r="P4387">
        <v>0</v>
      </c>
      <c r="Q4387">
        <v>0</v>
      </c>
      <c r="S4387" t="str">
        <f>"20:38:50.570"</f>
        <v>20:38:50.570</v>
      </c>
      <c r="T4387" t="str">
        <f>"20:38:49.670"</f>
        <v>20:38:49.670</v>
      </c>
      <c r="U4387" t="str">
        <f t="shared" si="217"/>
        <v>AB01F4</v>
      </c>
      <c r="V4387">
        <v>0</v>
      </c>
      <c r="W4387">
        <v>0</v>
      </c>
      <c r="X4387">
        <v>2</v>
      </c>
      <c r="Z4387">
        <v>0</v>
      </c>
      <c r="AA4387">
        <v>9</v>
      </c>
      <c r="AB4387">
        <v>3</v>
      </c>
      <c r="AC4387">
        <v>0</v>
      </c>
      <c r="AD4387">
        <v>10</v>
      </c>
      <c r="AE4387">
        <v>0</v>
      </c>
      <c r="AF4387">
        <v>3</v>
      </c>
      <c r="AG4387">
        <v>2</v>
      </c>
      <c r="AH4387">
        <v>0</v>
      </c>
      <c r="AI4387" t="s">
        <v>2439</v>
      </c>
      <c r="AJ4387">
        <v>40.159278</v>
      </c>
      <c r="AK4387" t="s">
        <v>2440</v>
      </c>
      <c r="AL4387">
        <v>-93.198609000000005</v>
      </c>
      <c r="AM4387">
        <v>100</v>
      </c>
      <c r="AN4387">
        <v>1300</v>
      </c>
      <c r="AO4387" t="s">
        <v>118</v>
      </c>
      <c r="AP4387">
        <v>-132</v>
      </c>
      <c r="AQ4387">
        <v>-36</v>
      </c>
      <c r="AR4387">
        <v>0</v>
      </c>
      <c r="AZ4387">
        <v>1200</v>
      </c>
      <c r="BA4387">
        <v>1</v>
      </c>
      <c r="BB4387" t="str">
        <f t="shared" si="216"/>
        <v xml:space="preserve">N8080G  </v>
      </c>
      <c r="BC4387">
        <v>1</v>
      </c>
      <c r="BE4387">
        <v>0</v>
      </c>
      <c r="BF4387">
        <v>0</v>
      </c>
      <c r="BG4387">
        <v>0</v>
      </c>
      <c r="BH4387">
        <v>1350</v>
      </c>
      <c r="BI4387">
        <v>1</v>
      </c>
      <c r="BJ4387">
        <v>1</v>
      </c>
      <c r="BK4387">
        <v>1</v>
      </c>
      <c r="BL4387">
        <v>0</v>
      </c>
      <c r="BO4387">
        <v>0</v>
      </c>
      <c r="BP4387">
        <v>0</v>
      </c>
      <c r="BW4387" t="str">
        <f>"20:38:50.572"</f>
        <v>20:38:50.572</v>
      </c>
      <c r="BZ4387">
        <v>0</v>
      </c>
      <c r="CA4387">
        <v>1600</v>
      </c>
      <c r="CB4387">
        <v>224</v>
      </c>
      <c r="CD4387">
        <v>1</v>
      </c>
      <c r="CE4387">
        <v>0</v>
      </c>
      <c r="CF4387">
        <v>0</v>
      </c>
      <c r="CG4387">
        <v>1</v>
      </c>
      <c r="CH4387">
        <v>0</v>
      </c>
      <c r="CI4387">
        <v>0</v>
      </c>
      <c r="CJ4387">
        <v>0</v>
      </c>
      <c r="CK4387">
        <v>2</v>
      </c>
      <c r="CL4387">
        <v>0</v>
      </c>
      <c r="CM4387">
        <v>2</v>
      </c>
      <c r="CN4387">
        <v>0</v>
      </c>
      <c r="CO4387">
        <v>4</v>
      </c>
      <c r="CP4387" t="s">
        <v>119</v>
      </c>
      <c r="CQ4387">
        <v>180</v>
      </c>
      <c r="CR4387">
        <v>3</v>
      </c>
      <c r="CW4387">
        <v>1417799</v>
      </c>
      <c r="CY4387">
        <v>0</v>
      </c>
      <c r="CZ4387">
        <v>0</v>
      </c>
      <c r="DA4387">
        <v>0</v>
      </c>
      <c r="DB4387">
        <v>0</v>
      </c>
      <c r="DC4387">
        <v>0</v>
      </c>
      <c r="DD4387">
        <v>0</v>
      </c>
      <c r="DE4387">
        <v>0</v>
      </c>
      <c r="DF4387">
        <v>0</v>
      </c>
      <c r="DG4387">
        <v>0</v>
      </c>
      <c r="DH4387">
        <v>0</v>
      </c>
      <c r="DI4387">
        <v>0</v>
      </c>
    </row>
    <row r="4388" spans="1:113" x14ac:dyDescent="0.3">
      <c r="A4388" t="str">
        <f>"02/08/2021 20:38:48.246"</f>
        <v>02/08/2021 20:38:48.246</v>
      </c>
      <c r="C4388" t="str">
        <f t="shared" si="215"/>
        <v>FFDFD7C0</v>
      </c>
      <c r="D4388" t="s">
        <v>124</v>
      </c>
      <c r="E4388">
        <v>11</v>
      </c>
      <c r="F4388">
        <v>1011</v>
      </c>
      <c r="G4388" t="s">
        <v>590</v>
      </c>
      <c r="J4388" t="s">
        <v>125</v>
      </c>
      <c r="K4388">
        <v>0</v>
      </c>
      <c r="L4388">
        <v>3</v>
      </c>
      <c r="M4388">
        <v>0</v>
      </c>
      <c r="N4388">
        <v>2</v>
      </c>
      <c r="O4388">
        <v>1</v>
      </c>
      <c r="P4388">
        <v>0</v>
      </c>
      <c r="Q4388">
        <v>0</v>
      </c>
      <c r="S4388" t="str">
        <f>"20:38:50.570"</f>
        <v>20:38:50.570</v>
      </c>
      <c r="T4388" t="str">
        <f>"20:38:49.670"</f>
        <v>20:38:49.670</v>
      </c>
      <c r="U4388" t="str">
        <f t="shared" si="217"/>
        <v>AB01F4</v>
      </c>
      <c r="V4388">
        <v>0</v>
      </c>
      <c r="W4388">
        <v>0</v>
      </c>
      <c r="X4388">
        <v>2</v>
      </c>
      <c r="Z4388">
        <v>0</v>
      </c>
      <c r="AA4388">
        <v>9</v>
      </c>
      <c r="AB4388">
        <v>3</v>
      </c>
      <c r="AC4388">
        <v>0</v>
      </c>
      <c r="AD4388">
        <v>10</v>
      </c>
      <c r="AE4388">
        <v>0</v>
      </c>
      <c r="AF4388">
        <v>3</v>
      </c>
      <c r="AG4388">
        <v>2</v>
      </c>
      <c r="AH4388">
        <v>0</v>
      </c>
      <c r="AI4388" t="s">
        <v>2439</v>
      </c>
      <c r="AJ4388">
        <v>40.159278</v>
      </c>
      <c r="AK4388" t="s">
        <v>2440</v>
      </c>
      <c r="AL4388">
        <v>-93.198609000000005</v>
      </c>
      <c r="AM4388">
        <v>100</v>
      </c>
      <c r="AN4388">
        <v>1300</v>
      </c>
      <c r="AO4388" t="s">
        <v>118</v>
      </c>
      <c r="AP4388">
        <v>-132</v>
      </c>
      <c r="AQ4388">
        <v>-36</v>
      </c>
      <c r="AR4388">
        <v>0</v>
      </c>
      <c r="AZ4388">
        <v>1200</v>
      </c>
      <c r="BA4388">
        <v>1</v>
      </c>
      <c r="BB4388" t="str">
        <f t="shared" si="216"/>
        <v xml:space="preserve">N8080G  </v>
      </c>
      <c r="BC4388">
        <v>1</v>
      </c>
      <c r="BE4388">
        <v>0</v>
      </c>
      <c r="BF4388">
        <v>0</v>
      </c>
      <c r="BG4388">
        <v>0</v>
      </c>
      <c r="BH4388">
        <v>1350</v>
      </c>
      <c r="BI4388">
        <v>1</v>
      </c>
      <c r="BJ4388">
        <v>1</v>
      </c>
      <c r="BK4388">
        <v>1</v>
      </c>
      <c r="BL4388">
        <v>0</v>
      </c>
      <c r="BO4388">
        <v>0</v>
      </c>
      <c r="BP4388">
        <v>0</v>
      </c>
      <c r="BW4388" t="str">
        <f>"20:38:50.572"</f>
        <v>20:38:50.572</v>
      </c>
      <c r="BZ4388">
        <v>0</v>
      </c>
      <c r="CA4388">
        <v>1600</v>
      </c>
      <c r="CB4388">
        <v>224</v>
      </c>
      <c r="CD4388">
        <v>1</v>
      </c>
      <c r="CE4388">
        <v>0</v>
      </c>
      <c r="CF4388">
        <v>0</v>
      </c>
      <c r="CG4388">
        <v>1</v>
      </c>
      <c r="CH4388">
        <v>0</v>
      </c>
      <c r="CI4388">
        <v>0</v>
      </c>
      <c r="CJ4388">
        <v>0</v>
      </c>
      <c r="CK4388">
        <v>2</v>
      </c>
      <c r="CL4388">
        <v>0</v>
      </c>
      <c r="CM4388">
        <v>2</v>
      </c>
      <c r="CN4388">
        <v>0</v>
      </c>
      <c r="CO4388">
        <v>4</v>
      </c>
      <c r="CP4388" t="s">
        <v>119</v>
      </c>
      <c r="CQ4388">
        <v>180</v>
      </c>
      <c r="CR4388">
        <v>3</v>
      </c>
      <c r="CW4388">
        <v>1417799</v>
      </c>
      <c r="CY4388">
        <v>0</v>
      </c>
      <c r="CZ4388">
        <v>0</v>
      </c>
      <c r="DA4388">
        <v>1</v>
      </c>
      <c r="DB4388">
        <v>0</v>
      </c>
      <c r="DC4388">
        <v>0</v>
      </c>
      <c r="DD4388">
        <v>0</v>
      </c>
      <c r="DE4388">
        <v>0</v>
      </c>
      <c r="DF4388">
        <v>0</v>
      </c>
      <c r="DG4388">
        <v>0</v>
      </c>
      <c r="DH4388">
        <v>0</v>
      </c>
      <c r="DI4388">
        <v>0</v>
      </c>
    </row>
    <row r="4389" spans="1:113" x14ac:dyDescent="0.3">
      <c r="A4389" t="str">
        <f>"02/08/2021 20:38:48.246"</f>
        <v>02/08/2021 20:38:48.246</v>
      </c>
      <c r="C4389" t="str">
        <f t="shared" si="215"/>
        <v>FFDFD7C0</v>
      </c>
      <c r="D4389" t="s">
        <v>124</v>
      </c>
      <c r="E4389">
        <v>12</v>
      </c>
      <c r="F4389">
        <v>1012</v>
      </c>
      <c r="G4389" t="s">
        <v>675</v>
      </c>
      <c r="J4389" t="s">
        <v>125</v>
      </c>
      <c r="K4389">
        <v>0</v>
      </c>
      <c r="L4389">
        <v>3</v>
      </c>
      <c r="M4389">
        <v>0</v>
      </c>
      <c r="N4389">
        <v>2</v>
      </c>
      <c r="O4389">
        <v>1</v>
      </c>
      <c r="P4389">
        <v>0</v>
      </c>
      <c r="Q4389">
        <v>0</v>
      </c>
      <c r="S4389" t="str">
        <f>"20:38:50.570"</f>
        <v>20:38:50.570</v>
      </c>
      <c r="T4389" t="str">
        <f>"20:38:49.670"</f>
        <v>20:38:49.670</v>
      </c>
      <c r="U4389" t="str">
        <f t="shared" si="217"/>
        <v>AB01F4</v>
      </c>
      <c r="V4389">
        <v>0</v>
      </c>
      <c r="W4389">
        <v>0</v>
      </c>
      <c r="X4389">
        <v>2</v>
      </c>
      <c r="Z4389">
        <v>0</v>
      </c>
      <c r="AA4389">
        <v>9</v>
      </c>
      <c r="AB4389">
        <v>3</v>
      </c>
      <c r="AC4389">
        <v>0</v>
      </c>
      <c r="AD4389">
        <v>10</v>
      </c>
      <c r="AE4389">
        <v>0</v>
      </c>
      <c r="AF4389">
        <v>3</v>
      </c>
      <c r="AG4389">
        <v>2</v>
      </c>
      <c r="AH4389">
        <v>0</v>
      </c>
      <c r="AI4389" t="s">
        <v>2439</v>
      </c>
      <c r="AJ4389">
        <v>40.159278</v>
      </c>
      <c r="AK4389" t="s">
        <v>2440</v>
      </c>
      <c r="AL4389">
        <v>-93.198609000000005</v>
      </c>
      <c r="AM4389">
        <v>100</v>
      </c>
      <c r="AN4389">
        <v>1300</v>
      </c>
      <c r="AO4389" t="s">
        <v>118</v>
      </c>
      <c r="AP4389">
        <v>-132</v>
      </c>
      <c r="AQ4389">
        <v>-36</v>
      </c>
      <c r="AR4389">
        <v>0</v>
      </c>
      <c r="AZ4389">
        <v>1200</v>
      </c>
      <c r="BA4389">
        <v>1</v>
      </c>
      <c r="BB4389" t="str">
        <f t="shared" si="216"/>
        <v xml:space="preserve">N8080G  </v>
      </c>
      <c r="BC4389">
        <v>1</v>
      </c>
      <c r="BE4389">
        <v>0</v>
      </c>
      <c r="BF4389">
        <v>0</v>
      </c>
      <c r="BG4389">
        <v>0</v>
      </c>
      <c r="BH4389">
        <v>1350</v>
      </c>
      <c r="BI4389">
        <v>1</v>
      </c>
      <c r="BJ4389">
        <v>1</v>
      </c>
      <c r="BK4389">
        <v>1</v>
      </c>
      <c r="BL4389">
        <v>0</v>
      </c>
      <c r="BO4389">
        <v>0</v>
      </c>
      <c r="BP4389">
        <v>0</v>
      </c>
      <c r="BW4389" t="str">
        <f>"20:38:50.572"</f>
        <v>20:38:50.572</v>
      </c>
      <c r="BZ4389">
        <v>0</v>
      </c>
      <c r="CA4389">
        <v>1600</v>
      </c>
      <c r="CB4389">
        <v>224</v>
      </c>
      <c r="CD4389">
        <v>1</v>
      </c>
      <c r="CE4389">
        <v>0</v>
      </c>
      <c r="CF4389">
        <v>0</v>
      </c>
      <c r="CG4389">
        <v>1</v>
      </c>
      <c r="CH4389">
        <v>0</v>
      </c>
      <c r="CI4389">
        <v>0</v>
      </c>
      <c r="CJ4389">
        <v>0</v>
      </c>
      <c r="CK4389">
        <v>2</v>
      </c>
      <c r="CL4389">
        <v>0</v>
      </c>
      <c r="CM4389">
        <v>2</v>
      </c>
      <c r="CN4389">
        <v>0</v>
      </c>
      <c r="CO4389">
        <v>4</v>
      </c>
      <c r="CP4389" t="s">
        <v>119</v>
      </c>
      <c r="CQ4389">
        <v>180</v>
      </c>
      <c r="CR4389">
        <v>3</v>
      </c>
      <c r="CW4389">
        <v>1417799</v>
      </c>
      <c r="CY4389">
        <v>0</v>
      </c>
      <c r="CZ4389">
        <v>0</v>
      </c>
      <c r="DA4389">
        <v>1</v>
      </c>
      <c r="DB4389">
        <v>0</v>
      </c>
      <c r="DC4389">
        <v>0</v>
      </c>
      <c r="DD4389">
        <v>0</v>
      </c>
      <c r="DE4389">
        <v>0</v>
      </c>
      <c r="DF4389">
        <v>0</v>
      </c>
      <c r="DG4389">
        <v>0</v>
      </c>
      <c r="DH4389">
        <v>0</v>
      </c>
      <c r="DI4389">
        <v>0</v>
      </c>
    </row>
    <row r="4390" spans="1:113" x14ac:dyDescent="0.3">
      <c r="A4390" t="str">
        <f>"02/08/2021 20:38:48.246"</f>
        <v>02/08/2021 20:38:48.246</v>
      </c>
      <c r="C4390" t="str">
        <f t="shared" si="215"/>
        <v>FFDFD7C0</v>
      </c>
      <c r="D4390" t="s">
        <v>113</v>
      </c>
      <c r="E4390">
        <v>6</v>
      </c>
      <c r="H4390">
        <v>165</v>
      </c>
      <c r="I4390" t="s">
        <v>114</v>
      </c>
      <c r="J4390" t="s">
        <v>115</v>
      </c>
      <c r="K4390">
        <v>0</v>
      </c>
      <c r="L4390">
        <v>3</v>
      </c>
      <c r="M4390">
        <v>0</v>
      </c>
      <c r="N4390">
        <v>2</v>
      </c>
      <c r="O4390">
        <v>1</v>
      </c>
      <c r="P4390">
        <v>0</v>
      </c>
      <c r="Q4390">
        <v>0</v>
      </c>
      <c r="S4390" t="str">
        <f>"20:38:50.570"</f>
        <v>20:38:50.570</v>
      </c>
      <c r="T4390" t="str">
        <f>"20:38:49.670"</f>
        <v>20:38:49.670</v>
      </c>
      <c r="U4390" t="str">
        <f t="shared" si="217"/>
        <v>AB01F4</v>
      </c>
      <c r="V4390">
        <v>0</v>
      </c>
      <c r="W4390">
        <v>0</v>
      </c>
      <c r="X4390">
        <v>2</v>
      </c>
      <c r="Z4390">
        <v>0</v>
      </c>
      <c r="AA4390">
        <v>9</v>
      </c>
      <c r="AB4390">
        <v>3</v>
      </c>
      <c r="AC4390">
        <v>0</v>
      </c>
      <c r="AD4390">
        <v>10</v>
      </c>
      <c r="AE4390">
        <v>0</v>
      </c>
      <c r="AF4390">
        <v>3</v>
      </c>
      <c r="AG4390">
        <v>2</v>
      </c>
      <c r="AH4390">
        <v>0</v>
      </c>
      <c r="AI4390" t="s">
        <v>2439</v>
      </c>
      <c r="AJ4390">
        <v>40.159278</v>
      </c>
      <c r="AK4390" t="s">
        <v>2440</v>
      </c>
      <c r="AL4390">
        <v>-93.198609000000005</v>
      </c>
      <c r="AM4390">
        <v>100</v>
      </c>
      <c r="AN4390">
        <v>1300</v>
      </c>
      <c r="AO4390" t="s">
        <v>118</v>
      </c>
      <c r="AP4390">
        <v>-132</v>
      </c>
      <c r="AQ4390">
        <v>-36</v>
      </c>
      <c r="AR4390">
        <v>0</v>
      </c>
      <c r="AZ4390">
        <v>1200</v>
      </c>
      <c r="BA4390">
        <v>1</v>
      </c>
      <c r="BB4390" t="str">
        <f t="shared" si="216"/>
        <v xml:space="preserve">N8080G  </v>
      </c>
      <c r="BC4390">
        <v>1</v>
      </c>
      <c r="BE4390">
        <v>0</v>
      </c>
      <c r="BF4390">
        <v>0</v>
      </c>
      <c r="BG4390">
        <v>0</v>
      </c>
      <c r="BH4390">
        <v>1350</v>
      </c>
      <c r="BI4390">
        <v>1</v>
      </c>
      <c r="BJ4390">
        <v>1</v>
      </c>
      <c r="BK4390">
        <v>1</v>
      </c>
      <c r="BL4390">
        <v>0</v>
      </c>
      <c r="BO4390">
        <v>0</v>
      </c>
      <c r="BP4390">
        <v>0</v>
      </c>
      <c r="BW4390" t="str">
        <f>"20:38:50.572"</f>
        <v>20:38:50.572</v>
      </c>
      <c r="BZ4390">
        <v>0</v>
      </c>
      <c r="CA4390">
        <v>1600</v>
      </c>
      <c r="CB4390">
        <v>224</v>
      </c>
      <c r="CD4390">
        <v>1</v>
      </c>
      <c r="CE4390">
        <v>0</v>
      </c>
      <c r="CF4390">
        <v>0</v>
      </c>
      <c r="CG4390">
        <v>1</v>
      </c>
      <c r="CH4390">
        <v>0</v>
      </c>
      <c r="CI4390">
        <v>0</v>
      </c>
      <c r="CJ4390">
        <v>0</v>
      </c>
      <c r="CK4390">
        <v>2</v>
      </c>
      <c r="CL4390">
        <v>0</v>
      </c>
      <c r="CM4390">
        <v>2</v>
      </c>
      <c r="CN4390">
        <v>0</v>
      </c>
      <c r="CO4390">
        <v>4</v>
      </c>
      <c r="CP4390" t="s">
        <v>119</v>
      </c>
      <c r="CQ4390">
        <v>180</v>
      </c>
      <c r="CR4390">
        <v>3</v>
      </c>
      <c r="CW4390">
        <v>1417799</v>
      </c>
      <c r="CY4390">
        <v>0</v>
      </c>
      <c r="CZ4390">
        <v>0</v>
      </c>
      <c r="DA4390">
        <v>1</v>
      </c>
      <c r="DB4390">
        <v>0</v>
      </c>
      <c r="DC4390">
        <v>0</v>
      </c>
      <c r="DD4390">
        <v>0</v>
      </c>
      <c r="DE4390">
        <v>0</v>
      </c>
      <c r="DF4390">
        <v>0</v>
      </c>
      <c r="DG4390">
        <v>0</v>
      </c>
      <c r="DH4390">
        <v>0</v>
      </c>
      <c r="DI4390">
        <v>0</v>
      </c>
    </row>
    <row r="4391" spans="1:113" x14ac:dyDescent="0.3">
      <c r="A4391" t="str">
        <f>"02/08/2021 20:38:49.570"</f>
        <v>02/08/2021 20:38:49.570</v>
      </c>
      <c r="C4391" t="str">
        <f t="shared" ref="C4391:C4454" si="218">"FFDFD7C0"</f>
        <v>FFDFD7C0</v>
      </c>
      <c r="D4391" t="s">
        <v>124</v>
      </c>
      <c r="E4391">
        <v>11</v>
      </c>
      <c r="F4391">
        <v>1011</v>
      </c>
      <c r="G4391" t="s">
        <v>590</v>
      </c>
      <c r="J4391" t="s">
        <v>125</v>
      </c>
      <c r="K4391">
        <v>0</v>
      </c>
      <c r="L4391">
        <v>3</v>
      </c>
      <c r="M4391">
        <v>0</v>
      </c>
      <c r="N4391">
        <v>2</v>
      </c>
      <c r="O4391">
        <v>1</v>
      </c>
      <c r="P4391">
        <v>0</v>
      </c>
      <c r="Q4391">
        <v>0</v>
      </c>
      <c r="S4391" t="str">
        <f>"20:38:51.906"</f>
        <v>20:38:51.906</v>
      </c>
      <c r="T4391" t="str">
        <f>"20:38:51.506"</f>
        <v>20:38:51.506</v>
      </c>
      <c r="U4391" t="str">
        <f t="shared" si="217"/>
        <v>AB01F4</v>
      </c>
      <c r="V4391">
        <v>0</v>
      </c>
      <c r="W4391">
        <v>0</v>
      </c>
      <c r="X4391">
        <v>2</v>
      </c>
      <c r="Z4391">
        <v>0</v>
      </c>
      <c r="AA4391">
        <v>9</v>
      </c>
      <c r="AB4391">
        <v>3</v>
      </c>
      <c r="AC4391">
        <v>0</v>
      </c>
      <c r="AD4391">
        <v>10</v>
      </c>
      <c r="AE4391">
        <v>0</v>
      </c>
      <c r="AF4391">
        <v>3</v>
      </c>
      <c r="AG4391">
        <v>2</v>
      </c>
      <c r="AH4391">
        <v>0</v>
      </c>
      <c r="AI4391" t="s">
        <v>2441</v>
      </c>
      <c r="AJ4391">
        <v>40.159084999999997</v>
      </c>
      <c r="AK4391" t="s">
        <v>2442</v>
      </c>
      <c r="AL4391">
        <v>-93.199639000000005</v>
      </c>
      <c r="AM4391">
        <v>100</v>
      </c>
      <c r="AN4391">
        <v>1300</v>
      </c>
      <c r="AO4391" t="s">
        <v>118</v>
      </c>
      <c r="AP4391">
        <v>-131</v>
      </c>
      <c r="AQ4391">
        <v>-36</v>
      </c>
      <c r="AR4391">
        <v>-128</v>
      </c>
      <c r="AZ4391">
        <v>1200</v>
      </c>
      <c r="BA4391">
        <v>1</v>
      </c>
      <c r="BB4391" t="str">
        <f t="shared" si="216"/>
        <v xml:space="preserve">N8080G  </v>
      </c>
      <c r="BC4391">
        <v>1</v>
      </c>
      <c r="BE4391">
        <v>0</v>
      </c>
      <c r="BF4391">
        <v>0</v>
      </c>
      <c r="BG4391">
        <v>0</v>
      </c>
      <c r="BH4391">
        <v>1350</v>
      </c>
      <c r="BI4391">
        <v>1</v>
      </c>
      <c r="BJ4391">
        <v>1</v>
      </c>
      <c r="BK4391">
        <v>1</v>
      </c>
      <c r="BL4391">
        <v>0</v>
      </c>
      <c r="BO4391">
        <v>0</v>
      </c>
      <c r="BP4391">
        <v>0</v>
      </c>
      <c r="BW4391" t="str">
        <f>"20:38:51.912"</f>
        <v>20:38:51.912</v>
      </c>
      <c r="BZ4391">
        <v>0</v>
      </c>
      <c r="CA4391">
        <v>1600</v>
      </c>
      <c r="CB4391">
        <v>224</v>
      </c>
      <c r="CD4391">
        <v>1</v>
      </c>
      <c r="CE4391">
        <v>0</v>
      </c>
      <c r="CF4391">
        <v>0</v>
      </c>
      <c r="CG4391">
        <v>1</v>
      </c>
      <c r="CH4391">
        <v>0</v>
      </c>
      <c r="CI4391">
        <v>0</v>
      </c>
      <c r="CJ4391">
        <v>0</v>
      </c>
      <c r="CK4391">
        <v>2</v>
      </c>
      <c r="CL4391">
        <v>0</v>
      </c>
      <c r="CM4391">
        <v>2</v>
      </c>
      <c r="CN4391">
        <v>0</v>
      </c>
      <c r="CO4391">
        <v>4</v>
      </c>
      <c r="CP4391" t="s">
        <v>119</v>
      </c>
      <c r="CQ4391">
        <v>180</v>
      </c>
      <c r="CR4391">
        <v>3</v>
      </c>
      <c r="CW4391">
        <v>1418843</v>
      </c>
      <c r="CY4391">
        <v>0</v>
      </c>
      <c r="CZ4391">
        <v>0</v>
      </c>
      <c r="DA4391">
        <v>0</v>
      </c>
      <c r="DB4391">
        <v>0</v>
      </c>
      <c r="DC4391">
        <v>0</v>
      </c>
      <c r="DD4391">
        <v>0</v>
      </c>
      <c r="DE4391">
        <v>0</v>
      </c>
      <c r="DF4391">
        <v>0</v>
      </c>
      <c r="DG4391">
        <v>0</v>
      </c>
      <c r="DH4391">
        <v>0</v>
      </c>
      <c r="DI4391">
        <v>0</v>
      </c>
    </row>
    <row r="4392" spans="1:113" x14ac:dyDescent="0.3">
      <c r="A4392" t="str">
        <f>"02/08/2021 20:38:49.570"</f>
        <v>02/08/2021 20:38:49.570</v>
      </c>
      <c r="C4392" t="str">
        <f t="shared" si="218"/>
        <v>FFDFD7C0</v>
      </c>
      <c r="D4392" t="s">
        <v>124</v>
      </c>
      <c r="E4392">
        <v>12</v>
      </c>
      <c r="F4392">
        <v>1012</v>
      </c>
      <c r="G4392" t="s">
        <v>675</v>
      </c>
      <c r="J4392" t="s">
        <v>125</v>
      </c>
      <c r="K4392">
        <v>0</v>
      </c>
      <c r="L4392">
        <v>3</v>
      </c>
      <c r="M4392">
        <v>0</v>
      </c>
      <c r="N4392">
        <v>2</v>
      </c>
      <c r="O4392">
        <v>1</v>
      </c>
      <c r="P4392">
        <v>0</v>
      </c>
      <c r="Q4392">
        <v>0</v>
      </c>
      <c r="S4392" t="str">
        <f>"20:38:51.906"</f>
        <v>20:38:51.906</v>
      </c>
      <c r="T4392" t="str">
        <f>"20:38:51.506"</f>
        <v>20:38:51.506</v>
      </c>
      <c r="U4392" t="str">
        <f t="shared" si="217"/>
        <v>AB01F4</v>
      </c>
      <c r="V4392">
        <v>0</v>
      </c>
      <c r="W4392">
        <v>0</v>
      </c>
      <c r="X4392">
        <v>2</v>
      </c>
      <c r="Z4392">
        <v>0</v>
      </c>
      <c r="AA4392">
        <v>9</v>
      </c>
      <c r="AB4392">
        <v>3</v>
      </c>
      <c r="AC4392">
        <v>0</v>
      </c>
      <c r="AD4392">
        <v>10</v>
      </c>
      <c r="AE4392">
        <v>0</v>
      </c>
      <c r="AF4392">
        <v>3</v>
      </c>
      <c r="AG4392">
        <v>2</v>
      </c>
      <c r="AH4392">
        <v>0</v>
      </c>
      <c r="AI4392" t="s">
        <v>2441</v>
      </c>
      <c r="AJ4392">
        <v>40.159084999999997</v>
      </c>
      <c r="AK4392" t="s">
        <v>2442</v>
      </c>
      <c r="AL4392">
        <v>-93.199639000000005</v>
      </c>
      <c r="AM4392">
        <v>100</v>
      </c>
      <c r="AN4392">
        <v>1300</v>
      </c>
      <c r="AO4392" t="s">
        <v>118</v>
      </c>
      <c r="AP4392">
        <v>-131</v>
      </c>
      <c r="AQ4392">
        <v>-36</v>
      </c>
      <c r="AR4392">
        <v>-128</v>
      </c>
      <c r="AZ4392">
        <v>1200</v>
      </c>
      <c r="BA4392">
        <v>1</v>
      </c>
      <c r="BB4392" t="str">
        <f t="shared" si="216"/>
        <v xml:space="preserve">N8080G  </v>
      </c>
      <c r="BC4392">
        <v>1</v>
      </c>
      <c r="BE4392">
        <v>0</v>
      </c>
      <c r="BF4392">
        <v>0</v>
      </c>
      <c r="BG4392">
        <v>0</v>
      </c>
      <c r="BH4392">
        <v>1350</v>
      </c>
      <c r="BI4392">
        <v>1</v>
      </c>
      <c r="BJ4392">
        <v>1</v>
      </c>
      <c r="BK4392">
        <v>1</v>
      </c>
      <c r="BL4392">
        <v>0</v>
      </c>
      <c r="BO4392">
        <v>0</v>
      </c>
      <c r="BP4392">
        <v>0</v>
      </c>
      <c r="BW4392" t="str">
        <f>"20:38:51.912"</f>
        <v>20:38:51.912</v>
      </c>
      <c r="BZ4392">
        <v>0</v>
      </c>
      <c r="CA4392">
        <v>1600</v>
      </c>
      <c r="CB4392">
        <v>224</v>
      </c>
      <c r="CD4392">
        <v>1</v>
      </c>
      <c r="CE4392">
        <v>0</v>
      </c>
      <c r="CF4392">
        <v>0</v>
      </c>
      <c r="CG4392">
        <v>1</v>
      </c>
      <c r="CH4392">
        <v>0</v>
      </c>
      <c r="CI4392">
        <v>0</v>
      </c>
      <c r="CJ4392">
        <v>0</v>
      </c>
      <c r="CK4392">
        <v>2</v>
      </c>
      <c r="CL4392">
        <v>0</v>
      </c>
      <c r="CM4392">
        <v>2</v>
      </c>
      <c r="CN4392">
        <v>0</v>
      </c>
      <c r="CO4392">
        <v>4</v>
      </c>
      <c r="CP4392" t="s">
        <v>119</v>
      </c>
      <c r="CQ4392">
        <v>180</v>
      </c>
      <c r="CR4392">
        <v>3</v>
      </c>
      <c r="CW4392">
        <v>1418843</v>
      </c>
      <c r="CY4392">
        <v>0</v>
      </c>
      <c r="CZ4392">
        <v>0</v>
      </c>
      <c r="DA4392">
        <v>1</v>
      </c>
      <c r="DB4392">
        <v>0</v>
      </c>
      <c r="DC4392">
        <v>0</v>
      </c>
      <c r="DD4392">
        <v>0</v>
      </c>
      <c r="DE4392">
        <v>0</v>
      </c>
      <c r="DF4392">
        <v>0</v>
      </c>
      <c r="DG4392">
        <v>0</v>
      </c>
      <c r="DH4392">
        <v>0</v>
      </c>
      <c r="DI4392">
        <v>0</v>
      </c>
    </row>
    <row r="4393" spans="1:113" x14ac:dyDescent="0.3">
      <c r="A4393" t="str">
        <f>"02/08/2021 20:38:49.570"</f>
        <v>02/08/2021 20:38:49.570</v>
      </c>
      <c r="C4393" t="str">
        <f t="shared" si="218"/>
        <v>FFDFD7C0</v>
      </c>
      <c r="D4393" t="s">
        <v>113</v>
      </c>
      <c r="E4393">
        <v>6</v>
      </c>
      <c r="H4393">
        <v>165</v>
      </c>
      <c r="I4393" t="s">
        <v>114</v>
      </c>
      <c r="J4393" t="s">
        <v>115</v>
      </c>
      <c r="K4393">
        <v>0</v>
      </c>
      <c r="L4393">
        <v>3</v>
      </c>
      <c r="M4393">
        <v>0</v>
      </c>
      <c r="N4393">
        <v>2</v>
      </c>
      <c r="O4393">
        <v>1</v>
      </c>
      <c r="P4393">
        <v>0</v>
      </c>
      <c r="Q4393">
        <v>0</v>
      </c>
      <c r="S4393" t="str">
        <f>"20:38:51.906"</f>
        <v>20:38:51.906</v>
      </c>
      <c r="T4393" t="str">
        <f>"20:38:51.506"</f>
        <v>20:38:51.506</v>
      </c>
      <c r="U4393" t="str">
        <f t="shared" si="217"/>
        <v>AB01F4</v>
      </c>
      <c r="V4393">
        <v>0</v>
      </c>
      <c r="W4393">
        <v>0</v>
      </c>
      <c r="X4393">
        <v>2</v>
      </c>
      <c r="Z4393">
        <v>0</v>
      </c>
      <c r="AA4393">
        <v>9</v>
      </c>
      <c r="AB4393">
        <v>3</v>
      </c>
      <c r="AC4393">
        <v>0</v>
      </c>
      <c r="AD4393">
        <v>10</v>
      </c>
      <c r="AE4393">
        <v>0</v>
      </c>
      <c r="AF4393">
        <v>3</v>
      </c>
      <c r="AG4393">
        <v>2</v>
      </c>
      <c r="AH4393">
        <v>0</v>
      </c>
      <c r="AI4393" t="s">
        <v>2441</v>
      </c>
      <c r="AJ4393">
        <v>40.159084999999997</v>
      </c>
      <c r="AK4393" t="s">
        <v>2442</v>
      </c>
      <c r="AL4393">
        <v>-93.199639000000005</v>
      </c>
      <c r="AM4393">
        <v>100</v>
      </c>
      <c r="AN4393">
        <v>1300</v>
      </c>
      <c r="AO4393" t="s">
        <v>118</v>
      </c>
      <c r="AP4393">
        <v>-131</v>
      </c>
      <c r="AQ4393">
        <v>-36</v>
      </c>
      <c r="AR4393">
        <v>-128</v>
      </c>
      <c r="AZ4393">
        <v>1200</v>
      </c>
      <c r="BA4393">
        <v>1</v>
      </c>
      <c r="BB4393" t="str">
        <f t="shared" si="216"/>
        <v xml:space="preserve">N8080G  </v>
      </c>
      <c r="BC4393">
        <v>1</v>
      </c>
      <c r="BE4393">
        <v>0</v>
      </c>
      <c r="BF4393">
        <v>0</v>
      </c>
      <c r="BG4393">
        <v>0</v>
      </c>
      <c r="BH4393">
        <v>1350</v>
      </c>
      <c r="BI4393">
        <v>1</v>
      </c>
      <c r="BJ4393">
        <v>1</v>
      </c>
      <c r="BK4393">
        <v>1</v>
      </c>
      <c r="BL4393">
        <v>0</v>
      </c>
      <c r="BO4393">
        <v>0</v>
      </c>
      <c r="BP4393">
        <v>0</v>
      </c>
      <c r="BW4393" t="str">
        <f>"20:38:51.912"</f>
        <v>20:38:51.912</v>
      </c>
      <c r="BZ4393">
        <v>0</v>
      </c>
      <c r="CA4393">
        <v>1600</v>
      </c>
      <c r="CB4393">
        <v>224</v>
      </c>
      <c r="CD4393">
        <v>1</v>
      </c>
      <c r="CE4393">
        <v>0</v>
      </c>
      <c r="CF4393">
        <v>0</v>
      </c>
      <c r="CG4393">
        <v>1</v>
      </c>
      <c r="CH4393">
        <v>0</v>
      </c>
      <c r="CI4393">
        <v>0</v>
      </c>
      <c r="CJ4393">
        <v>0</v>
      </c>
      <c r="CK4393">
        <v>2</v>
      </c>
      <c r="CL4393">
        <v>0</v>
      </c>
      <c r="CM4393">
        <v>2</v>
      </c>
      <c r="CN4393">
        <v>0</v>
      </c>
      <c r="CO4393">
        <v>4</v>
      </c>
      <c r="CP4393" t="s">
        <v>119</v>
      </c>
      <c r="CQ4393">
        <v>180</v>
      </c>
      <c r="CR4393">
        <v>3</v>
      </c>
      <c r="CW4393">
        <v>1418843</v>
      </c>
      <c r="CY4393">
        <v>0</v>
      </c>
      <c r="CZ4393">
        <v>0</v>
      </c>
      <c r="DA4393">
        <v>1</v>
      </c>
      <c r="DB4393">
        <v>0</v>
      </c>
      <c r="DC4393">
        <v>0</v>
      </c>
      <c r="DD4393">
        <v>0</v>
      </c>
      <c r="DE4393">
        <v>0</v>
      </c>
      <c r="DF4393">
        <v>0</v>
      </c>
      <c r="DG4393">
        <v>0</v>
      </c>
      <c r="DH4393">
        <v>0</v>
      </c>
      <c r="DI4393">
        <v>0</v>
      </c>
    </row>
    <row r="4394" spans="1:113" x14ac:dyDescent="0.3">
      <c r="A4394" t="str">
        <f>"02/08/2021 20:38:49.570"</f>
        <v>02/08/2021 20:38:49.570</v>
      </c>
      <c r="C4394" t="str">
        <f t="shared" si="218"/>
        <v>FFDFD7C0</v>
      </c>
      <c r="D4394" t="s">
        <v>124</v>
      </c>
      <c r="E4394">
        <v>13</v>
      </c>
      <c r="F4394">
        <v>1013</v>
      </c>
      <c r="G4394" t="s">
        <v>114</v>
      </c>
      <c r="J4394" t="s">
        <v>125</v>
      </c>
      <c r="K4394">
        <v>0</v>
      </c>
      <c r="L4394">
        <v>3</v>
      </c>
      <c r="M4394">
        <v>0</v>
      </c>
      <c r="N4394">
        <v>2</v>
      </c>
      <c r="O4394">
        <v>1</v>
      </c>
      <c r="P4394">
        <v>0</v>
      </c>
      <c r="Q4394">
        <v>0</v>
      </c>
      <c r="S4394" t="str">
        <f>"20:38:51.906"</f>
        <v>20:38:51.906</v>
      </c>
      <c r="T4394" t="str">
        <f>"20:38:51.506"</f>
        <v>20:38:51.506</v>
      </c>
      <c r="U4394" t="str">
        <f t="shared" si="217"/>
        <v>AB01F4</v>
      </c>
      <c r="V4394">
        <v>0</v>
      </c>
      <c r="W4394">
        <v>0</v>
      </c>
      <c r="X4394">
        <v>2</v>
      </c>
      <c r="Z4394">
        <v>0</v>
      </c>
      <c r="AA4394">
        <v>9</v>
      </c>
      <c r="AB4394">
        <v>3</v>
      </c>
      <c r="AC4394">
        <v>0</v>
      </c>
      <c r="AD4394">
        <v>10</v>
      </c>
      <c r="AE4394">
        <v>0</v>
      </c>
      <c r="AF4394">
        <v>3</v>
      </c>
      <c r="AG4394">
        <v>2</v>
      </c>
      <c r="AH4394">
        <v>0</v>
      </c>
      <c r="AI4394" t="s">
        <v>2441</v>
      </c>
      <c r="AJ4394">
        <v>40.159084999999997</v>
      </c>
      <c r="AK4394" t="s">
        <v>2442</v>
      </c>
      <c r="AL4394">
        <v>-93.199639000000005</v>
      </c>
      <c r="AM4394">
        <v>100</v>
      </c>
      <c r="AN4394">
        <v>1300</v>
      </c>
      <c r="AO4394" t="s">
        <v>118</v>
      </c>
      <c r="AP4394">
        <v>-131</v>
      </c>
      <c r="AQ4394">
        <v>-36</v>
      </c>
      <c r="AR4394">
        <v>-128</v>
      </c>
      <c r="AZ4394">
        <v>1200</v>
      </c>
      <c r="BA4394">
        <v>1</v>
      </c>
      <c r="BB4394" t="str">
        <f t="shared" si="216"/>
        <v xml:space="preserve">N8080G  </v>
      </c>
      <c r="BC4394">
        <v>1</v>
      </c>
      <c r="BE4394">
        <v>0</v>
      </c>
      <c r="BF4394">
        <v>0</v>
      </c>
      <c r="BG4394">
        <v>0</v>
      </c>
      <c r="BH4394">
        <v>1350</v>
      </c>
      <c r="BI4394">
        <v>1</v>
      </c>
      <c r="BJ4394">
        <v>1</v>
      </c>
      <c r="BK4394">
        <v>1</v>
      </c>
      <c r="BL4394">
        <v>0</v>
      </c>
      <c r="BO4394">
        <v>0</v>
      </c>
      <c r="BP4394">
        <v>0</v>
      </c>
      <c r="BW4394" t="str">
        <f>"20:38:51.912"</f>
        <v>20:38:51.912</v>
      </c>
      <c r="BZ4394">
        <v>0</v>
      </c>
      <c r="CA4394">
        <v>1600</v>
      </c>
      <c r="CB4394">
        <v>224</v>
      </c>
      <c r="CD4394">
        <v>1</v>
      </c>
      <c r="CE4394">
        <v>0</v>
      </c>
      <c r="CF4394">
        <v>0</v>
      </c>
      <c r="CG4394">
        <v>1</v>
      </c>
      <c r="CH4394">
        <v>0</v>
      </c>
      <c r="CI4394">
        <v>0</v>
      </c>
      <c r="CJ4394">
        <v>0</v>
      </c>
      <c r="CK4394">
        <v>2</v>
      </c>
      <c r="CL4394">
        <v>0</v>
      </c>
      <c r="CM4394">
        <v>2</v>
      </c>
      <c r="CN4394">
        <v>0</v>
      </c>
      <c r="CO4394">
        <v>4</v>
      </c>
      <c r="CP4394" t="s">
        <v>119</v>
      </c>
      <c r="CQ4394">
        <v>180</v>
      </c>
      <c r="CR4394">
        <v>3</v>
      </c>
      <c r="CW4394">
        <v>1418843</v>
      </c>
      <c r="CY4394">
        <v>0</v>
      </c>
      <c r="CZ4394">
        <v>0</v>
      </c>
      <c r="DA4394">
        <v>1</v>
      </c>
      <c r="DB4394">
        <v>0</v>
      </c>
      <c r="DC4394">
        <v>0</v>
      </c>
      <c r="DD4394">
        <v>0</v>
      </c>
      <c r="DE4394">
        <v>0</v>
      </c>
      <c r="DF4394">
        <v>0</v>
      </c>
      <c r="DG4394">
        <v>0</v>
      </c>
      <c r="DH4394">
        <v>0</v>
      </c>
      <c r="DI4394">
        <v>0</v>
      </c>
    </row>
    <row r="4395" spans="1:113" x14ac:dyDescent="0.3">
      <c r="A4395" t="str">
        <f>"02/08/2021 20:38:50.653"</f>
        <v>02/08/2021 20:38:50.653</v>
      </c>
      <c r="C4395" t="str">
        <f t="shared" si="218"/>
        <v>FFDFD7C0</v>
      </c>
      <c r="D4395" t="s">
        <v>113</v>
      </c>
      <c r="E4395">
        <v>6</v>
      </c>
      <c r="H4395">
        <v>165</v>
      </c>
      <c r="I4395" t="s">
        <v>114</v>
      </c>
      <c r="J4395" t="s">
        <v>115</v>
      </c>
      <c r="K4395">
        <v>0</v>
      </c>
      <c r="L4395">
        <v>3</v>
      </c>
      <c r="M4395">
        <v>0</v>
      </c>
      <c r="N4395">
        <v>2</v>
      </c>
      <c r="O4395">
        <v>1</v>
      </c>
      <c r="P4395">
        <v>0</v>
      </c>
      <c r="Q4395">
        <v>0</v>
      </c>
      <c r="S4395" t="str">
        <f>"20:38:52.992"</f>
        <v>20:38:52.992</v>
      </c>
      <c r="T4395" t="str">
        <f>"20:38:52.492"</f>
        <v>20:38:52.492</v>
      </c>
      <c r="U4395" t="str">
        <f t="shared" si="217"/>
        <v>AB01F4</v>
      </c>
      <c r="V4395">
        <v>0</v>
      </c>
      <c r="W4395">
        <v>0</v>
      </c>
      <c r="X4395">
        <v>2</v>
      </c>
      <c r="Z4395">
        <v>0</v>
      </c>
      <c r="AA4395">
        <v>9</v>
      </c>
      <c r="AB4395">
        <v>3</v>
      </c>
      <c r="AC4395">
        <v>0</v>
      </c>
      <c r="AD4395">
        <v>10</v>
      </c>
      <c r="AE4395">
        <v>0</v>
      </c>
      <c r="AF4395">
        <v>3</v>
      </c>
      <c r="AG4395">
        <v>2</v>
      </c>
      <c r="AH4395">
        <v>0</v>
      </c>
      <c r="AI4395" t="s">
        <v>2443</v>
      </c>
      <c r="AJ4395">
        <v>40.158912999999998</v>
      </c>
      <c r="AK4395" t="s">
        <v>2444</v>
      </c>
      <c r="AL4395">
        <v>-93.200497999999996</v>
      </c>
      <c r="AM4395">
        <v>100</v>
      </c>
      <c r="AN4395">
        <v>1300</v>
      </c>
      <c r="AO4395" t="s">
        <v>118</v>
      </c>
      <c r="AP4395">
        <v>-132</v>
      </c>
      <c r="AQ4395">
        <v>-35</v>
      </c>
      <c r="AR4395">
        <v>-64</v>
      </c>
      <c r="AZ4395">
        <v>1200</v>
      </c>
      <c r="BA4395">
        <v>1</v>
      </c>
      <c r="BB4395" t="str">
        <f t="shared" si="216"/>
        <v xml:space="preserve">N8080G  </v>
      </c>
      <c r="BC4395">
        <v>1</v>
      </c>
      <c r="BE4395">
        <v>0</v>
      </c>
      <c r="BF4395">
        <v>0</v>
      </c>
      <c r="BG4395">
        <v>0</v>
      </c>
      <c r="BH4395">
        <v>1350</v>
      </c>
      <c r="BI4395">
        <v>1</v>
      </c>
      <c r="BJ4395">
        <v>1</v>
      </c>
      <c r="BK4395">
        <v>1</v>
      </c>
      <c r="BL4395">
        <v>0</v>
      </c>
      <c r="BO4395">
        <v>0</v>
      </c>
      <c r="BP4395">
        <v>0</v>
      </c>
      <c r="BW4395" t="str">
        <f>"20:38:52.993"</f>
        <v>20:38:52.993</v>
      </c>
      <c r="BZ4395">
        <v>0</v>
      </c>
      <c r="CA4395">
        <v>1600</v>
      </c>
      <c r="CB4395">
        <v>224</v>
      </c>
      <c r="CD4395">
        <v>1</v>
      </c>
      <c r="CE4395">
        <v>0</v>
      </c>
      <c r="CF4395">
        <v>0</v>
      </c>
      <c r="CG4395">
        <v>1</v>
      </c>
      <c r="CH4395">
        <v>0</v>
      </c>
      <c r="CI4395">
        <v>0</v>
      </c>
      <c r="CJ4395">
        <v>0</v>
      </c>
      <c r="CK4395">
        <v>2</v>
      </c>
      <c r="CL4395">
        <v>0</v>
      </c>
      <c r="CM4395">
        <v>2</v>
      </c>
      <c r="CN4395">
        <v>0</v>
      </c>
      <c r="CO4395">
        <v>3</v>
      </c>
      <c r="CP4395" t="s">
        <v>119</v>
      </c>
      <c r="CQ4395">
        <v>180</v>
      </c>
      <c r="CR4395">
        <v>3</v>
      </c>
      <c r="CW4395">
        <v>1419688</v>
      </c>
      <c r="CY4395">
        <v>0</v>
      </c>
      <c r="CZ4395">
        <v>0</v>
      </c>
      <c r="DA4395">
        <v>0</v>
      </c>
      <c r="DB4395">
        <v>0</v>
      </c>
      <c r="DC4395">
        <v>0</v>
      </c>
      <c r="DD4395">
        <v>0</v>
      </c>
      <c r="DE4395">
        <v>0</v>
      </c>
      <c r="DF4395">
        <v>0</v>
      </c>
      <c r="DG4395">
        <v>0</v>
      </c>
      <c r="DH4395">
        <v>0</v>
      </c>
      <c r="DI4395">
        <v>0</v>
      </c>
    </row>
    <row r="4396" spans="1:113" x14ac:dyDescent="0.3">
      <c r="A4396" t="str">
        <f>"02/08/2021 20:38:50.653"</f>
        <v>02/08/2021 20:38:50.653</v>
      </c>
      <c r="C4396" t="str">
        <f t="shared" si="218"/>
        <v>FFDFD7C0</v>
      </c>
      <c r="D4396" t="s">
        <v>124</v>
      </c>
      <c r="E4396">
        <v>13</v>
      </c>
      <c r="F4396">
        <v>1013</v>
      </c>
      <c r="G4396" t="s">
        <v>114</v>
      </c>
      <c r="J4396" t="s">
        <v>125</v>
      </c>
      <c r="K4396">
        <v>0</v>
      </c>
      <c r="L4396">
        <v>3</v>
      </c>
      <c r="M4396">
        <v>0</v>
      </c>
      <c r="N4396">
        <v>2</v>
      </c>
      <c r="O4396">
        <v>1</v>
      </c>
      <c r="P4396">
        <v>0</v>
      </c>
      <c r="Q4396">
        <v>0</v>
      </c>
      <c r="S4396" t="str">
        <f>"20:38:52.992"</f>
        <v>20:38:52.992</v>
      </c>
      <c r="T4396" t="str">
        <f>"20:38:52.492"</f>
        <v>20:38:52.492</v>
      </c>
      <c r="U4396" t="str">
        <f t="shared" si="217"/>
        <v>AB01F4</v>
      </c>
      <c r="V4396">
        <v>0</v>
      </c>
      <c r="W4396">
        <v>0</v>
      </c>
      <c r="X4396">
        <v>2</v>
      </c>
      <c r="Z4396">
        <v>0</v>
      </c>
      <c r="AA4396">
        <v>9</v>
      </c>
      <c r="AB4396">
        <v>3</v>
      </c>
      <c r="AC4396">
        <v>0</v>
      </c>
      <c r="AD4396">
        <v>10</v>
      </c>
      <c r="AE4396">
        <v>0</v>
      </c>
      <c r="AF4396">
        <v>3</v>
      </c>
      <c r="AG4396">
        <v>2</v>
      </c>
      <c r="AH4396">
        <v>0</v>
      </c>
      <c r="AI4396" t="s">
        <v>2443</v>
      </c>
      <c r="AJ4396">
        <v>40.158912999999998</v>
      </c>
      <c r="AK4396" t="s">
        <v>2444</v>
      </c>
      <c r="AL4396">
        <v>-93.200497999999996</v>
      </c>
      <c r="AM4396">
        <v>100</v>
      </c>
      <c r="AN4396">
        <v>1300</v>
      </c>
      <c r="AO4396" t="s">
        <v>118</v>
      </c>
      <c r="AP4396">
        <v>-132</v>
      </c>
      <c r="AQ4396">
        <v>-35</v>
      </c>
      <c r="AR4396">
        <v>-64</v>
      </c>
      <c r="AZ4396">
        <v>1200</v>
      </c>
      <c r="BA4396">
        <v>1</v>
      </c>
      <c r="BB4396" t="str">
        <f t="shared" si="216"/>
        <v xml:space="preserve">N8080G  </v>
      </c>
      <c r="BC4396">
        <v>1</v>
      </c>
      <c r="BE4396">
        <v>0</v>
      </c>
      <c r="BF4396">
        <v>0</v>
      </c>
      <c r="BG4396">
        <v>0</v>
      </c>
      <c r="BH4396">
        <v>1350</v>
      </c>
      <c r="BI4396">
        <v>1</v>
      </c>
      <c r="BJ4396">
        <v>1</v>
      </c>
      <c r="BK4396">
        <v>1</v>
      </c>
      <c r="BL4396">
        <v>0</v>
      </c>
      <c r="BO4396">
        <v>0</v>
      </c>
      <c r="BP4396">
        <v>0</v>
      </c>
      <c r="BW4396" t="str">
        <f>"20:38:52.993"</f>
        <v>20:38:52.993</v>
      </c>
      <c r="BZ4396">
        <v>0</v>
      </c>
      <c r="CA4396">
        <v>1600</v>
      </c>
      <c r="CB4396">
        <v>224</v>
      </c>
      <c r="CD4396">
        <v>1</v>
      </c>
      <c r="CE4396">
        <v>0</v>
      </c>
      <c r="CF4396">
        <v>0</v>
      </c>
      <c r="CG4396">
        <v>1</v>
      </c>
      <c r="CH4396">
        <v>0</v>
      </c>
      <c r="CI4396">
        <v>0</v>
      </c>
      <c r="CJ4396">
        <v>0</v>
      </c>
      <c r="CK4396">
        <v>2</v>
      </c>
      <c r="CL4396">
        <v>0</v>
      </c>
      <c r="CM4396">
        <v>2</v>
      </c>
      <c r="CN4396">
        <v>0</v>
      </c>
      <c r="CO4396">
        <v>3</v>
      </c>
      <c r="CP4396" t="s">
        <v>119</v>
      </c>
      <c r="CQ4396">
        <v>180</v>
      </c>
      <c r="CR4396">
        <v>3</v>
      </c>
      <c r="CW4396">
        <v>1419688</v>
      </c>
      <c r="CY4396">
        <v>0</v>
      </c>
      <c r="CZ4396">
        <v>0</v>
      </c>
      <c r="DA4396">
        <v>1</v>
      </c>
      <c r="DB4396">
        <v>0</v>
      </c>
      <c r="DC4396">
        <v>0</v>
      </c>
      <c r="DD4396">
        <v>0</v>
      </c>
      <c r="DE4396">
        <v>0</v>
      </c>
      <c r="DF4396">
        <v>0</v>
      </c>
      <c r="DG4396">
        <v>0</v>
      </c>
      <c r="DH4396">
        <v>0</v>
      </c>
      <c r="DI4396">
        <v>0</v>
      </c>
    </row>
    <row r="4397" spans="1:113" x14ac:dyDescent="0.3">
      <c r="A4397" t="str">
        <f>"02/08/2021 20:38:50.653"</f>
        <v>02/08/2021 20:38:50.653</v>
      </c>
      <c r="C4397" t="str">
        <f t="shared" si="218"/>
        <v>FFDFD7C0</v>
      </c>
      <c r="D4397" t="s">
        <v>124</v>
      </c>
      <c r="E4397">
        <v>11</v>
      </c>
      <c r="F4397">
        <v>1011</v>
      </c>
      <c r="G4397" t="s">
        <v>590</v>
      </c>
      <c r="J4397" t="s">
        <v>125</v>
      </c>
      <c r="K4397">
        <v>0</v>
      </c>
      <c r="L4397">
        <v>3</v>
      </c>
      <c r="M4397">
        <v>0</v>
      </c>
      <c r="N4397">
        <v>2</v>
      </c>
      <c r="O4397">
        <v>1</v>
      </c>
      <c r="P4397">
        <v>0</v>
      </c>
      <c r="Q4397">
        <v>0</v>
      </c>
      <c r="S4397" t="str">
        <f>"20:38:52.992"</f>
        <v>20:38:52.992</v>
      </c>
      <c r="T4397" t="str">
        <f>"20:38:52.492"</f>
        <v>20:38:52.492</v>
      </c>
      <c r="U4397" t="str">
        <f t="shared" si="217"/>
        <v>AB01F4</v>
      </c>
      <c r="V4397">
        <v>0</v>
      </c>
      <c r="W4397">
        <v>0</v>
      </c>
      <c r="X4397">
        <v>2</v>
      </c>
      <c r="Z4397">
        <v>0</v>
      </c>
      <c r="AA4397">
        <v>9</v>
      </c>
      <c r="AB4397">
        <v>3</v>
      </c>
      <c r="AC4397">
        <v>0</v>
      </c>
      <c r="AD4397">
        <v>10</v>
      </c>
      <c r="AE4397">
        <v>0</v>
      </c>
      <c r="AF4397">
        <v>3</v>
      </c>
      <c r="AG4397">
        <v>2</v>
      </c>
      <c r="AH4397">
        <v>0</v>
      </c>
      <c r="AI4397" t="s">
        <v>2443</v>
      </c>
      <c r="AJ4397">
        <v>40.158912999999998</v>
      </c>
      <c r="AK4397" t="s">
        <v>2444</v>
      </c>
      <c r="AL4397">
        <v>-93.200497999999996</v>
      </c>
      <c r="AM4397">
        <v>100</v>
      </c>
      <c r="AN4397">
        <v>1300</v>
      </c>
      <c r="AO4397" t="s">
        <v>118</v>
      </c>
      <c r="AP4397">
        <v>-132</v>
      </c>
      <c r="AQ4397">
        <v>-35</v>
      </c>
      <c r="AR4397">
        <v>-64</v>
      </c>
      <c r="AZ4397">
        <v>1200</v>
      </c>
      <c r="BA4397">
        <v>1</v>
      </c>
      <c r="BB4397" t="str">
        <f t="shared" si="216"/>
        <v xml:space="preserve">N8080G  </v>
      </c>
      <c r="BC4397">
        <v>1</v>
      </c>
      <c r="BE4397">
        <v>0</v>
      </c>
      <c r="BF4397">
        <v>0</v>
      </c>
      <c r="BG4397">
        <v>0</v>
      </c>
      <c r="BH4397">
        <v>1350</v>
      </c>
      <c r="BI4397">
        <v>1</v>
      </c>
      <c r="BJ4397">
        <v>1</v>
      </c>
      <c r="BK4397">
        <v>1</v>
      </c>
      <c r="BL4397">
        <v>0</v>
      </c>
      <c r="BO4397">
        <v>0</v>
      </c>
      <c r="BP4397">
        <v>0</v>
      </c>
      <c r="BW4397" t="str">
        <f>"20:38:52.993"</f>
        <v>20:38:52.993</v>
      </c>
      <c r="BZ4397">
        <v>0</v>
      </c>
      <c r="CA4397">
        <v>1600</v>
      </c>
      <c r="CB4397">
        <v>224</v>
      </c>
      <c r="CD4397">
        <v>1</v>
      </c>
      <c r="CE4397">
        <v>0</v>
      </c>
      <c r="CF4397">
        <v>0</v>
      </c>
      <c r="CG4397">
        <v>1</v>
      </c>
      <c r="CH4397">
        <v>0</v>
      </c>
      <c r="CI4397">
        <v>0</v>
      </c>
      <c r="CJ4397">
        <v>0</v>
      </c>
      <c r="CK4397">
        <v>2</v>
      </c>
      <c r="CL4397">
        <v>0</v>
      </c>
      <c r="CM4397">
        <v>2</v>
      </c>
      <c r="CN4397">
        <v>0</v>
      </c>
      <c r="CO4397">
        <v>3</v>
      </c>
      <c r="CP4397" t="s">
        <v>119</v>
      </c>
      <c r="CQ4397">
        <v>180</v>
      </c>
      <c r="CR4397">
        <v>3</v>
      </c>
      <c r="CW4397">
        <v>1419688</v>
      </c>
      <c r="CY4397">
        <v>0</v>
      </c>
      <c r="CZ4397">
        <v>0</v>
      </c>
      <c r="DA4397">
        <v>1</v>
      </c>
      <c r="DB4397">
        <v>0</v>
      </c>
      <c r="DC4397">
        <v>0</v>
      </c>
      <c r="DD4397">
        <v>0</v>
      </c>
      <c r="DE4397">
        <v>0</v>
      </c>
      <c r="DF4397">
        <v>0</v>
      </c>
      <c r="DG4397">
        <v>0</v>
      </c>
      <c r="DH4397">
        <v>0</v>
      </c>
      <c r="DI4397">
        <v>0</v>
      </c>
    </row>
    <row r="4398" spans="1:113" x14ac:dyDescent="0.3">
      <c r="A4398" t="str">
        <f>"02/08/2021 20:38:50.653"</f>
        <v>02/08/2021 20:38:50.653</v>
      </c>
      <c r="C4398" t="str">
        <f t="shared" si="218"/>
        <v>FFDFD7C0</v>
      </c>
      <c r="D4398" t="s">
        <v>124</v>
      </c>
      <c r="E4398">
        <v>12</v>
      </c>
      <c r="F4398">
        <v>1012</v>
      </c>
      <c r="G4398" t="s">
        <v>675</v>
      </c>
      <c r="J4398" t="s">
        <v>125</v>
      </c>
      <c r="K4398">
        <v>0</v>
      </c>
      <c r="L4398">
        <v>3</v>
      </c>
      <c r="M4398">
        <v>0</v>
      </c>
      <c r="N4398">
        <v>2</v>
      </c>
      <c r="O4398">
        <v>1</v>
      </c>
      <c r="P4398">
        <v>0</v>
      </c>
      <c r="Q4398">
        <v>0</v>
      </c>
      <c r="S4398" t="str">
        <f>"20:38:52.992"</f>
        <v>20:38:52.992</v>
      </c>
      <c r="T4398" t="str">
        <f>"20:38:52.492"</f>
        <v>20:38:52.492</v>
      </c>
      <c r="U4398" t="str">
        <f t="shared" si="217"/>
        <v>AB01F4</v>
      </c>
      <c r="V4398">
        <v>0</v>
      </c>
      <c r="W4398">
        <v>0</v>
      </c>
      <c r="X4398">
        <v>2</v>
      </c>
      <c r="Z4398">
        <v>0</v>
      </c>
      <c r="AA4398">
        <v>9</v>
      </c>
      <c r="AB4398">
        <v>3</v>
      </c>
      <c r="AC4398">
        <v>0</v>
      </c>
      <c r="AD4398">
        <v>10</v>
      </c>
      <c r="AE4398">
        <v>0</v>
      </c>
      <c r="AF4398">
        <v>3</v>
      </c>
      <c r="AG4398">
        <v>2</v>
      </c>
      <c r="AH4398">
        <v>0</v>
      </c>
      <c r="AI4398" t="s">
        <v>2443</v>
      </c>
      <c r="AJ4398">
        <v>40.158912999999998</v>
      </c>
      <c r="AK4398" t="s">
        <v>2444</v>
      </c>
      <c r="AL4398">
        <v>-93.200497999999996</v>
      </c>
      <c r="AM4398">
        <v>100</v>
      </c>
      <c r="AN4398">
        <v>1300</v>
      </c>
      <c r="AO4398" t="s">
        <v>118</v>
      </c>
      <c r="AP4398">
        <v>-132</v>
      </c>
      <c r="AQ4398">
        <v>-35</v>
      </c>
      <c r="AR4398">
        <v>-64</v>
      </c>
      <c r="AZ4398">
        <v>1200</v>
      </c>
      <c r="BA4398">
        <v>1</v>
      </c>
      <c r="BB4398" t="str">
        <f t="shared" si="216"/>
        <v xml:space="preserve">N8080G  </v>
      </c>
      <c r="BC4398">
        <v>1</v>
      </c>
      <c r="BE4398">
        <v>0</v>
      </c>
      <c r="BF4398">
        <v>0</v>
      </c>
      <c r="BG4398">
        <v>0</v>
      </c>
      <c r="BH4398">
        <v>1350</v>
      </c>
      <c r="BI4398">
        <v>1</v>
      </c>
      <c r="BJ4398">
        <v>1</v>
      </c>
      <c r="BK4398">
        <v>1</v>
      </c>
      <c r="BL4398">
        <v>0</v>
      </c>
      <c r="BO4398">
        <v>0</v>
      </c>
      <c r="BP4398">
        <v>0</v>
      </c>
      <c r="BW4398" t="str">
        <f>"20:38:52.993"</f>
        <v>20:38:52.993</v>
      </c>
      <c r="BZ4398">
        <v>0</v>
      </c>
      <c r="CA4398">
        <v>1600</v>
      </c>
      <c r="CB4398">
        <v>224</v>
      </c>
      <c r="CD4398">
        <v>1</v>
      </c>
      <c r="CE4398">
        <v>0</v>
      </c>
      <c r="CF4398">
        <v>0</v>
      </c>
      <c r="CG4398">
        <v>1</v>
      </c>
      <c r="CH4398">
        <v>0</v>
      </c>
      <c r="CI4398">
        <v>0</v>
      </c>
      <c r="CJ4398">
        <v>0</v>
      </c>
      <c r="CK4398">
        <v>2</v>
      </c>
      <c r="CL4398">
        <v>0</v>
      </c>
      <c r="CM4398">
        <v>2</v>
      </c>
      <c r="CN4398">
        <v>0</v>
      </c>
      <c r="CO4398">
        <v>3</v>
      </c>
      <c r="CP4398" t="s">
        <v>119</v>
      </c>
      <c r="CQ4398">
        <v>180</v>
      </c>
      <c r="CR4398">
        <v>3</v>
      </c>
      <c r="CW4398">
        <v>1419688</v>
      </c>
      <c r="CY4398">
        <v>0</v>
      </c>
      <c r="CZ4398">
        <v>0</v>
      </c>
      <c r="DA4398">
        <v>1</v>
      </c>
      <c r="DB4398">
        <v>0</v>
      </c>
      <c r="DC4398">
        <v>0</v>
      </c>
      <c r="DD4398">
        <v>0</v>
      </c>
      <c r="DE4398">
        <v>0</v>
      </c>
      <c r="DF4398">
        <v>0</v>
      </c>
      <c r="DG4398">
        <v>0</v>
      </c>
      <c r="DH4398">
        <v>0</v>
      </c>
      <c r="DI4398">
        <v>0</v>
      </c>
    </row>
    <row r="4399" spans="1:113" x14ac:dyDescent="0.3">
      <c r="A4399" t="str">
        <f>"02/08/2021 20:38:52.694"</f>
        <v>02/08/2021 20:38:52.694</v>
      </c>
      <c r="C4399" t="str">
        <f t="shared" si="218"/>
        <v>FFDFD7C0</v>
      </c>
      <c r="D4399" t="s">
        <v>124</v>
      </c>
      <c r="E4399">
        <v>12</v>
      </c>
      <c r="F4399">
        <v>1012</v>
      </c>
      <c r="G4399" t="s">
        <v>675</v>
      </c>
      <c r="J4399" t="s">
        <v>125</v>
      </c>
      <c r="K4399">
        <v>0</v>
      </c>
      <c r="L4399">
        <v>3</v>
      </c>
      <c r="M4399">
        <v>0</v>
      </c>
      <c r="N4399">
        <v>2</v>
      </c>
      <c r="O4399">
        <v>1</v>
      </c>
      <c r="P4399">
        <v>0</v>
      </c>
      <c r="Q4399">
        <v>0</v>
      </c>
      <c r="S4399" t="str">
        <f>"20:38:55.016"</f>
        <v>20:38:55.016</v>
      </c>
      <c r="T4399" t="str">
        <f>"20:38:54.616"</f>
        <v>20:38:54.616</v>
      </c>
      <c r="U4399" t="str">
        <f t="shared" si="217"/>
        <v>AB01F4</v>
      </c>
      <c r="V4399">
        <v>0</v>
      </c>
      <c r="W4399">
        <v>0</v>
      </c>
      <c r="X4399">
        <v>2</v>
      </c>
      <c r="Z4399">
        <v>0</v>
      </c>
      <c r="AA4399">
        <v>9</v>
      </c>
      <c r="AB4399">
        <v>3</v>
      </c>
      <c r="AC4399">
        <v>0</v>
      </c>
      <c r="AD4399">
        <v>10</v>
      </c>
      <c r="AE4399">
        <v>0</v>
      </c>
      <c r="AF4399">
        <v>3</v>
      </c>
      <c r="AG4399">
        <v>2</v>
      </c>
      <c r="AH4399">
        <v>0</v>
      </c>
      <c r="AI4399" t="s">
        <v>2445</v>
      </c>
      <c r="AJ4399">
        <v>40.158548000000003</v>
      </c>
      <c r="AK4399" t="s">
        <v>2446</v>
      </c>
      <c r="AL4399">
        <v>-93.202084999999997</v>
      </c>
      <c r="AM4399">
        <v>100</v>
      </c>
      <c r="AN4399">
        <v>1300</v>
      </c>
      <c r="AO4399" t="s">
        <v>118</v>
      </c>
      <c r="AP4399">
        <v>-132</v>
      </c>
      <c r="AQ4399">
        <v>-35</v>
      </c>
      <c r="AR4399">
        <v>0</v>
      </c>
      <c r="AZ4399">
        <v>1200</v>
      </c>
      <c r="BA4399">
        <v>1</v>
      </c>
      <c r="BB4399" t="str">
        <f t="shared" ref="BB4399:BB4462" si="219">"N8080G  "</f>
        <v xml:space="preserve">N8080G  </v>
      </c>
      <c r="BC4399">
        <v>1</v>
      </c>
      <c r="BE4399">
        <v>0</v>
      </c>
      <c r="BF4399">
        <v>0</v>
      </c>
      <c r="BG4399">
        <v>0</v>
      </c>
      <c r="BH4399">
        <v>1350</v>
      </c>
      <c r="BI4399">
        <v>1</v>
      </c>
      <c r="BJ4399">
        <v>1</v>
      </c>
      <c r="BK4399">
        <v>1</v>
      </c>
      <c r="BL4399">
        <v>0</v>
      </c>
      <c r="BO4399">
        <v>0</v>
      </c>
      <c r="BP4399">
        <v>0</v>
      </c>
      <c r="BW4399" t="str">
        <f>"20:38:55.020"</f>
        <v>20:38:55.020</v>
      </c>
      <c r="BZ4399">
        <v>0</v>
      </c>
      <c r="CA4399">
        <v>1600</v>
      </c>
      <c r="CB4399">
        <v>224</v>
      </c>
      <c r="CD4399">
        <v>1</v>
      </c>
      <c r="CE4399">
        <v>0</v>
      </c>
      <c r="CF4399">
        <v>0</v>
      </c>
      <c r="CG4399">
        <v>1</v>
      </c>
      <c r="CH4399">
        <v>0</v>
      </c>
      <c r="CI4399">
        <v>0</v>
      </c>
      <c r="CJ4399">
        <v>0</v>
      </c>
      <c r="CK4399">
        <v>2</v>
      </c>
      <c r="CL4399">
        <v>0</v>
      </c>
      <c r="CM4399">
        <v>2</v>
      </c>
      <c r="CN4399">
        <v>0</v>
      </c>
      <c r="CO4399">
        <v>3</v>
      </c>
      <c r="CP4399" t="s">
        <v>119</v>
      </c>
      <c r="CQ4399">
        <v>180</v>
      </c>
      <c r="CR4399">
        <v>3</v>
      </c>
      <c r="CW4399">
        <v>1421160</v>
      </c>
      <c r="CY4399">
        <v>0</v>
      </c>
      <c r="CZ4399">
        <v>0</v>
      </c>
      <c r="DA4399">
        <v>0</v>
      </c>
      <c r="DB4399">
        <v>0</v>
      </c>
      <c r="DC4399">
        <v>0</v>
      </c>
      <c r="DD4399">
        <v>0</v>
      </c>
      <c r="DE4399">
        <v>0</v>
      </c>
      <c r="DF4399">
        <v>0</v>
      </c>
      <c r="DG4399">
        <v>0</v>
      </c>
      <c r="DH4399">
        <v>0</v>
      </c>
      <c r="DI4399">
        <v>0</v>
      </c>
    </row>
    <row r="4400" spans="1:113" x14ac:dyDescent="0.3">
      <c r="A4400" t="str">
        <f>"02/08/2021 20:38:52.694"</f>
        <v>02/08/2021 20:38:52.694</v>
      </c>
      <c r="C4400" t="str">
        <f t="shared" si="218"/>
        <v>FFDFD7C0</v>
      </c>
      <c r="D4400" t="s">
        <v>124</v>
      </c>
      <c r="E4400">
        <v>11</v>
      </c>
      <c r="F4400">
        <v>1011</v>
      </c>
      <c r="G4400" t="s">
        <v>590</v>
      </c>
      <c r="J4400" t="s">
        <v>125</v>
      </c>
      <c r="K4400">
        <v>0</v>
      </c>
      <c r="L4400">
        <v>3</v>
      </c>
      <c r="M4400">
        <v>0</v>
      </c>
      <c r="N4400">
        <v>2</v>
      </c>
      <c r="O4400">
        <v>1</v>
      </c>
      <c r="P4400">
        <v>0</v>
      </c>
      <c r="Q4400">
        <v>0</v>
      </c>
      <c r="S4400" t="str">
        <f>"20:38:55.016"</f>
        <v>20:38:55.016</v>
      </c>
      <c r="T4400" t="str">
        <f>"20:38:54.616"</f>
        <v>20:38:54.616</v>
      </c>
      <c r="U4400" t="str">
        <f t="shared" si="217"/>
        <v>AB01F4</v>
      </c>
      <c r="V4400">
        <v>0</v>
      </c>
      <c r="W4400">
        <v>0</v>
      </c>
      <c r="X4400">
        <v>2</v>
      </c>
      <c r="Z4400">
        <v>0</v>
      </c>
      <c r="AA4400">
        <v>9</v>
      </c>
      <c r="AB4400">
        <v>3</v>
      </c>
      <c r="AC4400">
        <v>0</v>
      </c>
      <c r="AD4400">
        <v>10</v>
      </c>
      <c r="AE4400">
        <v>0</v>
      </c>
      <c r="AF4400">
        <v>3</v>
      </c>
      <c r="AG4400">
        <v>2</v>
      </c>
      <c r="AH4400">
        <v>0</v>
      </c>
      <c r="AI4400" t="s">
        <v>2445</v>
      </c>
      <c r="AJ4400">
        <v>40.158548000000003</v>
      </c>
      <c r="AK4400" t="s">
        <v>2446</v>
      </c>
      <c r="AL4400">
        <v>-93.202084999999997</v>
      </c>
      <c r="AM4400">
        <v>100</v>
      </c>
      <c r="AN4400">
        <v>1300</v>
      </c>
      <c r="AO4400" t="s">
        <v>118</v>
      </c>
      <c r="AP4400">
        <v>-132</v>
      </c>
      <c r="AQ4400">
        <v>-35</v>
      </c>
      <c r="AR4400">
        <v>0</v>
      </c>
      <c r="AZ4400">
        <v>1200</v>
      </c>
      <c r="BA4400">
        <v>1</v>
      </c>
      <c r="BB4400" t="str">
        <f t="shared" si="219"/>
        <v xml:space="preserve">N8080G  </v>
      </c>
      <c r="BC4400">
        <v>1</v>
      </c>
      <c r="BE4400">
        <v>0</v>
      </c>
      <c r="BF4400">
        <v>0</v>
      </c>
      <c r="BG4400">
        <v>0</v>
      </c>
      <c r="BH4400">
        <v>1350</v>
      </c>
      <c r="BI4400">
        <v>1</v>
      </c>
      <c r="BJ4400">
        <v>1</v>
      </c>
      <c r="BK4400">
        <v>1</v>
      </c>
      <c r="BL4400">
        <v>0</v>
      </c>
      <c r="BO4400">
        <v>0</v>
      </c>
      <c r="BP4400">
        <v>0</v>
      </c>
      <c r="BW4400" t="str">
        <f>"20:38:55.020"</f>
        <v>20:38:55.020</v>
      </c>
      <c r="BZ4400">
        <v>0</v>
      </c>
      <c r="CA4400">
        <v>1600</v>
      </c>
      <c r="CB4400">
        <v>224</v>
      </c>
      <c r="CD4400">
        <v>1</v>
      </c>
      <c r="CE4400">
        <v>0</v>
      </c>
      <c r="CF4400">
        <v>0</v>
      </c>
      <c r="CG4400">
        <v>1</v>
      </c>
      <c r="CH4400">
        <v>0</v>
      </c>
      <c r="CI4400">
        <v>0</v>
      </c>
      <c r="CJ4400">
        <v>0</v>
      </c>
      <c r="CK4400">
        <v>2</v>
      </c>
      <c r="CL4400">
        <v>0</v>
      </c>
      <c r="CM4400">
        <v>2</v>
      </c>
      <c r="CN4400">
        <v>0</v>
      </c>
      <c r="CO4400">
        <v>3</v>
      </c>
      <c r="CP4400" t="s">
        <v>119</v>
      </c>
      <c r="CQ4400">
        <v>180</v>
      </c>
      <c r="CR4400">
        <v>3</v>
      </c>
      <c r="CW4400">
        <v>1421160</v>
      </c>
      <c r="CY4400">
        <v>0</v>
      </c>
      <c r="CZ4400">
        <v>0</v>
      </c>
      <c r="DA4400">
        <v>1</v>
      </c>
      <c r="DB4400">
        <v>0</v>
      </c>
      <c r="DC4400">
        <v>0</v>
      </c>
      <c r="DD4400">
        <v>0</v>
      </c>
      <c r="DE4400">
        <v>0</v>
      </c>
      <c r="DF4400">
        <v>0</v>
      </c>
      <c r="DG4400">
        <v>0</v>
      </c>
      <c r="DH4400">
        <v>0</v>
      </c>
      <c r="DI4400">
        <v>0</v>
      </c>
    </row>
    <row r="4401" spans="1:113" x14ac:dyDescent="0.3">
      <c r="A4401" t="str">
        <f>"02/08/2021 20:38:52.694"</f>
        <v>02/08/2021 20:38:52.694</v>
      </c>
      <c r="C4401" t="str">
        <f t="shared" si="218"/>
        <v>FFDFD7C0</v>
      </c>
      <c r="D4401" t="s">
        <v>124</v>
      </c>
      <c r="E4401">
        <v>13</v>
      </c>
      <c r="F4401">
        <v>1013</v>
      </c>
      <c r="G4401" t="s">
        <v>114</v>
      </c>
      <c r="J4401" t="s">
        <v>125</v>
      </c>
      <c r="K4401">
        <v>0</v>
      </c>
      <c r="L4401">
        <v>3</v>
      </c>
      <c r="M4401">
        <v>0</v>
      </c>
      <c r="N4401">
        <v>2</v>
      </c>
      <c r="O4401">
        <v>1</v>
      </c>
      <c r="P4401">
        <v>0</v>
      </c>
      <c r="Q4401">
        <v>0</v>
      </c>
      <c r="S4401" t="str">
        <f>"20:38:55.016"</f>
        <v>20:38:55.016</v>
      </c>
      <c r="T4401" t="str">
        <f>"20:38:54.616"</f>
        <v>20:38:54.616</v>
      </c>
      <c r="U4401" t="str">
        <f t="shared" si="217"/>
        <v>AB01F4</v>
      </c>
      <c r="V4401">
        <v>0</v>
      </c>
      <c r="W4401">
        <v>0</v>
      </c>
      <c r="X4401">
        <v>2</v>
      </c>
      <c r="Z4401">
        <v>0</v>
      </c>
      <c r="AA4401">
        <v>9</v>
      </c>
      <c r="AB4401">
        <v>3</v>
      </c>
      <c r="AC4401">
        <v>0</v>
      </c>
      <c r="AD4401">
        <v>10</v>
      </c>
      <c r="AE4401">
        <v>0</v>
      </c>
      <c r="AF4401">
        <v>3</v>
      </c>
      <c r="AG4401">
        <v>2</v>
      </c>
      <c r="AH4401">
        <v>0</v>
      </c>
      <c r="AI4401" t="s">
        <v>2445</v>
      </c>
      <c r="AJ4401">
        <v>40.158548000000003</v>
      </c>
      <c r="AK4401" t="s">
        <v>2446</v>
      </c>
      <c r="AL4401">
        <v>-93.202084999999997</v>
      </c>
      <c r="AM4401">
        <v>100</v>
      </c>
      <c r="AN4401">
        <v>1300</v>
      </c>
      <c r="AO4401" t="s">
        <v>118</v>
      </c>
      <c r="AP4401">
        <v>-132</v>
      </c>
      <c r="AQ4401">
        <v>-35</v>
      </c>
      <c r="AR4401">
        <v>0</v>
      </c>
      <c r="AZ4401">
        <v>1200</v>
      </c>
      <c r="BA4401">
        <v>1</v>
      </c>
      <c r="BB4401" t="str">
        <f t="shared" si="219"/>
        <v xml:space="preserve">N8080G  </v>
      </c>
      <c r="BC4401">
        <v>1</v>
      </c>
      <c r="BE4401">
        <v>0</v>
      </c>
      <c r="BF4401">
        <v>0</v>
      </c>
      <c r="BG4401">
        <v>0</v>
      </c>
      <c r="BH4401">
        <v>1350</v>
      </c>
      <c r="BI4401">
        <v>1</v>
      </c>
      <c r="BJ4401">
        <v>1</v>
      </c>
      <c r="BK4401">
        <v>1</v>
      </c>
      <c r="BL4401">
        <v>0</v>
      </c>
      <c r="BO4401">
        <v>0</v>
      </c>
      <c r="BP4401">
        <v>0</v>
      </c>
      <c r="BW4401" t="str">
        <f>"20:38:55.020"</f>
        <v>20:38:55.020</v>
      </c>
      <c r="BZ4401">
        <v>0</v>
      </c>
      <c r="CA4401">
        <v>1600</v>
      </c>
      <c r="CB4401">
        <v>224</v>
      </c>
      <c r="CD4401">
        <v>1</v>
      </c>
      <c r="CE4401">
        <v>0</v>
      </c>
      <c r="CF4401">
        <v>0</v>
      </c>
      <c r="CG4401">
        <v>1</v>
      </c>
      <c r="CH4401">
        <v>0</v>
      </c>
      <c r="CI4401">
        <v>0</v>
      </c>
      <c r="CJ4401">
        <v>0</v>
      </c>
      <c r="CK4401">
        <v>2</v>
      </c>
      <c r="CL4401">
        <v>0</v>
      </c>
      <c r="CM4401">
        <v>2</v>
      </c>
      <c r="CN4401">
        <v>0</v>
      </c>
      <c r="CO4401">
        <v>3</v>
      </c>
      <c r="CP4401" t="s">
        <v>119</v>
      </c>
      <c r="CQ4401">
        <v>180</v>
      </c>
      <c r="CR4401">
        <v>3</v>
      </c>
      <c r="CW4401">
        <v>1421160</v>
      </c>
      <c r="CY4401">
        <v>0</v>
      </c>
      <c r="CZ4401">
        <v>0</v>
      </c>
      <c r="DA4401">
        <v>1</v>
      </c>
      <c r="DB4401">
        <v>0</v>
      </c>
      <c r="DC4401">
        <v>0</v>
      </c>
      <c r="DD4401">
        <v>0</v>
      </c>
      <c r="DE4401">
        <v>0</v>
      </c>
      <c r="DF4401">
        <v>0</v>
      </c>
      <c r="DG4401">
        <v>0</v>
      </c>
      <c r="DH4401">
        <v>0</v>
      </c>
      <c r="DI4401">
        <v>0</v>
      </c>
    </row>
    <row r="4402" spans="1:113" x14ac:dyDescent="0.3">
      <c r="A4402" t="str">
        <f>"02/08/2021 20:38:52.694"</f>
        <v>02/08/2021 20:38:52.694</v>
      </c>
      <c r="C4402" t="str">
        <f t="shared" si="218"/>
        <v>FFDFD7C0</v>
      </c>
      <c r="D4402" t="s">
        <v>113</v>
      </c>
      <c r="E4402">
        <v>6</v>
      </c>
      <c r="H4402">
        <v>165</v>
      </c>
      <c r="I4402" t="s">
        <v>114</v>
      </c>
      <c r="J4402" t="s">
        <v>115</v>
      </c>
      <c r="K4402">
        <v>0</v>
      </c>
      <c r="L4402">
        <v>3</v>
      </c>
      <c r="M4402">
        <v>0</v>
      </c>
      <c r="N4402">
        <v>2</v>
      </c>
      <c r="O4402">
        <v>1</v>
      </c>
      <c r="P4402">
        <v>0</v>
      </c>
      <c r="Q4402">
        <v>0</v>
      </c>
      <c r="S4402" t="str">
        <f>"20:38:55.016"</f>
        <v>20:38:55.016</v>
      </c>
      <c r="T4402" t="str">
        <f>"20:38:54.616"</f>
        <v>20:38:54.616</v>
      </c>
      <c r="U4402" t="str">
        <f t="shared" si="217"/>
        <v>AB01F4</v>
      </c>
      <c r="V4402">
        <v>0</v>
      </c>
      <c r="W4402">
        <v>0</v>
      </c>
      <c r="X4402">
        <v>2</v>
      </c>
      <c r="Z4402">
        <v>0</v>
      </c>
      <c r="AA4402">
        <v>9</v>
      </c>
      <c r="AB4402">
        <v>3</v>
      </c>
      <c r="AC4402">
        <v>0</v>
      </c>
      <c r="AD4402">
        <v>10</v>
      </c>
      <c r="AE4402">
        <v>0</v>
      </c>
      <c r="AF4402">
        <v>3</v>
      </c>
      <c r="AG4402">
        <v>2</v>
      </c>
      <c r="AH4402">
        <v>0</v>
      </c>
      <c r="AI4402" t="s">
        <v>2445</v>
      </c>
      <c r="AJ4402">
        <v>40.158548000000003</v>
      </c>
      <c r="AK4402" t="s">
        <v>2446</v>
      </c>
      <c r="AL4402">
        <v>-93.202084999999997</v>
      </c>
      <c r="AM4402">
        <v>100</v>
      </c>
      <c r="AN4402">
        <v>1300</v>
      </c>
      <c r="AO4402" t="s">
        <v>118</v>
      </c>
      <c r="AP4402">
        <v>-132</v>
      </c>
      <c r="AQ4402">
        <v>-35</v>
      </c>
      <c r="AR4402">
        <v>0</v>
      </c>
      <c r="AZ4402">
        <v>1200</v>
      </c>
      <c r="BA4402">
        <v>1</v>
      </c>
      <c r="BB4402" t="str">
        <f t="shared" si="219"/>
        <v xml:space="preserve">N8080G  </v>
      </c>
      <c r="BC4402">
        <v>1</v>
      </c>
      <c r="BE4402">
        <v>0</v>
      </c>
      <c r="BF4402">
        <v>0</v>
      </c>
      <c r="BG4402">
        <v>0</v>
      </c>
      <c r="BH4402">
        <v>1350</v>
      </c>
      <c r="BI4402">
        <v>1</v>
      </c>
      <c r="BJ4402">
        <v>1</v>
      </c>
      <c r="BK4402">
        <v>1</v>
      </c>
      <c r="BL4402">
        <v>0</v>
      </c>
      <c r="BO4402">
        <v>0</v>
      </c>
      <c r="BP4402">
        <v>0</v>
      </c>
      <c r="BW4402" t="str">
        <f>"20:38:55.020"</f>
        <v>20:38:55.020</v>
      </c>
      <c r="BZ4402">
        <v>0</v>
      </c>
      <c r="CA4402">
        <v>1600</v>
      </c>
      <c r="CB4402">
        <v>224</v>
      </c>
      <c r="CD4402">
        <v>1</v>
      </c>
      <c r="CE4402">
        <v>0</v>
      </c>
      <c r="CF4402">
        <v>0</v>
      </c>
      <c r="CG4402">
        <v>1</v>
      </c>
      <c r="CH4402">
        <v>0</v>
      </c>
      <c r="CI4402">
        <v>0</v>
      </c>
      <c r="CJ4402">
        <v>0</v>
      </c>
      <c r="CK4402">
        <v>2</v>
      </c>
      <c r="CL4402">
        <v>0</v>
      </c>
      <c r="CM4402">
        <v>2</v>
      </c>
      <c r="CN4402">
        <v>0</v>
      </c>
      <c r="CO4402">
        <v>3</v>
      </c>
      <c r="CP4402" t="s">
        <v>119</v>
      </c>
      <c r="CQ4402">
        <v>180</v>
      </c>
      <c r="CR4402">
        <v>3</v>
      </c>
      <c r="CW4402">
        <v>1421160</v>
      </c>
      <c r="CY4402">
        <v>0</v>
      </c>
      <c r="CZ4402">
        <v>0</v>
      </c>
      <c r="DA4402">
        <v>1</v>
      </c>
      <c r="DB4402">
        <v>0</v>
      </c>
      <c r="DC4402">
        <v>0</v>
      </c>
      <c r="DD4402">
        <v>0</v>
      </c>
      <c r="DE4402">
        <v>0</v>
      </c>
      <c r="DF4402">
        <v>0</v>
      </c>
      <c r="DG4402">
        <v>0</v>
      </c>
      <c r="DH4402">
        <v>0</v>
      </c>
      <c r="DI4402">
        <v>0</v>
      </c>
    </row>
    <row r="4403" spans="1:113" x14ac:dyDescent="0.3">
      <c r="A4403" t="str">
        <f>"02/08/2021 20:38:53.700"</f>
        <v>02/08/2021 20:38:53.700</v>
      </c>
      <c r="C4403" t="str">
        <f t="shared" si="218"/>
        <v>FFDFD7C0</v>
      </c>
      <c r="D4403" t="s">
        <v>124</v>
      </c>
      <c r="E4403">
        <v>12</v>
      </c>
      <c r="F4403">
        <v>1012</v>
      </c>
      <c r="G4403" t="s">
        <v>675</v>
      </c>
      <c r="J4403" t="s">
        <v>125</v>
      </c>
      <c r="K4403">
        <v>0</v>
      </c>
      <c r="L4403">
        <v>3</v>
      </c>
      <c r="M4403">
        <v>0</v>
      </c>
      <c r="N4403">
        <v>2</v>
      </c>
      <c r="O4403">
        <v>1</v>
      </c>
      <c r="P4403">
        <v>0</v>
      </c>
      <c r="Q4403">
        <v>0</v>
      </c>
      <c r="S4403" t="str">
        <f>"20:38:56.055"</f>
        <v>20:38:56.055</v>
      </c>
      <c r="T4403" t="str">
        <f>"20:38:55.655"</f>
        <v>20:38:55.655</v>
      </c>
      <c r="U4403" t="str">
        <f t="shared" si="217"/>
        <v>AB01F4</v>
      </c>
      <c r="V4403">
        <v>0</v>
      </c>
      <c r="W4403">
        <v>0</v>
      </c>
      <c r="X4403">
        <v>2</v>
      </c>
      <c r="Z4403">
        <v>0</v>
      </c>
      <c r="AA4403">
        <v>9</v>
      </c>
      <c r="AB4403">
        <v>3</v>
      </c>
      <c r="AC4403">
        <v>0</v>
      </c>
      <c r="AD4403">
        <v>10</v>
      </c>
      <c r="AE4403">
        <v>0</v>
      </c>
      <c r="AF4403">
        <v>3</v>
      </c>
      <c r="AG4403">
        <v>2</v>
      </c>
      <c r="AH4403">
        <v>0</v>
      </c>
      <c r="AI4403" t="s">
        <v>2447</v>
      </c>
      <c r="AJ4403">
        <v>40.158377000000002</v>
      </c>
      <c r="AK4403" t="s">
        <v>2448</v>
      </c>
      <c r="AL4403">
        <v>-93.202944000000002</v>
      </c>
      <c r="AM4403">
        <v>100</v>
      </c>
      <c r="AN4403">
        <v>1300</v>
      </c>
      <c r="AO4403" t="s">
        <v>118</v>
      </c>
      <c r="AP4403">
        <v>-132</v>
      </c>
      <c r="AQ4403">
        <v>-35</v>
      </c>
      <c r="AR4403">
        <v>64</v>
      </c>
      <c r="AZ4403">
        <v>1200</v>
      </c>
      <c r="BA4403">
        <v>1</v>
      </c>
      <c r="BB4403" t="str">
        <f t="shared" si="219"/>
        <v xml:space="preserve">N8080G  </v>
      </c>
      <c r="BC4403">
        <v>1</v>
      </c>
      <c r="BE4403">
        <v>0</v>
      </c>
      <c r="BF4403">
        <v>0</v>
      </c>
      <c r="BG4403">
        <v>0</v>
      </c>
      <c r="BH4403">
        <v>1350</v>
      </c>
      <c r="BI4403">
        <v>1</v>
      </c>
      <c r="BJ4403">
        <v>1</v>
      </c>
      <c r="BK4403">
        <v>1</v>
      </c>
      <c r="BL4403">
        <v>0</v>
      </c>
      <c r="BO4403">
        <v>0</v>
      </c>
      <c r="BP4403">
        <v>0</v>
      </c>
      <c r="BW4403" t="str">
        <f>"20:38:56.059"</f>
        <v>20:38:56.059</v>
      </c>
      <c r="BZ4403">
        <v>0</v>
      </c>
      <c r="CA4403">
        <v>1600</v>
      </c>
      <c r="CB4403">
        <v>224</v>
      </c>
      <c r="CD4403">
        <v>1</v>
      </c>
      <c r="CE4403">
        <v>0</v>
      </c>
      <c r="CF4403">
        <v>0</v>
      </c>
      <c r="CG4403">
        <v>1</v>
      </c>
      <c r="CH4403">
        <v>0</v>
      </c>
      <c r="CI4403">
        <v>0</v>
      </c>
      <c r="CJ4403">
        <v>0</v>
      </c>
      <c r="CK4403">
        <v>2</v>
      </c>
      <c r="CL4403">
        <v>0</v>
      </c>
      <c r="CM4403">
        <v>2</v>
      </c>
      <c r="CN4403">
        <v>0</v>
      </c>
      <c r="CO4403">
        <v>3</v>
      </c>
      <c r="CP4403" t="s">
        <v>119</v>
      </c>
      <c r="CQ4403">
        <v>180</v>
      </c>
      <c r="CR4403">
        <v>3</v>
      </c>
      <c r="CW4403">
        <v>1421948</v>
      </c>
      <c r="CY4403">
        <v>0</v>
      </c>
      <c r="CZ4403">
        <v>0</v>
      </c>
      <c r="DA4403">
        <v>0</v>
      </c>
      <c r="DB4403">
        <v>0</v>
      </c>
      <c r="DC4403">
        <v>0</v>
      </c>
      <c r="DD4403">
        <v>0</v>
      </c>
      <c r="DE4403">
        <v>0</v>
      </c>
      <c r="DF4403">
        <v>0</v>
      </c>
      <c r="DG4403">
        <v>0</v>
      </c>
      <c r="DH4403">
        <v>0</v>
      </c>
      <c r="DI4403">
        <v>0</v>
      </c>
    </row>
    <row r="4404" spans="1:113" x14ac:dyDescent="0.3">
      <c r="A4404" t="str">
        <f>"02/08/2021 20:38:53.700"</f>
        <v>02/08/2021 20:38:53.700</v>
      </c>
      <c r="C4404" t="str">
        <f t="shared" si="218"/>
        <v>FFDFD7C0</v>
      </c>
      <c r="D4404" t="s">
        <v>124</v>
      </c>
      <c r="E4404">
        <v>11</v>
      </c>
      <c r="F4404">
        <v>1011</v>
      </c>
      <c r="G4404" t="s">
        <v>590</v>
      </c>
      <c r="J4404" t="s">
        <v>125</v>
      </c>
      <c r="K4404">
        <v>0</v>
      </c>
      <c r="L4404">
        <v>3</v>
      </c>
      <c r="M4404">
        <v>0</v>
      </c>
      <c r="N4404">
        <v>2</v>
      </c>
      <c r="O4404">
        <v>1</v>
      </c>
      <c r="P4404">
        <v>0</v>
      </c>
      <c r="Q4404">
        <v>0</v>
      </c>
      <c r="S4404" t="str">
        <f>"20:38:56.055"</f>
        <v>20:38:56.055</v>
      </c>
      <c r="T4404" t="str">
        <f>"20:38:55.655"</f>
        <v>20:38:55.655</v>
      </c>
      <c r="U4404" t="str">
        <f t="shared" si="217"/>
        <v>AB01F4</v>
      </c>
      <c r="V4404">
        <v>0</v>
      </c>
      <c r="W4404">
        <v>0</v>
      </c>
      <c r="X4404">
        <v>2</v>
      </c>
      <c r="Z4404">
        <v>0</v>
      </c>
      <c r="AA4404">
        <v>9</v>
      </c>
      <c r="AB4404">
        <v>3</v>
      </c>
      <c r="AC4404">
        <v>0</v>
      </c>
      <c r="AD4404">
        <v>10</v>
      </c>
      <c r="AE4404">
        <v>0</v>
      </c>
      <c r="AF4404">
        <v>3</v>
      </c>
      <c r="AG4404">
        <v>2</v>
      </c>
      <c r="AH4404">
        <v>0</v>
      </c>
      <c r="AI4404" t="s">
        <v>2447</v>
      </c>
      <c r="AJ4404">
        <v>40.158377000000002</v>
      </c>
      <c r="AK4404" t="s">
        <v>2448</v>
      </c>
      <c r="AL4404">
        <v>-93.202944000000002</v>
      </c>
      <c r="AM4404">
        <v>100</v>
      </c>
      <c r="AN4404">
        <v>1300</v>
      </c>
      <c r="AO4404" t="s">
        <v>118</v>
      </c>
      <c r="AP4404">
        <v>-132</v>
      </c>
      <c r="AQ4404">
        <v>-35</v>
      </c>
      <c r="AR4404">
        <v>64</v>
      </c>
      <c r="AZ4404">
        <v>1200</v>
      </c>
      <c r="BA4404">
        <v>1</v>
      </c>
      <c r="BB4404" t="str">
        <f t="shared" si="219"/>
        <v xml:space="preserve">N8080G  </v>
      </c>
      <c r="BC4404">
        <v>1</v>
      </c>
      <c r="BE4404">
        <v>0</v>
      </c>
      <c r="BF4404">
        <v>0</v>
      </c>
      <c r="BG4404">
        <v>0</v>
      </c>
      <c r="BH4404">
        <v>1350</v>
      </c>
      <c r="BI4404">
        <v>1</v>
      </c>
      <c r="BJ4404">
        <v>1</v>
      </c>
      <c r="BK4404">
        <v>1</v>
      </c>
      <c r="BL4404">
        <v>0</v>
      </c>
      <c r="BO4404">
        <v>0</v>
      </c>
      <c r="BP4404">
        <v>0</v>
      </c>
      <c r="BW4404" t="str">
        <f>"20:38:56.059"</f>
        <v>20:38:56.059</v>
      </c>
      <c r="BZ4404">
        <v>0</v>
      </c>
      <c r="CA4404">
        <v>1600</v>
      </c>
      <c r="CB4404">
        <v>224</v>
      </c>
      <c r="CD4404">
        <v>1</v>
      </c>
      <c r="CE4404">
        <v>0</v>
      </c>
      <c r="CF4404">
        <v>0</v>
      </c>
      <c r="CG4404">
        <v>1</v>
      </c>
      <c r="CH4404">
        <v>0</v>
      </c>
      <c r="CI4404">
        <v>0</v>
      </c>
      <c r="CJ4404">
        <v>0</v>
      </c>
      <c r="CK4404">
        <v>2</v>
      </c>
      <c r="CL4404">
        <v>0</v>
      </c>
      <c r="CM4404">
        <v>2</v>
      </c>
      <c r="CN4404">
        <v>0</v>
      </c>
      <c r="CO4404">
        <v>3</v>
      </c>
      <c r="CP4404" t="s">
        <v>119</v>
      </c>
      <c r="CQ4404">
        <v>180</v>
      </c>
      <c r="CR4404">
        <v>3</v>
      </c>
      <c r="CW4404">
        <v>1421948</v>
      </c>
      <c r="CY4404">
        <v>0</v>
      </c>
      <c r="CZ4404">
        <v>0</v>
      </c>
      <c r="DA4404">
        <v>1</v>
      </c>
      <c r="DB4404">
        <v>0</v>
      </c>
      <c r="DC4404">
        <v>0</v>
      </c>
      <c r="DD4404">
        <v>0</v>
      </c>
      <c r="DE4404">
        <v>0</v>
      </c>
      <c r="DF4404">
        <v>0</v>
      </c>
      <c r="DG4404">
        <v>0</v>
      </c>
      <c r="DH4404">
        <v>0</v>
      </c>
      <c r="DI4404">
        <v>0</v>
      </c>
    </row>
    <row r="4405" spans="1:113" x14ac:dyDescent="0.3">
      <c r="A4405" t="str">
        <f>"02/08/2021 20:38:53.700"</f>
        <v>02/08/2021 20:38:53.700</v>
      </c>
      <c r="C4405" t="str">
        <f t="shared" si="218"/>
        <v>FFDFD7C0</v>
      </c>
      <c r="D4405" t="s">
        <v>124</v>
      </c>
      <c r="E4405">
        <v>13</v>
      </c>
      <c r="F4405">
        <v>1013</v>
      </c>
      <c r="G4405" t="s">
        <v>114</v>
      </c>
      <c r="J4405" t="s">
        <v>125</v>
      </c>
      <c r="K4405">
        <v>0</v>
      </c>
      <c r="L4405">
        <v>3</v>
      </c>
      <c r="M4405">
        <v>0</v>
      </c>
      <c r="N4405">
        <v>2</v>
      </c>
      <c r="O4405">
        <v>1</v>
      </c>
      <c r="P4405">
        <v>0</v>
      </c>
      <c r="Q4405">
        <v>0</v>
      </c>
      <c r="S4405" t="str">
        <f>"20:38:56.055"</f>
        <v>20:38:56.055</v>
      </c>
      <c r="T4405" t="str">
        <f>"20:38:55.655"</f>
        <v>20:38:55.655</v>
      </c>
      <c r="U4405" t="str">
        <f t="shared" si="217"/>
        <v>AB01F4</v>
      </c>
      <c r="V4405">
        <v>0</v>
      </c>
      <c r="W4405">
        <v>0</v>
      </c>
      <c r="X4405">
        <v>2</v>
      </c>
      <c r="Z4405">
        <v>0</v>
      </c>
      <c r="AA4405">
        <v>9</v>
      </c>
      <c r="AB4405">
        <v>3</v>
      </c>
      <c r="AC4405">
        <v>0</v>
      </c>
      <c r="AD4405">
        <v>10</v>
      </c>
      <c r="AE4405">
        <v>0</v>
      </c>
      <c r="AF4405">
        <v>3</v>
      </c>
      <c r="AG4405">
        <v>2</v>
      </c>
      <c r="AH4405">
        <v>0</v>
      </c>
      <c r="AI4405" t="s">
        <v>2447</v>
      </c>
      <c r="AJ4405">
        <v>40.158377000000002</v>
      </c>
      <c r="AK4405" t="s">
        <v>2448</v>
      </c>
      <c r="AL4405">
        <v>-93.202944000000002</v>
      </c>
      <c r="AM4405">
        <v>100</v>
      </c>
      <c r="AN4405">
        <v>1300</v>
      </c>
      <c r="AO4405" t="s">
        <v>118</v>
      </c>
      <c r="AP4405">
        <v>-132</v>
      </c>
      <c r="AQ4405">
        <v>-35</v>
      </c>
      <c r="AR4405">
        <v>64</v>
      </c>
      <c r="AZ4405">
        <v>1200</v>
      </c>
      <c r="BA4405">
        <v>1</v>
      </c>
      <c r="BB4405" t="str">
        <f t="shared" si="219"/>
        <v xml:space="preserve">N8080G  </v>
      </c>
      <c r="BC4405">
        <v>1</v>
      </c>
      <c r="BE4405">
        <v>0</v>
      </c>
      <c r="BF4405">
        <v>0</v>
      </c>
      <c r="BG4405">
        <v>0</v>
      </c>
      <c r="BH4405">
        <v>1350</v>
      </c>
      <c r="BI4405">
        <v>1</v>
      </c>
      <c r="BJ4405">
        <v>1</v>
      </c>
      <c r="BK4405">
        <v>1</v>
      </c>
      <c r="BL4405">
        <v>0</v>
      </c>
      <c r="BO4405">
        <v>0</v>
      </c>
      <c r="BP4405">
        <v>0</v>
      </c>
      <c r="BW4405" t="str">
        <f>"20:38:56.059"</f>
        <v>20:38:56.059</v>
      </c>
      <c r="BZ4405">
        <v>0</v>
      </c>
      <c r="CA4405">
        <v>1600</v>
      </c>
      <c r="CB4405">
        <v>224</v>
      </c>
      <c r="CD4405">
        <v>1</v>
      </c>
      <c r="CE4405">
        <v>0</v>
      </c>
      <c r="CF4405">
        <v>0</v>
      </c>
      <c r="CG4405">
        <v>1</v>
      </c>
      <c r="CH4405">
        <v>0</v>
      </c>
      <c r="CI4405">
        <v>0</v>
      </c>
      <c r="CJ4405">
        <v>0</v>
      </c>
      <c r="CK4405">
        <v>2</v>
      </c>
      <c r="CL4405">
        <v>0</v>
      </c>
      <c r="CM4405">
        <v>2</v>
      </c>
      <c r="CN4405">
        <v>0</v>
      </c>
      <c r="CO4405">
        <v>3</v>
      </c>
      <c r="CP4405" t="s">
        <v>119</v>
      </c>
      <c r="CQ4405">
        <v>180</v>
      </c>
      <c r="CR4405">
        <v>3</v>
      </c>
      <c r="CW4405">
        <v>1421948</v>
      </c>
      <c r="CY4405">
        <v>0</v>
      </c>
      <c r="CZ4405">
        <v>0</v>
      </c>
      <c r="DA4405">
        <v>1</v>
      </c>
      <c r="DB4405">
        <v>0</v>
      </c>
      <c r="DC4405">
        <v>0</v>
      </c>
      <c r="DD4405">
        <v>0</v>
      </c>
      <c r="DE4405">
        <v>0</v>
      </c>
      <c r="DF4405">
        <v>0</v>
      </c>
      <c r="DG4405">
        <v>0</v>
      </c>
      <c r="DH4405">
        <v>0</v>
      </c>
      <c r="DI4405">
        <v>0</v>
      </c>
    </row>
    <row r="4406" spans="1:113" x14ac:dyDescent="0.3">
      <c r="A4406" t="str">
        <f>"02/08/2021 20:38:53.700"</f>
        <v>02/08/2021 20:38:53.700</v>
      </c>
      <c r="C4406" t="str">
        <f t="shared" si="218"/>
        <v>FFDFD7C0</v>
      </c>
      <c r="D4406" t="s">
        <v>113</v>
      </c>
      <c r="E4406">
        <v>6</v>
      </c>
      <c r="H4406">
        <v>165</v>
      </c>
      <c r="I4406" t="s">
        <v>114</v>
      </c>
      <c r="J4406" t="s">
        <v>115</v>
      </c>
      <c r="K4406">
        <v>0</v>
      </c>
      <c r="L4406">
        <v>3</v>
      </c>
      <c r="M4406">
        <v>0</v>
      </c>
      <c r="N4406">
        <v>2</v>
      </c>
      <c r="O4406">
        <v>1</v>
      </c>
      <c r="P4406">
        <v>0</v>
      </c>
      <c r="Q4406">
        <v>0</v>
      </c>
      <c r="S4406" t="str">
        <f>"20:38:56.055"</f>
        <v>20:38:56.055</v>
      </c>
      <c r="T4406" t="str">
        <f>"20:38:55.655"</f>
        <v>20:38:55.655</v>
      </c>
      <c r="U4406" t="str">
        <f t="shared" si="217"/>
        <v>AB01F4</v>
      </c>
      <c r="V4406">
        <v>0</v>
      </c>
      <c r="W4406">
        <v>0</v>
      </c>
      <c r="X4406">
        <v>2</v>
      </c>
      <c r="Z4406">
        <v>0</v>
      </c>
      <c r="AA4406">
        <v>9</v>
      </c>
      <c r="AB4406">
        <v>3</v>
      </c>
      <c r="AC4406">
        <v>0</v>
      </c>
      <c r="AD4406">
        <v>10</v>
      </c>
      <c r="AE4406">
        <v>0</v>
      </c>
      <c r="AF4406">
        <v>3</v>
      </c>
      <c r="AG4406">
        <v>2</v>
      </c>
      <c r="AH4406">
        <v>0</v>
      </c>
      <c r="AI4406" t="s">
        <v>2447</v>
      </c>
      <c r="AJ4406">
        <v>40.158377000000002</v>
      </c>
      <c r="AK4406" t="s">
        <v>2448</v>
      </c>
      <c r="AL4406">
        <v>-93.202944000000002</v>
      </c>
      <c r="AM4406">
        <v>100</v>
      </c>
      <c r="AN4406">
        <v>1300</v>
      </c>
      <c r="AO4406" t="s">
        <v>118</v>
      </c>
      <c r="AP4406">
        <v>-132</v>
      </c>
      <c r="AQ4406">
        <v>-35</v>
      </c>
      <c r="AR4406">
        <v>64</v>
      </c>
      <c r="AZ4406">
        <v>1200</v>
      </c>
      <c r="BA4406">
        <v>1</v>
      </c>
      <c r="BB4406" t="str">
        <f t="shared" si="219"/>
        <v xml:space="preserve">N8080G  </v>
      </c>
      <c r="BC4406">
        <v>1</v>
      </c>
      <c r="BE4406">
        <v>0</v>
      </c>
      <c r="BF4406">
        <v>0</v>
      </c>
      <c r="BG4406">
        <v>0</v>
      </c>
      <c r="BH4406">
        <v>1350</v>
      </c>
      <c r="BI4406">
        <v>1</v>
      </c>
      <c r="BJ4406">
        <v>1</v>
      </c>
      <c r="BK4406">
        <v>1</v>
      </c>
      <c r="BL4406">
        <v>0</v>
      </c>
      <c r="BO4406">
        <v>0</v>
      </c>
      <c r="BP4406">
        <v>0</v>
      </c>
      <c r="BW4406" t="str">
        <f>"20:38:56.059"</f>
        <v>20:38:56.059</v>
      </c>
      <c r="BZ4406">
        <v>0</v>
      </c>
      <c r="CA4406">
        <v>1600</v>
      </c>
      <c r="CB4406">
        <v>224</v>
      </c>
      <c r="CD4406">
        <v>1</v>
      </c>
      <c r="CE4406">
        <v>0</v>
      </c>
      <c r="CF4406">
        <v>0</v>
      </c>
      <c r="CG4406">
        <v>1</v>
      </c>
      <c r="CH4406">
        <v>0</v>
      </c>
      <c r="CI4406">
        <v>0</v>
      </c>
      <c r="CJ4406">
        <v>0</v>
      </c>
      <c r="CK4406">
        <v>2</v>
      </c>
      <c r="CL4406">
        <v>0</v>
      </c>
      <c r="CM4406">
        <v>2</v>
      </c>
      <c r="CN4406">
        <v>0</v>
      </c>
      <c r="CO4406">
        <v>3</v>
      </c>
      <c r="CP4406" t="s">
        <v>119</v>
      </c>
      <c r="CQ4406">
        <v>180</v>
      </c>
      <c r="CR4406">
        <v>3</v>
      </c>
      <c r="CW4406">
        <v>1421948</v>
      </c>
      <c r="CY4406">
        <v>0</v>
      </c>
      <c r="CZ4406">
        <v>0</v>
      </c>
      <c r="DA4406">
        <v>1</v>
      </c>
      <c r="DB4406">
        <v>0</v>
      </c>
      <c r="DC4406">
        <v>0</v>
      </c>
      <c r="DD4406">
        <v>0</v>
      </c>
      <c r="DE4406">
        <v>0</v>
      </c>
      <c r="DF4406">
        <v>0</v>
      </c>
      <c r="DG4406">
        <v>0</v>
      </c>
      <c r="DH4406">
        <v>0</v>
      </c>
      <c r="DI4406">
        <v>0</v>
      </c>
    </row>
    <row r="4407" spans="1:113" x14ac:dyDescent="0.3">
      <c r="A4407" t="str">
        <f>"02/08/2021 20:38:54.748"</f>
        <v>02/08/2021 20:38:54.748</v>
      </c>
      <c r="C4407" t="str">
        <f t="shared" si="218"/>
        <v>FFDFD7C0</v>
      </c>
      <c r="D4407" t="s">
        <v>113</v>
      </c>
      <c r="E4407">
        <v>6</v>
      </c>
      <c r="H4407">
        <v>165</v>
      </c>
      <c r="I4407" t="s">
        <v>114</v>
      </c>
      <c r="J4407" t="s">
        <v>115</v>
      </c>
      <c r="K4407">
        <v>0</v>
      </c>
      <c r="L4407">
        <v>3</v>
      </c>
      <c r="M4407">
        <v>0</v>
      </c>
      <c r="N4407">
        <v>2</v>
      </c>
      <c r="O4407">
        <v>1</v>
      </c>
      <c r="P4407">
        <v>0</v>
      </c>
      <c r="Q4407">
        <v>0</v>
      </c>
      <c r="S4407" t="str">
        <f>"20:38:57.047"</f>
        <v>20:38:57.047</v>
      </c>
      <c r="T4407" t="str">
        <f>"20:38:56.547"</f>
        <v>20:38:56.547</v>
      </c>
      <c r="U4407" t="str">
        <f t="shared" si="217"/>
        <v>AB01F4</v>
      </c>
      <c r="V4407">
        <v>0</v>
      </c>
      <c r="W4407">
        <v>0</v>
      </c>
      <c r="X4407">
        <v>2</v>
      </c>
      <c r="Z4407">
        <v>0</v>
      </c>
      <c r="AA4407">
        <v>9</v>
      </c>
      <c r="AB4407">
        <v>3</v>
      </c>
      <c r="AC4407">
        <v>0</v>
      </c>
      <c r="AD4407">
        <v>10</v>
      </c>
      <c r="AE4407">
        <v>0</v>
      </c>
      <c r="AF4407">
        <v>3</v>
      </c>
      <c r="AG4407">
        <v>2</v>
      </c>
      <c r="AH4407">
        <v>0</v>
      </c>
      <c r="AI4407" t="s">
        <v>2449</v>
      </c>
      <c r="AJ4407">
        <v>40.158248</v>
      </c>
      <c r="AK4407" t="s">
        <v>2450</v>
      </c>
      <c r="AL4407">
        <v>-93.203759000000005</v>
      </c>
      <c r="AM4407">
        <v>100</v>
      </c>
      <c r="AN4407">
        <v>1300</v>
      </c>
      <c r="AO4407" t="s">
        <v>118</v>
      </c>
      <c r="AP4407">
        <v>-132</v>
      </c>
      <c r="AQ4407">
        <v>-36</v>
      </c>
      <c r="AR4407">
        <v>64</v>
      </c>
      <c r="AZ4407">
        <v>1200</v>
      </c>
      <c r="BA4407">
        <v>1</v>
      </c>
      <c r="BB4407" t="str">
        <f t="shared" si="219"/>
        <v xml:space="preserve">N8080G  </v>
      </c>
      <c r="BC4407">
        <v>1</v>
      </c>
      <c r="BE4407">
        <v>0</v>
      </c>
      <c r="BF4407">
        <v>0</v>
      </c>
      <c r="BG4407">
        <v>0</v>
      </c>
      <c r="BH4407">
        <v>1350</v>
      </c>
      <c r="BI4407">
        <v>1</v>
      </c>
      <c r="BJ4407">
        <v>1</v>
      </c>
      <c r="BK4407">
        <v>1</v>
      </c>
      <c r="BL4407">
        <v>0</v>
      </c>
      <c r="BO4407">
        <v>0</v>
      </c>
      <c r="BP4407">
        <v>0</v>
      </c>
      <c r="BW4407" t="str">
        <f>"20:38:57.053"</f>
        <v>20:38:57.053</v>
      </c>
      <c r="BZ4407">
        <v>0</v>
      </c>
      <c r="CA4407">
        <v>1600</v>
      </c>
      <c r="CB4407">
        <v>224</v>
      </c>
      <c r="CD4407">
        <v>1</v>
      </c>
      <c r="CE4407">
        <v>0</v>
      </c>
      <c r="CF4407">
        <v>0</v>
      </c>
      <c r="CG4407">
        <v>1</v>
      </c>
      <c r="CH4407">
        <v>0</v>
      </c>
      <c r="CI4407">
        <v>0</v>
      </c>
      <c r="CJ4407">
        <v>0</v>
      </c>
      <c r="CK4407">
        <v>2</v>
      </c>
      <c r="CL4407">
        <v>0</v>
      </c>
      <c r="CM4407">
        <v>2</v>
      </c>
      <c r="CN4407">
        <v>0</v>
      </c>
      <c r="CO4407">
        <v>3</v>
      </c>
      <c r="CP4407" t="s">
        <v>119</v>
      </c>
      <c r="CQ4407">
        <v>180</v>
      </c>
      <c r="CR4407">
        <v>3</v>
      </c>
      <c r="CW4407">
        <v>1422771</v>
      </c>
      <c r="CY4407">
        <v>0</v>
      </c>
      <c r="CZ4407">
        <v>0</v>
      </c>
      <c r="DA4407">
        <v>0</v>
      </c>
      <c r="DB4407">
        <v>0</v>
      </c>
      <c r="DC4407">
        <v>0</v>
      </c>
      <c r="DD4407">
        <v>0</v>
      </c>
      <c r="DE4407">
        <v>0</v>
      </c>
      <c r="DF4407">
        <v>0</v>
      </c>
      <c r="DG4407">
        <v>0</v>
      </c>
      <c r="DH4407">
        <v>0</v>
      </c>
      <c r="DI4407">
        <v>0</v>
      </c>
    </row>
    <row r="4408" spans="1:113" x14ac:dyDescent="0.3">
      <c r="A4408" t="str">
        <f>"02/08/2021 20:38:54.748"</f>
        <v>02/08/2021 20:38:54.748</v>
      </c>
      <c r="C4408" t="str">
        <f t="shared" si="218"/>
        <v>FFDFD7C0</v>
      </c>
      <c r="D4408" t="s">
        <v>124</v>
      </c>
      <c r="E4408">
        <v>12</v>
      </c>
      <c r="F4408">
        <v>1012</v>
      </c>
      <c r="G4408" t="s">
        <v>675</v>
      </c>
      <c r="J4408" t="s">
        <v>125</v>
      </c>
      <c r="K4408">
        <v>0</v>
      </c>
      <c r="L4408">
        <v>3</v>
      </c>
      <c r="M4408">
        <v>0</v>
      </c>
      <c r="N4408">
        <v>2</v>
      </c>
      <c r="O4408">
        <v>1</v>
      </c>
      <c r="P4408">
        <v>0</v>
      </c>
      <c r="Q4408">
        <v>0</v>
      </c>
      <c r="S4408" t="str">
        <f>"20:38:57.047"</f>
        <v>20:38:57.047</v>
      </c>
      <c r="T4408" t="str">
        <f>"20:38:56.547"</f>
        <v>20:38:56.547</v>
      </c>
      <c r="U4408" t="str">
        <f t="shared" si="217"/>
        <v>AB01F4</v>
      </c>
      <c r="V4408">
        <v>0</v>
      </c>
      <c r="W4408">
        <v>0</v>
      </c>
      <c r="X4408">
        <v>2</v>
      </c>
      <c r="Z4408">
        <v>0</v>
      </c>
      <c r="AA4408">
        <v>9</v>
      </c>
      <c r="AB4408">
        <v>3</v>
      </c>
      <c r="AC4408">
        <v>0</v>
      </c>
      <c r="AD4408">
        <v>10</v>
      </c>
      <c r="AE4408">
        <v>0</v>
      </c>
      <c r="AF4408">
        <v>3</v>
      </c>
      <c r="AG4408">
        <v>2</v>
      </c>
      <c r="AH4408">
        <v>0</v>
      </c>
      <c r="AI4408" t="s">
        <v>2449</v>
      </c>
      <c r="AJ4408">
        <v>40.158248</v>
      </c>
      <c r="AK4408" t="s">
        <v>2450</v>
      </c>
      <c r="AL4408">
        <v>-93.203759000000005</v>
      </c>
      <c r="AM4408">
        <v>100</v>
      </c>
      <c r="AN4408">
        <v>1300</v>
      </c>
      <c r="AO4408" t="s">
        <v>118</v>
      </c>
      <c r="AP4408">
        <v>-132</v>
      </c>
      <c r="AQ4408">
        <v>-36</v>
      </c>
      <c r="AR4408">
        <v>64</v>
      </c>
      <c r="AZ4408">
        <v>1200</v>
      </c>
      <c r="BA4408">
        <v>1</v>
      </c>
      <c r="BB4408" t="str">
        <f t="shared" si="219"/>
        <v xml:space="preserve">N8080G  </v>
      </c>
      <c r="BC4408">
        <v>1</v>
      </c>
      <c r="BE4408">
        <v>0</v>
      </c>
      <c r="BF4408">
        <v>0</v>
      </c>
      <c r="BG4408">
        <v>0</v>
      </c>
      <c r="BH4408">
        <v>1350</v>
      </c>
      <c r="BI4408">
        <v>1</v>
      </c>
      <c r="BJ4408">
        <v>1</v>
      </c>
      <c r="BK4408">
        <v>1</v>
      </c>
      <c r="BL4408">
        <v>0</v>
      </c>
      <c r="BO4408">
        <v>0</v>
      </c>
      <c r="BP4408">
        <v>0</v>
      </c>
      <c r="BW4408" t="str">
        <f>"20:38:57.053"</f>
        <v>20:38:57.053</v>
      </c>
      <c r="BZ4408">
        <v>0</v>
      </c>
      <c r="CA4408">
        <v>1600</v>
      </c>
      <c r="CB4408">
        <v>224</v>
      </c>
      <c r="CD4408">
        <v>1</v>
      </c>
      <c r="CE4408">
        <v>0</v>
      </c>
      <c r="CF4408">
        <v>0</v>
      </c>
      <c r="CG4408">
        <v>1</v>
      </c>
      <c r="CH4408">
        <v>0</v>
      </c>
      <c r="CI4408">
        <v>0</v>
      </c>
      <c r="CJ4408">
        <v>0</v>
      </c>
      <c r="CK4408">
        <v>2</v>
      </c>
      <c r="CL4408">
        <v>0</v>
      </c>
      <c r="CM4408">
        <v>2</v>
      </c>
      <c r="CN4408">
        <v>0</v>
      </c>
      <c r="CO4408">
        <v>3</v>
      </c>
      <c r="CP4408" t="s">
        <v>119</v>
      </c>
      <c r="CQ4408">
        <v>180</v>
      </c>
      <c r="CR4408">
        <v>3</v>
      </c>
      <c r="CW4408">
        <v>1422771</v>
      </c>
      <c r="CY4408">
        <v>0</v>
      </c>
      <c r="CZ4408">
        <v>0</v>
      </c>
      <c r="DA4408">
        <v>1</v>
      </c>
      <c r="DB4408">
        <v>0</v>
      </c>
      <c r="DC4408">
        <v>0</v>
      </c>
      <c r="DD4408">
        <v>0</v>
      </c>
      <c r="DE4408">
        <v>0</v>
      </c>
      <c r="DF4408">
        <v>0</v>
      </c>
      <c r="DG4408">
        <v>0</v>
      </c>
      <c r="DH4408">
        <v>0</v>
      </c>
      <c r="DI4408">
        <v>0</v>
      </c>
    </row>
    <row r="4409" spans="1:113" x14ac:dyDescent="0.3">
      <c r="A4409" t="str">
        <f>"02/08/2021 20:38:54.748"</f>
        <v>02/08/2021 20:38:54.748</v>
      </c>
      <c r="C4409" t="str">
        <f t="shared" si="218"/>
        <v>FFDFD7C0</v>
      </c>
      <c r="D4409" t="s">
        <v>124</v>
      </c>
      <c r="E4409">
        <v>11</v>
      </c>
      <c r="F4409">
        <v>1011</v>
      </c>
      <c r="G4409" t="s">
        <v>590</v>
      </c>
      <c r="J4409" t="s">
        <v>125</v>
      </c>
      <c r="K4409">
        <v>0</v>
      </c>
      <c r="L4409">
        <v>3</v>
      </c>
      <c r="M4409">
        <v>0</v>
      </c>
      <c r="N4409">
        <v>2</v>
      </c>
      <c r="O4409">
        <v>1</v>
      </c>
      <c r="P4409">
        <v>0</v>
      </c>
      <c r="Q4409">
        <v>0</v>
      </c>
      <c r="S4409" t="str">
        <f>"20:38:57.047"</f>
        <v>20:38:57.047</v>
      </c>
      <c r="T4409" t="str">
        <f>"20:38:56.547"</f>
        <v>20:38:56.547</v>
      </c>
      <c r="U4409" t="str">
        <f t="shared" si="217"/>
        <v>AB01F4</v>
      </c>
      <c r="V4409">
        <v>0</v>
      </c>
      <c r="W4409">
        <v>0</v>
      </c>
      <c r="X4409">
        <v>2</v>
      </c>
      <c r="Z4409">
        <v>0</v>
      </c>
      <c r="AA4409">
        <v>9</v>
      </c>
      <c r="AB4409">
        <v>3</v>
      </c>
      <c r="AC4409">
        <v>0</v>
      </c>
      <c r="AD4409">
        <v>10</v>
      </c>
      <c r="AE4409">
        <v>0</v>
      </c>
      <c r="AF4409">
        <v>3</v>
      </c>
      <c r="AG4409">
        <v>2</v>
      </c>
      <c r="AH4409">
        <v>0</v>
      </c>
      <c r="AI4409" t="s">
        <v>2449</v>
      </c>
      <c r="AJ4409">
        <v>40.158248</v>
      </c>
      <c r="AK4409" t="s">
        <v>2450</v>
      </c>
      <c r="AL4409">
        <v>-93.203759000000005</v>
      </c>
      <c r="AM4409">
        <v>100</v>
      </c>
      <c r="AN4409">
        <v>1300</v>
      </c>
      <c r="AO4409" t="s">
        <v>118</v>
      </c>
      <c r="AP4409">
        <v>-132</v>
      </c>
      <c r="AQ4409">
        <v>-36</v>
      </c>
      <c r="AR4409">
        <v>64</v>
      </c>
      <c r="AZ4409">
        <v>1200</v>
      </c>
      <c r="BA4409">
        <v>1</v>
      </c>
      <c r="BB4409" t="str">
        <f t="shared" si="219"/>
        <v xml:space="preserve">N8080G  </v>
      </c>
      <c r="BC4409">
        <v>1</v>
      </c>
      <c r="BE4409">
        <v>0</v>
      </c>
      <c r="BF4409">
        <v>0</v>
      </c>
      <c r="BG4409">
        <v>0</v>
      </c>
      <c r="BH4409">
        <v>1350</v>
      </c>
      <c r="BI4409">
        <v>1</v>
      </c>
      <c r="BJ4409">
        <v>1</v>
      </c>
      <c r="BK4409">
        <v>1</v>
      </c>
      <c r="BL4409">
        <v>0</v>
      </c>
      <c r="BO4409">
        <v>0</v>
      </c>
      <c r="BP4409">
        <v>0</v>
      </c>
      <c r="BW4409" t="str">
        <f>"20:38:57.053"</f>
        <v>20:38:57.053</v>
      </c>
      <c r="BZ4409">
        <v>0</v>
      </c>
      <c r="CA4409">
        <v>1600</v>
      </c>
      <c r="CB4409">
        <v>224</v>
      </c>
      <c r="CD4409">
        <v>1</v>
      </c>
      <c r="CE4409">
        <v>0</v>
      </c>
      <c r="CF4409">
        <v>0</v>
      </c>
      <c r="CG4409">
        <v>1</v>
      </c>
      <c r="CH4409">
        <v>0</v>
      </c>
      <c r="CI4409">
        <v>0</v>
      </c>
      <c r="CJ4409">
        <v>0</v>
      </c>
      <c r="CK4409">
        <v>2</v>
      </c>
      <c r="CL4409">
        <v>0</v>
      </c>
      <c r="CM4409">
        <v>2</v>
      </c>
      <c r="CN4409">
        <v>0</v>
      </c>
      <c r="CO4409">
        <v>3</v>
      </c>
      <c r="CP4409" t="s">
        <v>119</v>
      </c>
      <c r="CQ4409">
        <v>180</v>
      </c>
      <c r="CR4409">
        <v>3</v>
      </c>
      <c r="CW4409">
        <v>1422771</v>
      </c>
      <c r="CY4409">
        <v>0</v>
      </c>
      <c r="CZ4409">
        <v>0</v>
      </c>
      <c r="DA4409">
        <v>1</v>
      </c>
      <c r="DB4409">
        <v>0</v>
      </c>
      <c r="DC4409">
        <v>0</v>
      </c>
      <c r="DD4409">
        <v>0</v>
      </c>
      <c r="DE4409">
        <v>0</v>
      </c>
      <c r="DF4409">
        <v>0</v>
      </c>
      <c r="DG4409">
        <v>0</v>
      </c>
      <c r="DH4409">
        <v>0</v>
      </c>
      <c r="DI4409">
        <v>0</v>
      </c>
    </row>
    <row r="4410" spans="1:113" x14ac:dyDescent="0.3">
      <c r="A4410" t="str">
        <f>"02/08/2021 20:38:54.748"</f>
        <v>02/08/2021 20:38:54.748</v>
      </c>
      <c r="C4410" t="str">
        <f t="shared" si="218"/>
        <v>FFDFD7C0</v>
      </c>
      <c r="D4410" t="s">
        <v>124</v>
      </c>
      <c r="E4410">
        <v>13</v>
      </c>
      <c r="F4410">
        <v>1013</v>
      </c>
      <c r="G4410" t="s">
        <v>114</v>
      </c>
      <c r="J4410" t="s">
        <v>125</v>
      </c>
      <c r="K4410">
        <v>0</v>
      </c>
      <c r="L4410">
        <v>3</v>
      </c>
      <c r="M4410">
        <v>0</v>
      </c>
      <c r="N4410">
        <v>2</v>
      </c>
      <c r="O4410">
        <v>1</v>
      </c>
      <c r="P4410">
        <v>0</v>
      </c>
      <c r="Q4410">
        <v>0</v>
      </c>
      <c r="S4410" t="str">
        <f>"20:38:57.047"</f>
        <v>20:38:57.047</v>
      </c>
      <c r="T4410" t="str">
        <f>"20:38:56.547"</f>
        <v>20:38:56.547</v>
      </c>
      <c r="U4410" t="str">
        <f t="shared" si="217"/>
        <v>AB01F4</v>
      </c>
      <c r="V4410">
        <v>0</v>
      </c>
      <c r="W4410">
        <v>0</v>
      </c>
      <c r="X4410">
        <v>2</v>
      </c>
      <c r="Z4410">
        <v>0</v>
      </c>
      <c r="AA4410">
        <v>9</v>
      </c>
      <c r="AB4410">
        <v>3</v>
      </c>
      <c r="AC4410">
        <v>0</v>
      </c>
      <c r="AD4410">
        <v>10</v>
      </c>
      <c r="AE4410">
        <v>0</v>
      </c>
      <c r="AF4410">
        <v>3</v>
      </c>
      <c r="AG4410">
        <v>2</v>
      </c>
      <c r="AH4410">
        <v>0</v>
      </c>
      <c r="AI4410" t="s">
        <v>2449</v>
      </c>
      <c r="AJ4410">
        <v>40.158248</v>
      </c>
      <c r="AK4410" t="s">
        <v>2450</v>
      </c>
      <c r="AL4410">
        <v>-93.203759000000005</v>
      </c>
      <c r="AM4410">
        <v>100</v>
      </c>
      <c r="AN4410">
        <v>1300</v>
      </c>
      <c r="AO4410" t="s">
        <v>118</v>
      </c>
      <c r="AP4410">
        <v>-132</v>
      </c>
      <c r="AQ4410">
        <v>-36</v>
      </c>
      <c r="AR4410">
        <v>64</v>
      </c>
      <c r="AZ4410">
        <v>1200</v>
      </c>
      <c r="BA4410">
        <v>1</v>
      </c>
      <c r="BB4410" t="str">
        <f t="shared" si="219"/>
        <v xml:space="preserve">N8080G  </v>
      </c>
      <c r="BC4410">
        <v>1</v>
      </c>
      <c r="BE4410">
        <v>0</v>
      </c>
      <c r="BF4410">
        <v>0</v>
      </c>
      <c r="BG4410">
        <v>0</v>
      </c>
      <c r="BH4410">
        <v>1350</v>
      </c>
      <c r="BI4410">
        <v>1</v>
      </c>
      <c r="BJ4410">
        <v>1</v>
      </c>
      <c r="BK4410">
        <v>1</v>
      </c>
      <c r="BL4410">
        <v>0</v>
      </c>
      <c r="BO4410">
        <v>0</v>
      </c>
      <c r="BP4410">
        <v>0</v>
      </c>
      <c r="BW4410" t="str">
        <f>"20:38:57.053"</f>
        <v>20:38:57.053</v>
      </c>
      <c r="BZ4410">
        <v>0</v>
      </c>
      <c r="CA4410">
        <v>1600</v>
      </c>
      <c r="CB4410">
        <v>224</v>
      </c>
      <c r="CD4410">
        <v>1</v>
      </c>
      <c r="CE4410">
        <v>0</v>
      </c>
      <c r="CF4410">
        <v>0</v>
      </c>
      <c r="CG4410">
        <v>1</v>
      </c>
      <c r="CH4410">
        <v>0</v>
      </c>
      <c r="CI4410">
        <v>0</v>
      </c>
      <c r="CJ4410">
        <v>0</v>
      </c>
      <c r="CK4410">
        <v>2</v>
      </c>
      <c r="CL4410">
        <v>0</v>
      </c>
      <c r="CM4410">
        <v>2</v>
      </c>
      <c r="CN4410">
        <v>0</v>
      </c>
      <c r="CO4410">
        <v>3</v>
      </c>
      <c r="CP4410" t="s">
        <v>119</v>
      </c>
      <c r="CQ4410">
        <v>180</v>
      </c>
      <c r="CR4410">
        <v>3</v>
      </c>
      <c r="CW4410">
        <v>1422771</v>
      </c>
      <c r="CY4410">
        <v>0</v>
      </c>
      <c r="CZ4410">
        <v>0</v>
      </c>
      <c r="DA4410">
        <v>1</v>
      </c>
      <c r="DB4410">
        <v>0</v>
      </c>
      <c r="DC4410">
        <v>0</v>
      </c>
      <c r="DD4410">
        <v>0</v>
      </c>
      <c r="DE4410">
        <v>0</v>
      </c>
      <c r="DF4410">
        <v>0</v>
      </c>
      <c r="DG4410">
        <v>0</v>
      </c>
      <c r="DH4410">
        <v>0</v>
      </c>
      <c r="DI4410">
        <v>0</v>
      </c>
    </row>
    <row r="4411" spans="1:113" x14ac:dyDescent="0.3">
      <c r="A4411" t="str">
        <f>"02/08/2021 20:38:56.193"</f>
        <v>02/08/2021 20:38:56.193</v>
      </c>
      <c r="C4411" t="str">
        <f t="shared" si="218"/>
        <v>FFDFD7C0</v>
      </c>
      <c r="D4411" t="s">
        <v>124</v>
      </c>
      <c r="E4411">
        <v>13</v>
      </c>
      <c r="F4411">
        <v>1013</v>
      </c>
      <c r="G4411" t="s">
        <v>114</v>
      </c>
      <c r="J4411" t="s">
        <v>125</v>
      </c>
      <c r="K4411">
        <v>0</v>
      </c>
      <c r="L4411">
        <v>3</v>
      </c>
      <c r="M4411">
        <v>0</v>
      </c>
      <c r="N4411">
        <v>2</v>
      </c>
      <c r="O4411">
        <v>1</v>
      </c>
      <c r="P4411">
        <v>0</v>
      </c>
      <c r="Q4411">
        <v>0</v>
      </c>
      <c r="S4411" t="str">
        <f>"20:38:58.531"</f>
        <v>20:38:58.531</v>
      </c>
      <c r="T4411" t="str">
        <f>"20:38:58.031"</f>
        <v>20:38:58.031</v>
      </c>
      <c r="U4411" t="str">
        <f t="shared" si="217"/>
        <v>AB01F4</v>
      </c>
      <c r="V4411">
        <v>0</v>
      </c>
      <c r="W4411">
        <v>0</v>
      </c>
      <c r="X4411">
        <v>2</v>
      </c>
      <c r="Z4411">
        <v>0</v>
      </c>
      <c r="AA4411">
        <v>9</v>
      </c>
      <c r="AB4411">
        <v>3</v>
      </c>
      <c r="AC4411">
        <v>0</v>
      </c>
      <c r="AD4411">
        <v>10</v>
      </c>
      <c r="AE4411">
        <v>0</v>
      </c>
      <c r="AF4411">
        <v>3</v>
      </c>
      <c r="AG4411">
        <v>2</v>
      </c>
      <c r="AH4411">
        <v>0</v>
      </c>
      <c r="AI4411" t="s">
        <v>2451</v>
      </c>
      <c r="AJ4411">
        <v>40.158011999999999</v>
      </c>
      <c r="AK4411" t="s">
        <v>2452</v>
      </c>
      <c r="AL4411">
        <v>-93.204960999999997</v>
      </c>
      <c r="AM4411">
        <v>100</v>
      </c>
      <c r="AN4411">
        <v>1300</v>
      </c>
      <c r="AO4411" t="s">
        <v>118</v>
      </c>
      <c r="AP4411">
        <v>-132</v>
      </c>
      <c r="AQ4411">
        <v>-36</v>
      </c>
      <c r="AR4411">
        <v>-64</v>
      </c>
      <c r="AZ4411">
        <v>1200</v>
      </c>
      <c r="BA4411">
        <v>1</v>
      </c>
      <c r="BB4411" t="str">
        <f t="shared" si="219"/>
        <v xml:space="preserve">N8080G  </v>
      </c>
      <c r="BC4411">
        <v>1</v>
      </c>
      <c r="BE4411">
        <v>0</v>
      </c>
      <c r="BF4411">
        <v>0</v>
      </c>
      <c r="BG4411">
        <v>0</v>
      </c>
      <c r="BH4411">
        <v>1350</v>
      </c>
      <c r="BI4411">
        <v>1</v>
      </c>
      <c r="BJ4411">
        <v>1</v>
      </c>
      <c r="BK4411">
        <v>1</v>
      </c>
      <c r="BL4411">
        <v>0</v>
      </c>
      <c r="BO4411">
        <v>0</v>
      </c>
      <c r="BP4411">
        <v>0</v>
      </c>
      <c r="BW4411" t="str">
        <f>"20:38:58.535"</f>
        <v>20:38:58.535</v>
      </c>
      <c r="BZ4411">
        <v>0</v>
      </c>
      <c r="CA4411">
        <v>1600</v>
      </c>
      <c r="CB4411">
        <v>224</v>
      </c>
      <c r="CD4411">
        <v>1</v>
      </c>
      <c r="CE4411">
        <v>0</v>
      </c>
      <c r="CF4411">
        <v>0</v>
      </c>
      <c r="CG4411">
        <v>1</v>
      </c>
      <c r="CH4411">
        <v>0</v>
      </c>
      <c r="CI4411">
        <v>0</v>
      </c>
      <c r="CJ4411">
        <v>0</v>
      </c>
      <c r="CK4411">
        <v>2</v>
      </c>
      <c r="CL4411">
        <v>0</v>
      </c>
      <c r="CM4411">
        <v>2</v>
      </c>
      <c r="CN4411">
        <v>0</v>
      </c>
      <c r="CO4411">
        <v>3</v>
      </c>
      <c r="CP4411" t="s">
        <v>119</v>
      </c>
      <c r="CQ4411">
        <v>180</v>
      </c>
      <c r="CR4411">
        <v>3</v>
      </c>
      <c r="CW4411">
        <v>1423869</v>
      </c>
      <c r="CY4411">
        <v>0</v>
      </c>
      <c r="CZ4411">
        <v>0</v>
      </c>
      <c r="DA4411">
        <v>0</v>
      </c>
      <c r="DB4411">
        <v>0</v>
      </c>
      <c r="DC4411">
        <v>0</v>
      </c>
      <c r="DD4411">
        <v>0</v>
      </c>
      <c r="DE4411">
        <v>0</v>
      </c>
      <c r="DF4411">
        <v>0</v>
      </c>
      <c r="DG4411">
        <v>0</v>
      </c>
      <c r="DH4411">
        <v>0</v>
      </c>
      <c r="DI4411">
        <v>0</v>
      </c>
    </row>
    <row r="4412" spans="1:113" x14ac:dyDescent="0.3">
      <c r="A4412" t="str">
        <f>"02/08/2021 20:38:56.193"</f>
        <v>02/08/2021 20:38:56.193</v>
      </c>
      <c r="C4412" t="str">
        <f t="shared" si="218"/>
        <v>FFDFD7C0</v>
      </c>
      <c r="D4412" t="s">
        <v>113</v>
      </c>
      <c r="E4412">
        <v>6</v>
      </c>
      <c r="H4412">
        <v>165</v>
      </c>
      <c r="I4412" t="s">
        <v>114</v>
      </c>
      <c r="J4412" t="s">
        <v>115</v>
      </c>
      <c r="K4412">
        <v>0</v>
      </c>
      <c r="L4412">
        <v>3</v>
      </c>
      <c r="M4412">
        <v>0</v>
      </c>
      <c r="N4412">
        <v>2</v>
      </c>
      <c r="O4412">
        <v>1</v>
      </c>
      <c r="P4412">
        <v>0</v>
      </c>
      <c r="Q4412">
        <v>0</v>
      </c>
      <c r="S4412" t="str">
        <f>"20:38:58.531"</f>
        <v>20:38:58.531</v>
      </c>
      <c r="T4412" t="str">
        <f>"20:38:58.031"</f>
        <v>20:38:58.031</v>
      </c>
      <c r="U4412" t="str">
        <f t="shared" si="217"/>
        <v>AB01F4</v>
      </c>
      <c r="V4412">
        <v>0</v>
      </c>
      <c r="W4412">
        <v>0</v>
      </c>
      <c r="X4412">
        <v>2</v>
      </c>
      <c r="Z4412">
        <v>0</v>
      </c>
      <c r="AA4412">
        <v>9</v>
      </c>
      <c r="AB4412">
        <v>3</v>
      </c>
      <c r="AC4412">
        <v>0</v>
      </c>
      <c r="AD4412">
        <v>10</v>
      </c>
      <c r="AE4412">
        <v>0</v>
      </c>
      <c r="AF4412">
        <v>3</v>
      </c>
      <c r="AG4412">
        <v>2</v>
      </c>
      <c r="AH4412">
        <v>0</v>
      </c>
      <c r="AI4412" t="s">
        <v>2451</v>
      </c>
      <c r="AJ4412">
        <v>40.158011999999999</v>
      </c>
      <c r="AK4412" t="s">
        <v>2452</v>
      </c>
      <c r="AL4412">
        <v>-93.204960999999997</v>
      </c>
      <c r="AM4412">
        <v>100</v>
      </c>
      <c r="AN4412">
        <v>1300</v>
      </c>
      <c r="AO4412" t="s">
        <v>118</v>
      </c>
      <c r="AP4412">
        <v>-132</v>
      </c>
      <c r="AQ4412">
        <v>-36</v>
      </c>
      <c r="AR4412">
        <v>-64</v>
      </c>
      <c r="AZ4412">
        <v>1200</v>
      </c>
      <c r="BA4412">
        <v>1</v>
      </c>
      <c r="BB4412" t="str">
        <f t="shared" si="219"/>
        <v xml:space="preserve">N8080G  </v>
      </c>
      <c r="BC4412">
        <v>1</v>
      </c>
      <c r="BE4412">
        <v>0</v>
      </c>
      <c r="BF4412">
        <v>0</v>
      </c>
      <c r="BG4412">
        <v>0</v>
      </c>
      <c r="BH4412">
        <v>1350</v>
      </c>
      <c r="BI4412">
        <v>1</v>
      </c>
      <c r="BJ4412">
        <v>1</v>
      </c>
      <c r="BK4412">
        <v>1</v>
      </c>
      <c r="BL4412">
        <v>0</v>
      </c>
      <c r="BO4412">
        <v>0</v>
      </c>
      <c r="BP4412">
        <v>0</v>
      </c>
      <c r="BW4412" t="str">
        <f>"20:38:58.535"</f>
        <v>20:38:58.535</v>
      </c>
      <c r="BZ4412">
        <v>0</v>
      </c>
      <c r="CA4412">
        <v>1600</v>
      </c>
      <c r="CB4412">
        <v>224</v>
      </c>
      <c r="CD4412">
        <v>1</v>
      </c>
      <c r="CE4412">
        <v>0</v>
      </c>
      <c r="CF4412">
        <v>0</v>
      </c>
      <c r="CG4412">
        <v>1</v>
      </c>
      <c r="CH4412">
        <v>0</v>
      </c>
      <c r="CI4412">
        <v>0</v>
      </c>
      <c r="CJ4412">
        <v>0</v>
      </c>
      <c r="CK4412">
        <v>2</v>
      </c>
      <c r="CL4412">
        <v>0</v>
      </c>
      <c r="CM4412">
        <v>2</v>
      </c>
      <c r="CN4412">
        <v>0</v>
      </c>
      <c r="CO4412">
        <v>3</v>
      </c>
      <c r="CP4412" t="s">
        <v>119</v>
      </c>
      <c r="CQ4412">
        <v>180</v>
      </c>
      <c r="CR4412">
        <v>3</v>
      </c>
      <c r="CW4412">
        <v>1423869</v>
      </c>
      <c r="CY4412">
        <v>0</v>
      </c>
      <c r="CZ4412">
        <v>0</v>
      </c>
      <c r="DA4412">
        <v>1</v>
      </c>
      <c r="DB4412">
        <v>0</v>
      </c>
      <c r="DC4412">
        <v>0</v>
      </c>
      <c r="DD4412">
        <v>0</v>
      </c>
      <c r="DE4412">
        <v>0</v>
      </c>
      <c r="DF4412">
        <v>0</v>
      </c>
      <c r="DG4412">
        <v>0</v>
      </c>
      <c r="DH4412">
        <v>0</v>
      </c>
      <c r="DI4412">
        <v>0</v>
      </c>
    </row>
    <row r="4413" spans="1:113" x14ac:dyDescent="0.3">
      <c r="A4413" t="str">
        <f>"02/08/2021 20:38:56.193"</f>
        <v>02/08/2021 20:38:56.193</v>
      </c>
      <c r="C4413" t="str">
        <f t="shared" si="218"/>
        <v>FFDFD7C0</v>
      </c>
      <c r="D4413" t="s">
        <v>124</v>
      </c>
      <c r="E4413">
        <v>12</v>
      </c>
      <c r="F4413">
        <v>1012</v>
      </c>
      <c r="G4413" t="s">
        <v>675</v>
      </c>
      <c r="J4413" t="s">
        <v>125</v>
      </c>
      <c r="K4413">
        <v>0</v>
      </c>
      <c r="L4413">
        <v>3</v>
      </c>
      <c r="M4413">
        <v>0</v>
      </c>
      <c r="N4413">
        <v>2</v>
      </c>
      <c r="O4413">
        <v>1</v>
      </c>
      <c r="P4413">
        <v>0</v>
      </c>
      <c r="Q4413">
        <v>0</v>
      </c>
      <c r="S4413" t="str">
        <f>"20:38:58.531"</f>
        <v>20:38:58.531</v>
      </c>
      <c r="T4413" t="str">
        <f>"20:38:58.031"</f>
        <v>20:38:58.031</v>
      </c>
      <c r="U4413" t="str">
        <f t="shared" si="217"/>
        <v>AB01F4</v>
      </c>
      <c r="V4413">
        <v>0</v>
      </c>
      <c r="W4413">
        <v>0</v>
      </c>
      <c r="X4413">
        <v>2</v>
      </c>
      <c r="Z4413">
        <v>0</v>
      </c>
      <c r="AA4413">
        <v>9</v>
      </c>
      <c r="AB4413">
        <v>3</v>
      </c>
      <c r="AC4413">
        <v>0</v>
      </c>
      <c r="AD4413">
        <v>10</v>
      </c>
      <c r="AE4413">
        <v>0</v>
      </c>
      <c r="AF4413">
        <v>3</v>
      </c>
      <c r="AG4413">
        <v>2</v>
      </c>
      <c r="AH4413">
        <v>0</v>
      </c>
      <c r="AI4413" t="s">
        <v>2451</v>
      </c>
      <c r="AJ4413">
        <v>40.158011999999999</v>
      </c>
      <c r="AK4413" t="s">
        <v>2452</v>
      </c>
      <c r="AL4413">
        <v>-93.204960999999997</v>
      </c>
      <c r="AM4413">
        <v>100</v>
      </c>
      <c r="AN4413">
        <v>1300</v>
      </c>
      <c r="AO4413" t="s">
        <v>118</v>
      </c>
      <c r="AP4413">
        <v>-132</v>
      </c>
      <c r="AQ4413">
        <v>-36</v>
      </c>
      <c r="AR4413">
        <v>-64</v>
      </c>
      <c r="AZ4413">
        <v>1200</v>
      </c>
      <c r="BA4413">
        <v>1</v>
      </c>
      <c r="BB4413" t="str">
        <f t="shared" si="219"/>
        <v xml:space="preserve">N8080G  </v>
      </c>
      <c r="BC4413">
        <v>1</v>
      </c>
      <c r="BE4413">
        <v>0</v>
      </c>
      <c r="BF4413">
        <v>0</v>
      </c>
      <c r="BG4413">
        <v>0</v>
      </c>
      <c r="BH4413">
        <v>1350</v>
      </c>
      <c r="BI4413">
        <v>1</v>
      </c>
      <c r="BJ4413">
        <v>1</v>
      </c>
      <c r="BK4413">
        <v>1</v>
      </c>
      <c r="BL4413">
        <v>0</v>
      </c>
      <c r="BO4413">
        <v>0</v>
      </c>
      <c r="BP4413">
        <v>0</v>
      </c>
      <c r="BW4413" t="str">
        <f>"20:38:58.535"</f>
        <v>20:38:58.535</v>
      </c>
      <c r="BZ4413">
        <v>0</v>
      </c>
      <c r="CA4413">
        <v>1600</v>
      </c>
      <c r="CB4413">
        <v>224</v>
      </c>
      <c r="CD4413">
        <v>1</v>
      </c>
      <c r="CE4413">
        <v>0</v>
      </c>
      <c r="CF4413">
        <v>0</v>
      </c>
      <c r="CG4413">
        <v>1</v>
      </c>
      <c r="CH4413">
        <v>0</v>
      </c>
      <c r="CI4413">
        <v>0</v>
      </c>
      <c r="CJ4413">
        <v>0</v>
      </c>
      <c r="CK4413">
        <v>2</v>
      </c>
      <c r="CL4413">
        <v>0</v>
      </c>
      <c r="CM4413">
        <v>2</v>
      </c>
      <c r="CN4413">
        <v>0</v>
      </c>
      <c r="CO4413">
        <v>3</v>
      </c>
      <c r="CP4413" t="s">
        <v>119</v>
      </c>
      <c r="CQ4413">
        <v>180</v>
      </c>
      <c r="CR4413">
        <v>3</v>
      </c>
      <c r="CW4413">
        <v>1423869</v>
      </c>
      <c r="CY4413">
        <v>0</v>
      </c>
      <c r="CZ4413">
        <v>0</v>
      </c>
      <c r="DA4413">
        <v>1</v>
      </c>
      <c r="DB4413">
        <v>0</v>
      </c>
      <c r="DC4413">
        <v>0</v>
      </c>
      <c r="DD4413">
        <v>0</v>
      </c>
      <c r="DE4413">
        <v>0</v>
      </c>
      <c r="DF4413">
        <v>0</v>
      </c>
      <c r="DG4413">
        <v>0</v>
      </c>
      <c r="DH4413">
        <v>0</v>
      </c>
      <c r="DI4413">
        <v>0</v>
      </c>
    </row>
    <row r="4414" spans="1:113" x14ac:dyDescent="0.3">
      <c r="A4414" t="str">
        <f>"02/08/2021 20:38:56.193"</f>
        <v>02/08/2021 20:38:56.193</v>
      </c>
      <c r="C4414" t="str">
        <f t="shared" si="218"/>
        <v>FFDFD7C0</v>
      </c>
      <c r="D4414" t="s">
        <v>124</v>
      </c>
      <c r="E4414">
        <v>11</v>
      </c>
      <c r="F4414">
        <v>1011</v>
      </c>
      <c r="G4414" t="s">
        <v>590</v>
      </c>
      <c r="J4414" t="s">
        <v>125</v>
      </c>
      <c r="K4414">
        <v>0</v>
      </c>
      <c r="L4414">
        <v>3</v>
      </c>
      <c r="M4414">
        <v>0</v>
      </c>
      <c r="N4414">
        <v>2</v>
      </c>
      <c r="O4414">
        <v>1</v>
      </c>
      <c r="P4414">
        <v>0</v>
      </c>
      <c r="Q4414">
        <v>0</v>
      </c>
      <c r="S4414" t="str">
        <f>"20:38:58.531"</f>
        <v>20:38:58.531</v>
      </c>
      <c r="T4414" t="str">
        <f>"20:38:58.031"</f>
        <v>20:38:58.031</v>
      </c>
      <c r="U4414" t="str">
        <f t="shared" si="217"/>
        <v>AB01F4</v>
      </c>
      <c r="V4414">
        <v>0</v>
      </c>
      <c r="W4414">
        <v>0</v>
      </c>
      <c r="X4414">
        <v>2</v>
      </c>
      <c r="Z4414">
        <v>0</v>
      </c>
      <c r="AA4414">
        <v>9</v>
      </c>
      <c r="AB4414">
        <v>3</v>
      </c>
      <c r="AC4414">
        <v>0</v>
      </c>
      <c r="AD4414">
        <v>10</v>
      </c>
      <c r="AE4414">
        <v>0</v>
      </c>
      <c r="AF4414">
        <v>3</v>
      </c>
      <c r="AG4414">
        <v>2</v>
      </c>
      <c r="AH4414">
        <v>0</v>
      </c>
      <c r="AI4414" t="s">
        <v>2451</v>
      </c>
      <c r="AJ4414">
        <v>40.158011999999999</v>
      </c>
      <c r="AK4414" t="s">
        <v>2452</v>
      </c>
      <c r="AL4414">
        <v>-93.204960999999997</v>
      </c>
      <c r="AM4414">
        <v>100</v>
      </c>
      <c r="AN4414">
        <v>1300</v>
      </c>
      <c r="AO4414" t="s">
        <v>118</v>
      </c>
      <c r="AP4414">
        <v>-132</v>
      </c>
      <c r="AQ4414">
        <v>-36</v>
      </c>
      <c r="AR4414">
        <v>-64</v>
      </c>
      <c r="AZ4414">
        <v>1200</v>
      </c>
      <c r="BA4414">
        <v>1</v>
      </c>
      <c r="BB4414" t="str">
        <f t="shared" si="219"/>
        <v xml:space="preserve">N8080G  </v>
      </c>
      <c r="BC4414">
        <v>1</v>
      </c>
      <c r="BE4414">
        <v>0</v>
      </c>
      <c r="BF4414">
        <v>0</v>
      </c>
      <c r="BG4414">
        <v>0</v>
      </c>
      <c r="BH4414">
        <v>1350</v>
      </c>
      <c r="BI4414">
        <v>1</v>
      </c>
      <c r="BJ4414">
        <v>1</v>
      </c>
      <c r="BK4414">
        <v>1</v>
      </c>
      <c r="BL4414">
        <v>0</v>
      </c>
      <c r="BO4414">
        <v>0</v>
      </c>
      <c r="BP4414">
        <v>0</v>
      </c>
      <c r="BW4414" t="str">
        <f>"20:38:58.535"</f>
        <v>20:38:58.535</v>
      </c>
      <c r="BZ4414">
        <v>0</v>
      </c>
      <c r="CA4414">
        <v>1600</v>
      </c>
      <c r="CB4414">
        <v>224</v>
      </c>
      <c r="CD4414">
        <v>1</v>
      </c>
      <c r="CE4414">
        <v>0</v>
      </c>
      <c r="CF4414">
        <v>0</v>
      </c>
      <c r="CG4414">
        <v>1</v>
      </c>
      <c r="CH4414">
        <v>0</v>
      </c>
      <c r="CI4414">
        <v>0</v>
      </c>
      <c r="CJ4414">
        <v>0</v>
      </c>
      <c r="CK4414">
        <v>2</v>
      </c>
      <c r="CL4414">
        <v>0</v>
      </c>
      <c r="CM4414">
        <v>2</v>
      </c>
      <c r="CN4414">
        <v>0</v>
      </c>
      <c r="CO4414">
        <v>3</v>
      </c>
      <c r="CP4414" t="s">
        <v>119</v>
      </c>
      <c r="CQ4414">
        <v>180</v>
      </c>
      <c r="CR4414">
        <v>3</v>
      </c>
      <c r="CW4414">
        <v>1423869</v>
      </c>
      <c r="CY4414">
        <v>0</v>
      </c>
      <c r="CZ4414">
        <v>0</v>
      </c>
      <c r="DA4414">
        <v>1</v>
      </c>
      <c r="DB4414">
        <v>0</v>
      </c>
      <c r="DC4414">
        <v>0</v>
      </c>
      <c r="DD4414">
        <v>0</v>
      </c>
      <c r="DE4414">
        <v>0</v>
      </c>
      <c r="DF4414">
        <v>0</v>
      </c>
      <c r="DG4414">
        <v>0</v>
      </c>
      <c r="DH4414">
        <v>0</v>
      </c>
      <c r="DI4414">
        <v>0</v>
      </c>
    </row>
    <row r="4415" spans="1:113" x14ac:dyDescent="0.3">
      <c r="A4415" t="str">
        <f>"02/08/2021 20:38:57.827"</f>
        <v>02/08/2021 20:38:57.827</v>
      </c>
      <c r="C4415" t="str">
        <f t="shared" si="218"/>
        <v>FFDFD7C0</v>
      </c>
      <c r="D4415" t="s">
        <v>124</v>
      </c>
      <c r="E4415">
        <v>12</v>
      </c>
      <c r="F4415">
        <v>1012</v>
      </c>
      <c r="G4415" t="s">
        <v>675</v>
      </c>
      <c r="J4415" t="s">
        <v>125</v>
      </c>
      <c r="K4415">
        <v>0</v>
      </c>
      <c r="L4415">
        <v>3</v>
      </c>
      <c r="M4415">
        <v>0</v>
      </c>
      <c r="N4415">
        <v>2</v>
      </c>
      <c r="O4415">
        <v>1</v>
      </c>
      <c r="P4415">
        <v>0</v>
      </c>
      <c r="Q4415">
        <v>0</v>
      </c>
      <c r="S4415" t="str">
        <f>"20:39:00.141"</f>
        <v>20:39:00.141</v>
      </c>
      <c r="T4415" t="str">
        <f>"20:38:58.541"</f>
        <v>20:38:58.541</v>
      </c>
      <c r="U4415" t="str">
        <f t="shared" si="217"/>
        <v>AB01F4</v>
      </c>
      <c r="V4415">
        <v>0</v>
      </c>
      <c r="W4415">
        <v>0</v>
      </c>
      <c r="X4415">
        <v>2</v>
      </c>
      <c r="Z4415">
        <v>0</v>
      </c>
      <c r="AA4415">
        <v>9</v>
      </c>
      <c r="AB4415">
        <v>3</v>
      </c>
      <c r="AC4415">
        <v>0</v>
      </c>
      <c r="AD4415">
        <v>10</v>
      </c>
      <c r="AE4415">
        <v>0</v>
      </c>
      <c r="AF4415">
        <v>3</v>
      </c>
      <c r="AG4415">
        <v>2</v>
      </c>
      <c r="AH4415">
        <v>0</v>
      </c>
      <c r="AI4415" t="s">
        <v>2453</v>
      </c>
      <c r="AJ4415">
        <v>40.157733</v>
      </c>
      <c r="AK4415" t="s">
        <v>2454</v>
      </c>
      <c r="AL4415">
        <v>-93.206248000000002</v>
      </c>
      <c r="AM4415">
        <v>100</v>
      </c>
      <c r="AN4415">
        <v>1300</v>
      </c>
      <c r="AO4415" t="s">
        <v>118</v>
      </c>
      <c r="AP4415">
        <v>-132</v>
      </c>
      <c r="AQ4415">
        <v>-36</v>
      </c>
      <c r="AR4415">
        <v>-128</v>
      </c>
      <c r="AZ4415">
        <v>1200</v>
      </c>
      <c r="BA4415">
        <v>1</v>
      </c>
      <c r="BB4415" t="str">
        <f t="shared" si="219"/>
        <v xml:space="preserve">N8080G  </v>
      </c>
      <c r="BC4415">
        <v>1</v>
      </c>
      <c r="BE4415">
        <v>0</v>
      </c>
      <c r="BF4415">
        <v>0</v>
      </c>
      <c r="BG4415">
        <v>0</v>
      </c>
      <c r="BH4415">
        <v>1325</v>
      </c>
      <c r="BI4415">
        <v>1</v>
      </c>
      <c r="BJ4415">
        <v>1</v>
      </c>
      <c r="BK4415">
        <v>1</v>
      </c>
      <c r="BL4415">
        <v>0</v>
      </c>
      <c r="BO4415">
        <v>0</v>
      </c>
      <c r="BP4415">
        <v>0</v>
      </c>
      <c r="BW4415" t="str">
        <f>"20:39:00.147"</f>
        <v>20:39:00.147</v>
      </c>
      <c r="BZ4415">
        <v>0</v>
      </c>
      <c r="CA4415">
        <v>1600</v>
      </c>
      <c r="CB4415">
        <v>224</v>
      </c>
      <c r="CD4415">
        <v>1</v>
      </c>
      <c r="CE4415">
        <v>0</v>
      </c>
      <c r="CF4415">
        <v>0</v>
      </c>
      <c r="CG4415">
        <v>1</v>
      </c>
      <c r="CH4415">
        <v>0</v>
      </c>
      <c r="CI4415">
        <v>0</v>
      </c>
      <c r="CJ4415">
        <v>0</v>
      </c>
      <c r="CK4415">
        <v>2</v>
      </c>
      <c r="CL4415">
        <v>0</v>
      </c>
      <c r="CM4415">
        <v>2</v>
      </c>
      <c r="CN4415">
        <v>0</v>
      </c>
      <c r="CO4415">
        <v>3</v>
      </c>
      <c r="CP4415" t="s">
        <v>119</v>
      </c>
      <c r="CQ4415">
        <v>180</v>
      </c>
      <c r="CR4415">
        <v>3</v>
      </c>
      <c r="CW4415">
        <v>1425069</v>
      </c>
      <c r="CY4415">
        <v>0</v>
      </c>
      <c r="CZ4415">
        <v>0</v>
      </c>
      <c r="DA4415">
        <v>0</v>
      </c>
      <c r="DB4415">
        <v>0</v>
      </c>
      <c r="DC4415">
        <v>0</v>
      </c>
      <c r="DD4415">
        <v>0</v>
      </c>
      <c r="DE4415">
        <v>0</v>
      </c>
      <c r="DF4415">
        <v>0</v>
      </c>
      <c r="DG4415">
        <v>0</v>
      </c>
      <c r="DH4415">
        <v>0</v>
      </c>
      <c r="DI4415">
        <v>0</v>
      </c>
    </row>
    <row r="4416" spans="1:113" x14ac:dyDescent="0.3">
      <c r="A4416" t="str">
        <f>"02/08/2021 20:38:57.827"</f>
        <v>02/08/2021 20:38:57.827</v>
      </c>
      <c r="C4416" t="str">
        <f t="shared" si="218"/>
        <v>FFDFD7C0</v>
      </c>
      <c r="D4416" t="s">
        <v>113</v>
      </c>
      <c r="E4416">
        <v>6</v>
      </c>
      <c r="H4416">
        <v>165</v>
      </c>
      <c r="I4416" t="s">
        <v>114</v>
      </c>
      <c r="J4416" t="s">
        <v>115</v>
      </c>
      <c r="K4416">
        <v>0</v>
      </c>
      <c r="L4416">
        <v>3</v>
      </c>
      <c r="M4416">
        <v>0</v>
      </c>
      <c r="N4416">
        <v>2</v>
      </c>
      <c r="O4416">
        <v>1</v>
      </c>
      <c r="P4416">
        <v>0</v>
      </c>
      <c r="Q4416">
        <v>0</v>
      </c>
      <c r="S4416" t="str">
        <f>"20:39:00.141"</f>
        <v>20:39:00.141</v>
      </c>
      <c r="T4416" t="str">
        <f>"20:38:58.541"</f>
        <v>20:38:58.541</v>
      </c>
      <c r="U4416" t="str">
        <f t="shared" si="217"/>
        <v>AB01F4</v>
      </c>
      <c r="V4416">
        <v>0</v>
      </c>
      <c r="W4416">
        <v>0</v>
      </c>
      <c r="X4416">
        <v>2</v>
      </c>
      <c r="Z4416">
        <v>0</v>
      </c>
      <c r="AA4416">
        <v>9</v>
      </c>
      <c r="AB4416">
        <v>3</v>
      </c>
      <c r="AC4416">
        <v>0</v>
      </c>
      <c r="AD4416">
        <v>10</v>
      </c>
      <c r="AE4416">
        <v>0</v>
      </c>
      <c r="AF4416">
        <v>3</v>
      </c>
      <c r="AG4416">
        <v>2</v>
      </c>
      <c r="AH4416">
        <v>0</v>
      </c>
      <c r="AI4416" t="s">
        <v>2453</v>
      </c>
      <c r="AJ4416">
        <v>40.157733</v>
      </c>
      <c r="AK4416" t="s">
        <v>2454</v>
      </c>
      <c r="AL4416">
        <v>-93.206248000000002</v>
      </c>
      <c r="AM4416">
        <v>100</v>
      </c>
      <c r="AN4416">
        <v>1300</v>
      </c>
      <c r="AO4416" t="s">
        <v>118</v>
      </c>
      <c r="AP4416">
        <v>-132</v>
      </c>
      <c r="AQ4416">
        <v>-36</v>
      </c>
      <c r="AR4416">
        <v>-128</v>
      </c>
      <c r="AZ4416">
        <v>1200</v>
      </c>
      <c r="BA4416">
        <v>1</v>
      </c>
      <c r="BB4416" t="str">
        <f t="shared" si="219"/>
        <v xml:space="preserve">N8080G  </v>
      </c>
      <c r="BC4416">
        <v>1</v>
      </c>
      <c r="BE4416">
        <v>0</v>
      </c>
      <c r="BF4416">
        <v>0</v>
      </c>
      <c r="BG4416">
        <v>0</v>
      </c>
      <c r="BH4416">
        <v>1325</v>
      </c>
      <c r="BI4416">
        <v>1</v>
      </c>
      <c r="BJ4416">
        <v>1</v>
      </c>
      <c r="BK4416">
        <v>1</v>
      </c>
      <c r="BL4416">
        <v>0</v>
      </c>
      <c r="BO4416">
        <v>0</v>
      </c>
      <c r="BP4416">
        <v>0</v>
      </c>
      <c r="BW4416" t="str">
        <f>"20:39:00.147"</f>
        <v>20:39:00.147</v>
      </c>
      <c r="BZ4416">
        <v>0</v>
      </c>
      <c r="CA4416">
        <v>1600</v>
      </c>
      <c r="CB4416">
        <v>224</v>
      </c>
      <c r="CD4416">
        <v>1</v>
      </c>
      <c r="CE4416">
        <v>0</v>
      </c>
      <c r="CF4416">
        <v>0</v>
      </c>
      <c r="CG4416">
        <v>1</v>
      </c>
      <c r="CH4416">
        <v>0</v>
      </c>
      <c r="CI4416">
        <v>0</v>
      </c>
      <c r="CJ4416">
        <v>0</v>
      </c>
      <c r="CK4416">
        <v>2</v>
      </c>
      <c r="CL4416">
        <v>0</v>
      </c>
      <c r="CM4416">
        <v>2</v>
      </c>
      <c r="CN4416">
        <v>0</v>
      </c>
      <c r="CO4416">
        <v>3</v>
      </c>
      <c r="CP4416" t="s">
        <v>119</v>
      </c>
      <c r="CQ4416">
        <v>180</v>
      </c>
      <c r="CR4416">
        <v>3</v>
      </c>
      <c r="CW4416">
        <v>1425069</v>
      </c>
      <c r="CY4416">
        <v>0</v>
      </c>
      <c r="CZ4416">
        <v>0</v>
      </c>
      <c r="DA4416">
        <v>1</v>
      </c>
      <c r="DB4416">
        <v>0</v>
      </c>
      <c r="DC4416">
        <v>0</v>
      </c>
      <c r="DD4416">
        <v>0</v>
      </c>
      <c r="DE4416">
        <v>0</v>
      </c>
      <c r="DF4416">
        <v>0</v>
      </c>
      <c r="DG4416">
        <v>0</v>
      </c>
      <c r="DH4416">
        <v>0</v>
      </c>
      <c r="DI4416">
        <v>0</v>
      </c>
    </row>
    <row r="4417" spans="1:113" x14ac:dyDescent="0.3">
      <c r="A4417" t="str">
        <f>"02/08/2021 20:38:57.827"</f>
        <v>02/08/2021 20:38:57.827</v>
      </c>
      <c r="C4417" t="str">
        <f t="shared" si="218"/>
        <v>FFDFD7C0</v>
      </c>
      <c r="D4417" t="s">
        <v>124</v>
      </c>
      <c r="E4417">
        <v>11</v>
      </c>
      <c r="F4417">
        <v>1011</v>
      </c>
      <c r="G4417" t="s">
        <v>590</v>
      </c>
      <c r="J4417" t="s">
        <v>125</v>
      </c>
      <c r="K4417">
        <v>0</v>
      </c>
      <c r="L4417">
        <v>3</v>
      </c>
      <c r="M4417">
        <v>0</v>
      </c>
      <c r="N4417">
        <v>2</v>
      </c>
      <c r="O4417">
        <v>1</v>
      </c>
      <c r="P4417">
        <v>0</v>
      </c>
      <c r="Q4417">
        <v>0</v>
      </c>
      <c r="S4417" t="str">
        <f>"20:39:00.141"</f>
        <v>20:39:00.141</v>
      </c>
      <c r="T4417" t="str">
        <f>"20:38:58.541"</f>
        <v>20:38:58.541</v>
      </c>
      <c r="U4417" t="str">
        <f t="shared" si="217"/>
        <v>AB01F4</v>
      </c>
      <c r="V4417">
        <v>0</v>
      </c>
      <c r="W4417">
        <v>0</v>
      </c>
      <c r="X4417">
        <v>2</v>
      </c>
      <c r="Z4417">
        <v>0</v>
      </c>
      <c r="AA4417">
        <v>9</v>
      </c>
      <c r="AB4417">
        <v>3</v>
      </c>
      <c r="AC4417">
        <v>0</v>
      </c>
      <c r="AD4417">
        <v>10</v>
      </c>
      <c r="AE4417">
        <v>0</v>
      </c>
      <c r="AF4417">
        <v>3</v>
      </c>
      <c r="AG4417">
        <v>2</v>
      </c>
      <c r="AH4417">
        <v>0</v>
      </c>
      <c r="AI4417" t="s">
        <v>2453</v>
      </c>
      <c r="AJ4417">
        <v>40.157733</v>
      </c>
      <c r="AK4417" t="s">
        <v>2454</v>
      </c>
      <c r="AL4417">
        <v>-93.206248000000002</v>
      </c>
      <c r="AM4417">
        <v>100</v>
      </c>
      <c r="AN4417">
        <v>1300</v>
      </c>
      <c r="AO4417" t="s">
        <v>118</v>
      </c>
      <c r="AP4417">
        <v>-132</v>
      </c>
      <c r="AQ4417">
        <v>-36</v>
      </c>
      <c r="AR4417">
        <v>-128</v>
      </c>
      <c r="AZ4417">
        <v>1200</v>
      </c>
      <c r="BA4417">
        <v>1</v>
      </c>
      <c r="BB4417" t="str">
        <f t="shared" si="219"/>
        <v xml:space="preserve">N8080G  </v>
      </c>
      <c r="BC4417">
        <v>1</v>
      </c>
      <c r="BE4417">
        <v>0</v>
      </c>
      <c r="BF4417">
        <v>0</v>
      </c>
      <c r="BG4417">
        <v>0</v>
      </c>
      <c r="BH4417">
        <v>1325</v>
      </c>
      <c r="BI4417">
        <v>1</v>
      </c>
      <c r="BJ4417">
        <v>1</v>
      </c>
      <c r="BK4417">
        <v>1</v>
      </c>
      <c r="BL4417">
        <v>0</v>
      </c>
      <c r="BO4417">
        <v>0</v>
      </c>
      <c r="BP4417">
        <v>0</v>
      </c>
      <c r="BW4417" t="str">
        <f>"20:39:00.147"</f>
        <v>20:39:00.147</v>
      </c>
      <c r="BZ4417">
        <v>0</v>
      </c>
      <c r="CA4417">
        <v>1600</v>
      </c>
      <c r="CB4417">
        <v>224</v>
      </c>
      <c r="CD4417">
        <v>1</v>
      </c>
      <c r="CE4417">
        <v>0</v>
      </c>
      <c r="CF4417">
        <v>0</v>
      </c>
      <c r="CG4417">
        <v>1</v>
      </c>
      <c r="CH4417">
        <v>0</v>
      </c>
      <c r="CI4417">
        <v>0</v>
      </c>
      <c r="CJ4417">
        <v>0</v>
      </c>
      <c r="CK4417">
        <v>2</v>
      </c>
      <c r="CL4417">
        <v>0</v>
      </c>
      <c r="CM4417">
        <v>2</v>
      </c>
      <c r="CN4417">
        <v>0</v>
      </c>
      <c r="CO4417">
        <v>3</v>
      </c>
      <c r="CP4417" t="s">
        <v>119</v>
      </c>
      <c r="CQ4417">
        <v>180</v>
      </c>
      <c r="CR4417">
        <v>3</v>
      </c>
      <c r="CW4417">
        <v>1425069</v>
      </c>
      <c r="CY4417">
        <v>0</v>
      </c>
      <c r="CZ4417">
        <v>0</v>
      </c>
      <c r="DA4417">
        <v>1</v>
      </c>
      <c r="DB4417">
        <v>0</v>
      </c>
      <c r="DC4417">
        <v>0</v>
      </c>
      <c r="DD4417">
        <v>0</v>
      </c>
      <c r="DE4417">
        <v>0</v>
      </c>
      <c r="DF4417">
        <v>0</v>
      </c>
      <c r="DG4417">
        <v>0</v>
      </c>
      <c r="DH4417">
        <v>0</v>
      </c>
      <c r="DI4417">
        <v>0</v>
      </c>
    </row>
    <row r="4418" spans="1:113" x14ac:dyDescent="0.3">
      <c r="A4418" t="str">
        <f>"02/08/2021 20:38:57.827"</f>
        <v>02/08/2021 20:38:57.827</v>
      </c>
      <c r="C4418" t="str">
        <f t="shared" si="218"/>
        <v>FFDFD7C0</v>
      </c>
      <c r="D4418" t="s">
        <v>124</v>
      </c>
      <c r="E4418">
        <v>13</v>
      </c>
      <c r="F4418">
        <v>1013</v>
      </c>
      <c r="G4418" t="s">
        <v>114</v>
      </c>
      <c r="J4418" t="s">
        <v>125</v>
      </c>
      <c r="K4418">
        <v>0</v>
      </c>
      <c r="L4418">
        <v>3</v>
      </c>
      <c r="M4418">
        <v>0</v>
      </c>
      <c r="N4418">
        <v>2</v>
      </c>
      <c r="O4418">
        <v>1</v>
      </c>
      <c r="P4418">
        <v>0</v>
      </c>
      <c r="Q4418">
        <v>0</v>
      </c>
      <c r="S4418" t="str">
        <f>"20:39:00.141"</f>
        <v>20:39:00.141</v>
      </c>
      <c r="T4418" t="str">
        <f>"20:38:58.541"</f>
        <v>20:38:58.541</v>
      </c>
      <c r="U4418" t="str">
        <f t="shared" ref="U4418:U4481" si="220">"AB01F4"</f>
        <v>AB01F4</v>
      </c>
      <c r="V4418">
        <v>0</v>
      </c>
      <c r="W4418">
        <v>0</v>
      </c>
      <c r="X4418">
        <v>2</v>
      </c>
      <c r="Z4418">
        <v>0</v>
      </c>
      <c r="AA4418">
        <v>9</v>
      </c>
      <c r="AB4418">
        <v>3</v>
      </c>
      <c r="AC4418">
        <v>0</v>
      </c>
      <c r="AD4418">
        <v>10</v>
      </c>
      <c r="AE4418">
        <v>0</v>
      </c>
      <c r="AF4418">
        <v>3</v>
      </c>
      <c r="AG4418">
        <v>2</v>
      </c>
      <c r="AH4418">
        <v>0</v>
      </c>
      <c r="AI4418" t="s">
        <v>2453</v>
      </c>
      <c r="AJ4418">
        <v>40.157733</v>
      </c>
      <c r="AK4418" t="s">
        <v>2454</v>
      </c>
      <c r="AL4418">
        <v>-93.206248000000002</v>
      </c>
      <c r="AM4418">
        <v>100</v>
      </c>
      <c r="AN4418">
        <v>1300</v>
      </c>
      <c r="AO4418" t="s">
        <v>118</v>
      </c>
      <c r="AP4418">
        <v>-132</v>
      </c>
      <c r="AQ4418">
        <v>-36</v>
      </c>
      <c r="AR4418">
        <v>-128</v>
      </c>
      <c r="AZ4418">
        <v>1200</v>
      </c>
      <c r="BA4418">
        <v>1</v>
      </c>
      <c r="BB4418" t="str">
        <f t="shared" si="219"/>
        <v xml:space="preserve">N8080G  </v>
      </c>
      <c r="BC4418">
        <v>1</v>
      </c>
      <c r="BE4418">
        <v>0</v>
      </c>
      <c r="BF4418">
        <v>0</v>
      </c>
      <c r="BG4418">
        <v>0</v>
      </c>
      <c r="BH4418">
        <v>1325</v>
      </c>
      <c r="BI4418">
        <v>1</v>
      </c>
      <c r="BJ4418">
        <v>1</v>
      </c>
      <c r="BK4418">
        <v>1</v>
      </c>
      <c r="BL4418">
        <v>0</v>
      </c>
      <c r="BO4418">
        <v>0</v>
      </c>
      <c r="BP4418">
        <v>0</v>
      </c>
      <c r="BW4418" t="str">
        <f>"20:39:00.147"</f>
        <v>20:39:00.147</v>
      </c>
      <c r="BZ4418">
        <v>0</v>
      </c>
      <c r="CA4418">
        <v>1600</v>
      </c>
      <c r="CB4418">
        <v>224</v>
      </c>
      <c r="CD4418">
        <v>1</v>
      </c>
      <c r="CE4418">
        <v>0</v>
      </c>
      <c r="CF4418">
        <v>0</v>
      </c>
      <c r="CG4418">
        <v>1</v>
      </c>
      <c r="CH4418">
        <v>0</v>
      </c>
      <c r="CI4418">
        <v>0</v>
      </c>
      <c r="CJ4418">
        <v>0</v>
      </c>
      <c r="CK4418">
        <v>2</v>
      </c>
      <c r="CL4418">
        <v>0</v>
      </c>
      <c r="CM4418">
        <v>2</v>
      </c>
      <c r="CN4418">
        <v>0</v>
      </c>
      <c r="CO4418">
        <v>3</v>
      </c>
      <c r="CP4418" t="s">
        <v>119</v>
      </c>
      <c r="CQ4418">
        <v>180</v>
      </c>
      <c r="CR4418">
        <v>3</v>
      </c>
      <c r="CW4418">
        <v>1425069</v>
      </c>
      <c r="CY4418">
        <v>0</v>
      </c>
      <c r="CZ4418">
        <v>0</v>
      </c>
      <c r="DA4418">
        <v>1</v>
      </c>
      <c r="DB4418">
        <v>0</v>
      </c>
      <c r="DC4418">
        <v>0</v>
      </c>
      <c r="DD4418">
        <v>0</v>
      </c>
      <c r="DE4418">
        <v>0</v>
      </c>
      <c r="DF4418">
        <v>0</v>
      </c>
      <c r="DG4418">
        <v>0</v>
      </c>
      <c r="DH4418">
        <v>0</v>
      </c>
      <c r="DI4418">
        <v>0</v>
      </c>
    </row>
    <row r="4419" spans="1:113" x14ac:dyDescent="0.3">
      <c r="A4419" t="str">
        <f>"02/08/2021 20:39:01.301"</f>
        <v>02/08/2021 20:39:01.301</v>
      </c>
      <c r="C4419" t="str">
        <f t="shared" si="218"/>
        <v>FFDFD7C0</v>
      </c>
      <c r="D4419" t="s">
        <v>124</v>
      </c>
      <c r="E4419">
        <v>12</v>
      </c>
      <c r="F4419">
        <v>1012</v>
      </c>
      <c r="G4419" t="s">
        <v>675</v>
      </c>
      <c r="J4419" t="s">
        <v>125</v>
      </c>
      <c r="K4419">
        <v>0</v>
      </c>
      <c r="L4419">
        <v>3</v>
      </c>
      <c r="M4419">
        <v>0</v>
      </c>
      <c r="N4419">
        <v>2</v>
      </c>
      <c r="O4419">
        <v>1</v>
      </c>
      <c r="P4419">
        <v>0</v>
      </c>
      <c r="Q4419">
        <v>0</v>
      </c>
      <c r="S4419" t="str">
        <f>"20:39:03.617"</f>
        <v>20:39:03.617</v>
      </c>
      <c r="T4419" t="str">
        <f>"20:39:03.117"</f>
        <v>20:39:03.117</v>
      </c>
      <c r="U4419" t="str">
        <f t="shared" si="220"/>
        <v>AB01F4</v>
      </c>
      <c r="V4419">
        <v>0</v>
      </c>
      <c r="W4419">
        <v>0</v>
      </c>
      <c r="X4419">
        <v>2</v>
      </c>
      <c r="Z4419">
        <v>0</v>
      </c>
      <c r="AA4419">
        <v>9</v>
      </c>
      <c r="AB4419">
        <v>3</v>
      </c>
      <c r="AC4419">
        <v>0</v>
      </c>
      <c r="AD4419">
        <v>10</v>
      </c>
      <c r="AE4419">
        <v>0</v>
      </c>
      <c r="AF4419">
        <v>3</v>
      </c>
      <c r="AG4419">
        <v>2</v>
      </c>
      <c r="AH4419">
        <v>0</v>
      </c>
      <c r="AI4419" t="s">
        <v>2455</v>
      </c>
      <c r="AJ4419">
        <v>40.157175000000002</v>
      </c>
      <c r="AK4419" t="s">
        <v>2456</v>
      </c>
      <c r="AL4419">
        <v>-93.208929999999995</v>
      </c>
      <c r="AM4419">
        <v>100</v>
      </c>
      <c r="AN4419">
        <v>1300</v>
      </c>
      <c r="AO4419" t="s">
        <v>118</v>
      </c>
      <c r="AP4419">
        <v>-133</v>
      </c>
      <c r="AQ4419">
        <v>-34</v>
      </c>
      <c r="AR4419">
        <v>0</v>
      </c>
      <c r="AZ4419">
        <v>1200</v>
      </c>
      <c r="BA4419">
        <v>1</v>
      </c>
      <c r="BB4419" t="str">
        <f t="shared" si="219"/>
        <v xml:space="preserve">N8080G  </v>
      </c>
      <c r="BC4419">
        <v>1</v>
      </c>
      <c r="BE4419">
        <v>0</v>
      </c>
      <c r="BF4419">
        <v>0</v>
      </c>
      <c r="BG4419">
        <v>0</v>
      </c>
      <c r="BH4419">
        <v>1325</v>
      </c>
      <c r="BI4419">
        <v>1</v>
      </c>
      <c r="BJ4419">
        <v>1</v>
      </c>
      <c r="BK4419">
        <v>1</v>
      </c>
      <c r="BL4419">
        <v>0</v>
      </c>
      <c r="BO4419">
        <v>0</v>
      </c>
      <c r="BP4419">
        <v>0</v>
      </c>
      <c r="BW4419" t="str">
        <f>"20:39:03.623"</f>
        <v>20:39:03.623</v>
      </c>
      <c r="BZ4419">
        <v>0</v>
      </c>
      <c r="CA4419">
        <v>1504</v>
      </c>
      <c r="CB4419">
        <v>224</v>
      </c>
      <c r="CD4419">
        <v>1</v>
      </c>
      <c r="CE4419">
        <v>0</v>
      </c>
      <c r="CF4419">
        <v>0</v>
      </c>
      <c r="CG4419">
        <v>0</v>
      </c>
      <c r="CH4419">
        <v>0</v>
      </c>
      <c r="CI4419">
        <v>0</v>
      </c>
      <c r="CJ4419">
        <v>0</v>
      </c>
      <c r="CK4419">
        <v>2</v>
      </c>
      <c r="CL4419">
        <v>0</v>
      </c>
      <c r="CM4419">
        <v>2</v>
      </c>
      <c r="CN4419">
        <v>0</v>
      </c>
      <c r="CO4419">
        <v>3</v>
      </c>
      <c r="CP4419" t="s">
        <v>119</v>
      </c>
      <c r="CQ4419">
        <v>180</v>
      </c>
      <c r="CR4419">
        <v>3</v>
      </c>
      <c r="CW4419">
        <v>1427688</v>
      </c>
      <c r="CY4419">
        <v>0</v>
      </c>
      <c r="CZ4419">
        <v>0</v>
      </c>
      <c r="DA4419">
        <v>0</v>
      </c>
      <c r="DB4419">
        <v>0</v>
      </c>
      <c r="DC4419">
        <v>0</v>
      </c>
      <c r="DD4419">
        <v>0</v>
      </c>
      <c r="DE4419">
        <v>0</v>
      </c>
      <c r="DF4419">
        <v>0</v>
      </c>
      <c r="DG4419">
        <v>0</v>
      </c>
      <c r="DH4419">
        <v>0</v>
      </c>
      <c r="DI4419">
        <v>0</v>
      </c>
    </row>
    <row r="4420" spans="1:113" x14ac:dyDescent="0.3">
      <c r="A4420" t="str">
        <f>"02/08/2021 20:39:01.301"</f>
        <v>02/08/2021 20:39:01.301</v>
      </c>
      <c r="C4420" t="str">
        <f t="shared" si="218"/>
        <v>FFDFD7C0</v>
      </c>
      <c r="D4420" t="s">
        <v>113</v>
      </c>
      <c r="E4420">
        <v>6</v>
      </c>
      <c r="H4420">
        <v>165</v>
      </c>
      <c r="I4420" t="s">
        <v>114</v>
      </c>
      <c r="J4420" t="s">
        <v>115</v>
      </c>
      <c r="K4420">
        <v>0</v>
      </c>
      <c r="L4420">
        <v>3</v>
      </c>
      <c r="M4420">
        <v>0</v>
      </c>
      <c r="N4420">
        <v>2</v>
      </c>
      <c r="O4420">
        <v>1</v>
      </c>
      <c r="P4420">
        <v>0</v>
      </c>
      <c r="Q4420">
        <v>0</v>
      </c>
      <c r="S4420" t="str">
        <f>"20:39:03.617"</f>
        <v>20:39:03.617</v>
      </c>
      <c r="T4420" t="str">
        <f>"20:39:03.117"</f>
        <v>20:39:03.117</v>
      </c>
      <c r="U4420" t="str">
        <f t="shared" si="220"/>
        <v>AB01F4</v>
      </c>
      <c r="V4420">
        <v>0</v>
      </c>
      <c r="W4420">
        <v>0</v>
      </c>
      <c r="X4420">
        <v>2</v>
      </c>
      <c r="Z4420">
        <v>0</v>
      </c>
      <c r="AA4420">
        <v>9</v>
      </c>
      <c r="AB4420">
        <v>3</v>
      </c>
      <c r="AC4420">
        <v>0</v>
      </c>
      <c r="AD4420">
        <v>10</v>
      </c>
      <c r="AE4420">
        <v>0</v>
      </c>
      <c r="AF4420">
        <v>3</v>
      </c>
      <c r="AG4420">
        <v>2</v>
      </c>
      <c r="AH4420">
        <v>0</v>
      </c>
      <c r="AI4420" t="s">
        <v>2455</v>
      </c>
      <c r="AJ4420">
        <v>40.157175000000002</v>
      </c>
      <c r="AK4420" t="s">
        <v>2456</v>
      </c>
      <c r="AL4420">
        <v>-93.208929999999995</v>
      </c>
      <c r="AM4420">
        <v>100</v>
      </c>
      <c r="AN4420">
        <v>1300</v>
      </c>
      <c r="AO4420" t="s">
        <v>118</v>
      </c>
      <c r="AP4420">
        <v>-133</v>
      </c>
      <c r="AQ4420">
        <v>-34</v>
      </c>
      <c r="AR4420">
        <v>0</v>
      </c>
      <c r="AZ4420">
        <v>1200</v>
      </c>
      <c r="BA4420">
        <v>1</v>
      </c>
      <c r="BB4420" t="str">
        <f t="shared" si="219"/>
        <v xml:space="preserve">N8080G  </v>
      </c>
      <c r="BC4420">
        <v>1</v>
      </c>
      <c r="BE4420">
        <v>0</v>
      </c>
      <c r="BF4420">
        <v>0</v>
      </c>
      <c r="BG4420">
        <v>0</v>
      </c>
      <c r="BH4420">
        <v>1325</v>
      </c>
      <c r="BI4420">
        <v>1</v>
      </c>
      <c r="BJ4420">
        <v>1</v>
      </c>
      <c r="BK4420">
        <v>1</v>
      </c>
      <c r="BL4420">
        <v>0</v>
      </c>
      <c r="BO4420">
        <v>0</v>
      </c>
      <c r="BP4420">
        <v>0</v>
      </c>
      <c r="BW4420" t="str">
        <f>"20:39:03.623"</f>
        <v>20:39:03.623</v>
      </c>
      <c r="BZ4420">
        <v>0</v>
      </c>
      <c r="CA4420">
        <v>1504</v>
      </c>
      <c r="CB4420">
        <v>224</v>
      </c>
      <c r="CD4420">
        <v>1</v>
      </c>
      <c r="CE4420">
        <v>0</v>
      </c>
      <c r="CF4420">
        <v>0</v>
      </c>
      <c r="CG4420">
        <v>0</v>
      </c>
      <c r="CH4420">
        <v>0</v>
      </c>
      <c r="CI4420">
        <v>0</v>
      </c>
      <c r="CJ4420">
        <v>0</v>
      </c>
      <c r="CK4420">
        <v>2</v>
      </c>
      <c r="CL4420">
        <v>0</v>
      </c>
      <c r="CM4420">
        <v>2</v>
      </c>
      <c r="CN4420">
        <v>0</v>
      </c>
      <c r="CO4420">
        <v>3</v>
      </c>
      <c r="CP4420" t="s">
        <v>119</v>
      </c>
      <c r="CQ4420">
        <v>180</v>
      </c>
      <c r="CR4420">
        <v>3</v>
      </c>
      <c r="CW4420">
        <v>1427688</v>
      </c>
      <c r="CY4420">
        <v>0</v>
      </c>
      <c r="CZ4420">
        <v>0</v>
      </c>
      <c r="DA4420">
        <v>1</v>
      </c>
      <c r="DB4420">
        <v>0</v>
      </c>
      <c r="DC4420">
        <v>0</v>
      </c>
      <c r="DD4420">
        <v>0</v>
      </c>
      <c r="DE4420">
        <v>0</v>
      </c>
      <c r="DF4420">
        <v>0</v>
      </c>
      <c r="DG4420">
        <v>0</v>
      </c>
      <c r="DH4420">
        <v>0</v>
      </c>
      <c r="DI4420">
        <v>0</v>
      </c>
    </row>
    <row r="4421" spans="1:113" x14ac:dyDescent="0.3">
      <c r="A4421" t="str">
        <f>"02/08/2021 20:39:01.301"</f>
        <v>02/08/2021 20:39:01.301</v>
      </c>
      <c r="C4421" t="str">
        <f t="shared" si="218"/>
        <v>FFDFD7C0</v>
      </c>
      <c r="D4421" t="s">
        <v>124</v>
      </c>
      <c r="E4421">
        <v>11</v>
      </c>
      <c r="F4421">
        <v>1011</v>
      </c>
      <c r="G4421" t="s">
        <v>590</v>
      </c>
      <c r="J4421" t="s">
        <v>125</v>
      </c>
      <c r="K4421">
        <v>0</v>
      </c>
      <c r="L4421">
        <v>3</v>
      </c>
      <c r="M4421">
        <v>0</v>
      </c>
      <c r="N4421">
        <v>2</v>
      </c>
      <c r="O4421">
        <v>1</v>
      </c>
      <c r="P4421">
        <v>0</v>
      </c>
      <c r="Q4421">
        <v>0</v>
      </c>
      <c r="S4421" t="str">
        <f>"20:39:03.617"</f>
        <v>20:39:03.617</v>
      </c>
      <c r="T4421" t="str">
        <f>"20:39:03.117"</f>
        <v>20:39:03.117</v>
      </c>
      <c r="U4421" t="str">
        <f t="shared" si="220"/>
        <v>AB01F4</v>
      </c>
      <c r="V4421">
        <v>0</v>
      </c>
      <c r="W4421">
        <v>0</v>
      </c>
      <c r="X4421">
        <v>2</v>
      </c>
      <c r="Z4421">
        <v>0</v>
      </c>
      <c r="AA4421">
        <v>9</v>
      </c>
      <c r="AB4421">
        <v>3</v>
      </c>
      <c r="AC4421">
        <v>0</v>
      </c>
      <c r="AD4421">
        <v>10</v>
      </c>
      <c r="AE4421">
        <v>0</v>
      </c>
      <c r="AF4421">
        <v>3</v>
      </c>
      <c r="AG4421">
        <v>2</v>
      </c>
      <c r="AH4421">
        <v>0</v>
      </c>
      <c r="AI4421" t="s">
        <v>2455</v>
      </c>
      <c r="AJ4421">
        <v>40.157175000000002</v>
      </c>
      <c r="AK4421" t="s">
        <v>2456</v>
      </c>
      <c r="AL4421">
        <v>-93.208929999999995</v>
      </c>
      <c r="AM4421">
        <v>100</v>
      </c>
      <c r="AN4421">
        <v>1300</v>
      </c>
      <c r="AO4421" t="s">
        <v>118</v>
      </c>
      <c r="AP4421">
        <v>-133</v>
      </c>
      <c r="AQ4421">
        <v>-34</v>
      </c>
      <c r="AR4421">
        <v>0</v>
      </c>
      <c r="AZ4421">
        <v>1200</v>
      </c>
      <c r="BA4421">
        <v>1</v>
      </c>
      <c r="BB4421" t="str">
        <f t="shared" si="219"/>
        <v xml:space="preserve">N8080G  </v>
      </c>
      <c r="BC4421">
        <v>1</v>
      </c>
      <c r="BE4421">
        <v>0</v>
      </c>
      <c r="BF4421">
        <v>0</v>
      </c>
      <c r="BG4421">
        <v>0</v>
      </c>
      <c r="BH4421">
        <v>1325</v>
      </c>
      <c r="BI4421">
        <v>1</v>
      </c>
      <c r="BJ4421">
        <v>1</v>
      </c>
      <c r="BK4421">
        <v>1</v>
      </c>
      <c r="BL4421">
        <v>0</v>
      </c>
      <c r="BO4421">
        <v>0</v>
      </c>
      <c r="BP4421">
        <v>0</v>
      </c>
      <c r="BW4421" t="str">
        <f>"20:39:03.623"</f>
        <v>20:39:03.623</v>
      </c>
      <c r="BZ4421">
        <v>0</v>
      </c>
      <c r="CA4421">
        <v>1504</v>
      </c>
      <c r="CB4421">
        <v>224</v>
      </c>
      <c r="CD4421">
        <v>1</v>
      </c>
      <c r="CE4421">
        <v>0</v>
      </c>
      <c r="CF4421">
        <v>0</v>
      </c>
      <c r="CG4421">
        <v>0</v>
      </c>
      <c r="CH4421">
        <v>0</v>
      </c>
      <c r="CI4421">
        <v>0</v>
      </c>
      <c r="CJ4421">
        <v>0</v>
      </c>
      <c r="CK4421">
        <v>2</v>
      </c>
      <c r="CL4421">
        <v>0</v>
      </c>
      <c r="CM4421">
        <v>2</v>
      </c>
      <c r="CN4421">
        <v>0</v>
      </c>
      <c r="CO4421">
        <v>3</v>
      </c>
      <c r="CP4421" t="s">
        <v>119</v>
      </c>
      <c r="CQ4421">
        <v>180</v>
      </c>
      <c r="CR4421">
        <v>3</v>
      </c>
      <c r="CW4421">
        <v>1427688</v>
      </c>
      <c r="CY4421">
        <v>0</v>
      </c>
      <c r="CZ4421">
        <v>0</v>
      </c>
      <c r="DA4421">
        <v>1</v>
      </c>
      <c r="DB4421">
        <v>0</v>
      </c>
      <c r="DC4421">
        <v>0</v>
      </c>
      <c r="DD4421">
        <v>0</v>
      </c>
      <c r="DE4421">
        <v>0</v>
      </c>
      <c r="DF4421">
        <v>0</v>
      </c>
      <c r="DG4421">
        <v>0</v>
      </c>
      <c r="DH4421">
        <v>0</v>
      </c>
      <c r="DI4421">
        <v>0</v>
      </c>
    </row>
    <row r="4422" spans="1:113" x14ac:dyDescent="0.3">
      <c r="A4422" t="str">
        <f>"02/08/2021 20:39:01.301"</f>
        <v>02/08/2021 20:39:01.301</v>
      </c>
      <c r="C4422" t="str">
        <f t="shared" si="218"/>
        <v>FFDFD7C0</v>
      </c>
      <c r="D4422" t="s">
        <v>124</v>
      </c>
      <c r="E4422">
        <v>13</v>
      </c>
      <c r="F4422">
        <v>1013</v>
      </c>
      <c r="G4422" t="s">
        <v>114</v>
      </c>
      <c r="J4422" t="s">
        <v>125</v>
      </c>
      <c r="K4422">
        <v>0</v>
      </c>
      <c r="L4422">
        <v>3</v>
      </c>
      <c r="M4422">
        <v>0</v>
      </c>
      <c r="N4422">
        <v>2</v>
      </c>
      <c r="O4422">
        <v>1</v>
      </c>
      <c r="P4422">
        <v>0</v>
      </c>
      <c r="Q4422">
        <v>0</v>
      </c>
      <c r="S4422" t="str">
        <f>"20:39:03.617"</f>
        <v>20:39:03.617</v>
      </c>
      <c r="T4422" t="str">
        <f>"20:39:03.117"</f>
        <v>20:39:03.117</v>
      </c>
      <c r="U4422" t="str">
        <f t="shared" si="220"/>
        <v>AB01F4</v>
      </c>
      <c r="V4422">
        <v>0</v>
      </c>
      <c r="W4422">
        <v>0</v>
      </c>
      <c r="X4422">
        <v>2</v>
      </c>
      <c r="Z4422">
        <v>0</v>
      </c>
      <c r="AA4422">
        <v>9</v>
      </c>
      <c r="AB4422">
        <v>3</v>
      </c>
      <c r="AC4422">
        <v>0</v>
      </c>
      <c r="AD4422">
        <v>10</v>
      </c>
      <c r="AE4422">
        <v>0</v>
      </c>
      <c r="AF4422">
        <v>3</v>
      </c>
      <c r="AG4422">
        <v>2</v>
      </c>
      <c r="AH4422">
        <v>0</v>
      </c>
      <c r="AI4422" t="s">
        <v>2455</v>
      </c>
      <c r="AJ4422">
        <v>40.157175000000002</v>
      </c>
      <c r="AK4422" t="s">
        <v>2456</v>
      </c>
      <c r="AL4422">
        <v>-93.208929999999995</v>
      </c>
      <c r="AM4422">
        <v>100</v>
      </c>
      <c r="AN4422">
        <v>1300</v>
      </c>
      <c r="AO4422" t="s">
        <v>118</v>
      </c>
      <c r="AP4422">
        <v>-133</v>
      </c>
      <c r="AQ4422">
        <v>-34</v>
      </c>
      <c r="AR4422">
        <v>0</v>
      </c>
      <c r="AZ4422">
        <v>1200</v>
      </c>
      <c r="BA4422">
        <v>1</v>
      </c>
      <c r="BB4422" t="str">
        <f t="shared" si="219"/>
        <v xml:space="preserve">N8080G  </v>
      </c>
      <c r="BC4422">
        <v>1</v>
      </c>
      <c r="BE4422">
        <v>0</v>
      </c>
      <c r="BF4422">
        <v>0</v>
      </c>
      <c r="BG4422">
        <v>0</v>
      </c>
      <c r="BH4422">
        <v>1325</v>
      </c>
      <c r="BI4422">
        <v>1</v>
      </c>
      <c r="BJ4422">
        <v>1</v>
      </c>
      <c r="BK4422">
        <v>1</v>
      </c>
      <c r="BL4422">
        <v>0</v>
      </c>
      <c r="BO4422">
        <v>0</v>
      </c>
      <c r="BP4422">
        <v>0</v>
      </c>
      <c r="BW4422" t="str">
        <f>"20:39:03.623"</f>
        <v>20:39:03.623</v>
      </c>
      <c r="BZ4422">
        <v>0</v>
      </c>
      <c r="CA4422">
        <v>1504</v>
      </c>
      <c r="CB4422">
        <v>224</v>
      </c>
      <c r="CD4422">
        <v>1</v>
      </c>
      <c r="CE4422">
        <v>0</v>
      </c>
      <c r="CF4422">
        <v>0</v>
      </c>
      <c r="CG4422">
        <v>0</v>
      </c>
      <c r="CH4422">
        <v>0</v>
      </c>
      <c r="CI4422">
        <v>0</v>
      </c>
      <c r="CJ4422">
        <v>0</v>
      </c>
      <c r="CK4422">
        <v>2</v>
      </c>
      <c r="CL4422">
        <v>0</v>
      </c>
      <c r="CM4422">
        <v>2</v>
      </c>
      <c r="CN4422">
        <v>0</v>
      </c>
      <c r="CO4422">
        <v>3</v>
      </c>
      <c r="CP4422" t="s">
        <v>119</v>
      </c>
      <c r="CQ4422">
        <v>180</v>
      </c>
      <c r="CR4422">
        <v>3</v>
      </c>
      <c r="CW4422">
        <v>1427688</v>
      </c>
      <c r="CY4422">
        <v>0</v>
      </c>
      <c r="CZ4422">
        <v>0</v>
      </c>
      <c r="DA4422">
        <v>1</v>
      </c>
      <c r="DB4422">
        <v>0</v>
      </c>
      <c r="DC4422">
        <v>0</v>
      </c>
      <c r="DD4422">
        <v>0</v>
      </c>
      <c r="DE4422">
        <v>0</v>
      </c>
      <c r="DF4422">
        <v>0</v>
      </c>
      <c r="DG4422">
        <v>0</v>
      </c>
      <c r="DH4422">
        <v>0</v>
      </c>
      <c r="DI4422">
        <v>0</v>
      </c>
    </row>
    <row r="4423" spans="1:113" x14ac:dyDescent="0.3">
      <c r="A4423" t="str">
        <f>"02/08/2021 20:39:02.256"</f>
        <v>02/08/2021 20:39:02.256</v>
      </c>
      <c r="C4423" t="str">
        <f t="shared" si="218"/>
        <v>FFDFD7C0</v>
      </c>
      <c r="D4423" t="s">
        <v>124</v>
      </c>
      <c r="E4423">
        <v>12</v>
      </c>
      <c r="F4423">
        <v>1012</v>
      </c>
      <c r="G4423" t="s">
        <v>675</v>
      </c>
      <c r="J4423" t="s">
        <v>125</v>
      </c>
      <c r="K4423">
        <v>0</v>
      </c>
      <c r="L4423">
        <v>3</v>
      </c>
      <c r="M4423">
        <v>0</v>
      </c>
      <c r="N4423">
        <v>2</v>
      </c>
      <c r="O4423">
        <v>1</v>
      </c>
      <c r="P4423">
        <v>0</v>
      </c>
      <c r="Q4423">
        <v>0</v>
      </c>
      <c r="S4423" t="str">
        <f>"20:39:04.570"</f>
        <v>20:39:04.570</v>
      </c>
      <c r="T4423" t="str">
        <f>"20:39:04.070"</f>
        <v>20:39:04.070</v>
      </c>
      <c r="U4423" t="str">
        <f t="shared" si="220"/>
        <v>AB01F4</v>
      </c>
      <c r="V4423">
        <v>0</v>
      </c>
      <c r="W4423">
        <v>0</v>
      </c>
      <c r="X4423">
        <v>2</v>
      </c>
      <c r="Z4423">
        <v>0</v>
      </c>
      <c r="AA4423">
        <v>9</v>
      </c>
      <c r="AB4423">
        <v>3</v>
      </c>
      <c r="AC4423">
        <v>0</v>
      </c>
      <c r="AD4423">
        <v>10</v>
      </c>
      <c r="AE4423">
        <v>0</v>
      </c>
      <c r="AF4423">
        <v>3</v>
      </c>
      <c r="AG4423">
        <v>2</v>
      </c>
      <c r="AH4423">
        <v>0</v>
      </c>
      <c r="AI4423" t="s">
        <v>2457</v>
      </c>
      <c r="AJ4423">
        <v>40.157003000000003</v>
      </c>
      <c r="AK4423" t="s">
        <v>2458</v>
      </c>
      <c r="AL4423">
        <v>-93.209766999999999</v>
      </c>
      <c r="AM4423">
        <v>100</v>
      </c>
      <c r="AN4423">
        <v>1300</v>
      </c>
      <c r="AO4423" t="s">
        <v>118</v>
      </c>
      <c r="AP4423">
        <v>-133</v>
      </c>
      <c r="AQ4423">
        <v>-35</v>
      </c>
      <c r="AR4423">
        <v>-128</v>
      </c>
      <c r="AZ4423">
        <v>1200</v>
      </c>
      <c r="BA4423">
        <v>1</v>
      </c>
      <c r="BB4423" t="str">
        <f t="shared" si="219"/>
        <v xml:space="preserve">N8080G  </v>
      </c>
      <c r="BC4423">
        <v>1</v>
      </c>
      <c r="BE4423">
        <v>0</v>
      </c>
      <c r="BF4423">
        <v>0</v>
      </c>
      <c r="BG4423">
        <v>0</v>
      </c>
      <c r="BH4423">
        <v>1325</v>
      </c>
      <c r="BI4423">
        <v>1</v>
      </c>
      <c r="BJ4423">
        <v>1</v>
      </c>
      <c r="BK4423">
        <v>1</v>
      </c>
      <c r="BL4423">
        <v>0</v>
      </c>
      <c r="BO4423">
        <v>0</v>
      </c>
      <c r="BP4423">
        <v>0</v>
      </c>
      <c r="BW4423" t="str">
        <f>"20:39:04.570"</f>
        <v>20:39:04.570</v>
      </c>
      <c r="BZ4423">
        <v>0</v>
      </c>
      <c r="CA4423">
        <v>1504</v>
      </c>
      <c r="CB4423">
        <v>224</v>
      </c>
      <c r="CD4423">
        <v>1</v>
      </c>
      <c r="CE4423">
        <v>0</v>
      </c>
      <c r="CF4423">
        <v>0</v>
      </c>
      <c r="CG4423">
        <v>0</v>
      </c>
      <c r="CH4423">
        <v>0</v>
      </c>
      <c r="CI4423">
        <v>0</v>
      </c>
      <c r="CJ4423">
        <v>0</v>
      </c>
      <c r="CK4423">
        <v>2</v>
      </c>
      <c r="CL4423">
        <v>0</v>
      </c>
      <c r="CM4423">
        <v>2</v>
      </c>
      <c r="CN4423">
        <v>0</v>
      </c>
      <c r="CO4423">
        <v>3</v>
      </c>
      <c r="CP4423" t="s">
        <v>119</v>
      </c>
      <c r="CQ4423">
        <v>180</v>
      </c>
      <c r="CR4423">
        <v>3</v>
      </c>
      <c r="CW4423">
        <v>1428389</v>
      </c>
      <c r="CY4423">
        <v>0</v>
      </c>
      <c r="CZ4423">
        <v>0</v>
      </c>
      <c r="DA4423">
        <v>0</v>
      </c>
      <c r="DB4423">
        <v>0</v>
      </c>
      <c r="DC4423">
        <v>0</v>
      </c>
      <c r="DD4423">
        <v>0</v>
      </c>
      <c r="DE4423">
        <v>0</v>
      </c>
      <c r="DF4423">
        <v>0</v>
      </c>
      <c r="DG4423">
        <v>0</v>
      </c>
      <c r="DH4423">
        <v>0</v>
      </c>
      <c r="DI4423">
        <v>0</v>
      </c>
    </row>
    <row r="4424" spans="1:113" x14ac:dyDescent="0.3">
      <c r="A4424" t="str">
        <f>"02/08/2021 20:39:02.256"</f>
        <v>02/08/2021 20:39:02.256</v>
      </c>
      <c r="C4424" t="str">
        <f t="shared" si="218"/>
        <v>FFDFD7C0</v>
      </c>
      <c r="D4424" t="s">
        <v>113</v>
      </c>
      <c r="E4424">
        <v>6</v>
      </c>
      <c r="H4424">
        <v>165</v>
      </c>
      <c r="I4424" t="s">
        <v>114</v>
      </c>
      <c r="J4424" t="s">
        <v>115</v>
      </c>
      <c r="K4424">
        <v>0</v>
      </c>
      <c r="L4424">
        <v>3</v>
      </c>
      <c r="M4424">
        <v>0</v>
      </c>
      <c r="N4424">
        <v>2</v>
      </c>
      <c r="O4424">
        <v>1</v>
      </c>
      <c r="P4424">
        <v>0</v>
      </c>
      <c r="Q4424">
        <v>0</v>
      </c>
      <c r="S4424" t="str">
        <f>"20:39:04.570"</f>
        <v>20:39:04.570</v>
      </c>
      <c r="T4424" t="str">
        <f>"20:39:04.070"</f>
        <v>20:39:04.070</v>
      </c>
      <c r="U4424" t="str">
        <f t="shared" si="220"/>
        <v>AB01F4</v>
      </c>
      <c r="V4424">
        <v>0</v>
      </c>
      <c r="W4424">
        <v>0</v>
      </c>
      <c r="X4424">
        <v>2</v>
      </c>
      <c r="Z4424">
        <v>0</v>
      </c>
      <c r="AA4424">
        <v>9</v>
      </c>
      <c r="AB4424">
        <v>3</v>
      </c>
      <c r="AC4424">
        <v>0</v>
      </c>
      <c r="AD4424">
        <v>10</v>
      </c>
      <c r="AE4424">
        <v>0</v>
      </c>
      <c r="AF4424">
        <v>3</v>
      </c>
      <c r="AG4424">
        <v>2</v>
      </c>
      <c r="AH4424">
        <v>0</v>
      </c>
      <c r="AI4424" t="s">
        <v>2457</v>
      </c>
      <c r="AJ4424">
        <v>40.157003000000003</v>
      </c>
      <c r="AK4424" t="s">
        <v>2458</v>
      </c>
      <c r="AL4424">
        <v>-93.209766999999999</v>
      </c>
      <c r="AM4424">
        <v>100</v>
      </c>
      <c r="AN4424">
        <v>1300</v>
      </c>
      <c r="AO4424" t="s">
        <v>118</v>
      </c>
      <c r="AP4424">
        <v>-133</v>
      </c>
      <c r="AQ4424">
        <v>-35</v>
      </c>
      <c r="AR4424">
        <v>-128</v>
      </c>
      <c r="AZ4424">
        <v>1200</v>
      </c>
      <c r="BA4424">
        <v>1</v>
      </c>
      <c r="BB4424" t="str">
        <f t="shared" si="219"/>
        <v xml:space="preserve">N8080G  </v>
      </c>
      <c r="BC4424">
        <v>1</v>
      </c>
      <c r="BE4424">
        <v>0</v>
      </c>
      <c r="BF4424">
        <v>0</v>
      </c>
      <c r="BG4424">
        <v>0</v>
      </c>
      <c r="BH4424">
        <v>1325</v>
      </c>
      <c r="BI4424">
        <v>1</v>
      </c>
      <c r="BJ4424">
        <v>1</v>
      </c>
      <c r="BK4424">
        <v>1</v>
      </c>
      <c r="BL4424">
        <v>0</v>
      </c>
      <c r="BO4424">
        <v>0</v>
      </c>
      <c r="BP4424">
        <v>0</v>
      </c>
      <c r="BW4424" t="str">
        <f>"20:39:04.570"</f>
        <v>20:39:04.570</v>
      </c>
      <c r="BZ4424">
        <v>0</v>
      </c>
      <c r="CA4424">
        <v>1504</v>
      </c>
      <c r="CB4424">
        <v>224</v>
      </c>
      <c r="CD4424">
        <v>1</v>
      </c>
      <c r="CE4424">
        <v>0</v>
      </c>
      <c r="CF4424">
        <v>0</v>
      </c>
      <c r="CG4424">
        <v>0</v>
      </c>
      <c r="CH4424">
        <v>0</v>
      </c>
      <c r="CI4424">
        <v>0</v>
      </c>
      <c r="CJ4424">
        <v>0</v>
      </c>
      <c r="CK4424">
        <v>2</v>
      </c>
      <c r="CL4424">
        <v>0</v>
      </c>
      <c r="CM4424">
        <v>2</v>
      </c>
      <c r="CN4424">
        <v>0</v>
      </c>
      <c r="CO4424">
        <v>3</v>
      </c>
      <c r="CP4424" t="s">
        <v>119</v>
      </c>
      <c r="CQ4424">
        <v>180</v>
      </c>
      <c r="CR4424">
        <v>3</v>
      </c>
      <c r="CW4424">
        <v>1428389</v>
      </c>
      <c r="CY4424">
        <v>0</v>
      </c>
      <c r="CZ4424">
        <v>0</v>
      </c>
      <c r="DA4424">
        <v>1</v>
      </c>
      <c r="DB4424">
        <v>0</v>
      </c>
      <c r="DC4424">
        <v>0</v>
      </c>
      <c r="DD4424">
        <v>0</v>
      </c>
      <c r="DE4424">
        <v>0</v>
      </c>
      <c r="DF4424">
        <v>0</v>
      </c>
      <c r="DG4424">
        <v>0</v>
      </c>
      <c r="DH4424">
        <v>0</v>
      </c>
      <c r="DI4424">
        <v>0</v>
      </c>
    </row>
    <row r="4425" spans="1:113" x14ac:dyDescent="0.3">
      <c r="A4425" t="str">
        <f>"02/08/2021 20:39:02.256"</f>
        <v>02/08/2021 20:39:02.256</v>
      </c>
      <c r="C4425" t="str">
        <f t="shared" si="218"/>
        <v>FFDFD7C0</v>
      </c>
      <c r="D4425" t="s">
        <v>124</v>
      </c>
      <c r="E4425">
        <v>11</v>
      </c>
      <c r="F4425">
        <v>1011</v>
      </c>
      <c r="G4425" t="s">
        <v>590</v>
      </c>
      <c r="J4425" t="s">
        <v>125</v>
      </c>
      <c r="K4425">
        <v>0</v>
      </c>
      <c r="L4425">
        <v>3</v>
      </c>
      <c r="M4425">
        <v>0</v>
      </c>
      <c r="N4425">
        <v>2</v>
      </c>
      <c r="O4425">
        <v>1</v>
      </c>
      <c r="P4425">
        <v>0</v>
      </c>
      <c r="Q4425">
        <v>0</v>
      </c>
      <c r="S4425" t="str">
        <f>"20:39:04.570"</f>
        <v>20:39:04.570</v>
      </c>
      <c r="T4425" t="str">
        <f>"20:39:04.070"</f>
        <v>20:39:04.070</v>
      </c>
      <c r="U4425" t="str">
        <f t="shared" si="220"/>
        <v>AB01F4</v>
      </c>
      <c r="V4425">
        <v>0</v>
      </c>
      <c r="W4425">
        <v>0</v>
      </c>
      <c r="X4425">
        <v>2</v>
      </c>
      <c r="Z4425">
        <v>0</v>
      </c>
      <c r="AA4425">
        <v>9</v>
      </c>
      <c r="AB4425">
        <v>3</v>
      </c>
      <c r="AC4425">
        <v>0</v>
      </c>
      <c r="AD4425">
        <v>10</v>
      </c>
      <c r="AE4425">
        <v>0</v>
      </c>
      <c r="AF4425">
        <v>3</v>
      </c>
      <c r="AG4425">
        <v>2</v>
      </c>
      <c r="AH4425">
        <v>0</v>
      </c>
      <c r="AI4425" t="s">
        <v>2457</v>
      </c>
      <c r="AJ4425">
        <v>40.157003000000003</v>
      </c>
      <c r="AK4425" t="s">
        <v>2458</v>
      </c>
      <c r="AL4425">
        <v>-93.209766999999999</v>
      </c>
      <c r="AM4425">
        <v>100</v>
      </c>
      <c r="AN4425">
        <v>1300</v>
      </c>
      <c r="AO4425" t="s">
        <v>118</v>
      </c>
      <c r="AP4425">
        <v>-133</v>
      </c>
      <c r="AQ4425">
        <v>-35</v>
      </c>
      <c r="AR4425">
        <v>-128</v>
      </c>
      <c r="AZ4425">
        <v>1200</v>
      </c>
      <c r="BA4425">
        <v>1</v>
      </c>
      <c r="BB4425" t="str">
        <f t="shared" si="219"/>
        <v xml:space="preserve">N8080G  </v>
      </c>
      <c r="BC4425">
        <v>1</v>
      </c>
      <c r="BE4425">
        <v>0</v>
      </c>
      <c r="BF4425">
        <v>0</v>
      </c>
      <c r="BG4425">
        <v>0</v>
      </c>
      <c r="BH4425">
        <v>1325</v>
      </c>
      <c r="BI4425">
        <v>1</v>
      </c>
      <c r="BJ4425">
        <v>1</v>
      </c>
      <c r="BK4425">
        <v>1</v>
      </c>
      <c r="BL4425">
        <v>0</v>
      </c>
      <c r="BO4425">
        <v>0</v>
      </c>
      <c r="BP4425">
        <v>0</v>
      </c>
      <c r="BW4425" t="str">
        <f>"20:39:04.570"</f>
        <v>20:39:04.570</v>
      </c>
      <c r="BZ4425">
        <v>0</v>
      </c>
      <c r="CA4425">
        <v>1504</v>
      </c>
      <c r="CB4425">
        <v>224</v>
      </c>
      <c r="CD4425">
        <v>1</v>
      </c>
      <c r="CE4425">
        <v>0</v>
      </c>
      <c r="CF4425">
        <v>0</v>
      </c>
      <c r="CG4425">
        <v>0</v>
      </c>
      <c r="CH4425">
        <v>0</v>
      </c>
      <c r="CI4425">
        <v>0</v>
      </c>
      <c r="CJ4425">
        <v>0</v>
      </c>
      <c r="CK4425">
        <v>2</v>
      </c>
      <c r="CL4425">
        <v>0</v>
      </c>
      <c r="CM4425">
        <v>2</v>
      </c>
      <c r="CN4425">
        <v>0</v>
      </c>
      <c r="CO4425">
        <v>3</v>
      </c>
      <c r="CP4425" t="s">
        <v>119</v>
      </c>
      <c r="CQ4425">
        <v>180</v>
      </c>
      <c r="CR4425">
        <v>3</v>
      </c>
      <c r="CW4425">
        <v>1428389</v>
      </c>
      <c r="CY4425">
        <v>0</v>
      </c>
      <c r="CZ4425">
        <v>0</v>
      </c>
      <c r="DA4425">
        <v>1</v>
      </c>
      <c r="DB4425">
        <v>0</v>
      </c>
      <c r="DC4425">
        <v>0</v>
      </c>
      <c r="DD4425">
        <v>0</v>
      </c>
      <c r="DE4425">
        <v>0</v>
      </c>
      <c r="DF4425">
        <v>0</v>
      </c>
      <c r="DG4425">
        <v>0</v>
      </c>
      <c r="DH4425">
        <v>0</v>
      </c>
      <c r="DI4425">
        <v>0</v>
      </c>
    </row>
    <row r="4426" spans="1:113" x14ac:dyDescent="0.3">
      <c r="A4426" t="str">
        <f>"02/08/2021 20:39:02.256"</f>
        <v>02/08/2021 20:39:02.256</v>
      </c>
      <c r="C4426" t="str">
        <f t="shared" si="218"/>
        <v>FFDFD7C0</v>
      </c>
      <c r="D4426" t="s">
        <v>124</v>
      </c>
      <c r="E4426">
        <v>13</v>
      </c>
      <c r="F4426">
        <v>1013</v>
      </c>
      <c r="G4426" t="s">
        <v>114</v>
      </c>
      <c r="J4426" t="s">
        <v>125</v>
      </c>
      <c r="K4426">
        <v>0</v>
      </c>
      <c r="L4426">
        <v>3</v>
      </c>
      <c r="M4426">
        <v>0</v>
      </c>
      <c r="N4426">
        <v>2</v>
      </c>
      <c r="O4426">
        <v>1</v>
      </c>
      <c r="P4426">
        <v>0</v>
      </c>
      <c r="Q4426">
        <v>0</v>
      </c>
      <c r="S4426" t="str">
        <f>"20:39:04.570"</f>
        <v>20:39:04.570</v>
      </c>
      <c r="T4426" t="str">
        <f>"20:39:04.070"</f>
        <v>20:39:04.070</v>
      </c>
      <c r="U4426" t="str">
        <f t="shared" si="220"/>
        <v>AB01F4</v>
      </c>
      <c r="V4426">
        <v>0</v>
      </c>
      <c r="W4426">
        <v>0</v>
      </c>
      <c r="X4426">
        <v>2</v>
      </c>
      <c r="Z4426">
        <v>0</v>
      </c>
      <c r="AA4426">
        <v>9</v>
      </c>
      <c r="AB4426">
        <v>3</v>
      </c>
      <c r="AC4426">
        <v>0</v>
      </c>
      <c r="AD4426">
        <v>10</v>
      </c>
      <c r="AE4426">
        <v>0</v>
      </c>
      <c r="AF4426">
        <v>3</v>
      </c>
      <c r="AG4426">
        <v>2</v>
      </c>
      <c r="AH4426">
        <v>0</v>
      </c>
      <c r="AI4426" t="s">
        <v>2457</v>
      </c>
      <c r="AJ4426">
        <v>40.157003000000003</v>
      </c>
      <c r="AK4426" t="s">
        <v>2458</v>
      </c>
      <c r="AL4426">
        <v>-93.209766999999999</v>
      </c>
      <c r="AM4426">
        <v>100</v>
      </c>
      <c r="AN4426">
        <v>1300</v>
      </c>
      <c r="AO4426" t="s">
        <v>118</v>
      </c>
      <c r="AP4426">
        <v>-133</v>
      </c>
      <c r="AQ4426">
        <v>-35</v>
      </c>
      <c r="AR4426">
        <v>-128</v>
      </c>
      <c r="AZ4426">
        <v>1200</v>
      </c>
      <c r="BA4426">
        <v>1</v>
      </c>
      <c r="BB4426" t="str">
        <f t="shared" si="219"/>
        <v xml:space="preserve">N8080G  </v>
      </c>
      <c r="BC4426">
        <v>1</v>
      </c>
      <c r="BE4426">
        <v>0</v>
      </c>
      <c r="BF4426">
        <v>0</v>
      </c>
      <c r="BG4426">
        <v>0</v>
      </c>
      <c r="BH4426">
        <v>1325</v>
      </c>
      <c r="BI4426">
        <v>1</v>
      </c>
      <c r="BJ4426">
        <v>1</v>
      </c>
      <c r="BK4426">
        <v>1</v>
      </c>
      <c r="BL4426">
        <v>0</v>
      </c>
      <c r="BO4426">
        <v>0</v>
      </c>
      <c r="BP4426">
        <v>0</v>
      </c>
      <c r="BW4426" t="str">
        <f>"20:39:04.570"</f>
        <v>20:39:04.570</v>
      </c>
      <c r="BZ4426">
        <v>0</v>
      </c>
      <c r="CA4426">
        <v>1504</v>
      </c>
      <c r="CB4426">
        <v>224</v>
      </c>
      <c r="CD4426">
        <v>1</v>
      </c>
      <c r="CE4426">
        <v>0</v>
      </c>
      <c r="CF4426">
        <v>0</v>
      </c>
      <c r="CG4426">
        <v>0</v>
      </c>
      <c r="CH4426">
        <v>0</v>
      </c>
      <c r="CI4426">
        <v>0</v>
      </c>
      <c r="CJ4426">
        <v>0</v>
      </c>
      <c r="CK4426">
        <v>2</v>
      </c>
      <c r="CL4426">
        <v>0</v>
      </c>
      <c r="CM4426">
        <v>2</v>
      </c>
      <c r="CN4426">
        <v>0</v>
      </c>
      <c r="CO4426">
        <v>3</v>
      </c>
      <c r="CP4426" t="s">
        <v>119</v>
      </c>
      <c r="CQ4426">
        <v>180</v>
      </c>
      <c r="CR4426">
        <v>3</v>
      </c>
      <c r="CW4426">
        <v>1428389</v>
      </c>
      <c r="CY4426">
        <v>0</v>
      </c>
      <c r="CZ4426">
        <v>0</v>
      </c>
      <c r="DA4426">
        <v>1</v>
      </c>
      <c r="DB4426">
        <v>0</v>
      </c>
      <c r="DC4426">
        <v>0</v>
      </c>
      <c r="DD4426">
        <v>0</v>
      </c>
      <c r="DE4426">
        <v>0</v>
      </c>
      <c r="DF4426">
        <v>0</v>
      </c>
      <c r="DG4426">
        <v>0</v>
      </c>
      <c r="DH4426">
        <v>0</v>
      </c>
      <c r="DI4426">
        <v>0</v>
      </c>
    </row>
    <row r="4427" spans="1:113" x14ac:dyDescent="0.3">
      <c r="A4427" t="str">
        <f>"02/08/2021 20:39:03.235"</f>
        <v>02/08/2021 20:39:03.235</v>
      </c>
      <c r="C4427" t="str">
        <f t="shared" si="218"/>
        <v>FFDFD7C0</v>
      </c>
      <c r="D4427" t="s">
        <v>113</v>
      </c>
      <c r="E4427">
        <v>6</v>
      </c>
      <c r="H4427">
        <v>165</v>
      </c>
      <c r="I4427" t="s">
        <v>114</v>
      </c>
      <c r="J4427" t="s">
        <v>115</v>
      </c>
      <c r="K4427">
        <v>0</v>
      </c>
      <c r="L4427">
        <v>3</v>
      </c>
      <c r="M4427">
        <v>0</v>
      </c>
      <c r="N4427">
        <v>2</v>
      </c>
      <c r="O4427">
        <v>1</v>
      </c>
      <c r="P4427">
        <v>0</v>
      </c>
      <c r="Q4427">
        <v>0</v>
      </c>
      <c r="S4427" t="str">
        <f>"20:39:05.563"</f>
        <v>20:39:05.563</v>
      </c>
      <c r="T4427" t="str">
        <f>"20:39:05.063"</f>
        <v>20:39:05.063</v>
      </c>
      <c r="U4427" t="str">
        <f t="shared" si="220"/>
        <v>AB01F4</v>
      </c>
      <c r="V4427">
        <v>0</v>
      </c>
      <c r="W4427">
        <v>0</v>
      </c>
      <c r="X4427">
        <v>2</v>
      </c>
      <c r="Z4427">
        <v>0</v>
      </c>
      <c r="AA4427">
        <v>9</v>
      </c>
      <c r="AB4427">
        <v>3</v>
      </c>
      <c r="AC4427">
        <v>0</v>
      </c>
      <c r="AD4427">
        <v>10</v>
      </c>
      <c r="AE4427">
        <v>0</v>
      </c>
      <c r="AF4427">
        <v>3</v>
      </c>
      <c r="AG4427">
        <v>2</v>
      </c>
      <c r="AH4427">
        <v>0</v>
      </c>
      <c r="AI4427" t="s">
        <v>2459</v>
      </c>
      <c r="AJ4427">
        <v>40.156852999999998</v>
      </c>
      <c r="AK4427" t="s">
        <v>2460</v>
      </c>
      <c r="AL4427">
        <v>-93.210560999999998</v>
      </c>
      <c r="AM4427">
        <v>100</v>
      </c>
      <c r="AN4427">
        <v>1300</v>
      </c>
      <c r="AO4427" t="s">
        <v>118</v>
      </c>
      <c r="AP4427">
        <v>-133</v>
      </c>
      <c r="AQ4427">
        <v>-35</v>
      </c>
      <c r="AR4427">
        <v>-128</v>
      </c>
      <c r="AZ4427">
        <v>1200</v>
      </c>
      <c r="BA4427">
        <v>1</v>
      </c>
      <c r="BB4427" t="str">
        <f t="shared" si="219"/>
        <v xml:space="preserve">N8080G  </v>
      </c>
      <c r="BC4427">
        <v>1</v>
      </c>
      <c r="BE4427">
        <v>0</v>
      </c>
      <c r="BF4427">
        <v>0</v>
      </c>
      <c r="BG4427">
        <v>0</v>
      </c>
      <c r="BH4427">
        <v>1325</v>
      </c>
      <c r="BI4427">
        <v>1</v>
      </c>
      <c r="BJ4427">
        <v>1</v>
      </c>
      <c r="BK4427">
        <v>1</v>
      </c>
      <c r="BL4427">
        <v>0</v>
      </c>
      <c r="BO4427">
        <v>0</v>
      </c>
      <c r="BP4427">
        <v>0</v>
      </c>
      <c r="BW4427" t="str">
        <f>"20:39:05.568"</f>
        <v>20:39:05.568</v>
      </c>
      <c r="BZ4427">
        <v>0</v>
      </c>
      <c r="CA4427">
        <v>1504</v>
      </c>
      <c r="CB4427">
        <v>224</v>
      </c>
      <c r="CD4427">
        <v>1</v>
      </c>
      <c r="CE4427">
        <v>0</v>
      </c>
      <c r="CF4427">
        <v>0</v>
      </c>
      <c r="CG4427">
        <v>0</v>
      </c>
      <c r="CH4427">
        <v>0</v>
      </c>
      <c r="CI4427">
        <v>0</v>
      </c>
      <c r="CJ4427">
        <v>0</v>
      </c>
      <c r="CK4427">
        <v>2</v>
      </c>
      <c r="CL4427">
        <v>0</v>
      </c>
      <c r="CM4427">
        <v>2</v>
      </c>
      <c r="CN4427">
        <v>0</v>
      </c>
      <c r="CO4427">
        <v>4</v>
      </c>
      <c r="CP4427" t="s">
        <v>119</v>
      </c>
      <c r="CQ4427">
        <v>180</v>
      </c>
      <c r="CR4427">
        <v>3</v>
      </c>
      <c r="CW4427">
        <v>1429203</v>
      </c>
      <c r="CY4427">
        <v>0</v>
      </c>
      <c r="CZ4427">
        <v>0</v>
      </c>
      <c r="DA4427">
        <v>0</v>
      </c>
      <c r="DB4427">
        <v>0</v>
      </c>
      <c r="DC4427">
        <v>0</v>
      </c>
      <c r="DD4427">
        <v>0</v>
      </c>
      <c r="DE4427">
        <v>0</v>
      </c>
      <c r="DF4427">
        <v>0</v>
      </c>
      <c r="DG4427">
        <v>0</v>
      </c>
      <c r="DH4427">
        <v>0</v>
      </c>
      <c r="DI4427">
        <v>0</v>
      </c>
    </row>
    <row r="4428" spans="1:113" x14ac:dyDescent="0.3">
      <c r="A4428" t="str">
        <f>"02/08/2021 20:39:03.235"</f>
        <v>02/08/2021 20:39:03.235</v>
      </c>
      <c r="C4428" t="str">
        <f t="shared" si="218"/>
        <v>FFDFD7C0</v>
      </c>
      <c r="D4428" t="s">
        <v>124</v>
      </c>
      <c r="E4428">
        <v>11</v>
      </c>
      <c r="F4428">
        <v>1011</v>
      </c>
      <c r="G4428" t="s">
        <v>590</v>
      </c>
      <c r="J4428" t="s">
        <v>125</v>
      </c>
      <c r="K4428">
        <v>0</v>
      </c>
      <c r="L4428">
        <v>3</v>
      </c>
      <c r="M4428">
        <v>0</v>
      </c>
      <c r="N4428">
        <v>2</v>
      </c>
      <c r="O4428">
        <v>1</v>
      </c>
      <c r="P4428">
        <v>0</v>
      </c>
      <c r="Q4428">
        <v>0</v>
      </c>
      <c r="S4428" t="str">
        <f>"20:39:05.563"</f>
        <v>20:39:05.563</v>
      </c>
      <c r="T4428" t="str">
        <f>"20:39:05.063"</f>
        <v>20:39:05.063</v>
      </c>
      <c r="U4428" t="str">
        <f t="shared" si="220"/>
        <v>AB01F4</v>
      </c>
      <c r="V4428">
        <v>0</v>
      </c>
      <c r="W4428">
        <v>0</v>
      </c>
      <c r="X4428">
        <v>2</v>
      </c>
      <c r="Z4428">
        <v>0</v>
      </c>
      <c r="AA4428">
        <v>9</v>
      </c>
      <c r="AB4428">
        <v>3</v>
      </c>
      <c r="AC4428">
        <v>0</v>
      </c>
      <c r="AD4428">
        <v>10</v>
      </c>
      <c r="AE4428">
        <v>0</v>
      </c>
      <c r="AF4428">
        <v>3</v>
      </c>
      <c r="AG4428">
        <v>2</v>
      </c>
      <c r="AH4428">
        <v>0</v>
      </c>
      <c r="AI4428" t="s">
        <v>2459</v>
      </c>
      <c r="AJ4428">
        <v>40.156852999999998</v>
      </c>
      <c r="AK4428" t="s">
        <v>2460</v>
      </c>
      <c r="AL4428">
        <v>-93.210560999999998</v>
      </c>
      <c r="AM4428">
        <v>100</v>
      </c>
      <c r="AN4428">
        <v>1300</v>
      </c>
      <c r="AO4428" t="s">
        <v>118</v>
      </c>
      <c r="AP4428">
        <v>-133</v>
      </c>
      <c r="AQ4428">
        <v>-35</v>
      </c>
      <c r="AR4428">
        <v>-128</v>
      </c>
      <c r="AZ4428">
        <v>1200</v>
      </c>
      <c r="BA4428">
        <v>1</v>
      </c>
      <c r="BB4428" t="str">
        <f t="shared" si="219"/>
        <v xml:space="preserve">N8080G  </v>
      </c>
      <c r="BC4428">
        <v>1</v>
      </c>
      <c r="BE4428">
        <v>0</v>
      </c>
      <c r="BF4428">
        <v>0</v>
      </c>
      <c r="BG4428">
        <v>0</v>
      </c>
      <c r="BH4428">
        <v>1325</v>
      </c>
      <c r="BI4428">
        <v>1</v>
      </c>
      <c r="BJ4428">
        <v>1</v>
      </c>
      <c r="BK4428">
        <v>1</v>
      </c>
      <c r="BL4428">
        <v>0</v>
      </c>
      <c r="BO4428">
        <v>0</v>
      </c>
      <c r="BP4428">
        <v>0</v>
      </c>
      <c r="BW4428" t="str">
        <f>"20:39:05.568"</f>
        <v>20:39:05.568</v>
      </c>
      <c r="BZ4428">
        <v>0</v>
      </c>
      <c r="CA4428">
        <v>1504</v>
      </c>
      <c r="CB4428">
        <v>224</v>
      </c>
      <c r="CD4428">
        <v>1</v>
      </c>
      <c r="CE4428">
        <v>0</v>
      </c>
      <c r="CF4428">
        <v>0</v>
      </c>
      <c r="CG4428">
        <v>0</v>
      </c>
      <c r="CH4428">
        <v>0</v>
      </c>
      <c r="CI4428">
        <v>0</v>
      </c>
      <c r="CJ4428">
        <v>0</v>
      </c>
      <c r="CK4428">
        <v>2</v>
      </c>
      <c r="CL4428">
        <v>0</v>
      </c>
      <c r="CM4428">
        <v>2</v>
      </c>
      <c r="CN4428">
        <v>0</v>
      </c>
      <c r="CO4428">
        <v>4</v>
      </c>
      <c r="CP4428" t="s">
        <v>119</v>
      </c>
      <c r="CQ4428">
        <v>180</v>
      </c>
      <c r="CR4428">
        <v>3</v>
      </c>
      <c r="CW4428">
        <v>1429203</v>
      </c>
      <c r="CY4428">
        <v>0</v>
      </c>
      <c r="CZ4428">
        <v>0</v>
      </c>
      <c r="DA4428">
        <v>1</v>
      </c>
      <c r="DB4428">
        <v>0</v>
      </c>
      <c r="DC4428">
        <v>0</v>
      </c>
      <c r="DD4428">
        <v>0</v>
      </c>
      <c r="DE4428">
        <v>0</v>
      </c>
      <c r="DF4428">
        <v>0</v>
      </c>
      <c r="DG4428">
        <v>0</v>
      </c>
      <c r="DH4428">
        <v>0</v>
      </c>
      <c r="DI4428">
        <v>0</v>
      </c>
    </row>
    <row r="4429" spans="1:113" x14ac:dyDescent="0.3">
      <c r="A4429" t="str">
        <f>"02/08/2021 20:39:03.235"</f>
        <v>02/08/2021 20:39:03.235</v>
      </c>
      <c r="C4429" t="str">
        <f t="shared" si="218"/>
        <v>FFDFD7C0</v>
      </c>
      <c r="D4429" t="s">
        <v>124</v>
      </c>
      <c r="E4429">
        <v>13</v>
      </c>
      <c r="F4429">
        <v>1013</v>
      </c>
      <c r="G4429" t="s">
        <v>114</v>
      </c>
      <c r="J4429" t="s">
        <v>125</v>
      </c>
      <c r="K4429">
        <v>0</v>
      </c>
      <c r="L4429">
        <v>3</v>
      </c>
      <c r="M4429">
        <v>0</v>
      </c>
      <c r="N4429">
        <v>2</v>
      </c>
      <c r="O4429">
        <v>1</v>
      </c>
      <c r="P4429">
        <v>0</v>
      </c>
      <c r="Q4429">
        <v>0</v>
      </c>
      <c r="S4429" t="str">
        <f>"20:39:05.563"</f>
        <v>20:39:05.563</v>
      </c>
      <c r="T4429" t="str">
        <f>"20:39:05.063"</f>
        <v>20:39:05.063</v>
      </c>
      <c r="U4429" t="str">
        <f t="shared" si="220"/>
        <v>AB01F4</v>
      </c>
      <c r="V4429">
        <v>0</v>
      </c>
      <c r="W4429">
        <v>0</v>
      </c>
      <c r="X4429">
        <v>2</v>
      </c>
      <c r="Z4429">
        <v>0</v>
      </c>
      <c r="AA4429">
        <v>9</v>
      </c>
      <c r="AB4429">
        <v>3</v>
      </c>
      <c r="AC4429">
        <v>0</v>
      </c>
      <c r="AD4429">
        <v>10</v>
      </c>
      <c r="AE4429">
        <v>0</v>
      </c>
      <c r="AF4429">
        <v>3</v>
      </c>
      <c r="AG4429">
        <v>2</v>
      </c>
      <c r="AH4429">
        <v>0</v>
      </c>
      <c r="AI4429" t="s">
        <v>2459</v>
      </c>
      <c r="AJ4429">
        <v>40.156852999999998</v>
      </c>
      <c r="AK4429" t="s">
        <v>2460</v>
      </c>
      <c r="AL4429">
        <v>-93.210560999999998</v>
      </c>
      <c r="AM4429">
        <v>100</v>
      </c>
      <c r="AN4429">
        <v>1300</v>
      </c>
      <c r="AO4429" t="s">
        <v>118</v>
      </c>
      <c r="AP4429">
        <v>-133</v>
      </c>
      <c r="AQ4429">
        <v>-35</v>
      </c>
      <c r="AR4429">
        <v>-128</v>
      </c>
      <c r="AZ4429">
        <v>1200</v>
      </c>
      <c r="BA4429">
        <v>1</v>
      </c>
      <c r="BB4429" t="str">
        <f t="shared" si="219"/>
        <v xml:space="preserve">N8080G  </v>
      </c>
      <c r="BC4429">
        <v>1</v>
      </c>
      <c r="BE4429">
        <v>0</v>
      </c>
      <c r="BF4429">
        <v>0</v>
      </c>
      <c r="BG4429">
        <v>0</v>
      </c>
      <c r="BH4429">
        <v>1325</v>
      </c>
      <c r="BI4429">
        <v>1</v>
      </c>
      <c r="BJ4429">
        <v>1</v>
      </c>
      <c r="BK4429">
        <v>1</v>
      </c>
      <c r="BL4429">
        <v>0</v>
      </c>
      <c r="BO4429">
        <v>0</v>
      </c>
      <c r="BP4429">
        <v>0</v>
      </c>
      <c r="BW4429" t="str">
        <f>"20:39:05.568"</f>
        <v>20:39:05.568</v>
      </c>
      <c r="BZ4429">
        <v>0</v>
      </c>
      <c r="CA4429">
        <v>1504</v>
      </c>
      <c r="CB4429">
        <v>224</v>
      </c>
      <c r="CD4429">
        <v>1</v>
      </c>
      <c r="CE4429">
        <v>0</v>
      </c>
      <c r="CF4429">
        <v>0</v>
      </c>
      <c r="CG4429">
        <v>0</v>
      </c>
      <c r="CH4429">
        <v>0</v>
      </c>
      <c r="CI4429">
        <v>0</v>
      </c>
      <c r="CJ4429">
        <v>0</v>
      </c>
      <c r="CK4429">
        <v>2</v>
      </c>
      <c r="CL4429">
        <v>0</v>
      </c>
      <c r="CM4429">
        <v>2</v>
      </c>
      <c r="CN4429">
        <v>0</v>
      </c>
      <c r="CO4429">
        <v>4</v>
      </c>
      <c r="CP4429" t="s">
        <v>119</v>
      </c>
      <c r="CQ4429">
        <v>180</v>
      </c>
      <c r="CR4429">
        <v>3</v>
      </c>
      <c r="CW4429">
        <v>1429203</v>
      </c>
      <c r="CY4429">
        <v>0</v>
      </c>
      <c r="CZ4429">
        <v>0</v>
      </c>
      <c r="DA4429">
        <v>1</v>
      </c>
      <c r="DB4429">
        <v>0</v>
      </c>
      <c r="DC4429">
        <v>0</v>
      </c>
      <c r="DD4429">
        <v>0</v>
      </c>
      <c r="DE4429">
        <v>0</v>
      </c>
      <c r="DF4429">
        <v>0</v>
      </c>
      <c r="DG4429">
        <v>0</v>
      </c>
      <c r="DH4429">
        <v>0</v>
      </c>
      <c r="DI4429">
        <v>0</v>
      </c>
    </row>
    <row r="4430" spans="1:113" x14ac:dyDescent="0.3">
      <c r="A4430" t="str">
        <f>"02/08/2021 20:39:03.235"</f>
        <v>02/08/2021 20:39:03.235</v>
      </c>
      <c r="C4430" t="str">
        <f t="shared" si="218"/>
        <v>FFDFD7C0</v>
      </c>
      <c r="D4430" t="s">
        <v>124</v>
      </c>
      <c r="E4430">
        <v>12</v>
      </c>
      <c r="F4430">
        <v>1012</v>
      </c>
      <c r="G4430" t="s">
        <v>675</v>
      </c>
      <c r="J4430" t="s">
        <v>125</v>
      </c>
      <c r="K4430">
        <v>0</v>
      </c>
      <c r="L4430">
        <v>3</v>
      </c>
      <c r="M4430">
        <v>0</v>
      </c>
      <c r="N4430">
        <v>2</v>
      </c>
      <c r="O4430">
        <v>1</v>
      </c>
      <c r="P4430">
        <v>0</v>
      </c>
      <c r="Q4430">
        <v>0</v>
      </c>
      <c r="S4430" t="str">
        <f>"20:39:05.563"</f>
        <v>20:39:05.563</v>
      </c>
      <c r="T4430" t="str">
        <f>"20:39:05.063"</f>
        <v>20:39:05.063</v>
      </c>
      <c r="U4430" t="str">
        <f t="shared" si="220"/>
        <v>AB01F4</v>
      </c>
      <c r="V4430">
        <v>0</v>
      </c>
      <c r="W4430">
        <v>0</v>
      </c>
      <c r="X4430">
        <v>2</v>
      </c>
      <c r="Z4430">
        <v>0</v>
      </c>
      <c r="AA4430">
        <v>9</v>
      </c>
      <c r="AB4430">
        <v>3</v>
      </c>
      <c r="AC4430">
        <v>0</v>
      </c>
      <c r="AD4430">
        <v>10</v>
      </c>
      <c r="AE4430">
        <v>0</v>
      </c>
      <c r="AF4430">
        <v>3</v>
      </c>
      <c r="AG4430">
        <v>2</v>
      </c>
      <c r="AH4430">
        <v>0</v>
      </c>
      <c r="AI4430" t="s">
        <v>2459</v>
      </c>
      <c r="AJ4430">
        <v>40.156852999999998</v>
      </c>
      <c r="AK4430" t="s">
        <v>2460</v>
      </c>
      <c r="AL4430">
        <v>-93.210560999999998</v>
      </c>
      <c r="AM4430">
        <v>100</v>
      </c>
      <c r="AN4430">
        <v>1300</v>
      </c>
      <c r="AO4430" t="s">
        <v>118</v>
      </c>
      <c r="AP4430">
        <v>-133</v>
      </c>
      <c r="AQ4430">
        <v>-35</v>
      </c>
      <c r="AR4430">
        <v>-128</v>
      </c>
      <c r="AZ4430">
        <v>1200</v>
      </c>
      <c r="BA4430">
        <v>1</v>
      </c>
      <c r="BB4430" t="str">
        <f t="shared" si="219"/>
        <v xml:space="preserve">N8080G  </v>
      </c>
      <c r="BC4430">
        <v>1</v>
      </c>
      <c r="BE4430">
        <v>0</v>
      </c>
      <c r="BF4430">
        <v>0</v>
      </c>
      <c r="BG4430">
        <v>0</v>
      </c>
      <c r="BH4430">
        <v>1325</v>
      </c>
      <c r="BI4430">
        <v>1</v>
      </c>
      <c r="BJ4430">
        <v>1</v>
      </c>
      <c r="BK4430">
        <v>1</v>
      </c>
      <c r="BL4430">
        <v>0</v>
      </c>
      <c r="BO4430">
        <v>0</v>
      </c>
      <c r="BP4430">
        <v>0</v>
      </c>
      <c r="BW4430" t="str">
        <f>"20:39:05.568"</f>
        <v>20:39:05.568</v>
      </c>
      <c r="BZ4430">
        <v>0</v>
      </c>
      <c r="CA4430">
        <v>1504</v>
      </c>
      <c r="CB4430">
        <v>224</v>
      </c>
      <c r="CD4430">
        <v>1</v>
      </c>
      <c r="CE4430">
        <v>0</v>
      </c>
      <c r="CF4430">
        <v>0</v>
      </c>
      <c r="CG4430">
        <v>0</v>
      </c>
      <c r="CH4430">
        <v>0</v>
      </c>
      <c r="CI4430">
        <v>0</v>
      </c>
      <c r="CJ4430">
        <v>0</v>
      </c>
      <c r="CK4430">
        <v>2</v>
      </c>
      <c r="CL4430">
        <v>0</v>
      </c>
      <c r="CM4430">
        <v>2</v>
      </c>
      <c r="CN4430">
        <v>0</v>
      </c>
      <c r="CO4430">
        <v>4</v>
      </c>
      <c r="CP4430" t="s">
        <v>119</v>
      </c>
      <c r="CQ4430">
        <v>180</v>
      </c>
      <c r="CR4430">
        <v>3</v>
      </c>
      <c r="CW4430">
        <v>1429203</v>
      </c>
      <c r="CY4430">
        <v>0</v>
      </c>
      <c r="CZ4430">
        <v>0</v>
      </c>
      <c r="DA4430">
        <v>1</v>
      </c>
      <c r="DB4430">
        <v>0</v>
      </c>
      <c r="DC4430">
        <v>0</v>
      </c>
      <c r="DD4430">
        <v>0</v>
      </c>
      <c r="DE4430">
        <v>0</v>
      </c>
      <c r="DF4430">
        <v>0</v>
      </c>
      <c r="DG4430">
        <v>0</v>
      </c>
      <c r="DH4430">
        <v>0</v>
      </c>
      <c r="DI4430">
        <v>0</v>
      </c>
    </row>
    <row r="4431" spans="1:113" x14ac:dyDescent="0.3">
      <c r="A4431" t="str">
        <f>"02/08/2021 20:39:04.064"</f>
        <v>02/08/2021 20:39:04.064</v>
      </c>
      <c r="C4431" t="str">
        <f t="shared" si="218"/>
        <v>FFDFD7C0</v>
      </c>
      <c r="D4431" t="s">
        <v>124</v>
      </c>
      <c r="E4431">
        <v>12</v>
      </c>
      <c r="F4431">
        <v>1012</v>
      </c>
      <c r="G4431" t="s">
        <v>675</v>
      </c>
      <c r="J4431" t="s">
        <v>125</v>
      </c>
      <c r="K4431">
        <v>0</v>
      </c>
      <c r="L4431">
        <v>3</v>
      </c>
      <c r="M4431">
        <v>0</v>
      </c>
      <c r="N4431">
        <v>2</v>
      </c>
      <c r="O4431">
        <v>1</v>
      </c>
      <c r="P4431">
        <v>0</v>
      </c>
      <c r="Q4431">
        <v>0</v>
      </c>
      <c r="S4431" t="str">
        <f>"20:39:06.406"</f>
        <v>20:39:06.406</v>
      </c>
      <c r="T4431" t="str">
        <f>"20:39:06.006"</f>
        <v>20:39:06.006</v>
      </c>
      <c r="U4431" t="str">
        <f t="shared" si="220"/>
        <v>AB01F4</v>
      </c>
      <c r="V4431">
        <v>0</v>
      </c>
      <c r="W4431">
        <v>0</v>
      </c>
      <c r="X4431">
        <v>2</v>
      </c>
      <c r="Z4431">
        <v>0</v>
      </c>
      <c r="AA4431">
        <v>9</v>
      </c>
      <c r="AB4431">
        <v>3</v>
      </c>
      <c r="AC4431">
        <v>0</v>
      </c>
      <c r="AD4431">
        <v>10</v>
      </c>
      <c r="AE4431">
        <v>0</v>
      </c>
      <c r="AF4431">
        <v>3</v>
      </c>
      <c r="AG4431">
        <v>2</v>
      </c>
      <c r="AH4431">
        <v>0</v>
      </c>
      <c r="AI4431" t="s">
        <v>2461</v>
      </c>
      <c r="AJ4431">
        <v>40.156723999999997</v>
      </c>
      <c r="AK4431" t="s">
        <v>2462</v>
      </c>
      <c r="AL4431">
        <v>-93.211184000000003</v>
      </c>
      <c r="AM4431">
        <v>100</v>
      </c>
      <c r="AN4431">
        <v>1300</v>
      </c>
      <c r="AO4431" t="s">
        <v>118</v>
      </c>
      <c r="AP4431">
        <v>-133</v>
      </c>
      <c r="AQ4431">
        <v>-35</v>
      </c>
      <c r="AR4431">
        <v>-192</v>
      </c>
      <c r="AZ4431">
        <v>1200</v>
      </c>
      <c r="BA4431">
        <v>1</v>
      </c>
      <c r="BB4431" t="str">
        <f t="shared" si="219"/>
        <v xml:space="preserve">N8080G  </v>
      </c>
      <c r="BC4431">
        <v>1</v>
      </c>
      <c r="BE4431">
        <v>0</v>
      </c>
      <c r="BF4431">
        <v>0</v>
      </c>
      <c r="BG4431">
        <v>0</v>
      </c>
      <c r="BH4431">
        <v>1325</v>
      </c>
      <c r="BI4431">
        <v>1</v>
      </c>
      <c r="BJ4431">
        <v>1</v>
      </c>
      <c r="BK4431">
        <v>1</v>
      </c>
      <c r="BL4431">
        <v>0</v>
      </c>
      <c r="BO4431">
        <v>0</v>
      </c>
      <c r="BP4431">
        <v>0</v>
      </c>
      <c r="BW4431" t="str">
        <f>"20:39:06.409"</f>
        <v>20:39:06.409</v>
      </c>
      <c r="BZ4431">
        <v>0</v>
      </c>
      <c r="CA4431">
        <v>1504</v>
      </c>
      <c r="CB4431">
        <v>224</v>
      </c>
      <c r="CD4431">
        <v>1</v>
      </c>
      <c r="CE4431">
        <v>0</v>
      </c>
      <c r="CF4431">
        <v>0</v>
      </c>
      <c r="CG4431">
        <v>0</v>
      </c>
      <c r="CH4431">
        <v>0</v>
      </c>
      <c r="CI4431">
        <v>0</v>
      </c>
      <c r="CJ4431">
        <v>0</v>
      </c>
      <c r="CK4431">
        <v>2</v>
      </c>
      <c r="CL4431">
        <v>0</v>
      </c>
      <c r="CM4431">
        <v>2</v>
      </c>
      <c r="CN4431">
        <v>0</v>
      </c>
      <c r="CO4431">
        <v>3</v>
      </c>
      <c r="CP4431" t="s">
        <v>119</v>
      </c>
      <c r="CQ4431">
        <v>180</v>
      </c>
      <c r="CR4431">
        <v>3</v>
      </c>
      <c r="CW4431">
        <v>1429885</v>
      </c>
      <c r="CY4431">
        <v>0</v>
      </c>
      <c r="CZ4431">
        <v>0</v>
      </c>
      <c r="DA4431">
        <v>0</v>
      </c>
      <c r="DB4431">
        <v>0</v>
      </c>
      <c r="DC4431">
        <v>0</v>
      </c>
      <c r="DD4431">
        <v>0</v>
      </c>
      <c r="DE4431">
        <v>0</v>
      </c>
      <c r="DF4431">
        <v>0</v>
      </c>
      <c r="DG4431">
        <v>0</v>
      </c>
      <c r="DH4431">
        <v>0</v>
      </c>
      <c r="DI4431">
        <v>0</v>
      </c>
    </row>
    <row r="4432" spans="1:113" x14ac:dyDescent="0.3">
      <c r="A4432" t="str">
        <f>"02/08/2021 20:39:04.064"</f>
        <v>02/08/2021 20:39:04.064</v>
      </c>
      <c r="C4432" t="str">
        <f t="shared" si="218"/>
        <v>FFDFD7C0</v>
      </c>
      <c r="D4432" t="s">
        <v>113</v>
      </c>
      <c r="E4432">
        <v>6</v>
      </c>
      <c r="H4432">
        <v>165</v>
      </c>
      <c r="I4432" t="s">
        <v>114</v>
      </c>
      <c r="J4432" t="s">
        <v>115</v>
      </c>
      <c r="K4432">
        <v>0</v>
      </c>
      <c r="L4432">
        <v>3</v>
      </c>
      <c r="M4432">
        <v>0</v>
      </c>
      <c r="N4432">
        <v>2</v>
      </c>
      <c r="O4432">
        <v>1</v>
      </c>
      <c r="P4432">
        <v>0</v>
      </c>
      <c r="Q4432">
        <v>0</v>
      </c>
      <c r="S4432" t="str">
        <f>"20:39:06.406"</f>
        <v>20:39:06.406</v>
      </c>
      <c r="T4432" t="str">
        <f>"20:39:06.006"</f>
        <v>20:39:06.006</v>
      </c>
      <c r="U4432" t="str">
        <f t="shared" si="220"/>
        <v>AB01F4</v>
      </c>
      <c r="V4432">
        <v>0</v>
      </c>
      <c r="W4432">
        <v>0</v>
      </c>
      <c r="X4432">
        <v>2</v>
      </c>
      <c r="Z4432">
        <v>0</v>
      </c>
      <c r="AA4432">
        <v>9</v>
      </c>
      <c r="AB4432">
        <v>3</v>
      </c>
      <c r="AC4432">
        <v>0</v>
      </c>
      <c r="AD4432">
        <v>10</v>
      </c>
      <c r="AE4432">
        <v>0</v>
      </c>
      <c r="AF4432">
        <v>3</v>
      </c>
      <c r="AG4432">
        <v>2</v>
      </c>
      <c r="AH4432">
        <v>0</v>
      </c>
      <c r="AI4432" t="s">
        <v>2461</v>
      </c>
      <c r="AJ4432">
        <v>40.156723999999997</v>
      </c>
      <c r="AK4432" t="s">
        <v>2462</v>
      </c>
      <c r="AL4432">
        <v>-93.211184000000003</v>
      </c>
      <c r="AM4432">
        <v>100</v>
      </c>
      <c r="AN4432">
        <v>1300</v>
      </c>
      <c r="AO4432" t="s">
        <v>118</v>
      </c>
      <c r="AP4432">
        <v>-133</v>
      </c>
      <c r="AQ4432">
        <v>-35</v>
      </c>
      <c r="AR4432">
        <v>-192</v>
      </c>
      <c r="AZ4432">
        <v>1200</v>
      </c>
      <c r="BA4432">
        <v>1</v>
      </c>
      <c r="BB4432" t="str">
        <f t="shared" si="219"/>
        <v xml:space="preserve">N8080G  </v>
      </c>
      <c r="BC4432">
        <v>1</v>
      </c>
      <c r="BE4432">
        <v>0</v>
      </c>
      <c r="BF4432">
        <v>0</v>
      </c>
      <c r="BG4432">
        <v>0</v>
      </c>
      <c r="BH4432">
        <v>1325</v>
      </c>
      <c r="BI4432">
        <v>1</v>
      </c>
      <c r="BJ4432">
        <v>1</v>
      </c>
      <c r="BK4432">
        <v>1</v>
      </c>
      <c r="BL4432">
        <v>0</v>
      </c>
      <c r="BO4432">
        <v>0</v>
      </c>
      <c r="BP4432">
        <v>0</v>
      </c>
      <c r="BW4432" t="str">
        <f>"20:39:06.409"</f>
        <v>20:39:06.409</v>
      </c>
      <c r="BZ4432">
        <v>0</v>
      </c>
      <c r="CA4432">
        <v>1504</v>
      </c>
      <c r="CB4432">
        <v>224</v>
      </c>
      <c r="CD4432">
        <v>1</v>
      </c>
      <c r="CE4432">
        <v>0</v>
      </c>
      <c r="CF4432">
        <v>0</v>
      </c>
      <c r="CG4432">
        <v>0</v>
      </c>
      <c r="CH4432">
        <v>0</v>
      </c>
      <c r="CI4432">
        <v>0</v>
      </c>
      <c r="CJ4432">
        <v>0</v>
      </c>
      <c r="CK4432">
        <v>2</v>
      </c>
      <c r="CL4432">
        <v>0</v>
      </c>
      <c r="CM4432">
        <v>2</v>
      </c>
      <c r="CN4432">
        <v>0</v>
      </c>
      <c r="CO4432">
        <v>3</v>
      </c>
      <c r="CP4432" t="s">
        <v>119</v>
      </c>
      <c r="CQ4432">
        <v>180</v>
      </c>
      <c r="CR4432">
        <v>3</v>
      </c>
      <c r="CW4432">
        <v>1429885</v>
      </c>
      <c r="CY4432">
        <v>0</v>
      </c>
      <c r="CZ4432">
        <v>0</v>
      </c>
      <c r="DA4432">
        <v>1</v>
      </c>
      <c r="DB4432">
        <v>0</v>
      </c>
      <c r="DC4432">
        <v>0</v>
      </c>
      <c r="DD4432">
        <v>0</v>
      </c>
      <c r="DE4432">
        <v>0</v>
      </c>
      <c r="DF4432">
        <v>0</v>
      </c>
      <c r="DG4432">
        <v>0</v>
      </c>
      <c r="DH4432">
        <v>0</v>
      </c>
      <c r="DI4432">
        <v>0</v>
      </c>
    </row>
    <row r="4433" spans="1:113" x14ac:dyDescent="0.3">
      <c r="A4433" t="str">
        <f>"02/08/2021 20:39:04.064"</f>
        <v>02/08/2021 20:39:04.064</v>
      </c>
      <c r="C4433" t="str">
        <f t="shared" si="218"/>
        <v>FFDFD7C0</v>
      </c>
      <c r="D4433" t="s">
        <v>124</v>
      </c>
      <c r="E4433">
        <v>11</v>
      </c>
      <c r="F4433">
        <v>1011</v>
      </c>
      <c r="G4433" t="s">
        <v>590</v>
      </c>
      <c r="J4433" t="s">
        <v>125</v>
      </c>
      <c r="K4433">
        <v>0</v>
      </c>
      <c r="L4433">
        <v>3</v>
      </c>
      <c r="M4433">
        <v>0</v>
      </c>
      <c r="N4433">
        <v>2</v>
      </c>
      <c r="O4433">
        <v>1</v>
      </c>
      <c r="P4433">
        <v>0</v>
      </c>
      <c r="Q4433">
        <v>0</v>
      </c>
      <c r="S4433" t="str">
        <f>"20:39:06.406"</f>
        <v>20:39:06.406</v>
      </c>
      <c r="T4433" t="str">
        <f>"20:39:06.006"</f>
        <v>20:39:06.006</v>
      </c>
      <c r="U4433" t="str">
        <f t="shared" si="220"/>
        <v>AB01F4</v>
      </c>
      <c r="V4433">
        <v>0</v>
      </c>
      <c r="W4433">
        <v>0</v>
      </c>
      <c r="X4433">
        <v>2</v>
      </c>
      <c r="Z4433">
        <v>0</v>
      </c>
      <c r="AA4433">
        <v>9</v>
      </c>
      <c r="AB4433">
        <v>3</v>
      </c>
      <c r="AC4433">
        <v>0</v>
      </c>
      <c r="AD4433">
        <v>10</v>
      </c>
      <c r="AE4433">
        <v>0</v>
      </c>
      <c r="AF4433">
        <v>3</v>
      </c>
      <c r="AG4433">
        <v>2</v>
      </c>
      <c r="AH4433">
        <v>0</v>
      </c>
      <c r="AI4433" t="s">
        <v>2461</v>
      </c>
      <c r="AJ4433">
        <v>40.156723999999997</v>
      </c>
      <c r="AK4433" t="s">
        <v>2462</v>
      </c>
      <c r="AL4433">
        <v>-93.211184000000003</v>
      </c>
      <c r="AM4433">
        <v>100</v>
      </c>
      <c r="AN4433">
        <v>1300</v>
      </c>
      <c r="AO4433" t="s">
        <v>118</v>
      </c>
      <c r="AP4433">
        <v>-133</v>
      </c>
      <c r="AQ4433">
        <v>-35</v>
      </c>
      <c r="AR4433">
        <v>-192</v>
      </c>
      <c r="AZ4433">
        <v>1200</v>
      </c>
      <c r="BA4433">
        <v>1</v>
      </c>
      <c r="BB4433" t="str">
        <f t="shared" si="219"/>
        <v xml:space="preserve">N8080G  </v>
      </c>
      <c r="BC4433">
        <v>1</v>
      </c>
      <c r="BE4433">
        <v>0</v>
      </c>
      <c r="BF4433">
        <v>0</v>
      </c>
      <c r="BG4433">
        <v>0</v>
      </c>
      <c r="BH4433">
        <v>1325</v>
      </c>
      <c r="BI4433">
        <v>1</v>
      </c>
      <c r="BJ4433">
        <v>1</v>
      </c>
      <c r="BK4433">
        <v>1</v>
      </c>
      <c r="BL4433">
        <v>0</v>
      </c>
      <c r="BO4433">
        <v>0</v>
      </c>
      <c r="BP4433">
        <v>0</v>
      </c>
      <c r="BW4433" t="str">
        <f>"20:39:06.409"</f>
        <v>20:39:06.409</v>
      </c>
      <c r="BZ4433">
        <v>0</v>
      </c>
      <c r="CA4433">
        <v>1504</v>
      </c>
      <c r="CB4433">
        <v>224</v>
      </c>
      <c r="CD4433">
        <v>1</v>
      </c>
      <c r="CE4433">
        <v>0</v>
      </c>
      <c r="CF4433">
        <v>0</v>
      </c>
      <c r="CG4433">
        <v>0</v>
      </c>
      <c r="CH4433">
        <v>0</v>
      </c>
      <c r="CI4433">
        <v>0</v>
      </c>
      <c r="CJ4433">
        <v>0</v>
      </c>
      <c r="CK4433">
        <v>2</v>
      </c>
      <c r="CL4433">
        <v>0</v>
      </c>
      <c r="CM4433">
        <v>2</v>
      </c>
      <c r="CN4433">
        <v>0</v>
      </c>
      <c r="CO4433">
        <v>3</v>
      </c>
      <c r="CP4433" t="s">
        <v>119</v>
      </c>
      <c r="CQ4433">
        <v>180</v>
      </c>
      <c r="CR4433">
        <v>3</v>
      </c>
      <c r="CW4433">
        <v>1429885</v>
      </c>
      <c r="CY4433">
        <v>0</v>
      </c>
      <c r="CZ4433">
        <v>0</v>
      </c>
      <c r="DA4433">
        <v>1</v>
      </c>
      <c r="DB4433">
        <v>0</v>
      </c>
      <c r="DC4433">
        <v>0</v>
      </c>
      <c r="DD4433">
        <v>0</v>
      </c>
      <c r="DE4433">
        <v>0</v>
      </c>
      <c r="DF4433">
        <v>0</v>
      </c>
      <c r="DG4433">
        <v>0</v>
      </c>
      <c r="DH4433">
        <v>0</v>
      </c>
      <c r="DI4433">
        <v>0</v>
      </c>
    </row>
    <row r="4434" spans="1:113" x14ac:dyDescent="0.3">
      <c r="A4434" t="str">
        <f>"02/08/2021 20:39:04.064"</f>
        <v>02/08/2021 20:39:04.064</v>
      </c>
      <c r="C4434" t="str">
        <f t="shared" si="218"/>
        <v>FFDFD7C0</v>
      </c>
      <c r="D4434" t="s">
        <v>124</v>
      </c>
      <c r="E4434">
        <v>13</v>
      </c>
      <c r="F4434">
        <v>1013</v>
      </c>
      <c r="G4434" t="s">
        <v>114</v>
      </c>
      <c r="J4434" t="s">
        <v>125</v>
      </c>
      <c r="K4434">
        <v>0</v>
      </c>
      <c r="L4434">
        <v>3</v>
      </c>
      <c r="M4434">
        <v>0</v>
      </c>
      <c r="N4434">
        <v>2</v>
      </c>
      <c r="O4434">
        <v>1</v>
      </c>
      <c r="P4434">
        <v>0</v>
      </c>
      <c r="Q4434">
        <v>0</v>
      </c>
      <c r="S4434" t="str">
        <f>"20:39:06.406"</f>
        <v>20:39:06.406</v>
      </c>
      <c r="T4434" t="str">
        <f>"20:39:06.006"</f>
        <v>20:39:06.006</v>
      </c>
      <c r="U4434" t="str">
        <f t="shared" si="220"/>
        <v>AB01F4</v>
      </c>
      <c r="V4434">
        <v>0</v>
      </c>
      <c r="W4434">
        <v>0</v>
      </c>
      <c r="X4434">
        <v>2</v>
      </c>
      <c r="Z4434">
        <v>0</v>
      </c>
      <c r="AA4434">
        <v>9</v>
      </c>
      <c r="AB4434">
        <v>3</v>
      </c>
      <c r="AC4434">
        <v>0</v>
      </c>
      <c r="AD4434">
        <v>10</v>
      </c>
      <c r="AE4434">
        <v>0</v>
      </c>
      <c r="AF4434">
        <v>3</v>
      </c>
      <c r="AG4434">
        <v>2</v>
      </c>
      <c r="AH4434">
        <v>0</v>
      </c>
      <c r="AI4434" t="s">
        <v>2461</v>
      </c>
      <c r="AJ4434">
        <v>40.156723999999997</v>
      </c>
      <c r="AK4434" t="s">
        <v>2462</v>
      </c>
      <c r="AL4434">
        <v>-93.211184000000003</v>
      </c>
      <c r="AM4434">
        <v>100</v>
      </c>
      <c r="AN4434">
        <v>1300</v>
      </c>
      <c r="AO4434" t="s">
        <v>118</v>
      </c>
      <c r="AP4434">
        <v>-133</v>
      </c>
      <c r="AQ4434">
        <v>-35</v>
      </c>
      <c r="AR4434">
        <v>-192</v>
      </c>
      <c r="AZ4434">
        <v>1200</v>
      </c>
      <c r="BA4434">
        <v>1</v>
      </c>
      <c r="BB4434" t="str">
        <f t="shared" si="219"/>
        <v xml:space="preserve">N8080G  </v>
      </c>
      <c r="BC4434">
        <v>1</v>
      </c>
      <c r="BE4434">
        <v>0</v>
      </c>
      <c r="BF4434">
        <v>0</v>
      </c>
      <c r="BG4434">
        <v>0</v>
      </c>
      <c r="BH4434">
        <v>1325</v>
      </c>
      <c r="BI4434">
        <v>1</v>
      </c>
      <c r="BJ4434">
        <v>1</v>
      </c>
      <c r="BK4434">
        <v>1</v>
      </c>
      <c r="BL4434">
        <v>0</v>
      </c>
      <c r="BO4434">
        <v>0</v>
      </c>
      <c r="BP4434">
        <v>0</v>
      </c>
      <c r="BW4434" t="str">
        <f>"20:39:06.409"</f>
        <v>20:39:06.409</v>
      </c>
      <c r="BZ4434">
        <v>0</v>
      </c>
      <c r="CA4434">
        <v>1504</v>
      </c>
      <c r="CB4434">
        <v>224</v>
      </c>
      <c r="CD4434">
        <v>1</v>
      </c>
      <c r="CE4434">
        <v>0</v>
      </c>
      <c r="CF4434">
        <v>0</v>
      </c>
      <c r="CG4434">
        <v>0</v>
      </c>
      <c r="CH4434">
        <v>0</v>
      </c>
      <c r="CI4434">
        <v>0</v>
      </c>
      <c r="CJ4434">
        <v>0</v>
      </c>
      <c r="CK4434">
        <v>2</v>
      </c>
      <c r="CL4434">
        <v>0</v>
      </c>
      <c r="CM4434">
        <v>2</v>
      </c>
      <c r="CN4434">
        <v>0</v>
      </c>
      <c r="CO4434">
        <v>3</v>
      </c>
      <c r="CP4434" t="s">
        <v>119</v>
      </c>
      <c r="CQ4434">
        <v>180</v>
      </c>
      <c r="CR4434">
        <v>3</v>
      </c>
      <c r="CW4434">
        <v>1429885</v>
      </c>
      <c r="CY4434">
        <v>0</v>
      </c>
      <c r="CZ4434">
        <v>0</v>
      </c>
      <c r="DA4434">
        <v>1</v>
      </c>
      <c r="DB4434">
        <v>0</v>
      </c>
      <c r="DC4434">
        <v>0</v>
      </c>
      <c r="DD4434">
        <v>0</v>
      </c>
      <c r="DE4434">
        <v>0</v>
      </c>
      <c r="DF4434">
        <v>0</v>
      </c>
      <c r="DG4434">
        <v>0</v>
      </c>
      <c r="DH4434">
        <v>0</v>
      </c>
      <c r="DI4434">
        <v>0</v>
      </c>
    </row>
    <row r="4435" spans="1:113" x14ac:dyDescent="0.3">
      <c r="A4435" t="str">
        <f>"02/08/2021 20:39:04.949"</f>
        <v>02/08/2021 20:39:04.949</v>
      </c>
      <c r="C4435" t="str">
        <f t="shared" si="218"/>
        <v>FFDFD7C0</v>
      </c>
      <c r="D4435" t="s">
        <v>124</v>
      </c>
      <c r="E4435">
        <v>13</v>
      </c>
      <c r="F4435">
        <v>1013</v>
      </c>
      <c r="G4435" t="s">
        <v>114</v>
      </c>
      <c r="J4435" t="s">
        <v>125</v>
      </c>
      <c r="K4435">
        <v>0</v>
      </c>
      <c r="L4435">
        <v>3</v>
      </c>
      <c r="M4435">
        <v>0</v>
      </c>
      <c r="N4435">
        <v>2</v>
      </c>
      <c r="O4435">
        <v>1</v>
      </c>
      <c r="P4435">
        <v>0</v>
      </c>
      <c r="Q4435">
        <v>0</v>
      </c>
      <c r="S4435" t="str">
        <f>"20:39:07.266"</f>
        <v>20:39:07.266</v>
      </c>
      <c r="T4435" t="str">
        <f>"20:39:06.466"</f>
        <v>20:39:06.466</v>
      </c>
      <c r="U4435" t="str">
        <f t="shared" si="220"/>
        <v>AB01F4</v>
      </c>
      <c r="V4435">
        <v>0</v>
      </c>
      <c r="W4435">
        <v>0</v>
      </c>
      <c r="X4435">
        <v>2</v>
      </c>
      <c r="Z4435">
        <v>0</v>
      </c>
      <c r="AA4435">
        <v>9</v>
      </c>
      <c r="AB4435">
        <v>3</v>
      </c>
      <c r="AC4435">
        <v>0</v>
      </c>
      <c r="AD4435">
        <v>10</v>
      </c>
      <c r="AE4435">
        <v>0</v>
      </c>
      <c r="AF4435">
        <v>3</v>
      </c>
      <c r="AG4435">
        <v>2</v>
      </c>
      <c r="AH4435">
        <v>0</v>
      </c>
      <c r="AI4435" t="s">
        <v>2463</v>
      </c>
      <c r="AJ4435">
        <v>40.156573999999999</v>
      </c>
      <c r="AK4435" t="s">
        <v>2464</v>
      </c>
      <c r="AL4435">
        <v>-93.211934999999997</v>
      </c>
      <c r="AM4435">
        <v>100</v>
      </c>
      <c r="AN4435">
        <v>1300</v>
      </c>
      <c r="AO4435" t="s">
        <v>118</v>
      </c>
      <c r="AP4435">
        <v>-133</v>
      </c>
      <c r="AQ4435">
        <v>-35</v>
      </c>
      <c r="AR4435">
        <v>-192</v>
      </c>
      <c r="AZ4435">
        <v>1200</v>
      </c>
      <c r="BA4435">
        <v>1</v>
      </c>
      <c r="BB4435" t="str">
        <f t="shared" si="219"/>
        <v xml:space="preserve">N8080G  </v>
      </c>
      <c r="BC4435">
        <v>1</v>
      </c>
      <c r="BE4435">
        <v>0</v>
      </c>
      <c r="BF4435">
        <v>0</v>
      </c>
      <c r="BG4435">
        <v>0</v>
      </c>
      <c r="BH4435">
        <v>1325</v>
      </c>
      <c r="BI4435">
        <v>1</v>
      </c>
      <c r="BJ4435">
        <v>1</v>
      </c>
      <c r="BK4435">
        <v>1</v>
      </c>
      <c r="BL4435">
        <v>0</v>
      </c>
      <c r="BO4435">
        <v>0</v>
      </c>
      <c r="BP4435">
        <v>0</v>
      </c>
      <c r="BW4435" t="str">
        <f>"20:39:07.266"</f>
        <v>20:39:07.266</v>
      </c>
      <c r="BZ4435">
        <v>0</v>
      </c>
      <c r="CA4435">
        <v>1504</v>
      </c>
      <c r="CB4435">
        <v>224</v>
      </c>
      <c r="CD4435">
        <v>1</v>
      </c>
      <c r="CE4435">
        <v>0</v>
      </c>
      <c r="CF4435">
        <v>0</v>
      </c>
      <c r="CG4435">
        <v>0</v>
      </c>
      <c r="CH4435">
        <v>0</v>
      </c>
      <c r="CI4435">
        <v>0</v>
      </c>
      <c r="CJ4435">
        <v>0</v>
      </c>
      <c r="CK4435">
        <v>2</v>
      </c>
      <c r="CL4435">
        <v>0</v>
      </c>
      <c r="CM4435">
        <v>2</v>
      </c>
      <c r="CN4435">
        <v>0</v>
      </c>
      <c r="CO4435">
        <v>3</v>
      </c>
      <c r="CP4435" t="s">
        <v>119</v>
      </c>
      <c r="CQ4435">
        <v>180</v>
      </c>
      <c r="CR4435">
        <v>3</v>
      </c>
      <c r="CW4435">
        <v>1430523</v>
      </c>
      <c r="CY4435">
        <v>0</v>
      </c>
      <c r="CZ4435">
        <v>0</v>
      </c>
      <c r="DA4435">
        <v>0</v>
      </c>
      <c r="DB4435">
        <v>0</v>
      </c>
      <c r="DC4435">
        <v>0</v>
      </c>
      <c r="DD4435">
        <v>0</v>
      </c>
      <c r="DE4435">
        <v>0</v>
      </c>
      <c r="DF4435">
        <v>0</v>
      </c>
      <c r="DG4435">
        <v>0</v>
      </c>
      <c r="DH4435">
        <v>0</v>
      </c>
      <c r="DI4435">
        <v>0</v>
      </c>
    </row>
    <row r="4436" spans="1:113" x14ac:dyDescent="0.3">
      <c r="A4436" t="str">
        <f>"02/08/2021 20:39:04.949"</f>
        <v>02/08/2021 20:39:04.949</v>
      </c>
      <c r="C4436" t="str">
        <f t="shared" si="218"/>
        <v>FFDFD7C0</v>
      </c>
      <c r="D4436" t="s">
        <v>124</v>
      </c>
      <c r="E4436">
        <v>11</v>
      </c>
      <c r="F4436">
        <v>1011</v>
      </c>
      <c r="G4436" t="s">
        <v>590</v>
      </c>
      <c r="J4436" t="s">
        <v>125</v>
      </c>
      <c r="K4436">
        <v>0</v>
      </c>
      <c r="L4436">
        <v>3</v>
      </c>
      <c r="M4436">
        <v>0</v>
      </c>
      <c r="N4436">
        <v>2</v>
      </c>
      <c r="O4436">
        <v>1</v>
      </c>
      <c r="P4436">
        <v>0</v>
      </c>
      <c r="Q4436">
        <v>0</v>
      </c>
      <c r="S4436" t="str">
        <f>"20:39:07.266"</f>
        <v>20:39:07.266</v>
      </c>
      <c r="T4436" t="str">
        <f>"20:39:06.466"</f>
        <v>20:39:06.466</v>
      </c>
      <c r="U4436" t="str">
        <f t="shared" si="220"/>
        <v>AB01F4</v>
      </c>
      <c r="V4436">
        <v>0</v>
      </c>
      <c r="W4436">
        <v>0</v>
      </c>
      <c r="X4436">
        <v>2</v>
      </c>
      <c r="Z4436">
        <v>0</v>
      </c>
      <c r="AA4436">
        <v>9</v>
      </c>
      <c r="AB4436">
        <v>3</v>
      </c>
      <c r="AC4436">
        <v>0</v>
      </c>
      <c r="AD4436">
        <v>10</v>
      </c>
      <c r="AE4436">
        <v>0</v>
      </c>
      <c r="AF4436">
        <v>3</v>
      </c>
      <c r="AG4436">
        <v>2</v>
      </c>
      <c r="AH4436">
        <v>0</v>
      </c>
      <c r="AI4436" t="s">
        <v>2463</v>
      </c>
      <c r="AJ4436">
        <v>40.156573999999999</v>
      </c>
      <c r="AK4436" t="s">
        <v>2464</v>
      </c>
      <c r="AL4436">
        <v>-93.211934999999997</v>
      </c>
      <c r="AM4436">
        <v>100</v>
      </c>
      <c r="AN4436">
        <v>1300</v>
      </c>
      <c r="AO4436" t="s">
        <v>118</v>
      </c>
      <c r="AP4436">
        <v>-133</v>
      </c>
      <c r="AQ4436">
        <v>-35</v>
      </c>
      <c r="AR4436">
        <v>-192</v>
      </c>
      <c r="AZ4436">
        <v>1200</v>
      </c>
      <c r="BA4436">
        <v>1</v>
      </c>
      <c r="BB4436" t="str">
        <f t="shared" si="219"/>
        <v xml:space="preserve">N8080G  </v>
      </c>
      <c r="BC4436">
        <v>1</v>
      </c>
      <c r="BE4436">
        <v>0</v>
      </c>
      <c r="BF4436">
        <v>0</v>
      </c>
      <c r="BG4436">
        <v>0</v>
      </c>
      <c r="BH4436">
        <v>1325</v>
      </c>
      <c r="BI4436">
        <v>1</v>
      </c>
      <c r="BJ4436">
        <v>1</v>
      </c>
      <c r="BK4436">
        <v>1</v>
      </c>
      <c r="BL4436">
        <v>0</v>
      </c>
      <c r="BO4436">
        <v>0</v>
      </c>
      <c r="BP4436">
        <v>0</v>
      </c>
      <c r="BW4436" t="str">
        <f>"20:39:07.266"</f>
        <v>20:39:07.266</v>
      </c>
      <c r="BZ4436">
        <v>0</v>
      </c>
      <c r="CA4436">
        <v>1504</v>
      </c>
      <c r="CB4436">
        <v>224</v>
      </c>
      <c r="CD4436">
        <v>1</v>
      </c>
      <c r="CE4436">
        <v>0</v>
      </c>
      <c r="CF4436">
        <v>0</v>
      </c>
      <c r="CG4436">
        <v>0</v>
      </c>
      <c r="CH4436">
        <v>0</v>
      </c>
      <c r="CI4436">
        <v>0</v>
      </c>
      <c r="CJ4436">
        <v>0</v>
      </c>
      <c r="CK4436">
        <v>2</v>
      </c>
      <c r="CL4436">
        <v>0</v>
      </c>
      <c r="CM4436">
        <v>2</v>
      </c>
      <c r="CN4436">
        <v>0</v>
      </c>
      <c r="CO4436">
        <v>3</v>
      </c>
      <c r="CP4436" t="s">
        <v>119</v>
      </c>
      <c r="CQ4436">
        <v>180</v>
      </c>
      <c r="CR4436">
        <v>3</v>
      </c>
      <c r="CW4436">
        <v>1430523</v>
      </c>
      <c r="CY4436">
        <v>0</v>
      </c>
      <c r="CZ4436">
        <v>0</v>
      </c>
      <c r="DA4436">
        <v>1</v>
      </c>
      <c r="DB4436">
        <v>0</v>
      </c>
      <c r="DC4436">
        <v>0</v>
      </c>
      <c r="DD4436">
        <v>0</v>
      </c>
      <c r="DE4436">
        <v>0</v>
      </c>
      <c r="DF4436">
        <v>0</v>
      </c>
      <c r="DG4436">
        <v>0</v>
      </c>
      <c r="DH4436">
        <v>0</v>
      </c>
      <c r="DI4436">
        <v>0</v>
      </c>
    </row>
    <row r="4437" spans="1:113" x14ac:dyDescent="0.3">
      <c r="A4437" t="str">
        <f>"02/08/2021 20:39:04.949"</f>
        <v>02/08/2021 20:39:04.949</v>
      </c>
      <c r="C4437" t="str">
        <f t="shared" si="218"/>
        <v>FFDFD7C0</v>
      </c>
      <c r="D4437" t="s">
        <v>113</v>
      </c>
      <c r="E4437">
        <v>6</v>
      </c>
      <c r="H4437">
        <v>165</v>
      </c>
      <c r="I4437" t="s">
        <v>114</v>
      </c>
      <c r="J4437" t="s">
        <v>115</v>
      </c>
      <c r="K4437">
        <v>0</v>
      </c>
      <c r="L4437">
        <v>3</v>
      </c>
      <c r="M4437">
        <v>0</v>
      </c>
      <c r="N4437">
        <v>2</v>
      </c>
      <c r="O4437">
        <v>1</v>
      </c>
      <c r="P4437">
        <v>0</v>
      </c>
      <c r="Q4437">
        <v>0</v>
      </c>
      <c r="S4437" t="str">
        <f>"20:39:07.266"</f>
        <v>20:39:07.266</v>
      </c>
      <c r="T4437" t="str">
        <f>"20:39:06.466"</f>
        <v>20:39:06.466</v>
      </c>
      <c r="U4437" t="str">
        <f t="shared" si="220"/>
        <v>AB01F4</v>
      </c>
      <c r="V4437">
        <v>0</v>
      </c>
      <c r="W4437">
        <v>0</v>
      </c>
      <c r="X4437">
        <v>2</v>
      </c>
      <c r="Z4437">
        <v>0</v>
      </c>
      <c r="AA4437">
        <v>9</v>
      </c>
      <c r="AB4437">
        <v>3</v>
      </c>
      <c r="AC4437">
        <v>0</v>
      </c>
      <c r="AD4437">
        <v>10</v>
      </c>
      <c r="AE4437">
        <v>0</v>
      </c>
      <c r="AF4437">
        <v>3</v>
      </c>
      <c r="AG4437">
        <v>2</v>
      </c>
      <c r="AH4437">
        <v>0</v>
      </c>
      <c r="AI4437" t="s">
        <v>2463</v>
      </c>
      <c r="AJ4437">
        <v>40.156573999999999</v>
      </c>
      <c r="AK4437" t="s">
        <v>2464</v>
      </c>
      <c r="AL4437">
        <v>-93.211934999999997</v>
      </c>
      <c r="AM4437">
        <v>100</v>
      </c>
      <c r="AN4437">
        <v>1300</v>
      </c>
      <c r="AO4437" t="s">
        <v>118</v>
      </c>
      <c r="AP4437">
        <v>-133</v>
      </c>
      <c r="AQ4437">
        <v>-35</v>
      </c>
      <c r="AR4437">
        <v>-192</v>
      </c>
      <c r="AZ4437">
        <v>1200</v>
      </c>
      <c r="BA4437">
        <v>1</v>
      </c>
      <c r="BB4437" t="str">
        <f t="shared" si="219"/>
        <v xml:space="preserve">N8080G  </v>
      </c>
      <c r="BC4437">
        <v>1</v>
      </c>
      <c r="BE4437">
        <v>0</v>
      </c>
      <c r="BF4437">
        <v>0</v>
      </c>
      <c r="BG4437">
        <v>0</v>
      </c>
      <c r="BH4437">
        <v>1325</v>
      </c>
      <c r="BI4437">
        <v>1</v>
      </c>
      <c r="BJ4437">
        <v>1</v>
      </c>
      <c r="BK4437">
        <v>1</v>
      </c>
      <c r="BL4437">
        <v>0</v>
      </c>
      <c r="BO4437">
        <v>0</v>
      </c>
      <c r="BP4437">
        <v>0</v>
      </c>
      <c r="BW4437" t="str">
        <f>"20:39:07.266"</f>
        <v>20:39:07.266</v>
      </c>
      <c r="BZ4437">
        <v>0</v>
      </c>
      <c r="CA4437">
        <v>1504</v>
      </c>
      <c r="CB4437">
        <v>224</v>
      </c>
      <c r="CD4437">
        <v>1</v>
      </c>
      <c r="CE4437">
        <v>0</v>
      </c>
      <c r="CF4437">
        <v>0</v>
      </c>
      <c r="CG4437">
        <v>0</v>
      </c>
      <c r="CH4437">
        <v>0</v>
      </c>
      <c r="CI4437">
        <v>0</v>
      </c>
      <c r="CJ4437">
        <v>0</v>
      </c>
      <c r="CK4437">
        <v>2</v>
      </c>
      <c r="CL4437">
        <v>0</v>
      </c>
      <c r="CM4437">
        <v>2</v>
      </c>
      <c r="CN4437">
        <v>0</v>
      </c>
      <c r="CO4437">
        <v>3</v>
      </c>
      <c r="CP4437" t="s">
        <v>119</v>
      </c>
      <c r="CQ4437">
        <v>180</v>
      </c>
      <c r="CR4437">
        <v>3</v>
      </c>
      <c r="CW4437">
        <v>1430523</v>
      </c>
      <c r="CY4437">
        <v>0</v>
      </c>
      <c r="CZ4437">
        <v>0</v>
      </c>
      <c r="DA4437">
        <v>1</v>
      </c>
      <c r="DB4437">
        <v>0</v>
      </c>
      <c r="DC4437">
        <v>0</v>
      </c>
      <c r="DD4437">
        <v>0</v>
      </c>
      <c r="DE4437">
        <v>0</v>
      </c>
      <c r="DF4437">
        <v>0</v>
      </c>
      <c r="DG4437">
        <v>0</v>
      </c>
      <c r="DH4437">
        <v>0</v>
      </c>
      <c r="DI4437">
        <v>0</v>
      </c>
    </row>
    <row r="4438" spans="1:113" x14ac:dyDescent="0.3">
      <c r="A4438" t="str">
        <f>"02/08/2021 20:39:04.949"</f>
        <v>02/08/2021 20:39:04.949</v>
      </c>
      <c r="C4438" t="str">
        <f t="shared" si="218"/>
        <v>FFDFD7C0</v>
      </c>
      <c r="D4438" t="s">
        <v>124</v>
      </c>
      <c r="E4438">
        <v>12</v>
      </c>
      <c r="F4438">
        <v>1012</v>
      </c>
      <c r="G4438" t="s">
        <v>675</v>
      </c>
      <c r="J4438" t="s">
        <v>125</v>
      </c>
      <c r="K4438">
        <v>0</v>
      </c>
      <c r="L4438">
        <v>3</v>
      </c>
      <c r="M4438">
        <v>0</v>
      </c>
      <c r="N4438">
        <v>2</v>
      </c>
      <c r="O4438">
        <v>1</v>
      </c>
      <c r="P4438">
        <v>0</v>
      </c>
      <c r="Q4438">
        <v>0</v>
      </c>
      <c r="S4438" t="str">
        <f>"20:39:07.266"</f>
        <v>20:39:07.266</v>
      </c>
      <c r="T4438" t="str">
        <f>"20:39:06.466"</f>
        <v>20:39:06.466</v>
      </c>
      <c r="U4438" t="str">
        <f t="shared" si="220"/>
        <v>AB01F4</v>
      </c>
      <c r="V4438">
        <v>0</v>
      </c>
      <c r="W4438">
        <v>0</v>
      </c>
      <c r="X4438">
        <v>2</v>
      </c>
      <c r="Z4438">
        <v>0</v>
      </c>
      <c r="AA4438">
        <v>9</v>
      </c>
      <c r="AB4438">
        <v>3</v>
      </c>
      <c r="AC4438">
        <v>0</v>
      </c>
      <c r="AD4438">
        <v>10</v>
      </c>
      <c r="AE4438">
        <v>0</v>
      </c>
      <c r="AF4438">
        <v>3</v>
      </c>
      <c r="AG4438">
        <v>2</v>
      </c>
      <c r="AH4438">
        <v>0</v>
      </c>
      <c r="AI4438" t="s">
        <v>2463</v>
      </c>
      <c r="AJ4438">
        <v>40.156573999999999</v>
      </c>
      <c r="AK4438" t="s">
        <v>2464</v>
      </c>
      <c r="AL4438">
        <v>-93.211934999999997</v>
      </c>
      <c r="AM4438">
        <v>100</v>
      </c>
      <c r="AN4438">
        <v>1300</v>
      </c>
      <c r="AO4438" t="s">
        <v>118</v>
      </c>
      <c r="AP4438">
        <v>-133</v>
      </c>
      <c r="AQ4438">
        <v>-35</v>
      </c>
      <c r="AR4438">
        <v>-192</v>
      </c>
      <c r="AZ4438">
        <v>1200</v>
      </c>
      <c r="BA4438">
        <v>1</v>
      </c>
      <c r="BB4438" t="str">
        <f t="shared" si="219"/>
        <v xml:space="preserve">N8080G  </v>
      </c>
      <c r="BC4438">
        <v>1</v>
      </c>
      <c r="BE4438">
        <v>0</v>
      </c>
      <c r="BF4438">
        <v>0</v>
      </c>
      <c r="BG4438">
        <v>0</v>
      </c>
      <c r="BH4438">
        <v>1325</v>
      </c>
      <c r="BI4438">
        <v>1</v>
      </c>
      <c r="BJ4438">
        <v>1</v>
      </c>
      <c r="BK4438">
        <v>1</v>
      </c>
      <c r="BL4438">
        <v>0</v>
      </c>
      <c r="BO4438">
        <v>0</v>
      </c>
      <c r="BP4438">
        <v>0</v>
      </c>
      <c r="BW4438" t="str">
        <f>"20:39:07.266"</f>
        <v>20:39:07.266</v>
      </c>
      <c r="BZ4438">
        <v>0</v>
      </c>
      <c r="CA4438">
        <v>1504</v>
      </c>
      <c r="CB4438">
        <v>224</v>
      </c>
      <c r="CD4438">
        <v>1</v>
      </c>
      <c r="CE4438">
        <v>0</v>
      </c>
      <c r="CF4438">
        <v>0</v>
      </c>
      <c r="CG4438">
        <v>0</v>
      </c>
      <c r="CH4438">
        <v>0</v>
      </c>
      <c r="CI4438">
        <v>0</v>
      </c>
      <c r="CJ4438">
        <v>0</v>
      </c>
      <c r="CK4438">
        <v>2</v>
      </c>
      <c r="CL4438">
        <v>0</v>
      </c>
      <c r="CM4438">
        <v>2</v>
      </c>
      <c r="CN4438">
        <v>0</v>
      </c>
      <c r="CO4438">
        <v>3</v>
      </c>
      <c r="CP4438" t="s">
        <v>119</v>
      </c>
      <c r="CQ4438">
        <v>180</v>
      </c>
      <c r="CR4438">
        <v>3</v>
      </c>
      <c r="CW4438">
        <v>1430523</v>
      </c>
      <c r="CY4438">
        <v>0</v>
      </c>
      <c r="CZ4438">
        <v>0</v>
      </c>
      <c r="DA4438">
        <v>1</v>
      </c>
      <c r="DB4438">
        <v>0</v>
      </c>
      <c r="DC4438">
        <v>0</v>
      </c>
      <c r="DD4438">
        <v>0</v>
      </c>
      <c r="DE4438">
        <v>0</v>
      </c>
      <c r="DF4438">
        <v>0</v>
      </c>
      <c r="DG4438">
        <v>0</v>
      </c>
      <c r="DH4438">
        <v>0</v>
      </c>
      <c r="DI4438">
        <v>0</v>
      </c>
    </row>
    <row r="4439" spans="1:113" x14ac:dyDescent="0.3">
      <c r="A4439" t="str">
        <f>"02/08/2021 20:39:05.902"</f>
        <v>02/08/2021 20:39:05.902</v>
      </c>
      <c r="C4439" t="str">
        <f t="shared" si="218"/>
        <v>FFDFD7C0</v>
      </c>
      <c r="D4439" t="s">
        <v>124</v>
      </c>
      <c r="E4439">
        <v>13</v>
      </c>
      <c r="F4439">
        <v>1013</v>
      </c>
      <c r="G4439" t="s">
        <v>114</v>
      </c>
      <c r="J4439" t="s">
        <v>125</v>
      </c>
      <c r="K4439">
        <v>0</v>
      </c>
      <c r="L4439">
        <v>3</v>
      </c>
      <c r="M4439">
        <v>0</v>
      </c>
      <c r="N4439">
        <v>2</v>
      </c>
      <c r="O4439">
        <v>1</v>
      </c>
      <c r="P4439">
        <v>0</v>
      </c>
      <c r="Q4439">
        <v>0</v>
      </c>
      <c r="S4439" t="str">
        <f>"20:39:08.188"</f>
        <v>20:39:08.188</v>
      </c>
      <c r="T4439" t="str">
        <f>"20:39:07.288"</f>
        <v>20:39:07.288</v>
      </c>
      <c r="U4439" t="str">
        <f t="shared" si="220"/>
        <v>AB01F4</v>
      </c>
      <c r="V4439">
        <v>0</v>
      </c>
      <c r="W4439">
        <v>0</v>
      </c>
      <c r="X4439">
        <v>2</v>
      </c>
      <c r="Z4439">
        <v>0</v>
      </c>
      <c r="AA4439">
        <v>9</v>
      </c>
      <c r="AB4439">
        <v>3</v>
      </c>
      <c r="AC4439">
        <v>0</v>
      </c>
      <c r="AD4439">
        <v>10</v>
      </c>
      <c r="AE4439">
        <v>0</v>
      </c>
      <c r="AF4439">
        <v>3</v>
      </c>
      <c r="AG4439">
        <v>2</v>
      </c>
      <c r="AH4439">
        <v>0</v>
      </c>
      <c r="AI4439" t="s">
        <v>2465</v>
      </c>
      <c r="AJ4439">
        <v>40.156446000000003</v>
      </c>
      <c r="AK4439" t="s">
        <v>2466</v>
      </c>
      <c r="AL4439">
        <v>-93.212643</v>
      </c>
      <c r="AM4439">
        <v>100</v>
      </c>
      <c r="AN4439">
        <v>1300</v>
      </c>
      <c r="AO4439" t="s">
        <v>118</v>
      </c>
      <c r="AP4439">
        <v>-133</v>
      </c>
      <c r="AQ4439">
        <v>-35</v>
      </c>
      <c r="AR4439">
        <v>-192</v>
      </c>
      <c r="AZ4439">
        <v>1200</v>
      </c>
      <c r="BA4439">
        <v>1</v>
      </c>
      <c r="BB4439" t="str">
        <f t="shared" si="219"/>
        <v xml:space="preserve">N8080G  </v>
      </c>
      <c r="BC4439">
        <v>1</v>
      </c>
      <c r="BE4439">
        <v>0</v>
      </c>
      <c r="BF4439">
        <v>0</v>
      </c>
      <c r="BG4439">
        <v>0</v>
      </c>
      <c r="BH4439">
        <v>1325</v>
      </c>
      <c r="BI4439">
        <v>1</v>
      </c>
      <c r="BJ4439">
        <v>1</v>
      </c>
      <c r="BK4439">
        <v>1</v>
      </c>
      <c r="BL4439">
        <v>0</v>
      </c>
      <c r="BO4439">
        <v>0</v>
      </c>
      <c r="BP4439">
        <v>0</v>
      </c>
      <c r="BW4439" t="str">
        <f>"20:39:08.190"</f>
        <v>20:39:08.190</v>
      </c>
      <c r="BZ4439">
        <v>0</v>
      </c>
      <c r="CA4439">
        <v>1504</v>
      </c>
      <c r="CB4439">
        <v>224</v>
      </c>
      <c r="CD4439">
        <v>1</v>
      </c>
      <c r="CE4439">
        <v>0</v>
      </c>
      <c r="CF4439">
        <v>0</v>
      </c>
      <c r="CG4439">
        <v>0</v>
      </c>
      <c r="CH4439">
        <v>0</v>
      </c>
      <c r="CI4439">
        <v>0</v>
      </c>
      <c r="CJ4439">
        <v>0</v>
      </c>
      <c r="CK4439">
        <v>2</v>
      </c>
      <c r="CL4439">
        <v>0</v>
      </c>
      <c r="CM4439">
        <v>2</v>
      </c>
      <c r="CN4439">
        <v>0</v>
      </c>
      <c r="CO4439">
        <v>3</v>
      </c>
      <c r="CP4439" t="s">
        <v>119</v>
      </c>
      <c r="CQ4439">
        <v>180</v>
      </c>
      <c r="CR4439">
        <v>3</v>
      </c>
      <c r="CW4439">
        <v>1431191</v>
      </c>
      <c r="CY4439">
        <v>0</v>
      </c>
      <c r="CZ4439">
        <v>0</v>
      </c>
      <c r="DA4439">
        <v>0</v>
      </c>
      <c r="DB4439">
        <v>0</v>
      </c>
      <c r="DC4439">
        <v>0</v>
      </c>
      <c r="DD4439">
        <v>0</v>
      </c>
      <c r="DE4439">
        <v>0</v>
      </c>
      <c r="DF4439">
        <v>0</v>
      </c>
      <c r="DG4439">
        <v>0</v>
      </c>
      <c r="DH4439">
        <v>0</v>
      </c>
      <c r="DI4439">
        <v>0</v>
      </c>
    </row>
    <row r="4440" spans="1:113" x14ac:dyDescent="0.3">
      <c r="A4440" t="str">
        <f>"02/08/2021 20:39:05.902"</f>
        <v>02/08/2021 20:39:05.902</v>
      </c>
      <c r="C4440" t="str">
        <f t="shared" si="218"/>
        <v>FFDFD7C0</v>
      </c>
      <c r="D4440" t="s">
        <v>124</v>
      </c>
      <c r="E4440">
        <v>11</v>
      </c>
      <c r="F4440">
        <v>1011</v>
      </c>
      <c r="G4440" t="s">
        <v>590</v>
      </c>
      <c r="J4440" t="s">
        <v>125</v>
      </c>
      <c r="K4440">
        <v>0</v>
      </c>
      <c r="L4440">
        <v>3</v>
      </c>
      <c r="M4440">
        <v>0</v>
      </c>
      <c r="N4440">
        <v>2</v>
      </c>
      <c r="O4440">
        <v>1</v>
      </c>
      <c r="P4440">
        <v>0</v>
      </c>
      <c r="Q4440">
        <v>0</v>
      </c>
      <c r="S4440" t="str">
        <f>"20:39:08.188"</f>
        <v>20:39:08.188</v>
      </c>
      <c r="T4440" t="str">
        <f>"20:39:07.288"</f>
        <v>20:39:07.288</v>
      </c>
      <c r="U4440" t="str">
        <f t="shared" si="220"/>
        <v>AB01F4</v>
      </c>
      <c r="V4440">
        <v>0</v>
      </c>
      <c r="W4440">
        <v>0</v>
      </c>
      <c r="X4440">
        <v>2</v>
      </c>
      <c r="Z4440">
        <v>0</v>
      </c>
      <c r="AA4440">
        <v>9</v>
      </c>
      <c r="AB4440">
        <v>3</v>
      </c>
      <c r="AC4440">
        <v>0</v>
      </c>
      <c r="AD4440">
        <v>10</v>
      </c>
      <c r="AE4440">
        <v>0</v>
      </c>
      <c r="AF4440">
        <v>3</v>
      </c>
      <c r="AG4440">
        <v>2</v>
      </c>
      <c r="AH4440">
        <v>0</v>
      </c>
      <c r="AI4440" t="s">
        <v>2465</v>
      </c>
      <c r="AJ4440">
        <v>40.156446000000003</v>
      </c>
      <c r="AK4440" t="s">
        <v>2466</v>
      </c>
      <c r="AL4440">
        <v>-93.212643</v>
      </c>
      <c r="AM4440">
        <v>100</v>
      </c>
      <c r="AN4440">
        <v>1300</v>
      </c>
      <c r="AO4440" t="s">
        <v>118</v>
      </c>
      <c r="AP4440">
        <v>-133</v>
      </c>
      <c r="AQ4440">
        <v>-35</v>
      </c>
      <c r="AR4440">
        <v>-192</v>
      </c>
      <c r="AZ4440">
        <v>1200</v>
      </c>
      <c r="BA4440">
        <v>1</v>
      </c>
      <c r="BB4440" t="str">
        <f t="shared" si="219"/>
        <v xml:space="preserve">N8080G  </v>
      </c>
      <c r="BC4440">
        <v>1</v>
      </c>
      <c r="BE4440">
        <v>0</v>
      </c>
      <c r="BF4440">
        <v>0</v>
      </c>
      <c r="BG4440">
        <v>0</v>
      </c>
      <c r="BH4440">
        <v>1325</v>
      </c>
      <c r="BI4440">
        <v>1</v>
      </c>
      <c r="BJ4440">
        <v>1</v>
      </c>
      <c r="BK4440">
        <v>1</v>
      </c>
      <c r="BL4440">
        <v>0</v>
      </c>
      <c r="BO4440">
        <v>0</v>
      </c>
      <c r="BP4440">
        <v>0</v>
      </c>
      <c r="BW4440" t="str">
        <f>"20:39:08.190"</f>
        <v>20:39:08.190</v>
      </c>
      <c r="BZ4440">
        <v>0</v>
      </c>
      <c r="CA4440">
        <v>1504</v>
      </c>
      <c r="CB4440">
        <v>224</v>
      </c>
      <c r="CD4440">
        <v>1</v>
      </c>
      <c r="CE4440">
        <v>0</v>
      </c>
      <c r="CF4440">
        <v>0</v>
      </c>
      <c r="CG4440">
        <v>0</v>
      </c>
      <c r="CH4440">
        <v>0</v>
      </c>
      <c r="CI4440">
        <v>0</v>
      </c>
      <c r="CJ4440">
        <v>0</v>
      </c>
      <c r="CK4440">
        <v>2</v>
      </c>
      <c r="CL4440">
        <v>0</v>
      </c>
      <c r="CM4440">
        <v>2</v>
      </c>
      <c r="CN4440">
        <v>0</v>
      </c>
      <c r="CO4440">
        <v>3</v>
      </c>
      <c r="CP4440" t="s">
        <v>119</v>
      </c>
      <c r="CQ4440">
        <v>180</v>
      </c>
      <c r="CR4440">
        <v>3</v>
      </c>
      <c r="CW4440">
        <v>1431191</v>
      </c>
      <c r="CY4440">
        <v>0</v>
      </c>
      <c r="CZ4440">
        <v>0</v>
      </c>
      <c r="DA4440">
        <v>1</v>
      </c>
      <c r="DB4440">
        <v>0</v>
      </c>
      <c r="DC4440">
        <v>0</v>
      </c>
      <c r="DD4440">
        <v>0</v>
      </c>
      <c r="DE4440">
        <v>0</v>
      </c>
      <c r="DF4440">
        <v>0</v>
      </c>
      <c r="DG4440">
        <v>0</v>
      </c>
      <c r="DH4440">
        <v>0</v>
      </c>
      <c r="DI4440">
        <v>0</v>
      </c>
    </row>
    <row r="4441" spans="1:113" x14ac:dyDescent="0.3">
      <c r="A4441" t="str">
        <f>"02/08/2021 20:39:05.902"</f>
        <v>02/08/2021 20:39:05.902</v>
      </c>
      <c r="C4441" t="str">
        <f t="shared" si="218"/>
        <v>FFDFD7C0</v>
      </c>
      <c r="D4441" t="s">
        <v>113</v>
      </c>
      <c r="E4441">
        <v>6</v>
      </c>
      <c r="H4441">
        <v>165</v>
      </c>
      <c r="I4441" t="s">
        <v>114</v>
      </c>
      <c r="J4441" t="s">
        <v>115</v>
      </c>
      <c r="K4441">
        <v>0</v>
      </c>
      <c r="L4441">
        <v>3</v>
      </c>
      <c r="M4441">
        <v>0</v>
      </c>
      <c r="N4441">
        <v>2</v>
      </c>
      <c r="O4441">
        <v>1</v>
      </c>
      <c r="P4441">
        <v>0</v>
      </c>
      <c r="Q4441">
        <v>0</v>
      </c>
      <c r="S4441" t="str">
        <f>"20:39:08.188"</f>
        <v>20:39:08.188</v>
      </c>
      <c r="T4441" t="str">
        <f>"20:39:07.288"</f>
        <v>20:39:07.288</v>
      </c>
      <c r="U4441" t="str">
        <f t="shared" si="220"/>
        <v>AB01F4</v>
      </c>
      <c r="V4441">
        <v>0</v>
      </c>
      <c r="W4441">
        <v>0</v>
      </c>
      <c r="X4441">
        <v>2</v>
      </c>
      <c r="Z4441">
        <v>0</v>
      </c>
      <c r="AA4441">
        <v>9</v>
      </c>
      <c r="AB4441">
        <v>3</v>
      </c>
      <c r="AC4441">
        <v>0</v>
      </c>
      <c r="AD4441">
        <v>10</v>
      </c>
      <c r="AE4441">
        <v>0</v>
      </c>
      <c r="AF4441">
        <v>3</v>
      </c>
      <c r="AG4441">
        <v>2</v>
      </c>
      <c r="AH4441">
        <v>0</v>
      </c>
      <c r="AI4441" t="s">
        <v>2465</v>
      </c>
      <c r="AJ4441">
        <v>40.156446000000003</v>
      </c>
      <c r="AK4441" t="s">
        <v>2466</v>
      </c>
      <c r="AL4441">
        <v>-93.212643</v>
      </c>
      <c r="AM4441">
        <v>100</v>
      </c>
      <c r="AN4441">
        <v>1300</v>
      </c>
      <c r="AO4441" t="s">
        <v>118</v>
      </c>
      <c r="AP4441">
        <v>-133</v>
      </c>
      <c r="AQ4441">
        <v>-35</v>
      </c>
      <c r="AR4441">
        <v>-192</v>
      </c>
      <c r="AZ4441">
        <v>1200</v>
      </c>
      <c r="BA4441">
        <v>1</v>
      </c>
      <c r="BB4441" t="str">
        <f t="shared" si="219"/>
        <v xml:space="preserve">N8080G  </v>
      </c>
      <c r="BC4441">
        <v>1</v>
      </c>
      <c r="BE4441">
        <v>0</v>
      </c>
      <c r="BF4441">
        <v>0</v>
      </c>
      <c r="BG4441">
        <v>0</v>
      </c>
      <c r="BH4441">
        <v>1325</v>
      </c>
      <c r="BI4441">
        <v>1</v>
      </c>
      <c r="BJ4441">
        <v>1</v>
      </c>
      <c r="BK4441">
        <v>1</v>
      </c>
      <c r="BL4441">
        <v>0</v>
      </c>
      <c r="BO4441">
        <v>0</v>
      </c>
      <c r="BP4441">
        <v>0</v>
      </c>
      <c r="BW4441" t="str">
        <f>"20:39:08.190"</f>
        <v>20:39:08.190</v>
      </c>
      <c r="BZ4441">
        <v>0</v>
      </c>
      <c r="CA4441">
        <v>1504</v>
      </c>
      <c r="CB4441">
        <v>224</v>
      </c>
      <c r="CD4441">
        <v>1</v>
      </c>
      <c r="CE4441">
        <v>0</v>
      </c>
      <c r="CF4441">
        <v>0</v>
      </c>
      <c r="CG4441">
        <v>0</v>
      </c>
      <c r="CH4441">
        <v>0</v>
      </c>
      <c r="CI4441">
        <v>0</v>
      </c>
      <c r="CJ4441">
        <v>0</v>
      </c>
      <c r="CK4441">
        <v>2</v>
      </c>
      <c r="CL4441">
        <v>0</v>
      </c>
      <c r="CM4441">
        <v>2</v>
      </c>
      <c r="CN4441">
        <v>0</v>
      </c>
      <c r="CO4441">
        <v>3</v>
      </c>
      <c r="CP4441" t="s">
        <v>119</v>
      </c>
      <c r="CQ4441">
        <v>180</v>
      </c>
      <c r="CR4441">
        <v>3</v>
      </c>
      <c r="CW4441">
        <v>1431191</v>
      </c>
      <c r="CY4441">
        <v>0</v>
      </c>
      <c r="CZ4441">
        <v>0</v>
      </c>
      <c r="DA4441">
        <v>1</v>
      </c>
      <c r="DB4441">
        <v>0</v>
      </c>
      <c r="DC4441">
        <v>0</v>
      </c>
      <c r="DD4441">
        <v>0</v>
      </c>
      <c r="DE4441">
        <v>0</v>
      </c>
      <c r="DF4441">
        <v>0</v>
      </c>
      <c r="DG4441">
        <v>0</v>
      </c>
      <c r="DH4441">
        <v>0</v>
      </c>
      <c r="DI4441">
        <v>0</v>
      </c>
    </row>
    <row r="4442" spans="1:113" x14ac:dyDescent="0.3">
      <c r="A4442" t="str">
        <f>"02/08/2021 20:39:05.902"</f>
        <v>02/08/2021 20:39:05.902</v>
      </c>
      <c r="C4442" t="str">
        <f t="shared" si="218"/>
        <v>FFDFD7C0</v>
      </c>
      <c r="D4442" t="s">
        <v>124</v>
      </c>
      <c r="E4442">
        <v>12</v>
      </c>
      <c r="F4442">
        <v>1012</v>
      </c>
      <c r="G4442" t="s">
        <v>675</v>
      </c>
      <c r="J4442" t="s">
        <v>125</v>
      </c>
      <c r="K4442">
        <v>0</v>
      </c>
      <c r="L4442">
        <v>3</v>
      </c>
      <c r="M4442">
        <v>0</v>
      </c>
      <c r="N4442">
        <v>2</v>
      </c>
      <c r="O4442">
        <v>1</v>
      </c>
      <c r="P4442">
        <v>0</v>
      </c>
      <c r="Q4442">
        <v>0</v>
      </c>
      <c r="S4442" t="str">
        <f>"20:39:08.188"</f>
        <v>20:39:08.188</v>
      </c>
      <c r="T4442" t="str">
        <f>"20:39:07.288"</f>
        <v>20:39:07.288</v>
      </c>
      <c r="U4442" t="str">
        <f t="shared" si="220"/>
        <v>AB01F4</v>
      </c>
      <c r="V4442">
        <v>0</v>
      </c>
      <c r="W4442">
        <v>0</v>
      </c>
      <c r="X4442">
        <v>2</v>
      </c>
      <c r="Z4442">
        <v>0</v>
      </c>
      <c r="AA4442">
        <v>9</v>
      </c>
      <c r="AB4442">
        <v>3</v>
      </c>
      <c r="AC4442">
        <v>0</v>
      </c>
      <c r="AD4442">
        <v>10</v>
      </c>
      <c r="AE4442">
        <v>0</v>
      </c>
      <c r="AF4442">
        <v>3</v>
      </c>
      <c r="AG4442">
        <v>2</v>
      </c>
      <c r="AH4442">
        <v>0</v>
      </c>
      <c r="AI4442" t="s">
        <v>2465</v>
      </c>
      <c r="AJ4442">
        <v>40.156446000000003</v>
      </c>
      <c r="AK4442" t="s">
        <v>2466</v>
      </c>
      <c r="AL4442">
        <v>-93.212643</v>
      </c>
      <c r="AM4442">
        <v>100</v>
      </c>
      <c r="AN4442">
        <v>1300</v>
      </c>
      <c r="AO4442" t="s">
        <v>118</v>
      </c>
      <c r="AP4442">
        <v>-133</v>
      </c>
      <c r="AQ4442">
        <v>-35</v>
      </c>
      <c r="AR4442">
        <v>-192</v>
      </c>
      <c r="AZ4442">
        <v>1200</v>
      </c>
      <c r="BA4442">
        <v>1</v>
      </c>
      <c r="BB4442" t="str">
        <f t="shared" si="219"/>
        <v xml:space="preserve">N8080G  </v>
      </c>
      <c r="BC4442">
        <v>1</v>
      </c>
      <c r="BE4442">
        <v>0</v>
      </c>
      <c r="BF4442">
        <v>0</v>
      </c>
      <c r="BG4442">
        <v>0</v>
      </c>
      <c r="BH4442">
        <v>1325</v>
      </c>
      <c r="BI4442">
        <v>1</v>
      </c>
      <c r="BJ4442">
        <v>1</v>
      </c>
      <c r="BK4442">
        <v>1</v>
      </c>
      <c r="BL4442">
        <v>0</v>
      </c>
      <c r="BO4442">
        <v>0</v>
      </c>
      <c r="BP4442">
        <v>0</v>
      </c>
      <c r="BW4442" t="str">
        <f>"20:39:08.190"</f>
        <v>20:39:08.190</v>
      </c>
      <c r="BZ4442">
        <v>0</v>
      </c>
      <c r="CA4442">
        <v>1504</v>
      </c>
      <c r="CB4442">
        <v>224</v>
      </c>
      <c r="CD4442">
        <v>1</v>
      </c>
      <c r="CE4442">
        <v>0</v>
      </c>
      <c r="CF4442">
        <v>0</v>
      </c>
      <c r="CG4442">
        <v>0</v>
      </c>
      <c r="CH4442">
        <v>0</v>
      </c>
      <c r="CI4442">
        <v>0</v>
      </c>
      <c r="CJ4442">
        <v>0</v>
      </c>
      <c r="CK4442">
        <v>2</v>
      </c>
      <c r="CL4442">
        <v>0</v>
      </c>
      <c r="CM4442">
        <v>2</v>
      </c>
      <c r="CN4442">
        <v>0</v>
      </c>
      <c r="CO4442">
        <v>3</v>
      </c>
      <c r="CP4442" t="s">
        <v>119</v>
      </c>
      <c r="CQ4442">
        <v>180</v>
      </c>
      <c r="CR4442">
        <v>3</v>
      </c>
      <c r="CW4442">
        <v>1431191</v>
      </c>
      <c r="CY4442">
        <v>0</v>
      </c>
      <c r="CZ4442">
        <v>0</v>
      </c>
      <c r="DA4442">
        <v>1</v>
      </c>
      <c r="DB4442">
        <v>0</v>
      </c>
      <c r="DC4442">
        <v>0</v>
      </c>
      <c r="DD4442">
        <v>0</v>
      </c>
      <c r="DE4442">
        <v>0</v>
      </c>
      <c r="DF4442">
        <v>0</v>
      </c>
      <c r="DG4442">
        <v>0</v>
      </c>
      <c r="DH4442">
        <v>0</v>
      </c>
      <c r="DI4442">
        <v>0</v>
      </c>
    </row>
    <row r="4443" spans="1:113" x14ac:dyDescent="0.3">
      <c r="A4443" t="str">
        <f>"02/08/2021 20:39:07.818"</f>
        <v>02/08/2021 20:39:07.818</v>
      </c>
      <c r="C4443" t="str">
        <f t="shared" si="218"/>
        <v>FFDFD7C0</v>
      </c>
      <c r="D4443" t="s">
        <v>124</v>
      </c>
      <c r="E4443">
        <v>13</v>
      </c>
      <c r="F4443">
        <v>1013</v>
      </c>
      <c r="G4443" t="s">
        <v>114</v>
      </c>
      <c r="J4443" t="s">
        <v>125</v>
      </c>
      <c r="K4443">
        <v>0</v>
      </c>
      <c r="L4443">
        <v>3</v>
      </c>
      <c r="M4443">
        <v>0</v>
      </c>
      <c r="N4443">
        <v>2</v>
      </c>
      <c r="O4443">
        <v>1</v>
      </c>
      <c r="P4443">
        <v>0</v>
      </c>
      <c r="Q4443">
        <v>0</v>
      </c>
      <c r="S4443" t="str">
        <f>"20:39:10.117"</f>
        <v>20:39:10.117</v>
      </c>
      <c r="T4443" t="str">
        <f>"20:39:09.717"</f>
        <v>20:39:09.717</v>
      </c>
      <c r="U4443" t="str">
        <f t="shared" si="220"/>
        <v>AB01F4</v>
      </c>
      <c r="V4443">
        <v>0</v>
      </c>
      <c r="W4443">
        <v>0</v>
      </c>
      <c r="X4443">
        <v>2</v>
      </c>
      <c r="Z4443">
        <v>0</v>
      </c>
      <c r="AA4443">
        <v>9</v>
      </c>
      <c r="AB4443">
        <v>3</v>
      </c>
      <c r="AC4443">
        <v>0</v>
      </c>
      <c r="AD4443">
        <v>10</v>
      </c>
      <c r="AE4443">
        <v>0</v>
      </c>
      <c r="AF4443">
        <v>3</v>
      </c>
      <c r="AG4443">
        <v>2</v>
      </c>
      <c r="AH4443">
        <v>0</v>
      </c>
      <c r="AI4443" t="s">
        <v>2467</v>
      </c>
      <c r="AJ4443">
        <v>40.156101999999997</v>
      </c>
      <c r="AK4443" t="s">
        <v>2468</v>
      </c>
      <c r="AL4443">
        <v>-93.214187999999993</v>
      </c>
      <c r="AM4443">
        <v>100</v>
      </c>
      <c r="AN4443">
        <v>1300</v>
      </c>
      <c r="AO4443" t="s">
        <v>118</v>
      </c>
      <c r="AP4443">
        <v>-134</v>
      </c>
      <c r="AQ4443">
        <v>-35</v>
      </c>
      <c r="AR4443">
        <v>-192</v>
      </c>
      <c r="AZ4443">
        <v>1200</v>
      </c>
      <c r="BA4443">
        <v>1</v>
      </c>
      <c r="BB4443" t="str">
        <f t="shared" si="219"/>
        <v xml:space="preserve">N8080G  </v>
      </c>
      <c r="BC4443">
        <v>1</v>
      </c>
      <c r="BE4443">
        <v>0</v>
      </c>
      <c r="BF4443">
        <v>0</v>
      </c>
      <c r="BG4443">
        <v>0</v>
      </c>
      <c r="BH4443">
        <v>1300</v>
      </c>
      <c r="BI4443">
        <v>1</v>
      </c>
      <c r="BJ4443">
        <v>1</v>
      </c>
      <c r="BK4443">
        <v>1</v>
      </c>
      <c r="BL4443">
        <v>0</v>
      </c>
      <c r="BO4443">
        <v>0</v>
      </c>
      <c r="BP4443">
        <v>0</v>
      </c>
      <c r="BW4443" t="str">
        <f>"20:39:10.123"</f>
        <v>20:39:10.123</v>
      </c>
      <c r="BZ4443">
        <v>0</v>
      </c>
      <c r="CA4443">
        <v>1504</v>
      </c>
      <c r="CB4443">
        <v>224</v>
      </c>
      <c r="CD4443">
        <v>1</v>
      </c>
      <c r="CE4443">
        <v>0</v>
      </c>
      <c r="CF4443">
        <v>0</v>
      </c>
      <c r="CG4443">
        <v>0</v>
      </c>
      <c r="CH4443">
        <v>0</v>
      </c>
      <c r="CI4443">
        <v>0</v>
      </c>
      <c r="CJ4443">
        <v>0</v>
      </c>
      <c r="CK4443">
        <v>2</v>
      </c>
      <c r="CL4443">
        <v>0</v>
      </c>
      <c r="CM4443">
        <v>2</v>
      </c>
      <c r="CN4443">
        <v>0</v>
      </c>
      <c r="CO4443">
        <v>3</v>
      </c>
      <c r="CP4443" t="s">
        <v>119</v>
      </c>
      <c r="CQ4443">
        <v>180</v>
      </c>
      <c r="CR4443">
        <v>3</v>
      </c>
      <c r="CW4443">
        <v>1432726</v>
      </c>
      <c r="CY4443">
        <v>0</v>
      </c>
      <c r="CZ4443">
        <v>0</v>
      </c>
      <c r="DA4443">
        <v>0</v>
      </c>
      <c r="DB4443">
        <v>0</v>
      </c>
      <c r="DC4443">
        <v>0</v>
      </c>
      <c r="DD4443">
        <v>0</v>
      </c>
      <c r="DE4443">
        <v>0</v>
      </c>
      <c r="DF4443">
        <v>0</v>
      </c>
      <c r="DG4443">
        <v>0</v>
      </c>
      <c r="DH4443">
        <v>0</v>
      </c>
      <c r="DI4443">
        <v>0</v>
      </c>
    </row>
    <row r="4444" spans="1:113" x14ac:dyDescent="0.3">
      <c r="A4444" t="str">
        <f>"02/08/2021 20:39:07.818"</f>
        <v>02/08/2021 20:39:07.818</v>
      </c>
      <c r="C4444" t="str">
        <f t="shared" si="218"/>
        <v>FFDFD7C0</v>
      </c>
      <c r="D4444" t="s">
        <v>124</v>
      </c>
      <c r="E4444">
        <v>11</v>
      </c>
      <c r="F4444">
        <v>1011</v>
      </c>
      <c r="G4444" t="s">
        <v>590</v>
      </c>
      <c r="J4444" t="s">
        <v>125</v>
      </c>
      <c r="K4444">
        <v>0</v>
      </c>
      <c r="L4444">
        <v>3</v>
      </c>
      <c r="M4444">
        <v>0</v>
      </c>
      <c r="N4444">
        <v>2</v>
      </c>
      <c r="O4444">
        <v>1</v>
      </c>
      <c r="P4444">
        <v>0</v>
      </c>
      <c r="Q4444">
        <v>0</v>
      </c>
      <c r="S4444" t="str">
        <f>"20:39:10.117"</f>
        <v>20:39:10.117</v>
      </c>
      <c r="T4444" t="str">
        <f>"20:39:09.717"</f>
        <v>20:39:09.717</v>
      </c>
      <c r="U4444" t="str">
        <f t="shared" si="220"/>
        <v>AB01F4</v>
      </c>
      <c r="V4444">
        <v>0</v>
      </c>
      <c r="W4444">
        <v>0</v>
      </c>
      <c r="X4444">
        <v>2</v>
      </c>
      <c r="Z4444">
        <v>0</v>
      </c>
      <c r="AA4444">
        <v>9</v>
      </c>
      <c r="AB4444">
        <v>3</v>
      </c>
      <c r="AC4444">
        <v>0</v>
      </c>
      <c r="AD4444">
        <v>10</v>
      </c>
      <c r="AE4444">
        <v>0</v>
      </c>
      <c r="AF4444">
        <v>3</v>
      </c>
      <c r="AG4444">
        <v>2</v>
      </c>
      <c r="AH4444">
        <v>0</v>
      </c>
      <c r="AI4444" t="s">
        <v>2467</v>
      </c>
      <c r="AJ4444">
        <v>40.156101999999997</v>
      </c>
      <c r="AK4444" t="s">
        <v>2468</v>
      </c>
      <c r="AL4444">
        <v>-93.214187999999993</v>
      </c>
      <c r="AM4444">
        <v>100</v>
      </c>
      <c r="AN4444">
        <v>1300</v>
      </c>
      <c r="AO4444" t="s">
        <v>118</v>
      </c>
      <c r="AP4444">
        <v>-134</v>
      </c>
      <c r="AQ4444">
        <v>-35</v>
      </c>
      <c r="AR4444">
        <v>-192</v>
      </c>
      <c r="AZ4444">
        <v>1200</v>
      </c>
      <c r="BA4444">
        <v>1</v>
      </c>
      <c r="BB4444" t="str">
        <f t="shared" si="219"/>
        <v xml:space="preserve">N8080G  </v>
      </c>
      <c r="BC4444">
        <v>1</v>
      </c>
      <c r="BE4444">
        <v>0</v>
      </c>
      <c r="BF4444">
        <v>0</v>
      </c>
      <c r="BG4444">
        <v>0</v>
      </c>
      <c r="BH4444">
        <v>1300</v>
      </c>
      <c r="BI4444">
        <v>1</v>
      </c>
      <c r="BJ4444">
        <v>1</v>
      </c>
      <c r="BK4444">
        <v>1</v>
      </c>
      <c r="BL4444">
        <v>0</v>
      </c>
      <c r="BO4444">
        <v>0</v>
      </c>
      <c r="BP4444">
        <v>0</v>
      </c>
      <c r="BW4444" t="str">
        <f>"20:39:10.123"</f>
        <v>20:39:10.123</v>
      </c>
      <c r="BZ4444">
        <v>0</v>
      </c>
      <c r="CA4444">
        <v>1504</v>
      </c>
      <c r="CB4444">
        <v>224</v>
      </c>
      <c r="CD4444">
        <v>1</v>
      </c>
      <c r="CE4444">
        <v>0</v>
      </c>
      <c r="CF4444">
        <v>0</v>
      </c>
      <c r="CG4444">
        <v>0</v>
      </c>
      <c r="CH4444">
        <v>0</v>
      </c>
      <c r="CI4444">
        <v>0</v>
      </c>
      <c r="CJ4444">
        <v>0</v>
      </c>
      <c r="CK4444">
        <v>2</v>
      </c>
      <c r="CL4444">
        <v>0</v>
      </c>
      <c r="CM4444">
        <v>2</v>
      </c>
      <c r="CN4444">
        <v>0</v>
      </c>
      <c r="CO4444">
        <v>3</v>
      </c>
      <c r="CP4444" t="s">
        <v>119</v>
      </c>
      <c r="CQ4444">
        <v>180</v>
      </c>
      <c r="CR4444">
        <v>3</v>
      </c>
      <c r="CW4444">
        <v>1432726</v>
      </c>
      <c r="CY4444">
        <v>0</v>
      </c>
      <c r="CZ4444">
        <v>0</v>
      </c>
      <c r="DA4444">
        <v>1</v>
      </c>
      <c r="DB4444">
        <v>0</v>
      </c>
      <c r="DC4444">
        <v>0</v>
      </c>
      <c r="DD4444">
        <v>0</v>
      </c>
      <c r="DE4444">
        <v>0</v>
      </c>
      <c r="DF4444">
        <v>0</v>
      </c>
      <c r="DG4444">
        <v>0</v>
      </c>
      <c r="DH4444">
        <v>0</v>
      </c>
      <c r="DI4444">
        <v>0</v>
      </c>
    </row>
    <row r="4445" spans="1:113" x14ac:dyDescent="0.3">
      <c r="A4445" t="str">
        <f>"02/08/2021 20:39:07.818"</f>
        <v>02/08/2021 20:39:07.818</v>
      </c>
      <c r="C4445" t="str">
        <f t="shared" si="218"/>
        <v>FFDFD7C0</v>
      </c>
      <c r="D4445" t="s">
        <v>113</v>
      </c>
      <c r="E4445">
        <v>6</v>
      </c>
      <c r="H4445">
        <v>165</v>
      </c>
      <c r="I4445" t="s">
        <v>114</v>
      </c>
      <c r="J4445" t="s">
        <v>115</v>
      </c>
      <c r="K4445">
        <v>0</v>
      </c>
      <c r="L4445">
        <v>3</v>
      </c>
      <c r="M4445">
        <v>0</v>
      </c>
      <c r="N4445">
        <v>2</v>
      </c>
      <c r="O4445">
        <v>1</v>
      </c>
      <c r="P4445">
        <v>0</v>
      </c>
      <c r="Q4445">
        <v>0</v>
      </c>
      <c r="S4445" t="str">
        <f>"20:39:10.117"</f>
        <v>20:39:10.117</v>
      </c>
      <c r="T4445" t="str">
        <f>"20:39:09.717"</f>
        <v>20:39:09.717</v>
      </c>
      <c r="U4445" t="str">
        <f t="shared" si="220"/>
        <v>AB01F4</v>
      </c>
      <c r="V4445">
        <v>0</v>
      </c>
      <c r="W4445">
        <v>0</v>
      </c>
      <c r="X4445">
        <v>2</v>
      </c>
      <c r="Z4445">
        <v>0</v>
      </c>
      <c r="AA4445">
        <v>9</v>
      </c>
      <c r="AB4445">
        <v>3</v>
      </c>
      <c r="AC4445">
        <v>0</v>
      </c>
      <c r="AD4445">
        <v>10</v>
      </c>
      <c r="AE4445">
        <v>0</v>
      </c>
      <c r="AF4445">
        <v>3</v>
      </c>
      <c r="AG4445">
        <v>2</v>
      </c>
      <c r="AH4445">
        <v>0</v>
      </c>
      <c r="AI4445" t="s">
        <v>2467</v>
      </c>
      <c r="AJ4445">
        <v>40.156101999999997</v>
      </c>
      <c r="AK4445" t="s">
        <v>2468</v>
      </c>
      <c r="AL4445">
        <v>-93.214187999999993</v>
      </c>
      <c r="AM4445">
        <v>100</v>
      </c>
      <c r="AN4445">
        <v>1300</v>
      </c>
      <c r="AO4445" t="s">
        <v>118</v>
      </c>
      <c r="AP4445">
        <v>-134</v>
      </c>
      <c r="AQ4445">
        <v>-35</v>
      </c>
      <c r="AR4445">
        <v>-192</v>
      </c>
      <c r="AZ4445">
        <v>1200</v>
      </c>
      <c r="BA4445">
        <v>1</v>
      </c>
      <c r="BB4445" t="str">
        <f t="shared" si="219"/>
        <v xml:space="preserve">N8080G  </v>
      </c>
      <c r="BC4445">
        <v>1</v>
      </c>
      <c r="BE4445">
        <v>0</v>
      </c>
      <c r="BF4445">
        <v>0</v>
      </c>
      <c r="BG4445">
        <v>0</v>
      </c>
      <c r="BH4445">
        <v>1300</v>
      </c>
      <c r="BI4445">
        <v>1</v>
      </c>
      <c r="BJ4445">
        <v>1</v>
      </c>
      <c r="BK4445">
        <v>1</v>
      </c>
      <c r="BL4445">
        <v>0</v>
      </c>
      <c r="BO4445">
        <v>0</v>
      </c>
      <c r="BP4445">
        <v>0</v>
      </c>
      <c r="BW4445" t="str">
        <f>"20:39:10.123"</f>
        <v>20:39:10.123</v>
      </c>
      <c r="BZ4445">
        <v>0</v>
      </c>
      <c r="CA4445">
        <v>1504</v>
      </c>
      <c r="CB4445">
        <v>224</v>
      </c>
      <c r="CD4445">
        <v>1</v>
      </c>
      <c r="CE4445">
        <v>0</v>
      </c>
      <c r="CF4445">
        <v>0</v>
      </c>
      <c r="CG4445">
        <v>0</v>
      </c>
      <c r="CH4445">
        <v>0</v>
      </c>
      <c r="CI4445">
        <v>0</v>
      </c>
      <c r="CJ4445">
        <v>0</v>
      </c>
      <c r="CK4445">
        <v>2</v>
      </c>
      <c r="CL4445">
        <v>0</v>
      </c>
      <c r="CM4445">
        <v>2</v>
      </c>
      <c r="CN4445">
        <v>0</v>
      </c>
      <c r="CO4445">
        <v>3</v>
      </c>
      <c r="CP4445" t="s">
        <v>119</v>
      </c>
      <c r="CQ4445">
        <v>180</v>
      </c>
      <c r="CR4445">
        <v>3</v>
      </c>
      <c r="CW4445">
        <v>1432726</v>
      </c>
      <c r="CY4445">
        <v>0</v>
      </c>
      <c r="CZ4445">
        <v>0</v>
      </c>
      <c r="DA4445">
        <v>1</v>
      </c>
      <c r="DB4445">
        <v>0</v>
      </c>
      <c r="DC4445">
        <v>0</v>
      </c>
      <c r="DD4445">
        <v>0</v>
      </c>
      <c r="DE4445">
        <v>0</v>
      </c>
      <c r="DF4445">
        <v>0</v>
      </c>
      <c r="DG4445">
        <v>0</v>
      </c>
      <c r="DH4445">
        <v>0</v>
      </c>
      <c r="DI4445">
        <v>0</v>
      </c>
    </row>
    <row r="4446" spans="1:113" x14ac:dyDescent="0.3">
      <c r="A4446" t="str">
        <f>"02/08/2021 20:39:07.818"</f>
        <v>02/08/2021 20:39:07.818</v>
      </c>
      <c r="C4446" t="str">
        <f t="shared" si="218"/>
        <v>FFDFD7C0</v>
      </c>
      <c r="D4446" t="s">
        <v>124</v>
      </c>
      <c r="E4446">
        <v>12</v>
      </c>
      <c r="F4446">
        <v>1012</v>
      </c>
      <c r="G4446" t="s">
        <v>675</v>
      </c>
      <c r="J4446" t="s">
        <v>125</v>
      </c>
      <c r="K4446">
        <v>0</v>
      </c>
      <c r="L4446">
        <v>3</v>
      </c>
      <c r="M4446">
        <v>0</v>
      </c>
      <c r="N4446">
        <v>2</v>
      </c>
      <c r="O4446">
        <v>1</v>
      </c>
      <c r="P4446">
        <v>0</v>
      </c>
      <c r="Q4446">
        <v>0</v>
      </c>
      <c r="S4446" t="str">
        <f>"20:39:10.117"</f>
        <v>20:39:10.117</v>
      </c>
      <c r="T4446" t="str">
        <f>"20:39:09.717"</f>
        <v>20:39:09.717</v>
      </c>
      <c r="U4446" t="str">
        <f t="shared" si="220"/>
        <v>AB01F4</v>
      </c>
      <c r="V4446">
        <v>0</v>
      </c>
      <c r="W4446">
        <v>0</v>
      </c>
      <c r="X4446">
        <v>2</v>
      </c>
      <c r="Z4446">
        <v>0</v>
      </c>
      <c r="AA4446">
        <v>9</v>
      </c>
      <c r="AB4446">
        <v>3</v>
      </c>
      <c r="AC4446">
        <v>0</v>
      </c>
      <c r="AD4446">
        <v>10</v>
      </c>
      <c r="AE4446">
        <v>0</v>
      </c>
      <c r="AF4446">
        <v>3</v>
      </c>
      <c r="AG4446">
        <v>2</v>
      </c>
      <c r="AH4446">
        <v>0</v>
      </c>
      <c r="AI4446" t="s">
        <v>2467</v>
      </c>
      <c r="AJ4446">
        <v>40.156101999999997</v>
      </c>
      <c r="AK4446" t="s">
        <v>2468</v>
      </c>
      <c r="AL4446">
        <v>-93.214187999999993</v>
      </c>
      <c r="AM4446">
        <v>100</v>
      </c>
      <c r="AN4446">
        <v>1300</v>
      </c>
      <c r="AO4446" t="s">
        <v>118</v>
      </c>
      <c r="AP4446">
        <v>-134</v>
      </c>
      <c r="AQ4446">
        <v>-35</v>
      </c>
      <c r="AR4446">
        <v>-192</v>
      </c>
      <c r="AZ4446">
        <v>1200</v>
      </c>
      <c r="BA4446">
        <v>1</v>
      </c>
      <c r="BB4446" t="str">
        <f t="shared" si="219"/>
        <v xml:space="preserve">N8080G  </v>
      </c>
      <c r="BC4446">
        <v>1</v>
      </c>
      <c r="BE4446">
        <v>0</v>
      </c>
      <c r="BF4446">
        <v>0</v>
      </c>
      <c r="BG4446">
        <v>0</v>
      </c>
      <c r="BH4446">
        <v>1300</v>
      </c>
      <c r="BI4446">
        <v>1</v>
      </c>
      <c r="BJ4446">
        <v>1</v>
      </c>
      <c r="BK4446">
        <v>1</v>
      </c>
      <c r="BL4446">
        <v>0</v>
      </c>
      <c r="BO4446">
        <v>0</v>
      </c>
      <c r="BP4446">
        <v>0</v>
      </c>
      <c r="BW4446" t="str">
        <f>"20:39:10.123"</f>
        <v>20:39:10.123</v>
      </c>
      <c r="BZ4446">
        <v>0</v>
      </c>
      <c r="CA4446">
        <v>1504</v>
      </c>
      <c r="CB4446">
        <v>224</v>
      </c>
      <c r="CD4446">
        <v>1</v>
      </c>
      <c r="CE4446">
        <v>0</v>
      </c>
      <c r="CF4446">
        <v>0</v>
      </c>
      <c r="CG4446">
        <v>0</v>
      </c>
      <c r="CH4446">
        <v>0</v>
      </c>
      <c r="CI4446">
        <v>0</v>
      </c>
      <c r="CJ4446">
        <v>0</v>
      </c>
      <c r="CK4446">
        <v>2</v>
      </c>
      <c r="CL4446">
        <v>0</v>
      </c>
      <c r="CM4446">
        <v>2</v>
      </c>
      <c r="CN4446">
        <v>0</v>
      </c>
      <c r="CO4446">
        <v>3</v>
      </c>
      <c r="CP4446" t="s">
        <v>119</v>
      </c>
      <c r="CQ4446">
        <v>180</v>
      </c>
      <c r="CR4446">
        <v>3</v>
      </c>
      <c r="CW4446">
        <v>1432726</v>
      </c>
      <c r="CY4446">
        <v>0</v>
      </c>
      <c r="CZ4446">
        <v>0</v>
      </c>
      <c r="DA4446">
        <v>1</v>
      </c>
      <c r="DB4446">
        <v>0</v>
      </c>
      <c r="DC4446">
        <v>0</v>
      </c>
      <c r="DD4446">
        <v>0</v>
      </c>
      <c r="DE4446">
        <v>0</v>
      </c>
      <c r="DF4446">
        <v>0</v>
      </c>
      <c r="DG4446">
        <v>0</v>
      </c>
      <c r="DH4446">
        <v>0</v>
      </c>
      <c r="DI4446">
        <v>0</v>
      </c>
    </row>
    <row r="4447" spans="1:113" x14ac:dyDescent="0.3">
      <c r="A4447" t="str">
        <f>"02/08/2021 20:39:08.630"</f>
        <v>02/08/2021 20:39:08.630</v>
      </c>
      <c r="C4447" t="str">
        <f t="shared" si="218"/>
        <v>FFDFD7C0</v>
      </c>
      <c r="D4447" t="s">
        <v>124</v>
      </c>
      <c r="E4447">
        <v>11</v>
      </c>
      <c r="F4447">
        <v>1011</v>
      </c>
      <c r="G4447" t="s">
        <v>590</v>
      </c>
      <c r="J4447" t="s">
        <v>125</v>
      </c>
      <c r="K4447">
        <v>0</v>
      </c>
      <c r="L4447">
        <v>3</v>
      </c>
      <c r="M4447">
        <v>0</v>
      </c>
      <c r="N4447">
        <v>2</v>
      </c>
      <c r="O4447">
        <v>1</v>
      </c>
      <c r="P4447">
        <v>0</v>
      </c>
      <c r="Q4447">
        <v>0</v>
      </c>
      <c r="S4447" t="str">
        <f>"20:39:10.945"</f>
        <v>20:39:10.945</v>
      </c>
      <c r="T4447" t="str">
        <f>"20:39:09.645"</f>
        <v>20:39:09.645</v>
      </c>
      <c r="U4447" t="str">
        <f t="shared" si="220"/>
        <v>AB01F4</v>
      </c>
      <c r="V4447">
        <v>0</v>
      </c>
      <c r="W4447">
        <v>0</v>
      </c>
      <c r="X4447">
        <v>2</v>
      </c>
      <c r="Z4447">
        <v>0</v>
      </c>
      <c r="AA4447">
        <v>9</v>
      </c>
      <c r="AB4447">
        <v>3</v>
      </c>
      <c r="AC4447">
        <v>0</v>
      </c>
      <c r="AD4447">
        <v>10</v>
      </c>
      <c r="AE4447">
        <v>0</v>
      </c>
      <c r="AF4447">
        <v>3</v>
      </c>
      <c r="AG4447">
        <v>2</v>
      </c>
      <c r="AH4447">
        <v>0</v>
      </c>
      <c r="AI4447" t="s">
        <v>2469</v>
      </c>
      <c r="AJ4447">
        <v>40.155994999999997</v>
      </c>
      <c r="AK4447" t="s">
        <v>2470</v>
      </c>
      <c r="AL4447">
        <v>-93.214895999999996</v>
      </c>
      <c r="AM4447">
        <v>100</v>
      </c>
      <c r="AN4447">
        <v>1300</v>
      </c>
      <c r="AO4447" t="s">
        <v>118</v>
      </c>
      <c r="AP4447">
        <v>-134</v>
      </c>
      <c r="AQ4447">
        <v>-35</v>
      </c>
      <c r="AR4447">
        <v>-192</v>
      </c>
      <c r="AZ4447">
        <v>1200</v>
      </c>
      <c r="BA4447">
        <v>1</v>
      </c>
      <c r="BB4447" t="str">
        <f t="shared" si="219"/>
        <v xml:space="preserve">N8080G  </v>
      </c>
      <c r="BC4447">
        <v>1</v>
      </c>
      <c r="BE4447">
        <v>0</v>
      </c>
      <c r="BF4447">
        <v>0</v>
      </c>
      <c r="BG4447">
        <v>0</v>
      </c>
      <c r="BH4447">
        <v>1300</v>
      </c>
      <c r="BI4447">
        <v>1</v>
      </c>
      <c r="BJ4447">
        <v>1</v>
      </c>
      <c r="BK4447">
        <v>1</v>
      </c>
      <c r="BL4447">
        <v>0</v>
      </c>
      <c r="BO4447">
        <v>0</v>
      </c>
      <c r="BP4447">
        <v>0</v>
      </c>
      <c r="BW4447" t="str">
        <f>"20:39:10.951"</f>
        <v>20:39:10.951</v>
      </c>
      <c r="BZ4447">
        <v>0</v>
      </c>
      <c r="CA4447">
        <v>1504</v>
      </c>
      <c r="CB4447">
        <v>224</v>
      </c>
      <c r="CD4447">
        <v>1</v>
      </c>
      <c r="CE4447">
        <v>0</v>
      </c>
      <c r="CF4447">
        <v>0</v>
      </c>
      <c r="CG4447">
        <v>0</v>
      </c>
      <c r="CH4447">
        <v>0</v>
      </c>
      <c r="CI4447">
        <v>0</v>
      </c>
      <c r="CJ4447">
        <v>0</v>
      </c>
      <c r="CK4447">
        <v>2</v>
      </c>
      <c r="CL4447">
        <v>0</v>
      </c>
      <c r="CM4447">
        <v>2</v>
      </c>
      <c r="CN4447">
        <v>0</v>
      </c>
      <c r="CO4447">
        <v>1</v>
      </c>
      <c r="CP4447" t="s">
        <v>119</v>
      </c>
      <c r="CQ4447">
        <v>179</v>
      </c>
      <c r="CR4447">
        <v>2</v>
      </c>
      <c r="CW4447">
        <v>12711843</v>
      </c>
      <c r="CY4447">
        <v>0</v>
      </c>
      <c r="CZ4447">
        <v>0</v>
      </c>
      <c r="DA4447">
        <v>0</v>
      </c>
      <c r="DB4447">
        <v>0</v>
      </c>
      <c r="DC4447">
        <v>0</v>
      </c>
      <c r="DD4447">
        <v>0</v>
      </c>
      <c r="DE4447">
        <v>0</v>
      </c>
      <c r="DF4447">
        <v>0</v>
      </c>
      <c r="DG4447">
        <v>0</v>
      </c>
      <c r="DH4447">
        <v>0</v>
      </c>
      <c r="DI4447">
        <v>0</v>
      </c>
    </row>
    <row r="4448" spans="1:113" x14ac:dyDescent="0.3">
      <c r="A4448" t="str">
        <f>"02/08/2021 20:39:08.630"</f>
        <v>02/08/2021 20:39:08.630</v>
      </c>
      <c r="C4448" t="str">
        <f t="shared" si="218"/>
        <v>FFDFD7C0</v>
      </c>
      <c r="D4448" t="s">
        <v>124</v>
      </c>
      <c r="E4448">
        <v>12</v>
      </c>
      <c r="F4448">
        <v>1012</v>
      </c>
      <c r="G4448" t="s">
        <v>675</v>
      </c>
      <c r="J4448" t="s">
        <v>125</v>
      </c>
      <c r="K4448">
        <v>0</v>
      </c>
      <c r="L4448">
        <v>3</v>
      </c>
      <c r="M4448">
        <v>0</v>
      </c>
      <c r="N4448">
        <v>2</v>
      </c>
      <c r="O4448">
        <v>1</v>
      </c>
      <c r="P4448">
        <v>0</v>
      </c>
      <c r="Q4448">
        <v>0</v>
      </c>
      <c r="S4448" t="str">
        <f>"20:39:10.945"</f>
        <v>20:39:10.945</v>
      </c>
      <c r="T4448" t="str">
        <f>"20:39:09.645"</f>
        <v>20:39:09.645</v>
      </c>
      <c r="U4448" t="str">
        <f t="shared" si="220"/>
        <v>AB01F4</v>
      </c>
      <c r="V4448">
        <v>0</v>
      </c>
      <c r="W4448">
        <v>0</v>
      </c>
      <c r="X4448">
        <v>2</v>
      </c>
      <c r="Z4448">
        <v>0</v>
      </c>
      <c r="AA4448">
        <v>9</v>
      </c>
      <c r="AB4448">
        <v>3</v>
      </c>
      <c r="AC4448">
        <v>0</v>
      </c>
      <c r="AD4448">
        <v>10</v>
      </c>
      <c r="AE4448">
        <v>0</v>
      </c>
      <c r="AF4448">
        <v>3</v>
      </c>
      <c r="AG4448">
        <v>2</v>
      </c>
      <c r="AH4448">
        <v>0</v>
      </c>
      <c r="AI4448" t="s">
        <v>2469</v>
      </c>
      <c r="AJ4448">
        <v>40.155994999999997</v>
      </c>
      <c r="AK4448" t="s">
        <v>2470</v>
      </c>
      <c r="AL4448">
        <v>-93.214895999999996</v>
      </c>
      <c r="AM4448">
        <v>100</v>
      </c>
      <c r="AN4448">
        <v>1300</v>
      </c>
      <c r="AO4448" t="s">
        <v>118</v>
      </c>
      <c r="AP4448">
        <v>-134</v>
      </c>
      <c r="AQ4448">
        <v>-35</v>
      </c>
      <c r="AR4448">
        <v>-192</v>
      </c>
      <c r="AZ4448">
        <v>1200</v>
      </c>
      <c r="BA4448">
        <v>1</v>
      </c>
      <c r="BB4448" t="str">
        <f t="shared" si="219"/>
        <v xml:space="preserve">N8080G  </v>
      </c>
      <c r="BC4448">
        <v>1</v>
      </c>
      <c r="BE4448">
        <v>0</v>
      </c>
      <c r="BF4448">
        <v>0</v>
      </c>
      <c r="BG4448">
        <v>0</v>
      </c>
      <c r="BH4448">
        <v>1300</v>
      </c>
      <c r="BI4448">
        <v>1</v>
      </c>
      <c r="BJ4448">
        <v>1</v>
      </c>
      <c r="BK4448">
        <v>1</v>
      </c>
      <c r="BL4448">
        <v>0</v>
      </c>
      <c r="BO4448">
        <v>0</v>
      </c>
      <c r="BP4448">
        <v>0</v>
      </c>
      <c r="BW4448" t="str">
        <f>"20:39:10.951"</f>
        <v>20:39:10.951</v>
      </c>
      <c r="BZ4448">
        <v>0</v>
      </c>
      <c r="CA4448">
        <v>1504</v>
      </c>
      <c r="CB4448">
        <v>224</v>
      </c>
      <c r="CD4448">
        <v>1</v>
      </c>
      <c r="CE4448">
        <v>0</v>
      </c>
      <c r="CF4448">
        <v>0</v>
      </c>
      <c r="CG4448">
        <v>0</v>
      </c>
      <c r="CH4448">
        <v>0</v>
      </c>
      <c r="CI4448">
        <v>0</v>
      </c>
      <c r="CJ4448">
        <v>0</v>
      </c>
      <c r="CK4448">
        <v>2</v>
      </c>
      <c r="CL4448">
        <v>0</v>
      </c>
      <c r="CM4448">
        <v>2</v>
      </c>
      <c r="CN4448">
        <v>0</v>
      </c>
      <c r="CO4448">
        <v>1</v>
      </c>
      <c r="CP4448" t="s">
        <v>119</v>
      </c>
      <c r="CQ4448">
        <v>179</v>
      </c>
      <c r="CR4448">
        <v>2</v>
      </c>
      <c r="CW4448">
        <v>12711843</v>
      </c>
      <c r="CY4448">
        <v>0</v>
      </c>
      <c r="CZ4448">
        <v>0</v>
      </c>
      <c r="DA4448">
        <v>1</v>
      </c>
      <c r="DB4448">
        <v>0</v>
      </c>
      <c r="DC4448">
        <v>0</v>
      </c>
      <c r="DD4448">
        <v>0</v>
      </c>
      <c r="DE4448">
        <v>0</v>
      </c>
      <c r="DF4448">
        <v>0</v>
      </c>
      <c r="DG4448">
        <v>0</v>
      </c>
      <c r="DH4448">
        <v>0</v>
      </c>
      <c r="DI4448">
        <v>0</v>
      </c>
    </row>
    <row r="4449" spans="1:113" x14ac:dyDescent="0.3">
      <c r="A4449" t="str">
        <f>"02/08/2021 20:39:08.630"</f>
        <v>02/08/2021 20:39:08.630</v>
      </c>
      <c r="C4449" t="str">
        <f t="shared" si="218"/>
        <v>FFDFD7C0</v>
      </c>
      <c r="D4449" t="s">
        <v>113</v>
      </c>
      <c r="E4449">
        <v>6</v>
      </c>
      <c r="H4449">
        <v>165</v>
      </c>
      <c r="I4449" t="s">
        <v>114</v>
      </c>
      <c r="J4449" t="s">
        <v>115</v>
      </c>
      <c r="K4449">
        <v>0</v>
      </c>
      <c r="L4449">
        <v>3</v>
      </c>
      <c r="M4449">
        <v>0</v>
      </c>
      <c r="N4449">
        <v>2</v>
      </c>
      <c r="O4449">
        <v>1</v>
      </c>
      <c r="P4449">
        <v>0</v>
      </c>
      <c r="Q4449">
        <v>0</v>
      </c>
      <c r="S4449" t="str">
        <f>"20:39:10.945"</f>
        <v>20:39:10.945</v>
      </c>
      <c r="T4449" t="str">
        <f>"20:39:09.645"</f>
        <v>20:39:09.645</v>
      </c>
      <c r="U4449" t="str">
        <f t="shared" si="220"/>
        <v>AB01F4</v>
      </c>
      <c r="V4449">
        <v>0</v>
      </c>
      <c r="W4449">
        <v>0</v>
      </c>
      <c r="X4449">
        <v>2</v>
      </c>
      <c r="Z4449">
        <v>0</v>
      </c>
      <c r="AA4449">
        <v>9</v>
      </c>
      <c r="AB4449">
        <v>3</v>
      </c>
      <c r="AC4449">
        <v>0</v>
      </c>
      <c r="AD4449">
        <v>10</v>
      </c>
      <c r="AE4449">
        <v>0</v>
      </c>
      <c r="AF4449">
        <v>3</v>
      </c>
      <c r="AG4449">
        <v>2</v>
      </c>
      <c r="AH4449">
        <v>0</v>
      </c>
      <c r="AI4449" t="s">
        <v>2469</v>
      </c>
      <c r="AJ4449">
        <v>40.155994999999997</v>
      </c>
      <c r="AK4449" t="s">
        <v>2470</v>
      </c>
      <c r="AL4449">
        <v>-93.214895999999996</v>
      </c>
      <c r="AM4449">
        <v>100</v>
      </c>
      <c r="AN4449">
        <v>1300</v>
      </c>
      <c r="AO4449" t="s">
        <v>118</v>
      </c>
      <c r="AP4449">
        <v>-134</v>
      </c>
      <c r="AQ4449">
        <v>-35</v>
      </c>
      <c r="AR4449">
        <v>-192</v>
      </c>
      <c r="AZ4449">
        <v>1200</v>
      </c>
      <c r="BA4449">
        <v>1</v>
      </c>
      <c r="BB4449" t="str">
        <f t="shared" si="219"/>
        <v xml:space="preserve">N8080G  </v>
      </c>
      <c r="BC4449">
        <v>1</v>
      </c>
      <c r="BE4449">
        <v>0</v>
      </c>
      <c r="BF4449">
        <v>0</v>
      </c>
      <c r="BG4449">
        <v>0</v>
      </c>
      <c r="BH4449">
        <v>1300</v>
      </c>
      <c r="BI4449">
        <v>1</v>
      </c>
      <c r="BJ4449">
        <v>1</v>
      </c>
      <c r="BK4449">
        <v>1</v>
      </c>
      <c r="BL4449">
        <v>0</v>
      </c>
      <c r="BO4449">
        <v>0</v>
      </c>
      <c r="BP4449">
        <v>0</v>
      </c>
      <c r="BW4449" t="str">
        <f>"20:39:10.951"</f>
        <v>20:39:10.951</v>
      </c>
      <c r="BZ4449">
        <v>0</v>
      </c>
      <c r="CA4449">
        <v>1504</v>
      </c>
      <c r="CB4449">
        <v>224</v>
      </c>
      <c r="CD4449">
        <v>1</v>
      </c>
      <c r="CE4449">
        <v>0</v>
      </c>
      <c r="CF4449">
        <v>0</v>
      </c>
      <c r="CG4449">
        <v>0</v>
      </c>
      <c r="CH4449">
        <v>0</v>
      </c>
      <c r="CI4449">
        <v>0</v>
      </c>
      <c r="CJ4449">
        <v>0</v>
      </c>
      <c r="CK4449">
        <v>2</v>
      </c>
      <c r="CL4449">
        <v>0</v>
      </c>
      <c r="CM4449">
        <v>2</v>
      </c>
      <c r="CN4449">
        <v>0</v>
      </c>
      <c r="CO4449">
        <v>1</v>
      </c>
      <c r="CP4449" t="s">
        <v>119</v>
      </c>
      <c r="CQ4449">
        <v>179</v>
      </c>
      <c r="CR4449">
        <v>2</v>
      </c>
      <c r="CW4449">
        <v>12711843</v>
      </c>
      <c r="CY4449">
        <v>0</v>
      </c>
      <c r="CZ4449">
        <v>0</v>
      </c>
      <c r="DA4449">
        <v>1</v>
      </c>
      <c r="DB4449">
        <v>0</v>
      </c>
      <c r="DC4449">
        <v>0</v>
      </c>
      <c r="DD4449">
        <v>0</v>
      </c>
      <c r="DE4449">
        <v>0</v>
      </c>
      <c r="DF4449">
        <v>0</v>
      </c>
      <c r="DG4449">
        <v>0</v>
      </c>
      <c r="DH4449">
        <v>0</v>
      </c>
      <c r="DI4449">
        <v>0</v>
      </c>
    </row>
    <row r="4450" spans="1:113" x14ac:dyDescent="0.3">
      <c r="A4450" t="str">
        <f>"02/08/2021 20:39:08.630"</f>
        <v>02/08/2021 20:39:08.630</v>
      </c>
      <c r="C4450" t="str">
        <f t="shared" si="218"/>
        <v>FFDFD7C0</v>
      </c>
      <c r="D4450" t="s">
        <v>124</v>
      </c>
      <c r="E4450">
        <v>13</v>
      </c>
      <c r="F4450">
        <v>1013</v>
      </c>
      <c r="G4450" t="s">
        <v>114</v>
      </c>
      <c r="J4450" t="s">
        <v>125</v>
      </c>
      <c r="K4450">
        <v>0</v>
      </c>
      <c r="L4450">
        <v>3</v>
      </c>
      <c r="M4450">
        <v>0</v>
      </c>
      <c r="N4450">
        <v>2</v>
      </c>
      <c r="O4450">
        <v>1</v>
      </c>
      <c r="P4450">
        <v>0</v>
      </c>
      <c r="Q4450">
        <v>0</v>
      </c>
      <c r="S4450" t="str">
        <f>"20:39:10.945"</f>
        <v>20:39:10.945</v>
      </c>
      <c r="T4450" t="str">
        <f>"20:39:09.645"</f>
        <v>20:39:09.645</v>
      </c>
      <c r="U4450" t="str">
        <f t="shared" si="220"/>
        <v>AB01F4</v>
      </c>
      <c r="V4450">
        <v>0</v>
      </c>
      <c r="W4450">
        <v>0</v>
      </c>
      <c r="X4450">
        <v>2</v>
      </c>
      <c r="Z4450">
        <v>0</v>
      </c>
      <c r="AA4450">
        <v>9</v>
      </c>
      <c r="AB4450">
        <v>3</v>
      </c>
      <c r="AC4450">
        <v>0</v>
      </c>
      <c r="AD4450">
        <v>10</v>
      </c>
      <c r="AE4450">
        <v>0</v>
      </c>
      <c r="AF4450">
        <v>3</v>
      </c>
      <c r="AG4450">
        <v>2</v>
      </c>
      <c r="AH4450">
        <v>0</v>
      </c>
      <c r="AI4450" t="s">
        <v>2469</v>
      </c>
      <c r="AJ4450">
        <v>40.155994999999997</v>
      </c>
      <c r="AK4450" t="s">
        <v>2470</v>
      </c>
      <c r="AL4450">
        <v>-93.214895999999996</v>
      </c>
      <c r="AM4450">
        <v>100</v>
      </c>
      <c r="AN4450">
        <v>1300</v>
      </c>
      <c r="AO4450" t="s">
        <v>118</v>
      </c>
      <c r="AP4450">
        <v>-134</v>
      </c>
      <c r="AQ4450">
        <v>-35</v>
      </c>
      <c r="AR4450">
        <v>-192</v>
      </c>
      <c r="AZ4450">
        <v>1200</v>
      </c>
      <c r="BA4450">
        <v>1</v>
      </c>
      <c r="BB4450" t="str">
        <f t="shared" si="219"/>
        <v xml:space="preserve">N8080G  </v>
      </c>
      <c r="BC4450">
        <v>1</v>
      </c>
      <c r="BE4450">
        <v>0</v>
      </c>
      <c r="BF4450">
        <v>0</v>
      </c>
      <c r="BG4450">
        <v>0</v>
      </c>
      <c r="BH4450">
        <v>1300</v>
      </c>
      <c r="BI4450">
        <v>1</v>
      </c>
      <c r="BJ4450">
        <v>1</v>
      </c>
      <c r="BK4450">
        <v>1</v>
      </c>
      <c r="BL4450">
        <v>0</v>
      </c>
      <c r="BO4450">
        <v>0</v>
      </c>
      <c r="BP4450">
        <v>0</v>
      </c>
      <c r="BW4450" t="str">
        <f>"20:39:10.951"</f>
        <v>20:39:10.951</v>
      </c>
      <c r="BZ4450">
        <v>0</v>
      </c>
      <c r="CA4450">
        <v>1504</v>
      </c>
      <c r="CB4450">
        <v>224</v>
      </c>
      <c r="CD4450">
        <v>1</v>
      </c>
      <c r="CE4450">
        <v>0</v>
      </c>
      <c r="CF4450">
        <v>0</v>
      </c>
      <c r="CG4450">
        <v>0</v>
      </c>
      <c r="CH4450">
        <v>0</v>
      </c>
      <c r="CI4450">
        <v>0</v>
      </c>
      <c r="CJ4450">
        <v>0</v>
      </c>
      <c r="CK4450">
        <v>2</v>
      </c>
      <c r="CL4450">
        <v>0</v>
      </c>
      <c r="CM4450">
        <v>2</v>
      </c>
      <c r="CN4450">
        <v>0</v>
      </c>
      <c r="CO4450">
        <v>1</v>
      </c>
      <c r="CP4450" t="s">
        <v>119</v>
      </c>
      <c r="CQ4450">
        <v>179</v>
      </c>
      <c r="CR4450">
        <v>2</v>
      </c>
      <c r="CW4450">
        <v>12711843</v>
      </c>
      <c r="CY4450">
        <v>0</v>
      </c>
      <c r="CZ4450">
        <v>0</v>
      </c>
      <c r="DA4450">
        <v>1</v>
      </c>
      <c r="DB4450">
        <v>0</v>
      </c>
      <c r="DC4450">
        <v>0</v>
      </c>
      <c r="DD4450">
        <v>0</v>
      </c>
      <c r="DE4450">
        <v>0</v>
      </c>
      <c r="DF4450">
        <v>0</v>
      </c>
      <c r="DG4450">
        <v>0</v>
      </c>
      <c r="DH4450">
        <v>0</v>
      </c>
      <c r="DI4450">
        <v>0</v>
      </c>
    </row>
    <row r="4451" spans="1:113" x14ac:dyDescent="0.3">
      <c r="A4451" t="str">
        <f>"02/08/2021 20:39:10.212"</f>
        <v>02/08/2021 20:39:10.212</v>
      </c>
      <c r="C4451" t="str">
        <f t="shared" si="218"/>
        <v>FFDFD7C0</v>
      </c>
      <c r="D4451" t="s">
        <v>113</v>
      </c>
      <c r="E4451">
        <v>6</v>
      </c>
      <c r="H4451">
        <v>165</v>
      </c>
      <c r="I4451" t="s">
        <v>114</v>
      </c>
      <c r="J4451" t="s">
        <v>115</v>
      </c>
      <c r="K4451">
        <v>0</v>
      </c>
      <c r="L4451">
        <v>3</v>
      </c>
      <c r="M4451">
        <v>0</v>
      </c>
      <c r="N4451">
        <v>2</v>
      </c>
      <c r="O4451">
        <v>1</v>
      </c>
      <c r="P4451">
        <v>0</v>
      </c>
      <c r="Q4451">
        <v>0</v>
      </c>
      <c r="S4451" t="str">
        <f>"20:39:12.516"</f>
        <v>20:39:12.516</v>
      </c>
      <c r="T4451" t="str">
        <f>"20:39:12.016"</f>
        <v>20:39:12.016</v>
      </c>
      <c r="U4451" t="str">
        <f t="shared" si="220"/>
        <v>AB01F4</v>
      </c>
      <c r="V4451">
        <v>0</v>
      </c>
      <c r="W4451">
        <v>0</v>
      </c>
      <c r="X4451">
        <v>2</v>
      </c>
      <c r="Z4451">
        <v>0</v>
      </c>
      <c r="AA4451">
        <v>9</v>
      </c>
      <c r="AB4451">
        <v>3</v>
      </c>
      <c r="AC4451">
        <v>0</v>
      </c>
      <c r="AD4451">
        <v>10</v>
      </c>
      <c r="AE4451">
        <v>0</v>
      </c>
      <c r="AF4451">
        <v>3</v>
      </c>
      <c r="AG4451">
        <v>2</v>
      </c>
      <c r="AH4451">
        <v>0</v>
      </c>
      <c r="AI4451" t="s">
        <v>2471</v>
      </c>
      <c r="AJ4451">
        <v>40.155737000000002</v>
      </c>
      <c r="AK4451" t="s">
        <v>2472</v>
      </c>
      <c r="AL4451">
        <v>-93.216119000000006</v>
      </c>
      <c r="AM4451">
        <v>100</v>
      </c>
      <c r="AN4451">
        <v>1300</v>
      </c>
      <c r="AO4451" t="s">
        <v>118</v>
      </c>
      <c r="AP4451">
        <v>-134</v>
      </c>
      <c r="AQ4451">
        <v>-35</v>
      </c>
      <c r="AR4451">
        <v>-256</v>
      </c>
      <c r="AZ4451">
        <v>1200</v>
      </c>
      <c r="BA4451">
        <v>1</v>
      </c>
      <c r="BB4451" t="str">
        <f t="shared" si="219"/>
        <v xml:space="preserve">N8080G  </v>
      </c>
      <c r="BC4451">
        <v>1</v>
      </c>
      <c r="BE4451">
        <v>0</v>
      </c>
      <c r="BF4451">
        <v>0</v>
      </c>
      <c r="BG4451">
        <v>0</v>
      </c>
      <c r="BH4451">
        <v>1300</v>
      </c>
      <c r="BI4451">
        <v>1</v>
      </c>
      <c r="BJ4451">
        <v>1</v>
      </c>
      <c r="BK4451">
        <v>1</v>
      </c>
      <c r="BL4451">
        <v>0</v>
      </c>
      <c r="BO4451">
        <v>0</v>
      </c>
      <c r="BP4451">
        <v>0</v>
      </c>
      <c r="BW4451" t="str">
        <f>"20:39:12.522"</f>
        <v>20:39:12.522</v>
      </c>
      <c r="BZ4451">
        <v>0</v>
      </c>
      <c r="CA4451">
        <v>1504</v>
      </c>
      <c r="CB4451">
        <v>224</v>
      </c>
      <c r="CD4451">
        <v>1</v>
      </c>
      <c r="CE4451">
        <v>0</v>
      </c>
      <c r="CF4451">
        <v>0</v>
      </c>
      <c r="CG4451">
        <v>0</v>
      </c>
      <c r="CH4451">
        <v>0</v>
      </c>
      <c r="CI4451">
        <v>0</v>
      </c>
      <c r="CJ4451">
        <v>0</v>
      </c>
      <c r="CK4451">
        <v>2</v>
      </c>
      <c r="CL4451">
        <v>0</v>
      </c>
      <c r="CM4451">
        <v>2</v>
      </c>
      <c r="CN4451">
        <v>0</v>
      </c>
      <c r="CO4451">
        <v>2</v>
      </c>
      <c r="CP4451" t="s">
        <v>119</v>
      </c>
      <c r="CQ4451">
        <v>180</v>
      </c>
      <c r="CR4451">
        <v>3</v>
      </c>
      <c r="CW4451">
        <v>1434555</v>
      </c>
      <c r="CY4451">
        <v>0</v>
      </c>
      <c r="CZ4451">
        <v>0</v>
      </c>
      <c r="DA4451">
        <v>0</v>
      </c>
      <c r="DB4451">
        <v>0</v>
      </c>
      <c r="DC4451">
        <v>0</v>
      </c>
      <c r="DD4451">
        <v>0</v>
      </c>
      <c r="DE4451">
        <v>0</v>
      </c>
      <c r="DF4451">
        <v>0</v>
      </c>
      <c r="DG4451">
        <v>0</v>
      </c>
      <c r="DH4451">
        <v>0</v>
      </c>
      <c r="DI4451">
        <v>0</v>
      </c>
    </row>
    <row r="4452" spans="1:113" x14ac:dyDescent="0.3">
      <c r="A4452" t="str">
        <f>"02/08/2021 20:39:10.212"</f>
        <v>02/08/2021 20:39:10.212</v>
      </c>
      <c r="C4452" t="str">
        <f t="shared" si="218"/>
        <v>FFDFD7C0</v>
      </c>
      <c r="D4452" t="s">
        <v>124</v>
      </c>
      <c r="E4452">
        <v>13</v>
      </c>
      <c r="F4452">
        <v>1013</v>
      </c>
      <c r="G4452" t="s">
        <v>114</v>
      </c>
      <c r="J4452" t="s">
        <v>125</v>
      </c>
      <c r="K4452">
        <v>0</v>
      </c>
      <c r="L4452">
        <v>3</v>
      </c>
      <c r="M4452">
        <v>0</v>
      </c>
      <c r="N4452">
        <v>2</v>
      </c>
      <c r="O4452">
        <v>1</v>
      </c>
      <c r="P4452">
        <v>0</v>
      </c>
      <c r="Q4452">
        <v>0</v>
      </c>
      <c r="S4452" t="str">
        <f>"20:39:12.516"</f>
        <v>20:39:12.516</v>
      </c>
      <c r="T4452" t="str">
        <f>"20:39:12.016"</f>
        <v>20:39:12.016</v>
      </c>
      <c r="U4452" t="str">
        <f t="shared" si="220"/>
        <v>AB01F4</v>
      </c>
      <c r="V4452">
        <v>0</v>
      </c>
      <c r="W4452">
        <v>0</v>
      </c>
      <c r="X4452">
        <v>2</v>
      </c>
      <c r="Z4452">
        <v>0</v>
      </c>
      <c r="AA4452">
        <v>9</v>
      </c>
      <c r="AB4452">
        <v>3</v>
      </c>
      <c r="AC4452">
        <v>0</v>
      </c>
      <c r="AD4452">
        <v>10</v>
      </c>
      <c r="AE4452">
        <v>0</v>
      </c>
      <c r="AF4452">
        <v>3</v>
      </c>
      <c r="AG4452">
        <v>2</v>
      </c>
      <c r="AH4452">
        <v>0</v>
      </c>
      <c r="AI4452" t="s">
        <v>2471</v>
      </c>
      <c r="AJ4452">
        <v>40.155737000000002</v>
      </c>
      <c r="AK4452" t="s">
        <v>2472</v>
      </c>
      <c r="AL4452">
        <v>-93.216119000000006</v>
      </c>
      <c r="AM4452">
        <v>100</v>
      </c>
      <c r="AN4452">
        <v>1300</v>
      </c>
      <c r="AO4452" t="s">
        <v>118</v>
      </c>
      <c r="AP4452">
        <v>-134</v>
      </c>
      <c r="AQ4452">
        <v>-35</v>
      </c>
      <c r="AR4452">
        <v>-256</v>
      </c>
      <c r="AZ4452">
        <v>1200</v>
      </c>
      <c r="BA4452">
        <v>1</v>
      </c>
      <c r="BB4452" t="str">
        <f t="shared" si="219"/>
        <v xml:space="preserve">N8080G  </v>
      </c>
      <c r="BC4452">
        <v>1</v>
      </c>
      <c r="BE4452">
        <v>0</v>
      </c>
      <c r="BF4452">
        <v>0</v>
      </c>
      <c r="BG4452">
        <v>0</v>
      </c>
      <c r="BH4452">
        <v>1300</v>
      </c>
      <c r="BI4452">
        <v>1</v>
      </c>
      <c r="BJ4452">
        <v>1</v>
      </c>
      <c r="BK4452">
        <v>1</v>
      </c>
      <c r="BL4452">
        <v>0</v>
      </c>
      <c r="BO4452">
        <v>0</v>
      </c>
      <c r="BP4452">
        <v>0</v>
      </c>
      <c r="BW4452" t="str">
        <f>"20:39:12.522"</f>
        <v>20:39:12.522</v>
      </c>
      <c r="BZ4452">
        <v>0</v>
      </c>
      <c r="CA4452">
        <v>1504</v>
      </c>
      <c r="CB4452">
        <v>224</v>
      </c>
      <c r="CD4452">
        <v>1</v>
      </c>
      <c r="CE4452">
        <v>0</v>
      </c>
      <c r="CF4452">
        <v>0</v>
      </c>
      <c r="CG4452">
        <v>0</v>
      </c>
      <c r="CH4452">
        <v>0</v>
      </c>
      <c r="CI4452">
        <v>0</v>
      </c>
      <c r="CJ4452">
        <v>0</v>
      </c>
      <c r="CK4452">
        <v>2</v>
      </c>
      <c r="CL4452">
        <v>0</v>
      </c>
      <c r="CM4452">
        <v>2</v>
      </c>
      <c r="CN4452">
        <v>0</v>
      </c>
      <c r="CO4452">
        <v>2</v>
      </c>
      <c r="CP4452" t="s">
        <v>119</v>
      </c>
      <c r="CQ4452">
        <v>180</v>
      </c>
      <c r="CR4452">
        <v>3</v>
      </c>
      <c r="CW4452">
        <v>1434555</v>
      </c>
      <c r="CY4452">
        <v>0</v>
      </c>
      <c r="CZ4452">
        <v>0</v>
      </c>
      <c r="DA4452">
        <v>1</v>
      </c>
      <c r="DB4452">
        <v>0</v>
      </c>
      <c r="DC4452">
        <v>0</v>
      </c>
      <c r="DD4452">
        <v>0</v>
      </c>
      <c r="DE4452">
        <v>0</v>
      </c>
      <c r="DF4452">
        <v>0</v>
      </c>
      <c r="DG4452">
        <v>0</v>
      </c>
      <c r="DH4452">
        <v>0</v>
      </c>
      <c r="DI4452">
        <v>0</v>
      </c>
    </row>
    <row r="4453" spans="1:113" x14ac:dyDescent="0.3">
      <c r="A4453" t="str">
        <f>"02/08/2021 20:39:10.212"</f>
        <v>02/08/2021 20:39:10.212</v>
      </c>
      <c r="C4453" t="str">
        <f t="shared" si="218"/>
        <v>FFDFD7C0</v>
      </c>
      <c r="D4453" t="s">
        <v>124</v>
      </c>
      <c r="E4453">
        <v>11</v>
      </c>
      <c r="F4453">
        <v>1011</v>
      </c>
      <c r="G4453" t="s">
        <v>590</v>
      </c>
      <c r="J4453" t="s">
        <v>125</v>
      </c>
      <c r="K4453">
        <v>0</v>
      </c>
      <c r="L4453">
        <v>3</v>
      </c>
      <c r="M4453">
        <v>0</v>
      </c>
      <c r="N4453">
        <v>2</v>
      </c>
      <c r="O4453">
        <v>1</v>
      </c>
      <c r="P4453">
        <v>0</v>
      </c>
      <c r="Q4453">
        <v>0</v>
      </c>
      <c r="S4453" t="str">
        <f>"20:39:12.516"</f>
        <v>20:39:12.516</v>
      </c>
      <c r="T4453" t="str">
        <f>"20:39:12.016"</f>
        <v>20:39:12.016</v>
      </c>
      <c r="U4453" t="str">
        <f t="shared" si="220"/>
        <v>AB01F4</v>
      </c>
      <c r="V4453">
        <v>0</v>
      </c>
      <c r="W4453">
        <v>0</v>
      </c>
      <c r="X4453">
        <v>2</v>
      </c>
      <c r="Z4453">
        <v>0</v>
      </c>
      <c r="AA4453">
        <v>9</v>
      </c>
      <c r="AB4453">
        <v>3</v>
      </c>
      <c r="AC4453">
        <v>0</v>
      </c>
      <c r="AD4453">
        <v>10</v>
      </c>
      <c r="AE4453">
        <v>0</v>
      </c>
      <c r="AF4453">
        <v>3</v>
      </c>
      <c r="AG4453">
        <v>2</v>
      </c>
      <c r="AH4453">
        <v>0</v>
      </c>
      <c r="AI4453" t="s">
        <v>2471</v>
      </c>
      <c r="AJ4453">
        <v>40.155737000000002</v>
      </c>
      <c r="AK4453" t="s">
        <v>2472</v>
      </c>
      <c r="AL4453">
        <v>-93.216119000000006</v>
      </c>
      <c r="AM4453">
        <v>100</v>
      </c>
      <c r="AN4453">
        <v>1300</v>
      </c>
      <c r="AO4453" t="s">
        <v>118</v>
      </c>
      <c r="AP4453">
        <v>-134</v>
      </c>
      <c r="AQ4453">
        <v>-35</v>
      </c>
      <c r="AR4453">
        <v>-256</v>
      </c>
      <c r="AZ4453">
        <v>1200</v>
      </c>
      <c r="BA4453">
        <v>1</v>
      </c>
      <c r="BB4453" t="str">
        <f t="shared" si="219"/>
        <v xml:space="preserve">N8080G  </v>
      </c>
      <c r="BC4453">
        <v>1</v>
      </c>
      <c r="BE4453">
        <v>0</v>
      </c>
      <c r="BF4453">
        <v>0</v>
      </c>
      <c r="BG4453">
        <v>0</v>
      </c>
      <c r="BH4453">
        <v>1300</v>
      </c>
      <c r="BI4453">
        <v>1</v>
      </c>
      <c r="BJ4453">
        <v>1</v>
      </c>
      <c r="BK4453">
        <v>1</v>
      </c>
      <c r="BL4453">
        <v>0</v>
      </c>
      <c r="BO4453">
        <v>0</v>
      </c>
      <c r="BP4453">
        <v>0</v>
      </c>
      <c r="BW4453" t="str">
        <f>"20:39:12.522"</f>
        <v>20:39:12.522</v>
      </c>
      <c r="BZ4453">
        <v>0</v>
      </c>
      <c r="CA4453">
        <v>1504</v>
      </c>
      <c r="CB4453">
        <v>224</v>
      </c>
      <c r="CD4453">
        <v>1</v>
      </c>
      <c r="CE4453">
        <v>0</v>
      </c>
      <c r="CF4453">
        <v>0</v>
      </c>
      <c r="CG4453">
        <v>0</v>
      </c>
      <c r="CH4453">
        <v>0</v>
      </c>
      <c r="CI4453">
        <v>0</v>
      </c>
      <c r="CJ4453">
        <v>0</v>
      </c>
      <c r="CK4453">
        <v>2</v>
      </c>
      <c r="CL4453">
        <v>0</v>
      </c>
      <c r="CM4453">
        <v>2</v>
      </c>
      <c r="CN4453">
        <v>0</v>
      </c>
      <c r="CO4453">
        <v>2</v>
      </c>
      <c r="CP4453" t="s">
        <v>119</v>
      </c>
      <c r="CQ4453">
        <v>180</v>
      </c>
      <c r="CR4453">
        <v>3</v>
      </c>
      <c r="CW4453">
        <v>1434555</v>
      </c>
      <c r="CY4453">
        <v>0</v>
      </c>
      <c r="CZ4453">
        <v>0</v>
      </c>
      <c r="DA4453">
        <v>1</v>
      </c>
      <c r="DB4453">
        <v>0</v>
      </c>
      <c r="DC4453">
        <v>0</v>
      </c>
      <c r="DD4453">
        <v>0</v>
      </c>
      <c r="DE4453">
        <v>0</v>
      </c>
      <c r="DF4453">
        <v>0</v>
      </c>
      <c r="DG4453">
        <v>0</v>
      </c>
      <c r="DH4453">
        <v>0</v>
      </c>
      <c r="DI4453">
        <v>0</v>
      </c>
    </row>
    <row r="4454" spans="1:113" x14ac:dyDescent="0.3">
      <c r="A4454" t="str">
        <f>"02/08/2021 20:39:10.212"</f>
        <v>02/08/2021 20:39:10.212</v>
      </c>
      <c r="C4454" t="str">
        <f t="shared" si="218"/>
        <v>FFDFD7C0</v>
      </c>
      <c r="D4454" t="s">
        <v>124</v>
      </c>
      <c r="E4454">
        <v>12</v>
      </c>
      <c r="F4454">
        <v>1012</v>
      </c>
      <c r="G4454" t="s">
        <v>675</v>
      </c>
      <c r="J4454" t="s">
        <v>125</v>
      </c>
      <c r="K4454">
        <v>0</v>
      </c>
      <c r="L4454">
        <v>3</v>
      </c>
      <c r="M4454">
        <v>0</v>
      </c>
      <c r="N4454">
        <v>2</v>
      </c>
      <c r="O4454">
        <v>1</v>
      </c>
      <c r="P4454">
        <v>0</v>
      </c>
      <c r="Q4454">
        <v>0</v>
      </c>
      <c r="S4454" t="str">
        <f>"20:39:12.516"</f>
        <v>20:39:12.516</v>
      </c>
      <c r="T4454" t="str">
        <f>"20:39:12.016"</f>
        <v>20:39:12.016</v>
      </c>
      <c r="U4454" t="str">
        <f t="shared" si="220"/>
        <v>AB01F4</v>
      </c>
      <c r="V4454">
        <v>0</v>
      </c>
      <c r="W4454">
        <v>0</v>
      </c>
      <c r="X4454">
        <v>2</v>
      </c>
      <c r="Z4454">
        <v>0</v>
      </c>
      <c r="AA4454">
        <v>9</v>
      </c>
      <c r="AB4454">
        <v>3</v>
      </c>
      <c r="AC4454">
        <v>0</v>
      </c>
      <c r="AD4454">
        <v>10</v>
      </c>
      <c r="AE4454">
        <v>0</v>
      </c>
      <c r="AF4454">
        <v>3</v>
      </c>
      <c r="AG4454">
        <v>2</v>
      </c>
      <c r="AH4454">
        <v>0</v>
      </c>
      <c r="AI4454" t="s">
        <v>2471</v>
      </c>
      <c r="AJ4454">
        <v>40.155737000000002</v>
      </c>
      <c r="AK4454" t="s">
        <v>2472</v>
      </c>
      <c r="AL4454">
        <v>-93.216119000000006</v>
      </c>
      <c r="AM4454">
        <v>100</v>
      </c>
      <c r="AN4454">
        <v>1300</v>
      </c>
      <c r="AO4454" t="s">
        <v>118</v>
      </c>
      <c r="AP4454">
        <v>-134</v>
      </c>
      <c r="AQ4454">
        <v>-35</v>
      </c>
      <c r="AR4454">
        <v>-256</v>
      </c>
      <c r="AZ4454">
        <v>1200</v>
      </c>
      <c r="BA4454">
        <v>1</v>
      </c>
      <c r="BB4454" t="str">
        <f t="shared" si="219"/>
        <v xml:space="preserve">N8080G  </v>
      </c>
      <c r="BC4454">
        <v>1</v>
      </c>
      <c r="BE4454">
        <v>0</v>
      </c>
      <c r="BF4454">
        <v>0</v>
      </c>
      <c r="BG4454">
        <v>0</v>
      </c>
      <c r="BH4454">
        <v>1300</v>
      </c>
      <c r="BI4454">
        <v>1</v>
      </c>
      <c r="BJ4454">
        <v>1</v>
      </c>
      <c r="BK4454">
        <v>1</v>
      </c>
      <c r="BL4454">
        <v>0</v>
      </c>
      <c r="BO4454">
        <v>0</v>
      </c>
      <c r="BP4454">
        <v>0</v>
      </c>
      <c r="BW4454" t="str">
        <f>"20:39:12.522"</f>
        <v>20:39:12.522</v>
      </c>
      <c r="BZ4454">
        <v>0</v>
      </c>
      <c r="CA4454">
        <v>1504</v>
      </c>
      <c r="CB4454">
        <v>224</v>
      </c>
      <c r="CD4454">
        <v>1</v>
      </c>
      <c r="CE4454">
        <v>0</v>
      </c>
      <c r="CF4454">
        <v>0</v>
      </c>
      <c r="CG4454">
        <v>0</v>
      </c>
      <c r="CH4454">
        <v>0</v>
      </c>
      <c r="CI4454">
        <v>0</v>
      </c>
      <c r="CJ4454">
        <v>0</v>
      </c>
      <c r="CK4454">
        <v>2</v>
      </c>
      <c r="CL4454">
        <v>0</v>
      </c>
      <c r="CM4454">
        <v>2</v>
      </c>
      <c r="CN4454">
        <v>0</v>
      </c>
      <c r="CO4454">
        <v>2</v>
      </c>
      <c r="CP4454" t="s">
        <v>119</v>
      </c>
      <c r="CQ4454">
        <v>180</v>
      </c>
      <c r="CR4454">
        <v>3</v>
      </c>
      <c r="CW4454">
        <v>1434555</v>
      </c>
      <c r="CY4454">
        <v>0</v>
      </c>
      <c r="CZ4454">
        <v>0</v>
      </c>
      <c r="DA4454">
        <v>1</v>
      </c>
      <c r="DB4454">
        <v>0</v>
      </c>
      <c r="DC4454">
        <v>0</v>
      </c>
      <c r="DD4454">
        <v>0</v>
      </c>
      <c r="DE4454">
        <v>0</v>
      </c>
      <c r="DF4454">
        <v>0</v>
      </c>
      <c r="DG4454">
        <v>0</v>
      </c>
      <c r="DH4454">
        <v>0</v>
      </c>
      <c r="DI4454">
        <v>0</v>
      </c>
    </row>
    <row r="4455" spans="1:113" x14ac:dyDescent="0.3">
      <c r="A4455" t="str">
        <f>"02/08/2021 20:39:11.232"</f>
        <v>02/08/2021 20:39:11.232</v>
      </c>
      <c r="C4455" t="str">
        <f t="shared" ref="C4455:C4518" si="221">"FFDFD7C0"</f>
        <v>FFDFD7C0</v>
      </c>
      <c r="D4455" t="s">
        <v>124</v>
      </c>
      <c r="E4455">
        <v>13</v>
      </c>
      <c r="F4455">
        <v>1013</v>
      </c>
      <c r="G4455" t="s">
        <v>114</v>
      </c>
      <c r="J4455" t="s">
        <v>125</v>
      </c>
      <c r="K4455">
        <v>0</v>
      </c>
      <c r="L4455">
        <v>3</v>
      </c>
      <c r="M4455">
        <v>0</v>
      </c>
      <c r="N4455">
        <v>2</v>
      </c>
      <c r="O4455">
        <v>1</v>
      </c>
      <c r="P4455">
        <v>0</v>
      </c>
      <c r="Q4455">
        <v>0</v>
      </c>
      <c r="S4455" t="str">
        <f>"20:39:13.563"</f>
        <v>20:39:13.563</v>
      </c>
      <c r="T4455" t="str">
        <f>"20:39:13.163"</f>
        <v>20:39:13.163</v>
      </c>
      <c r="U4455" t="str">
        <f t="shared" si="220"/>
        <v>AB01F4</v>
      </c>
      <c r="V4455">
        <v>0</v>
      </c>
      <c r="W4455">
        <v>0</v>
      </c>
      <c r="X4455">
        <v>2</v>
      </c>
      <c r="Z4455">
        <v>0</v>
      </c>
      <c r="AA4455">
        <v>9</v>
      </c>
      <c r="AB4455">
        <v>3</v>
      </c>
      <c r="AC4455">
        <v>0</v>
      </c>
      <c r="AD4455">
        <v>10</v>
      </c>
      <c r="AE4455">
        <v>0</v>
      </c>
      <c r="AF4455">
        <v>3</v>
      </c>
      <c r="AG4455">
        <v>2</v>
      </c>
      <c r="AH4455">
        <v>0</v>
      </c>
      <c r="AI4455" t="s">
        <v>2473</v>
      </c>
      <c r="AJ4455">
        <v>40.155523000000002</v>
      </c>
      <c r="AK4455" t="s">
        <v>2474</v>
      </c>
      <c r="AL4455">
        <v>-93.217040999999995</v>
      </c>
      <c r="AM4455">
        <v>100</v>
      </c>
      <c r="AN4455">
        <v>1300</v>
      </c>
      <c r="AO4455" t="s">
        <v>118</v>
      </c>
      <c r="AP4455">
        <v>-135</v>
      </c>
      <c r="AQ4455">
        <v>-35</v>
      </c>
      <c r="AR4455">
        <v>-320</v>
      </c>
      <c r="AZ4455">
        <v>1200</v>
      </c>
      <c r="BA4455">
        <v>1</v>
      </c>
      <c r="BB4455" t="str">
        <f t="shared" si="219"/>
        <v xml:space="preserve">N8080G  </v>
      </c>
      <c r="BC4455">
        <v>1</v>
      </c>
      <c r="BE4455">
        <v>0</v>
      </c>
      <c r="BF4455">
        <v>0</v>
      </c>
      <c r="BG4455">
        <v>0</v>
      </c>
      <c r="BH4455">
        <v>1300</v>
      </c>
      <c r="BI4455">
        <v>1</v>
      </c>
      <c r="BJ4455">
        <v>1</v>
      </c>
      <c r="BK4455">
        <v>1</v>
      </c>
      <c r="BL4455">
        <v>0</v>
      </c>
      <c r="BO4455">
        <v>0</v>
      </c>
      <c r="BP4455">
        <v>0</v>
      </c>
      <c r="BW4455" t="str">
        <f>"20:39:13.569"</f>
        <v>20:39:13.569</v>
      </c>
      <c r="BZ4455">
        <v>0</v>
      </c>
      <c r="CA4455">
        <v>1504</v>
      </c>
      <c r="CB4455">
        <v>224</v>
      </c>
      <c r="CD4455">
        <v>1</v>
      </c>
      <c r="CE4455">
        <v>0</v>
      </c>
      <c r="CF4455">
        <v>0</v>
      </c>
      <c r="CG4455">
        <v>0</v>
      </c>
      <c r="CH4455">
        <v>0</v>
      </c>
      <c r="CI4455">
        <v>0</v>
      </c>
      <c r="CJ4455">
        <v>0</v>
      </c>
      <c r="CK4455">
        <v>2</v>
      </c>
      <c r="CL4455">
        <v>0</v>
      </c>
      <c r="CM4455">
        <v>2</v>
      </c>
      <c r="CN4455">
        <v>0</v>
      </c>
      <c r="CO4455">
        <v>2</v>
      </c>
      <c r="CP4455" t="s">
        <v>119</v>
      </c>
      <c r="CQ4455">
        <v>180</v>
      </c>
      <c r="CR4455">
        <v>3</v>
      </c>
      <c r="CW4455">
        <v>1435334</v>
      </c>
      <c r="CY4455">
        <v>0</v>
      </c>
      <c r="CZ4455">
        <v>0</v>
      </c>
      <c r="DA4455">
        <v>0</v>
      </c>
      <c r="DB4455">
        <v>0</v>
      </c>
      <c r="DC4455">
        <v>0</v>
      </c>
      <c r="DD4455">
        <v>0</v>
      </c>
      <c r="DE4455">
        <v>0</v>
      </c>
      <c r="DF4455">
        <v>0</v>
      </c>
      <c r="DG4455">
        <v>0</v>
      </c>
      <c r="DH4455">
        <v>0</v>
      </c>
      <c r="DI4455">
        <v>0</v>
      </c>
    </row>
    <row r="4456" spans="1:113" x14ac:dyDescent="0.3">
      <c r="A4456" t="str">
        <f>"02/08/2021 20:39:11.232"</f>
        <v>02/08/2021 20:39:11.232</v>
      </c>
      <c r="C4456" t="str">
        <f t="shared" si="221"/>
        <v>FFDFD7C0</v>
      </c>
      <c r="D4456" t="s">
        <v>124</v>
      </c>
      <c r="E4456">
        <v>12</v>
      </c>
      <c r="F4456">
        <v>1012</v>
      </c>
      <c r="G4456" t="s">
        <v>675</v>
      </c>
      <c r="J4456" t="s">
        <v>125</v>
      </c>
      <c r="K4456">
        <v>0</v>
      </c>
      <c r="L4456">
        <v>3</v>
      </c>
      <c r="M4456">
        <v>0</v>
      </c>
      <c r="N4456">
        <v>2</v>
      </c>
      <c r="O4456">
        <v>1</v>
      </c>
      <c r="P4456">
        <v>0</v>
      </c>
      <c r="Q4456">
        <v>0</v>
      </c>
      <c r="S4456" t="str">
        <f>"20:39:13.563"</f>
        <v>20:39:13.563</v>
      </c>
      <c r="T4456" t="str">
        <f>"20:39:13.163"</f>
        <v>20:39:13.163</v>
      </c>
      <c r="U4456" t="str">
        <f t="shared" si="220"/>
        <v>AB01F4</v>
      </c>
      <c r="V4456">
        <v>0</v>
      </c>
      <c r="W4456">
        <v>0</v>
      </c>
      <c r="X4456">
        <v>2</v>
      </c>
      <c r="Z4456">
        <v>0</v>
      </c>
      <c r="AA4456">
        <v>9</v>
      </c>
      <c r="AB4456">
        <v>3</v>
      </c>
      <c r="AC4456">
        <v>0</v>
      </c>
      <c r="AD4456">
        <v>10</v>
      </c>
      <c r="AE4456">
        <v>0</v>
      </c>
      <c r="AF4456">
        <v>3</v>
      </c>
      <c r="AG4456">
        <v>2</v>
      </c>
      <c r="AH4456">
        <v>0</v>
      </c>
      <c r="AI4456" t="s">
        <v>2473</v>
      </c>
      <c r="AJ4456">
        <v>40.155523000000002</v>
      </c>
      <c r="AK4456" t="s">
        <v>2474</v>
      </c>
      <c r="AL4456">
        <v>-93.217040999999995</v>
      </c>
      <c r="AM4456">
        <v>100</v>
      </c>
      <c r="AN4456">
        <v>1300</v>
      </c>
      <c r="AO4456" t="s">
        <v>118</v>
      </c>
      <c r="AP4456">
        <v>-135</v>
      </c>
      <c r="AQ4456">
        <v>-35</v>
      </c>
      <c r="AR4456">
        <v>-320</v>
      </c>
      <c r="AZ4456">
        <v>1200</v>
      </c>
      <c r="BA4456">
        <v>1</v>
      </c>
      <c r="BB4456" t="str">
        <f t="shared" si="219"/>
        <v xml:space="preserve">N8080G  </v>
      </c>
      <c r="BC4456">
        <v>1</v>
      </c>
      <c r="BE4456">
        <v>0</v>
      </c>
      <c r="BF4456">
        <v>0</v>
      </c>
      <c r="BG4456">
        <v>0</v>
      </c>
      <c r="BH4456">
        <v>1300</v>
      </c>
      <c r="BI4456">
        <v>1</v>
      </c>
      <c r="BJ4456">
        <v>1</v>
      </c>
      <c r="BK4456">
        <v>1</v>
      </c>
      <c r="BL4456">
        <v>0</v>
      </c>
      <c r="BO4456">
        <v>0</v>
      </c>
      <c r="BP4456">
        <v>0</v>
      </c>
      <c r="BW4456" t="str">
        <f>"20:39:13.569"</f>
        <v>20:39:13.569</v>
      </c>
      <c r="BZ4456">
        <v>0</v>
      </c>
      <c r="CA4456">
        <v>1504</v>
      </c>
      <c r="CB4456">
        <v>224</v>
      </c>
      <c r="CD4456">
        <v>1</v>
      </c>
      <c r="CE4456">
        <v>0</v>
      </c>
      <c r="CF4456">
        <v>0</v>
      </c>
      <c r="CG4456">
        <v>0</v>
      </c>
      <c r="CH4456">
        <v>0</v>
      </c>
      <c r="CI4456">
        <v>0</v>
      </c>
      <c r="CJ4456">
        <v>0</v>
      </c>
      <c r="CK4456">
        <v>2</v>
      </c>
      <c r="CL4456">
        <v>0</v>
      </c>
      <c r="CM4456">
        <v>2</v>
      </c>
      <c r="CN4456">
        <v>0</v>
      </c>
      <c r="CO4456">
        <v>2</v>
      </c>
      <c r="CP4456" t="s">
        <v>119</v>
      </c>
      <c r="CQ4456">
        <v>180</v>
      </c>
      <c r="CR4456">
        <v>3</v>
      </c>
      <c r="CW4456">
        <v>1435334</v>
      </c>
      <c r="CY4456">
        <v>0</v>
      </c>
      <c r="CZ4456">
        <v>0</v>
      </c>
      <c r="DA4456">
        <v>1</v>
      </c>
      <c r="DB4456">
        <v>0</v>
      </c>
      <c r="DC4456">
        <v>0</v>
      </c>
      <c r="DD4456">
        <v>0</v>
      </c>
      <c r="DE4456">
        <v>0</v>
      </c>
      <c r="DF4456">
        <v>0</v>
      </c>
      <c r="DG4456">
        <v>0</v>
      </c>
      <c r="DH4456">
        <v>0</v>
      </c>
      <c r="DI4456">
        <v>0</v>
      </c>
    </row>
    <row r="4457" spans="1:113" x14ac:dyDescent="0.3">
      <c r="A4457" t="str">
        <f>"02/08/2021 20:39:11.232"</f>
        <v>02/08/2021 20:39:11.232</v>
      </c>
      <c r="C4457" t="str">
        <f t="shared" si="221"/>
        <v>FFDFD7C0</v>
      </c>
      <c r="D4457" t="s">
        <v>124</v>
      </c>
      <c r="E4457">
        <v>11</v>
      </c>
      <c r="F4457">
        <v>1011</v>
      </c>
      <c r="G4457" t="s">
        <v>590</v>
      </c>
      <c r="J4457" t="s">
        <v>125</v>
      </c>
      <c r="K4457">
        <v>0</v>
      </c>
      <c r="L4457">
        <v>3</v>
      </c>
      <c r="M4457">
        <v>0</v>
      </c>
      <c r="N4457">
        <v>2</v>
      </c>
      <c r="O4457">
        <v>1</v>
      </c>
      <c r="P4457">
        <v>0</v>
      </c>
      <c r="Q4457">
        <v>0</v>
      </c>
      <c r="S4457" t="str">
        <f>"20:39:13.563"</f>
        <v>20:39:13.563</v>
      </c>
      <c r="T4457" t="str">
        <f>"20:39:13.163"</f>
        <v>20:39:13.163</v>
      </c>
      <c r="U4457" t="str">
        <f t="shared" si="220"/>
        <v>AB01F4</v>
      </c>
      <c r="V4457">
        <v>0</v>
      </c>
      <c r="W4457">
        <v>0</v>
      </c>
      <c r="X4457">
        <v>2</v>
      </c>
      <c r="Z4457">
        <v>0</v>
      </c>
      <c r="AA4457">
        <v>9</v>
      </c>
      <c r="AB4457">
        <v>3</v>
      </c>
      <c r="AC4457">
        <v>0</v>
      </c>
      <c r="AD4457">
        <v>10</v>
      </c>
      <c r="AE4457">
        <v>0</v>
      </c>
      <c r="AF4457">
        <v>3</v>
      </c>
      <c r="AG4457">
        <v>2</v>
      </c>
      <c r="AH4457">
        <v>0</v>
      </c>
      <c r="AI4457" t="s">
        <v>2473</v>
      </c>
      <c r="AJ4457">
        <v>40.155523000000002</v>
      </c>
      <c r="AK4457" t="s">
        <v>2474</v>
      </c>
      <c r="AL4457">
        <v>-93.217040999999995</v>
      </c>
      <c r="AM4457">
        <v>100</v>
      </c>
      <c r="AN4457">
        <v>1300</v>
      </c>
      <c r="AO4457" t="s">
        <v>118</v>
      </c>
      <c r="AP4457">
        <v>-135</v>
      </c>
      <c r="AQ4457">
        <v>-35</v>
      </c>
      <c r="AR4457">
        <v>-320</v>
      </c>
      <c r="AZ4457">
        <v>1200</v>
      </c>
      <c r="BA4457">
        <v>1</v>
      </c>
      <c r="BB4457" t="str">
        <f t="shared" si="219"/>
        <v xml:space="preserve">N8080G  </v>
      </c>
      <c r="BC4457">
        <v>1</v>
      </c>
      <c r="BE4457">
        <v>0</v>
      </c>
      <c r="BF4457">
        <v>0</v>
      </c>
      <c r="BG4457">
        <v>0</v>
      </c>
      <c r="BH4457">
        <v>1300</v>
      </c>
      <c r="BI4457">
        <v>1</v>
      </c>
      <c r="BJ4457">
        <v>1</v>
      </c>
      <c r="BK4457">
        <v>1</v>
      </c>
      <c r="BL4457">
        <v>0</v>
      </c>
      <c r="BO4457">
        <v>0</v>
      </c>
      <c r="BP4457">
        <v>0</v>
      </c>
      <c r="BW4457" t="str">
        <f>"20:39:13.569"</f>
        <v>20:39:13.569</v>
      </c>
      <c r="BZ4457">
        <v>0</v>
      </c>
      <c r="CA4457">
        <v>1504</v>
      </c>
      <c r="CB4457">
        <v>224</v>
      </c>
      <c r="CD4457">
        <v>1</v>
      </c>
      <c r="CE4457">
        <v>0</v>
      </c>
      <c r="CF4457">
        <v>0</v>
      </c>
      <c r="CG4457">
        <v>0</v>
      </c>
      <c r="CH4457">
        <v>0</v>
      </c>
      <c r="CI4457">
        <v>0</v>
      </c>
      <c r="CJ4457">
        <v>0</v>
      </c>
      <c r="CK4457">
        <v>2</v>
      </c>
      <c r="CL4457">
        <v>0</v>
      </c>
      <c r="CM4457">
        <v>2</v>
      </c>
      <c r="CN4457">
        <v>0</v>
      </c>
      <c r="CO4457">
        <v>2</v>
      </c>
      <c r="CP4457" t="s">
        <v>119</v>
      </c>
      <c r="CQ4457">
        <v>180</v>
      </c>
      <c r="CR4457">
        <v>3</v>
      </c>
      <c r="CW4457">
        <v>1435334</v>
      </c>
      <c r="CY4457">
        <v>0</v>
      </c>
      <c r="CZ4457">
        <v>0</v>
      </c>
      <c r="DA4457">
        <v>1</v>
      </c>
      <c r="DB4457">
        <v>0</v>
      </c>
      <c r="DC4457">
        <v>0</v>
      </c>
      <c r="DD4457">
        <v>0</v>
      </c>
      <c r="DE4457">
        <v>0</v>
      </c>
      <c r="DF4457">
        <v>0</v>
      </c>
      <c r="DG4457">
        <v>0</v>
      </c>
      <c r="DH4457">
        <v>0</v>
      </c>
      <c r="DI4457">
        <v>0</v>
      </c>
    </row>
    <row r="4458" spans="1:113" x14ac:dyDescent="0.3">
      <c r="A4458" t="str">
        <f>"02/08/2021 20:39:11.232"</f>
        <v>02/08/2021 20:39:11.232</v>
      </c>
      <c r="C4458" t="str">
        <f t="shared" si="221"/>
        <v>FFDFD7C0</v>
      </c>
      <c r="D4458" t="s">
        <v>113</v>
      </c>
      <c r="E4458">
        <v>6</v>
      </c>
      <c r="H4458">
        <v>165</v>
      </c>
      <c r="I4458" t="s">
        <v>114</v>
      </c>
      <c r="J4458" t="s">
        <v>115</v>
      </c>
      <c r="K4458">
        <v>0</v>
      </c>
      <c r="L4458">
        <v>3</v>
      </c>
      <c r="M4458">
        <v>0</v>
      </c>
      <c r="N4458">
        <v>2</v>
      </c>
      <c r="O4458">
        <v>1</v>
      </c>
      <c r="P4458">
        <v>0</v>
      </c>
      <c r="Q4458">
        <v>0</v>
      </c>
      <c r="S4458" t="str">
        <f>"20:39:13.563"</f>
        <v>20:39:13.563</v>
      </c>
      <c r="T4458" t="str">
        <f>"20:39:13.163"</f>
        <v>20:39:13.163</v>
      </c>
      <c r="U4458" t="str">
        <f t="shared" si="220"/>
        <v>AB01F4</v>
      </c>
      <c r="V4458">
        <v>0</v>
      </c>
      <c r="W4458">
        <v>0</v>
      </c>
      <c r="X4458">
        <v>2</v>
      </c>
      <c r="Z4458">
        <v>0</v>
      </c>
      <c r="AA4458">
        <v>9</v>
      </c>
      <c r="AB4458">
        <v>3</v>
      </c>
      <c r="AC4458">
        <v>0</v>
      </c>
      <c r="AD4458">
        <v>10</v>
      </c>
      <c r="AE4458">
        <v>0</v>
      </c>
      <c r="AF4458">
        <v>3</v>
      </c>
      <c r="AG4458">
        <v>2</v>
      </c>
      <c r="AH4458">
        <v>0</v>
      </c>
      <c r="AI4458" t="s">
        <v>2473</v>
      </c>
      <c r="AJ4458">
        <v>40.155523000000002</v>
      </c>
      <c r="AK4458" t="s">
        <v>2474</v>
      </c>
      <c r="AL4458">
        <v>-93.217040999999995</v>
      </c>
      <c r="AM4458">
        <v>100</v>
      </c>
      <c r="AN4458">
        <v>1300</v>
      </c>
      <c r="AO4458" t="s">
        <v>118</v>
      </c>
      <c r="AP4458">
        <v>-135</v>
      </c>
      <c r="AQ4458">
        <v>-35</v>
      </c>
      <c r="AR4458">
        <v>-320</v>
      </c>
      <c r="AZ4458">
        <v>1200</v>
      </c>
      <c r="BA4458">
        <v>1</v>
      </c>
      <c r="BB4458" t="str">
        <f t="shared" si="219"/>
        <v xml:space="preserve">N8080G  </v>
      </c>
      <c r="BC4458">
        <v>1</v>
      </c>
      <c r="BE4458">
        <v>0</v>
      </c>
      <c r="BF4458">
        <v>0</v>
      </c>
      <c r="BG4458">
        <v>0</v>
      </c>
      <c r="BH4458">
        <v>1300</v>
      </c>
      <c r="BI4458">
        <v>1</v>
      </c>
      <c r="BJ4458">
        <v>1</v>
      </c>
      <c r="BK4458">
        <v>1</v>
      </c>
      <c r="BL4458">
        <v>0</v>
      </c>
      <c r="BO4458">
        <v>0</v>
      </c>
      <c r="BP4458">
        <v>0</v>
      </c>
      <c r="BW4458" t="str">
        <f>"20:39:13.569"</f>
        <v>20:39:13.569</v>
      </c>
      <c r="BZ4458">
        <v>0</v>
      </c>
      <c r="CA4458">
        <v>1504</v>
      </c>
      <c r="CB4458">
        <v>224</v>
      </c>
      <c r="CD4458">
        <v>1</v>
      </c>
      <c r="CE4458">
        <v>0</v>
      </c>
      <c r="CF4458">
        <v>0</v>
      </c>
      <c r="CG4458">
        <v>0</v>
      </c>
      <c r="CH4458">
        <v>0</v>
      </c>
      <c r="CI4458">
        <v>0</v>
      </c>
      <c r="CJ4458">
        <v>0</v>
      </c>
      <c r="CK4458">
        <v>2</v>
      </c>
      <c r="CL4458">
        <v>0</v>
      </c>
      <c r="CM4458">
        <v>2</v>
      </c>
      <c r="CN4458">
        <v>0</v>
      </c>
      <c r="CO4458">
        <v>2</v>
      </c>
      <c r="CP4458" t="s">
        <v>119</v>
      </c>
      <c r="CQ4458">
        <v>180</v>
      </c>
      <c r="CR4458">
        <v>3</v>
      </c>
      <c r="CW4458">
        <v>1435334</v>
      </c>
      <c r="CY4458">
        <v>0</v>
      </c>
      <c r="CZ4458">
        <v>0</v>
      </c>
      <c r="DA4458">
        <v>1</v>
      </c>
      <c r="DB4458">
        <v>0</v>
      </c>
      <c r="DC4458">
        <v>0</v>
      </c>
      <c r="DD4458">
        <v>0</v>
      </c>
      <c r="DE4458">
        <v>0</v>
      </c>
      <c r="DF4458">
        <v>0</v>
      </c>
      <c r="DG4458">
        <v>0</v>
      </c>
      <c r="DH4458">
        <v>0</v>
      </c>
      <c r="DI4458">
        <v>0</v>
      </c>
    </row>
    <row r="4459" spans="1:113" x14ac:dyDescent="0.3">
      <c r="A4459" t="str">
        <f>"02/08/2021 20:39:12.285"</f>
        <v>02/08/2021 20:39:12.285</v>
      </c>
      <c r="C4459" t="str">
        <f t="shared" si="221"/>
        <v>FFDFD7C0</v>
      </c>
      <c r="D4459" t="s">
        <v>113</v>
      </c>
      <c r="E4459">
        <v>6</v>
      </c>
      <c r="H4459">
        <v>165</v>
      </c>
      <c r="I4459" t="s">
        <v>114</v>
      </c>
      <c r="J4459" t="s">
        <v>115</v>
      </c>
      <c r="K4459">
        <v>0</v>
      </c>
      <c r="L4459">
        <v>3</v>
      </c>
      <c r="M4459">
        <v>0</v>
      </c>
      <c r="N4459">
        <v>2</v>
      </c>
      <c r="O4459">
        <v>1</v>
      </c>
      <c r="P4459">
        <v>0</v>
      </c>
      <c r="Q4459">
        <v>0</v>
      </c>
      <c r="S4459" t="str">
        <f>"20:39:14.594"</f>
        <v>20:39:14.594</v>
      </c>
      <c r="T4459" t="str">
        <f>"20:39:14.194"</f>
        <v>20:39:14.194</v>
      </c>
      <c r="U4459" t="str">
        <f t="shared" si="220"/>
        <v>AB01F4</v>
      </c>
      <c r="V4459">
        <v>0</v>
      </c>
      <c r="W4459">
        <v>0</v>
      </c>
      <c r="X4459">
        <v>2</v>
      </c>
      <c r="Z4459">
        <v>0</v>
      </c>
      <c r="AA4459">
        <v>9</v>
      </c>
      <c r="AB4459">
        <v>3</v>
      </c>
      <c r="AC4459">
        <v>0</v>
      </c>
      <c r="AD4459">
        <v>10</v>
      </c>
      <c r="AE4459">
        <v>0</v>
      </c>
      <c r="AF4459">
        <v>3</v>
      </c>
      <c r="AG4459">
        <v>2</v>
      </c>
      <c r="AH4459">
        <v>0</v>
      </c>
      <c r="AI4459" t="s">
        <v>2475</v>
      </c>
      <c r="AJ4459">
        <v>40.155394000000001</v>
      </c>
      <c r="AK4459" t="s">
        <v>2476</v>
      </c>
      <c r="AL4459">
        <v>-93.217834999999994</v>
      </c>
      <c r="AM4459">
        <v>100</v>
      </c>
      <c r="AN4459">
        <v>1300</v>
      </c>
      <c r="AO4459" t="s">
        <v>118</v>
      </c>
      <c r="AP4459">
        <v>-135</v>
      </c>
      <c r="AQ4459">
        <v>-35</v>
      </c>
      <c r="AR4459">
        <v>-384</v>
      </c>
      <c r="AZ4459">
        <v>1200</v>
      </c>
      <c r="BA4459">
        <v>1</v>
      </c>
      <c r="BB4459" t="str">
        <f t="shared" si="219"/>
        <v xml:space="preserve">N8080G  </v>
      </c>
      <c r="BC4459">
        <v>1</v>
      </c>
      <c r="BE4459">
        <v>0</v>
      </c>
      <c r="BF4459">
        <v>0</v>
      </c>
      <c r="BG4459">
        <v>0</v>
      </c>
      <c r="BH4459">
        <v>1275</v>
      </c>
      <c r="BI4459">
        <v>1</v>
      </c>
      <c r="BJ4459">
        <v>1</v>
      </c>
      <c r="BK4459">
        <v>1</v>
      </c>
      <c r="BL4459">
        <v>0</v>
      </c>
      <c r="BO4459">
        <v>0</v>
      </c>
      <c r="BP4459">
        <v>0</v>
      </c>
      <c r="BW4459" t="str">
        <f>"20:39:14.598"</f>
        <v>20:39:14.598</v>
      </c>
      <c r="BZ4459">
        <v>0</v>
      </c>
      <c r="CA4459">
        <v>1504</v>
      </c>
      <c r="CB4459">
        <v>224</v>
      </c>
      <c r="CD4459">
        <v>1</v>
      </c>
      <c r="CE4459">
        <v>0</v>
      </c>
      <c r="CF4459">
        <v>0</v>
      </c>
      <c r="CG4459">
        <v>0</v>
      </c>
      <c r="CH4459">
        <v>0</v>
      </c>
      <c r="CI4459">
        <v>0</v>
      </c>
      <c r="CJ4459">
        <v>0</v>
      </c>
      <c r="CK4459">
        <v>2</v>
      </c>
      <c r="CL4459">
        <v>0</v>
      </c>
      <c r="CM4459">
        <v>2</v>
      </c>
      <c r="CN4459">
        <v>0</v>
      </c>
      <c r="CO4459">
        <v>2</v>
      </c>
      <c r="CP4459" t="s">
        <v>119</v>
      </c>
      <c r="CQ4459">
        <v>180</v>
      </c>
      <c r="CR4459">
        <v>3</v>
      </c>
      <c r="CW4459">
        <v>1436145</v>
      </c>
      <c r="CY4459">
        <v>1</v>
      </c>
      <c r="CZ4459">
        <v>0</v>
      </c>
      <c r="DA4459">
        <v>0</v>
      </c>
      <c r="DB4459">
        <v>0</v>
      </c>
      <c r="DC4459">
        <v>0</v>
      </c>
      <c r="DD4459">
        <v>0</v>
      </c>
      <c r="DE4459">
        <v>0</v>
      </c>
      <c r="DF4459">
        <v>0</v>
      </c>
      <c r="DG4459">
        <v>0</v>
      </c>
      <c r="DH4459">
        <v>0</v>
      </c>
      <c r="DI4459">
        <v>0</v>
      </c>
    </row>
    <row r="4460" spans="1:113" x14ac:dyDescent="0.3">
      <c r="A4460" t="str">
        <f>"02/08/2021 20:39:12.285"</f>
        <v>02/08/2021 20:39:12.285</v>
      </c>
      <c r="C4460" t="str">
        <f t="shared" si="221"/>
        <v>FFDFD7C0</v>
      </c>
      <c r="D4460" t="s">
        <v>124</v>
      </c>
      <c r="E4460">
        <v>13</v>
      </c>
      <c r="F4460">
        <v>1013</v>
      </c>
      <c r="G4460" t="s">
        <v>114</v>
      </c>
      <c r="J4460" t="s">
        <v>125</v>
      </c>
      <c r="K4460">
        <v>0</v>
      </c>
      <c r="L4460">
        <v>3</v>
      </c>
      <c r="M4460">
        <v>0</v>
      </c>
      <c r="N4460">
        <v>2</v>
      </c>
      <c r="O4460">
        <v>1</v>
      </c>
      <c r="P4460">
        <v>0</v>
      </c>
      <c r="Q4460">
        <v>0</v>
      </c>
      <c r="S4460" t="str">
        <f>"20:39:14.594"</f>
        <v>20:39:14.594</v>
      </c>
      <c r="T4460" t="str">
        <f>"20:39:14.194"</f>
        <v>20:39:14.194</v>
      </c>
      <c r="U4460" t="str">
        <f t="shared" si="220"/>
        <v>AB01F4</v>
      </c>
      <c r="V4460">
        <v>0</v>
      </c>
      <c r="W4460">
        <v>0</v>
      </c>
      <c r="X4460">
        <v>2</v>
      </c>
      <c r="Z4460">
        <v>0</v>
      </c>
      <c r="AA4460">
        <v>9</v>
      </c>
      <c r="AB4460">
        <v>3</v>
      </c>
      <c r="AC4460">
        <v>0</v>
      </c>
      <c r="AD4460">
        <v>10</v>
      </c>
      <c r="AE4460">
        <v>0</v>
      </c>
      <c r="AF4460">
        <v>3</v>
      </c>
      <c r="AG4460">
        <v>2</v>
      </c>
      <c r="AH4460">
        <v>0</v>
      </c>
      <c r="AI4460" t="s">
        <v>2475</v>
      </c>
      <c r="AJ4460">
        <v>40.155394000000001</v>
      </c>
      <c r="AK4460" t="s">
        <v>2476</v>
      </c>
      <c r="AL4460">
        <v>-93.217834999999994</v>
      </c>
      <c r="AM4460">
        <v>100</v>
      </c>
      <c r="AN4460">
        <v>1300</v>
      </c>
      <c r="AO4460" t="s">
        <v>118</v>
      </c>
      <c r="AP4460">
        <v>-135</v>
      </c>
      <c r="AQ4460">
        <v>-35</v>
      </c>
      <c r="AR4460">
        <v>-384</v>
      </c>
      <c r="AZ4460">
        <v>1200</v>
      </c>
      <c r="BA4460">
        <v>1</v>
      </c>
      <c r="BB4460" t="str">
        <f t="shared" si="219"/>
        <v xml:space="preserve">N8080G  </v>
      </c>
      <c r="BC4460">
        <v>1</v>
      </c>
      <c r="BE4460">
        <v>0</v>
      </c>
      <c r="BF4460">
        <v>0</v>
      </c>
      <c r="BG4460">
        <v>0</v>
      </c>
      <c r="BH4460">
        <v>1275</v>
      </c>
      <c r="BI4460">
        <v>1</v>
      </c>
      <c r="BJ4460">
        <v>1</v>
      </c>
      <c r="BK4460">
        <v>1</v>
      </c>
      <c r="BL4460">
        <v>0</v>
      </c>
      <c r="BO4460">
        <v>0</v>
      </c>
      <c r="BP4460">
        <v>0</v>
      </c>
      <c r="BW4460" t="str">
        <f>"20:39:14.598"</f>
        <v>20:39:14.598</v>
      </c>
      <c r="BZ4460">
        <v>0</v>
      </c>
      <c r="CA4460">
        <v>1504</v>
      </c>
      <c r="CB4460">
        <v>224</v>
      </c>
      <c r="CD4460">
        <v>1</v>
      </c>
      <c r="CE4460">
        <v>0</v>
      </c>
      <c r="CF4460">
        <v>0</v>
      </c>
      <c r="CG4460">
        <v>0</v>
      </c>
      <c r="CH4460">
        <v>0</v>
      </c>
      <c r="CI4460">
        <v>0</v>
      </c>
      <c r="CJ4460">
        <v>0</v>
      </c>
      <c r="CK4460">
        <v>2</v>
      </c>
      <c r="CL4460">
        <v>0</v>
      </c>
      <c r="CM4460">
        <v>2</v>
      </c>
      <c r="CN4460">
        <v>0</v>
      </c>
      <c r="CO4460">
        <v>2</v>
      </c>
      <c r="CP4460" t="s">
        <v>119</v>
      </c>
      <c r="CQ4460">
        <v>180</v>
      </c>
      <c r="CR4460">
        <v>3</v>
      </c>
      <c r="CW4460">
        <v>1436145</v>
      </c>
      <c r="CY4460">
        <v>1</v>
      </c>
      <c r="CZ4460">
        <v>0</v>
      </c>
      <c r="DA4460">
        <v>1</v>
      </c>
      <c r="DB4460">
        <v>0</v>
      </c>
      <c r="DC4460">
        <v>0</v>
      </c>
      <c r="DD4460">
        <v>0</v>
      </c>
      <c r="DE4460">
        <v>0</v>
      </c>
      <c r="DF4460">
        <v>0</v>
      </c>
      <c r="DG4460">
        <v>0</v>
      </c>
      <c r="DH4460">
        <v>0</v>
      </c>
      <c r="DI4460">
        <v>0</v>
      </c>
    </row>
    <row r="4461" spans="1:113" x14ac:dyDescent="0.3">
      <c r="A4461" t="str">
        <f>"02/08/2021 20:39:12.285"</f>
        <v>02/08/2021 20:39:12.285</v>
      </c>
      <c r="C4461" t="str">
        <f t="shared" si="221"/>
        <v>FFDFD7C0</v>
      </c>
      <c r="D4461" t="s">
        <v>124</v>
      </c>
      <c r="E4461">
        <v>12</v>
      </c>
      <c r="F4461">
        <v>1012</v>
      </c>
      <c r="G4461" t="s">
        <v>675</v>
      </c>
      <c r="J4461" t="s">
        <v>125</v>
      </c>
      <c r="K4461">
        <v>0</v>
      </c>
      <c r="L4461">
        <v>3</v>
      </c>
      <c r="M4461">
        <v>0</v>
      </c>
      <c r="N4461">
        <v>2</v>
      </c>
      <c r="O4461">
        <v>1</v>
      </c>
      <c r="P4461">
        <v>0</v>
      </c>
      <c r="Q4461">
        <v>0</v>
      </c>
      <c r="S4461" t="str">
        <f>"20:39:14.594"</f>
        <v>20:39:14.594</v>
      </c>
      <c r="T4461" t="str">
        <f>"20:39:14.194"</f>
        <v>20:39:14.194</v>
      </c>
      <c r="U4461" t="str">
        <f t="shared" si="220"/>
        <v>AB01F4</v>
      </c>
      <c r="V4461">
        <v>0</v>
      </c>
      <c r="W4461">
        <v>0</v>
      </c>
      <c r="X4461">
        <v>2</v>
      </c>
      <c r="Z4461">
        <v>0</v>
      </c>
      <c r="AA4461">
        <v>9</v>
      </c>
      <c r="AB4461">
        <v>3</v>
      </c>
      <c r="AC4461">
        <v>0</v>
      </c>
      <c r="AD4461">
        <v>10</v>
      </c>
      <c r="AE4461">
        <v>0</v>
      </c>
      <c r="AF4461">
        <v>3</v>
      </c>
      <c r="AG4461">
        <v>2</v>
      </c>
      <c r="AH4461">
        <v>0</v>
      </c>
      <c r="AI4461" t="s">
        <v>2475</v>
      </c>
      <c r="AJ4461">
        <v>40.155394000000001</v>
      </c>
      <c r="AK4461" t="s">
        <v>2476</v>
      </c>
      <c r="AL4461">
        <v>-93.217834999999994</v>
      </c>
      <c r="AM4461">
        <v>100</v>
      </c>
      <c r="AN4461">
        <v>1300</v>
      </c>
      <c r="AO4461" t="s">
        <v>118</v>
      </c>
      <c r="AP4461">
        <v>-135</v>
      </c>
      <c r="AQ4461">
        <v>-35</v>
      </c>
      <c r="AR4461">
        <v>-384</v>
      </c>
      <c r="AZ4461">
        <v>1200</v>
      </c>
      <c r="BA4461">
        <v>1</v>
      </c>
      <c r="BB4461" t="str">
        <f t="shared" si="219"/>
        <v xml:space="preserve">N8080G  </v>
      </c>
      <c r="BC4461">
        <v>1</v>
      </c>
      <c r="BE4461">
        <v>0</v>
      </c>
      <c r="BF4461">
        <v>0</v>
      </c>
      <c r="BG4461">
        <v>0</v>
      </c>
      <c r="BH4461">
        <v>1275</v>
      </c>
      <c r="BI4461">
        <v>1</v>
      </c>
      <c r="BJ4461">
        <v>1</v>
      </c>
      <c r="BK4461">
        <v>1</v>
      </c>
      <c r="BL4461">
        <v>0</v>
      </c>
      <c r="BO4461">
        <v>0</v>
      </c>
      <c r="BP4461">
        <v>0</v>
      </c>
      <c r="BW4461" t="str">
        <f>"20:39:14.598"</f>
        <v>20:39:14.598</v>
      </c>
      <c r="BZ4461">
        <v>0</v>
      </c>
      <c r="CA4461">
        <v>1504</v>
      </c>
      <c r="CB4461">
        <v>224</v>
      </c>
      <c r="CD4461">
        <v>1</v>
      </c>
      <c r="CE4461">
        <v>0</v>
      </c>
      <c r="CF4461">
        <v>0</v>
      </c>
      <c r="CG4461">
        <v>0</v>
      </c>
      <c r="CH4461">
        <v>0</v>
      </c>
      <c r="CI4461">
        <v>0</v>
      </c>
      <c r="CJ4461">
        <v>0</v>
      </c>
      <c r="CK4461">
        <v>2</v>
      </c>
      <c r="CL4461">
        <v>0</v>
      </c>
      <c r="CM4461">
        <v>2</v>
      </c>
      <c r="CN4461">
        <v>0</v>
      </c>
      <c r="CO4461">
        <v>2</v>
      </c>
      <c r="CP4461" t="s">
        <v>119</v>
      </c>
      <c r="CQ4461">
        <v>180</v>
      </c>
      <c r="CR4461">
        <v>3</v>
      </c>
      <c r="CW4461">
        <v>1436145</v>
      </c>
      <c r="CY4461">
        <v>1</v>
      </c>
      <c r="CZ4461">
        <v>0</v>
      </c>
      <c r="DA4461">
        <v>1</v>
      </c>
      <c r="DB4461">
        <v>0</v>
      </c>
      <c r="DC4461">
        <v>0</v>
      </c>
      <c r="DD4461">
        <v>0</v>
      </c>
      <c r="DE4461">
        <v>0</v>
      </c>
      <c r="DF4461">
        <v>0</v>
      </c>
      <c r="DG4461">
        <v>0</v>
      </c>
      <c r="DH4461">
        <v>0</v>
      </c>
      <c r="DI4461">
        <v>0</v>
      </c>
    </row>
    <row r="4462" spans="1:113" x14ac:dyDescent="0.3">
      <c r="A4462" t="str">
        <f>"02/08/2021 20:39:12.285"</f>
        <v>02/08/2021 20:39:12.285</v>
      </c>
      <c r="C4462" t="str">
        <f t="shared" si="221"/>
        <v>FFDFD7C0</v>
      </c>
      <c r="D4462" t="s">
        <v>124</v>
      </c>
      <c r="E4462">
        <v>11</v>
      </c>
      <c r="F4462">
        <v>1011</v>
      </c>
      <c r="G4462" t="s">
        <v>590</v>
      </c>
      <c r="J4462" t="s">
        <v>125</v>
      </c>
      <c r="K4462">
        <v>0</v>
      </c>
      <c r="L4462">
        <v>3</v>
      </c>
      <c r="M4462">
        <v>0</v>
      </c>
      <c r="N4462">
        <v>2</v>
      </c>
      <c r="O4462">
        <v>1</v>
      </c>
      <c r="P4462">
        <v>0</v>
      </c>
      <c r="Q4462">
        <v>0</v>
      </c>
      <c r="S4462" t="str">
        <f>"20:39:14.594"</f>
        <v>20:39:14.594</v>
      </c>
      <c r="T4462" t="str">
        <f>"20:39:14.194"</f>
        <v>20:39:14.194</v>
      </c>
      <c r="U4462" t="str">
        <f t="shared" si="220"/>
        <v>AB01F4</v>
      </c>
      <c r="V4462">
        <v>0</v>
      </c>
      <c r="W4462">
        <v>0</v>
      </c>
      <c r="X4462">
        <v>2</v>
      </c>
      <c r="Z4462">
        <v>0</v>
      </c>
      <c r="AA4462">
        <v>9</v>
      </c>
      <c r="AB4462">
        <v>3</v>
      </c>
      <c r="AC4462">
        <v>0</v>
      </c>
      <c r="AD4462">
        <v>10</v>
      </c>
      <c r="AE4462">
        <v>0</v>
      </c>
      <c r="AF4462">
        <v>3</v>
      </c>
      <c r="AG4462">
        <v>2</v>
      </c>
      <c r="AH4462">
        <v>0</v>
      </c>
      <c r="AI4462" t="s">
        <v>2475</v>
      </c>
      <c r="AJ4462">
        <v>40.155394000000001</v>
      </c>
      <c r="AK4462" t="s">
        <v>2476</v>
      </c>
      <c r="AL4462">
        <v>-93.217834999999994</v>
      </c>
      <c r="AM4462">
        <v>100</v>
      </c>
      <c r="AN4462">
        <v>1300</v>
      </c>
      <c r="AO4462" t="s">
        <v>118</v>
      </c>
      <c r="AP4462">
        <v>-135</v>
      </c>
      <c r="AQ4462">
        <v>-35</v>
      </c>
      <c r="AR4462">
        <v>-384</v>
      </c>
      <c r="AZ4462">
        <v>1200</v>
      </c>
      <c r="BA4462">
        <v>1</v>
      </c>
      <c r="BB4462" t="str">
        <f t="shared" si="219"/>
        <v xml:space="preserve">N8080G  </v>
      </c>
      <c r="BC4462">
        <v>1</v>
      </c>
      <c r="BE4462">
        <v>0</v>
      </c>
      <c r="BF4462">
        <v>0</v>
      </c>
      <c r="BG4462">
        <v>0</v>
      </c>
      <c r="BH4462">
        <v>1275</v>
      </c>
      <c r="BI4462">
        <v>1</v>
      </c>
      <c r="BJ4462">
        <v>1</v>
      </c>
      <c r="BK4462">
        <v>1</v>
      </c>
      <c r="BL4462">
        <v>0</v>
      </c>
      <c r="BO4462">
        <v>0</v>
      </c>
      <c r="BP4462">
        <v>0</v>
      </c>
      <c r="BW4462" t="str">
        <f>"20:39:14.598"</f>
        <v>20:39:14.598</v>
      </c>
      <c r="BZ4462">
        <v>0</v>
      </c>
      <c r="CA4462">
        <v>1504</v>
      </c>
      <c r="CB4462">
        <v>224</v>
      </c>
      <c r="CD4462">
        <v>1</v>
      </c>
      <c r="CE4462">
        <v>0</v>
      </c>
      <c r="CF4462">
        <v>0</v>
      </c>
      <c r="CG4462">
        <v>0</v>
      </c>
      <c r="CH4462">
        <v>0</v>
      </c>
      <c r="CI4462">
        <v>0</v>
      </c>
      <c r="CJ4462">
        <v>0</v>
      </c>
      <c r="CK4462">
        <v>2</v>
      </c>
      <c r="CL4462">
        <v>0</v>
      </c>
      <c r="CM4462">
        <v>2</v>
      </c>
      <c r="CN4462">
        <v>0</v>
      </c>
      <c r="CO4462">
        <v>2</v>
      </c>
      <c r="CP4462" t="s">
        <v>119</v>
      </c>
      <c r="CQ4462">
        <v>180</v>
      </c>
      <c r="CR4462">
        <v>3</v>
      </c>
      <c r="CW4462">
        <v>1436145</v>
      </c>
      <c r="CY4462">
        <v>1</v>
      </c>
      <c r="CZ4462">
        <v>0</v>
      </c>
      <c r="DA4462">
        <v>1</v>
      </c>
      <c r="DB4462">
        <v>0</v>
      </c>
      <c r="DC4462">
        <v>0</v>
      </c>
      <c r="DD4462">
        <v>0</v>
      </c>
      <c r="DE4462">
        <v>0</v>
      </c>
      <c r="DF4462">
        <v>0</v>
      </c>
      <c r="DG4462">
        <v>0</v>
      </c>
      <c r="DH4462">
        <v>0</v>
      </c>
      <c r="DI4462">
        <v>0</v>
      </c>
    </row>
    <row r="4463" spans="1:113" x14ac:dyDescent="0.3">
      <c r="A4463" t="str">
        <f>"02/08/2021 20:39:13.167"</f>
        <v>02/08/2021 20:39:13.167</v>
      </c>
      <c r="C4463" t="str">
        <f t="shared" si="221"/>
        <v>FFDFD7C0</v>
      </c>
      <c r="D4463" t="s">
        <v>124</v>
      </c>
      <c r="E4463">
        <v>11</v>
      </c>
      <c r="F4463">
        <v>1011</v>
      </c>
      <c r="G4463" t="s">
        <v>590</v>
      </c>
      <c r="J4463" t="s">
        <v>125</v>
      </c>
      <c r="K4463">
        <v>0</v>
      </c>
      <c r="L4463">
        <v>3</v>
      </c>
      <c r="M4463">
        <v>0</v>
      </c>
      <c r="N4463">
        <v>2</v>
      </c>
      <c r="O4463">
        <v>1</v>
      </c>
      <c r="P4463">
        <v>0</v>
      </c>
      <c r="Q4463">
        <v>0</v>
      </c>
      <c r="S4463" t="str">
        <f>"20:39:15.500"</f>
        <v>20:39:15.500</v>
      </c>
      <c r="T4463" t="str">
        <f>"20:39:15.100"</f>
        <v>20:39:15.100</v>
      </c>
      <c r="U4463" t="str">
        <f t="shared" si="220"/>
        <v>AB01F4</v>
      </c>
      <c r="V4463">
        <v>0</v>
      </c>
      <c r="W4463">
        <v>0</v>
      </c>
      <c r="X4463">
        <v>2</v>
      </c>
      <c r="Z4463">
        <v>0</v>
      </c>
      <c r="AA4463">
        <v>9</v>
      </c>
      <c r="AB4463">
        <v>3</v>
      </c>
      <c r="AC4463">
        <v>0</v>
      </c>
      <c r="AD4463">
        <v>10</v>
      </c>
      <c r="AE4463">
        <v>0</v>
      </c>
      <c r="AF4463">
        <v>3</v>
      </c>
      <c r="AG4463">
        <v>2</v>
      </c>
      <c r="AH4463">
        <v>0</v>
      </c>
      <c r="AI4463" t="s">
        <v>2477</v>
      </c>
      <c r="AJ4463">
        <v>40.155265</v>
      </c>
      <c r="AK4463" t="s">
        <v>2478</v>
      </c>
      <c r="AL4463">
        <v>-93.218564999999998</v>
      </c>
      <c r="AM4463">
        <v>100</v>
      </c>
      <c r="AN4463">
        <v>1200</v>
      </c>
      <c r="AO4463" t="s">
        <v>118</v>
      </c>
      <c r="AP4463">
        <v>-136</v>
      </c>
      <c r="AQ4463">
        <v>-35</v>
      </c>
      <c r="AR4463">
        <v>-448</v>
      </c>
      <c r="AZ4463">
        <v>1200</v>
      </c>
      <c r="BA4463">
        <v>1</v>
      </c>
      <c r="BB4463" t="str">
        <f t="shared" ref="BB4463:BB4526" si="222">"N8080G  "</f>
        <v xml:space="preserve">N8080G  </v>
      </c>
      <c r="BC4463">
        <v>1</v>
      </c>
      <c r="BE4463">
        <v>0</v>
      </c>
      <c r="BF4463">
        <v>0</v>
      </c>
      <c r="BG4463">
        <v>0</v>
      </c>
      <c r="BH4463">
        <v>1375</v>
      </c>
      <c r="BI4463">
        <v>1</v>
      </c>
      <c r="BJ4463">
        <v>1</v>
      </c>
      <c r="BK4463">
        <v>1</v>
      </c>
      <c r="BL4463">
        <v>0</v>
      </c>
      <c r="BO4463">
        <v>0</v>
      </c>
      <c r="BP4463">
        <v>0</v>
      </c>
      <c r="BW4463" t="str">
        <f>"20:39:15.507"</f>
        <v>20:39:15.507</v>
      </c>
      <c r="BZ4463">
        <v>0</v>
      </c>
      <c r="CA4463">
        <v>1504</v>
      </c>
      <c r="CB4463">
        <v>224</v>
      </c>
      <c r="CD4463">
        <v>1</v>
      </c>
      <c r="CE4463">
        <v>0</v>
      </c>
      <c r="CF4463">
        <v>0</v>
      </c>
      <c r="CG4463">
        <v>1</v>
      </c>
      <c r="CH4463">
        <v>0</v>
      </c>
      <c r="CI4463">
        <v>0</v>
      </c>
      <c r="CJ4463">
        <v>0</v>
      </c>
      <c r="CK4463">
        <v>2</v>
      </c>
      <c r="CL4463">
        <v>0</v>
      </c>
      <c r="CM4463">
        <v>2</v>
      </c>
      <c r="CN4463">
        <v>0</v>
      </c>
      <c r="CO4463">
        <v>2</v>
      </c>
      <c r="CP4463" t="s">
        <v>119</v>
      </c>
      <c r="CQ4463">
        <v>180</v>
      </c>
      <c r="CR4463">
        <v>3</v>
      </c>
      <c r="CW4463">
        <v>1436867</v>
      </c>
      <c r="CY4463">
        <v>1</v>
      </c>
      <c r="CZ4463">
        <v>0</v>
      </c>
      <c r="DA4463">
        <v>0</v>
      </c>
      <c r="DB4463">
        <v>0</v>
      </c>
      <c r="DC4463">
        <v>0</v>
      </c>
      <c r="DD4463">
        <v>0</v>
      </c>
      <c r="DE4463">
        <v>0</v>
      </c>
      <c r="DF4463">
        <v>0</v>
      </c>
      <c r="DG4463">
        <v>0</v>
      </c>
      <c r="DH4463">
        <v>0</v>
      </c>
      <c r="DI4463">
        <v>0</v>
      </c>
    </row>
    <row r="4464" spans="1:113" x14ac:dyDescent="0.3">
      <c r="A4464" t="str">
        <f>"02/08/2021 20:39:13.167"</f>
        <v>02/08/2021 20:39:13.167</v>
      </c>
      <c r="C4464" t="str">
        <f t="shared" si="221"/>
        <v>FFDFD7C0</v>
      </c>
      <c r="D4464" t="s">
        <v>124</v>
      </c>
      <c r="E4464">
        <v>13</v>
      </c>
      <c r="F4464">
        <v>1013</v>
      </c>
      <c r="G4464" t="s">
        <v>114</v>
      </c>
      <c r="J4464" t="s">
        <v>125</v>
      </c>
      <c r="K4464">
        <v>0</v>
      </c>
      <c r="L4464">
        <v>3</v>
      </c>
      <c r="M4464">
        <v>0</v>
      </c>
      <c r="N4464">
        <v>2</v>
      </c>
      <c r="O4464">
        <v>1</v>
      </c>
      <c r="P4464">
        <v>0</v>
      </c>
      <c r="Q4464">
        <v>0</v>
      </c>
      <c r="S4464" t="str">
        <f>"20:39:15.500"</f>
        <v>20:39:15.500</v>
      </c>
      <c r="T4464" t="str">
        <f>"20:39:15.100"</f>
        <v>20:39:15.100</v>
      </c>
      <c r="U4464" t="str">
        <f t="shared" si="220"/>
        <v>AB01F4</v>
      </c>
      <c r="V4464">
        <v>0</v>
      </c>
      <c r="W4464">
        <v>0</v>
      </c>
      <c r="X4464">
        <v>2</v>
      </c>
      <c r="Z4464">
        <v>0</v>
      </c>
      <c r="AA4464">
        <v>9</v>
      </c>
      <c r="AB4464">
        <v>3</v>
      </c>
      <c r="AC4464">
        <v>0</v>
      </c>
      <c r="AD4464">
        <v>10</v>
      </c>
      <c r="AE4464">
        <v>0</v>
      </c>
      <c r="AF4464">
        <v>3</v>
      </c>
      <c r="AG4464">
        <v>2</v>
      </c>
      <c r="AH4464">
        <v>0</v>
      </c>
      <c r="AI4464" t="s">
        <v>2477</v>
      </c>
      <c r="AJ4464">
        <v>40.155265</v>
      </c>
      <c r="AK4464" t="s">
        <v>2478</v>
      </c>
      <c r="AL4464">
        <v>-93.218564999999998</v>
      </c>
      <c r="AM4464">
        <v>100</v>
      </c>
      <c r="AN4464">
        <v>1200</v>
      </c>
      <c r="AO4464" t="s">
        <v>118</v>
      </c>
      <c r="AP4464">
        <v>-136</v>
      </c>
      <c r="AQ4464">
        <v>-35</v>
      </c>
      <c r="AR4464">
        <v>-448</v>
      </c>
      <c r="AZ4464">
        <v>1200</v>
      </c>
      <c r="BA4464">
        <v>1</v>
      </c>
      <c r="BB4464" t="str">
        <f t="shared" si="222"/>
        <v xml:space="preserve">N8080G  </v>
      </c>
      <c r="BC4464">
        <v>1</v>
      </c>
      <c r="BE4464">
        <v>0</v>
      </c>
      <c r="BF4464">
        <v>0</v>
      </c>
      <c r="BG4464">
        <v>0</v>
      </c>
      <c r="BH4464">
        <v>1375</v>
      </c>
      <c r="BI4464">
        <v>1</v>
      </c>
      <c r="BJ4464">
        <v>1</v>
      </c>
      <c r="BK4464">
        <v>1</v>
      </c>
      <c r="BL4464">
        <v>0</v>
      </c>
      <c r="BO4464">
        <v>0</v>
      </c>
      <c r="BP4464">
        <v>0</v>
      </c>
      <c r="BW4464" t="str">
        <f>"20:39:15.507"</f>
        <v>20:39:15.507</v>
      </c>
      <c r="BZ4464">
        <v>0</v>
      </c>
      <c r="CA4464">
        <v>1504</v>
      </c>
      <c r="CB4464">
        <v>224</v>
      </c>
      <c r="CD4464">
        <v>1</v>
      </c>
      <c r="CE4464">
        <v>0</v>
      </c>
      <c r="CF4464">
        <v>0</v>
      </c>
      <c r="CG4464">
        <v>1</v>
      </c>
      <c r="CH4464">
        <v>0</v>
      </c>
      <c r="CI4464">
        <v>0</v>
      </c>
      <c r="CJ4464">
        <v>0</v>
      </c>
      <c r="CK4464">
        <v>2</v>
      </c>
      <c r="CL4464">
        <v>0</v>
      </c>
      <c r="CM4464">
        <v>2</v>
      </c>
      <c r="CN4464">
        <v>0</v>
      </c>
      <c r="CO4464">
        <v>2</v>
      </c>
      <c r="CP4464" t="s">
        <v>119</v>
      </c>
      <c r="CQ4464">
        <v>180</v>
      </c>
      <c r="CR4464">
        <v>3</v>
      </c>
      <c r="CW4464">
        <v>1436867</v>
      </c>
      <c r="CY4464">
        <v>1</v>
      </c>
      <c r="CZ4464">
        <v>0</v>
      </c>
      <c r="DA4464">
        <v>1</v>
      </c>
      <c r="DB4464">
        <v>0</v>
      </c>
      <c r="DC4464">
        <v>0</v>
      </c>
      <c r="DD4464">
        <v>0</v>
      </c>
      <c r="DE4464">
        <v>0</v>
      </c>
      <c r="DF4464">
        <v>0</v>
      </c>
      <c r="DG4464">
        <v>0</v>
      </c>
      <c r="DH4464">
        <v>0</v>
      </c>
      <c r="DI4464">
        <v>0</v>
      </c>
    </row>
    <row r="4465" spans="1:113" x14ac:dyDescent="0.3">
      <c r="A4465" t="str">
        <f>"02/08/2021 20:39:13.167"</f>
        <v>02/08/2021 20:39:13.167</v>
      </c>
      <c r="C4465" t="str">
        <f t="shared" si="221"/>
        <v>FFDFD7C0</v>
      </c>
      <c r="D4465" t="s">
        <v>113</v>
      </c>
      <c r="E4465">
        <v>6</v>
      </c>
      <c r="H4465">
        <v>165</v>
      </c>
      <c r="I4465" t="s">
        <v>114</v>
      </c>
      <c r="J4465" t="s">
        <v>115</v>
      </c>
      <c r="K4465">
        <v>0</v>
      </c>
      <c r="L4465">
        <v>3</v>
      </c>
      <c r="M4465">
        <v>0</v>
      </c>
      <c r="N4465">
        <v>2</v>
      </c>
      <c r="O4465">
        <v>1</v>
      </c>
      <c r="P4465">
        <v>0</v>
      </c>
      <c r="Q4465">
        <v>0</v>
      </c>
      <c r="S4465" t="str">
        <f>"20:39:15.500"</f>
        <v>20:39:15.500</v>
      </c>
      <c r="T4465" t="str">
        <f>"20:39:15.100"</f>
        <v>20:39:15.100</v>
      </c>
      <c r="U4465" t="str">
        <f t="shared" si="220"/>
        <v>AB01F4</v>
      </c>
      <c r="V4465">
        <v>0</v>
      </c>
      <c r="W4465">
        <v>0</v>
      </c>
      <c r="X4465">
        <v>2</v>
      </c>
      <c r="Z4465">
        <v>0</v>
      </c>
      <c r="AA4465">
        <v>9</v>
      </c>
      <c r="AB4465">
        <v>3</v>
      </c>
      <c r="AC4465">
        <v>0</v>
      </c>
      <c r="AD4465">
        <v>10</v>
      </c>
      <c r="AE4465">
        <v>0</v>
      </c>
      <c r="AF4465">
        <v>3</v>
      </c>
      <c r="AG4465">
        <v>2</v>
      </c>
      <c r="AH4465">
        <v>0</v>
      </c>
      <c r="AI4465" t="s">
        <v>2477</v>
      </c>
      <c r="AJ4465">
        <v>40.155265</v>
      </c>
      <c r="AK4465" t="s">
        <v>2478</v>
      </c>
      <c r="AL4465">
        <v>-93.218564999999998</v>
      </c>
      <c r="AM4465">
        <v>100</v>
      </c>
      <c r="AN4465">
        <v>1200</v>
      </c>
      <c r="AO4465" t="s">
        <v>118</v>
      </c>
      <c r="AP4465">
        <v>-136</v>
      </c>
      <c r="AQ4465">
        <v>-35</v>
      </c>
      <c r="AR4465">
        <v>-448</v>
      </c>
      <c r="AZ4465">
        <v>1200</v>
      </c>
      <c r="BA4465">
        <v>1</v>
      </c>
      <c r="BB4465" t="str">
        <f t="shared" si="222"/>
        <v xml:space="preserve">N8080G  </v>
      </c>
      <c r="BC4465">
        <v>1</v>
      </c>
      <c r="BE4465">
        <v>0</v>
      </c>
      <c r="BF4465">
        <v>0</v>
      </c>
      <c r="BG4465">
        <v>0</v>
      </c>
      <c r="BH4465">
        <v>1375</v>
      </c>
      <c r="BI4465">
        <v>1</v>
      </c>
      <c r="BJ4465">
        <v>1</v>
      </c>
      <c r="BK4465">
        <v>1</v>
      </c>
      <c r="BL4465">
        <v>0</v>
      </c>
      <c r="BO4465">
        <v>0</v>
      </c>
      <c r="BP4465">
        <v>0</v>
      </c>
      <c r="BW4465" t="str">
        <f>"20:39:15.507"</f>
        <v>20:39:15.507</v>
      </c>
      <c r="BZ4465">
        <v>0</v>
      </c>
      <c r="CA4465">
        <v>1504</v>
      </c>
      <c r="CB4465">
        <v>224</v>
      </c>
      <c r="CD4465">
        <v>1</v>
      </c>
      <c r="CE4465">
        <v>0</v>
      </c>
      <c r="CF4465">
        <v>0</v>
      </c>
      <c r="CG4465">
        <v>1</v>
      </c>
      <c r="CH4465">
        <v>0</v>
      </c>
      <c r="CI4465">
        <v>0</v>
      </c>
      <c r="CJ4465">
        <v>0</v>
      </c>
      <c r="CK4465">
        <v>2</v>
      </c>
      <c r="CL4465">
        <v>0</v>
      </c>
      <c r="CM4465">
        <v>2</v>
      </c>
      <c r="CN4465">
        <v>0</v>
      </c>
      <c r="CO4465">
        <v>2</v>
      </c>
      <c r="CP4465" t="s">
        <v>119</v>
      </c>
      <c r="CQ4465">
        <v>180</v>
      </c>
      <c r="CR4465">
        <v>3</v>
      </c>
      <c r="CW4465">
        <v>1436867</v>
      </c>
      <c r="CY4465">
        <v>1</v>
      </c>
      <c r="CZ4465">
        <v>0</v>
      </c>
      <c r="DA4465">
        <v>1</v>
      </c>
      <c r="DB4465">
        <v>0</v>
      </c>
      <c r="DC4465">
        <v>0</v>
      </c>
      <c r="DD4465">
        <v>0</v>
      </c>
      <c r="DE4465">
        <v>0</v>
      </c>
      <c r="DF4465">
        <v>0</v>
      </c>
      <c r="DG4465">
        <v>0</v>
      </c>
      <c r="DH4465">
        <v>0</v>
      </c>
      <c r="DI4465">
        <v>0</v>
      </c>
    </row>
    <row r="4466" spans="1:113" x14ac:dyDescent="0.3">
      <c r="A4466" t="str">
        <f>"02/08/2021 20:39:13.167"</f>
        <v>02/08/2021 20:39:13.167</v>
      </c>
      <c r="C4466" t="str">
        <f t="shared" si="221"/>
        <v>FFDFD7C0</v>
      </c>
      <c r="D4466" t="s">
        <v>124</v>
      </c>
      <c r="E4466">
        <v>12</v>
      </c>
      <c r="F4466">
        <v>1012</v>
      </c>
      <c r="G4466" t="s">
        <v>675</v>
      </c>
      <c r="J4466" t="s">
        <v>125</v>
      </c>
      <c r="K4466">
        <v>0</v>
      </c>
      <c r="L4466">
        <v>3</v>
      </c>
      <c r="M4466">
        <v>0</v>
      </c>
      <c r="N4466">
        <v>2</v>
      </c>
      <c r="O4466">
        <v>1</v>
      </c>
      <c r="P4466">
        <v>0</v>
      </c>
      <c r="Q4466">
        <v>0</v>
      </c>
      <c r="S4466" t="str">
        <f>"20:39:15.500"</f>
        <v>20:39:15.500</v>
      </c>
      <c r="T4466" t="str">
        <f>"20:39:15.100"</f>
        <v>20:39:15.100</v>
      </c>
      <c r="U4466" t="str">
        <f t="shared" si="220"/>
        <v>AB01F4</v>
      </c>
      <c r="V4466">
        <v>0</v>
      </c>
      <c r="W4466">
        <v>0</v>
      </c>
      <c r="X4466">
        <v>2</v>
      </c>
      <c r="Z4466">
        <v>0</v>
      </c>
      <c r="AA4466">
        <v>9</v>
      </c>
      <c r="AB4466">
        <v>3</v>
      </c>
      <c r="AC4466">
        <v>0</v>
      </c>
      <c r="AD4466">
        <v>10</v>
      </c>
      <c r="AE4466">
        <v>0</v>
      </c>
      <c r="AF4466">
        <v>3</v>
      </c>
      <c r="AG4466">
        <v>2</v>
      </c>
      <c r="AH4466">
        <v>0</v>
      </c>
      <c r="AI4466" t="s">
        <v>2477</v>
      </c>
      <c r="AJ4466">
        <v>40.155265</v>
      </c>
      <c r="AK4466" t="s">
        <v>2478</v>
      </c>
      <c r="AL4466">
        <v>-93.218564999999998</v>
      </c>
      <c r="AM4466">
        <v>100</v>
      </c>
      <c r="AN4466">
        <v>1200</v>
      </c>
      <c r="AO4466" t="s">
        <v>118</v>
      </c>
      <c r="AP4466">
        <v>-136</v>
      </c>
      <c r="AQ4466">
        <v>-35</v>
      </c>
      <c r="AR4466">
        <v>-448</v>
      </c>
      <c r="AZ4466">
        <v>1200</v>
      </c>
      <c r="BA4466">
        <v>1</v>
      </c>
      <c r="BB4466" t="str">
        <f t="shared" si="222"/>
        <v xml:space="preserve">N8080G  </v>
      </c>
      <c r="BC4466">
        <v>1</v>
      </c>
      <c r="BE4466">
        <v>0</v>
      </c>
      <c r="BF4466">
        <v>0</v>
      </c>
      <c r="BG4466">
        <v>0</v>
      </c>
      <c r="BH4466">
        <v>1375</v>
      </c>
      <c r="BI4466">
        <v>1</v>
      </c>
      <c r="BJ4466">
        <v>1</v>
      </c>
      <c r="BK4466">
        <v>1</v>
      </c>
      <c r="BL4466">
        <v>0</v>
      </c>
      <c r="BO4466">
        <v>0</v>
      </c>
      <c r="BP4466">
        <v>0</v>
      </c>
      <c r="BW4466" t="str">
        <f>"20:39:15.507"</f>
        <v>20:39:15.507</v>
      </c>
      <c r="BZ4466">
        <v>0</v>
      </c>
      <c r="CA4466">
        <v>1504</v>
      </c>
      <c r="CB4466">
        <v>224</v>
      </c>
      <c r="CD4466">
        <v>1</v>
      </c>
      <c r="CE4466">
        <v>0</v>
      </c>
      <c r="CF4466">
        <v>0</v>
      </c>
      <c r="CG4466">
        <v>1</v>
      </c>
      <c r="CH4466">
        <v>0</v>
      </c>
      <c r="CI4466">
        <v>0</v>
      </c>
      <c r="CJ4466">
        <v>0</v>
      </c>
      <c r="CK4466">
        <v>2</v>
      </c>
      <c r="CL4466">
        <v>0</v>
      </c>
      <c r="CM4466">
        <v>2</v>
      </c>
      <c r="CN4466">
        <v>0</v>
      </c>
      <c r="CO4466">
        <v>2</v>
      </c>
      <c r="CP4466" t="s">
        <v>119</v>
      </c>
      <c r="CQ4466">
        <v>180</v>
      </c>
      <c r="CR4466">
        <v>3</v>
      </c>
      <c r="CW4466">
        <v>1436867</v>
      </c>
      <c r="CY4466">
        <v>1</v>
      </c>
      <c r="CZ4466">
        <v>0</v>
      </c>
      <c r="DA4466">
        <v>1</v>
      </c>
      <c r="DB4466">
        <v>0</v>
      </c>
      <c r="DC4466">
        <v>0</v>
      </c>
      <c r="DD4466">
        <v>0</v>
      </c>
      <c r="DE4466">
        <v>0</v>
      </c>
      <c r="DF4466">
        <v>0</v>
      </c>
      <c r="DG4466">
        <v>0</v>
      </c>
      <c r="DH4466">
        <v>0</v>
      </c>
      <c r="DI4466">
        <v>0</v>
      </c>
    </row>
    <row r="4467" spans="1:113" x14ac:dyDescent="0.3">
      <c r="A4467" t="str">
        <f>"02/08/2021 20:39:14.063"</f>
        <v>02/08/2021 20:39:14.063</v>
      </c>
      <c r="C4467" t="str">
        <f t="shared" si="221"/>
        <v>FFDFD7C0</v>
      </c>
      <c r="D4467" t="s">
        <v>124</v>
      </c>
      <c r="E4467">
        <v>12</v>
      </c>
      <c r="F4467">
        <v>1012</v>
      </c>
      <c r="G4467" t="s">
        <v>675</v>
      </c>
      <c r="J4467" t="s">
        <v>125</v>
      </c>
      <c r="K4467">
        <v>0</v>
      </c>
      <c r="L4467">
        <v>3</v>
      </c>
      <c r="M4467">
        <v>0</v>
      </c>
      <c r="N4467">
        <v>2</v>
      </c>
      <c r="O4467">
        <v>1</v>
      </c>
      <c r="P4467">
        <v>0</v>
      </c>
      <c r="Q4467">
        <v>0</v>
      </c>
      <c r="S4467" t="str">
        <f>"20:39:16.406"</f>
        <v>20:39:16.406</v>
      </c>
      <c r="T4467" t="str">
        <f>"20:39:16.006"</f>
        <v>20:39:16.006</v>
      </c>
      <c r="U4467" t="str">
        <f t="shared" si="220"/>
        <v>AB01F4</v>
      </c>
      <c r="V4467">
        <v>0</v>
      </c>
      <c r="W4467">
        <v>0</v>
      </c>
      <c r="X4467">
        <v>2</v>
      </c>
      <c r="Z4467">
        <v>0</v>
      </c>
      <c r="AA4467">
        <v>9</v>
      </c>
      <c r="AB4467">
        <v>3</v>
      </c>
      <c r="AC4467">
        <v>0</v>
      </c>
      <c r="AD4467">
        <v>10</v>
      </c>
      <c r="AE4467">
        <v>0</v>
      </c>
      <c r="AF4467">
        <v>3</v>
      </c>
      <c r="AG4467">
        <v>2</v>
      </c>
      <c r="AH4467">
        <v>0</v>
      </c>
      <c r="AI4467" t="s">
        <v>2479</v>
      </c>
      <c r="AJ4467">
        <v>40.155071999999997</v>
      </c>
      <c r="AK4467" t="s">
        <v>2480</v>
      </c>
      <c r="AL4467">
        <v>-93.219295000000002</v>
      </c>
      <c r="AM4467">
        <v>100</v>
      </c>
      <c r="AN4467">
        <v>1200</v>
      </c>
      <c r="AO4467" t="s">
        <v>118</v>
      </c>
      <c r="AP4467">
        <v>-136</v>
      </c>
      <c r="AQ4467">
        <v>-35</v>
      </c>
      <c r="AR4467">
        <v>-512</v>
      </c>
      <c r="AZ4467">
        <v>1200</v>
      </c>
      <c r="BA4467">
        <v>1</v>
      </c>
      <c r="BB4467" t="str">
        <f t="shared" si="222"/>
        <v xml:space="preserve">N8080G  </v>
      </c>
      <c r="BC4467">
        <v>1</v>
      </c>
      <c r="BE4467">
        <v>0</v>
      </c>
      <c r="BF4467">
        <v>0</v>
      </c>
      <c r="BG4467">
        <v>0</v>
      </c>
      <c r="BH4467">
        <v>1275</v>
      </c>
      <c r="BI4467">
        <v>1</v>
      </c>
      <c r="BJ4467">
        <v>1</v>
      </c>
      <c r="BK4467">
        <v>1</v>
      </c>
      <c r="BL4467">
        <v>0</v>
      </c>
      <c r="BO4467">
        <v>0</v>
      </c>
      <c r="BP4467">
        <v>0</v>
      </c>
      <c r="BW4467" t="str">
        <f>"20:39:16.411"</f>
        <v>20:39:16.411</v>
      </c>
      <c r="BZ4467">
        <v>0</v>
      </c>
      <c r="CA4467">
        <v>1504</v>
      </c>
      <c r="CB4467">
        <v>224</v>
      </c>
      <c r="CD4467">
        <v>1</v>
      </c>
      <c r="CE4467">
        <v>0</v>
      </c>
      <c r="CF4467">
        <v>0</v>
      </c>
      <c r="CG4467">
        <v>1</v>
      </c>
      <c r="CH4467">
        <v>0</v>
      </c>
      <c r="CI4467">
        <v>0</v>
      </c>
      <c r="CJ4467">
        <v>0</v>
      </c>
      <c r="CK4467">
        <v>2</v>
      </c>
      <c r="CL4467">
        <v>0</v>
      </c>
      <c r="CM4467">
        <v>2</v>
      </c>
      <c r="CN4467">
        <v>0</v>
      </c>
      <c r="CO4467">
        <v>2</v>
      </c>
      <c r="CP4467" t="s">
        <v>119</v>
      </c>
      <c r="CQ4467">
        <v>180</v>
      </c>
      <c r="CR4467">
        <v>3</v>
      </c>
      <c r="CW4467">
        <v>1437519</v>
      </c>
      <c r="CY4467">
        <v>1</v>
      </c>
      <c r="CZ4467">
        <v>0</v>
      </c>
      <c r="DA4467">
        <v>0</v>
      </c>
      <c r="DB4467">
        <v>0</v>
      </c>
      <c r="DC4467">
        <v>0</v>
      </c>
      <c r="DD4467">
        <v>0</v>
      </c>
      <c r="DE4467">
        <v>0</v>
      </c>
      <c r="DF4467">
        <v>0</v>
      </c>
      <c r="DG4467">
        <v>0</v>
      </c>
      <c r="DH4467">
        <v>0</v>
      </c>
      <c r="DI4467">
        <v>0</v>
      </c>
    </row>
    <row r="4468" spans="1:113" x14ac:dyDescent="0.3">
      <c r="A4468" t="str">
        <f>"02/08/2021 20:39:14.063"</f>
        <v>02/08/2021 20:39:14.063</v>
      </c>
      <c r="C4468" t="str">
        <f t="shared" si="221"/>
        <v>FFDFD7C0</v>
      </c>
      <c r="D4468" t="s">
        <v>124</v>
      </c>
      <c r="E4468">
        <v>11</v>
      </c>
      <c r="F4468">
        <v>1011</v>
      </c>
      <c r="G4468" t="s">
        <v>590</v>
      </c>
      <c r="J4468" t="s">
        <v>125</v>
      </c>
      <c r="K4468">
        <v>0</v>
      </c>
      <c r="L4468">
        <v>3</v>
      </c>
      <c r="M4468">
        <v>0</v>
      </c>
      <c r="N4468">
        <v>2</v>
      </c>
      <c r="O4468">
        <v>1</v>
      </c>
      <c r="P4468">
        <v>0</v>
      </c>
      <c r="Q4468">
        <v>0</v>
      </c>
      <c r="S4468" t="str">
        <f>"20:39:16.406"</f>
        <v>20:39:16.406</v>
      </c>
      <c r="T4468" t="str">
        <f>"20:39:16.006"</f>
        <v>20:39:16.006</v>
      </c>
      <c r="U4468" t="str">
        <f t="shared" si="220"/>
        <v>AB01F4</v>
      </c>
      <c r="V4468">
        <v>0</v>
      </c>
      <c r="W4468">
        <v>0</v>
      </c>
      <c r="X4468">
        <v>2</v>
      </c>
      <c r="Z4468">
        <v>0</v>
      </c>
      <c r="AA4468">
        <v>9</v>
      </c>
      <c r="AB4468">
        <v>3</v>
      </c>
      <c r="AC4468">
        <v>0</v>
      </c>
      <c r="AD4468">
        <v>10</v>
      </c>
      <c r="AE4468">
        <v>0</v>
      </c>
      <c r="AF4468">
        <v>3</v>
      </c>
      <c r="AG4468">
        <v>2</v>
      </c>
      <c r="AH4468">
        <v>0</v>
      </c>
      <c r="AI4468" t="s">
        <v>2479</v>
      </c>
      <c r="AJ4468">
        <v>40.155071999999997</v>
      </c>
      <c r="AK4468" t="s">
        <v>2480</v>
      </c>
      <c r="AL4468">
        <v>-93.219295000000002</v>
      </c>
      <c r="AM4468">
        <v>100</v>
      </c>
      <c r="AN4468">
        <v>1200</v>
      </c>
      <c r="AO4468" t="s">
        <v>118</v>
      </c>
      <c r="AP4468">
        <v>-136</v>
      </c>
      <c r="AQ4468">
        <v>-35</v>
      </c>
      <c r="AR4468">
        <v>-512</v>
      </c>
      <c r="AZ4468">
        <v>1200</v>
      </c>
      <c r="BA4468">
        <v>1</v>
      </c>
      <c r="BB4468" t="str">
        <f t="shared" si="222"/>
        <v xml:space="preserve">N8080G  </v>
      </c>
      <c r="BC4468">
        <v>1</v>
      </c>
      <c r="BE4468">
        <v>0</v>
      </c>
      <c r="BF4468">
        <v>0</v>
      </c>
      <c r="BG4468">
        <v>0</v>
      </c>
      <c r="BH4468">
        <v>1275</v>
      </c>
      <c r="BI4468">
        <v>1</v>
      </c>
      <c r="BJ4468">
        <v>1</v>
      </c>
      <c r="BK4468">
        <v>1</v>
      </c>
      <c r="BL4468">
        <v>0</v>
      </c>
      <c r="BO4468">
        <v>0</v>
      </c>
      <c r="BP4468">
        <v>0</v>
      </c>
      <c r="BW4468" t="str">
        <f>"20:39:16.411"</f>
        <v>20:39:16.411</v>
      </c>
      <c r="BZ4468">
        <v>0</v>
      </c>
      <c r="CA4468">
        <v>1504</v>
      </c>
      <c r="CB4468">
        <v>224</v>
      </c>
      <c r="CD4468">
        <v>1</v>
      </c>
      <c r="CE4468">
        <v>0</v>
      </c>
      <c r="CF4468">
        <v>0</v>
      </c>
      <c r="CG4468">
        <v>1</v>
      </c>
      <c r="CH4468">
        <v>0</v>
      </c>
      <c r="CI4468">
        <v>0</v>
      </c>
      <c r="CJ4468">
        <v>0</v>
      </c>
      <c r="CK4468">
        <v>2</v>
      </c>
      <c r="CL4468">
        <v>0</v>
      </c>
      <c r="CM4468">
        <v>2</v>
      </c>
      <c r="CN4468">
        <v>0</v>
      </c>
      <c r="CO4468">
        <v>2</v>
      </c>
      <c r="CP4468" t="s">
        <v>119</v>
      </c>
      <c r="CQ4468">
        <v>180</v>
      </c>
      <c r="CR4468">
        <v>3</v>
      </c>
      <c r="CW4468">
        <v>1437519</v>
      </c>
      <c r="CY4468">
        <v>1</v>
      </c>
      <c r="CZ4468">
        <v>0</v>
      </c>
      <c r="DA4468">
        <v>1</v>
      </c>
      <c r="DB4468">
        <v>0</v>
      </c>
      <c r="DC4468">
        <v>0</v>
      </c>
      <c r="DD4468">
        <v>0</v>
      </c>
      <c r="DE4468">
        <v>0</v>
      </c>
      <c r="DF4468">
        <v>0</v>
      </c>
      <c r="DG4468">
        <v>0</v>
      </c>
      <c r="DH4468">
        <v>0</v>
      </c>
      <c r="DI4468">
        <v>0</v>
      </c>
    </row>
    <row r="4469" spans="1:113" x14ac:dyDescent="0.3">
      <c r="A4469" t="str">
        <f>"02/08/2021 20:39:14.063"</f>
        <v>02/08/2021 20:39:14.063</v>
      </c>
      <c r="C4469" t="str">
        <f t="shared" si="221"/>
        <v>FFDFD7C0</v>
      </c>
      <c r="D4469" t="s">
        <v>124</v>
      </c>
      <c r="E4469">
        <v>13</v>
      </c>
      <c r="F4469">
        <v>1013</v>
      </c>
      <c r="G4469" t="s">
        <v>114</v>
      </c>
      <c r="J4469" t="s">
        <v>125</v>
      </c>
      <c r="K4469">
        <v>0</v>
      </c>
      <c r="L4469">
        <v>3</v>
      </c>
      <c r="M4469">
        <v>0</v>
      </c>
      <c r="N4469">
        <v>2</v>
      </c>
      <c r="O4469">
        <v>1</v>
      </c>
      <c r="P4469">
        <v>0</v>
      </c>
      <c r="Q4469">
        <v>0</v>
      </c>
      <c r="S4469" t="str">
        <f>"20:39:16.406"</f>
        <v>20:39:16.406</v>
      </c>
      <c r="T4469" t="str">
        <f>"20:39:16.006"</f>
        <v>20:39:16.006</v>
      </c>
      <c r="U4469" t="str">
        <f t="shared" si="220"/>
        <v>AB01F4</v>
      </c>
      <c r="V4469">
        <v>0</v>
      </c>
      <c r="W4469">
        <v>0</v>
      </c>
      <c r="X4469">
        <v>2</v>
      </c>
      <c r="Z4469">
        <v>0</v>
      </c>
      <c r="AA4469">
        <v>9</v>
      </c>
      <c r="AB4469">
        <v>3</v>
      </c>
      <c r="AC4469">
        <v>0</v>
      </c>
      <c r="AD4469">
        <v>10</v>
      </c>
      <c r="AE4469">
        <v>0</v>
      </c>
      <c r="AF4469">
        <v>3</v>
      </c>
      <c r="AG4469">
        <v>2</v>
      </c>
      <c r="AH4469">
        <v>0</v>
      </c>
      <c r="AI4469" t="s">
        <v>2479</v>
      </c>
      <c r="AJ4469">
        <v>40.155071999999997</v>
      </c>
      <c r="AK4469" t="s">
        <v>2480</v>
      </c>
      <c r="AL4469">
        <v>-93.219295000000002</v>
      </c>
      <c r="AM4469">
        <v>100</v>
      </c>
      <c r="AN4469">
        <v>1200</v>
      </c>
      <c r="AO4469" t="s">
        <v>118</v>
      </c>
      <c r="AP4469">
        <v>-136</v>
      </c>
      <c r="AQ4469">
        <v>-35</v>
      </c>
      <c r="AR4469">
        <v>-512</v>
      </c>
      <c r="AZ4469">
        <v>1200</v>
      </c>
      <c r="BA4469">
        <v>1</v>
      </c>
      <c r="BB4469" t="str">
        <f t="shared" si="222"/>
        <v xml:space="preserve">N8080G  </v>
      </c>
      <c r="BC4469">
        <v>1</v>
      </c>
      <c r="BE4469">
        <v>0</v>
      </c>
      <c r="BF4469">
        <v>0</v>
      </c>
      <c r="BG4469">
        <v>0</v>
      </c>
      <c r="BH4469">
        <v>1275</v>
      </c>
      <c r="BI4469">
        <v>1</v>
      </c>
      <c r="BJ4469">
        <v>1</v>
      </c>
      <c r="BK4469">
        <v>1</v>
      </c>
      <c r="BL4469">
        <v>0</v>
      </c>
      <c r="BO4469">
        <v>0</v>
      </c>
      <c r="BP4469">
        <v>0</v>
      </c>
      <c r="BW4469" t="str">
        <f>"20:39:16.411"</f>
        <v>20:39:16.411</v>
      </c>
      <c r="BZ4469">
        <v>0</v>
      </c>
      <c r="CA4469">
        <v>1504</v>
      </c>
      <c r="CB4469">
        <v>224</v>
      </c>
      <c r="CD4469">
        <v>1</v>
      </c>
      <c r="CE4469">
        <v>0</v>
      </c>
      <c r="CF4469">
        <v>0</v>
      </c>
      <c r="CG4469">
        <v>1</v>
      </c>
      <c r="CH4469">
        <v>0</v>
      </c>
      <c r="CI4469">
        <v>0</v>
      </c>
      <c r="CJ4469">
        <v>0</v>
      </c>
      <c r="CK4469">
        <v>2</v>
      </c>
      <c r="CL4469">
        <v>0</v>
      </c>
      <c r="CM4469">
        <v>2</v>
      </c>
      <c r="CN4469">
        <v>0</v>
      </c>
      <c r="CO4469">
        <v>2</v>
      </c>
      <c r="CP4469" t="s">
        <v>119</v>
      </c>
      <c r="CQ4469">
        <v>180</v>
      </c>
      <c r="CR4469">
        <v>3</v>
      </c>
      <c r="CW4469">
        <v>1437519</v>
      </c>
      <c r="CY4469">
        <v>1</v>
      </c>
      <c r="CZ4469">
        <v>0</v>
      </c>
      <c r="DA4469">
        <v>1</v>
      </c>
      <c r="DB4469">
        <v>0</v>
      </c>
      <c r="DC4469">
        <v>0</v>
      </c>
      <c r="DD4469">
        <v>0</v>
      </c>
      <c r="DE4469">
        <v>0</v>
      </c>
      <c r="DF4469">
        <v>0</v>
      </c>
      <c r="DG4469">
        <v>0</v>
      </c>
      <c r="DH4469">
        <v>0</v>
      </c>
      <c r="DI4469">
        <v>0</v>
      </c>
    </row>
    <row r="4470" spans="1:113" x14ac:dyDescent="0.3">
      <c r="A4470" t="str">
        <f>"02/08/2021 20:39:14.063"</f>
        <v>02/08/2021 20:39:14.063</v>
      </c>
      <c r="C4470" t="str">
        <f t="shared" si="221"/>
        <v>FFDFD7C0</v>
      </c>
      <c r="D4470" t="s">
        <v>113</v>
      </c>
      <c r="E4470">
        <v>6</v>
      </c>
      <c r="H4470">
        <v>165</v>
      </c>
      <c r="I4470" t="s">
        <v>114</v>
      </c>
      <c r="J4470" t="s">
        <v>115</v>
      </c>
      <c r="K4470">
        <v>0</v>
      </c>
      <c r="L4470">
        <v>3</v>
      </c>
      <c r="M4470">
        <v>0</v>
      </c>
      <c r="N4470">
        <v>2</v>
      </c>
      <c r="O4470">
        <v>1</v>
      </c>
      <c r="P4470">
        <v>0</v>
      </c>
      <c r="Q4470">
        <v>0</v>
      </c>
      <c r="S4470" t="str">
        <f>"20:39:16.406"</f>
        <v>20:39:16.406</v>
      </c>
      <c r="T4470" t="str">
        <f>"20:39:16.006"</f>
        <v>20:39:16.006</v>
      </c>
      <c r="U4470" t="str">
        <f t="shared" si="220"/>
        <v>AB01F4</v>
      </c>
      <c r="V4470">
        <v>0</v>
      </c>
      <c r="W4470">
        <v>0</v>
      </c>
      <c r="X4470">
        <v>2</v>
      </c>
      <c r="Z4470">
        <v>0</v>
      </c>
      <c r="AA4470">
        <v>9</v>
      </c>
      <c r="AB4470">
        <v>3</v>
      </c>
      <c r="AC4470">
        <v>0</v>
      </c>
      <c r="AD4470">
        <v>10</v>
      </c>
      <c r="AE4470">
        <v>0</v>
      </c>
      <c r="AF4470">
        <v>3</v>
      </c>
      <c r="AG4470">
        <v>2</v>
      </c>
      <c r="AH4470">
        <v>0</v>
      </c>
      <c r="AI4470" t="s">
        <v>2479</v>
      </c>
      <c r="AJ4470">
        <v>40.155071999999997</v>
      </c>
      <c r="AK4470" t="s">
        <v>2480</v>
      </c>
      <c r="AL4470">
        <v>-93.219295000000002</v>
      </c>
      <c r="AM4470">
        <v>100</v>
      </c>
      <c r="AN4470">
        <v>1200</v>
      </c>
      <c r="AO4470" t="s">
        <v>118</v>
      </c>
      <c r="AP4470">
        <v>-136</v>
      </c>
      <c r="AQ4470">
        <v>-35</v>
      </c>
      <c r="AR4470">
        <v>-512</v>
      </c>
      <c r="AZ4470">
        <v>1200</v>
      </c>
      <c r="BA4470">
        <v>1</v>
      </c>
      <c r="BB4470" t="str">
        <f t="shared" si="222"/>
        <v xml:space="preserve">N8080G  </v>
      </c>
      <c r="BC4470">
        <v>1</v>
      </c>
      <c r="BE4470">
        <v>0</v>
      </c>
      <c r="BF4470">
        <v>0</v>
      </c>
      <c r="BG4470">
        <v>0</v>
      </c>
      <c r="BH4470">
        <v>1275</v>
      </c>
      <c r="BI4470">
        <v>1</v>
      </c>
      <c r="BJ4470">
        <v>1</v>
      </c>
      <c r="BK4470">
        <v>1</v>
      </c>
      <c r="BL4470">
        <v>0</v>
      </c>
      <c r="BO4470">
        <v>0</v>
      </c>
      <c r="BP4470">
        <v>0</v>
      </c>
      <c r="BW4470" t="str">
        <f>"20:39:16.411"</f>
        <v>20:39:16.411</v>
      </c>
      <c r="BZ4470">
        <v>0</v>
      </c>
      <c r="CA4470">
        <v>1504</v>
      </c>
      <c r="CB4470">
        <v>224</v>
      </c>
      <c r="CD4470">
        <v>1</v>
      </c>
      <c r="CE4470">
        <v>0</v>
      </c>
      <c r="CF4470">
        <v>0</v>
      </c>
      <c r="CG4470">
        <v>1</v>
      </c>
      <c r="CH4470">
        <v>0</v>
      </c>
      <c r="CI4470">
        <v>0</v>
      </c>
      <c r="CJ4470">
        <v>0</v>
      </c>
      <c r="CK4470">
        <v>2</v>
      </c>
      <c r="CL4470">
        <v>0</v>
      </c>
      <c r="CM4470">
        <v>2</v>
      </c>
      <c r="CN4470">
        <v>0</v>
      </c>
      <c r="CO4470">
        <v>2</v>
      </c>
      <c r="CP4470" t="s">
        <v>119</v>
      </c>
      <c r="CQ4470">
        <v>180</v>
      </c>
      <c r="CR4470">
        <v>3</v>
      </c>
      <c r="CW4470">
        <v>1437519</v>
      </c>
      <c r="CY4470">
        <v>1</v>
      </c>
      <c r="CZ4470">
        <v>0</v>
      </c>
      <c r="DA4470">
        <v>1</v>
      </c>
      <c r="DB4470">
        <v>0</v>
      </c>
      <c r="DC4470">
        <v>0</v>
      </c>
      <c r="DD4470">
        <v>0</v>
      </c>
      <c r="DE4470">
        <v>0</v>
      </c>
      <c r="DF4470">
        <v>0</v>
      </c>
      <c r="DG4470">
        <v>0</v>
      </c>
      <c r="DH4470">
        <v>0</v>
      </c>
      <c r="DI4470">
        <v>0</v>
      </c>
    </row>
    <row r="4471" spans="1:113" x14ac:dyDescent="0.3">
      <c r="A4471" t="str">
        <f>"02/08/2021 20:39:17.129"</f>
        <v>02/08/2021 20:39:17.129</v>
      </c>
      <c r="C4471" t="str">
        <f t="shared" si="221"/>
        <v>FFDFD7C0</v>
      </c>
      <c r="D4471" t="s">
        <v>124</v>
      </c>
      <c r="E4471">
        <v>12</v>
      </c>
      <c r="F4471">
        <v>1012</v>
      </c>
      <c r="G4471" t="s">
        <v>675</v>
      </c>
      <c r="J4471" t="s">
        <v>125</v>
      </c>
      <c r="K4471">
        <v>0</v>
      </c>
      <c r="L4471">
        <v>3</v>
      </c>
      <c r="M4471">
        <v>0</v>
      </c>
      <c r="N4471">
        <v>2</v>
      </c>
      <c r="O4471">
        <v>1</v>
      </c>
      <c r="P4471">
        <v>0</v>
      </c>
      <c r="Q4471">
        <v>0</v>
      </c>
      <c r="S4471" t="str">
        <f>"20:39:19.477"</f>
        <v>20:39:19.477</v>
      </c>
      <c r="T4471" t="str">
        <f>"20:39:18.977"</f>
        <v>20:39:18.977</v>
      </c>
      <c r="U4471" t="str">
        <f t="shared" si="220"/>
        <v>AB01F4</v>
      </c>
      <c r="V4471">
        <v>0</v>
      </c>
      <c r="W4471">
        <v>0</v>
      </c>
      <c r="X4471">
        <v>2</v>
      </c>
      <c r="Z4471">
        <v>0</v>
      </c>
      <c r="AA4471">
        <v>9</v>
      </c>
      <c r="AB4471">
        <v>3</v>
      </c>
      <c r="AC4471">
        <v>0</v>
      </c>
      <c r="AD4471">
        <v>10</v>
      </c>
      <c r="AE4471">
        <v>0</v>
      </c>
      <c r="AF4471">
        <v>3</v>
      </c>
      <c r="AG4471">
        <v>2</v>
      </c>
      <c r="AH4471">
        <v>0</v>
      </c>
      <c r="AI4471" t="s">
        <v>2321</v>
      </c>
      <c r="AJ4471">
        <v>40.154600000000002</v>
      </c>
      <c r="AK4471" t="s">
        <v>2481</v>
      </c>
      <c r="AL4471">
        <v>-93.221868999999998</v>
      </c>
      <c r="AM4471">
        <v>100</v>
      </c>
      <c r="AN4471">
        <v>1200</v>
      </c>
      <c r="AO4471" t="s">
        <v>118</v>
      </c>
      <c r="AP4471">
        <v>-136</v>
      </c>
      <c r="AQ4471">
        <v>-35</v>
      </c>
      <c r="AR4471">
        <v>-384</v>
      </c>
      <c r="AZ4471">
        <v>1200</v>
      </c>
      <c r="BA4471">
        <v>1</v>
      </c>
      <c r="BB4471" t="str">
        <f t="shared" si="222"/>
        <v xml:space="preserve">N8080G  </v>
      </c>
      <c r="BC4471">
        <v>1</v>
      </c>
      <c r="BE4471">
        <v>0</v>
      </c>
      <c r="BF4471">
        <v>0</v>
      </c>
      <c r="BG4471">
        <v>0</v>
      </c>
      <c r="BH4471">
        <v>1250</v>
      </c>
      <c r="BI4471">
        <v>1</v>
      </c>
      <c r="BJ4471">
        <v>1</v>
      </c>
      <c r="BK4471">
        <v>1</v>
      </c>
      <c r="BL4471">
        <v>0</v>
      </c>
      <c r="BO4471">
        <v>0</v>
      </c>
      <c r="BP4471">
        <v>0</v>
      </c>
      <c r="BW4471" t="str">
        <f>"20:39:19.478"</f>
        <v>20:39:19.478</v>
      </c>
      <c r="BZ4471">
        <v>0</v>
      </c>
      <c r="CA4471">
        <v>1504</v>
      </c>
      <c r="CB4471">
        <v>224</v>
      </c>
      <c r="CD4471">
        <v>1</v>
      </c>
      <c r="CE4471">
        <v>0</v>
      </c>
      <c r="CF4471">
        <v>0</v>
      </c>
      <c r="CG4471">
        <v>1</v>
      </c>
      <c r="CH4471">
        <v>0</v>
      </c>
      <c r="CI4471">
        <v>0</v>
      </c>
      <c r="CJ4471">
        <v>0</v>
      </c>
      <c r="CK4471">
        <v>2</v>
      </c>
      <c r="CL4471">
        <v>0</v>
      </c>
      <c r="CM4471">
        <v>2</v>
      </c>
      <c r="CN4471">
        <v>0</v>
      </c>
      <c r="CO4471">
        <v>2</v>
      </c>
      <c r="CP4471" t="s">
        <v>119</v>
      </c>
      <c r="CQ4471">
        <v>180</v>
      </c>
      <c r="CR4471">
        <v>3</v>
      </c>
      <c r="CW4471">
        <v>1439829</v>
      </c>
      <c r="CY4471">
        <v>1</v>
      </c>
      <c r="CZ4471">
        <v>0</v>
      </c>
      <c r="DA4471">
        <v>0</v>
      </c>
      <c r="DB4471">
        <v>0</v>
      </c>
      <c r="DC4471">
        <v>0</v>
      </c>
      <c r="DD4471">
        <v>0</v>
      </c>
      <c r="DE4471">
        <v>0</v>
      </c>
      <c r="DF4471">
        <v>0</v>
      </c>
      <c r="DG4471">
        <v>0</v>
      </c>
      <c r="DH4471">
        <v>0</v>
      </c>
      <c r="DI4471">
        <v>0</v>
      </c>
    </row>
    <row r="4472" spans="1:113" x14ac:dyDescent="0.3">
      <c r="A4472" t="str">
        <f>"02/08/2021 20:39:17.129"</f>
        <v>02/08/2021 20:39:17.129</v>
      </c>
      <c r="C4472" t="str">
        <f t="shared" si="221"/>
        <v>FFDFD7C0</v>
      </c>
      <c r="D4472" t="s">
        <v>113</v>
      </c>
      <c r="E4472">
        <v>6</v>
      </c>
      <c r="H4472">
        <v>165</v>
      </c>
      <c r="I4472" t="s">
        <v>114</v>
      </c>
      <c r="J4472" t="s">
        <v>115</v>
      </c>
      <c r="K4472">
        <v>0</v>
      </c>
      <c r="L4472">
        <v>3</v>
      </c>
      <c r="M4472">
        <v>0</v>
      </c>
      <c r="N4472">
        <v>2</v>
      </c>
      <c r="O4472">
        <v>1</v>
      </c>
      <c r="P4472">
        <v>0</v>
      </c>
      <c r="Q4472">
        <v>0</v>
      </c>
      <c r="S4472" t="str">
        <f>"20:39:19.477"</f>
        <v>20:39:19.477</v>
      </c>
      <c r="T4472" t="str">
        <f>"20:39:18.977"</f>
        <v>20:39:18.977</v>
      </c>
      <c r="U4472" t="str">
        <f t="shared" si="220"/>
        <v>AB01F4</v>
      </c>
      <c r="V4472">
        <v>0</v>
      </c>
      <c r="W4472">
        <v>0</v>
      </c>
      <c r="X4472">
        <v>2</v>
      </c>
      <c r="Z4472">
        <v>0</v>
      </c>
      <c r="AA4472">
        <v>9</v>
      </c>
      <c r="AB4472">
        <v>3</v>
      </c>
      <c r="AC4472">
        <v>0</v>
      </c>
      <c r="AD4472">
        <v>10</v>
      </c>
      <c r="AE4472">
        <v>0</v>
      </c>
      <c r="AF4472">
        <v>3</v>
      </c>
      <c r="AG4472">
        <v>2</v>
      </c>
      <c r="AH4472">
        <v>0</v>
      </c>
      <c r="AI4472" t="s">
        <v>2321</v>
      </c>
      <c r="AJ4472">
        <v>40.154600000000002</v>
      </c>
      <c r="AK4472" t="s">
        <v>2481</v>
      </c>
      <c r="AL4472">
        <v>-93.221868999999998</v>
      </c>
      <c r="AM4472">
        <v>100</v>
      </c>
      <c r="AN4472">
        <v>1200</v>
      </c>
      <c r="AO4472" t="s">
        <v>118</v>
      </c>
      <c r="AP4472">
        <v>-136</v>
      </c>
      <c r="AQ4472">
        <v>-35</v>
      </c>
      <c r="AR4472">
        <v>-384</v>
      </c>
      <c r="AZ4472">
        <v>1200</v>
      </c>
      <c r="BA4472">
        <v>1</v>
      </c>
      <c r="BB4472" t="str">
        <f t="shared" si="222"/>
        <v xml:space="preserve">N8080G  </v>
      </c>
      <c r="BC4472">
        <v>1</v>
      </c>
      <c r="BE4472">
        <v>0</v>
      </c>
      <c r="BF4472">
        <v>0</v>
      </c>
      <c r="BG4472">
        <v>0</v>
      </c>
      <c r="BH4472">
        <v>1250</v>
      </c>
      <c r="BI4472">
        <v>1</v>
      </c>
      <c r="BJ4472">
        <v>1</v>
      </c>
      <c r="BK4472">
        <v>1</v>
      </c>
      <c r="BL4472">
        <v>0</v>
      </c>
      <c r="BO4472">
        <v>0</v>
      </c>
      <c r="BP4472">
        <v>0</v>
      </c>
      <c r="BW4472" t="str">
        <f>"20:39:19.478"</f>
        <v>20:39:19.478</v>
      </c>
      <c r="BZ4472">
        <v>0</v>
      </c>
      <c r="CA4472">
        <v>1504</v>
      </c>
      <c r="CB4472">
        <v>224</v>
      </c>
      <c r="CD4472">
        <v>1</v>
      </c>
      <c r="CE4472">
        <v>0</v>
      </c>
      <c r="CF4472">
        <v>0</v>
      </c>
      <c r="CG4472">
        <v>1</v>
      </c>
      <c r="CH4472">
        <v>0</v>
      </c>
      <c r="CI4472">
        <v>0</v>
      </c>
      <c r="CJ4472">
        <v>0</v>
      </c>
      <c r="CK4472">
        <v>2</v>
      </c>
      <c r="CL4472">
        <v>0</v>
      </c>
      <c r="CM4472">
        <v>2</v>
      </c>
      <c r="CN4472">
        <v>0</v>
      </c>
      <c r="CO4472">
        <v>2</v>
      </c>
      <c r="CP4472" t="s">
        <v>119</v>
      </c>
      <c r="CQ4472">
        <v>180</v>
      </c>
      <c r="CR4472">
        <v>3</v>
      </c>
      <c r="CW4472">
        <v>1439829</v>
      </c>
      <c r="CY4472">
        <v>1</v>
      </c>
      <c r="CZ4472">
        <v>0</v>
      </c>
      <c r="DA4472">
        <v>1</v>
      </c>
      <c r="DB4472">
        <v>0</v>
      </c>
      <c r="DC4472">
        <v>0</v>
      </c>
      <c r="DD4472">
        <v>0</v>
      </c>
      <c r="DE4472">
        <v>0</v>
      </c>
      <c r="DF4472">
        <v>0</v>
      </c>
      <c r="DG4472">
        <v>0</v>
      </c>
      <c r="DH4472">
        <v>0</v>
      </c>
      <c r="DI4472">
        <v>0</v>
      </c>
    </row>
    <row r="4473" spans="1:113" x14ac:dyDescent="0.3">
      <c r="A4473" t="str">
        <f>"02/08/2021 20:39:17.129"</f>
        <v>02/08/2021 20:39:17.129</v>
      </c>
      <c r="C4473" t="str">
        <f t="shared" si="221"/>
        <v>FFDFD7C0</v>
      </c>
      <c r="D4473" t="s">
        <v>124</v>
      </c>
      <c r="E4473">
        <v>11</v>
      </c>
      <c r="F4473">
        <v>1011</v>
      </c>
      <c r="G4473" t="s">
        <v>590</v>
      </c>
      <c r="J4473" t="s">
        <v>125</v>
      </c>
      <c r="K4473">
        <v>0</v>
      </c>
      <c r="L4473">
        <v>3</v>
      </c>
      <c r="M4473">
        <v>0</v>
      </c>
      <c r="N4473">
        <v>2</v>
      </c>
      <c r="O4473">
        <v>1</v>
      </c>
      <c r="P4473">
        <v>0</v>
      </c>
      <c r="Q4473">
        <v>0</v>
      </c>
      <c r="S4473" t="str">
        <f>"20:39:19.477"</f>
        <v>20:39:19.477</v>
      </c>
      <c r="T4473" t="str">
        <f>"20:39:18.977"</f>
        <v>20:39:18.977</v>
      </c>
      <c r="U4473" t="str">
        <f t="shared" si="220"/>
        <v>AB01F4</v>
      </c>
      <c r="V4473">
        <v>0</v>
      </c>
      <c r="W4473">
        <v>0</v>
      </c>
      <c r="X4473">
        <v>2</v>
      </c>
      <c r="Z4473">
        <v>0</v>
      </c>
      <c r="AA4473">
        <v>9</v>
      </c>
      <c r="AB4473">
        <v>3</v>
      </c>
      <c r="AC4473">
        <v>0</v>
      </c>
      <c r="AD4473">
        <v>10</v>
      </c>
      <c r="AE4473">
        <v>0</v>
      </c>
      <c r="AF4473">
        <v>3</v>
      </c>
      <c r="AG4473">
        <v>2</v>
      </c>
      <c r="AH4473">
        <v>0</v>
      </c>
      <c r="AI4473" t="s">
        <v>2321</v>
      </c>
      <c r="AJ4473">
        <v>40.154600000000002</v>
      </c>
      <c r="AK4473" t="s">
        <v>2481</v>
      </c>
      <c r="AL4473">
        <v>-93.221868999999998</v>
      </c>
      <c r="AM4473">
        <v>100</v>
      </c>
      <c r="AN4473">
        <v>1200</v>
      </c>
      <c r="AO4473" t="s">
        <v>118</v>
      </c>
      <c r="AP4473">
        <v>-136</v>
      </c>
      <c r="AQ4473">
        <v>-35</v>
      </c>
      <c r="AR4473">
        <v>-384</v>
      </c>
      <c r="AZ4473">
        <v>1200</v>
      </c>
      <c r="BA4473">
        <v>1</v>
      </c>
      <c r="BB4473" t="str">
        <f t="shared" si="222"/>
        <v xml:space="preserve">N8080G  </v>
      </c>
      <c r="BC4473">
        <v>1</v>
      </c>
      <c r="BE4473">
        <v>0</v>
      </c>
      <c r="BF4473">
        <v>0</v>
      </c>
      <c r="BG4473">
        <v>0</v>
      </c>
      <c r="BH4473">
        <v>1250</v>
      </c>
      <c r="BI4473">
        <v>1</v>
      </c>
      <c r="BJ4473">
        <v>1</v>
      </c>
      <c r="BK4473">
        <v>1</v>
      </c>
      <c r="BL4473">
        <v>0</v>
      </c>
      <c r="BO4473">
        <v>0</v>
      </c>
      <c r="BP4473">
        <v>0</v>
      </c>
      <c r="BW4473" t="str">
        <f>"20:39:19.478"</f>
        <v>20:39:19.478</v>
      </c>
      <c r="BZ4473">
        <v>0</v>
      </c>
      <c r="CA4473">
        <v>1504</v>
      </c>
      <c r="CB4473">
        <v>224</v>
      </c>
      <c r="CD4473">
        <v>1</v>
      </c>
      <c r="CE4473">
        <v>0</v>
      </c>
      <c r="CF4473">
        <v>0</v>
      </c>
      <c r="CG4473">
        <v>1</v>
      </c>
      <c r="CH4473">
        <v>0</v>
      </c>
      <c r="CI4473">
        <v>0</v>
      </c>
      <c r="CJ4473">
        <v>0</v>
      </c>
      <c r="CK4473">
        <v>2</v>
      </c>
      <c r="CL4473">
        <v>0</v>
      </c>
      <c r="CM4473">
        <v>2</v>
      </c>
      <c r="CN4473">
        <v>0</v>
      </c>
      <c r="CO4473">
        <v>2</v>
      </c>
      <c r="CP4473" t="s">
        <v>119</v>
      </c>
      <c r="CQ4473">
        <v>180</v>
      </c>
      <c r="CR4473">
        <v>3</v>
      </c>
      <c r="CW4473">
        <v>1439829</v>
      </c>
      <c r="CY4473">
        <v>1</v>
      </c>
      <c r="CZ4473">
        <v>0</v>
      </c>
      <c r="DA4473">
        <v>1</v>
      </c>
      <c r="DB4473">
        <v>0</v>
      </c>
      <c r="DC4473">
        <v>0</v>
      </c>
      <c r="DD4473">
        <v>0</v>
      </c>
      <c r="DE4473">
        <v>0</v>
      </c>
      <c r="DF4473">
        <v>0</v>
      </c>
      <c r="DG4473">
        <v>0</v>
      </c>
      <c r="DH4473">
        <v>0</v>
      </c>
      <c r="DI4473">
        <v>0</v>
      </c>
    </row>
    <row r="4474" spans="1:113" x14ac:dyDescent="0.3">
      <c r="A4474" t="str">
        <f>"02/08/2021 20:39:17.129"</f>
        <v>02/08/2021 20:39:17.129</v>
      </c>
      <c r="C4474" t="str">
        <f t="shared" si="221"/>
        <v>FFDFD7C0</v>
      </c>
      <c r="D4474" t="s">
        <v>124</v>
      </c>
      <c r="E4474">
        <v>13</v>
      </c>
      <c r="F4474">
        <v>1013</v>
      </c>
      <c r="G4474" t="s">
        <v>114</v>
      </c>
      <c r="J4474" t="s">
        <v>125</v>
      </c>
      <c r="K4474">
        <v>0</v>
      </c>
      <c r="L4474">
        <v>3</v>
      </c>
      <c r="M4474">
        <v>0</v>
      </c>
      <c r="N4474">
        <v>2</v>
      </c>
      <c r="O4474">
        <v>1</v>
      </c>
      <c r="P4474">
        <v>0</v>
      </c>
      <c r="Q4474">
        <v>0</v>
      </c>
      <c r="S4474" t="str">
        <f>"20:39:19.477"</f>
        <v>20:39:19.477</v>
      </c>
      <c r="T4474" t="str">
        <f>"20:39:18.977"</f>
        <v>20:39:18.977</v>
      </c>
      <c r="U4474" t="str">
        <f t="shared" si="220"/>
        <v>AB01F4</v>
      </c>
      <c r="V4474">
        <v>0</v>
      </c>
      <c r="W4474">
        <v>0</v>
      </c>
      <c r="X4474">
        <v>2</v>
      </c>
      <c r="Z4474">
        <v>0</v>
      </c>
      <c r="AA4474">
        <v>9</v>
      </c>
      <c r="AB4474">
        <v>3</v>
      </c>
      <c r="AC4474">
        <v>0</v>
      </c>
      <c r="AD4474">
        <v>10</v>
      </c>
      <c r="AE4474">
        <v>0</v>
      </c>
      <c r="AF4474">
        <v>3</v>
      </c>
      <c r="AG4474">
        <v>2</v>
      </c>
      <c r="AH4474">
        <v>0</v>
      </c>
      <c r="AI4474" t="s">
        <v>2321</v>
      </c>
      <c r="AJ4474">
        <v>40.154600000000002</v>
      </c>
      <c r="AK4474" t="s">
        <v>2481</v>
      </c>
      <c r="AL4474">
        <v>-93.221868999999998</v>
      </c>
      <c r="AM4474">
        <v>100</v>
      </c>
      <c r="AN4474">
        <v>1200</v>
      </c>
      <c r="AO4474" t="s">
        <v>118</v>
      </c>
      <c r="AP4474">
        <v>-136</v>
      </c>
      <c r="AQ4474">
        <v>-35</v>
      </c>
      <c r="AR4474">
        <v>-384</v>
      </c>
      <c r="AZ4474">
        <v>1200</v>
      </c>
      <c r="BA4474">
        <v>1</v>
      </c>
      <c r="BB4474" t="str">
        <f t="shared" si="222"/>
        <v xml:space="preserve">N8080G  </v>
      </c>
      <c r="BC4474">
        <v>1</v>
      </c>
      <c r="BE4474">
        <v>0</v>
      </c>
      <c r="BF4474">
        <v>0</v>
      </c>
      <c r="BG4474">
        <v>0</v>
      </c>
      <c r="BH4474">
        <v>1250</v>
      </c>
      <c r="BI4474">
        <v>1</v>
      </c>
      <c r="BJ4474">
        <v>1</v>
      </c>
      <c r="BK4474">
        <v>1</v>
      </c>
      <c r="BL4474">
        <v>0</v>
      </c>
      <c r="BO4474">
        <v>0</v>
      </c>
      <c r="BP4474">
        <v>0</v>
      </c>
      <c r="BW4474" t="str">
        <f>"20:39:19.478"</f>
        <v>20:39:19.478</v>
      </c>
      <c r="BZ4474">
        <v>0</v>
      </c>
      <c r="CA4474">
        <v>1504</v>
      </c>
      <c r="CB4474">
        <v>224</v>
      </c>
      <c r="CD4474">
        <v>1</v>
      </c>
      <c r="CE4474">
        <v>0</v>
      </c>
      <c r="CF4474">
        <v>0</v>
      </c>
      <c r="CG4474">
        <v>1</v>
      </c>
      <c r="CH4474">
        <v>0</v>
      </c>
      <c r="CI4474">
        <v>0</v>
      </c>
      <c r="CJ4474">
        <v>0</v>
      </c>
      <c r="CK4474">
        <v>2</v>
      </c>
      <c r="CL4474">
        <v>0</v>
      </c>
      <c r="CM4474">
        <v>2</v>
      </c>
      <c r="CN4474">
        <v>0</v>
      </c>
      <c r="CO4474">
        <v>2</v>
      </c>
      <c r="CP4474" t="s">
        <v>119</v>
      </c>
      <c r="CQ4474">
        <v>180</v>
      </c>
      <c r="CR4474">
        <v>3</v>
      </c>
      <c r="CW4474">
        <v>1439829</v>
      </c>
      <c r="CY4474">
        <v>1</v>
      </c>
      <c r="CZ4474">
        <v>0</v>
      </c>
      <c r="DA4474">
        <v>1</v>
      </c>
      <c r="DB4474">
        <v>0</v>
      </c>
      <c r="DC4474">
        <v>0</v>
      </c>
      <c r="DD4474">
        <v>0</v>
      </c>
      <c r="DE4474">
        <v>0</v>
      </c>
      <c r="DF4474">
        <v>0</v>
      </c>
      <c r="DG4474">
        <v>0</v>
      </c>
      <c r="DH4474">
        <v>0</v>
      </c>
      <c r="DI4474">
        <v>0</v>
      </c>
    </row>
    <row r="4475" spans="1:113" x14ac:dyDescent="0.3">
      <c r="A4475" t="str">
        <f>"02/08/2021 20:39:18.182"</f>
        <v>02/08/2021 20:39:18.182</v>
      </c>
      <c r="C4475" t="str">
        <f t="shared" si="221"/>
        <v>FFDFD7C0</v>
      </c>
      <c r="D4475" t="s">
        <v>124</v>
      </c>
      <c r="E4475">
        <v>12</v>
      </c>
      <c r="F4475">
        <v>1012</v>
      </c>
      <c r="G4475" t="s">
        <v>675</v>
      </c>
      <c r="J4475" t="s">
        <v>125</v>
      </c>
      <c r="K4475">
        <v>0</v>
      </c>
      <c r="L4475">
        <v>3</v>
      </c>
      <c r="M4475">
        <v>0</v>
      </c>
      <c r="N4475">
        <v>2</v>
      </c>
      <c r="O4475">
        <v>1</v>
      </c>
      <c r="P4475">
        <v>0</v>
      </c>
      <c r="Q4475">
        <v>0</v>
      </c>
      <c r="S4475" t="str">
        <f>"20:39:20.477"</f>
        <v>20:39:20.477</v>
      </c>
      <c r="T4475" t="str">
        <f>"20:39:19.977"</f>
        <v>20:39:19.977</v>
      </c>
      <c r="U4475" t="str">
        <f t="shared" si="220"/>
        <v>AB01F4</v>
      </c>
      <c r="V4475">
        <v>0</v>
      </c>
      <c r="W4475">
        <v>0</v>
      </c>
      <c r="X4475">
        <v>2</v>
      </c>
      <c r="Z4475">
        <v>0</v>
      </c>
      <c r="AA4475">
        <v>9</v>
      </c>
      <c r="AB4475">
        <v>3</v>
      </c>
      <c r="AC4475">
        <v>0</v>
      </c>
      <c r="AD4475">
        <v>10</v>
      </c>
      <c r="AE4475">
        <v>0</v>
      </c>
      <c r="AF4475">
        <v>3</v>
      </c>
      <c r="AG4475">
        <v>2</v>
      </c>
      <c r="AH4475">
        <v>0</v>
      </c>
      <c r="AI4475" t="s">
        <v>2482</v>
      </c>
      <c r="AJ4475">
        <v>40.154428000000003</v>
      </c>
      <c r="AK4475" t="s">
        <v>2483</v>
      </c>
      <c r="AL4475">
        <v>-93.222684999999998</v>
      </c>
      <c r="AM4475">
        <v>100</v>
      </c>
      <c r="AN4475">
        <v>1200</v>
      </c>
      <c r="AO4475" t="s">
        <v>118</v>
      </c>
      <c r="AP4475">
        <v>-136</v>
      </c>
      <c r="AQ4475">
        <v>-35</v>
      </c>
      <c r="AR4475">
        <v>-320</v>
      </c>
      <c r="AZ4475">
        <v>1200</v>
      </c>
      <c r="BA4475">
        <v>1</v>
      </c>
      <c r="BB4475" t="str">
        <f t="shared" si="222"/>
        <v xml:space="preserve">N8080G  </v>
      </c>
      <c r="BC4475">
        <v>1</v>
      </c>
      <c r="BE4475">
        <v>0</v>
      </c>
      <c r="BF4475">
        <v>0</v>
      </c>
      <c r="BG4475">
        <v>0</v>
      </c>
      <c r="BH4475">
        <v>1250</v>
      </c>
      <c r="BI4475">
        <v>1</v>
      </c>
      <c r="BJ4475">
        <v>1</v>
      </c>
      <c r="BK4475">
        <v>1</v>
      </c>
      <c r="BL4475">
        <v>0</v>
      </c>
      <c r="BO4475">
        <v>0</v>
      </c>
      <c r="BP4475">
        <v>0</v>
      </c>
      <c r="BW4475" t="str">
        <f>"20:39:20.478"</f>
        <v>20:39:20.478</v>
      </c>
      <c r="BZ4475">
        <v>0</v>
      </c>
      <c r="CA4475">
        <v>1504</v>
      </c>
      <c r="CB4475">
        <v>224</v>
      </c>
      <c r="CD4475">
        <v>1</v>
      </c>
      <c r="CE4475">
        <v>0</v>
      </c>
      <c r="CF4475">
        <v>0</v>
      </c>
      <c r="CG4475">
        <v>1</v>
      </c>
      <c r="CH4475">
        <v>0</v>
      </c>
      <c r="CI4475">
        <v>0</v>
      </c>
      <c r="CJ4475">
        <v>0</v>
      </c>
      <c r="CK4475">
        <v>2</v>
      </c>
      <c r="CL4475">
        <v>0</v>
      </c>
      <c r="CM4475">
        <v>2</v>
      </c>
      <c r="CN4475">
        <v>0</v>
      </c>
      <c r="CO4475">
        <v>2</v>
      </c>
      <c r="CP4475" t="s">
        <v>119</v>
      </c>
      <c r="CQ4475">
        <v>180</v>
      </c>
      <c r="CR4475">
        <v>3</v>
      </c>
      <c r="CW4475">
        <v>1440643</v>
      </c>
      <c r="CY4475">
        <v>1</v>
      </c>
      <c r="CZ4475">
        <v>0</v>
      </c>
      <c r="DA4475">
        <v>0</v>
      </c>
      <c r="DB4475">
        <v>0</v>
      </c>
      <c r="DC4475">
        <v>0</v>
      </c>
      <c r="DD4475">
        <v>0</v>
      </c>
      <c r="DE4475">
        <v>0</v>
      </c>
      <c r="DF4475">
        <v>0</v>
      </c>
      <c r="DG4475">
        <v>0</v>
      </c>
      <c r="DH4475">
        <v>0</v>
      </c>
      <c r="DI4475">
        <v>0</v>
      </c>
    </row>
    <row r="4476" spans="1:113" x14ac:dyDescent="0.3">
      <c r="A4476" t="str">
        <f>"02/08/2021 20:39:18.182"</f>
        <v>02/08/2021 20:39:18.182</v>
      </c>
      <c r="C4476" t="str">
        <f t="shared" si="221"/>
        <v>FFDFD7C0</v>
      </c>
      <c r="D4476" t="s">
        <v>113</v>
      </c>
      <c r="E4476">
        <v>6</v>
      </c>
      <c r="H4476">
        <v>165</v>
      </c>
      <c r="I4476" t="s">
        <v>114</v>
      </c>
      <c r="J4476" t="s">
        <v>115</v>
      </c>
      <c r="K4476">
        <v>0</v>
      </c>
      <c r="L4476">
        <v>3</v>
      </c>
      <c r="M4476">
        <v>0</v>
      </c>
      <c r="N4476">
        <v>2</v>
      </c>
      <c r="O4476">
        <v>1</v>
      </c>
      <c r="P4476">
        <v>0</v>
      </c>
      <c r="Q4476">
        <v>0</v>
      </c>
      <c r="S4476" t="str">
        <f>"20:39:20.477"</f>
        <v>20:39:20.477</v>
      </c>
      <c r="T4476" t="str">
        <f>"20:39:19.977"</f>
        <v>20:39:19.977</v>
      </c>
      <c r="U4476" t="str">
        <f t="shared" si="220"/>
        <v>AB01F4</v>
      </c>
      <c r="V4476">
        <v>0</v>
      </c>
      <c r="W4476">
        <v>0</v>
      </c>
      <c r="X4476">
        <v>2</v>
      </c>
      <c r="Z4476">
        <v>0</v>
      </c>
      <c r="AA4476">
        <v>9</v>
      </c>
      <c r="AB4476">
        <v>3</v>
      </c>
      <c r="AC4476">
        <v>0</v>
      </c>
      <c r="AD4476">
        <v>10</v>
      </c>
      <c r="AE4476">
        <v>0</v>
      </c>
      <c r="AF4476">
        <v>3</v>
      </c>
      <c r="AG4476">
        <v>2</v>
      </c>
      <c r="AH4476">
        <v>0</v>
      </c>
      <c r="AI4476" t="s">
        <v>2482</v>
      </c>
      <c r="AJ4476">
        <v>40.154428000000003</v>
      </c>
      <c r="AK4476" t="s">
        <v>2483</v>
      </c>
      <c r="AL4476">
        <v>-93.222684999999998</v>
      </c>
      <c r="AM4476">
        <v>100</v>
      </c>
      <c r="AN4476">
        <v>1200</v>
      </c>
      <c r="AO4476" t="s">
        <v>118</v>
      </c>
      <c r="AP4476">
        <v>-136</v>
      </c>
      <c r="AQ4476">
        <v>-35</v>
      </c>
      <c r="AR4476">
        <v>-320</v>
      </c>
      <c r="AZ4476">
        <v>1200</v>
      </c>
      <c r="BA4476">
        <v>1</v>
      </c>
      <c r="BB4476" t="str">
        <f t="shared" si="222"/>
        <v xml:space="preserve">N8080G  </v>
      </c>
      <c r="BC4476">
        <v>1</v>
      </c>
      <c r="BE4476">
        <v>0</v>
      </c>
      <c r="BF4476">
        <v>0</v>
      </c>
      <c r="BG4476">
        <v>0</v>
      </c>
      <c r="BH4476">
        <v>1250</v>
      </c>
      <c r="BI4476">
        <v>1</v>
      </c>
      <c r="BJ4476">
        <v>1</v>
      </c>
      <c r="BK4476">
        <v>1</v>
      </c>
      <c r="BL4476">
        <v>0</v>
      </c>
      <c r="BO4476">
        <v>0</v>
      </c>
      <c r="BP4476">
        <v>0</v>
      </c>
      <c r="BW4476" t="str">
        <f>"20:39:20.478"</f>
        <v>20:39:20.478</v>
      </c>
      <c r="BZ4476">
        <v>0</v>
      </c>
      <c r="CA4476">
        <v>1504</v>
      </c>
      <c r="CB4476">
        <v>224</v>
      </c>
      <c r="CD4476">
        <v>1</v>
      </c>
      <c r="CE4476">
        <v>0</v>
      </c>
      <c r="CF4476">
        <v>0</v>
      </c>
      <c r="CG4476">
        <v>1</v>
      </c>
      <c r="CH4476">
        <v>0</v>
      </c>
      <c r="CI4476">
        <v>0</v>
      </c>
      <c r="CJ4476">
        <v>0</v>
      </c>
      <c r="CK4476">
        <v>2</v>
      </c>
      <c r="CL4476">
        <v>0</v>
      </c>
      <c r="CM4476">
        <v>2</v>
      </c>
      <c r="CN4476">
        <v>0</v>
      </c>
      <c r="CO4476">
        <v>2</v>
      </c>
      <c r="CP4476" t="s">
        <v>119</v>
      </c>
      <c r="CQ4476">
        <v>180</v>
      </c>
      <c r="CR4476">
        <v>3</v>
      </c>
      <c r="CW4476">
        <v>1440643</v>
      </c>
      <c r="CY4476">
        <v>1</v>
      </c>
      <c r="CZ4476">
        <v>0</v>
      </c>
      <c r="DA4476">
        <v>1</v>
      </c>
      <c r="DB4476">
        <v>0</v>
      </c>
      <c r="DC4476">
        <v>0</v>
      </c>
      <c r="DD4476">
        <v>0</v>
      </c>
      <c r="DE4476">
        <v>0</v>
      </c>
      <c r="DF4476">
        <v>0</v>
      </c>
      <c r="DG4476">
        <v>0</v>
      </c>
      <c r="DH4476">
        <v>0</v>
      </c>
      <c r="DI4476">
        <v>0</v>
      </c>
    </row>
    <row r="4477" spans="1:113" x14ac:dyDescent="0.3">
      <c r="A4477" t="str">
        <f>"02/08/2021 20:39:18.182"</f>
        <v>02/08/2021 20:39:18.182</v>
      </c>
      <c r="C4477" t="str">
        <f t="shared" si="221"/>
        <v>FFDFD7C0</v>
      </c>
      <c r="D4477" t="s">
        <v>124</v>
      </c>
      <c r="E4477">
        <v>11</v>
      </c>
      <c r="F4477">
        <v>1011</v>
      </c>
      <c r="G4477" t="s">
        <v>590</v>
      </c>
      <c r="J4477" t="s">
        <v>125</v>
      </c>
      <c r="K4477">
        <v>0</v>
      </c>
      <c r="L4477">
        <v>3</v>
      </c>
      <c r="M4477">
        <v>0</v>
      </c>
      <c r="N4477">
        <v>2</v>
      </c>
      <c r="O4477">
        <v>1</v>
      </c>
      <c r="P4477">
        <v>0</v>
      </c>
      <c r="Q4477">
        <v>0</v>
      </c>
      <c r="S4477" t="str">
        <f>"20:39:20.477"</f>
        <v>20:39:20.477</v>
      </c>
      <c r="T4477" t="str">
        <f>"20:39:19.977"</f>
        <v>20:39:19.977</v>
      </c>
      <c r="U4477" t="str">
        <f t="shared" si="220"/>
        <v>AB01F4</v>
      </c>
      <c r="V4477">
        <v>0</v>
      </c>
      <c r="W4477">
        <v>0</v>
      </c>
      <c r="X4477">
        <v>2</v>
      </c>
      <c r="Z4477">
        <v>0</v>
      </c>
      <c r="AA4477">
        <v>9</v>
      </c>
      <c r="AB4477">
        <v>3</v>
      </c>
      <c r="AC4477">
        <v>0</v>
      </c>
      <c r="AD4477">
        <v>10</v>
      </c>
      <c r="AE4477">
        <v>0</v>
      </c>
      <c r="AF4477">
        <v>3</v>
      </c>
      <c r="AG4477">
        <v>2</v>
      </c>
      <c r="AH4477">
        <v>0</v>
      </c>
      <c r="AI4477" t="s">
        <v>2482</v>
      </c>
      <c r="AJ4477">
        <v>40.154428000000003</v>
      </c>
      <c r="AK4477" t="s">
        <v>2483</v>
      </c>
      <c r="AL4477">
        <v>-93.222684999999998</v>
      </c>
      <c r="AM4477">
        <v>100</v>
      </c>
      <c r="AN4477">
        <v>1200</v>
      </c>
      <c r="AO4477" t="s">
        <v>118</v>
      </c>
      <c r="AP4477">
        <v>-136</v>
      </c>
      <c r="AQ4477">
        <v>-35</v>
      </c>
      <c r="AR4477">
        <v>-320</v>
      </c>
      <c r="AZ4477">
        <v>1200</v>
      </c>
      <c r="BA4477">
        <v>1</v>
      </c>
      <c r="BB4477" t="str">
        <f t="shared" si="222"/>
        <v xml:space="preserve">N8080G  </v>
      </c>
      <c r="BC4477">
        <v>1</v>
      </c>
      <c r="BE4477">
        <v>0</v>
      </c>
      <c r="BF4477">
        <v>0</v>
      </c>
      <c r="BG4477">
        <v>0</v>
      </c>
      <c r="BH4477">
        <v>1250</v>
      </c>
      <c r="BI4477">
        <v>1</v>
      </c>
      <c r="BJ4477">
        <v>1</v>
      </c>
      <c r="BK4477">
        <v>1</v>
      </c>
      <c r="BL4477">
        <v>0</v>
      </c>
      <c r="BO4477">
        <v>0</v>
      </c>
      <c r="BP4477">
        <v>0</v>
      </c>
      <c r="BW4477" t="str">
        <f>"20:39:20.478"</f>
        <v>20:39:20.478</v>
      </c>
      <c r="BZ4477">
        <v>0</v>
      </c>
      <c r="CA4477">
        <v>1504</v>
      </c>
      <c r="CB4477">
        <v>224</v>
      </c>
      <c r="CD4477">
        <v>1</v>
      </c>
      <c r="CE4477">
        <v>0</v>
      </c>
      <c r="CF4477">
        <v>0</v>
      </c>
      <c r="CG4477">
        <v>1</v>
      </c>
      <c r="CH4477">
        <v>0</v>
      </c>
      <c r="CI4477">
        <v>0</v>
      </c>
      <c r="CJ4477">
        <v>0</v>
      </c>
      <c r="CK4477">
        <v>2</v>
      </c>
      <c r="CL4477">
        <v>0</v>
      </c>
      <c r="CM4477">
        <v>2</v>
      </c>
      <c r="CN4477">
        <v>0</v>
      </c>
      <c r="CO4477">
        <v>2</v>
      </c>
      <c r="CP4477" t="s">
        <v>119</v>
      </c>
      <c r="CQ4477">
        <v>180</v>
      </c>
      <c r="CR4477">
        <v>3</v>
      </c>
      <c r="CW4477">
        <v>1440643</v>
      </c>
      <c r="CY4477">
        <v>1</v>
      </c>
      <c r="CZ4477">
        <v>0</v>
      </c>
      <c r="DA4477">
        <v>1</v>
      </c>
      <c r="DB4477">
        <v>0</v>
      </c>
      <c r="DC4477">
        <v>0</v>
      </c>
      <c r="DD4477">
        <v>0</v>
      </c>
      <c r="DE4477">
        <v>0</v>
      </c>
      <c r="DF4477">
        <v>0</v>
      </c>
      <c r="DG4477">
        <v>0</v>
      </c>
      <c r="DH4477">
        <v>0</v>
      </c>
      <c r="DI4477">
        <v>0</v>
      </c>
    </row>
    <row r="4478" spans="1:113" x14ac:dyDescent="0.3">
      <c r="A4478" t="str">
        <f>"02/08/2021 20:39:18.182"</f>
        <v>02/08/2021 20:39:18.182</v>
      </c>
      <c r="C4478" t="str">
        <f t="shared" si="221"/>
        <v>FFDFD7C0</v>
      </c>
      <c r="D4478" t="s">
        <v>124</v>
      </c>
      <c r="E4478">
        <v>13</v>
      </c>
      <c r="F4478">
        <v>1013</v>
      </c>
      <c r="G4478" t="s">
        <v>114</v>
      </c>
      <c r="J4478" t="s">
        <v>125</v>
      </c>
      <c r="K4478">
        <v>0</v>
      </c>
      <c r="L4478">
        <v>3</v>
      </c>
      <c r="M4478">
        <v>0</v>
      </c>
      <c r="N4478">
        <v>2</v>
      </c>
      <c r="O4478">
        <v>1</v>
      </c>
      <c r="P4478">
        <v>0</v>
      </c>
      <c r="Q4478">
        <v>0</v>
      </c>
      <c r="S4478" t="str">
        <f>"20:39:20.477"</f>
        <v>20:39:20.477</v>
      </c>
      <c r="T4478" t="str">
        <f>"20:39:19.977"</f>
        <v>20:39:19.977</v>
      </c>
      <c r="U4478" t="str">
        <f t="shared" si="220"/>
        <v>AB01F4</v>
      </c>
      <c r="V4478">
        <v>0</v>
      </c>
      <c r="W4478">
        <v>0</v>
      </c>
      <c r="X4478">
        <v>2</v>
      </c>
      <c r="Z4478">
        <v>0</v>
      </c>
      <c r="AA4478">
        <v>9</v>
      </c>
      <c r="AB4478">
        <v>3</v>
      </c>
      <c r="AC4478">
        <v>0</v>
      </c>
      <c r="AD4478">
        <v>10</v>
      </c>
      <c r="AE4478">
        <v>0</v>
      </c>
      <c r="AF4478">
        <v>3</v>
      </c>
      <c r="AG4478">
        <v>2</v>
      </c>
      <c r="AH4478">
        <v>0</v>
      </c>
      <c r="AI4478" t="s">
        <v>2482</v>
      </c>
      <c r="AJ4478">
        <v>40.154428000000003</v>
      </c>
      <c r="AK4478" t="s">
        <v>2483</v>
      </c>
      <c r="AL4478">
        <v>-93.222684999999998</v>
      </c>
      <c r="AM4478">
        <v>100</v>
      </c>
      <c r="AN4478">
        <v>1200</v>
      </c>
      <c r="AO4478" t="s">
        <v>118</v>
      </c>
      <c r="AP4478">
        <v>-136</v>
      </c>
      <c r="AQ4478">
        <v>-35</v>
      </c>
      <c r="AR4478">
        <v>-320</v>
      </c>
      <c r="AZ4478">
        <v>1200</v>
      </c>
      <c r="BA4478">
        <v>1</v>
      </c>
      <c r="BB4478" t="str">
        <f t="shared" si="222"/>
        <v xml:space="preserve">N8080G  </v>
      </c>
      <c r="BC4478">
        <v>1</v>
      </c>
      <c r="BE4478">
        <v>0</v>
      </c>
      <c r="BF4478">
        <v>0</v>
      </c>
      <c r="BG4478">
        <v>0</v>
      </c>
      <c r="BH4478">
        <v>1250</v>
      </c>
      <c r="BI4478">
        <v>1</v>
      </c>
      <c r="BJ4478">
        <v>1</v>
      </c>
      <c r="BK4478">
        <v>1</v>
      </c>
      <c r="BL4478">
        <v>0</v>
      </c>
      <c r="BO4478">
        <v>0</v>
      </c>
      <c r="BP4478">
        <v>0</v>
      </c>
      <c r="BW4478" t="str">
        <f>"20:39:20.478"</f>
        <v>20:39:20.478</v>
      </c>
      <c r="BZ4478">
        <v>0</v>
      </c>
      <c r="CA4478">
        <v>1504</v>
      </c>
      <c r="CB4478">
        <v>224</v>
      </c>
      <c r="CD4478">
        <v>1</v>
      </c>
      <c r="CE4478">
        <v>0</v>
      </c>
      <c r="CF4478">
        <v>0</v>
      </c>
      <c r="CG4478">
        <v>1</v>
      </c>
      <c r="CH4478">
        <v>0</v>
      </c>
      <c r="CI4478">
        <v>0</v>
      </c>
      <c r="CJ4478">
        <v>0</v>
      </c>
      <c r="CK4478">
        <v>2</v>
      </c>
      <c r="CL4478">
        <v>0</v>
      </c>
      <c r="CM4478">
        <v>2</v>
      </c>
      <c r="CN4478">
        <v>0</v>
      </c>
      <c r="CO4478">
        <v>2</v>
      </c>
      <c r="CP4478" t="s">
        <v>119</v>
      </c>
      <c r="CQ4478">
        <v>180</v>
      </c>
      <c r="CR4478">
        <v>3</v>
      </c>
      <c r="CW4478">
        <v>1440643</v>
      </c>
      <c r="CY4478">
        <v>1</v>
      </c>
      <c r="CZ4478">
        <v>0</v>
      </c>
      <c r="DA4478">
        <v>1</v>
      </c>
      <c r="DB4478">
        <v>0</v>
      </c>
      <c r="DC4478">
        <v>0</v>
      </c>
      <c r="DD4478">
        <v>0</v>
      </c>
      <c r="DE4478">
        <v>0</v>
      </c>
      <c r="DF4478">
        <v>0</v>
      </c>
      <c r="DG4478">
        <v>0</v>
      </c>
      <c r="DH4478">
        <v>0</v>
      </c>
      <c r="DI4478">
        <v>0</v>
      </c>
    </row>
    <row r="4479" spans="1:113" x14ac:dyDescent="0.3">
      <c r="A4479" t="str">
        <f>"02/08/2021 20:39:19.663"</f>
        <v>02/08/2021 20:39:19.663</v>
      </c>
      <c r="C4479" t="str">
        <f t="shared" si="221"/>
        <v>FFDFD7C0</v>
      </c>
      <c r="D4479" t="s">
        <v>113</v>
      </c>
      <c r="E4479">
        <v>6</v>
      </c>
      <c r="H4479">
        <v>165</v>
      </c>
      <c r="I4479" t="s">
        <v>114</v>
      </c>
      <c r="J4479" t="s">
        <v>115</v>
      </c>
      <c r="K4479">
        <v>0</v>
      </c>
      <c r="L4479">
        <v>3</v>
      </c>
      <c r="M4479">
        <v>0</v>
      </c>
      <c r="N4479">
        <v>2</v>
      </c>
      <c r="O4479">
        <v>1</v>
      </c>
      <c r="P4479">
        <v>0</v>
      </c>
      <c r="Q4479">
        <v>0</v>
      </c>
      <c r="S4479" t="str">
        <f>"20:39:21.945"</f>
        <v>20:39:21.945</v>
      </c>
      <c r="T4479" t="str">
        <f>"20:39:21.545"</f>
        <v>20:39:21.545</v>
      </c>
      <c r="U4479" t="str">
        <f t="shared" si="220"/>
        <v>AB01F4</v>
      </c>
      <c r="V4479">
        <v>0</v>
      </c>
      <c r="W4479">
        <v>0</v>
      </c>
      <c r="X4479">
        <v>2</v>
      </c>
      <c r="Z4479">
        <v>0</v>
      </c>
      <c r="AA4479">
        <v>9</v>
      </c>
      <c r="AB4479">
        <v>3</v>
      </c>
      <c r="AC4479">
        <v>0</v>
      </c>
      <c r="AD4479">
        <v>10</v>
      </c>
      <c r="AE4479">
        <v>0</v>
      </c>
      <c r="AF4479">
        <v>3</v>
      </c>
      <c r="AG4479">
        <v>2</v>
      </c>
      <c r="AH4479">
        <v>0</v>
      </c>
      <c r="AI4479" t="s">
        <v>2484</v>
      </c>
      <c r="AJ4479">
        <v>40.154150000000001</v>
      </c>
      <c r="AK4479" t="s">
        <v>2485</v>
      </c>
      <c r="AL4479">
        <v>-93.223928999999998</v>
      </c>
      <c r="AM4479">
        <v>100</v>
      </c>
      <c r="AN4479">
        <v>1200</v>
      </c>
      <c r="AO4479" t="s">
        <v>118</v>
      </c>
      <c r="AP4479">
        <v>-136</v>
      </c>
      <c r="AQ4479">
        <v>-35</v>
      </c>
      <c r="AR4479">
        <v>-128</v>
      </c>
      <c r="AZ4479">
        <v>1200</v>
      </c>
      <c r="BA4479">
        <v>1</v>
      </c>
      <c r="BB4479" t="str">
        <f t="shared" si="222"/>
        <v xml:space="preserve">N8080G  </v>
      </c>
      <c r="BC4479">
        <v>1</v>
      </c>
      <c r="BE4479">
        <v>0</v>
      </c>
      <c r="BF4479">
        <v>0</v>
      </c>
      <c r="BG4479">
        <v>0</v>
      </c>
      <c r="BH4479">
        <v>1250</v>
      </c>
      <c r="BI4479">
        <v>1</v>
      </c>
      <c r="BJ4479">
        <v>1</v>
      </c>
      <c r="BK4479">
        <v>1</v>
      </c>
      <c r="BL4479">
        <v>0</v>
      </c>
      <c r="BO4479">
        <v>0</v>
      </c>
      <c r="BP4479">
        <v>0</v>
      </c>
      <c r="BW4479" t="str">
        <f>"20:39:21.952"</f>
        <v>20:39:21.952</v>
      </c>
      <c r="BZ4479">
        <v>0</v>
      </c>
      <c r="CA4479">
        <v>1504</v>
      </c>
      <c r="CB4479">
        <v>224</v>
      </c>
      <c r="CD4479">
        <v>1</v>
      </c>
      <c r="CE4479">
        <v>0</v>
      </c>
      <c r="CF4479">
        <v>0</v>
      </c>
      <c r="CG4479">
        <v>1</v>
      </c>
      <c r="CH4479">
        <v>0</v>
      </c>
      <c r="CI4479">
        <v>0</v>
      </c>
      <c r="CJ4479">
        <v>0</v>
      </c>
      <c r="CK4479">
        <v>2</v>
      </c>
      <c r="CL4479">
        <v>0</v>
      </c>
      <c r="CM4479">
        <v>2</v>
      </c>
      <c r="CN4479">
        <v>0</v>
      </c>
      <c r="CO4479">
        <v>2</v>
      </c>
      <c r="CP4479" t="s">
        <v>119</v>
      </c>
      <c r="CQ4479">
        <v>180</v>
      </c>
      <c r="CR4479">
        <v>3</v>
      </c>
      <c r="CW4479">
        <v>1441651</v>
      </c>
      <c r="CY4479">
        <v>1</v>
      </c>
      <c r="CZ4479">
        <v>0</v>
      </c>
      <c r="DA4479">
        <v>0</v>
      </c>
      <c r="DB4479">
        <v>0</v>
      </c>
      <c r="DC4479">
        <v>0</v>
      </c>
      <c r="DD4479">
        <v>0</v>
      </c>
      <c r="DE4479">
        <v>0</v>
      </c>
      <c r="DF4479">
        <v>0</v>
      </c>
      <c r="DG4479">
        <v>0</v>
      </c>
      <c r="DH4479">
        <v>0</v>
      </c>
      <c r="DI4479">
        <v>0</v>
      </c>
    </row>
    <row r="4480" spans="1:113" x14ac:dyDescent="0.3">
      <c r="A4480" t="str">
        <f>"02/08/2021 20:39:19.663"</f>
        <v>02/08/2021 20:39:19.663</v>
      </c>
      <c r="C4480" t="str">
        <f t="shared" si="221"/>
        <v>FFDFD7C0</v>
      </c>
      <c r="D4480" t="s">
        <v>124</v>
      </c>
      <c r="E4480">
        <v>11</v>
      </c>
      <c r="F4480">
        <v>1011</v>
      </c>
      <c r="G4480" t="s">
        <v>590</v>
      </c>
      <c r="J4480" t="s">
        <v>125</v>
      </c>
      <c r="K4480">
        <v>0</v>
      </c>
      <c r="L4480">
        <v>3</v>
      </c>
      <c r="M4480">
        <v>0</v>
      </c>
      <c r="N4480">
        <v>2</v>
      </c>
      <c r="O4480">
        <v>1</v>
      </c>
      <c r="P4480">
        <v>0</v>
      </c>
      <c r="Q4480">
        <v>0</v>
      </c>
      <c r="S4480" t="str">
        <f>"20:39:21.945"</f>
        <v>20:39:21.945</v>
      </c>
      <c r="T4480" t="str">
        <f>"20:39:21.545"</f>
        <v>20:39:21.545</v>
      </c>
      <c r="U4480" t="str">
        <f t="shared" si="220"/>
        <v>AB01F4</v>
      </c>
      <c r="V4480">
        <v>0</v>
      </c>
      <c r="W4480">
        <v>0</v>
      </c>
      <c r="X4480">
        <v>2</v>
      </c>
      <c r="Z4480">
        <v>0</v>
      </c>
      <c r="AA4480">
        <v>9</v>
      </c>
      <c r="AB4480">
        <v>3</v>
      </c>
      <c r="AC4480">
        <v>0</v>
      </c>
      <c r="AD4480">
        <v>10</v>
      </c>
      <c r="AE4480">
        <v>0</v>
      </c>
      <c r="AF4480">
        <v>3</v>
      </c>
      <c r="AG4480">
        <v>2</v>
      </c>
      <c r="AH4480">
        <v>0</v>
      </c>
      <c r="AI4480" t="s">
        <v>2484</v>
      </c>
      <c r="AJ4480">
        <v>40.154150000000001</v>
      </c>
      <c r="AK4480" t="s">
        <v>2485</v>
      </c>
      <c r="AL4480">
        <v>-93.223928999999998</v>
      </c>
      <c r="AM4480">
        <v>100</v>
      </c>
      <c r="AN4480">
        <v>1200</v>
      </c>
      <c r="AO4480" t="s">
        <v>118</v>
      </c>
      <c r="AP4480">
        <v>-136</v>
      </c>
      <c r="AQ4480">
        <v>-35</v>
      </c>
      <c r="AR4480">
        <v>-128</v>
      </c>
      <c r="AZ4480">
        <v>1200</v>
      </c>
      <c r="BA4480">
        <v>1</v>
      </c>
      <c r="BB4480" t="str">
        <f t="shared" si="222"/>
        <v xml:space="preserve">N8080G  </v>
      </c>
      <c r="BC4480">
        <v>1</v>
      </c>
      <c r="BE4480">
        <v>0</v>
      </c>
      <c r="BF4480">
        <v>0</v>
      </c>
      <c r="BG4480">
        <v>0</v>
      </c>
      <c r="BH4480">
        <v>1250</v>
      </c>
      <c r="BI4480">
        <v>1</v>
      </c>
      <c r="BJ4480">
        <v>1</v>
      </c>
      <c r="BK4480">
        <v>1</v>
      </c>
      <c r="BL4480">
        <v>0</v>
      </c>
      <c r="BO4480">
        <v>0</v>
      </c>
      <c r="BP4480">
        <v>0</v>
      </c>
      <c r="BW4480" t="str">
        <f>"20:39:21.952"</f>
        <v>20:39:21.952</v>
      </c>
      <c r="BZ4480">
        <v>0</v>
      </c>
      <c r="CA4480">
        <v>1504</v>
      </c>
      <c r="CB4480">
        <v>224</v>
      </c>
      <c r="CD4480">
        <v>1</v>
      </c>
      <c r="CE4480">
        <v>0</v>
      </c>
      <c r="CF4480">
        <v>0</v>
      </c>
      <c r="CG4480">
        <v>1</v>
      </c>
      <c r="CH4480">
        <v>0</v>
      </c>
      <c r="CI4480">
        <v>0</v>
      </c>
      <c r="CJ4480">
        <v>0</v>
      </c>
      <c r="CK4480">
        <v>2</v>
      </c>
      <c r="CL4480">
        <v>0</v>
      </c>
      <c r="CM4480">
        <v>2</v>
      </c>
      <c r="CN4480">
        <v>0</v>
      </c>
      <c r="CO4480">
        <v>2</v>
      </c>
      <c r="CP4480" t="s">
        <v>119</v>
      </c>
      <c r="CQ4480">
        <v>180</v>
      </c>
      <c r="CR4480">
        <v>3</v>
      </c>
      <c r="CW4480">
        <v>1441651</v>
      </c>
      <c r="CY4480">
        <v>1</v>
      </c>
      <c r="CZ4480">
        <v>0</v>
      </c>
      <c r="DA4480">
        <v>1</v>
      </c>
      <c r="DB4480">
        <v>0</v>
      </c>
      <c r="DC4480">
        <v>0</v>
      </c>
      <c r="DD4480">
        <v>0</v>
      </c>
      <c r="DE4480">
        <v>0</v>
      </c>
      <c r="DF4480">
        <v>0</v>
      </c>
      <c r="DG4480">
        <v>0</v>
      </c>
      <c r="DH4480">
        <v>0</v>
      </c>
      <c r="DI4480">
        <v>0</v>
      </c>
    </row>
    <row r="4481" spans="1:113" x14ac:dyDescent="0.3">
      <c r="A4481" t="str">
        <f>"02/08/2021 20:39:19.663"</f>
        <v>02/08/2021 20:39:19.663</v>
      </c>
      <c r="C4481" t="str">
        <f t="shared" si="221"/>
        <v>FFDFD7C0</v>
      </c>
      <c r="D4481" t="s">
        <v>124</v>
      </c>
      <c r="E4481">
        <v>13</v>
      </c>
      <c r="F4481">
        <v>1013</v>
      </c>
      <c r="G4481" t="s">
        <v>114</v>
      </c>
      <c r="J4481" t="s">
        <v>125</v>
      </c>
      <c r="K4481">
        <v>0</v>
      </c>
      <c r="L4481">
        <v>3</v>
      </c>
      <c r="M4481">
        <v>0</v>
      </c>
      <c r="N4481">
        <v>2</v>
      </c>
      <c r="O4481">
        <v>1</v>
      </c>
      <c r="P4481">
        <v>0</v>
      </c>
      <c r="Q4481">
        <v>0</v>
      </c>
      <c r="S4481" t="str">
        <f>"20:39:21.945"</f>
        <v>20:39:21.945</v>
      </c>
      <c r="T4481" t="str">
        <f>"20:39:21.545"</f>
        <v>20:39:21.545</v>
      </c>
      <c r="U4481" t="str">
        <f t="shared" si="220"/>
        <v>AB01F4</v>
      </c>
      <c r="V4481">
        <v>0</v>
      </c>
      <c r="W4481">
        <v>0</v>
      </c>
      <c r="X4481">
        <v>2</v>
      </c>
      <c r="Z4481">
        <v>0</v>
      </c>
      <c r="AA4481">
        <v>9</v>
      </c>
      <c r="AB4481">
        <v>3</v>
      </c>
      <c r="AC4481">
        <v>0</v>
      </c>
      <c r="AD4481">
        <v>10</v>
      </c>
      <c r="AE4481">
        <v>0</v>
      </c>
      <c r="AF4481">
        <v>3</v>
      </c>
      <c r="AG4481">
        <v>2</v>
      </c>
      <c r="AH4481">
        <v>0</v>
      </c>
      <c r="AI4481" t="s">
        <v>2484</v>
      </c>
      <c r="AJ4481">
        <v>40.154150000000001</v>
      </c>
      <c r="AK4481" t="s">
        <v>2485</v>
      </c>
      <c r="AL4481">
        <v>-93.223928999999998</v>
      </c>
      <c r="AM4481">
        <v>100</v>
      </c>
      <c r="AN4481">
        <v>1200</v>
      </c>
      <c r="AO4481" t="s">
        <v>118</v>
      </c>
      <c r="AP4481">
        <v>-136</v>
      </c>
      <c r="AQ4481">
        <v>-35</v>
      </c>
      <c r="AR4481">
        <v>-128</v>
      </c>
      <c r="AZ4481">
        <v>1200</v>
      </c>
      <c r="BA4481">
        <v>1</v>
      </c>
      <c r="BB4481" t="str">
        <f t="shared" si="222"/>
        <v xml:space="preserve">N8080G  </v>
      </c>
      <c r="BC4481">
        <v>1</v>
      </c>
      <c r="BE4481">
        <v>0</v>
      </c>
      <c r="BF4481">
        <v>0</v>
      </c>
      <c r="BG4481">
        <v>0</v>
      </c>
      <c r="BH4481">
        <v>1250</v>
      </c>
      <c r="BI4481">
        <v>1</v>
      </c>
      <c r="BJ4481">
        <v>1</v>
      </c>
      <c r="BK4481">
        <v>1</v>
      </c>
      <c r="BL4481">
        <v>0</v>
      </c>
      <c r="BO4481">
        <v>0</v>
      </c>
      <c r="BP4481">
        <v>0</v>
      </c>
      <c r="BW4481" t="str">
        <f>"20:39:21.952"</f>
        <v>20:39:21.952</v>
      </c>
      <c r="BZ4481">
        <v>0</v>
      </c>
      <c r="CA4481">
        <v>1504</v>
      </c>
      <c r="CB4481">
        <v>224</v>
      </c>
      <c r="CD4481">
        <v>1</v>
      </c>
      <c r="CE4481">
        <v>0</v>
      </c>
      <c r="CF4481">
        <v>0</v>
      </c>
      <c r="CG4481">
        <v>1</v>
      </c>
      <c r="CH4481">
        <v>0</v>
      </c>
      <c r="CI4481">
        <v>0</v>
      </c>
      <c r="CJ4481">
        <v>0</v>
      </c>
      <c r="CK4481">
        <v>2</v>
      </c>
      <c r="CL4481">
        <v>0</v>
      </c>
      <c r="CM4481">
        <v>2</v>
      </c>
      <c r="CN4481">
        <v>0</v>
      </c>
      <c r="CO4481">
        <v>2</v>
      </c>
      <c r="CP4481" t="s">
        <v>119</v>
      </c>
      <c r="CQ4481">
        <v>180</v>
      </c>
      <c r="CR4481">
        <v>3</v>
      </c>
      <c r="CW4481">
        <v>1441651</v>
      </c>
      <c r="CY4481">
        <v>1</v>
      </c>
      <c r="CZ4481">
        <v>0</v>
      </c>
      <c r="DA4481">
        <v>1</v>
      </c>
      <c r="DB4481">
        <v>0</v>
      </c>
      <c r="DC4481">
        <v>0</v>
      </c>
      <c r="DD4481">
        <v>0</v>
      </c>
      <c r="DE4481">
        <v>0</v>
      </c>
      <c r="DF4481">
        <v>0</v>
      </c>
      <c r="DG4481">
        <v>0</v>
      </c>
      <c r="DH4481">
        <v>0</v>
      </c>
      <c r="DI4481">
        <v>0</v>
      </c>
    </row>
    <row r="4482" spans="1:113" x14ac:dyDescent="0.3">
      <c r="A4482" t="str">
        <f>"02/08/2021 20:39:19.663"</f>
        <v>02/08/2021 20:39:19.663</v>
      </c>
      <c r="C4482" t="str">
        <f t="shared" si="221"/>
        <v>FFDFD7C0</v>
      </c>
      <c r="D4482" t="s">
        <v>124</v>
      </c>
      <c r="E4482">
        <v>12</v>
      </c>
      <c r="F4482">
        <v>1012</v>
      </c>
      <c r="G4482" t="s">
        <v>675</v>
      </c>
      <c r="J4482" t="s">
        <v>125</v>
      </c>
      <c r="K4482">
        <v>0</v>
      </c>
      <c r="L4482">
        <v>3</v>
      </c>
      <c r="M4482">
        <v>0</v>
      </c>
      <c r="N4482">
        <v>2</v>
      </c>
      <c r="O4482">
        <v>1</v>
      </c>
      <c r="P4482">
        <v>0</v>
      </c>
      <c r="Q4482">
        <v>0</v>
      </c>
      <c r="S4482" t="str">
        <f>"20:39:21.945"</f>
        <v>20:39:21.945</v>
      </c>
      <c r="T4482" t="str">
        <f>"20:39:21.545"</f>
        <v>20:39:21.545</v>
      </c>
      <c r="U4482" t="str">
        <f t="shared" ref="U4482:U4545" si="223">"AB01F4"</f>
        <v>AB01F4</v>
      </c>
      <c r="V4482">
        <v>0</v>
      </c>
      <c r="W4482">
        <v>0</v>
      </c>
      <c r="X4482">
        <v>2</v>
      </c>
      <c r="Z4482">
        <v>0</v>
      </c>
      <c r="AA4482">
        <v>9</v>
      </c>
      <c r="AB4482">
        <v>3</v>
      </c>
      <c r="AC4482">
        <v>0</v>
      </c>
      <c r="AD4482">
        <v>10</v>
      </c>
      <c r="AE4482">
        <v>0</v>
      </c>
      <c r="AF4482">
        <v>3</v>
      </c>
      <c r="AG4482">
        <v>2</v>
      </c>
      <c r="AH4482">
        <v>0</v>
      </c>
      <c r="AI4482" t="s">
        <v>2484</v>
      </c>
      <c r="AJ4482">
        <v>40.154150000000001</v>
      </c>
      <c r="AK4482" t="s">
        <v>2485</v>
      </c>
      <c r="AL4482">
        <v>-93.223928999999998</v>
      </c>
      <c r="AM4482">
        <v>100</v>
      </c>
      <c r="AN4482">
        <v>1200</v>
      </c>
      <c r="AO4482" t="s">
        <v>118</v>
      </c>
      <c r="AP4482">
        <v>-136</v>
      </c>
      <c r="AQ4482">
        <v>-35</v>
      </c>
      <c r="AR4482">
        <v>-128</v>
      </c>
      <c r="AZ4482">
        <v>1200</v>
      </c>
      <c r="BA4482">
        <v>1</v>
      </c>
      <c r="BB4482" t="str">
        <f t="shared" si="222"/>
        <v xml:space="preserve">N8080G  </v>
      </c>
      <c r="BC4482">
        <v>1</v>
      </c>
      <c r="BE4482">
        <v>0</v>
      </c>
      <c r="BF4482">
        <v>0</v>
      </c>
      <c r="BG4482">
        <v>0</v>
      </c>
      <c r="BH4482">
        <v>1250</v>
      </c>
      <c r="BI4482">
        <v>1</v>
      </c>
      <c r="BJ4482">
        <v>1</v>
      </c>
      <c r="BK4482">
        <v>1</v>
      </c>
      <c r="BL4482">
        <v>0</v>
      </c>
      <c r="BO4482">
        <v>0</v>
      </c>
      <c r="BP4482">
        <v>0</v>
      </c>
      <c r="BW4482" t="str">
        <f>"20:39:21.952"</f>
        <v>20:39:21.952</v>
      </c>
      <c r="BZ4482">
        <v>0</v>
      </c>
      <c r="CA4482">
        <v>1504</v>
      </c>
      <c r="CB4482">
        <v>224</v>
      </c>
      <c r="CD4482">
        <v>1</v>
      </c>
      <c r="CE4482">
        <v>0</v>
      </c>
      <c r="CF4482">
        <v>0</v>
      </c>
      <c r="CG4482">
        <v>1</v>
      </c>
      <c r="CH4482">
        <v>0</v>
      </c>
      <c r="CI4482">
        <v>0</v>
      </c>
      <c r="CJ4482">
        <v>0</v>
      </c>
      <c r="CK4482">
        <v>2</v>
      </c>
      <c r="CL4482">
        <v>0</v>
      </c>
      <c r="CM4482">
        <v>2</v>
      </c>
      <c r="CN4482">
        <v>0</v>
      </c>
      <c r="CO4482">
        <v>2</v>
      </c>
      <c r="CP4482" t="s">
        <v>119</v>
      </c>
      <c r="CQ4482">
        <v>180</v>
      </c>
      <c r="CR4482">
        <v>3</v>
      </c>
      <c r="CW4482">
        <v>1441651</v>
      </c>
      <c r="CY4482">
        <v>1</v>
      </c>
      <c r="CZ4482">
        <v>0</v>
      </c>
      <c r="DA4482">
        <v>1</v>
      </c>
      <c r="DB4482">
        <v>0</v>
      </c>
      <c r="DC4482">
        <v>0</v>
      </c>
      <c r="DD4482">
        <v>0</v>
      </c>
      <c r="DE4482">
        <v>0</v>
      </c>
      <c r="DF4482">
        <v>0</v>
      </c>
      <c r="DG4482">
        <v>0</v>
      </c>
      <c r="DH4482">
        <v>0</v>
      </c>
      <c r="DI4482">
        <v>0</v>
      </c>
    </row>
    <row r="4483" spans="1:113" x14ac:dyDescent="0.3">
      <c r="A4483" t="str">
        <f>"02/08/2021 20:39:20.699"</f>
        <v>02/08/2021 20:39:20.699</v>
      </c>
      <c r="C4483" t="str">
        <f t="shared" si="221"/>
        <v>FFDFD7C0</v>
      </c>
      <c r="D4483" t="s">
        <v>124</v>
      </c>
      <c r="E4483">
        <v>12</v>
      </c>
      <c r="F4483">
        <v>1012</v>
      </c>
      <c r="G4483" t="s">
        <v>675</v>
      </c>
      <c r="J4483" t="s">
        <v>125</v>
      </c>
      <c r="K4483">
        <v>0</v>
      </c>
      <c r="L4483">
        <v>3</v>
      </c>
      <c r="M4483">
        <v>0</v>
      </c>
      <c r="N4483">
        <v>2</v>
      </c>
      <c r="O4483">
        <v>1</v>
      </c>
      <c r="P4483">
        <v>0</v>
      </c>
      <c r="Q4483">
        <v>0</v>
      </c>
      <c r="S4483" t="str">
        <f>"20:39:23.016"</f>
        <v>20:39:23.016</v>
      </c>
      <c r="T4483" t="str">
        <f>"20:39:22.016"</f>
        <v>20:39:22.016</v>
      </c>
      <c r="U4483" t="str">
        <f t="shared" si="223"/>
        <v>AB01F4</v>
      </c>
      <c r="V4483">
        <v>0</v>
      </c>
      <c r="W4483">
        <v>0</v>
      </c>
      <c r="X4483">
        <v>2</v>
      </c>
      <c r="Z4483">
        <v>0</v>
      </c>
      <c r="AA4483">
        <v>9</v>
      </c>
      <c r="AB4483">
        <v>3</v>
      </c>
      <c r="AC4483">
        <v>0</v>
      </c>
      <c r="AD4483">
        <v>10</v>
      </c>
      <c r="AE4483">
        <v>0</v>
      </c>
      <c r="AF4483">
        <v>3</v>
      </c>
      <c r="AG4483">
        <v>2</v>
      </c>
      <c r="AH4483">
        <v>0</v>
      </c>
      <c r="AI4483" t="s">
        <v>2486</v>
      </c>
      <c r="AJ4483">
        <v>40.154021</v>
      </c>
      <c r="AK4483" t="s">
        <v>2487</v>
      </c>
      <c r="AL4483">
        <v>-93.224722999999997</v>
      </c>
      <c r="AM4483">
        <v>100</v>
      </c>
      <c r="AN4483">
        <v>1200</v>
      </c>
      <c r="AO4483" t="s">
        <v>118</v>
      </c>
      <c r="AP4483">
        <v>-136</v>
      </c>
      <c r="AQ4483">
        <v>-35</v>
      </c>
      <c r="AR4483">
        <v>-128</v>
      </c>
      <c r="AZ4483">
        <v>1200</v>
      </c>
      <c r="BA4483">
        <v>1</v>
      </c>
      <c r="BB4483" t="str">
        <f t="shared" si="222"/>
        <v xml:space="preserve">N8080G  </v>
      </c>
      <c r="BC4483">
        <v>1</v>
      </c>
      <c r="BE4483">
        <v>0</v>
      </c>
      <c r="BF4483">
        <v>0</v>
      </c>
      <c r="BG4483">
        <v>0</v>
      </c>
      <c r="BH4483">
        <v>1250</v>
      </c>
      <c r="BI4483">
        <v>1</v>
      </c>
      <c r="BJ4483">
        <v>1</v>
      </c>
      <c r="BK4483">
        <v>1</v>
      </c>
      <c r="BL4483">
        <v>0</v>
      </c>
      <c r="BO4483">
        <v>0</v>
      </c>
      <c r="BP4483">
        <v>0</v>
      </c>
      <c r="BW4483" t="str">
        <f>"20:39:23.021"</f>
        <v>20:39:23.021</v>
      </c>
      <c r="BZ4483">
        <v>0</v>
      </c>
      <c r="CA4483">
        <v>1504</v>
      </c>
      <c r="CB4483">
        <v>224</v>
      </c>
      <c r="CD4483">
        <v>1</v>
      </c>
      <c r="CE4483">
        <v>0</v>
      </c>
      <c r="CF4483">
        <v>0</v>
      </c>
      <c r="CG4483">
        <v>1</v>
      </c>
      <c r="CH4483">
        <v>0</v>
      </c>
      <c r="CI4483">
        <v>0</v>
      </c>
      <c r="CJ4483">
        <v>0</v>
      </c>
      <c r="CK4483">
        <v>2</v>
      </c>
      <c r="CL4483">
        <v>0</v>
      </c>
      <c r="CM4483">
        <v>2</v>
      </c>
      <c r="CN4483">
        <v>0</v>
      </c>
      <c r="CO4483">
        <v>2</v>
      </c>
      <c r="CP4483" t="s">
        <v>119</v>
      </c>
      <c r="CQ4483">
        <v>180</v>
      </c>
      <c r="CR4483">
        <v>3</v>
      </c>
      <c r="CW4483">
        <v>1442459</v>
      </c>
      <c r="CY4483">
        <v>1</v>
      </c>
      <c r="CZ4483">
        <v>0</v>
      </c>
      <c r="DA4483">
        <v>0</v>
      </c>
      <c r="DB4483">
        <v>0</v>
      </c>
      <c r="DC4483">
        <v>0</v>
      </c>
      <c r="DD4483">
        <v>0</v>
      </c>
      <c r="DE4483">
        <v>0</v>
      </c>
      <c r="DF4483">
        <v>0</v>
      </c>
      <c r="DG4483">
        <v>0</v>
      </c>
      <c r="DH4483">
        <v>0</v>
      </c>
      <c r="DI4483">
        <v>0</v>
      </c>
    </row>
    <row r="4484" spans="1:113" x14ac:dyDescent="0.3">
      <c r="A4484" t="str">
        <f>"02/08/2021 20:39:20.699"</f>
        <v>02/08/2021 20:39:20.699</v>
      </c>
      <c r="C4484" t="str">
        <f t="shared" si="221"/>
        <v>FFDFD7C0</v>
      </c>
      <c r="D4484" t="s">
        <v>113</v>
      </c>
      <c r="E4484">
        <v>6</v>
      </c>
      <c r="H4484">
        <v>165</v>
      </c>
      <c r="I4484" t="s">
        <v>114</v>
      </c>
      <c r="J4484" t="s">
        <v>115</v>
      </c>
      <c r="K4484">
        <v>0</v>
      </c>
      <c r="L4484">
        <v>3</v>
      </c>
      <c r="M4484">
        <v>0</v>
      </c>
      <c r="N4484">
        <v>2</v>
      </c>
      <c r="O4484">
        <v>1</v>
      </c>
      <c r="P4484">
        <v>0</v>
      </c>
      <c r="Q4484">
        <v>0</v>
      </c>
      <c r="S4484" t="str">
        <f>"20:39:23.016"</f>
        <v>20:39:23.016</v>
      </c>
      <c r="T4484" t="str">
        <f>"20:39:22.016"</f>
        <v>20:39:22.016</v>
      </c>
      <c r="U4484" t="str">
        <f t="shared" si="223"/>
        <v>AB01F4</v>
      </c>
      <c r="V4484">
        <v>0</v>
      </c>
      <c r="W4484">
        <v>0</v>
      </c>
      <c r="X4484">
        <v>2</v>
      </c>
      <c r="Z4484">
        <v>0</v>
      </c>
      <c r="AA4484">
        <v>9</v>
      </c>
      <c r="AB4484">
        <v>3</v>
      </c>
      <c r="AC4484">
        <v>0</v>
      </c>
      <c r="AD4484">
        <v>10</v>
      </c>
      <c r="AE4484">
        <v>0</v>
      </c>
      <c r="AF4484">
        <v>3</v>
      </c>
      <c r="AG4484">
        <v>2</v>
      </c>
      <c r="AH4484">
        <v>0</v>
      </c>
      <c r="AI4484" t="s">
        <v>2486</v>
      </c>
      <c r="AJ4484">
        <v>40.154021</v>
      </c>
      <c r="AK4484" t="s">
        <v>2487</v>
      </c>
      <c r="AL4484">
        <v>-93.224722999999997</v>
      </c>
      <c r="AM4484">
        <v>100</v>
      </c>
      <c r="AN4484">
        <v>1200</v>
      </c>
      <c r="AO4484" t="s">
        <v>118</v>
      </c>
      <c r="AP4484">
        <v>-136</v>
      </c>
      <c r="AQ4484">
        <v>-35</v>
      </c>
      <c r="AR4484">
        <v>-128</v>
      </c>
      <c r="AZ4484">
        <v>1200</v>
      </c>
      <c r="BA4484">
        <v>1</v>
      </c>
      <c r="BB4484" t="str">
        <f t="shared" si="222"/>
        <v xml:space="preserve">N8080G  </v>
      </c>
      <c r="BC4484">
        <v>1</v>
      </c>
      <c r="BE4484">
        <v>0</v>
      </c>
      <c r="BF4484">
        <v>0</v>
      </c>
      <c r="BG4484">
        <v>0</v>
      </c>
      <c r="BH4484">
        <v>1250</v>
      </c>
      <c r="BI4484">
        <v>1</v>
      </c>
      <c r="BJ4484">
        <v>1</v>
      </c>
      <c r="BK4484">
        <v>1</v>
      </c>
      <c r="BL4484">
        <v>0</v>
      </c>
      <c r="BO4484">
        <v>0</v>
      </c>
      <c r="BP4484">
        <v>0</v>
      </c>
      <c r="BW4484" t="str">
        <f>"20:39:23.021"</f>
        <v>20:39:23.021</v>
      </c>
      <c r="BZ4484">
        <v>0</v>
      </c>
      <c r="CA4484">
        <v>1504</v>
      </c>
      <c r="CB4484">
        <v>224</v>
      </c>
      <c r="CD4484">
        <v>1</v>
      </c>
      <c r="CE4484">
        <v>0</v>
      </c>
      <c r="CF4484">
        <v>0</v>
      </c>
      <c r="CG4484">
        <v>1</v>
      </c>
      <c r="CH4484">
        <v>0</v>
      </c>
      <c r="CI4484">
        <v>0</v>
      </c>
      <c r="CJ4484">
        <v>0</v>
      </c>
      <c r="CK4484">
        <v>2</v>
      </c>
      <c r="CL4484">
        <v>0</v>
      </c>
      <c r="CM4484">
        <v>2</v>
      </c>
      <c r="CN4484">
        <v>0</v>
      </c>
      <c r="CO4484">
        <v>2</v>
      </c>
      <c r="CP4484" t="s">
        <v>119</v>
      </c>
      <c r="CQ4484">
        <v>180</v>
      </c>
      <c r="CR4484">
        <v>3</v>
      </c>
      <c r="CW4484">
        <v>1442459</v>
      </c>
      <c r="CY4484">
        <v>1</v>
      </c>
      <c r="CZ4484">
        <v>0</v>
      </c>
      <c r="DA4484">
        <v>1</v>
      </c>
      <c r="DB4484">
        <v>0</v>
      </c>
      <c r="DC4484">
        <v>0</v>
      </c>
      <c r="DD4484">
        <v>0</v>
      </c>
      <c r="DE4484">
        <v>0</v>
      </c>
      <c r="DF4484">
        <v>0</v>
      </c>
      <c r="DG4484">
        <v>0</v>
      </c>
      <c r="DH4484">
        <v>0</v>
      </c>
      <c r="DI4484">
        <v>0</v>
      </c>
    </row>
    <row r="4485" spans="1:113" x14ac:dyDescent="0.3">
      <c r="A4485" t="str">
        <f>"02/08/2021 20:39:20.699"</f>
        <v>02/08/2021 20:39:20.699</v>
      </c>
      <c r="C4485" t="str">
        <f t="shared" si="221"/>
        <v>FFDFD7C0</v>
      </c>
      <c r="D4485" t="s">
        <v>124</v>
      </c>
      <c r="E4485">
        <v>11</v>
      </c>
      <c r="F4485">
        <v>1011</v>
      </c>
      <c r="G4485" t="s">
        <v>590</v>
      </c>
      <c r="J4485" t="s">
        <v>125</v>
      </c>
      <c r="K4485">
        <v>0</v>
      </c>
      <c r="L4485">
        <v>3</v>
      </c>
      <c r="M4485">
        <v>0</v>
      </c>
      <c r="N4485">
        <v>2</v>
      </c>
      <c r="O4485">
        <v>1</v>
      </c>
      <c r="P4485">
        <v>0</v>
      </c>
      <c r="Q4485">
        <v>0</v>
      </c>
      <c r="S4485" t="str">
        <f>"20:39:23.016"</f>
        <v>20:39:23.016</v>
      </c>
      <c r="T4485" t="str">
        <f>"20:39:22.016"</f>
        <v>20:39:22.016</v>
      </c>
      <c r="U4485" t="str">
        <f t="shared" si="223"/>
        <v>AB01F4</v>
      </c>
      <c r="V4485">
        <v>0</v>
      </c>
      <c r="W4485">
        <v>0</v>
      </c>
      <c r="X4485">
        <v>2</v>
      </c>
      <c r="Z4485">
        <v>0</v>
      </c>
      <c r="AA4485">
        <v>9</v>
      </c>
      <c r="AB4485">
        <v>3</v>
      </c>
      <c r="AC4485">
        <v>0</v>
      </c>
      <c r="AD4485">
        <v>10</v>
      </c>
      <c r="AE4485">
        <v>0</v>
      </c>
      <c r="AF4485">
        <v>3</v>
      </c>
      <c r="AG4485">
        <v>2</v>
      </c>
      <c r="AH4485">
        <v>0</v>
      </c>
      <c r="AI4485" t="s">
        <v>2486</v>
      </c>
      <c r="AJ4485">
        <v>40.154021</v>
      </c>
      <c r="AK4485" t="s">
        <v>2487</v>
      </c>
      <c r="AL4485">
        <v>-93.224722999999997</v>
      </c>
      <c r="AM4485">
        <v>100</v>
      </c>
      <c r="AN4485">
        <v>1200</v>
      </c>
      <c r="AO4485" t="s">
        <v>118</v>
      </c>
      <c r="AP4485">
        <v>-136</v>
      </c>
      <c r="AQ4485">
        <v>-35</v>
      </c>
      <c r="AR4485">
        <v>-128</v>
      </c>
      <c r="AZ4485">
        <v>1200</v>
      </c>
      <c r="BA4485">
        <v>1</v>
      </c>
      <c r="BB4485" t="str">
        <f t="shared" si="222"/>
        <v xml:space="preserve">N8080G  </v>
      </c>
      <c r="BC4485">
        <v>1</v>
      </c>
      <c r="BE4485">
        <v>0</v>
      </c>
      <c r="BF4485">
        <v>0</v>
      </c>
      <c r="BG4485">
        <v>0</v>
      </c>
      <c r="BH4485">
        <v>1250</v>
      </c>
      <c r="BI4485">
        <v>1</v>
      </c>
      <c r="BJ4485">
        <v>1</v>
      </c>
      <c r="BK4485">
        <v>1</v>
      </c>
      <c r="BL4485">
        <v>0</v>
      </c>
      <c r="BO4485">
        <v>0</v>
      </c>
      <c r="BP4485">
        <v>0</v>
      </c>
      <c r="BW4485" t="str">
        <f>"20:39:23.021"</f>
        <v>20:39:23.021</v>
      </c>
      <c r="BZ4485">
        <v>0</v>
      </c>
      <c r="CA4485">
        <v>1504</v>
      </c>
      <c r="CB4485">
        <v>224</v>
      </c>
      <c r="CD4485">
        <v>1</v>
      </c>
      <c r="CE4485">
        <v>0</v>
      </c>
      <c r="CF4485">
        <v>0</v>
      </c>
      <c r="CG4485">
        <v>1</v>
      </c>
      <c r="CH4485">
        <v>0</v>
      </c>
      <c r="CI4485">
        <v>0</v>
      </c>
      <c r="CJ4485">
        <v>0</v>
      </c>
      <c r="CK4485">
        <v>2</v>
      </c>
      <c r="CL4485">
        <v>0</v>
      </c>
      <c r="CM4485">
        <v>2</v>
      </c>
      <c r="CN4485">
        <v>0</v>
      </c>
      <c r="CO4485">
        <v>2</v>
      </c>
      <c r="CP4485" t="s">
        <v>119</v>
      </c>
      <c r="CQ4485">
        <v>180</v>
      </c>
      <c r="CR4485">
        <v>3</v>
      </c>
      <c r="CW4485">
        <v>1442459</v>
      </c>
      <c r="CY4485">
        <v>1</v>
      </c>
      <c r="CZ4485">
        <v>0</v>
      </c>
      <c r="DA4485">
        <v>1</v>
      </c>
      <c r="DB4485">
        <v>0</v>
      </c>
      <c r="DC4485">
        <v>0</v>
      </c>
      <c r="DD4485">
        <v>0</v>
      </c>
      <c r="DE4485">
        <v>0</v>
      </c>
      <c r="DF4485">
        <v>0</v>
      </c>
      <c r="DG4485">
        <v>0</v>
      </c>
      <c r="DH4485">
        <v>0</v>
      </c>
      <c r="DI4485">
        <v>0</v>
      </c>
    </row>
    <row r="4486" spans="1:113" x14ac:dyDescent="0.3">
      <c r="A4486" t="str">
        <f>"02/08/2021 20:39:20.699"</f>
        <v>02/08/2021 20:39:20.699</v>
      </c>
      <c r="C4486" t="str">
        <f t="shared" si="221"/>
        <v>FFDFD7C0</v>
      </c>
      <c r="D4486" t="s">
        <v>124</v>
      </c>
      <c r="E4486">
        <v>13</v>
      </c>
      <c r="F4486">
        <v>1013</v>
      </c>
      <c r="G4486" t="s">
        <v>114</v>
      </c>
      <c r="J4486" t="s">
        <v>125</v>
      </c>
      <c r="K4486">
        <v>0</v>
      </c>
      <c r="L4486">
        <v>3</v>
      </c>
      <c r="M4486">
        <v>0</v>
      </c>
      <c r="N4486">
        <v>2</v>
      </c>
      <c r="O4486">
        <v>1</v>
      </c>
      <c r="P4486">
        <v>0</v>
      </c>
      <c r="Q4486">
        <v>0</v>
      </c>
      <c r="S4486" t="str">
        <f>"20:39:23.016"</f>
        <v>20:39:23.016</v>
      </c>
      <c r="T4486" t="str">
        <f>"20:39:22.016"</f>
        <v>20:39:22.016</v>
      </c>
      <c r="U4486" t="str">
        <f t="shared" si="223"/>
        <v>AB01F4</v>
      </c>
      <c r="V4486">
        <v>0</v>
      </c>
      <c r="W4486">
        <v>0</v>
      </c>
      <c r="X4486">
        <v>2</v>
      </c>
      <c r="Z4486">
        <v>0</v>
      </c>
      <c r="AA4486">
        <v>9</v>
      </c>
      <c r="AB4486">
        <v>3</v>
      </c>
      <c r="AC4486">
        <v>0</v>
      </c>
      <c r="AD4486">
        <v>10</v>
      </c>
      <c r="AE4486">
        <v>0</v>
      </c>
      <c r="AF4486">
        <v>3</v>
      </c>
      <c r="AG4486">
        <v>2</v>
      </c>
      <c r="AH4486">
        <v>0</v>
      </c>
      <c r="AI4486" t="s">
        <v>2486</v>
      </c>
      <c r="AJ4486">
        <v>40.154021</v>
      </c>
      <c r="AK4486" t="s">
        <v>2487</v>
      </c>
      <c r="AL4486">
        <v>-93.224722999999997</v>
      </c>
      <c r="AM4486">
        <v>100</v>
      </c>
      <c r="AN4486">
        <v>1200</v>
      </c>
      <c r="AO4486" t="s">
        <v>118</v>
      </c>
      <c r="AP4486">
        <v>-136</v>
      </c>
      <c r="AQ4486">
        <v>-35</v>
      </c>
      <c r="AR4486">
        <v>-128</v>
      </c>
      <c r="AZ4486">
        <v>1200</v>
      </c>
      <c r="BA4486">
        <v>1</v>
      </c>
      <c r="BB4486" t="str">
        <f t="shared" si="222"/>
        <v xml:space="preserve">N8080G  </v>
      </c>
      <c r="BC4486">
        <v>1</v>
      </c>
      <c r="BE4486">
        <v>0</v>
      </c>
      <c r="BF4486">
        <v>0</v>
      </c>
      <c r="BG4486">
        <v>0</v>
      </c>
      <c r="BH4486">
        <v>1250</v>
      </c>
      <c r="BI4486">
        <v>1</v>
      </c>
      <c r="BJ4486">
        <v>1</v>
      </c>
      <c r="BK4486">
        <v>1</v>
      </c>
      <c r="BL4486">
        <v>0</v>
      </c>
      <c r="BO4486">
        <v>0</v>
      </c>
      <c r="BP4486">
        <v>0</v>
      </c>
      <c r="BW4486" t="str">
        <f>"20:39:23.021"</f>
        <v>20:39:23.021</v>
      </c>
      <c r="BZ4486">
        <v>0</v>
      </c>
      <c r="CA4486">
        <v>1504</v>
      </c>
      <c r="CB4486">
        <v>224</v>
      </c>
      <c r="CD4486">
        <v>1</v>
      </c>
      <c r="CE4486">
        <v>0</v>
      </c>
      <c r="CF4486">
        <v>0</v>
      </c>
      <c r="CG4486">
        <v>1</v>
      </c>
      <c r="CH4486">
        <v>0</v>
      </c>
      <c r="CI4486">
        <v>0</v>
      </c>
      <c r="CJ4486">
        <v>0</v>
      </c>
      <c r="CK4486">
        <v>2</v>
      </c>
      <c r="CL4486">
        <v>0</v>
      </c>
      <c r="CM4486">
        <v>2</v>
      </c>
      <c r="CN4486">
        <v>0</v>
      </c>
      <c r="CO4486">
        <v>2</v>
      </c>
      <c r="CP4486" t="s">
        <v>119</v>
      </c>
      <c r="CQ4486">
        <v>180</v>
      </c>
      <c r="CR4486">
        <v>3</v>
      </c>
      <c r="CW4486">
        <v>1442459</v>
      </c>
      <c r="CY4486">
        <v>1</v>
      </c>
      <c r="CZ4486">
        <v>0</v>
      </c>
      <c r="DA4486">
        <v>1</v>
      </c>
      <c r="DB4486">
        <v>0</v>
      </c>
      <c r="DC4486">
        <v>0</v>
      </c>
      <c r="DD4486">
        <v>0</v>
      </c>
      <c r="DE4486">
        <v>0</v>
      </c>
      <c r="DF4486">
        <v>0</v>
      </c>
      <c r="DG4486">
        <v>0</v>
      </c>
      <c r="DH4486">
        <v>0</v>
      </c>
      <c r="DI4486">
        <v>0</v>
      </c>
    </row>
    <row r="4487" spans="1:113" x14ac:dyDescent="0.3">
      <c r="A4487" t="str">
        <f>"02/08/2021 20:39:22.391"</f>
        <v>02/08/2021 20:39:22.391</v>
      </c>
      <c r="C4487" t="str">
        <f t="shared" si="221"/>
        <v>FFDFD7C0</v>
      </c>
      <c r="D4487" t="s">
        <v>124</v>
      </c>
      <c r="E4487">
        <v>13</v>
      </c>
      <c r="F4487">
        <v>1013</v>
      </c>
      <c r="G4487" t="s">
        <v>114</v>
      </c>
      <c r="J4487" t="s">
        <v>125</v>
      </c>
      <c r="K4487">
        <v>0</v>
      </c>
      <c r="L4487">
        <v>3</v>
      </c>
      <c r="M4487">
        <v>0</v>
      </c>
      <c r="N4487">
        <v>2</v>
      </c>
      <c r="O4487">
        <v>1</v>
      </c>
      <c r="P4487">
        <v>0</v>
      </c>
      <c r="Q4487">
        <v>0</v>
      </c>
      <c r="S4487" t="str">
        <f>"20:39:24.711"</f>
        <v>20:39:24.711</v>
      </c>
      <c r="T4487" t="str">
        <f>"20:39:23.611"</f>
        <v>20:39:23.611</v>
      </c>
      <c r="U4487" t="str">
        <f t="shared" si="223"/>
        <v>AB01F4</v>
      </c>
      <c r="V4487">
        <v>0</v>
      </c>
      <c r="W4487">
        <v>0</v>
      </c>
      <c r="X4487">
        <v>2</v>
      </c>
      <c r="Z4487">
        <v>0</v>
      </c>
      <c r="AA4487">
        <v>9</v>
      </c>
      <c r="AB4487">
        <v>3</v>
      </c>
      <c r="AC4487">
        <v>0</v>
      </c>
      <c r="AD4487">
        <v>10</v>
      </c>
      <c r="AE4487">
        <v>0</v>
      </c>
      <c r="AF4487">
        <v>3</v>
      </c>
      <c r="AG4487">
        <v>2</v>
      </c>
      <c r="AH4487">
        <v>0</v>
      </c>
      <c r="AI4487" t="s">
        <v>2488</v>
      </c>
      <c r="AJ4487">
        <v>40.15372</v>
      </c>
      <c r="AK4487" t="s">
        <v>2489</v>
      </c>
      <c r="AL4487">
        <v>-93.226118</v>
      </c>
      <c r="AM4487">
        <v>100</v>
      </c>
      <c r="AN4487">
        <v>1200</v>
      </c>
      <c r="AO4487" t="s">
        <v>118</v>
      </c>
      <c r="AP4487">
        <v>-136</v>
      </c>
      <c r="AQ4487">
        <v>-35</v>
      </c>
      <c r="AR4487">
        <v>-64</v>
      </c>
      <c r="AZ4487">
        <v>1200</v>
      </c>
      <c r="BA4487">
        <v>1</v>
      </c>
      <c r="BB4487" t="str">
        <f t="shared" si="222"/>
        <v xml:space="preserve">N8080G  </v>
      </c>
      <c r="BC4487">
        <v>1</v>
      </c>
      <c r="BE4487">
        <v>0</v>
      </c>
      <c r="BF4487">
        <v>0</v>
      </c>
      <c r="BG4487">
        <v>0</v>
      </c>
      <c r="BH4487">
        <v>1250</v>
      </c>
      <c r="BI4487">
        <v>1</v>
      </c>
      <c r="BJ4487">
        <v>1</v>
      </c>
      <c r="BK4487">
        <v>1</v>
      </c>
      <c r="BL4487">
        <v>0</v>
      </c>
      <c r="BO4487">
        <v>0</v>
      </c>
      <c r="BP4487">
        <v>0</v>
      </c>
      <c r="BW4487" t="str">
        <f>"20:39:24.712"</f>
        <v>20:39:24.712</v>
      </c>
      <c r="BZ4487">
        <v>0</v>
      </c>
      <c r="CA4487">
        <v>1504</v>
      </c>
      <c r="CB4487">
        <v>224</v>
      </c>
      <c r="CD4487">
        <v>1</v>
      </c>
      <c r="CE4487">
        <v>0</v>
      </c>
      <c r="CF4487">
        <v>0</v>
      </c>
      <c r="CG4487">
        <v>1</v>
      </c>
      <c r="CH4487">
        <v>0</v>
      </c>
      <c r="CI4487">
        <v>0</v>
      </c>
      <c r="CJ4487">
        <v>0</v>
      </c>
      <c r="CK4487">
        <v>2</v>
      </c>
      <c r="CL4487">
        <v>0</v>
      </c>
      <c r="CM4487">
        <v>2</v>
      </c>
      <c r="CN4487">
        <v>0</v>
      </c>
      <c r="CO4487">
        <v>2</v>
      </c>
      <c r="CP4487" t="s">
        <v>119</v>
      </c>
      <c r="CQ4487">
        <v>180</v>
      </c>
      <c r="CR4487">
        <v>3</v>
      </c>
      <c r="CW4487">
        <v>1443810</v>
      </c>
      <c r="CY4487">
        <v>1</v>
      </c>
      <c r="CZ4487">
        <v>0</v>
      </c>
      <c r="DA4487">
        <v>0</v>
      </c>
      <c r="DB4487">
        <v>0</v>
      </c>
      <c r="DC4487">
        <v>0</v>
      </c>
      <c r="DD4487">
        <v>0</v>
      </c>
      <c r="DE4487">
        <v>0</v>
      </c>
      <c r="DF4487">
        <v>0</v>
      </c>
      <c r="DG4487">
        <v>0</v>
      </c>
      <c r="DH4487">
        <v>0</v>
      </c>
      <c r="DI4487">
        <v>0</v>
      </c>
    </row>
    <row r="4488" spans="1:113" x14ac:dyDescent="0.3">
      <c r="A4488" t="str">
        <f>"02/08/2021 20:39:22.391"</f>
        <v>02/08/2021 20:39:22.391</v>
      </c>
      <c r="C4488" t="str">
        <f t="shared" si="221"/>
        <v>FFDFD7C0</v>
      </c>
      <c r="D4488" t="s">
        <v>124</v>
      </c>
      <c r="E4488">
        <v>11</v>
      </c>
      <c r="F4488">
        <v>1011</v>
      </c>
      <c r="G4488" t="s">
        <v>590</v>
      </c>
      <c r="J4488" t="s">
        <v>125</v>
      </c>
      <c r="K4488">
        <v>0</v>
      </c>
      <c r="L4488">
        <v>3</v>
      </c>
      <c r="M4488">
        <v>0</v>
      </c>
      <c r="N4488">
        <v>2</v>
      </c>
      <c r="O4488">
        <v>1</v>
      </c>
      <c r="P4488">
        <v>0</v>
      </c>
      <c r="Q4488">
        <v>0</v>
      </c>
      <c r="S4488" t="str">
        <f>"20:39:24.711"</f>
        <v>20:39:24.711</v>
      </c>
      <c r="T4488" t="str">
        <f>"20:39:23.611"</f>
        <v>20:39:23.611</v>
      </c>
      <c r="U4488" t="str">
        <f t="shared" si="223"/>
        <v>AB01F4</v>
      </c>
      <c r="V4488">
        <v>0</v>
      </c>
      <c r="W4488">
        <v>0</v>
      </c>
      <c r="X4488">
        <v>2</v>
      </c>
      <c r="Z4488">
        <v>0</v>
      </c>
      <c r="AA4488">
        <v>9</v>
      </c>
      <c r="AB4488">
        <v>3</v>
      </c>
      <c r="AC4488">
        <v>0</v>
      </c>
      <c r="AD4488">
        <v>10</v>
      </c>
      <c r="AE4488">
        <v>0</v>
      </c>
      <c r="AF4488">
        <v>3</v>
      </c>
      <c r="AG4488">
        <v>2</v>
      </c>
      <c r="AH4488">
        <v>0</v>
      </c>
      <c r="AI4488" t="s">
        <v>2488</v>
      </c>
      <c r="AJ4488">
        <v>40.15372</v>
      </c>
      <c r="AK4488" t="s">
        <v>2489</v>
      </c>
      <c r="AL4488">
        <v>-93.226118</v>
      </c>
      <c r="AM4488">
        <v>100</v>
      </c>
      <c r="AN4488">
        <v>1200</v>
      </c>
      <c r="AO4488" t="s">
        <v>118</v>
      </c>
      <c r="AP4488">
        <v>-136</v>
      </c>
      <c r="AQ4488">
        <v>-35</v>
      </c>
      <c r="AR4488">
        <v>-64</v>
      </c>
      <c r="AZ4488">
        <v>1200</v>
      </c>
      <c r="BA4488">
        <v>1</v>
      </c>
      <c r="BB4488" t="str">
        <f t="shared" si="222"/>
        <v xml:space="preserve">N8080G  </v>
      </c>
      <c r="BC4488">
        <v>1</v>
      </c>
      <c r="BE4488">
        <v>0</v>
      </c>
      <c r="BF4488">
        <v>0</v>
      </c>
      <c r="BG4488">
        <v>0</v>
      </c>
      <c r="BH4488">
        <v>1250</v>
      </c>
      <c r="BI4488">
        <v>1</v>
      </c>
      <c r="BJ4488">
        <v>1</v>
      </c>
      <c r="BK4488">
        <v>1</v>
      </c>
      <c r="BL4488">
        <v>0</v>
      </c>
      <c r="BO4488">
        <v>0</v>
      </c>
      <c r="BP4488">
        <v>0</v>
      </c>
      <c r="BW4488" t="str">
        <f>"20:39:24.712"</f>
        <v>20:39:24.712</v>
      </c>
      <c r="BZ4488">
        <v>0</v>
      </c>
      <c r="CA4488">
        <v>1504</v>
      </c>
      <c r="CB4488">
        <v>224</v>
      </c>
      <c r="CD4488">
        <v>1</v>
      </c>
      <c r="CE4488">
        <v>0</v>
      </c>
      <c r="CF4488">
        <v>0</v>
      </c>
      <c r="CG4488">
        <v>1</v>
      </c>
      <c r="CH4488">
        <v>0</v>
      </c>
      <c r="CI4488">
        <v>0</v>
      </c>
      <c r="CJ4488">
        <v>0</v>
      </c>
      <c r="CK4488">
        <v>2</v>
      </c>
      <c r="CL4488">
        <v>0</v>
      </c>
      <c r="CM4488">
        <v>2</v>
      </c>
      <c r="CN4488">
        <v>0</v>
      </c>
      <c r="CO4488">
        <v>2</v>
      </c>
      <c r="CP4488" t="s">
        <v>119</v>
      </c>
      <c r="CQ4488">
        <v>180</v>
      </c>
      <c r="CR4488">
        <v>3</v>
      </c>
      <c r="CW4488">
        <v>1443810</v>
      </c>
      <c r="CY4488">
        <v>1</v>
      </c>
      <c r="CZ4488">
        <v>0</v>
      </c>
      <c r="DA4488">
        <v>1</v>
      </c>
      <c r="DB4488">
        <v>0</v>
      </c>
      <c r="DC4488">
        <v>0</v>
      </c>
      <c r="DD4488">
        <v>0</v>
      </c>
      <c r="DE4488">
        <v>0</v>
      </c>
      <c r="DF4488">
        <v>0</v>
      </c>
      <c r="DG4488">
        <v>0</v>
      </c>
      <c r="DH4488">
        <v>0</v>
      </c>
      <c r="DI4488">
        <v>0</v>
      </c>
    </row>
    <row r="4489" spans="1:113" x14ac:dyDescent="0.3">
      <c r="A4489" t="str">
        <f>"02/08/2021 20:39:22.391"</f>
        <v>02/08/2021 20:39:22.391</v>
      </c>
      <c r="C4489" t="str">
        <f t="shared" si="221"/>
        <v>FFDFD7C0</v>
      </c>
      <c r="D4489" t="s">
        <v>113</v>
      </c>
      <c r="E4489">
        <v>6</v>
      </c>
      <c r="H4489">
        <v>165</v>
      </c>
      <c r="I4489" t="s">
        <v>114</v>
      </c>
      <c r="J4489" t="s">
        <v>115</v>
      </c>
      <c r="K4489">
        <v>0</v>
      </c>
      <c r="L4489">
        <v>3</v>
      </c>
      <c r="M4489">
        <v>0</v>
      </c>
      <c r="N4489">
        <v>2</v>
      </c>
      <c r="O4489">
        <v>1</v>
      </c>
      <c r="P4489">
        <v>0</v>
      </c>
      <c r="Q4489">
        <v>0</v>
      </c>
      <c r="S4489" t="str">
        <f>"20:39:24.711"</f>
        <v>20:39:24.711</v>
      </c>
      <c r="T4489" t="str">
        <f>"20:39:23.611"</f>
        <v>20:39:23.611</v>
      </c>
      <c r="U4489" t="str">
        <f t="shared" si="223"/>
        <v>AB01F4</v>
      </c>
      <c r="V4489">
        <v>0</v>
      </c>
      <c r="W4489">
        <v>0</v>
      </c>
      <c r="X4489">
        <v>2</v>
      </c>
      <c r="Z4489">
        <v>0</v>
      </c>
      <c r="AA4489">
        <v>9</v>
      </c>
      <c r="AB4489">
        <v>3</v>
      </c>
      <c r="AC4489">
        <v>0</v>
      </c>
      <c r="AD4489">
        <v>10</v>
      </c>
      <c r="AE4489">
        <v>0</v>
      </c>
      <c r="AF4489">
        <v>3</v>
      </c>
      <c r="AG4489">
        <v>2</v>
      </c>
      <c r="AH4489">
        <v>0</v>
      </c>
      <c r="AI4489" t="s">
        <v>2488</v>
      </c>
      <c r="AJ4489">
        <v>40.15372</v>
      </c>
      <c r="AK4489" t="s">
        <v>2489</v>
      </c>
      <c r="AL4489">
        <v>-93.226118</v>
      </c>
      <c r="AM4489">
        <v>100</v>
      </c>
      <c r="AN4489">
        <v>1200</v>
      </c>
      <c r="AO4489" t="s">
        <v>118</v>
      </c>
      <c r="AP4489">
        <v>-136</v>
      </c>
      <c r="AQ4489">
        <v>-35</v>
      </c>
      <c r="AR4489">
        <v>-64</v>
      </c>
      <c r="AZ4489">
        <v>1200</v>
      </c>
      <c r="BA4489">
        <v>1</v>
      </c>
      <c r="BB4489" t="str">
        <f t="shared" si="222"/>
        <v xml:space="preserve">N8080G  </v>
      </c>
      <c r="BC4489">
        <v>1</v>
      </c>
      <c r="BE4489">
        <v>0</v>
      </c>
      <c r="BF4489">
        <v>0</v>
      </c>
      <c r="BG4489">
        <v>0</v>
      </c>
      <c r="BH4489">
        <v>1250</v>
      </c>
      <c r="BI4489">
        <v>1</v>
      </c>
      <c r="BJ4489">
        <v>1</v>
      </c>
      <c r="BK4489">
        <v>1</v>
      </c>
      <c r="BL4489">
        <v>0</v>
      </c>
      <c r="BO4489">
        <v>0</v>
      </c>
      <c r="BP4489">
        <v>0</v>
      </c>
      <c r="BW4489" t="str">
        <f>"20:39:24.712"</f>
        <v>20:39:24.712</v>
      </c>
      <c r="BZ4489">
        <v>0</v>
      </c>
      <c r="CA4489">
        <v>1504</v>
      </c>
      <c r="CB4489">
        <v>224</v>
      </c>
      <c r="CD4489">
        <v>1</v>
      </c>
      <c r="CE4489">
        <v>0</v>
      </c>
      <c r="CF4489">
        <v>0</v>
      </c>
      <c r="CG4489">
        <v>1</v>
      </c>
      <c r="CH4489">
        <v>0</v>
      </c>
      <c r="CI4489">
        <v>0</v>
      </c>
      <c r="CJ4489">
        <v>0</v>
      </c>
      <c r="CK4489">
        <v>2</v>
      </c>
      <c r="CL4489">
        <v>0</v>
      </c>
      <c r="CM4489">
        <v>2</v>
      </c>
      <c r="CN4489">
        <v>0</v>
      </c>
      <c r="CO4489">
        <v>2</v>
      </c>
      <c r="CP4489" t="s">
        <v>119</v>
      </c>
      <c r="CQ4489">
        <v>180</v>
      </c>
      <c r="CR4489">
        <v>3</v>
      </c>
      <c r="CW4489">
        <v>1443810</v>
      </c>
      <c r="CY4489">
        <v>1</v>
      </c>
      <c r="CZ4489">
        <v>0</v>
      </c>
      <c r="DA4489">
        <v>1</v>
      </c>
      <c r="DB4489">
        <v>0</v>
      </c>
      <c r="DC4489">
        <v>0</v>
      </c>
      <c r="DD4489">
        <v>0</v>
      </c>
      <c r="DE4489">
        <v>0</v>
      </c>
      <c r="DF4489">
        <v>0</v>
      </c>
      <c r="DG4489">
        <v>0</v>
      </c>
      <c r="DH4489">
        <v>0</v>
      </c>
      <c r="DI4489">
        <v>0</v>
      </c>
    </row>
    <row r="4490" spans="1:113" x14ac:dyDescent="0.3">
      <c r="A4490" t="str">
        <f>"02/08/2021 20:39:22.391"</f>
        <v>02/08/2021 20:39:22.391</v>
      </c>
      <c r="C4490" t="str">
        <f t="shared" si="221"/>
        <v>FFDFD7C0</v>
      </c>
      <c r="D4490" t="s">
        <v>124</v>
      </c>
      <c r="E4490">
        <v>12</v>
      </c>
      <c r="F4490">
        <v>1012</v>
      </c>
      <c r="G4490" t="s">
        <v>675</v>
      </c>
      <c r="J4490" t="s">
        <v>125</v>
      </c>
      <c r="K4490">
        <v>0</v>
      </c>
      <c r="L4490">
        <v>3</v>
      </c>
      <c r="M4490">
        <v>0</v>
      </c>
      <c r="N4490">
        <v>2</v>
      </c>
      <c r="O4490">
        <v>1</v>
      </c>
      <c r="P4490">
        <v>0</v>
      </c>
      <c r="Q4490">
        <v>0</v>
      </c>
      <c r="S4490" t="str">
        <f>"20:39:24.711"</f>
        <v>20:39:24.711</v>
      </c>
      <c r="T4490" t="str">
        <f>"20:39:23.611"</f>
        <v>20:39:23.611</v>
      </c>
      <c r="U4490" t="str">
        <f t="shared" si="223"/>
        <v>AB01F4</v>
      </c>
      <c r="V4490">
        <v>0</v>
      </c>
      <c r="W4490">
        <v>0</v>
      </c>
      <c r="X4490">
        <v>2</v>
      </c>
      <c r="Z4490">
        <v>0</v>
      </c>
      <c r="AA4490">
        <v>9</v>
      </c>
      <c r="AB4490">
        <v>3</v>
      </c>
      <c r="AC4490">
        <v>0</v>
      </c>
      <c r="AD4490">
        <v>10</v>
      </c>
      <c r="AE4490">
        <v>0</v>
      </c>
      <c r="AF4490">
        <v>3</v>
      </c>
      <c r="AG4490">
        <v>2</v>
      </c>
      <c r="AH4490">
        <v>0</v>
      </c>
      <c r="AI4490" t="s">
        <v>2488</v>
      </c>
      <c r="AJ4490">
        <v>40.15372</v>
      </c>
      <c r="AK4490" t="s">
        <v>2489</v>
      </c>
      <c r="AL4490">
        <v>-93.226118</v>
      </c>
      <c r="AM4490">
        <v>100</v>
      </c>
      <c r="AN4490">
        <v>1200</v>
      </c>
      <c r="AO4490" t="s">
        <v>118</v>
      </c>
      <c r="AP4490">
        <v>-136</v>
      </c>
      <c r="AQ4490">
        <v>-35</v>
      </c>
      <c r="AR4490">
        <v>-64</v>
      </c>
      <c r="AZ4490">
        <v>1200</v>
      </c>
      <c r="BA4490">
        <v>1</v>
      </c>
      <c r="BB4490" t="str">
        <f t="shared" si="222"/>
        <v xml:space="preserve">N8080G  </v>
      </c>
      <c r="BC4490">
        <v>1</v>
      </c>
      <c r="BE4490">
        <v>0</v>
      </c>
      <c r="BF4490">
        <v>0</v>
      </c>
      <c r="BG4490">
        <v>0</v>
      </c>
      <c r="BH4490">
        <v>1250</v>
      </c>
      <c r="BI4490">
        <v>1</v>
      </c>
      <c r="BJ4490">
        <v>1</v>
      </c>
      <c r="BK4490">
        <v>1</v>
      </c>
      <c r="BL4490">
        <v>0</v>
      </c>
      <c r="BO4490">
        <v>0</v>
      </c>
      <c r="BP4490">
        <v>0</v>
      </c>
      <c r="BW4490" t="str">
        <f>"20:39:24.712"</f>
        <v>20:39:24.712</v>
      </c>
      <c r="BZ4490">
        <v>0</v>
      </c>
      <c r="CA4490">
        <v>1504</v>
      </c>
      <c r="CB4490">
        <v>224</v>
      </c>
      <c r="CD4490">
        <v>1</v>
      </c>
      <c r="CE4490">
        <v>0</v>
      </c>
      <c r="CF4490">
        <v>0</v>
      </c>
      <c r="CG4490">
        <v>1</v>
      </c>
      <c r="CH4490">
        <v>0</v>
      </c>
      <c r="CI4490">
        <v>0</v>
      </c>
      <c r="CJ4490">
        <v>0</v>
      </c>
      <c r="CK4490">
        <v>2</v>
      </c>
      <c r="CL4490">
        <v>0</v>
      </c>
      <c r="CM4490">
        <v>2</v>
      </c>
      <c r="CN4490">
        <v>0</v>
      </c>
      <c r="CO4490">
        <v>2</v>
      </c>
      <c r="CP4490" t="s">
        <v>119</v>
      </c>
      <c r="CQ4490">
        <v>180</v>
      </c>
      <c r="CR4490">
        <v>3</v>
      </c>
      <c r="CW4490">
        <v>1443810</v>
      </c>
      <c r="CY4490">
        <v>1</v>
      </c>
      <c r="CZ4490">
        <v>0</v>
      </c>
      <c r="DA4490">
        <v>1</v>
      </c>
      <c r="DB4490">
        <v>0</v>
      </c>
      <c r="DC4490">
        <v>0</v>
      </c>
      <c r="DD4490">
        <v>0</v>
      </c>
      <c r="DE4490">
        <v>0</v>
      </c>
      <c r="DF4490">
        <v>0</v>
      </c>
      <c r="DG4490">
        <v>0</v>
      </c>
      <c r="DH4490">
        <v>0</v>
      </c>
      <c r="DI4490">
        <v>0</v>
      </c>
    </row>
    <row r="4491" spans="1:113" x14ac:dyDescent="0.3">
      <c r="A4491" t="str">
        <f>"02/08/2021 20:39:24.803"</f>
        <v>02/08/2021 20:39:24.803</v>
      </c>
      <c r="C4491" t="str">
        <f t="shared" si="221"/>
        <v>FFDFD7C0</v>
      </c>
      <c r="D4491" t="s">
        <v>124</v>
      </c>
      <c r="E4491">
        <v>13</v>
      </c>
      <c r="F4491">
        <v>1013</v>
      </c>
      <c r="G4491" t="s">
        <v>114</v>
      </c>
      <c r="J4491" t="s">
        <v>125</v>
      </c>
      <c r="K4491">
        <v>0</v>
      </c>
      <c r="L4491">
        <v>3</v>
      </c>
      <c r="M4491">
        <v>0</v>
      </c>
      <c r="N4491">
        <v>2</v>
      </c>
      <c r="O4491">
        <v>1</v>
      </c>
      <c r="P4491">
        <v>0</v>
      </c>
      <c r="Q4491">
        <v>0</v>
      </c>
      <c r="S4491" t="str">
        <f>"20:39:27.133"</f>
        <v>20:39:27.133</v>
      </c>
      <c r="T4491" t="str">
        <f>"20:39:26.733"</f>
        <v>20:39:26.733</v>
      </c>
      <c r="U4491" t="str">
        <f t="shared" si="223"/>
        <v>AB01F4</v>
      </c>
      <c r="V4491">
        <v>0</v>
      </c>
      <c r="W4491">
        <v>0</v>
      </c>
      <c r="X4491">
        <v>2</v>
      </c>
      <c r="Z4491">
        <v>0</v>
      </c>
      <c r="AA4491">
        <v>9</v>
      </c>
      <c r="AB4491">
        <v>3</v>
      </c>
      <c r="AC4491">
        <v>0</v>
      </c>
      <c r="AD4491">
        <v>10</v>
      </c>
      <c r="AE4491">
        <v>0</v>
      </c>
      <c r="AF4491">
        <v>3</v>
      </c>
      <c r="AG4491">
        <v>2</v>
      </c>
      <c r="AH4491">
        <v>0</v>
      </c>
      <c r="AI4491" t="s">
        <v>2490</v>
      </c>
      <c r="AJ4491">
        <v>40.153334000000001</v>
      </c>
      <c r="AK4491" t="s">
        <v>2491</v>
      </c>
      <c r="AL4491">
        <v>-93.228156999999996</v>
      </c>
      <c r="AM4491">
        <v>100</v>
      </c>
      <c r="AN4491">
        <v>1200</v>
      </c>
      <c r="AO4491" t="s">
        <v>118</v>
      </c>
      <c r="AP4491">
        <v>-135</v>
      </c>
      <c r="AQ4491">
        <v>-36</v>
      </c>
      <c r="AR4491">
        <v>64</v>
      </c>
      <c r="AZ4491">
        <v>1200</v>
      </c>
      <c r="BA4491">
        <v>1</v>
      </c>
      <c r="BB4491" t="str">
        <f t="shared" si="222"/>
        <v xml:space="preserve">N8080G  </v>
      </c>
      <c r="BC4491">
        <v>1</v>
      </c>
      <c r="BE4491">
        <v>0</v>
      </c>
      <c r="BF4491">
        <v>0</v>
      </c>
      <c r="BG4491">
        <v>0</v>
      </c>
      <c r="BH4491">
        <v>1250</v>
      </c>
      <c r="BI4491">
        <v>1</v>
      </c>
      <c r="BJ4491">
        <v>1</v>
      </c>
      <c r="BK4491">
        <v>1</v>
      </c>
      <c r="BL4491">
        <v>0</v>
      </c>
      <c r="BO4491">
        <v>0</v>
      </c>
      <c r="BP4491">
        <v>0</v>
      </c>
      <c r="BW4491" t="str">
        <f>"20:39:27.138"</f>
        <v>20:39:27.138</v>
      </c>
      <c r="BZ4491">
        <v>0</v>
      </c>
      <c r="CA4491">
        <v>1504</v>
      </c>
      <c r="CB4491">
        <v>224</v>
      </c>
      <c r="CD4491">
        <v>1</v>
      </c>
      <c r="CE4491">
        <v>0</v>
      </c>
      <c r="CF4491">
        <v>0</v>
      </c>
      <c r="CG4491">
        <v>1</v>
      </c>
      <c r="CH4491">
        <v>0</v>
      </c>
      <c r="CI4491">
        <v>0</v>
      </c>
      <c r="CJ4491">
        <v>0</v>
      </c>
      <c r="CK4491">
        <v>2</v>
      </c>
      <c r="CL4491">
        <v>0</v>
      </c>
      <c r="CM4491">
        <v>2</v>
      </c>
      <c r="CN4491">
        <v>0</v>
      </c>
      <c r="CO4491">
        <v>1</v>
      </c>
      <c r="CP4491" t="s">
        <v>119</v>
      </c>
      <c r="CQ4491">
        <v>180</v>
      </c>
      <c r="CR4491">
        <v>3</v>
      </c>
      <c r="CW4491">
        <v>1445560</v>
      </c>
      <c r="CY4491">
        <v>1</v>
      </c>
      <c r="CZ4491">
        <v>0</v>
      </c>
      <c r="DA4491">
        <v>0</v>
      </c>
      <c r="DB4491">
        <v>0</v>
      </c>
      <c r="DC4491">
        <v>0</v>
      </c>
      <c r="DD4491">
        <v>0</v>
      </c>
      <c r="DE4491">
        <v>0</v>
      </c>
      <c r="DF4491">
        <v>0</v>
      </c>
      <c r="DG4491">
        <v>0</v>
      </c>
      <c r="DH4491">
        <v>0</v>
      </c>
      <c r="DI4491">
        <v>0</v>
      </c>
    </row>
    <row r="4492" spans="1:113" x14ac:dyDescent="0.3">
      <c r="A4492" t="str">
        <f>"02/08/2021 20:39:24.803"</f>
        <v>02/08/2021 20:39:24.803</v>
      </c>
      <c r="C4492" t="str">
        <f t="shared" si="221"/>
        <v>FFDFD7C0</v>
      </c>
      <c r="D4492" t="s">
        <v>124</v>
      </c>
      <c r="E4492">
        <v>11</v>
      </c>
      <c r="F4492">
        <v>1011</v>
      </c>
      <c r="G4492" t="s">
        <v>590</v>
      </c>
      <c r="J4492" t="s">
        <v>125</v>
      </c>
      <c r="K4492">
        <v>0</v>
      </c>
      <c r="L4492">
        <v>3</v>
      </c>
      <c r="M4492">
        <v>0</v>
      </c>
      <c r="N4492">
        <v>2</v>
      </c>
      <c r="O4492">
        <v>1</v>
      </c>
      <c r="P4492">
        <v>0</v>
      </c>
      <c r="Q4492">
        <v>0</v>
      </c>
      <c r="S4492" t="str">
        <f>"20:39:27.133"</f>
        <v>20:39:27.133</v>
      </c>
      <c r="T4492" t="str">
        <f>"20:39:26.733"</f>
        <v>20:39:26.733</v>
      </c>
      <c r="U4492" t="str">
        <f t="shared" si="223"/>
        <v>AB01F4</v>
      </c>
      <c r="V4492">
        <v>0</v>
      </c>
      <c r="W4492">
        <v>0</v>
      </c>
      <c r="X4492">
        <v>2</v>
      </c>
      <c r="Z4492">
        <v>0</v>
      </c>
      <c r="AA4492">
        <v>9</v>
      </c>
      <c r="AB4492">
        <v>3</v>
      </c>
      <c r="AC4492">
        <v>0</v>
      </c>
      <c r="AD4492">
        <v>10</v>
      </c>
      <c r="AE4492">
        <v>0</v>
      </c>
      <c r="AF4492">
        <v>3</v>
      </c>
      <c r="AG4492">
        <v>2</v>
      </c>
      <c r="AH4492">
        <v>0</v>
      </c>
      <c r="AI4492" t="s">
        <v>2490</v>
      </c>
      <c r="AJ4492">
        <v>40.153334000000001</v>
      </c>
      <c r="AK4492" t="s">
        <v>2491</v>
      </c>
      <c r="AL4492">
        <v>-93.228156999999996</v>
      </c>
      <c r="AM4492">
        <v>100</v>
      </c>
      <c r="AN4492">
        <v>1200</v>
      </c>
      <c r="AO4492" t="s">
        <v>118</v>
      </c>
      <c r="AP4492">
        <v>-135</v>
      </c>
      <c r="AQ4492">
        <v>-36</v>
      </c>
      <c r="AR4492">
        <v>64</v>
      </c>
      <c r="AZ4492">
        <v>1200</v>
      </c>
      <c r="BA4492">
        <v>1</v>
      </c>
      <c r="BB4492" t="str">
        <f t="shared" si="222"/>
        <v xml:space="preserve">N8080G  </v>
      </c>
      <c r="BC4492">
        <v>1</v>
      </c>
      <c r="BE4492">
        <v>0</v>
      </c>
      <c r="BF4492">
        <v>0</v>
      </c>
      <c r="BG4492">
        <v>0</v>
      </c>
      <c r="BH4492">
        <v>1250</v>
      </c>
      <c r="BI4492">
        <v>1</v>
      </c>
      <c r="BJ4492">
        <v>1</v>
      </c>
      <c r="BK4492">
        <v>1</v>
      </c>
      <c r="BL4492">
        <v>0</v>
      </c>
      <c r="BO4492">
        <v>0</v>
      </c>
      <c r="BP4492">
        <v>0</v>
      </c>
      <c r="BW4492" t="str">
        <f>"20:39:27.138"</f>
        <v>20:39:27.138</v>
      </c>
      <c r="BZ4492">
        <v>0</v>
      </c>
      <c r="CA4492">
        <v>1504</v>
      </c>
      <c r="CB4492">
        <v>224</v>
      </c>
      <c r="CD4492">
        <v>1</v>
      </c>
      <c r="CE4492">
        <v>0</v>
      </c>
      <c r="CF4492">
        <v>0</v>
      </c>
      <c r="CG4492">
        <v>1</v>
      </c>
      <c r="CH4492">
        <v>0</v>
      </c>
      <c r="CI4492">
        <v>0</v>
      </c>
      <c r="CJ4492">
        <v>0</v>
      </c>
      <c r="CK4492">
        <v>2</v>
      </c>
      <c r="CL4492">
        <v>0</v>
      </c>
      <c r="CM4492">
        <v>2</v>
      </c>
      <c r="CN4492">
        <v>0</v>
      </c>
      <c r="CO4492">
        <v>1</v>
      </c>
      <c r="CP4492" t="s">
        <v>119</v>
      </c>
      <c r="CQ4492">
        <v>180</v>
      </c>
      <c r="CR4492">
        <v>3</v>
      </c>
      <c r="CW4492">
        <v>1445560</v>
      </c>
      <c r="CY4492">
        <v>1</v>
      </c>
      <c r="CZ4492">
        <v>0</v>
      </c>
      <c r="DA4492">
        <v>1</v>
      </c>
      <c r="DB4492">
        <v>0</v>
      </c>
      <c r="DC4492">
        <v>0</v>
      </c>
      <c r="DD4492">
        <v>0</v>
      </c>
      <c r="DE4492">
        <v>0</v>
      </c>
      <c r="DF4492">
        <v>0</v>
      </c>
      <c r="DG4492">
        <v>0</v>
      </c>
      <c r="DH4492">
        <v>0</v>
      </c>
      <c r="DI4492">
        <v>0</v>
      </c>
    </row>
    <row r="4493" spans="1:113" x14ac:dyDescent="0.3">
      <c r="A4493" t="str">
        <f>"02/08/2021 20:39:24.803"</f>
        <v>02/08/2021 20:39:24.803</v>
      </c>
      <c r="C4493" t="str">
        <f t="shared" si="221"/>
        <v>FFDFD7C0</v>
      </c>
      <c r="D4493" t="s">
        <v>113</v>
      </c>
      <c r="E4493">
        <v>6</v>
      </c>
      <c r="H4493">
        <v>165</v>
      </c>
      <c r="I4493" t="s">
        <v>114</v>
      </c>
      <c r="J4493" t="s">
        <v>115</v>
      </c>
      <c r="K4493">
        <v>0</v>
      </c>
      <c r="L4493">
        <v>3</v>
      </c>
      <c r="M4493">
        <v>0</v>
      </c>
      <c r="N4493">
        <v>2</v>
      </c>
      <c r="O4493">
        <v>1</v>
      </c>
      <c r="P4493">
        <v>0</v>
      </c>
      <c r="Q4493">
        <v>0</v>
      </c>
      <c r="S4493" t="str">
        <f>"20:39:27.133"</f>
        <v>20:39:27.133</v>
      </c>
      <c r="T4493" t="str">
        <f>"20:39:26.733"</f>
        <v>20:39:26.733</v>
      </c>
      <c r="U4493" t="str">
        <f t="shared" si="223"/>
        <v>AB01F4</v>
      </c>
      <c r="V4493">
        <v>0</v>
      </c>
      <c r="W4493">
        <v>0</v>
      </c>
      <c r="X4493">
        <v>2</v>
      </c>
      <c r="Z4493">
        <v>0</v>
      </c>
      <c r="AA4493">
        <v>9</v>
      </c>
      <c r="AB4493">
        <v>3</v>
      </c>
      <c r="AC4493">
        <v>0</v>
      </c>
      <c r="AD4493">
        <v>10</v>
      </c>
      <c r="AE4493">
        <v>0</v>
      </c>
      <c r="AF4493">
        <v>3</v>
      </c>
      <c r="AG4493">
        <v>2</v>
      </c>
      <c r="AH4493">
        <v>0</v>
      </c>
      <c r="AI4493" t="s">
        <v>2490</v>
      </c>
      <c r="AJ4493">
        <v>40.153334000000001</v>
      </c>
      <c r="AK4493" t="s">
        <v>2491</v>
      </c>
      <c r="AL4493">
        <v>-93.228156999999996</v>
      </c>
      <c r="AM4493">
        <v>100</v>
      </c>
      <c r="AN4493">
        <v>1200</v>
      </c>
      <c r="AO4493" t="s">
        <v>118</v>
      </c>
      <c r="AP4493">
        <v>-135</v>
      </c>
      <c r="AQ4493">
        <v>-36</v>
      </c>
      <c r="AR4493">
        <v>64</v>
      </c>
      <c r="AZ4493">
        <v>1200</v>
      </c>
      <c r="BA4493">
        <v>1</v>
      </c>
      <c r="BB4493" t="str">
        <f t="shared" si="222"/>
        <v xml:space="preserve">N8080G  </v>
      </c>
      <c r="BC4493">
        <v>1</v>
      </c>
      <c r="BE4493">
        <v>0</v>
      </c>
      <c r="BF4493">
        <v>0</v>
      </c>
      <c r="BG4493">
        <v>0</v>
      </c>
      <c r="BH4493">
        <v>1250</v>
      </c>
      <c r="BI4493">
        <v>1</v>
      </c>
      <c r="BJ4493">
        <v>1</v>
      </c>
      <c r="BK4493">
        <v>1</v>
      </c>
      <c r="BL4493">
        <v>0</v>
      </c>
      <c r="BO4493">
        <v>0</v>
      </c>
      <c r="BP4493">
        <v>0</v>
      </c>
      <c r="BW4493" t="str">
        <f>"20:39:27.138"</f>
        <v>20:39:27.138</v>
      </c>
      <c r="BZ4493">
        <v>0</v>
      </c>
      <c r="CA4493">
        <v>1504</v>
      </c>
      <c r="CB4493">
        <v>224</v>
      </c>
      <c r="CD4493">
        <v>1</v>
      </c>
      <c r="CE4493">
        <v>0</v>
      </c>
      <c r="CF4493">
        <v>0</v>
      </c>
      <c r="CG4493">
        <v>1</v>
      </c>
      <c r="CH4493">
        <v>0</v>
      </c>
      <c r="CI4493">
        <v>0</v>
      </c>
      <c r="CJ4493">
        <v>0</v>
      </c>
      <c r="CK4493">
        <v>2</v>
      </c>
      <c r="CL4493">
        <v>0</v>
      </c>
      <c r="CM4493">
        <v>2</v>
      </c>
      <c r="CN4493">
        <v>0</v>
      </c>
      <c r="CO4493">
        <v>1</v>
      </c>
      <c r="CP4493" t="s">
        <v>119</v>
      </c>
      <c r="CQ4493">
        <v>180</v>
      </c>
      <c r="CR4493">
        <v>3</v>
      </c>
      <c r="CW4493">
        <v>1445560</v>
      </c>
      <c r="CY4493">
        <v>1</v>
      </c>
      <c r="CZ4493">
        <v>0</v>
      </c>
      <c r="DA4493">
        <v>1</v>
      </c>
      <c r="DB4493">
        <v>0</v>
      </c>
      <c r="DC4493">
        <v>0</v>
      </c>
      <c r="DD4493">
        <v>0</v>
      </c>
      <c r="DE4493">
        <v>0</v>
      </c>
      <c r="DF4493">
        <v>0</v>
      </c>
      <c r="DG4493">
        <v>0</v>
      </c>
      <c r="DH4493">
        <v>0</v>
      </c>
      <c r="DI4493">
        <v>0</v>
      </c>
    </row>
    <row r="4494" spans="1:113" x14ac:dyDescent="0.3">
      <c r="A4494" t="str">
        <f>"02/08/2021 20:39:24.803"</f>
        <v>02/08/2021 20:39:24.803</v>
      </c>
      <c r="C4494" t="str">
        <f t="shared" si="221"/>
        <v>FFDFD7C0</v>
      </c>
      <c r="D4494" t="s">
        <v>124</v>
      </c>
      <c r="E4494">
        <v>12</v>
      </c>
      <c r="F4494">
        <v>1012</v>
      </c>
      <c r="G4494" t="s">
        <v>675</v>
      </c>
      <c r="J4494" t="s">
        <v>125</v>
      </c>
      <c r="K4494">
        <v>0</v>
      </c>
      <c r="L4494">
        <v>3</v>
      </c>
      <c r="M4494">
        <v>0</v>
      </c>
      <c r="N4494">
        <v>2</v>
      </c>
      <c r="O4494">
        <v>1</v>
      </c>
      <c r="P4494">
        <v>0</v>
      </c>
      <c r="Q4494">
        <v>0</v>
      </c>
      <c r="S4494" t="str">
        <f>"20:39:27.133"</f>
        <v>20:39:27.133</v>
      </c>
      <c r="T4494" t="str">
        <f>"20:39:26.733"</f>
        <v>20:39:26.733</v>
      </c>
      <c r="U4494" t="str">
        <f t="shared" si="223"/>
        <v>AB01F4</v>
      </c>
      <c r="V4494">
        <v>0</v>
      </c>
      <c r="W4494">
        <v>0</v>
      </c>
      <c r="X4494">
        <v>2</v>
      </c>
      <c r="Z4494">
        <v>0</v>
      </c>
      <c r="AA4494">
        <v>9</v>
      </c>
      <c r="AB4494">
        <v>3</v>
      </c>
      <c r="AC4494">
        <v>0</v>
      </c>
      <c r="AD4494">
        <v>10</v>
      </c>
      <c r="AE4494">
        <v>0</v>
      </c>
      <c r="AF4494">
        <v>3</v>
      </c>
      <c r="AG4494">
        <v>2</v>
      </c>
      <c r="AH4494">
        <v>0</v>
      </c>
      <c r="AI4494" t="s">
        <v>2490</v>
      </c>
      <c r="AJ4494">
        <v>40.153334000000001</v>
      </c>
      <c r="AK4494" t="s">
        <v>2491</v>
      </c>
      <c r="AL4494">
        <v>-93.228156999999996</v>
      </c>
      <c r="AM4494">
        <v>100</v>
      </c>
      <c r="AN4494">
        <v>1200</v>
      </c>
      <c r="AO4494" t="s">
        <v>118</v>
      </c>
      <c r="AP4494">
        <v>-135</v>
      </c>
      <c r="AQ4494">
        <v>-36</v>
      </c>
      <c r="AR4494">
        <v>64</v>
      </c>
      <c r="AZ4494">
        <v>1200</v>
      </c>
      <c r="BA4494">
        <v>1</v>
      </c>
      <c r="BB4494" t="str">
        <f t="shared" si="222"/>
        <v xml:space="preserve">N8080G  </v>
      </c>
      <c r="BC4494">
        <v>1</v>
      </c>
      <c r="BE4494">
        <v>0</v>
      </c>
      <c r="BF4494">
        <v>0</v>
      </c>
      <c r="BG4494">
        <v>0</v>
      </c>
      <c r="BH4494">
        <v>1250</v>
      </c>
      <c r="BI4494">
        <v>1</v>
      </c>
      <c r="BJ4494">
        <v>1</v>
      </c>
      <c r="BK4494">
        <v>1</v>
      </c>
      <c r="BL4494">
        <v>0</v>
      </c>
      <c r="BO4494">
        <v>0</v>
      </c>
      <c r="BP4494">
        <v>0</v>
      </c>
      <c r="BW4494" t="str">
        <f>"20:39:27.138"</f>
        <v>20:39:27.138</v>
      </c>
      <c r="BZ4494">
        <v>0</v>
      </c>
      <c r="CA4494">
        <v>1504</v>
      </c>
      <c r="CB4494">
        <v>224</v>
      </c>
      <c r="CD4494">
        <v>1</v>
      </c>
      <c r="CE4494">
        <v>0</v>
      </c>
      <c r="CF4494">
        <v>0</v>
      </c>
      <c r="CG4494">
        <v>1</v>
      </c>
      <c r="CH4494">
        <v>0</v>
      </c>
      <c r="CI4494">
        <v>0</v>
      </c>
      <c r="CJ4494">
        <v>0</v>
      </c>
      <c r="CK4494">
        <v>2</v>
      </c>
      <c r="CL4494">
        <v>0</v>
      </c>
      <c r="CM4494">
        <v>2</v>
      </c>
      <c r="CN4494">
        <v>0</v>
      </c>
      <c r="CO4494">
        <v>1</v>
      </c>
      <c r="CP4494" t="s">
        <v>119</v>
      </c>
      <c r="CQ4494">
        <v>180</v>
      </c>
      <c r="CR4494">
        <v>3</v>
      </c>
      <c r="CW4494">
        <v>1445560</v>
      </c>
      <c r="CY4494">
        <v>1</v>
      </c>
      <c r="CZ4494">
        <v>0</v>
      </c>
      <c r="DA4494">
        <v>1</v>
      </c>
      <c r="DB4494">
        <v>0</v>
      </c>
      <c r="DC4494">
        <v>0</v>
      </c>
      <c r="DD4494">
        <v>0</v>
      </c>
      <c r="DE4494">
        <v>0</v>
      </c>
      <c r="DF4494">
        <v>0</v>
      </c>
      <c r="DG4494">
        <v>0</v>
      </c>
      <c r="DH4494">
        <v>0</v>
      </c>
      <c r="DI4494">
        <v>0</v>
      </c>
    </row>
    <row r="4495" spans="1:113" x14ac:dyDescent="0.3">
      <c r="A4495" t="str">
        <f>"02/08/2021 20:39:27.765"</f>
        <v>02/08/2021 20:39:27.765</v>
      </c>
      <c r="C4495" t="str">
        <f t="shared" si="221"/>
        <v>FFDFD7C0</v>
      </c>
      <c r="D4495" t="s">
        <v>124</v>
      </c>
      <c r="E4495">
        <v>13</v>
      </c>
      <c r="F4495">
        <v>1013</v>
      </c>
      <c r="G4495" t="s">
        <v>114</v>
      </c>
      <c r="J4495" t="s">
        <v>125</v>
      </c>
      <c r="K4495">
        <v>0</v>
      </c>
      <c r="L4495">
        <v>3</v>
      </c>
      <c r="M4495">
        <v>0</v>
      </c>
      <c r="N4495">
        <v>2</v>
      </c>
      <c r="O4495">
        <v>1</v>
      </c>
      <c r="P4495">
        <v>0</v>
      </c>
      <c r="Q4495">
        <v>0</v>
      </c>
      <c r="S4495" t="str">
        <f>"20:39:30.109"</f>
        <v>20:39:30.109</v>
      </c>
      <c r="T4495" t="str">
        <f>"20:39:28.709"</f>
        <v>20:39:28.709</v>
      </c>
      <c r="U4495" t="str">
        <f t="shared" si="223"/>
        <v>AB01F4</v>
      </c>
      <c r="V4495">
        <v>0</v>
      </c>
      <c r="W4495">
        <v>0</v>
      </c>
      <c r="X4495">
        <v>2</v>
      </c>
      <c r="Z4495">
        <v>0</v>
      </c>
      <c r="AA4495">
        <v>9</v>
      </c>
      <c r="AB4495">
        <v>3</v>
      </c>
      <c r="AC4495">
        <v>0</v>
      </c>
      <c r="AD4495">
        <v>10</v>
      </c>
      <c r="AE4495">
        <v>0</v>
      </c>
      <c r="AF4495">
        <v>3</v>
      </c>
      <c r="AG4495">
        <v>2</v>
      </c>
      <c r="AH4495">
        <v>0</v>
      </c>
      <c r="AI4495" t="s">
        <v>2492</v>
      </c>
      <c r="AJ4495">
        <v>40.152754999999999</v>
      </c>
      <c r="AK4495" t="s">
        <v>2493</v>
      </c>
      <c r="AL4495">
        <v>-93.230474000000001</v>
      </c>
      <c r="AM4495">
        <v>100</v>
      </c>
      <c r="AN4495">
        <v>1200</v>
      </c>
      <c r="AO4495" t="s">
        <v>118</v>
      </c>
      <c r="AP4495">
        <v>-133</v>
      </c>
      <c r="AQ4495">
        <v>-42</v>
      </c>
      <c r="AR4495">
        <v>128</v>
      </c>
      <c r="AZ4495">
        <v>1200</v>
      </c>
      <c r="BA4495">
        <v>1</v>
      </c>
      <c r="BB4495" t="str">
        <f t="shared" si="222"/>
        <v xml:space="preserve">N8080G  </v>
      </c>
      <c r="BC4495">
        <v>1</v>
      </c>
      <c r="BE4495">
        <v>0</v>
      </c>
      <c r="BF4495">
        <v>0</v>
      </c>
      <c r="BG4495">
        <v>0</v>
      </c>
      <c r="BH4495">
        <v>1250</v>
      </c>
      <c r="BI4495">
        <v>1</v>
      </c>
      <c r="BJ4495">
        <v>1</v>
      </c>
      <c r="BK4495">
        <v>1</v>
      </c>
      <c r="BL4495">
        <v>0</v>
      </c>
      <c r="BO4495">
        <v>0</v>
      </c>
      <c r="BP4495">
        <v>0</v>
      </c>
      <c r="BW4495" t="str">
        <f>"20:39:30.112"</f>
        <v>20:39:30.112</v>
      </c>
      <c r="BZ4495">
        <v>0</v>
      </c>
      <c r="CA4495">
        <v>1504</v>
      </c>
      <c r="CB4495">
        <v>224</v>
      </c>
      <c r="CD4495">
        <v>1</v>
      </c>
      <c r="CE4495">
        <v>0</v>
      </c>
      <c r="CF4495">
        <v>0</v>
      </c>
      <c r="CG4495">
        <v>1</v>
      </c>
      <c r="CH4495">
        <v>0</v>
      </c>
      <c r="CI4495">
        <v>0</v>
      </c>
      <c r="CJ4495">
        <v>0</v>
      </c>
      <c r="CK4495">
        <v>2</v>
      </c>
      <c r="CL4495">
        <v>0</v>
      </c>
      <c r="CM4495">
        <v>2</v>
      </c>
      <c r="CN4495">
        <v>0</v>
      </c>
      <c r="CO4495">
        <v>1</v>
      </c>
      <c r="CP4495" t="s">
        <v>119</v>
      </c>
      <c r="CQ4495">
        <v>180</v>
      </c>
      <c r="CR4495">
        <v>3</v>
      </c>
      <c r="CW4495">
        <v>1447884</v>
      </c>
      <c r="CY4495">
        <v>1</v>
      </c>
      <c r="CZ4495">
        <v>0</v>
      </c>
      <c r="DA4495">
        <v>0</v>
      </c>
      <c r="DB4495">
        <v>0</v>
      </c>
      <c r="DC4495">
        <v>0</v>
      </c>
      <c r="DD4495">
        <v>0</v>
      </c>
      <c r="DE4495">
        <v>0</v>
      </c>
      <c r="DF4495">
        <v>0</v>
      </c>
      <c r="DG4495">
        <v>0</v>
      </c>
      <c r="DH4495">
        <v>0</v>
      </c>
      <c r="DI4495">
        <v>0</v>
      </c>
    </row>
    <row r="4496" spans="1:113" x14ac:dyDescent="0.3">
      <c r="A4496" t="str">
        <f>"02/08/2021 20:39:27.765"</f>
        <v>02/08/2021 20:39:27.765</v>
      </c>
      <c r="C4496" t="str">
        <f t="shared" si="221"/>
        <v>FFDFD7C0</v>
      </c>
      <c r="D4496" t="s">
        <v>124</v>
      </c>
      <c r="E4496">
        <v>11</v>
      </c>
      <c r="F4496">
        <v>1011</v>
      </c>
      <c r="G4496" t="s">
        <v>590</v>
      </c>
      <c r="J4496" t="s">
        <v>125</v>
      </c>
      <c r="K4496">
        <v>0</v>
      </c>
      <c r="L4496">
        <v>3</v>
      </c>
      <c r="M4496">
        <v>0</v>
      </c>
      <c r="N4496">
        <v>2</v>
      </c>
      <c r="O4496">
        <v>1</v>
      </c>
      <c r="P4496">
        <v>0</v>
      </c>
      <c r="Q4496">
        <v>0</v>
      </c>
      <c r="S4496" t="str">
        <f>"20:39:30.109"</f>
        <v>20:39:30.109</v>
      </c>
      <c r="T4496" t="str">
        <f>"20:39:28.709"</f>
        <v>20:39:28.709</v>
      </c>
      <c r="U4496" t="str">
        <f t="shared" si="223"/>
        <v>AB01F4</v>
      </c>
      <c r="V4496">
        <v>0</v>
      </c>
      <c r="W4496">
        <v>0</v>
      </c>
      <c r="X4496">
        <v>2</v>
      </c>
      <c r="Z4496">
        <v>0</v>
      </c>
      <c r="AA4496">
        <v>9</v>
      </c>
      <c r="AB4496">
        <v>3</v>
      </c>
      <c r="AC4496">
        <v>0</v>
      </c>
      <c r="AD4496">
        <v>10</v>
      </c>
      <c r="AE4496">
        <v>0</v>
      </c>
      <c r="AF4496">
        <v>3</v>
      </c>
      <c r="AG4496">
        <v>2</v>
      </c>
      <c r="AH4496">
        <v>0</v>
      </c>
      <c r="AI4496" t="s">
        <v>2492</v>
      </c>
      <c r="AJ4496">
        <v>40.152754999999999</v>
      </c>
      <c r="AK4496" t="s">
        <v>2493</v>
      </c>
      <c r="AL4496">
        <v>-93.230474000000001</v>
      </c>
      <c r="AM4496">
        <v>100</v>
      </c>
      <c r="AN4496">
        <v>1200</v>
      </c>
      <c r="AO4496" t="s">
        <v>118</v>
      </c>
      <c r="AP4496">
        <v>-133</v>
      </c>
      <c r="AQ4496">
        <v>-42</v>
      </c>
      <c r="AR4496">
        <v>128</v>
      </c>
      <c r="AZ4496">
        <v>1200</v>
      </c>
      <c r="BA4496">
        <v>1</v>
      </c>
      <c r="BB4496" t="str">
        <f t="shared" si="222"/>
        <v xml:space="preserve">N8080G  </v>
      </c>
      <c r="BC4496">
        <v>1</v>
      </c>
      <c r="BE4496">
        <v>0</v>
      </c>
      <c r="BF4496">
        <v>0</v>
      </c>
      <c r="BG4496">
        <v>0</v>
      </c>
      <c r="BH4496">
        <v>1250</v>
      </c>
      <c r="BI4496">
        <v>1</v>
      </c>
      <c r="BJ4496">
        <v>1</v>
      </c>
      <c r="BK4496">
        <v>1</v>
      </c>
      <c r="BL4496">
        <v>0</v>
      </c>
      <c r="BO4496">
        <v>0</v>
      </c>
      <c r="BP4496">
        <v>0</v>
      </c>
      <c r="BW4496" t="str">
        <f>"20:39:30.112"</f>
        <v>20:39:30.112</v>
      </c>
      <c r="BZ4496">
        <v>0</v>
      </c>
      <c r="CA4496">
        <v>1504</v>
      </c>
      <c r="CB4496">
        <v>224</v>
      </c>
      <c r="CD4496">
        <v>1</v>
      </c>
      <c r="CE4496">
        <v>0</v>
      </c>
      <c r="CF4496">
        <v>0</v>
      </c>
      <c r="CG4496">
        <v>1</v>
      </c>
      <c r="CH4496">
        <v>0</v>
      </c>
      <c r="CI4496">
        <v>0</v>
      </c>
      <c r="CJ4496">
        <v>0</v>
      </c>
      <c r="CK4496">
        <v>2</v>
      </c>
      <c r="CL4496">
        <v>0</v>
      </c>
      <c r="CM4496">
        <v>2</v>
      </c>
      <c r="CN4496">
        <v>0</v>
      </c>
      <c r="CO4496">
        <v>1</v>
      </c>
      <c r="CP4496" t="s">
        <v>119</v>
      </c>
      <c r="CQ4496">
        <v>180</v>
      </c>
      <c r="CR4496">
        <v>3</v>
      </c>
      <c r="CW4496">
        <v>1447884</v>
      </c>
      <c r="CY4496">
        <v>1</v>
      </c>
      <c r="CZ4496">
        <v>0</v>
      </c>
      <c r="DA4496">
        <v>1</v>
      </c>
      <c r="DB4496">
        <v>0</v>
      </c>
      <c r="DC4496">
        <v>0</v>
      </c>
      <c r="DD4496">
        <v>0</v>
      </c>
      <c r="DE4496">
        <v>0</v>
      </c>
      <c r="DF4496">
        <v>0</v>
      </c>
      <c r="DG4496">
        <v>0</v>
      </c>
      <c r="DH4496">
        <v>0</v>
      </c>
      <c r="DI4496">
        <v>0</v>
      </c>
    </row>
    <row r="4497" spans="1:113" x14ac:dyDescent="0.3">
      <c r="A4497" t="str">
        <f>"02/08/2021 20:39:27.765"</f>
        <v>02/08/2021 20:39:27.765</v>
      </c>
      <c r="C4497" t="str">
        <f t="shared" si="221"/>
        <v>FFDFD7C0</v>
      </c>
      <c r="D4497" t="s">
        <v>124</v>
      </c>
      <c r="E4497">
        <v>12</v>
      </c>
      <c r="F4497">
        <v>1012</v>
      </c>
      <c r="G4497" t="s">
        <v>675</v>
      </c>
      <c r="J4497" t="s">
        <v>125</v>
      </c>
      <c r="K4497">
        <v>0</v>
      </c>
      <c r="L4497">
        <v>3</v>
      </c>
      <c r="M4497">
        <v>0</v>
      </c>
      <c r="N4497">
        <v>2</v>
      </c>
      <c r="O4497">
        <v>1</v>
      </c>
      <c r="P4497">
        <v>0</v>
      </c>
      <c r="Q4497">
        <v>0</v>
      </c>
      <c r="S4497" t="str">
        <f>"20:39:30.109"</f>
        <v>20:39:30.109</v>
      </c>
      <c r="T4497" t="str">
        <f>"20:39:28.709"</f>
        <v>20:39:28.709</v>
      </c>
      <c r="U4497" t="str">
        <f t="shared" si="223"/>
        <v>AB01F4</v>
      </c>
      <c r="V4497">
        <v>0</v>
      </c>
      <c r="W4497">
        <v>0</v>
      </c>
      <c r="X4497">
        <v>2</v>
      </c>
      <c r="Z4497">
        <v>0</v>
      </c>
      <c r="AA4497">
        <v>9</v>
      </c>
      <c r="AB4497">
        <v>3</v>
      </c>
      <c r="AC4497">
        <v>0</v>
      </c>
      <c r="AD4497">
        <v>10</v>
      </c>
      <c r="AE4497">
        <v>0</v>
      </c>
      <c r="AF4497">
        <v>3</v>
      </c>
      <c r="AG4497">
        <v>2</v>
      </c>
      <c r="AH4497">
        <v>0</v>
      </c>
      <c r="AI4497" t="s">
        <v>2492</v>
      </c>
      <c r="AJ4497">
        <v>40.152754999999999</v>
      </c>
      <c r="AK4497" t="s">
        <v>2493</v>
      </c>
      <c r="AL4497">
        <v>-93.230474000000001</v>
      </c>
      <c r="AM4497">
        <v>100</v>
      </c>
      <c r="AN4497">
        <v>1200</v>
      </c>
      <c r="AO4497" t="s">
        <v>118</v>
      </c>
      <c r="AP4497">
        <v>-133</v>
      </c>
      <c r="AQ4497">
        <v>-42</v>
      </c>
      <c r="AR4497">
        <v>128</v>
      </c>
      <c r="AZ4497">
        <v>1200</v>
      </c>
      <c r="BA4497">
        <v>1</v>
      </c>
      <c r="BB4497" t="str">
        <f t="shared" si="222"/>
        <v xml:space="preserve">N8080G  </v>
      </c>
      <c r="BC4497">
        <v>1</v>
      </c>
      <c r="BE4497">
        <v>0</v>
      </c>
      <c r="BF4497">
        <v>0</v>
      </c>
      <c r="BG4497">
        <v>0</v>
      </c>
      <c r="BH4497">
        <v>1250</v>
      </c>
      <c r="BI4497">
        <v>1</v>
      </c>
      <c r="BJ4497">
        <v>1</v>
      </c>
      <c r="BK4497">
        <v>1</v>
      </c>
      <c r="BL4497">
        <v>0</v>
      </c>
      <c r="BO4497">
        <v>0</v>
      </c>
      <c r="BP4497">
        <v>0</v>
      </c>
      <c r="BW4497" t="str">
        <f>"20:39:30.112"</f>
        <v>20:39:30.112</v>
      </c>
      <c r="BZ4497">
        <v>0</v>
      </c>
      <c r="CA4497">
        <v>1504</v>
      </c>
      <c r="CB4497">
        <v>224</v>
      </c>
      <c r="CD4497">
        <v>1</v>
      </c>
      <c r="CE4497">
        <v>0</v>
      </c>
      <c r="CF4497">
        <v>0</v>
      </c>
      <c r="CG4497">
        <v>1</v>
      </c>
      <c r="CH4497">
        <v>0</v>
      </c>
      <c r="CI4497">
        <v>0</v>
      </c>
      <c r="CJ4497">
        <v>0</v>
      </c>
      <c r="CK4497">
        <v>2</v>
      </c>
      <c r="CL4497">
        <v>0</v>
      </c>
      <c r="CM4497">
        <v>2</v>
      </c>
      <c r="CN4497">
        <v>0</v>
      </c>
      <c r="CO4497">
        <v>1</v>
      </c>
      <c r="CP4497" t="s">
        <v>119</v>
      </c>
      <c r="CQ4497">
        <v>180</v>
      </c>
      <c r="CR4497">
        <v>3</v>
      </c>
      <c r="CW4497">
        <v>1447884</v>
      </c>
      <c r="CY4497">
        <v>1</v>
      </c>
      <c r="CZ4497">
        <v>0</v>
      </c>
      <c r="DA4497">
        <v>1</v>
      </c>
      <c r="DB4497">
        <v>0</v>
      </c>
      <c r="DC4497">
        <v>0</v>
      </c>
      <c r="DD4497">
        <v>0</v>
      </c>
      <c r="DE4497">
        <v>0</v>
      </c>
      <c r="DF4497">
        <v>0</v>
      </c>
      <c r="DG4497">
        <v>0</v>
      </c>
      <c r="DH4497">
        <v>0</v>
      </c>
      <c r="DI4497">
        <v>0</v>
      </c>
    </row>
    <row r="4498" spans="1:113" x14ac:dyDescent="0.3">
      <c r="A4498" t="str">
        <f>"02/08/2021 20:39:27.765"</f>
        <v>02/08/2021 20:39:27.765</v>
      </c>
      <c r="C4498" t="str">
        <f t="shared" si="221"/>
        <v>FFDFD7C0</v>
      </c>
      <c r="D4498" t="s">
        <v>113</v>
      </c>
      <c r="E4498">
        <v>6</v>
      </c>
      <c r="H4498">
        <v>165</v>
      </c>
      <c r="I4498" t="s">
        <v>114</v>
      </c>
      <c r="J4498" t="s">
        <v>115</v>
      </c>
      <c r="K4498">
        <v>0</v>
      </c>
      <c r="L4498">
        <v>3</v>
      </c>
      <c r="M4498">
        <v>0</v>
      </c>
      <c r="N4498">
        <v>2</v>
      </c>
      <c r="O4498">
        <v>1</v>
      </c>
      <c r="P4498">
        <v>0</v>
      </c>
      <c r="Q4498">
        <v>0</v>
      </c>
      <c r="S4498" t="str">
        <f>"20:39:30.109"</f>
        <v>20:39:30.109</v>
      </c>
      <c r="T4498" t="str">
        <f>"20:39:28.709"</f>
        <v>20:39:28.709</v>
      </c>
      <c r="U4498" t="str">
        <f t="shared" si="223"/>
        <v>AB01F4</v>
      </c>
      <c r="V4498">
        <v>0</v>
      </c>
      <c r="W4498">
        <v>0</v>
      </c>
      <c r="X4498">
        <v>2</v>
      </c>
      <c r="Z4498">
        <v>0</v>
      </c>
      <c r="AA4498">
        <v>9</v>
      </c>
      <c r="AB4498">
        <v>3</v>
      </c>
      <c r="AC4498">
        <v>0</v>
      </c>
      <c r="AD4498">
        <v>10</v>
      </c>
      <c r="AE4498">
        <v>0</v>
      </c>
      <c r="AF4498">
        <v>3</v>
      </c>
      <c r="AG4498">
        <v>2</v>
      </c>
      <c r="AH4498">
        <v>0</v>
      </c>
      <c r="AI4498" t="s">
        <v>2492</v>
      </c>
      <c r="AJ4498">
        <v>40.152754999999999</v>
      </c>
      <c r="AK4498" t="s">
        <v>2493</v>
      </c>
      <c r="AL4498">
        <v>-93.230474000000001</v>
      </c>
      <c r="AM4498">
        <v>100</v>
      </c>
      <c r="AN4498">
        <v>1200</v>
      </c>
      <c r="AO4498" t="s">
        <v>118</v>
      </c>
      <c r="AP4498">
        <v>-133</v>
      </c>
      <c r="AQ4498">
        <v>-42</v>
      </c>
      <c r="AR4498">
        <v>128</v>
      </c>
      <c r="AZ4498">
        <v>1200</v>
      </c>
      <c r="BA4498">
        <v>1</v>
      </c>
      <c r="BB4498" t="str">
        <f t="shared" si="222"/>
        <v xml:space="preserve">N8080G  </v>
      </c>
      <c r="BC4498">
        <v>1</v>
      </c>
      <c r="BE4498">
        <v>0</v>
      </c>
      <c r="BF4498">
        <v>0</v>
      </c>
      <c r="BG4498">
        <v>0</v>
      </c>
      <c r="BH4498">
        <v>1250</v>
      </c>
      <c r="BI4498">
        <v>1</v>
      </c>
      <c r="BJ4498">
        <v>1</v>
      </c>
      <c r="BK4498">
        <v>1</v>
      </c>
      <c r="BL4498">
        <v>0</v>
      </c>
      <c r="BO4498">
        <v>0</v>
      </c>
      <c r="BP4498">
        <v>0</v>
      </c>
      <c r="BW4498" t="str">
        <f>"20:39:30.112"</f>
        <v>20:39:30.112</v>
      </c>
      <c r="BZ4498">
        <v>0</v>
      </c>
      <c r="CA4498">
        <v>1504</v>
      </c>
      <c r="CB4498">
        <v>224</v>
      </c>
      <c r="CD4498">
        <v>1</v>
      </c>
      <c r="CE4498">
        <v>0</v>
      </c>
      <c r="CF4498">
        <v>0</v>
      </c>
      <c r="CG4498">
        <v>1</v>
      </c>
      <c r="CH4498">
        <v>0</v>
      </c>
      <c r="CI4498">
        <v>0</v>
      </c>
      <c r="CJ4498">
        <v>0</v>
      </c>
      <c r="CK4498">
        <v>2</v>
      </c>
      <c r="CL4498">
        <v>0</v>
      </c>
      <c r="CM4498">
        <v>2</v>
      </c>
      <c r="CN4498">
        <v>0</v>
      </c>
      <c r="CO4498">
        <v>1</v>
      </c>
      <c r="CP4498" t="s">
        <v>119</v>
      </c>
      <c r="CQ4498">
        <v>180</v>
      </c>
      <c r="CR4498">
        <v>3</v>
      </c>
      <c r="CW4498">
        <v>1447884</v>
      </c>
      <c r="CY4498">
        <v>1</v>
      </c>
      <c r="CZ4498">
        <v>0</v>
      </c>
      <c r="DA4498">
        <v>1</v>
      </c>
      <c r="DB4498">
        <v>0</v>
      </c>
      <c r="DC4498">
        <v>0</v>
      </c>
      <c r="DD4498">
        <v>0</v>
      </c>
      <c r="DE4498">
        <v>0</v>
      </c>
      <c r="DF4498">
        <v>0</v>
      </c>
      <c r="DG4498">
        <v>0</v>
      </c>
      <c r="DH4498">
        <v>0</v>
      </c>
      <c r="DI4498">
        <v>0</v>
      </c>
    </row>
    <row r="4499" spans="1:113" x14ac:dyDescent="0.3">
      <c r="A4499" t="str">
        <f>"02/08/2021 20:39:28.709"</f>
        <v>02/08/2021 20:39:28.709</v>
      </c>
      <c r="C4499" t="str">
        <f t="shared" si="221"/>
        <v>FFDFD7C0</v>
      </c>
      <c r="D4499" t="s">
        <v>113</v>
      </c>
      <c r="E4499">
        <v>6</v>
      </c>
      <c r="H4499">
        <v>165</v>
      </c>
      <c r="I4499" t="s">
        <v>114</v>
      </c>
      <c r="J4499" t="s">
        <v>115</v>
      </c>
      <c r="K4499">
        <v>0</v>
      </c>
      <c r="L4499">
        <v>3</v>
      </c>
      <c r="M4499">
        <v>0</v>
      </c>
      <c r="N4499">
        <v>2</v>
      </c>
      <c r="O4499">
        <v>1</v>
      </c>
      <c r="P4499">
        <v>0</v>
      </c>
      <c r="Q4499">
        <v>0</v>
      </c>
      <c r="S4499" t="str">
        <f>"20:39:31.063"</f>
        <v>20:39:31.063</v>
      </c>
      <c r="T4499" t="str">
        <f>"20:39:30.563"</f>
        <v>20:39:30.563</v>
      </c>
      <c r="U4499" t="str">
        <f t="shared" si="223"/>
        <v>AB01F4</v>
      </c>
      <c r="V4499">
        <v>0</v>
      </c>
      <c r="W4499">
        <v>0</v>
      </c>
      <c r="X4499">
        <v>2</v>
      </c>
      <c r="Z4499">
        <v>0</v>
      </c>
      <c r="AA4499">
        <v>9</v>
      </c>
      <c r="AB4499">
        <v>3</v>
      </c>
      <c r="AC4499">
        <v>0</v>
      </c>
      <c r="AD4499">
        <v>10</v>
      </c>
      <c r="AE4499">
        <v>0</v>
      </c>
      <c r="AF4499">
        <v>3</v>
      </c>
      <c r="AG4499">
        <v>2</v>
      </c>
      <c r="AH4499">
        <v>0</v>
      </c>
      <c r="AI4499" t="s">
        <v>2494</v>
      </c>
      <c r="AJ4499">
        <v>40.152518999999998</v>
      </c>
      <c r="AK4499" t="s">
        <v>2495</v>
      </c>
      <c r="AL4499">
        <v>-93.231289000000004</v>
      </c>
      <c r="AM4499">
        <v>100</v>
      </c>
      <c r="AN4499">
        <v>1200</v>
      </c>
      <c r="AO4499" t="s">
        <v>118</v>
      </c>
      <c r="AP4499">
        <v>-131</v>
      </c>
      <c r="AQ4499">
        <v>-48</v>
      </c>
      <c r="AR4499">
        <v>128</v>
      </c>
      <c r="AZ4499">
        <v>1200</v>
      </c>
      <c r="BA4499">
        <v>1</v>
      </c>
      <c r="BB4499" t="str">
        <f t="shared" si="222"/>
        <v xml:space="preserve">N8080G  </v>
      </c>
      <c r="BC4499">
        <v>1</v>
      </c>
      <c r="BE4499">
        <v>0</v>
      </c>
      <c r="BF4499">
        <v>0</v>
      </c>
      <c r="BG4499">
        <v>0</v>
      </c>
      <c r="BH4499">
        <v>1275</v>
      </c>
      <c r="BI4499">
        <v>1</v>
      </c>
      <c r="BJ4499">
        <v>1</v>
      </c>
      <c r="BK4499">
        <v>1</v>
      </c>
      <c r="BL4499">
        <v>0</v>
      </c>
      <c r="BO4499">
        <v>0</v>
      </c>
      <c r="BP4499">
        <v>0</v>
      </c>
      <c r="BW4499" t="str">
        <f>"20:39:31.069"</f>
        <v>20:39:31.069</v>
      </c>
      <c r="BZ4499">
        <v>0</v>
      </c>
      <c r="CA4499">
        <v>1504</v>
      </c>
      <c r="CB4499">
        <v>224</v>
      </c>
      <c r="CD4499">
        <v>1</v>
      </c>
      <c r="CE4499">
        <v>0</v>
      </c>
      <c r="CF4499">
        <v>0</v>
      </c>
      <c r="CG4499">
        <v>1</v>
      </c>
      <c r="CH4499">
        <v>0</v>
      </c>
      <c r="CI4499">
        <v>0</v>
      </c>
      <c r="CJ4499">
        <v>0</v>
      </c>
      <c r="CK4499">
        <v>2</v>
      </c>
      <c r="CL4499">
        <v>0</v>
      </c>
      <c r="CM4499">
        <v>2</v>
      </c>
      <c r="CN4499">
        <v>0</v>
      </c>
      <c r="CO4499">
        <v>1</v>
      </c>
      <c r="CP4499" t="s">
        <v>119</v>
      </c>
      <c r="CQ4499">
        <v>180</v>
      </c>
      <c r="CR4499">
        <v>3</v>
      </c>
      <c r="CW4499">
        <v>1448547</v>
      </c>
      <c r="CY4499">
        <v>1</v>
      </c>
      <c r="CZ4499">
        <v>0</v>
      </c>
      <c r="DA4499">
        <v>0</v>
      </c>
      <c r="DB4499">
        <v>0</v>
      </c>
      <c r="DC4499">
        <v>0</v>
      </c>
      <c r="DD4499">
        <v>0</v>
      </c>
      <c r="DE4499">
        <v>0</v>
      </c>
      <c r="DF4499">
        <v>0</v>
      </c>
      <c r="DG4499">
        <v>0</v>
      </c>
      <c r="DH4499">
        <v>0</v>
      </c>
      <c r="DI4499">
        <v>0</v>
      </c>
    </row>
    <row r="4500" spans="1:113" x14ac:dyDescent="0.3">
      <c r="A4500" t="str">
        <f>"02/08/2021 20:39:28.709"</f>
        <v>02/08/2021 20:39:28.709</v>
      </c>
      <c r="C4500" t="str">
        <f t="shared" si="221"/>
        <v>FFDFD7C0</v>
      </c>
      <c r="D4500" t="s">
        <v>124</v>
      </c>
      <c r="E4500">
        <v>13</v>
      </c>
      <c r="F4500">
        <v>1013</v>
      </c>
      <c r="G4500" t="s">
        <v>114</v>
      </c>
      <c r="J4500" t="s">
        <v>125</v>
      </c>
      <c r="K4500">
        <v>0</v>
      </c>
      <c r="L4500">
        <v>3</v>
      </c>
      <c r="M4500">
        <v>0</v>
      </c>
      <c r="N4500">
        <v>2</v>
      </c>
      <c r="O4500">
        <v>1</v>
      </c>
      <c r="P4500">
        <v>0</v>
      </c>
      <c r="Q4500">
        <v>0</v>
      </c>
      <c r="S4500" t="str">
        <f>"20:39:31.063"</f>
        <v>20:39:31.063</v>
      </c>
      <c r="T4500" t="str">
        <f>"20:39:30.563"</f>
        <v>20:39:30.563</v>
      </c>
      <c r="U4500" t="str">
        <f t="shared" si="223"/>
        <v>AB01F4</v>
      </c>
      <c r="V4500">
        <v>0</v>
      </c>
      <c r="W4500">
        <v>0</v>
      </c>
      <c r="X4500">
        <v>2</v>
      </c>
      <c r="Z4500">
        <v>0</v>
      </c>
      <c r="AA4500">
        <v>9</v>
      </c>
      <c r="AB4500">
        <v>3</v>
      </c>
      <c r="AC4500">
        <v>0</v>
      </c>
      <c r="AD4500">
        <v>10</v>
      </c>
      <c r="AE4500">
        <v>0</v>
      </c>
      <c r="AF4500">
        <v>3</v>
      </c>
      <c r="AG4500">
        <v>2</v>
      </c>
      <c r="AH4500">
        <v>0</v>
      </c>
      <c r="AI4500" t="s">
        <v>2494</v>
      </c>
      <c r="AJ4500">
        <v>40.152518999999998</v>
      </c>
      <c r="AK4500" t="s">
        <v>2495</v>
      </c>
      <c r="AL4500">
        <v>-93.231289000000004</v>
      </c>
      <c r="AM4500">
        <v>100</v>
      </c>
      <c r="AN4500">
        <v>1200</v>
      </c>
      <c r="AO4500" t="s">
        <v>118</v>
      </c>
      <c r="AP4500">
        <v>-131</v>
      </c>
      <c r="AQ4500">
        <v>-48</v>
      </c>
      <c r="AR4500">
        <v>128</v>
      </c>
      <c r="AZ4500">
        <v>1200</v>
      </c>
      <c r="BA4500">
        <v>1</v>
      </c>
      <c r="BB4500" t="str">
        <f t="shared" si="222"/>
        <v xml:space="preserve">N8080G  </v>
      </c>
      <c r="BC4500">
        <v>1</v>
      </c>
      <c r="BE4500">
        <v>0</v>
      </c>
      <c r="BF4500">
        <v>0</v>
      </c>
      <c r="BG4500">
        <v>0</v>
      </c>
      <c r="BH4500">
        <v>1275</v>
      </c>
      <c r="BI4500">
        <v>1</v>
      </c>
      <c r="BJ4500">
        <v>1</v>
      </c>
      <c r="BK4500">
        <v>1</v>
      </c>
      <c r="BL4500">
        <v>0</v>
      </c>
      <c r="BO4500">
        <v>0</v>
      </c>
      <c r="BP4500">
        <v>0</v>
      </c>
      <c r="BW4500" t="str">
        <f>"20:39:31.069"</f>
        <v>20:39:31.069</v>
      </c>
      <c r="BZ4500">
        <v>0</v>
      </c>
      <c r="CA4500">
        <v>1504</v>
      </c>
      <c r="CB4500">
        <v>224</v>
      </c>
      <c r="CD4500">
        <v>1</v>
      </c>
      <c r="CE4500">
        <v>0</v>
      </c>
      <c r="CF4500">
        <v>0</v>
      </c>
      <c r="CG4500">
        <v>1</v>
      </c>
      <c r="CH4500">
        <v>0</v>
      </c>
      <c r="CI4500">
        <v>0</v>
      </c>
      <c r="CJ4500">
        <v>0</v>
      </c>
      <c r="CK4500">
        <v>2</v>
      </c>
      <c r="CL4500">
        <v>0</v>
      </c>
      <c r="CM4500">
        <v>2</v>
      </c>
      <c r="CN4500">
        <v>0</v>
      </c>
      <c r="CO4500">
        <v>1</v>
      </c>
      <c r="CP4500" t="s">
        <v>119</v>
      </c>
      <c r="CQ4500">
        <v>180</v>
      </c>
      <c r="CR4500">
        <v>3</v>
      </c>
      <c r="CW4500">
        <v>1448547</v>
      </c>
      <c r="CY4500">
        <v>1</v>
      </c>
      <c r="CZ4500">
        <v>0</v>
      </c>
      <c r="DA4500">
        <v>1</v>
      </c>
      <c r="DB4500">
        <v>0</v>
      </c>
      <c r="DC4500">
        <v>0</v>
      </c>
      <c r="DD4500">
        <v>0</v>
      </c>
      <c r="DE4500">
        <v>0</v>
      </c>
      <c r="DF4500">
        <v>0</v>
      </c>
      <c r="DG4500">
        <v>0</v>
      </c>
      <c r="DH4500">
        <v>0</v>
      </c>
      <c r="DI4500">
        <v>0</v>
      </c>
    </row>
    <row r="4501" spans="1:113" x14ac:dyDescent="0.3">
      <c r="A4501" t="str">
        <f>"02/08/2021 20:39:28.709"</f>
        <v>02/08/2021 20:39:28.709</v>
      </c>
      <c r="C4501" t="str">
        <f t="shared" si="221"/>
        <v>FFDFD7C0</v>
      </c>
      <c r="D4501" t="s">
        <v>124</v>
      </c>
      <c r="E4501">
        <v>11</v>
      </c>
      <c r="F4501">
        <v>1011</v>
      </c>
      <c r="G4501" t="s">
        <v>590</v>
      </c>
      <c r="J4501" t="s">
        <v>125</v>
      </c>
      <c r="K4501">
        <v>0</v>
      </c>
      <c r="L4501">
        <v>3</v>
      </c>
      <c r="M4501">
        <v>0</v>
      </c>
      <c r="N4501">
        <v>2</v>
      </c>
      <c r="O4501">
        <v>1</v>
      </c>
      <c r="P4501">
        <v>0</v>
      </c>
      <c r="Q4501">
        <v>0</v>
      </c>
      <c r="S4501" t="str">
        <f>"20:39:31.063"</f>
        <v>20:39:31.063</v>
      </c>
      <c r="T4501" t="str">
        <f>"20:39:30.563"</f>
        <v>20:39:30.563</v>
      </c>
      <c r="U4501" t="str">
        <f t="shared" si="223"/>
        <v>AB01F4</v>
      </c>
      <c r="V4501">
        <v>0</v>
      </c>
      <c r="W4501">
        <v>0</v>
      </c>
      <c r="X4501">
        <v>2</v>
      </c>
      <c r="Z4501">
        <v>0</v>
      </c>
      <c r="AA4501">
        <v>9</v>
      </c>
      <c r="AB4501">
        <v>3</v>
      </c>
      <c r="AC4501">
        <v>0</v>
      </c>
      <c r="AD4501">
        <v>10</v>
      </c>
      <c r="AE4501">
        <v>0</v>
      </c>
      <c r="AF4501">
        <v>3</v>
      </c>
      <c r="AG4501">
        <v>2</v>
      </c>
      <c r="AH4501">
        <v>0</v>
      </c>
      <c r="AI4501" t="s">
        <v>2494</v>
      </c>
      <c r="AJ4501">
        <v>40.152518999999998</v>
      </c>
      <c r="AK4501" t="s">
        <v>2495</v>
      </c>
      <c r="AL4501">
        <v>-93.231289000000004</v>
      </c>
      <c r="AM4501">
        <v>100</v>
      </c>
      <c r="AN4501">
        <v>1200</v>
      </c>
      <c r="AO4501" t="s">
        <v>118</v>
      </c>
      <c r="AP4501">
        <v>-131</v>
      </c>
      <c r="AQ4501">
        <v>-48</v>
      </c>
      <c r="AR4501">
        <v>128</v>
      </c>
      <c r="AZ4501">
        <v>1200</v>
      </c>
      <c r="BA4501">
        <v>1</v>
      </c>
      <c r="BB4501" t="str">
        <f t="shared" si="222"/>
        <v xml:space="preserve">N8080G  </v>
      </c>
      <c r="BC4501">
        <v>1</v>
      </c>
      <c r="BE4501">
        <v>0</v>
      </c>
      <c r="BF4501">
        <v>0</v>
      </c>
      <c r="BG4501">
        <v>0</v>
      </c>
      <c r="BH4501">
        <v>1275</v>
      </c>
      <c r="BI4501">
        <v>1</v>
      </c>
      <c r="BJ4501">
        <v>1</v>
      </c>
      <c r="BK4501">
        <v>1</v>
      </c>
      <c r="BL4501">
        <v>0</v>
      </c>
      <c r="BO4501">
        <v>0</v>
      </c>
      <c r="BP4501">
        <v>0</v>
      </c>
      <c r="BW4501" t="str">
        <f>"20:39:31.069"</f>
        <v>20:39:31.069</v>
      </c>
      <c r="BZ4501">
        <v>0</v>
      </c>
      <c r="CA4501">
        <v>1504</v>
      </c>
      <c r="CB4501">
        <v>224</v>
      </c>
      <c r="CD4501">
        <v>1</v>
      </c>
      <c r="CE4501">
        <v>0</v>
      </c>
      <c r="CF4501">
        <v>0</v>
      </c>
      <c r="CG4501">
        <v>1</v>
      </c>
      <c r="CH4501">
        <v>0</v>
      </c>
      <c r="CI4501">
        <v>0</v>
      </c>
      <c r="CJ4501">
        <v>0</v>
      </c>
      <c r="CK4501">
        <v>2</v>
      </c>
      <c r="CL4501">
        <v>0</v>
      </c>
      <c r="CM4501">
        <v>2</v>
      </c>
      <c r="CN4501">
        <v>0</v>
      </c>
      <c r="CO4501">
        <v>1</v>
      </c>
      <c r="CP4501" t="s">
        <v>119</v>
      </c>
      <c r="CQ4501">
        <v>180</v>
      </c>
      <c r="CR4501">
        <v>3</v>
      </c>
      <c r="CW4501">
        <v>1448547</v>
      </c>
      <c r="CY4501">
        <v>1</v>
      </c>
      <c r="CZ4501">
        <v>0</v>
      </c>
      <c r="DA4501">
        <v>1</v>
      </c>
      <c r="DB4501">
        <v>0</v>
      </c>
      <c r="DC4501">
        <v>0</v>
      </c>
      <c r="DD4501">
        <v>0</v>
      </c>
      <c r="DE4501">
        <v>0</v>
      </c>
      <c r="DF4501">
        <v>0</v>
      </c>
      <c r="DG4501">
        <v>0</v>
      </c>
      <c r="DH4501">
        <v>0</v>
      </c>
      <c r="DI4501">
        <v>0</v>
      </c>
    </row>
    <row r="4502" spans="1:113" x14ac:dyDescent="0.3">
      <c r="A4502" t="str">
        <f>"02/08/2021 20:39:28.709"</f>
        <v>02/08/2021 20:39:28.709</v>
      </c>
      <c r="C4502" t="str">
        <f t="shared" si="221"/>
        <v>FFDFD7C0</v>
      </c>
      <c r="D4502" t="s">
        <v>124</v>
      </c>
      <c r="E4502">
        <v>12</v>
      </c>
      <c r="F4502">
        <v>1012</v>
      </c>
      <c r="G4502" t="s">
        <v>675</v>
      </c>
      <c r="J4502" t="s">
        <v>125</v>
      </c>
      <c r="K4502">
        <v>0</v>
      </c>
      <c r="L4502">
        <v>3</v>
      </c>
      <c r="M4502">
        <v>0</v>
      </c>
      <c r="N4502">
        <v>2</v>
      </c>
      <c r="O4502">
        <v>1</v>
      </c>
      <c r="P4502">
        <v>0</v>
      </c>
      <c r="Q4502">
        <v>0</v>
      </c>
      <c r="S4502" t="str">
        <f>"20:39:31.063"</f>
        <v>20:39:31.063</v>
      </c>
      <c r="T4502" t="str">
        <f>"20:39:30.563"</f>
        <v>20:39:30.563</v>
      </c>
      <c r="U4502" t="str">
        <f t="shared" si="223"/>
        <v>AB01F4</v>
      </c>
      <c r="V4502">
        <v>0</v>
      </c>
      <c r="W4502">
        <v>0</v>
      </c>
      <c r="X4502">
        <v>2</v>
      </c>
      <c r="Z4502">
        <v>0</v>
      </c>
      <c r="AA4502">
        <v>9</v>
      </c>
      <c r="AB4502">
        <v>3</v>
      </c>
      <c r="AC4502">
        <v>0</v>
      </c>
      <c r="AD4502">
        <v>10</v>
      </c>
      <c r="AE4502">
        <v>0</v>
      </c>
      <c r="AF4502">
        <v>3</v>
      </c>
      <c r="AG4502">
        <v>2</v>
      </c>
      <c r="AH4502">
        <v>0</v>
      </c>
      <c r="AI4502" t="s">
        <v>2494</v>
      </c>
      <c r="AJ4502">
        <v>40.152518999999998</v>
      </c>
      <c r="AK4502" t="s">
        <v>2495</v>
      </c>
      <c r="AL4502">
        <v>-93.231289000000004</v>
      </c>
      <c r="AM4502">
        <v>100</v>
      </c>
      <c r="AN4502">
        <v>1200</v>
      </c>
      <c r="AO4502" t="s">
        <v>118</v>
      </c>
      <c r="AP4502">
        <v>-131</v>
      </c>
      <c r="AQ4502">
        <v>-48</v>
      </c>
      <c r="AR4502">
        <v>128</v>
      </c>
      <c r="AZ4502">
        <v>1200</v>
      </c>
      <c r="BA4502">
        <v>1</v>
      </c>
      <c r="BB4502" t="str">
        <f t="shared" si="222"/>
        <v xml:space="preserve">N8080G  </v>
      </c>
      <c r="BC4502">
        <v>1</v>
      </c>
      <c r="BE4502">
        <v>0</v>
      </c>
      <c r="BF4502">
        <v>0</v>
      </c>
      <c r="BG4502">
        <v>0</v>
      </c>
      <c r="BH4502">
        <v>1275</v>
      </c>
      <c r="BI4502">
        <v>1</v>
      </c>
      <c r="BJ4502">
        <v>1</v>
      </c>
      <c r="BK4502">
        <v>1</v>
      </c>
      <c r="BL4502">
        <v>0</v>
      </c>
      <c r="BO4502">
        <v>0</v>
      </c>
      <c r="BP4502">
        <v>0</v>
      </c>
      <c r="BW4502" t="str">
        <f>"20:39:31.069"</f>
        <v>20:39:31.069</v>
      </c>
      <c r="BZ4502">
        <v>0</v>
      </c>
      <c r="CA4502">
        <v>1504</v>
      </c>
      <c r="CB4502">
        <v>224</v>
      </c>
      <c r="CD4502">
        <v>1</v>
      </c>
      <c r="CE4502">
        <v>0</v>
      </c>
      <c r="CF4502">
        <v>0</v>
      </c>
      <c r="CG4502">
        <v>1</v>
      </c>
      <c r="CH4502">
        <v>0</v>
      </c>
      <c r="CI4502">
        <v>0</v>
      </c>
      <c r="CJ4502">
        <v>0</v>
      </c>
      <c r="CK4502">
        <v>2</v>
      </c>
      <c r="CL4502">
        <v>0</v>
      </c>
      <c r="CM4502">
        <v>2</v>
      </c>
      <c r="CN4502">
        <v>0</v>
      </c>
      <c r="CO4502">
        <v>1</v>
      </c>
      <c r="CP4502" t="s">
        <v>119</v>
      </c>
      <c r="CQ4502">
        <v>180</v>
      </c>
      <c r="CR4502">
        <v>3</v>
      </c>
      <c r="CW4502">
        <v>1448547</v>
      </c>
      <c r="CY4502">
        <v>1</v>
      </c>
      <c r="CZ4502">
        <v>0</v>
      </c>
      <c r="DA4502">
        <v>1</v>
      </c>
      <c r="DB4502">
        <v>0</v>
      </c>
      <c r="DC4502">
        <v>0</v>
      </c>
      <c r="DD4502">
        <v>0</v>
      </c>
      <c r="DE4502">
        <v>0</v>
      </c>
      <c r="DF4502">
        <v>0</v>
      </c>
      <c r="DG4502">
        <v>0</v>
      </c>
      <c r="DH4502">
        <v>0</v>
      </c>
      <c r="DI4502">
        <v>0</v>
      </c>
    </row>
    <row r="4503" spans="1:113" x14ac:dyDescent="0.3">
      <c r="A4503" t="str">
        <f>"02/08/2021 20:39:29.701"</f>
        <v>02/08/2021 20:39:29.701</v>
      </c>
      <c r="C4503" t="str">
        <f t="shared" si="221"/>
        <v>FFDFD7C0</v>
      </c>
      <c r="D4503" t="s">
        <v>124</v>
      </c>
      <c r="E4503">
        <v>11</v>
      </c>
      <c r="F4503">
        <v>1011</v>
      </c>
      <c r="G4503" t="s">
        <v>590</v>
      </c>
      <c r="J4503" t="s">
        <v>125</v>
      </c>
      <c r="K4503">
        <v>0</v>
      </c>
      <c r="L4503">
        <v>3</v>
      </c>
      <c r="M4503">
        <v>0</v>
      </c>
      <c r="N4503">
        <v>2</v>
      </c>
      <c r="O4503">
        <v>1</v>
      </c>
      <c r="P4503">
        <v>0</v>
      </c>
      <c r="Q4503">
        <v>0</v>
      </c>
      <c r="S4503" t="str">
        <f>"20:39:31.984"</f>
        <v>20:39:31.984</v>
      </c>
      <c r="T4503" t="str">
        <f>"20:39:31.484"</f>
        <v>20:39:31.484</v>
      </c>
      <c r="U4503" t="str">
        <f t="shared" si="223"/>
        <v>AB01F4</v>
      </c>
      <c r="V4503">
        <v>0</v>
      </c>
      <c r="W4503">
        <v>0</v>
      </c>
      <c r="X4503">
        <v>2</v>
      </c>
      <c r="Z4503">
        <v>0</v>
      </c>
      <c r="AA4503">
        <v>9</v>
      </c>
      <c r="AB4503">
        <v>3</v>
      </c>
      <c r="AC4503">
        <v>0</v>
      </c>
      <c r="AD4503">
        <v>10</v>
      </c>
      <c r="AE4503">
        <v>0</v>
      </c>
      <c r="AF4503">
        <v>3</v>
      </c>
      <c r="AG4503">
        <v>2</v>
      </c>
      <c r="AH4503">
        <v>0</v>
      </c>
      <c r="AI4503" t="s">
        <v>2496</v>
      </c>
      <c r="AJ4503">
        <v>40.152326000000002</v>
      </c>
      <c r="AK4503" t="s">
        <v>2497</v>
      </c>
      <c r="AL4503">
        <v>-93.231997000000007</v>
      </c>
      <c r="AM4503">
        <v>100</v>
      </c>
      <c r="AN4503">
        <v>1200</v>
      </c>
      <c r="AO4503" t="s">
        <v>118</v>
      </c>
      <c r="AP4503">
        <v>-130</v>
      </c>
      <c r="AQ4503">
        <v>-50</v>
      </c>
      <c r="AR4503">
        <v>192</v>
      </c>
      <c r="AZ4503">
        <v>1200</v>
      </c>
      <c r="BA4503">
        <v>1</v>
      </c>
      <c r="BB4503" t="str">
        <f t="shared" si="222"/>
        <v xml:space="preserve">N8080G  </v>
      </c>
      <c r="BC4503">
        <v>1</v>
      </c>
      <c r="BE4503">
        <v>0</v>
      </c>
      <c r="BF4503">
        <v>0</v>
      </c>
      <c r="BG4503">
        <v>0</v>
      </c>
      <c r="BH4503">
        <v>1275</v>
      </c>
      <c r="BI4503">
        <v>1</v>
      </c>
      <c r="BJ4503">
        <v>1</v>
      </c>
      <c r="BK4503">
        <v>1</v>
      </c>
      <c r="BL4503">
        <v>0</v>
      </c>
      <c r="BO4503">
        <v>0</v>
      </c>
      <c r="BP4503">
        <v>0</v>
      </c>
      <c r="BW4503" t="str">
        <f>"20:39:31.991"</f>
        <v>20:39:31.991</v>
      </c>
      <c r="BZ4503">
        <v>0</v>
      </c>
      <c r="CA4503">
        <v>1504</v>
      </c>
      <c r="CB4503">
        <v>224</v>
      </c>
      <c r="CD4503">
        <v>1</v>
      </c>
      <c r="CE4503">
        <v>0</v>
      </c>
      <c r="CF4503">
        <v>0</v>
      </c>
      <c r="CG4503">
        <v>1</v>
      </c>
      <c r="CH4503">
        <v>0</v>
      </c>
      <c r="CI4503">
        <v>0</v>
      </c>
      <c r="CJ4503">
        <v>0</v>
      </c>
      <c r="CK4503">
        <v>2</v>
      </c>
      <c r="CL4503">
        <v>0</v>
      </c>
      <c r="CM4503">
        <v>2</v>
      </c>
      <c r="CN4503">
        <v>0</v>
      </c>
      <c r="CO4503">
        <v>2</v>
      </c>
      <c r="CP4503" t="s">
        <v>119</v>
      </c>
      <c r="CQ4503">
        <v>180</v>
      </c>
      <c r="CR4503">
        <v>3</v>
      </c>
      <c r="CW4503">
        <v>1449262</v>
      </c>
      <c r="CY4503">
        <v>1</v>
      </c>
      <c r="CZ4503">
        <v>0</v>
      </c>
      <c r="DA4503">
        <v>0</v>
      </c>
      <c r="DB4503">
        <v>0</v>
      </c>
      <c r="DC4503">
        <v>0</v>
      </c>
      <c r="DD4503">
        <v>0</v>
      </c>
      <c r="DE4503">
        <v>0</v>
      </c>
      <c r="DF4503">
        <v>0</v>
      </c>
      <c r="DG4503">
        <v>0</v>
      </c>
      <c r="DH4503">
        <v>0</v>
      </c>
      <c r="DI4503">
        <v>0</v>
      </c>
    </row>
    <row r="4504" spans="1:113" x14ac:dyDescent="0.3">
      <c r="A4504" t="str">
        <f>"02/08/2021 20:39:29.701"</f>
        <v>02/08/2021 20:39:29.701</v>
      </c>
      <c r="C4504" t="str">
        <f t="shared" si="221"/>
        <v>FFDFD7C0</v>
      </c>
      <c r="D4504" t="s">
        <v>124</v>
      </c>
      <c r="E4504">
        <v>12</v>
      </c>
      <c r="F4504">
        <v>1012</v>
      </c>
      <c r="G4504" t="s">
        <v>675</v>
      </c>
      <c r="J4504" t="s">
        <v>125</v>
      </c>
      <c r="K4504">
        <v>0</v>
      </c>
      <c r="L4504">
        <v>3</v>
      </c>
      <c r="M4504">
        <v>0</v>
      </c>
      <c r="N4504">
        <v>2</v>
      </c>
      <c r="O4504">
        <v>1</v>
      </c>
      <c r="P4504">
        <v>0</v>
      </c>
      <c r="Q4504">
        <v>0</v>
      </c>
      <c r="S4504" t="str">
        <f>"20:39:31.984"</f>
        <v>20:39:31.984</v>
      </c>
      <c r="T4504" t="str">
        <f>"20:39:31.484"</f>
        <v>20:39:31.484</v>
      </c>
      <c r="U4504" t="str">
        <f t="shared" si="223"/>
        <v>AB01F4</v>
      </c>
      <c r="V4504">
        <v>0</v>
      </c>
      <c r="W4504">
        <v>0</v>
      </c>
      <c r="X4504">
        <v>2</v>
      </c>
      <c r="Z4504">
        <v>0</v>
      </c>
      <c r="AA4504">
        <v>9</v>
      </c>
      <c r="AB4504">
        <v>3</v>
      </c>
      <c r="AC4504">
        <v>0</v>
      </c>
      <c r="AD4504">
        <v>10</v>
      </c>
      <c r="AE4504">
        <v>0</v>
      </c>
      <c r="AF4504">
        <v>3</v>
      </c>
      <c r="AG4504">
        <v>2</v>
      </c>
      <c r="AH4504">
        <v>0</v>
      </c>
      <c r="AI4504" t="s">
        <v>2496</v>
      </c>
      <c r="AJ4504">
        <v>40.152326000000002</v>
      </c>
      <c r="AK4504" t="s">
        <v>2497</v>
      </c>
      <c r="AL4504">
        <v>-93.231997000000007</v>
      </c>
      <c r="AM4504">
        <v>100</v>
      </c>
      <c r="AN4504">
        <v>1200</v>
      </c>
      <c r="AO4504" t="s">
        <v>118</v>
      </c>
      <c r="AP4504">
        <v>-130</v>
      </c>
      <c r="AQ4504">
        <v>-50</v>
      </c>
      <c r="AR4504">
        <v>192</v>
      </c>
      <c r="AZ4504">
        <v>1200</v>
      </c>
      <c r="BA4504">
        <v>1</v>
      </c>
      <c r="BB4504" t="str">
        <f t="shared" si="222"/>
        <v xml:space="preserve">N8080G  </v>
      </c>
      <c r="BC4504">
        <v>1</v>
      </c>
      <c r="BE4504">
        <v>0</v>
      </c>
      <c r="BF4504">
        <v>0</v>
      </c>
      <c r="BG4504">
        <v>0</v>
      </c>
      <c r="BH4504">
        <v>1275</v>
      </c>
      <c r="BI4504">
        <v>1</v>
      </c>
      <c r="BJ4504">
        <v>1</v>
      </c>
      <c r="BK4504">
        <v>1</v>
      </c>
      <c r="BL4504">
        <v>0</v>
      </c>
      <c r="BO4504">
        <v>0</v>
      </c>
      <c r="BP4504">
        <v>0</v>
      </c>
      <c r="BW4504" t="str">
        <f>"20:39:31.991"</f>
        <v>20:39:31.991</v>
      </c>
      <c r="BZ4504">
        <v>0</v>
      </c>
      <c r="CA4504">
        <v>1504</v>
      </c>
      <c r="CB4504">
        <v>224</v>
      </c>
      <c r="CD4504">
        <v>1</v>
      </c>
      <c r="CE4504">
        <v>0</v>
      </c>
      <c r="CF4504">
        <v>0</v>
      </c>
      <c r="CG4504">
        <v>1</v>
      </c>
      <c r="CH4504">
        <v>0</v>
      </c>
      <c r="CI4504">
        <v>0</v>
      </c>
      <c r="CJ4504">
        <v>0</v>
      </c>
      <c r="CK4504">
        <v>2</v>
      </c>
      <c r="CL4504">
        <v>0</v>
      </c>
      <c r="CM4504">
        <v>2</v>
      </c>
      <c r="CN4504">
        <v>0</v>
      </c>
      <c r="CO4504">
        <v>2</v>
      </c>
      <c r="CP4504" t="s">
        <v>119</v>
      </c>
      <c r="CQ4504">
        <v>180</v>
      </c>
      <c r="CR4504">
        <v>3</v>
      </c>
      <c r="CW4504">
        <v>1449262</v>
      </c>
      <c r="CY4504">
        <v>1</v>
      </c>
      <c r="CZ4504">
        <v>0</v>
      </c>
      <c r="DA4504">
        <v>1</v>
      </c>
      <c r="DB4504">
        <v>0</v>
      </c>
      <c r="DC4504">
        <v>0</v>
      </c>
      <c r="DD4504">
        <v>0</v>
      </c>
      <c r="DE4504">
        <v>0</v>
      </c>
      <c r="DF4504">
        <v>0</v>
      </c>
      <c r="DG4504">
        <v>0</v>
      </c>
      <c r="DH4504">
        <v>0</v>
      </c>
      <c r="DI4504">
        <v>0</v>
      </c>
    </row>
    <row r="4505" spans="1:113" x14ac:dyDescent="0.3">
      <c r="A4505" t="str">
        <f>"02/08/2021 20:39:29.701"</f>
        <v>02/08/2021 20:39:29.701</v>
      </c>
      <c r="C4505" t="str">
        <f t="shared" si="221"/>
        <v>FFDFD7C0</v>
      </c>
      <c r="D4505" t="s">
        <v>113</v>
      </c>
      <c r="E4505">
        <v>6</v>
      </c>
      <c r="H4505">
        <v>165</v>
      </c>
      <c r="I4505" t="s">
        <v>114</v>
      </c>
      <c r="J4505" t="s">
        <v>115</v>
      </c>
      <c r="K4505">
        <v>0</v>
      </c>
      <c r="L4505">
        <v>3</v>
      </c>
      <c r="M4505">
        <v>0</v>
      </c>
      <c r="N4505">
        <v>2</v>
      </c>
      <c r="O4505">
        <v>1</v>
      </c>
      <c r="P4505">
        <v>0</v>
      </c>
      <c r="Q4505">
        <v>0</v>
      </c>
      <c r="S4505" t="str">
        <f>"20:39:31.984"</f>
        <v>20:39:31.984</v>
      </c>
      <c r="T4505" t="str">
        <f>"20:39:31.484"</f>
        <v>20:39:31.484</v>
      </c>
      <c r="U4505" t="str">
        <f t="shared" si="223"/>
        <v>AB01F4</v>
      </c>
      <c r="V4505">
        <v>0</v>
      </c>
      <c r="W4505">
        <v>0</v>
      </c>
      <c r="X4505">
        <v>2</v>
      </c>
      <c r="Z4505">
        <v>0</v>
      </c>
      <c r="AA4505">
        <v>9</v>
      </c>
      <c r="AB4505">
        <v>3</v>
      </c>
      <c r="AC4505">
        <v>0</v>
      </c>
      <c r="AD4505">
        <v>10</v>
      </c>
      <c r="AE4505">
        <v>0</v>
      </c>
      <c r="AF4505">
        <v>3</v>
      </c>
      <c r="AG4505">
        <v>2</v>
      </c>
      <c r="AH4505">
        <v>0</v>
      </c>
      <c r="AI4505" t="s">
        <v>2496</v>
      </c>
      <c r="AJ4505">
        <v>40.152326000000002</v>
      </c>
      <c r="AK4505" t="s">
        <v>2497</v>
      </c>
      <c r="AL4505">
        <v>-93.231997000000007</v>
      </c>
      <c r="AM4505">
        <v>100</v>
      </c>
      <c r="AN4505">
        <v>1200</v>
      </c>
      <c r="AO4505" t="s">
        <v>118</v>
      </c>
      <c r="AP4505">
        <v>-130</v>
      </c>
      <c r="AQ4505">
        <v>-50</v>
      </c>
      <c r="AR4505">
        <v>192</v>
      </c>
      <c r="AZ4505">
        <v>1200</v>
      </c>
      <c r="BA4505">
        <v>1</v>
      </c>
      <c r="BB4505" t="str">
        <f t="shared" si="222"/>
        <v xml:space="preserve">N8080G  </v>
      </c>
      <c r="BC4505">
        <v>1</v>
      </c>
      <c r="BE4505">
        <v>0</v>
      </c>
      <c r="BF4505">
        <v>0</v>
      </c>
      <c r="BG4505">
        <v>0</v>
      </c>
      <c r="BH4505">
        <v>1275</v>
      </c>
      <c r="BI4505">
        <v>1</v>
      </c>
      <c r="BJ4505">
        <v>1</v>
      </c>
      <c r="BK4505">
        <v>1</v>
      </c>
      <c r="BL4505">
        <v>0</v>
      </c>
      <c r="BO4505">
        <v>0</v>
      </c>
      <c r="BP4505">
        <v>0</v>
      </c>
      <c r="BW4505" t="str">
        <f>"20:39:31.991"</f>
        <v>20:39:31.991</v>
      </c>
      <c r="BZ4505">
        <v>0</v>
      </c>
      <c r="CA4505">
        <v>1504</v>
      </c>
      <c r="CB4505">
        <v>224</v>
      </c>
      <c r="CD4505">
        <v>1</v>
      </c>
      <c r="CE4505">
        <v>0</v>
      </c>
      <c r="CF4505">
        <v>0</v>
      </c>
      <c r="CG4505">
        <v>1</v>
      </c>
      <c r="CH4505">
        <v>0</v>
      </c>
      <c r="CI4505">
        <v>0</v>
      </c>
      <c r="CJ4505">
        <v>0</v>
      </c>
      <c r="CK4505">
        <v>2</v>
      </c>
      <c r="CL4505">
        <v>0</v>
      </c>
      <c r="CM4505">
        <v>2</v>
      </c>
      <c r="CN4505">
        <v>0</v>
      </c>
      <c r="CO4505">
        <v>2</v>
      </c>
      <c r="CP4505" t="s">
        <v>119</v>
      </c>
      <c r="CQ4505">
        <v>180</v>
      </c>
      <c r="CR4505">
        <v>3</v>
      </c>
      <c r="CW4505">
        <v>1449262</v>
      </c>
      <c r="CY4505">
        <v>1</v>
      </c>
      <c r="CZ4505">
        <v>0</v>
      </c>
      <c r="DA4505">
        <v>1</v>
      </c>
      <c r="DB4505">
        <v>0</v>
      </c>
      <c r="DC4505">
        <v>0</v>
      </c>
      <c r="DD4505">
        <v>0</v>
      </c>
      <c r="DE4505">
        <v>0</v>
      </c>
      <c r="DF4505">
        <v>0</v>
      </c>
      <c r="DG4505">
        <v>0</v>
      </c>
      <c r="DH4505">
        <v>0</v>
      </c>
      <c r="DI4505">
        <v>0</v>
      </c>
    </row>
    <row r="4506" spans="1:113" x14ac:dyDescent="0.3">
      <c r="A4506" t="str">
        <f>"02/08/2021 20:39:29.701"</f>
        <v>02/08/2021 20:39:29.701</v>
      </c>
      <c r="C4506" t="str">
        <f t="shared" si="221"/>
        <v>FFDFD7C0</v>
      </c>
      <c r="D4506" t="s">
        <v>124</v>
      </c>
      <c r="E4506">
        <v>13</v>
      </c>
      <c r="F4506">
        <v>1013</v>
      </c>
      <c r="G4506" t="s">
        <v>114</v>
      </c>
      <c r="J4506" t="s">
        <v>125</v>
      </c>
      <c r="K4506">
        <v>0</v>
      </c>
      <c r="L4506">
        <v>3</v>
      </c>
      <c r="M4506">
        <v>0</v>
      </c>
      <c r="N4506">
        <v>2</v>
      </c>
      <c r="O4506">
        <v>1</v>
      </c>
      <c r="P4506">
        <v>0</v>
      </c>
      <c r="Q4506">
        <v>0</v>
      </c>
      <c r="S4506" t="str">
        <f>"20:39:31.984"</f>
        <v>20:39:31.984</v>
      </c>
      <c r="T4506" t="str">
        <f>"20:39:31.484"</f>
        <v>20:39:31.484</v>
      </c>
      <c r="U4506" t="str">
        <f t="shared" si="223"/>
        <v>AB01F4</v>
      </c>
      <c r="V4506">
        <v>0</v>
      </c>
      <c r="W4506">
        <v>0</v>
      </c>
      <c r="X4506">
        <v>2</v>
      </c>
      <c r="Z4506">
        <v>0</v>
      </c>
      <c r="AA4506">
        <v>9</v>
      </c>
      <c r="AB4506">
        <v>3</v>
      </c>
      <c r="AC4506">
        <v>0</v>
      </c>
      <c r="AD4506">
        <v>10</v>
      </c>
      <c r="AE4506">
        <v>0</v>
      </c>
      <c r="AF4506">
        <v>3</v>
      </c>
      <c r="AG4506">
        <v>2</v>
      </c>
      <c r="AH4506">
        <v>0</v>
      </c>
      <c r="AI4506" t="s">
        <v>2496</v>
      </c>
      <c r="AJ4506">
        <v>40.152326000000002</v>
      </c>
      <c r="AK4506" t="s">
        <v>2497</v>
      </c>
      <c r="AL4506">
        <v>-93.231997000000007</v>
      </c>
      <c r="AM4506">
        <v>100</v>
      </c>
      <c r="AN4506">
        <v>1200</v>
      </c>
      <c r="AO4506" t="s">
        <v>118</v>
      </c>
      <c r="AP4506">
        <v>-130</v>
      </c>
      <c r="AQ4506">
        <v>-50</v>
      </c>
      <c r="AR4506">
        <v>192</v>
      </c>
      <c r="AZ4506">
        <v>1200</v>
      </c>
      <c r="BA4506">
        <v>1</v>
      </c>
      <c r="BB4506" t="str">
        <f t="shared" si="222"/>
        <v xml:space="preserve">N8080G  </v>
      </c>
      <c r="BC4506">
        <v>1</v>
      </c>
      <c r="BE4506">
        <v>0</v>
      </c>
      <c r="BF4506">
        <v>0</v>
      </c>
      <c r="BG4506">
        <v>0</v>
      </c>
      <c r="BH4506">
        <v>1275</v>
      </c>
      <c r="BI4506">
        <v>1</v>
      </c>
      <c r="BJ4506">
        <v>1</v>
      </c>
      <c r="BK4506">
        <v>1</v>
      </c>
      <c r="BL4506">
        <v>0</v>
      </c>
      <c r="BO4506">
        <v>0</v>
      </c>
      <c r="BP4506">
        <v>0</v>
      </c>
      <c r="BW4506" t="str">
        <f>"20:39:31.991"</f>
        <v>20:39:31.991</v>
      </c>
      <c r="BZ4506">
        <v>0</v>
      </c>
      <c r="CA4506">
        <v>1504</v>
      </c>
      <c r="CB4506">
        <v>224</v>
      </c>
      <c r="CD4506">
        <v>1</v>
      </c>
      <c r="CE4506">
        <v>0</v>
      </c>
      <c r="CF4506">
        <v>0</v>
      </c>
      <c r="CG4506">
        <v>1</v>
      </c>
      <c r="CH4506">
        <v>0</v>
      </c>
      <c r="CI4506">
        <v>0</v>
      </c>
      <c r="CJ4506">
        <v>0</v>
      </c>
      <c r="CK4506">
        <v>2</v>
      </c>
      <c r="CL4506">
        <v>0</v>
      </c>
      <c r="CM4506">
        <v>2</v>
      </c>
      <c r="CN4506">
        <v>0</v>
      </c>
      <c r="CO4506">
        <v>2</v>
      </c>
      <c r="CP4506" t="s">
        <v>119</v>
      </c>
      <c r="CQ4506">
        <v>180</v>
      </c>
      <c r="CR4506">
        <v>3</v>
      </c>
      <c r="CW4506">
        <v>1449262</v>
      </c>
      <c r="CY4506">
        <v>1</v>
      </c>
      <c r="CZ4506">
        <v>0</v>
      </c>
      <c r="DA4506">
        <v>1</v>
      </c>
      <c r="DB4506">
        <v>0</v>
      </c>
      <c r="DC4506">
        <v>0</v>
      </c>
      <c r="DD4506">
        <v>0</v>
      </c>
      <c r="DE4506">
        <v>0</v>
      </c>
      <c r="DF4506">
        <v>0</v>
      </c>
      <c r="DG4506">
        <v>0</v>
      </c>
      <c r="DH4506">
        <v>0</v>
      </c>
      <c r="DI4506">
        <v>0</v>
      </c>
    </row>
    <row r="4507" spans="1:113" x14ac:dyDescent="0.3">
      <c r="A4507" t="str">
        <f>"02/08/2021 20:39:30.677"</f>
        <v>02/08/2021 20:39:30.677</v>
      </c>
      <c r="C4507" t="str">
        <f t="shared" si="221"/>
        <v>FFDFD7C0</v>
      </c>
      <c r="D4507" t="s">
        <v>124</v>
      </c>
      <c r="E4507">
        <v>13</v>
      </c>
      <c r="F4507">
        <v>1013</v>
      </c>
      <c r="G4507" t="s">
        <v>114</v>
      </c>
      <c r="J4507" t="s">
        <v>125</v>
      </c>
      <c r="K4507">
        <v>0</v>
      </c>
      <c r="L4507">
        <v>3</v>
      </c>
      <c r="M4507">
        <v>0</v>
      </c>
      <c r="N4507">
        <v>2</v>
      </c>
      <c r="O4507">
        <v>1</v>
      </c>
      <c r="P4507">
        <v>0</v>
      </c>
      <c r="Q4507">
        <v>0</v>
      </c>
      <c r="S4507" t="str">
        <f>"20:39:32.977"</f>
        <v>20:39:32.977</v>
      </c>
      <c r="T4507" t="str">
        <f>"20:39:32.477"</f>
        <v>20:39:32.477</v>
      </c>
      <c r="U4507" t="str">
        <f t="shared" si="223"/>
        <v>AB01F4</v>
      </c>
      <c r="V4507">
        <v>0</v>
      </c>
      <c r="W4507">
        <v>0</v>
      </c>
      <c r="X4507">
        <v>2</v>
      </c>
      <c r="Z4507">
        <v>0</v>
      </c>
      <c r="AA4507">
        <v>9</v>
      </c>
      <c r="AB4507">
        <v>3</v>
      </c>
      <c r="AC4507">
        <v>0</v>
      </c>
      <c r="AD4507">
        <v>10</v>
      </c>
      <c r="AE4507">
        <v>0</v>
      </c>
      <c r="AF4507">
        <v>3</v>
      </c>
      <c r="AG4507">
        <v>2</v>
      </c>
      <c r="AH4507">
        <v>0</v>
      </c>
      <c r="AI4507" t="s">
        <v>2498</v>
      </c>
      <c r="AJ4507">
        <v>40.152090000000001</v>
      </c>
      <c r="AK4507" t="s">
        <v>2499</v>
      </c>
      <c r="AL4507">
        <v>-93.232791000000006</v>
      </c>
      <c r="AM4507">
        <v>100</v>
      </c>
      <c r="AN4507">
        <v>1200</v>
      </c>
      <c r="AO4507" t="s">
        <v>118</v>
      </c>
      <c r="AP4507">
        <v>-129</v>
      </c>
      <c r="AQ4507">
        <v>-51</v>
      </c>
      <c r="AR4507">
        <v>192</v>
      </c>
      <c r="AZ4507">
        <v>1200</v>
      </c>
      <c r="BA4507">
        <v>1</v>
      </c>
      <c r="BB4507" t="str">
        <f t="shared" si="222"/>
        <v xml:space="preserve">N8080G  </v>
      </c>
      <c r="BC4507">
        <v>1</v>
      </c>
      <c r="BE4507">
        <v>0</v>
      </c>
      <c r="BF4507">
        <v>0</v>
      </c>
      <c r="BG4507">
        <v>0</v>
      </c>
      <c r="BH4507">
        <v>1275</v>
      </c>
      <c r="BI4507">
        <v>1</v>
      </c>
      <c r="BJ4507">
        <v>1</v>
      </c>
      <c r="BK4507">
        <v>1</v>
      </c>
      <c r="BL4507">
        <v>0</v>
      </c>
      <c r="BO4507">
        <v>0</v>
      </c>
      <c r="BP4507">
        <v>0</v>
      </c>
      <c r="BW4507" t="str">
        <f>"20:39:32.977"</f>
        <v>20:39:32.977</v>
      </c>
      <c r="BZ4507">
        <v>0</v>
      </c>
      <c r="CA4507">
        <v>1504</v>
      </c>
      <c r="CB4507">
        <v>224</v>
      </c>
      <c r="CD4507">
        <v>1</v>
      </c>
      <c r="CE4507">
        <v>0</v>
      </c>
      <c r="CF4507">
        <v>0</v>
      </c>
      <c r="CG4507">
        <v>1</v>
      </c>
      <c r="CH4507">
        <v>0</v>
      </c>
      <c r="CI4507">
        <v>0</v>
      </c>
      <c r="CJ4507">
        <v>0</v>
      </c>
      <c r="CK4507">
        <v>2</v>
      </c>
      <c r="CL4507">
        <v>0</v>
      </c>
      <c r="CM4507">
        <v>2</v>
      </c>
      <c r="CN4507">
        <v>0</v>
      </c>
      <c r="CO4507">
        <v>2</v>
      </c>
      <c r="CP4507" t="s">
        <v>119</v>
      </c>
      <c r="CQ4507">
        <v>180</v>
      </c>
      <c r="CR4507">
        <v>3</v>
      </c>
      <c r="CW4507">
        <v>1450019</v>
      </c>
      <c r="CY4507">
        <v>1</v>
      </c>
      <c r="CZ4507">
        <v>0</v>
      </c>
      <c r="DA4507">
        <v>0</v>
      </c>
      <c r="DB4507">
        <v>0</v>
      </c>
      <c r="DC4507">
        <v>0</v>
      </c>
      <c r="DD4507">
        <v>0</v>
      </c>
      <c r="DE4507">
        <v>0</v>
      </c>
      <c r="DF4507">
        <v>0</v>
      </c>
      <c r="DG4507">
        <v>0</v>
      </c>
      <c r="DH4507">
        <v>0</v>
      </c>
      <c r="DI4507">
        <v>0</v>
      </c>
    </row>
    <row r="4508" spans="1:113" x14ac:dyDescent="0.3">
      <c r="A4508" t="str">
        <f>"02/08/2021 20:39:30.677"</f>
        <v>02/08/2021 20:39:30.677</v>
      </c>
      <c r="C4508" t="str">
        <f t="shared" si="221"/>
        <v>FFDFD7C0</v>
      </c>
      <c r="D4508" t="s">
        <v>113</v>
      </c>
      <c r="E4508">
        <v>6</v>
      </c>
      <c r="H4508">
        <v>165</v>
      </c>
      <c r="I4508" t="s">
        <v>114</v>
      </c>
      <c r="J4508" t="s">
        <v>115</v>
      </c>
      <c r="K4508">
        <v>0</v>
      </c>
      <c r="L4508">
        <v>3</v>
      </c>
      <c r="M4508">
        <v>0</v>
      </c>
      <c r="N4508">
        <v>2</v>
      </c>
      <c r="O4508">
        <v>1</v>
      </c>
      <c r="P4508">
        <v>0</v>
      </c>
      <c r="Q4508">
        <v>0</v>
      </c>
      <c r="S4508" t="str">
        <f>"20:39:32.977"</f>
        <v>20:39:32.977</v>
      </c>
      <c r="T4508" t="str">
        <f>"20:39:32.477"</f>
        <v>20:39:32.477</v>
      </c>
      <c r="U4508" t="str">
        <f t="shared" si="223"/>
        <v>AB01F4</v>
      </c>
      <c r="V4508">
        <v>0</v>
      </c>
      <c r="W4508">
        <v>0</v>
      </c>
      <c r="X4508">
        <v>2</v>
      </c>
      <c r="Z4508">
        <v>0</v>
      </c>
      <c r="AA4508">
        <v>9</v>
      </c>
      <c r="AB4508">
        <v>3</v>
      </c>
      <c r="AC4508">
        <v>0</v>
      </c>
      <c r="AD4508">
        <v>10</v>
      </c>
      <c r="AE4508">
        <v>0</v>
      </c>
      <c r="AF4508">
        <v>3</v>
      </c>
      <c r="AG4508">
        <v>2</v>
      </c>
      <c r="AH4508">
        <v>0</v>
      </c>
      <c r="AI4508" t="s">
        <v>2498</v>
      </c>
      <c r="AJ4508">
        <v>40.152090000000001</v>
      </c>
      <c r="AK4508" t="s">
        <v>2499</v>
      </c>
      <c r="AL4508">
        <v>-93.232791000000006</v>
      </c>
      <c r="AM4508">
        <v>100</v>
      </c>
      <c r="AN4508">
        <v>1200</v>
      </c>
      <c r="AO4508" t="s">
        <v>118</v>
      </c>
      <c r="AP4508">
        <v>-129</v>
      </c>
      <c r="AQ4508">
        <v>-51</v>
      </c>
      <c r="AR4508">
        <v>192</v>
      </c>
      <c r="AZ4508">
        <v>1200</v>
      </c>
      <c r="BA4508">
        <v>1</v>
      </c>
      <c r="BB4508" t="str">
        <f t="shared" si="222"/>
        <v xml:space="preserve">N8080G  </v>
      </c>
      <c r="BC4508">
        <v>1</v>
      </c>
      <c r="BE4508">
        <v>0</v>
      </c>
      <c r="BF4508">
        <v>0</v>
      </c>
      <c r="BG4508">
        <v>0</v>
      </c>
      <c r="BH4508">
        <v>1275</v>
      </c>
      <c r="BI4508">
        <v>1</v>
      </c>
      <c r="BJ4508">
        <v>1</v>
      </c>
      <c r="BK4508">
        <v>1</v>
      </c>
      <c r="BL4508">
        <v>0</v>
      </c>
      <c r="BO4508">
        <v>0</v>
      </c>
      <c r="BP4508">
        <v>0</v>
      </c>
      <c r="BW4508" t="str">
        <f>"20:39:32.977"</f>
        <v>20:39:32.977</v>
      </c>
      <c r="BZ4508">
        <v>0</v>
      </c>
      <c r="CA4508">
        <v>1504</v>
      </c>
      <c r="CB4508">
        <v>224</v>
      </c>
      <c r="CD4508">
        <v>1</v>
      </c>
      <c r="CE4508">
        <v>0</v>
      </c>
      <c r="CF4508">
        <v>0</v>
      </c>
      <c r="CG4508">
        <v>1</v>
      </c>
      <c r="CH4508">
        <v>0</v>
      </c>
      <c r="CI4508">
        <v>0</v>
      </c>
      <c r="CJ4508">
        <v>0</v>
      </c>
      <c r="CK4508">
        <v>2</v>
      </c>
      <c r="CL4508">
        <v>0</v>
      </c>
      <c r="CM4508">
        <v>2</v>
      </c>
      <c r="CN4508">
        <v>0</v>
      </c>
      <c r="CO4508">
        <v>2</v>
      </c>
      <c r="CP4508" t="s">
        <v>119</v>
      </c>
      <c r="CQ4508">
        <v>180</v>
      </c>
      <c r="CR4508">
        <v>3</v>
      </c>
      <c r="CW4508">
        <v>1450019</v>
      </c>
      <c r="CY4508">
        <v>1</v>
      </c>
      <c r="CZ4508">
        <v>0</v>
      </c>
      <c r="DA4508">
        <v>1</v>
      </c>
      <c r="DB4508">
        <v>0</v>
      </c>
      <c r="DC4508">
        <v>0</v>
      </c>
      <c r="DD4508">
        <v>0</v>
      </c>
      <c r="DE4508">
        <v>0</v>
      </c>
      <c r="DF4508">
        <v>0</v>
      </c>
      <c r="DG4508">
        <v>0</v>
      </c>
      <c r="DH4508">
        <v>0</v>
      </c>
      <c r="DI4508">
        <v>0</v>
      </c>
    </row>
    <row r="4509" spans="1:113" x14ac:dyDescent="0.3">
      <c r="A4509" t="str">
        <f>"02/08/2021 20:39:30.677"</f>
        <v>02/08/2021 20:39:30.677</v>
      </c>
      <c r="C4509" t="str">
        <f t="shared" si="221"/>
        <v>FFDFD7C0</v>
      </c>
      <c r="D4509" t="s">
        <v>124</v>
      </c>
      <c r="E4509">
        <v>12</v>
      </c>
      <c r="F4509">
        <v>1012</v>
      </c>
      <c r="G4509" t="s">
        <v>675</v>
      </c>
      <c r="J4509" t="s">
        <v>125</v>
      </c>
      <c r="K4509">
        <v>0</v>
      </c>
      <c r="L4509">
        <v>3</v>
      </c>
      <c r="M4509">
        <v>0</v>
      </c>
      <c r="N4509">
        <v>2</v>
      </c>
      <c r="O4509">
        <v>1</v>
      </c>
      <c r="P4509">
        <v>0</v>
      </c>
      <c r="Q4509">
        <v>0</v>
      </c>
      <c r="S4509" t="str">
        <f>"20:39:32.977"</f>
        <v>20:39:32.977</v>
      </c>
      <c r="T4509" t="str">
        <f>"20:39:32.477"</f>
        <v>20:39:32.477</v>
      </c>
      <c r="U4509" t="str">
        <f t="shared" si="223"/>
        <v>AB01F4</v>
      </c>
      <c r="V4509">
        <v>0</v>
      </c>
      <c r="W4509">
        <v>0</v>
      </c>
      <c r="X4509">
        <v>2</v>
      </c>
      <c r="Z4509">
        <v>0</v>
      </c>
      <c r="AA4509">
        <v>9</v>
      </c>
      <c r="AB4509">
        <v>3</v>
      </c>
      <c r="AC4509">
        <v>0</v>
      </c>
      <c r="AD4509">
        <v>10</v>
      </c>
      <c r="AE4509">
        <v>0</v>
      </c>
      <c r="AF4509">
        <v>3</v>
      </c>
      <c r="AG4509">
        <v>2</v>
      </c>
      <c r="AH4509">
        <v>0</v>
      </c>
      <c r="AI4509" t="s">
        <v>2498</v>
      </c>
      <c r="AJ4509">
        <v>40.152090000000001</v>
      </c>
      <c r="AK4509" t="s">
        <v>2499</v>
      </c>
      <c r="AL4509">
        <v>-93.232791000000006</v>
      </c>
      <c r="AM4509">
        <v>100</v>
      </c>
      <c r="AN4509">
        <v>1200</v>
      </c>
      <c r="AO4509" t="s">
        <v>118</v>
      </c>
      <c r="AP4509">
        <v>-129</v>
      </c>
      <c r="AQ4509">
        <v>-51</v>
      </c>
      <c r="AR4509">
        <v>192</v>
      </c>
      <c r="AZ4509">
        <v>1200</v>
      </c>
      <c r="BA4509">
        <v>1</v>
      </c>
      <c r="BB4509" t="str">
        <f t="shared" si="222"/>
        <v xml:space="preserve">N8080G  </v>
      </c>
      <c r="BC4509">
        <v>1</v>
      </c>
      <c r="BE4509">
        <v>0</v>
      </c>
      <c r="BF4509">
        <v>0</v>
      </c>
      <c r="BG4509">
        <v>0</v>
      </c>
      <c r="BH4509">
        <v>1275</v>
      </c>
      <c r="BI4509">
        <v>1</v>
      </c>
      <c r="BJ4509">
        <v>1</v>
      </c>
      <c r="BK4509">
        <v>1</v>
      </c>
      <c r="BL4509">
        <v>0</v>
      </c>
      <c r="BO4509">
        <v>0</v>
      </c>
      <c r="BP4509">
        <v>0</v>
      </c>
      <c r="BW4509" t="str">
        <f>"20:39:32.977"</f>
        <v>20:39:32.977</v>
      </c>
      <c r="BZ4509">
        <v>0</v>
      </c>
      <c r="CA4509">
        <v>1504</v>
      </c>
      <c r="CB4509">
        <v>224</v>
      </c>
      <c r="CD4509">
        <v>1</v>
      </c>
      <c r="CE4509">
        <v>0</v>
      </c>
      <c r="CF4509">
        <v>0</v>
      </c>
      <c r="CG4509">
        <v>1</v>
      </c>
      <c r="CH4509">
        <v>0</v>
      </c>
      <c r="CI4509">
        <v>0</v>
      </c>
      <c r="CJ4509">
        <v>0</v>
      </c>
      <c r="CK4509">
        <v>2</v>
      </c>
      <c r="CL4509">
        <v>0</v>
      </c>
      <c r="CM4509">
        <v>2</v>
      </c>
      <c r="CN4509">
        <v>0</v>
      </c>
      <c r="CO4509">
        <v>2</v>
      </c>
      <c r="CP4509" t="s">
        <v>119</v>
      </c>
      <c r="CQ4509">
        <v>180</v>
      </c>
      <c r="CR4509">
        <v>3</v>
      </c>
      <c r="CW4509">
        <v>1450019</v>
      </c>
      <c r="CY4509">
        <v>1</v>
      </c>
      <c r="CZ4509">
        <v>0</v>
      </c>
      <c r="DA4509">
        <v>1</v>
      </c>
      <c r="DB4509">
        <v>0</v>
      </c>
      <c r="DC4509">
        <v>0</v>
      </c>
      <c r="DD4509">
        <v>0</v>
      </c>
      <c r="DE4509">
        <v>0</v>
      </c>
      <c r="DF4509">
        <v>0</v>
      </c>
      <c r="DG4509">
        <v>0</v>
      </c>
      <c r="DH4509">
        <v>0</v>
      </c>
      <c r="DI4509">
        <v>0</v>
      </c>
    </row>
    <row r="4510" spans="1:113" x14ac:dyDescent="0.3">
      <c r="A4510" t="str">
        <f>"02/08/2021 20:39:30.677"</f>
        <v>02/08/2021 20:39:30.677</v>
      </c>
      <c r="C4510" t="str">
        <f t="shared" si="221"/>
        <v>FFDFD7C0</v>
      </c>
      <c r="D4510" t="s">
        <v>124</v>
      </c>
      <c r="E4510">
        <v>11</v>
      </c>
      <c r="F4510">
        <v>1011</v>
      </c>
      <c r="G4510" t="s">
        <v>590</v>
      </c>
      <c r="J4510" t="s">
        <v>125</v>
      </c>
      <c r="K4510">
        <v>0</v>
      </c>
      <c r="L4510">
        <v>3</v>
      </c>
      <c r="M4510">
        <v>0</v>
      </c>
      <c r="N4510">
        <v>2</v>
      </c>
      <c r="O4510">
        <v>1</v>
      </c>
      <c r="P4510">
        <v>0</v>
      </c>
      <c r="Q4510">
        <v>0</v>
      </c>
      <c r="S4510" t="str">
        <f>"20:39:32.977"</f>
        <v>20:39:32.977</v>
      </c>
      <c r="T4510" t="str">
        <f>"20:39:32.477"</f>
        <v>20:39:32.477</v>
      </c>
      <c r="U4510" t="str">
        <f t="shared" si="223"/>
        <v>AB01F4</v>
      </c>
      <c r="V4510">
        <v>0</v>
      </c>
      <c r="W4510">
        <v>0</v>
      </c>
      <c r="X4510">
        <v>2</v>
      </c>
      <c r="Z4510">
        <v>0</v>
      </c>
      <c r="AA4510">
        <v>9</v>
      </c>
      <c r="AB4510">
        <v>3</v>
      </c>
      <c r="AC4510">
        <v>0</v>
      </c>
      <c r="AD4510">
        <v>10</v>
      </c>
      <c r="AE4510">
        <v>0</v>
      </c>
      <c r="AF4510">
        <v>3</v>
      </c>
      <c r="AG4510">
        <v>2</v>
      </c>
      <c r="AH4510">
        <v>0</v>
      </c>
      <c r="AI4510" t="s">
        <v>2498</v>
      </c>
      <c r="AJ4510">
        <v>40.152090000000001</v>
      </c>
      <c r="AK4510" t="s">
        <v>2499</v>
      </c>
      <c r="AL4510">
        <v>-93.232791000000006</v>
      </c>
      <c r="AM4510">
        <v>100</v>
      </c>
      <c r="AN4510">
        <v>1200</v>
      </c>
      <c r="AO4510" t="s">
        <v>118</v>
      </c>
      <c r="AP4510">
        <v>-129</v>
      </c>
      <c r="AQ4510">
        <v>-51</v>
      </c>
      <c r="AR4510">
        <v>192</v>
      </c>
      <c r="AZ4510">
        <v>1200</v>
      </c>
      <c r="BA4510">
        <v>1</v>
      </c>
      <c r="BB4510" t="str">
        <f t="shared" si="222"/>
        <v xml:space="preserve">N8080G  </v>
      </c>
      <c r="BC4510">
        <v>1</v>
      </c>
      <c r="BE4510">
        <v>0</v>
      </c>
      <c r="BF4510">
        <v>0</v>
      </c>
      <c r="BG4510">
        <v>0</v>
      </c>
      <c r="BH4510">
        <v>1275</v>
      </c>
      <c r="BI4510">
        <v>1</v>
      </c>
      <c r="BJ4510">
        <v>1</v>
      </c>
      <c r="BK4510">
        <v>1</v>
      </c>
      <c r="BL4510">
        <v>0</v>
      </c>
      <c r="BO4510">
        <v>0</v>
      </c>
      <c r="BP4510">
        <v>0</v>
      </c>
      <c r="BW4510" t="str">
        <f>"20:39:32.977"</f>
        <v>20:39:32.977</v>
      </c>
      <c r="BZ4510">
        <v>0</v>
      </c>
      <c r="CA4510">
        <v>1504</v>
      </c>
      <c r="CB4510">
        <v>224</v>
      </c>
      <c r="CD4510">
        <v>1</v>
      </c>
      <c r="CE4510">
        <v>0</v>
      </c>
      <c r="CF4510">
        <v>0</v>
      </c>
      <c r="CG4510">
        <v>1</v>
      </c>
      <c r="CH4510">
        <v>0</v>
      </c>
      <c r="CI4510">
        <v>0</v>
      </c>
      <c r="CJ4510">
        <v>0</v>
      </c>
      <c r="CK4510">
        <v>2</v>
      </c>
      <c r="CL4510">
        <v>0</v>
      </c>
      <c r="CM4510">
        <v>2</v>
      </c>
      <c r="CN4510">
        <v>0</v>
      </c>
      <c r="CO4510">
        <v>2</v>
      </c>
      <c r="CP4510" t="s">
        <v>119</v>
      </c>
      <c r="CQ4510">
        <v>180</v>
      </c>
      <c r="CR4510">
        <v>3</v>
      </c>
      <c r="CW4510">
        <v>1450019</v>
      </c>
      <c r="CY4510">
        <v>1</v>
      </c>
      <c r="CZ4510">
        <v>0</v>
      </c>
      <c r="DA4510">
        <v>1</v>
      </c>
      <c r="DB4510">
        <v>0</v>
      </c>
      <c r="DC4510">
        <v>0</v>
      </c>
      <c r="DD4510">
        <v>0</v>
      </c>
      <c r="DE4510">
        <v>0</v>
      </c>
      <c r="DF4510">
        <v>0</v>
      </c>
      <c r="DG4510">
        <v>0</v>
      </c>
      <c r="DH4510">
        <v>0</v>
      </c>
      <c r="DI4510">
        <v>0</v>
      </c>
    </row>
    <row r="4511" spans="1:113" x14ac:dyDescent="0.3">
      <c r="A4511" t="str">
        <f>"02/08/2021 20:39:31.640"</f>
        <v>02/08/2021 20:39:31.640</v>
      </c>
      <c r="C4511" t="str">
        <f t="shared" si="221"/>
        <v>FFDFD7C0</v>
      </c>
      <c r="D4511" t="s">
        <v>113</v>
      </c>
      <c r="E4511">
        <v>6</v>
      </c>
      <c r="H4511">
        <v>165</v>
      </c>
      <c r="I4511" t="s">
        <v>114</v>
      </c>
      <c r="J4511" t="s">
        <v>115</v>
      </c>
      <c r="K4511">
        <v>0</v>
      </c>
      <c r="L4511">
        <v>3</v>
      </c>
      <c r="M4511">
        <v>0</v>
      </c>
      <c r="N4511">
        <v>2</v>
      </c>
      <c r="O4511">
        <v>1</v>
      </c>
      <c r="P4511">
        <v>0</v>
      </c>
      <c r="Q4511">
        <v>0</v>
      </c>
      <c r="S4511" t="str">
        <f>"20:39:33.945"</f>
        <v>20:39:33.945</v>
      </c>
      <c r="T4511" t="str">
        <f>"20:39:33.445"</f>
        <v>20:39:33.445</v>
      </c>
      <c r="U4511" t="str">
        <f t="shared" si="223"/>
        <v>AB01F4</v>
      </c>
      <c r="V4511">
        <v>0</v>
      </c>
      <c r="W4511">
        <v>0</v>
      </c>
      <c r="X4511">
        <v>2</v>
      </c>
      <c r="Z4511">
        <v>0</v>
      </c>
      <c r="AA4511">
        <v>9</v>
      </c>
      <c r="AB4511">
        <v>3</v>
      </c>
      <c r="AC4511">
        <v>0</v>
      </c>
      <c r="AD4511">
        <v>10</v>
      </c>
      <c r="AE4511">
        <v>0</v>
      </c>
      <c r="AF4511">
        <v>3</v>
      </c>
      <c r="AG4511">
        <v>2</v>
      </c>
      <c r="AH4511">
        <v>0</v>
      </c>
      <c r="AI4511" t="s">
        <v>2500</v>
      </c>
      <c r="AJ4511">
        <v>40.151831999999999</v>
      </c>
      <c r="AK4511" t="s">
        <v>2501</v>
      </c>
      <c r="AL4511">
        <v>-93.233520999999996</v>
      </c>
      <c r="AM4511">
        <v>100</v>
      </c>
      <c r="AN4511">
        <v>1200</v>
      </c>
      <c r="AO4511" t="s">
        <v>118</v>
      </c>
      <c r="AP4511">
        <v>-129</v>
      </c>
      <c r="AQ4511">
        <v>-51</v>
      </c>
      <c r="AR4511">
        <v>256</v>
      </c>
      <c r="AZ4511">
        <v>1200</v>
      </c>
      <c r="BA4511">
        <v>1</v>
      </c>
      <c r="BB4511" t="str">
        <f t="shared" si="222"/>
        <v xml:space="preserve">N8080G  </v>
      </c>
      <c r="BC4511">
        <v>1</v>
      </c>
      <c r="BE4511">
        <v>0</v>
      </c>
      <c r="BF4511">
        <v>0</v>
      </c>
      <c r="BG4511">
        <v>0</v>
      </c>
      <c r="BH4511">
        <v>1275</v>
      </c>
      <c r="BI4511">
        <v>1</v>
      </c>
      <c r="BJ4511">
        <v>1</v>
      </c>
      <c r="BK4511">
        <v>1</v>
      </c>
      <c r="BL4511">
        <v>0</v>
      </c>
      <c r="BO4511">
        <v>0</v>
      </c>
      <c r="BP4511">
        <v>0</v>
      </c>
      <c r="BW4511" t="str">
        <f>"20:39:33.952"</f>
        <v>20:39:33.952</v>
      </c>
      <c r="BZ4511">
        <v>0</v>
      </c>
      <c r="CA4511">
        <v>1504</v>
      </c>
      <c r="CB4511">
        <v>224</v>
      </c>
      <c r="CD4511">
        <v>1</v>
      </c>
      <c r="CE4511">
        <v>0</v>
      </c>
      <c r="CF4511">
        <v>0</v>
      </c>
      <c r="CG4511">
        <v>1</v>
      </c>
      <c r="CH4511">
        <v>0</v>
      </c>
      <c r="CI4511">
        <v>0</v>
      </c>
      <c r="CJ4511">
        <v>0</v>
      </c>
      <c r="CK4511">
        <v>2</v>
      </c>
      <c r="CL4511">
        <v>0</v>
      </c>
      <c r="CM4511">
        <v>2</v>
      </c>
      <c r="CN4511">
        <v>0</v>
      </c>
      <c r="CO4511">
        <v>2</v>
      </c>
      <c r="CP4511" t="s">
        <v>119</v>
      </c>
      <c r="CQ4511">
        <v>180</v>
      </c>
      <c r="CR4511">
        <v>3</v>
      </c>
      <c r="CW4511">
        <v>1450829</v>
      </c>
      <c r="CY4511">
        <v>1</v>
      </c>
      <c r="CZ4511">
        <v>0</v>
      </c>
      <c r="DA4511">
        <v>0</v>
      </c>
      <c r="DB4511">
        <v>0</v>
      </c>
      <c r="DC4511">
        <v>0</v>
      </c>
      <c r="DD4511">
        <v>0</v>
      </c>
      <c r="DE4511">
        <v>0</v>
      </c>
      <c r="DF4511">
        <v>0</v>
      </c>
      <c r="DG4511">
        <v>0</v>
      </c>
      <c r="DH4511">
        <v>0</v>
      </c>
      <c r="DI4511">
        <v>0</v>
      </c>
    </row>
    <row r="4512" spans="1:113" x14ac:dyDescent="0.3">
      <c r="A4512" t="str">
        <f>"02/08/2021 20:39:31.640"</f>
        <v>02/08/2021 20:39:31.640</v>
      </c>
      <c r="C4512" t="str">
        <f t="shared" si="221"/>
        <v>FFDFD7C0</v>
      </c>
      <c r="D4512" t="s">
        <v>124</v>
      </c>
      <c r="E4512">
        <v>12</v>
      </c>
      <c r="F4512">
        <v>1012</v>
      </c>
      <c r="G4512" t="s">
        <v>675</v>
      </c>
      <c r="J4512" t="s">
        <v>125</v>
      </c>
      <c r="K4512">
        <v>0</v>
      </c>
      <c r="L4512">
        <v>3</v>
      </c>
      <c r="M4512">
        <v>0</v>
      </c>
      <c r="N4512">
        <v>2</v>
      </c>
      <c r="O4512">
        <v>1</v>
      </c>
      <c r="P4512">
        <v>0</v>
      </c>
      <c r="Q4512">
        <v>0</v>
      </c>
      <c r="S4512" t="str">
        <f>"20:39:33.945"</f>
        <v>20:39:33.945</v>
      </c>
      <c r="T4512" t="str">
        <f>"20:39:33.445"</f>
        <v>20:39:33.445</v>
      </c>
      <c r="U4512" t="str">
        <f t="shared" si="223"/>
        <v>AB01F4</v>
      </c>
      <c r="V4512">
        <v>0</v>
      </c>
      <c r="W4512">
        <v>0</v>
      </c>
      <c r="X4512">
        <v>2</v>
      </c>
      <c r="Z4512">
        <v>0</v>
      </c>
      <c r="AA4512">
        <v>9</v>
      </c>
      <c r="AB4512">
        <v>3</v>
      </c>
      <c r="AC4512">
        <v>0</v>
      </c>
      <c r="AD4512">
        <v>10</v>
      </c>
      <c r="AE4512">
        <v>0</v>
      </c>
      <c r="AF4512">
        <v>3</v>
      </c>
      <c r="AG4512">
        <v>2</v>
      </c>
      <c r="AH4512">
        <v>0</v>
      </c>
      <c r="AI4512" t="s">
        <v>2500</v>
      </c>
      <c r="AJ4512">
        <v>40.151831999999999</v>
      </c>
      <c r="AK4512" t="s">
        <v>2501</v>
      </c>
      <c r="AL4512">
        <v>-93.233520999999996</v>
      </c>
      <c r="AM4512">
        <v>100</v>
      </c>
      <c r="AN4512">
        <v>1200</v>
      </c>
      <c r="AO4512" t="s">
        <v>118</v>
      </c>
      <c r="AP4512">
        <v>-129</v>
      </c>
      <c r="AQ4512">
        <v>-51</v>
      </c>
      <c r="AR4512">
        <v>256</v>
      </c>
      <c r="AZ4512">
        <v>1200</v>
      </c>
      <c r="BA4512">
        <v>1</v>
      </c>
      <c r="BB4512" t="str">
        <f t="shared" si="222"/>
        <v xml:space="preserve">N8080G  </v>
      </c>
      <c r="BC4512">
        <v>1</v>
      </c>
      <c r="BE4512">
        <v>0</v>
      </c>
      <c r="BF4512">
        <v>0</v>
      </c>
      <c r="BG4512">
        <v>0</v>
      </c>
      <c r="BH4512">
        <v>1275</v>
      </c>
      <c r="BI4512">
        <v>1</v>
      </c>
      <c r="BJ4512">
        <v>1</v>
      </c>
      <c r="BK4512">
        <v>1</v>
      </c>
      <c r="BL4512">
        <v>0</v>
      </c>
      <c r="BO4512">
        <v>0</v>
      </c>
      <c r="BP4512">
        <v>0</v>
      </c>
      <c r="BW4512" t="str">
        <f>"20:39:33.952"</f>
        <v>20:39:33.952</v>
      </c>
      <c r="BZ4512">
        <v>0</v>
      </c>
      <c r="CA4512">
        <v>1504</v>
      </c>
      <c r="CB4512">
        <v>224</v>
      </c>
      <c r="CD4512">
        <v>1</v>
      </c>
      <c r="CE4512">
        <v>0</v>
      </c>
      <c r="CF4512">
        <v>0</v>
      </c>
      <c r="CG4512">
        <v>1</v>
      </c>
      <c r="CH4512">
        <v>0</v>
      </c>
      <c r="CI4512">
        <v>0</v>
      </c>
      <c r="CJ4512">
        <v>0</v>
      </c>
      <c r="CK4512">
        <v>2</v>
      </c>
      <c r="CL4512">
        <v>0</v>
      </c>
      <c r="CM4512">
        <v>2</v>
      </c>
      <c r="CN4512">
        <v>0</v>
      </c>
      <c r="CO4512">
        <v>2</v>
      </c>
      <c r="CP4512" t="s">
        <v>119</v>
      </c>
      <c r="CQ4512">
        <v>180</v>
      </c>
      <c r="CR4512">
        <v>3</v>
      </c>
      <c r="CW4512">
        <v>1450829</v>
      </c>
      <c r="CY4512">
        <v>1</v>
      </c>
      <c r="CZ4512">
        <v>0</v>
      </c>
      <c r="DA4512">
        <v>1</v>
      </c>
      <c r="DB4512">
        <v>0</v>
      </c>
      <c r="DC4512">
        <v>0</v>
      </c>
      <c r="DD4512">
        <v>0</v>
      </c>
      <c r="DE4512">
        <v>0</v>
      </c>
      <c r="DF4512">
        <v>0</v>
      </c>
      <c r="DG4512">
        <v>0</v>
      </c>
      <c r="DH4512">
        <v>0</v>
      </c>
      <c r="DI4512">
        <v>0</v>
      </c>
    </row>
    <row r="4513" spans="1:113" x14ac:dyDescent="0.3">
      <c r="A4513" t="str">
        <f>"02/08/2021 20:39:31.640"</f>
        <v>02/08/2021 20:39:31.640</v>
      </c>
      <c r="C4513" t="str">
        <f t="shared" si="221"/>
        <v>FFDFD7C0</v>
      </c>
      <c r="D4513" t="s">
        <v>124</v>
      </c>
      <c r="E4513">
        <v>11</v>
      </c>
      <c r="F4513">
        <v>1011</v>
      </c>
      <c r="G4513" t="s">
        <v>590</v>
      </c>
      <c r="J4513" t="s">
        <v>125</v>
      </c>
      <c r="K4513">
        <v>0</v>
      </c>
      <c r="L4513">
        <v>3</v>
      </c>
      <c r="M4513">
        <v>0</v>
      </c>
      <c r="N4513">
        <v>2</v>
      </c>
      <c r="O4513">
        <v>1</v>
      </c>
      <c r="P4513">
        <v>0</v>
      </c>
      <c r="Q4513">
        <v>0</v>
      </c>
      <c r="S4513" t="str">
        <f>"20:39:33.945"</f>
        <v>20:39:33.945</v>
      </c>
      <c r="T4513" t="str">
        <f>"20:39:33.445"</f>
        <v>20:39:33.445</v>
      </c>
      <c r="U4513" t="str">
        <f t="shared" si="223"/>
        <v>AB01F4</v>
      </c>
      <c r="V4513">
        <v>0</v>
      </c>
      <c r="W4513">
        <v>0</v>
      </c>
      <c r="X4513">
        <v>2</v>
      </c>
      <c r="Z4513">
        <v>0</v>
      </c>
      <c r="AA4513">
        <v>9</v>
      </c>
      <c r="AB4513">
        <v>3</v>
      </c>
      <c r="AC4513">
        <v>0</v>
      </c>
      <c r="AD4513">
        <v>10</v>
      </c>
      <c r="AE4513">
        <v>0</v>
      </c>
      <c r="AF4513">
        <v>3</v>
      </c>
      <c r="AG4513">
        <v>2</v>
      </c>
      <c r="AH4513">
        <v>0</v>
      </c>
      <c r="AI4513" t="s">
        <v>2500</v>
      </c>
      <c r="AJ4513">
        <v>40.151831999999999</v>
      </c>
      <c r="AK4513" t="s">
        <v>2501</v>
      </c>
      <c r="AL4513">
        <v>-93.233520999999996</v>
      </c>
      <c r="AM4513">
        <v>100</v>
      </c>
      <c r="AN4513">
        <v>1200</v>
      </c>
      <c r="AO4513" t="s">
        <v>118</v>
      </c>
      <c r="AP4513">
        <v>-129</v>
      </c>
      <c r="AQ4513">
        <v>-51</v>
      </c>
      <c r="AR4513">
        <v>256</v>
      </c>
      <c r="AZ4513">
        <v>1200</v>
      </c>
      <c r="BA4513">
        <v>1</v>
      </c>
      <c r="BB4513" t="str">
        <f t="shared" si="222"/>
        <v xml:space="preserve">N8080G  </v>
      </c>
      <c r="BC4513">
        <v>1</v>
      </c>
      <c r="BE4513">
        <v>0</v>
      </c>
      <c r="BF4513">
        <v>0</v>
      </c>
      <c r="BG4513">
        <v>0</v>
      </c>
      <c r="BH4513">
        <v>1275</v>
      </c>
      <c r="BI4513">
        <v>1</v>
      </c>
      <c r="BJ4513">
        <v>1</v>
      </c>
      <c r="BK4513">
        <v>1</v>
      </c>
      <c r="BL4513">
        <v>0</v>
      </c>
      <c r="BO4513">
        <v>0</v>
      </c>
      <c r="BP4513">
        <v>0</v>
      </c>
      <c r="BW4513" t="str">
        <f>"20:39:33.952"</f>
        <v>20:39:33.952</v>
      </c>
      <c r="BZ4513">
        <v>0</v>
      </c>
      <c r="CA4513">
        <v>1504</v>
      </c>
      <c r="CB4513">
        <v>224</v>
      </c>
      <c r="CD4513">
        <v>1</v>
      </c>
      <c r="CE4513">
        <v>0</v>
      </c>
      <c r="CF4513">
        <v>0</v>
      </c>
      <c r="CG4513">
        <v>1</v>
      </c>
      <c r="CH4513">
        <v>0</v>
      </c>
      <c r="CI4513">
        <v>0</v>
      </c>
      <c r="CJ4513">
        <v>0</v>
      </c>
      <c r="CK4513">
        <v>2</v>
      </c>
      <c r="CL4513">
        <v>0</v>
      </c>
      <c r="CM4513">
        <v>2</v>
      </c>
      <c r="CN4513">
        <v>0</v>
      </c>
      <c r="CO4513">
        <v>2</v>
      </c>
      <c r="CP4513" t="s">
        <v>119</v>
      </c>
      <c r="CQ4513">
        <v>180</v>
      </c>
      <c r="CR4513">
        <v>3</v>
      </c>
      <c r="CW4513">
        <v>1450829</v>
      </c>
      <c r="CY4513">
        <v>1</v>
      </c>
      <c r="CZ4513">
        <v>0</v>
      </c>
      <c r="DA4513">
        <v>1</v>
      </c>
      <c r="DB4513">
        <v>0</v>
      </c>
      <c r="DC4513">
        <v>0</v>
      </c>
      <c r="DD4513">
        <v>0</v>
      </c>
      <c r="DE4513">
        <v>0</v>
      </c>
      <c r="DF4513">
        <v>0</v>
      </c>
      <c r="DG4513">
        <v>0</v>
      </c>
      <c r="DH4513">
        <v>0</v>
      </c>
      <c r="DI4513">
        <v>0</v>
      </c>
    </row>
    <row r="4514" spans="1:113" x14ac:dyDescent="0.3">
      <c r="A4514" t="str">
        <f>"02/08/2021 20:39:31.640"</f>
        <v>02/08/2021 20:39:31.640</v>
      </c>
      <c r="C4514" t="str">
        <f t="shared" si="221"/>
        <v>FFDFD7C0</v>
      </c>
      <c r="D4514" t="s">
        <v>124</v>
      </c>
      <c r="E4514">
        <v>13</v>
      </c>
      <c r="F4514">
        <v>1013</v>
      </c>
      <c r="G4514" t="s">
        <v>114</v>
      </c>
      <c r="J4514" t="s">
        <v>125</v>
      </c>
      <c r="K4514">
        <v>0</v>
      </c>
      <c r="L4514">
        <v>3</v>
      </c>
      <c r="M4514">
        <v>0</v>
      </c>
      <c r="N4514">
        <v>2</v>
      </c>
      <c r="O4514">
        <v>1</v>
      </c>
      <c r="P4514">
        <v>0</v>
      </c>
      <c r="Q4514">
        <v>0</v>
      </c>
      <c r="S4514" t="str">
        <f>"20:39:33.945"</f>
        <v>20:39:33.945</v>
      </c>
      <c r="T4514" t="str">
        <f>"20:39:33.445"</f>
        <v>20:39:33.445</v>
      </c>
      <c r="U4514" t="str">
        <f t="shared" si="223"/>
        <v>AB01F4</v>
      </c>
      <c r="V4514">
        <v>0</v>
      </c>
      <c r="W4514">
        <v>0</v>
      </c>
      <c r="X4514">
        <v>2</v>
      </c>
      <c r="Z4514">
        <v>0</v>
      </c>
      <c r="AA4514">
        <v>9</v>
      </c>
      <c r="AB4514">
        <v>3</v>
      </c>
      <c r="AC4514">
        <v>0</v>
      </c>
      <c r="AD4514">
        <v>10</v>
      </c>
      <c r="AE4514">
        <v>0</v>
      </c>
      <c r="AF4514">
        <v>3</v>
      </c>
      <c r="AG4514">
        <v>2</v>
      </c>
      <c r="AH4514">
        <v>0</v>
      </c>
      <c r="AI4514" t="s">
        <v>2500</v>
      </c>
      <c r="AJ4514">
        <v>40.151831999999999</v>
      </c>
      <c r="AK4514" t="s">
        <v>2501</v>
      </c>
      <c r="AL4514">
        <v>-93.233520999999996</v>
      </c>
      <c r="AM4514">
        <v>100</v>
      </c>
      <c r="AN4514">
        <v>1200</v>
      </c>
      <c r="AO4514" t="s">
        <v>118</v>
      </c>
      <c r="AP4514">
        <v>-129</v>
      </c>
      <c r="AQ4514">
        <v>-51</v>
      </c>
      <c r="AR4514">
        <v>256</v>
      </c>
      <c r="AZ4514">
        <v>1200</v>
      </c>
      <c r="BA4514">
        <v>1</v>
      </c>
      <c r="BB4514" t="str">
        <f t="shared" si="222"/>
        <v xml:space="preserve">N8080G  </v>
      </c>
      <c r="BC4514">
        <v>1</v>
      </c>
      <c r="BE4514">
        <v>0</v>
      </c>
      <c r="BF4514">
        <v>0</v>
      </c>
      <c r="BG4514">
        <v>0</v>
      </c>
      <c r="BH4514">
        <v>1275</v>
      </c>
      <c r="BI4514">
        <v>1</v>
      </c>
      <c r="BJ4514">
        <v>1</v>
      </c>
      <c r="BK4514">
        <v>1</v>
      </c>
      <c r="BL4514">
        <v>0</v>
      </c>
      <c r="BO4514">
        <v>0</v>
      </c>
      <c r="BP4514">
        <v>0</v>
      </c>
      <c r="BW4514" t="str">
        <f>"20:39:33.952"</f>
        <v>20:39:33.952</v>
      </c>
      <c r="BZ4514">
        <v>0</v>
      </c>
      <c r="CA4514">
        <v>1504</v>
      </c>
      <c r="CB4514">
        <v>224</v>
      </c>
      <c r="CD4514">
        <v>1</v>
      </c>
      <c r="CE4514">
        <v>0</v>
      </c>
      <c r="CF4514">
        <v>0</v>
      </c>
      <c r="CG4514">
        <v>1</v>
      </c>
      <c r="CH4514">
        <v>0</v>
      </c>
      <c r="CI4514">
        <v>0</v>
      </c>
      <c r="CJ4514">
        <v>0</v>
      </c>
      <c r="CK4514">
        <v>2</v>
      </c>
      <c r="CL4514">
        <v>0</v>
      </c>
      <c r="CM4514">
        <v>2</v>
      </c>
      <c r="CN4514">
        <v>0</v>
      </c>
      <c r="CO4514">
        <v>2</v>
      </c>
      <c r="CP4514" t="s">
        <v>119</v>
      </c>
      <c r="CQ4514">
        <v>180</v>
      </c>
      <c r="CR4514">
        <v>3</v>
      </c>
      <c r="CW4514">
        <v>1450829</v>
      </c>
      <c r="CY4514">
        <v>1</v>
      </c>
      <c r="CZ4514">
        <v>0</v>
      </c>
      <c r="DA4514">
        <v>1</v>
      </c>
      <c r="DB4514">
        <v>0</v>
      </c>
      <c r="DC4514">
        <v>0</v>
      </c>
      <c r="DD4514">
        <v>0</v>
      </c>
      <c r="DE4514">
        <v>0</v>
      </c>
      <c r="DF4514">
        <v>0</v>
      </c>
      <c r="DG4514">
        <v>0</v>
      </c>
      <c r="DH4514">
        <v>0</v>
      </c>
      <c r="DI4514">
        <v>0</v>
      </c>
    </row>
    <row r="4515" spans="1:113" x14ac:dyDescent="0.3">
      <c r="A4515" t="str">
        <f>"02/08/2021 20:39:32.640"</f>
        <v>02/08/2021 20:39:32.640</v>
      </c>
      <c r="C4515" t="str">
        <f t="shared" si="221"/>
        <v>FFDFD7C0</v>
      </c>
      <c r="D4515" t="s">
        <v>124</v>
      </c>
      <c r="E4515">
        <v>13</v>
      </c>
      <c r="F4515">
        <v>1013</v>
      </c>
      <c r="G4515" t="s">
        <v>114</v>
      </c>
      <c r="J4515" t="s">
        <v>125</v>
      </c>
      <c r="K4515">
        <v>0</v>
      </c>
      <c r="L4515">
        <v>3</v>
      </c>
      <c r="M4515">
        <v>0</v>
      </c>
      <c r="N4515">
        <v>2</v>
      </c>
      <c r="O4515">
        <v>1</v>
      </c>
      <c r="P4515">
        <v>0</v>
      </c>
      <c r="Q4515">
        <v>0</v>
      </c>
      <c r="S4515" t="str">
        <f>"20:39:34.953"</f>
        <v>20:39:34.953</v>
      </c>
      <c r="T4515" t="str">
        <f>"20:39:34.553"</f>
        <v>20:39:34.553</v>
      </c>
      <c r="U4515" t="str">
        <f t="shared" si="223"/>
        <v>AB01F4</v>
      </c>
      <c r="V4515">
        <v>0</v>
      </c>
      <c r="W4515">
        <v>0</v>
      </c>
      <c r="X4515">
        <v>2</v>
      </c>
      <c r="Z4515">
        <v>0</v>
      </c>
      <c r="AA4515">
        <v>9</v>
      </c>
      <c r="AB4515">
        <v>3</v>
      </c>
      <c r="AC4515">
        <v>0</v>
      </c>
      <c r="AD4515">
        <v>10</v>
      </c>
      <c r="AE4515">
        <v>0</v>
      </c>
      <c r="AF4515">
        <v>3</v>
      </c>
      <c r="AG4515">
        <v>2</v>
      </c>
      <c r="AH4515">
        <v>0</v>
      </c>
      <c r="AI4515" t="s">
        <v>2502</v>
      </c>
      <c r="AJ4515">
        <v>40.151595999999998</v>
      </c>
      <c r="AK4515" t="s">
        <v>2503</v>
      </c>
      <c r="AL4515">
        <v>-93.234314999999995</v>
      </c>
      <c r="AM4515">
        <v>100</v>
      </c>
      <c r="AN4515">
        <v>1200</v>
      </c>
      <c r="AO4515" t="s">
        <v>118</v>
      </c>
      <c r="AP4515">
        <v>-129</v>
      </c>
      <c r="AQ4515">
        <v>-51</v>
      </c>
      <c r="AR4515">
        <v>192</v>
      </c>
      <c r="AZ4515">
        <v>1200</v>
      </c>
      <c r="BA4515">
        <v>1</v>
      </c>
      <c r="BB4515" t="str">
        <f t="shared" si="222"/>
        <v xml:space="preserve">N8080G  </v>
      </c>
      <c r="BC4515">
        <v>1</v>
      </c>
      <c r="BE4515">
        <v>0</v>
      </c>
      <c r="BF4515">
        <v>0</v>
      </c>
      <c r="BG4515">
        <v>0</v>
      </c>
      <c r="BH4515">
        <v>1275</v>
      </c>
      <c r="BI4515">
        <v>1</v>
      </c>
      <c r="BJ4515">
        <v>1</v>
      </c>
      <c r="BK4515">
        <v>1</v>
      </c>
      <c r="BL4515">
        <v>0</v>
      </c>
      <c r="BO4515">
        <v>0</v>
      </c>
      <c r="BP4515">
        <v>0</v>
      </c>
      <c r="BW4515" t="str">
        <f>"20:39:34.960"</f>
        <v>20:39:34.960</v>
      </c>
      <c r="BZ4515">
        <v>0</v>
      </c>
      <c r="CA4515">
        <v>1504</v>
      </c>
      <c r="CB4515">
        <v>224</v>
      </c>
      <c r="CD4515">
        <v>1</v>
      </c>
      <c r="CE4515">
        <v>0</v>
      </c>
      <c r="CF4515">
        <v>0</v>
      </c>
      <c r="CG4515">
        <v>1</v>
      </c>
      <c r="CH4515">
        <v>0</v>
      </c>
      <c r="CI4515">
        <v>0</v>
      </c>
      <c r="CJ4515">
        <v>0</v>
      </c>
      <c r="CK4515">
        <v>2</v>
      </c>
      <c r="CL4515">
        <v>0</v>
      </c>
      <c r="CM4515">
        <v>2</v>
      </c>
      <c r="CN4515">
        <v>0</v>
      </c>
      <c r="CO4515">
        <v>2</v>
      </c>
      <c r="CP4515" t="s">
        <v>119</v>
      </c>
      <c r="CQ4515">
        <v>180</v>
      </c>
      <c r="CR4515">
        <v>3</v>
      </c>
      <c r="CW4515">
        <v>1451590</v>
      </c>
      <c r="CY4515">
        <v>1</v>
      </c>
      <c r="CZ4515">
        <v>0</v>
      </c>
      <c r="DA4515">
        <v>0</v>
      </c>
      <c r="DB4515">
        <v>0</v>
      </c>
      <c r="DC4515">
        <v>0</v>
      </c>
      <c r="DD4515">
        <v>0</v>
      </c>
      <c r="DE4515">
        <v>0</v>
      </c>
      <c r="DF4515">
        <v>0</v>
      </c>
      <c r="DG4515">
        <v>0</v>
      </c>
      <c r="DH4515">
        <v>0</v>
      </c>
      <c r="DI4515">
        <v>0</v>
      </c>
    </row>
    <row r="4516" spans="1:113" x14ac:dyDescent="0.3">
      <c r="A4516" t="str">
        <f>"02/08/2021 20:39:32.640"</f>
        <v>02/08/2021 20:39:32.640</v>
      </c>
      <c r="C4516" t="str">
        <f t="shared" si="221"/>
        <v>FFDFD7C0</v>
      </c>
      <c r="D4516" t="s">
        <v>113</v>
      </c>
      <c r="E4516">
        <v>6</v>
      </c>
      <c r="H4516">
        <v>165</v>
      </c>
      <c r="I4516" t="s">
        <v>114</v>
      </c>
      <c r="J4516" t="s">
        <v>115</v>
      </c>
      <c r="K4516">
        <v>0</v>
      </c>
      <c r="L4516">
        <v>3</v>
      </c>
      <c r="M4516">
        <v>0</v>
      </c>
      <c r="N4516">
        <v>2</v>
      </c>
      <c r="O4516">
        <v>1</v>
      </c>
      <c r="P4516">
        <v>0</v>
      </c>
      <c r="Q4516">
        <v>0</v>
      </c>
      <c r="S4516" t="str">
        <f>"20:39:34.953"</f>
        <v>20:39:34.953</v>
      </c>
      <c r="T4516" t="str">
        <f>"20:39:34.553"</f>
        <v>20:39:34.553</v>
      </c>
      <c r="U4516" t="str">
        <f t="shared" si="223"/>
        <v>AB01F4</v>
      </c>
      <c r="V4516">
        <v>0</v>
      </c>
      <c r="W4516">
        <v>0</v>
      </c>
      <c r="X4516">
        <v>2</v>
      </c>
      <c r="Z4516">
        <v>0</v>
      </c>
      <c r="AA4516">
        <v>9</v>
      </c>
      <c r="AB4516">
        <v>3</v>
      </c>
      <c r="AC4516">
        <v>0</v>
      </c>
      <c r="AD4516">
        <v>10</v>
      </c>
      <c r="AE4516">
        <v>0</v>
      </c>
      <c r="AF4516">
        <v>3</v>
      </c>
      <c r="AG4516">
        <v>2</v>
      </c>
      <c r="AH4516">
        <v>0</v>
      </c>
      <c r="AI4516" t="s">
        <v>2502</v>
      </c>
      <c r="AJ4516">
        <v>40.151595999999998</v>
      </c>
      <c r="AK4516" t="s">
        <v>2503</v>
      </c>
      <c r="AL4516">
        <v>-93.234314999999995</v>
      </c>
      <c r="AM4516">
        <v>100</v>
      </c>
      <c r="AN4516">
        <v>1200</v>
      </c>
      <c r="AO4516" t="s">
        <v>118</v>
      </c>
      <c r="AP4516">
        <v>-129</v>
      </c>
      <c r="AQ4516">
        <v>-51</v>
      </c>
      <c r="AR4516">
        <v>192</v>
      </c>
      <c r="AZ4516">
        <v>1200</v>
      </c>
      <c r="BA4516">
        <v>1</v>
      </c>
      <c r="BB4516" t="str">
        <f t="shared" si="222"/>
        <v xml:space="preserve">N8080G  </v>
      </c>
      <c r="BC4516">
        <v>1</v>
      </c>
      <c r="BE4516">
        <v>0</v>
      </c>
      <c r="BF4516">
        <v>0</v>
      </c>
      <c r="BG4516">
        <v>0</v>
      </c>
      <c r="BH4516">
        <v>1275</v>
      </c>
      <c r="BI4516">
        <v>1</v>
      </c>
      <c r="BJ4516">
        <v>1</v>
      </c>
      <c r="BK4516">
        <v>1</v>
      </c>
      <c r="BL4516">
        <v>0</v>
      </c>
      <c r="BO4516">
        <v>0</v>
      </c>
      <c r="BP4516">
        <v>0</v>
      </c>
      <c r="BW4516" t="str">
        <f>"20:39:34.960"</f>
        <v>20:39:34.960</v>
      </c>
      <c r="BZ4516">
        <v>0</v>
      </c>
      <c r="CA4516">
        <v>1504</v>
      </c>
      <c r="CB4516">
        <v>224</v>
      </c>
      <c r="CD4516">
        <v>1</v>
      </c>
      <c r="CE4516">
        <v>0</v>
      </c>
      <c r="CF4516">
        <v>0</v>
      </c>
      <c r="CG4516">
        <v>1</v>
      </c>
      <c r="CH4516">
        <v>0</v>
      </c>
      <c r="CI4516">
        <v>0</v>
      </c>
      <c r="CJ4516">
        <v>0</v>
      </c>
      <c r="CK4516">
        <v>2</v>
      </c>
      <c r="CL4516">
        <v>0</v>
      </c>
      <c r="CM4516">
        <v>2</v>
      </c>
      <c r="CN4516">
        <v>0</v>
      </c>
      <c r="CO4516">
        <v>2</v>
      </c>
      <c r="CP4516" t="s">
        <v>119</v>
      </c>
      <c r="CQ4516">
        <v>180</v>
      </c>
      <c r="CR4516">
        <v>3</v>
      </c>
      <c r="CW4516">
        <v>1451590</v>
      </c>
      <c r="CY4516">
        <v>1</v>
      </c>
      <c r="CZ4516">
        <v>0</v>
      </c>
      <c r="DA4516">
        <v>1</v>
      </c>
      <c r="DB4516">
        <v>0</v>
      </c>
      <c r="DC4516">
        <v>0</v>
      </c>
      <c r="DD4516">
        <v>0</v>
      </c>
      <c r="DE4516">
        <v>0</v>
      </c>
      <c r="DF4516">
        <v>0</v>
      </c>
      <c r="DG4516">
        <v>0</v>
      </c>
      <c r="DH4516">
        <v>0</v>
      </c>
      <c r="DI4516">
        <v>0</v>
      </c>
    </row>
    <row r="4517" spans="1:113" x14ac:dyDescent="0.3">
      <c r="A4517" t="str">
        <f>"02/08/2021 20:39:32.640"</f>
        <v>02/08/2021 20:39:32.640</v>
      </c>
      <c r="C4517" t="str">
        <f t="shared" si="221"/>
        <v>FFDFD7C0</v>
      </c>
      <c r="D4517" t="s">
        <v>124</v>
      </c>
      <c r="E4517">
        <v>12</v>
      </c>
      <c r="F4517">
        <v>1012</v>
      </c>
      <c r="G4517" t="s">
        <v>675</v>
      </c>
      <c r="J4517" t="s">
        <v>125</v>
      </c>
      <c r="K4517">
        <v>0</v>
      </c>
      <c r="L4517">
        <v>3</v>
      </c>
      <c r="M4517">
        <v>0</v>
      </c>
      <c r="N4517">
        <v>2</v>
      </c>
      <c r="O4517">
        <v>1</v>
      </c>
      <c r="P4517">
        <v>0</v>
      </c>
      <c r="Q4517">
        <v>0</v>
      </c>
      <c r="S4517" t="str">
        <f>"20:39:34.953"</f>
        <v>20:39:34.953</v>
      </c>
      <c r="T4517" t="str">
        <f>"20:39:34.553"</f>
        <v>20:39:34.553</v>
      </c>
      <c r="U4517" t="str">
        <f t="shared" si="223"/>
        <v>AB01F4</v>
      </c>
      <c r="V4517">
        <v>0</v>
      </c>
      <c r="W4517">
        <v>0</v>
      </c>
      <c r="X4517">
        <v>2</v>
      </c>
      <c r="Z4517">
        <v>0</v>
      </c>
      <c r="AA4517">
        <v>9</v>
      </c>
      <c r="AB4517">
        <v>3</v>
      </c>
      <c r="AC4517">
        <v>0</v>
      </c>
      <c r="AD4517">
        <v>10</v>
      </c>
      <c r="AE4517">
        <v>0</v>
      </c>
      <c r="AF4517">
        <v>3</v>
      </c>
      <c r="AG4517">
        <v>2</v>
      </c>
      <c r="AH4517">
        <v>0</v>
      </c>
      <c r="AI4517" t="s">
        <v>2502</v>
      </c>
      <c r="AJ4517">
        <v>40.151595999999998</v>
      </c>
      <c r="AK4517" t="s">
        <v>2503</v>
      </c>
      <c r="AL4517">
        <v>-93.234314999999995</v>
      </c>
      <c r="AM4517">
        <v>100</v>
      </c>
      <c r="AN4517">
        <v>1200</v>
      </c>
      <c r="AO4517" t="s">
        <v>118</v>
      </c>
      <c r="AP4517">
        <v>-129</v>
      </c>
      <c r="AQ4517">
        <v>-51</v>
      </c>
      <c r="AR4517">
        <v>192</v>
      </c>
      <c r="AZ4517">
        <v>1200</v>
      </c>
      <c r="BA4517">
        <v>1</v>
      </c>
      <c r="BB4517" t="str">
        <f t="shared" si="222"/>
        <v xml:space="preserve">N8080G  </v>
      </c>
      <c r="BC4517">
        <v>1</v>
      </c>
      <c r="BE4517">
        <v>0</v>
      </c>
      <c r="BF4517">
        <v>0</v>
      </c>
      <c r="BG4517">
        <v>0</v>
      </c>
      <c r="BH4517">
        <v>1275</v>
      </c>
      <c r="BI4517">
        <v>1</v>
      </c>
      <c r="BJ4517">
        <v>1</v>
      </c>
      <c r="BK4517">
        <v>1</v>
      </c>
      <c r="BL4517">
        <v>0</v>
      </c>
      <c r="BO4517">
        <v>0</v>
      </c>
      <c r="BP4517">
        <v>0</v>
      </c>
      <c r="BW4517" t="str">
        <f>"20:39:34.960"</f>
        <v>20:39:34.960</v>
      </c>
      <c r="BZ4517">
        <v>0</v>
      </c>
      <c r="CA4517">
        <v>1504</v>
      </c>
      <c r="CB4517">
        <v>224</v>
      </c>
      <c r="CD4517">
        <v>1</v>
      </c>
      <c r="CE4517">
        <v>0</v>
      </c>
      <c r="CF4517">
        <v>0</v>
      </c>
      <c r="CG4517">
        <v>1</v>
      </c>
      <c r="CH4517">
        <v>0</v>
      </c>
      <c r="CI4517">
        <v>0</v>
      </c>
      <c r="CJ4517">
        <v>0</v>
      </c>
      <c r="CK4517">
        <v>2</v>
      </c>
      <c r="CL4517">
        <v>0</v>
      </c>
      <c r="CM4517">
        <v>2</v>
      </c>
      <c r="CN4517">
        <v>0</v>
      </c>
      <c r="CO4517">
        <v>2</v>
      </c>
      <c r="CP4517" t="s">
        <v>119</v>
      </c>
      <c r="CQ4517">
        <v>180</v>
      </c>
      <c r="CR4517">
        <v>3</v>
      </c>
      <c r="CW4517">
        <v>1451590</v>
      </c>
      <c r="CY4517">
        <v>1</v>
      </c>
      <c r="CZ4517">
        <v>0</v>
      </c>
      <c r="DA4517">
        <v>1</v>
      </c>
      <c r="DB4517">
        <v>0</v>
      </c>
      <c r="DC4517">
        <v>0</v>
      </c>
      <c r="DD4517">
        <v>0</v>
      </c>
      <c r="DE4517">
        <v>0</v>
      </c>
      <c r="DF4517">
        <v>0</v>
      </c>
      <c r="DG4517">
        <v>0</v>
      </c>
      <c r="DH4517">
        <v>0</v>
      </c>
      <c r="DI4517">
        <v>0</v>
      </c>
    </row>
    <row r="4518" spans="1:113" x14ac:dyDescent="0.3">
      <c r="A4518" t="str">
        <f>"02/08/2021 20:39:32.640"</f>
        <v>02/08/2021 20:39:32.640</v>
      </c>
      <c r="C4518" t="str">
        <f t="shared" si="221"/>
        <v>FFDFD7C0</v>
      </c>
      <c r="D4518" t="s">
        <v>124</v>
      </c>
      <c r="E4518">
        <v>11</v>
      </c>
      <c r="F4518">
        <v>1011</v>
      </c>
      <c r="G4518" t="s">
        <v>590</v>
      </c>
      <c r="J4518" t="s">
        <v>125</v>
      </c>
      <c r="K4518">
        <v>0</v>
      </c>
      <c r="L4518">
        <v>3</v>
      </c>
      <c r="M4518">
        <v>0</v>
      </c>
      <c r="N4518">
        <v>2</v>
      </c>
      <c r="O4518">
        <v>1</v>
      </c>
      <c r="P4518">
        <v>0</v>
      </c>
      <c r="Q4518">
        <v>0</v>
      </c>
      <c r="S4518" t="str">
        <f>"20:39:34.953"</f>
        <v>20:39:34.953</v>
      </c>
      <c r="T4518" t="str">
        <f>"20:39:34.553"</f>
        <v>20:39:34.553</v>
      </c>
      <c r="U4518" t="str">
        <f t="shared" si="223"/>
        <v>AB01F4</v>
      </c>
      <c r="V4518">
        <v>0</v>
      </c>
      <c r="W4518">
        <v>0</v>
      </c>
      <c r="X4518">
        <v>2</v>
      </c>
      <c r="Z4518">
        <v>0</v>
      </c>
      <c r="AA4518">
        <v>9</v>
      </c>
      <c r="AB4518">
        <v>3</v>
      </c>
      <c r="AC4518">
        <v>0</v>
      </c>
      <c r="AD4518">
        <v>10</v>
      </c>
      <c r="AE4518">
        <v>0</v>
      </c>
      <c r="AF4518">
        <v>3</v>
      </c>
      <c r="AG4518">
        <v>2</v>
      </c>
      <c r="AH4518">
        <v>0</v>
      </c>
      <c r="AI4518" t="s">
        <v>2502</v>
      </c>
      <c r="AJ4518">
        <v>40.151595999999998</v>
      </c>
      <c r="AK4518" t="s">
        <v>2503</v>
      </c>
      <c r="AL4518">
        <v>-93.234314999999995</v>
      </c>
      <c r="AM4518">
        <v>100</v>
      </c>
      <c r="AN4518">
        <v>1200</v>
      </c>
      <c r="AO4518" t="s">
        <v>118</v>
      </c>
      <c r="AP4518">
        <v>-129</v>
      </c>
      <c r="AQ4518">
        <v>-51</v>
      </c>
      <c r="AR4518">
        <v>192</v>
      </c>
      <c r="AZ4518">
        <v>1200</v>
      </c>
      <c r="BA4518">
        <v>1</v>
      </c>
      <c r="BB4518" t="str">
        <f t="shared" si="222"/>
        <v xml:space="preserve">N8080G  </v>
      </c>
      <c r="BC4518">
        <v>1</v>
      </c>
      <c r="BE4518">
        <v>0</v>
      </c>
      <c r="BF4518">
        <v>0</v>
      </c>
      <c r="BG4518">
        <v>0</v>
      </c>
      <c r="BH4518">
        <v>1275</v>
      </c>
      <c r="BI4518">
        <v>1</v>
      </c>
      <c r="BJ4518">
        <v>1</v>
      </c>
      <c r="BK4518">
        <v>1</v>
      </c>
      <c r="BL4518">
        <v>0</v>
      </c>
      <c r="BO4518">
        <v>0</v>
      </c>
      <c r="BP4518">
        <v>0</v>
      </c>
      <c r="BW4518" t="str">
        <f>"20:39:34.960"</f>
        <v>20:39:34.960</v>
      </c>
      <c r="BZ4518">
        <v>0</v>
      </c>
      <c r="CA4518">
        <v>1504</v>
      </c>
      <c r="CB4518">
        <v>224</v>
      </c>
      <c r="CD4518">
        <v>1</v>
      </c>
      <c r="CE4518">
        <v>0</v>
      </c>
      <c r="CF4518">
        <v>0</v>
      </c>
      <c r="CG4518">
        <v>1</v>
      </c>
      <c r="CH4518">
        <v>0</v>
      </c>
      <c r="CI4518">
        <v>0</v>
      </c>
      <c r="CJ4518">
        <v>0</v>
      </c>
      <c r="CK4518">
        <v>2</v>
      </c>
      <c r="CL4518">
        <v>0</v>
      </c>
      <c r="CM4518">
        <v>2</v>
      </c>
      <c r="CN4518">
        <v>0</v>
      </c>
      <c r="CO4518">
        <v>2</v>
      </c>
      <c r="CP4518" t="s">
        <v>119</v>
      </c>
      <c r="CQ4518">
        <v>180</v>
      </c>
      <c r="CR4518">
        <v>3</v>
      </c>
      <c r="CW4518">
        <v>1451590</v>
      </c>
      <c r="CY4518">
        <v>1</v>
      </c>
      <c r="CZ4518">
        <v>0</v>
      </c>
      <c r="DA4518">
        <v>1</v>
      </c>
      <c r="DB4518">
        <v>0</v>
      </c>
      <c r="DC4518">
        <v>0</v>
      </c>
      <c r="DD4518">
        <v>0</v>
      </c>
      <c r="DE4518">
        <v>0</v>
      </c>
      <c r="DF4518">
        <v>0</v>
      </c>
      <c r="DG4518">
        <v>0</v>
      </c>
      <c r="DH4518">
        <v>0</v>
      </c>
      <c r="DI4518">
        <v>0</v>
      </c>
    </row>
    <row r="4519" spans="1:113" x14ac:dyDescent="0.3">
      <c r="A4519" t="str">
        <f>"02/08/2021 20:39:34.705"</f>
        <v>02/08/2021 20:39:34.705</v>
      </c>
      <c r="C4519" t="str">
        <f t="shared" ref="C4519:C4582" si="224">"FFDFD7C0"</f>
        <v>FFDFD7C0</v>
      </c>
      <c r="D4519" t="s">
        <v>124</v>
      </c>
      <c r="E4519">
        <v>13</v>
      </c>
      <c r="F4519">
        <v>1013</v>
      </c>
      <c r="G4519" t="s">
        <v>114</v>
      </c>
      <c r="J4519" t="s">
        <v>125</v>
      </c>
      <c r="K4519">
        <v>0</v>
      </c>
      <c r="L4519">
        <v>3</v>
      </c>
      <c r="M4519">
        <v>0</v>
      </c>
      <c r="N4519">
        <v>2</v>
      </c>
      <c r="O4519">
        <v>1</v>
      </c>
      <c r="P4519">
        <v>0</v>
      </c>
      <c r="Q4519">
        <v>0</v>
      </c>
      <c r="S4519" t="str">
        <f>"20:39:37.016"</f>
        <v>20:39:37.016</v>
      </c>
      <c r="T4519" t="str">
        <f>"20:39:36.516"</f>
        <v>20:39:36.516</v>
      </c>
      <c r="U4519" t="str">
        <f t="shared" si="223"/>
        <v>AB01F4</v>
      </c>
      <c r="V4519">
        <v>0</v>
      </c>
      <c r="W4519">
        <v>0</v>
      </c>
      <c r="X4519">
        <v>2</v>
      </c>
      <c r="Z4519">
        <v>0</v>
      </c>
      <c r="AA4519">
        <v>9</v>
      </c>
      <c r="AB4519">
        <v>3</v>
      </c>
      <c r="AC4519">
        <v>0</v>
      </c>
      <c r="AD4519">
        <v>10</v>
      </c>
      <c r="AE4519">
        <v>0</v>
      </c>
      <c r="AF4519">
        <v>3</v>
      </c>
      <c r="AG4519">
        <v>2</v>
      </c>
      <c r="AH4519">
        <v>0</v>
      </c>
      <c r="AI4519" t="s">
        <v>2504</v>
      </c>
      <c r="AJ4519">
        <v>40.151145</v>
      </c>
      <c r="AK4519" t="s">
        <v>2505</v>
      </c>
      <c r="AL4519">
        <v>-93.235902999999993</v>
      </c>
      <c r="AM4519">
        <v>100</v>
      </c>
      <c r="AN4519">
        <v>1200</v>
      </c>
      <c r="AO4519" t="s">
        <v>118</v>
      </c>
      <c r="AP4519">
        <v>-128</v>
      </c>
      <c r="AQ4519">
        <v>-51</v>
      </c>
      <c r="AR4519">
        <v>128</v>
      </c>
      <c r="AZ4519">
        <v>1200</v>
      </c>
      <c r="BA4519">
        <v>1</v>
      </c>
      <c r="BB4519" t="str">
        <f t="shared" si="222"/>
        <v xml:space="preserve">N8080G  </v>
      </c>
      <c r="BC4519">
        <v>1</v>
      </c>
      <c r="BE4519">
        <v>0</v>
      </c>
      <c r="BF4519">
        <v>0</v>
      </c>
      <c r="BG4519">
        <v>0</v>
      </c>
      <c r="BH4519">
        <v>1275</v>
      </c>
      <c r="BI4519">
        <v>1</v>
      </c>
      <c r="BJ4519">
        <v>1</v>
      </c>
      <c r="BK4519">
        <v>1</v>
      </c>
      <c r="BL4519">
        <v>0</v>
      </c>
      <c r="BO4519">
        <v>0</v>
      </c>
      <c r="BP4519">
        <v>0</v>
      </c>
      <c r="BW4519" t="str">
        <f>"20:39:37.016"</f>
        <v>20:39:37.016</v>
      </c>
      <c r="BZ4519">
        <v>0</v>
      </c>
      <c r="CA4519">
        <v>1504</v>
      </c>
      <c r="CB4519">
        <v>224</v>
      </c>
      <c r="CD4519">
        <v>1</v>
      </c>
      <c r="CE4519">
        <v>0</v>
      </c>
      <c r="CF4519">
        <v>0</v>
      </c>
      <c r="CG4519">
        <v>1</v>
      </c>
      <c r="CH4519">
        <v>0</v>
      </c>
      <c r="CI4519">
        <v>0</v>
      </c>
      <c r="CJ4519">
        <v>0</v>
      </c>
      <c r="CK4519">
        <v>2</v>
      </c>
      <c r="CL4519">
        <v>0</v>
      </c>
      <c r="CM4519">
        <v>2</v>
      </c>
      <c r="CN4519">
        <v>0</v>
      </c>
      <c r="CO4519">
        <v>2</v>
      </c>
      <c r="CP4519" t="s">
        <v>119</v>
      </c>
      <c r="CQ4519">
        <v>180</v>
      </c>
      <c r="CR4519">
        <v>3</v>
      </c>
      <c r="CW4519">
        <v>1453124</v>
      </c>
      <c r="CY4519">
        <v>0</v>
      </c>
      <c r="CZ4519">
        <v>0</v>
      </c>
      <c r="DA4519">
        <v>0</v>
      </c>
      <c r="DB4519">
        <v>0</v>
      </c>
      <c r="DC4519">
        <v>0</v>
      </c>
      <c r="DD4519">
        <v>0</v>
      </c>
      <c r="DE4519">
        <v>0</v>
      </c>
      <c r="DF4519">
        <v>0</v>
      </c>
      <c r="DG4519">
        <v>0</v>
      </c>
      <c r="DH4519">
        <v>0</v>
      </c>
      <c r="DI4519">
        <v>0</v>
      </c>
    </row>
    <row r="4520" spans="1:113" x14ac:dyDescent="0.3">
      <c r="A4520" t="str">
        <f>"02/08/2021 20:39:34.705"</f>
        <v>02/08/2021 20:39:34.705</v>
      </c>
      <c r="C4520" t="str">
        <f t="shared" si="224"/>
        <v>FFDFD7C0</v>
      </c>
      <c r="D4520" t="s">
        <v>113</v>
      </c>
      <c r="E4520">
        <v>6</v>
      </c>
      <c r="H4520">
        <v>165</v>
      </c>
      <c r="I4520" t="s">
        <v>114</v>
      </c>
      <c r="J4520" t="s">
        <v>115</v>
      </c>
      <c r="K4520">
        <v>0</v>
      </c>
      <c r="L4520">
        <v>3</v>
      </c>
      <c r="M4520">
        <v>0</v>
      </c>
      <c r="N4520">
        <v>2</v>
      </c>
      <c r="O4520">
        <v>1</v>
      </c>
      <c r="P4520">
        <v>0</v>
      </c>
      <c r="Q4520">
        <v>0</v>
      </c>
      <c r="S4520" t="str">
        <f>"20:39:37.016"</f>
        <v>20:39:37.016</v>
      </c>
      <c r="T4520" t="str">
        <f>"20:39:36.516"</f>
        <v>20:39:36.516</v>
      </c>
      <c r="U4520" t="str">
        <f t="shared" si="223"/>
        <v>AB01F4</v>
      </c>
      <c r="V4520">
        <v>0</v>
      </c>
      <c r="W4520">
        <v>0</v>
      </c>
      <c r="X4520">
        <v>2</v>
      </c>
      <c r="Z4520">
        <v>0</v>
      </c>
      <c r="AA4520">
        <v>9</v>
      </c>
      <c r="AB4520">
        <v>3</v>
      </c>
      <c r="AC4520">
        <v>0</v>
      </c>
      <c r="AD4520">
        <v>10</v>
      </c>
      <c r="AE4520">
        <v>0</v>
      </c>
      <c r="AF4520">
        <v>3</v>
      </c>
      <c r="AG4520">
        <v>2</v>
      </c>
      <c r="AH4520">
        <v>0</v>
      </c>
      <c r="AI4520" t="s">
        <v>2504</v>
      </c>
      <c r="AJ4520">
        <v>40.151145</v>
      </c>
      <c r="AK4520" t="s">
        <v>2505</v>
      </c>
      <c r="AL4520">
        <v>-93.235902999999993</v>
      </c>
      <c r="AM4520">
        <v>100</v>
      </c>
      <c r="AN4520">
        <v>1200</v>
      </c>
      <c r="AO4520" t="s">
        <v>118</v>
      </c>
      <c r="AP4520">
        <v>-128</v>
      </c>
      <c r="AQ4520">
        <v>-51</v>
      </c>
      <c r="AR4520">
        <v>128</v>
      </c>
      <c r="AZ4520">
        <v>1200</v>
      </c>
      <c r="BA4520">
        <v>1</v>
      </c>
      <c r="BB4520" t="str">
        <f t="shared" si="222"/>
        <v xml:space="preserve">N8080G  </v>
      </c>
      <c r="BC4520">
        <v>1</v>
      </c>
      <c r="BE4520">
        <v>0</v>
      </c>
      <c r="BF4520">
        <v>0</v>
      </c>
      <c r="BG4520">
        <v>0</v>
      </c>
      <c r="BH4520">
        <v>1275</v>
      </c>
      <c r="BI4520">
        <v>1</v>
      </c>
      <c r="BJ4520">
        <v>1</v>
      </c>
      <c r="BK4520">
        <v>1</v>
      </c>
      <c r="BL4520">
        <v>0</v>
      </c>
      <c r="BO4520">
        <v>0</v>
      </c>
      <c r="BP4520">
        <v>0</v>
      </c>
      <c r="BW4520" t="str">
        <f>"20:39:37.016"</f>
        <v>20:39:37.016</v>
      </c>
      <c r="BZ4520">
        <v>0</v>
      </c>
      <c r="CA4520">
        <v>1504</v>
      </c>
      <c r="CB4520">
        <v>224</v>
      </c>
      <c r="CD4520">
        <v>1</v>
      </c>
      <c r="CE4520">
        <v>0</v>
      </c>
      <c r="CF4520">
        <v>0</v>
      </c>
      <c r="CG4520">
        <v>1</v>
      </c>
      <c r="CH4520">
        <v>0</v>
      </c>
      <c r="CI4520">
        <v>0</v>
      </c>
      <c r="CJ4520">
        <v>0</v>
      </c>
      <c r="CK4520">
        <v>2</v>
      </c>
      <c r="CL4520">
        <v>0</v>
      </c>
      <c r="CM4520">
        <v>2</v>
      </c>
      <c r="CN4520">
        <v>0</v>
      </c>
      <c r="CO4520">
        <v>2</v>
      </c>
      <c r="CP4520" t="s">
        <v>119</v>
      </c>
      <c r="CQ4520">
        <v>180</v>
      </c>
      <c r="CR4520">
        <v>3</v>
      </c>
      <c r="CW4520">
        <v>1453124</v>
      </c>
      <c r="CY4520">
        <v>0</v>
      </c>
      <c r="CZ4520">
        <v>0</v>
      </c>
      <c r="DA4520">
        <v>1</v>
      </c>
      <c r="DB4520">
        <v>0</v>
      </c>
      <c r="DC4520">
        <v>0</v>
      </c>
      <c r="DD4520">
        <v>0</v>
      </c>
      <c r="DE4520">
        <v>0</v>
      </c>
      <c r="DF4520">
        <v>0</v>
      </c>
      <c r="DG4520">
        <v>0</v>
      </c>
      <c r="DH4520">
        <v>0</v>
      </c>
      <c r="DI4520">
        <v>0</v>
      </c>
    </row>
    <row r="4521" spans="1:113" x14ac:dyDescent="0.3">
      <c r="A4521" t="str">
        <f>"02/08/2021 20:39:34.705"</f>
        <v>02/08/2021 20:39:34.705</v>
      </c>
      <c r="C4521" t="str">
        <f t="shared" si="224"/>
        <v>FFDFD7C0</v>
      </c>
      <c r="D4521" t="s">
        <v>124</v>
      </c>
      <c r="E4521">
        <v>12</v>
      </c>
      <c r="F4521">
        <v>1012</v>
      </c>
      <c r="G4521" t="s">
        <v>675</v>
      </c>
      <c r="J4521" t="s">
        <v>125</v>
      </c>
      <c r="K4521">
        <v>0</v>
      </c>
      <c r="L4521">
        <v>3</v>
      </c>
      <c r="M4521">
        <v>0</v>
      </c>
      <c r="N4521">
        <v>2</v>
      </c>
      <c r="O4521">
        <v>1</v>
      </c>
      <c r="P4521">
        <v>0</v>
      </c>
      <c r="Q4521">
        <v>0</v>
      </c>
      <c r="S4521" t="str">
        <f>"20:39:37.016"</f>
        <v>20:39:37.016</v>
      </c>
      <c r="T4521" t="str">
        <f>"20:39:36.516"</f>
        <v>20:39:36.516</v>
      </c>
      <c r="U4521" t="str">
        <f t="shared" si="223"/>
        <v>AB01F4</v>
      </c>
      <c r="V4521">
        <v>0</v>
      </c>
      <c r="W4521">
        <v>0</v>
      </c>
      <c r="X4521">
        <v>2</v>
      </c>
      <c r="Z4521">
        <v>0</v>
      </c>
      <c r="AA4521">
        <v>9</v>
      </c>
      <c r="AB4521">
        <v>3</v>
      </c>
      <c r="AC4521">
        <v>0</v>
      </c>
      <c r="AD4521">
        <v>10</v>
      </c>
      <c r="AE4521">
        <v>0</v>
      </c>
      <c r="AF4521">
        <v>3</v>
      </c>
      <c r="AG4521">
        <v>2</v>
      </c>
      <c r="AH4521">
        <v>0</v>
      </c>
      <c r="AI4521" t="s">
        <v>2504</v>
      </c>
      <c r="AJ4521">
        <v>40.151145</v>
      </c>
      <c r="AK4521" t="s">
        <v>2505</v>
      </c>
      <c r="AL4521">
        <v>-93.235902999999993</v>
      </c>
      <c r="AM4521">
        <v>100</v>
      </c>
      <c r="AN4521">
        <v>1200</v>
      </c>
      <c r="AO4521" t="s">
        <v>118</v>
      </c>
      <c r="AP4521">
        <v>-128</v>
      </c>
      <c r="AQ4521">
        <v>-51</v>
      </c>
      <c r="AR4521">
        <v>128</v>
      </c>
      <c r="AZ4521">
        <v>1200</v>
      </c>
      <c r="BA4521">
        <v>1</v>
      </c>
      <c r="BB4521" t="str">
        <f t="shared" si="222"/>
        <v xml:space="preserve">N8080G  </v>
      </c>
      <c r="BC4521">
        <v>1</v>
      </c>
      <c r="BE4521">
        <v>0</v>
      </c>
      <c r="BF4521">
        <v>0</v>
      </c>
      <c r="BG4521">
        <v>0</v>
      </c>
      <c r="BH4521">
        <v>1275</v>
      </c>
      <c r="BI4521">
        <v>1</v>
      </c>
      <c r="BJ4521">
        <v>1</v>
      </c>
      <c r="BK4521">
        <v>1</v>
      </c>
      <c r="BL4521">
        <v>0</v>
      </c>
      <c r="BO4521">
        <v>0</v>
      </c>
      <c r="BP4521">
        <v>0</v>
      </c>
      <c r="BW4521" t="str">
        <f>"20:39:37.016"</f>
        <v>20:39:37.016</v>
      </c>
      <c r="BZ4521">
        <v>0</v>
      </c>
      <c r="CA4521">
        <v>1504</v>
      </c>
      <c r="CB4521">
        <v>224</v>
      </c>
      <c r="CD4521">
        <v>1</v>
      </c>
      <c r="CE4521">
        <v>0</v>
      </c>
      <c r="CF4521">
        <v>0</v>
      </c>
      <c r="CG4521">
        <v>1</v>
      </c>
      <c r="CH4521">
        <v>0</v>
      </c>
      <c r="CI4521">
        <v>0</v>
      </c>
      <c r="CJ4521">
        <v>0</v>
      </c>
      <c r="CK4521">
        <v>2</v>
      </c>
      <c r="CL4521">
        <v>0</v>
      </c>
      <c r="CM4521">
        <v>2</v>
      </c>
      <c r="CN4521">
        <v>0</v>
      </c>
      <c r="CO4521">
        <v>2</v>
      </c>
      <c r="CP4521" t="s">
        <v>119</v>
      </c>
      <c r="CQ4521">
        <v>180</v>
      </c>
      <c r="CR4521">
        <v>3</v>
      </c>
      <c r="CW4521">
        <v>1453124</v>
      </c>
      <c r="CY4521">
        <v>0</v>
      </c>
      <c r="CZ4521">
        <v>0</v>
      </c>
      <c r="DA4521">
        <v>1</v>
      </c>
      <c r="DB4521">
        <v>0</v>
      </c>
      <c r="DC4521">
        <v>0</v>
      </c>
      <c r="DD4521">
        <v>0</v>
      </c>
      <c r="DE4521">
        <v>0</v>
      </c>
      <c r="DF4521">
        <v>0</v>
      </c>
      <c r="DG4521">
        <v>0</v>
      </c>
      <c r="DH4521">
        <v>0</v>
      </c>
      <c r="DI4521">
        <v>0</v>
      </c>
    </row>
    <row r="4522" spans="1:113" x14ac:dyDescent="0.3">
      <c r="A4522" t="str">
        <f>"02/08/2021 20:39:34.705"</f>
        <v>02/08/2021 20:39:34.705</v>
      </c>
      <c r="C4522" t="str">
        <f t="shared" si="224"/>
        <v>FFDFD7C0</v>
      </c>
      <c r="D4522" t="s">
        <v>124</v>
      </c>
      <c r="E4522">
        <v>11</v>
      </c>
      <c r="F4522">
        <v>1011</v>
      </c>
      <c r="G4522" t="s">
        <v>590</v>
      </c>
      <c r="J4522" t="s">
        <v>125</v>
      </c>
      <c r="K4522">
        <v>0</v>
      </c>
      <c r="L4522">
        <v>3</v>
      </c>
      <c r="M4522">
        <v>0</v>
      </c>
      <c r="N4522">
        <v>2</v>
      </c>
      <c r="O4522">
        <v>1</v>
      </c>
      <c r="P4522">
        <v>0</v>
      </c>
      <c r="Q4522">
        <v>0</v>
      </c>
      <c r="S4522" t="str">
        <f>"20:39:37.016"</f>
        <v>20:39:37.016</v>
      </c>
      <c r="T4522" t="str">
        <f>"20:39:36.516"</f>
        <v>20:39:36.516</v>
      </c>
      <c r="U4522" t="str">
        <f t="shared" si="223"/>
        <v>AB01F4</v>
      </c>
      <c r="V4522">
        <v>0</v>
      </c>
      <c r="W4522">
        <v>0</v>
      </c>
      <c r="X4522">
        <v>2</v>
      </c>
      <c r="Z4522">
        <v>0</v>
      </c>
      <c r="AA4522">
        <v>9</v>
      </c>
      <c r="AB4522">
        <v>3</v>
      </c>
      <c r="AC4522">
        <v>0</v>
      </c>
      <c r="AD4522">
        <v>10</v>
      </c>
      <c r="AE4522">
        <v>0</v>
      </c>
      <c r="AF4522">
        <v>3</v>
      </c>
      <c r="AG4522">
        <v>2</v>
      </c>
      <c r="AH4522">
        <v>0</v>
      </c>
      <c r="AI4522" t="s">
        <v>2504</v>
      </c>
      <c r="AJ4522">
        <v>40.151145</v>
      </c>
      <c r="AK4522" t="s">
        <v>2505</v>
      </c>
      <c r="AL4522">
        <v>-93.235902999999993</v>
      </c>
      <c r="AM4522">
        <v>100</v>
      </c>
      <c r="AN4522">
        <v>1200</v>
      </c>
      <c r="AO4522" t="s">
        <v>118</v>
      </c>
      <c r="AP4522">
        <v>-128</v>
      </c>
      <c r="AQ4522">
        <v>-51</v>
      </c>
      <c r="AR4522">
        <v>128</v>
      </c>
      <c r="AZ4522">
        <v>1200</v>
      </c>
      <c r="BA4522">
        <v>1</v>
      </c>
      <c r="BB4522" t="str">
        <f t="shared" si="222"/>
        <v xml:space="preserve">N8080G  </v>
      </c>
      <c r="BC4522">
        <v>1</v>
      </c>
      <c r="BE4522">
        <v>0</v>
      </c>
      <c r="BF4522">
        <v>0</v>
      </c>
      <c r="BG4522">
        <v>0</v>
      </c>
      <c r="BH4522">
        <v>1275</v>
      </c>
      <c r="BI4522">
        <v>1</v>
      </c>
      <c r="BJ4522">
        <v>1</v>
      </c>
      <c r="BK4522">
        <v>1</v>
      </c>
      <c r="BL4522">
        <v>0</v>
      </c>
      <c r="BO4522">
        <v>0</v>
      </c>
      <c r="BP4522">
        <v>0</v>
      </c>
      <c r="BW4522" t="str">
        <f>"20:39:37.016"</f>
        <v>20:39:37.016</v>
      </c>
      <c r="BZ4522">
        <v>0</v>
      </c>
      <c r="CA4522">
        <v>1504</v>
      </c>
      <c r="CB4522">
        <v>224</v>
      </c>
      <c r="CD4522">
        <v>1</v>
      </c>
      <c r="CE4522">
        <v>0</v>
      </c>
      <c r="CF4522">
        <v>0</v>
      </c>
      <c r="CG4522">
        <v>1</v>
      </c>
      <c r="CH4522">
        <v>0</v>
      </c>
      <c r="CI4522">
        <v>0</v>
      </c>
      <c r="CJ4522">
        <v>0</v>
      </c>
      <c r="CK4522">
        <v>2</v>
      </c>
      <c r="CL4522">
        <v>0</v>
      </c>
      <c r="CM4522">
        <v>2</v>
      </c>
      <c r="CN4522">
        <v>0</v>
      </c>
      <c r="CO4522">
        <v>2</v>
      </c>
      <c r="CP4522" t="s">
        <v>119</v>
      </c>
      <c r="CQ4522">
        <v>180</v>
      </c>
      <c r="CR4522">
        <v>3</v>
      </c>
      <c r="CW4522">
        <v>1453124</v>
      </c>
      <c r="CY4522">
        <v>0</v>
      </c>
      <c r="CZ4522">
        <v>0</v>
      </c>
      <c r="DA4522">
        <v>1</v>
      </c>
      <c r="DB4522">
        <v>0</v>
      </c>
      <c r="DC4522">
        <v>0</v>
      </c>
      <c r="DD4522">
        <v>0</v>
      </c>
      <c r="DE4522">
        <v>0</v>
      </c>
      <c r="DF4522">
        <v>0</v>
      </c>
      <c r="DG4522">
        <v>0</v>
      </c>
      <c r="DH4522">
        <v>0</v>
      </c>
      <c r="DI4522">
        <v>0</v>
      </c>
    </row>
    <row r="4523" spans="1:113" x14ac:dyDescent="0.3">
      <c r="A4523" t="str">
        <f>"02/08/2021 20:39:35.806"</f>
        <v>02/08/2021 20:39:35.806</v>
      </c>
      <c r="C4523" t="str">
        <f t="shared" si="224"/>
        <v>FFDFD7C0</v>
      </c>
      <c r="D4523" t="s">
        <v>124</v>
      </c>
      <c r="E4523">
        <v>11</v>
      </c>
      <c r="F4523">
        <v>1011</v>
      </c>
      <c r="G4523" t="s">
        <v>590</v>
      </c>
      <c r="J4523" t="s">
        <v>125</v>
      </c>
      <c r="K4523">
        <v>0</v>
      </c>
      <c r="L4523">
        <v>3</v>
      </c>
      <c r="M4523">
        <v>0</v>
      </c>
      <c r="N4523">
        <v>2</v>
      </c>
      <c r="O4523">
        <v>1</v>
      </c>
      <c r="P4523">
        <v>0</v>
      </c>
      <c r="Q4523">
        <v>0</v>
      </c>
      <c r="S4523" t="str">
        <f>"20:39:38.125"</f>
        <v>20:39:38.125</v>
      </c>
      <c r="T4523" t="str">
        <f>"20:39:37.625"</f>
        <v>20:39:37.625</v>
      </c>
      <c r="U4523" t="str">
        <f t="shared" si="223"/>
        <v>AB01F4</v>
      </c>
      <c r="V4523">
        <v>0</v>
      </c>
      <c r="W4523">
        <v>0</v>
      </c>
      <c r="X4523">
        <v>2</v>
      </c>
      <c r="Z4523">
        <v>0</v>
      </c>
      <c r="AA4523">
        <v>9</v>
      </c>
      <c r="AB4523">
        <v>3</v>
      </c>
      <c r="AC4523">
        <v>0</v>
      </c>
      <c r="AD4523">
        <v>10</v>
      </c>
      <c r="AE4523">
        <v>0</v>
      </c>
      <c r="AF4523">
        <v>3</v>
      </c>
      <c r="AG4523">
        <v>2</v>
      </c>
      <c r="AH4523">
        <v>0</v>
      </c>
      <c r="AI4523" t="s">
        <v>2506</v>
      </c>
      <c r="AJ4523">
        <v>40.150888000000002</v>
      </c>
      <c r="AK4523" t="s">
        <v>2507</v>
      </c>
      <c r="AL4523">
        <v>-93.236717999999996</v>
      </c>
      <c r="AM4523">
        <v>100</v>
      </c>
      <c r="AN4523">
        <v>1200</v>
      </c>
      <c r="AO4523" t="s">
        <v>118</v>
      </c>
      <c r="AP4523">
        <v>-128</v>
      </c>
      <c r="AQ4523">
        <v>-50</v>
      </c>
      <c r="AR4523">
        <v>192</v>
      </c>
      <c r="AZ4523">
        <v>1200</v>
      </c>
      <c r="BA4523">
        <v>1</v>
      </c>
      <c r="BB4523" t="str">
        <f t="shared" si="222"/>
        <v xml:space="preserve">N8080G  </v>
      </c>
      <c r="BC4523">
        <v>1</v>
      </c>
      <c r="BE4523">
        <v>0</v>
      </c>
      <c r="BF4523">
        <v>0</v>
      </c>
      <c r="BG4523">
        <v>0</v>
      </c>
      <c r="BH4523">
        <v>1275</v>
      </c>
      <c r="BI4523">
        <v>1</v>
      </c>
      <c r="BJ4523">
        <v>1</v>
      </c>
      <c r="BK4523">
        <v>1</v>
      </c>
      <c r="BL4523">
        <v>0</v>
      </c>
      <c r="BO4523">
        <v>0</v>
      </c>
      <c r="BP4523">
        <v>0</v>
      </c>
      <c r="BW4523" t="str">
        <f>"20:39:38.127"</f>
        <v>20:39:38.127</v>
      </c>
      <c r="BZ4523">
        <v>0</v>
      </c>
      <c r="CA4523">
        <v>1504</v>
      </c>
      <c r="CB4523">
        <v>224</v>
      </c>
      <c r="CD4523">
        <v>1</v>
      </c>
      <c r="CE4523">
        <v>0</v>
      </c>
      <c r="CF4523">
        <v>0</v>
      </c>
      <c r="CG4523">
        <v>1</v>
      </c>
      <c r="CH4523">
        <v>0</v>
      </c>
      <c r="CI4523">
        <v>0</v>
      </c>
      <c r="CJ4523">
        <v>0</v>
      </c>
      <c r="CK4523">
        <v>2</v>
      </c>
      <c r="CL4523">
        <v>0</v>
      </c>
      <c r="CM4523">
        <v>2</v>
      </c>
      <c r="CN4523">
        <v>0</v>
      </c>
      <c r="CO4523">
        <v>2</v>
      </c>
      <c r="CP4523" t="s">
        <v>119</v>
      </c>
      <c r="CQ4523">
        <v>180</v>
      </c>
      <c r="CR4523">
        <v>3</v>
      </c>
      <c r="CW4523">
        <v>1454030</v>
      </c>
      <c r="CY4523">
        <v>0</v>
      </c>
      <c r="CZ4523">
        <v>0</v>
      </c>
      <c r="DA4523">
        <v>0</v>
      </c>
      <c r="DB4523">
        <v>0</v>
      </c>
      <c r="DC4523">
        <v>0</v>
      </c>
      <c r="DD4523">
        <v>0</v>
      </c>
      <c r="DE4523">
        <v>0</v>
      </c>
      <c r="DF4523">
        <v>0</v>
      </c>
      <c r="DG4523">
        <v>0</v>
      </c>
      <c r="DH4523">
        <v>0</v>
      </c>
      <c r="DI4523">
        <v>0</v>
      </c>
    </row>
    <row r="4524" spans="1:113" x14ac:dyDescent="0.3">
      <c r="A4524" t="str">
        <f>"02/08/2021 20:39:35.806"</f>
        <v>02/08/2021 20:39:35.806</v>
      </c>
      <c r="C4524" t="str">
        <f t="shared" si="224"/>
        <v>FFDFD7C0</v>
      </c>
      <c r="D4524" t="s">
        <v>124</v>
      </c>
      <c r="E4524">
        <v>13</v>
      </c>
      <c r="F4524">
        <v>1013</v>
      </c>
      <c r="G4524" t="s">
        <v>114</v>
      </c>
      <c r="J4524" t="s">
        <v>125</v>
      </c>
      <c r="K4524">
        <v>0</v>
      </c>
      <c r="L4524">
        <v>3</v>
      </c>
      <c r="M4524">
        <v>0</v>
      </c>
      <c r="N4524">
        <v>2</v>
      </c>
      <c r="O4524">
        <v>1</v>
      </c>
      <c r="P4524">
        <v>0</v>
      </c>
      <c r="Q4524">
        <v>0</v>
      </c>
      <c r="S4524" t="str">
        <f>"20:39:38.125"</f>
        <v>20:39:38.125</v>
      </c>
      <c r="T4524" t="str">
        <f>"20:39:37.625"</f>
        <v>20:39:37.625</v>
      </c>
      <c r="U4524" t="str">
        <f t="shared" si="223"/>
        <v>AB01F4</v>
      </c>
      <c r="V4524">
        <v>0</v>
      </c>
      <c r="W4524">
        <v>0</v>
      </c>
      <c r="X4524">
        <v>2</v>
      </c>
      <c r="Z4524">
        <v>0</v>
      </c>
      <c r="AA4524">
        <v>9</v>
      </c>
      <c r="AB4524">
        <v>3</v>
      </c>
      <c r="AC4524">
        <v>0</v>
      </c>
      <c r="AD4524">
        <v>10</v>
      </c>
      <c r="AE4524">
        <v>0</v>
      </c>
      <c r="AF4524">
        <v>3</v>
      </c>
      <c r="AG4524">
        <v>2</v>
      </c>
      <c r="AH4524">
        <v>0</v>
      </c>
      <c r="AI4524" t="s">
        <v>2506</v>
      </c>
      <c r="AJ4524">
        <v>40.150888000000002</v>
      </c>
      <c r="AK4524" t="s">
        <v>2507</v>
      </c>
      <c r="AL4524">
        <v>-93.236717999999996</v>
      </c>
      <c r="AM4524">
        <v>100</v>
      </c>
      <c r="AN4524">
        <v>1200</v>
      </c>
      <c r="AO4524" t="s">
        <v>118</v>
      </c>
      <c r="AP4524">
        <v>-128</v>
      </c>
      <c r="AQ4524">
        <v>-50</v>
      </c>
      <c r="AR4524">
        <v>192</v>
      </c>
      <c r="AZ4524">
        <v>1200</v>
      </c>
      <c r="BA4524">
        <v>1</v>
      </c>
      <c r="BB4524" t="str">
        <f t="shared" si="222"/>
        <v xml:space="preserve">N8080G  </v>
      </c>
      <c r="BC4524">
        <v>1</v>
      </c>
      <c r="BE4524">
        <v>0</v>
      </c>
      <c r="BF4524">
        <v>0</v>
      </c>
      <c r="BG4524">
        <v>0</v>
      </c>
      <c r="BH4524">
        <v>1275</v>
      </c>
      <c r="BI4524">
        <v>1</v>
      </c>
      <c r="BJ4524">
        <v>1</v>
      </c>
      <c r="BK4524">
        <v>1</v>
      </c>
      <c r="BL4524">
        <v>0</v>
      </c>
      <c r="BO4524">
        <v>0</v>
      </c>
      <c r="BP4524">
        <v>0</v>
      </c>
      <c r="BW4524" t="str">
        <f>"20:39:38.127"</f>
        <v>20:39:38.127</v>
      </c>
      <c r="BZ4524">
        <v>0</v>
      </c>
      <c r="CA4524">
        <v>1504</v>
      </c>
      <c r="CB4524">
        <v>224</v>
      </c>
      <c r="CD4524">
        <v>1</v>
      </c>
      <c r="CE4524">
        <v>0</v>
      </c>
      <c r="CF4524">
        <v>0</v>
      </c>
      <c r="CG4524">
        <v>1</v>
      </c>
      <c r="CH4524">
        <v>0</v>
      </c>
      <c r="CI4524">
        <v>0</v>
      </c>
      <c r="CJ4524">
        <v>0</v>
      </c>
      <c r="CK4524">
        <v>2</v>
      </c>
      <c r="CL4524">
        <v>0</v>
      </c>
      <c r="CM4524">
        <v>2</v>
      </c>
      <c r="CN4524">
        <v>0</v>
      </c>
      <c r="CO4524">
        <v>2</v>
      </c>
      <c r="CP4524" t="s">
        <v>119</v>
      </c>
      <c r="CQ4524">
        <v>180</v>
      </c>
      <c r="CR4524">
        <v>3</v>
      </c>
      <c r="CW4524">
        <v>1454030</v>
      </c>
      <c r="CY4524">
        <v>0</v>
      </c>
      <c r="CZ4524">
        <v>0</v>
      </c>
      <c r="DA4524">
        <v>1</v>
      </c>
      <c r="DB4524">
        <v>0</v>
      </c>
      <c r="DC4524">
        <v>0</v>
      </c>
      <c r="DD4524">
        <v>0</v>
      </c>
      <c r="DE4524">
        <v>0</v>
      </c>
      <c r="DF4524">
        <v>0</v>
      </c>
      <c r="DG4524">
        <v>0</v>
      </c>
      <c r="DH4524">
        <v>0</v>
      </c>
      <c r="DI4524">
        <v>0</v>
      </c>
    </row>
    <row r="4525" spans="1:113" x14ac:dyDescent="0.3">
      <c r="A4525" t="str">
        <f>"02/08/2021 20:39:35.806"</f>
        <v>02/08/2021 20:39:35.806</v>
      </c>
      <c r="C4525" t="str">
        <f t="shared" si="224"/>
        <v>FFDFD7C0</v>
      </c>
      <c r="D4525" t="s">
        <v>113</v>
      </c>
      <c r="E4525">
        <v>6</v>
      </c>
      <c r="H4525">
        <v>165</v>
      </c>
      <c r="I4525" t="s">
        <v>114</v>
      </c>
      <c r="J4525" t="s">
        <v>115</v>
      </c>
      <c r="K4525">
        <v>0</v>
      </c>
      <c r="L4525">
        <v>3</v>
      </c>
      <c r="M4525">
        <v>0</v>
      </c>
      <c r="N4525">
        <v>2</v>
      </c>
      <c r="O4525">
        <v>1</v>
      </c>
      <c r="P4525">
        <v>0</v>
      </c>
      <c r="Q4525">
        <v>0</v>
      </c>
      <c r="S4525" t="str">
        <f>"20:39:38.125"</f>
        <v>20:39:38.125</v>
      </c>
      <c r="T4525" t="str">
        <f>"20:39:37.625"</f>
        <v>20:39:37.625</v>
      </c>
      <c r="U4525" t="str">
        <f t="shared" si="223"/>
        <v>AB01F4</v>
      </c>
      <c r="V4525">
        <v>0</v>
      </c>
      <c r="W4525">
        <v>0</v>
      </c>
      <c r="X4525">
        <v>2</v>
      </c>
      <c r="Z4525">
        <v>0</v>
      </c>
      <c r="AA4525">
        <v>9</v>
      </c>
      <c r="AB4525">
        <v>3</v>
      </c>
      <c r="AC4525">
        <v>0</v>
      </c>
      <c r="AD4525">
        <v>10</v>
      </c>
      <c r="AE4525">
        <v>0</v>
      </c>
      <c r="AF4525">
        <v>3</v>
      </c>
      <c r="AG4525">
        <v>2</v>
      </c>
      <c r="AH4525">
        <v>0</v>
      </c>
      <c r="AI4525" t="s">
        <v>2506</v>
      </c>
      <c r="AJ4525">
        <v>40.150888000000002</v>
      </c>
      <c r="AK4525" t="s">
        <v>2507</v>
      </c>
      <c r="AL4525">
        <v>-93.236717999999996</v>
      </c>
      <c r="AM4525">
        <v>100</v>
      </c>
      <c r="AN4525">
        <v>1200</v>
      </c>
      <c r="AO4525" t="s">
        <v>118</v>
      </c>
      <c r="AP4525">
        <v>-128</v>
      </c>
      <c r="AQ4525">
        <v>-50</v>
      </c>
      <c r="AR4525">
        <v>192</v>
      </c>
      <c r="AZ4525">
        <v>1200</v>
      </c>
      <c r="BA4525">
        <v>1</v>
      </c>
      <c r="BB4525" t="str">
        <f t="shared" si="222"/>
        <v xml:space="preserve">N8080G  </v>
      </c>
      <c r="BC4525">
        <v>1</v>
      </c>
      <c r="BE4525">
        <v>0</v>
      </c>
      <c r="BF4525">
        <v>0</v>
      </c>
      <c r="BG4525">
        <v>0</v>
      </c>
      <c r="BH4525">
        <v>1275</v>
      </c>
      <c r="BI4525">
        <v>1</v>
      </c>
      <c r="BJ4525">
        <v>1</v>
      </c>
      <c r="BK4525">
        <v>1</v>
      </c>
      <c r="BL4525">
        <v>0</v>
      </c>
      <c r="BO4525">
        <v>0</v>
      </c>
      <c r="BP4525">
        <v>0</v>
      </c>
      <c r="BW4525" t="str">
        <f>"20:39:38.127"</f>
        <v>20:39:38.127</v>
      </c>
      <c r="BZ4525">
        <v>0</v>
      </c>
      <c r="CA4525">
        <v>1504</v>
      </c>
      <c r="CB4525">
        <v>224</v>
      </c>
      <c r="CD4525">
        <v>1</v>
      </c>
      <c r="CE4525">
        <v>0</v>
      </c>
      <c r="CF4525">
        <v>0</v>
      </c>
      <c r="CG4525">
        <v>1</v>
      </c>
      <c r="CH4525">
        <v>0</v>
      </c>
      <c r="CI4525">
        <v>0</v>
      </c>
      <c r="CJ4525">
        <v>0</v>
      </c>
      <c r="CK4525">
        <v>2</v>
      </c>
      <c r="CL4525">
        <v>0</v>
      </c>
      <c r="CM4525">
        <v>2</v>
      </c>
      <c r="CN4525">
        <v>0</v>
      </c>
      <c r="CO4525">
        <v>2</v>
      </c>
      <c r="CP4525" t="s">
        <v>119</v>
      </c>
      <c r="CQ4525">
        <v>180</v>
      </c>
      <c r="CR4525">
        <v>3</v>
      </c>
      <c r="CW4525">
        <v>1454030</v>
      </c>
      <c r="CY4525">
        <v>0</v>
      </c>
      <c r="CZ4525">
        <v>0</v>
      </c>
      <c r="DA4525">
        <v>1</v>
      </c>
      <c r="DB4525">
        <v>0</v>
      </c>
      <c r="DC4525">
        <v>0</v>
      </c>
      <c r="DD4525">
        <v>0</v>
      </c>
      <c r="DE4525">
        <v>0</v>
      </c>
      <c r="DF4525">
        <v>0</v>
      </c>
      <c r="DG4525">
        <v>0</v>
      </c>
      <c r="DH4525">
        <v>0</v>
      </c>
      <c r="DI4525">
        <v>0</v>
      </c>
    </row>
    <row r="4526" spans="1:113" x14ac:dyDescent="0.3">
      <c r="A4526" t="str">
        <f>"02/08/2021 20:39:35.806"</f>
        <v>02/08/2021 20:39:35.806</v>
      </c>
      <c r="C4526" t="str">
        <f t="shared" si="224"/>
        <v>FFDFD7C0</v>
      </c>
      <c r="D4526" t="s">
        <v>124</v>
      </c>
      <c r="E4526">
        <v>12</v>
      </c>
      <c r="F4526">
        <v>1012</v>
      </c>
      <c r="G4526" t="s">
        <v>675</v>
      </c>
      <c r="J4526" t="s">
        <v>125</v>
      </c>
      <c r="K4526">
        <v>0</v>
      </c>
      <c r="L4526">
        <v>3</v>
      </c>
      <c r="M4526">
        <v>0</v>
      </c>
      <c r="N4526">
        <v>2</v>
      </c>
      <c r="O4526">
        <v>1</v>
      </c>
      <c r="P4526">
        <v>0</v>
      </c>
      <c r="Q4526">
        <v>0</v>
      </c>
      <c r="S4526" t="str">
        <f>"20:39:38.125"</f>
        <v>20:39:38.125</v>
      </c>
      <c r="T4526" t="str">
        <f>"20:39:37.625"</f>
        <v>20:39:37.625</v>
      </c>
      <c r="U4526" t="str">
        <f t="shared" si="223"/>
        <v>AB01F4</v>
      </c>
      <c r="V4526">
        <v>0</v>
      </c>
      <c r="W4526">
        <v>0</v>
      </c>
      <c r="X4526">
        <v>2</v>
      </c>
      <c r="Z4526">
        <v>0</v>
      </c>
      <c r="AA4526">
        <v>9</v>
      </c>
      <c r="AB4526">
        <v>3</v>
      </c>
      <c r="AC4526">
        <v>0</v>
      </c>
      <c r="AD4526">
        <v>10</v>
      </c>
      <c r="AE4526">
        <v>0</v>
      </c>
      <c r="AF4526">
        <v>3</v>
      </c>
      <c r="AG4526">
        <v>2</v>
      </c>
      <c r="AH4526">
        <v>0</v>
      </c>
      <c r="AI4526" t="s">
        <v>2506</v>
      </c>
      <c r="AJ4526">
        <v>40.150888000000002</v>
      </c>
      <c r="AK4526" t="s">
        <v>2507</v>
      </c>
      <c r="AL4526">
        <v>-93.236717999999996</v>
      </c>
      <c r="AM4526">
        <v>100</v>
      </c>
      <c r="AN4526">
        <v>1200</v>
      </c>
      <c r="AO4526" t="s">
        <v>118</v>
      </c>
      <c r="AP4526">
        <v>-128</v>
      </c>
      <c r="AQ4526">
        <v>-50</v>
      </c>
      <c r="AR4526">
        <v>192</v>
      </c>
      <c r="AZ4526">
        <v>1200</v>
      </c>
      <c r="BA4526">
        <v>1</v>
      </c>
      <c r="BB4526" t="str">
        <f t="shared" si="222"/>
        <v xml:space="preserve">N8080G  </v>
      </c>
      <c r="BC4526">
        <v>1</v>
      </c>
      <c r="BE4526">
        <v>0</v>
      </c>
      <c r="BF4526">
        <v>0</v>
      </c>
      <c r="BG4526">
        <v>0</v>
      </c>
      <c r="BH4526">
        <v>1275</v>
      </c>
      <c r="BI4526">
        <v>1</v>
      </c>
      <c r="BJ4526">
        <v>1</v>
      </c>
      <c r="BK4526">
        <v>1</v>
      </c>
      <c r="BL4526">
        <v>0</v>
      </c>
      <c r="BO4526">
        <v>0</v>
      </c>
      <c r="BP4526">
        <v>0</v>
      </c>
      <c r="BW4526" t="str">
        <f>"20:39:38.127"</f>
        <v>20:39:38.127</v>
      </c>
      <c r="BZ4526">
        <v>0</v>
      </c>
      <c r="CA4526">
        <v>1504</v>
      </c>
      <c r="CB4526">
        <v>224</v>
      </c>
      <c r="CD4526">
        <v>1</v>
      </c>
      <c r="CE4526">
        <v>0</v>
      </c>
      <c r="CF4526">
        <v>0</v>
      </c>
      <c r="CG4526">
        <v>1</v>
      </c>
      <c r="CH4526">
        <v>0</v>
      </c>
      <c r="CI4526">
        <v>0</v>
      </c>
      <c r="CJ4526">
        <v>0</v>
      </c>
      <c r="CK4526">
        <v>2</v>
      </c>
      <c r="CL4526">
        <v>0</v>
      </c>
      <c r="CM4526">
        <v>2</v>
      </c>
      <c r="CN4526">
        <v>0</v>
      </c>
      <c r="CO4526">
        <v>2</v>
      </c>
      <c r="CP4526" t="s">
        <v>119</v>
      </c>
      <c r="CQ4526">
        <v>180</v>
      </c>
      <c r="CR4526">
        <v>3</v>
      </c>
      <c r="CW4526">
        <v>1454030</v>
      </c>
      <c r="CY4526">
        <v>0</v>
      </c>
      <c r="CZ4526">
        <v>0</v>
      </c>
      <c r="DA4526">
        <v>1</v>
      </c>
      <c r="DB4526">
        <v>0</v>
      </c>
      <c r="DC4526">
        <v>0</v>
      </c>
      <c r="DD4526">
        <v>0</v>
      </c>
      <c r="DE4526">
        <v>0</v>
      </c>
      <c r="DF4526">
        <v>0</v>
      </c>
      <c r="DG4526">
        <v>0</v>
      </c>
      <c r="DH4526">
        <v>0</v>
      </c>
      <c r="DI4526">
        <v>0</v>
      </c>
    </row>
    <row r="4527" spans="1:113" x14ac:dyDescent="0.3">
      <c r="A4527" t="str">
        <f>"02/08/2021 20:39:37.154"</f>
        <v>02/08/2021 20:39:37.154</v>
      </c>
      <c r="C4527" t="str">
        <f t="shared" si="224"/>
        <v>FFDFD7C0</v>
      </c>
      <c r="D4527" t="s">
        <v>113</v>
      </c>
      <c r="E4527">
        <v>6</v>
      </c>
      <c r="H4527">
        <v>165</v>
      </c>
      <c r="I4527" t="s">
        <v>114</v>
      </c>
      <c r="J4527" t="s">
        <v>115</v>
      </c>
      <c r="K4527">
        <v>0</v>
      </c>
      <c r="L4527">
        <v>3</v>
      </c>
      <c r="M4527">
        <v>0</v>
      </c>
      <c r="N4527">
        <v>2</v>
      </c>
      <c r="O4527">
        <v>1</v>
      </c>
      <c r="P4527">
        <v>0</v>
      </c>
      <c r="Q4527">
        <v>0</v>
      </c>
      <c r="S4527" t="str">
        <f>"20:39:39.469"</f>
        <v>20:39:39.469</v>
      </c>
      <c r="T4527" t="str">
        <f>"20:39:38.969"</f>
        <v>20:39:38.969</v>
      </c>
      <c r="U4527" t="str">
        <f t="shared" si="223"/>
        <v>AB01F4</v>
      </c>
      <c r="V4527">
        <v>0</v>
      </c>
      <c r="W4527">
        <v>0</v>
      </c>
      <c r="X4527">
        <v>2</v>
      </c>
      <c r="Z4527">
        <v>0</v>
      </c>
      <c r="AA4527">
        <v>9</v>
      </c>
      <c r="AB4527">
        <v>3</v>
      </c>
      <c r="AC4527">
        <v>0</v>
      </c>
      <c r="AD4527">
        <v>10</v>
      </c>
      <c r="AE4527">
        <v>0</v>
      </c>
      <c r="AF4527">
        <v>3</v>
      </c>
      <c r="AG4527">
        <v>2</v>
      </c>
      <c r="AH4527">
        <v>0</v>
      </c>
      <c r="AI4527" t="s">
        <v>2508</v>
      </c>
      <c r="AJ4527">
        <v>40.150565999999998</v>
      </c>
      <c r="AK4527" t="s">
        <v>2509</v>
      </c>
      <c r="AL4527">
        <v>-93.237791000000001</v>
      </c>
      <c r="AM4527">
        <v>100</v>
      </c>
      <c r="AN4527">
        <v>1300</v>
      </c>
      <c r="AO4527" t="s">
        <v>118</v>
      </c>
      <c r="AP4527">
        <v>-128</v>
      </c>
      <c r="AQ4527">
        <v>-49</v>
      </c>
      <c r="AR4527">
        <v>192</v>
      </c>
      <c r="AZ4527">
        <v>1200</v>
      </c>
      <c r="BA4527">
        <v>1</v>
      </c>
      <c r="BB4527" t="str">
        <f t="shared" ref="BB4527:BB4590" si="225">"N8080G  "</f>
        <v xml:space="preserve">N8080G  </v>
      </c>
      <c r="BC4527">
        <v>1</v>
      </c>
      <c r="BE4527">
        <v>0</v>
      </c>
      <c r="BF4527">
        <v>0</v>
      </c>
      <c r="BG4527">
        <v>0</v>
      </c>
      <c r="BH4527">
        <v>1200</v>
      </c>
      <c r="BI4527">
        <v>1</v>
      </c>
      <c r="BJ4527">
        <v>1</v>
      </c>
      <c r="BK4527">
        <v>1</v>
      </c>
      <c r="BL4527">
        <v>0</v>
      </c>
      <c r="BO4527">
        <v>0</v>
      </c>
      <c r="BP4527">
        <v>0</v>
      </c>
      <c r="BW4527" t="str">
        <f>"20:39:39.469"</f>
        <v>20:39:39.469</v>
      </c>
      <c r="BZ4527">
        <v>0</v>
      </c>
      <c r="CA4527">
        <v>1504</v>
      </c>
      <c r="CB4527">
        <v>224</v>
      </c>
      <c r="CD4527">
        <v>1</v>
      </c>
      <c r="CE4527">
        <v>0</v>
      </c>
      <c r="CF4527">
        <v>0</v>
      </c>
      <c r="CG4527">
        <v>1</v>
      </c>
      <c r="CH4527">
        <v>0</v>
      </c>
      <c r="CI4527">
        <v>0</v>
      </c>
      <c r="CJ4527">
        <v>0</v>
      </c>
      <c r="CK4527">
        <v>2</v>
      </c>
      <c r="CL4527">
        <v>0</v>
      </c>
      <c r="CM4527">
        <v>2</v>
      </c>
      <c r="CN4527">
        <v>0</v>
      </c>
      <c r="CO4527">
        <v>2</v>
      </c>
      <c r="CP4527" t="s">
        <v>119</v>
      </c>
      <c r="CQ4527">
        <v>180</v>
      </c>
      <c r="CR4527">
        <v>3</v>
      </c>
      <c r="CW4527">
        <v>1455039</v>
      </c>
      <c r="CY4527">
        <v>0</v>
      </c>
      <c r="CZ4527">
        <v>0</v>
      </c>
      <c r="DA4527">
        <v>0</v>
      </c>
      <c r="DB4527">
        <v>0</v>
      </c>
      <c r="DC4527">
        <v>0</v>
      </c>
      <c r="DD4527">
        <v>0</v>
      </c>
      <c r="DE4527">
        <v>0</v>
      </c>
      <c r="DF4527">
        <v>0</v>
      </c>
      <c r="DG4527">
        <v>0</v>
      </c>
      <c r="DH4527">
        <v>0</v>
      </c>
      <c r="DI4527">
        <v>0</v>
      </c>
    </row>
    <row r="4528" spans="1:113" x14ac:dyDescent="0.3">
      <c r="A4528" t="str">
        <f>"02/08/2021 20:39:37.154"</f>
        <v>02/08/2021 20:39:37.154</v>
      </c>
      <c r="C4528" t="str">
        <f t="shared" si="224"/>
        <v>FFDFD7C0</v>
      </c>
      <c r="D4528" t="s">
        <v>124</v>
      </c>
      <c r="E4528">
        <v>11</v>
      </c>
      <c r="F4528">
        <v>1011</v>
      </c>
      <c r="G4528" t="s">
        <v>590</v>
      </c>
      <c r="J4528" t="s">
        <v>125</v>
      </c>
      <c r="K4528">
        <v>0</v>
      </c>
      <c r="L4528">
        <v>3</v>
      </c>
      <c r="M4528">
        <v>0</v>
      </c>
      <c r="N4528">
        <v>2</v>
      </c>
      <c r="O4528">
        <v>1</v>
      </c>
      <c r="P4528">
        <v>0</v>
      </c>
      <c r="Q4528">
        <v>0</v>
      </c>
      <c r="S4528" t="str">
        <f>"20:39:39.469"</f>
        <v>20:39:39.469</v>
      </c>
      <c r="T4528" t="str">
        <f>"20:39:38.969"</f>
        <v>20:39:38.969</v>
      </c>
      <c r="U4528" t="str">
        <f t="shared" si="223"/>
        <v>AB01F4</v>
      </c>
      <c r="V4528">
        <v>0</v>
      </c>
      <c r="W4528">
        <v>0</v>
      </c>
      <c r="X4528">
        <v>2</v>
      </c>
      <c r="Z4528">
        <v>0</v>
      </c>
      <c r="AA4528">
        <v>9</v>
      </c>
      <c r="AB4528">
        <v>3</v>
      </c>
      <c r="AC4528">
        <v>0</v>
      </c>
      <c r="AD4528">
        <v>10</v>
      </c>
      <c r="AE4528">
        <v>0</v>
      </c>
      <c r="AF4528">
        <v>3</v>
      </c>
      <c r="AG4528">
        <v>2</v>
      </c>
      <c r="AH4528">
        <v>0</v>
      </c>
      <c r="AI4528" t="s">
        <v>2508</v>
      </c>
      <c r="AJ4528">
        <v>40.150565999999998</v>
      </c>
      <c r="AK4528" t="s">
        <v>2509</v>
      </c>
      <c r="AL4528">
        <v>-93.237791000000001</v>
      </c>
      <c r="AM4528">
        <v>100</v>
      </c>
      <c r="AN4528">
        <v>1300</v>
      </c>
      <c r="AO4528" t="s">
        <v>118</v>
      </c>
      <c r="AP4528">
        <v>-128</v>
      </c>
      <c r="AQ4528">
        <v>-49</v>
      </c>
      <c r="AR4528">
        <v>192</v>
      </c>
      <c r="AZ4528">
        <v>1200</v>
      </c>
      <c r="BA4528">
        <v>1</v>
      </c>
      <c r="BB4528" t="str">
        <f t="shared" si="225"/>
        <v xml:space="preserve">N8080G  </v>
      </c>
      <c r="BC4528">
        <v>1</v>
      </c>
      <c r="BE4528">
        <v>0</v>
      </c>
      <c r="BF4528">
        <v>0</v>
      </c>
      <c r="BG4528">
        <v>0</v>
      </c>
      <c r="BH4528">
        <v>1200</v>
      </c>
      <c r="BI4528">
        <v>1</v>
      </c>
      <c r="BJ4528">
        <v>1</v>
      </c>
      <c r="BK4528">
        <v>1</v>
      </c>
      <c r="BL4528">
        <v>0</v>
      </c>
      <c r="BO4528">
        <v>0</v>
      </c>
      <c r="BP4528">
        <v>0</v>
      </c>
      <c r="BW4528" t="str">
        <f>"20:39:39.469"</f>
        <v>20:39:39.469</v>
      </c>
      <c r="BZ4528">
        <v>0</v>
      </c>
      <c r="CA4528">
        <v>1504</v>
      </c>
      <c r="CB4528">
        <v>224</v>
      </c>
      <c r="CD4528">
        <v>1</v>
      </c>
      <c r="CE4528">
        <v>0</v>
      </c>
      <c r="CF4528">
        <v>0</v>
      </c>
      <c r="CG4528">
        <v>1</v>
      </c>
      <c r="CH4528">
        <v>0</v>
      </c>
      <c r="CI4528">
        <v>0</v>
      </c>
      <c r="CJ4528">
        <v>0</v>
      </c>
      <c r="CK4528">
        <v>2</v>
      </c>
      <c r="CL4528">
        <v>0</v>
      </c>
      <c r="CM4528">
        <v>2</v>
      </c>
      <c r="CN4528">
        <v>0</v>
      </c>
      <c r="CO4528">
        <v>2</v>
      </c>
      <c r="CP4528" t="s">
        <v>119</v>
      </c>
      <c r="CQ4528">
        <v>180</v>
      </c>
      <c r="CR4528">
        <v>3</v>
      </c>
      <c r="CW4528">
        <v>1455039</v>
      </c>
      <c r="CY4528">
        <v>0</v>
      </c>
      <c r="CZ4528">
        <v>0</v>
      </c>
      <c r="DA4528">
        <v>1</v>
      </c>
      <c r="DB4528">
        <v>0</v>
      </c>
      <c r="DC4528">
        <v>0</v>
      </c>
      <c r="DD4528">
        <v>0</v>
      </c>
      <c r="DE4528">
        <v>0</v>
      </c>
      <c r="DF4528">
        <v>0</v>
      </c>
      <c r="DG4528">
        <v>0</v>
      </c>
      <c r="DH4528">
        <v>0</v>
      </c>
      <c r="DI4528">
        <v>0</v>
      </c>
    </row>
    <row r="4529" spans="1:113" x14ac:dyDescent="0.3">
      <c r="A4529" t="str">
        <f>"02/08/2021 20:39:37.154"</f>
        <v>02/08/2021 20:39:37.154</v>
      </c>
      <c r="C4529" t="str">
        <f t="shared" si="224"/>
        <v>FFDFD7C0</v>
      </c>
      <c r="D4529" t="s">
        <v>124</v>
      </c>
      <c r="E4529">
        <v>13</v>
      </c>
      <c r="F4529">
        <v>1013</v>
      </c>
      <c r="G4529" t="s">
        <v>114</v>
      </c>
      <c r="J4529" t="s">
        <v>125</v>
      </c>
      <c r="K4529">
        <v>0</v>
      </c>
      <c r="L4529">
        <v>3</v>
      </c>
      <c r="M4529">
        <v>0</v>
      </c>
      <c r="N4529">
        <v>2</v>
      </c>
      <c r="O4529">
        <v>1</v>
      </c>
      <c r="P4529">
        <v>0</v>
      </c>
      <c r="Q4529">
        <v>0</v>
      </c>
      <c r="S4529" t="str">
        <f>"20:39:39.469"</f>
        <v>20:39:39.469</v>
      </c>
      <c r="T4529" t="str">
        <f>"20:39:38.969"</f>
        <v>20:39:38.969</v>
      </c>
      <c r="U4529" t="str">
        <f t="shared" si="223"/>
        <v>AB01F4</v>
      </c>
      <c r="V4529">
        <v>0</v>
      </c>
      <c r="W4529">
        <v>0</v>
      </c>
      <c r="X4529">
        <v>2</v>
      </c>
      <c r="Z4529">
        <v>0</v>
      </c>
      <c r="AA4529">
        <v>9</v>
      </c>
      <c r="AB4529">
        <v>3</v>
      </c>
      <c r="AC4529">
        <v>0</v>
      </c>
      <c r="AD4529">
        <v>10</v>
      </c>
      <c r="AE4529">
        <v>0</v>
      </c>
      <c r="AF4529">
        <v>3</v>
      </c>
      <c r="AG4529">
        <v>2</v>
      </c>
      <c r="AH4529">
        <v>0</v>
      </c>
      <c r="AI4529" t="s">
        <v>2508</v>
      </c>
      <c r="AJ4529">
        <v>40.150565999999998</v>
      </c>
      <c r="AK4529" t="s">
        <v>2509</v>
      </c>
      <c r="AL4529">
        <v>-93.237791000000001</v>
      </c>
      <c r="AM4529">
        <v>100</v>
      </c>
      <c r="AN4529">
        <v>1300</v>
      </c>
      <c r="AO4529" t="s">
        <v>118</v>
      </c>
      <c r="AP4529">
        <v>-128</v>
      </c>
      <c r="AQ4529">
        <v>-49</v>
      </c>
      <c r="AR4529">
        <v>192</v>
      </c>
      <c r="AZ4529">
        <v>1200</v>
      </c>
      <c r="BA4529">
        <v>1</v>
      </c>
      <c r="BB4529" t="str">
        <f t="shared" si="225"/>
        <v xml:space="preserve">N8080G  </v>
      </c>
      <c r="BC4529">
        <v>1</v>
      </c>
      <c r="BE4529">
        <v>0</v>
      </c>
      <c r="BF4529">
        <v>0</v>
      </c>
      <c r="BG4529">
        <v>0</v>
      </c>
      <c r="BH4529">
        <v>1200</v>
      </c>
      <c r="BI4529">
        <v>1</v>
      </c>
      <c r="BJ4529">
        <v>1</v>
      </c>
      <c r="BK4529">
        <v>1</v>
      </c>
      <c r="BL4529">
        <v>0</v>
      </c>
      <c r="BO4529">
        <v>0</v>
      </c>
      <c r="BP4529">
        <v>0</v>
      </c>
      <c r="BW4529" t="str">
        <f>"20:39:39.469"</f>
        <v>20:39:39.469</v>
      </c>
      <c r="BZ4529">
        <v>0</v>
      </c>
      <c r="CA4529">
        <v>1504</v>
      </c>
      <c r="CB4529">
        <v>224</v>
      </c>
      <c r="CD4529">
        <v>1</v>
      </c>
      <c r="CE4529">
        <v>0</v>
      </c>
      <c r="CF4529">
        <v>0</v>
      </c>
      <c r="CG4529">
        <v>1</v>
      </c>
      <c r="CH4529">
        <v>0</v>
      </c>
      <c r="CI4529">
        <v>0</v>
      </c>
      <c r="CJ4529">
        <v>0</v>
      </c>
      <c r="CK4529">
        <v>2</v>
      </c>
      <c r="CL4529">
        <v>0</v>
      </c>
      <c r="CM4529">
        <v>2</v>
      </c>
      <c r="CN4529">
        <v>0</v>
      </c>
      <c r="CO4529">
        <v>2</v>
      </c>
      <c r="CP4529" t="s">
        <v>119</v>
      </c>
      <c r="CQ4529">
        <v>180</v>
      </c>
      <c r="CR4529">
        <v>3</v>
      </c>
      <c r="CW4529">
        <v>1455039</v>
      </c>
      <c r="CY4529">
        <v>0</v>
      </c>
      <c r="CZ4529">
        <v>0</v>
      </c>
      <c r="DA4529">
        <v>1</v>
      </c>
      <c r="DB4529">
        <v>0</v>
      </c>
      <c r="DC4529">
        <v>0</v>
      </c>
      <c r="DD4529">
        <v>0</v>
      </c>
      <c r="DE4529">
        <v>0</v>
      </c>
      <c r="DF4529">
        <v>0</v>
      </c>
      <c r="DG4529">
        <v>0</v>
      </c>
      <c r="DH4529">
        <v>0</v>
      </c>
      <c r="DI4529">
        <v>0</v>
      </c>
    </row>
    <row r="4530" spans="1:113" x14ac:dyDescent="0.3">
      <c r="A4530" t="str">
        <f>"02/08/2021 20:39:37.154"</f>
        <v>02/08/2021 20:39:37.154</v>
      </c>
      <c r="C4530" t="str">
        <f t="shared" si="224"/>
        <v>FFDFD7C0</v>
      </c>
      <c r="D4530" t="s">
        <v>124</v>
      </c>
      <c r="E4530">
        <v>12</v>
      </c>
      <c r="F4530">
        <v>1012</v>
      </c>
      <c r="G4530" t="s">
        <v>675</v>
      </c>
      <c r="J4530" t="s">
        <v>125</v>
      </c>
      <c r="K4530">
        <v>0</v>
      </c>
      <c r="L4530">
        <v>3</v>
      </c>
      <c r="M4530">
        <v>0</v>
      </c>
      <c r="N4530">
        <v>2</v>
      </c>
      <c r="O4530">
        <v>1</v>
      </c>
      <c r="P4530">
        <v>0</v>
      </c>
      <c r="Q4530">
        <v>0</v>
      </c>
      <c r="S4530" t="str">
        <f>"20:39:39.469"</f>
        <v>20:39:39.469</v>
      </c>
      <c r="T4530" t="str">
        <f>"20:39:38.969"</f>
        <v>20:39:38.969</v>
      </c>
      <c r="U4530" t="str">
        <f t="shared" si="223"/>
        <v>AB01F4</v>
      </c>
      <c r="V4530">
        <v>0</v>
      </c>
      <c r="W4530">
        <v>0</v>
      </c>
      <c r="X4530">
        <v>2</v>
      </c>
      <c r="Z4530">
        <v>0</v>
      </c>
      <c r="AA4530">
        <v>9</v>
      </c>
      <c r="AB4530">
        <v>3</v>
      </c>
      <c r="AC4530">
        <v>0</v>
      </c>
      <c r="AD4530">
        <v>10</v>
      </c>
      <c r="AE4530">
        <v>0</v>
      </c>
      <c r="AF4530">
        <v>3</v>
      </c>
      <c r="AG4530">
        <v>2</v>
      </c>
      <c r="AH4530">
        <v>0</v>
      </c>
      <c r="AI4530" t="s">
        <v>2508</v>
      </c>
      <c r="AJ4530">
        <v>40.150565999999998</v>
      </c>
      <c r="AK4530" t="s">
        <v>2509</v>
      </c>
      <c r="AL4530">
        <v>-93.237791000000001</v>
      </c>
      <c r="AM4530">
        <v>100</v>
      </c>
      <c r="AN4530">
        <v>1300</v>
      </c>
      <c r="AO4530" t="s">
        <v>118</v>
      </c>
      <c r="AP4530">
        <v>-128</v>
      </c>
      <c r="AQ4530">
        <v>-49</v>
      </c>
      <c r="AR4530">
        <v>192</v>
      </c>
      <c r="AZ4530">
        <v>1200</v>
      </c>
      <c r="BA4530">
        <v>1</v>
      </c>
      <c r="BB4530" t="str">
        <f t="shared" si="225"/>
        <v xml:space="preserve">N8080G  </v>
      </c>
      <c r="BC4530">
        <v>1</v>
      </c>
      <c r="BE4530">
        <v>0</v>
      </c>
      <c r="BF4530">
        <v>0</v>
      </c>
      <c r="BG4530">
        <v>0</v>
      </c>
      <c r="BH4530">
        <v>1200</v>
      </c>
      <c r="BI4530">
        <v>1</v>
      </c>
      <c r="BJ4530">
        <v>1</v>
      </c>
      <c r="BK4530">
        <v>1</v>
      </c>
      <c r="BL4530">
        <v>0</v>
      </c>
      <c r="BO4530">
        <v>0</v>
      </c>
      <c r="BP4530">
        <v>0</v>
      </c>
      <c r="BW4530" t="str">
        <f>"20:39:39.469"</f>
        <v>20:39:39.469</v>
      </c>
      <c r="BZ4530">
        <v>0</v>
      </c>
      <c r="CA4530">
        <v>1504</v>
      </c>
      <c r="CB4530">
        <v>224</v>
      </c>
      <c r="CD4530">
        <v>1</v>
      </c>
      <c r="CE4530">
        <v>0</v>
      </c>
      <c r="CF4530">
        <v>0</v>
      </c>
      <c r="CG4530">
        <v>1</v>
      </c>
      <c r="CH4530">
        <v>0</v>
      </c>
      <c r="CI4530">
        <v>0</v>
      </c>
      <c r="CJ4530">
        <v>0</v>
      </c>
      <c r="CK4530">
        <v>2</v>
      </c>
      <c r="CL4530">
        <v>0</v>
      </c>
      <c r="CM4530">
        <v>2</v>
      </c>
      <c r="CN4530">
        <v>0</v>
      </c>
      <c r="CO4530">
        <v>2</v>
      </c>
      <c r="CP4530" t="s">
        <v>119</v>
      </c>
      <c r="CQ4530">
        <v>180</v>
      </c>
      <c r="CR4530">
        <v>3</v>
      </c>
      <c r="CW4530">
        <v>1455039</v>
      </c>
      <c r="CY4530">
        <v>0</v>
      </c>
      <c r="CZ4530">
        <v>0</v>
      </c>
      <c r="DA4530">
        <v>1</v>
      </c>
      <c r="DB4530">
        <v>0</v>
      </c>
      <c r="DC4530">
        <v>0</v>
      </c>
      <c r="DD4530">
        <v>0</v>
      </c>
      <c r="DE4530">
        <v>0</v>
      </c>
      <c r="DF4530">
        <v>0</v>
      </c>
      <c r="DG4530">
        <v>0</v>
      </c>
      <c r="DH4530">
        <v>0</v>
      </c>
      <c r="DI4530">
        <v>0</v>
      </c>
    </row>
    <row r="4531" spans="1:113" x14ac:dyDescent="0.3">
      <c r="A4531" t="str">
        <f>"02/08/2021 20:39:38.216"</f>
        <v>02/08/2021 20:39:38.216</v>
      </c>
      <c r="C4531" t="str">
        <f t="shared" si="224"/>
        <v>FFDFD7C0</v>
      </c>
      <c r="D4531" t="s">
        <v>113</v>
      </c>
      <c r="E4531">
        <v>6</v>
      </c>
      <c r="H4531">
        <v>165</v>
      </c>
      <c r="I4531" t="s">
        <v>114</v>
      </c>
      <c r="J4531" t="s">
        <v>115</v>
      </c>
      <c r="K4531">
        <v>0</v>
      </c>
      <c r="L4531">
        <v>3</v>
      </c>
      <c r="M4531">
        <v>0</v>
      </c>
      <c r="N4531">
        <v>2</v>
      </c>
      <c r="O4531">
        <v>1</v>
      </c>
      <c r="P4531">
        <v>0</v>
      </c>
      <c r="Q4531">
        <v>0</v>
      </c>
      <c r="S4531" t="str">
        <f>"20:39:40.516"</f>
        <v>20:39:40.516</v>
      </c>
      <c r="T4531" t="str">
        <f>"20:39:39.516"</f>
        <v>20:39:39.516</v>
      </c>
      <c r="U4531" t="str">
        <f t="shared" si="223"/>
        <v>AB01F4</v>
      </c>
      <c r="V4531">
        <v>0</v>
      </c>
      <c r="W4531">
        <v>0</v>
      </c>
      <c r="X4531">
        <v>2</v>
      </c>
      <c r="Z4531">
        <v>0</v>
      </c>
      <c r="AA4531">
        <v>9</v>
      </c>
      <c r="AB4531">
        <v>3</v>
      </c>
      <c r="AC4531">
        <v>0</v>
      </c>
      <c r="AD4531">
        <v>10</v>
      </c>
      <c r="AE4531">
        <v>0</v>
      </c>
      <c r="AF4531">
        <v>3</v>
      </c>
      <c r="AG4531">
        <v>2</v>
      </c>
      <c r="AH4531">
        <v>0</v>
      </c>
      <c r="AI4531" t="s">
        <v>2299</v>
      </c>
      <c r="AJ4531">
        <v>40.150373000000002</v>
      </c>
      <c r="AK4531" t="s">
        <v>2510</v>
      </c>
      <c r="AL4531">
        <v>-93.238585</v>
      </c>
      <c r="AM4531">
        <v>100</v>
      </c>
      <c r="AN4531">
        <v>1300</v>
      </c>
      <c r="AO4531" t="s">
        <v>118</v>
      </c>
      <c r="AP4531">
        <v>-128</v>
      </c>
      <c r="AQ4531">
        <v>-48</v>
      </c>
      <c r="AR4531">
        <v>128</v>
      </c>
      <c r="AZ4531">
        <v>1200</v>
      </c>
      <c r="BA4531">
        <v>1</v>
      </c>
      <c r="BB4531" t="str">
        <f t="shared" si="225"/>
        <v xml:space="preserve">N8080G  </v>
      </c>
      <c r="BC4531">
        <v>1</v>
      </c>
      <c r="BE4531">
        <v>0</v>
      </c>
      <c r="BF4531">
        <v>0</v>
      </c>
      <c r="BG4531">
        <v>0</v>
      </c>
      <c r="BH4531">
        <v>1300</v>
      </c>
      <c r="BI4531">
        <v>1</v>
      </c>
      <c r="BJ4531">
        <v>1</v>
      </c>
      <c r="BK4531">
        <v>1</v>
      </c>
      <c r="BL4531">
        <v>0</v>
      </c>
      <c r="BO4531">
        <v>0</v>
      </c>
      <c r="BP4531">
        <v>0</v>
      </c>
      <c r="BW4531" t="str">
        <f>"20:39:40.522"</f>
        <v>20:39:40.522</v>
      </c>
      <c r="BZ4531">
        <v>0</v>
      </c>
      <c r="CA4531">
        <v>1504</v>
      </c>
      <c r="CB4531">
        <v>224</v>
      </c>
      <c r="CD4531">
        <v>1</v>
      </c>
      <c r="CE4531">
        <v>0</v>
      </c>
      <c r="CF4531">
        <v>0</v>
      </c>
      <c r="CG4531">
        <v>1</v>
      </c>
      <c r="CH4531">
        <v>0</v>
      </c>
      <c r="CI4531">
        <v>0</v>
      </c>
      <c r="CJ4531">
        <v>0</v>
      </c>
      <c r="CK4531">
        <v>2</v>
      </c>
      <c r="CL4531">
        <v>0</v>
      </c>
      <c r="CM4531">
        <v>2</v>
      </c>
      <c r="CN4531">
        <v>0</v>
      </c>
      <c r="CO4531">
        <v>2</v>
      </c>
      <c r="CP4531" t="s">
        <v>119</v>
      </c>
      <c r="CQ4531">
        <v>180</v>
      </c>
      <c r="CR4531">
        <v>3</v>
      </c>
      <c r="CW4531">
        <v>1455759</v>
      </c>
      <c r="CY4531">
        <v>0</v>
      </c>
      <c r="CZ4531">
        <v>0</v>
      </c>
      <c r="DA4531">
        <v>0</v>
      </c>
      <c r="DB4531">
        <v>0</v>
      </c>
      <c r="DC4531">
        <v>0</v>
      </c>
      <c r="DD4531">
        <v>0</v>
      </c>
      <c r="DE4531">
        <v>0</v>
      </c>
      <c r="DF4531">
        <v>0</v>
      </c>
      <c r="DG4531">
        <v>0</v>
      </c>
      <c r="DH4531">
        <v>0</v>
      </c>
      <c r="DI4531">
        <v>0</v>
      </c>
    </row>
    <row r="4532" spans="1:113" x14ac:dyDescent="0.3">
      <c r="A4532" t="str">
        <f>"02/08/2021 20:39:38.216"</f>
        <v>02/08/2021 20:39:38.216</v>
      </c>
      <c r="C4532" t="str">
        <f t="shared" si="224"/>
        <v>FFDFD7C0</v>
      </c>
      <c r="D4532" t="s">
        <v>124</v>
      </c>
      <c r="E4532">
        <v>11</v>
      </c>
      <c r="F4532">
        <v>1011</v>
      </c>
      <c r="G4532" t="s">
        <v>590</v>
      </c>
      <c r="J4532" t="s">
        <v>125</v>
      </c>
      <c r="K4532">
        <v>0</v>
      </c>
      <c r="L4532">
        <v>3</v>
      </c>
      <c r="M4532">
        <v>0</v>
      </c>
      <c r="N4532">
        <v>2</v>
      </c>
      <c r="O4532">
        <v>1</v>
      </c>
      <c r="P4532">
        <v>0</v>
      </c>
      <c r="Q4532">
        <v>0</v>
      </c>
      <c r="S4532" t="str">
        <f>"20:39:40.516"</f>
        <v>20:39:40.516</v>
      </c>
      <c r="T4532" t="str">
        <f>"20:39:39.516"</f>
        <v>20:39:39.516</v>
      </c>
      <c r="U4532" t="str">
        <f t="shared" si="223"/>
        <v>AB01F4</v>
      </c>
      <c r="V4532">
        <v>0</v>
      </c>
      <c r="W4532">
        <v>0</v>
      </c>
      <c r="X4532">
        <v>2</v>
      </c>
      <c r="Z4532">
        <v>0</v>
      </c>
      <c r="AA4532">
        <v>9</v>
      </c>
      <c r="AB4532">
        <v>3</v>
      </c>
      <c r="AC4532">
        <v>0</v>
      </c>
      <c r="AD4532">
        <v>10</v>
      </c>
      <c r="AE4532">
        <v>0</v>
      </c>
      <c r="AF4532">
        <v>3</v>
      </c>
      <c r="AG4532">
        <v>2</v>
      </c>
      <c r="AH4532">
        <v>0</v>
      </c>
      <c r="AI4532" t="s">
        <v>2299</v>
      </c>
      <c r="AJ4532">
        <v>40.150373000000002</v>
      </c>
      <c r="AK4532" t="s">
        <v>2510</v>
      </c>
      <c r="AL4532">
        <v>-93.238585</v>
      </c>
      <c r="AM4532">
        <v>100</v>
      </c>
      <c r="AN4532">
        <v>1300</v>
      </c>
      <c r="AO4532" t="s">
        <v>118</v>
      </c>
      <c r="AP4532">
        <v>-128</v>
      </c>
      <c r="AQ4532">
        <v>-48</v>
      </c>
      <c r="AR4532">
        <v>128</v>
      </c>
      <c r="AZ4532">
        <v>1200</v>
      </c>
      <c r="BA4532">
        <v>1</v>
      </c>
      <c r="BB4532" t="str">
        <f t="shared" si="225"/>
        <v xml:space="preserve">N8080G  </v>
      </c>
      <c r="BC4532">
        <v>1</v>
      </c>
      <c r="BE4532">
        <v>0</v>
      </c>
      <c r="BF4532">
        <v>0</v>
      </c>
      <c r="BG4532">
        <v>0</v>
      </c>
      <c r="BH4532">
        <v>1300</v>
      </c>
      <c r="BI4532">
        <v>1</v>
      </c>
      <c r="BJ4532">
        <v>1</v>
      </c>
      <c r="BK4532">
        <v>1</v>
      </c>
      <c r="BL4532">
        <v>0</v>
      </c>
      <c r="BO4532">
        <v>0</v>
      </c>
      <c r="BP4532">
        <v>0</v>
      </c>
      <c r="BW4532" t="str">
        <f>"20:39:40.522"</f>
        <v>20:39:40.522</v>
      </c>
      <c r="BZ4532">
        <v>0</v>
      </c>
      <c r="CA4532">
        <v>1504</v>
      </c>
      <c r="CB4532">
        <v>224</v>
      </c>
      <c r="CD4532">
        <v>1</v>
      </c>
      <c r="CE4532">
        <v>0</v>
      </c>
      <c r="CF4532">
        <v>0</v>
      </c>
      <c r="CG4532">
        <v>1</v>
      </c>
      <c r="CH4532">
        <v>0</v>
      </c>
      <c r="CI4532">
        <v>0</v>
      </c>
      <c r="CJ4532">
        <v>0</v>
      </c>
      <c r="CK4532">
        <v>2</v>
      </c>
      <c r="CL4532">
        <v>0</v>
      </c>
      <c r="CM4532">
        <v>2</v>
      </c>
      <c r="CN4532">
        <v>0</v>
      </c>
      <c r="CO4532">
        <v>2</v>
      </c>
      <c r="CP4532" t="s">
        <v>119</v>
      </c>
      <c r="CQ4532">
        <v>180</v>
      </c>
      <c r="CR4532">
        <v>3</v>
      </c>
      <c r="CW4532">
        <v>1455759</v>
      </c>
      <c r="CY4532">
        <v>0</v>
      </c>
      <c r="CZ4532">
        <v>0</v>
      </c>
      <c r="DA4532">
        <v>1</v>
      </c>
      <c r="DB4532">
        <v>0</v>
      </c>
      <c r="DC4532">
        <v>0</v>
      </c>
      <c r="DD4532">
        <v>0</v>
      </c>
      <c r="DE4532">
        <v>0</v>
      </c>
      <c r="DF4532">
        <v>0</v>
      </c>
      <c r="DG4532">
        <v>0</v>
      </c>
      <c r="DH4532">
        <v>0</v>
      </c>
      <c r="DI4532">
        <v>0</v>
      </c>
    </row>
    <row r="4533" spans="1:113" x14ac:dyDescent="0.3">
      <c r="A4533" t="str">
        <f>"02/08/2021 20:39:38.216"</f>
        <v>02/08/2021 20:39:38.216</v>
      </c>
      <c r="C4533" t="str">
        <f t="shared" si="224"/>
        <v>FFDFD7C0</v>
      </c>
      <c r="D4533" t="s">
        <v>124</v>
      </c>
      <c r="E4533">
        <v>13</v>
      </c>
      <c r="F4533">
        <v>1013</v>
      </c>
      <c r="G4533" t="s">
        <v>114</v>
      </c>
      <c r="J4533" t="s">
        <v>125</v>
      </c>
      <c r="K4533">
        <v>0</v>
      </c>
      <c r="L4533">
        <v>3</v>
      </c>
      <c r="M4533">
        <v>0</v>
      </c>
      <c r="N4533">
        <v>2</v>
      </c>
      <c r="O4533">
        <v>1</v>
      </c>
      <c r="P4533">
        <v>0</v>
      </c>
      <c r="Q4533">
        <v>0</v>
      </c>
      <c r="S4533" t="str">
        <f>"20:39:40.516"</f>
        <v>20:39:40.516</v>
      </c>
      <c r="T4533" t="str">
        <f>"20:39:39.516"</f>
        <v>20:39:39.516</v>
      </c>
      <c r="U4533" t="str">
        <f t="shared" si="223"/>
        <v>AB01F4</v>
      </c>
      <c r="V4533">
        <v>0</v>
      </c>
      <c r="W4533">
        <v>0</v>
      </c>
      <c r="X4533">
        <v>2</v>
      </c>
      <c r="Z4533">
        <v>0</v>
      </c>
      <c r="AA4533">
        <v>9</v>
      </c>
      <c r="AB4533">
        <v>3</v>
      </c>
      <c r="AC4533">
        <v>0</v>
      </c>
      <c r="AD4533">
        <v>10</v>
      </c>
      <c r="AE4533">
        <v>0</v>
      </c>
      <c r="AF4533">
        <v>3</v>
      </c>
      <c r="AG4533">
        <v>2</v>
      </c>
      <c r="AH4533">
        <v>0</v>
      </c>
      <c r="AI4533" t="s">
        <v>2299</v>
      </c>
      <c r="AJ4533">
        <v>40.150373000000002</v>
      </c>
      <c r="AK4533" t="s">
        <v>2510</v>
      </c>
      <c r="AL4533">
        <v>-93.238585</v>
      </c>
      <c r="AM4533">
        <v>100</v>
      </c>
      <c r="AN4533">
        <v>1300</v>
      </c>
      <c r="AO4533" t="s">
        <v>118</v>
      </c>
      <c r="AP4533">
        <v>-128</v>
      </c>
      <c r="AQ4533">
        <v>-48</v>
      </c>
      <c r="AR4533">
        <v>128</v>
      </c>
      <c r="AZ4533">
        <v>1200</v>
      </c>
      <c r="BA4533">
        <v>1</v>
      </c>
      <c r="BB4533" t="str">
        <f t="shared" si="225"/>
        <v xml:space="preserve">N8080G  </v>
      </c>
      <c r="BC4533">
        <v>1</v>
      </c>
      <c r="BE4533">
        <v>0</v>
      </c>
      <c r="BF4533">
        <v>0</v>
      </c>
      <c r="BG4533">
        <v>0</v>
      </c>
      <c r="BH4533">
        <v>1300</v>
      </c>
      <c r="BI4533">
        <v>1</v>
      </c>
      <c r="BJ4533">
        <v>1</v>
      </c>
      <c r="BK4533">
        <v>1</v>
      </c>
      <c r="BL4533">
        <v>0</v>
      </c>
      <c r="BO4533">
        <v>0</v>
      </c>
      <c r="BP4533">
        <v>0</v>
      </c>
      <c r="BW4533" t="str">
        <f>"20:39:40.522"</f>
        <v>20:39:40.522</v>
      </c>
      <c r="BZ4533">
        <v>0</v>
      </c>
      <c r="CA4533">
        <v>1504</v>
      </c>
      <c r="CB4533">
        <v>224</v>
      </c>
      <c r="CD4533">
        <v>1</v>
      </c>
      <c r="CE4533">
        <v>0</v>
      </c>
      <c r="CF4533">
        <v>0</v>
      </c>
      <c r="CG4533">
        <v>1</v>
      </c>
      <c r="CH4533">
        <v>0</v>
      </c>
      <c r="CI4533">
        <v>0</v>
      </c>
      <c r="CJ4533">
        <v>0</v>
      </c>
      <c r="CK4533">
        <v>2</v>
      </c>
      <c r="CL4533">
        <v>0</v>
      </c>
      <c r="CM4533">
        <v>2</v>
      </c>
      <c r="CN4533">
        <v>0</v>
      </c>
      <c r="CO4533">
        <v>2</v>
      </c>
      <c r="CP4533" t="s">
        <v>119</v>
      </c>
      <c r="CQ4533">
        <v>180</v>
      </c>
      <c r="CR4533">
        <v>3</v>
      </c>
      <c r="CW4533">
        <v>1455759</v>
      </c>
      <c r="CY4533">
        <v>0</v>
      </c>
      <c r="CZ4533">
        <v>0</v>
      </c>
      <c r="DA4533">
        <v>1</v>
      </c>
      <c r="DB4533">
        <v>0</v>
      </c>
      <c r="DC4533">
        <v>0</v>
      </c>
      <c r="DD4533">
        <v>0</v>
      </c>
      <c r="DE4533">
        <v>0</v>
      </c>
      <c r="DF4533">
        <v>0</v>
      </c>
      <c r="DG4533">
        <v>0</v>
      </c>
      <c r="DH4533">
        <v>0</v>
      </c>
      <c r="DI4533">
        <v>0</v>
      </c>
    </row>
    <row r="4534" spans="1:113" x14ac:dyDescent="0.3">
      <c r="A4534" t="str">
        <f>"02/08/2021 20:39:38.216"</f>
        <v>02/08/2021 20:39:38.216</v>
      </c>
      <c r="C4534" t="str">
        <f t="shared" si="224"/>
        <v>FFDFD7C0</v>
      </c>
      <c r="D4534" t="s">
        <v>124</v>
      </c>
      <c r="E4534">
        <v>12</v>
      </c>
      <c r="F4534">
        <v>1012</v>
      </c>
      <c r="G4534" t="s">
        <v>675</v>
      </c>
      <c r="J4534" t="s">
        <v>125</v>
      </c>
      <c r="K4534">
        <v>0</v>
      </c>
      <c r="L4534">
        <v>3</v>
      </c>
      <c r="M4534">
        <v>0</v>
      </c>
      <c r="N4534">
        <v>2</v>
      </c>
      <c r="O4534">
        <v>1</v>
      </c>
      <c r="P4534">
        <v>0</v>
      </c>
      <c r="Q4534">
        <v>0</v>
      </c>
      <c r="S4534" t="str">
        <f>"20:39:40.516"</f>
        <v>20:39:40.516</v>
      </c>
      <c r="T4534" t="str">
        <f>"20:39:39.516"</f>
        <v>20:39:39.516</v>
      </c>
      <c r="U4534" t="str">
        <f t="shared" si="223"/>
        <v>AB01F4</v>
      </c>
      <c r="V4534">
        <v>0</v>
      </c>
      <c r="W4534">
        <v>0</v>
      </c>
      <c r="X4534">
        <v>2</v>
      </c>
      <c r="Z4534">
        <v>0</v>
      </c>
      <c r="AA4534">
        <v>9</v>
      </c>
      <c r="AB4534">
        <v>3</v>
      </c>
      <c r="AC4534">
        <v>0</v>
      </c>
      <c r="AD4534">
        <v>10</v>
      </c>
      <c r="AE4534">
        <v>0</v>
      </c>
      <c r="AF4534">
        <v>3</v>
      </c>
      <c r="AG4534">
        <v>2</v>
      </c>
      <c r="AH4534">
        <v>0</v>
      </c>
      <c r="AI4534" t="s">
        <v>2299</v>
      </c>
      <c r="AJ4534">
        <v>40.150373000000002</v>
      </c>
      <c r="AK4534" t="s">
        <v>2510</v>
      </c>
      <c r="AL4534">
        <v>-93.238585</v>
      </c>
      <c r="AM4534">
        <v>100</v>
      </c>
      <c r="AN4534">
        <v>1300</v>
      </c>
      <c r="AO4534" t="s">
        <v>118</v>
      </c>
      <c r="AP4534">
        <v>-128</v>
      </c>
      <c r="AQ4534">
        <v>-48</v>
      </c>
      <c r="AR4534">
        <v>128</v>
      </c>
      <c r="AZ4534">
        <v>1200</v>
      </c>
      <c r="BA4534">
        <v>1</v>
      </c>
      <c r="BB4534" t="str">
        <f t="shared" si="225"/>
        <v xml:space="preserve">N8080G  </v>
      </c>
      <c r="BC4534">
        <v>1</v>
      </c>
      <c r="BE4534">
        <v>0</v>
      </c>
      <c r="BF4534">
        <v>0</v>
      </c>
      <c r="BG4534">
        <v>0</v>
      </c>
      <c r="BH4534">
        <v>1300</v>
      </c>
      <c r="BI4534">
        <v>1</v>
      </c>
      <c r="BJ4534">
        <v>1</v>
      </c>
      <c r="BK4534">
        <v>1</v>
      </c>
      <c r="BL4534">
        <v>0</v>
      </c>
      <c r="BO4534">
        <v>0</v>
      </c>
      <c r="BP4534">
        <v>0</v>
      </c>
      <c r="BW4534" t="str">
        <f>"20:39:40.522"</f>
        <v>20:39:40.522</v>
      </c>
      <c r="BZ4534">
        <v>0</v>
      </c>
      <c r="CA4534">
        <v>1504</v>
      </c>
      <c r="CB4534">
        <v>224</v>
      </c>
      <c r="CD4534">
        <v>1</v>
      </c>
      <c r="CE4534">
        <v>0</v>
      </c>
      <c r="CF4534">
        <v>0</v>
      </c>
      <c r="CG4534">
        <v>1</v>
      </c>
      <c r="CH4534">
        <v>0</v>
      </c>
      <c r="CI4534">
        <v>0</v>
      </c>
      <c r="CJ4534">
        <v>0</v>
      </c>
      <c r="CK4534">
        <v>2</v>
      </c>
      <c r="CL4534">
        <v>0</v>
      </c>
      <c r="CM4534">
        <v>2</v>
      </c>
      <c r="CN4534">
        <v>0</v>
      </c>
      <c r="CO4534">
        <v>2</v>
      </c>
      <c r="CP4534" t="s">
        <v>119</v>
      </c>
      <c r="CQ4534">
        <v>180</v>
      </c>
      <c r="CR4534">
        <v>3</v>
      </c>
      <c r="CW4534">
        <v>1455759</v>
      </c>
      <c r="CY4534">
        <v>0</v>
      </c>
      <c r="CZ4534">
        <v>0</v>
      </c>
      <c r="DA4534">
        <v>1</v>
      </c>
      <c r="DB4534">
        <v>0</v>
      </c>
      <c r="DC4534">
        <v>0</v>
      </c>
      <c r="DD4534">
        <v>0</v>
      </c>
      <c r="DE4534">
        <v>0</v>
      </c>
      <c r="DF4534">
        <v>0</v>
      </c>
      <c r="DG4534">
        <v>0</v>
      </c>
      <c r="DH4534">
        <v>0</v>
      </c>
      <c r="DI4534">
        <v>0</v>
      </c>
    </row>
    <row r="4535" spans="1:113" x14ac:dyDescent="0.3">
      <c r="A4535" t="str">
        <f>"02/08/2021 20:39:39.766"</f>
        <v>02/08/2021 20:39:39.766</v>
      </c>
      <c r="C4535" t="str">
        <f t="shared" si="224"/>
        <v>FFDFD7C0</v>
      </c>
      <c r="D4535" t="s">
        <v>124</v>
      </c>
      <c r="E4535">
        <v>12</v>
      </c>
      <c r="F4535">
        <v>1012</v>
      </c>
      <c r="G4535" t="s">
        <v>675</v>
      </c>
      <c r="J4535" t="s">
        <v>125</v>
      </c>
      <c r="K4535">
        <v>0</v>
      </c>
      <c r="L4535">
        <v>3</v>
      </c>
      <c r="M4535">
        <v>0</v>
      </c>
      <c r="N4535">
        <v>2</v>
      </c>
      <c r="O4535">
        <v>1</v>
      </c>
      <c r="P4535">
        <v>0</v>
      </c>
      <c r="Q4535">
        <v>0</v>
      </c>
      <c r="S4535" t="str">
        <f>"20:39:42.063"</f>
        <v>20:39:42.063</v>
      </c>
      <c r="T4535" t="str">
        <f>"20:39:41.563"</f>
        <v>20:39:41.563</v>
      </c>
      <c r="U4535" t="str">
        <f t="shared" si="223"/>
        <v>AB01F4</v>
      </c>
      <c r="V4535">
        <v>0</v>
      </c>
      <c r="W4535">
        <v>0</v>
      </c>
      <c r="X4535">
        <v>2</v>
      </c>
      <c r="Z4535">
        <v>0</v>
      </c>
      <c r="AA4535">
        <v>9</v>
      </c>
      <c r="AB4535">
        <v>3</v>
      </c>
      <c r="AC4535">
        <v>0</v>
      </c>
      <c r="AD4535">
        <v>10</v>
      </c>
      <c r="AE4535">
        <v>0</v>
      </c>
      <c r="AF4535">
        <v>3</v>
      </c>
      <c r="AG4535">
        <v>2</v>
      </c>
      <c r="AH4535">
        <v>0</v>
      </c>
      <c r="AI4535" t="s">
        <v>2511</v>
      </c>
      <c r="AJ4535">
        <v>40.150008</v>
      </c>
      <c r="AK4535" t="s">
        <v>2512</v>
      </c>
      <c r="AL4535">
        <v>-93.239787000000007</v>
      </c>
      <c r="AM4535">
        <v>100</v>
      </c>
      <c r="AN4535">
        <v>1300</v>
      </c>
      <c r="AO4535" t="s">
        <v>118</v>
      </c>
      <c r="AP4535">
        <v>-128</v>
      </c>
      <c r="AQ4535">
        <v>-46</v>
      </c>
      <c r="AR4535">
        <v>256</v>
      </c>
      <c r="AZ4535">
        <v>1200</v>
      </c>
      <c r="BA4535">
        <v>1</v>
      </c>
      <c r="BB4535" t="str">
        <f t="shared" si="225"/>
        <v xml:space="preserve">N8080G  </v>
      </c>
      <c r="BC4535">
        <v>1</v>
      </c>
      <c r="BE4535">
        <v>0</v>
      </c>
      <c r="BF4535">
        <v>0</v>
      </c>
      <c r="BG4535">
        <v>0</v>
      </c>
      <c r="BH4535">
        <v>1300</v>
      </c>
      <c r="BI4535">
        <v>1</v>
      </c>
      <c r="BJ4535">
        <v>1</v>
      </c>
      <c r="BK4535">
        <v>1</v>
      </c>
      <c r="BL4535">
        <v>0</v>
      </c>
      <c r="BO4535">
        <v>0</v>
      </c>
      <c r="BP4535">
        <v>0</v>
      </c>
      <c r="BW4535" t="str">
        <f>"20:39:42.064"</f>
        <v>20:39:42.064</v>
      </c>
      <c r="BZ4535">
        <v>0</v>
      </c>
      <c r="CA4535">
        <v>1504</v>
      </c>
      <c r="CB4535">
        <v>224</v>
      </c>
      <c r="CD4535">
        <v>1</v>
      </c>
      <c r="CE4535">
        <v>0</v>
      </c>
      <c r="CF4535">
        <v>0</v>
      </c>
      <c r="CG4535">
        <v>1</v>
      </c>
      <c r="CH4535">
        <v>0</v>
      </c>
      <c r="CI4535">
        <v>0</v>
      </c>
      <c r="CJ4535">
        <v>0</v>
      </c>
      <c r="CK4535">
        <v>2</v>
      </c>
      <c r="CL4535">
        <v>0</v>
      </c>
      <c r="CM4535">
        <v>2</v>
      </c>
      <c r="CN4535">
        <v>0</v>
      </c>
      <c r="CO4535">
        <v>2</v>
      </c>
      <c r="CP4535" t="s">
        <v>119</v>
      </c>
      <c r="CQ4535">
        <v>180</v>
      </c>
      <c r="CR4535">
        <v>3</v>
      </c>
      <c r="CW4535">
        <v>1456957</v>
      </c>
      <c r="CY4535">
        <v>0</v>
      </c>
      <c r="CZ4535">
        <v>0</v>
      </c>
      <c r="DA4535">
        <v>0</v>
      </c>
      <c r="DB4535">
        <v>0</v>
      </c>
      <c r="DC4535">
        <v>0</v>
      </c>
      <c r="DD4535">
        <v>0</v>
      </c>
      <c r="DE4535">
        <v>0</v>
      </c>
      <c r="DF4535">
        <v>0</v>
      </c>
      <c r="DG4535">
        <v>0</v>
      </c>
      <c r="DH4535">
        <v>0</v>
      </c>
      <c r="DI4535">
        <v>0</v>
      </c>
    </row>
    <row r="4536" spans="1:113" x14ac:dyDescent="0.3">
      <c r="A4536" t="str">
        <f>"02/08/2021 20:39:39.766"</f>
        <v>02/08/2021 20:39:39.766</v>
      </c>
      <c r="C4536" t="str">
        <f t="shared" si="224"/>
        <v>FFDFD7C0</v>
      </c>
      <c r="D4536" t="s">
        <v>113</v>
      </c>
      <c r="E4536">
        <v>6</v>
      </c>
      <c r="H4536">
        <v>165</v>
      </c>
      <c r="I4536" t="s">
        <v>114</v>
      </c>
      <c r="J4536" t="s">
        <v>115</v>
      </c>
      <c r="K4536">
        <v>0</v>
      </c>
      <c r="L4536">
        <v>3</v>
      </c>
      <c r="M4536">
        <v>0</v>
      </c>
      <c r="N4536">
        <v>2</v>
      </c>
      <c r="O4536">
        <v>1</v>
      </c>
      <c r="P4536">
        <v>0</v>
      </c>
      <c r="Q4536">
        <v>0</v>
      </c>
      <c r="S4536" t="str">
        <f>"20:39:42.063"</f>
        <v>20:39:42.063</v>
      </c>
      <c r="T4536" t="str">
        <f>"20:39:41.563"</f>
        <v>20:39:41.563</v>
      </c>
      <c r="U4536" t="str">
        <f t="shared" si="223"/>
        <v>AB01F4</v>
      </c>
      <c r="V4536">
        <v>0</v>
      </c>
      <c r="W4536">
        <v>0</v>
      </c>
      <c r="X4536">
        <v>2</v>
      </c>
      <c r="Z4536">
        <v>0</v>
      </c>
      <c r="AA4536">
        <v>9</v>
      </c>
      <c r="AB4536">
        <v>3</v>
      </c>
      <c r="AC4536">
        <v>0</v>
      </c>
      <c r="AD4536">
        <v>10</v>
      </c>
      <c r="AE4536">
        <v>0</v>
      </c>
      <c r="AF4536">
        <v>3</v>
      </c>
      <c r="AG4536">
        <v>2</v>
      </c>
      <c r="AH4536">
        <v>0</v>
      </c>
      <c r="AI4536" t="s">
        <v>2511</v>
      </c>
      <c r="AJ4536">
        <v>40.150008</v>
      </c>
      <c r="AK4536" t="s">
        <v>2512</v>
      </c>
      <c r="AL4536">
        <v>-93.239787000000007</v>
      </c>
      <c r="AM4536">
        <v>100</v>
      </c>
      <c r="AN4536">
        <v>1300</v>
      </c>
      <c r="AO4536" t="s">
        <v>118</v>
      </c>
      <c r="AP4536">
        <v>-128</v>
      </c>
      <c r="AQ4536">
        <v>-46</v>
      </c>
      <c r="AR4536">
        <v>256</v>
      </c>
      <c r="AZ4536">
        <v>1200</v>
      </c>
      <c r="BA4536">
        <v>1</v>
      </c>
      <c r="BB4536" t="str">
        <f t="shared" si="225"/>
        <v xml:space="preserve">N8080G  </v>
      </c>
      <c r="BC4536">
        <v>1</v>
      </c>
      <c r="BE4536">
        <v>0</v>
      </c>
      <c r="BF4536">
        <v>0</v>
      </c>
      <c r="BG4536">
        <v>0</v>
      </c>
      <c r="BH4536">
        <v>1300</v>
      </c>
      <c r="BI4536">
        <v>1</v>
      </c>
      <c r="BJ4536">
        <v>1</v>
      </c>
      <c r="BK4536">
        <v>1</v>
      </c>
      <c r="BL4536">
        <v>0</v>
      </c>
      <c r="BO4536">
        <v>0</v>
      </c>
      <c r="BP4536">
        <v>0</v>
      </c>
      <c r="BW4536" t="str">
        <f>"20:39:42.064"</f>
        <v>20:39:42.064</v>
      </c>
      <c r="BZ4536">
        <v>0</v>
      </c>
      <c r="CA4536">
        <v>1504</v>
      </c>
      <c r="CB4536">
        <v>224</v>
      </c>
      <c r="CD4536">
        <v>1</v>
      </c>
      <c r="CE4536">
        <v>0</v>
      </c>
      <c r="CF4536">
        <v>0</v>
      </c>
      <c r="CG4536">
        <v>1</v>
      </c>
      <c r="CH4536">
        <v>0</v>
      </c>
      <c r="CI4536">
        <v>0</v>
      </c>
      <c r="CJ4536">
        <v>0</v>
      </c>
      <c r="CK4536">
        <v>2</v>
      </c>
      <c r="CL4536">
        <v>0</v>
      </c>
      <c r="CM4536">
        <v>2</v>
      </c>
      <c r="CN4536">
        <v>0</v>
      </c>
      <c r="CO4536">
        <v>2</v>
      </c>
      <c r="CP4536" t="s">
        <v>119</v>
      </c>
      <c r="CQ4536">
        <v>180</v>
      </c>
      <c r="CR4536">
        <v>3</v>
      </c>
      <c r="CW4536">
        <v>1456957</v>
      </c>
      <c r="CY4536">
        <v>0</v>
      </c>
      <c r="CZ4536">
        <v>0</v>
      </c>
      <c r="DA4536">
        <v>1</v>
      </c>
      <c r="DB4536">
        <v>0</v>
      </c>
      <c r="DC4536">
        <v>0</v>
      </c>
      <c r="DD4536">
        <v>0</v>
      </c>
      <c r="DE4536">
        <v>0</v>
      </c>
      <c r="DF4536">
        <v>0</v>
      </c>
      <c r="DG4536">
        <v>0</v>
      </c>
      <c r="DH4536">
        <v>0</v>
      </c>
      <c r="DI4536">
        <v>0</v>
      </c>
    </row>
    <row r="4537" spans="1:113" x14ac:dyDescent="0.3">
      <c r="A4537" t="str">
        <f>"02/08/2021 20:39:39.766"</f>
        <v>02/08/2021 20:39:39.766</v>
      </c>
      <c r="C4537" t="str">
        <f t="shared" si="224"/>
        <v>FFDFD7C0</v>
      </c>
      <c r="D4537" t="s">
        <v>124</v>
      </c>
      <c r="E4537">
        <v>13</v>
      </c>
      <c r="F4537">
        <v>1013</v>
      </c>
      <c r="G4537" t="s">
        <v>114</v>
      </c>
      <c r="J4537" t="s">
        <v>125</v>
      </c>
      <c r="K4537">
        <v>0</v>
      </c>
      <c r="L4537">
        <v>3</v>
      </c>
      <c r="M4537">
        <v>0</v>
      </c>
      <c r="N4537">
        <v>2</v>
      </c>
      <c r="O4537">
        <v>1</v>
      </c>
      <c r="P4537">
        <v>0</v>
      </c>
      <c r="Q4537">
        <v>0</v>
      </c>
      <c r="S4537" t="str">
        <f>"20:39:42.063"</f>
        <v>20:39:42.063</v>
      </c>
      <c r="T4537" t="str">
        <f>"20:39:41.563"</f>
        <v>20:39:41.563</v>
      </c>
      <c r="U4537" t="str">
        <f t="shared" si="223"/>
        <v>AB01F4</v>
      </c>
      <c r="V4537">
        <v>0</v>
      </c>
      <c r="W4537">
        <v>0</v>
      </c>
      <c r="X4537">
        <v>2</v>
      </c>
      <c r="Z4537">
        <v>0</v>
      </c>
      <c r="AA4537">
        <v>9</v>
      </c>
      <c r="AB4537">
        <v>3</v>
      </c>
      <c r="AC4537">
        <v>0</v>
      </c>
      <c r="AD4537">
        <v>10</v>
      </c>
      <c r="AE4537">
        <v>0</v>
      </c>
      <c r="AF4537">
        <v>3</v>
      </c>
      <c r="AG4537">
        <v>2</v>
      </c>
      <c r="AH4537">
        <v>0</v>
      </c>
      <c r="AI4537" t="s">
        <v>2511</v>
      </c>
      <c r="AJ4537">
        <v>40.150008</v>
      </c>
      <c r="AK4537" t="s">
        <v>2512</v>
      </c>
      <c r="AL4537">
        <v>-93.239787000000007</v>
      </c>
      <c r="AM4537">
        <v>100</v>
      </c>
      <c r="AN4537">
        <v>1300</v>
      </c>
      <c r="AO4537" t="s">
        <v>118</v>
      </c>
      <c r="AP4537">
        <v>-128</v>
      </c>
      <c r="AQ4537">
        <v>-46</v>
      </c>
      <c r="AR4537">
        <v>256</v>
      </c>
      <c r="AZ4537">
        <v>1200</v>
      </c>
      <c r="BA4537">
        <v>1</v>
      </c>
      <c r="BB4537" t="str">
        <f t="shared" si="225"/>
        <v xml:space="preserve">N8080G  </v>
      </c>
      <c r="BC4537">
        <v>1</v>
      </c>
      <c r="BE4537">
        <v>0</v>
      </c>
      <c r="BF4537">
        <v>0</v>
      </c>
      <c r="BG4537">
        <v>0</v>
      </c>
      <c r="BH4537">
        <v>1300</v>
      </c>
      <c r="BI4537">
        <v>1</v>
      </c>
      <c r="BJ4537">
        <v>1</v>
      </c>
      <c r="BK4537">
        <v>1</v>
      </c>
      <c r="BL4537">
        <v>0</v>
      </c>
      <c r="BO4537">
        <v>0</v>
      </c>
      <c r="BP4537">
        <v>0</v>
      </c>
      <c r="BW4537" t="str">
        <f>"20:39:42.064"</f>
        <v>20:39:42.064</v>
      </c>
      <c r="BZ4537">
        <v>0</v>
      </c>
      <c r="CA4537">
        <v>1504</v>
      </c>
      <c r="CB4537">
        <v>224</v>
      </c>
      <c r="CD4537">
        <v>1</v>
      </c>
      <c r="CE4537">
        <v>0</v>
      </c>
      <c r="CF4537">
        <v>0</v>
      </c>
      <c r="CG4537">
        <v>1</v>
      </c>
      <c r="CH4537">
        <v>0</v>
      </c>
      <c r="CI4537">
        <v>0</v>
      </c>
      <c r="CJ4537">
        <v>0</v>
      </c>
      <c r="CK4537">
        <v>2</v>
      </c>
      <c r="CL4537">
        <v>0</v>
      </c>
      <c r="CM4537">
        <v>2</v>
      </c>
      <c r="CN4537">
        <v>0</v>
      </c>
      <c r="CO4537">
        <v>2</v>
      </c>
      <c r="CP4537" t="s">
        <v>119</v>
      </c>
      <c r="CQ4537">
        <v>180</v>
      </c>
      <c r="CR4537">
        <v>3</v>
      </c>
      <c r="CW4537">
        <v>1456957</v>
      </c>
      <c r="CY4537">
        <v>0</v>
      </c>
      <c r="CZ4537">
        <v>0</v>
      </c>
      <c r="DA4537">
        <v>1</v>
      </c>
      <c r="DB4537">
        <v>0</v>
      </c>
      <c r="DC4537">
        <v>0</v>
      </c>
      <c r="DD4537">
        <v>0</v>
      </c>
      <c r="DE4537">
        <v>0</v>
      </c>
      <c r="DF4537">
        <v>0</v>
      </c>
      <c r="DG4537">
        <v>0</v>
      </c>
      <c r="DH4537">
        <v>0</v>
      </c>
      <c r="DI4537">
        <v>0</v>
      </c>
    </row>
    <row r="4538" spans="1:113" x14ac:dyDescent="0.3">
      <c r="A4538" t="str">
        <f>"02/08/2021 20:39:39.766"</f>
        <v>02/08/2021 20:39:39.766</v>
      </c>
      <c r="C4538" t="str">
        <f t="shared" si="224"/>
        <v>FFDFD7C0</v>
      </c>
      <c r="D4538" t="s">
        <v>124</v>
      </c>
      <c r="E4538">
        <v>11</v>
      </c>
      <c r="F4538">
        <v>1011</v>
      </c>
      <c r="G4538" t="s">
        <v>590</v>
      </c>
      <c r="J4538" t="s">
        <v>125</v>
      </c>
      <c r="K4538">
        <v>0</v>
      </c>
      <c r="L4538">
        <v>3</v>
      </c>
      <c r="M4538">
        <v>0</v>
      </c>
      <c r="N4538">
        <v>2</v>
      </c>
      <c r="O4538">
        <v>1</v>
      </c>
      <c r="P4538">
        <v>0</v>
      </c>
      <c r="Q4538">
        <v>0</v>
      </c>
      <c r="S4538" t="str">
        <f>"20:39:42.063"</f>
        <v>20:39:42.063</v>
      </c>
      <c r="T4538" t="str">
        <f>"20:39:41.563"</f>
        <v>20:39:41.563</v>
      </c>
      <c r="U4538" t="str">
        <f t="shared" si="223"/>
        <v>AB01F4</v>
      </c>
      <c r="V4538">
        <v>0</v>
      </c>
      <c r="W4538">
        <v>0</v>
      </c>
      <c r="X4538">
        <v>2</v>
      </c>
      <c r="Z4538">
        <v>0</v>
      </c>
      <c r="AA4538">
        <v>9</v>
      </c>
      <c r="AB4538">
        <v>3</v>
      </c>
      <c r="AC4538">
        <v>0</v>
      </c>
      <c r="AD4538">
        <v>10</v>
      </c>
      <c r="AE4538">
        <v>0</v>
      </c>
      <c r="AF4538">
        <v>3</v>
      </c>
      <c r="AG4538">
        <v>2</v>
      </c>
      <c r="AH4538">
        <v>0</v>
      </c>
      <c r="AI4538" t="s">
        <v>2511</v>
      </c>
      <c r="AJ4538">
        <v>40.150008</v>
      </c>
      <c r="AK4538" t="s">
        <v>2512</v>
      </c>
      <c r="AL4538">
        <v>-93.239787000000007</v>
      </c>
      <c r="AM4538">
        <v>100</v>
      </c>
      <c r="AN4538">
        <v>1300</v>
      </c>
      <c r="AO4538" t="s">
        <v>118</v>
      </c>
      <c r="AP4538">
        <v>-128</v>
      </c>
      <c r="AQ4538">
        <v>-46</v>
      </c>
      <c r="AR4538">
        <v>256</v>
      </c>
      <c r="AZ4538">
        <v>1200</v>
      </c>
      <c r="BA4538">
        <v>1</v>
      </c>
      <c r="BB4538" t="str">
        <f t="shared" si="225"/>
        <v xml:space="preserve">N8080G  </v>
      </c>
      <c r="BC4538">
        <v>1</v>
      </c>
      <c r="BE4538">
        <v>0</v>
      </c>
      <c r="BF4538">
        <v>0</v>
      </c>
      <c r="BG4538">
        <v>0</v>
      </c>
      <c r="BH4538">
        <v>1300</v>
      </c>
      <c r="BI4538">
        <v>1</v>
      </c>
      <c r="BJ4538">
        <v>1</v>
      </c>
      <c r="BK4538">
        <v>1</v>
      </c>
      <c r="BL4538">
        <v>0</v>
      </c>
      <c r="BO4538">
        <v>0</v>
      </c>
      <c r="BP4538">
        <v>0</v>
      </c>
      <c r="BW4538" t="str">
        <f>"20:39:42.064"</f>
        <v>20:39:42.064</v>
      </c>
      <c r="BZ4538">
        <v>0</v>
      </c>
      <c r="CA4538">
        <v>1504</v>
      </c>
      <c r="CB4538">
        <v>224</v>
      </c>
      <c r="CD4538">
        <v>1</v>
      </c>
      <c r="CE4538">
        <v>0</v>
      </c>
      <c r="CF4538">
        <v>0</v>
      </c>
      <c r="CG4538">
        <v>1</v>
      </c>
      <c r="CH4538">
        <v>0</v>
      </c>
      <c r="CI4538">
        <v>0</v>
      </c>
      <c r="CJ4538">
        <v>0</v>
      </c>
      <c r="CK4538">
        <v>2</v>
      </c>
      <c r="CL4538">
        <v>0</v>
      </c>
      <c r="CM4538">
        <v>2</v>
      </c>
      <c r="CN4538">
        <v>0</v>
      </c>
      <c r="CO4538">
        <v>2</v>
      </c>
      <c r="CP4538" t="s">
        <v>119</v>
      </c>
      <c r="CQ4538">
        <v>180</v>
      </c>
      <c r="CR4538">
        <v>3</v>
      </c>
      <c r="CW4538">
        <v>1456957</v>
      </c>
      <c r="CY4538">
        <v>0</v>
      </c>
      <c r="CZ4538">
        <v>0</v>
      </c>
      <c r="DA4538">
        <v>1</v>
      </c>
      <c r="DB4538">
        <v>0</v>
      </c>
      <c r="DC4538">
        <v>0</v>
      </c>
      <c r="DD4538">
        <v>0</v>
      </c>
      <c r="DE4538">
        <v>0</v>
      </c>
      <c r="DF4538">
        <v>0</v>
      </c>
      <c r="DG4538">
        <v>0</v>
      </c>
      <c r="DH4538">
        <v>0</v>
      </c>
      <c r="DI4538">
        <v>0</v>
      </c>
    </row>
    <row r="4539" spans="1:113" x14ac:dyDescent="0.3">
      <c r="A4539" t="str">
        <f>"02/08/2021 20:39:40.694"</f>
        <v>02/08/2021 20:39:40.694</v>
      </c>
      <c r="C4539" t="str">
        <f t="shared" si="224"/>
        <v>FFDFD7C0</v>
      </c>
      <c r="D4539" t="s">
        <v>113</v>
      </c>
      <c r="E4539">
        <v>6</v>
      </c>
      <c r="H4539">
        <v>165</v>
      </c>
      <c r="I4539" t="s">
        <v>114</v>
      </c>
      <c r="J4539" t="s">
        <v>115</v>
      </c>
      <c r="K4539">
        <v>0</v>
      </c>
      <c r="L4539">
        <v>3</v>
      </c>
      <c r="M4539">
        <v>0</v>
      </c>
      <c r="N4539">
        <v>2</v>
      </c>
      <c r="O4539">
        <v>1</v>
      </c>
      <c r="P4539">
        <v>0</v>
      </c>
      <c r="Q4539">
        <v>0</v>
      </c>
      <c r="S4539" t="str">
        <f>"20:39:43.023"</f>
        <v>20:39:43.023</v>
      </c>
      <c r="T4539" t="str">
        <f>"20:39:42.623"</f>
        <v>20:39:42.623</v>
      </c>
      <c r="U4539" t="str">
        <f t="shared" si="223"/>
        <v>AB01F4</v>
      </c>
      <c r="V4539">
        <v>0</v>
      </c>
      <c r="W4539">
        <v>0</v>
      </c>
      <c r="X4539">
        <v>2</v>
      </c>
      <c r="Z4539">
        <v>0</v>
      </c>
      <c r="AA4539">
        <v>9</v>
      </c>
      <c r="AB4539">
        <v>3</v>
      </c>
      <c r="AC4539">
        <v>0</v>
      </c>
      <c r="AD4539">
        <v>10</v>
      </c>
      <c r="AE4539">
        <v>0</v>
      </c>
      <c r="AF4539">
        <v>3</v>
      </c>
      <c r="AG4539">
        <v>2</v>
      </c>
      <c r="AH4539">
        <v>0</v>
      </c>
      <c r="AI4539" t="s">
        <v>2295</v>
      </c>
      <c r="AJ4539">
        <v>40.149814999999997</v>
      </c>
      <c r="AK4539" t="s">
        <v>2513</v>
      </c>
      <c r="AL4539">
        <v>-93.240472999999994</v>
      </c>
      <c r="AM4539">
        <v>100</v>
      </c>
      <c r="AN4539">
        <v>1300</v>
      </c>
      <c r="AO4539" t="s">
        <v>118</v>
      </c>
      <c r="AP4539">
        <v>-129</v>
      </c>
      <c r="AQ4539">
        <v>-43</v>
      </c>
      <c r="AR4539">
        <v>192</v>
      </c>
      <c r="AZ4539">
        <v>1200</v>
      </c>
      <c r="BA4539">
        <v>1</v>
      </c>
      <c r="BB4539" t="str">
        <f t="shared" si="225"/>
        <v xml:space="preserve">N8080G  </v>
      </c>
      <c r="BC4539">
        <v>1</v>
      </c>
      <c r="BE4539">
        <v>0</v>
      </c>
      <c r="BF4539">
        <v>0</v>
      </c>
      <c r="BG4539">
        <v>0</v>
      </c>
      <c r="BH4539">
        <v>1300</v>
      </c>
      <c r="BI4539">
        <v>1</v>
      </c>
      <c r="BJ4539">
        <v>1</v>
      </c>
      <c r="BK4539">
        <v>1</v>
      </c>
      <c r="BL4539">
        <v>0</v>
      </c>
      <c r="BO4539">
        <v>0</v>
      </c>
      <c r="BP4539">
        <v>0</v>
      </c>
      <c r="BW4539" t="str">
        <f>"20:39:43.029"</f>
        <v>20:39:43.029</v>
      </c>
      <c r="BZ4539">
        <v>0</v>
      </c>
      <c r="CA4539">
        <v>1504</v>
      </c>
      <c r="CB4539">
        <v>224</v>
      </c>
      <c r="CD4539">
        <v>1</v>
      </c>
      <c r="CE4539">
        <v>0</v>
      </c>
      <c r="CF4539">
        <v>0</v>
      </c>
      <c r="CG4539">
        <v>1</v>
      </c>
      <c r="CH4539">
        <v>0</v>
      </c>
      <c r="CI4539">
        <v>0</v>
      </c>
      <c r="CJ4539">
        <v>0</v>
      </c>
      <c r="CK4539">
        <v>2</v>
      </c>
      <c r="CL4539">
        <v>0</v>
      </c>
      <c r="CM4539">
        <v>2</v>
      </c>
      <c r="CN4539">
        <v>0</v>
      </c>
      <c r="CO4539">
        <v>2</v>
      </c>
      <c r="CP4539" t="s">
        <v>119</v>
      </c>
      <c r="CQ4539">
        <v>180</v>
      </c>
      <c r="CR4539">
        <v>3</v>
      </c>
      <c r="CW4539">
        <v>1457748</v>
      </c>
      <c r="CY4539">
        <v>0</v>
      </c>
      <c r="CZ4539">
        <v>0</v>
      </c>
      <c r="DA4539">
        <v>0</v>
      </c>
      <c r="DB4539">
        <v>0</v>
      </c>
      <c r="DC4539">
        <v>0</v>
      </c>
      <c r="DD4539">
        <v>0</v>
      </c>
      <c r="DE4539">
        <v>0</v>
      </c>
      <c r="DF4539">
        <v>0</v>
      </c>
      <c r="DG4539">
        <v>0</v>
      </c>
      <c r="DH4539">
        <v>0</v>
      </c>
      <c r="DI4539">
        <v>0</v>
      </c>
    </row>
    <row r="4540" spans="1:113" x14ac:dyDescent="0.3">
      <c r="A4540" t="str">
        <f>"02/08/2021 20:39:40.694"</f>
        <v>02/08/2021 20:39:40.694</v>
      </c>
      <c r="C4540" t="str">
        <f t="shared" si="224"/>
        <v>FFDFD7C0</v>
      </c>
      <c r="D4540" t="s">
        <v>124</v>
      </c>
      <c r="E4540">
        <v>11</v>
      </c>
      <c r="F4540">
        <v>1011</v>
      </c>
      <c r="G4540" t="s">
        <v>590</v>
      </c>
      <c r="J4540" t="s">
        <v>125</v>
      </c>
      <c r="K4540">
        <v>0</v>
      </c>
      <c r="L4540">
        <v>3</v>
      </c>
      <c r="M4540">
        <v>0</v>
      </c>
      <c r="N4540">
        <v>2</v>
      </c>
      <c r="O4540">
        <v>1</v>
      </c>
      <c r="P4540">
        <v>0</v>
      </c>
      <c r="Q4540">
        <v>0</v>
      </c>
      <c r="S4540" t="str">
        <f>"20:39:43.023"</f>
        <v>20:39:43.023</v>
      </c>
      <c r="T4540" t="str">
        <f>"20:39:42.623"</f>
        <v>20:39:42.623</v>
      </c>
      <c r="U4540" t="str">
        <f t="shared" si="223"/>
        <v>AB01F4</v>
      </c>
      <c r="V4540">
        <v>0</v>
      </c>
      <c r="W4540">
        <v>0</v>
      </c>
      <c r="X4540">
        <v>2</v>
      </c>
      <c r="Z4540">
        <v>0</v>
      </c>
      <c r="AA4540">
        <v>9</v>
      </c>
      <c r="AB4540">
        <v>3</v>
      </c>
      <c r="AC4540">
        <v>0</v>
      </c>
      <c r="AD4540">
        <v>10</v>
      </c>
      <c r="AE4540">
        <v>0</v>
      </c>
      <c r="AF4540">
        <v>3</v>
      </c>
      <c r="AG4540">
        <v>2</v>
      </c>
      <c r="AH4540">
        <v>0</v>
      </c>
      <c r="AI4540" t="s">
        <v>2295</v>
      </c>
      <c r="AJ4540">
        <v>40.149814999999997</v>
      </c>
      <c r="AK4540" t="s">
        <v>2513</v>
      </c>
      <c r="AL4540">
        <v>-93.240472999999994</v>
      </c>
      <c r="AM4540">
        <v>100</v>
      </c>
      <c r="AN4540">
        <v>1300</v>
      </c>
      <c r="AO4540" t="s">
        <v>118</v>
      </c>
      <c r="AP4540">
        <v>-129</v>
      </c>
      <c r="AQ4540">
        <v>-43</v>
      </c>
      <c r="AR4540">
        <v>192</v>
      </c>
      <c r="AZ4540">
        <v>1200</v>
      </c>
      <c r="BA4540">
        <v>1</v>
      </c>
      <c r="BB4540" t="str">
        <f t="shared" si="225"/>
        <v xml:space="preserve">N8080G  </v>
      </c>
      <c r="BC4540">
        <v>1</v>
      </c>
      <c r="BE4540">
        <v>0</v>
      </c>
      <c r="BF4540">
        <v>0</v>
      </c>
      <c r="BG4540">
        <v>0</v>
      </c>
      <c r="BH4540">
        <v>1300</v>
      </c>
      <c r="BI4540">
        <v>1</v>
      </c>
      <c r="BJ4540">
        <v>1</v>
      </c>
      <c r="BK4540">
        <v>1</v>
      </c>
      <c r="BL4540">
        <v>0</v>
      </c>
      <c r="BO4540">
        <v>0</v>
      </c>
      <c r="BP4540">
        <v>0</v>
      </c>
      <c r="BW4540" t="str">
        <f>"20:39:43.029"</f>
        <v>20:39:43.029</v>
      </c>
      <c r="BZ4540">
        <v>0</v>
      </c>
      <c r="CA4540">
        <v>1504</v>
      </c>
      <c r="CB4540">
        <v>224</v>
      </c>
      <c r="CD4540">
        <v>1</v>
      </c>
      <c r="CE4540">
        <v>0</v>
      </c>
      <c r="CF4540">
        <v>0</v>
      </c>
      <c r="CG4540">
        <v>1</v>
      </c>
      <c r="CH4540">
        <v>0</v>
      </c>
      <c r="CI4540">
        <v>0</v>
      </c>
      <c r="CJ4540">
        <v>0</v>
      </c>
      <c r="CK4540">
        <v>2</v>
      </c>
      <c r="CL4540">
        <v>0</v>
      </c>
      <c r="CM4540">
        <v>2</v>
      </c>
      <c r="CN4540">
        <v>0</v>
      </c>
      <c r="CO4540">
        <v>2</v>
      </c>
      <c r="CP4540" t="s">
        <v>119</v>
      </c>
      <c r="CQ4540">
        <v>180</v>
      </c>
      <c r="CR4540">
        <v>3</v>
      </c>
      <c r="CW4540">
        <v>1457748</v>
      </c>
      <c r="CY4540">
        <v>0</v>
      </c>
      <c r="CZ4540">
        <v>0</v>
      </c>
      <c r="DA4540">
        <v>1</v>
      </c>
      <c r="DB4540">
        <v>0</v>
      </c>
      <c r="DC4540">
        <v>0</v>
      </c>
      <c r="DD4540">
        <v>0</v>
      </c>
      <c r="DE4540">
        <v>0</v>
      </c>
      <c r="DF4540">
        <v>0</v>
      </c>
      <c r="DG4540">
        <v>0</v>
      </c>
      <c r="DH4540">
        <v>0</v>
      </c>
      <c r="DI4540">
        <v>0</v>
      </c>
    </row>
    <row r="4541" spans="1:113" x14ac:dyDescent="0.3">
      <c r="A4541" t="str">
        <f>"02/08/2021 20:39:40.694"</f>
        <v>02/08/2021 20:39:40.694</v>
      </c>
      <c r="C4541" t="str">
        <f t="shared" si="224"/>
        <v>FFDFD7C0</v>
      </c>
      <c r="D4541" t="s">
        <v>124</v>
      </c>
      <c r="E4541">
        <v>12</v>
      </c>
      <c r="F4541">
        <v>1012</v>
      </c>
      <c r="G4541" t="s">
        <v>675</v>
      </c>
      <c r="J4541" t="s">
        <v>125</v>
      </c>
      <c r="K4541">
        <v>0</v>
      </c>
      <c r="L4541">
        <v>3</v>
      </c>
      <c r="M4541">
        <v>0</v>
      </c>
      <c r="N4541">
        <v>2</v>
      </c>
      <c r="O4541">
        <v>1</v>
      </c>
      <c r="P4541">
        <v>0</v>
      </c>
      <c r="Q4541">
        <v>0</v>
      </c>
      <c r="S4541" t="str">
        <f>"20:39:43.023"</f>
        <v>20:39:43.023</v>
      </c>
      <c r="T4541" t="str">
        <f>"20:39:42.623"</f>
        <v>20:39:42.623</v>
      </c>
      <c r="U4541" t="str">
        <f t="shared" si="223"/>
        <v>AB01F4</v>
      </c>
      <c r="V4541">
        <v>0</v>
      </c>
      <c r="W4541">
        <v>0</v>
      </c>
      <c r="X4541">
        <v>2</v>
      </c>
      <c r="Z4541">
        <v>0</v>
      </c>
      <c r="AA4541">
        <v>9</v>
      </c>
      <c r="AB4541">
        <v>3</v>
      </c>
      <c r="AC4541">
        <v>0</v>
      </c>
      <c r="AD4541">
        <v>10</v>
      </c>
      <c r="AE4541">
        <v>0</v>
      </c>
      <c r="AF4541">
        <v>3</v>
      </c>
      <c r="AG4541">
        <v>2</v>
      </c>
      <c r="AH4541">
        <v>0</v>
      </c>
      <c r="AI4541" t="s">
        <v>2295</v>
      </c>
      <c r="AJ4541">
        <v>40.149814999999997</v>
      </c>
      <c r="AK4541" t="s">
        <v>2513</v>
      </c>
      <c r="AL4541">
        <v>-93.240472999999994</v>
      </c>
      <c r="AM4541">
        <v>100</v>
      </c>
      <c r="AN4541">
        <v>1300</v>
      </c>
      <c r="AO4541" t="s">
        <v>118</v>
      </c>
      <c r="AP4541">
        <v>-129</v>
      </c>
      <c r="AQ4541">
        <v>-43</v>
      </c>
      <c r="AR4541">
        <v>192</v>
      </c>
      <c r="AZ4541">
        <v>1200</v>
      </c>
      <c r="BA4541">
        <v>1</v>
      </c>
      <c r="BB4541" t="str">
        <f t="shared" si="225"/>
        <v xml:space="preserve">N8080G  </v>
      </c>
      <c r="BC4541">
        <v>1</v>
      </c>
      <c r="BE4541">
        <v>0</v>
      </c>
      <c r="BF4541">
        <v>0</v>
      </c>
      <c r="BG4541">
        <v>0</v>
      </c>
      <c r="BH4541">
        <v>1300</v>
      </c>
      <c r="BI4541">
        <v>1</v>
      </c>
      <c r="BJ4541">
        <v>1</v>
      </c>
      <c r="BK4541">
        <v>1</v>
      </c>
      <c r="BL4541">
        <v>0</v>
      </c>
      <c r="BO4541">
        <v>0</v>
      </c>
      <c r="BP4541">
        <v>0</v>
      </c>
      <c r="BW4541" t="str">
        <f>"20:39:43.029"</f>
        <v>20:39:43.029</v>
      </c>
      <c r="BZ4541">
        <v>0</v>
      </c>
      <c r="CA4541">
        <v>1504</v>
      </c>
      <c r="CB4541">
        <v>224</v>
      </c>
      <c r="CD4541">
        <v>1</v>
      </c>
      <c r="CE4541">
        <v>0</v>
      </c>
      <c r="CF4541">
        <v>0</v>
      </c>
      <c r="CG4541">
        <v>1</v>
      </c>
      <c r="CH4541">
        <v>0</v>
      </c>
      <c r="CI4541">
        <v>0</v>
      </c>
      <c r="CJ4541">
        <v>0</v>
      </c>
      <c r="CK4541">
        <v>2</v>
      </c>
      <c r="CL4541">
        <v>0</v>
      </c>
      <c r="CM4541">
        <v>2</v>
      </c>
      <c r="CN4541">
        <v>0</v>
      </c>
      <c r="CO4541">
        <v>2</v>
      </c>
      <c r="CP4541" t="s">
        <v>119</v>
      </c>
      <c r="CQ4541">
        <v>180</v>
      </c>
      <c r="CR4541">
        <v>3</v>
      </c>
      <c r="CW4541">
        <v>1457748</v>
      </c>
      <c r="CY4541">
        <v>0</v>
      </c>
      <c r="CZ4541">
        <v>0</v>
      </c>
      <c r="DA4541">
        <v>1</v>
      </c>
      <c r="DB4541">
        <v>0</v>
      </c>
      <c r="DC4541">
        <v>0</v>
      </c>
      <c r="DD4541">
        <v>0</v>
      </c>
      <c r="DE4541">
        <v>0</v>
      </c>
      <c r="DF4541">
        <v>0</v>
      </c>
      <c r="DG4541">
        <v>0</v>
      </c>
      <c r="DH4541">
        <v>0</v>
      </c>
      <c r="DI4541">
        <v>0</v>
      </c>
    </row>
    <row r="4542" spans="1:113" x14ac:dyDescent="0.3">
      <c r="A4542" t="str">
        <f>"02/08/2021 20:39:40.694"</f>
        <v>02/08/2021 20:39:40.694</v>
      </c>
      <c r="C4542" t="str">
        <f t="shared" si="224"/>
        <v>FFDFD7C0</v>
      </c>
      <c r="D4542" t="s">
        <v>124</v>
      </c>
      <c r="E4542">
        <v>13</v>
      </c>
      <c r="F4542">
        <v>1013</v>
      </c>
      <c r="G4542" t="s">
        <v>114</v>
      </c>
      <c r="J4542" t="s">
        <v>125</v>
      </c>
      <c r="K4542">
        <v>0</v>
      </c>
      <c r="L4542">
        <v>3</v>
      </c>
      <c r="M4542">
        <v>0</v>
      </c>
      <c r="N4542">
        <v>2</v>
      </c>
      <c r="O4542">
        <v>1</v>
      </c>
      <c r="P4542">
        <v>0</v>
      </c>
      <c r="Q4542">
        <v>0</v>
      </c>
      <c r="S4542" t="str">
        <f>"20:39:43.023"</f>
        <v>20:39:43.023</v>
      </c>
      <c r="T4542" t="str">
        <f>"20:39:42.623"</f>
        <v>20:39:42.623</v>
      </c>
      <c r="U4542" t="str">
        <f t="shared" si="223"/>
        <v>AB01F4</v>
      </c>
      <c r="V4542">
        <v>0</v>
      </c>
      <c r="W4542">
        <v>0</v>
      </c>
      <c r="X4542">
        <v>2</v>
      </c>
      <c r="Z4542">
        <v>0</v>
      </c>
      <c r="AA4542">
        <v>9</v>
      </c>
      <c r="AB4542">
        <v>3</v>
      </c>
      <c r="AC4542">
        <v>0</v>
      </c>
      <c r="AD4542">
        <v>10</v>
      </c>
      <c r="AE4542">
        <v>0</v>
      </c>
      <c r="AF4542">
        <v>3</v>
      </c>
      <c r="AG4542">
        <v>2</v>
      </c>
      <c r="AH4542">
        <v>0</v>
      </c>
      <c r="AI4542" t="s">
        <v>2295</v>
      </c>
      <c r="AJ4542">
        <v>40.149814999999997</v>
      </c>
      <c r="AK4542" t="s">
        <v>2513</v>
      </c>
      <c r="AL4542">
        <v>-93.240472999999994</v>
      </c>
      <c r="AM4542">
        <v>100</v>
      </c>
      <c r="AN4542">
        <v>1300</v>
      </c>
      <c r="AO4542" t="s">
        <v>118</v>
      </c>
      <c r="AP4542">
        <v>-129</v>
      </c>
      <c r="AQ4542">
        <v>-43</v>
      </c>
      <c r="AR4542">
        <v>192</v>
      </c>
      <c r="AZ4542">
        <v>1200</v>
      </c>
      <c r="BA4542">
        <v>1</v>
      </c>
      <c r="BB4542" t="str">
        <f t="shared" si="225"/>
        <v xml:space="preserve">N8080G  </v>
      </c>
      <c r="BC4542">
        <v>1</v>
      </c>
      <c r="BE4542">
        <v>0</v>
      </c>
      <c r="BF4542">
        <v>0</v>
      </c>
      <c r="BG4542">
        <v>0</v>
      </c>
      <c r="BH4542">
        <v>1300</v>
      </c>
      <c r="BI4542">
        <v>1</v>
      </c>
      <c r="BJ4542">
        <v>1</v>
      </c>
      <c r="BK4542">
        <v>1</v>
      </c>
      <c r="BL4542">
        <v>0</v>
      </c>
      <c r="BO4542">
        <v>0</v>
      </c>
      <c r="BP4542">
        <v>0</v>
      </c>
      <c r="BW4542" t="str">
        <f>"20:39:43.029"</f>
        <v>20:39:43.029</v>
      </c>
      <c r="BZ4542">
        <v>0</v>
      </c>
      <c r="CA4542">
        <v>1504</v>
      </c>
      <c r="CB4542">
        <v>224</v>
      </c>
      <c r="CD4542">
        <v>1</v>
      </c>
      <c r="CE4542">
        <v>0</v>
      </c>
      <c r="CF4542">
        <v>0</v>
      </c>
      <c r="CG4542">
        <v>1</v>
      </c>
      <c r="CH4542">
        <v>0</v>
      </c>
      <c r="CI4542">
        <v>0</v>
      </c>
      <c r="CJ4542">
        <v>0</v>
      </c>
      <c r="CK4542">
        <v>2</v>
      </c>
      <c r="CL4542">
        <v>0</v>
      </c>
      <c r="CM4542">
        <v>2</v>
      </c>
      <c r="CN4542">
        <v>0</v>
      </c>
      <c r="CO4542">
        <v>2</v>
      </c>
      <c r="CP4542" t="s">
        <v>119</v>
      </c>
      <c r="CQ4542">
        <v>180</v>
      </c>
      <c r="CR4542">
        <v>3</v>
      </c>
      <c r="CW4542">
        <v>1457748</v>
      </c>
      <c r="CY4542">
        <v>0</v>
      </c>
      <c r="CZ4542">
        <v>0</v>
      </c>
      <c r="DA4542">
        <v>1</v>
      </c>
      <c r="DB4542">
        <v>0</v>
      </c>
      <c r="DC4542">
        <v>0</v>
      </c>
      <c r="DD4542">
        <v>0</v>
      </c>
      <c r="DE4542">
        <v>0</v>
      </c>
      <c r="DF4542">
        <v>0</v>
      </c>
      <c r="DG4542">
        <v>0</v>
      </c>
      <c r="DH4542">
        <v>0</v>
      </c>
      <c r="DI4542">
        <v>0</v>
      </c>
    </row>
    <row r="4543" spans="1:113" x14ac:dyDescent="0.3">
      <c r="A4543" t="str">
        <f>"02/08/2021 20:39:43.653"</f>
        <v>02/08/2021 20:39:43.653</v>
      </c>
      <c r="C4543" t="str">
        <f t="shared" si="224"/>
        <v>FFDFD7C0</v>
      </c>
      <c r="D4543" t="s">
        <v>124</v>
      </c>
      <c r="E4543">
        <v>13</v>
      </c>
      <c r="F4543">
        <v>1013</v>
      </c>
      <c r="G4543" t="s">
        <v>114</v>
      </c>
      <c r="J4543" t="s">
        <v>125</v>
      </c>
      <c r="K4543">
        <v>0</v>
      </c>
      <c r="L4543">
        <v>3</v>
      </c>
      <c r="M4543">
        <v>0</v>
      </c>
      <c r="N4543">
        <v>2</v>
      </c>
      <c r="O4543">
        <v>1</v>
      </c>
      <c r="P4543">
        <v>0</v>
      </c>
      <c r="Q4543">
        <v>0</v>
      </c>
      <c r="S4543" t="str">
        <f>"20:39:45.953"</f>
        <v>20:39:45.953</v>
      </c>
      <c r="T4543" t="str">
        <f>"20:39:45.053"</f>
        <v>20:39:45.053</v>
      </c>
      <c r="U4543" t="str">
        <f t="shared" si="223"/>
        <v>AB01F4</v>
      </c>
      <c r="V4543">
        <v>0</v>
      </c>
      <c r="W4543">
        <v>0</v>
      </c>
      <c r="X4543">
        <v>2</v>
      </c>
      <c r="Z4543">
        <v>0</v>
      </c>
      <c r="AA4543">
        <v>9</v>
      </c>
      <c r="AB4543">
        <v>3</v>
      </c>
      <c r="AC4543">
        <v>0</v>
      </c>
      <c r="AD4543">
        <v>10</v>
      </c>
      <c r="AE4543">
        <v>0</v>
      </c>
      <c r="AF4543">
        <v>3</v>
      </c>
      <c r="AG4543">
        <v>2</v>
      </c>
      <c r="AH4543">
        <v>0</v>
      </c>
      <c r="AI4543" t="s">
        <v>2514</v>
      </c>
      <c r="AJ4543">
        <v>40.149299999999997</v>
      </c>
      <c r="AK4543" t="s">
        <v>2515</v>
      </c>
      <c r="AL4543">
        <v>-93.242855000000006</v>
      </c>
      <c r="AM4543">
        <v>100</v>
      </c>
      <c r="AN4543">
        <v>1300</v>
      </c>
      <c r="AO4543" t="s">
        <v>118</v>
      </c>
      <c r="AP4543">
        <v>-131</v>
      </c>
      <c r="AQ4543">
        <v>-38</v>
      </c>
      <c r="AR4543">
        <v>64</v>
      </c>
      <c r="AZ4543">
        <v>1200</v>
      </c>
      <c r="BA4543">
        <v>1</v>
      </c>
      <c r="BB4543" t="str">
        <f t="shared" si="225"/>
        <v xml:space="preserve">N8080G  </v>
      </c>
      <c r="BC4543">
        <v>1</v>
      </c>
      <c r="BE4543">
        <v>0</v>
      </c>
      <c r="BF4543">
        <v>0</v>
      </c>
      <c r="BG4543">
        <v>0</v>
      </c>
      <c r="BH4543">
        <v>1300</v>
      </c>
      <c r="BI4543">
        <v>1</v>
      </c>
      <c r="BJ4543">
        <v>1</v>
      </c>
      <c r="BK4543">
        <v>1</v>
      </c>
      <c r="BL4543">
        <v>0</v>
      </c>
      <c r="BO4543">
        <v>0</v>
      </c>
      <c r="BP4543">
        <v>0</v>
      </c>
      <c r="BW4543" t="str">
        <f>"20:39:45.955"</f>
        <v>20:39:45.955</v>
      </c>
      <c r="BZ4543">
        <v>0</v>
      </c>
      <c r="CA4543">
        <v>1504</v>
      </c>
      <c r="CB4543">
        <v>224</v>
      </c>
      <c r="CD4543">
        <v>1</v>
      </c>
      <c r="CE4543">
        <v>0</v>
      </c>
      <c r="CF4543">
        <v>0</v>
      </c>
      <c r="CG4543">
        <v>1</v>
      </c>
      <c r="CH4543">
        <v>0</v>
      </c>
      <c r="CI4543">
        <v>0</v>
      </c>
      <c r="CJ4543">
        <v>0</v>
      </c>
      <c r="CK4543">
        <v>2</v>
      </c>
      <c r="CL4543">
        <v>0</v>
      </c>
      <c r="CM4543">
        <v>2</v>
      </c>
      <c r="CN4543">
        <v>0</v>
      </c>
      <c r="CO4543">
        <v>2</v>
      </c>
      <c r="CP4543" t="s">
        <v>119</v>
      </c>
      <c r="CQ4543">
        <v>180</v>
      </c>
      <c r="CR4543">
        <v>3</v>
      </c>
      <c r="CW4543">
        <v>1459859</v>
      </c>
      <c r="CY4543">
        <v>1</v>
      </c>
      <c r="CZ4543">
        <v>0</v>
      </c>
      <c r="DA4543">
        <v>0</v>
      </c>
      <c r="DB4543">
        <v>0</v>
      </c>
      <c r="DC4543">
        <v>0</v>
      </c>
      <c r="DD4543">
        <v>0</v>
      </c>
      <c r="DE4543">
        <v>0</v>
      </c>
      <c r="DF4543">
        <v>0</v>
      </c>
      <c r="DG4543">
        <v>0</v>
      </c>
      <c r="DH4543">
        <v>0</v>
      </c>
      <c r="DI4543">
        <v>0</v>
      </c>
    </row>
    <row r="4544" spans="1:113" x14ac:dyDescent="0.3">
      <c r="A4544" t="str">
        <f>"02/08/2021 20:39:43.653"</f>
        <v>02/08/2021 20:39:43.653</v>
      </c>
      <c r="C4544" t="str">
        <f t="shared" si="224"/>
        <v>FFDFD7C0</v>
      </c>
      <c r="D4544" t="s">
        <v>124</v>
      </c>
      <c r="E4544">
        <v>11</v>
      </c>
      <c r="F4544">
        <v>1011</v>
      </c>
      <c r="G4544" t="s">
        <v>590</v>
      </c>
      <c r="J4544" t="s">
        <v>125</v>
      </c>
      <c r="K4544">
        <v>0</v>
      </c>
      <c r="L4544">
        <v>3</v>
      </c>
      <c r="M4544">
        <v>0</v>
      </c>
      <c r="N4544">
        <v>2</v>
      </c>
      <c r="O4544">
        <v>1</v>
      </c>
      <c r="P4544">
        <v>0</v>
      </c>
      <c r="Q4544">
        <v>0</v>
      </c>
      <c r="S4544" t="str">
        <f>"20:39:45.953"</f>
        <v>20:39:45.953</v>
      </c>
      <c r="T4544" t="str">
        <f>"20:39:45.053"</f>
        <v>20:39:45.053</v>
      </c>
      <c r="U4544" t="str">
        <f t="shared" si="223"/>
        <v>AB01F4</v>
      </c>
      <c r="V4544">
        <v>0</v>
      </c>
      <c r="W4544">
        <v>0</v>
      </c>
      <c r="X4544">
        <v>2</v>
      </c>
      <c r="Z4544">
        <v>0</v>
      </c>
      <c r="AA4544">
        <v>9</v>
      </c>
      <c r="AB4544">
        <v>3</v>
      </c>
      <c r="AC4544">
        <v>0</v>
      </c>
      <c r="AD4544">
        <v>10</v>
      </c>
      <c r="AE4544">
        <v>0</v>
      </c>
      <c r="AF4544">
        <v>3</v>
      </c>
      <c r="AG4544">
        <v>2</v>
      </c>
      <c r="AH4544">
        <v>0</v>
      </c>
      <c r="AI4544" t="s">
        <v>2514</v>
      </c>
      <c r="AJ4544">
        <v>40.149299999999997</v>
      </c>
      <c r="AK4544" t="s">
        <v>2515</v>
      </c>
      <c r="AL4544">
        <v>-93.242855000000006</v>
      </c>
      <c r="AM4544">
        <v>100</v>
      </c>
      <c r="AN4544">
        <v>1300</v>
      </c>
      <c r="AO4544" t="s">
        <v>118</v>
      </c>
      <c r="AP4544">
        <v>-131</v>
      </c>
      <c r="AQ4544">
        <v>-38</v>
      </c>
      <c r="AR4544">
        <v>64</v>
      </c>
      <c r="AZ4544">
        <v>1200</v>
      </c>
      <c r="BA4544">
        <v>1</v>
      </c>
      <c r="BB4544" t="str">
        <f t="shared" si="225"/>
        <v xml:space="preserve">N8080G  </v>
      </c>
      <c r="BC4544">
        <v>1</v>
      </c>
      <c r="BE4544">
        <v>0</v>
      </c>
      <c r="BF4544">
        <v>0</v>
      </c>
      <c r="BG4544">
        <v>0</v>
      </c>
      <c r="BH4544">
        <v>1300</v>
      </c>
      <c r="BI4544">
        <v>1</v>
      </c>
      <c r="BJ4544">
        <v>1</v>
      </c>
      <c r="BK4544">
        <v>1</v>
      </c>
      <c r="BL4544">
        <v>0</v>
      </c>
      <c r="BO4544">
        <v>0</v>
      </c>
      <c r="BP4544">
        <v>0</v>
      </c>
      <c r="BW4544" t="str">
        <f>"20:39:45.955"</f>
        <v>20:39:45.955</v>
      </c>
      <c r="BZ4544">
        <v>0</v>
      </c>
      <c r="CA4544">
        <v>1504</v>
      </c>
      <c r="CB4544">
        <v>224</v>
      </c>
      <c r="CD4544">
        <v>1</v>
      </c>
      <c r="CE4544">
        <v>0</v>
      </c>
      <c r="CF4544">
        <v>0</v>
      </c>
      <c r="CG4544">
        <v>1</v>
      </c>
      <c r="CH4544">
        <v>0</v>
      </c>
      <c r="CI4544">
        <v>0</v>
      </c>
      <c r="CJ4544">
        <v>0</v>
      </c>
      <c r="CK4544">
        <v>2</v>
      </c>
      <c r="CL4544">
        <v>0</v>
      </c>
      <c r="CM4544">
        <v>2</v>
      </c>
      <c r="CN4544">
        <v>0</v>
      </c>
      <c r="CO4544">
        <v>2</v>
      </c>
      <c r="CP4544" t="s">
        <v>119</v>
      </c>
      <c r="CQ4544">
        <v>180</v>
      </c>
      <c r="CR4544">
        <v>3</v>
      </c>
      <c r="CW4544">
        <v>1459859</v>
      </c>
      <c r="CY4544">
        <v>1</v>
      </c>
      <c r="CZ4544">
        <v>0</v>
      </c>
      <c r="DA4544">
        <v>1</v>
      </c>
      <c r="DB4544">
        <v>0</v>
      </c>
      <c r="DC4544">
        <v>0</v>
      </c>
      <c r="DD4544">
        <v>0</v>
      </c>
      <c r="DE4544">
        <v>0</v>
      </c>
      <c r="DF4544">
        <v>0</v>
      </c>
      <c r="DG4544">
        <v>0</v>
      </c>
      <c r="DH4544">
        <v>0</v>
      </c>
      <c r="DI4544">
        <v>0</v>
      </c>
    </row>
    <row r="4545" spans="1:113" x14ac:dyDescent="0.3">
      <c r="A4545" t="str">
        <f>"02/08/2021 20:39:43.653"</f>
        <v>02/08/2021 20:39:43.653</v>
      </c>
      <c r="C4545" t="str">
        <f t="shared" si="224"/>
        <v>FFDFD7C0</v>
      </c>
      <c r="D4545" t="s">
        <v>113</v>
      </c>
      <c r="E4545">
        <v>6</v>
      </c>
      <c r="H4545">
        <v>165</v>
      </c>
      <c r="I4545" t="s">
        <v>114</v>
      </c>
      <c r="J4545" t="s">
        <v>115</v>
      </c>
      <c r="K4545">
        <v>0</v>
      </c>
      <c r="L4545">
        <v>3</v>
      </c>
      <c r="M4545">
        <v>0</v>
      </c>
      <c r="N4545">
        <v>2</v>
      </c>
      <c r="O4545">
        <v>1</v>
      </c>
      <c r="P4545">
        <v>0</v>
      </c>
      <c r="Q4545">
        <v>0</v>
      </c>
      <c r="S4545" t="str">
        <f>"20:39:45.953"</f>
        <v>20:39:45.953</v>
      </c>
      <c r="T4545" t="str">
        <f>"20:39:45.053"</f>
        <v>20:39:45.053</v>
      </c>
      <c r="U4545" t="str">
        <f t="shared" si="223"/>
        <v>AB01F4</v>
      </c>
      <c r="V4545">
        <v>0</v>
      </c>
      <c r="W4545">
        <v>0</v>
      </c>
      <c r="X4545">
        <v>2</v>
      </c>
      <c r="Z4545">
        <v>0</v>
      </c>
      <c r="AA4545">
        <v>9</v>
      </c>
      <c r="AB4545">
        <v>3</v>
      </c>
      <c r="AC4545">
        <v>0</v>
      </c>
      <c r="AD4545">
        <v>10</v>
      </c>
      <c r="AE4545">
        <v>0</v>
      </c>
      <c r="AF4545">
        <v>3</v>
      </c>
      <c r="AG4545">
        <v>2</v>
      </c>
      <c r="AH4545">
        <v>0</v>
      </c>
      <c r="AI4545" t="s">
        <v>2514</v>
      </c>
      <c r="AJ4545">
        <v>40.149299999999997</v>
      </c>
      <c r="AK4545" t="s">
        <v>2515</v>
      </c>
      <c r="AL4545">
        <v>-93.242855000000006</v>
      </c>
      <c r="AM4545">
        <v>100</v>
      </c>
      <c r="AN4545">
        <v>1300</v>
      </c>
      <c r="AO4545" t="s">
        <v>118</v>
      </c>
      <c r="AP4545">
        <v>-131</v>
      </c>
      <c r="AQ4545">
        <v>-38</v>
      </c>
      <c r="AR4545">
        <v>64</v>
      </c>
      <c r="AZ4545">
        <v>1200</v>
      </c>
      <c r="BA4545">
        <v>1</v>
      </c>
      <c r="BB4545" t="str">
        <f t="shared" si="225"/>
        <v xml:space="preserve">N8080G  </v>
      </c>
      <c r="BC4545">
        <v>1</v>
      </c>
      <c r="BE4545">
        <v>0</v>
      </c>
      <c r="BF4545">
        <v>0</v>
      </c>
      <c r="BG4545">
        <v>0</v>
      </c>
      <c r="BH4545">
        <v>1300</v>
      </c>
      <c r="BI4545">
        <v>1</v>
      </c>
      <c r="BJ4545">
        <v>1</v>
      </c>
      <c r="BK4545">
        <v>1</v>
      </c>
      <c r="BL4545">
        <v>0</v>
      </c>
      <c r="BO4545">
        <v>0</v>
      </c>
      <c r="BP4545">
        <v>0</v>
      </c>
      <c r="BW4545" t="str">
        <f>"20:39:45.955"</f>
        <v>20:39:45.955</v>
      </c>
      <c r="BZ4545">
        <v>0</v>
      </c>
      <c r="CA4545">
        <v>1504</v>
      </c>
      <c r="CB4545">
        <v>224</v>
      </c>
      <c r="CD4545">
        <v>1</v>
      </c>
      <c r="CE4545">
        <v>0</v>
      </c>
      <c r="CF4545">
        <v>0</v>
      </c>
      <c r="CG4545">
        <v>1</v>
      </c>
      <c r="CH4545">
        <v>0</v>
      </c>
      <c r="CI4545">
        <v>0</v>
      </c>
      <c r="CJ4545">
        <v>0</v>
      </c>
      <c r="CK4545">
        <v>2</v>
      </c>
      <c r="CL4545">
        <v>0</v>
      </c>
      <c r="CM4545">
        <v>2</v>
      </c>
      <c r="CN4545">
        <v>0</v>
      </c>
      <c r="CO4545">
        <v>2</v>
      </c>
      <c r="CP4545" t="s">
        <v>119</v>
      </c>
      <c r="CQ4545">
        <v>180</v>
      </c>
      <c r="CR4545">
        <v>3</v>
      </c>
      <c r="CW4545">
        <v>1459859</v>
      </c>
      <c r="CY4545">
        <v>1</v>
      </c>
      <c r="CZ4545">
        <v>0</v>
      </c>
      <c r="DA4545">
        <v>1</v>
      </c>
      <c r="DB4545">
        <v>0</v>
      </c>
      <c r="DC4545">
        <v>0</v>
      </c>
      <c r="DD4545">
        <v>0</v>
      </c>
      <c r="DE4545">
        <v>0</v>
      </c>
      <c r="DF4545">
        <v>0</v>
      </c>
      <c r="DG4545">
        <v>0</v>
      </c>
      <c r="DH4545">
        <v>0</v>
      </c>
      <c r="DI4545">
        <v>0</v>
      </c>
    </row>
    <row r="4546" spans="1:113" x14ac:dyDescent="0.3">
      <c r="A4546" t="str">
        <f>"02/08/2021 20:39:43.653"</f>
        <v>02/08/2021 20:39:43.653</v>
      </c>
      <c r="C4546" t="str">
        <f t="shared" si="224"/>
        <v>FFDFD7C0</v>
      </c>
      <c r="D4546" t="s">
        <v>124</v>
      </c>
      <c r="E4546">
        <v>12</v>
      </c>
      <c r="F4546">
        <v>1012</v>
      </c>
      <c r="G4546" t="s">
        <v>675</v>
      </c>
      <c r="J4546" t="s">
        <v>125</v>
      </c>
      <c r="K4546">
        <v>0</v>
      </c>
      <c r="L4546">
        <v>3</v>
      </c>
      <c r="M4546">
        <v>0</v>
      </c>
      <c r="N4546">
        <v>2</v>
      </c>
      <c r="O4546">
        <v>1</v>
      </c>
      <c r="P4546">
        <v>0</v>
      </c>
      <c r="Q4546">
        <v>0</v>
      </c>
      <c r="S4546" t="str">
        <f>"20:39:45.953"</f>
        <v>20:39:45.953</v>
      </c>
      <c r="T4546" t="str">
        <f>"20:39:45.053"</f>
        <v>20:39:45.053</v>
      </c>
      <c r="U4546" t="str">
        <f t="shared" ref="U4546:U4610" si="226">"AB01F4"</f>
        <v>AB01F4</v>
      </c>
      <c r="V4546">
        <v>0</v>
      </c>
      <c r="W4546">
        <v>0</v>
      </c>
      <c r="X4546">
        <v>2</v>
      </c>
      <c r="Z4546">
        <v>0</v>
      </c>
      <c r="AA4546">
        <v>9</v>
      </c>
      <c r="AB4546">
        <v>3</v>
      </c>
      <c r="AC4546">
        <v>0</v>
      </c>
      <c r="AD4546">
        <v>10</v>
      </c>
      <c r="AE4546">
        <v>0</v>
      </c>
      <c r="AF4546">
        <v>3</v>
      </c>
      <c r="AG4546">
        <v>2</v>
      </c>
      <c r="AH4546">
        <v>0</v>
      </c>
      <c r="AI4546" t="s">
        <v>2514</v>
      </c>
      <c r="AJ4546">
        <v>40.149299999999997</v>
      </c>
      <c r="AK4546" t="s">
        <v>2515</v>
      </c>
      <c r="AL4546">
        <v>-93.242855000000006</v>
      </c>
      <c r="AM4546">
        <v>100</v>
      </c>
      <c r="AN4546">
        <v>1300</v>
      </c>
      <c r="AO4546" t="s">
        <v>118</v>
      </c>
      <c r="AP4546">
        <v>-131</v>
      </c>
      <c r="AQ4546">
        <v>-38</v>
      </c>
      <c r="AR4546">
        <v>64</v>
      </c>
      <c r="AZ4546">
        <v>1200</v>
      </c>
      <c r="BA4546">
        <v>1</v>
      </c>
      <c r="BB4546" t="str">
        <f t="shared" si="225"/>
        <v xml:space="preserve">N8080G  </v>
      </c>
      <c r="BC4546">
        <v>1</v>
      </c>
      <c r="BE4546">
        <v>0</v>
      </c>
      <c r="BF4546">
        <v>0</v>
      </c>
      <c r="BG4546">
        <v>0</v>
      </c>
      <c r="BH4546">
        <v>1300</v>
      </c>
      <c r="BI4546">
        <v>1</v>
      </c>
      <c r="BJ4546">
        <v>1</v>
      </c>
      <c r="BK4546">
        <v>1</v>
      </c>
      <c r="BL4546">
        <v>0</v>
      </c>
      <c r="BO4546">
        <v>0</v>
      </c>
      <c r="BP4546">
        <v>0</v>
      </c>
      <c r="BW4546" t="str">
        <f>"20:39:45.955"</f>
        <v>20:39:45.955</v>
      </c>
      <c r="BZ4546">
        <v>0</v>
      </c>
      <c r="CA4546">
        <v>1504</v>
      </c>
      <c r="CB4546">
        <v>224</v>
      </c>
      <c r="CD4546">
        <v>1</v>
      </c>
      <c r="CE4546">
        <v>0</v>
      </c>
      <c r="CF4546">
        <v>0</v>
      </c>
      <c r="CG4546">
        <v>1</v>
      </c>
      <c r="CH4546">
        <v>0</v>
      </c>
      <c r="CI4546">
        <v>0</v>
      </c>
      <c r="CJ4546">
        <v>0</v>
      </c>
      <c r="CK4546">
        <v>2</v>
      </c>
      <c r="CL4546">
        <v>0</v>
      </c>
      <c r="CM4546">
        <v>2</v>
      </c>
      <c r="CN4546">
        <v>0</v>
      </c>
      <c r="CO4546">
        <v>2</v>
      </c>
      <c r="CP4546" t="s">
        <v>119</v>
      </c>
      <c r="CQ4546">
        <v>180</v>
      </c>
      <c r="CR4546">
        <v>3</v>
      </c>
      <c r="CW4546">
        <v>1459859</v>
      </c>
      <c r="CY4546">
        <v>1</v>
      </c>
      <c r="CZ4546">
        <v>0</v>
      </c>
      <c r="DA4546">
        <v>1</v>
      </c>
      <c r="DB4546">
        <v>0</v>
      </c>
      <c r="DC4546">
        <v>0</v>
      </c>
      <c r="DD4546">
        <v>0</v>
      </c>
      <c r="DE4546">
        <v>0</v>
      </c>
      <c r="DF4546">
        <v>0</v>
      </c>
      <c r="DG4546">
        <v>0</v>
      </c>
      <c r="DH4546">
        <v>0</v>
      </c>
      <c r="DI4546">
        <v>0</v>
      </c>
    </row>
    <row r="4547" spans="1:113" x14ac:dyDescent="0.3">
      <c r="A4547" t="str">
        <f>"02/08/2021 20:39:44.530"</f>
        <v>02/08/2021 20:39:44.530</v>
      </c>
      <c r="C4547" t="str">
        <f t="shared" si="224"/>
        <v>FFDFD7C0</v>
      </c>
      <c r="D4547" t="s">
        <v>113</v>
      </c>
      <c r="E4547">
        <v>6</v>
      </c>
      <c r="H4547">
        <v>165</v>
      </c>
      <c r="I4547" t="s">
        <v>114</v>
      </c>
      <c r="J4547" t="s">
        <v>115</v>
      </c>
      <c r="K4547">
        <v>0</v>
      </c>
      <c r="L4547">
        <v>3</v>
      </c>
      <c r="M4547">
        <v>0</v>
      </c>
      <c r="N4547">
        <v>2</v>
      </c>
      <c r="O4547">
        <v>1</v>
      </c>
      <c r="P4547">
        <v>0</v>
      </c>
      <c r="Q4547">
        <v>0</v>
      </c>
      <c r="S4547" t="str">
        <f>"20:39:46.859"</f>
        <v>20:39:46.859</v>
      </c>
      <c r="T4547" t="str">
        <f>"20:39:45.959"</f>
        <v>20:39:45.959</v>
      </c>
      <c r="U4547" t="str">
        <f t="shared" si="226"/>
        <v>AB01F4</v>
      </c>
      <c r="V4547">
        <v>0</v>
      </c>
      <c r="W4547">
        <v>0</v>
      </c>
      <c r="X4547">
        <v>2</v>
      </c>
      <c r="Z4547">
        <v>0</v>
      </c>
      <c r="AA4547">
        <v>9</v>
      </c>
      <c r="AB4547">
        <v>3</v>
      </c>
      <c r="AC4547">
        <v>0</v>
      </c>
      <c r="AD4547">
        <v>10</v>
      </c>
      <c r="AE4547">
        <v>0</v>
      </c>
      <c r="AF4547">
        <v>3</v>
      </c>
      <c r="AG4547">
        <v>2</v>
      </c>
      <c r="AH4547">
        <v>0</v>
      </c>
      <c r="AI4547" t="s">
        <v>2516</v>
      </c>
      <c r="AJ4547">
        <v>40.149171000000003</v>
      </c>
      <c r="AK4547" t="s">
        <v>2517</v>
      </c>
      <c r="AL4547">
        <v>-93.243584999999996</v>
      </c>
      <c r="AM4547">
        <v>100</v>
      </c>
      <c r="AN4547">
        <v>1300</v>
      </c>
      <c r="AO4547" t="s">
        <v>118</v>
      </c>
      <c r="AP4547">
        <v>-131</v>
      </c>
      <c r="AQ4547">
        <v>-36</v>
      </c>
      <c r="AR4547">
        <v>-64</v>
      </c>
      <c r="AZ4547">
        <v>1200</v>
      </c>
      <c r="BA4547">
        <v>1</v>
      </c>
      <c r="BB4547" t="str">
        <f t="shared" si="225"/>
        <v xml:space="preserve">N8080G  </v>
      </c>
      <c r="BC4547">
        <v>1</v>
      </c>
      <c r="BE4547">
        <v>0</v>
      </c>
      <c r="BF4547">
        <v>0</v>
      </c>
      <c r="BG4547">
        <v>0</v>
      </c>
      <c r="BH4547">
        <v>1300</v>
      </c>
      <c r="BI4547">
        <v>1</v>
      </c>
      <c r="BJ4547">
        <v>1</v>
      </c>
      <c r="BK4547">
        <v>1</v>
      </c>
      <c r="BL4547">
        <v>0</v>
      </c>
      <c r="BO4547">
        <v>0</v>
      </c>
      <c r="BP4547">
        <v>0</v>
      </c>
      <c r="BW4547" t="str">
        <f>"20:39:46.866"</f>
        <v>20:39:46.866</v>
      </c>
      <c r="BZ4547">
        <v>0</v>
      </c>
      <c r="CA4547">
        <v>1504</v>
      </c>
      <c r="CB4547">
        <v>224</v>
      </c>
      <c r="CD4547">
        <v>1</v>
      </c>
      <c r="CE4547">
        <v>0</v>
      </c>
      <c r="CF4547">
        <v>0</v>
      </c>
      <c r="CG4547">
        <v>1</v>
      </c>
      <c r="CH4547">
        <v>0</v>
      </c>
      <c r="CI4547">
        <v>0</v>
      </c>
      <c r="CJ4547">
        <v>0</v>
      </c>
      <c r="CK4547">
        <v>2</v>
      </c>
      <c r="CL4547">
        <v>0</v>
      </c>
      <c r="CM4547">
        <v>2</v>
      </c>
      <c r="CN4547">
        <v>0</v>
      </c>
      <c r="CO4547">
        <v>2</v>
      </c>
      <c r="CP4547" t="s">
        <v>119</v>
      </c>
      <c r="CQ4547">
        <v>180</v>
      </c>
      <c r="CR4547">
        <v>3</v>
      </c>
      <c r="CW4547">
        <v>1460538</v>
      </c>
      <c r="CY4547">
        <v>1</v>
      </c>
      <c r="CZ4547">
        <v>0</v>
      </c>
      <c r="DA4547">
        <v>0</v>
      </c>
      <c r="DB4547">
        <v>0</v>
      </c>
      <c r="DC4547">
        <v>0</v>
      </c>
      <c r="DD4547">
        <v>0</v>
      </c>
      <c r="DE4547">
        <v>0</v>
      </c>
      <c r="DF4547">
        <v>0</v>
      </c>
      <c r="DG4547">
        <v>0</v>
      </c>
      <c r="DH4547">
        <v>0</v>
      </c>
      <c r="DI4547">
        <v>0</v>
      </c>
    </row>
    <row r="4548" spans="1:113" x14ac:dyDescent="0.3">
      <c r="A4548" t="str">
        <f>"02/08/2021 20:39:44.530"</f>
        <v>02/08/2021 20:39:44.530</v>
      </c>
      <c r="C4548" t="str">
        <f t="shared" si="224"/>
        <v>FFDFD7C0</v>
      </c>
      <c r="D4548" t="s">
        <v>124</v>
      </c>
      <c r="E4548">
        <v>11</v>
      </c>
      <c r="F4548">
        <v>1011</v>
      </c>
      <c r="G4548" t="s">
        <v>590</v>
      </c>
      <c r="J4548" t="s">
        <v>125</v>
      </c>
      <c r="K4548">
        <v>0</v>
      </c>
      <c r="L4548">
        <v>3</v>
      </c>
      <c r="M4548">
        <v>0</v>
      </c>
      <c r="N4548">
        <v>2</v>
      </c>
      <c r="O4548">
        <v>1</v>
      </c>
      <c r="P4548">
        <v>0</v>
      </c>
      <c r="Q4548">
        <v>0</v>
      </c>
      <c r="S4548" t="str">
        <f>"20:39:46.859"</f>
        <v>20:39:46.859</v>
      </c>
      <c r="T4548" t="str">
        <f>"20:39:45.959"</f>
        <v>20:39:45.959</v>
      </c>
      <c r="U4548" t="str">
        <f t="shared" si="226"/>
        <v>AB01F4</v>
      </c>
      <c r="V4548">
        <v>0</v>
      </c>
      <c r="W4548">
        <v>0</v>
      </c>
      <c r="X4548">
        <v>2</v>
      </c>
      <c r="Z4548">
        <v>0</v>
      </c>
      <c r="AA4548">
        <v>9</v>
      </c>
      <c r="AB4548">
        <v>3</v>
      </c>
      <c r="AC4548">
        <v>0</v>
      </c>
      <c r="AD4548">
        <v>10</v>
      </c>
      <c r="AE4548">
        <v>0</v>
      </c>
      <c r="AF4548">
        <v>3</v>
      </c>
      <c r="AG4548">
        <v>2</v>
      </c>
      <c r="AH4548">
        <v>0</v>
      </c>
      <c r="AI4548" t="s">
        <v>2516</v>
      </c>
      <c r="AJ4548">
        <v>40.149171000000003</v>
      </c>
      <c r="AK4548" t="s">
        <v>2517</v>
      </c>
      <c r="AL4548">
        <v>-93.243584999999996</v>
      </c>
      <c r="AM4548">
        <v>100</v>
      </c>
      <c r="AN4548">
        <v>1300</v>
      </c>
      <c r="AO4548" t="s">
        <v>118</v>
      </c>
      <c r="AP4548">
        <v>-131</v>
      </c>
      <c r="AQ4548">
        <v>-36</v>
      </c>
      <c r="AR4548">
        <v>-64</v>
      </c>
      <c r="AZ4548">
        <v>1200</v>
      </c>
      <c r="BA4548">
        <v>1</v>
      </c>
      <c r="BB4548" t="str">
        <f t="shared" si="225"/>
        <v xml:space="preserve">N8080G  </v>
      </c>
      <c r="BC4548">
        <v>1</v>
      </c>
      <c r="BE4548">
        <v>0</v>
      </c>
      <c r="BF4548">
        <v>0</v>
      </c>
      <c r="BG4548">
        <v>0</v>
      </c>
      <c r="BH4548">
        <v>1300</v>
      </c>
      <c r="BI4548">
        <v>1</v>
      </c>
      <c r="BJ4548">
        <v>1</v>
      </c>
      <c r="BK4548">
        <v>1</v>
      </c>
      <c r="BL4548">
        <v>0</v>
      </c>
      <c r="BO4548">
        <v>0</v>
      </c>
      <c r="BP4548">
        <v>0</v>
      </c>
      <c r="BW4548" t="str">
        <f>"20:39:46.866"</f>
        <v>20:39:46.866</v>
      </c>
      <c r="BZ4548">
        <v>0</v>
      </c>
      <c r="CA4548">
        <v>1504</v>
      </c>
      <c r="CB4548">
        <v>224</v>
      </c>
      <c r="CD4548">
        <v>1</v>
      </c>
      <c r="CE4548">
        <v>0</v>
      </c>
      <c r="CF4548">
        <v>0</v>
      </c>
      <c r="CG4548">
        <v>1</v>
      </c>
      <c r="CH4548">
        <v>0</v>
      </c>
      <c r="CI4548">
        <v>0</v>
      </c>
      <c r="CJ4548">
        <v>0</v>
      </c>
      <c r="CK4548">
        <v>2</v>
      </c>
      <c r="CL4548">
        <v>0</v>
      </c>
      <c r="CM4548">
        <v>2</v>
      </c>
      <c r="CN4548">
        <v>0</v>
      </c>
      <c r="CO4548">
        <v>2</v>
      </c>
      <c r="CP4548" t="s">
        <v>119</v>
      </c>
      <c r="CQ4548">
        <v>180</v>
      </c>
      <c r="CR4548">
        <v>3</v>
      </c>
      <c r="CW4548">
        <v>1460538</v>
      </c>
      <c r="CY4548">
        <v>1</v>
      </c>
      <c r="CZ4548">
        <v>0</v>
      </c>
      <c r="DA4548">
        <v>1</v>
      </c>
      <c r="DB4548">
        <v>0</v>
      </c>
      <c r="DC4548">
        <v>0</v>
      </c>
      <c r="DD4548">
        <v>0</v>
      </c>
      <c r="DE4548">
        <v>0</v>
      </c>
      <c r="DF4548">
        <v>0</v>
      </c>
      <c r="DG4548">
        <v>0</v>
      </c>
      <c r="DH4548">
        <v>0</v>
      </c>
      <c r="DI4548">
        <v>0</v>
      </c>
    </row>
    <row r="4549" spans="1:113" x14ac:dyDescent="0.3">
      <c r="A4549" t="str">
        <f>"02/08/2021 20:39:44.530"</f>
        <v>02/08/2021 20:39:44.530</v>
      </c>
      <c r="C4549" t="str">
        <f t="shared" si="224"/>
        <v>FFDFD7C0</v>
      </c>
      <c r="D4549" t="s">
        <v>124</v>
      </c>
      <c r="E4549">
        <v>12</v>
      </c>
      <c r="F4549">
        <v>1012</v>
      </c>
      <c r="G4549" t="s">
        <v>675</v>
      </c>
      <c r="J4549" t="s">
        <v>125</v>
      </c>
      <c r="K4549">
        <v>0</v>
      </c>
      <c r="L4549">
        <v>3</v>
      </c>
      <c r="M4549">
        <v>0</v>
      </c>
      <c r="N4549">
        <v>2</v>
      </c>
      <c r="O4549">
        <v>1</v>
      </c>
      <c r="P4549">
        <v>0</v>
      </c>
      <c r="Q4549">
        <v>0</v>
      </c>
      <c r="S4549" t="str">
        <f>"20:39:46.859"</f>
        <v>20:39:46.859</v>
      </c>
      <c r="T4549" t="str">
        <f>"20:39:45.959"</f>
        <v>20:39:45.959</v>
      </c>
      <c r="U4549" t="str">
        <f t="shared" si="226"/>
        <v>AB01F4</v>
      </c>
      <c r="V4549">
        <v>0</v>
      </c>
      <c r="W4549">
        <v>0</v>
      </c>
      <c r="X4549">
        <v>2</v>
      </c>
      <c r="Z4549">
        <v>0</v>
      </c>
      <c r="AA4549">
        <v>9</v>
      </c>
      <c r="AB4549">
        <v>3</v>
      </c>
      <c r="AC4549">
        <v>0</v>
      </c>
      <c r="AD4549">
        <v>10</v>
      </c>
      <c r="AE4549">
        <v>0</v>
      </c>
      <c r="AF4549">
        <v>3</v>
      </c>
      <c r="AG4549">
        <v>2</v>
      </c>
      <c r="AH4549">
        <v>0</v>
      </c>
      <c r="AI4549" t="s">
        <v>2516</v>
      </c>
      <c r="AJ4549">
        <v>40.149171000000003</v>
      </c>
      <c r="AK4549" t="s">
        <v>2517</v>
      </c>
      <c r="AL4549">
        <v>-93.243584999999996</v>
      </c>
      <c r="AM4549">
        <v>100</v>
      </c>
      <c r="AN4549">
        <v>1300</v>
      </c>
      <c r="AO4549" t="s">
        <v>118</v>
      </c>
      <c r="AP4549">
        <v>-131</v>
      </c>
      <c r="AQ4549">
        <v>-36</v>
      </c>
      <c r="AR4549">
        <v>-64</v>
      </c>
      <c r="AZ4549">
        <v>1200</v>
      </c>
      <c r="BA4549">
        <v>1</v>
      </c>
      <c r="BB4549" t="str">
        <f t="shared" si="225"/>
        <v xml:space="preserve">N8080G  </v>
      </c>
      <c r="BC4549">
        <v>1</v>
      </c>
      <c r="BE4549">
        <v>0</v>
      </c>
      <c r="BF4549">
        <v>0</v>
      </c>
      <c r="BG4549">
        <v>0</v>
      </c>
      <c r="BH4549">
        <v>1300</v>
      </c>
      <c r="BI4549">
        <v>1</v>
      </c>
      <c r="BJ4549">
        <v>1</v>
      </c>
      <c r="BK4549">
        <v>1</v>
      </c>
      <c r="BL4549">
        <v>0</v>
      </c>
      <c r="BO4549">
        <v>0</v>
      </c>
      <c r="BP4549">
        <v>0</v>
      </c>
      <c r="BW4549" t="str">
        <f>"20:39:46.866"</f>
        <v>20:39:46.866</v>
      </c>
      <c r="BZ4549">
        <v>0</v>
      </c>
      <c r="CA4549">
        <v>1504</v>
      </c>
      <c r="CB4549">
        <v>224</v>
      </c>
      <c r="CD4549">
        <v>1</v>
      </c>
      <c r="CE4549">
        <v>0</v>
      </c>
      <c r="CF4549">
        <v>0</v>
      </c>
      <c r="CG4549">
        <v>1</v>
      </c>
      <c r="CH4549">
        <v>0</v>
      </c>
      <c r="CI4549">
        <v>0</v>
      </c>
      <c r="CJ4549">
        <v>0</v>
      </c>
      <c r="CK4549">
        <v>2</v>
      </c>
      <c r="CL4549">
        <v>0</v>
      </c>
      <c r="CM4549">
        <v>2</v>
      </c>
      <c r="CN4549">
        <v>0</v>
      </c>
      <c r="CO4549">
        <v>2</v>
      </c>
      <c r="CP4549" t="s">
        <v>119</v>
      </c>
      <c r="CQ4549">
        <v>180</v>
      </c>
      <c r="CR4549">
        <v>3</v>
      </c>
      <c r="CW4549">
        <v>1460538</v>
      </c>
      <c r="CY4549">
        <v>1</v>
      </c>
      <c r="CZ4549">
        <v>0</v>
      </c>
      <c r="DA4549">
        <v>1</v>
      </c>
      <c r="DB4549">
        <v>0</v>
      </c>
      <c r="DC4549">
        <v>0</v>
      </c>
      <c r="DD4549">
        <v>0</v>
      </c>
      <c r="DE4549">
        <v>0</v>
      </c>
      <c r="DF4549">
        <v>0</v>
      </c>
      <c r="DG4549">
        <v>0</v>
      </c>
      <c r="DH4549">
        <v>0</v>
      </c>
      <c r="DI4549">
        <v>0</v>
      </c>
    </row>
    <row r="4550" spans="1:113" x14ac:dyDescent="0.3">
      <c r="A4550" t="str">
        <f>"02/08/2021 20:39:44.530"</f>
        <v>02/08/2021 20:39:44.530</v>
      </c>
      <c r="C4550" t="str">
        <f t="shared" si="224"/>
        <v>FFDFD7C0</v>
      </c>
      <c r="D4550" t="s">
        <v>124</v>
      </c>
      <c r="E4550">
        <v>13</v>
      </c>
      <c r="F4550">
        <v>1013</v>
      </c>
      <c r="G4550" t="s">
        <v>114</v>
      </c>
      <c r="J4550" t="s">
        <v>125</v>
      </c>
      <c r="K4550">
        <v>0</v>
      </c>
      <c r="L4550">
        <v>3</v>
      </c>
      <c r="M4550">
        <v>0</v>
      </c>
      <c r="N4550">
        <v>2</v>
      </c>
      <c r="O4550">
        <v>1</v>
      </c>
      <c r="P4550">
        <v>0</v>
      </c>
      <c r="Q4550">
        <v>0</v>
      </c>
      <c r="S4550" t="str">
        <f>"20:39:46.859"</f>
        <v>20:39:46.859</v>
      </c>
      <c r="T4550" t="str">
        <f>"20:39:45.959"</f>
        <v>20:39:45.959</v>
      </c>
      <c r="U4550" t="str">
        <f t="shared" si="226"/>
        <v>AB01F4</v>
      </c>
      <c r="V4550">
        <v>0</v>
      </c>
      <c r="W4550">
        <v>0</v>
      </c>
      <c r="X4550">
        <v>2</v>
      </c>
      <c r="Z4550">
        <v>0</v>
      </c>
      <c r="AA4550">
        <v>9</v>
      </c>
      <c r="AB4550">
        <v>3</v>
      </c>
      <c r="AC4550">
        <v>0</v>
      </c>
      <c r="AD4550">
        <v>10</v>
      </c>
      <c r="AE4550">
        <v>0</v>
      </c>
      <c r="AF4550">
        <v>3</v>
      </c>
      <c r="AG4550">
        <v>2</v>
      </c>
      <c r="AH4550">
        <v>0</v>
      </c>
      <c r="AI4550" t="s">
        <v>2516</v>
      </c>
      <c r="AJ4550">
        <v>40.149171000000003</v>
      </c>
      <c r="AK4550" t="s">
        <v>2517</v>
      </c>
      <c r="AL4550">
        <v>-93.243584999999996</v>
      </c>
      <c r="AM4550">
        <v>100</v>
      </c>
      <c r="AN4550">
        <v>1300</v>
      </c>
      <c r="AO4550" t="s">
        <v>118</v>
      </c>
      <c r="AP4550">
        <v>-131</v>
      </c>
      <c r="AQ4550">
        <v>-36</v>
      </c>
      <c r="AR4550">
        <v>-64</v>
      </c>
      <c r="AZ4550">
        <v>1200</v>
      </c>
      <c r="BA4550">
        <v>1</v>
      </c>
      <c r="BB4550" t="str">
        <f t="shared" si="225"/>
        <v xml:space="preserve">N8080G  </v>
      </c>
      <c r="BC4550">
        <v>1</v>
      </c>
      <c r="BE4550">
        <v>0</v>
      </c>
      <c r="BF4550">
        <v>0</v>
      </c>
      <c r="BG4550">
        <v>0</v>
      </c>
      <c r="BH4550">
        <v>1300</v>
      </c>
      <c r="BI4550">
        <v>1</v>
      </c>
      <c r="BJ4550">
        <v>1</v>
      </c>
      <c r="BK4550">
        <v>1</v>
      </c>
      <c r="BL4550">
        <v>0</v>
      </c>
      <c r="BO4550">
        <v>0</v>
      </c>
      <c r="BP4550">
        <v>0</v>
      </c>
      <c r="BW4550" t="str">
        <f>"20:39:46.866"</f>
        <v>20:39:46.866</v>
      </c>
      <c r="BZ4550">
        <v>0</v>
      </c>
      <c r="CA4550">
        <v>1504</v>
      </c>
      <c r="CB4550">
        <v>224</v>
      </c>
      <c r="CD4550">
        <v>1</v>
      </c>
      <c r="CE4550">
        <v>0</v>
      </c>
      <c r="CF4550">
        <v>0</v>
      </c>
      <c r="CG4550">
        <v>1</v>
      </c>
      <c r="CH4550">
        <v>0</v>
      </c>
      <c r="CI4550">
        <v>0</v>
      </c>
      <c r="CJ4550">
        <v>0</v>
      </c>
      <c r="CK4550">
        <v>2</v>
      </c>
      <c r="CL4550">
        <v>0</v>
      </c>
      <c r="CM4550">
        <v>2</v>
      </c>
      <c r="CN4550">
        <v>0</v>
      </c>
      <c r="CO4550">
        <v>2</v>
      </c>
      <c r="CP4550" t="s">
        <v>119</v>
      </c>
      <c r="CQ4550">
        <v>180</v>
      </c>
      <c r="CR4550">
        <v>3</v>
      </c>
      <c r="CW4550">
        <v>1460538</v>
      </c>
      <c r="CY4550">
        <v>1</v>
      </c>
      <c r="CZ4550">
        <v>0</v>
      </c>
      <c r="DA4550">
        <v>1</v>
      </c>
      <c r="DB4550">
        <v>0</v>
      </c>
      <c r="DC4550">
        <v>0</v>
      </c>
      <c r="DD4550">
        <v>0</v>
      </c>
      <c r="DE4550">
        <v>0</v>
      </c>
      <c r="DF4550">
        <v>0</v>
      </c>
      <c r="DG4550">
        <v>0</v>
      </c>
      <c r="DH4550">
        <v>0</v>
      </c>
      <c r="DI4550">
        <v>0</v>
      </c>
    </row>
    <row r="4551" spans="1:113" x14ac:dyDescent="0.3">
      <c r="A4551" t="str">
        <f>"02/08/2021 20:39:45.637"</f>
        <v>02/08/2021 20:39:45.637</v>
      </c>
      <c r="C4551" t="str">
        <f t="shared" si="224"/>
        <v>FFDFD7C0</v>
      </c>
      <c r="D4551" t="s">
        <v>124</v>
      </c>
      <c r="E4551">
        <v>11</v>
      </c>
      <c r="F4551">
        <v>1011</v>
      </c>
      <c r="G4551" t="s">
        <v>590</v>
      </c>
      <c r="J4551" t="s">
        <v>125</v>
      </c>
      <c r="K4551">
        <v>0</v>
      </c>
      <c r="L4551">
        <v>3</v>
      </c>
      <c r="M4551">
        <v>0</v>
      </c>
      <c r="N4551">
        <v>2</v>
      </c>
      <c r="O4551">
        <v>1</v>
      </c>
      <c r="P4551">
        <v>0</v>
      </c>
      <c r="Q4551">
        <v>0</v>
      </c>
      <c r="S4551" t="str">
        <f>"20:39:47.984"</f>
        <v>20:39:47.984</v>
      </c>
      <c r="T4551" t="str">
        <f>"20:39:47.484"</f>
        <v>20:39:47.484</v>
      </c>
      <c r="U4551" t="str">
        <f t="shared" si="226"/>
        <v>AB01F4</v>
      </c>
      <c r="V4551">
        <v>0</v>
      </c>
      <c r="W4551">
        <v>0</v>
      </c>
      <c r="X4551">
        <v>2</v>
      </c>
      <c r="Z4551">
        <v>0</v>
      </c>
      <c r="AA4551">
        <v>9</v>
      </c>
      <c r="AB4551">
        <v>3</v>
      </c>
      <c r="AC4551">
        <v>0</v>
      </c>
      <c r="AD4551">
        <v>10</v>
      </c>
      <c r="AE4551">
        <v>0</v>
      </c>
      <c r="AF4551">
        <v>3</v>
      </c>
      <c r="AG4551">
        <v>2</v>
      </c>
      <c r="AH4551">
        <v>0</v>
      </c>
      <c r="AI4551" t="s">
        <v>2518</v>
      </c>
      <c r="AJ4551">
        <v>40.148978</v>
      </c>
      <c r="AK4551" t="s">
        <v>2519</v>
      </c>
      <c r="AL4551">
        <v>-93.244443000000004</v>
      </c>
      <c r="AM4551">
        <v>100</v>
      </c>
      <c r="AN4551">
        <v>1300</v>
      </c>
      <c r="AO4551" t="s">
        <v>118</v>
      </c>
      <c r="AP4551">
        <v>-132</v>
      </c>
      <c r="AQ4551">
        <v>-34</v>
      </c>
      <c r="AR4551">
        <v>-192</v>
      </c>
      <c r="AZ4551">
        <v>1200</v>
      </c>
      <c r="BA4551">
        <v>1</v>
      </c>
      <c r="BB4551" t="str">
        <f t="shared" si="225"/>
        <v xml:space="preserve">N8080G  </v>
      </c>
      <c r="BC4551">
        <v>1</v>
      </c>
      <c r="BE4551">
        <v>0</v>
      </c>
      <c r="BF4551">
        <v>0</v>
      </c>
      <c r="BG4551">
        <v>0</v>
      </c>
      <c r="BH4551">
        <v>1300</v>
      </c>
      <c r="BI4551">
        <v>1</v>
      </c>
      <c r="BJ4551">
        <v>1</v>
      </c>
      <c r="BK4551">
        <v>1</v>
      </c>
      <c r="BL4551">
        <v>0</v>
      </c>
      <c r="BO4551">
        <v>0</v>
      </c>
      <c r="BP4551">
        <v>0</v>
      </c>
      <c r="BW4551" t="str">
        <f>"20:39:47.987"</f>
        <v>20:39:47.987</v>
      </c>
      <c r="BZ4551">
        <v>0</v>
      </c>
      <c r="CA4551">
        <v>1504</v>
      </c>
      <c r="CB4551">
        <v>224</v>
      </c>
      <c r="CD4551">
        <v>1</v>
      </c>
      <c r="CE4551">
        <v>0</v>
      </c>
      <c r="CF4551">
        <v>0</v>
      </c>
      <c r="CG4551">
        <v>1</v>
      </c>
      <c r="CH4551">
        <v>0</v>
      </c>
      <c r="CI4551">
        <v>0</v>
      </c>
      <c r="CJ4551">
        <v>0</v>
      </c>
      <c r="CK4551">
        <v>2</v>
      </c>
      <c r="CL4551">
        <v>0</v>
      </c>
      <c r="CM4551">
        <v>2</v>
      </c>
      <c r="CN4551">
        <v>0</v>
      </c>
      <c r="CO4551">
        <v>2</v>
      </c>
      <c r="CP4551" t="s">
        <v>119</v>
      </c>
      <c r="CQ4551">
        <v>180</v>
      </c>
      <c r="CR4551">
        <v>3</v>
      </c>
      <c r="CW4551">
        <v>1461424</v>
      </c>
      <c r="CY4551">
        <v>1</v>
      </c>
      <c r="CZ4551">
        <v>0</v>
      </c>
      <c r="DA4551">
        <v>0</v>
      </c>
      <c r="DB4551">
        <v>0</v>
      </c>
      <c r="DC4551">
        <v>0</v>
      </c>
      <c r="DD4551">
        <v>0</v>
      </c>
      <c r="DE4551">
        <v>0</v>
      </c>
      <c r="DF4551">
        <v>0</v>
      </c>
      <c r="DG4551">
        <v>0</v>
      </c>
      <c r="DH4551">
        <v>0</v>
      </c>
      <c r="DI4551">
        <v>0</v>
      </c>
    </row>
    <row r="4552" spans="1:113" x14ac:dyDescent="0.3">
      <c r="A4552" t="str">
        <f>"02/08/2021 20:39:45.637"</f>
        <v>02/08/2021 20:39:45.637</v>
      </c>
      <c r="C4552" t="str">
        <f t="shared" si="224"/>
        <v>FFDFD7C0</v>
      </c>
      <c r="D4552" t="s">
        <v>113</v>
      </c>
      <c r="E4552">
        <v>6</v>
      </c>
      <c r="H4552">
        <v>165</v>
      </c>
      <c r="I4552" t="s">
        <v>114</v>
      </c>
      <c r="J4552" t="s">
        <v>115</v>
      </c>
      <c r="K4552">
        <v>0</v>
      </c>
      <c r="L4552">
        <v>3</v>
      </c>
      <c r="M4552">
        <v>0</v>
      </c>
      <c r="N4552">
        <v>2</v>
      </c>
      <c r="O4552">
        <v>1</v>
      </c>
      <c r="P4552">
        <v>0</v>
      </c>
      <c r="Q4552">
        <v>0</v>
      </c>
      <c r="S4552" t="str">
        <f>"20:39:47.984"</f>
        <v>20:39:47.984</v>
      </c>
      <c r="T4552" t="str">
        <f>"20:39:47.484"</f>
        <v>20:39:47.484</v>
      </c>
      <c r="U4552" t="str">
        <f t="shared" si="226"/>
        <v>AB01F4</v>
      </c>
      <c r="V4552">
        <v>0</v>
      </c>
      <c r="W4552">
        <v>0</v>
      </c>
      <c r="X4552">
        <v>2</v>
      </c>
      <c r="Z4552">
        <v>0</v>
      </c>
      <c r="AA4552">
        <v>9</v>
      </c>
      <c r="AB4552">
        <v>3</v>
      </c>
      <c r="AC4552">
        <v>0</v>
      </c>
      <c r="AD4552">
        <v>10</v>
      </c>
      <c r="AE4552">
        <v>0</v>
      </c>
      <c r="AF4552">
        <v>3</v>
      </c>
      <c r="AG4552">
        <v>2</v>
      </c>
      <c r="AH4552">
        <v>0</v>
      </c>
      <c r="AI4552" t="s">
        <v>2518</v>
      </c>
      <c r="AJ4552">
        <v>40.148978</v>
      </c>
      <c r="AK4552" t="s">
        <v>2519</v>
      </c>
      <c r="AL4552">
        <v>-93.244443000000004</v>
      </c>
      <c r="AM4552">
        <v>100</v>
      </c>
      <c r="AN4552">
        <v>1300</v>
      </c>
      <c r="AO4552" t="s">
        <v>118</v>
      </c>
      <c r="AP4552">
        <v>-132</v>
      </c>
      <c r="AQ4552">
        <v>-34</v>
      </c>
      <c r="AR4552">
        <v>-192</v>
      </c>
      <c r="AZ4552">
        <v>1200</v>
      </c>
      <c r="BA4552">
        <v>1</v>
      </c>
      <c r="BB4552" t="str">
        <f t="shared" si="225"/>
        <v xml:space="preserve">N8080G  </v>
      </c>
      <c r="BC4552">
        <v>1</v>
      </c>
      <c r="BE4552">
        <v>0</v>
      </c>
      <c r="BF4552">
        <v>0</v>
      </c>
      <c r="BG4552">
        <v>0</v>
      </c>
      <c r="BH4552">
        <v>1300</v>
      </c>
      <c r="BI4552">
        <v>1</v>
      </c>
      <c r="BJ4552">
        <v>1</v>
      </c>
      <c r="BK4552">
        <v>1</v>
      </c>
      <c r="BL4552">
        <v>0</v>
      </c>
      <c r="BO4552">
        <v>0</v>
      </c>
      <c r="BP4552">
        <v>0</v>
      </c>
      <c r="BW4552" t="str">
        <f>"20:39:47.987"</f>
        <v>20:39:47.987</v>
      </c>
      <c r="BZ4552">
        <v>0</v>
      </c>
      <c r="CA4552">
        <v>1504</v>
      </c>
      <c r="CB4552">
        <v>224</v>
      </c>
      <c r="CD4552">
        <v>1</v>
      </c>
      <c r="CE4552">
        <v>0</v>
      </c>
      <c r="CF4552">
        <v>0</v>
      </c>
      <c r="CG4552">
        <v>1</v>
      </c>
      <c r="CH4552">
        <v>0</v>
      </c>
      <c r="CI4552">
        <v>0</v>
      </c>
      <c r="CJ4552">
        <v>0</v>
      </c>
      <c r="CK4552">
        <v>2</v>
      </c>
      <c r="CL4552">
        <v>0</v>
      </c>
      <c r="CM4552">
        <v>2</v>
      </c>
      <c r="CN4552">
        <v>0</v>
      </c>
      <c r="CO4552">
        <v>2</v>
      </c>
      <c r="CP4552" t="s">
        <v>119</v>
      </c>
      <c r="CQ4552">
        <v>180</v>
      </c>
      <c r="CR4552">
        <v>3</v>
      </c>
      <c r="CW4552">
        <v>1461424</v>
      </c>
      <c r="CY4552">
        <v>1</v>
      </c>
      <c r="CZ4552">
        <v>0</v>
      </c>
      <c r="DA4552">
        <v>1</v>
      </c>
      <c r="DB4552">
        <v>0</v>
      </c>
      <c r="DC4552">
        <v>0</v>
      </c>
      <c r="DD4552">
        <v>0</v>
      </c>
      <c r="DE4552">
        <v>0</v>
      </c>
      <c r="DF4552">
        <v>0</v>
      </c>
      <c r="DG4552">
        <v>0</v>
      </c>
      <c r="DH4552">
        <v>0</v>
      </c>
      <c r="DI4552">
        <v>0</v>
      </c>
    </row>
    <row r="4553" spans="1:113" x14ac:dyDescent="0.3">
      <c r="A4553" t="str">
        <f>"02/08/2021 20:39:45.637"</f>
        <v>02/08/2021 20:39:45.637</v>
      </c>
      <c r="C4553" t="str">
        <f t="shared" si="224"/>
        <v>FFDFD7C0</v>
      </c>
      <c r="D4553" t="s">
        <v>124</v>
      </c>
      <c r="E4553">
        <v>12</v>
      </c>
      <c r="F4553">
        <v>1012</v>
      </c>
      <c r="G4553" t="s">
        <v>675</v>
      </c>
      <c r="J4553" t="s">
        <v>125</v>
      </c>
      <c r="K4553">
        <v>0</v>
      </c>
      <c r="L4553">
        <v>3</v>
      </c>
      <c r="M4553">
        <v>0</v>
      </c>
      <c r="N4553">
        <v>2</v>
      </c>
      <c r="O4553">
        <v>1</v>
      </c>
      <c r="P4553">
        <v>0</v>
      </c>
      <c r="Q4553">
        <v>0</v>
      </c>
      <c r="S4553" t="str">
        <f>"20:39:47.984"</f>
        <v>20:39:47.984</v>
      </c>
      <c r="T4553" t="str">
        <f>"20:39:47.484"</f>
        <v>20:39:47.484</v>
      </c>
      <c r="U4553" t="str">
        <f t="shared" si="226"/>
        <v>AB01F4</v>
      </c>
      <c r="V4553">
        <v>0</v>
      </c>
      <c r="W4553">
        <v>0</v>
      </c>
      <c r="X4553">
        <v>2</v>
      </c>
      <c r="Z4553">
        <v>0</v>
      </c>
      <c r="AA4553">
        <v>9</v>
      </c>
      <c r="AB4553">
        <v>3</v>
      </c>
      <c r="AC4553">
        <v>0</v>
      </c>
      <c r="AD4553">
        <v>10</v>
      </c>
      <c r="AE4553">
        <v>0</v>
      </c>
      <c r="AF4553">
        <v>3</v>
      </c>
      <c r="AG4553">
        <v>2</v>
      </c>
      <c r="AH4553">
        <v>0</v>
      </c>
      <c r="AI4553" t="s">
        <v>2518</v>
      </c>
      <c r="AJ4553">
        <v>40.148978</v>
      </c>
      <c r="AK4553" t="s">
        <v>2519</v>
      </c>
      <c r="AL4553">
        <v>-93.244443000000004</v>
      </c>
      <c r="AM4553">
        <v>100</v>
      </c>
      <c r="AN4553">
        <v>1300</v>
      </c>
      <c r="AO4553" t="s">
        <v>118</v>
      </c>
      <c r="AP4553">
        <v>-132</v>
      </c>
      <c r="AQ4553">
        <v>-34</v>
      </c>
      <c r="AR4553">
        <v>-192</v>
      </c>
      <c r="AZ4553">
        <v>1200</v>
      </c>
      <c r="BA4553">
        <v>1</v>
      </c>
      <c r="BB4553" t="str">
        <f t="shared" si="225"/>
        <v xml:space="preserve">N8080G  </v>
      </c>
      <c r="BC4553">
        <v>1</v>
      </c>
      <c r="BE4553">
        <v>0</v>
      </c>
      <c r="BF4553">
        <v>0</v>
      </c>
      <c r="BG4553">
        <v>0</v>
      </c>
      <c r="BH4553">
        <v>1300</v>
      </c>
      <c r="BI4553">
        <v>1</v>
      </c>
      <c r="BJ4553">
        <v>1</v>
      </c>
      <c r="BK4553">
        <v>1</v>
      </c>
      <c r="BL4553">
        <v>0</v>
      </c>
      <c r="BO4553">
        <v>0</v>
      </c>
      <c r="BP4553">
        <v>0</v>
      </c>
      <c r="BW4553" t="str">
        <f>"20:39:47.987"</f>
        <v>20:39:47.987</v>
      </c>
      <c r="BZ4553">
        <v>0</v>
      </c>
      <c r="CA4553">
        <v>1504</v>
      </c>
      <c r="CB4553">
        <v>224</v>
      </c>
      <c r="CD4553">
        <v>1</v>
      </c>
      <c r="CE4553">
        <v>0</v>
      </c>
      <c r="CF4553">
        <v>0</v>
      </c>
      <c r="CG4553">
        <v>1</v>
      </c>
      <c r="CH4553">
        <v>0</v>
      </c>
      <c r="CI4553">
        <v>0</v>
      </c>
      <c r="CJ4553">
        <v>0</v>
      </c>
      <c r="CK4553">
        <v>2</v>
      </c>
      <c r="CL4553">
        <v>0</v>
      </c>
      <c r="CM4553">
        <v>2</v>
      </c>
      <c r="CN4553">
        <v>0</v>
      </c>
      <c r="CO4553">
        <v>2</v>
      </c>
      <c r="CP4553" t="s">
        <v>119</v>
      </c>
      <c r="CQ4553">
        <v>180</v>
      </c>
      <c r="CR4553">
        <v>3</v>
      </c>
      <c r="CW4553">
        <v>1461424</v>
      </c>
      <c r="CY4553">
        <v>1</v>
      </c>
      <c r="CZ4553">
        <v>0</v>
      </c>
      <c r="DA4553">
        <v>1</v>
      </c>
      <c r="DB4553">
        <v>0</v>
      </c>
      <c r="DC4553">
        <v>0</v>
      </c>
      <c r="DD4553">
        <v>0</v>
      </c>
      <c r="DE4553">
        <v>0</v>
      </c>
      <c r="DF4553">
        <v>0</v>
      </c>
      <c r="DG4553">
        <v>0</v>
      </c>
      <c r="DH4553">
        <v>0</v>
      </c>
      <c r="DI4553">
        <v>0</v>
      </c>
    </row>
    <row r="4554" spans="1:113" x14ac:dyDescent="0.3">
      <c r="A4554" t="str">
        <f>"02/08/2021 20:39:45.637"</f>
        <v>02/08/2021 20:39:45.637</v>
      </c>
      <c r="C4554" t="str">
        <f t="shared" si="224"/>
        <v>FFDFD7C0</v>
      </c>
      <c r="D4554" t="s">
        <v>124</v>
      </c>
      <c r="E4554">
        <v>13</v>
      </c>
      <c r="F4554">
        <v>1013</v>
      </c>
      <c r="G4554" t="s">
        <v>114</v>
      </c>
      <c r="J4554" t="s">
        <v>125</v>
      </c>
      <c r="K4554">
        <v>0</v>
      </c>
      <c r="L4554">
        <v>3</v>
      </c>
      <c r="M4554">
        <v>0</v>
      </c>
      <c r="N4554">
        <v>2</v>
      </c>
      <c r="O4554">
        <v>1</v>
      </c>
      <c r="P4554">
        <v>0</v>
      </c>
      <c r="Q4554">
        <v>0</v>
      </c>
      <c r="S4554" t="str">
        <f>"20:39:47.984"</f>
        <v>20:39:47.984</v>
      </c>
      <c r="T4554" t="str">
        <f>"20:39:47.484"</f>
        <v>20:39:47.484</v>
      </c>
      <c r="U4554" t="str">
        <f t="shared" si="226"/>
        <v>AB01F4</v>
      </c>
      <c r="V4554">
        <v>0</v>
      </c>
      <c r="W4554">
        <v>0</v>
      </c>
      <c r="X4554">
        <v>2</v>
      </c>
      <c r="Z4554">
        <v>0</v>
      </c>
      <c r="AA4554">
        <v>9</v>
      </c>
      <c r="AB4554">
        <v>3</v>
      </c>
      <c r="AC4554">
        <v>0</v>
      </c>
      <c r="AD4554">
        <v>10</v>
      </c>
      <c r="AE4554">
        <v>0</v>
      </c>
      <c r="AF4554">
        <v>3</v>
      </c>
      <c r="AG4554">
        <v>2</v>
      </c>
      <c r="AH4554">
        <v>0</v>
      </c>
      <c r="AI4554" t="s">
        <v>2518</v>
      </c>
      <c r="AJ4554">
        <v>40.148978</v>
      </c>
      <c r="AK4554" t="s">
        <v>2519</v>
      </c>
      <c r="AL4554">
        <v>-93.244443000000004</v>
      </c>
      <c r="AM4554">
        <v>100</v>
      </c>
      <c r="AN4554">
        <v>1300</v>
      </c>
      <c r="AO4554" t="s">
        <v>118</v>
      </c>
      <c r="AP4554">
        <v>-132</v>
      </c>
      <c r="AQ4554">
        <v>-34</v>
      </c>
      <c r="AR4554">
        <v>-192</v>
      </c>
      <c r="AZ4554">
        <v>1200</v>
      </c>
      <c r="BA4554">
        <v>1</v>
      </c>
      <c r="BB4554" t="str">
        <f t="shared" si="225"/>
        <v xml:space="preserve">N8080G  </v>
      </c>
      <c r="BC4554">
        <v>1</v>
      </c>
      <c r="BE4554">
        <v>0</v>
      </c>
      <c r="BF4554">
        <v>0</v>
      </c>
      <c r="BG4554">
        <v>0</v>
      </c>
      <c r="BH4554">
        <v>1300</v>
      </c>
      <c r="BI4554">
        <v>1</v>
      </c>
      <c r="BJ4554">
        <v>1</v>
      </c>
      <c r="BK4554">
        <v>1</v>
      </c>
      <c r="BL4554">
        <v>0</v>
      </c>
      <c r="BO4554">
        <v>0</v>
      </c>
      <c r="BP4554">
        <v>0</v>
      </c>
      <c r="BW4554" t="str">
        <f>"20:39:47.987"</f>
        <v>20:39:47.987</v>
      </c>
      <c r="BZ4554">
        <v>0</v>
      </c>
      <c r="CA4554">
        <v>1504</v>
      </c>
      <c r="CB4554">
        <v>224</v>
      </c>
      <c r="CD4554">
        <v>1</v>
      </c>
      <c r="CE4554">
        <v>0</v>
      </c>
      <c r="CF4554">
        <v>0</v>
      </c>
      <c r="CG4554">
        <v>1</v>
      </c>
      <c r="CH4554">
        <v>0</v>
      </c>
      <c r="CI4554">
        <v>0</v>
      </c>
      <c r="CJ4554">
        <v>0</v>
      </c>
      <c r="CK4554">
        <v>2</v>
      </c>
      <c r="CL4554">
        <v>0</v>
      </c>
      <c r="CM4554">
        <v>2</v>
      </c>
      <c r="CN4554">
        <v>0</v>
      </c>
      <c r="CO4554">
        <v>2</v>
      </c>
      <c r="CP4554" t="s">
        <v>119</v>
      </c>
      <c r="CQ4554">
        <v>180</v>
      </c>
      <c r="CR4554">
        <v>3</v>
      </c>
      <c r="CW4554">
        <v>1461424</v>
      </c>
      <c r="CY4554">
        <v>1</v>
      </c>
      <c r="CZ4554">
        <v>0</v>
      </c>
      <c r="DA4554">
        <v>1</v>
      </c>
      <c r="DB4554">
        <v>0</v>
      </c>
      <c r="DC4554">
        <v>0</v>
      </c>
      <c r="DD4554">
        <v>0</v>
      </c>
      <c r="DE4554">
        <v>0</v>
      </c>
      <c r="DF4554">
        <v>0</v>
      </c>
      <c r="DG4554">
        <v>0</v>
      </c>
      <c r="DH4554">
        <v>0</v>
      </c>
      <c r="DI4554">
        <v>0</v>
      </c>
    </row>
    <row r="4555" spans="1:113" x14ac:dyDescent="0.3">
      <c r="A4555" t="str">
        <f>"02/08/2021 20:39:46.602"</f>
        <v>02/08/2021 20:39:46.602</v>
      </c>
      <c r="C4555" t="str">
        <f t="shared" si="224"/>
        <v>FFDFD7C0</v>
      </c>
      <c r="D4555" t="s">
        <v>124</v>
      </c>
      <c r="E4555">
        <v>12</v>
      </c>
      <c r="F4555">
        <v>1012</v>
      </c>
      <c r="G4555" t="s">
        <v>675</v>
      </c>
      <c r="J4555" t="s">
        <v>125</v>
      </c>
      <c r="K4555">
        <v>0</v>
      </c>
      <c r="L4555">
        <v>3</v>
      </c>
      <c r="M4555">
        <v>0</v>
      </c>
      <c r="N4555">
        <v>2</v>
      </c>
      <c r="O4555">
        <v>1</v>
      </c>
      <c r="P4555">
        <v>0</v>
      </c>
      <c r="Q4555">
        <v>0</v>
      </c>
      <c r="S4555" t="str">
        <f>"20:39:48.922"</f>
        <v>20:39:48.922</v>
      </c>
      <c r="T4555" t="str">
        <f>"20:39:48.522"</f>
        <v>20:39:48.522</v>
      </c>
      <c r="U4555" t="str">
        <f t="shared" si="226"/>
        <v>AB01F4</v>
      </c>
      <c r="V4555">
        <v>0</v>
      </c>
      <c r="W4555">
        <v>0</v>
      </c>
      <c r="X4555">
        <v>2</v>
      </c>
      <c r="Z4555">
        <v>0</v>
      </c>
      <c r="AA4555">
        <v>9</v>
      </c>
      <c r="AB4555">
        <v>3</v>
      </c>
      <c r="AC4555">
        <v>0</v>
      </c>
      <c r="AD4555">
        <v>10</v>
      </c>
      <c r="AE4555">
        <v>0</v>
      </c>
      <c r="AF4555">
        <v>3</v>
      </c>
      <c r="AG4555">
        <v>2</v>
      </c>
      <c r="AH4555">
        <v>0</v>
      </c>
      <c r="AI4555" t="s">
        <v>2520</v>
      </c>
      <c r="AJ4555">
        <v>40.148828000000002</v>
      </c>
      <c r="AK4555" t="s">
        <v>2521</v>
      </c>
      <c r="AL4555">
        <v>-93.245215000000002</v>
      </c>
      <c r="AM4555">
        <v>100</v>
      </c>
      <c r="AN4555">
        <v>1300</v>
      </c>
      <c r="AO4555" t="s">
        <v>118</v>
      </c>
      <c r="AP4555">
        <v>-133</v>
      </c>
      <c r="AQ4555">
        <v>-32</v>
      </c>
      <c r="AR4555">
        <v>-192</v>
      </c>
      <c r="AZ4555">
        <v>1200</v>
      </c>
      <c r="BA4555">
        <v>1</v>
      </c>
      <c r="BB4555" t="str">
        <f t="shared" si="225"/>
        <v xml:space="preserve">N8080G  </v>
      </c>
      <c r="BC4555">
        <v>1</v>
      </c>
      <c r="BE4555">
        <v>0</v>
      </c>
      <c r="BF4555">
        <v>0</v>
      </c>
      <c r="BG4555">
        <v>0</v>
      </c>
      <c r="BH4555">
        <v>1300</v>
      </c>
      <c r="BI4555">
        <v>1</v>
      </c>
      <c r="BJ4555">
        <v>1</v>
      </c>
      <c r="BK4555">
        <v>1</v>
      </c>
      <c r="BL4555">
        <v>0</v>
      </c>
      <c r="BO4555">
        <v>0</v>
      </c>
      <c r="BP4555">
        <v>0</v>
      </c>
      <c r="BW4555" t="str">
        <f>"20:39:48.926"</f>
        <v>20:39:48.926</v>
      </c>
      <c r="BZ4555">
        <v>0</v>
      </c>
      <c r="CA4555">
        <v>1504</v>
      </c>
      <c r="CB4555">
        <v>224</v>
      </c>
      <c r="CD4555">
        <v>1</v>
      </c>
      <c r="CE4555">
        <v>0</v>
      </c>
      <c r="CF4555">
        <v>0</v>
      </c>
      <c r="CG4555">
        <v>1</v>
      </c>
      <c r="CH4555">
        <v>0</v>
      </c>
      <c r="CI4555">
        <v>0</v>
      </c>
      <c r="CJ4555">
        <v>0</v>
      </c>
      <c r="CK4555">
        <v>2</v>
      </c>
      <c r="CL4555">
        <v>0</v>
      </c>
      <c r="CM4555">
        <v>2</v>
      </c>
      <c r="CN4555">
        <v>0</v>
      </c>
      <c r="CO4555">
        <v>2</v>
      </c>
      <c r="CP4555" t="s">
        <v>119</v>
      </c>
      <c r="CQ4555">
        <v>180</v>
      </c>
      <c r="CR4555">
        <v>3</v>
      </c>
      <c r="CW4555">
        <v>1462120</v>
      </c>
      <c r="CY4555">
        <v>1</v>
      </c>
      <c r="CZ4555">
        <v>0</v>
      </c>
      <c r="DA4555">
        <v>0</v>
      </c>
      <c r="DB4555">
        <v>0</v>
      </c>
      <c r="DC4555">
        <v>0</v>
      </c>
      <c r="DD4555">
        <v>0</v>
      </c>
      <c r="DE4555">
        <v>0</v>
      </c>
      <c r="DF4555">
        <v>0</v>
      </c>
      <c r="DG4555">
        <v>0</v>
      </c>
      <c r="DH4555">
        <v>0</v>
      </c>
      <c r="DI4555">
        <v>0</v>
      </c>
    </row>
    <row r="4556" spans="1:113" x14ac:dyDescent="0.3">
      <c r="A4556" t="str">
        <f>"02/08/2021 20:39:46.602"</f>
        <v>02/08/2021 20:39:46.602</v>
      </c>
      <c r="C4556" t="str">
        <f t="shared" si="224"/>
        <v>FFDFD7C0</v>
      </c>
      <c r="D4556" t="s">
        <v>113</v>
      </c>
      <c r="E4556">
        <v>6</v>
      </c>
      <c r="H4556">
        <v>165</v>
      </c>
      <c r="I4556" t="s">
        <v>114</v>
      </c>
      <c r="J4556" t="s">
        <v>115</v>
      </c>
      <c r="K4556">
        <v>0</v>
      </c>
      <c r="L4556">
        <v>3</v>
      </c>
      <c r="M4556">
        <v>0</v>
      </c>
      <c r="N4556">
        <v>2</v>
      </c>
      <c r="O4556">
        <v>1</v>
      </c>
      <c r="P4556">
        <v>0</v>
      </c>
      <c r="Q4556">
        <v>0</v>
      </c>
      <c r="S4556" t="str">
        <f>"20:39:48.922"</f>
        <v>20:39:48.922</v>
      </c>
      <c r="T4556" t="str">
        <f>"20:39:48.522"</f>
        <v>20:39:48.522</v>
      </c>
      <c r="U4556" t="str">
        <f t="shared" si="226"/>
        <v>AB01F4</v>
      </c>
      <c r="V4556">
        <v>0</v>
      </c>
      <c r="W4556">
        <v>0</v>
      </c>
      <c r="X4556">
        <v>2</v>
      </c>
      <c r="Z4556">
        <v>0</v>
      </c>
      <c r="AA4556">
        <v>9</v>
      </c>
      <c r="AB4556">
        <v>3</v>
      </c>
      <c r="AC4556">
        <v>0</v>
      </c>
      <c r="AD4556">
        <v>10</v>
      </c>
      <c r="AE4556">
        <v>0</v>
      </c>
      <c r="AF4556">
        <v>3</v>
      </c>
      <c r="AG4556">
        <v>2</v>
      </c>
      <c r="AH4556">
        <v>0</v>
      </c>
      <c r="AI4556" t="s">
        <v>2520</v>
      </c>
      <c r="AJ4556">
        <v>40.148828000000002</v>
      </c>
      <c r="AK4556" t="s">
        <v>2521</v>
      </c>
      <c r="AL4556">
        <v>-93.245215000000002</v>
      </c>
      <c r="AM4556">
        <v>100</v>
      </c>
      <c r="AN4556">
        <v>1300</v>
      </c>
      <c r="AO4556" t="s">
        <v>118</v>
      </c>
      <c r="AP4556">
        <v>-133</v>
      </c>
      <c r="AQ4556">
        <v>-32</v>
      </c>
      <c r="AR4556">
        <v>-192</v>
      </c>
      <c r="AZ4556">
        <v>1200</v>
      </c>
      <c r="BA4556">
        <v>1</v>
      </c>
      <c r="BB4556" t="str">
        <f t="shared" si="225"/>
        <v xml:space="preserve">N8080G  </v>
      </c>
      <c r="BC4556">
        <v>1</v>
      </c>
      <c r="BE4556">
        <v>0</v>
      </c>
      <c r="BF4556">
        <v>0</v>
      </c>
      <c r="BG4556">
        <v>0</v>
      </c>
      <c r="BH4556">
        <v>1300</v>
      </c>
      <c r="BI4556">
        <v>1</v>
      </c>
      <c r="BJ4556">
        <v>1</v>
      </c>
      <c r="BK4556">
        <v>1</v>
      </c>
      <c r="BL4556">
        <v>0</v>
      </c>
      <c r="BO4556">
        <v>0</v>
      </c>
      <c r="BP4556">
        <v>0</v>
      </c>
      <c r="BW4556" t="str">
        <f>"20:39:48.926"</f>
        <v>20:39:48.926</v>
      </c>
      <c r="BZ4556">
        <v>0</v>
      </c>
      <c r="CA4556">
        <v>1504</v>
      </c>
      <c r="CB4556">
        <v>224</v>
      </c>
      <c r="CD4556">
        <v>1</v>
      </c>
      <c r="CE4556">
        <v>0</v>
      </c>
      <c r="CF4556">
        <v>0</v>
      </c>
      <c r="CG4556">
        <v>1</v>
      </c>
      <c r="CH4556">
        <v>0</v>
      </c>
      <c r="CI4556">
        <v>0</v>
      </c>
      <c r="CJ4556">
        <v>0</v>
      </c>
      <c r="CK4556">
        <v>2</v>
      </c>
      <c r="CL4556">
        <v>0</v>
      </c>
      <c r="CM4556">
        <v>2</v>
      </c>
      <c r="CN4556">
        <v>0</v>
      </c>
      <c r="CO4556">
        <v>2</v>
      </c>
      <c r="CP4556" t="s">
        <v>119</v>
      </c>
      <c r="CQ4556">
        <v>180</v>
      </c>
      <c r="CR4556">
        <v>3</v>
      </c>
      <c r="CW4556">
        <v>1462120</v>
      </c>
      <c r="CY4556">
        <v>1</v>
      </c>
      <c r="CZ4556">
        <v>0</v>
      </c>
      <c r="DA4556">
        <v>1</v>
      </c>
      <c r="DB4556">
        <v>0</v>
      </c>
      <c r="DC4556">
        <v>0</v>
      </c>
      <c r="DD4556">
        <v>0</v>
      </c>
      <c r="DE4556">
        <v>0</v>
      </c>
      <c r="DF4556">
        <v>0</v>
      </c>
      <c r="DG4556">
        <v>0</v>
      </c>
      <c r="DH4556">
        <v>0</v>
      </c>
      <c r="DI4556">
        <v>0</v>
      </c>
    </row>
    <row r="4557" spans="1:113" x14ac:dyDescent="0.3">
      <c r="A4557" t="str">
        <f>"02/08/2021 20:39:46.602"</f>
        <v>02/08/2021 20:39:46.602</v>
      </c>
      <c r="C4557" t="str">
        <f t="shared" si="224"/>
        <v>FFDFD7C0</v>
      </c>
      <c r="D4557" t="s">
        <v>124</v>
      </c>
      <c r="E4557">
        <v>13</v>
      </c>
      <c r="F4557">
        <v>1013</v>
      </c>
      <c r="G4557" t="s">
        <v>114</v>
      </c>
      <c r="J4557" t="s">
        <v>125</v>
      </c>
      <c r="K4557">
        <v>0</v>
      </c>
      <c r="L4557">
        <v>3</v>
      </c>
      <c r="M4557">
        <v>0</v>
      </c>
      <c r="N4557">
        <v>2</v>
      </c>
      <c r="O4557">
        <v>1</v>
      </c>
      <c r="P4557">
        <v>0</v>
      </c>
      <c r="Q4557">
        <v>0</v>
      </c>
      <c r="S4557" t="str">
        <f>"20:39:48.922"</f>
        <v>20:39:48.922</v>
      </c>
      <c r="T4557" t="str">
        <f>"20:39:48.522"</f>
        <v>20:39:48.522</v>
      </c>
      <c r="U4557" t="str">
        <f t="shared" si="226"/>
        <v>AB01F4</v>
      </c>
      <c r="V4557">
        <v>0</v>
      </c>
      <c r="W4557">
        <v>0</v>
      </c>
      <c r="X4557">
        <v>2</v>
      </c>
      <c r="Z4557">
        <v>0</v>
      </c>
      <c r="AA4557">
        <v>9</v>
      </c>
      <c r="AB4557">
        <v>3</v>
      </c>
      <c r="AC4557">
        <v>0</v>
      </c>
      <c r="AD4557">
        <v>10</v>
      </c>
      <c r="AE4557">
        <v>0</v>
      </c>
      <c r="AF4557">
        <v>3</v>
      </c>
      <c r="AG4557">
        <v>2</v>
      </c>
      <c r="AH4557">
        <v>0</v>
      </c>
      <c r="AI4557" t="s">
        <v>2520</v>
      </c>
      <c r="AJ4557">
        <v>40.148828000000002</v>
      </c>
      <c r="AK4557" t="s">
        <v>2521</v>
      </c>
      <c r="AL4557">
        <v>-93.245215000000002</v>
      </c>
      <c r="AM4557">
        <v>100</v>
      </c>
      <c r="AN4557">
        <v>1300</v>
      </c>
      <c r="AO4557" t="s">
        <v>118</v>
      </c>
      <c r="AP4557">
        <v>-133</v>
      </c>
      <c r="AQ4557">
        <v>-32</v>
      </c>
      <c r="AR4557">
        <v>-192</v>
      </c>
      <c r="AZ4557">
        <v>1200</v>
      </c>
      <c r="BA4557">
        <v>1</v>
      </c>
      <c r="BB4557" t="str">
        <f t="shared" si="225"/>
        <v xml:space="preserve">N8080G  </v>
      </c>
      <c r="BC4557">
        <v>1</v>
      </c>
      <c r="BE4557">
        <v>0</v>
      </c>
      <c r="BF4557">
        <v>0</v>
      </c>
      <c r="BG4557">
        <v>0</v>
      </c>
      <c r="BH4557">
        <v>1300</v>
      </c>
      <c r="BI4557">
        <v>1</v>
      </c>
      <c r="BJ4557">
        <v>1</v>
      </c>
      <c r="BK4557">
        <v>1</v>
      </c>
      <c r="BL4557">
        <v>0</v>
      </c>
      <c r="BO4557">
        <v>0</v>
      </c>
      <c r="BP4557">
        <v>0</v>
      </c>
      <c r="BW4557" t="str">
        <f>"20:39:48.926"</f>
        <v>20:39:48.926</v>
      </c>
      <c r="BZ4557">
        <v>0</v>
      </c>
      <c r="CA4557">
        <v>1504</v>
      </c>
      <c r="CB4557">
        <v>224</v>
      </c>
      <c r="CD4557">
        <v>1</v>
      </c>
      <c r="CE4557">
        <v>0</v>
      </c>
      <c r="CF4557">
        <v>0</v>
      </c>
      <c r="CG4557">
        <v>1</v>
      </c>
      <c r="CH4557">
        <v>0</v>
      </c>
      <c r="CI4557">
        <v>0</v>
      </c>
      <c r="CJ4557">
        <v>0</v>
      </c>
      <c r="CK4557">
        <v>2</v>
      </c>
      <c r="CL4557">
        <v>0</v>
      </c>
      <c r="CM4557">
        <v>2</v>
      </c>
      <c r="CN4557">
        <v>0</v>
      </c>
      <c r="CO4557">
        <v>2</v>
      </c>
      <c r="CP4557" t="s">
        <v>119</v>
      </c>
      <c r="CQ4557">
        <v>180</v>
      </c>
      <c r="CR4557">
        <v>3</v>
      </c>
      <c r="CW4557">
        <v>1462120</v>
      </c>
      <c r="CY4557">
        <v>1</v>
      </c>
      <c r="CZ4557">
        <v>0</v>
      </c>
      <c r="DA4557">
        <v>1</v>
      </c>
      <c r="DB4557">
        <v>0</v>
      </c>
      <c r="DC4557">
        <v>0</v>
      </c>
      <c r="DD4557">
        <v>0</v>
      </c>
      <c r="DE4557">
        <v>0</v>
      </c>
      <c r="DF4557">
        <v>0</v>
      </c>
      <c r="DG4557">
        <v>0</v>
      </c>
      <c r="DH4557">
        <v>0</v>
      </c>
      <c r="DI4557">
        <v>0</v>
      </c>
    </row>
    <row r="4558" spans="1:113" x14ac:dyDescent="0.3">
      <c r="A4558" t="str">
        <f>"02/08/2021 20:39:46.602"</f>
        <v>02/08/2021 20:39:46.602</v>
      </c>
      <c r="C4558" t="str">
        <f t="shared" si="224"/>
        <v>FFDFD7C0</v>
      </c>
      <c r="D4558" t="s">
        <v>124</v>
      </c>
      <c r="E4558">
        <v>11</v>
      </c>
      <c r="F4558">
        <v>1011</v>
      </c>
      <c r="G4558" t="s">
        <v>590</v>
      </c>
      <c r="J4558" t="s">
        <v>125</v>
      </c>
      <c r="K4558">
        <v>0</v>
      </c>
      <c r="L4558">
        <v>3</v>
      </c>
      <c r="M4558">
        <v>0</v>
      </c>
      <c r="N4558">
        <v>2</v>
      </c>
      <c r="O4558">
        <v>1</v>
      </c>
      <c r="P4558">
        <v>0</v>
      </c>
      <c r="Q4558">
        <v>0</v>
      </c>
      <c r="S4558" t="str">
        <f>"20:39:48.922"</f>
        <v>20:39:48.922</v>
      </c>
      <c r="T4558" t="str">
        <f>"20:39:48.522"</f>
        <v>20:39:48.522</v>
      </c>
      <c r="U4558" t="str">
        <f t="shared" si="226"/>
        <v>AB01F4</v>
      </c>
      <c r="V4558">
        <v>0</v>
      </c>
      <c r="W4558">
        <v>0</v>
      </c>
      <c r="X4558">
        <v>2</v>
      </c>
      <c r="Z4558">
        <v>0</v>
      </c>
      <c r="AA4558">
        <v>9</v>
      </c>
      <c r="AB4558">
        <v>3</v>
      </c>
      <c r="AC4558">
        <v>0</v>
      </c>
      <c r="AD4558">
        <v>10</v>
      </c>
      <c r="AE4558">
        <v>0</v>
      </c>
      <c r="AF4558">
        <v>3</v>
      </c>
      <c r="AG4558">
        <v>2</v>
      </c>
      <c r="AH4558">
        <v>0</v>
      </c>
      <c r="AI4558" t="s">
        <v>2520</v>
      </c>
      <c r="AJ4558">
        <v>40.148828000000002</v>
      </c>
      <c r="AK4558" t="s">
        <v>2521</v>
      </c>
      <c r="AL4558">
        <v>-93.245215000000002</v>
      </c>
      <c r="AM4558">
        <v>100</v>
      </c>
      <c r="AN4558">
        <v>1300</v>
      </c>
      <c r="AO4558" t="s">
        <v>118</v>
      </c>
      <c r="AP4558">
        <v>-133</v>
      </c>
      <c r="AQ4558">
        <v>-32</v>
      </c>
      <c r="AR4558">
        <v>-192</v>
      </c>
      <c r="AZ4558">
        <v>1200</v>
      </c>
      <c r="BA4558">
        <v>1</v>
      </c>
      <c r="BB4558" t="str">
        <f t="shared" si="225"/>
        <v xml:space="preserve">N8080G  </v>
      </c>
      <c r="BC4558">
        <v>1</v>
      </c>
      <c r="BE4558">
        <v>0</v>
      </c>
      <c r="BF4558">
        <v>0</v>
      </c>
      <c r="BG4558">
        <v>0</v>
      </c>
      <c r="BH4558">
        <v>1300</v>
      </c>
      <c r="BI4558">
        <v>1</v>
      </c>
      <c r="BJ4558">
        <v>1</v>
      </c>
      <c r="BK4558">
        <v>1</v>
      </c>
      <c r="BL4558">
        <v>0</v>
      </c>
      <c r="BO4558">
        <v>0</v>
      </c>
      <c r="BP4558">
        <v>0</v>
      </c>
      <c r="BW4558" t="str">
        <f>"20:39:48.926"</f>
        <v>20:39:48.926</v>
      </c>
      <c r="BZ4558">
        <v>0</v>
      </c>
      <c r="CA4558">
        <v>1504</v>
      </c>
      <c r="CB4558">
        <v>224</v>
      </c>
      <c r="CD4558">
        <v>1</v>
      </c>
      <c r="CE4558">
        <v>0</v>
      </c>
      <c r="CF4558">
        <v>0</v>
      </c>
      <c r="CG4558">
        <v>1</v>
      </c>
      <c r="CH4558">
        <v>0</v>
      </c>
      <c r="CI4558">
        <v>0</v>
      </c>
      <c r="CJ4558">
        <v>0</v>
      </c>
      <c r="CK4558">
        <v>2</v>
      </c>
      <c r="CL4558">
        <v>0</v>
      </c>
      <c r="CM4558">
        <v>2</v>
      </c>
      <c r="CN4558">
        <v>0</v>
      </c>
      <c r="CO4558">
        <v>2</v>
      </c>
      <c r="CP4558" t="s">
        <v>119</v>
      </c>
      <c r="CQ4558">
        <v>180</v>
      </c>
      <c r="CR4558">
        <v>3</v>
      </c>
      <c r="CW4558">
        <v>1462120</v>
      </c>
      <c r="CY4558">
        <v>1</v>
      </c>
      <c r="CZ4558">
        <v>0</v>
      </c>
      <c r="DA4558">
        <v>1</v>
      </c>
      <c r="DB4558">
        <v>0</v>
      </c>
      <c r="DC4558">
        <v>0</v>
      </c>
      <c r="DD4558">
        <v>0</v>
      </c>
      <c r="DE4558">
        <v>0</v>
      </c>
      <c r="DF4558">
        <v>0</v>
      </c>
      <c r="DG4558">
        <v>0</v>
      </c>
      <c r="DH4558">
        <v>0</v>
      </c>
      <c r="DI4558">
        <v>0</v>
      </c>
    </row>
    <row r="4559" spans="1:113" x14ac:dyDescent="0.3">
      <c r="A4559" t="str">
        <f>"02/08/2021 20:39:47.652"</f>
        <v>02/08/2021 20:39:47.652</v>
      </c>
      <c r="C4559" t="str">
        <f t="shared" si="224"/>
        <v>FFDFD7C0</v>
      </c>
      <c r="D4559" t="s">
        <v>124</v>
      </c>
      <c r="E4559">
        <v>11</v>
      </c>
      <c r="F4559">
        <v>1011</v>
      </c>
      <c r="G4559" t="s">
        <v>590</v>
      </c>
      <c r="J4559" t="s">
        <v>125</v>
      </c>
      <c r="K4559">
        <v>0</v>
      </c>
      <c r="L4559">
        <v>3</v>
      </c>
      <c r="M4559">
        <v>0</v>
      </c>
      <c r="N4559">
        <v>2</v>
      </c>
      <c r="O4559">
        <v>1</v>
      </c>
      <c r="P4559">
        <v>0</v>
      </c>
      <c r="Q4559">
        <v>0</v>
      </c>
      <c r="S4559" t="str">
        <f>"20:39:49.938"</f>
        <v>20:39:49.938</v>
      </c>
      <c r="T4559" t="str">
        <f>"20:39:49.438"</f>
        <v>20:39:49.438</v>
      </c>
      <c r="U4559" t="str">
        <f t="shared" si="226"/>
        <v>AB01F4</v>
      </c>
      <c r="V4559">
        <v>0</v>
      </c>
      <c r="W4559">
        <v>0</v>
      </c>
      <c r="X4559">
        <v>2</v>
      </c>
      <c r="Z4559">
        <v>0</v>
      </c>
      <c r="AA4559">
        <v>9</v>
      </c>
      <c r="AB4559">
        <v>3</v>
      </c>
      <c r="AC4559">
        <v>0</v>
      </c>
      <c r="AD4559">
        <v>10</v>
      </c>
      <c r="AE4559">
        <v>0</v>
      </c>
      <c r="AF4559">
        <v>3</v>
      </c>
      <c r="AG4559">
        <v>2</v>
      </c>
      <c r="AH4559">
        <v>0</v>
      </c>
      <c r="AI4559" t="s">
        <v>2522</v>
      </c>
      <c r="AJ4559">
        <v>40.148721000000002</v>
      </c>
      <c r="AK4559" t="s">
        <v>2523</v>
      </c>
      <c r="AL4559">
        <v>-93.246094999999997</v>
      </c>
      <c r="AM4559">
        <v>100</v>
      </c>
      <c r="AN4559">
        <v>1200</v>
      </c>
      <c r="AO4559" t="s">
        <v>118</v>
      </c>
      <c r="AP4559">
        <v>-134</v>
      </c>
      <c r="AQ4559">
        <v>-30</v>
      </c>
      <c r="AR4559">
        <v>-256</v>
      </c>
      <c r="AZ4559">
        <v>1200</v>
      </c>
      <c r="BA4559">
        <v>1</v>
      </c>
      <c r="BB4559" t="str">
        <f t="shared" si="225"/>
        <v xml:space="preserve">N8080G  </v>
      </c>
      <c r="BC4559">
        <v>1</v>
      </c>
      <c r="BE4559">
        <v>0</v>
      </c>
      <c r="BF4559">
        <v>0</v>
      </c>
      <c r="BG4559">
        <v>0</v>
      </c>
      <c r="BH4559">
        <v>1275</v>
      </c>
      <c r="BI4559">
        <v>1</v>
      </c>
      <c r="BJ4559">
        <v>1</v>
      </c>
      <c r="BK4559">
        <v>1</v>
      </c>
      <c r="BL4559">
        <v>0</v>
      </c>
      <c r="BO4559">
        <v>0</v>
      </c>
      <c r="BP4559">
        <v>0</v>
      </c>
      <c r="BW4559" t="str">
        <f>"20:39:49.942"</f>
        <v>20:39:49.942</v>
      </c>
      <c r="BZ4559">
        <v>0</v>
      </c>
      <c r="CA4559">
        <v>1504</v>
      </c>
      <c r="CB4559">
        <v>224</v>
      </c>
      <c r="CD4559">
        <v>1</v>
      </c>
      <c r="CE4559">
        <v>0</v>
      </c>
      <c r="CF4559">
        <v>0</v>
      </c>
      <c r="CG4559">
        <v>1</v>
      </c>
      <c r="CH4559">
        <v>0</v>
      </c>
      <c r="CI4559">
        <v>0</v>
      </c>
      <c r="CJ4559">
        <v>0</v>
      </c>
      <c r="CK4559">
        <v>2</v>
      </c>
      <c r="CL4559">
        <v>0</v>
      </c>
      <c r="CM4559">
        <v>2</v>
      </c>
      <c r="CN4559">
        <v>0</v>
      </c>
      <c r="CO4559">
        <v>1</v>
      </c>
      <c r="CP4559" t="s">
        <v>119</v>
      </c>
      <c r="CQ4559">
        <v>180</v>
      </c>
      <c r="CR4559">
        <v>3</v>
      </c>
      <c r="CW4559">
        <v>1462823</v>
      </c>
      <c r="CY4559">
        <v>1</v>
      </c>
      <c r="CZ4559">
        <v>0</v>
      </c>
      <c r="DA4559">
        <v>0</v>
      </c>
      <c r="DB4559">
        <v>0</v>
      </c>
      <c r="DC4559">
        <v>0</v>
      </c>
      <c r="DD4559">
        <v>0</v>
      </c>
      <c r="DE4559">
        <v>0</v>
      </c>
      <c r="DF4559">
        <v>0</v>
      </c>
      <c r="DG4559">
        <v>0</v>
      </c>
      <c r="DH4559">
        <v>0</v>
      </c>
      <c r="DI4559">
        <v>0</v>
      </c>
    </row>
    <row r="4560" spans="1:113" x14ac:dyDescent="0.3">
      <c r="A4560" t="str">
        <f>"02/08/2021 20:39:47.652"</f>
        <v>02/08/2021 20:39:47.652</v>
      </c>
      <c r="C4560" t="str">
        <f t="shared" si="224"/>
        <v>FFDFD7C0</v>
      </c>
      <c r="D4560" t="s">
        <v>124</v>
      </c>
      <c r="E4560">
        <v>12</v>
      </c>
      <c r="F4560">
        <v>1012</v>
      </c>
      <c r="G4560" t="s">
        <v>675</v>
      </c>
      <c r="J4560" t="s">
        <v>125</v>
      </c>
      <c r="K4560">
        <v>0</v>
      </c>
      <c r="L4560">
        <v>3</v>
      </c>
      <c r="M4560">
        <v>0</v>
      </c>
      <c r="N4560">
        <v>2</v>
      </c>
      <c r="O4560">
        <v>1</v>
      </c>
      <c r="P4560">
        <v>0</v>
      </c>
      <c r="Q4560">
        <v>0</v>
      </c>
      <c r="S4560" t="str">
        <f>"20:39:49.938"</f>
        <v>20:39:49.938</v>
      </c>
      <c r="T4560" t="str">
        <f>"20:39:49.438"</f>
        <v>20:39:49.438</v>
      </c>
      <c r="U4560" t="str">
        <f t="shared" si="226"/>
        <v>AB01F4</v>
      </c>
      <c r="V4560">
        <v>0</v>
      </c>
      <c r="W4560">
        <v>0</v>
      </c>
      <c r="X4560">
        <v>2</v>
      </c>
      <c r="Z4560">
        <v>0</v>
      </c>
      <c r="AA4560">
        <v>9</v>
      </c>
      <c r="AB4560">
        <v>3</v>
      </c>
      <c r="AC4560">
        <v>0</v>
      </c>
      <c r="AD4560">
        <v>10</v>
      </c>
      <c r="AE4560">
        <v>0</v>
      </c>
      <c r="AF4560">
        <v>3</v>
      </c>
      <c r="AG4560">
        <v>2</v>
      </c>
      <c r="AH4560">
        <v>0</v>
      </c>
      <c r="AI4560" t="s">
        <v>2522</v>
      </c>
      <c r="AJ4560">
        <v>40.148721000000002</v>
      </c>
      <c r="AK4560" t="s">
        <v>2523</v>
      </c>
      <c r="AL4560">
        <v>-93.246094999999997</v>
      </c>
      <c r="AM4560">
        <v>100</v>
      </c>
      <c r="AN4560">
        <v>1200</v>
      </c>
      <c r="AO4560" t="s">
        <v>118</v>
      </c>
      <c r="AP4560">
        <v>-134</v>
      </c>
      <c r="AQ4560">
        <v>-30</v>
      </c>
      <c r="AR4560">
        <v>-256</v>
      </c>
      <c r="AZ4560">
        <v>1200</v>
      </c>
      <c r="BA4560">
        <v>1</v>
      </c>
      <c r="BB4560" t="str">
        <f t="shared" si="225"/>
        <v xml:space="preserve">N8080G  </v>
      </c>
      <c r="BC4560">
        <v>1</v>
      </c>
      <c r="BE4560">
        <v>0</v>
      </c>
      <c r="BF4560">
        <v>0</v>
      </c>
      <c r="BG4560">
        <v>0</v>
      </c>
      <c r="BH4560">
        <v>1275</v>
      </c>
      <c r="BI4560">
        <v>1</v>
      </c>
      <c r="BJ4560">
        <v>1</v>
      </c>
      <c r="BK4560">
        <v>1</v>
      </c>
      <c r="BL4560">
        <v>0</v>
      </c>
      <c r="BO4560">
        <v>0</v>
      </c>
      <c r="BP4560">
        <v>0</v>
      </c>
      <c r="BW4560" t="str">
        <f>"20:39:49.942"</f>
        <v>20:39:49.942</v>
      </c>
      <c r="BZ4560">
        <v>0</v>
      </c>
      <c r="CA4560">
        <v>1504</v>
      </c>
      <c r="CB4560">
        <v>224</v>
      </c>
      <c r="CD4560">
        <v>1</v>
      </c>
      <c r="CE4560">
        <v>0</v>
      </c>
      <c r="CF4560">
        <v>0</v>
      </c>
      <c r="CG4560">
        <v>1</v>
      </c>
      <c r="CH4560">
        <v>0</v>
      </c>
      <c r="CI4560">
        <v>0</v>
      </c>
      <c r="CJ4560">
        <v>0</v>
      </c>
      <c r="CK4560">
        <v>2</v>
      </c>
      <c r="CL4560">
        <v>0</v>
      </c>
      <c r="CM4560">
        <v>2</v>
      </c>
      <c r="CN4560">
        <v>0</v>
      </c>
      <c r="CO4560">
        <v>1</v>
      </c>
      <c r="CP4560" t="s">
        <v>119</v>
      </c>
      <c r="CQ4560">
        <v>180</v>
      </c>
      <c r="CR4560">
        <v>3</v>
      </c>
      <c r="CW4560">
        <v>1462823</v>
      </c>
      <c r="CY4560">
        <v>1</v>
      </c>
      <c r="CZ4560">
        <v>0</v>
      </c>
      <c r="DA4560">
        <v>1</v>
      </c>
      <c r="DB4560">
        <v>0</v>
      </c>
      <c r="DC4560">
        <v>0</v>
      </c>
      <c r="DD4560">
        <v>0</v>
      </c>
      <c r="DE4560">
        <v>0</v>
      </c>
      <c r="DF4560">
        <v>0</v>
      </c>
      <c r="DG4560">
        <v>0</v>
      </c>
      <c r="DH4560">
        <v>0</v>
      </c>
      <c r="DI4560">
        <v>0</v>
      </c>
    </row>
    <row r="4561" spans="1:113" x14ac:dyDescent="0.3">
      <c r="A4561" t="str">
        <f>"02/08/2021 20:39:47.652"</f>
        <v>02/08/2021 20:39:47.652</v>
      </c>
      <c r="C4561" t="str">
        <f t="shared" si="224"/>
        <v>FFDFD7C0</v>
      </c>
      <c r="D4561" t="s">
        <v>113</v>
      </c>
      <c r="E4561">
        <v>6</v>
      </c>
      <c r="H4561">
        <v>165</v>
      </c>
      <c r="I4561" t="s">
        <v>114</v>
      </c>
      <c r="J4561" t="s">
        <v>115</v>
      </c>
      <c r="K4561">
        <v>0</v>
      </c>
      <c r="L4561">
        <v>3</v>
      </c>
      <c r="M4561">
        <v>0</v>
      </c>
      <c r="N4561">
        <v>2</v>
      </c>
      <c r="O4561">
        <v>1</v>
      </c>
      <c r="P4561">
        <v>0</v>
      </c>
      <c r="Q4561">
        <v>0</v>
      </c>
      <c r="S4561" t="str">
        <f>"20:39:49.938"</f>
        <v>20:39:49.938</v>
      </c>
      <c r="T4561" t="str">
        <f>"20:39:49.438"</f>
        <v>20:39:49.438</v>
      </c>
      <c r="U4561" t="str">
        <f t="shared" si="226"/>
        <v>AB01F4</v>
      </c>
      <c r="V4561">
        <v>0</v>
      </c>
      <c r="W4561">
        <v>0</v>
      </c>
      <c r="X4561">
        <v>2</v>
      </c>
      <c r="Z4561">
        <v>0</v>
      </c>
      <c r="AA4561">
        <v>9</v>
      </c>
      <c r="AB4561">
        <v>3</v>
      </c>
      <c r="AC4561">
        <v>0</v>
      </c>
      <c r="AD4561">
        <v>10</v>
      </c>
      <c r="AE4561">
        <v>0</v>
      </c>
      <c r="AF4561">
        <v>3</v>
      </c>
      <c r="AG4561">
        <v>2</v>
      </c>
      <c r="AH4561">
        <v>0</v>
      </c>
      <c r="AI4561" t="s">
        <v>2522</v>
      </c>
      <c r="AJ4561">
        <v>40.148721000000002</v>
      </c>
      <c r="AK4561" t="s">
        <v>2523</v>
      </c>
      <c r="AL4561">
        <v>-93.246094999999997</v>
      </c>
      <c r="AM4561">
        <v>100</v>
      </c>
      <c r="AN4561">
        <v>1200</v>
      </c>
      <c r="AO4561" t="s">
        <v>118</v>
      </c>
      <c r="AP4561">
        <v>-134</v>
      </c>
      <c r="AQ4561">
        <v>-30</v>
      </c>
      <c r="AR4561">
        <v>-256</v>
      </c>
      <c r="AZ4561">
        <v>1200</v>
      </c>
      <c r="BA4561">
        <v>1</v>
      </c>
      <c r="BB4561" t="str">
        <f t="shared" si="225"/>
        <v xml:space="preserve">N8080G  </v>
      </c>
      <c r="BC4561">
        <v>1</v>
      </c>
      <c r="BE4561">
        <v>0</v>
      </c>
      <c r="BF4561">
        <v>0</v>
      </c>
      <c r="BG4561">
        <v>0</v>
      </c>
      <c r="BH4561">
        <v>1275</v>
      </c>
      <c r="BI4561">
        <v>1</v>
      </c>
      <c r="BJ4561">
        <v>1</v>
      </c>
      <c r="BK4561">
        <v>1</v>
      </c>
      <c r="BL4561">
        <v>0</v>
      </c>
      <c r="BO4561">
        <v>0</v>
      </c>
      <c r="BP4561">
        <v>0</v>
      </c>
      <c r="BW4561" t="str">
        <f>"20:39:49.942"</f>
        <v>20:39:49.942</v>
      </c>
      <c r="BZ4561">
        <v>0</v>
      </c>
      <c r="CA4561">
        <v>1504</v>
      </c>
      <c r="CB4561">
        <v>224</v>
      </c>
      <c r="CD4561">
        <v>1</v>
      </c>
      <c r="CE4561">
        <v>0</v>
      </c>
      <c r="CF4561">
        <v>0</v>
      </c>
      <c r="CG4561">
        <v>1</v>
      </c>
      <c r="CH4561">
        <v>0</v>
      </c>
      <c r="CI4561">
        <v>0</v>
      </c>
      <c r="CJ4561">
        <v>0</v>
      </c>
      <c r="CK4561">
        <v>2</v>
      </c>
      <c r="CL4561">
        <v>0</v>
      </c>
      <c r="CM4561">
        <v>2</v>
      </c>
      <c r="CN4561">
        <v>0</v>
      </c>
      <c r="CO4561">
        <v>1</v>
      </c>
      <c r="CP4561" t="s">
        <v>119</v>
      </c>
      <c r="CQ4561">
        <v>180</v>
      </c>
      <c r="CR4561">
        <v>3</v>
      </c>
      <c r="CW4561">
        <v>1462823</v>
      </c>
      <c r="CY4561">
        <v>1</v>
      </c>
      <c r="CZ4561">
        <v>0</v>
      </c>
      <c r="DA4561">
        <v>1</v>
      </c>
      <c r="DB4561">
        <v>0</v>
      </c>
      <c r="DC4561">
        <v>0</v>
      </c>
      <c r="DD4561">
        <v>0</v>
      </c>
      <c r="DE4561">
        <v>0</v>
      </c>
      <c r="DF4561">
        <v>0</v>
      </c>
      <c r="DG4561">
        <v>0</v>
      </c>
      <c r="DH4561">
        <v>0</v>
      </c>
      <c r="DI4561">
        <v>0</v>
      </c>
    </row>
    <row r="4562" spans="1:113" x14ac:dyDescent="0.3">
      <c r="A4562" t="str">
        <f>"02/08/2021 20:39:47.652"</f>
        <v>02/08/2021 20:39:47.652</v>
      </c>
      <c r="C4562" t="str">
        <f t="shared" si="224"/>
        <v>FFDFD7C0</v>
      </c>
      <c r="D4562" t="s">
        <v>124</v>
      </c>
      <c r="E4562">
        <v>13</v>
      </c>
      <c r="F4562">
        <v>1013</v>
      </c>
      <c r="G4562" t="s">
        <v>114</v>
      </c>
      <c r="J4562" t="s">
        <v>125</v>
      </c>
      <c r="K4562">
        <v>0</v>
      </c>
      <c r="L4562">
        <v>3</v>
      </c>
      <c r="M4562">
        <v>0</v>
      </c>
      <c r="N4562">
        <v>2</v>
      </c>
      <c r="O4562">
        <v>1</v>
      </c>
      <c r="P4562">
        <v>0</v>
      </c>
      <c r="Q4562">
        <v>0</v>
      </c>
      <c r="S4562" t="str">
        <f>"20:39:49.938"</f>
        <v>20:39:49.938</v>
      </c>
      <c r="T4562" t="str">
        <f>"20:39:49.438"</f>
        <v>20:39:49.438</v>
      </c>
      <c r="U4562" t="str">
        <f t="shared" si="226"/>
        <v>AB01F4</v>
      </c>
      <c r="V4562">
        <v>0</v>
      </c>
      <c r="W4562">
        <v>0</v>
      </c>
      <c r="X4562">
        <v>2</v>
      </c>
      <c r="Z4562">
        <v>0</v>
      </c>
      <c r="AA4562">
        <v>9</v>
      </c>
      <c r="AB4562">
        <v>3</v>
      </c>
      <c r="AC4562">
        <v>0</v>
      </c>
      <c r="AD4562">
        <v>10</v>
      </c>
      <c r="AE4562">
        <v>0</v>
      </c>
      <c r="AF4562">
        <v>3</v>
      </c>
      <c r="AG4562">
        <v>2</v>
      </c>
      <c r="AH4562">
        <v>0</v>
      </c>
      <c r="AI4562" t="s">
        <v>2522</v>
      </c>
      <c r="AJ4562">
        <v>40.148721000000002</v>
      </c>
      <c r="AK4562" t="s">
        <v>2523</v>
      </c>
      <c r="AL4562">
        <v>-93.246094999999997</v>
      </c>
      <c r="AM4562">
        <v>100</v>
      </c>
      <c r="AN4562">
        <v>1200</v>
      </c>
      <c r="AO4562" t="s">
        <v>118</v>
      </c>
      <c r="AP4562">
        <v>-134</v>
      </c>
      <c r="AQ4562">
        <v>-30</v>
      </c>
      <c r="AR4562">
        <v>-256</v>
      </c>
      <c r="AZ4562">
        <v>1200</v>
      </c>
      <c r="BA4562">
        <v>1</v>
      </c>
      <c r="BB4562" t="str">
        <f t="shared" si="225"/>
        <v xml:space="preserve">N8080G  </v>
      </c>
      <c r="BC4562">
        <v>1</v>
      </c>
      <c r="BE4562">
        <v>0</v>
      </c>
      <c r="BF4562">
        <v>0</v>
      </c>
      <c r="BG4562">
        <v>0</v>
      </c>
      <c r="BH4562">
        <v>1275</v>
      </c>
      <c r="BI4562">
        <v>1</v>
      </c>
      <c r="BJ4562">
        <v>1</v>
      </c>
      <c r="BK4562">
        <v>1</v>
      </c>
      <c r="BL4562">
        <v>0</v>
      </c>
      <c r="BO4562">
        <v>0</v>
      </c>
      <c r="BP4562">
        <v>0</v>
      </c>
      <c r="BW4562" t="str">
        <f>"20:39:49.942"</f>
        <v>20:39:49.942</v>
      </c>
      <c r="BZ4562">
        <v>0</v>
      </c>
      <c r="CA4562">
        <v>1504</v>
      </c>
      <c r="CB4562">
        <v>224</v>
      </c>
      <c r="CD4562">
        <v>1</v>
      </c>
      <c r="CE4562">
        <v>0</v>
      </c>
      <c r="CF4562">
        <v>0</v>
      </c>
      <c r="CG4562">
        <v>1</v>
      </c>
      <c r="CH4562">
        <v>0</v>
      </c>
      <c r="CI4562">
        <v>0</v>
      </c>
      <c r="CJ4562">
        <v>0</v>
      </c>
      <c r="CK4562">
        <v>2</v>
      </c>
      <c r="CL4562">
        <v>0</v>
      </c>
      <c r="CM4562">
        <v>2</v>
      </c>
      <c r="CN4562">
        <v>0</v>
      </c>
      <c r="CO4562">
        <v>1</v>
      </c>
      <c r="CP4562" t="s">
        <v>119</v>
      </c>
      <c r="CQ4562">
        <v>180</v>
      </c>
      <c r="CR4562">
        <v>3</v>
      </c>
      <c r="CW4562">
        <v>1462823</v>
      </c>
      <c r="CY4562">
        <v>1</v>
      </c>
      <c r="CZ4562">
        <v>0</v>
      </c>
      <c r="DA4562">
        <v>1</v>
      </c>
      <c r="DB4562">
        <v>0</v>
      </c>
      <c r="DC4562">
        <v>0</v>
      </c>
      <c r="DD4562">
        <v>0</v>
      </c>
      <c r="DE4562">
        <v>0</v>
      </c>
      <c r="DF4562">
        <v>0</v>
      </c>
      <c r="DG4562">
        <v>0</v>
      </c>
      <c r="DH4562">
        <v>0</v>
      </c>
      <c r="DI4562">
        <v>0</v>
      </c>
    </row>
    <row r="4563" spans="1:113" x14ac:dyDescent="0.3">
      <c r="A4563" t="str">
        <f>"02/08/2021 20:39:48.559"</f>
        <v>02/08/2021 20:39:48.559</v>
      </c>
      <c r="C4563" t="str">
        <f t="shared" si="224"/>
        <v>FFDFD7C0</v>
      </c>
      <c r="D4563" t="s">
        <v>124</v>
      </c>
      <c r="E4563">
        <v>11</v>
      </c>
      <c r="F4563">
        <v>1011</v>
      </c>
      <c r="G4563" t="s">
        <v>590</v>
      </c>
      <c r="J4563" t="s">
        <v>125</v>
      </c>
      <c r="K4563">
        <v>0</v>
      </c>
      <c r="L4563">
        <v>3</v>
      </c>
      <c r="M4563">
        <v>0</v>
      </c>
      <c r="N4563">
        <v>2</v>
      </c>
      <c r="O4563">
        <v>1</v>
      </c>
      <c r="P4563">
        <v>0</v>
      </c>
      <c r="Q4563">
        <v>0</v>
      </c>
      <c r="S4563" t="str">
        <f>"20:39:50.844"</f>
        <v>20:39:50.844</v>
      </c>
      <c r="T4563" t="str">
        <f>"20:39:50.444"</f>
        <v>20:39:50.444</v>
      </c>
      <c r="U4563" t="str">
        <f t="shared" si="226"/>
        <v>AB01F4</v>
      </c>
      <c r="V4563">
        <v>0</v>
      </c>
      <c r="W4563">
        <v>0</v>
      </c>
      <c r="X4563">
        <v>2</v>
      </c>
      <c r="Z4563">
        <v>0</v>
      </c>
      <c r="AA4563">
        <v>9</v>
      </c>
      <c r="AB4563">
        <v>3</v>
      </c>
      <c r="AC4563">
        <v>0</v>
      </c>
      <c r="AD4563">
        <v>10</v>
      </c>
      <c r="AE4563">
        <v>0</v>
      </c>
      <c r="AF4563">
        <v>3</v>
      </c>
      <c r="AG4563">
        <v>2</v>
      </c>
      <c r="AH4563">
        <v>0</v>
      </c>
      <c r="AI4563" t="s">
        <v>2524</v>
      </c>
      <c r="AJ4563">
        <v>40.148549000000003</v>
      </c>
      <c r="AK4563" t="s">
        <v>2525</v>
      </c>
      <c r="AL4563">
        <v>-93.246781999999996</v>
      </c>
      <c r="AM4563">
        <v>100</v>
      </c>
      <c r="AN4563">
        <v>1200</v>
      </c>
      <c r="AO4563" t="s">
        <v>118</v>
      </c>
      <c r="AP4563">
        <v>-134</v>
      </c>
      <c r="AQ4563">
        <v>-27</v>
      </c>
      <c r="AR4563">
        <v>-192</v>
      </c>
      <c r="AZ4563">
        <v>1200</v>
      </c>
      <c r="BA4563">
        <v>1</v>
      </c>
      <c r="BB4563" t="str">
        <f t="shared" si="225"/>
        <v xml:space="preserve">N8080G  </v>
      </c>
      <c r="BC4563">
        <v>1</v>
      </c>
      <c r="BE4563">
        <v>0</v>
      </c>
      <c r="BF4563">
        <v>0</v>
      </c>
      <c r="BG4563">
        <v>0</v>
      </c>
      <c r="BH4563">
        <v>1275</v>
      </c>
      <c r="BI4563">
        <v>1</v>
      </c>
      <c r="BJ4563">
        <v>1</v>
      </c>
      <c r="BK4563">
        <v>1</v>
      </c>
      <c r="BL4563">
        <v>0</v>
      </c>
      <c r="BO4563">
        <v>0</v>
      </c>
      <c r="BP4563">
        <v>0</v>
      </c>
      <c r="BW4563" t="str">
        <f>"20:39:50.846"</f>
        <v>20:39:50.846</v>
      </c>
      <c r="BZ4563">
        <v>0</v>
      </c>
      <c r="CA4563">
        <v>1504</v>
      </c>
      <c r="CB4563">
        <v>224</v>
      </c>
      <c r="CD4563">
        <v>1</v>
      </c>
      <c r="CE4563">
        <v>0</v>
      </c>
      <c r="CF4563">
        <v>0</v>
      </c>
      <c r="CG4563">
        <v>1</v>
      </c>
      <c r="CH4563">
        <v>0</v>
      </c>
      <c r="CI4563">
        <v>0</v>
      </c>
      <c r="CJ4563">
        <v>0</v>
      </c>
      <c r="CK4563">
        <v>2</v>
      </c>
      <c r="CL4563">
        <v>0</v>
      </c>
      <c r="CM4563">
        <v>2</v>
      </c>
      <c r="CN4563">
        <v>0</v>
      </c>
      <c r="CO4563">
        <v>2</v>
      </c>
      <c r="CP4563" t="s">
        <v>119</v>
      </c>
      <c r="CQ4563">
        <v>180</v>
      </c>
      <c r="CR4563">
        <v>3</v>
      </c>
      <c r="CW4563">
        <v>1463460</v>
      </c>
      <c r="CY4563">
        <v>1</v>
      </c>
      <c r="CZ4563">
        <v>0</v>
      </c>
      <c r="DA4563">
        <v>0</v>
      </c>
      <c r="DB4563">
        <v>0</v>
      </c>
      <c r="DC4563">
        <v>0</v>
      </c>
      <c r="DD4563">
        <v>0</v>
      </c>
      <c r="DE4563">
        <v>0</v>
      </c>
      <c r="DF4563">
        <v>0</v>
      </c>
      <c r="DG4563">
        <v>0</v>
      </c>
      <c r="DH4563">
        <v>0</v>
      </c>
      <c r="DI4563">
        <v>0</v>
      </c>
    </row>
    <row r="4564" spans="1:113" x14ac:dyDescent="0.3">
      <c r="A4564" t="str">
        <f>"02/08/2021 20:39:48.559"</f>
        <v>02/08/2021 20:39:48.559</v>
      </c>
      <c r="C4564" t="str">
        <f t="shared" si="224"/>
        <v>FFDFD7C0</v>
      </c>
      <c r="D4564" t="s">
        <v>124</v>
      </c>
      <c r="E4564">
        <v>12</v>
      </c>
      <c r="F4564">
        <v>1012</v>
      </c>
      <c r="G4564" t="s">
        <v>675</v>
      </c>
      <c r="J4564" t="s">
        <v>125</v>
      </c>
      <c r="K4564">
        <v>0</v>
      </c>
      <c r="L4564">
        <v>3</v>
      </c>
      <c r="M4564">
        <v>0</v>
      </c>
      <c r="N4564">
        <v>2</v>
      </c>
      <c r="O4564">
        <v>1</v>
      </c>
      <c r="P4564">
        <v>0</v>
      </c>
      <c r="Q4564">
        <v>0</v>
      </c>
      <c r="S4564" t="str">
        <f>"20:39:50.844"</f>
        <v>20:39:50.844</v>
      </c>
      <c r="T4564" t="str">
        <f>"20:39:50.444"</f>
        <v>20:39:50.444</v>
      </c>
      <c r="U4564" t="str">
        <f t="shared" si="226"/>
        <v>AB01F4</v>
      </c>
      <c r="V4564">
        <v>0</v>
      </c>
      <c r="W4564">
        <v>0</v>
      </c>
      <c r="X4564">
        <v>2</v>
      </c>
      <c r="Z4564">
        <v>0</v>
      </c>
      <c r="AA4564">
        <v>9</v>
      </c>
      <c r="AB4564">
        <v>3</v>
      </c>
      <c r="AC4564">
        <v>0</v>
      </c>
      <c r="AD4564">
        <v>10</v>
      </c>
      <c r="AE4564">
        <v>0</v>
      </c>
      <c r="AF4564">
        <v>3</v>
      </c>
      <c r="AG4564">
        <v>2</v>
      </c>
      <c r="AH4564">
        <v>0</v>
      </c>
      <c r="AI4564" t="s">
        <v>2524</v>
      </c>
      <c r="AJ4564">
        <v>40.148549000000003</v>
      </c>
      <c r="AK4564" t="s">
        <v>2525</v>
      </c>
      <c r="AL4564">
        <v>-93.246781999999996</v>
      </c>
      <c r="AM4564">
        <v>100</v>
      </c>
      <c r="AN4564">
        <v>1200</v>
      </c>
      <c r="AO4564" t="s">
        <v>118</v>
      </c>
      <c r="AP4564">
        <v>-134</v>
      </c>
      <c r="AQ4564">
        <v>-27</v>
      </c>
      <c r="AR4564">
        <v>-192</v>
      </c>
      <c r="AZ4564">
        <v>1200</v>
      </c>
      <c r="BA4564">
        <v>1</v>
      </c>
      <c r="BB4564" t="str">
        <f t="shared" si="225"/>
        <v xml:space="preserve">N8080G  </v>
      </c>
      <c r="BC4564">
        <v>1</v>
      </c>
      <c r="BE4564">
        <v>0</v>
      </c>
      <c r="BF4564">
        <v>0</v>
      </c>
      <c r="BG4564">
        <v>0</v>
      </c>
      <c r="BH4564">
        <v>1275</v>
      </c>
      <c r="BI4564">
        <v>1</v>
      </c>
      <c r="BJ4564">
        <v>1</v>
      </c>
      <c r="BK4564">
        <v>1</v>
      </c>
      <c r="BL4564">
        <v>0</v>
      </c>
      <c r="BO4564">
        <v>0</v>
      </c>
      <c r="BP4564">
        <v>0</v>
      </c>
      <c r="BW4564" t="str">
        <f>"20:39:50.846"</f>
        <v>20:39:50.846</v>
      </c>
      <c r="BZ4564">
        <v>0</v>
      </c>
      <c r="CA4564">
        <v>1504</v>
      </c>
      <c r="CB4564">
        <v>224</v>
      </c>
      <c r="CD4564">
        <v>1</v>
      </c>
      <c r="CE4564">
        <v>0</v>
      </c>
      <c r="CF4564">
        <v>0</v>
      </c>
      <c r="CG4564">
        <v>1</v>
      </c>
      <c r="CH4564">
        <v>0</v>
      </c>
      <c r="CI4564">
        <v>0</v>
      </c>
      <c r="CJ4564">
        <v>0</v>
      </c>
      <c r="CK4564">
        <v>2</v>
      </c>
      <c r="CL4564">
        <v>0</v>
      </c>
      <c r="CM4564">
        <v>2</v>
      </c>
      <c r="CN4564">
        <v>0</v>
      </c>
      <c r="CO4564">
        <v>2</v>
      </c>
      <c r="CP4564" t="s">
        <v>119</v>
      </c>
      <c r="CQ4564">
        <v>180</v>
      </c>
      <c r="CR4564">
        <v>3</v>
      </c>
      <c r="CW4564">
        <v>1463460</v>
      </c>
      <c r="CY4564">
        <v>1</v>
      </c>
      <c r="CZ4564">
        <v>0</v>
      </c>
      <c r="DA4564">
        <v>1</v>
      </c>
      <c r="DB4564">
        <v>0</v>
      </c>
      <c r="DC4564">
        <v>0</v>
      </c>
      <c r="DD4564">
        <v>0</v>
      </c>
      <c r="DE4564">
        <v>0</v>
      </c>
      <c r="DF4564">
        <v>0</v>
      </c>
      <c r="DG4564">
        <v>0</v>
      </c>
      <c r="DH4564">
        <v>0</v>
      </c>
      <c r="DI4564">
        <v>0</v>
      </c>
    </row>
    <row r="4565" spans="1:113" x14ac:dyDescent="0.3">
      <c r="A4565" t="str">
        <f>"02/08/2021 20:39:48.559"</f>
        <v>02/08/2021 20:39:48.559</v>
      </c>
      <c r="C4565" t="str">
        <f t="shared" si="224"/>
        <v>FFDFD7C0</v>
      </c>
      <c r="D4565" t="s">
        <v>113</v>
      </c>
      <c r="E4565">
        <v>6</v>
      </c>
      <c r="H4565">
        <v>165</v>
      </c>
      <c r="I4565" t="s">
        <v>114</v>
      </c>
      <c r="J4565" t="s">
        <v>115</v>
      </c>
      <c r="K4565">
        <v>0</v>
      </c>
      <c r="L4565">
        <v>3</v>
      </c>
      <c r="M4565">
        <v>0</v>
      </c>
      <c r="N4565">
        <v>2</v>
      </c>
      <c r="O4565">
        <v>1</v>
      </c>
      <c r="P4565">
        <v>0</v>
      </c>
      <c r="Q4565">
        <v>0</v>
      </c>
      <c r="S4565" t="str">
        <f>"20:39:50.844"</f>
        <v>20:39:50.844</v>
      </c>
      <c r="T4565" t="str">
        <f>"20:39:50.444"</f>
        <v>20:39:50.444</v>
      </c>
      <c r="U4565" t="str">
        <f t="shared" si="226"/>
        <v>AB01F4</v>
      </c>
      <c r="V4565">
        <v>0</v>
      </c>
      <c r="W4565">
        <v>0</v>
      </c>
      <c r="X4565">
        <v>2</v>
      </c>
      <c r="Z4565">
        <v>0</v>
      </c>
      <c r="AA4565">
        <v>9</v>
      </c>
      <c r="AB4565">
        <v>3</v>
      </c>
      <c r="AC4565">
        <v>0</v>
      </c>
      <c r="AD4565">
        <v>10</v>
      </c>
      <c r="AE4565">
        <v>0</v>
      </c>
      <c r="AF4565">
        <v>3</v>
      </c>
      <c r="AG4565">
        <v>2</v>
      </c>
      <c r="AH4565">
        <v>0</v>
      </c>
      <c r="AI4565" t="s">
        <v>2524</v>
      </c>
      <c r="AJ4565">
        <v>40.148549000000003</v>
      </c>
      <c r="AK4565" t="s">
        <v>2525</v>
      </c>
      <c r="AL4565">
        <v>-93.246781999999996</v>
      </c>
      <c r="AM4565">
        <v>100</v>
      </c>
      <c r="AN4565">
        <v>1200</v>
      </c>
      <c r="AO4565" t="s">
        <v>118</v>
      </c>
      <c r="AP4565">
        <v>-134</v>
      </c>
      <c r="AQ4565">
        <v>-27</v>
      </c>
      <c r="AR4565">
        <v>-192</v>
      </c>
      <c r="AZ4565">
        <v>1200</v>
      </c>
      <c r="BA4565">
        <v>1</v>
      </c>
      <c r="BB4565" t="str">
        <f t="shared" si="225"/>
        <v xml:space="preserve">N8080G  </v>
      </c>
      <c r="BC4565">
        <v>1</v>
      </c>
      <c r="BE4565">
        <v>0</v>
      </c>
      <c r="BF4565">
        <v>0</v>
      </c>
      <c r="BG4565">
        <v>0</v>
      </c>
      <c r="BH4565">
        <v>1275</v>
      </c>
      <c r="BI4565">
        <v>1</v>
      </c>
      <c r="BJ4565">
        <v>1</v>
      </c>
      <c r="BK4565">
        <v>1</v>
      </c>
      <c r="BL4565">
        <v>0</v>
      </c>
      <c r="BO4565">
        <v>0</v>
      </c>
      <c r="BP4565">
        <v>0</v>
      </c>
      <c r="BW4565" t="str">
        <f>"20:39:50.846"</f>
        <v>20:39:50.846</v>
      </c>
      <c r="BZ4565">
        <v>0</v>
      </c>
      <c r="CA4565">
        <v>1504</v>
      </c>
      <c r="CB4565">
        <v>224</v>
      </c>
      <c r="CD4565">
        <v>1</v>
      </c>
      <c r="CE4565">
        <v>0</v>
      </c>
      <c r="CF4565">
        <v>0</v>
      </c>
      <c r="CG4565">
        <v>1</v>
      </c>
      <c r="CH4565">
        <v>0</v>
      </c>
      <c r="CI4565">
        <v>0</v>
      </c>
      <c r="CJ4565">
        <v>0</v>
      </c>
      <c r="CK4565">
        <v>2</v>
      </c>
      <c r="CL4565">
        <v>0</v>
      </c>
      <c r="CM4565">
        <v>2</v>
      </c>
      <c r="CN4565">
        <v>0</v>
      </c>
      <c r="CO4565">
        <v>2</v>
      </c>
      <c r="CP4565" t="s">
        <v>119</v>
      </c>
      <c r="CQ4565">
        <v>180</v>
      </c>
      <c r="CR4565">
        <v>3</v>
      </c>
      <c r="CW4565">
        <v>1463460</v>
      </c>
      <c r="CY4565">
        <v>1</v>
      </c>
      <c r="CZ4565">
        <v>0</v>
      </c>
      <c r="DA4565">
        <v>1</v>
      </c>
      <c r="DB4565">
        <v>0</v>
      </c>
      <c r="DC4565">
        <v>0</v>
      </c>
      <c r="DD4565">
        <v>0</v>
      </c>
      <c r="DE4565">
        <v>0</v>
      </c>
      <c r="DF4565">
        <v>0</v>
      </c>
      <c r="DG4565">
        <v>0</v>
      </c>
      <c r="DH4565">
        <v>0</v>
      </c>
      <c r="DI4565">
        <v>0</v>
      </c>
    </row>
    <row r="4566" spans="1:113" x14ac:dyDescent="0.3">
      <c r="A4566" t="str">
        <f>"02/08/2021 20:39:48.559"</f>
        <v>02/08/2021 20:39:48.559</v>
      </c>
      <c r="C4566" t="str">
        <f t="shared" si="224"/>
        <v>FFDFD7C0</v>
      </c>
      <c r="D4566" t="s">
        <v>124</v>
      </c>
      <c r="E4566">
        <v>13</v>
      </c>
      <c r="F4566">
        <v>1013</v>
      </c>
      <c r="G4566" t="s">
        <v>114</v>
      </c>
      <c r="J4566" t="s">
        <v>125</v>
      </c>
      <c r="K4566">
        <v>0</v>
      </c>
      <c r="L4566">
        <v>3</v>
      </c>
      <c r="M4566">
        <v>0</v>
      </c>
      <c r="N4566">
        <v>2</v>
      </c>
      <c r="O4566">
        <v>1</v>
      </c>
      <c r="P4566">
        <v>0</v>
      </c>
      <c r="Q4566">
        <v>0</v>
      </c>
      <c r="S4566" t="str">
        <f>"20:39:50.844"</f>
        <v>20:39:50.844</v>
      </c>
      <c r="T4566" t="str">
        <f>"20:39:50.444"</f>
        <v>20:39:50.444</v>
      </c>
      <c r="U4566" t="str">
        <f t="shared" si="226"/>
        <v>AB01F4</v>
      </c>
      <c r="V4566">
        <v>0</v>
      </c>
      <c r="W4566">
        <v>0</v>
      </c>
      <c r="X4566">
        <v>2</v>
      </c>
      <c r="Z4566">
        <v>0</v>
      </c>
      <c r="AA4566">
        <v>9</v>
      </c>
      <c r="AB4566">
        <v>3</v>
      </c>
      <c r="AC4566">
        <v>0</v>
      </c>
      <c r="AD4566">
        <v>10</v>
      </c>
      <c r="AE4566">
        <v>0</v>
      </c>
      <c r="AF4566">
        <v>3</v>
      </c>
      <c r="AG4566">
        <v>2</v>
      </c>
      <c r="AH4566">
        <v>0</v>
      </c>
      <c r="AI4566" t="s">
        <v>2524</v>
      </c>
      <c r="AJ4566">
        <v>40.148549000000003</v>
      </c>
      <c r="AK4566" t="s">
        <v>2525</v>
      </c>
      <c r="AL4566">
        <v>-93.246781999999996</v>
      </c>
      <c r="AM4566">
        <v>100</v>
      </c>
      <c r="AN4566">
        <v>1200</v>
      </c>
      <c r="AO4566" t="s">
        <v>118</v>
      </c>
      <c r="AP4566">
        <v>-134</v>
      </c>
      <c r="AQ4566">
        <v>-27</v>
      </c>
      <c r="AR4566">
        <v>-192</v>
      </c>
      <c r="AZ4566">
        <v>1200</v>
      </c>
      <c r="BA4566">
        <v>1</v>
      </c>
      <c r="BB4566" t="str">
        <f t="shared" si="225"/>
        <v xml:space="preserve">N8080G  </v>
      </c>
      <c r="BC4566">
        <v>1</v>
      </c>
      <c r="BE4566">
        <v>0</v>
      </c>
      <c r="BF4566">
        <v>0</v>
      </c>
      <c r="BG4566">
        <v>0</v>
      </c>
      <c r="BH4566">
        <v>1275</v>
      </c>
      <c r="BI4566">
        <v>1</v>
      </c>
      <c r="BJ4566">
        <v>1</v>
      </c>
      <c r="BK4566">
        <v>1</v>
      </c>
      <c r="BL4566">
        <v>0</v>
      </c>
      <c r="BO4566">
        <v>0</v>
      </c>
      <c r="BP4566">
        <v>0</v>
      </c>
      <c r="BW4566" t="str">
        <f>"20:39:50.846"</f>
        <v>20:39:50.846</v>
      </c>
      <c r="BZ4566">
        <v>0</v>
      </c>
      <c r="CA4566">
        <v>1504</v>
      </c>
      <c r="CB4566">
        <v>224</v>
      </c>
      <c r="CD4566">
        <v>1</v>
      </c>
      <c r="CE4566">
        <v>0</v>
      </c>
      <c r="CF4566">
        <v>0</v>
      </c>
      <c r="CG4566">
        <v>1</v>
      </c>
      <c r="CH4566">
        <v>0</v>
      </c>
      <c r="CI4566">
        <v>0</v>
      </c>
      <c r="CJ4566">
        <v>0</v>
      </c>
      <c r="CK4566">
        <v>2</v>
      </c>
      <c r="CL4566">
        <v>0</v>
      </c>
      <c r="CM4566">
        <v>2</v>
      </c>
      <c r="CN4566">
        <v>0</v>
      </c>
      <c r="CO4566">
        <v>2</v>
      </c>
      <c r="CP4566" t="s">
        <v>119</v>
      </c>
      <c r="CQ4566">
        <v>180</v>
      </c>
      <c r="CR4566">
        <v>3</v>
      </c>
      <c r="CW4566">
        <v>1463460</v>
      </c>
      <c r="CY4566">
        <v>1</v>
      </c>
      <c r="CZ4566">
        <v>0</v>
      </c>
      <c r="DA4566">
        <v>1</v>
      </c>
      <c r="DB4566">
        <v>0</v>
      </c>
      <c r="DC4566">
        <v>0</v>
      </c>
      <c r="DD4566">
        <v>0</v>
      </c>
      <c r="DE4566">
        <v>0</v>
      </c>
      <c r="DF4566">
        <v>0</v>
      </c>
      <c r="DG4566">
        <v>0</v>
      </c>
      <c r="DH4566">
        <v>0</v>
      </c>
      <c r="DI4566">
        <v>0</v>
      </c>
    </row>
    <row r="4567" spans="1:113" x14ac:dyDescent="0.3">
      <c r="A4567" t="str">
        <f>"02/08/2021 20:39:50.928"</f>
        <v>02/08/2021 20:39:50.928</v>
      </c>
      <c r="C4567" t="str">
        <f t="shared" si="224"/>
        <v>FFDFD7C0</v>
      </c>
      <c r="D4567" t="s">
        <v>124</v>
      </c>
      <c r="E4567">
        <v>12</v>
      </c>
      <c r="F4567">
        <v>1012</v>
      </c>
      <c r="G4567" t="s">
        <v>675</v>
      </c>
      <c r="J4567" t="s">
        <v>125</v>
      </c>
      <c r="K4567">
        <v>0</v>
      </c>
      <c r="L4567">
        <v>3</v>
      </c>
      <c r="M4567">
        <v>0</v>
      </c>
      <c r="N4567">
        <v>2</v>
      </c>
      <c r="O4567">
        <v>1</v>
      </c>
      <c r="P4567">
        <v>0</v>
      </c>
      <c r="Q4567">
        <v>0</v>
      </c>
      <c r="S4567" t="str">
        <f>"20:39:53.242"</f>
        <v>20:39:53.242</v>
      </c>
      <c r="T4567" t="str">
        <f>"20:39:52.342"</f>
        <v>20:39:52.342</v>
      </c>
      <c r="U4567" t="str">
        <f t="shared" si="226"/>
        <v>AB01F4</v>
      </c>
      <c r="V4567">
        <v>0</v>
      </c>
      <c r="W4567">
        <v>0</v>
      </c>
      <c r="X4567">
        <v>2</v>
      </c>
      <c r="Z4567">
        <v>0</v>
      </c>
      <c r="AA4567">
        <v>9</v>
      </c>
      <c r="AB4567">
        <v>3</v>
      </c>
      <c r="AC4567">
        <v>0</v>
      </c>
      <c r="AD4567">
        <v>10</v>
      </c>
      <c r="AE4567">
        <v>0</v>
      </c>
      <c r="AF4567">
        <v>3</v>
      </c>
      <c r="AG4567">
        <v>2</v>
      </c>
      <c r="AH4567">
        <v>0</v>
      </c>
      <c r="AI4567" t="s">
        <v>2526</v>
      </c>
      <c r="AJ4567">
        <v>40.148335000000003</v>
      </c>
      <c r="AK4567" t="s">
        <v>2527</v>
      </c>
      <c r="AL4567">
        <v>-93.248777000000004</v>
      </c>
      <c r="AM4567">
        <v>100</v>
      </c>
      <c r="AN4567">
        <v>1200</v>
      </c>
      <c r="AO4567" t="s">
        <v>118</v>
      </c>
      <c r="AP4567">
        <v>-135</v>
      </c>
      <c r="AQ4567">
        <v>-23</v>
      </c>
      <c r="AR4567">
        <v>-256</v>
      </c>
      <c r="AZ4567">
        <v>1200</v>
      </c>
      <c r="BA4567">
        <v>1</v>
      </c>
      <c r="BB4567" t="str">
        <f t="shared" si="225"/>
        <v xml:space="preserve">N8080G  </v>
      </c>
      <c r="BC4567">
        <v>1</v>
      </c>
      <c r="BE4567">
        <v>0</v>
      </c>
      <c r="BF4567">
        <v>0</v>
      </c>
      <c r="BG4567">
        <v>0</v>
      </c>
      <c r="BH4567">
        <v>1275</v>
      </c>
      <c r="BI4567">
        <v>1</v>
      </c>
      <c r="BJ4567">
        <v>1</v>
      </c>
      <c r="BK4567">
        <v>1</v>
      </c>
      <c r="BL4567">
        <v>0</v>
      </c>
      <c r="BO4567">
        <v>0</v>
      </c>
      <c r="BP4567">
        <v>0</v>
      </c>
      <c r="BW4567" t="str">
        <f>"20:39:53.248"</f>
        <v>20:39:53.248</v>
      </c>
      <c r="BZ4567">
        <v>0</v>
      </c>
      <c r="CA4567">
        <v>1504</v>
      </c>
      <c r="CB4567">
        <v>224</v>
      </c>
      <c r="CD4567">
        <v>1</v>
      </c>
      <c r="CE4567">
        <v>0</v>
      </c>
      <c r="CF4567">
        <v>0</v>
      </c>
      <c r="CG4567">
        <v>1</v>
      </c>
      <c r="CH4567">
        <v>0</v>
      </c>
      <c r="CI4567">
        <v>0</v>
      </c>
      <c r="CJ4567">
        <v>0</v>
      </c>
      <c r="CK4567">
        <v>2</v>
      </c>
      <c r="CL4567">
        <v>0</v>
      </c>
      <c r="CM4567">
        <v>2</v>
      </c>
      <c r="CN4567">
        <v>0</v>
      </c>
      <c r="CO4567">
        <v>1</v>
      </c>
      <c r="CP4567" t="s">
        <v>119</v>
      </c>
      <c r="CQ4567">
        <v>180</v>
      </c>
      <c r="CR4567">
        <v>3</v>
      </c>
      <c r="CW4567">
        <v>1465337</v>
      </c>
      <c r="CY4567">
        <v>1</v>
      </c>
      <c r="CZ4567">
        <v>0</v>
      </c>
      <c r="DA4567">
        <v>0</v>
      </c>
      <c r="DB4567">
        <v>0</v>
      </c>
      <c r="DC4567">
        <v>0</v>
      </c>
      <c r="DD4567">
        <v>0</v>
      </c>
      <c r="DE4567">
        <v>0</v>
      </c>
      <c r="DF4567">
        <v>0</v>
      </c>
      <c r="DG4567">
        <v>0</v>
      </c>
      <c r="DH4567">
        <v>0</v>
      </c>
      <c r="DI4567">
        <v>0</v>
      </c>
    </row>
    <row r="4568" spans="1:113" x14ac:dyDescent="0.3">
      <c r="A4568" t="str">
        <f>"02/08/2021 20:39:50.928"</f>
        <v>02/08/2021 20:39:50.928</v>
      </c>
      <c r="C4568" t="str">
        <f t="shared" si="224"/>
        <v>FFDFD7C0</v>
      </c>
      <c r="D4568" t="s">
        <v>124</v>
      </c>
      <c r="E4568">
        <v>11</v>
      </c>
      <c r="F4568">
        <v>1011</v>
      </c>
      <c r="G4568" t="s">
        <v>590</v>
      </c>
      <c r="J4568" t="s">
        <v>125</v>
      </c>
      <c r="K4568">
        <v>0</v>
      </c>
      <c r="L4568">
        <v>3</v>
      </c>
      <c r="M4568">
        <v>0</v>
      </c>
      <c r="N4568">
        <v>2</v>
      </c>
      <c r="O4568">
        <v>1</v>
      </c>
      <c r="P4568">
        <v>0</v>
      </c>
      <c r="Q4568">
        <v>0</v>
      </c>
      <c r="S4568" t="str">
        <f>"20:39:53.242"</f>
        <v>20:39:53.242</v>
      </c>
      <c r="T4568" t="str">
        <f>"20:39:52.342"</f>
        <v>20:39:52.342</v>
      </c>
      <c r="U4568" t="str">
        <f t="shared" si="226"/>
        <v>AB01F4</v>
      </c>
      <c r="V4568">
        <v>0</v>
      </c>
      <c r="W4568">
        <v>0</v>
      </c>
      <c r="X4568">
        <v>2</v>
      </c>
      <c r="Z4568">
        <v>0</v>
      </c>
      <c r="AA4568">
        <v>9</v>
      </c>
      <c r="AB4568">
        <v>3</v>
      </c>
      <c r="AC4568">
        <v>0</v>
      </c>
      <c r="AD4568">
        <v>10</v>
      </c>
      <c r="AE4568">
        <v>0</v>
      </c>
      <c r="AF4568">
        <v>3</v>
      </c>
      <c r="AG4568">
        <v>2</v>
      </c>
      <c r="AH4568">
        <v>0</v>
      </c>
      <c r="AI4568" t="s">
        <v>2526</v>
      </c>
      <c r="AJ4568">
        <v>40.148335000000003</v>
      </c>
      <c r="AK4568" t="s">
        <v>2527</v>
      </c>
      <c r="AL4568">
        <v>-93.248777000000004</v>
      </c>
      <c r="AM4568">
        <v>100</v>
      </c>
      <c r="AN4568">
        <v>1200</v>
      </c>
      <c r="AO4568" t="s">
        <v>118</v>
      </c>
      <c r="AP4568">
        <v>-135</v>
      </c>
      <c r="AQ4568">
        <v>-23</v>
      </c>
      <c r="AR4568">
        <v>-256</v>
      </c>
      <c r="AZ4568">
        <v>1200</v>
      </c>
      <c r="BA4568">
        <v>1</v>
      </c>
      <c r="BB4568" t="str">
        <f t="shared" si="225"/>
        <v xml:space="preserve">N8080G  </v>
      </c>
      <c r="BC4568">
        <v>1</v>
      </c>
      <c r="BE4568">
        <v>0</v>
      </c>
      <c r="BF4568">
        <v>0</v>
      </c>
      <c r="BG4568">
        <v>0</v>
      </c>
      <c r="BH4568">
        <v>1275</v>
      </c>
      <c r="BI4568">
        <v>1</v>
      </c>
      <c r="BJ4568">
        <v>1</v>
      </c>
      <c r="BK4568">
        <v>1</v>
      </c>
      <c r="BL4568">
        <v>0</v>
      </c>
      <c r="BO4568">
        <v>0</v>
      </c>
      <c r="BP4568">
        <v>0</v>
      </c>
      <c r="BW4568" t="str">
        <f>"20:39:53.248"</f>
        <v>20:39:53.248</v>
      </c>
      <c r="BZ4568">
        <v>0</v>
      </c>
      <c r="CA4568">
        <v>1504</v>
      </c>
      <c r="CB4568">
        <v>224</v>
      </c>
      <c r="CD4568">
        <v>1</v>
      </c>
      <c r="CE4568">
        <v>0</v>
      </c>
      <c r="CF4568">
        <v>0</v>
      </c>
      <c r="CG4568">
        <v>1</v>
      </c>
      <c r="CH4568">
        <v>0</v>
      </c>
      <c r="CI4568">
        <v>0</v>
      </c>
      <c r="CJ4568">
        <v>0</v>
      </c>
      <c r="CK4568">
        <v>2</v>
      </c>
      <c r="CL4568">
        <v>0</v>
      </c>
      <c r="CM4568">
        <v>2</v>
      </c>
      <c r="CN4568">
        <v>0</v>
      </c>
      <c r="CO4568">
        <v>1</v>
      </c>
      <c r="CP4568" t="s">
        <v>119</v>
      </c>
      <c r="CQ4568">
        <v>180</v>
      </c>
      <c r="CR4568">
        <v>3</v>
      </c>
      <c r="CW4568">
        <v>1465337</v>
      </c>
      <c r="CY4568">
        <v>1</v>
      </c>
      <c r="CZ4568">
        <v>0</v>
      </c>
      <c r="DA4568">
        <v>1</v>
      </c>
      <c r="DB4568">
        <v>0</v>
      </c>
      <c r="DC4568">
        <v>0</v>
      </c>
      <c r="DD4568">
        <v>0</v>
      </c>
      <c r="DE4568">
        <v>0</v>
      </c>
      <c r="DF4568">
        <v>0</v>
      </c>
      <c r="DG4568">
        <v>0</v>
      </c>
      <c r="DH4568">
        <v>0</v>
      </c>
      <c r="DI4568">
        <v>0</v>
      </c>
    </row>
    <row r="4569" spans="1:113" x14ac:dyDescent="0.3">
      <c r="A4569" t="str">
        <f>"02/08/2021 20:39:50.928"</f>
        <v>02/08/2021 20:39:50.928</v>
      </c>
      <c r="C4569" t="str">
        <f t="shared" si="224"/>
        <v>FFDFD7C0</v>
      </c>
      <c r="D4569" t="s">
        <v>124</v>
      </c>
      <c r="E4569">
        <v>13</v>
      </c>
      <c r="F4569">
        <v>1013</v>
      </c>
      <c r="G4569" t="s">
        <v>114</v>
      </c>
      <c r="J4569" t="s">
        <v>125</v>
      </c>
      <c r="K4569">
        <v>0</v>
      </c>
      <c r="L4569">
        <v>3</v>
      </c>
      <c r="M4569">
        <v>0</v>
      </c>
      <c r="N4569">
        <v>2</v>
      </c>
      <c r="O4569">
        <v>1</v>
      </c>
      <c r="P4569">
        <v>0</v>
      </c>
      <c r="Q4569">
        <v>0</v>
      </c>
      <c r="S4569" t="str">
        <f>"20:39:53.242"</f>
        <v>20:39:53.242</v>
      </c>
      <c r="T4569" t="str">
        <f>"20:39:52.342"</f>
        <v>20:39:52.342</v>
      </c>
      <c r="U4569" t="str">
        <f t="shared" si="226"/>
        <v>AB01F4</v>
      </c>
      <c r="V4569">
        <v>0</v>
      </c>
      <c r="W4569">
        <v>0</v>
      </c>
      <c r="X4569">
        <v>2</v>
      </c>
      <c r="Z4569">
        <v>0</v>
      </c>
      <c r="AA4569">
        <v>9</v>
      </c>
      <c r="AB4569">
        <v>3</v>
      </c>
      <c r="AC4569">
        <v>0</v>
      </c>
      <c r="AD4569">
        <v>10</v>
      </c>
      <c r="AE4569">
        <v>0</v>
      </c>
      <c r="AF4569">
        <v>3</v>
      </c>
      <c r="AG4569">
        <v>2</v>
      </c>
      <c r="AH4569">
        <v>0</v>
      </c>
      <c r="AI4569" t="s">
        <v>2526</v>
      </c>
      <c r="AJ4569">
        <v>40.148335000000003</v>
      </c>
      <c r="AK4569" t="s">
        <v>2527</v>
      </c>
      <c r="AL4569">
        <v>-93.248777000000004</v>
      </c>
      <c r="AM4569">
        <v>100</v>
      </c>
      <c r="AN4569">
        <v>1200</v>
      </c>
      <c r="AO4569" t="s">
        <v>118</v>
      </c>
      <c r="AP4569">
        <v>-135</v>
      </c>
      <c r="AQ4569">
        <v>-23</v>
      </c>
      <c r="AR4569">
        <v>-256</v>
      </c>
      <c r="AZ4569">
        <v>1200</v>
      </c>
      <c r="BA4569">
        <v>1</v>
      </c>
      <c r="BB4569" t="str">
        <f t="shared" si="225"/>
        <v xml:space="preserve">N8080G  </v>
      </c>
      <c r="BC4569">
        <v>1</v>
      </c>
      <c r="BE4569">
        <v>0</v>
      </c>
      <c r="BF4569">
        <v>0</v>
      </c>
      <c r="BG4569">
        <v>0</v>
      </c>
      <c r="BH4569">
        <v>1275</v>
      </c>
      <c r="BI4569">
        <v>1</v>
      </c>
      <c r="BJ4569">
        <v>1</v>
      </c>
      <c r="BK4569">
        <v>1</v>
      </c>
      <c r="BL4569">
        <v>0</v>
      </c>
      <c r="BO4569">
        <v>0</v>
      </c>
      <c r="BP4569">
        <v>0</v>
      </c>
      <c r="BW4569" t="str">
        <f>"20:39:53.248"</f>
        <v>20:39:53.248</v>
      </c>
      <c r="BZ4569">
        <v>0</v>
      </c>
      <c r="CA4569">
        <v>1504</v>
      </c>
      <c r="CB4569">
        <v>224</v>
      </c>
      <c r="CD4569">
        <v>1</v>
      </c>
      <c r="CE4569">
        <v>0</v>
      </c>
      <c r="CF4569">
        <v>0</v>
      </c>
      <c r="CG4569">
        <v>1</v>
      </c>
      <c r="CH4569">
        <v>0</v>
      </c>
      <c r="CI4569">
        <v>0</v>
      </c>
      <c r="CJ4569">
        <v>0</v>
      </c>
      <c r="CK4569">
        <v>2</v>
      </c>
      <c r="CL4569">
        <v>0</v>
      </c>
      <c r="CM4569">
        <v>2</v>
      </c>
      <c r="CN4569">
        <v>0</v>
      </c>
      <c r="CO4569">
        <v>1</v>
      </c>
      <c r="CP4569" t="s">
        <v>119</v>
      </c>
      <c r="CQ4569">
        <v>180</v>
      </c>
      <c r="CR4569">
        <v>3</v>
      </c>
      <c r="CW4569">
        <v>1465337</v>
      </c>
      <c r="CY4569">
        <v>1</v>
      </c>
      <c r="CZ4569">
        <v>0</v>
      </c>
      <c r="DA4569">
        <v>1</v>
      </c>
      <c r="DB4569">
        <v>0</v>
      </c>
      <c r="DC4569">
        <v>0</v>
      </c>
      <c r="DD4569">
        <v>0</v>
      </c>
      <c r="DE4569">
        <v>0</v>
      </c>
      <c r="DF4569">
        <v>0</v>
      </c>
      <c r="DG4569">
        <v>0</v>
      </c>
      <c r="DH4569">
        <v>0</v>
      </c>
      <c r="DI4569">
        <v>0</v>
      </c>
    </row>
    <row r="4570" spans="1:113" x14ac:dyDescent="0.3">
      <c r="A4570" t="str">
        <f>"02/08/2021 20:39:50.928"</f>
        <v>02/08/2021 20:39:50.928</v>
      </c>
      <c r="C4570" t="str">
        <f t="shared" si="224"/>
        <v>FFDFD7C0</v>
      </c>
      <c r="D4570" t="s">
        <v>113</v>
      </c>
      <c r="E4570">
        <v>6</v>
      </c>
      <c r="H4570">
        <v>165</v>
      </c>
      <c r="I4570" t="s">
        <v>114</v>
      </c>
      <c r="J4570" t="s">
        <v>115</v>
      </c>
      <c r="K4570">
        <v>0</v>
      </c>
      <c r="L4570">
        <v>3</v>
      </c>
      <c r="M4570">
        <v>0</v>
      </c>
      <c r="N4570">
        <v>2</v>
      </c>
      <c r="O4570">
        <v>1</v>
      </c>
      <c r="P4570">
        <v>0</v>
      </c>
      <c r="Q4570">
        <v>0</v>
      </c>
      <c r="S4570" t="str">
        <f>"20:39:53.242"</f>
        <v>20:39:53.242</v>
      </c>
      <c r="T4570" t="str">
        <f>"20:39:52.342"</f>
        <v>20:39:52.342</v>
      </c>
      <c r="U4570" t="str">
        <f t="shared" si="226"/>
        <v>AB01F4</v>
      </c>
      <c r="V4570">
        <v>0</v>
      </c>
      <c r="W4570">
        <v>0</v>
      </c>
      <c r="X4570">
        <v>2</v>
      </c>
      <c r="Z4570">
        <v>0</v>
      </c>
      <c r="AA4570">
        <v>9</v>
      </c>
      <c r="AB4570">
        <v>3</v>
      </c>
      <c r="AC4570">
        <v>0</v>
      </c>
      <c r="AD4570">
        <v>10</v>
      </c>
      <c r="AE4570">
        <v>0</v>
      </c>
      <c r="AF4570">
        <v>3</v>
      </c>
      <c r="AG4570">
        <v>2</v>
      </c>
      <c r="AH4570">
        <v>0</v>
      </c>
      <c r="AI4570" t="s">
        <v>2526</v>
      </c>
      <c r="AJ4570">
        <v>40.148335000000003</v>
      </c>
      <c r="AK4570" t="s">
        <v>2527</v>
      </c>
      <c r="AL4570">
        <v>-93.248777000000004</v>
      </c>
      <c r="AM4570">
        <v>100</v>
      </c>
      <c r="AN4570">
        <v>1200</v>
      </c>
      <c r="AO4570" t="s">
        <v>118</v>
      </c>
      <c r="AP4570">
        <v>-135</v>
      </c>
      <c r="AQ4570">
        <v>-23</v>
      </c>
      <c r="AR4570">
        <v>-256</v>
      </c>
      <c r="AZ4570">
        <v>1200</v>
      </c>
      <c r="BA4570">
        <v>1</v>
      </c>
      <c r="BB4570" t="str">
        <f t="shared" si="225"/>
        <v xml:space="preserve">N8080G  </v>
      </c>
      <c r="BC4570">
        <v>1</v>
      </c>
      <c r="BE4570">
        <v>0</v>
      </c>
      <c r="BF4570">
        <v>0</v>
      </c>
      <c r="BG4570">
        <v>0</v>
      </c>
      <c r="BH4570">
        <v>1275</v>
      </c>
      <c r="BI4570">
        <v>1</v>
      </c>
      <c r="BJ4570">
        <v>1</v>
      </c>
      <c r="BK4570">
        <v>1</v>
      </c>
      <c r="BL4570">
        <v>0</v>
      </c>
      <c r="BO4570">
        <v>0</v>
      </c>
      <c r="BP4570">
        <v>0</v>
      </c>
      <c r="BW4570" t="str">
        <f>"20:39:53.248"</f>
        <v>20:39:53.248</v>
      </c>
      <c r="BZ4570">
        <v>0</v>
      </c>
      <c r="CA4570">
        <v>1504</v>
      </c>
      <c r="CB4570">
        <v>224</v>
      </c>
      <c r="CD4570">
        <v>1</v>
      </c>
      <c r="CE4570">
        <v>0</v>
      </c>
      <c r="CF4570">
        <v>0</v>
      </c>
      <c r="CG4570">
        <v>1</v>
      </c>
      <c r="CH4570">
        <v>0</v>
      </c>
      <c r="CI4570">
        <v>0</v>
      </c>
      <c r="CJ4570">
        <v>0</v>
      </c>
      <c r="CK4570">
        <v>2</v>
      </c>
      <c r="CL4570">
        <v>0</v>
      </c>
      <c r="CM4570">
        <v>2</v>
      </c>
      <c r="CN4570">
        <v>0</v>
      </c>
      <c r="CO4570">
        <v>1</v>
      </c>
      <c r="CP4570" t="s">
        <v>119</v>
      </c>
      <c r="CQ4570">
        <v>180</v>
      </c>
      <c r="CR4570">
        <v>3</v>
      </c>
      <c r="CW4570">
        <v>1465337</v>
      </c>
      <c r="CY4570">
        <v>1</v>
      </c>
      <c r="CZ4570">
        <v>0</v>
      </c>
      <c r="DA4570">
        <v>1</v>
      </c>
      <c r="DB4570">
        <v>0</v>
      </c>
      <c r="DC4570">
        <v>0</v>
      </c>
      <c r="DD4570">
        <v>0</v>
      </c>
      <c r="DE4570">
        <v>0</v>
      </c>
      <c r="DF4570">
        <v>0</v>
      </c>
      <c r="DG4570">
        <v>0</v>
      </c>
      <c r="DH4570">
        <v>0</v>
      </c>
      <c r="DI4570">
        <v>0</v>
      </c>
    </row>
    <row r="4571" spans="1:113" x14ac:dyDescent="0.3">
      <c r="A4571" t="str">
        <f>"02/08/2021 20:39:51.883"</f>
        <v>02/08/2021 20:39:51.883</v>
      </c>
      <c r="C4571" t="str">
        <f t="shared" si="224"/>
        <v>FFDFD7C0</v>
      </c>
      <c r="D4571" t="s">
        <v>124</v>
      </c>
      <c r="E4571">
        <v>12</v>
      </c>
      <c r="F4571">
        <v>1012</v>
      </c>
      <c r="G4571" t="s">
        <v>675</v>
      </c>
      <c r="J4571" t="s">
        <v>125</v>
      </c>
      <c r="K4571">
        <v>0</v>
      </c>
      <c r="L4571">
        <v>3</v>
      </c>
      <c r="M4571">
        <v>0</v>
      </c>
      <c r="N4571">
        <v>2</v>
      </c>
      <c r="O4571">
        <v>1</v>
      </c>
      <c r="P4571">
        <v>0</v>
      </c>
      <c r="Q4571">
        <v>0</v>
      </c>
      <c r="S4571" t="str">
        <f>"20:39:54.180"</f>
        <v>20:39:54.180</v>
      </c>
      <c r="T4571" t="str">
        <f>"20:39:53.280"</f>
        <v>20:39:53.280</v>
      </c>
      <c r="U4571" t="str">
        <f t="shared" si="226"/>
        <v>AB01F4</v>
      </c>
      <c r="V4571">
        <v>0</v>
      </c>
      <c r="W4571">
        <v>0</v>
      </c>
      <c r="X4571">
        <v>2</v>
      </c>
      <c r="Z4571">
        <v>0</v>
      </c>
      <c r="AA4571">
        <v>9</v>
      </c>
      <c r="AB4571">
        <v>3</v>
      </c>
      <c r="AC4571">
        <v>0</v>
      </c>
      <c r="AD4571">
        <v>10</v>
      </c>
      <c r="AE4571">
        <v>0</v>
      </c>
      <c r="AF4571">
        <v>3</v>
      </c>
      <c r="AG4571">
        <v>2</v>
      </c>
      <c r="AH4571">
        <v>0</v>
      </c>
      <c r="AI4571" t="s">
        <v>2528</v>
      </c>
      <c r="AJ4571">
        <v>40.148249</v>
      </c>
      <c r="AK4571" t="s">
        <v>2529</v>
      </c>
      <c r="AL4571">
        <v>-93.249506999999994</v>
      </c>
      <c r="AM4571">
        <v>100</v>
      </c>
      <c r="AN4571">
        <v>1200</v>
      </c>
      <c r="AO4571" t="s">
        <v>118</v>
      </c>
      <c r="AP4571">
        <v>-135</v>
      </c>
      <c r="AQ4571">
        <v>-20</v>
      </c>
      <c r="AR4571">
        <v>-256</v>
      </c>
      <c r="AZ4571">
        <v>1200</v>
      </c>
      <c r="BA4571">
        <v>1</v>
      </c>
      <c r="BB4571" t="str">
        <f t="shared" si="225"/>
        <v xml:space="preserve">N8080G  </v>
      </c>
      <c r="BC4571">
        <v>1</v>
      </c>
      <c r="BE4571">
        <v>0</v>
      </c>
      <c r="BF4571">
        <v>0</v>
      </c>
      <c r="BG4571">
        <v>0</v>
      </c>
      <c r="BH4571">
        <v>1275</v>
      </c>
      <c r="BI4571">
        <v>1</v>
      </c>
      <c r="BJ4571">
        <v>1</v>
      </c>
      <c r="BK4571">
        <v>1</v>
      </c>
      <c r="BL4571">
        <v>0</v>
      </c>
      <c r="BO4571">
        <v>0</v>
      </c>
      <c r="BP4571">
        <v>0</v>
      </c>
      <c r="BW4571" t="str">
        <f>"20:39:54.182"</f>
        <v>20:39:54.182</v>
      </c>
      <c r="BZ4571">
        <v>0</v>
      </c>
      <c r="CA4571">
        <v>1504</v>
      </c>
      <c r="CB4571">
        <v>224</v>
      </c>
      <c r="CD4571">
        <v>1</v>
      </c>
      <c r="CE4571">
        <v>0</v>
      </c>
      <c r="CF4571">
        <v>0</v>
      </c>
      <c r="CG4571">
        <v>1</v>
      </c>
      <c r="CH4571">
        <v>0</v>
      </c>
      <c r="CI4571">
        <v>0</v>
      </c>
      <c r="CJ4571">
        <v>0</v>
      </c>
      <c r="CK4571">
        <v>2</v>
      </c>
      <c r="CL4571">
        <v>0</v>
      </c>
      <c r="CM4571">
        <v>2</v>
      </c>
      <c r="CN4571">
        <v>0</v>
      </c>
      <c r="CO4571">
        <v>1</v>
      </c>
      <c r="CP4571" t="s">
        <v>119</v>
      </c>
      <c r="CQ4571">
        <v>180</v>
      </c>
      <c r="CR4571">
        <v>3</v>
      </c>
      <c r="CW4571">
        <v>1466002</v>
      </c>
      <c r="CY4571">
        <v>1</v>
      </c>
      <c r="CZ4571">
        <v>0</v>
      </c>
      <c r="DA4571">
        <v>0</v>
      </c>
      <c r="DB4571">
        <v>0</v>
      </c>
      <c r="DC4571">
        <v>0</v>
      </c>
      <c r="DD4571">
        <v>0</v>
      </c>
      <c r="DE4571">
        <v>0</v>
      </c>
      <c r="DF4571">
        <v>0</v>
      </c>
      <c r="DG4571">
        <v>0</v>
      </c>
      <c r="DH4571">
        <v>0</v>
      </c>
      <c r="DI4571">
        <v>0</v>
      </c>
    </row>
    <row r="4572" spans="1:113" x14ac:dyDescent="0.3">
      <c r="A4572" t="str">
        <f>"02/08/2021 20:39:51.883"</f>
        <v>02/08/2021 20:39:51.883</v>
      </c>
      <c r="C4572" t="str">
        <f t="shared" si="224"/>
        <v>FFDFD7C0</v>
      </c>
      <c r="D4572" t="s">
        <v>124</v>
      </c>
      <c r="E4572">
        <v>11</v>
      </c>
      <c r="F4572">
        <v>1011</v>
      </c>
      <c r="G4572" t="s">
        <v>590</v>
      </c>
      <c r="J4572" t="s">
        <v>125</v>
      </c>
      <c r="K4572">
        <v>0</v>
      </c>
      <c r="L4572">
        <v>3</v>
      </c>
      <c r="M4572">
        <v>0</v>
      </c>
      <c r="N4572">
        <v>2</v>
      </c>
      <c r="O4572">
        <v>1</v>
      </c>
      <c r="P4572">
        <v>0</v>
      </c>
      <c r="Q4572">
        <v>0</v>
      </c>
      <c r="S4572" t="str">
        <f>"20:39:54.180"</f>
        <v>20:39:54.180</v>
      </c>
      <c r="T4572" t="str">
        <f>"20:39:53.280"</f>
        <v>20:39:53.280</v>
      </c>
      <c r="U4572" t="str">
        <f t="shared" si="226"/>
        <v>AB01F4</v>
      </c>
      <c r="V4572">
        <v>0</v>
      </c>
      <c r="W4572">
        <v>0</v>
      </c>
      <c r="X4572">
        <v>2</v>
      </c>
      <c r="Z4572">
        <v>0</v>
      </c>
      <c r="AA4572">
        <v>9</v>
      </c>
      <c r="AB4572">
        <v>3</v>
      </c>
      <c r="AC4572">
        <v>0</v>
      </c>
      <c r="AD4572">
        <v>10</v>
      </c>
      <c r="AE4572">
        <v>0</v>
      </c>
      <c r="AF4572">
        <v>3</v>
      </c>
      <c r="AG4572">
        <v>2</v>
      </c>
      <c r="AH4572">
        <v>0</v>
      </c>
      <c r="AI4572" t="s">
        <v>2528</v>
      </c>
      <c r="AJ4572">
        <v>40.148249</v>
      </c>
      <c r="AK4572" t="s">
        <v>2529</v>
      </c>
      <c r="AL4572">
        <v>-93.249506999999994</v>
      </c>
      <c r="AM4572">
        <v>100</v>
      </c>
      <c r="AN4572">
        <v>1200</v>
      </c>
      <c r="AO4572" t="s">
        <v>118</v>
      </c>
      <c r="AP4572">
        <v>-135</v>
      </c>
      <c r="AQ4572">
        <v>-20</v>
      </c>
      <c r="AR4572">
        <v>-256</v>
      </c>
      <c r="AZ4572">
        <v>1200</v>
      </c>
      <c r="BA4572">
        <v>1</v>
      </c>
      <c r="BB4572" t="str">
        <f t="shared" si="225"/>
        <v xml:space="preserve">N8080G  </v>
      </c>
      <c r="BC4572">
        <v>1</v>
      </c>
      <c r="BE4572">
        <v>0</v>
      </c>
      <c r="BF4572">
        <v>0</v>
      </c>
      <c r="BG4572">
        <v>0</v>
      </c>
      <c r="BH4572">
        <v>1275</v>
      </c>
      <c r="BI4572">
        <v>1</v>
      </c>
      <c r="BJ4572">
        <v>1</v>
      </c>
      <c r="BK4572">
        <v>1</v>
      </c>
      <c r="BL4572">
        <v>0</v>
      </c>
      <c r="BO4572">
        <v>0</v>
      </c>
      <c r="BP4572">
        <v>0</v>
      </c>
      <c r="BW4572" t="str">
        <f>"20:39:54.182"</f>
        <v>20:39:54.182</v>
      </c>
      <c r="BZ4572">
        <v>0</v>
      </c>
      <c r="CA4572">
        <v>1504</v>
      </c>
      <c r="CB4572">
        <v>224</v>
      </c>
      <c r="CD4572">
        <v>1</v>
      </c>
      <c r="CE4572">
        <v>0</v>
      </c>
      <c r="CF4572">
        <v>0</v>
      </c>
      <c r="CG4572">
        <v>1</v>
      </c>
      <c r="CH4572">
        <v>0</v>
      </c>
      <c r="CI4572">
        <v>0</v>
      </c>
      <c r="CJ4572">
        <v>0</v>
      </c>
      <c r="CK4572">
        <v>2</v>
      </c>
      <c r="CL4572">
        <v>0</v>
      </c>
      <c r="CM4572">
        <v>2</v>
      </c>
      <c r="CN4572">
        <v>0</v>
      </c>
      <c r="CO4572">
        <v>1</v>
      </c>
      <c r="CP4572" t="s">
        <v>119</v>
      </c>
      <c r="CQ4572">
        <v>180</v>
      </c>
      <c r="CR4572">
        <v>3</v>
      </c>
      <c r="CW4572">
        <v>1466002</v>
      </c>
      <c r="CY4572">
        <v>1</v>
      </c>
      <c r="CZ4572">
        <v>0</v>
      </c>
      <c r="DA4572">
        <v>1</v>
      </c>
      <c r="DB4572">
        <v>0</v>
      </c>
      <c r="DC4572">
        <v>0</v>
      </c>
      <c r="DD4572">
        <v>0</v>
      </c>
      <c r="DE4572">
        <v>0</v>
      </c>
      <c r="DF4572">
        <v>0</v>
      </c>
      <c r="DG4572">
        <v>0</v>
      </c>
      <c r="DH4572">
        <v>0</v>
      </c>
      <c r="DI4572">
        <v>0</v>
      </c>
    </row>
    <row r="4573" spans="1:113" x14ac:dyDescent="0.3">
      <c r="A4573" t="str">
        <f>"02/08/2021 20:39:51.883"</f>
        <v>02/08/2021 20:39:51.883</v>
      </c>
      <c r="C4573" t="str">
        <f t="shared" si="224"/>
        <v>FFDFD7C0</v>
      </c>
      <c r="D4573" t="s">
        <v>124</v>
      </c>
      <c r="E4573">
        <v>13</v>
      </c>
      <c r="F4573">
        <v>1013</v>
      </c>
      <c r="G4573" t="s">
        <v>114</v>
      </c>
      <c r="J4573" t="s">
        <v>125</v>
      </c>
      <c r="K4573">
        <v>0</v>
      </c>
      <c r="L4573">
        <v>3</v>
      </c>
      <c r="M4573">
        <v>0</v>
      </c>
      <c r="N4573">
        <v>2</v>
      </c>
      <c r="O4573">
        <v>1</v>
      </c>
      <c r="P4573">
        <v>0</v>
      </c>
      <c r="Q4573">
        <v>0</v>
      </c>
      <c r="S4573" t="str">
        <f>"20:39:54.180"</f>
        <v>20:39:54.180</v>
      </c>
      <c r="T4573" t="str">
        <f>"20:39:53.280"</f>
        <v>20:39:53.280</v>
      </c>
      <c r="U4573" t="str">
        <f t="shared" si="226"/>
        <v>AB01F4</v>
      </c>
      <c r="V4573">
        <v>0</v>
      </c>
      <c r="W4573">
        <v>0</v>
      </c>
      <c r="X4573">
        <v>2</v>
      </c>
      <c r="Z4573">
        <v>0</v>
      </c>
      <c r="AA4573">
        <v>9</v>
      </c>
      <c r="AB4573">
        <v>3</v>
      </c>
      <c r="AC4573">
        <v>0</v>
      </c>
      <c r="AD4573">
        <v>10</v>
      </c>
      <c r="AE4573">
        <v>0</v>
      </c>
      <c r="AF4573">
        <v>3</v>
      </c>
      <c r="AG4573">
        <v>2</v>
      </c>
      <c r="AH4573">
        <v>0</v>
      </c>
      <c r="AI4573" t="s">
        <v>2528</v>
      </c>
      <c r="AJ4573">
        <v>40.148249</v>
      </c>
      <c r="AK4573" t="s">
        <v>2529</v>
      </c>
      <c r="AL4573">
        <v>-93.249506999999994</v>
      </c>
      <c r="AM4573">
        <v>100</v>
      </c>
      <c r="AN4573">
        <v>1200</v>
      </c>
      <c r="AO4573" t="s">
        <v>118</v>
      </c>
      <c r="AP4573">
        <v>-135</v>
      </c>
      <c r="AQ4573">
        <v>-20</v>
      </c>
      <c r="AR4573">
        <v>-256</v>
      </c>
      <c r="AZ4573">
        <v>1200</v>
      </c>
      <c r="BA4573">
        <v>1</v>
      </c>
      <c r="BB4573" t="str">
        <f t="shared" si="225"/>
        <v xml:space="preserve">N8080G  </v>
      </c>
      <c r="BC4573">
        <v>1</v>
      </c>
      <c r="BE4573">
        <v>0</v>
      </c>
      <c r="BF4573">
        <v>0</v>
      </c>
      <c r="BG4573">
        <v>0</v>
      </c>
      <c r="BH4573">
        <v>1275</v>
      </c>
      <c r="BI4573">
        <v>1</v>
      </c>
      <c r="BJ4573">
        <v>1</v>
      </c>
      <c r="BK4573">
        <v>1</v>
      </c>
      <c r="BL4573">
        <v>0</v>
      </c>
      <c r="BO4573">
        <v>0</v>
      </c>
      <c r="BP4573">
        <v>0</v>
      </c>
      <c r="BW4573" t="str">
        <f>"20:39:54.182"</f>
        <v>20:39:54.182</v>
      </c>
      <c r="BZ4573">
        <v>0</v>
      </c>
      <c r="CA4573">
        <v>1504</v>
      </c>
      <c r="CB4573">
        <v>224</v>
      </c>
      <c r="CD4573">
        <v>1</v>
      </c>
      <c r="CE4573">
        <v>0</v>
      </c>
      <c r="CF4573">
        <v>0</v>
      </c>
      <c r="CG4573">
        <v>1</v>
      </c>
      <c r="CH4573">
        <v>0</v>
      </c>
      <c r="CI4573">
        <v>0</v>
      </c>
      <c r="CJ4573">
        <v>0</v>
      </c>
      <c r="CK4573">
        <v>2</v>
      </c>
      <c r="CL4573">
        <v>0</v>
      </c>
      <c r="CM4573">
        <v>2</v>
      </c>
      <c r="CN4573">
        <v>0</v>
      </c>
      <c r="CO4573">
        <v>1</v>
      </c>
      <c r="CP4573" t="s">
        <v>119</v>
      </c>
      <c r="CQ4573">
        <v>180</v>
      </c>
      <c r="CR4573">
        <v>3</v>
      </c>
      <c r="CW4573">
        <v>1466002</v>
      </c>
      <c r="CY4573">
        <v>1</v>
      </c>
      <c r="CZ4573">
        <v>0</v>
      </c>
      <c r="DA4573">
        <v>1</v>
      </c>
      <c r="DB4573">
        <v>0</v>
      </c>
      <c r="DC4573">
        <v>0</v>
      </c>
      <c r="DD4573">
        <v>0</v>
      </c>
      <c r="DE4573">
        <v>0</v>
      </c>
      <c r="DF4573">
        <v>0</v>
      </c>
      <c r="DG4573">
        <v>0</v>
      </c>
      <c r="DH4573">
        <v>0</v>
      </c>
      <c r="DI4573">
        <v>0</v>
      </c>
    </row>
    <row r="4574" spans="1:113" x14ac:dyDescent="0.3">
      <c r="A4574" t="str">
        <f>"02/08/2021 20:39:51.883"</f>
        <v>02/08/2021 20:39:51.883</v>
      </c>
      <c r="C4574" t="str">
        <f t="shared" si="224"/>
        <v>FFDFD7C0</v>
      </c>
      <c r="D4574" t="s">
        <v>113</v>
      </c>
      <c r="E4574">
        <v>6</v>
      </c>
      <c r="H4574">
        <v>165</v>
      </c>
      <c r="I4574" t="s">
        <v>114</v>
      </c>
      <c r="J4574" t="s">
        <v>115</v>
      </c>
      <c r="K4574">
        <v>0</v>
      </c>
      <c r="L4574">
        <v>3</v>
      </c>
      <c r="M4574">
        <v>0</v>
      </c>
      <c r="N4574">
        <v>2</v>
      </c>
      <c r="O4574">
        <v>1</v>
      </c>
      <c r="P4574">
        <v>0</v>
      </c>
      <c r="Q4574">
        <v>0</v>
      </c>
      <c r="S4574" t="str">
        <f>"20:39:54.180"</f>
        <v>20:39:54.180</v>
      </c>
      <c r="T4574" t="str">
        <f>"20:39:53.280"</f>
        <v>20:39:53.280</v>
      </c>
      <c r="U4574" t="str">
        <f t="shared" si="226"/>
        <v>AB01F4</v>
      </c>
      <c r="V4574">
        <v>0</v>
      </c>
      <c r="W4574">
        <v>0</v>
      </c>
      <c r="X4574">
        <v>2</v>
      </c>
      <c r="Z4574">
        <v>0</v>
      </c>
      <c r="AA4574">
        <v>9</v>
      </c>
      <c r="AB4574">
        <v>3</v>
      </c>
      <c r="AC4574">
        <v>0</v>
      </c>
      <c r="AD4574">
        <v>10</v>
      </c>
      <c r="AE4574">
        <v>0</v>
      </c>
      <c r="AF4574">
        <v>3</v>
      </c>
      <c r="AG4574">
        <v>2</v>
      </c>
      <c r="AH4574">
        <v>0</v>
      </c>
      <c r="AI4574" t="s">
        <v>2528</v>
      </c>
      <c r="AJ4574">
        <v>40.148249</v>
      </c>
      <c r="AK4574" t="s">
        <v>2529</v>
      </c>
      <c r="AL4574">
        <v>-93.249506999999994</v>
      </c>
      <c r="AM4574">
        <v>100</v>
      </c>
      <c r="AN4574">
        <v>1200</v>
      </c>
      <c r="AO4574" t="s">
        <v>118</v>
      </c>
      <c r="AP4574">
        <v>-135</v>
      </c>
      <c r="AQ4574">
        <v>-20</v>
      </c>
      <c r="AR4574">
        <v>-256</v>
      </c>
      <c r="AZ4574">
        <v>1200</v>
      </c>
      <c r="BA4574">
        <v>1</v>
      </c>
      <c r="BB4574" t="str">
        <f t="shared" si="225"/>
        <v xml:space="preserve">N8080G  </v>
      </c>
      <c r="BC4574">
        <v>1</v>
      </c>
      <c r="BE4574">
        <v>0</v>
      </c>
      <c r="BF4574">
        <v>0</v>
      </c>
      <c r="BG4574">
        <v>0</v>
      </c>
      <c r="BH4574">
        <v>1275</v>
      </c>
      <c r="BI4574">
        <v>1</v>
      </c>
      <c r="BJ4574">
        <v>1</v>
      </c>
      <c r="BK4574">
        <v>1</v>
      </c>
      <c r="BL4574">
        <v>0</v>
      </c>
      <c r="BO4574">
        <v>0</v>
      </c>
      <c r="BP4574">
        <v>0</v>
      </c>
      <c r="BW4574" t="str">
        <f>"20:39:54.182"</f>
        <v>20:39:54.182</v>
      </c>
      <c r="BZ4574">
        <v>0</v>
      </c>
      <c r="CA4574">
        <v>1504</v>
      </c>
      <c r="CB4574">
        <v>224</v>
      </c>
      <c r="CD4574">
        <v>1</v>
      </c>
      <c r="CE4574">
        <v>0</v>
      </c>
      <c r="CF4574">
        <v>0</v>
      </c>
      <c r="CG4574">
        <v>1</v>
      </c>
      <c r="CH4574">
        <v>0</v>
      </c>
      <c r="CI4574">
        <v>0</v>
      </c>
      <c r="CJ4574">
        <v>0</v>
      </c>
      <c r="CK4574">
        <v>2</v>
      </c>
      <c r="CL4574">
        <v>0</v>
      </c>
      <c r="CM4574">
        <v>2</v>
      </c>
      <c r="CN4574">
        <v>0</v>
      </c>
      <c r="CO4574">
        <v>1</v>
      </c>
      <c r="CP4574" t="s">
        <v>119</v>
      </c>
      <c r="CQ4574">
        <v>180</v>
      </c>
      <c r="CR4574">
        <v>3</v>
      </c>
      <c r="CW4574">
        <v>1466002</v>
      </c>
      <c r="CY4574">
        <v>1</v>
      </c>
      <c r="CZ4574">
        <v>0</v>
      </c>
      <c r="DA4574">
        <v>1</v>
      </c>
      <c r="DB4574">
        <v>0</v>
      </c>
      <c r="DC4574">
        <v>0</v>
      </c>
      <c r="DD4574">
        <v>0</v>
      </c>
      <c r="DE4574">
        <v>0</v>
      </c>
      <c r="DF4574">
        <v>0</v>
      </c>
      <c r="DG4574">
        <v>0</v>
      </c>
      <c r="DH4574">
        <v>0</v>
      </c>
      <c r="DI4574">
        <v>0</v>
      </c>
    </row>
    <row r="4575" spans="1:113" x14ac:dyDescent="0.3">
      <c r="A4575" t="str">
        <f>"02/08/2021 20:39:52.717"</f>
        <v>02/08/2021 20:39:52.717</v>
      </c>
      <c r="C4575" t="str">
        <f t="shared" si="224"/>
        <v>FFDFD7C0</v>
      </c>
      <c r="D4575" t="s">
        <v>113</v>
      </c>
      <c r="E4575">
        <v>6</v>
      </c>
      <c r="H4575">
        <v>165</v>
      </c>
      <c r="I4575" t="s">
        <v>114</v>
      </c>
      <c r="J4575" t="s">
        <v>115</v>
      </c>
      <c r="K4575">
        <v>0</v>
      </c>
      <c r="L4575">
        <v>3</v>
      </c>
      <c r="M4575">
        <v>0</v>
      </c>
      <c r="N4575">
        <v>2</v>
      </c>
      <c r="O4575">
        <v>1</v>
      </c>
      <c r="P4575">
        <v>0</v>
      </c>
      <c r="Q4575">
        <v>0</v>
      </c>
      <c r="S4575" t="str">
        <f>"20:39:55.047"</f>
        <v>20:39:55.047</v>
      </c>
      <c r="T4575" t="str">
        <f>"20:39:53.247"</f>
        <v>20:39:53.247</v>
      </c>
      <c r="U4575" t="str">
        <f t="shared" si="226"/>
        <v>AB01F4</v>
      </c>
      <c r="V4575">
        <v>0</v>
      </c>
      <c r="W4575">
        <v>0</v>
      </c>
      <c r="X4575">
        <v>2</v>
      </c>
      <c r="Z4575">
        <v>0</v>
      </c>
      <c r="AA4575">
        <v>9</v>
      </c>
      <c r="AB4575">
        <v>3</v>
      </c>
      <c r="AC4575">
        <v>0</v>
      </c>
      <c r="AD4575">
        <v>10</v>
      </c>
      <c r="AE4575">
        <v>0</v>
      </c>
      <c r="AF4575">
        <v>3</v>
      </c>
      <c r="AG4575">
        <v>2</v>
      </c>
      <c r="AH4575">
        <v>0</v>
      </c>
      <c r="AI4575" t="s">
        <v>2530</v>
      </c>
      <c r="AJ4575">
        <v>40.148184000000001</v>
      </c>
      <c r="AK4575" t="s">
        <v>2531</v>
      </c>
      <c r="AL4575">
        <v>-93.250214999999997</v>
      </c>
      <c r="AM4575">
        <v>100</v>
      </c>
      <c r="AN4575">
        <v>1200</v>
      </c>
      <c r="AO4575" t="s">
        <v>118</v>
      </c>
      <c r="AP4575">
        <v>-135</v>
      </c>
      <c r="AQ4575">
        <v>-20</v>
      </c>
      <c r="AR4575">
        <v>-256</v>
      </c>
      <c r="AZ4575">
        <v>1200</v>
      </c>
      <c r="BA4575">
        <v>1</v>
      </c>
      <c r="BB4575" t="str">
        <f t="shared" si="225"/>
        <v xml:space="preserve">N8080G  </v>
      </c>
      <c r="BC4575">
        <v>1</v>
      </c>
      <c r="BE4575">
        <v>0</v>
      </c>
      <c r="BF4575">
        <v>0</v>
      </c>
      <c r="BG4575">
        <v>0</v>
      </c>
      <c r="BH4575">
        <v>1275</v>
      </c>
      <c r="BI4575">
        <v>1</v>
      </c>
      <c r="BJ4575">
        <v>1</v>
      </c>
      <c r="BK4575">
        <v>1</v>
      </c>
      <c r="BL4575">
        <v>0</v>
      </c>
      <c r="BO4575">
        <v>0</v>
      </c>
      <c r="BP4575">
        <v>0</v>
      </c>
      <c r="BW4575" t="str">
        <f>"20:39:55.052"</f>
        <v>20:39:55.052</v>
      </c>
      <c r="BZ4575">
        <v>0</v>
      </c>
      <c r="CA4575">
        <v>1504</v>
      </c>
      <c r="CB4575">
        <v>224</v>
      </c>
      <c r="CD4575">
        <v>1</v>
      </c>
      <c r="CE4575">
        <v>0</v>
      </c>
      <c r="CF4575">
        <v>0</v>
      </c>
      <c r="CG4575">
        <v>1</v>
      </c>
      <c r="CH4575">
        <v>0</v>
      </c>
      <c r="CI4575">
        <v>0</v>
      </c>
      <c r="CJ4575">
        <v>0</v>
      </c>
      <c r="CK4575">
        <v>2</v>
      </c>
      <c r="CL4575">
        <v>0</v>
      </c>
      <c r="CM4575">
        <v>2</v>
      </c>
      <c r="CN4575">
        <v>0</v>
      </c>
      <c r="CO4575">
        <v>1</v>
      </c>
      <c r="CP4575" t="s">
        <v>119</v>
      </c>
      <c r="CQ4575">
        <v>180</v>
      </c>
      <c r="CR4575">
        <v>3</v>
      </c>
      <c r="CW4575">
        <v>1466658</v>
      </c>
      <c r="CY4575">
        <v>1</v>
      </c>
      <c r="CZ4575">
        <v>0</v>
      </c>
      <c r="DA4575">
        <v>0</v>
      </c>
      <c r="DB4575">
        <v>0</v>
      </c>
      <c r="DC4575">
        <v>0</v>
      </c>
      <c r="DD4575">
        <v>0</v>
      </c>
      <c r="DE4575">
        <v>0</v>
      </c>
      <c r="DF4575">
        <v>0</v>
      </c>
      <c r="DG4575">
        <v>0</v>
      </c>
      <c r="DH4575">
        <v>0</v>
      </c>
      <c r="DI4575">
        <v>0</v>
      </c>
    </row>
    <row r="4576" spans="1:113" x14ac:dyDescent="0.3">
      <c r="A4576" t="str">
        <f>"02/08/2021 20:39:52.717"</f>
        <v>02/08/2021 20:39:52.717</v>
      </c>
      <c r="C4576" t="str">
        <f t="shared" si="224"/>
        <v>FFDFD7C0</v>
      </c>
      <c r="D4576" t="s">
        <v>124</v>
      </c>
      <c r="E4576">
        <v>12</v>
      </c>
      <c r="F4576">
        <v>1012</v>
      </c>
      <c r="G4576" t="s">
        <v>675</v>
      </c>
      <c r="J4576" t="s">
        <v>125</v>
      </c>
      <c r="K4576">
        <v>0</v>
      </c>
      <c r="L4576">
        <v>3</v>
      </c>
      <c r="M4576">
        <v>0</v>
      </c>
      <c r="N4576">
        <v>2</v>
      </c>
      <c r="O4576">
        <v>1</v>
      </c>
      <c r="P4576">
        <v>0</v>
      </c>
      <c r="Q4576">
        <v>0</v>
      </c>
      <c r="S4576" t="str">
        <f>"20:39:55.047"</f>
        <v>20:39:55.047</v>
      </c>
      <c r="T4576" t="str">
        <f>"20:39:53.247"</f>
        <v>20:39:53.247</v>
      </c>
      <c r="U4576" t="str">
        <f t="shared" si="226"/>
        <v>AB01F4</v>
      </c>
      <c r="V4576">
        <v>0</v>
      </c>
      <c r="W4576">
        <v>0</v>
      </c>
      <c r="X4576">
        <v>2</v>
      </c>
      <c r="Z4576">
        <v>0</v>
      </c>
      <c r="AA4576">
        <v>9</v>
      </c>
      <c r="AB4576">
        <v>3</v>
      </c>
      <c r="AC4576">
        <v>0</v>
      </c>
      <c r="AD4576">
        <v>10</v>
      </c>
      <c r="AE4576">
        <v>0</v>
      </c>
      <c r="AF4576">
        <v>3</v>
      </c>
      <c r="AG4576">
        <v>2</v>
      </c>
      <c r="AH4576">
        <v>0</v>
      </c>
      <c r="AI4576" t="s">
        <v>2530</v>
      </c>
      <c r="AJ4576">
        <v>40.148184000000001</v>
      </c>
      <c r="AK4576" t="s">
        <v>2531</v>
      </c>
      <c r="AL4576">
        <v>-93.250214999999997</v>
      </c>
      <c r="AM4576">
        <v>100</v>
      </c>
      <c r="AN4576">
        <v>1200</v>
      </c>
      <c r="AO4576" t="s">
        <v>118</v>
      </c>
      <c r="AP4576">
        <v>-135</v>
      </c>
      <c r="AQ4576">
        <v>-20</v>
      </c>
      <c r="AR4576">
        <v>-256</v>
      </c>
      <c r="AZ4576">
        <v>1200</v>
      </c>
      <c r="BA4576">
        <v>1</v>
      </c>
      <c r="BB4576" t="str">
        <f t="shared" si="225"/>
        <v xml:space="preserve">N8080G  </v>
      </c>
      <c r="BC4576">
        <v>1</v>
      </c>
      <c r="BE4576">
        <v>0</v>
      </c>
      <c r="BF4576">
        <v>0</v>
      </c>
      <c r="BG4576">
        <v>0</v>
      </c>
      <c r="BH4576">
        <v>1275</v>
      </c>
      <c r="BI4576">
        <v>1</v>
      </c>
      <c r="BJ4576">
        <v>1</v>
      </c>
      <c r="BK4576">
        <v>1</v>
      </c>
      <c r="BL4576">
        <v>0</v>
      </c>
      <c r="BO4576">
        <v>0</v>
      </c>
      <c r="BP4576">
        <v>0</v>
      </c>
      <c r="BW4576" t="str">
        <f>"20:39:55.052"</f>
        <v>20:39:55.052</v>
      </c>
      <c r="BZ4576">
        <v>0</v>
      </c>
      <c r="CA4576">
        <v>1504</v>
      </c>
      <c r="CB4576">
        <v>224</v>
      </c>
      <c r="CD4576">
        <v>1</v>
      </c>
      <c r="CE4576">
        <v>0</v>
      </c>
      <c r="CF4576">
        <v>0</v>
      </c>
      <c r="CG4576">
        <v>1</v>
      </c>
      <c r="CH4576">
        <v>0</v>
      </c>
      <c r="CI4576">
        <v>0</v>
      </c>
      <c r="CJ4576">
        <v>0</v>
      </c>
      <c r="CK4576">
        <v>2</v>
      </c>
      <c r="CL4576">
        <v>0</v>
      </c>
      <c r="CM4576">
        <v>2</v>
      </c>
      <c r="CN4576">
        <v>0</v>
      </c>
      <c r="CO4576">
        <v>1</v>
      </c>
      <c r="CP4576" t="s">
        <v>119</v>
      </c>
      <c r="CQ4576">
        <v>180</v>
      </c>
      <c r="CR4576">
        <v>3</v>
      </c>
      <c r="CW4576">
        <v>1466658</v>
      </c>
      <c r="CY4576">
        <v>1</v>
      </c>
      <c r="CZ4576">
        <v>0</v>
      </c>
      <c r="DA4576">
        <v>1</v>
      </c>
      <c r="DB4576">
        <v>0</v>
      </c>
      <c r="DC4576">
        <v>0</v>
      </c>
      <c r="DD4576">
        <v>0</v>
      </c>
      <c r="DE4576">
        <v>0</v>
      </c>
      <c r="DF4576">
        <v>0</v>
      </c>
      <c r="DG4576">
        <v>0</v>
      </c>
      <c r="DH4576">
        <v>0</v>
      </c>
      <c r="DI4576">
        <v>0</v>
      </c>
    </row>
    <row r="4577" spans="1:113" x14ac:dyDescent="0.3">
      <c r="A4577" t="str">
        <f>"02/08/2021 20:39:52.717"</f>
        <v>02/08/2021 20:39:52.717</v>
      </c>
      <c r="C4577" t="str">
        <f t="shared" si="224"/>
        <v>FFDFD7C0</v>
      </c>
      <c r="D4577" t="s">
        <v>124</v>
      </c>
      <c r="E4577">
        <v>11</v>
      </c>
      <c r="F4577">
        <v>1011</v>
      </c>
      <c r="G4577" t="s">
        <v>590</v>
      </c>
      <c r="J4577" t="s">
        <v>125</v>
      </c>
      <c r="K4577">
        <v>0</v>
      </c>
      <c r="L4577">
        <v>3</v>
      </c>
      <c r="M4577">
        <v>0</v>
      </c>
      <c r="N4577">
        <v>2</v>
      </c>
      <c r="O4577">
        <v>1</v>
      </c>
      <c r="P4577">
        <v>0</v>
      </c>
      <c r="Q4577">
        <v>0</v>
      </c>
      <c r="S4577" t="str">
        <f>"20:39:55.047"</f>
        <v>20:39:55.047</v>
      </c>
      <c r="T4577" t="str">
        <f>"20:39:53.247"</f>
        <v>20:39:53.247</v>
      </c>
      <c r="U4577" t="str">
        <f t="shared" si="226"/>
        <v>AB01F4</v>
      </c>
      <c r="V4577">
        <v>0</v>
      </c>
      <c r="W4577">
        <v>0</v>
      </c>
      <c r="X4577">
        <v>2</v>
      </c>
      <c r="Z4577">
        <v>0</v>
      </c>
      <c r="AA4577">
        <v>9</v>
      </c>
      <c r="AB4577">
        <v>3</v>
      </c>
      <c r="AC4577">
        <v>0</v>
      </c>
      <c r="AD4577">
        <v>10</v>
      </c>
      <c r="AE4577">
        <v>0</v>
      </c>
      <c r="AF4577">
        <v>3</v>
      </c>
      <c r="AG4577">
        <v>2</v>
      </c>
      <c r="AH4577">
        <v>0</v>
      </c>
      <c r="AI4577" t="s">
        <v>2530</v>
      </c>
      <c r="AJ4577">
        <v>40.148184000000001</v>
      </c>
      <c r="AK4577" t="s">
        <v>2531</v>
      </c>
      <c r="AL4577">
        <v>-93.250214999999997</v>
      </c>
      <c r="AM4577">
        <v>100</v>
      </c>
      <c r="AN4577">
        <v>1200</v>
      </c>
      <c r="AO4577" t="s">
        <v>118</v>
      </c>
      <c r="AP4577">
        <v>-135</v>
      </c>
      <c r="AQ4577">
        <v>-20</v>
      </c>
      <c r="AR4577">
        <v>-256</v>
      </c>
      <c r="AZ4577">
        <v>1200</v>
      </c>
      <c r="BA4577">
        <v>1</v>
      </c>
      <c r="BB4577" t="str">
        <f t="shared" si="225"/>
        <v xml:space="preserve">N8080G  </v>
      </c>
      <c r="BC4577">
        <v>1</v>
      </c>
      <c r="BE4577">
        <v>0</v>
      </c>
      <c r="BF4577">
        <v>0</v>
      </c>
      <c r="BG4577">
        <v>0</v>
      </c>
      <c r="BH4577">
        <v>1275</v>
      </c>
      <c r="BI4577">
        <v>1</v>
      </c>
      <c r="BJ4577">
        <v>1</v>
      </c>
      <c r="BK4577">
        <v>1</v>
      </c>
      <c r="BL4577">
        <v>0</v>
      </c>
      <c r="BO4577">
        <v>0</v>
      </c>
      <c r="BP4577">
        <v>0</v>
      </c>
      <c r="BW4577" t="str">
        <f>"20:39:55.052"</f>
        <v>20:39:55.052</v>
      </c>
      <c r="BZ4577">
        <v>0</v>
      </c>
      <c r="CA4577">
        <v>1504</v>
      </c>
      <c r="CB4577">
        <v>224</v>
      </c>
      <c r="CD4577">
        <v>1</v>
      </c>
      <c r="CE4577">
        <v>0</v>
      </c>
      <c r="CF4577">
        <v>0</v>
      </c>
      <c r="CG4577">
        <v>1</v>
      </c>
      <c r="CH4577">
        <v>0</v>
      </c>
      <c r="CI4577">
        <v>0</v>
      </c>
      <c r="CJ4577">
        <v>0</v>
      </c>
      <c r="CK4577">
        <v>2</v>
      </c>
      <c r="CL4577">
        <v>0</v>
      </c>
      <c r="CM4577">
        <v>2</v>
      </c>
      <c r="CN4577">
        <v>0</v>
      </c>
      <c r="CO4577">
        <v>1</v>
      </c>
      <c r="CP4577" t="s">
        <v>119</v>
      </c>
      <c r="CQ4577">
        <v>180</v>
      </c>
      <c r="CR4577">
        <v>3</v>
      </c>
      <c r="CW4577">
        <v>1466658</v>
      </c>
      <c r="CY4577">
        <v>1</v>
      </c>
      <c r="CZ4577">
        <v>0</v>
      </c>
      <c r="DA4577">
        <v>1</v>
      </c>
      <c r="DB4577">
        <v>0</v>
      </c>
      <c r="DC4577">
        <v>0</v>
      </c>
      <c r="DD4577">
        <v>0</v>
      </c>
      <c r="DE4577">
        <v>0</v>
      </c>
      <c r="DF4577">
        <v>0</v>
      </c>
      <c r="DG4577">
        <v>0</v>
      </c>
      <c r="DH4577">
        <v>0</v>
      </c>
      <c r="DI4577">
        <v>0</v>
      </c>
    </row>
    <row r="4578" spans="1:113" x14ac:dyDescent="0.3">
      <c r="A4578" t="str">
        <f>"02/08/2021 20:39:52.717"</f>
        <v>02/08/2021 20:39:52.717</v>
      </c>
      <c r="C4578" t="str">
        <f t="shared" si="224"/>
        <v>FFDFD7C0</v>
      </c>
      <c r="D4578" t="s">
        <v>124</v>
      </c>
      <c r="E4578">
        <v>13</v>
      </c>
      <c r="F4578">
        <v>1013</v>
      </c>
      <c r="G4578" t="s">
        <v>114</v>
      </c>
      <c r="J4578" t="s">
        <v>125</v>
      </c>
      <c r="K4578">
        <v>0</v>
      </c>
      <c r="L4578">
        <v>3</v>
      </c>
      <c r="M4578">
        <v>0</v>
      </c>
      <c r="N4578">
        <v>2</v>
      </c>
      <c r="O4578">
        <v>1</v>
      </c>
      <c r="P4578">
        <v>0</v>
      </c>
      <c r="Q4578">
        <v>0</v>
      </c>
      <c r="S4578" t="str">
        <f>"20:39:55.047"</f>
        <v>20:39:55.047</v>
      </c>
      <c r="T4578" t="str">
        <f>"20:39:53.247"</f>
        <v>20:39:53.247</v>
      </c>
      <c r="U4578" t="str">
        <f t="shared" si="226"/>
        <v>AB01F4</v>
      </c>
      <c r="V4578">
        <v>0</v>
      </c>
      <c r="W4578">
        <v>0</v>
      </c>
      <c r="X4578">
        <v>2</v>
      </c>
      <c r="Z4578">
        <v>0</v>
      </c>
      <c r="AA4578">
        <v>9</v>
      </c>
      <c r="AB4578">
        <v>3</v>
      </c>
      <c r="AC4578">
        <v>0</v>
      </c>
      <c r="AD4578">
        <v>10</v>
      </c>
      <c r="AE4578">
        <v>0</v>
      </c>
      <c r="AF4578">
        <v>3</v>
      </c>
      <c r="AG4578">
        <v>2</v>
      </c>
      <c r="AH4578">
        <v>0</v>
      </c>
      <c r="AI4578" t="s">
        <v>2530</v>
      </c>
      <c r="AJ4578">
        <v>40.148184000000001</v>
      </c>
      <c r="AK4578" t="s">
        <v>2531</v>
      </c>
      <c r="AL4578">
        <v>-93.250214999999997</v>
      </c>
      <c r="AM4578">
        <v>100</v>
      </c>
      <c r="AN4578">
        <v>1200</v>
      </c>
      <c r="AO4578" t="s">
        <v>118</v>
      </c>
      <c r="AP4578">
        <v>-135</v>
      </c>
      <c r="AQ4578">
        <v>-20</v>
      </c>
      <c r="AR4578">
        <v>-256</v>
      </c>
      <c r="AZ4578">
        <v>1200</v>
      </c>
      <c r="BA4578">
        <v>1</v>
      </c>
      <c r="BB4578" t="str">
        <f t="shared" si="225"/>
        <v xml:space="preserve">N8080G  </v>
      </c>
      <c r="BC4578">
        <v>1</v>
      </c>
      <c r="BE4578">
        <v>0</v>
      </c>
      <c r="BF4578">
        <v>0</v>
      </c>
      <c r="BG4578">
        <v>0</v>
      </c>
      <c r="BH4578">
        <v>1275</v>
      </c>
      <c r="BI4578">
        <v>1</v>
      </c>
      <c r="BJ4578">
        <v>1</v>
      </c>
      <c r="BK4578">
        <v>1</v>
      </c>
      <c r="BL4578">
        <v>0</v>
      </c>
      <c r="BO4578">
        <v>0</v>
      </c>
      <c r="BP4578">
        <v>0</v>
      </c>
      <c r="BW4578" t="str">
        <f>"20:39:55.052"</f>
        <v>20:39:55.052</v>
      </c>
      <c r="BZ4578">
        <v>0</v>
      </c>
      <c r="CA4578">
        <v>1504</v>
      </c>
      <c r="CB4578">
        <v>224</v>
      </c>
      <c r="CD4578">
        <v>1</v>
      </c>
      <c r="CE4578">
        <v>0</v>
      </c>
      <c r="CF4578">
        <v>0</v>
      </c>
      <c r="CG4578">
        <v>1</v>
      </c>
      <c r="CH4578">
        <v>0</v>
      </c>
      <c r="CI4578">
        <v>0</v>
      </c>
      <c r="CJ4578">
        <v>0</v>
      </c>
      <c r="CK4578">
        <v>2</v>
      </c>
      <c r="CL4578">
        <v>0</v>
      </c>
      <c r="CM4578">
        <v>2</v>
      </c>
      <c r="CN4578">
        <v>0</v>
      </c>
      <c r="CO4578">
        <v>1</v>
      </c>
      <c r="CP4578" t="s">
        <v>119</v>
      </c>
      <c r="CQ4578">
        <v>180</v>
      </c>
      <c r="CR4578">
        <v>3</v>
      </c>
      <c r="CW4578">
        <v>1466658</v>
      </c>
      <c r="CY4578">
        <v>1</v>
      </c>
      <c r="CZ4578">
        <v>0</v>
      </c>
      <c r="DA4578">
        <v>1</v>
      </c>
      <c r="DB4578">
        <v>0</v>
      </c>
      <c r="DC4578">
        <v>0</v>
      </c>
      <c r="DD4578">
        <v>0</v>
      </c>
      <c r="DE4578">
        <v>0</v>
      </c>
      <c r="DF4578">
        <v>0</v>
      </c>
      <c r="DG4578">
        <v>0</v>
      </c>
      <c r="DH4578">
        <v>0</v>
      </c>
      <c r="DI4578">
        <v>0</v>
      </c>
    </row>
    <row r="4579" spans="1:113" x14ac:dyDescent="0.3">
      <c r="A4579" t="str">
        <f>"02/08/2021 20:39:53.527"</f>
        <v>02/08/2021 20:39:53.527</v>
      </c>
      <c r="C4579" t="str">
        <f t="shared" si="224"/>
        <v>FFDFD7C0</v>
      </c>
      <c r="D4579" t="s">
        <v>113</v>
      </c>
      <c r="E4579">
        <v>6</v>
      </c>
      <c r="H4579">
        <v>165</v>
      </c>
      <c r="I4579" t="s">
        <v>114</v>
      </c>
      <c r="J4579" t="s">
        <v>115</v>
      </c>
      <c r="K4579">
        <v>0</v>
      </c>
      <c r="L4579">
        <v>3</v>
      </c>
      <c r="M4579">
        <v>0</v>
      </c>
      <c r="N4579">
        <v>2</v>
      </c>
      <c r="O4579">
        <v>1</v>
      </c>
      <c r="P4579">
        <v>0</v>
      </c>
      <c r="Q4579">
        <v>0</v>
      </c>
      <c r="S4579" t="str">
        <f>"20:39:55.859"</f>
        <v>20:39:55.859</v>
      </c>
      <c r="T4579" t="str">
        <f>"20:39:55.459"</f>
        <v>20:39:55.459</v>
      </c>
      <c r="U4579" t="str">
        <f t="shared" si="226"/>
        <v>AB01F4</v>
      </c>
      <c r="V4579">
        <v>0</v>
      </c>
      <c r="W4579">
        <v>0</v>
      </c>
      <c r="X4579">
        <v>2</v>
      </c>
      <c r="Z4579">
        <v>0</v>
      </c>
      <c r="AA4579">
        <v>9</v>
      </c>
      <c r="AB4579">
        <v>3</v>
      </c>
      <c r="AC4579">
        <v>0</v>
      </c>
      <c r="AD4579">
        <v>10</v>
      </c>
      <c r="AE4579">
        <v>0</v>
      </c>
      <c r="AF4579">
        <v>3</v>
      </c>
      <c r="AG4579">
        <v>2</v>
      </c>
      <c r="AH4579">
        <v>0</v>
      </c>
      <c r="AI4579" t="s">
        <v>2285</v>
      </c>
      <c r="AJ4579">
        <v>40.148141000000003</v>
      </c>
      <c r="AK4579" t="s">
        <v>2532</v>
      </c>
      <c r="AL4579">
        <v>-93.250901999999996</v>
      </c>
      <c r="AM4579">
        <v>100</v>
      </c>
      <c r="AN4579">
        <v>1200</v>
      </c>
      <c r="AO4579" t="s">
        <v>118</v>
      </c>
      <c r="AP4579">
        <v>-136</v>
      </c>
      <c r="AQ4579">
        <v>-15</v>
      </c>
      <c r="AR4579">
        <v>-128</v>
      </c>
      <c r="AZ4579">
        <v>1200</v>
      </c>
      <c r="BA4579">
        <v>1</v>
      </c>
      <c r="BB4579" t="str">
        <f t="shared" si="225"/>
        <v xml:space="preserve">N8080G  </v>
      </c>
      <c r="BC4579">
        <v>1</v>
      </c>
      <c r="BE4579">
        <v>0</v>
      </c>
      <c r="BF4579">
        <v>0</v>
      </c>
      <c r="BG4579">
        <v>0</v>
      </c>
      <c r="BH4579">
        <v>1275</v>
      </c>
      <c r="BI4579">
        <v>1</v>
      </c>
      <c r="BJ4579">
        <v>1</v>
      </c>
      <c r="BK4579">
        <v>1</v>
      </c>
      <c r="BL4579">
        <v>0</v>
      </c>
      <c r="BO4579">
        <v>0</v>
      </c>
      <c r="BP4579">
        <v>0</v>
      </c>
      <c r="BW4579" t="str">
        <f>"20:39:55.863"</f>
        <v>20:39:55.863</v>
      </c>
      <c r="BZ4579">
        <v>0</v>
      </c>
      <c r="CA4579">
        <v>1504</v>
      </c>
      <c r="CB4579">
        <v>224</v>
      </c>
      <c r="CD4579">
        <v>1</v>
      </c>
      <c r="CE4579">
        <v>0</v>
      </c>
      <c r="CF4579">
        <v>0</v>
      </c>
      <c r="CG4579">
        <v>1</v>
      </c>
      <c r="CH4579">
        <v>0</v>
      </c>
      <c r="CI4579">
        <v>0</v>
      </c>
      <c r="CJ4579">
        <v>0</v>
      </c>
      <c r="CK4579">
        <v>2</v>
      </c>
      <c r="CL4579">
        <v>0</v>
      </c>
      <c r="CM4579">
        <v>2</v>
      </c>
      <c r="CN4579">
        <v>0</v>
      </c>
      <c r="CO4579">
        <v>1</v>
      </c>
      <c r="CP4579" t="s">
        <v>119</v>
      </c>
      <c r="CQ4579">
        <v>180</v>
      </c>
      <c r="CR4579">
        <v>3</v>
      </c>
      <c r="CW4579">
        <v>1467260</v>
      </c>
      <c r="CY4579">
        <v>1</v>
      </c>
      <c r="CZ4579">
        <v>0</v>
      </c>
      <c r="DA4579">
        <v>0</v>
      </c>
      <c r="DB4579">
        <v>0</v>
      </c>
      <c r="DC4579">
        <v>0</v>
      </c>
      <c r="DD4579">
        <v>0</v>
      </c>
      <c r="DE4579">
        <v>0</v>
      </c>
      <c r="DF4579">
        <v>0</v>
      </c>
      <c r="DG4579">
        <v>0</v>
      </c>
      <c r="DH4579">
        <v>0</v>
      </c>
      <c r="DI4579">
        <v>0</v>
      </c>
    </row>
    <row r="4580" spans="1:113" x14ac:dyDescent="0.3">
      <c r="A4580" t="str">
        <f>"02/08/2021 20:39:53.527"</f>
        <v>02/08/2021 20:39:53.527</v>
      </c>
      <c r="C4580" t="str">
        <f t="shared" si="224"/>
        <v>FFDFD7C0</v>
      </c>
      <c r="D4580" t="s">
        <v>124</v>
      </c>
      <c r="E4580">
        <v>12</v>
      </c>
      <c r="F4580">
        <v>1012</v>
      </c>
      <c r="G4580" t="s">
        <v>675</v>
      </c>
      <c r="J4580" t="s">
        <v>125</v>
      </c>
      <c r="K4580">
        <v>0</v>
      </c>
      <c r="L4580">
        <v>3</v>
      </c>
      <c r="M4580">
        <v>0</v>
      </c>
      <c r="N4580">
        <v>2</v>
      </c>
      <c r="O4580">
        <v>1</v>
      </c>
      <c r="P4580">
        <v>0</v>
      </c>
      <c r="Q4580">
        <v>0</v>
      </c>
      <c r="S4580" t="str">
        <f>"20:39:55.859"</f>
        <v>20:39:55.859</v>
      </c>
      <c r="T4580" t="str">
        <f>"20:39:55.459"</f>
        <v>20:39:55.459</v>
      </c>
      <c r="U4580" t="str">
        <f t="shared" si="226"/>
        <v>AB01F4</v>
      </c>
      <c r="V4580">
        <v>0</v>
      </c>
      <c r="W4580">
        <v>0</v>
      </c>
      <c r="X4580">
        <v>2</v>
      </c>
      <c r="Z4580">
        <v>0</v>
      </c>
      <c r="AA4580">
        <v>9</v>
      </c>
      <c r="AB4580">
        <v>3</v>
      </c>
      <c r="AC4580">
        <v>0</v>
      </c>
      <c r="AD4580">
        <v>10</v>
      </c>
      <c r="AE4580">
        <v>0</v>
      </c>
      <c r="AF4580">
        <v>3</v>
      </c>
      <c r="AG4580">
        <v>2</v>
      </c>
      <c r="AH4580">
        <v>0</v>
      </c>
      <c r="AI4580" t="s">
        <v>2285</v>
      </c>
      <c r="AJ4580">
        <v>40.148141000000003</v>
      </c>
      <c r="AK4580" t="s">
        <v>2532</v>
      </c>
      <c r="AL4580">
        <v>-93.250901999999996</v>
      </c>
      <c r="AM4580">
        <v>100</v>
      </c>
      <c r="AN4580">
        <v>1200</v>
      </c>
      <c r="AO4580" t="s">
        <v>118</v>
      </c>
      <c r="AP4580">
        <v>-136</v>
      </c>
      <c r="AQ4580">
        <v>-15</v>
      </c>
      <c r="AR4580">
        <v>-128</v>
      </c>
      <c r="AZ4580">
        <v>1200</v>
      </c>
      <c r="BA4580">
        <v>1</v>
      </c>
      <c r="BB4580" t="str">
        <f t="shared" si="225"/>
        <v xml:space="preserve">N8080G  </v>
      </c>
      <c r="BC4580">
        <v>1</v>
      </c>
      <c r="BE4580">
        <v>0</v>
      </c>
      <c r="BF4580">
        <v>0</v>
      </c>
      <c r="BG4580">
        <v>0</v>
      </c>
      <c r="BH4580">
        <v>1275</v>
      </c>
      <c r="BI4580">
        <v>1</v>
      </c>
      <c r="BJ4580">
        <v>1</v>
      </c>
      <c r="BK4580">
        <v>1</v>
      </c>
      <c r="BL4580">
        <v>0</v>
      </c>
      <c r="BO4580">
        <v>0</v>
      </c>
      <c r="BP4580">
        <v>0</v>
      </c>
      <c r="BW4580" t="str">
        <f>"20:39:55.863"</f>
        <v>20:39:55.863</v>
      </c>
      <c r="BZ4580">
        <v>0</v>
      </c>
      <c r="CA4580">
        <v>1504</v>
      </c>
      <c r="CB4580">
        <v>224</v>
      </c>
      <c r="CD4580">
        <v>1</v>
      </c>
      <c r="CE4580">
        <v>0</v>
      </c>
      <c r="CF4580">
        <v>0</v>
      </c>
      <c r="CG4580">
        <v>1</v>
      </c>
      <c r="CH4580">
        <v>0</v>
      </c>
      <c r="CI4580">
        <v>0</v>
      </c>
      <c r="CJ4580">
        <v>0</v>
      </c>
      <c r="CK4580">
        <v>2</v>
      </c>
      <c r="CL4580">
        <v>0</v>
      </c>
      <c r="CM4580">
        <v>2</v>
      </c>
      <c r="CN4580">
        <v>0</v>
      </c>
      <c r="CO4580">
        <v>1</v>
      </c>
      <c r="CP4580" t="s">
        <v>119</v>
      </c>
      <c r="CQ4580">
        <v>180</v>
      </c>
      <c r="CR4580">
        <v>3</v>
      </c>
      <c r="CW4580">
        <v>1467260</v>
      </c>
      <c r="CY4580">
        <v>1</v>
      </c>
      <c r="CZ4580">
        <v>0</v>
      </c>
      <c r="DA4580">
        <v>1</v>
      </c>
      <c r="DB4580">
        <v>0</v>
      </c>
      <c r="DC4580">
        <v>0</v>
      </c>
      <c r="DD4580">
        <v>0</v>
      </c>
      <c r="DE4580">
        <v>0</v>
      </c>
      <c r="DF4580">
        <v>0</v>
      </c>
      <c r="DG4580">
        <v>0</v>
      </c>
      <c r="DH4580">
        <v>0</v>
      </c>
      <c r="DI4580">
        <v>0</v>
      </c>
    </row>
    <row r="4581" spans="1:113" x14ac:dyDescent="0.3">
      <c r="A4581" t="str">
        <f>"02/08/2021 20:39:53.527"</f>
        <v>02/08/2021 20:39:53.527</v>
      </c>
      <c r="C4581" t="str">
        <f t="shared" si="224"/>
        <v>FFDFD7C0</v>
      </c>
      <c r="D4581" t="s">
        <v>124</v>
      </c>
      <c r="E4581">
        <v>13</v>
      </c>
      <c r="F4581">
        <v>1013</v>
      </c>
      <c r="G4581" t="s">
        <v>114</v>
      </c>
      <c r="J4581" t="s">
        <v>125</v>
      </c>
      <c r="K4581">
        <v>0</v>
      </c>
      <c r="L4581">
        <v>3</v>
      </c>
      <c r="M4581">
        <v>0</v>
      </c>
      <c r="N4581">
        <v>2</v>
      </c>
      <c r="O4581">
        <v>1</v>
      </c>
      <c r="P4581">
        <v>0</v>
      </c>
      <c r="Q4581">
        <v>0</v>
      </c>
      <c r="S4581" t="str">
        <f>"20:39:55.859"</f>
        <v>20:39:55.859</v>
      </c>
      <c r="T4581" t="str">
        <f>"20:39:55.459"</f>
        <v>20:39:55.459</v>
      </c>
      <c r="U4581" t="str">
        <f t="shared" si="226"/>
        <v>AB01F4</v>
      </c>
      <c r="V4581">
        <v>0</v>
      </c>
      <c r="W4581">
        <v>0</v>
      </c>
      <c r="X4581">
        <v>2</v>
      </c>
      <c r="Z4581">
        <v>0</v>
      </c>
      <c r="AA4581">
        <v>9</v>
      </c>
      <c r="AB4581">
        <v>3</v>
      </c>
      <c r="AC4581">
        <v>0</v>
      </c>
      <c r="AD4581">
        <v>10</v>
      </c>
      <c r="AE4581">
        <v>0</v>
      </c>
      <c r="AF4581">
        <v>3</v>
      </c>
      <c r="AG4581">
        <v>2</v>
      </c>
      <c r="AH4581">
        <v>0</v>
      </c>
      <c r="AI4581" t="s">
        <v>2285</v>
      </c>
      <c r="AJ4581">
        <v>40.148141000000003</v>
      </c>
      <c r="AK4581" t="s">
        <v>2532</v>
      </c>
      <c r="AL4581">
        <v>-93.250901999999996</v>
      </c>
      <c r="AM4581">
        <v>100</v>
      </c>
      <c r="AN4581">
        <v>1200</v>
      </c>
      <c r="AO4581" t="s">
        <v>118</v>
      </c>
      <c r="AP4581">
        <v>-136</v>
      </c>
      <c r="AQ4581">
        <v>-15</v>
      </c>
      <c r="AR4581">
        <v>-128</v>
      </c>
      <c r="AZ4581">
        <v>1200</v>
      </c>
      <c r="BA4581">
        <v>1</v>
      </c>
      <c r="BB4581" t="str">
        <f t="shared" si="225"/>
        <v xml:space="preserve">N8080G  </v>
      </c>
      <c r="BC4581">
        <v>1</v>
      </c>
      <c r="BE4581">
        <v>0</v>
      </c>
      <c r="BF4581">
        <v>0</v>
      </c>
      <c r="BG4581">
        <v>0</v>
      </c>
      <c r="BH4581">
        <v>1275</v>
      </c>
      <c r="BI4581">
        <v>1</v>
      </c>
      <c r="BJ4581">
        <v>1</v>
      </c>
      <c r="BK4581">
        <v>1</v>
      </c>
      <c r="BL4581">
        <v>0</v>
      </c>
      <c r="BO4581">
        <v>0</v>
      </c>
      <c r="BP4581">
        <v>0</v>
      </c>
      <c r="BW4581" t="str">
        <f>"20:39:55.863"</f>
        <v>20:39:55.863</v>
      </c>
      <c r="BZ4581">
        <v>0</v>
      </c>
      <c r="CA4581">
        <v>1504</v>
      </c>
      <c r="CB4581">
        <v>224</v>
      </c>
      <c r="CD4581">
        <v>1</v>
      </c>
      <c r="CE4581">
        <v>0</v>
      </c>
      <c r="CF4581">
        <v>0</v>
      </c>
      <c r="CG4581">
        <v>1</v>
      </c>
      <c r="CH4581">
        <v>0</v>
      </c>
      <c r="CI4581">
        <v>0</v>
      </c>
      <c r="CJ4581">
        <v>0</v>
      </c>
      <c r="CK4581">
        <v>2</v>
      </c>
      <c r="CL4581">
        <v>0</v>
      </c>
      <c r="CM4581">
        <v>2</v>
      </c>
      <c r="CN4581">
        <v>0</v>
      </c>
      <c r="CO4581">
        <v>1</v>
      </c>
      <c r="CP4581" t="s">
        <v>119</v>
      </c>
      <c r="CQ4581">
        <v>180</v>
      </c>
      <c r="CR4581">
        <v>3</v>
      </c>
      <c r="CW4581">
        <v>1467260</v>
      </c>
      <c r="CY4581">
        <v>1</v>
      </c>
      <c r="CZ4581">
        <v>0</v>
      </c>
      <c r="DA4581">
        <v>1</v>
      </c>
      <c r="DB4581">
        <v>0</v>
      </c>
      <c r="DC4581">
        <v>0</v>
      </c>
      <c r="DD4581">
        <v>0</v>
      </c>
      <c r="DE4581">
        <v>0</v>
      </c>
      <c r="DF4581">
        <v>0</v>
      </c>
      <c r="DG4581">
        <v>0</v>
      </c>
      <c r="DH4581">
        <v>0</v>
      </c>
      <c r="DI4581">
        <v>0</v>
      </c>
    </row>
    <row r="4582" spans="1:113" x14ac:dyDescent="0.3">
      <c r="A4582" t="str">
        <f>"02/08/2021 20:39:53.527"</f>
        <v>02/08/2021 20:39:53.527</v>
      </c>
      <c r="C4582" t="str">
        <f t="shared" si="224"/>
        <v>FFDFD7C0</v>
      </c>
      <c r="D4582" t="s">
        <v>124</v>
      </c>
      <c r="E4582">
        <v>11</v>
      </c>
      <c r="F4582">
        <v>1011</v>
      </c>
      <c r="G4582" t="s">
        <v>590</v>
      </c>
      <c r="J4582" t="s">
        <v>125</v>
      </c>
      <c r="K4582">
        <v>0</v>
      </c>
      <c r="L4582">
        <v>3</v>
      </c>
      <c r="M4582">
        <v>0</v>
      </c>
      <c r="N4582">
        <v>2</v>
      </c>
      <c r="O4582">
        <v>1</v>
      </c>
      <c r="P4582">
        <v>0</v>
      </c>
      <c r="Q4582">
        <v>0</v>
      </c>
      <c r="S4582" t="str">
        <f>"20:39:55.859"</f>
        <v>20:39:55.859</v>
      </c>
      <c r="T4582" t="str">
        <f>"20:39:55.459"</f>
        <v>20:39:55.459</v>
      </c>
      <c r="U4582" t="str">
        <f t="shared" si="226"/>
        <v>AB01F4</v>
      </c>
      <c r="V4582">
        <v>0</v>
      </c>
      <c r="W4582">
        <v>0</v>
      </c>
      <c r="X4582">
        <v>2</v>
      </c>
      <c r="Z4582">
        <v>0</v>
      </c>
      <c r="AA4582">
        <v>9</v>
      </c>
      <c r="AB4582">
        <v>3</v>
      </c>
      <c r="AC4582">
        <v>0</v>
      </c>
      <c r="AD4582">
        <v>10</v>
      </c>
      <c r="AE4582">
        <v>0</v>
      </c>
      <c r="AF4582">
        <v>3</v>
      </c>
      <c r="AG4582">
        <v>2</v>
      </c>
      <c r="AH4582">
        <v>0</v>
      </c>
      <c r="AI4582" t="s">
        <v>2285</v>
      </c>
      <c r="AJ4582">
        <v>40.148141000000003</v>
      </c>
      <c r="AK4582" t="s">
        <v>2532</v>
      </c>
      <c r="AL4582">
        <v>-93.250901999999996</v>
      </c>
      <c r="AM4582">
        <v>100</v>
      </c>
      <c r="AN4582">
        <v>1200</v>
      </c>
      <c r="AO4582" t="s">
        <v>118</v>
      </c>
      <c r="AP4582">
        <v>-136</v>
      </c>
      <c r="AQ4582">
        <v>-15</v>
      </c>
      <c r="AR4582">
        <v>-128</v>
      </c>
      <c r="AZ4582">
        <v>1200</v>
      </c>
      <c r="BA4582">
        <v>1</v>
      </c>
      <c r="BB4582" t="str">
        <f t="shared" si="225"/>
        <v xml:space="preserve">N8080G  </v>
      </c>
      <c r="BC4582">
        <v>1</v>
      </c>
      <c r="BE4582">
        <v>0</v>
      </c>
      <c r="BF4582">
        <v>0</v>
      </c>
      <c r="BG4582">
        <v>0</v>
      </c>
      <c r="BH4582">
        <v>1275</v>
      </c>
      <c r="BI4582">
        <v>1</v>
      </c>
      <c r="BJ4582">
        <v>1</v>
      </c>
      <c r="BK4582">
        <v>1</v>
      </c>
      <c r="BL4582">
        <v>0</v>
      </c>
      <c r="BO4582">
        <v>0</v>
      </c>
      <c r="BP4582">
        <v>0</v>
      </c>
      <c r="BW4582" t="str">
        <f>"20:39:55.863"</f>
        <v>20:39:55.863</v>
      </c>
      <c r="BZ4582">
        <v>0</v>
      </c>
      <c r="CA4582">
        <v>1504</v>
      </c>
      <c r="CB4582">
        <v>224</v>
      </c>
      <c r="CD4582">
        <v>1</v>
      </c>
      <c r="CE4582">
        <v>0</v>
      </c>
      <c r="CF4582">
        <v>0</v>
      </c>
      <c r="CG4582">
        <v>1</v>
      </c>
      <c r="CH4582">
        <v>0</v>
      </c>
      <c r="CI4582">
        <v>0</v>
      </c>
      <c r="CJ4582">
        <v>0</v>
      </c>
      <c r="CK4582">
        <v>2</v>
      </c>
      <c r="CL4582">
        <v>0</v>
      </c>
      <c r="CM4582">
        <v>2</v>
      </c>
      <c r="CN4582">
        <v>0</v>
      </c>
      <c r="CO4582">
        <v>1</v>
      </c>
      <c r="CP4582" t="s">
        <v>119</v>
      </c>
      <c r="CQ4582">
        <v>180</v>
      </c>
      <c r="CR4582">
        <v>3</v>
      </c>
      <c r="CW4582">
        <v>1467260</v>
      </c>
      <c r="CY4582">
        <v>1</v>
      </c>
      <c r="CZ4582">
        <v>0</v>
      </c>
      <c r="DA4582">
        <v>1</v>
      </c>
      <c r="DB4582">
        <v>0</v>
      </c>
      <c r="DC4582">
        <v>0</v>
      </c>
      <c r="DD4582">
        <v>0</v>
      </c>
      <c r="DE4582">
        <v>0</v>
      </c>
      <c r="DF4582">
        <v>0</v>
      </c>
      <c r="DG4582">
        <v>0</v>
      </c>
      <c r="DH4582">
        <v>0</v>
      </c>
      <c r="DI4582">
        <v>0</v>
      </c>
    </row>
    <row r="4583" spans="1:113" x14ac:dyDescent="0.3">
      <c r="A4583" t="str">
        <f>"02/08/2021 20:39:54.639"</f>
        <v>02/08/2021 20:39:54.639</v>
      </c>
      <c r="C4583" t="str">
        <f t="shared" ref="C4583:C4606" si="227">"FFDFD7C0"</f>
        <v>FFDFD7C0</v>
      </c>
      <c r="D4583" t="s">
        <v>113</v>
      </c>
      <c r="E4583">
        <v>6</v>
      </c>
      <c r="H4583">
        <v>165</v>
      </c>
      <c r="I4583" t="s">
        <v>114</v>
      </c>
      <c r="J4583" t="s">
        <v>115</v>
      </c>
      <c r="K4583">
        <v>0</v>
      </c>
      <c r="L4583">
        <v>3</v>
      </c>
      <c r="M4583">
        <v>0</v>
      </c>
      <c r="N4583">
        <v>2</v>
      </c>
      <c r="O4583">
        <v>1</v>
      </c>
      <c r="P4583">
        <v>0</v>
      </c>
      <c r="Q4583">
        <v>0</v>
      </c>
      <c r="S4583" t="str">
        <f>"20:39:56.930"</f>
        <v>20:39:56.930</v>
      </c>
      <c r="T4583" t="str">
        <f>"20:39:55.930"</f>
        <v>20:39:55.930</v>
      </c>
      <c r="U4583" t="str">
        <f t="shared" si="226"/>
        <v>AB01F4</v>
      </c>
      <c r="V4583">
        <v>0</v>
      </c>
      <c r="W4583">
        <v>0</v>
      </c>
      <c r="X4583">
        <v>2</v>
      </c>
      <c r="Z4583">
        <v>0</v>
      </c>
      <c r="AA4583">
        <v>9</v>
      </c>
      <c r="AB4583">
        <v>3</v>
      </c>
      <c r="AC4583">
        <v>0</v>
      </c>
      <c r="AD4583">
        <v>10</v>
      </c>
      <c r="AE4583">
        <v>0</v>
      </c>
      <c r="AF4583">
        <v>3</v>
      </c>
      <c r="AG4583">
        <v>2</v>
      </c>
      <c r="AH4583">
        <v>0</v>
      </c>
      <c r="AI4583" t="s">
        <v>2533</v>
      </c>
      <c r="AJ4583">
        <v>40.148077000000001</v>
      </c>
      <c r="AK4583" t="s">
        <v>2534</v>
      </c>
      <c r="AL4583">
        <v>-93.251760000000004</v>
      </c>
      <c r="AM4583">
        <v>100</v>
      </c>
      <c r="AN4583">
        <v>1200</v>
      </c>
      <c r="AO4583" t="s">
        <v>118</v>
      </c>
      <c r="AP4583">
        <v>-136</v>
      </c>
      <c r="AQ4583">
        <v>-14</v>
      </c>
      <c r="AR4583">
        <v>-128</v>
      </c>
      <c r="AZ4583">
        <v>1200</v>
      </c>
      <c r="BA4583">
        <v>1</v>
      </c>
      <c r="BB4583" t="str">
        <f t="shared" si="225"/>
        <v xml:space="preserve">N8080G  </v>
      </c>
      <c r="BC4583">
        <v>1</v>
      </c>
      <c r="BE4583">
        <v>0</v>
      </c>
      <c r="BF4583">
        <v>0</v>
      </c>
      <c r="BG4583">
        <v>0</v>
      </c>
      <c r="BH4583">
        <v>1275</v>
      </c>
      <c r="BI4583">
        <v>1</v>
      </c>
      <c r="BJ4583">
        <v>1</v>
      </c>
      <c r="BK4583">
        <v>1</v>
      </c>
      <c r="BL4583">
        <v>0</v>
      </c>
      <c r="BO4583">
        <v>0</v>
      </c>
      <c r="BP4583">
        <v>0</v>
      </c>
      <c r="BW4583" t="str">
        <f>"20:39:56.934"</f>
        <v>20:39:56.934</v>
      </c>
      <c r="BZ4583">
        <v>0</v>
      </c>
      <c r="CA4583">
        <v>1504</v>
      </c>
      <c r="CB4583">
        <v>224</v>
      </c>
      <c r="CD4583">
        <v>1</v>
      </c>
      <c r="CE4583">
        <v>0</v>
      </c>
      <c r="CF4583">
        <v>0</v>
      </c>
      <c r="CG4583">
        <v>1</v>
      </c>
      <c r="CH4583">
        <v>0</v>
      </c>
      <c r="CI4583">
        <v>0</v>
      </c>
      <c r="CJ4583">
        <v>0</v>
      </c>
      <c r="CK4583">
        <v>2</v>
      </c>
      <c r="CL4583">
        <v>0</v>
      </c>
      <c r="CM4583">
        <v>2</v>
      </c>
      <c r="CN4583">
        <v>0</v>
      </c>
      <c r="CO4583">
        <v>1</v>
      </c>
      <c r="CP4583" t="s">
        <v>119</v>
      </c>
      <c r="CQ4583">
        <v>180</v>
      </c>
      <c r="CR4583">
        <v>3</v>
      </c>
      <c r="CW4583">
        <v>1468178</v>
      </c>
      <c r="CY4583">
        <v>0</v>
      </c>
      <c r="CZ4583">
        <v>0</v>
      </c>
      <c r="DA4583">
        <v>0</v>
      </c>
      <c r="DB4583">
        <v>0</v>
      </c>
      <c r="DC4583">
        <v>0</v>
      </c>
      <c r="DD4583">
        <v>0</v>
      </c>
      <c r="DE4583">
        <v>0</v>
      </c>
      <c r="DF4583">
        <v>0</v>
      </c>
      <c r="DG4583">
        <v>0</v>
      </c>
      <c r="DH4583">
        <v>0</v>
      </c>
      <c r="DI4583">
        <v>0</v>
      </c>
    </row>
    <row r="4584" spans="1:113" x14ac:dyDescent="0.3">
      <c r="A4584" t="str">
        <f>"02/08/2021 20:39:54.639"</f>
        <v>02/08/2021 20:39:54.639</v>
      </c>
      <c r="C4584" t="str">
        <f t="shared" si="227"/>
        <v>FFDFD7C0</v>
      </c>
      <c r="D4584" t="s">
        <v>124</v>
      </c>
      <c r="E4584">
        <v>12</v>
      </c>
      <c r="F4584">
        <v>1012</v>
      </c>
      <c r="G4584" t="s">
        <v>675</v>
      </c>
      <c r="J4584" t="s">
        <v>125</v>
      </c>
      <c r="K4584">
        <v>0</v>
      </c>
      <c r="L4584">
        <v>3</v>
      </c>
      <c r="M4584">
        <v>0</v>
      </c>
      <c r="N4584">
        <v>2</v>
      </c>
      <c r="O4584">
        <v>1</v>
      </c>
      <c r="P4584">
        <v>0</v>
      </c>
      <c r="Q4584">
        <v>0</v>
      </c>
      <c r="S4584" t="str">
        <f>"20:39:56.930"</f>
        <v>20:39:56.930</v>
      </c>
      <c r="T4584" t="str">
        <f>"20:39:55.930"</f>
        <v>20:39:55.930</v>
      </c>
      <c r="U4584" t="str">
        <f t="shared" si="226"/>
        <v>AB01F4</v>
      </c>
      <c r="V4584">
        <v>0</v>
      </c>
      <c r="W4584">
        <v>0</v>
      </c>
      <c r="X4584">
        <v>2</v>
      </c>
      <c r="Z4584">
        <v>0</v>
      </c>
      <c r="AA4584">
        <v>9</v>
      </c>
      <c r="AB4584">
        <v>3</v>
      </c>
      <c r="AC4584">
        <v>0</v>
      </c>
      <c r="AD4584">
        <v>10</v>
      </c>
      <c r="AE4584">
        <v>0</v>
      </c>
      <c r="AF4584">
        <v>3</v>
      </c>
      <c r="AG4584">
        <v>2</v>
      </c>
      <c r="AH4584">
        <v>0</v>
      </c>
      <c r="AI4584" t="s">
        <v>2533</v>
      </c>
      <c r="AJ4584">
        <v>40.148077000000001</v>
      </c>
      <c r="AK4584" t="s">
        <v>2534</v>
      </c>
      <c r="AL4584">
        <v>-93.251760000000004</v>
      </c>
      <c r="AM4584">
        <v>100</v>
      </c>
      <c r="AN4584">
        <v>1200</v>
      </c>
      <c r="AO4584" t="s">
        <v>118</v>
      </c>
      <c r="AP4584">
        <v>-136</v>
      </c>
      <c r="AQ4584">
        <v>-14</v>
      </c>
      <c r="AR4584">
        <v>-128</v>
      </c>
      <c r="AZ4584">
        <v>1200</v>
      </c>
      <c r="BA4584">
        <v>1</v>
      </c>
      <c r="BB4584" t="str">
        <f t="shared" si="225"/>
        <v xml:space="preserve">N8080G  </v>
      </c>
      <c r="BC4584">
        <v>1</v>
      </c>
      <c r="BE4584">
        <v>0</v>
      </c>
      <c r="BF4584">
        <v>0</v>
      </c>
      <c r="BG4584">
        <v>0</v>
      </c>
      <c r="BH4584">
        <v>1275</v>
      </c>
      <c r="BI4584">
        <v>1</v>
      </c>
      <c r="BJ4584">
        <v>1</v>
      </c>
      <c r="BK4584">
        <v>1</v>
      </c>
      <c r="BL4584">
        <v>0</v>
      </c>
      <c r="BO4584">
        <v>0</v>
      </c>
      <c r="BP4584">
        <v>0</v>
      </c>
      <c r="BW4584" t="str">
        <f>"20:39:56.934"</f>
        <v>20:39:56.934</v>
      </c>
      <c r="BZ4584">
        <v>0</v>
      </c>
      <c r="CA4584">
        <v>1504</v>
      </c>
      <c r="CB4584">
        <v>224</v>
      </c>
      <c r="CD4584">
        <v>1</v>
      </c>
      <c r="CE4584">
        <v>0</v>
      </c>
      <c r="CF4584">
        <v>0</v>
      </c>
      <c r="CG4584">
        <v>1</v>
      </c>
      <c r="CH4584">
        <v>0</v>
      </c>
      <c r="CI4584">
        <v>0</v>
      </c>
      <c r="CJ4584">
        <v>0</v>
      </c>
      <c r="CK4584">
        <v>2</v>
      </c>
      <c r="CL4584">
        <v>0</v>
      </c>
      <c r="CM4584">
        <v>2</v>
      </c>
      <c r="CN4584">
        <v>0</v>
      </c>
      <c r="CO4584">
        <v>1</v>
      </c>
      <c r="CP4584" t="s">
        <v>119</v>
      </c>
      <c r="CQ4584">
        <v>180</v>
      </c>
      <c r="CR4584">
        <v>3</v>
      </c>
      <c r="CW4584">
        <v>1468178</v>
      </c>
      <c r="CY4584">
        <v>0</v>
      </c>
      <c r="CZ4584">
        <v>0</v>
      </c>
      <c r="DA4584">
        <v>1</v>
      </c>
      <c r="DB4584">
        <v>0</v>
      </c>
      <c r="DC4584">
        <v>0</v>
      </c>
      <c r="DD4584">
        <v>0</v>
      </c>
      <c r="DE4584">
        <v>0</v>
      </c>
      <c r="DF4584">
        <v>0</v>
      </c>
      <c r="DG4584">
        <v>0</v>
      </c>
      <c r="DH4584">
        <v>0</v>
      </c>
      <c r="DI4584">
        <v>0</v>
      </c>
    </row>
    <row r="4585" spans="1:113" x14ac:dyDescent="0.3">
      <c r="A4585" t="str">
        <f>"02/08/2021 20:39:54.639"</f>
        <v>02/08/2021 20:39:54.639</v>
      </c>
      <c r="C4585" t="str">
        <f t="shared" si="227"/>
        <v>FFDFD7C0</v>
      </c>
      <c r="D4585" t="s">
        <v>124</v>
      </c>
      <c r="E4585">
        <v>13</v>
      </c>
      <c r="F4585">
        <v>1013</v>
      </c>
      <c r="G4585" t="s">
        <v>114</v>
      </c>
      <c r="J4585" t="s">
        <v>125</v>
      </c>
      <c r="K4585">
        <v>0</v>
      </c>
      <c r="L4585">
        <v>3</v>
      </c>
      <c r="M4585">
        <v>0</v>
      </c>
      <c r="N4585">
        <v>2</v>
      </c>
      <c r="O4585">
        <v>1</v>
      </c>
      <c r="P4585">
        <v>0</v>
      </c>
      <c r="Q4585">
        <v>0</v>
      </c>
      <c r="S4585" t="str">
        <f>"20:39:56.930"</f>
        <v>20:39:56.930</v>
      </c>
      <c r="T4585" t="str">
        <f>"20:39:55.930"</f>
        <v>20:39:55.930</v>
      </c>
      <c r="U4585" t="str">
        <f t="shared" si="226"/>
        <v>AB01F4</v>
      </c>
      <c r="V4585">
        <v>0</v>
      </c>
      <c r="W4585">
        <v>0</v>
      </c>
      <c r="X4585">
        <v>2</v>
      </c>
      <c r="Z4585">
        <v>0</v>
      </c>
      <c r="AA4585">
        <v>9</v>
      </c>
      <c r="AB4585">
        <v>3</v>
      </c>
      <c r="AC4585">
        <v>0</v>
      </c>
      <c r="AD4585">
        <v>10</v>
      </c>
      <c r="AE4585">
        <v>0</v>
      </c>
      <c r="AF4585">
        <v>3</v>
      </c>
      <c r="AG4585">
        <v>2</v>
      </c>
      <c r="AH4585">
        <v>0</v>
      </c>
      <c r="AI4585" t="s">
        <v>2533</v>
      </c>
      <c r="AJ4585">
        <v>40.148077000000001</v>
      </c>
      <c r="AK4585" t="s">
        <v>2534</v>
      </c>
      <c r="AL4585">
        <v>-93.251760000000004</v>
      </c>
      <c r="AM4585">
        <v>100</v>
      </c>
      <c r="AN4585">
        <v>1200</v>
      </c>
      <c r="AO4585" t="s">
        <v>118</v>
      </c>
      <c r="AP4585">
        <v>-136</v>
      </c>
      <c r="AQ4585">
        <v>-14</v>
      </c>
      <c r="AR4585">
        <v>-128</v>
      </c>
      <c r="AZ4585">
        <v>1200</v>
      </c>
      <c r="BA4585">
        <v>1</v>
      </c>
      <c r="BB4585" t="str">
        <f t="shared" si="225"/>
        <v xml:space="preserve">N8080G  </v>
      </c>
      <c r="BC4585">
        <v>1</v>
      </c>
      <c r="BE4585">
        <v>0</v>
      </c>
      <c r="BF4585">
        <v>0</v>
      </c>
      <c r="BG4585">
        <v>0</v>
      </c>
      <c r="BH4585">
        <v>1275</v>
      </c>
      <c r="BI4585">
        <v>1</v>
      </c>
      <c r="BJ4585">
        <v>1</v>
      </c>
      <c r="BK4585">
        <v>1</v>
      </c>
      <c r="BL4585">
        <v>0</v>
      </c>
      <c r="BO4585">
        <v>0</v>
      </c>
      <c r="BP4585">
        <v>0</v>
      </c>
      <c r="BW4585" t="str">
        <f>"20:39:56.934"</f>
        <v>20:39:56.934</v>
      </c>
      <c r="BZ4585">
        <v>0</v>
      </c>
      <c r="CA4585">
        <v>1504</v>
      </c>
      <c r="CB4585">
        <v>224</v>
      </c>
      <c r="CD4585">
        <v>1</v>
      </c>
      <c r="CE4585">
        <v>0</v>
      </c>
      <c r="CF4585">
        <v>0</v>
      </c>
      <c r="CG4585">
        <v>1</v>
      </c>
      <c r="CH4585">
        <v>0</v>
      </c>
      <c r="CI4585">
        <v>0</v>
      </c>
      <c r="CJ4585">
        <v>0</v>
      </c>
      <c r="CK4585">
        <v>2</v>
      </c>
      <c r="CL4585">
        <v>0</v>
      </c>
      <c r="CM4585">
        <v>2</v>
      </c>
      <c r="CN4585">
        <v>0</v>
      </c>
      <c r="CO4585">
        <v>1</v>
      </c>
      <c r="CP4585" t="s">
        <v>119</v>
      </c>
      <c r="CQ4585">
        <v>180</v>
      </c>
      <c r="CR4585">
        <v>3</v>
      </c>
      <c r="CW4585">
        <v>1468178</v>
      </c>
      <c r="CY4585">
        <v>0</v>
      </c>
      <c r="CZ4585">
        <v>0</v>
      </c>
      <c r="DA4585">
        <v>1</v>
      </c>
      <c r="DB4585">
        <v>0</v>
      </c>
      <c r="DC4585">
        <v>0</v>
      </c>
      <c r="DD4585">
        <v>0</v>
      </c>
      <c r="DE4585">
        <v>0</v>
      </c>
      <c r="DF4585">
        <v>0</v>
      </c>
      <c r="DG4585">
        <v>0</v>
      </c>
      <c r="DH4585">
        <v>0</v>
      </c>
      <c r="DI4585">
        <v>0</v>
      </c>
    </row>
    <row r="4586" spans="1:113" x14ac:dyDescent="0.3">
      <c r="A4586" t="str">
        <f>"02/08/2021 20:39:54.639"</f>
        <v>02/08/2021 20:39:54.639</v>
      </c>
      <c r="C4586" t="str">
        <f t="shared" si="227"/>
        <v>FFDFD7C0</v>
      </c>
      <c r="D4586" t="s">
        <v>124</v>
      </c>
      <c r="E4586">
        <v>11</v>
      </c>
      <c r="F4586">
        <v>1011</v>
      </c>
      <c r="G4586" t="s">
        <v>590</v>
      </c>
      <c r="J4586" t="s">
        <v>125</v>
      </c>
      <c r="K4586">
        <v>0</v>
      </c>
      <c r="L4586">
        <v>3</v>
      </c>
      <c r="M4586">
        <v>0</v>
      </c>
      <c r="N4586">
        <v>2</v>
      </c>
      <c r="O4586">
        <v>1</v>
      </c>
      <c r="P4586">
        <v>0</v>
      </c>
      <c r="Q4586">
        <v>0</v>
      </c>
      <c r="S4586" t="str">
        <f>"20:39:56.930"</f>
        <v>20:39:56.930</v>
      </c>
      <c r="T4586" t="str">
        <f>"20:39:55.930"</f>
        <v>20:39:55.930</v>
      </c>
      <c r="U4586" t="str">
        <f t="shared" si="226"/>
        <v>AB01F4</v>
      </c>
      <c r="V4586">
        <v>0</v>
      </c>
      <c r="W4586">
        <v>0</v>
      </c>
      <c r="X4586">
        <v>2</v>
      </c>
      <c r="Z4586">
        <v>0</v>
      </c>
      <c r="AA4586">
        <v>9</v>
      </c>
      <c r="AB4586">
        <v>3</v>
      </c>
      <c r="AC4586">
        <v>0</v>
      </c>
      <c r="AD4586">
        <v>10</v>
      </c>
      <c r="AE4586">
        <v>0</v>
      </c>
      <c r="AF4586">
        <v>3</v>
      </c>
      <c r="AG4586">
        <v>2</v>
      </c>
      <c r="AH4586">
        <v>0</v>
      </c>
      <c r="AI4586" t="s">
        <v>2533</v>
      </c>
      <c r="AJ4586">
        <v>40.148077000000001</v>
      </c>
      <c r="AK4586" t="s">
        <v>2534</v>
      </c>
      <c r="AL4586">
        <v>-93.251760000000004</v>
      </c>
      <c r="AM4586">
        <v>100</v>
      </c>
      <c r="AN4586">
        <v>1200</v>
      </c>
      <c r="AO4586" t="s">
        <v>118</v>
      </c>
      <c r="AP4586">
        <v>-136</v>
      </c>
      <c r="AQ4586">
        <v>-14</v>
      </c>
      <c r="AR4586">
        <v>-128</v>
      </c>
      <c r="AZ4586">
        <v>1200</v>
      </c>
      <c r="BA4586">
        <v>1</v>
      </c>
      <c r="BB4586" t="str">
        <f t="shared" si="225"/>
        <v xml:space="preserve">N8080G  </v>
      </c>
      <c r="BC4586">
        <v>1</v>
      </c>
      <c r="BE4586">
        <v>0</v>
      </c>
      <c r="BF4586">
        <v>0</v>
      </c>
      <c r="BG4586">
        <v>0</v>
      </c>
      <c r="BH4586">
        <v>1275</v>
      </c>
      <c r="BI4586">
        <v>1</v>
      </c>
      <c r="BJ4586">
        <v>1</v>
      </c>
      <c r="BK4586">
        <v>1</v>
      </c>
      <c r="BL4586">
        <v>0</v>
      </c>
      <c r="BO4586">
        <v>0</v>
      </c>
      <c r="BP4586">
        <v>0</v>
      </c>
      <c r="BW4586" t="str">
        <f>"20:39:56.934"</f>
        <v>20:39:56.934</v>
      </c>
      <c r="BZ4586">
        <v>0</v>
      </c>
      <c r="CA4586">
        <v>1504</v>
      </c>
      <c r="CB4586">
        <v>224</v>
      </c>
      <c r="CD4586">
        <v>1</v>
      </c>
      <c r="CE4586">
        <v>0</v>
      </c>
      <c r="CF4586">
        <v>0</v>
      </c>
      <c r="CG4586">
        <v>1</v>
      </c>
      <c r="CH4586">
        <v>0</v>
      </c>
      <c r="CI4586">
        <v>0</v>
      </c>
      <c r="CJ4586">
        <v>0</v>
      </c>
      <c r="CK4586">
        <v>2</v>
      </c>
      <c r="CL4586">
        <v>0</v>
      </c>
      <c r="CM4586">
        <v>2</v>
      </c>
      <c r="CN4586">
        <v>0</v>
      </c>
      <c r="CO4586">
        <v>1</v>
      </c>
      <c r="CP4586" t="s">
        <v>119</v>
      </c>
      <c r="CQ4586">
        <v>180</v>
      </c>
      <c r="CR4586">
        <v>3</v>
      </c>
      <c r="CW4586">
        <v>1468178</v>
      </c>
      <c r="CY4586">
        <v>0</v>
      </c>
      <c r="CZ4586">
        <v>0</v>
      </c>
      <c r="DA4586">
        <v>1</v>
      </c>
      <c r="DB4586">
        <v>0</v>
      </c>
      <c r="DC4586">
        <v>0</v>
      </c>
      <c r="DD4586">
        <v>0</v>
      </c>
      <c r="DE4586">
        <v>0</v>
      </c>
      <c r="DF4586">
        <v>0</v>
      </c>
      <c r="DG4586">
        <v>0</v>
      </c>
      <c r="DH4586">
        <v>0</v>
      </c>
      <c r="DI4586">
        <v>0</v>
      </c>
    </row>
    <row r="4587" spans="1:113" x14ac:dyDescent="0.3">
      <c r="A4587" t="str">
        <f>"02/08/2021 20:39:55.613"</f>
        <v>02/08/2021 20:39:55.613</v>
      </c>
      <c r="C4587" t="str">
        <f t="shared" si="227"/>
        <v>FFDFD7C0</v>
      </c>
      <c r="D4587" t="s">
        <v>124</v>
      </c>
      <c r="E4587">
        <v>13</v>
      </c>
      <c r="F4587">
        <v>1013</v>
      </c>
      <c r="G4587" t="s">
        <v>114</v>
      </c>
      <c r="J4587" t="s">
        <v>125</v>
      </c>
      <c r="K4587">
        <v>0</v>
      </c>
      <c r="L4587">
        <v>3</v>
      </c>
      <c r="M4587">
        <v>0</v>
      </c>
      <c r="N4587">
        <v>2</v>
      </c>
      <c r="O4587">
        <v>1</v>
      </c>
      <c r="P4587">
        <v>0</v>
      </c>
      <c r="Q4587">
        <v>0</v>
      </c>
      <c r="S4587" t="str">
        <f>"20:39:57.938"</f>
        <v>20:39:57.938</v>
      </c>
      <c r="T4587" t="str">
        <f>"20:39:57.438"</f>
        <v>20:39:57.438</v>
      </c>
      <c r="U4587" t="str">
        <f t="shared" si="226"/>
        <v>AB01F4</v>
      </c>
      <c r="V4587">
        <v>0</v>
      </c>
      <c r="W4587">
        <v>0</v>
      </c>
      <c r="X4587">
        <v>2</v>
      </c>
      <c r="Z4587">
        <v>0</v>
      </c>
      <c r="AA4587">
        <v>9</v>
      </c>
      <c r="AB4587">
        <v>3</v>
      </c>
      <c r="AC4587">
        <v>0</v>
      </c>
      <c r="AD4587">
        <v>10</v>
      </c>
      <c r="AE4587">
        <v>0</v>
      </c>
      <c r="AF4587">
        <v>3</v>
      </c>
      <c r="AG4587">
        <v>2</v>
      </c>
      <c r="AH4587">
        <v>0</v>
      </c>
      <c r="AI4587" t="s">
        <v>2535</v>
      </c>
      <c r="AJ4587">
        <v>40.148034000000003</v>
      </c>
      <c r="AK4587" t="s">
        <v>2536</v>
      </c>
      <c r="AL4587">
        <v>-93.252617999999998</v>
      </c>
      <c r="AM4587">
        <v>100</v>
      </c>
      <c r="AN4587">
        <v>1200</v>
      </c>
      <c r="AO4587" t="s">
        <v>118</v>
      </c>
      <c r="AP4587">
        <v>-136</v>
      </c>
      <c r="AQ4587">
        <v>-10</v>
      </c>
      <c r="AR4587">
        <v>-128</v>
      </c>
      <c r="AZ4587">
        <v>1200</v>
      </c>
      <c r="BA4587">
        <v>1</v>
      </c>
      <c r="BB4587" t="str">
        <f t="shared" si="225"/>
        <v xml:space="preserve">N8080G  </v>
      </c>
      <c r="BC4587">
        <v>1</v>
      </c>
      <c r="BE4587">
        <v>0</v>
      </c>
      <c r="BF4587">
        <v>0</v>
      </c>
      <c r="BG4587">
        <v>0</v>
      </c>
      <c r="BH4587">
        <v>1250</v>
      </c>
      <c r="BI4587">
        <v>1</v>
      </c>
      <c r="BJ4587">
        <v>1</v>
      </c>
      <c r="BK4587">
        <v>1</v>
      </c>
      <c r="BL4587">
        <v>0</v>
      </c>
      <c r="BO4587">
        <v>0</v>
      </c>
      <c r="BP4587">
        <v>0</v>
      </c>
      <c r="BW4587" t="str">
        <f>"20:39:57.940"</f>
        <v>20:39:57.940</v>
      </c>
      <c r="BZ4587">
        <v>0</v>
      </c>
      <c r="CA4587">
        <v>1504</v>
      </c>
      <c r="CB4587">
        <v>224</v>
      </c>
      <c r="CD4587">
        <v>1</v>
      </c>
      <c r="CE4587">
        <v>0</v>
      </c>
      <c r="CF4587">
        <v>0</v>
      </c>
      <c r="CG4587">
        <v>1</v>
      </c>
      <c r="CH4587">
        <v>0</v>
      </c>
      <c r="CI4587">
        <v>0</v>
      </c>
      <c r="CJ4587">
        <v>0</v>
      </c>
      <c r="CK4587">
        <v>2</v>
      </c>
      <c r="CL4587">
        <v>0</v>
      </c>
      <c r="CM4587">
        <v>2</v>
      </c>
      <c r="CN4587">
        <v>0</v>
      </c>
      <c r="CO4587">
        <v>1</v>
      </c>
      <c r="CP4587" t="s">
        <v>119</v>
      </c>
      <c r="CQ4587">
        <v>180</v>
      </c>
      <c r="CR4587">
        <v>3</v>
      </c>
      <c r="CW4587">
        <v>1468946</v>
      </c>
      <c r="CY4587">
        <v>0</v>
      </c>
      <c r="CZ4587">
        <v>0</v>
      </c>
      <c r="DA4587">
        <v>0</v>
      </c>
      <c r="DB4587">
        <v>0</v>
      </c>
      <c r="DC4587">
        <v>0</v>
      </c>
      <c r="DD4587">
        <v>0</v>
      </c>
      <c r="DE4587">
        <v>0</v>
      </c>
      <c r="DF4587">
        <v>0</v>
      </c>
      <c r="DG4587">
        <v>0</v>
      </c>
      <c r="DH4587">
        <v>0</v>
      </c>
      <c r="DI4587">
        <v>0</v>
      </c>
    </row>
    <row r="4588" spans="1:113" x14ac:dyDescent="0.3">
      <c r="A4588" t="str">
        <f>"02/08/2021 20:39:55.613"</f>
        <v>02/08/2021 20:39:55.613</v>
      </c>
      <c r="C4588" t="str">
        <f t="shared" si="227"/>
        <v>FFDFD7C0</v>
      </c>
      <c r="D4588" t="s">
        <v>124</v>
      </c>
      <c r="E4588">
        <v>11</v>
      </c>
      <c r="F4588">
        <v>1011</v>
      </c>
      <c r="G4588" t="s">
        <v>590</v>
      </c>
      <c r="J4588" t="s">
        <v>125</v>
      </c>
      <c r="K4588">
        <v>0</v>
      </c>
      <c r="L4588">
        <v>3</v>
      </c>
      <c r="M4588">
        <v>0</v>
      </c>
      <c r="N4588">
        <v>2</v>
      </c>
      <c r="O4588">
        <v>1</v>
      </c>
      <c r="P4588">
        <v>0</v>
      </c>
      <c r="Q4588">
        <v>0</v>
      </c>
      <c r="S4588" t="str">
        <f>"20:39:57.938"</f>
        <v>20:39:57.938</v>
      </c>
      <c r="T4588" t="str">
        <f>"20:39:57.438"</f>
        <v>20:39:57.438</v>
      </c>
      <c r="U4588" t="str">
        <f t="shared" si="226"/>
        <v>AB01F4</v>
      </c>
      <c r="V4588">
        <v>0</v>
      </c>
      <c r="W4588">
        <v>0</v>
      </c>
      <c r="X4588">
        <v>2</v>
      </c>
      <c r="Z4588">
        <v>0</v>
      </c>
      <c r="AA4588">
        <v>9</v>
      </c>
      <c r="AB4588">
        <v>3</v>
      </c>
      <c r="AC4588">
        <v>0</v>
      </c>
      <c r="AD4588">
        <v>10</v>
      </c>
      <c r="AE4588">
        <v>0</v>
      </c>
      <c r="AF4588">
        <v>3</v>
      </c>
      <c r="AG4588">
        <v>2</v>
      </c>
      <c r="AH4588">
        <v>0</v>
      </c>
      <c r="AI4588" t="s">
        <v>2535</v>
      </c>
      <c r="AJ4588">
        <v>40.148034000000003</v>
      </c>
      <c r="AK4588" t="s">
        <v>2536</v>
      </c>
      <c r="AL4588">
        <v>-93.252617999999998</v>
      </c>
      <c r="AM4588">
        <v>100</v>
      </c>
      <c r="AN4588">
        <v>1200</v>
      </c>
      <c r="AO4588" t="s">
        <v>118</v>
      </c>
      <c r="AP4588">
        <v>-136</v>
      </c>
      <c r="AQ4588">
        <v>-10</v>
      </c>
      <c r="AR4588">
        <v>-128</v>
      </c>
      <c r="AZ4588">
        <v>1200</v>
      </c>
      <c r="BA4588">
        <v>1</v>
      </c>
      <c r="BB4588" t="str">
        <f t="shared" si="225"/>
        <v xml:space="preserve">N8080G  </v>
      </c>
      <c r="BC4588">
        <v>1</v>
      </c>
      <c r="BE4588">
        <v>0</v>
      </c>
      <c r="BF4588">
        <v>0</v>
      </c>
      <c r="BG4588">
        <v>0</v>
      </c>
      <c r="BH4588">
        <v>1250</v>
      </c>
      <c r="BI4588">
        <v>1</v>
      </c>
      <c r="BJ4588">
        <v>1</v>
      </c>
      <c r="BK4588">
        <v>1</v>
      </c>
      <c r="BL4588">
        <v>0</v>
      </c>
      <c r="BO4588">
        <v>0</v>
      </c>
      <c r="BP4588">
        <v>0</v>
      </c>
      <c r="BW4588" t="str">
        <f>"20:39:57.940"</f>
        <v>20:39:57.940</v>
      </c>
      <c r="BZ4588">
        <v>0</v>
      </c>
      <c r="CA4588">
        <v>1504</v>
      </c>
      <c r="CB4588">
        <v>224</v>
      </c>
      <c r="CD4588">
        <v>1</v>
      </c>
      <c r="CE4588">
        <v>0</v>
      </c>
      <c r="CF4588">
        <v>0</v>
      </c>
      <c r="CG4588">
        <v>1</v>
      </c>
      <c r="CH4588">
        <v>0</v>
      </c>
      <c r="CI4588">
        <v>0</v>
      </c>
      <c r="CJ4588">
        <v>0</v>
      </c>
      <c r="CK4588">
        <v>2</v>
      </c>
      <c r="CL4588">
        <v>0</v>
      </c>
      <c r="CM4588">
        <v>2</v>
      </c>
      <c r="CN4588">
        <v>0</v>
      </c>
      <c r="CO4588">
        <v>1</v>
      </c>
      <c r="CP4588" t="s">
        <v>119</v>
      </c>
      <c r="CQ4588">
        <v>180</v>
      </c>
      <c r="CR4588">
        <v>3</v>
      </c>
      <c r="CW4588">
        <v>1468946</v>
      </c>
      <c r="CY4588">
        <v>0</v>
      </c>
      <c r="CZ4588">
        <v>0</v>
      </c>
      <c r="DA4588">
        <v>1</v>
      </c>
      <c r="DB4588">
        <v>0</v>
      </c>
      <c r="DC4588">
        <v>0</v>
      </c>
      <c r="DD4588">
        <v>0</v>
      </c>
      <c r="DE4588">
        <v>0</v>
      </c>
      <c r="DF4588">
        <v>0</v>
      </c>
      <c r="DG4588">
        <v>0</v>
      </c>
      <c r="DH4588">
        <v>0</v>
      </c>
      <c r="DI4588">
        <v>0</v>
      </c>
    </row>
    <row r="4589" spans="1:113" x14ac:dyDescent="0.3">
      <c r="A4589" t="str">
        <f>"02/08/2021 20:39:55.613"</f>
        <v>02/08/2021 20:39:55.613</v>
      </c>
      <c r="C4589" t="str">
        <f t="shared" si="227"/>
        <v>FFDFD7C0</v>
      </c>
      <c r="D4589" t="s">
        <v>124</v>
      </c>
      <c r="E4589">
        <v>12</v>
      </c>
      <c r="F4589">
        <v>1012</v>
      </c>
      <c r="G4589" t="s">
        <v>675</v>
      </c>
      <c r="J4589" t="s">
        <v>125</v>
      </c>
      <c r="K4589">
        <v>0</v>
      </c>
      <c r="L4589">
        <v>3</v>
      </c>
      <c r="M4589">
        <v>0</v>
      </c>
      <c r="N4589">
        <v>2</v>
      </c>
      <c r="O4589">
        <v>1</v>
      </c>
      <c r="P4589">
        <v>0</v>
      </c>
      <c r="Q4589">
        <v>0</v>
      </c>
      <c r="S4589" t="str">
        <f>"20:39:57.938"</f>
        <v>20:39:57.938</v>
      </c>
      <c r="T4589" t="str">
        <f>"20:39:57.438"</f>
        <v>20:39:57.438</v>
      </c>
      <c r="U4589" t="str">
        <f t="shared" si="226"/>
        <v>AB01F4</v>
      </c>
      <c r="V4589">
        <v>0</v>
      </c>
      <c r="W4589">
        <v>0</v>
      </c>
      <c r="X4589">
        <v>2</v>
      </c>
      <c r="Z4589">
        <v>0</v>
      </c>
      <c r="AA4589">
        <v>9</v>
      </c>
      <c r="AB4589">
        <v>3</v>
      </c>
      <c r="AC4589">
        <v>0</v>
      </c>
      <c r="AD4589">
        <v>10</v>
      </c>
      <c r="AE4589">
        <v>0</v>
      </c>
      <c r="AF4589">
        <v>3</v>
      </c>
      <c r="AG4589">
        <v>2</v>
      </c>
      <c r="AH4589">
        <v>0</v>
      </c>
      <c r="AI4589" t="s">
        <v>2535</v>
      </c>
      <c r="AJ4589">
        <v>40.148034000000003</v>
      </c>
      <c r="AK4589" t="s">
        <v>2536</v>
      </c>
      <c r="AL4589">
        <v>-93.252617999999998</v>
      </c>
      <c r="AM4589">
        <v>100</v>
      </c>
      <c r="AN4589">
        <v>1200</v>
      </c>
      <c r="AO4589" t="s">
        <v>118</v>
      </c>
      <c r="AP4589">
        <v>-136</v>
      </c>
      <c r="AQ4589">
        <v>-10</v>
      </c>
      <c r="AR4589">
        <v>-128</v>
      </c>
      <c r="AZ4589">
        <v>1200</v>
      </c>
      <c r="BA4589">
        <v>1</v>
      </c>
      <c r="BB4589" t="str">
        <f t="shared" si="225"/>
        <v xml:space="preserve">N8080G  </v>
      </c>
      <c r="BC4589">
        <v>1</v>
      </c>
      <c r="BE4589">
        <v>0</v>
      </c>
      <c r="BF4589">
        <v>0</v>
      </c>
      <c r="BG4589">
        <v>0</v>
      </c>
      <c r="BH4589">
        <v>1250</v>
      </c>
      <c r="BI4589">
        <v>1</v>
      </c>
      <c r="BJ4589">
        <v>1</v>
      </c>
      <c r="BK4589">
        <v>1</v>
      </c>
      <c r="BL4589">
        <v>0</v>
      </c>
      <c r="BO4589">
        <v>0</v>
      </c>
      <c r="BP4589">
        <v>0</v>
      </c>
      <c r="BW4589" t="str">
        <f>"20:39:57.940"</f>
        <v>20:39:57.940</v>
      </c>
      <c r="BZ4589">
        <v>0</v>
      </c>
      <c r="CA4589">
        <v>1504</v>
      </c>
      <c r="CB4589">
        <v>224</v>
      </c>
      <c r="CD4589">
        <v>1</v>
      </c>
      <c r="CE4589">
        <v>0</v>
      </c>
      <c r="CF4589">
        <v>0</v>
      </c>
      <c r="CG4589">
        <v>1</v>
      </c>
      <c r="CH4589">
        <v>0</v>
      </c>
      <c r="CI4589">
        <v>0</v>
      </c>
      <c r="CJ4589">
        <v>0</v>
      </c>
      <c r="CK4589">
        <v>2</v>
      </c>
      <c r="CL4589">
        <v>0</v>
      </c>
      <c r="CM4589">
        <v>2</v>
      </c>
      <c r="CN4589">
        <v>0</v>
      </c>
      <c r="CO4589">
        <v>1</v>
      </c>
      <c r="CP4589" t="s">
        <v>119</v>
      </c>
      <c r="CQ4589">
        <v>180</v>
      </c>
      <c r="CR4589">
        <v>3</v>
      </c>
      <c r="CW4589">
        <v>1468946</v>
      </c>
      <c r="CY4589">
        <v>0</v>
      </c>
      <c r="CZ4589">
        <v>0</v>
      </c>
      <c r="DA4589">
        <v>1</v>
      </c>
      <c r="DB4589">
        <v>0</v>
      </c>
      <c r="DC4589">
        <v>0</v>
      </c>
      <c r="DD4589">
        <v>0</v>
      </c>
      <c r="DE4589">
        <v>0</v>
      </c>
      <c r="DF4589">
        <v>0</v>
      </c>
      <c r="DG4589">
        <v>0</v>
      </c>
      <c r="DH4589">
        <v>0</v>
      </c>
      <c r="DI4589">
        <v>0</v>
      </c>
    </row>
    <row r="4590" spans="1:113" x14ac:dyDescent="0.3">
      <c r="A4590" t="str">
        <f>"02/08/2021 20:39:55.613"</f>
        <v>02/08/2021 20:39:55.613</v>
      </c>
      <c r="C4590" t="str">
        <f t="shared" si="227"/>
        <v>FFDFD7C0</v>
      </c>
      <c r="D4590" t="s">
        <v>113</v>
      </c>
      <c r="E4590">
        <v>6</v>
      </c>
      <c r="H4590">
        <v>165</v>
      </c>
      <c r="I4590" t="s">
        <v>114</v>
      </c>
      <c r="J4590" t="s">
        <v>115</v>
      </c>
      <c r="K4590">
        <v>0</v>
      </c>
      <c r="L4590">
        <v>3</v>
      </c>
      <c r="M4590">
        <v>0</v>
      </c>
      <c r="N4590">
        <v>2</v>
      </c>
      <c r="O4590">
        <v>1</v>
      </c>
      <c r="P4590">
        <v>0</v>
      </c>
      <c r="Q4590">
        <v>0</v>
      </c>
      <c r="S4590" t="str">
        <f>"20:39:57.938"</f>
        <v>20:39:57.938</v>
      </c>
      <c r="T4590" t="str">
        <f>"20:39:57.438"</f>
        <v>20:39:57.438</v>
      </c>
      <c r="U4590" t="str">
        <f t="shared" si="226"/>
        <v>AB01F4</v>
      </c>
      <c r="V4590">
        <v>0</v>
      </c>
      <c r="W4590">
        <v>0</v>
      </c>
      <c r="X4590">
        <v>2</v>
      </c>
      <c r="Z4590">
        <v>0</v>
      </c>
      <c r="AA4590">
        <v>9</v>
      </c>
      <c r="AB4590">
        <v>3</v>
      </c>
      <c r="AC4590">
        <v>0</v>
      </c>
      <c r="AD4590">
        <v>10</v>
      </c>
      <c r="AE4590">
        <v>0</v>
      </c>
      <c r="AF4590">
        <v>3</v>
      </c>
      <c r="AG4590">
        <v>2</v>
      </c>
      <c r="AH4590">
        <v>0</v>
      </c>
      <c r="AI4590" t="s">
        <v>2535</v>
      </c>
      <c r="AJ4590">
        <v>40.148034000000003</v>
      </c>
      <c r="AK4590" t="s">
        <v>2536</v>
      </c>
      <c r="AL4590">
        <v>-93.252617999999998</v>
      </c>
      <c r="AM4590">
        <v>100</v>
      </c>
      <c r="AN4590">
        <v>1200</v>
      </c>
      <c r="AO4590" t="s">
        <v>118</v>
      </c>
      <c r="AP4590">
        <v>-136</v>
      </c>
      <c r="AQ4590">
        <v>-10</v>
      </c>
      <c r="AR4590">
        <v>-128</v>
      </c>
      <c r="AZ4590">
        <v>1200</v>
      </c>
      <c r="BA4590">
        <v>1</v>
      </c>
      <c r="BB4590" t="str">
        <f t="shared" si="225"/>
        <v xml:space="preserve">N8080G  </v>
      </c>
      <c r="BC4590">
        <v>1</v>
      </c>
      <c r="BE4590">
        <v>0</v>
      </c>
      <c r="BF4590">
        <v>0</v>
      </c>
      <c r="BG4590">
        <v>0</v>
      </c>
      <c r="BH4590">
        <v>1250</v>
      </c>
      <c r="BI4590">
        <v>1</v>
      </c>
      <c r="BJ4590">
        <v>1</v>
      </c>
      <c r="BK4590">
        <v>1</v>
      </c>
      <c r="BL4590">
        <v>0</v>
      </c>
      <c r="BO4590">
        <v>0</v>
      </c>
      <c r="BP4590">
        <v>0</v>
      </c>
      <c r="BW4590" t="str">
        <f>"20:39:57.940"</f>
        <v>20:39:57.940</v>
      </c>
      <c r="BZ4590">
        <v>0</v>
      </c>
      <c r="CA4590">
        <v>1504</v>
      </c>
      <c r="CB4590">
        <v>224</v>
      </c>
      <c r="CD4590">
        <v>1</v>
      </c>
      <c r="CE4590">
        <v>0</v>
      </c>
      <c r="CF4590">
        <v>0</v>
      </c>
      <c r="CG4590">
        <v>1</v>
      </c>
      <c r="CH4590">
        <v>0</v>
      </c>
      <c r="CI4590">
        <v>0</v>
      </c>
      <c r="CJ4590">
        <v>0</v>
      </c>
      <c r="CK4590">
        <v>2</v>
      </c>
      <c r="CL4590">
        <v>0</v>
      </c>
      <c r="CM4590">
        <v>2</v>
      </c>
      <c r="CN4590">
        <v>0</v>
      </c>
      <c r="CO4590">
        <v>1</v>
      </c>
      <c r="CP4590" t="s">
        <v>119</v>
      </c>
      <c r="CQ4590">
        <v>180</v>
      </c>
      <c r="CR4590">
        <v>3</v>
      </c>
      <c r="CW4590">
        <v>1468946</v>
      </c>
      <c r="CY4590">
        <v>0</v>
      </c>
      <c r="CZ4590">
        <v>0</v>
      </c>
      <c r="DA4590">
        <v>1</v>
      </c>
      <c r="DB4590">
        <v>0</v>
      </c>
      <c r="DC4590">
        <v>0</v>
      </c>
      <c r="DD4590">
        <v>0</v>
      </c>
      <c r="DE4590">
        <v>0</v>
      </c>
      <c r="DF4590">
        <v>0</v>
      </c>
      <c r="DG4590">
        <v>0</v>
      </c>
      <c r="DH4590">
        <v>0</v>
      </c>
      <c r="DI4590">
        <v>0</v>
      </c>
    </row>
    <row r="4591" spans="1:113" x14ac:dyDescent="0.3">
      <c r="A4591" t="str">
        <f>"02/08/2021 20:39:56.553"</f>
        <v>02/08/2021 20:39:56.553</v>
      </c>
      <c r="C4591" t="str">
        <f t="shared" si="227"/>
        <v>FFDFD7C0</v>
      </c>
      <c r="D4591" t="s">
        <v>124</v>
      </c>
      <c r="E4591">
        <v>12</v>
      </c>
      <c r="F4591">
        <v>1012</v>
      </c>
      <c r="G4591" t="s">
        <v>675</v>
      </c>
      <c r="J4591" t="s">
        <v>125</v>
      </c>
      <c r="K4591">
        <v>0</v>
      </c>
      <c r="L4591">
        <v>3</v>
      </c>
      <c r="M4591">
        <v>0</v>
      </c>
      <c r="N4591">
        <v>2</v>
      </c>
      <c r="O4591">
        <v>1</v>
      </c>
      <c r="P4591">
        <v>0</v>
      </c>
      <c r="Q4591">
        <v>0</v>
      </c>
      <c r="S4591" t="str">
        <f>"20:39:58.836"</f>
        <v>20:39:58.836</v>
      </c>
      <c r="T4591" t="str">
        <f>"20:39:58.436"</f>
        <v>20:39:58.436</v>
      </c>
      <c r="U4591" t="str">
        <f t="shared" si="226"/>
        <v>AB01F4</v>
      </c>
      <c r="V4591">
        <v>0</v>
      </c>
      <c r="W4591">
        <v>0</v>
      </c>
      <c r="X4591">
        <v>2</v>
      </c>
      <c r="Z4591">
        <v>0</v>
      </c>
      <c r="AA4591">
        <v>9</v>
      </c>
      <c r="AB4591">
        <v>3</v>
      </c>
      <c r="AC4591">
        <v>0</v>
      </c>
      <c r="AD4591">
        <v>10</v>
      </c>
      <c r="AE4591">
        <v>0</v>
      </c>
      <c r="AF4591">
        <v>3</v>
      </c>
      <c r="AG4591">
        <v>2</v>
      </c>
      <c r="AH4591">
        <v>0</v>
      </c>
      <c r="AI4591" t="s">
        <v>2537</v>
      </c>
      <c r="AJ4591">
        <v>40.147990999999998</v>
      </c>
      <c r="AK4591" t="s">
        <v>2538</v>
      </c>
      <c r="AL4591">
        <v>-93.253326000000001</v>
      </c>
      <c r="AM4591">
        <v>100</v>
      </c>
      <c r="AN4591">
        <v>1200</v>
      </c>
      <c r="AO4591" t="s">
        <v>118</v>
      </c>
      <c r="AP4591">
        <v>-136</v>
      </c>
      <c r="AQ4591">
        <v>-7</v>
      </c>
      <c r="AR4591">
        <v>-256</v>
      </c>
      <c r="AZ4591">
        <v>1200</v>
      </c>
      <c r="BA4591">
        <v>1</v>
      </c>
      <c r="BB4591" t="str">
        <f t="shared" ref="BB4591:BB4610" si="228">"N8080G  "</f>
        <v xml:space="preserve">N8080G  </v>
      </c>
      <c r="BC4591">
        <v>1</v>
      </c>
      <c r="BE4591">
        <v>0</v>
      </c>
      <c r="BF4591">
        <v>0</v>
      </c>
      <c r="BG4591">
        <v>0</v>
      </c>
      <c r="BH4591">
        <v>1250</v>
      </c>
      <c r="BI4591">
        <v>1</v>
      </c>
      <c r="BJ4591">
        <v>1</v>
      </c>
      <c r="BK4591">
        <v>1</v>
      </c>
      <c r="BL4591">
        <v>0</v>
      </c>
      <c r="BO4591">
        <v>0</v>
      </c>
      <c r="BP4591">
        <v>0</v>
      </c>
      <c r="BW4591" t="str">
        <f>"20:39:58.843"</f>
        <v>20:39:58.843</v>
      </c>
      <c r="BZ4591">
        <v>0</v>
      </c>
      <c r="CA4591">
        <v>1504</v>
      </c>
      <c r="CB4591">
        <v>224</v>
      </c>
      <c r="CD4591">
        <v>1</v>
      </c>
      <c r="CE4591">
        <v>0</v>
      </c>
      <c r="CF4591">
        <v>0</v>
      </c>
      <c r="CG4591">
        <v>1</v>
      </c>
      <c r="CH4591">
        <v>0</v>
      </c>
      <c r="CI4591">
        <v>0</v>
      </c>
      <c r="CJ4591">
        <v>0</v>
      </c>
      <c r="CK4591">
        <v>2</v>
      </c>
      <c r="CL4591">
        <v>0</v>
      </c>
      <c r="CM4591">
        <v>2</v>
      </c>
      <c r="CN4591">
        <v>0</v>
      </c>
      <c r="CO4591">
        <v>1</v>
      </c>
      <c r="CP4591" t="s">
        <v>119</v>
      </c>
      <c r="CQ4591">
        <v>180</v>
      </c>
      <c r="CR4591">
        <v>3</v>
      </c>
      <c r="CW4591">
        <v>1469572</v>
      </c>
      <c r="CY4591">
        <v>0</v>
      </c>
      <c r="CZ4591">
        <v>0</v>
      </c>
      <c r="DA4591">
        <v>0</v>
      </c>
      <c r="DB4591">
        <v>0</v>
      </c>
      <c r="DC4591">
        <v>0</v>
      </c>
      <c r="DD4591">
        <v>0</v>
      </c>
      <c r="DE4591">
        <v>0</v>
      </c>
      <c r="DF4591">
        <v>0</v>
      </c>
      <c r="DG4591">
        <v>0</v>
      </c>
      <c r="DH4591">
        <v>0</v>
      </c>
      <c r="DI4591">
        <v>0</v>
      </c>
    </row>
    <row r="4592" spans="1:113" x14ac:dyDescent="0.3">
      <c r="A4592" t="str">
        <f>"02/08/2021 20:39:56.553"</f>
        <v>02/08/2021 20:39:56.553</v>
      </c>
      <c r="C4592" t="str">
        <f t="shared" si="227"/>
        <v>FFDFD7C0</v>
      </c>
      <c r="D4592" t="s">
        <v>113</v>
      </c>
      <c r="E4592">
        <v>6</v>
      </c>
      <c r="H4592">
        <v>165</v>
      </c>
      <c r="I4592" t="s">
        <v>114</v>
      </c>
      <c r="J4592" t="s">
        <v>115</v>
      </c>
      <c r="K4592">
        <v>0</v>
      </c>
      <c r="L4592">
        <v>3</v>
      </c>
      <c r="M4592">
        <v>0</v>
      </c>
      <c r="N4592">
        <v>2</v>
      </c>
      <c r="O4592">
        <v>1</v>
      </c>
      <c r="P4592">
        <v>0</v>
      </c>
      <c r="Q4592">
        <v>0</v>
      </c>
      <c r="S4592" t="str">
        <f>"20:39:58.836"</f>
        <v>20:39:58.836</v>
      </c>
      <c r="T4592" t="str">
        <f>"20:39:58.436"</f>
        <v>20:39:58.436</v>
      </c>
      <c r="U4592" t="str">
        <f t="shared" si="226"/>
        <v>AB01F4</v>
      </c>
      <c r="V4592">
        <v>0</v>
      </c>
      <c r="W4592">
        <v>0</v>
      </c>
      <c r="X4592">
        <v>2</v>
      </c>
      <c r="Z4592">
        <v>0</v>
      </c>
      <c r="AA4592">
        <v>9</v>
      </c>
      <c r="AB4592">
        <v>3</v>
      </c>
      <c r="AC4592">
        <v>0</v>
      </c>
      <c r="AD4592">
        <v>10</v>
      </c>
      <c r="AE4592">
        <v>0</v>
      </c>
      <c r="AF4592">
        <v>3</v>
      </c>
      <c r="AG4592">
        <v>2</v>
      </c>
      <c r="AH4592">
        <v>0</v>
      </c>
      <c r="AI4592" t="s">
        <v>2537</v>
      </c>
      <c r="AJ4592">
        <v>40.147990999999998</v>
      </c>
      <c r="AK4592" t="s">
        <v>2538</v>
      </c>
      <c r="AL4592">
        <v>-93.253326000000001</v>
      </c>
      <c r="AM4592">
        <v>100</v>
      </c>
      <c r="AN4592">
        <v>1200</v>
      </c>
      <c r="AO4592" t="s">
        <v>118</v>
      </c>
      <c r="AP4592">
        <v>-136</v>
      </c>
      <c r="AQ4592">
        <v>-7</v>
      </c>
      <c r="AR4592">
        <v>-256</v>
      </c>
      <c r="AZ4592">
        <v>1200</v>
      </c>
      <c r="BA4592">
        <v>1</v>
      </c>
      <c r="BB4592" t="str">
        <f t="shared" si="228"/>
        <v xml:space="preserve">N8080G  </v>
      </c>
      <c r="BC4592">
        <v>1</v>
      </c>
      <c r="BE4592">
        <v>0</v>
      </c>
      <c r="BF4592">
        <v>0</v>
      </c>
      <c r="BG4592">
        <v>0</v>
      </c>
      <c r="BH4592">
        <v>1250</v>
      </c>
      <c r="BI4592">
        <v>1</v>
      </c>
      <c r="BJ4592">
        <v>1</v>
      </c>
      <c r="BK4592">
        <v>1</v>
      </c>
      <c r="BL4592">
        <v>0</v>
      </c>
      <c r="BO4592">
        <v>0</v>
      </c>
      <c r="BP4592">
        <v>0</v>
      </c>
      <c r="BW4592" t="str">
        <f>"20:39:58.843"</f>
        <v>20:39:58.843</v>
      </c>
      <c r="BZ4592">
        <v>0</v>
      </c>
      <c r="CA4592">
        <v>1504</v>
      </c>
      <c r="CB4592">
        <v>224</v>
      </c>
      <c r="CD4592">
        <v>1</v>
      </c>
      <c r="CE4592">
        <v>0</v>
      </c>
      <c r="CF4592">
        <v>0</v>
      </c>
      <c r="CG4592">
        <v>1</v>
      </c>
      <c r="CH4592">
        <v>0</v>
      </c>
      <c r="CI4592">
        <v>0</v>
      </c>
      <c r="CJ4592">
        <v>0</v>
      </c>
      <c r="CK4592">
        <v>2</v>
      </c>
      <c r="CL4592">
        <v>0</v>
      </c>
      <c r="CM4592">
        <v>2</v>
      </c>
      <c r="CN4592">
        <v>0</v>
      </c>
      <c r="CO4592">
        <v>1</v>
      </c>
      <c r="CP4592" t="s">
        <v>119</v>
      </c>
      <c r="CQ4592">
        <v>180</v>
      </c>
      <c r="CR4592">
        <v>3</v>
      </c>
      <c r="CW4592">
        <v>1469572</v>
      </c>
      <c r="CY4592">
        <v>0</v>
      </c>
      <c r="CZ4592">
        <v>0</v>
      </c>
      <c r="DA4592">
        <v>1</v>
      </c>
      <c r="DB4592">
        <v>0</v>
      </c>
      <c r="DC4592">
        <v>0</v>
      </c>
      <c r="DD4592">
        <v>0</v>
      </c>
      <c r="DE4592">
        <v>0</v>
      </c>
      <c r="DF4592">
        <v>0</v>
      </c>
      <c r="DG4592">
        <v>0</v>
      </c>
      <c r="DH4592">
        <v>0</v>
      </c>
      <c r="DI4592">
        <v>0</v>
      </c>
    </row>
    <row r="4593" spans="1:113" x14ac:dyDescent="0.3">
      <c r="A4593" t="str">
        <f>"02/08/2021 20:39:56.553"</f>
        <v>02/08/2021 20:39:56.553</v>
      </c>
      <c r="C4593" t="str">
        <f t="shared" si="227"/>
        <v>FFDFD7C0</v>
      </c>
      <c r="D4593" t="s">
        <v>124</v>
      </c>
      <c r="E4593">
        <v>13</v>
      </c>
      <c r="F4593">
        <v>1013</v>
      </c>
      <c r="G4593" t="s">
        <v>114</v>
      </c>
      <c r="J4593" t="s">
        <v>125</v>
      </c>
      <c r="K4593">
        <v>0</v>
      </c>
      <c r="L4593">
        <v>3</v>
      </c>
      <c r="M4593">
        <v>0</v>
      </c>
      <c r="N4593">
        <v>2</v>
      </c>
      <c r="O4593">
        <v>1</v>
      </c>
      <c r="P4593">
        <v>0</v>
      </c>
      <c r="Q4593">
        <v>0</v>
      </c>
      <c r="S4593" t="str">
        <f>"20:39:58.836"</f>
        <v>20:39:58.836</v>
      </c>
      <c r="T4593" t="str">
        <f>"20:39:58.436"</f>
        <v>20:39:58.436</v>
      </c>
      <c r="U4593" t="str">
        <f t="shared" si="226"/>
        <v>AB01F4</v>
      </c>
      <c r="V4593">
        <v>0</v>
      </c>
      <c r="W4593">
        <v>0</v>
      </c>
      <c r="X4593">
        <v>2</v>
      </c>
      <c r="Z4593">
        <v>0</v>
      </c>
      <c r="AA4593">
        <v>9</v>
      </c>
      <c r="AB4593">
        <v>3</v>
      </c>
      <c r="AC4593">
        <v>0</v>
      </c>
      <c r="AD4593">
        <v>10</v>
      </c>
      <c r="AE4593">
        <v>0</v>
      </c>
      <c r="AF4593">
        <v>3</v>
      </c>
      <c r="AG4593">
        <v>2</v>
      </c>
      <c r="AH4593">
        <v>0</v>
      </c>
      <c r="AI4593" t="s">
        <v>2537</v>
      </c>
      <c r="AJ4593">
        <v>40.147990999999998</v>
      </c>
      <c r="AK4593" t="s">
        <v>2538</v>
      </c>
      <c r="AL4593">
        <v>-93.253326000000001</v>
      </c>
      <c r="AM4593">
        <v>100</v>
      </c>
      <c r="AN4593">
        <v>1200</v>
      </c>
      <c r="AO4593" t="s">
        <v>118</v>
      </c>
      <c r="AP4593">
        <v>-136</v>
      </c>
      <c r="AQ4593">
        <v>-7</v>
      </c>
      <c r="AR4593">
        <v>-256</v>
      </c>
      <c r="AZ4593">
        <v>1200</v>
      </c>
      <c r="BA4593">
        <v>1</v>
      </c>
      <c r="BB4593" t="str">
        <f t="shared" si="228"/>
        <v xml:space="preserve">N8080G  </v>
      </c>
      <c r="BC4593">
        <v>1</v>
      </c>
      <c r="BE4593">
        <v>0</v>
      </c>
      <c r="BF4593">
        <v>0</v>
      </c>
      <c r="BG4593">
        <v>0</v>
      </c>
      <c r="BH4593">
        <v>1250</v>
      </c>
      <c r="BI4593">
        <v>1</v>
      </c>
      <c r="BJ4593">
        <v>1</v>
      </c>
      <c r="BK4593">
        <v>1</v>
      </c>
      <c r="BL4593">
        <v>0</v>
      </c>
      <c r="BO4593">
        <v>0</v>
      </c>
      <c r="BP4593">
        <v>0</v>
      </c>
      <c r="BW4593" t="str">
        <f>"20:39:58.843"</f>
        <v>20:39:58.843</v>
      </c>
      <c r="BZ4593">
        <v>0</v>
      </c>
      <c r="CA4593">
        <v>1504</v>
      </c>
      <c r="CB4593">
        <v>224</v>
      </c>
      <c r="CD4593">
        <v>1</v>
      </c>
      <c r="CE4593">
        <v>0</v>
      </c>
      <c r="CF4593">
        <v>0</v>
      </c>
      <c r="CG4593">
        <v>1</v>
      </c>
      <c r="CH4593">
        <v>0</v>
      </c>
      <c r="CI4593">
        <v>0</v>
      </c>
      <c r="CJ4593">
        <v>0</v>
      </c>
      <c r="CK4593">
        <v>2</v>
      </c>
      <c r="CL4593">
        <v>0</v>
      </c>
      <c r="CM4593">
        <v>2</v>
      </c>
      <c r="CN4593">
        <v>0</v>
      </c>
      <c r="CO4593">
        <v>1</v>
      </c>
      <c r="CP4593" t="s">
        <v>119</v>
      </c>
      <c r="CQ4593">
        <v>180</v>
      </c>
      <c r="CR4593">
        <v>3</v>
      </c>
      <c r="CW4593">
        <v>1469572</v>
      </c>
      <c r="CY4593">
        <v>0</v>
      </c>
      <c r="CZ4593">
        <v>0</v>
      </c>
      <c r="DA4593">
        <v>1</v>
      </c>
      <c r="DB4593">
        <v>0</v>
      </c>
      <c r="DC4593">
        <v>0</v>
      </c>
      <c r="DD4593">
        <v>0</v>
      </c>
      <c r="DE4593">
        <v>0</v>
      </c>
      <c r="DF4593">
        <v>0</v>
      </c>
      <c r="DG4593">
        <v>0</v>
      </c>
      <c r="DH4593">
        <v>0</v>
      </c>
      <c r="DI4593">
        <v>0</v>
      </c>
    </row>
    <row r="4594" spans="1:113" x14ac:dyDescent="0.3">
      <c r="A4594" t="str">
        <f>"02/08/2021 20:39:56.553"</f>
        <v>02/08/2021 20:39:56.553</v>
      </c>
      <c r="C4594" t="str">
        <f t="shared" si="227"/>
        <v>FFDFD7C0</v>
      </c>
      <c r="D4594" t="s">
        <v>124</v>
      </c>
      <c r="E4594">
        <v>11</v>
      </c>
      <c r="F4594">
        <v>1011</v>
      </c>
      <c r="G4594" t="s">
        <v>590</v>
      </c>
      <c r="J4594" t="s">
        <v>125</v>
      </c>
      <c r="K4594">
        <v>0</v>
      </c>
      <c r="L4594">
        <v>3</v>
      </c>
      <c r="M4594">
        <v>0</v>
      </c>
      <c r="N4594">
        <v>2</v>
      </c>
      <c r="O4594">
        <v>1</v>
      </c>
      <c r="P4594">
        <v>0</v>
      </c>
      <c r="Q4594">
        <v>0</v>
      </c>
      <c r="S4594" t="str">
        <f>"20:39:58.836"</f>
        <v>20:39:58.836</v>
      </c>
      <c r="T4594" t="str">
        <f>"20:39:58.436"</f>
        <v>20:39:58.436</v>
      </c>
      <c r="U4594" t="str">
        <f t="shared" si="226"/>
        <v>AB01F4</v>
      </c>
      <c r="V4594">
        <v>0</v>
      </c>
      <c r="W4594">
        <v>0</v>
      </c>
      <c r="X4594">
        <v>2</v>
      </c>
      <c r="Z4594">
        <v>0</v>
      </c>
      <c r="AA4594">
        <v>9</v>
      </c>
      <c r="AB4594">
        <v>3</v>
      </c>
      <c r="AC4594">
        <v>0</v>
      </c>
      <c r="AD4594">
        <v>10</v>
      </c>
      <c r="AE4594">
        <v>0</v>
      </c>
      <c r="AF4594">
        <v>3</v>
      </c>
      <c r="AG4594">
        <v>2</v>
      </c>
      <c r="AH4594">
        <v>0</v>
      </c>
      <c r="AI4594" t="s">
        <v>2537</v>
      </c>
      <c r="AJ4594">
        <v>40.147990999999998</v>
      </c>
      <c r="AK4594" t="s">
        <v>2538</v>
      </c>
      <c r="AL4594">
        <v>-93.253326000000001</v>
      </c>
      <c r="AM4594">
        <v>100</v>
      </c>
      <c r="AN4594">
        <v>1200</v>
      </c>
      <c r="AO4594" t="s">
        <v>118</v>
      </c>
      <c r="AP4594">
        <v>-136</v>
      </c>
      <c r="AQ4594">
        <v>-7</v>
      </c>
      <c r="AR4594">
        <v>-256</v>
      </c>
      <c r="AZ4594">
        <v>1200</v>
      </c>
      <c r="BA4594">
        <v>1</v>
      </c>
      <c r="BB4594" t="str">
        <f t="shared" si="228"/>
        <v xml:space="preserve">N8080G  </v>
      </c>
      <c r="BC4594">
        <v>1</v>
      </c>
      <c r="BE4594">
        <v>0</v>
      </c>
      <c r="BF4594">
        <v>0</v>
      </c>
      <c r="BG4594">
        <v>0</v>
      </c>
      <c r="BH4594">
        <v>1250</v>
      </c>
      <c r="BI4594">
        <v>1</v>
      </c>
      <c r="BJ4594">
        <v>1</v>
      </c>
      <c r="BK4594">
        <v>1</v>
      </c>
      <c r="BL4594">
        <v>0</v>
      </c>
      <c r="BO4594">
        <v>0</v>
      </c>
      <c r="BP4594">
        <v>0</v>
      </c>
      <c r="BW4594" t="str">
        <f>"20:39:58.843"</f>
        <v>20:39:58.843</v>
      </c>
      <c r="BZ4594">
        <v>0</v>
      </c>
      <c r="CA4594">
        <v>1504</v>
      </c>
      <c r="CB4594">
        <v>224</v>
      </c>
      <c r="CD4594">
        <v>1</v>
      </c>
      <c r="CE4594">
        <v>0</v>
      </c>
      <c r="CF4594">
        <v>0</v>
      </c>
      <c r="CG4594">
        <v>1</v>
      </c>
      <c r="CH4594">
        <v>0</v>
      </c>
      <c r="CI4594">
        <v>0</v>
      </c>
      <c r="CJ4594">
        <v>0</v>
      </c>
      <c r="CK4594">
        <v>2</v>
      </c>
      <c r="CL4594">
        <v>0</v>
      </c>
      <c r="CM4594">
        <v>2</v>
      </c>
      <c r="CN4594">
        <v>0</v>
      </c>
      <c r="CO4594">
        <v>1</v>
      </c>
      <c r="CP4594" t="s">
        <v>119</v>
      </c>
      <c r="CQ4594">
        <v>180</v>
      </c>
      <c r="CR4594">
        <v>3</v>
      </c>
      <c r="CW4594">
        <v>1469572</v>
      </c>
      <c r="CY4594">
        <v>0</v>
      </c>
      <c r="CZ4594">
        <v>0</v>
      </c>
      <c r="DA4594">
        <v>1</v>
      </c>
      <c r="DB4594">
        <v>0</v>
      </c>
      <c r="DC4594">
        <v>0</v>
      </c>
      <c r="DD4594">
        <v>0</v>
      </c>
      <c r="DE4594">
        <v>0</v>
      </c>
      <c r="DF4594">
        <v>0</v>
      </c>
      <c r="DG4594">
        <v>0</v>
      </c>
      <c r="DH4594">
        <v>0</v>
      </c>
      <c r="DI4594">
        <v>0</v>
      </c>
    </row>
    <row r="4595" spans="1:113" x14ac:dyDescent="0.3">
      <c r="A4595" t="str">
        <f>"02/08/2021 20:39:59.823"</f>
        <v>02/08/2021 20:39:59.823</v>
      </c>
      <c r="C4595" t="str">
        <f t="shared" si="227"/>
        <v>FFDFD7C0</v>
      </c>
      <c r="D4595" t="s">
        <v>124</v>
      </c>
      <c r="E4595">
        <v>12</v>
      </c>
      <c r="F4595">
        <v>1012</v>
      </c>
      <c r="G4595" t="s">
        <v>675</v>
      </c>
      <c r="J4595" t="s">
        <v>125</v>
      </c>
      <c r="K4595">
        <v>0</v>
      </c>
      <c r="L4595">
        <v>3</v>
      </c>
      <c r="M4595">
        <v>0</v>
      </c>
      <c r="N4595">
        <v>2</v>
      </c>
      <c r="O4595">
        <v>1</v>
      </c>
      <c r="P4595">
        <v>0</v>
      </c>
      <c r="Q4595">
        <v>0</v>
      </c>
      <c r="S4595" t="str">
        <f>"20:40:02.141"</f>
        <v>20:40:02.141</v>
      </c>
      <c r="T4595" t="str">
        <f>"20:40:01.741"</f>
        <v>20:40:01.741</v>
      </c>
      <c r="U4595" t="str">
        <f t="shared" si="226"/>
        <v>AB01F4</v>
      </c>
      <c r="V4595">
        <v>0</v>
      </c>
      <c r="W4595">
        <v>0</v>
      </c>
      <c r="X4595">
        <v>2</v>
      </c>
      <c r="Z4595">
        <v>0</v>
      </c>
      <c r="AA4595">
        <v>9</v>
      </c>
      <c r="AB4595">
        <v>3</v>
      </c>
      <c r="AC4595">
        <v>0</v>
      </c>
      <c r="AD4595">
        <v>10</v>
      </c>
      <c r="AE4595">
        <v>0</v>
      </c>
      <c r="AF4595">
        <v>3</v>
      </c>
      <c r="AG4595">
        <v>2</v>
      </c>
      <c r="AH4595">
        <v>0</v>
      </c>
      <c r="AI4595" t="s">
        <v>2535</v>
      </c>
      <c r="AJ4595">
        <v>40.148034000000003</v>
      </c>
      <c r="AK4595" t="s">
        <v>2539</v>
      </c>
      <c r="AL4595">
        <v>-93.256051999999997</v>
      </c>
      <c r="AM4595">
        <v>100</v>
      </c>
      <c r="AN4595">
        <v>1200</v>
      </c>
      <c r="AO4595" t="s">
        <v>118</v>
      </c>
      <c r="AP4595">
        <v>-136</v>
      </c>
      <c r="AQ4595">
        <v>5</v>
      </c>
      <c r="AR4595">
        <v>-256</v>
      </c>
      <c r="AZ4595">
        <v>1200</v>
      </c>
      <c r="BA4595">
        <v>1</v>
      </c>
      <c r="BB4595" t="str">
        <f t="shared" si="228"/>
        <v xml:space="preserve">N8080G  </v>
      </c>
      <c r="BC4595">
        <v>1</v>
      </c>
      <c r="BE4595">
        <v>0</v>
      </c>
      <c r="BF4595">
        <v>0</v>
      </c>
      <c r="BG4595">
        <v>0</v>
      </c>
      <c r="BH4595">
        <v>1250</v>
      </c>
      <c r="BI4595">
        <v>1</v>
      </c>
      <c r="BJ4595">
        <v>1</v>
      </c>
      <c r="BK4595">
        <v>1</v>
      </c>
      <c r="BL4595">
        <v>0</v>
      </c>
      <c r="BO4595">
        <v>0</v>
      </c>
      <c r="BP4595">
        <v>0</v>
      </c>
      <c r="BW4595" t="str">
        <f>"20:40:02.143"</f>
        <v>20:40:02.143</v>
      </c>
      <c r="BZ4595">
        <v>0</v>
      </c>
      <c r="CA4595">
        <v>1504</v>
      </c>
      <c r="CB4595">
        <v>224</v>
      </c>
      <c r="CD4595">
        <v>1</v>
      </c>
      <c r="CE4595">
        <v>0</v>
      </c>
      <c r="CF4595">
        <v>0</v>
      </c>
      <c r="CG4595">
        <v>1</v>
      </c>
      <c r="CH4595">
        <v>0</v>
      </c>
      <c r="CI4595">
        <v>0</v>
      </c>
      <c r="CJ4595">
        <v>0</v>
      </c>
      <c r="CK4595">
        <v>2</v>
      </c>
      <c r="CL4595">
        <v>0</v>
      </c>
      <c r="CM4595">
        <v>2</v>
      </c>
      <c r="CN4595">
        <v>0</v>
      </c>
      <c r="CO4595">
        <v>2</v>
      </c>
      <c r="CP4595" t="s">
        <v>119</v>
      </c>
      <c r="CQ4595">
        <v>180</v>
      </c>
      <c r="CR4595">
        <v>3</v>
      </c>
      <c r="CW4595">
        <v>1472181</v>
      </c>
      <c r="CY4595">
        <v>0</v>
      </c>
      <c r="CZ4595">
        <v>0</v>
      </c>
      <c r="DA4595">
        <v>0</v>
      </c>
      <c r="DB4595">
        <v>0</v>
      </c>
      <c r="DC4595">
        <v>0</v>
      </c>
      <c r="DD4595">
        <v>0</v>
      </c>
      <c r="DE4595">
        <v>0</v>
      </c>
      <c r="DF4595">
        <v>0</v>
      </c>
      <c r="DG4595">
        <v>0</v>
      </c>
      <c r="DH4595">
        <v>0</v>
      </c>
      <c r="DI4595">
        <v>0</v>
      </c>
    </row>
    <row r="4596" spans="1:113" x14ac:dyDescent="0.3">
      <c r="A4596" t="str">
        <f>"02/08/2021 20:39:59.823"</f>
        <v>02/08/2021 20:39:59.823</v>
      </c>
      <c r="C4596" t="str">
        <f t="shared" si="227"/>
        <v>FFDFD7C0</v>
      </c>
      <c r="D4596" t="s">
        <v>124</v>
      </c>
      <c r="E4596">
        <v>13</v>
      </c>
      <c r="F4596">
        <v>1013</v>
      </c>
      <c r="G4596" t="s">
        <v>114</v>
      </c>
      <c r="J4596" t="s">
        <v>125</v>
      </c>
      <c r="K4596">
        <v>0</v>
      </c>
      <c r="L4596">
        <v>3</v>
      </c>
      <c r="M4596">
        <v>0</v>
      </c>
      <c r="N4596">
        <v>2</v>
      </c>
      <c r="O4596">
        <v>1</v>
      </c>
      <c r="P4596">
        <v>0</v>
      </c>
      <c r="Q4596">
        <v>0</v>
      </c>
      <c r="S4596" t="str">
        <f>"20:40:02.141"</f>
        <v>20:40:02.141</v>
      </c>
      <c r="T4596" t="str">
        <f>"20:40:01.741"</f>
        <v>20:40:01.741</v>
      </c>
      <c r="U4596" t="str">
        <f t="shared" si="226"/>
        <v>AB01F4</v>
      </c>
      <c r="V4596">
        <v>0</v>
      </c>
      <c r="W4596">
        <v>0</v>
      </c>
      <c r="X4596">
        <v>2</v>
      </c>
      <c r="Z4596">
        <v>0</v>
      </c>
      <c r="AA4596">
        <v>9</v>
      </c>
      <c r="AB4596">
        <v>3</v>
      </c>
      <c r="AC4596">
        <v>0</v>
      </c>
      <c r="AD4596">
        <v>10</v>
      </c>
      <c r="AE4596">
        <v>0</v>
      </c>
      <c r="AF4596">
        <v>3</v>
      </c>
      <c r="AG4596">
        <v>2</v>
      </c>
      <c r="AH4596">
        <v>0</v>
      </c>
      <c r="AI4596" t="s">
        <v>2535</v>
      </c>
      <c r="AJ4596">
        <v>40.148034000000003</v>
      </c>
      <c r="AK4596" t="s">
        <v>2539</v>
      </c>
      <c r="AL4596">
        <v>-93.256051999999997</v>
      </c>
      <c r="AM4596">
        <v>100</v>
      </c>
      <c r="AN4596">
        <v>1200</v>
      </c>
      <c r="AO4596" t="s">
        <v>118</v>
      </c>
      <c r="AP4596">
        <v>-136</v>
      </c>
      <c r="AQ4596">
        <v>5</v>
      </c>
      <c r="AR4596">
        <v>-256</v>
      </c>
      <c r="AZ4596">
        <v>1200</v>
      </c>
      <c r="BA4596">
        <v>1</v>
      </c>
      <c r="BB4596" t="str">
        <f t="shared" si="228"/>
        <v xml:space="preserve">N8080G  </v>
      </c>
      <c r="BC4596">
        <v>1</v>
      </c>
      <c r="BE4596">
        <v>0</v>
      </c>
      <c r="BF4596">
        <v>0</v>
      </c>
      <c r="BG4596">
        <v>0</v>
      </c>
      <c r="BH4596">
        <v>1250</v>
      </c>
      <c r="BI4596">
        <v>1</v>
      </c>
      <c r="BJ4596">
        <v>1</v>
      </c>
      <c r="BK4596">
        <v>1</v>
      </c>
      <c r="BL4596">
        <v>0</v>
      </c>
      <c r="BO4596">
        <v>0</v>
      </c>
      <c r="BP4596">
        <v>0</v>
      </c>
      <c r="BW4596" t="str">
        <f>"20:40:02.143"</f>
        <v>20:40:02.143</v>
      </c>
      <c r="BZ4596">
        <v>0</v>
      </c>
      <c r="CA4596">
        <v>1504</v>
      </c>
      <c r="CB4596">
        <v>224</v>
      </c>
      <c r="CD4596">
        <v>1</v>
      </c>
      <c r="CE4596">
        <v>0</v>
      </c>
      <c r="CF4596">
        <v>0</v>
      </c>
      <c r="CG4596">
        <v>1</v>
      </c>
      <c r="CH4596">
        <v>0</v>
      </c>
      <c r="CI4596">
        <v>0</v>
      </c>
      <c r="CJ4596">
        <v>0</v>
      </c>
      <c r="CK4596">
        <v>2</v>
      </c>
      <c r="CL4596">
        <v>0</v>
      </c>
      <c r="CM4596">
        <v>2</v>
      </c>
      <c r="CN4596">
        <v>0</v>
      </c>
      <c r="CO4596">
        <v>2</v>
      </c>
      <c r="CP4596" t="s">
        <v>119</v>
      </c>
      <c r="CQ4596">
        <v>180</v>
      </c>
      <c r="CR4596">
        <v>3</v>
      </c>
      <c r="CW4596">
        <v>1472181</v>
      </c>
      <c r="CY4596">
        <v>0</v>
      </c>
      <c r="CZ4596">
        <v>0</v>
      </c>
      <c r="DA4596">
        <v>1</v>
      </c>
      <c r="DB4596">
        <v>0</v>
      </c>
      <c r="DC4596">
        <v>0</v>
      </c>
      <c r="DD4596">
        <v>0</v>
      </c>
      <c r="DE4596">
        <v>0</v>
      </c>
      <c r="DF4596">
        <v>0</v>
      </c>
      <c r="DG4596">
        <v>0</v>
      </c>
      <c r="DH4596">
        <v>0</v>
      </c>
      <c r="DI4596">
        <v>0</v>
      </c>
    </row>
    <row r="4597" spans="1:113" x14ac:dyDescent="0.3">
      <c r="A4597" t="str">
        <f>"02/08/2021 20:39:59.823"</f>
        <v>02/08/2021 20:39:59.823</v>
      </c>
      <c r="C4597" t="str">
        <f t="shared" si="227"/>
        <v>FFDFD7C0</v>
      </c>
      <c r="D4597" t="s">
        <v>113</v>
      </c>
      <c r="E4597">
        <v>6</v>
      </c>
      <c r="H4597">
        <v>165</v>
      </c>
      <c r="I4597" t="s">
        <v>114</v>
      </c>
      <c r="J4597" t="s">
        <v>115</v>
      </c>
      <c r="K4597">
        <v>0</v>
      </c>
      <c r="L4597">
        <v>3</v>
      </c>
      <c r="M4597">
        <v>0</v>
      </c>
      <c r="N4597">
        <v>2</v>
      </c>
      <c r="O4597">
        <v>1</v>
      </c>
      <c r="P4597">
        <v>0</v>
      </c>
      <c r="Q4597">
        <v>0</v>
      </c>
      <c r="S4597" t="str">
        <f>"20:40:02.141"</f>
        <v>20:40:02.141</v>
      </c>
      <c r="T4597" t="str">
        <f>"20:40:01.741"</f>
        <v>20:40:01.741</v>
      </c>
      <c r="U4597" t="str">
        <f t="shared" si="226"/>
        <v>AB01F4</v>
      </c>
      <c r="V4597">
        <v>0</v>
      </c>
      <c r="W4597">
        <v>0</v>
      </c>
      <c r="X4597">
        <v>2</v>
      </c>
      <c r="Z4597">
        <v>0</v>
      </c>
      <c r="AA4597">
        <v>9</v>
      </c>
      <c r="AB4597">
        <v>3</v>
      </c>
      <c r="AC4597">
        <v>0</v>
      </c>
      <c r="AD4597">
        <v>10</v>
      </c>
      <c r="AE4597">
        <v>0</v>
      </c>
      <c r="AF4597">
        <v>3</v>
      </c>
      <c r="AG4597">
        <v>2</v>
      </c>
      <c r="AH4597">
        <v>0</v>
      </c>
      <c r="AI4597" t="s">
        <v>2535</v>
      </c>
      <c r="AJ4597">
        <v>40.148034000000003</v>
      </c>
      <c r="AK4597" t="s">
        <v>2539</v>
      </c>
      <c r="AL4597">
        <v>-93.256051999999997</v>
      </c>
      <c r="AM4597">
        <v>100</v>
      </c>
      <c r="AN4597">
        <v>1200</v>
      </c>
      <c r="AO4597" t="s">
        <v>118</v>
      </c>
      <c r="AP4597">
        <v>-136</v>
      </c>
      <c r="AQ4597">
        <v>5</v>
      </c>
      <c r="AR4597">
        <v>-256</v>
      </c>
      <c r="AZ4597">
        <v>1200</v>
      </c>
      <c r="BA4597">
        <v>1</v>
      </c>
      <c r="BB4597" t="str">
        <f t="shared" si="228"/>
        <v xml:space="preserve">N8080G  </v>
      </c>
      <c r="BC4597">
        <v>1</v>
      </c>
      <c r="BE4597">
        <v>0</v>
      </c>
      <c r="BF4597">
        <v>0</v>
      </c>
      <c r="BG4597">
        <v>0</v>
      </c>
      <c r="BH4597">
        <v>1250</v>
      </c>
      <c r="BI4597">
        <v>1</v>
      </c>
      <c r="BJ4597">
        <v>1</v>
      </c>
      <c r="BK4597">
        <v>1</v>
      </c>
      <c r="BL4597">
        <v>0</v>
      </c>
      <c r="BO4597">
        <v>0</v>
      </c>
      <c r="BP4597">
        <v>0</v>
      </c>
      <c r="BW4597" t="str">
        <f>"20:40:02.143"</f>
        <v>20:40:02.143</v>
      </c>
      <c r="BZ4597">
        <v>0</v>
      </c>
      <c r="CA4597">
        <v>1504</v>
      </c>
      <c r="CB4597">
        <v>224</v>
      </c>
      <c r="CD4597">
        <v>1</v>
      </c>
      <c r="CE4597">
        <v>0</v>
      </c>
      <c r="CF4597">
        <v>0</v>
      </c>
      <c r="CG4597">
        <v>1</v>
      </c>
      <c r="CH4597">
        <v>0</v>
      </c>
      <c r="CI4597">
        <v>0</v>
      </c>
      <c r="CJ4597">
        <v>0</v>
      </c>
      <c r="CK4597">
        <v>2</v>
      </c>
      <c r="CL4597">
        <v>0</v>
      </c>
      <c r="CM4597">
        <v>2</v>
      </c>
      <c r="CN4597">
        <v>0</v>
      </c>
      <c r="CO4597">
        <v>2</v>
      </c>
      <c r="CP4597" t="s">
        <v>119</v>
      </c>
      <c r="CQ4597">
        <v>180</v>
      </c>
      <c r="CR4597">
        <v>3</v>
      </c>
      <c r="CW4597">
        <v>1472181</v>
      </c>
      <c r="CY4597">
        <v>0</v>
      </c>
      <c r="CZ4597">
        <v>0</v>
      </c>
      <c r="DA4597">
        <v>1</v>
      </c>
      <c r="DB4597">
        <v>0</v>
      </c>
      <c r="DC4597">
        <v>0</v>
      </c>
      <c r="DD4597">
        <v>0</v>
      </c>
      <c r="DE4597">
        <v>0</v>
      </c>
      <c r="DF4597">
        <v>0</v>
      </c>
      <c r="DG4597">
        <v>0</v>
      </c>
      <c r="DH4597">
        <v>0</v>
      </c>
      <c r="DI4597">
        <v>0</v>
      </c>
    </row>
    <row r="4598" spans="1:113" x14ac:dyDescent="0.3">
      <c r="A4598" t="str">
        <f>"02/08/2021 20:39:59.823"</f>
        <v>02/08/2021 20:39:59.823</v>
      </c>
      <c r="C4598" t="str">
        <f t="shared" si="227"/>
        <v>FFDFD7C0</v>
      </c>
      <c r="D4598" t="s">
        <v>124</v>
      </c>
      <c r="E4598">
        <v>11</v>
      </c>
      <c r="F4598">
        <v>1011</v>
      </c>
      <c r="G4598" t="s">
        <v>590</v>
      </c>
      <c r="J4598" t="s">
        <v>125</v>
      </c>
      <c r="K4598">
        <v>0</v>
      </c>
      <c r="L4598">
        <v>3</v>
      </c>
      <c r="M4598">
        <v>0</v>
      </c>
      <c r="N4598">
        <v>2</v>
      </c>
      <c r="O4598">
        <v>1</v>
      </c>
      <c r="P4598">
        <v>0</v>
      </c>
      <c r="Q4598">
        <v>0</v>
      </c>
      <c r="S4598" t="str">
        <f>"20:40:02.141"</f>
        <v>20:40:02.141</v>
      </c>
      <c r="T4598" t="str">
        <f>"20:40:01.741"</f>
        <v>20:40:01.741</v>
      </c>
      <c r="U4598" t="str">
        <f t="shared" si="226"/>
        <v>AB01F4</v>
      </c>
      <c r="V4598">
        <v>0</v>
      </c>
      <c r="W4598">
        <v>0</v>
      </c>
      <c r="X4598">
        <v>2</v>
      </c>
      <c r="Z4598">
        <v>0</v>
      </c>
      <c r="AA4598">
        <v>9</v>
      </c>
      <c r="AB4598">
        <v>3</v>
      </c>
      <c r="AC4598">
        <v>0</v>
      </c>
      <c r="AD4598">
        <v>10</v>
      </c>
      <c r="AE4598">
        <v>0</v>
      </c>
      <c r="AF4598">
        <v>3</v>
      </c>
      <c r="AG4598">
        <v>2</v>
      </c>
      <c r="AH4598">
        <v>0</v>
      </c>
      <c r="AI4598" t="s">
        <v>2535</v>
      </c>
      <c r="AJ4598">
        <v>40.148034000000003</v>
      </c>
      <c r="AK4598" t="s">
        <v>2539</v>
      </c>
      <c r="AL4598">
        <v>-93.256051999999997</v>
      </c>
      <c r="AM4598">
        <v>100</v>
      </c>
      <c r="AN4598">
        <v>1200</v>
      </c>
      <c r="AO4598" t="s">
        <v>118</v>
      </c>
      <c r="AP4598">
        <v>-136</v>
      </c>
      <c r="AQ4598">
        <v>5</v>
      </c>
      <c r="AR4598">
        <v>-256</v>
      </c>
      <c r="AZ4598">
        <v>1200</v>
      </c>
      <c r="BA4598">
        <v>1</v>
      </c>
      <c r="BB4598" t="str">
        <f t="shared" si="228"/>
        <v xml:space="preserve">N8080G  </v>
      </c>
      <c r="BC4598">
        <v>1</v>
      </c>
      <c r="BE4598">
        <v>0</v>
      </c>
      <c r="BF4598">
        <v>0</v>
      </c>
      <c r="BG4598">
        <v>0</v>
      </c>
      <c r="BH4598">
        <v>1250</v>
      </c>
      <c r="BI4598">
        <v>1</v>
      </c>
      <c r="BJ4598">
        <v>1</v>
      </c>
      <c r="BK4598">
        <v>1</v>
      </c>
      <c r="BL4598">
        <v>0</v>
      </c>
      <c r="BO4598">
        <v>0</v>
      </c>
      <c r="BP4598">
        <v>0</v>
      </c>
      <c r="BW4598" t="str">
        <f>"20:40:02.143"</f>
        <v>20:40:02.143</v>
      </c>
      <c r="BZ4598">
        <v>0</v>
      </c>
      <c r="CA4598">
        <v>1504</v>
      </c>
      <c r="CB4598">
        <v>224</v>
      </c>
      <c r="CD4598">
        <v>1</v>
      </c>
      <c r="CE4598">
        <v>0</v>
      </c>
      <c r="CF4598">
        <v>0</v>
      </c>
      <c r="CG4598">
        <v>1</v>
      </c>
      <c r="CH4598">
        <v>0</v>
      </c>
      <c r="CI4598">
        <v>0</v>
      </c>
      <c r="CJ4598">
        <v>0</v>
      </c>
      <c r="CK4598">
        <v>2</v>
      </c>
      <c r="CL4598">
        <v>0</v>
      </c>
      <c r="CM4598">
        <v>2</v>
      </c>
      <c r="CN4598">
        <v>0</v>
      </c>
      <c r="CO4598">
        <v>2</v>
      </c>
      <c r="CP4598" t="s">
        <v>119</v>
      </c>
      <c r="CQ4598">
        <v>180</v>
      </c>
      <c r="CR4598">
        <v>3</v>
      </c>
      <c r="CW4598">
        <v>1472181</v>
      </c>
      <c r="CY4598">
        <v>0</v>
      </c>
      <c r="CZ4598">
        <v>0</v>
      </c>
      <c r="DA4598">
        <v>1</v>
      </c>
      <c r="DB4598">
        <v>0</v>
      </c>
      <c r="DC4598">
        <v>0</v>
      </c>
      <c r="DD4598">
        <v>0</v>
      </c>
      <c r="DE4598">
        <v>0</v>
      </c>
      <c r="DF4598">
        <v>0</v>
      </c>
      <c r="DG4598">
        <v>0</v>
      </c>
      <c r="DH4598">
        <v>0</v>
      </c>
      <c r="DI4598">
        <v>0</v>
      </c>
    </row>
    <row r="4599" spans="1:113" x14ac:dyDescent="0.3">
      <c r="A4599" t="str">
        <f>"02/08/2021 20:40:00.641"</f>
        <v>02/08/2021 20:40:00.641</v>
      </c>
      <c r="C4599" t="str">
        <f t="shared" si="227"/>
        <v>FFDFD7C0</v>
      </c>
      <c r="D4599" t="s">
        <v>124</v>
      </c>
      <c r="E4599">
        <v>13</v>
      </c>
      <c r="F4599">
        <v>1013</v>
      </c>
      <c r="G4599" t="s">
        <v>114</v>
      </c>
      <c r="J4599" t="s">
        <v>125</v>
      </c>
      <c r="K4599">
        <v>0</v>
      </c>
      <c r="L4599">
        <v>3</v>
      </c>
      <c r="M4599">
        <v>0</v>
      </c>
      <c r="N4599">
        <v>2</v>
      </c>
      <c r="O4599">
        <v>1</v>
      </c>
      <c r="P4599">
        <v>0</v>
      </c>
      <c r="Q4599">
        <v>0</v>
      </c>
      <c r="S4599" t="str">
        <f>"20:40:02.984"</f>
        <v>20:40:02.984</v>
      </c>
      <c r="T4599" t="str">
        <f>"20:40:02.584"</f>
        <v>20:40:02.584</v>
      </c>
      <c r="U4599" t="str">
        <f t="shared" si="226"/>
        <v>AB01F4</v>
      </c>
      <c r="V4599">
        <v>0</v>
      </c>
      <c r="W4599">
        <v>0</v>
      </c>
      <c r="X4599">
        <v>2</v>
      </c>
      <c r="Z4599">
        <v>0</v>
      </c>
      <c r="AA4599">
        <v>9</v>
      </c>
      <c r="AB4599">
        <v>3</v>
      </c>
      <c r="AC4599">
        <v>0</v>
      </c>
      <c r="AD4599">
        <v>10</v>
      </c>
      <c r="AE4599">
        <v>0</v>
      </c>
      <c r="AF4599">
        <v>3</v>
      </c>
      <c r="AG4599">
        <v>2</v>
      </c>
      <c r="AH4599">
        <v>0</v>
      </c>
      <c r="AI4599" t="s">
        <v>2533</v>
      </c>
      <c r="AJ4599">
        <v>40.148077000000001</v>
      </c>
      <c r="AK4599" t="s">
        <v>2540</v>
      </c>
      <c r="AL4599">
        <v>-93.256716999999995</v>
      </c>
      <c r="AM4599">
        <v>100</v>
      </c>
      <c r="AN4599">
        <v>1200</v>
      </c>
      <c r="AO4599" t="s">
        <v>118</v>
      </c>
      <c r="AP4599">
        <v>-136</v>
      </c>
      <c r="AQ4599">
        <v>7</v>
      </c>
      <c r="AR4599">
        <v>-320</v>
      </c>
      <c r="AZ4599">
        <v>1200</v>
      </c>
      <c r="BA4599">
        <v>1</v>
      </c>
      <c r="BB4599" t="str">
        <f t="shared" si="228"/>
        <v xml:space="preserve">N8080G  </v>
      </c>
      <c r="BC4599">
        <v>1</v>
      </c>
      <c r="BE4599">
        <v>0</v>
      </c>
      <c r="BF4599">
        <v>0</v>
      </c>
      <c r="BG4599">
        <v>0</v>
      </c>
      <c r="BH4599">
        <v>1225</v>
      </c>
      <c r="BI4599">
        <v>1</v>
      </c>
      <c r="BJ4599">
        <v>1</v>
      </c>
      <c r="BK4599">
        <v>1</v>
      </c>
      <c r="BL4599">
        <v>0</v>
      </c>
      <c r="BO4599">
        <v>0</v>
      </c>
      <c r="BP4599">
        <v>0</v>
      </c>
      <c r="BW4599" t="str">
        <f>"20:40:02.985"</f>
        <v>20:40:02.985</v>
      </c>
      <c r="BZ4599">
        <v>0</v>
      </c>
      <c r="CA4599">
        <v>1504</v>
      </c>
      <c r="CB4599">
        <v>224</v>
      </c>
      <c r="CD4599">
        <v>1</v>
      </c>
      <c r="CE4599">
        <v>0</v>
      </c>
      <c r="CF4599">
        <v>0</v>
      </c>
      <c r="CG4599">
        <v>1</v>
      </c>
      <c r="CH4599">
        <v>0</v>
      </c>
      <c r="CI4599">
        <v>0</v>
      </c>
      <c r="CJ4599">
        <v>0</v>
      </c>
      <c r="CK4599">
        <v>2</v>
      </c>
      <c r="CL4599">
        <v>0</v>
      </c>
      <c r="CM4599">
        <v>2</v>
      </c>
      <c r="CN4599">
        <v>0</v>
      </c>
      <c r="CO4599">
        <v>1</v>
      </c>
      <c r="CP4599" t="s">
        <v>119</v>
      </c>
      <c r="CQ4599">
        <v>180</v>
      </c>
      <c r="CR4599">
        <v>3</v>
      </c>
      <c r="CW4599">
        <v>1472792</v>
      </c>
      <c r="CY4599">
        <v>0</v>
      </c>
      <c r="CZ4599">
        <v>0</v>
      </c>
      <c r="DA4599">
        <v>0</v>
      </c>
      <c r="DB4599">
        <v>0</v>
      </c>
      <c r="DC4599">
        <v>0</v>
      </c>
      <c r="DD4599">
        <v>0</v>
      </c>
      <c r="DE4599">
        <v>0</v>
      </c>
      <c r="DF4599">
        <v>0</v>
      </c>
      <c r="DG4599">
        <v>0</v>
      </c>
      <c r="DH4599">
        <v>0</v>
      </c>
      <c r="DI4599">
        <v>0</v>
      </c>
    </row>
    <row r="4600" spans="1:113" x14ac:dyDescent="0.3">
      <c r="A4600" t="str">
        <f>"02/08/2021 20:40:00.641"</f>
        <v>02/08/2021 20:40:00.641</v>
      </c>
      <c r="C4600" t="str">
        <f t="shared" si="227"/>
        <v>FFDFD7C0</v>
      </c>
      <c r="D4600" t="s">
        <v>113</v>
      </c>
      <c r="E4600">
        <v>6</v>
      </c>
      <c r="H4600">
        <v>165</v>
      </c>
      <c r="I4600" t="s">
        <v>114</v>
      </c>
      <c r="J4600" t="s">
        <v>115</v>
      </c>
      <c r="K4600">
        <v>0</v>
      </c>
      <c r="L4600">
        <v>3</v>
      </c>
      <c r="M4600">
        <v>0</v>
      </c>
      <c r="N4600">
        <v>2</v>
      </c>
      <c r="O4600">
        <v>1</v>
      </c>
      <c r="P4600">
        <v>0</v>
      </c>
      <c r="Q4600">
        <v>0</v>
      </c>
      <c r="S4600" t="str">
        <f>"20:40:02.984"</f>
        <v>20:40:02.984</v>
      </c>
      <c r="T4600" t="str">
        <f>"20:40:02.584"</f>
        <v>20:40:02.584</v>
      </c>
      <c r="U4600" t="str">
        <f t="shared" si="226"/>
        <v>AB01F4</v>
      </c>
      <c r="V4600">
        <v>0</v>
      </c>
      <c r="W4600">
        <v>0</v>
      </c>
      <c r="X4600">
        <v>2</v>
      </c>
      <c r="Z4600">
        <v>0</v>
      </c>
      <c r="AA4600">
        <v>9</v>
      </c>
      <c r="AB4600">
        <v>3</v>
      </c>
      <c r="AC4600">
        <v>0</v>
      </c>
      <c r="AD4600">
        <v>10</v>
      </c>
      <c r="AE4600">
        <v>0</v>
      </c>
      <c r="AF4600">
        <v>3</v>
      </c>
      <c r="AG4600">
        <v>2</v>
      </c>
      <c r="AH4600">
        <v>0</v>
      </c>
      <c r="AI4600" t="s">
        <v>2533</v>
      </c>
      <c r="AJ4600">
        <v>40.148077000000001</v>
      </c>
      <c r="AK4600" t="s">
        <v>2540</v>
      </c>
      <c r="AL4600">
        <v>-93.256716999999995</v>
      </c>
      <c r="AM4600">
        <v>100</v>
      </c>
      <c r="AN4600">
        <v>1200</v>
      </c>
      <c r="AO4600" t="s">
        <v>118</v>
      </c>
      <c r="AP4600">
        <v>-136</v>
      </c>
      <c r="AQ4600">
        <v>7</v>
      </c>
      <c r="AR4600">
        <v>-320</v>
      </c>
      <c r="AZ4600">
        <v>1200</v>
      </c>
      <c r="BA4600">
        <v>1</v>
      </c>
      <c r="BB4600" t="str">
        <f t="shared" si="228"/>
        <v xml:space="preserve">N8080G  </v>
      </c>
      <c r="BC4600">
        <v>1</v>
      </c>
      <c r="BE4600">
        <v>0</v>
      </c>
      <c r="BF4600">
        <v>0</v>
      </c>
      <c r="BG4600">
        <v>0</v>
      </c>
      <c r="BH4600">
        <v>1225</v>
      </c>
      <c r="BI4600">
        <v>1</v>
      </c>
      <c r="BJ4600">
        <v>1</v>
      </c>
      <c r="BK4600">
        <v>1</v>
      </c>
      <c r="BL4600">
        <v>0</v>
      </c>
      <c r="BO4600">
        <v>0</v>
      </c>
      <c r="BP4600">
        <v>0</v>
      </c>
      <c r="BW4600" t="str">
        <f>"20:40:02.985"</f>
        <v>20:40:02.985</v>
      </c>
      <c r="BZ4600">
        <v>0</v>
      </c>
      <c r="CA4600">
        <v>1504</v>
      </c>
      <c r="CB4600">
        <v>224</v>
      </c>
      <c r="CD4600">
        <v>1</v>
      </c>
      <c r="CE4600">
        <v>0</v>
      </c>
      <c r="CF4600">
        <v>0</v>
      </c>
      <c r="CG4600">
        <v>1</v>
      </c>
      <c r="CH4600">
        <v>0</v>
      </c>
      <c r="CI4600">
        <v>0</v>
      </c>
      <c r="CJ4600">
        <v>0</v>
      </c>
      <c r="CK4600">
        <v>2</v>
      </c>
      <c r="CL4600">
        <v>0</v>
      </c>
      <c r="CM4600">
        <v>2</v>
      </c>
      <c r="CN4600">
        <v>0</v>
      </c>
      <c r="CO4600">
        <v>1</v>
      </c>
      <c r="CP4600" t="s">
        <v>119</v>
      </c>
      <c r="CQ4600">
        <v>180</v>
      </c>
      <c r="CR4600">
        <v>3</v>
      </c>
      <c r="CW4600">
        <v>1472792</v>
      </c>
      <c r="CY4600">
        <v>0</v>
      </c>
      <c r="CZ4600">
        <v>0</v>
      </c>
      <c r="DA4600">
        <v>1</v>
      </c>
      <c r="DB4600">
        <v>0</v>
      </c>
      <c r="DC4600">
        <v>0</v>
      </c>
      <c r="DD4600">
        <v>0</v>
      </c>
      <c r="DE4600">
        <v>0</v>
      </c>
      <c r="DF4600">
        <v>0</v>
      </c>
      <c r="DG4600">
        <v>0</v>
      </c>
      <c r="DH4600">
        <v>0</v>
      </c>
      <c r="DI4600">
        <v>0</v>
      </c>
    </row>
    <row r="4601" spans="1:113" x14ac:dyDescent="0.3">
      <c r="A4601" t="str">
        <f>"02/08/2021 20:40:00.641"</f>
        <v>02/08/2021 20:40:00.641</v>
      </c>
      <c r="C4601" t="str">
        <f t="shared" si="227"/>
        <v>FFDFD7C0</v>
      </c>
      <c r="D4601" t="s">
        <v>124</v>
      </c>
      <c r="E4601">
        <v>11</v>
      </c>
      <c r="F4601">
        <v>1011</v>
      </c>
      <c r="G4601" t="s">
        <v>590</v>
      </c>
      <c r="J4601" t="s">
        <v>125</v>
      </c>
      <c r="K4601">
        <v>0</v>
      </c>
      <c r="L4601">
        <v>3</v>
      </c>
      <c r="M4601">
        <v>0</v>
      </c>
      <c r="N4601">
        <v>2</v>
      </c>
      <c r="O4601">
        <v>1</v>
      </c>
      <c r="P4601">
        <v>0</v>
      </c>
      <c r="Q4601">
        <v>0</v>
      </c>
      <c r="S4601" t="str">
        <f>"20:40:02.984"</f>
        <v>20:40:02.984</v>
      </c>
      <c r="T4601" t="str">
        <f>"20:40:02.584"</f>
        <v>20:40:02.584</v>
      </c>
      <c r="U4601" t="str">
        <f t="shared" si="226"/>
        <v>AB01F4</v>
      </c>
      <c r="V4601">
        <v>0</v>
      </c>
      <c r="W4601">
        <v>0</v>
      </c>
      <c r="X4601">
        <v>2</v>
      </c>
      <c r="Z4601">
        <v>0</v>
      </c>
      <c r="AA4601">
        <v>9</v>
      </c>
      <c r="AB4601">
        <v>3</v>
      </c>
      <c r="AC4601">
        <v>0</v>
      </c>
      <c r="AD4601">
        <v>10</v>
      </c>
      <c r="AE4601">
        <v>0</v>
      </c>
      <c r="AF4601">
        <v>3</v>
      </c>
      <c r="AG4601">
        <v>2</v>
      </c>
      <c r="AH4601">
        <v>0</v>
      </c>
      <c r="AI4601" t="s">
        <v>2533</v>
      </c>
      <c r="AJ4601">
        <v>40.148077000000001</v>
      </c>
      <c r="AK4601" t="s">
        <v>2540</v>
      </c>
      <c r="AL4601">
        <v>-93.256716999999995</v>
      </c>
      <c r="AM4601">
        <v>100</v>
      </c>
      <c r="AN4601">
        <v>1200</v>
      </c>
      <c r="AO4601" t="s">
        <v>118</v>
      </c>
      <c r="AP4601">
        <v>-136</v>
      </c>
      <c r="AQ4601">
        <v>7</v>
      </c>
      <c r="AR4601">
        <v>-320</v>
      </c>
      <c r="AZ4601">
        <v>1200</v>
      </c>
      <c r="BA4601">
        <v>1</v>
      </c>
      <c r="BB4601" t="str">
        <f t="shared" si="228"/>
        <v xml:space="preserve">N8080G  </v>
      </c>
      <c r="BC4601">
        <v>1</v>
      </c>
      <c r="BE4601">
        <v>0</v>
      </c>
      <c r="BF4601">
        <v>0</v>
      </c>
      <c r="BG4601">
        <v>0</v>
      </c>
      <c r="BH4601">
        <v>1225</v>
      </c>
      <c r="BI4601">
        <v>1</v>
      </c>
      <c r="BJ4601">
        <v>1</v>
      </c>
      <c r="BK4601">
        <v>1</v>
      </c>
      <c r="BL4601">
        <v>0</v>
      </c>
      <c r="BO4601">
        <v>0</v>
      </c>
      <c r="BP4601">
        <v>0</v>
      </c>
      <c r="BW4601" t="str">
        <f>"20:40:02.985"</f>
        <v>20:40:02.985</v>
      </c>
      <c r="BZ4601">
        <v>0</v>
      </c>
      <c r="CA4601">
        <v>1504</v>
      </c>
      <c r="CB4601">
        <v>224</v>
      </c>
      <c r="CD4601">
        <v>1</v>
      </c>
      <c r="CE4601">
        <v>0</v>
      </c>
      <c r="CF4601">
        <v>0</v>
      </c>
      <c r="CG4601">
        <v>1</v>
      </c>
      <c r="CH4601">
        <v>0</v>
      </c>
      <c r="CI4601">
        <v>0</v>
      </c>
      <c r="CJ4601">
        <v>0</v>
      </c>
      <c r="CK4601">
        <v>2</v>
      </c>
      <c r="CL4601">
        <v>0</v>
      </c>
      <c r="CM4601">
        <v>2</v>
      </c>
      <c r="CN4601">
        <v>0</v>
      </c>
      <c r="CO4601">
        <v>1</v>
      </c>
      <c r="CP4601" t="s">
        <v>119</v>
      </c>
      <c r="CQ4601">
        <v>180</v>
      </c>
      <c r="CR4601">
        <v>3</v>
      </c>
      <c r="CW4601">
        <v>1472792</v>
      </c>
      <c r="CY4601">
        <v>0</v>
      </c>
      <c r="CZ4601">
        <v>0</v>
      </c>
      <c r="DA4601">
        <v>1</v>
      </c>
      <c r="DB4601">
        <v>0</v>
      </c>
      <c r="DC4601">
        <v>0</v>
      </c>
      <c r="DD4601">
        <v>0</v>
      </c>
      <c r="DE4601">
        <v>0</v>
      </c>
      <c r="DF4601">
        <v>0</v>
      </c>
      <c r="DG4601">
        <v>0</v>
      </c>
      <c r="DH4601">
        <v>0</v>
      </c>
      <c r="DI4601">
        <v>0</v>
      </c>
    </row>
    <row r="4602" spans="1:113" x14ac:dyDescent="0.3">
      <c r="A4602" t="str">
        <f>"02/08/2021 20:40:00.641"</f>
        <v>02/08/2021 20:40:00.641</v>
      </c>
      <c r="C4602" t="str">
        <f t="shared" si="227"/>
        <v>FFDFD7C0</v>
      </c>
      <c r="D4602" t="s">
        <v>124</v>
      </c>
      <c r="E4602">
        <v>12</v>
      </c>
      <c r="F4602">
        <v>1012</v>
      </c>
      <c r="G4602" t="s">
        <v>675</v>
      </c>
      <c r="J4602" t="s">
        <v>125</v>
      </c>
      <c r="K4602">
        <v>0</v>
      </c>
      <c r="L4602">
        <v>3</v>
      </c>
      <c r="M4602">
        <v>0</v>
      </c>
      <c r="N4602">
        <v>2</v>
      </c>
      <c r="O4602">
        <v>1</v>
      </c>
      <c r="P4602">
        <v>0</v>
      </c>
      <c r="Q4602">
        <v>0</v>
      </c>
      <c r="S4602" t="str">
        <f>"20:40:02.984"</f>
        <v>20:40:02.984</v>
      </c>
      <c r="T4602" t="str">
        <f>"20:40:02.584"</f>
        <v>20:40:02.584</v>
      </c>
      <c r="U4602" t="str">
        <f t="shared" si="226"/>
        <v>AB01F4</v>
      </c>
      <c r="V4602">
        <v>0</v>
      </c>
      <c r="W4602">
        <v>0</v>
      </c>
      <c r="X4602">
        <v>2</v>
      </c>
      <c r="Z4602">
        <v>0</v>
      </c>
      <c r="AA4602">
        <v>9</v>
      </c>
      <c r="AB4602">
        <v>3</v>
      </c>
      <c r="AC4602">
        <v>0</v>
      </c>
      <c r="AD4602">
        <v>10</v>
      </c>
      <c r="AE4602">
        <v>0</v>
      </c>
      <c r="AF4602">
        <v>3</v>
      </c>
      <c r="AG4602">
        <v>2</v>
      </c>
      <c r="AH4602">
        <v>0</v>
      </c>
      <c r="AI4602" t="s">
        <v>2533</v>
      </c>
      <c r="AJ4602">
        <v>40.148077000000001</v>
      </c>
      <c r="AK4602" t="s">
        <v>2540</v>
      </c>
      <c r="AL4602">
        <v>-93.256716999999995</v>
      </c>
      <c r="AM4602">
        <v>100</v>
      </c>
      <c r="AN4602">
        <v>1200</v>
      </c>
      <c r="AO4602" t="s">
        <v>118</v>
      </c>
      <c r="AP4602">
        <v>-136</v>
      </c>
      <c r="AQ4602">
        <v>7</v>
      </c>
      <c r="AR4602">
        <v>-320</v>
      </c>
      <c r="AZ4602">
        <v>1200</v>
      </c>
      <c r="BA4602">
        <v>1</v>
      </c>
      <c r="BB4602" t="str">
        <f t="shared" si="228"/>
        <v xml:space="preserve">N8080G  </v>
      </c>
      <c r="BC4602">
        <v>1</v>
      </c>
      <c r="BE4602">
        <v>0</v>
      </c>
      <c r="BF4602">
        <v>0</v>
      </c>
      <c r="BG4602">
        <v>0</v>
      </c>
      <c r="BH4602">
        <v>1225</v>
      </c>
      <c r="BI4602">
        <v>1</v>
      </c>
      <c r="BJ4602">
        <v>1</v>
      </c>
      <c r="BK4602">
        <v>1</v>
      </c>
      <c r="BL4602">
        <v>0</v>
      </c>
      <c r="BO4602">
        <v>0</v>
      </c>
      <c r="BP4602">
        <v>0</v>
      </c>
      <c r="BW4602" t="str">
        <f>"20:40:02.985"</f>
        <v>20:40:02.985</v>
      </c>
      <c r="BZ4602">
        <v>0</v>
      </c>
      <c r="CA4602">
        <v>1504</v>
      </c>
      <c r="CB4602">
        <v>224</v>
      </c>
      <c r="CD4602">
        <v>1</v>
      </c>
      <c r="CE4602">
        <v>0</v>
      </c>
      <c r="CF4602">
        <v>0</v>
      </c>
      <c r="CG4602">
        <v>1</v>
      </c>
      <c r="CH4602">
        <v>0</v>
      </c>
      <c r="CI4602">
        <v>0</v>
      </c>
      <c r="CJ4602">
        <v>0</v>
      </c>
      <c r="CK4602">
        <v>2</v>
      </c>
      <c r="CL4602">
        <v>0</v>
      </c>
      <c r="CM4602">
        <v>2</v>
      </c>
      <c r="CN4602">
        <v>0</v>
      </c>
      <c r="CO4602">
        <v>1</v>
      </c>
      <c r="CP4602" t="s">
        <v>119</v>
      </c>
      <c r="CQ4602">
        <v>180</v>
      </c>
      <c r="CR4602">
        <v>3</v>
      </c>
      <c r="CW4602">
        <v>1472792</v>
      </c>
      <c r="CY4602">
        <v>0</v>
      </c>
      <c r="CZ4602">
        <v>0</v>
      </c>
      <c r="DA4602">
        <v>1</v>
      </c>
      <c r="DB4602">
        <v>0</v>
      </c>
      <c r="DC4602">
        <v>0</v>
      </c>
      <c r="DD4602">
        <v>0</v>
      </c>
      <c r="DE4602">
        <v>0</v>
      </c>
      <c r="DF4602">
        <v>0</v>
      </c>
      <c r="DG4602">
        <v>0</v>
      </c>
      <c r="DH4602">
        <v>0</v>
      </c>
      <c r="DI4602">
        <v>0</v>
      </c>
    </row>
    <row r="4603" spans="1:113" x14ac:dyDescent="0.3">
      <c r="A4603" t="str">
        <f>"02/08/2021 20:40:01.746"</f>
        <v>02/08/2021 20:40:01.746</v>
      </c>
      <c r="C4603" t="str">
        <f t="shared" si="227"/>
        <v>FFDFD7C0</v>
      </c>
      <c r="D4603" t="s">
        <v>124</v>
      </c>
      <c r="E4603">
        <v>13</v>
      </c>
      <c r="F4603">
        <v>1013</v>
      </c>
      <c r="G4603" t="s">
        <v>114</v>
      </c>
      <c r="J4603" t="s">
        <v>125</v>
      </c>
      <c r="K4603">
        <v>0</v>
      </c>
      <c r="L4603">
        <v>3</v>
      </c>
      <c r="M4603">
        <v>0</v>
      </c>
      <c r="N4603">
        <v>2</v>
      </c>
      <c r="O4603">
        <v>1</v>
      </c>
      <c r="P4603">
        <v>0</v>
      </c>
      <c r="Q4603">
        <v>0</v>
      </c>
      <c r="S4603" t="str">
        <f>"20:40:04.086"</f>
        <v>20:40:04.086</v>
      </c>
      <c r="T4603" t="str">
        <f>"20:40:02.986"</f>
        <v>20:40:02.986</v>
      </c>
      <c r="U4603" t="str">
        <f t="shared" si="226"/>
        <v>AB01F4</v>
      </c>
      <c r="V4603">
        <v>0</v>
      </c>
      <c r="W4603">
        <v>0</v>
      </c>
      <c r="X4603">
        <v>2</v>
      </c>
      <c r="Z4603">
        <v>0</v>
      </c>
      <c r="AA4603">
        <v>9</v>
      </c>
      <c r="AB4603">
        <v>3</v>
      </c>
      <c r="AC4603">
        <v>0</v>
      </c>
      <c r="AD4603">
        <v>10</v>
      </c>
      <c r="AE4603">
        <v>0</v>
      </c>
      <c r="AF4603">
        <v>3</v>
      </c>
      <c r="AG4603">
        <v>2</v>
      </c>
      <c r="AH4603">
        <v>0</v>
      </c>
      <c r="AI4603" t="s">
        <v>2541</v>
      </c>
      <c r="AJ4603">
        <v>40.148097999999997</v>
      </c>
      <c r="AK4603" t="s">
        <v>2542</v>
      </c>
      <c r="AL4603">
        <v>-93.257638999999998</v>
      </c>
      <c r="AM4603">
        <v>100</v>
      </c>
      <c r="AN4603">
        <v>1200</v>
      </c>
      <c r="AO4603" t="s">
        <v>118</v>
      </c>
      <c r="AP4603">
        <v>-136</v>
      </c>
      <c r="AQ4603">
        <v>8</v>
      </c>
      <c r="AR4603">
        <v>-384</v>
      </c>
      <c r="AZ4603">
        <v>1200</v>
      </c>
      <c r="BA4603">
        <v>1</v>
      </c>
      <c r="BB4603" t="str">
        <f t="shared" si="228"/>
        <v xml:space="preserve">N8080G  </v>
      </c>
      <c r="BC4603">
        <v>1</v>
      </c>
      <c r="BE4603">
        <v>0</v>
      </c>
      <c r="BF4603">
        <v>0</v>
      </c>
      <c r="BG4603">
        <v>0</v>
      </c>
      <c r="BH4603">
        <v>1225</v>
      </c>
      <c r="BI4603">
        <v>1</v>
      </c>
      <c r="BJ4603">
        <v>1</v>
      </c>
      <c r="BK4603">
        <v>1</v>
      </c>
      <c r="BL4603">
        <v>0</v>
      </c>
      <c r="BO4603">
        <v>0</v>
      </c>
      <c r="BP4603">
        <v>0</v>
      </c>
      <c r="BW4603" t="str">
        <f>"20:40:04.091"</f>
        <v>20:40:04.091</v>
      </c>
      <c r="BZ4603">
        <v>0</v>
      </c>
      <c r="CA4603">
        <v>1504</v>
      </c>
      <c r="CB4603">
        <v>224</v>
      </c>
      <c r="CD4603">
        <v>1</v>
      </c>
      <c r="CE4603">
        <v>0</v>
      </c>
      <c r="CF4603">
        <v>0</v>
      </c>
      <c r="CG4603">
        <v>1</v>
      </c>
      <c r="CH4603">
        <v>0</v>
      </c>
      <c r="CI4603">
        <v>0</v>
      </c>
      <c r="CJ4603">
        <v>0</v>
      </c>
      <c r="CK4603">
        <v>2</v>
      </c>
      <c r="CL4603">
        <v>0</v>
      </c>
      <c r="CM4603">
        <v>2</v>
      </c>
      <c r="CN4603">
        <v>0</v>
      </c>
      <c r="CO4603">
        <v>1</v>
      </c>
      <c r="CP4603" t="s">
        <v>119</v>
      </c>
      <c r="CQ4603">
        <v>180</v>
      </c>
      <c r="CR4603">
        <v>3</v>
      </c>
      <c r="CW4603">
        <v>1473598</v>
      </c>
      <c r="CY4603">
        <v>0</v>
      </c>
      <c r="CZ4603">
        <v>0</v>
      </c>
      <c r="DA4603">
        <v>0</v>
      </c>
      <c r="DB4603">
        <v>0</v>
      </c>
      <c r="DC4603">
        <v>0</v>
      </c>
      <c r="DD4603">
        <v>0</v>
      </c>
      <c r="DE4603">
        <v>0</v>
      </c>
      <c r="DF4603">
        <v>0</v>
      </c>
      <c r="DG4603">
        <v>0</v>
      </c>
      <c r="DH4603">
        <v>0</v>
      </c>
      <c r="DI4603">
        <v>0</v>
      </c>
    </row>
    <row r="4604" spans="1:113" x14ac:dyDescent="0.3">
      <c r="A4604" t="str">
        <f>"02/08/2021 20:40:01.746"</f>
        <v>02/08/2021 20:40:01.746</v>
      </c>
      <c r="C4604" t="str">
        <f t="shared" si="227"/>
        <v>FFDFD7C0</v>
      </c>
      <c r="D4604" t="s">
        <v>113</v>
      </c>
      <c r="E4604">
        <v>6</v>
      </c>
      <c r="H4604">
        <v>165</v>
      </c>
      <c r="I4604" t="s">
        <v>114</v>
      </c>
      <c r="J4604" t="s">
        <v>115</v>
      </c>
      <c r="K4604">
        <v>0</v>
      </c>
      <c r="L4604">
        <v>3</v>
      </c>
      <c r="M4604">
        <v>0</v>
      </c>
      <c r="N4604">
        <v>2</v>
      </c>
      <c r="O4604">
        <v>1</v>
      </c>
      <c r="P4604">
        <v>0</v>
      </c>
      <c r="Q4604">
        <v>0</v>
      </c>
      <c r="S4604" t="str">
        <f>"20:40:04.086"</f>
        <v>20:40:04.086</v>
      </c>
      <c r="T4604" t="str">
        <f>"20:40:02.986"</f>
        <v>20:40:02.986</v>
      </c>
      <c r="U4604" t="str">
        <f t="shared" si="226"/>
        <v>AB01F4</v>
      </c>
      <c r="V4604">
        <v>0</v>
      </c>
      <c r="W4604">
        <v>0</v>
      </c>
      <c r="X4604">
        <v>2</v>
      </c>
      <c r="Z4604">
        <v>0</v>
      </c>
      <c r="AA4604">
        <v>9</v>
      </c>
      <c r="AB4604">
        <v>3</v>
      </c>
      <c r="AC4604">
        <v>0</v>
      </c>
      <c r="AD4604">
        <v>10</v>
      </c>
      <c r="AE4604">
        <v>0</v>
      </c>
      <c r="AF4604">
        <v>3</v>
      </c>
      <c r="AG4604">
        <v>2</v>
      </c>
      <c r="AH4604">
        <v>0</v>
      </c>
      <c r="AI4604" t="s">
        <v>2541</v>
      </c>
      <c r="AJ4604">
        <v>40.148097999999997</v>
      </c>
      <c r="AK4604" t="s">
        <v>2542</v>
      </c>
      <c r="AL4604">
        <v>-93.257638999999998</v>
      </c>
      <c r="AM4604">
        <v>100</v>
      </c>
      <c r="AN4604">
        <v>1200</v>
      </c>
      <c r="AO4604" t="s">
        <v>118</v>
      </c>
      <c r="AP4604">
        <v>-136</v>
      </c>
      <c r="AQ4604">
        <v>8</v>
      </c>
      <c r="AR4604">
        <v>-384</v>
      </c>
      <c r="AZ4604">
        <v>1200</v>
      </c>
      <c r="BA4604">
        <v>1</v>
      </c>
      <c r="BB4604" t="str">
        <f t="shared" si="228"/>
        <v xml:space="preserve">N8080G  </v>
      </c>
      <c r="BC4604">
        <v>1</v>
      </c>
      <c r="BE4604">
        <v>0</v>
      </c>
      <c r="BF4604">
        <v>0</v>
      </c>
      <c r="BG4604">
        <v>0</v>
      </c>
      <c r="BH4604">
        <v>1225</v>
      </c>
      <c r="BI4604">
        <v>1</v>
      </c>
      <c r="BJ4604">
        <v>1</v>
      </c>
      <c r="BK4604">
        <v>1</v>
      </c>
      <c r="BL4604">
        <v>0</v>
      </c>
      <c r="BO4604">
        <v>0</v>
      </c>
      <c r="BP4604">
        <v>0</v>
      </c>
      <c r="BW4604" t="str">
        <f>"20:40:04.091"</f>
        <v>20:40:04.091</v>
      </c>
      <c r="BZ4604">
        <v>0</v>
      </c>
      <c r="CA4604">
        <v>1504</v>
      </c>
      <c r="CB4604">
        <v>224</v>
      </c>
      <c r="CD4604">
        <v>1</v>
      </c>
      <c r="CE4604">
        <v>0</v>
      </c>
      <c r="CF4604">
        <v>0</v>
      </c>
      <c r="CG4604">
        <v>1</v>
      </c>
      <c r="CH4604">
        <v>0</v>
      </c>
      <c r="CI4604">
        <v>0</v>
      </c>
      <c r="CJ4604">
        <v>0</v>
      </c>
      <c r="CK4604">
        <v>2</v>
      </c>
      <c r="CL4604">
        <v>0</v>
      </c>
      <c r="CM4604">
        <v>2</v>
      </c>
      <c r="CN4604">
        <v>0</v>
      </c>
      <c r="CO4604">
        <v>1</v>
      </c>
      <c r="CP4604" t="s">
        <v>119</v>
      </c>
      <c r="CQ4604">
        <v>180</v>
      </c>
      <c r="CR4604">
        <v>3</v>
      </c>
      <c r="CW4604">
        <v>1473598</v>
      </c>
      <c r="CY4604">
        <v>0</v>
      </c>
      <c r="CZ4604">
        <v>0</v>
      </c>
      <c r="DA4604">
        <v>1</v>
      </c>
      <c r="DB4604">
        <v>0</v>
      </c>
      <c r="DC4604">
        <v>0</v>
      </c>
      <c r="DD4604">
        <v>0</v>
      </c>
      <c r="DE4604">
        <v>0</v>
      </c>
      <c r="DF4604">
        <v>0</v>
      </c>
      <c r="DG4604">
        <v>0</v>
      </c>
      <c r="DH4604">
        <v>0</v>
      </c>
      <c r="DI4604">
        <v>0</v>
      </c>
    </row>
    <row r="4605" spans="1:113" x14ac:dyDescent="0.3">
      <c r="A4605" t="str">
        <f>"02/08/2021 20:40:01.746"</f>
        <v>02/08/2021 20:40:01.746</v>
      </c>
      <c r="C4605" t="str">
        <f t="shared" si="227"/>
        <v>FFDFD7C0</v>
      </c>
      <c r="D4605" t="s">
        <v>124</v>
      </c>
      <c r="E4605">
        <v>11</v>
      </c>
      <c r="F4605">
        <v>1011</v>
      </c>
      <c r="G4605" t="s">
        <v>590</v>
      </c>
      <c r="J4605" t="s">
        <v>125</v>
      </c>
      <c r="K4605">
        <v>0</v>
      </c>
      <c r="L4605">
        <v>3</v>
      </c>
      <c r="M4605">
        <v>0</v>
      </c>
      <c r="N4605">
        <v>2</v>
      </c>
      <c r="O4605">
        <v>1</v>
      </c>
      <c r="P4605">
        <v>0</v>
      </c>
      <c r="Q4605">
        <v>0</v>
      </c>
      <c r="S4605" t="str">
        <f>"20:40:04.086"</f>
        <v>20:40:04.086</v>
      </c>
      <c r="T4605" t="str">
        <f>"20:40:02.986"</f>
        <v>20:40:02.986</v>
      </c>
      <c r="U4605" t="str">
        <f t="shared" si="226"/>
        <v>AB01F4</v>
      </c>
      <c r="V4605">
        <v>0</v>
      </c>
      <c r="W4605">
        <v>0</v>
      </c>
      <c r="X4605">
        <v>2</v>
      </c>
      <c r="Z4605">
        <v>0</v>
      </c>
      <c r="AA4605">
        <v>9</v>
      </c>
      <c r="AB4605">
        <v>3</v>
      </c>
      <c r="AC4605">
        <v>0</v>
      </c>
      <c r="AD4605">
        <v>10</v>
      </c>
      <c r="AE4605">
        <v>0</v>
      </c>
      <c r="AF4605">
        <v>3</v>
      </c>
      <c r="AG4605">
        <v>2</v>
      </c>
      <c r="AH4605">
        <v>0</v>
      </c>
      <c r="AI4605" t="s">
        <v>2541</v>
      </c>
      <c r="AJ4605">
        <v>40.148097999999997</v>
      </c>
      <c r="AK4605" t="s">
        <v>2542</v>
      </c>
      <c r="AL4605">
        <v>-93.257638999999998</v>
      </c>
      <c r="AM4605">
        <v>100</v>
      </c>
      <c r="AN4605">
        <v>1200</v>
      </c>
      <c r="AO4605" t="s">
        <v>118</v>
      </c>
      <c r="AP4605">
        <v>-136</v>
      </c>
      <c r="AQ4605">
        <v>8</v>
      </c>
      <c r="AR4605">
        <v>-384</v>
      </c>
      <c r="AZ4605">
        <v>1200</v>
      </c>
      <c r="BA4605">
        <v>1</v>
      </c>
      <c r="BB4605" t="str">
        <f t="shared" si="228"/>
        <v xml:space="preserve">N8080G  </v>
      </c>
      <c r="BC4605">
        <v>1</v>
      </c>
      <c r="BE4605">
        <v>0</v>
      </c>
      <c r="BF4605">
        <v>0</v>
      </c>
      <c r="BG4605">
        <v>0</v>
      </c>
      <c r="BH4605">
        <v>1225</v>
      </c>
      <c r="BI4605">
        <v>1</v>
      </c>
      <c r="BJ4605">
        <v>1</v>
      </c>
      <c r="BK4605">
        <v>1</v>
      </c>
      <c r="BL4605">
        <v>0</v>
      </c>
      <c r="BO4605">
        <v>0</v>
      </c>
      <c r="BP4605">
        <v>0</v>
      </c>
      <c r="BW4605" t="str">
        <f>"20:40:04.091"</f>
        <v>20:40:04.091</v>
      </c>
      <c r="BZ4605">
        <v>0</v>
      </c>
      <c r="CA4605">
        <v>1504</v>
      </c>
      <c r="CB4605">
        <v>224</v>
      </c>
      <c r="CD4605">
        <v>1</v>
      </c>
      <c r="CE4605">
        <v>0</v>
      </c>
      <c r="CF4605">
        <v>0</v>
      </c>
      <c r="CG4605">
        <v>1</v>
      </c>
      <c r="CH4605">
        <v>0</v>
      </c>
      <c r="CI4605">
        <v>0</v>
      </c>
      <c r="CJ4605">
        <v>0</v>
      </c>
      <c r="CK4605">
        <v>2</v>
      </c>
      <c r="CL4605">
        <v>0</v>
      </c>
      <c r="CM4605">
        <v>2</v>
      </c>
      <c r="CN4605">
        <v>0</v>
      </c>
      <c r="CO4605">
        <v>1</v>
      </c>
      <c r="CP4605" t="s">
        <v>119</v>
      </c>
      <c r="CQ4605">
        <v>180</v>
      </c>
      <c r="CR4605">
        <v>3</v>
      </c>
      <c r="CW4605">
        <v>1473598</v>
      </c>
      <c r="CY4605">
        <v>0</v>
      </c>
      <c r="CZ4605">
        <v>0</v>
      </c>
      <c r="DA4605">
        <v>1</v>
      </c>
      <c r="DB4605">
        <v>0</v>
      </c>
      <c r="DC4605">
        <v>0</v>
      </c>
      <c r="DD4605">
        <v>0</v>
      </c>
      <c r="DE4605">
        <v>0</v>
      </c>
      <c r="DF4605">
        <v>0</v>
      </c>
      <c r="DG4605">
        <v>0</v>
      </c>
      <c r="DH4605">
        <v>0</v>
      </c>
      <c r="DI4605">
        <v>0</v>
      </c>
    </row>
    <row r="4606" spans="1:113" x14ac:dyDescent="0.3">
      <c r="A4606" t="str">
        <f>"02/08/2021 20:40:01.746"</f>
        <v>02/08/2021 20:40:01.746</v>
      </c>
      <c r="C4606" t="str">
        <f t="shared" si="227"/>
        <v>FFDFD7C0</v>
      </c>
      <c r="D4606" t="s">
        <v>124</v>
      </c>
      <c r="E4606">
        <v>12</v>
      </c>
      <c r="F4606">
        <v>1012</v>
      </c>
      <c r="G4606" t="s">
        <v>675</v>
      </c>
      <c r="J4606" t="s">
        <v>125</v>
      </c>
      <c r="K4606">
        <v>0</v>
      </c>
      <c r="L4606">
        <v>3</v>
      </c>
      <c r="M4606">
        <v>0</v>
      </c>
      <c r="N4606">
        <v>2</v>
      </c>
      <c r="O4606">
        <v>1</v>
      </c>
      <c r="P4606">
        <v>0</v>
      </c>
      <c r="Q4606">
        <v>0</v>
      </c>
      <c r="S4606" t="str">
        <f>"20:40:04.086"</f>
        <v>20:40:04.086</v>
      </c>
      <c r="T4606" t="str">
        <f>"20:40:02.986"</f>
        <v>20:40:02.986</v>
      </c>
      <c r="U4606" t="str">
        <f t="shared" si="226"/>
        <v>AB01F4</v>
      </c>
      <c r="V4606">
        <v>0</v>
      </c>
      <c r="W4606">
        <v>0</v>
      </c>
      <c r="X4606">
        <v>2</v>
      </c>
      <c r="Z4606">
        <v>0</v>
      </c>
      <c r="AA4606">
        <v>9</v>
      </c>
      <c r="AB4606">
        <v>3</v>
      </c>
      <c r="AC4606">
        <v>0</v>
      </c>
      <c r="AD4606">
        <v>10</v>
      </c>
      <c r="AE4606">
        <v>0</v>
      </c>
      <c r="AF4606">
        <v>3</v>
      </c>
      <c r="AG4606">
        <v>2</v>
      </c>
      <c r="AH4606">
        <v>0</v>
      </c>
      <c r="AI4606" t="s">
        <v>2541</v>
      </c>
      <c r="AJ4606">
        <v>40.148097999999997</v>
      </c>
      <c r="AK4606" t="s">
        <v>2542</v>
      </c>
      <c r="AL4606">
        <v>-93.257638999999998</v>
      </c>
      <c r="AM4606">
        <v>100</v>
      </c>
      <c r="AN4606">
        <v>1200</v>
      </c>
      <c r="AO4606" t="s">
        <v>118</v>
      </c>
      <c r="AP4606">
        <v>-136</v>
      </c>
      <c r="AQ4606">
        <v>8</v>
      </c>
      <c r="AR4606">
        <v>-384</v>
      </c>
      <c r="AZ4606">
        <v>1200</v>
      </c>
      <c r="BA4606">
        <v>1</v>
      </c>
      <c r="BB4606" t="str">
        <f t="shared" si="228"/>
        <v xml:space="preserve">N8080G  </v>
      </c>
      <c r="BC4606">
        <v>1</v>
      </c>
      <c r="BE4606">
        <v>0</v>
      </c>
      <c r="BF4606">
        <v>0</v>
      </c>
      <c r="BG4606">
        <v>0</v>
      </c>
      <c r="BH4606">
        <v>1225</v>
      </c>
      <c r="BI4606">
        <v>1</v>
      </c>
      <c r="BJ4606">
        <v>1</v>
      </c>
      <c r="BK4606">
        <v>1</v>
      </c>
      <c r="BL4606">
        <v>0</v>
      </c>
      <c r="BO4606">
        <v>0</v>
      </c>
      <c r="BP4606">
        <v>0</v>
      </c>
      <c r="BW4606" t="str">
        <f>"20:40:04.091"</f>
        <v>20:40:04.091</v>
      </c>
      <c r="BZ4606">
        <v>0</v>
      </c>
      <c r="CA4606">
        <v>1504</v>
      </c>
      <c r="CB4606">
        <v>224</v>
      </c>
      <c r="CD4606">
        <v>1</v>
      </c>
      <c r="CE4606">
        <v>0</v>
      </c>
      <c r="CF4606">
        <v>0</v>
      </c>
      <c r="CG4606">
        <v>1</v>
      </c>
      <c r="CH4606">
        <v>0</v>
      </c>
      <c r="CI4606">
        <v>0</v>
      </c>
      <c r="CJ4606">
        <v>0</v>
      </c>
      <c r="CK4606">
        <v>2</v>
      </c>
      <c r="CL4606">
        <v>0</v>
      </c>
      <c r="CM4606">
        <v>2</v>
      </c>
      <c r="CN4606">
        <v>0</v>
      </c>
      <c r="CO4606">
        <v>1</v>
      </c>
      <c r="CP4606" t="s">
        <v>119</v>
      </c>
      <c r="CQ4606">
        <v>180</v>
      </c>
      <c r="CR4606">
        <v>3</v>
      </c>
      <c r="CW4606">
        <v>1473598</v>
      </c>
      <c r="CY4606">
        <v>0</v>
      </c>
      <c r="CZ4606">
        <v>0</v>
      </c>
      <c r="DA4606">
        <v>1</v>
      </c>
      <c r="DB4606">
        <v>0</v>
      </c>
      <c r="DC4606">
        <v>0</v>
      </c>
      <c r="DD4606">
        <v>0</v>
      </c>
      <c r="DE4606">
        <v>0</v>
      </c>
      <c r="DF4606">
        <v>0</v>
      </c>
      <c r="DG4606">
        <v>0</v>
      </c>
      <c r="DH4606">
        <v>0</v>
      </c>
      <c r="DI4606">
        <v>0</v>
      </c>
    </row>
    <row r="4607" spans="1:113" x14ac:dyDescent="0.3">
      <c r="A4607" t="str">
        <f>"02/08/2021 20:40:21.957"</f>
        <v>02/08/2021 20:40:21.957</v>
      </c>
      <c r="C4607" t="str">
        <f>"FFDF57C0"</f>
        <v>FFDF57C0</v>
      </c>
      <c r="D4607" t="s">
        <v>124</v>
      </c>
      <c r="E4607">
        <v>13</v>
      </c>
      <c r="F4607">
        <v>1013</v>
      </c>
      <c r="G4607" t="s">
        <v>114</v>
      </c>
      <c r="J4607" t="s">
        <v>125</v>
      </c>
      <c r="K4607">
        <v>0</v>
      </c>
      <c r="L4607">
        <v>3</v>
      </c>
      <c r="M4607">
        <v>0</v>
      </c>
      <c r="N4607">
        <v>2</v>
      </c>
      <c r="O4607">
        <v>1</v>
      </c>
      <c r="P4607">
        <v>0</v>
      </c>
      <c r="Q4607">
        <v>0</v>
      </c>
      <c r="S4607" t="str">
        <f>"20:40:24.008"</f>
        <v>20:40:24.008</v>
      </c>
      <c r="U4607" t="str">
        <f t="shared" si="226"/>
        <v>AB01F4</v>
      </c>
      <c r="V4607">
        <v>0</v>
      </c>
      <c r="W4607">
        <v>0</v>
      </c>
      <c r="X4607">
        <v>2</v>
      </c>
      <c r="Z4607">
        <v>0</v>
      </c>
      <c r="AA4607">
        <v>9</v>
      </c>
      <c r="AB4607">
        <v>3</v>
      </c>
      <c r="AC4607">
        <v>0</v>
      </c>
      <c r="AD4607">
        <v>10</v>
      </c>
      <c r="AE4607">
        <v>0</v>
      </c>
      <c r="AF4607">
        <v>3</v>
      </c>
      <c r="AG4607">
        <v>2</v>
      </c>
      <c r="AH4607">
        <v>0</v>
      </c>
      <c r="AI4607" t="s">
        <v>2543</v>
      </c>
      <c r="AJ4607">
        <v>40.145910000000001</v>
      </c>
      <c r="AK4607" t="s">
        <v>2544</v>
      </c>
      <c r="AL4607">
        <v>-93.273561000000001</v>
      </c>
      <c r="AM4607">
        <v>100</v>
      </c>
      <c r="AN4607">
        <v>1200</v>
      </c>
      <c r="AO4607" t="s">
        <v>118</v>
      </c>
      <c r="AR4607">
        <v>-192</v>
      </c>
      <c r="AZ4607">
        <v>1200</v>
      </c>
      <c r="BA4607">
        <v>1</v>
      </c>
      <c r="BB4607" t="str">
        <f t="shared" si="228"/>
        <v xml:space="preserve">N8080G  </v>
      </c>
      <c r="BC4607">
        <v>1</v>
      </c>
      <c r="BE4607">
        <v>0</v>
      </c>
      <c r="BF4607">
        <v>0</v>
      </c>
      <c r="BG4607">
        <v>0</v>
      </c>
      <c r="BI4607">
        <v>1</v>
      </c>
      <c r="BJ4607">
        <v>1</v>
      </c>
      <c r="BK4607">
        <v>1</v>
      </c>
      <c r="BL4607">
        <v>0</v>
      </c>
      <c r="BO4607">
        <v>0</v>
      </c>
      <c r="BP4607">
        <v>0</v>
      </c>
      <c r="BW4607" t="str">
        <f>"20:40:24.013"</f>
        <v>20:40:24.013</v>
      </c>
      <c r="BZ4607">
        <v>0</v>
      </c>
      <c r="CA4607">
        <v>1504</v>
      </c>
      <c r="CB4607">
        <v>224</v>
      </c>
      <c r="CD4607">
        <v>1</v>
      </c>
      <c r="CE4607">
        <v>0</v>
      </c>
      <c r="CF4607">
        <v>0</v>
      </c>
      <c r="CG4607">
        <v>1</v>
      </c>
      <c r="CH4607">
        <v>0</v>
      </c>
      <c r="CI4607">
        <v>0</v>
      </c>
      <c r="CJ4607">
        <v>0</v>
      </c>
      <c r="CK4607">
        <v>2</v>
      </c>
      <c r="CL4607">
        <v>0</v>
      </c>
      <c r="CM4607">
        <v>2</v>
      </c>
      <c r="CN4607">
        <v>0</v>
      </c>
      <c r="CO4607">
        <v>1</v>
      </c>
      <c r="CP4607" t="s">
        <v>119</v>
      </c>
      <c r="CQ4607">
        <v>180</v>
      </c>
      <c r="CR4607">
        <v>3</v>
      </c>
      <c r="CW4607">
        <v>1488791</v>
      </c>
      <c r="CY4607">
        <v>0</v>
      </c>
      <c r="CZ4607">
        <v>0</v>
      </c>
      <c r="DA4607">
        <v>0</v>
      </c>
      <c r="DB4607">
        <v>0</v>
      </c>
      <c r="DC4607">
        <v>0</v>
      </c>
      <c r="DD4607">
        <v>0</v>
      </c>
      <c r="DE4607">
        <v>0</v>
      </c>
      <c r="DF4607">
        <v>1</v>
      </c>
      <c r="DG4607">
        <v>0</v>
      </c>
      <c r="DH4607">
        <v>0</v>
      </c>
      <c r="DI4607">
        <v>0</v>
      </c>
    </row>
    <row r="4608" spans="1:113" x14ac:dyDescent="0.3">
      <c r="A4608" t="str">
        <f>"02/08/2021 20:40:21.957"</f>
        <v>02/08/2021 20:40:21.957</v>
      </c>
      <c r="C4608" t="str">
        <f>"FFDF57C0"</f>
        <v>FFDF57C0</v>
      </c>
      <c r="D4608" t="s">
        <v>124</v>
      </c>
      <c r="E4608">
        <v>11</v>
      </c>
      <c r="F4608">
        <v>1011</v>
      </c>
      <c r="G4608" t="s">
        <v>590</v>
      </c>
      <c r="J4608" t="s">
        <v>125</v>
      </c>
      <c r="K4608">
        <v>0</v>
      </c>
      <c r="L4608">
        <v>3</v>
      </c>
      <c r="M4608">
        <v>0</v>
      </c>
      <c r="N4608">
        <v>2</v>
      </c>
      <c r="O4608">
        <v>1</v>
      </c>
      <c r="P4608">
        <v>0</v>
      </c>
      <c r="Q4608">
        <v>0</v>
      </c>
      <c r="S4608" t="str">
        <f>"20:40:24.008"</f>
        <v>20:40:24.008</v>
      </c>
      <c r="U4608" t="str">
        <f t="shared" si="226"/>
        <v>AB01F4</v>
      </c>
      <c r="V4608">
        <v>0</v>
      </c>
      <c r="W4608">
        <v>0</v>
      </c>
      <c r="X4608">
        <v>2</v>
      </c>
      <c r="Z4608">
        <v>0</v>
      </c>
      <c r="AA4608">
        <v>9</v>
      </c>
      <c r="AB4608">
        <v>3</v>
      </c>
      <c r="AC4608">
        <v>0</v>
      </c>
      <c r="AD4608">
        <v>10</v>
      </c>
      <c r="AE4608">
        <v>0</v>
      </c>
      <c r="AF4608">
        <v>3</v>
      </c>
      <c r="AG4608">
        <v>2</v>
      </c>
      <c r="AH4608">
        <v>0</v>
      </c>
      <c r="AI4608" t="s">
        <v>2543</v>
      </c>
      <c r="AJ4608">
        <v>40.145910000000001</v>
      </c>
      <c r="AK4608" t="s">
        <v>2544</v>
      </c>
      <c r="AL4608">
        <v>-93.273561000000001</v>
      </c>
      <c r="AM4608">
        <v>100</v>
      </c>
      <c r="AN4608">
        <v>1200</v>
      </c>
      <c r="AO4608" t="s">
        <v>118</v>
      </c>
      <c r="AR4608">
        <v>-192</v>
      </c>
      <c r="AZ4608">
        <v>1200</v>
      </c>
      <c r="BA4608">
        <v>1</v>
      </c>
      <c r="BB4608" t="str">
        <f t="shared" si="228"/>
        <v xml:space="preserve">N8080G  </v>
      </c>
      <c r="BC4608">
        <v>1</v>
      </c>
      <c r="BE4608">
        <v>0</v>
      </c>
      <c r="BF4608">
        <v>0</v>
      </c>
      <c r="BG4608">
        <v>0</v>
      </c>
      <c r="BI4608">
        <v>1</v>
      </c>
      <c r="BJ4608">
        <v>1</v>
      </c>
      <c r="BK4608">
        <v>1</v>
      </c>
      <c r="BL4608">
        <v>0</v>
      </c>
      <c r="BO4608">
        <v>0</v>
      </c>
      <c r="BP4608">
        <v>0</v>
      </c>
      <c r="BW4608" t="str">
        <f>"20:40:24.013"</f>
        <v>20:40:24.013</v>
      </c>
      <c r="BZ4608">
        <v>0</v>
      </c>
      <c r="CA4608">
        <v>1504</v>
      </c>
      <c r="CB4608">
        <v>224</v>
      </c>
      <c r="CD4608">
        <v>1</v>
      </c>
      <c r="CE4608">
        <v>0</v>
      </c>
      <c r="CF4608">
        <v>0</v>
      </c>
      <c r="CG4608">
        <v>1</v>
      </c>
      <c r="CH4608">
        <v>0</v>
      </c>
      <c r="CI4608">
        <v>0</v>
      </c>
      <c r="CJ4608">
        <v>0</v>
      </c>
      <c r="CK4608">
        <v>2</v>
      </c>
      <c r="CL4608">
        <v>0</v>
      </c>
      <c r="CM4608">
        <v>2</v>
      </c>
      <c r="CN4608">
        <v>0</v>
      </c>
      <c r="CO4608">
        <v>1</v>
      </c>
      <c r="CP4608" t="s">
        <v>119</v>
      </c>
      <c r="CQ4608">
        <v>180</v>
      </c>
      <c r="CR4608">
        <v>3</v>
      </c>
      <c r="CW4608">
        <v>1488791</v>
      </c>
      <c r="CY4608">
        <v>0</v>
      </c>
      <c r="CZ4608">
        <v>0</v>
      </c>
      <c r="DA4608">
        <v>1</v>
      </c>
      <c r="DB4608">
        <v>0</v>
      </c>
      <c r="DC4608">
        <v>0</v>
      </c>
      <c r="DD4608">
        <v>0</v>
      </c>
      <c r="DE4608">
        <v>0</v>
      </c>
      <c r="DF4608">
        <v>1</v>
      </c>
      <c r="DG4608">
        <v>0</v>
      </c>
      <c r="DH4608">
        <v>0</v>
      </c>
      <c r="DI4608">
        <v>0</v>
      </c>
    </row>
    <row r="4609" spans="1:113" x14ac:dyDescent="0.3">
      <c r="A4609" t="str">
        <f>"02/08/2021 20:40:21.957"</f>
        <v>02/08/2021 20:40:21.957</v>
      </c>
      <c r="C4609" t="str">
        <f>"FFDF57C0"</f>
        <v>FFDF57C0</v>
      </c>
      <c r="D4609" t="s">
        <v>113</v>
      </c>
      <c r="E4609">
        <v>6</v>
      </c>
      <c r="H4609">
        <v>165</v>
      </c>
      <c r="I4609" t="s">
        <v>114</v>
      </c>
      <c r="J4609" t="s">
        <v>115</v>
      </c>
      <c r="K4609">
        <v>0</v>
      </c>
      <c r="L4609">
        <v>3</v>
      </c>
      <c r="M4609">
        <v>0</v>
      </c>
      <c r="N4609">
        <v>2</v>
      </c>
      <c r="O4609">
        <v>1</v>
      </c>
      <c r="P4609">
        <v>0</v>
      </c>
      <c r="Q4609">
        <v>0</v>
      </c>
      <c r="S4609" t="str">
        <f>"20:40:24.008"</f>
        <v>20:40:24.008</v>
      </c>
      <c r="U4609" t="str">
        <f t="shared" si="226"/>
        <v>AB01F4</v>
      </c>
      <c r="V4609">
        <v>0</v>
      </c>
      <c r="W4609">
        <v>0</v>
      </c>
      <c r="X4609">
        <v>2</v>
      </c>
      <c r="Z4609">
        <v>0</v>
      </c>
      <c r="AA4609">
        <v>9</v>
      </c>
      <c r="AB4609">
        <v>3</v>
      </c>
      <c r="AC4609">
        <v>0</v>
      </c>
      <c r="AD4609">
        <v>10</v>
      </c>
      <c r="AE4609">
        <v>0</v>
      </c>
      <c r="AF4609">
        <v>3</v>
      </c>
      <c r="AG4609">
        <v>2</v>
      </c>
      <c r="AH4609">
        <v>0</v>
      </c>
      <c r="AI4609" t="s">
        <v>2543</v>
      </c>
      <c r="AJ4609">
        <v>40.145910000000001</v>
      </c>
      <c r="AK4609" t="s">
        <v>2544</v>
      </c>
      <c r="AL4609">
        <v>-93.273561000000001</v>
      </c>
      <c r="AM4609">
        <v>100</v>
      </c>
      <c r="AN4609">
        <v>1200</v>
      </c>
      <c r="AO4609" t="s">
        <v>118</v>
      </c>
      <c r="AR4609">
        <v>-192</v>
      </c>
      <c r="AZ4609">
        <v>1200</v>
      </c>
      <c r="BA4609">
        <v>1</v>
      </c>
      <c r="BB4609" t="str">
        <f t="shared" si="228"/>
        <v xml:space="preserve">N8080G  </v>
      </c>
      <c r="BC4609">
        <v>1</v>
      </c>
      <c r="BE4609">
        <v>0</v>
      </c>
      <c r="BF4609">
        <v>0</v>
      </c>
      <c r="BG4609">
        <v>0</v>
      </c>
      <c r="BI4609">
        <v>1</v>
      </c>
      <c r="BJ4609">
        <v>1</v>
      </c>
      <c r="BK4609">
        <v>1</v>
      </c>
      <c r="BL4609">
        <v>0</v>
      </c>
      <c r="BO4609">
        <v>0</v>
      </c>
      <c r="BP4609">
        <v>0</v>
      </c>
      <c r="BW4609" t="str">
        <f>"20:40:24.013"</f>
        <v>20:40:24.013</v>
      </c>
      <c r="BZ4609">
        <v>0</v>
      </c>
      <c r="CA4609">
        <v>1504</v>
      </c>
      <c r="CB4609">
        <v>224</v>
      </c>
      <c r="CD4609">
        <v>1</v>
      </c>
      <c r="CE4609">
        <v>0</v>
      </c>
      <c r="CF4609">
        <v>0</v>
      </c>
      <c r="CG4609">
        <v>1</v>
      </c>
      <c r="CH4609">
        <v>0</v>
      </c>
      <c r="CI4609">
        <v>0</v>
      </c>
      <c r="CJ4609">
        <v>0</v>
      </c>
      <c r="CK4609">
        <v>2</v>
      </c>
      <c r="CL4609">
        <v>0</v>
      </c>
      <c r="CM4609">
        <v>2</v>
      </c>
      <c r="CN4609">
        <v>0</v>
      </c>
      <c r="CO4609">
        <v>1</v>
      </c>
      <c r="CP4609" t="s">
        <v>119</v>
      </c>
      <c r="CQ4609">
        <v>180</v>
      </c>
      <c r="CR4609">
        <v>3</v>
      </c>
      <c r="CW4609">
        <v>1488791</v>
      </c>
      <c r="CY4609">
        <v>0</v>
      </c>
      <c r="CZ4609">
        <v>0</v>
      </c>
      <c r="DA4609">
        <v>1</v>
      </c>
      <c r="DB4609">
        <v>0</v>
      </c>
      <c r="DC4609">
        <v>0</v>
      </c>
      <c r="DD4609">
        <v>0</v>
      </c>
      <c r="DE4609">
        <v>0</v>
      </c>
      <c r="DF4609">
        <v>1</v>
      </c>
      <c r="DG4609">
        <v>0</v>
      </c>
      <c r="DH4609">
        <v>0</v>
      </c>
      <c r="DI4609">
        <v>0</v>
      </c>
    </row>
    <row r="4610" spans="1:113" x14ac:dyDescent="0.3">
      <c r="A4610" t="str">
        <f>"02/08/2021 20:40:21.957"</f>
        <v>02/08/2021 20:40:21.957</v>
      </c>
      <c r="C4610" t="str">
        <f>"FFDF57C0"</f>
        <v>FFDF57C0</v>
      </c>
      <c r="D4610" t="s">
        <v>124</v>
      </c>
      <c r="E4610">
        <v>12</v>
      </c>
      <c r="F4610">
        <v>1012</v>
      </c>
      <c r="G4610" t="s">
        <v>675</v>
      </c>
      <c r="J4610" t="s">
        <v>125</v>
      </c>
      <c r="K4610">
        <v>0</v>
      </c>
      <c r="L4610">
        <v>3</v>
      </c>
      <c r="M4610">
        <v>0</v>
      </c>
      <c r="N4610">
        <v>2</v>
      </c>
      <c r="O4610">
        <v>1</v>
      </c>
      <c r="P4610">
        <v>0</v>
      </c>
      <c r="Q4610">
        <v>0</v>
      </c>
      <c r="S4610" t="str">
        <f>"20:40:24.008"</f>
        <v>20:40:24.008</v>
      </c>
      <c r="U4610" t="str">
        <f t="shared" si="226"/>
        <v>AB01F4</v>
      </c>
      <c r="V4610">
        <v>0</v>
      </c>
      <c r="W4610">
        <v>0</v>
      </c>
      <c r="X4610">
        <v>2</v>
      </c>
      <c r="Z4610">
        <v>0</v>
      </c>
      <c r="AA4610">
        <v>9</v>
      </c>
      <c r="AB4610">
        <v>3</v>
      </c>
      <c r="AC4610">
        <v>0</v>
      </c>
      <c r="AD4610">
        <v>10</v>
      </c>
      <c r="AE4610">
        <v>0</v>
      </c>
      <c r="AF4610">
        <v>3</v>
      </c>
      <c r="AG4610">
        <v>2</v>
      </c>
      <c r="AH4610">
        <v>0</v>
      </c>
      <c r="AI4610" t="s">
        <v>2543</v>
      </c>
      <c r="AJ4610">
        <v>40.145910000000001</v>
      </c>
      <c r="AK4610" t="s">
        <v>2544</v>
      </c>
      <c r="AL4610">
        <v>-93.273561000000001</v>
      </c>
      <c r="AM4610">
        <v>100</v>
      </c>
      <c r="AN4610">
        <v>1200</v>
      </c>
      <c r="AO4610" t="s">
        <v>118</v>
      </c>
      <c r="AR4610">
        <v>-192</v>
      </c>
      <c r="AZ4610">
        <v>1200</v>
      </c>
      <c r="BA4610">
        <v>1</v>
      </c>
      <c r="BB4610" t="str">
        <f t="shared" si="228"/>
        <v xml:space="preserve">N8080G  </v>
      </c>
      <c r="BC4610">
        <v>1</v>
      </c>
      <c r="BE4610">
        <v>0</v>
      </c>
      <c r="BF4610">
        <v>0</v>
      </c>
      <c r="BG4610">
        <v>0</v>
      </c>
      <c r="BI4610">
        <v>1</v>
      </c>
      <c r="BJ4610">
        <v>1</v>
      </c>
      <c r="BK4610">
        <v>1</v>
      </c>
      <c r="BL4610">
        <v>0</v>
      </c>
      <c r="BO4610">
        <v>0</v>
      </c>
      <c r="BP4610">
        <v>0</v>
      </c>
      <c r="BW4610" t="str">
        <f>"20:40:24.013"</f>
        <v>20:40:24.013</v>
      </c>
      <c r="BZ4610">
        <v>0</v>
      </c>
      <c r="CA4610">
        <v>1504</v>
      </c>
      <c r="CB4610">
        <v>224</v>
      </c>
      <c r="CD4610">
        <v>1</v>
      </c>
      <c r="CE4610">
        <v>0</v>
      </c>
      <c r="CF4610">
        <v>0</v>
      </c>
      <c r="CG4610">
        <v>1</v>
      </c>
      <c r="CH4610">
        <v>0</v>
      </c>
      <c r="CI4610">
        <v>0</v>
      </c>
      <c r="CJ4610">
        <v>0</v>
      </c>
      <c r="CK4610">
        <v>2</v>
      </c>
      <c r="CL4610">
        <v>0</v>
      </c>
      <c r="CM4610">
        <v>2</v>
      </c>
      <c r="CN4610">
        <v>0</v>
      </c>
      <c r="CO4610">
        <v>1</v>
      </c>
      <c r="CP4610" t="s">
        <v>119</v>
      </c>
      <c r="CQ4610">
        <v>180</v>
      </c>
      <c r="CR4610">
        <v>3</v>
      </c>
      <c r="CW4610">
        <v>1488791</v>
      </c>
      <c r="CY4610">
        <v>0</v>
      </c>
      <c r="CZ4610">
        <v>0</v>
      </c>
      <c r="DA4610">
        <v>1</v>
      </c>
      <c r="DB4610">
        <v>0</v>
      </c>
      <c r="DC4610">
        <v>0</v>
      </c>
      <c r="DD4610">
        <v>0</v>
      </c>
      <c r="DE4610">
        <v>0</v>
      </c>
      <c r="DF4610">
        <v>1</v>
      </c>
      <c r="DG4610">
        <v>0</v>
      </c>
      <c r="DH4610">
        <v>0</v>
      </c>
      <c r="DI46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20210208_AB01F4_446387571_ADSB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2021-02-09T19:34:09Z</dcterms:created>
  <dcterms:modified xsi:type="dcterms:W3CDTF">2021-02-09T19:34:09Z</dcterms:modified>
</cp:coreProperties>
</file>